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6.xml" ContentType="application/vnd.openxmlformats-officedocument.drawing+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7.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4.xml" ContentType="application/vnd.openxmlformats-officedocument.spreadsheetml.pivotTable+xml"/>
  <Override PartName="/xl/pivotTables/pivotTable15.xml" ContentType="application/vnd.openxmlformats-officedocument.spreadsheetml.pivotTable+xml"/>
  <Override PartName="/xl/tables/table2.xml" ContentType="application/vnd.openxmlformats-officedocument.spreadsheetml.table+xml"/>
  <Override PartName="/xl/pivotTables/pivotTable16.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hidePivotFieldList="1"/>
  <mc:AlternateContent xmlns:mc="http://schemas.openxmlformats.org/markup-compatibility/2006">
    <mc:Choice Requires="x15">
      <x15ac:absPath xmlns:x15ac="http://schemas.microsoft.com/office/spreadsheetml/2010/11/ac" url="G:\Mi unidad\INAI\02. PMO\05. Reporte Tercerización\"/>
    </mc:Choice>
  </mc:AlternateContent>
  <xr:revisionPtr revIDLastSave="0" documentId="13_ncr:1_{19040174-0E48-419C-8FD3-7DA3CADC2539}" xr6:coauthVersionLast="47" xr6:coauthVersionMax="47" xr10:uidLastSave="{00000000-0000-0000-0000-000000000000}"/>
  <bookViews>
    <workbookView xWindow="-108" yWindow="-108" windowWidth="23256" windowHeight="12456" tabRatio="912" xr2:uid="{00000000-000D-0000-FFFF-FFFF00000000}"/>
  </bookViews>
  <sheets>
    <sheet name="Imprimir" sheetId="10" r:id="rId1"/>
    <sheet name="Detalle" sheetId="9" r:id="rId2"/>
    <sheet name="HorasXPerfil" sheetId="15" r:id="rId3"/>
    <sheet name="Servicios" sheetId="3" r:id="rId4"/>
    <sheet name="HorasXárea" sheetId="12" r:id="rId5"/>
    <sheet name="Acumulado" sheetId="6" r:id="rId6"/>
    <sheet name="HRS 2021" sheetId="20" state="hidden" r:id="rId7"/>
    <sheet name="Facturación" sheetId="14" r:id="rId8"/>
    <sheet name="Presupuesto" sheetId="18" r:id="rId9"/>
    <sheet name="Costo por aplicativo" sheetId="23" r:id="rId10"/>
    <sheet name="REP_EJE_INAI_Portada" sheetId="16" r:id="rId11"/>
    <sheet name="REP_EJE_INAI" sheetId="17" r:id="rId12"/>
    <sheet name="Catalogos" sheetId="11" r:id="rId13"/>
    <sheet name="Datos Recursos" sheetId="22" r:id="rId14"/>
    <sheet name="Ampliación" sheetId="24" r:id="rId15"/>
    <sheet name="Bitacora" sheetId="26" r:id="rId16"/>
    <sheet name="Reg Asistencia" sheetId="19" state="hidden" r:id="rId17"/>
  </sheets>
  <externalReferences>
    <externalReference r:id="rId18"/>
    <externalReference r:id="rId19"/>
    <externalReference r:id="rId20"/>
  </externalReferences>
  <definedNames>
    <definedName name="_xlnm._FilterDatabase" localSheetId="1" hidden="1">Detalle!$A$2:$X$5095</definedName>
    <definedName name="_Toc421209522" localSheetId="11">REP_EJE_INAI!$A$53</definedName>
    <definedName name="_Toc516155782" localSheetId="11">REP_EJE_INAI!$A$133</definedName>
    <definedName name="_Toc5974739" localSheetId="11">REP_EJE_INAI!$A$22</definedName>
    <definedName name="_Toc5974740" localSheetId="11">REP_EJE_INAI!$A$35</definedName>
    <definedName name="_Toc7431053" localSheetId="11">REP_EJE_INAI!$A$15</definedName>
    <definedName name="_xlnm.Print_Area" localSheetId="14">Ampliación!$A$1:$G$23</definedName>
    <definedName name="_xlnm.Print_Area" localSheetId="8">Presupuesto!$A$2:$U$34</definedName>
    <definedName name="_xlnm.Print_Area" localSheetId="11">REP_EJE_INAI!$A$4:$E$168</definedName>
    <definedName name="_xlnm.Print_Area" localSheetId="10">REP_EJE_INAI_Portada!$A$4:$J$35</definedName>
    <definedName name="Estatus">[1]Catálogos!$C$2:$C$3</definedName>
    <definedName name="Servicio">[2]Catálogos!$B$2:$B$19</definedName>
    <definedName name="_xlnm.Print_Titles" localSheetId="0">Imprimir!$1:$10</definedName>
    <definedName name="_xlnm.Print_Titles" localSheetId="11">REP_EJE_INAI!$4:$12</definedName>
  </definedNames>
  <calcPr calcId="191029"/>
  <pivotCaches>
    <pivotCache cacheId="0" r:id="rId21"/>
    <pivotCache cacheId="26"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8" i="18" l="1"/>
  <c r="R29" i="18"/>
  <c r="R27" i="18"/>
  <c r="R26" i="18"/>
  <c r="R25" i="18"/>
  <c r="R23" i="18"/>
  <c r="Q22" i="18"/>
  <c r="Q21" i="18"/>
  <c r="Q20" i="18"/>
  <c r="Q19" i="18"/>
  <c r="Q18" i="18"/>
  <c r="Q17" i="18"/>
  <c r="Q16" i="18"/>
  <c r="Q12" i="18"/>
  <c r="Q31" i="18"/>
  <c r="Q30" i="18"/>
  <c r="Q29" i="18"/>
  <c r="Q28" i="18"/>
  <c r="Q26" i="18"/>
  <c r="Q25" i="18"/>
  <c r="Q23" i="18"/>
  <c r="U3481" i="9"/>
  <c r="V3481" i="9" s="1"/>
  <c r="U3480" i="9"/>
  <c r="V3480" i="9" s="1"/>
  <c r="U3479" i="9"/>
  <c r="V3479" i="9" s="1"/>
  <c r="U3478" i="9"/>
  <c r="V3478" i="9" s="1"/>
  <c r="U3477" i="9"/>
  <c r="V3477" i="9" s="1"/>
  <c r="U3476" i="9"/>
  <c r="V3476" i="9" s="1"/>
  <c r="U3475" i="9"/>
  <c r="V3475" i="9" s="1"/>
  <c r="U3474" i="9"/>
  <c r="V3474" i="9" s="1"/>
  <c r="U3473" i="9"/>
  <c r="V3473" i="9" s="1"/>
  <c r="U3472" i="9"/>
  <c r="V3472" i="9" s="1"/>
  <c r="U3471" i="9"/>
  <c r="V3471" i="9" s="1"/>
  <c r="U3470" i="9"/>
  <c r="V3470" i="9" s="1"/>
  <c r="U3469" i="9"/>
  <c r="V3469" i="9" s="1"/>
  <c r="U3468" i="9"/>
  <c r="V3468" i="9" s="1"/>
  <c r="U3467" i="9"/>
  <c r="V3467" i="9" s="1"/>
  <c r="U3466" i="9"/>
  <c r="V3466" i="9" s="1"/>
  <c r="U3465" i="9"/>
  <c r="V3465" i="9" s="1"/>
  <c r="U3464" i="9"/>
  <c r="V3464" i="9" s="1"/>
  <c r="U3463" i="9"/>
  <c r="V3463" i="9" s="1"/>
  <c r="U3462" i="9"/>
  <c r="V3462" i="9" s="1"/>
  <c r="U3461" i="9"/>
  <c r="V3461" i="9" s="1"/>
  <c r="U3460" i="9"/>
  <c r="V3460" i="9" s="1"/>
  <c r="U3459" i="9"/>
  <c r="V3459" i="9" s="1"/>
  <c r="U3458" i="9"/>
  <c r="V3458" i="9" s="1"/>
  <c r="U3457" i="9"/>
  <c r="V3457" i="9" s="1"/>
  <c r="U3456" i="9"/>
  <c r="V3456" i="9" s="1"/>
  <c r="U3455" i="9"/>
  <c r="V3455" i="9" s="1"/>
  <c r="U3454" i="9"/>
  <c r="V3454" i="9" s="1"/>
  <c r="U3453" i="9"/>
  <c r="V3453" i="9" s="1"/>
  <c r="U3452" i="9"/>
  <c r="V3452" i="9" s="1"/>
  <c r="U3451" i="9"/>
  <c r="V3451" i="9" s="1"/>
  <c r="U3450" i="9"/>
  <c r="V3450" i="9" s="1"/>
  <c r="U3449" i="9"/>
  <c r="V3449" i="9" s="1"/>
  <c r="U3448" i="9"/>
  <c r="V3448" i="9" s="1"/>
  <c r="U3447" i="9"/>
  <c r="V3447" i="9" s="1"/>
  <c r="U3446" i="9"/>
  <c r="V3446" i="9" s="1"/>
  <c r="U3445" i="9"/>
  <c r="V3445" i="9" s="1"/>
  <c r="U3444" i="9"/>
  <c r="V3444" i="9" s="1"/>
  <c r="U3443" i="9"/>
  <c r="V3443" i="9" s="1"/>
  <c r="U3442" i="9"/>
  <c r="V3442" i="9" s="1"/>
  <c r="U3441" i="9"/>
  <c r="V3441" i="9" s="1"/>
  <c r="U3440" i="9"/>
  <c r="V3440" i="9" s="1"/>
  <c r="U3439" i="9"/>
  <c r="V3439" i="9" s="1"/>
  <c r="U3438" i="9"/>
  <c r="V3438" i="9" s="1"/>
  <c r="U3437" i="9"/>
  <c r="V3437" i="9" s="1"/>
  <c r="U3436" i="9"/>
  <c r="V3436" i="9" s="1"/>
  <c r="U3435" i="9"/>
  <c r="V3435" i="9" s="1"/>
  <c r="U3434" i="9"/>
  <c r="V3434" i="9" s="1"/>
  <c r="U3433" i="9"/>
  <c r="V3433" i="9" s="1"/>
  <c r="U3432" i="9"/>
  <c r="V3432" i="9" s="1"/>
  <c r="U3431" i="9"/>
  <c r="V3431" i="9" s="1"/>
  <c r="U3430" i="9"/>
  <c r="V3430" i="9" s="1"/>
  <c r="U3429" i="9"/>
  <c r="V3429" i="9" s="1"/>
  <c r="U3428" i="9"/>
  <c r="V3428" i="9" s="1"/>
  <c r="U3427" i="9"/>
  <c r="V3427" i="9" s="1"/>
  <c r="U3426" i="9"/>
  <c r="V3426" i="9" s="1"/>
  <c r="U3425" i="9"/>
  <c r="V3425" i="9" s="1"/>
  <c r="U3424" i="9"/>
  <c r="V3424" i="9" s="1"/>
  <c r="U3423" i="9"/>
  <c r="V3423" i="9" s="1"/>
  <c r="U3422" i="9"/>
  <c r="V3422" i="9" s="1"/>
  <c r="U3421" i="9"/>
  <c r="V3421" i="9" s="1"/>
  <c r="U3420" i="9"/>
  <c r="V3420" i="9" s="1"/>
  <c r="U3419" i="9"/>
  <c r="V3419" i="9" s="1"/>
  <c r="U3418" i="9"/>
  <c r="V3418" i="9" s="1"/>
  <c r="U3417" i="9"/>
  <c r="V3417" i="9" s="1"/>
  <c r="U3416" i="9"/>
  <c r="V3416" i="9" s="1"/>
  <c r="U3415" i="9"/>
  <c r="V3415" i="9" s="1"/>
  <c r="U3414" i="9"/>
  <c r="V3414" i="9" s="1"/>
  <c r="U3413" i="9"/>
  <c r="V3413" i="9" s="1"/>
  <c r="U3412" i="9"/>
  <c r="V3412" i="9" s="1"/>
  <c r="U3411" i="9"/>
  <c r="V3411" i="9" s="1"/>
  <c r="U3410" i="9"/>
  <c r="V3410" i="9" s="1"/>
  <c r="U3409" i="9"/>
  <c r="V3409" i="9" s="1"/>
  <c r="U3408" i="9"/>
  <c r="V3408" i="9" s="1"/>
  <c r="U3407" i="9"/>
  <c r="V3407" i="9" s="1"/>
  <c r="U3406" i="9"/>
  <c r="V3406" i="9" s="1"/>
  <c r="U3405" i="9"/>
  <c r="V3405" i="9" s="1"/>
  <c r="U3404" i="9"/>
  <c r="V3404" i="9" s="1"/>
  <c r="U3403" i="9"/>
  <c r="V3403" i="9" s="1"/>
  <c r="U3402" i="9"/>
  <c r="V3402" i="9" s="1"/>
  <c r="U3401" i="9"/>
  <c r="V3401" i="9" s="1"/>
  <c r="U3400" i="9"/>
  <c r="V3400" i="9" s="1"/>
  <c r="U3399" i="9"/>
  <c r="V3399" i="9" s="1"/>
  <c r="U3398" i="9"/>
  <c r="V3398" i="9" s="1"/>
  <c r="U3397" i="9"/>
  <c r="V3397" i="9" s="1"/>
  <c r="U3396" i="9"/>
  <c r="V3396" i="9" s="1"/>
  <c r="U3395" i="9"/>
  <c r="V3395" i="9" s="1"/>
  <c r="U3394" i="9"/>
  <c r="V3394" i="9" s="1"/>
  <c r="U3393" i="9"/>
  <c r="V3393" i="9" s="1"/>
  <c r="U3392" i="9"/>
  <c r="V3392" i="9" s="1"/>
  <c r="U3391" i="9"/>
  <c r="V3391" i="9" s="1"/>
  <c r="U3390" i="9"/>
  <c r="V3390" i="9" s="1"/>
  <c r="U3389" i="9"/>
  <c r="V3389" i="9" s="1"/>
  <c r="U3388" i="9"/>
  <c r="V3388" i="9" s="1"/>
  <c r="U3387" i="9"/>
  <c r="V3387" i="9" s="1"/>
  <c r="U3386" i="9"/>
  <c r="V3386" i="9" s="1"/>
  <c r="U3385" i="9"/>
  <c r="V3385" i="9" s="1"/>
  <c r="U3384" i="9"/>
  <c r="V3384" i="9" s="1"/>
  <c r="U3383" i="9"/>
  <c r="V3383" i="9" s="1"/>
  <c r="U3382" i="9"/>
  <c r="V3382" i="9" s="1"/>
  <c r="U3381" i="9"/>
  <c r="V3381" i="9" s="1"/>
  <c r="U3380" i="9"/>
  <c r="V3380" i="9" s="1"/>
  <c r="U3379" i="9"/>
  <c r="V3379" i="9" s="1"/>
  <c r="U3378" i="9"/>
  <c r="V3378" i="9" s="1"/>
  <c r="U3377" i="9"/>
  <c r="V3377" i="9" s="1"/>
  <c r="U3376" i="9"/>
  <c r="V3376" i="9" s="1"/>
  <c r="U3375" i="9"/>
  <c r="V3375" i="9" s="1"/>
  <c r="U3374" i="9"/>
  <c r="V3374" i="9" s="1"/>
  <c r="U3373" i="9"/>
  <c r="V3373" i="9" s="1"/>
  <c r="U3372" i="9"/>
  <c r="V3372" i="9" s="1"/>
  <c r="U3371" i="9"/>
  <c r="V3371" i="9" s="1"/>
  <c r="U3370" i="9"/>
  <c r="V3370" i="9" s="1"/>
  <c r="U3369" i="9"/>
  <c r="V3369" i="9" s="1"/>
  <c r="U3368" i="9"/>
  <c r="V3368" i="9" s="1"/>
  <c r="U3367" i="9"/>
  <c r="V3367" i="9" s="1"/>
  <c r="U3366" i="9"/>
  <c r="V3366" i="9" s="1"/>
  <c r="U3365" i="9"/>
  <c r="V3365" i="9" s="1"/>
  <c r="U3364" i="9"/>
  <c r="V3364" i="9" s="1"/>
  <c r="U3363" i="9"/>
  <c r="V3363" i="9" s="1"/>
  <c r="U3362" i="9"/>
  <c r="V3362" i="9" s="1"/>
  <c r="U3361" i="9"/>
  <c r="V3361" i="9" s="1"/>
  <c r="U3360" i="9"/>
  <c r="V3360" i="9" s="1"/>
  <c r="U3359" i="9"/>
  <c r="V3359" i="9" s="1"/>
  <c r="U3358" i="9"/>
  <c r="V3358" i="9" s="1"/>
  <c r="U3357" i="9"/>
  <c r="V3357" i="9" s="1"/>
  <c r="U3356" i="9"/>
  <c r="V3356" i="9" s="1"/>
  <c r="U3355" i="9"/>
  <c r="V3355" i="9" s="1"/>
  <c r="U3354" i="9"/>
  <c r="V3354" i="9" s="1"/>
  <c r="U3353" i="9"/>
  <c r="V3353" i="9" s="1"/>
  <c r="U3352" i="9"/>
  <c r="V3352" i="9" s="1"/>
  <c r="U3351" i="9"/>
  <c r="V3351" i="9" s="1"/>
  <c r="U3350" i="9"/>
  <c r="V3350" i="9" s="1"/>
  <c r="U3349" i="9"/>
  <c r="V3349" i="9" s="1"/>
  <c r="U3348" i="9"/>
  <c r="V3348" i="9" s="1"/>
  <c r="U3347" i="9"/>
  <c r="V3347" i="9" s="1"/>
  <c r="U3346" i="9"/>
  <c r="V3346" i="9" s="1"/>
  <c r="U3345" i="9"/>
  <c r="V3345" i="9" s="1"/>
  <c r="U3344" i="9"/>
  <c r="V3344" i="9" s="1"/>
  <c r="U3343" i="9"/>
  <c r="V3343" i="9" s="1"/>
  <c r="U3342" i="9"/>
  <c r="V3342" i="9" s="1"/>
  <c r="U3341" i="9"/>
  <c r="V3341" i="9" s="1"/>
  <c r="U3340" i="9"/>
  <c r="V3340" i="9" s="1"/>
  <c r="U3339" i="9"/>
  <c r="V3339" i="9" s="1"/>
  <c r="U3338" i="9"/>
  <c r="V3338" i="9" s="1"/>
  <c r="U3337" i="9"/>
  <c r="V3337" i="9" s="1"/>
  <c r="U3336" i="9"/>
  <c r="V3336" i="9" s="1"/>
  <c r="U3335" i="9"/>
  <c r="V3335" i="9" s="1"/>
  <c r="U3334" i="9"/>
  <c r="V3334" i="9" s="1"/>
  <c r="U3333" i="9"/>
  <c r="V3333" i="9" s="1"/>
  <c r="U3332" i="9"/>
  <c r="V3332" i="9" s="1"/>
  <c r="U3331" i="9"/>
  <c r="V3331" i="9" s="1"/>
  <c r="U3330" i="9"/>
  <c r="V3330" i="9" s="1"/>
  <c r="U3329" i="9"/>
  <c r="V3329" i="9" s="1"/>
  <c r="U3328" i="9"/>
  <c r="V3328" i="9" s="1"/>
  <c r="U3327" i="9"/>
  <c r="V3327" i="9" s="1"/>
  <c r="U3326" i="9"/>
  <c r="V3326" i="9" s="1"/>
  <c r="U3325" i="9"/>
  <c r="V3325" i="9" s="1"/>
  <c r="U3324" i="9"/>
  <c r="V3324" i="9" s="1"/>
  <c r="U3323" i="9"/>
  <c r="V3323" i="9" s="1"/>
  <c r="U3322" i="9"/>
  <c r="V3322" i="9" s="1"/>
  <c r="U3321" i="9"/>
  <c r="V3321" i="9" s="1"/>
  <c r="U3320" i="9"/>
  <c r="V3320" i="9" s="1"/>
  <c r="U3319" i="9"/>
  <c r="V3319" i="9" s="1"/>
  <c r="U3318" i="9"/>
  <c r="V3318" i="9" s="1"/>
  <c r="U3317" i="9"/>
  <c r="V3317" i="9" s="1"/>
  <c r="U3316" i="9"/>
  <c r="V3316" i="9" s="1"/>
  <c r="U3315" i="9"/>
  <c r="V3315" i="9" s="1"/>
  <c r="U3314" i="9"/>
  <c r="V3314" i="9" s="1"/>
  <c r="U3313" i="9"/>
  <c r="V3313" i="9" s="1"/>
  <c r="U3312" i="9"/>
  <c r="V3312" i="9" s="1"/>
  <c r="U3311" i="9"/>
  <c r="V3311" i="9" s="1"/>
  <c r="U3310" i="9"/>
  <c r="V3310" i="9" s="1"/>
  <c r="U3309" i="9"/>
  <c r="V3309" i="9" s="1"/>
  <c r="U3308" i="9"/>
  <c r="V3308" i="9" s="1"/>
  <c r="U3307" i="9"/>
  <c r="V3307" i="9" s="1"/>
  <c r="U3306" i="9"/>
  <c r="V3306" i="9" s="1"/>
  <c r="U3305" i="9"/>
  <c r="V3305" i="9" s="1"/>
  <c r="U3304" i="9"/>
  <c r="V3304" i="9" s="1"/>
  <c r="U3303" i="9"/>
  <c r="V3303" i="9" s="1"/>
  <c r="U3302" i="9"/>
  <c r="V3302" i="9" s="1"/>
  <c r="U3301" i="9"/>
  <c r="V3301" i="9" s="1"/>
  <c r="U3300" i="9"/>
  <c r="V3300" i="9" s="1"/>
  <c r="U3299" i="9"/>
  <c r="V3299" i="9" s="1"/>
  <c r="U3298" i="9"/>
  <c r="V3298" i="9" s="1"/>
  <c r="U3297" i="9"/>
  <c r="V3297" i="9" s="1"/>
  <c r="U3296" i="9"/>
  <c r="V3296" i="9" s="1"/>
  <c r="U3295" i="9"/>
  <c r="V3295" i="9" s="1"/>
  <c r="U3294" i="9"/>
  <c r="V3294" i="9" s="1"/>
  <c r="U3293" i="9"/>
  <c r="V3293" i="9" s="1"/>
  <c r="U3292" i="9"/>
  <c r="V3292" i="9" s="1"/>
  <c r="U3291" i="9"/>
  <c r="V3291" i="9" s="1"/>
  <c r="U3290" i="9"/>
  <c r="V3290" i="9" s="1"/>
  <c r="U3289" i="9"/>
  <c r="V3289" i="9" s="1"/>
  <c r="U3288" i="9"/>
  <c r="V3288" i="9" s="1"/>
  <c r="U3287" i="9"/>
  <c r="V3287" i="9" s="1"/>
  <c r="U3286" i="9"/>
  <c r="V3286" i="9" s="1"/>
  <c r="U3285" i="9"/>
  <c r="V3285" i="9" s="1"/>
  <c r="U3284" i="9"/>
  <c r="V3284" i="9" s="1"/>
  <c r="U3283" i="9"/>
  <c r="V3283" i="9" s="1"/>
  <c r="U3282" i="9"/>
  <c r="V3282" i="9" s="1"/>
  <c r="U3281" i="9"/>
  <c r="V3281" i="9" s="1"/>
  <c r="U3280" i="9"/>
  <c r="V3280" i="9" s="1"/>
  <c r="U3279" i="9"/>
  <c r="V3279" i="9" s="1"/>
  <c r="U3278" i="9"/>
  <c r="V3278" i="9" s="1"/>
  <c r="U3277" i="9"/>
  <c r="V3277" i="9" s="1"/>
  <c r="U3276" i="9"/>
  <c r="V3276" i="9" s="1"/>
  <c r="U3275" i="9"/>
  <c r="V3275" i="9" s="1"/>
  <c r="U3274" i="9"/>
  <c r="V3274" i="9" s="1"/>
  <c r="U3273" i="9"/>
  <c r="V3273" i="9" s="1"/>
  <c r="U3272" i="9"/>
  <c r="V3272" i="9" s="1"/>
  <c r="U3271" i="9"/>
  <c r="V3271" i="9" s="1"/>
  <c r="U3270" i="9"/>
  <c r="V3270" i="9" s="1"/>
  <c r="U3269" i="9"/>
  <c r="V3269" i="9" s="1"/>
  <c r="U3268" i="9"/>
  <c r="V3268" i="9" s="1"/>
  <c r="U3267" i="9"/>
  <c r="V3267" i="9" s="1"/>
  <c r="U3266" i="9"/>
  <c r="V3266" i="9" s="1"/>
  <c r="U3265" i="9"/>
  <c r="V3265" i="9" s="1"/>
  <c r="U3264" i="9"/>
  <c r="V3264" i="9" s="1"/>
  <c r="U3263" i="9"/>
  <c r="V3263" i="9" s="1"/>
  <c r="U3262" i="9"/>
  <c r="V3262" i="9" s="1"/>
  <c r="U3261" i="9"/>
  <c r="V3261" i="9" s="1"/>
  <c r="U3260" i="9"/>
  <c r="V3260" i="9" s="1"/>
  <c r="U3259" i="9"/>
  <c r="V3259" i="9" s="1"/>
  <c r="U3258" i="9"/>
  <c r="V3258" i="9" s="1"/>
  <c r="U3257" i="9"/>
  <c r="V3257" i="9" s="1"/>
  <c r="U3256" i="9"/>
  <c r="V3256" i="9" s="1"/>
  <c r="U3255" i="9"/>
  <c r="V3255" i="9" s="1"/>
  <c r="U3254" i="9"/>
  <c r="V3254" i="9" s="1"/>
  <c r="U3253" i="9"/>
  <c r="V3253" i="9" s="1"/>
  <c r="U3252" i="9"/>
  <c r="V3252" i="9" s="1"/>
  <c r="U3251" i="9"/>
  <c r="V3251" i="9" s="1"/>
  <c r="U3250" i="9"/>
  <c r="V3250" i="9" s="1"/>
  <c r="U3249" i="9"/>
  <c r="V3249" i="9" s="1"/>
  <c r="U3248" i="9"/>
  <c r="V3248" i="9" s="1"/>
  <c r="U3247" i="9"/>
  <c r="V3247" i="9" s="1"/>
  <c r="U3246" i="9"/>
  <c r="V3246" i="9" s="1"/>
  <c r="U3245" i="9"/>
  <c r="V3245" i="9" s="1"/>
  <c r="U3244" i="9"/>
  <c r="V3244" i="9" s="1"/>
  <c r="U3243" i="9"/>
  <c r="V3243" i="9" s="1"/>
  <c r="U3242" i="9"/>
  <c r="V3242" i="9" s="1"/>
  <c r="U3241" i="9"/>
  <c r="V3241" i="9" s="1"/>
  <c r="U3240" i="9"/>
  <c r="V3240" i="9" s="1"/>
  <c r="U3239" i="9"/>
  <c r="V3239" i="9" s="1"/>
  <c r="U3238" i="9"/>
  <c r="V3238" i="9" s="1"/>
  <c r="U3237" i="9"/>
  <c r="V3237" i="9" s="1"/>
  <c r="U3236" i="9"/>
  <c r="V3236" i="9" s="1"/>
  <c r="U3235" i="9"/>
  <c r="V3235" i="9" s="1"/>
  <c r="U3234" i="9"/>
  <c r="V3234" i="9" s="1"/>
  <c r="U3233" i="9"/>
  <c r="V3233" i="9" s="1"/>
  <c r="U3232" i="9"/>
  <c r="V3232" i="9" s="1"/>
  <c r="U3231" i="9"/>
  <c r="V3231" i="9" s="1"/>
  <c r="U3230" i="9"/>
  <c r="V3230" i="9" s="1"/>
  <c r="U3229" i="9"/>
  <c r="V3229" i="9" s="1"/>
  <c r="U3228" i="9"/>
  <c r="V3228" i="9" s="1"/>
  <c r="U3227" i="9"/>
  <c r="V3227" i="9" s="1"/>
  <c r="U3226" i="9"/>
  <c r="V3226" i="9" s="1"/>
  <c r="U3225" i="9"/>
  <c r="V3225" i="9" s="1"/>
  <c r="U3224" i="9"/>
  <c r="V3224" i="9" s="1"/>
  <c r="U3223" i="9"/>
  <c r="V3223" i="9" s="1"/>
  <c r="U3222" i="9"/>
  <c r="V3222" i="9" s="1"/>
  <c r="U3221" i="9"/>
  <c r="V3221" i="9" s="1"/>
  <c r="U3220" i="9"/>
  <c r="V3220" i="9" s="1"/>
  <c r="U3219" i="9"/>
  <c r="V3219" i="9" s="1"/>
  <c r="U3218" i="9"/>
  <c r="V3218" i="9" s="1"/>
  <c r="U3217" i="9"/>
  <c r="V3217" i="9" s="1"/>
  <c r="U3216" i="9"/>
  <c r="V3216" i="9" s="1"/>
  <c r="U3215" i="9"/>
  <c r="V3215" i="9" s="1"/>
  <c r="U3214" i="9"/>
  <c r="V3214" i="9" s="1"/>
  <c r="U3213" i="9"/>
  <c r="V3213" i="9" s="1"/>
  <c r="U3212" i="9"/>
  <c r="V3212" i="9" s="1"/>
  <c r="U3211" i="9"/>
  <c r="V3211" i="9" s="1"/>
  <c r="U3210" i="9"/>
  <c r="V3210" i="9" s="1"/>
  <c r="U3209" i="9"/>
  <c r="V3209" i="9" s="1"/>
  <c r="U3208" i="9"/>
  <c r="V3208" i="9" s="1"/>
  <c r="U3207" i="9"/>
  <c r="V3207" i="9" s="1"/>
  <c r="U3206" i="9"/>
  <c r="V3206" i="9" s="1"/>
  <c r="U3205" i="9"/>
  <c r="V3205" i="9" s="1"/>
  <c r="U3204" i="9"/>
  <c r="V3204" i="9" s="1"/>
  <c r="U3203" i="9"/>
  <c r="V3203" i="9" s="1"/>
  <c r="U3202" i="9"/>
  <c r="V3202" i="9" s="1"/>
  <c r="U3201" i="9"/>
  <c r="V3201" i="9" s="1"/>
  <c r="U3200" i="9"/>
  <c r="V3200" i="9" s="1"/>
  <c r="U3199" i="9"/>
  <c r="V3199" i="9" s="1"/>
  <c r="U3198" i="9"/>
  <c r="V3198" i="9" s="1"/>
  <c r="U3197" i="9"/>
  <c r="V3197" i="9" s="1"/>
  <c r="U3196" i="9"/>
  <c r="V3196" i="9" s="1"/>
  <c r="U3195" i="9"/>
  <c r="V3195" i="9" s="1"/>
  <c r="U3194" i="9"/>
  <c r="V3194" i="9" s="1"/>
  <c r="U3193" i="9"/>
  <c r="V3193" i="9" s="1"/>
  <c r="U3192" i="9"/>
  <c r="V3192" i="9" s="1"/>
  <c r="U3191" i="9"/>
  <c r="V3191" i="9" s="1"/>
  <c r="U3190" i="9"/>
  <c r="V3190" i="9" s="1"/>
  <c r="U3189" i="9"/>
  <c r="V3189" i="9" s="1"/>
  <c r="U3188" i="9"/>
  <c r="V3188" i="9" s="1"/>
  <c r="U3187" i="9"/>
  <c r="V3187" i="9" s="1"/>
  <c r="U3186" i="9"/>
  <c r="V3186" i="9" s="1"/>
  <c r="U3185" i="9"/>
  <c r="V3185" i="9" s="1"/>
  <c r="U3184" i="9"/>
  <c r="V3184" i="9" s="1"/>
  <c r="U3183" i="9"/>
  <c r="V3183" i="9" s="1"/>
  <c r="U3182" i="9"/>
  <c r="V3182" i="9" s="1"/>
  <c r="U3181" i="9"/>
  <c r="V3181" i="9" s="1"/>
  <c r="U3180" i="9"/>
  <c r="V3180" i="9" s="1"/>
  <c r="U3179" i="9"/>
  <c r="V3179" i="9" s="1"/>
  <c r="U3178" i="9"/>
  <c r="V3178" i="9" s="1"/>
  <c r="U3177" i="9"/>
  <c r="V3177" i="9" s="1"/>
  <c r="U3176" i="9"/>
  <c r="V3176" i="9" s="1"/>
  <c r="U3175" i="9"/>
  <c r="V3175" i="9" s="1"/>
  <c r="U3174" i="9"/>
  <c r="V3174" i="9" s="1"/>
  <c r="U3173" i="9"/>
  <c r="V3173" i="9" s="1"/>
  <c r="U3172" i="9"/>
  <c r="V3172" i="9" s="1"/>
  <c r="U3171" i="9"/>
  <c r="V3171" i="9" s="1"/>
  <c r="U3170" i="9"/>
  <c r="V3170" i="9" s="1"/>
  <c r="U3169" i="9"/>
  <c r="V3169" i="9" s="1"/>
  <c r="U3168" i="9"/>
  <c r="V3168" i="9" s="1"/>
  <c r="U3167" i="9"/>
  <c r="V3167" i="9" s="1"/>
  <c r="U3166" i="9"/>
  <c r="V3166" i="9" s="1"/>
  <c r="U3165" i="9"/>
  <c r="V3165" i="9" s="1"/>
  <c r="U3164" i="9"/>
  <c r="V3164" i="9" s="1"/>
  <c r="U3163" i="9"/>
  <c r="V3163" i="9" s="1"/>
  <c r="U3162" i="9"/>
  <c r="V3162" i="9" s="1"/>
  <c r="U3161" i="9"/>
  <c r="V3161" i="9" s="1"/>
  <c r="U3160" i="9"/>
  <c r="V3160" i="9" s="1"/>
  <c r="U3159" i="9"/>
  <c r="V3159" i="9" s="1"/>
  <c r="U3158" i="9"/>
  <c r="V3158" i="9" s="1"/>
  <c r="U3157" i="9"/>
  <c r="V3157" i="9" s="1"/>
  <c r="U3156" i="9"/>
  <c r="V3156" i="9" s="1"/>
  <c r="U3155" i="9"/>
  <c r="V3155" i="9" s="1"/>
  <c r="U3154" i="9"/>
  <c r="V3154" i="9" s="1"/>
  <c r="U3153" i="9"/>
  <c r="V3153" i="9" s="1"/>
  <c r="U3152" i="9"/>
  <c r="V3152" i="9" s="1"/>
  <c r="U3151" i="9"/>
  <c r="V3151" i="9" s="1"/>
  <c r="U3150" i="9"/>
  <c r="V3150" i="9" s="1"/>
  <c r="U3149" i="9"/>
  <c r="V3149" i="9" s="1"/>
  <c r="U3148" i="9"/>
  <c r="V3148" i="9" s="1"/>
  <c r="U3147" i="9"/>
  <c r="V3147" i="9" s="1"/>
  <c r="U3146" i="9" l="1"/>
  <c r="V3146" i="9" s="1"/>
  <c r="U3145" i="9"/>
  <c r="V3145" i="9" s="1"/>
  <c r="U3144" i="9"/>
  <c r="V3144" i="9" s="1"/>
  <c r="U3143" i="9"/>
  <c r="V3143" i="9" s="1"/>
  <c r="U3142" i="9"/>
  <c r="V3142" i="9" s="1"/>
  <c r="U3141" i="9"/>
  <c r="V3141" i="9" s="1"/>
  <c r="U3140" i="9"/>
  <c r="V3140" i="9" s="1"/>
  <c r="U3139" i="9"/>
  <c r="V3139" i="9" s="1"/>
  <c r="U3138" i="9"/>
  <c r="V3138" i="9" s="1"/>
  <c r="U3137" i="9"/>
  <c r="V3137" i="9" s="1"/>
  <c r="U3136" i="9"/>
  <c r="V3136" i="9" s="1"/>
  <c r="U3135" i="9"/>
  <c r="V3135" i="9" s="1"/>
  <c r="U3134" i="9"/>
  <c r="V3134" i="9" s="1"/>
  <c r="U3133" i="9"/>
  <c r="V3133" i="9" s="1"/>
  <c r="U3132" i="9"/>
  <c r="V3132" i="9" s="1"/>
  <c r="U3131" i="9"/>
  <c r="V3131" i="9" s="1"/>
  <c r="U3130" i="9"/>
  <c r="V3130" i="9" s="1"/>
  <c r="U3129" i="9"/>
  <c r="V3129" i="9" s="1"/>
  <c r="U3128" i="9"/>
  <c r="V3128" i="9" s="1"/>
  <c r="U3127" i="9"/>
  <c r="V3127" i="9" s="1"/>
  <c r="U3126" i="9"/>
  <c r="V3126" i="9" s="1"/>
  <c r="U3125" i="9"/>
  <c r="V3125" i="9" s="1"/>
  <c r="U3124" i="9"/>
  <c r="V3124" i="9" s="1"/>
  <c r="U3123" i="9"/>
  <c r="V3123" i="9" s="1"/>
  <c r="U3122" i="9"/>
  <c r="V3122" i="9" s="1"/>
  <c r="U3121" i="9"/>
  <c r="V3121" i="9" s="1"/>
  <c r="U3120" i="9"/>
  <c r="V3120" i="9" s="1"/>
  <c r="U3119" i="9"/>
  <c r="V3119" i="9" s="1"/>
  <c r="U3118" i="9"/>
  <c r="V3118" i="9" s="1"/>
  <c r="U3117" i="9"/>
  <c r="V3117" i="9" s="1"/>
  <c r="U3116" i="9"/>
  <c r="V3116" i="9" s="1"/>
  <c r="U3115" i="9"/>
  <c r="V3115" i="9" s="1"/>
  <c r="U3114" i="9"/>
  <c r="V3114" i="9" s="1"/>
  <c r="U3113" i="9"/>
  <c r="V3113" i="9" s="1"/>
  <c r="U3112" i="9"/>
  <c r="V3112" i="9" s="1"/>
  <c r="U3111" i="9"/>
  <c r="V3111" i="9" s="1"/>
  <c r="U3110" i="9"/>
  <c r="V3110" i="9" s="1"/>
  <c r="U3109" i="9"/>
  <c r="V3109" i="9" s="1"/>
  <c r="U3108" i="9"/>
  <c r="V3108" i="9" s="1"/>
  <c r="U3107" i="9"/>
  <c r="V3107" i="9" s="1"/>
  <c r="U3106" i="9"/>
  <c r="V3106" i="9" s="1"/>
  <c r="U3105" i="9"/>
  <c r="V3105" i="9" s="1"/>
  <c r="U3104" i="9"/>
  <c r="V3104" i="9" s="1"/>
  <c r="U3103" i="9"/>
  <c r="V3103" i="9" s="1"/>
  <c r="U3102" i="9"/>
  <c r="V3102" i="9" s="1"/>
  <c r="U3101" i="9"/>
  <c r="V3101" i="9" s="1"/>
  <c r="U3100" i="9"/>
  <c r="V3100" i="9" s="1"/>
  <c r="U3099" i="9"/>
  <c r="V3099" i="9" s="1"/>
  <c r="U3098" i="9"/>
  <c r="V3098" i="9" s="1"/>
  <c r="U3097" i="9"/>
  <c r="V3097" i="9" s="1"/>
  <c r="U3096" i="9"/>
  <c r="V3096" i="9" s="1"/>
  <c r="U3095" i="9"/>
  <c r="V3095" i="9" s="1"/>
  <c r="U3094" i="9"/>
  <c r="V3094" i="9" s="1"/>
  <c r="U3093" i="9"/>
  <c r="V3093" i="9" s="1"/>
  <c r="U3092" i="9"/>
  <c r="V3092" i="9" s="1"/>
  <c r="U3091" i="9"/>
  <c r="V3091" i="9" s="1"/>
  <c r="U3090" i="9"/>
  <c r="V3090" i="9" s="1"/>
  <c r="U3089" i="9"/>
  <c r="V3089" i="9" s="1"/>
  <c r="U3088" i="9"/>
  <c r="V3088" i="9" s="1"/>
  <c r="U3087" i="9"/>
  <c r="V3087" i="9" s="1"/>
  <c r="U3086" i="9"/>
  <c r="V3086" i="9" s="1"/>
  <c r="U3085" i="9"/>
  <c r="V3085" i="9" s="1"/>
  <c r="U3084" i="9"/>
  <c r="V3084" i="9" s="1"/>
  <c r="U3083" i="9"/>
  <c r="V3083" i="9" s="1"/>
  <c r="U3082" i="9"/>
  <c r="V3082" i="9" s="1"/>
  <c r="U3081" i="9"/>
  <c r="V3081" i="9" s="1"/>
  <c r="U3080" i="9"/>
  <c r="V3080" i="9" s="1"/>
  <c r="U3079" i="9"/>
  <c r="V3079" i="9" s="1"/>
  <c r="U3078" i="9"/>
  <c r="V3078" i="9" s="1"/>
  <c r="U3077" i="9"/>
  <c r="V3077" i="9" s="1"/>
  <c r="U3076" i="9"/>
  <c r="V3076" i="9" s="1"/>
  <c r="U3075" i="9"/>
  <c r="V3075" i="9" s="1"/>
  <c r="U3074" i="9"/>
  <c r="V3074" i="9" s="1"/>
  <c r="U3073" i="9"/>
  <c r="V3073" i="9" s="1"/>
  <c r="U3072" i="9"/>
  <c r="V3072" i="9" s="1"/>
  <c r="U3071" i="9"/>
  <c r="V3071" i="9" s="1"/>
  <c r="U3070" i="9"/>
  <c r="V3070" i="9" s="1"/>
  <c r="U3069" i="9"/>
  <c r="V3069" i="9" s="1"/>
  <c r="U3068" i="9"/>
  <c r="V3068" i="9" s="1"/>
  <c r="U3067" i="9"/>
  <c r="V3067" i="9" s="1"/>
  <c r="U3066" i="9"/>
  <c r="V3066" i="9" s="1"/>
  <c r="U3065" i="9"/>
  <c r="V3065" i="9" s="1"/>
  <c r="U3064" i="9"/>
  <c r="V3064" i="9" s="1"/>
  <c r="U3063" i="9"/>
  <c r="V3063" i="9" s="1"/>
  <c r="U3062" i="9"/>
  <c r="V3062" i="9" s="1"/>
  <c r="U3061" i="9"/>
  <c r="V3061" i="9" s="1"/>
  <c r="U3060" i="9"/>
  <c r="V3060" i="9" s="1"/>
  <c r="U3059" i="9"/>
  <c r="V3059" i="9" s="1"/>
  <c r="U3058" i="9"/>
  <c r="V3058" i="9" s="1"/>
  <c r="U3057" i="9"/>
  <c r="V3057" i="9" s="1"/>
  <c r="U3056" i="9"/>
  <c r="V3056" i="9" s="1"/>
  <c r="U3055" i="9"/>
  <c r="V3055" i="9" s="1"/>
  <c r="U3054" i="9"/>
  <c r="V3054" i="9" s="1"/>
  <c r="U3053" i="9"/>
  <c r="V3053" i="9" s="1"/>
  <c r="Z3052" i="9"/>
  <c r="Y3052" i="9"/>
  <c r="X3052" i="9"/>
  <c r="U3052" i="9"/>
  <c r="V3052" i="9" s="1"/>
  <c r="U3051" i="9"/>
  <c r="V3051" i="9" s="1"/>
  <c r="U3050" i="9"/>
  <c r="V3050" i="9" s="1"/>
  <c r="U3049" i="9"/>
  <c r="V3049" i="9" s="1"/>
  <c r="U3048" i="9"/>
  <c r="V3048" i="9" s="1"/>
  <c r="U3047" i="9"/>
  <c r="V3047" i="9" s="1"/>
  <c r="U3046" i="9"/>
  <c r="V3046" i="9" s="1"/>
  <c r="U3045" i="9"/>
  <c r="V3045" i="9" s="1"/>
  <c r="U3044" i="9"/>
  <c r="V3044" i="9" s="1"/>
  <c r="U3043" i="9"/>
  <c r="V3043" i="9" s="1"/>
  <c r="U3042" i="9"/>
  <c r="V3042" i="9" s="1"/>
  <c r="U3041" i="9"/>
  <c r="V3041" i="9" s="1"/>
  <c r="U3040" i="9"/>
  <c r="V3040" i="9" s="1"/>
  <c r="U3039" i="9"/>
  <c r="V3039" i="9" s="1"/>
  <c r="U3038" i="9"/>
  <c r="V3038" i="9" s="1"/>
  <c r="U3037" i="9"/>
  <c r="V3037" i="9" s="1"/>
  <c r="U3036" i="9"/>
  <c r="V3036" i="9" s="1"/>
  <c r="U3035" i="9"/>
  <c r="V3035" i="9" s="1"/>
  <c r="U3034" i="9"/>
  <c r="V3034" i="9" s="1"/>
  <c r="U3033" i="9"/>
  <c r="V3033" i="9" s="1"/>
  <c r="Z3032" i="9"/>
  <c r="Y3032" i="9"/>
  <c r="X3032" i="9"/>
  <c r="U3032" i="9"/>
  <c r="V3032" i="9" s="1"/>
  <c r="Z3031" i="9"/>
  <c r="Y3031" i="9"/>
  <c r="X3031" i="9"/>
  <c r="U3031" i="9"/>
  <c r="V3031" i="9" s="1"/>
  <c r="Z3030" i="9"/>
  <c r="Y3030" i="9"/>
  <c r="X3030" i="9"/>
  <c r="U3030" i="9"/>
  <c r="V3030" i="9" s="1"/>
  <c r="Z3029" i="9"/>
  <c r="Y3029" i="9"/>
  <c r="X3029" i="9"/>
  <c r="U3029" i="9"/>
  <c r="V3029" i="9" s="1"/>
  <c r="Z3028" i="9"/>
  <c r="Y3028" i="9"/>
  <c r="X3028" i="9"/>
  <c r="U3028" i="9"/>
  <c r="V3028" i="9" s="1"/>
  <c r="Z3027" i="9"/>
  <c r="Y3027" i="9"/>
  <c r="X3027" i="9"/>
  <c r="U3027" i="9"/>
  <c r="V3027" i="9" s="1"/>
  <c r="Z3026" i="9"/>
  <c r="Y3026" i="9"/>
  <c r="X3026" i="9"/>
  <c r="U3026" i="9"/>
  <c r="V3026" i="9" s="1"/>
  <c r="Z3025" i="9"/>
  <c r="Y3025" i="9"/>
  <c r="X3025" i="9"/>
  <c r="U3025" i="9"/>
  <c r="V3025" i="9" s="1"/>
  <c r="Z3024" i="9"/>
  <c r="Y3024" i="9"/>
  <c r="X3024" i="9"/>
  <c r="U3024" i="9"/>
  <c r="V3024" i="9" s="1"/>
  <c r="Z3023" i="9"/>
  <c r="Y3023" i="9"/>
  <c r="X3023" i="9"/>
  <c r="U3023" i="9"/>
  <c r="V3023" i="9" s="1"/>
  <c r="Z3022" i="9"/>
  <c r="Y3022" i="9"/>
  <c r="X3022" i="9"/>
  <c r="U3022" i="9"/>
  <c r="V3022" i="9" s="1"/>
  <c r="Z3021" i="9"/>
  <c r="Y3021" i="9"/>
  <c r="X3021" i="9"/>
  <c r="U3021" i="9"/>
  <c r="V3021" i="9" s="1"/>
  <c r="Z3020" i="9"/>
  <c r="Y3020" i="9"/>
  <c r="X3020" i="9"/>
  <c r="U3020" i="9"/>
  <c r="V3020" i="9" s="1"/>
  <c r="Z3019" i="9"/>
  <c r="Y3019" i="9"/>
  <c r="X3019" i="9"/>
  <c r="U3019" i="9"/>
  <c r="V3019" i="9" s="1"/>
  <c r="Z3018" i="9"/>
  <c r="Y3018" i="9"/>
  <c r="X3018" i="9"/>
  <c r="U3018" i="9"/>
  <c r="V3018" i="9" s="1"/>
  <c r="Z3017" i="9"/>
  <c r="Y3017" i="9"/>
  <c r="X3017" i="9"/>
  <c r="U3017" i="9"/>
  <c r="V3017" i="9" s="1"/>
  <c r="Z3016" i="9"/>
  <c r="Y3016" i="9"/>
  <c r="X3016" i="9"/>
  <c r="U3016" i="9"/>
  <c r="V3016" i="9" s="1"/>
  <c r="Z3015" i="9"/>
  <c r="Y3015" i="9"/>
  <c r="X3015" i="9"/>
  <c r="U3015" i="9"/>
  <c r="V3015" i="9" s="1"/>
  <c r="Z3014" i="9"/>
  <c r="Y3014" i="9"/>
  <c r="X3014" i="9"/>
  <c r="U3014" i="9"/>
  <c r="V3014" i="9" s="1"/>
  <c r="Z3013" i="9"/>
  <c r="Y3013" i="9"/>
  <c r="X3013" i="9"/>
  <c r="U3013" i="9"/>
  <c r="V3013" i="9" s="1"/>
  <c r="Z3012" i="9"/>
  <c r="Y3012" i="9"/>
  <c r="X3012" i="9"/>
  <c r="U3012" i="9"/>
  <c r="V3012" i="9" s="1"/>
  <c r="Z1317" i="9" l="1"/>
  <c r="Y1317" i="9"/>
  <c r="X1317" i="9"/>
  <c r="U1317" i="9"/>
  <c r="V1317" i="9" s="1"/>
  <c r="Z1314" i="9"/>
  <c r="Y1314" i="9"/>
  <c r="X1314" i="9"/>
  <c r="U1314" i="9"/>
  <c r="V1314" i="9" s="1"/>
  <c r="Z1313" i="9"/>
  <c r="Y1313" i="9"/>
  <c r="X1313" i="9"/>
  <c r="U1313" i="9"/>
  <c r="V1313" i="9" s="1"/>
  <c r="Z1311" i="9"/>
  <c r="Y1311" i="9"/>
  <c r="X1311" i="9"/>
  <c r="U1311" i="9"/>
  <c r="V1311" i="9" s="1"/>
  <c r="Z1310" i="9"/>
  <c r="Y1310" i="9"/>
  <c r="X1310" i="9"/>
  <c r="U1310" i="9"/>
  <c r="V1310" i="9" s="1"/>
  <c r="Z1308" i="9"/>
  <c r="Y1308" i="9"/>
  <c r="X1308" i="9"/>
  <c r="U1308" i="9"/>
  <c r="V1308" i="9" s="1"/>
  <c r="Z1307" i="9"/>
  <c r="Y1307" i="9"/>
  <c r="X1307" i="9"/>
  <c r="U1307" i="9"/>
  <c r="V1307" i="9" s="1"/>
  <c r="Z1305" i="9"/>
  <c r="Y1305" i="9"/>
  <c r="X1305" i="9"/>
  <c r="U1305" i="9"/>
  <c r="V1305" i="9" s="1"/>
  <c r="Z1304" i="9"/>
  <c r="Y1304" i="9"/>
  <c r="X1304" i="9"/>
  <c r="U1304" i="9"/>
  <c r="V1304" i="9" s="1"/>
  <c r="Z1303" i="9"/>
  <c r="Y1303" i="9"/>
  <c r="X1303" i="9"/>
  <c r="U1303" i="9"/>
  <c r="V1303" i="9" s="1"/>
  <c r="Z1302" i="9"/>
  <c r="Y1302" i="9"/>
  <c r="X1302" i="9"/>
  <c r="U1302" i="9"/>
  <c r="V1302" i="9" s="1"/>
  <c r="U1299" i="9"/>
  <c r="V1299" i="9" s="1"/>
  <c r="X1299" i="9"/>
  <c r="Y1299" i="9"/>
  <c r="Z1299" i="9"/>
  <c r="U1300" i="9"/>
  <c r="V1300" i="9" s="1"/>
  <c r="X1300" i="9"/>
  <c r="Y1300" i="9"/>
  <c r="Z1300" i="9"/>
  <c r="Z1298" i="9"/>
  <c r="Y1298" i="9"/>
  <c r="X1298" i="9"/>
  <c r="U1298" i="9"/>
  <c r="V1298" i="9" s="1"/>
  <c r="Z1289" i="9"/>
  <c r="Y1289" i="9"/>
  <c r="X1289" i="9"/>
  <c r="U1289" i="9"/>
  <c r="V1289" i="9" s="1"/>
  <c r="Z1288" i="9"/>
  <c r="Y1288" i="9"/>
  <c r="X1288" i="9"/>
  <c r="U1288" i="9"/>
  <c r="V1288" i="9" s="1"/>
  <c r="Z1287" i="9"/>
  <c r="Y1287" i="9"/>
  <c r="X1287" i="9"/>
  <c r="U1287" i="9"/>
  <c r="V1287" i="9" s="1"/>
  <c r="Z1286" i="9"/>
  <c r="Y1286" i="9"/>
  <c r="X1286" i="9"/>
  <c r="U1286" i="9"/>
  <c r="V1286" i="9" s="1"/>
  <c r="Z1284" i="9"/>
  <c r="Y1284" i="9"/>
  <c r="X1284" i="9"/>
  <c r="U1284" i="9"/>
  <c r="V1284" i="9" s="1"/>
  <c r="Z1272" i="9"/>
  <c r="Y1272" i="9"/>
  <c r="X1272" i="9"/>
  <c r="U1272" i="9"/>
  <c r="V1272" i="9" s="1"/>
  <c r="Z1266" i="9"/>
  <c r="Y1266" i="9"/>
  <c r="X1266" i="9"/>
  <c r="U1266" i="9"/>
  <c r="V1266" i="9" s="1"/>
  <c r="Z1121" i="9"/>
  <c r="Y1121" i="9"/>
  <c r="X1121" i="9"/>
  <c r="U1121" i="9"/>
  <c r="V1121" i="9" s="1"/>
  <c r="Z1120" i="9"/>
  <c r="Y1120" i="9"/>
  <c r="X1120" i="9"/>
  <c r="U1120" i="9"/>
  <c r="V1120" i="9" s="1"/>
  <c r="Z1118" i="9"/>
  <c r="Y1118" i="9"/>
  <c r="X1118" i="9"/>
  <c r="U1118" i="9"/>
  <c r="V1118" i="9" s="1"/>
  <c r="Z1117" i="9"/>
  <c r="Y1117" i="9"/>
  <c r="X1117" i="9"/>
  <c r="U1117" i="9"/>
  <c r="V1117" i="9" s="1"/>
  <c r="Z1115" i="9"/>
  <c r="Y1115" i="9"/>
  <c r="X1115" i="9"/>
  <c r="U1115" i="9"/>
  <c r="V1115" i="9" s="1"/>
  <c r="Z1114" i="9"/>
  <c r="Y1114" i="9"/>
  <c r="X1114" i="9"/>
  <c r="U1114" i="9"/>
  <c r="V1114" i="9" s="1"/>
  <c r="Z1112" i="9"/>
  <c r="Y1112" i="9"/>
  <c r="X1112" i="9"/>
  <c r="U1112" i="9"/>
  <c r="V1112" i="9" s="1"/>
  <c r="Z1111" i="9"/>
  <c r="Y1111" i="9"/>
  <c r="X1111" i="9"/>
  <c r="U1111" i="9"/>
  <c r="V1111" i="9" s="1"/>
  <c r="Z1064" i="9"/>
  <c r="Y1064" i="9"/>
  <c r="X1064" i="9"/>
  <c r="U1064" i="9"/>
  <c r="V1064" i="9" s="1"/>
  <c r="Z1063" i="9"/>
  <c r="Y1063" i="9"/>
  <c r="X1063" i="9"/>
  <c r="U1063" i="9"/>
  <c r="V1063" i="9" s="1"/>
  <c r="Z1062" i="9"/>
  <c r="Y1062" i="9"/>
  <c r="X1062" i="9"/>
  <c r="U1062" i="9"/>
  <c r="V1062" i="9" s="1"/>
  <c r="Z1061" i="9"/>
  <c r="Y1061" i="9"/>
  <c r="X1061" i="9"/>
  <c r="U1061" i="9"/>
  <c r="V1061" i="9" s="1"/>
  <c r="Z1059" i="9"/>
  <c r="Y1059" i="9"/>
  <c r="X1059" i="9"/>
  <c r="U1059" i="9"/>
  <c r="V1059" i="9" s="1"/>
  <c r="Z1058" i="9"/>
  <c r="Y1058" i="9"/>
  <c r="X1058" i="9"/>
  <c r="U1058" i="9"/>
  <c r="V1058" i="9" s="1"/>
  <c r="Z1057" i="9"/>
  <c r="Y1057" i="9"/>
  <c r="X1057" i="9"/>
  <c r="U1057" i="9"/>
  <c r="V1057" i="9" s="1"/>
  <c r="Z977" i="9"/>
  <c r="Y977" i="9"/>
  <c r="X977" i="9"/>
  <c r="U977" i="9"/>
  <c r="V977" i="9" s="1"/>
  <c r="Z844" i="9"/>
  <c r="Y844" i="9"/>
  <c r="X844" i="9"/>
  <c r="U844" i="9"/>
  <c r="V844" i="9" s="1"/>
  <c r="Z843" i="9"/>
  <c r="Y843" i="9"/>
  <c r="X843" i="9"/>
  <c r="U843" i="9"/>
  <c r="V843" i="9" s="1"/>
  <c r="Z842" i="9"/>
  <c r="Y842" i="9"/>
  <c r="X842" i="9"/>
  <c r="U842" i="9"/>
  <c r="V842" i="9" s="1"/>
  <c r="Z841" i="9"/>
  <c r="Y841" i="9"/>
  <c r="X841" i="9"/>
  <c r="U841" i="9"/>
  <c r="V841" i="9" s="1"/>
  <c r="Z839" i="9"/>
  <c r="Y839" i="9"/>
  <c r="X839" i="9"/>
  <c r="U839" i="9"/>
  <c r="V839" i="9" s="1"/>
  <c r="Z838" i="9"/>
  <c r="Y838" i="9"/>
  <c r="X838" i="9"/>
  <c r="U838" i="9"/>
  <c r="V838" i="9" s="1"/>
  <c r="Z772" i="9"/>
  <c r="Y772" i="9"/>
  <c r="X772" i="9"/>
  <c r="U772" i="9"/>
  <c r="V772" i="9" s="1"/>
  <c r="Z770" i="9"/>
  <c r="Y770" i="9"/>
  <c r="X770" i="9"/>
  <c r="U770" i="9"/>
  <c r="V770" i="9" s="1"/>
  <c r="Z768" i="9"/>
  <c r="Y768" i="9"/>
  <c r="X768" i="9"/>
  <c r="U768" i="9"/>
  <c r="V768" i="9" s="1"/>
  <c r="Z766" i="9"/>
  <c r="Y766" i="9"/>
  <c r="X766" i="9"/>
  <c r="U766" i="9"/>
  <c r="V766" i="9" s="1"/>
  <c r="Z755" i="9"/>
  <c r="Y755" i="9"/>
  <c r="X755" i="9"/>
  <c r="U755" i="9"/>
  <c r="V755" i="9" s="1"/>
  <c r="Z753" i="9"/>
  <c r="Y753" i="9"/>
  <c r="X753" i="9"/>
  <c r="U753" i="9"/>
  <c r="V753" i="9" s="1"/>
  <c r="Z751" i="9"/>
  <c r="Y751" i="9"/>
  <c r="X751" i="9"/>
  <c r="U751" i="9"/>
  <c r="V751" i="9" s="1"/>
  <c r="Z748" i="9"/>
  <c r="Y748" i="9"/>
  <c r="X748" i="9"/>
  <c r="U748" i="9"/>
  <c r="V748" i="9" s="1"/>
  <c r="Z746" i="9"/>
  <c r="Y746" i="9"/>
  <c r="X746" i="9"/>
  <c r="U746" i="9"/>
  <c r="V746" i="9" s="1"/>
  <c r="Z744" i="9"/>
  <c r="Y744" i="9"/>
  <c r="X744" i="9"/>
  <c r="U744" i="9"/>
  <c r="V744" i="9" s="1"/>
  <c r="Z742" i="9"/>
  <c r="Y742" i="9"/>
  <c r="X742" i="9"/>
  <c r="U742" i="9"/>
  <c r="V742" i="9" s="1"/>
  <c r="Z737" i="9"/>
  <c r="Y737" i="9"/>
  <c r="X737" i="9"/>
  <c r="U737" i="9"/>
  <c r="V737" i="9" s="1"/>
  <c r="Z736" i="9"/>
  <c r="Y736" i="9"/>
  <c r="X736" i="9"/>
  <c r="U736" i="9"/>
  <c r="V736" i="9" s="1"/>
  <c r="Z735" i="9"/>
  <c r="Y735" i="9"/>
  <c r="X735" i="9"/>
  <c r="U735" i="9"/>
  <c r="V735" i="9" s="1"/>
  <c r="Z734" i="9"/>
  <c r="Y734" i="9"/>
  <c r="X734" i="9"/>
  <c r="U734" i="9"/>
  <c r="V734" i="9" s="1"/>
  <c r="Z732" i="9"/>
  <c r="Y732" i="9"/>
  <c r="X732" i="9"/>
  <c r="U732" i="9"/>
  <c r="V732" i="9" s="1"/>
  <c r="Z731" i="9"/>
  <c r="Y731" i="9"/>
  <c r="X731" i="9"/>
  <c r="U731" i="9"/>
  <c r="V731" i="9" s="1"/>
  <c r="Z730" i="9"/>
  <c r="Y730" i="9"/>
  <c r="X730" i="9"/>
  <c r="U730" i="9"/>
  <c r="V730" i="9" s="1"/>
  <c r="Z729" i="9"/>
  <c r="Y729" i="9"/>
  <c r="X729" i="9"/>
  <c r="U729" i="9"/>
  <c r="V729" i="9" s="1"/>
  <c r="Z727" i="9"/>
  <c r="Y727" i="9"/>
  <c r="X727" i="9"/>
  <c r="U727" i="9"/>
  <c r="V727" i="9" s="1"/>
  <c r="Z726" i="9"/>
  <c r="Y726" i="9"/>
  <c r="X726" i="9"/>
  <c r="U726" i="9"/>
  <c r="V726" i="9" s="1"/>
  <c r="Z725" i="9"/>
  <c r="Y725" i="9"/>
  <c r="X725" i="9"/>
  <c r="U725" i="9"/>
  <c r="V725" i="9" s="1"/>
  <c r="Z724" i="9"/>
  <c r="Y724" i="9"/>
  <c r="X724" i="9"/>
  <c r="U724" i="9"/>
  <c r="V724" i="9" s="1"/>
  <c r="Z568" i="9"/>
  <c r="Y568" i="9"/>
  <c r="X568" i="9"/>
  <c r="U568" i="9"/>
  <c r="V568" i="9" s="1"/>
  <c r="Z567" i="9"/>
  <c r="Y567" i="9"/>
  <c r="X567" i="9"/>
  <c r="U567" i="9"/>
  <c r="V567" i="9" s="1"/>
  <c r="Z566" i="9"/>
  <c r="Y566" i="9"/>
  <c r="X566" i="9"/>
  <c r="U566" i="9"/>
  <c r="V566" i="9" s="1"/>
  <c r="Z565" i="9"/>
  <c r="Y565" i="9"/>
  <c r="X565" i="9"/>
  <c r="U565" i="9"/>
  <c r="V565" i="9" s="1"/>
  <c r="Z551" i="9"/>
  <c r="Y551" i="9"/>
  <c r="X551" i="9"/>
  <c r="U551" i="9"/>
  <c r="V551" i="9" s="1"/>
  <c r="Z550" i="9"/>
  <c r="Y550" i="9"/>
  <c r="X550" i="9"/>
  <c r="U550" i="9"/>
  <c r="V550" i="9" s="1"/>
  <c r="Z549" i="9"/>
  <c r="Y549" i="9"/>
  <c r="X549" i="9"/>
  <c r="U549" i="9"/>
  <c r="V549" i="9" s="1"/>
  <c r="Z547" i="9"/>
  <c r="Y547" i="9"/>
  <c r="X547" i="9"/>
  <c r="U547" i="9"/>
  <c r="V547" i="9" s="1"/>
  <c r="Z545" i="9"/>
  <c r="Y545" i="9"/>
  <c r="X545" i="9"/>
  <c r="U545" i="9"/>
  <c r="V545" i="9" s="1"/>
  <c r="Z543" i="9"/>
  <c r="Y543" i="9"/>
  <c r="X543" i="9"/>
  <c r="U543" i="9"/>
  <c r="V543" i="9" s="1"/>
  <c r="Z541" i="9"/>
  <c r="Y541" i="9"/>
  <c r="X541" i="9"/>
  <c r="U541" i="9"/>
  <c r="V541" i="9" s="1"/>
  <c r="Z538" i="9"/>
  <c r="Y538" i="9"/>
  <c r="X538" i="9"/>
  <c r="U538" i="9"/>
  <c r="V538" i="9" s="1"/>
  <c r="Z535" i="9"/>
  <c r="Y535" i="9"/>
  <c r="X535" i="9"/>
  <c r="U535" i="9"/>
  <c r="V535" i="9" s="1"/>
  <c r="Z523" i="9"/>
  <c r="Y523" i="9"/>
  <c r="X523" i="9"/>
  <c r="U523" i="9"/>
  <c r="V523" i="9" s="1"/>
  <c r="Z522" i="9"/>
  <c r="Y522" i="9"/>
  <c r="X522" i="9"/>
  <c r="U522" i="9"/>
  <c r="V522" i="9" s="1"/>
  <c r="Z519" i="9"/>
  <c r="Y519" i="9"/>
  <c r="X519" i="9"/>
  <c r="U519" i="9"/>
  <c r="V519" i="9" s="1"/>
  <c r="Z516" i="9"/>
  <c r="Y516" i="9"/>
  <c r="X516" i="9"/>
  <c r="U516" i="9"/>
  <c r="V516" i="9" s="1"/>
  <c r="Z513" i="9"/>
  <c r="Y513" i="9"/>
  <c r="X513" i="9"/>
  <c r="U513" i="9"/>
  <c r="V513" i="9" s="1"/>
  <c r="Z512" i="9"/>
  <c r="Y512" i="9"/>
  <c r="X512" i="9"/>
  <c r="U512" i="9"/>
  <c r="V512" i="9" s="1"/>
  <c r="Z510" i="9"/>
  <c r="Y510" i="9"/>
  <c r="X510" i="9"/>
  <c r="U510" i="9"/>
  <c r="V510" i="9" s="1"/>
  <c r="Q32" i="18"/>
  <c r="J43" i="18"/>
  <c r="Z507" i="9" l="1"/>
  <c r="Y507" i="9"/>
  <c r="X507" i="9"/>
  <c r="U507" i="9"/>
  <c r="V507" i="9" s="1"/>
  <c r="Z506" i="9"/>
  <c r="Y506" i="9"/>
  <c r="X506" i="9"/>
  <c r="U506" i="9"/>
  <c r="V506" i="9" s="1"/>
  <c r="Z291" i="9"/>
  <c r="Y291" i="9"/>
  <c r="X291" i="9"/>
  <c r="U291" i="9"/>
  <c r="V291" i="9" s="1"/>
  <c r="Z290" i="9"/>
  <c r="Y290" i="9"/>
  <c r="X290" i="9"/>
  <c r="U290" i="9"/>
  <c r="V290" i="9" s="1"/>
  <c r="Z289" i="9"/>
  <c r="Y289" i="9"/>
  <c r="X289" i="9"/>
  <c r="U289" i="9"/>
  <c r="V289" i="9" s="1"/>
  <c r="Z288" i="9"/>
  <c r="Y288" i="9"/>
  <c r="X288" i="9"/>
  <c r="U288" i="9"/>
  <c r="V288" i="9" s="1"/>
  <c r="Z287" i="9"/>
  <c r="Y287" i="9"/>
  <c r="X287" i="9"/>
  <c r="U287" i="9"/>
  <c r="V287" i="9" s="1"/>
  <c r="Z285" i="9"/>
  <c r="Y285" i="9"/>
  <c r="X285" i="9"/>
  <c r="U285" i="9"/>
  <c r="V285" i="9" s="1"/>
  <c r="Z284" i="9"/>
  <c r="Y284" i="9"/>
  <c r="X284" i="9"/>
  <c r="U284" i="9"/>
  <c r="V284" i="9" s="1"/>
  <c r="Z283" i="9"/>
  <c r="Y283" i="9"/>
  <c r="X283" i="9"/>
  <c r="U283" i="9"/>
  <c r="V283" i="9" s="1"/>
  <c r="Z282" i="9"/>
  <c r="Y282" i="9"/>
  <c r="X282" i="9"/>
  <c r="U282" i="9"/>
  <c r="V282" i="9" s="1"/>
  <c r="Z280" i="9"/>
  <c r="Y280" i="9"/>
  <c r="X280" i="9"/>
  <c r="U280" i="9"/>
  <c r="V280" i="9" s="1"/>
  <c r="Z279" i="9"/>
  <c r="Y279" i="9"/>
  <c r="X279" i="9"/>
  <c r="U279" i="9"/>
  <c r="V279" i="9" s="1"/>
  <c r="Z278" i="9"/>
  <c r="Y278" i="9"/>
  <c r="X278" i="9"/>
  <c r="U278" i="9"/>
  <c r="V278" i="9" s="1"/>
  <c r="Z276" i="9"/>
  <c r="Y276" i="9"/>
  <c r="X276" i="9"/>
  <c r="U276" i="9"/>
  <c r="V276" i="9" s="1"/>
  <c r="Z275" i="9"/>
  <c r="Y275" i="9"/>
  <c r="X275" i="9"/>
  <c r="U275" i="9"/>
  <c r="V275" i="9" s="1"/>
  <c r="Z273" i="9"/>
  <c r="Y273" i="9"/>
  <c r="X273" i="9"/>
  <c r="U273" i="9"/>
  <c r="V273" i="9" s="1"/>
  <c r="Z272" i="9"/>
  <c r="Y272" i="9"/>
  <c r="X272" i="9"/>
  <c r="U272" i="9"/>
  <c r="V272" i="9" s="1"/>
  <c r="Z231" i="9"/>
  <c r="Y231" i="9"/>
  <c r="X231" i="9"/>
  <c r="U231" i="9"/>
  <c r="V231" i="9" s="1"/>
  <c r="Z230" i="9"/>
  <c r="Y230" i="9"/>
  <c r="X230" i="9"/>
  <c r="U230" i="9"/>
  <c r="V230" i="9" s="1"/>
  <c r="Z229" i="9"/>
  <c r="Y229" i="9"/>
  <c r="X229" i="9"/>
  <c r="U229" i="9"/>
  <c r="V229" i="9" s="1"/>
  <c r="Z228" i="9"/>
  <c r="Y228" i="9"/>
  <c r="X228" i="9"/>
  <c r="U228" i="9"/>
  <c r="V228" i="9" s="1"/>
  <c r="Z226" i="9"/>
  <c r="Y226" i="9"/>
  <c r="X226" i="9"/>
  <c r="U226" i="9"/>
  <c r="V226" i="9" s="1"/>
  <c r="Z225" i="9"/>
  <c r="Y225" i="9"/>
  <c r="X225" i="9"/>
  <c r="U225" i="9"/>
  <c r="V225" i="9" s="1"/>
  <c r="Z224" i="9"/>
  <c r="Y224" i="9"/>
  <c r="X224" i="9"/>
  <c r="U224" i="9"/>
  <c r="V224" i="9" s="1"/>
  <c r="Z223" i="9"/>
  <c r="Y223" i="9"/>
  <c r="X223" i="9"/>
  <c r="U223" i="9"/>
  <c r="V223" i="9" s="1"/>
  <c r="Z221" i="9"/>
  <c r="Y221" i="9"/>
  <c r="X221" i="9"/>
  <c r="U221" i="9"/>
  <c r="V221" i="9" s="1"/>
  <c r="Z220" i="9"/>
  <c r="Y220" i="9"/>
  <c r="X220" i="9"/>
  <c r="U220" i="9"/>
  <c r="V220" i="9" s="1"/>
  <c r="Z219" i="9"/>
  <c r="Y219" i="9"/>
  <c r="X219" i="9"/>
  <c r="U219" i="9"/>
  <c r="V219" i="9" s="1"/>
  <c r="Z218" i="9"/>
  <c r="Y218" i="9"/>
  <c r="X218" i="9"/>
  <c r="U218" i="9"/>
  <c r="V218" i="9" s="1"/>
  <c r="Z216" i="9"/>
  <c r="Y216" i="9"/>
  <c r="X216" i="9"/>
  <c r="U216" i="9"/>
  <c r="V216" i="9" s="1"/>
  <c r="Z215" i="9"/>
  <c r="Y215" i="9"/>
  <c r="X215" i="9"/>
  <c r="U215" i="9"/>
  <c r="V215" i="9" s="1"/>
  <c r="Z214" i="9"/>
  <c r="Y214" i="9"/>
  <c r="X214" i="9"/>
  <c r="U214" i="9"/>
  <c r="V214" i="9" s="1"/>
  <c r="Z213" i="9"/>
  <c r="Y213" i="9"/>
  <c r="X213" i="9"/>
  <c r="U213" i="9"/>
  <c r="V213" i="9" s="1"/>
  <c r="Z211" i="9"/>
  <c r="Y211" i="9"/>
  <c r="X211" i="9"/>
  <c r="U211" i="9"/>
  <c r="V211" i="9" s="1"/>
  <c r="Z209" i="9"/>
  <c r="Y209" i="9"/>
  <c r="X209" i="9"/>
  <c r="U209" i="9"/>
  <c r="V209" i="9" s="1"/>
  <c r="Z208" i="9"/>
  <c r="Y208" i="9"/>
  <c r="X208" i="9"/>
  <c r="U208" i="9"/>
  <c r="V208" i="9" s="1"/>
  <c r="Z207" i="9"/>
  <c r="Y207" i="9"/>
  <c r="X207" i="9"/>
  <c r="U207" i="9"/>
  <c r="V207" i="9" s="1"/>
  <c r="Z206" i="9"/>
  <c r="Y206" i="9"/>
  <c r="X206" i="9"/>
  <c r="U206" i="9"/>
  <c r="V206" i="9" s="1"/>
  <c r="Z204" i="9"/>
  <c r="Y204" i="9"/>
  <c r="X204" i="9"/>
  <c r="U204" i="9"/>
  <c r="V204" i="9" s="1"/>
  <c r="Z203" i="9"/>
  <c r="Y203" i="9"/>
  <c r="X203" i="9"/>
  <c r="U203" i="9"/>
  <c r="V203" i="9" s="1"/>
  <c r="Z202" i="9"/>
  <c r="Y202" i="9"/>
  <c r="X202" i="9"/>
  <c r="U202" i="9"/>
  <c r="V202" i="9" s="1"/>
  <c r="Z201" i="9"/>
  <c r="Y201" i="9"/>
  <c r="X201" i="9"/>
  <c r="U201" i="9"/>
  <c r="V201" i="9" s="1"/>
  <c r="Z199" i="9"/>
  <c r="Y199" i="9"/>
  <c r="X199" i="9"/>
  <c r="U199" i="9"/>
  <c r="V199" i="9" s="1"/>
  <c r="Z198" i="9"/>
  <c r="Y198" i="9"/>
  <c r="X198" i="9"/>
  <c r="U198" i="9"/>
  <c r="V198" i="9" s="1"/>
  <c r="Z197" i="9"/>
  <c r="Y197" i="9"/>
  <c r="X197" i="9"/>
  <c r="U197" i="9"/>
  <c r="V197" i="9" s="1"/>
  <c r="Z195" i="9"/>
  <c r="Y195" i="9"/>
  <c r="X195" i="9"/>
  <c r="U195" i="9"/>
  <c r="V195" i="9" s="1"/>
  <c r="Z194" i="9"/>
  <c r="Y194" i="9"/>
  <c r="X194" i="9"/>
  <c r="U194" i="9"/>
  <c r="V194" i="9" s="1"/>
  <c r="Z192" i="9"/>
  <c r="Y192" i="9"/>
  <c r="X192" i="9"/>
  <c r="U192" i="9"/>
  <c r="V192" i="9" s="1"/>
  <c r="Z191" i="9"/>
  <c r="Y191" i="9"/>
  <c r="X191" i="9"/>
  <c r="U191" i="9"/>
  <c r="V191" i="9" s="1"/>
  <c r="Z169" i="9"/>
  <c r="Y169" i="9"/>
  <c r="X169" i="9"/>
  <c r="U169" i="9"/>
  <c r="V169" i="9" s="1"/>
  <c r="Z168" i="9"/>
  <c r="Y168" i="9"/>
  <c r="X168" i="9"/>
  <c r="U168" i="9"/>
  <c r="V168" i="9" s="1"/>
  <c r="Z166" i="9"/>
  <c r="Y166" i="9"/>
  <c r="X166" i="9"/>
  <c r="U166" i="9"/>
  <c r="V166" i="9" s="1"/>
  <c r="Z165" i="9"/>
  <c r="Y165" i="9"/>
  <c r="X165" i="9"/>
  <c r="U165" i="9"/>
  <c r="V165" i="9" s="1"/>
  <c r="Z164" i="9"/>
  <c r="Y164" i="9"/>
  <c r="X164" i="9"/>
  <c r="U164" i="9"/>
  <c r="V164" i="9" s="1"/>
  <c r="Z162" i="9"/>
  <c r="Y162" i="9"/>
  <c r="X162" i="9"/>
  <c r="U162" i="9"/>
  <c r="V162" i="9" s="1"/>
  <c r="Z161" i="9"/>
  <c r="Y161" i="9"/>
  <c r="X161" i="9"/>
  <c r="U161" i="9"/>
  <c r="V161" i="9" s="1"/>
  <c r="Z159" i="9"/>
  <c r="Y159" i="9"/>
  <c r="X159" i="9"/>
  <c r="U159" i="9"/>
  <c r="V159" i="9" s="1"/>
  <c r="Z157" i="9"/>
  <c r="Y157" i="9"/>
  <c r="X157" i="9"/>
  <c r="U157" i="9"/>
  <c r="V157" i="9" s="1"/>
  <c r="Z155" i="9"/>
  <c r="Y155" i="9"/>
  <c r="X155" i="9"/>
  <c r="U155" i="9"/>
  <c r="V155" i="9" s="1"/>
  <c r="Z153" i="9" l="1"/>
  <c r="Y153" i="9"/>
  <c r="X153" i="9"/>
  <c r="U153" i="9"/>
  <c r="V153" i="9" s="1"/>
  <c r="Z152" i="9"/>
  <c r="Y152" i="9"/>
  <c r="X152" i="9"/>
  <c r="U152" i="9"/>
  <c r="V152" i="9" s="1"/>
  <c r="Z148" i="9"/>
  <c r="Y148" i="9"/>
  <c r="X148" i="9"/>
  <c r="U148" i="9"/>
  <c r="V148" i="9" s="1"/>
  <c r="Z149" i="9"/>
  <c r="Y149" i="9"/>
  <c r="X149" i="9"/>
  <c r="U149" i="9"/>
  <c r="V149" i="9" s="1"/>
  <c r="Z147" i="9"/>
  <c r="Y147" i="9"/>
  <c r="X147" i="9"/>
  <c r="U147" i="9"/>
  <c r="V147" i="9" s="1"/>
  <c r="Z146" i="9"/>
  <c r="Y146" i="9"/>
  <c r="X146" i="9"/>
  <c r="U146" i="9"/>
  <c r="V146" i="9" s="1"/>
  <c r="Z143" i="9"/>
  <c r="Y143" i="9"/>
  <c r="X143" i="9"/>
  <c r="U143" i="9"/>
  <c r="V143" i="9" s="1"/>
  <c r="U135" i="9"/>
  <c r="V135" i="9" s="1"/>
  <c r="X135" i="9"/>
  <c r="Y135" i="9"/>
  <c r="Z135" i="9"/>
  <c r="Z126" i="9" l="1"/>
  <c r="Y126" i="9"/>
  <c r="X126" i="9"/>
  <c r="U126" i="9"/>
  <c r="V126" i="9" s="1"/>
  <c r="Z125" i="9"/>
  <c r="Y125" i="9"/>
  <c r="X125" i="9"/>
  <c r="U125" i="9"/>
  <c r="V125" i="9" s="1"/>
  <c r="Z124" i="9"/>
  <c r="Y124" i="9"/>
  <c r="X124" i="9"/>
  <c r="U124" i="9"/>
  <c r="V124" i="9" s="1"/>
  <c r="Z120" i="9"/>
  <c r="Y120" i="9"/>
  <c r="X120" i="9"/>
  <c r="U120" i="9"/>
  <c r="V120" i="9" s="1"/>
  <c r="Z115" i="9"/>
  <c r="Y115" i="9"/>
  <c r="X115" i="9"/>
  <c r="U115" i="9"/>
  <c r="V115" i="9" s="1"/>
  <c r="Z113" i="9"/>
  <c r="Y113" i="9"/>
  <c r="X113" i="9"/>
  <c r="U113" i="9"/>
  <c r="V113" i="9" s="1"/>
  <c r="Z112" i="9"/>
  <c r="Y112" i="9"/>
  <c r="X112" i="9"/>
  <c r="U112" i="9"/>
  <c r="V112" i="9" s="1"/>
  <c r="Z106" i="9"/>
  <c r="Y106" i="9"/>
  <c r="X106" i="9"/>
  <c r="U106" i="9"/>
  <c r="V106" i="9" s="1"/>
  <c r="Z104" i="9"/>
  <c r="Y104" i="9"/>
  <c r="X104" i="9"/>
  <c r="U104" i="9"/>
  <c r="V104" i="9" s="1"/>
  <c r="Z103" i="9"/>
  <c r="Y103" i="9"/>
  <c r="X103" i="9"/>
  <c r="U103" i="9"/>
  <c r="V103" i="9" s="1"/>
  <c r="Z102" i="9"/>
  <c r="Y102" i="9"/>
  <c r="X102" i="9"/>
  <c r="U102" i="9"/>
  <c r="V102" i="9" s="1"/>
  <c r="Z101" i="9"/>
  <c r="Y101" i="9"/>
  <c r="X101" i="9"/>
  <c r="U101" i="9"/>
  <c r="V101" i="9" s="1"/>
  <c r="Z99" i="9"/>
  <c r="Y99" i="9"/>
  <c r="X99" i="9"/>
  <c r="U99" i="9"/>
  <c r="V99" i="9" s="1"/>
  <c r="Z98" i="9"/>
  <c r="Y98" i="9"/>
  <c r="X98" i="9"/>
  <c r="U98" i="9"/>
  <c r="V98" i="9" s="1"/>
  <c r="Z97" i="9"/>
  <c r="Y97" i="9"/>
  <c r="X97" i="9"/>
  <c r="U97" i="9"/>
  <c r="V97" i="9" s="1"/>
  <c r="Z96" i="9"/>
  <c r="Y96" i="9"/>
  <c r="X96" i="9"/>
  <c r="U96" i="9"/>
  <c r="V96" i="9" s="1"/>
  <c r="Z94" i="9" l="1"/>
  <c r="Y94" i="9"/>
  <c r="X94" i="9"/>
  <c r="U94" i="9"/>
  <c r="V94" i="9" s="1"/>
  <c r="Z71" i="9" l="1"/>
  <c r="Y71" i="9"/>
  <c r="X71" i="9"/>
  <c r="U71" i="9"/>
  <c r="V71" i="9" s="1"/>
  <c r="Z68" i="9"/>
  <c r="Y68" i="9"/>
  <c r="X68" i="9"/>
  <c r="U68" i="9"/>
  <c r="V68" i="9" s="1"/>
  <c r="Z66" i="9"/>
  <c r="Y66" i="9"/>
  <c r="X66" i="9"/>
  <c r="U66" i="9"/>
  <c r="V66" i="9" s="1"/>
  <c r="Z65" i="9"/>
  <c r="Y65" i="9"/>
  <c r="X65" i="9"/>
  <c r="U65" i="9"/>
  <c r="V65" i="9" s="1"/>
  <c r="Z64" i="9"/>
  <c r="Y64" i="9"/>
  <c r="X64" i="9"/>
  <c r="U64" i="9"/>
  <c r="V64" i="9" s="1"/>
  <c r="Z63" i="9"/>
  <c r="Y63" i="9"/>
  <c r="X63" i="9"/>
  <c r="U63" i="9"/>
  <c r="V63" i="9" s="1"/>
  <c r="Z62" i="9"/>
  <c r="Y62" i="9"/>
  <c r="X62" i="9"/>
  <c r="U62" i="9"/>
  <c r="V62" i="9" s="1"/>
  <c r="Z60" i="9"/>
  <c r="Y60" i="9"/>
  <c r="X60" i="9"/>
  <c r="U60" i="9"/>
  <c r="V60" i="9" s="1"/>
  <c r="Z59" i="9"/>
  <c r="Y59" i="9"/>
  <c r="X59" i="9"/>
  <c r="U59" i="9"/>
  <c r="V59" i="9" s="1"/>
  <c r="Z57" i="9"/>
  <c r="Y57" i="9"/>
  <c r="X57" i="9"/>
  <c r="U57" i="9"/>
  <c r="V57" i="9" s="1"/>
  <c r="Z56" i="9"/>
  <c r="Y56" i="9"/>
  <c r="X56" i="9"/>
  <c r="U56" i="9"/>
  <c r="V56" i="9" s="1"/>
  <c r="Z54" i="9"/>
  <c r="Y54" i="9"/>
  <c r="X54" i="9"/>
  <c r="U54" i="9"/>
  <c r="V54" i="9" s="1"/>
  <c r="Z52" i="9"/>
  <c r="Y52" i="9"/>
  <c r="X52" i="9"/>
  <c r="U52" i="9"/>
  <c r="V52" i="9" s="1"/>
  <c r="Z51" i="9"/>
  <c r="Y51" i="9"/>
  <c r="X51" i="9"/>
  <c r="U51" i="9"/>
  <c r="V51" i="9" s="1"/>
  <c r="Z50" i="9"/>
  <c r="Y50" i="9"/>
  <c r="X50" i="9"/>
  <c r="U50" i="9"/>
  <c r="V50" i="9" s="1"/>
  <c r="Z49" i="9"/>
  <c r="Y49" i="9"/>
  <c r="X49" i="9"/>
  <c r="U49" i="9"/>
  <c r="V49" i="9" s="1"/>
  <c r="Z48" i="9"/>
  <c r="Y48" i="9"/>
  <c r="X48" i="9"/>
  <c r="U48" i="9"/>
  <c r="V48" i="9" s="1"/>
  <c r="Z47" i="9"/>
  <c r="Y47" i="9"/>
  <c r="X47" i="9"/>
  <c r="U47" i="9"/>
  <c r="V47" i="9" s="1"/>
  <c r="Z44" i="9" l="1"/>
  <c r="Y44" i="9"/>
  <c r="X44" i="9"/>
  <c r="U44" i="9"/>
  <c r="V44" i="9" s="1"/>
  <c r="Z42" i="9"/>
  <c r="Y42" i="9"/>
  <c r="X42" i="9"/>
  <c r="U42" i="9"/>
  <c r="V42" i="9" s="1"/>
  <c r="Z40" i="9"/>
  <c r="Y40" i="9"/>
  <c r="X40" i="9"/>
  <c r="U40" i="9"/>
  <c r="V40" i="9" s="1"/>
  <c r="Z38" i="9"/>
  <c r="Y38" i="9"/>
  <c r="X38" i="9"/>
  <c r="U38" i="9"/>
  <c r="V38" i="9" s="1"/>
  <c r="Z30" i="9"/>
  <c r="Y30" i="9"/>
  <c r="X30" i="9"/>
  <c r="U30" i="9"/>
  <c r="V30" i="9" s="1"/>
  <c r="Z29" i="9"/>
  <c r="Y29" i="9"/>
  <c r="X29" i="9"/>
  <c r="U29" i="9"/>
  <c r="V29" i="9" s="1"/>
  <c r="Z28" i="9"/>
  <c r="Y28" i="9"/>
  <c r="X28" i="9"/>
  <c r="U28" i="9"/>
  <c r="V28" i="9" s="1"/>
  <c r="Z26" i="9"/>
  <c r="Y26" i="9"/>
  <c r="X26" i="9"/>
  <c r="U26" i="9"/>
  <c r="V26" i="9" s="1"/>
  <c r="Q27" i="14"/>
  <c r="Q24" i="14"/>
  <c r="M427" i="10"/>
  <c r="M426" i="10"/>
  <c r="H4" i="10"/>
  <c r="G6" i="10"/>
  <c r="U3011" i="9"/>
  <c r="V3011" i="9" s="1"/>
  <c r="U3010" i="9"/>
  <c r="V3010" i="9" s="1"/>
  <c r="U3009" i="9"/>
  <c r="V3009" i="9" s="1"/>
  <c r="U3008" i="9"/>
  <c r="V3008" i="9" s="1"/>
  <c r="U3007" i="9"/>
  <c r="V3007" i="9" s="1"/>
  <c r="U3006" i="9"/>
  <c r="V3006" i="9" s="1"/>
  <c r="U3005" i="9"/>
  <c r="V3005" i="9" s="1"/>
  <c r="U3004" i="9"/>
  <c r="V3004" i="9" s="1"/>
  <c r="U3003" i="9"/>
  <c r="V3003" i="9" s="1"/>
  <c r="U3002" i="9"/>
  <c r="V3002" i="9" s="1"/>
  <c r="U3001" i="9"/>
  <c r="V3001" i="9" s="1"/>
  <c r="U3000" i="9"/>
  <c r="V3000" i="9" s="1"/>
  <c r="U2999" i="9"/>
  <c r="V2999" i="9" s="1"/>
  <c r="U2998" i="9"/>
  <c r="V2998" i="9" s="1"/>
  <c r="U2997" i="9"/>
  <c r="V2997" i="9" s="1"/>
  <c r="U2996" i="9"/>
  <c r="V2996" i="9" s="1"/>
  <c r="U2995" i="9"/>
  <c r="V2995" i="9" s="1"/>
  <c r="U2994" i="9"/>
  <c r="V2994" i="9" s="1"/>
  <c r="U2993" i="9"/>
  <c r="V2993" i="9" s="1"/>
  <c r="U2992" i="9"/>
  <c r="V2992" i="9" s="1"/>
  <c r="U2991" i="9"/>
  <c r="V2991" i="9" s="1"/>
  <c r="U2990" i="9"/>
  <c r="V2990" i="9" s="1"/>
  <c r="U2989" i="9"/>
  <c r="V2989" i="9" s="1"/>
  <c r="U2988" i="9"/>
  <c r="V2988" i="9" s="1"/>
  <c r="U2987" i="9"/>
  <c r="V2987" i="9" s="1"/>
  <c r="U2986" i="9"/>
  <c r="V2986" i="9" s="1"/>
  <c r="U2985" i="9"/>
  <c r="V2985" i="9" s="1"/>
  <c r="U2984" i="9"/>
  <c r="V2984" i="9" s="1"/>
  <c r="U2983" i="9"/>
  <c r="V2983" i="9" s="1"/>
  <c r="U2982" i="9"/>
  <c r="V2982" i="9" s="1"/>
  <c r="U2981" i="9"/>
  <c r="V2981" i="9" s="1"/>
  <c r="U2980" i="9"/>
  <c r="V2980" i="9" s="1"/>
  <c r="U2979" i="9"/>
  <c r="V2979" i="9" s="1"/>
  <c r="U2978" i="9"/>
  <c r="V2978" i="9" s="1"/>
  <c r="U2977" i="9"/>
  <c r="V2977" i="9" s="1"/>
  <c r="U2976" i="9"/>
  <c r="V2976" i="9" s="1"/>
  <c r="U2975" i="9"/>
  <c r="V2975" i="9" s="1"/>
  <c r="U2974" i="9"/>
  <c r="V2974" i="9" s="1"/>
  <c r="U2973" i="9"/>
  <c r="V2973" i="9" s="1"/>
  <c r="U2972" i="9"/>
  <c r="V2972" i="9" s="1"/>
  <c r="U2971" i="9"/>
  <c r="V2971" i="9" s="1"/>
  <c r="U2970" i="9"/>
  <c r="V2970" i="9" s="1"/>
  <c r="U2969" i="9"/>
  <c r="V2969" i="9" s="1"/>
  <c r="U2968" i="9"/>
  <c r="V2968" i="9" s="1"/>
  <c r="U2967" i="9"/>
  <c r="V2967" i="9" s="1"/>
  <c r="U2966" i="9"/>
  <c r="V2966" i="9" s="1"/>
  <c r="U2965" i="9"/>
  <c r="V2965" i="9" s="1"/>
  <c r="U2964" i="9"/>
  <c r="V2964" i="9" s="1"/>
  <c r="U2963" i="9"/>
  <c r="V2963" i="9" s="1"/>
  <c r="U2962" i="9"/>
  <c r="V2962" i="9" s="1"/>
  <c r="U2961" i="9"/>
  <c r="V2961" i="9" s="1"/>
  <c r="U2960" i="9"/>
  <c r="V2960" i="9" s="1"/>
  <c r="U2959" i="9"/>
  <c r="V2959" i="9" s="1"/>
  <c r="U2958" i="9"/>
  <c r="V2958" i="9" s="1"/>
  <c r="U2957" i="9"/>
  <c r="V2957" i="9" s="1"/>
  <c r="U2956" i="9"/>
  <c r="V2956" i="9" s="1"/>
  <c r="U2955" i="9"/>
  <c r="V2955" i="9" s="1"/>
  <c r="U2954" i="9"/>
  <c r="V2954" i="9" s="1"/>
  <c r="U2953" i="9"/>
  <c r="V2953" i="9" s="1"/>
  <c r="U2952" i="9"/>
  <c r="V2952" i="9" s="1"/>
  <c r="U2951" i="9"/>
  <c r="V2951" i="9" s="1"/>
  <c r="U2950" i="9"/>
  <c r="V2950" i="9" s="1"/>
  <c r="U2949" i="9"/>
  <c r="V2949" i="9" s="1"/>
  <c r="U2948" i="9"/>
  <c r="V2948" i="9" s="1"/>
  <c r="U2947" i="9"/>
  <c r="V2947" i="9" s="1"/>
  <c r="U2946" i="9"/>
  <c r="V2946" i="9" s="1"/>
  <c r="U2945" i="9"/>
  <c r="V2945" i="9" s="1"/>
  <c r="U2944" i="9"/>
  <c r="V2944" i="9" s="1"/>
  <c r="U2943" i="9"/>
  <c r="V2943" i="9" s="1"/>
  <c r="U2942" i="9"/>
  <c r="V2942" i="9" s="1"/>
  <c r="U2941" i="9"/>
  <c r="V2941" i="9" s="1"/>
  <c r="U2940" i="9"/>
  <c r="V2940" i="9" s="1"/>
  <c r="U2939" i="9"/>
  <c r="V2939" i="9" s="1"/>
  <c r="U2938" i="9"/>
  <c r="V2938" i="9" s="1"/>
  <c r="U2937" i="9"/>
  <c r="V2937" i="9" s="1"/>
  <c r="U2936" i="9"/>
  <c r="V2936" i="9" s="1"/>
  <c r="U2935" i="9"/>
  <c r="V2935" i="9" s="1"/>
  <c r="U2934" i="9"/>
  <c r="V2934" i="9" s="1"/>
  <c r="U2933" i="9"/>
  <c r="V2933" i="9" s="1"/>
  <c r="U2932" i="9"/>
  <c r="V2932" i="9" s="1"/>
  <c r="U2931" i="9"/>
  <c r="V2931" i="9" s="1"/>
  <c r="U2930" i="9"/>
  <c r="V2930" i="9" s="1"/>
  <c r="U2929" i="9"/>
  <c r="V2929" i="9" s="1"/>
  <c r="U2928" i="9"/>
  <c r="V2928" i="9" s="1"/>
  <c r="U2927" i="9"/>
  <c r="V2927" i="9" s="1"/>
  <c r="U2926" i="9"/>
  <c r="V2926" i="9" s="1"/>
  <c r="U2925" i="9"/>
  <c r="V2925" i="9" s="1"/>
  <c r="U2924" i="9"/>
  <c r="V2924" i="9" s="1"/>
  <c r="U2923" i="9"/>
  <c r="V2923" i="9" s="1"/>
  <c r="U2922" i="9"/>
  <c r="V2922" i="9" s="1"/>
  <c r="U2921" i="9"/>
  <c r="V2921" i="9" s="1"/>
  <c r="U2920" i="9"/>
  <c r="V2920" i="9" s="1"/>
  <c r="U2919" i="9"/>
  <c r="V2919" i="9" s="1"/>
  <c r="U2918" i="9"/>
  <c r="V2918" i="9" s="1"/>
  <c r="U2917" i="9"/>
  <c r="V2917" i="9" s="1"/>
  <c r="U2916" i="9"/>
  <c r="V2916" i="9" s="1"/>
  <c r="U2915" i="9"/>
  <c r="V2915" i="9" s="1"/>
  <c r="U2914" i="9"/>
  <c r="V2914" i="9" s="1"/>
  <c r="U2913" i="9"/>
  <c r="V2913" i="9" s="1"/>
  <c r="U2912" i="9"/>
  <c r="V2912" i="9" s="1"/>
  <c r="U2911" i="9"/>
  <c r="V2911" i="9" s="1"/>
  <c r="U2910" i="9"/>
  <c r="V2910" i="9" s="1"/>
  <c r="U2909" i="9"/>
  <c r="V2909" i="9" s="1"/>
  <c r="U2908" i="9"/>
  <c r="V2908" i="9" s="1"/>
  <c r="U2907" i="9"/>
  <c r="V2907" i="9" s="1"/>
  <c r="U2906" i="9"/>
  <c r="V2906" i="9" s="1"/>
  <c r="U2905" i="9"/>
  <c r="V2905" i="9" s="1"/>
  <c r="U2904" i="9"/>
  <c r="V2904" i="9" s="1"/>
  <c r="U2903" i="9"/>
  <c r="V2903" i="9" s="1"/>
  <c r="U2902" i="9"/>
  <c r="V2902" i="9" s="1"/>
  <c r="U2901" i="9"/>
  <c r="V2901" i="9" s="1"/>
  <c r="U2900" i="9"/>
  <c r="V2900" i="9" s="1"/>
  <c r="U2899" i="9"/>
  <c r="V2899" i="9" s="1"/>
  <c r="U2898" i="9"/>
  <c r="V2898" i="9" s="1"/>
  <c r="U2897" i="9"/>
  <c r="V2897" i="9" s="1"/>
  <c r="U2896" i="9"/>
  <c r="V2896" i="9" s="1"/>
  <c r="U2895" i="9"/>
  <c r="V2895" i="9" s="1"/>
  <c r="U2894" i="9"/>
  <c r="V2894" i="9" s="1"/>
  <c r="U2893" i="9"/>
  <c r="V2893" i="9" s="1"/>
  <c r="U2892" i="9"/>
  <c r="V2892" i="9" s="1"/>
  <c r="U2891" i="9"/>
  <c r="V2891" i="9" s="1"/>
  <c r="U2890" i="9"/>
  <c r="V2890" i="9" s="1"/>
  <c r="U2889" i="9"/>
  <c r="V2889" i="9" s="1"/>
  <c r="U2888" i="9"/>
  <c r="V2888" i="9" s="1"/>
  <c r="U2887" i="9"/>
  <c r="V2887" i="9" s="1"/>
  <c r="U2886" i="9"/>
  <c r="V2886" i="9" s="1"/>
  <c r="U2885" i="9"/>
  <c r="V2885" i="9" s="1"/>
  <c r="U2884" i="9"/>
  <c r="V2884" i="9" s="1"/>
  <c r="U2883" i="9"/>
  <c r="V2883" i="9" s="1"/>
  <c r="U2882" i="9"/>
  <c r="V2882" i="9" s="1"/>
  <c r="U2881" i="9"/>
  <c r="V2881" i="9" s="1"/>
  <c r="U2880" i="9"/>
  <c r="V2880" i="9" s="1"/>
  <c r="U2879" i="9"/>
  <c r="V2879" i="9" s="1"/>
  <c r="U2878" i="9"/>
  <c r="V2878" i="9" s="1"/>
  <c r="U2877" i="9"/>
  <c r="V2877" i="9" s="1"/>
  <c r="U2876" i="9"/>
  <c r="V2876" i="9" s="1"/>
  <c r="U2875" i="9"/>
  <c r="V2875" i="9" s="1"/>
  <c r="U2874" i="9"/>
  <c r="V2874" i="9" s="1"/>
  <c r="U2873" i="9"/>
  <c r="V2873" i="9" s="1"/>
  <c r="U2872" i="9"/>
  <c r="V2872" i="9" s="1"/>
  <c r="U2871" i="9"/>
  <c r="V2871" i="9" s="1"/>
  <c r="U2870" i="9"/>
  <c r="V2870" i="9" s="1"/>
  <c r="U2869" i="9"/>
  <c r="V2869" i="9" s="1"/>
  <c r="U2868" i="9"/>
  <c r="V2868" i="9" s="1"/>
  <c r="U2867" i="9"/>
  <c r="V2867" i="9" s="1"/>
  <c r="U2866" i="9"/>
  <c r="V2866" i="9" s="1"/>
  <c r="U2865" i="9"/>
  <c r="V2865" i="9" s="1"/>
  <c r="U2864" i="9"/>
  <c r="V2864" i="9" s="1"/>
  <c r="U2863" i="9"/>
  <c r="V2863" i="9" s="1"/>
  <c r="U2862" i="9"/>
  <c r="V2862" i="9" s="1"/>
  <c r="U2861" i="9"/>
  <c r="V2861" i="9" s="1"/>
  <c r="U2860" i="9"/>
  <c r="V2860" i="9" s="1"/>
  <c r="U2859" i="9"/>
  <c r="V2859" i="9" s="1"/>
  <c r="U2858" i="9"/>
  <c r="V2858" i="9" s="1"/>
  <c r="U2857" i="9"/>
  <c r="V2857" i="9" s="1"/>
  <c r="U2856" i="9"/>
  <c r="V2856" i="9" s="1"/>
  <c r="U2855" i="9"/>
  <c r="V2855" i="9" s="1"/>
  <c r="U2854" i="9"/>
  <c r="V2854" i="9" s="1"/>
  <c r="U2853" i="9"/>
  <c r="V2853" i="9" s="1"/>
  <c r="U2852" i="9"/>
  <c r="V2852" i="9" s="1"/>
  <c r="U2851" i="9"/>
  <c r="V2851" i="9" s="1"/>
  <c r="U2850" i="9"/>
  <c r="V2850" i="9" s="1"/>
  <c r="U2849" i="9"/>
  <c r="V2849" i="9" s="1"/>
  <c r="U2848" i="9"/>
  <c r="V2848" i="9" s="1"/>
  <c r="U2847" i="9"/>
  <c r="V2847" i="9" s="1"/>
  <c r="U2846" i="9"/>
  <c r="V2846" i="9" s="1"/>
  <c r="U2845" i="9"/>
  <c r="V2845" i="9" s="1"/>
  <c r="U2844" i="9"/>
  <c r="V2844" i="9" s="1"/>
  <c r="U2843" i="9"/>
  <c r="V2843" i="9" s="1"/>
  <c r="U2842" i="9"/>
  <c r="V2842" i="9" s="1"/>
  <c r="U2841" i="9"/>
  <c r="V2841" i="9" s="1"/>
  <c r="U2840" i="9"/>
  <c r="V2840" i="9" s="1"/>
  <c r="U2839" i="9"/>
  <c r="V2839" i="9" s="1"/>
  <c r="U2838" i="9"/>
  <c r="V2838" i="9" s="1"/>
  <c r="U2837" i="9"/>
  <c r="V2837" i="9" s="1"/>
  <c r="U2836" i="9"/>
  <c r="V2836" i="9" s="1"/>
  <c r="U2835" i="9"/>
  <c r="V2835" i="9" s="1"/>
  <c r="U2834" i="9"/>
  <c r="V2834" i="9" s="1"/>
  <c r="U2833" i="9"/>
  <c r="V2833" i="9" s="1"/>
  <c r="U2832" i="9"/>
  <c r="V2832" i="9" s="1"/>
  <c r="U2831" i="9"/>
  <c r="V2831" i="9" s="1"/>
  <c r="U2830" i="9"/>
  <c r="V2830" i="9" s="1"/>
  <c r="U2829" i="9"/>
  <c r="V2829" i="9" s="1"/>
  <c r="U2828" i="9"/>
  <c r="V2828" i="9" s="1"/>
  <c r="U2827" i="9"/>
  <c r="V2827" i="9" s="1"/>
  <c r="U2826" i="9"/>
  <c r="V2826" i="9" s="1"/>
  <c r="U2825" i="9"/>
  <c r="V2825" i="9" s="1"/>
  <c r="U2824" i="9"/>
  <c r="V2824" i="9" s="1"/>
  <c r="U2823" i="9"/>
  <c r="V2823" i="9" s="1"/>
  <c r="U2822" i="9"/>
  <c r="V2822" i="9" s="1"/>
  <c r="U2821" i="9"/>
  <c r="V2821" i="9" s="1"/>
  <c r="U2820" i="9"/>
  <c r="V2820" i="9" s="1"/>
  <c r="U2819" i="9"/>
  <c r="V2819" i="9" s="1"/>
  <c r="U2818" i="9"/>
  <c r="V2818" i="9" s="1"/>
  <c r="U2817" i="9"/>
  <c r="V2817" i="9" s="1"/>
  <c r="U2816" i="9"/>
  <c r="V2816" i="9" s="1"/>
  <c r="U2815" i="9"/>
  <c r="V2815" i="9" s="1"/>
  <c r="U2814" i="9"/>
  <c r="V2814" i="9" s="1"/>
  <c r="U2813" i="9"/>
  <c r="V2813" i="9" s="1"/>
  <c r="U2812" i="9"/>
  <c r="V2812" i="9" s="1"/>
  <c r="U2811" i="9"/>
  <c r="V2811" i="9" s="1"/>
  <c r="U2810" i="9"/>
  <c r="V2810" i="9" s="1"/>
  <c r="U2809" i="9"/>
  <c r="V2809" i="9" s="1"/>
  <c r="U2808" i="9"/>
  <c r="V2808" i="9" s="1"/>
  <c r="U2807" i="9"/>
  <c r="V2807" i="9" s="1"/>
  <c r="U2806" i="9"/>
  <c r="V2806" i="9" s="1"/>
  <c r="U2805" i="9"/>
  <c r="V2805" i="9" s="1"/>
  <c r="U2804" i="9"/>
  <c r="V2804" i="9" s="1"/>
  <c r="U2803" i="9"/>
  <c r="V2803" i="9" s="1"/>
  <c r="U2802" i="9"/>
  <c r="V2802" i="9" s="1"/>
  <c r="U2801" i="9"/>
  <c r="V2801" i="9" s="1"/>
  <c r="U2800" i="9"/>
  <c r="V2800" i="9" s="1"/>
  <c r="U2799" i="9"/>
  <c r="V2799" i="9" s="1"/>
  <c r="U2798" i="9"/>
  <c r="V2798" i="9" s="1"/>
  <c r="U2797" i="9"/>
  <c r="V2797" i="9" s="1"/>
  <c r="U2796" i="9"/>
  <c r="V2796" i="9" s="1"/>
  <c r="U2795" i="9"/>
  <c r="V2795" i="9" s="1"/>
  <c r="U2794" i="9"/>
  <c r="V2794" i="9" s="1"/>
  <c r="U2793" i="9"/>
  <c r="V2793" i="9" s="1"/>
  <c r="U2792" i="9"/>
  <c r="V2792" i="9" s="1"/>
  <c r="U2791" i="9"/>
  <c r="V2791" i="9" s="1"/>
  <c r="U2790" i="9"/>
  <c r="V2790" i="9" s="1"/>
  <c r="U2789" i="9"/>
  <c r="V2789" i="9" s="1"/>
  <c r="U2788" i="9"/>
  <c r="V2788" i="9" s="1"/>
  <c r="U2787" i="9"/>
  <c r="V2787" i="9" s="1"/>
  <c r="U2786" i="9"/>
  <c r="V2786" i="9" s="1"/>
  <c r="U2785" i="9"/>
  <c r="V2785" i="9" s="1"/>
  <c r="U2784" i="9"/>
  <c r="V2784" i="9" s="1"/>
  <c r="U2783" i="9"/>
  <c r="V2783" i="9" s="1"/>
  <c r="U2782" i="9"/>
  <c r="V2782" i="9" s="1"/>
  <c r="U2781" i="9"/>
  <c r="V2781" i="9" s="1"/>
  <c r="U2780" i="9"/>
  <c r="V2780" i="9" s="1"/>
  <c r="U2779" i="9"/>
  <c r="V2779" i="9" s="1"/>
  <c r="U2778" i="9"/>
  <c r="V2778" i="9" s="1"/>
  <c r="U2777" i="9"/>
  <c r="V2777" i="9" s="1"/>
  <c r="U2776" i="9"/>
  <c r="V2776" i="9" s="1"/>
  <c r="U2775" i="9"/>
  <c r="V2775" i="9" s="1"/>
  <c r="U2774" i="9"/>
  <c r="V2774" i="9" s="1"/>
  <c r="U2773" i="9"/>
  <c r="V2773" i="9" s="1"/>
  <c r="U2772" i="9"/>
  <c r="V2772" i="9" s="1"/>
  <c r="U2771" i="9"/>
  <c r="V2771" i="9" s="1"/>
  <c r="U2770" i="9"/>
  <c r="V2770" i="9" s="1"/>
  <c r="U2769" i="9"/>
  <c r="V2769" i="9" s="1"/>
  <c r="U2768" i="9"/>
  <c r="V2768" i="9" s="1"/>
  <c r="U2767" i="9"/>
  <c r="V2767" i="9" s="1"/>
  <c r="U2766" i="9"/>
  <c r="V2766" i="9" s="1"/>
  <c r="U2765" i="9"/>
  <c r="V2765" i="9" s="1"/>
  <c r="U2764" i="9"/>
  <c r="V2764" i="9" s="1"/>
  <c r="U2763" i="9"/>
  <c r="V2763" i="9" s="1"/>
  <c r="U2762" i="9"/>
  <c r="V2762" i="9" s="1"/>
  <c r="U2761" i="9"/>
  <c r="V2761" i="9" s="1"/>
  <c r="U2760" i="9"/>
  <c r="V2760" i="9" s="1"/>
  <c r="U2759" i="9"/>
  <c r="V2759" i="9" s="1"/>
  <c r="U2758" i="9"/>
  <c r="V2758" i="9" s="1"/>
  <c r="U2757" i="9"/>
  <c r="V2757" i="9" s="1"/>
  <c r="U2756" i="9"/>
  <c r="V2756" i="9" s="1"/>
  <c r="U2755" i="9"/>
  <c r="V2755" i="9" s="1"/>
  <c r="U2754" i="9"/>
  <c r="V2754" i="9" s="1"/>
  <c r="U2753" i="9"/>
  <c r="V2753" i="9" s="1"/>
  <c r="U2752" i="9"/>
  <c r="V2752" i="9" s="1"/>
  <c r="U2751" i="9"/>
  <c r="V2751" i="9" s="1"/>
  <c r="U2750" i="9"/>
  <c r="V2750" i="9" s="1"/>
  <c r="U2749" i="9"/>
  <c r="V2749" i="9" s="1"/>
  <c r="U2748" i="9"/>
  <c r="V2748" i="9" s="1"/>
  <c r="U2747" i="9"/>
  <c r="V2747" i="9" s="1"/>
  <c r="U2746" i="9"/>
  <c r="V2746" i="9" s="1"/>
  <c r="U2745" i="9"/>
  <c r="V2745" i="9" s="1"/>
  <c r="U2744" i="9"/>
  <c r="V2744" i="9" s="1"/>
  <c r="U2743" i="9"/>
  <c r="V2743" i="9" s="1"/>
  <c r="U2742" i="9"/>
  <c r="V2742" i="9" s="1"/>
  <c r="U2741" i="9"/>
  <c r="V2741" i="9" s="1"/>
  <c r="U2740" i="9"/>
  <c r="V2740" i="9" s="1"/>
  <c r="U2739" i="9"/>
  <c r="V2739" i="9" s="1"/>
  <c r="U2738" i="9"/>
  <c r="V2738" i="9" s="1"/>
  <c r="U2737" i="9"/>
  <c r="V2737" i="9" s="1"/>
  <c r="U2736" i="9"/>
  <c r="V2736" i="9" s="1"/>
  <c r="U2735" i="9"/>
  <c r="V2735" i="9" s="1"/>
  <c r="U2734" i="9"/>
  <c r="V2734" i="9" s="1"/>
  <c r="U2733" i="9"/>
  <c r="V2733" i="9" s="1"/>
  <c r="U2732" i="9"/>
  <c r="V2732" i="9" s="1"/>
  <c r="U2731" i="9"/>
  <c r="V2731" i="9" s="1"/>
  <c r="U2730" i="9"/>
  <c r="V2730" i="9" s="1"/>
  <c r="U2729" i="9"/>
  <c r="V2729" i="9" s="1"/>
  <c r="U2728" i="9"/>
  <c r="V2728" i="9" s="1"/>
  <c r="U2727" i="9"/>
  <c r="V2727" i="9" s="1"/>
  <c r="U2726" i="9"/>
  <c r="V2726" i="9" s="1"/>
  <c r="U2725" i="9"/>
  <c r="V2725" i="9" s="1"/>
  <c r="U2724" i="9"/>
  <c r="V2724" i="9" s="1"/>
  <c r="U2723" i="9"/>
  <c r="V2723" i="9" s="1"/>
  <c r="U2722" i="9"/>
  <c r="V2722" i="9" s="1"/>
  <c r="U2721" i="9"/>
  <c r="V2721" i="9" s="1"/>
  <c r="U2720" i="9"/>
  <c r="V2720" i="9" s="1"/>
  <c r="U2719" i="9"/>
  <c r="V2719" i="9" s="1"/>
  <c r="U2718" i="9"/>
  <c r="V2718" i="9" s="1"/>
  <c r="U2717" i="9"/>
  <c r="V2717" i="9" s="1"/>
  <c r="U2716" i="9"/>
  <c r="V2716" i="9" s="1"/>
  <c r="U2715" i="9"/>
  <c r="V2715" i="9" s="1"/>
  <c r="U2714" i="9"/>
  <c r="V2714" i="9" s="1"/>
  <c r="U2713" i="9"/>
  <c r="V2713" i="9" s="1"/>
  <c r="U2712" i="9"/>
  <c r="V2712" i="9" s="1"/>
  <c r="U2711" i="9"/>
  <c r="V2711" i="9" s="1"/>
  <c r="U2710" i="9"/>
  <c r="V2710" i="9" s="1"/>
  <c r="U2709" i="9"/>
  <c r="V2709" i="9" s="1"/>
  <c r="U2708" i="9"/>
  <c r="V2708" i="9" s="1"/>
  <c r="U2707" i="9"/>
  <c r="V2707" i="9" s="1"/>
  <c r="U2706" i="9"/>
  <c r="V2706" i="9" s="1"/>
  <c r="U2705" i="9"/>
  <c r="V2705" i="9" s="1"/>
  <c r="U2704" i="9"/>
  <c r="V2704" i="9" s="1"/>
  <c r="U2703" i="9"/>
  <c r="V2703" i="9" s="1"/>
  <c r="U2702" i="9"/>
  <c r="V2702" i="9" s="1"/>
  <c r="U2701" i="9"/>
  <c r="V2701" i="9" s="1"/>
  <c r="U2700" i="9"/>
  <c r="V2700" i="9" s="1"/>
  <c r="U2699" i="9"/>
  <c r="V2699" i="9" s="1"/>
  <c r="U2698" i="9"/>
  <c r="V2698" i="9" s="1"/>
  <c r="U2697" i="9"/>
  <c r="V2697" i="9" s="1"/>
  <c r="U2696" i="9"/>
  <c r="V2696" i="9" s="1"/>
  <c r="U2695" i="9"/>
  <c r="V2695" i="9" s="1"/>
  <c r="U2694" i="9"/>
  <c r="V2694" i="9" s="1"/>
  <c r="U2693" i="9"/>
  <c r="V2693" i="9" s="1"/>
  <c r="U2692" i="9"/>
  <c r="V2692" i="9" s="1"/>
  <c r="U2691" i="9"/>
  <c r="V2691" i="9" s="1"/>
  <c r="U2690" i="9"/>
  <c r="V2690" i="9" s="1"/>
  <c r="U2689" i="9"/>
  <c r="V2689" i="9" s="1"/>
  <c r="U2688" i="9"/>
  <c r="V2688" i="9" s="1"/>
  <c r="U2687" i="9"/>
  <c r="V2687" i="9" s="1"/>
  <c r="U2686" i="9"/>
  <c r="V2686" i="9" s="1"/>
  <c r="U2685" i="9"/>
  <c r="V2685" i="9" s="1"/>
  <c r="U2684" i="9"/>
  <c r="V2684" i="9" s="1"/>
  <c r="U2683" i="9"/>
  <c r="V2683" i="9" s="1"/>
  <c r="U2682" i="9"/>
  <c r="V2682" i="9" s="1"/>
  <c r="U2681" i="9"/>
  <c r="V2681" i="9" s="1"/>
  <c r="U2680" i="9"/>
  <c r="V2680" i="9" s="1"/>
  <c r="U2679" i="9"/>
  <c r="V2679" i="9" s="1"/>
  <c r="U2678" i="9"/>
  <c r="V2678" i="9" s="1"/>
  <c r="U2677" i="9"/>
  <c r="V2677" i="9" s="1"/>
  <c r="U2676" i="9"/>
  <c r="V2676" i="9" s="1"/>
  <c r="U2675" i="9"/>
  <c r="V2675" i="9" s="1"/>
  <c r="U2674" i="9"/>
  <c r="V2674" i="9" s="1"/>
  <c r="U2673" i="9"/>
  <c r="V2673" i="9" s="1"/>
  <c r="U2672" i="9"/>
  <c r="V2672" i="9" s="1"/>
  <c r="U2671" i="9"/>
  <c r="V2671" i="9" s="1"/>
  <c r="U2670" i="9"/>
  <c r="V2670" i="9" s="1"/>
  <c r="U2669" i="9"/>
  <c r="V2669" i="9" s="1"/>
  <c r="U2668" i="9"/>
  <c r="V2668" i="9" s="1"/>
  <c r="U2667" i="9"/>
  <c r="V2667" i="9" s="1"/>
  <c r="U2666" i="9"/>
  <c r="V2666" i="9" s="1"/>
  <c r="U2665" i="9"/>
  <c r="V2665" i="9" s="1"/>
  <c r="U2664" i="9"/>
  <c r="V2664" i="9" s="1"/>
  <c r="U2663" i="9"/>
  <c r="V2663" i="9" s="1"/>
  <c r="U2662" i="9"/>
  <c r="V2662" i="9" s="1"/>
  <c r="U2661" i="9"/>
  <c r="V2661" i="9" s="1"/>
  <c r="U2660" i="9"/>
  <c r="V2660" i="9" s="1"/>
  <c r="U2659" i="9"/>
  <c r="V2659" i="9" s="1"/>
  <c r="U2658" i="9"/>
  <c r="V2658" i="9" s="1"/>
  <c r="U2657" i="9"/>
  <c r="V2657" i="9" s="1"/>
  <c r="U2656" i="9"/>
  <c r="V2656" i="9" s="1"/>
  <c r="U2655" i="9"/>
  <c r="V2655" i="9" s="1"/>
  <c r="U2654" i="9"/>
  <c r="V2654" i="9" s="1"/>
  <c r="U2653" i="9"/>
  <c r="V2653" i="9" s="1"/>
  <c r="U2652" i="9"/>
  <c r="V2652" i="9" s="1"/>
  <c r="U2651" i="9"/>
  <c r="V2651" i="9" s="1"/>
  <c r="U2650" i="9"/>
  <c r="V2650" i="9" s="1"/>
  <c r="U2649" i="9"/>
  <c r="V2649" i="9" s="1"/>
  <c r="U2648" i="9"/>
  <c r="V2648" i="9" s="1"/>
  <c r="U2647" i="9"/>
  <c r="V2647" i="9" s="1"/>
  <c r="U2646" i="9"/>
  <c r="V2646" i="9" s="1"/>
  <c r="U2645" i="9"/>
  <c r="V2645" i="9" s="1"/>
  <c r="U2644" i="9"/>
  <c r="V2644" i="9" s="1"/>
  <c r="U2643" i="9"/>
  <c r="V2643" i="9" s="1"/>
  <c r="U2642" i="9"/>
  <c r="V2642" i="9" s="1"/>
  <c r="U2641" i="9"/>
  <c r="V2641" i="9" s="1"/>
  <c r="U2640" i="9"/>
  <c r="V2640" i="9" s="1"/>
  <c r="U2639" i="9"/>
  <c r="V2639" i="9" s="1"/>
  <c r="U2638" i="9"/>
  <c r="V2638" i="9" s="1"/>
  <c r="U2637" i="9"/>
  <c r="V2637" i="9" s="1"/>
  <c r="U2636" i="9"/>
  <c r="V2636" i="9" s="1"/>
  <c r="U2635" i="9"/>
  <c r="V2635" i="9" s="1"/>
  <c r="U2634" i="9"/>
  <c r="V2634" i="9" s="1"/>
  <c r="U2633" i="9"/>
  <c r="V2633" i="9" s="1"/>
  <c r="U2632" i="9"/>
  <c r="V2632" i="9" s="1"/>
  <c r="U2631" i="9"/>
  <c r="V2631" i="9" s="1"/>
  <c r="U2630" i="9"/>
  <c r="V2630" i="9" s="1"/>
  <c r="U2629" i="9"/>
  <c r="V2629" i="9" s="1"/>
  <c r="U2628" i="9"/>
  <c r="V2628" i="9" s="1"/>
  <c r="U2627" i="9"/>
  <c r="V2627" i="9" s="1"/>
  <c r="U2626" i="9"/>
  <c r="V2626" i="9" s="1"/>
  <c r="U2625" i="9"/>
  <c r="V2625" i="9" s="1"/>
  <c r="U2624" i="9"/>
  <c r="V2624" i="9" s="1"/>
  <c r="U2623" i="9"/>
  <c r="V2623" i="9" s="1"/>
  <c r="U2622" i="9"/>
  <c r="V2622" i="9" s="1"/>
  <c r="U2621" i="9"/>
  <c r="V2621" i="9" s="1"/>
  <c r="U2620" i="9"/>
  <c r="V2620" i="9" s="1"/>
  <c r="U2619" i="9"/>
  <c r="V2619" i="9" s="1"/>
  <c r="U2618" i="9"/>
  <c r="V2618" i="9" s="1"/>
  <c r="U2617" i="9"/>
  <c r="V2617" i="9" s="1"/>
  <c r="U2616" i="9"/>
  <c r="V2616" i="9" s="1"/>
  <c r="U2615" i="9"/>
  <c r="V2615" i="9" s="1"/>
  <c r="U2614" i="9"/>
  <c r="V2614" i="9" s="1"/>
  <c r="U2613" i="9"/>
  <c r="V2613" i="9" s="1"/>
  <c r="U2612" i="9"/>
  <c r="V2612" i="9" s="1"/>
  <c r="U2611" i="9"/>
  <c r="V2611" i="9" s="1"/>
  <c r="U2610" i="9"/>
  <c r="V2610" i="9" s="1"/>
  <c r="U2609" i="9"/>
  <c r="V2609" i="9" s="1"/>
  <c r="U2608" i="9"/>
  <c r="V2608" i="9" s="1"/>
  <c r="U2607" i="9"/>
  <c r="V2607" i="9" s="1"/>
  <c r="U2606" i="9"/>
  <c r="V2606" i="9" s="1"/>
  <c r="U2605" i="9"/>
  <c r="V2605" i="9" s="1"/>
  <c r="U2604" i="9"/>
  <c r="V2604" i="9" s="1"/>
  <c r="U2603" i="9"/>
  <c r="V2603" i="9" s="1"/>
  <c r="U2602" i="9"/>
  <c r="V2602" i="9" s="1"/>
  <c r="U2601" i="9"/>
  <c r="V2601" i="9" s="1"/>
  <c r="U2600" i="9"/>
  <c r="V2600" i="9" s="1"/>
  <c r="U2599" i="9"/>
  <c r="V2599" i="9" s="1"/>
  <c r="U2598" i="9"/>
  <c r="V2598" i="9" s="1"/>
  <c r="U2597" i="9"/>
  <c r="V2597" i="9" s="1"/>
  <c r="U2596" i="9"/>
  <c r="V2596" i="9" s="1"/>
  <c r="P24" i="14"/>
  <c r="U2595" i="9"/>
  <c r="V2595" i="9" s="1"/>
  <c r="U2594" i="9"/>
  <c r="V2594" i="9" s="1"/>
  <c r="U2593" i="9"/>
  <c r="V2593" i="9" s="1"/>
  <c r="U2592" i="9"/>
  <c r="V2592" i="9" s="1"/>
  <c r="U2591" i="9"/>
  <c r="V2591" i="9" s="1"/>
  <c r="U2590" i="9"/>
  <c r="V2590" i="9" s="1"/>
  <c r="U2589" i="9"/>
  <c r="V2589" i="9" s="1"/>
  <c r="U2588" i="9"/>
  <c r="V2588" i="9" s="1"/>
  <c r="U2587" i="9"/>
  <c r="V2587" i="9" s="1"/>
  <c r="U2586" i="9"/>
  <c r="V2586" i="9" s="1"/>
  <c r="U2585" i="9"/>
  <c r="V2585" i="9" s="1"/>
  <c r="U2584" i="9"/>
  <c r="V2584" i="9" s="1"/>
  <c r="U2583" i="9"/>
  <c r="V2583" i="9" s="1"/>
  <c r="U2582" i="9"/>
  <c r="V2582" i="9" s="1"/>
  <c r="U2581" i="9"/>
  <c r="V2581" i="9" s="1"/>
  <c r="U2580" i="9"/>
  <c r="V2580" i="9" s="1"/>
  <c r="U2579" i="9"/>
  <c r="V2579" i="9" s="1"/>
  <c r="U2578" i="9"/>
  <c r="V2578" i="9" s="1"/>
  <c r="U2577" i="9"/>
  <c r="V2577" i="9" s="1"/>
  <c r="U2576" i="9"/>
  <c r="V2576" i="9" s="1"/>
  <c r="U2575" i="9"/>
  <c r="V2575" i="9" s="1"/>
  <c r="U2574" i="9"/>
  <c r="V2574" i="9" s="1"/>
  <c r="U2573" i="9"/>
  <c r="V2573" i="9" s="1"/>
  <c r="U2572" i="9"/>
  <c r="V2572" i="9" s="1"/>
  <c r="U2571" i="9"/>
  <c r="V2571" i="9" s="1"/>
  <c r="U2570" i="9"/>
  <c r="V2570" i="9" s="1"/>
  <c r="U2569" i="9"/>
  <c r="V2569" i="9" s="1"/>
  <c r="U2568" i="9"/>
  <c r="V2568" i="9" s="1"/>
  <c r="U2567" i="9"/>
  <c r="V2567" i="9" s="1"/>
  <c r="U2566" i="9"/>
  <c r="V2566" i="9" s="1"/>
  <c r="U2565" i="9"/>
  <c r="V2565" i="9" s="1"/>
  <c r="U2564" i="9"/>
  <c r="V2564" i="9" s="1"/>
  <c r="U2563" i="9"/>
  <c r="V2563" i="9" s="1"/>
  <c r="U2562" i="9"/>
  <c r="V2562" i="9" s="1"/>
  <c r="U2561" i="9"/>
  <c r="V2561" i="9" s="1"/>
  <c r="U2560" i="9"/>
  <c r="V2560" i="9" s="1"/>
  <c r="U2559" i="9"/>
  <c r="V2559" i="9" s="1"/>
  <c r="U2558" i="9"/>
  <c r="V2558" i="9" s="1"/>
  <c r="U2557" i="9"/>
  <c r="V2557" i="9" s="1"/>
  <c r="U2556" i="9"/>
  <c r="V2556" i="9" s="1"/>
  <c r="U2555" i="9"/>
  <c r="V2555" i="9" s="1"/>
  <c r="U2554" i="9"/>
  <c r="V2554" i="9" s="1"/>
  <c r="U2553" i="9"/>
  <c r="V2553" i="9" s="1"/>
  <c r="U2552" i="9"/>
  <c r="V2552" i="9" s="1"/>
  <c r="U2551" i="9"/>
  <c r="V2551" i="9" s="1"/>
  <c r="U2550" i="9"/>
  <c r="V2550" i="9" s="1"/>
  <c r="U2549" i="9"/>
  <c r="V2549" i="9" s="1"/>
  <c r="U2548" i="9"/>
  <c r="V2548" i="9" s="1"/>
  <c r="U2547" i="9"/>
  <c r="V2547" i="9" s="1"/>
  <c r="U2546" i="9"/>
  <c r="V2546" i="9" s="1"/>
  <c r="U2545" i="9"/>
  <c r="V2545" i="9" s="1"/>
  <c r="U2544" i="9"/>
  <c r="V2544" i="9" s="1"/>
  <c r="U2543" i="9"/>
  <c r="V2543" i="9" s="1"/>
  <c r="U2542" i="9"/>
  <c r="V2542" i="9" s="1"/>
  <c r="U2541" i="9"/>
  <c r="V2541" i="9" s="1"/>
  <c r="U2540" i="9"/>
  <c r="V2540" i="9" s="1"/>
  <c r="U2539" i="9"/>
  <c r="V2539" i="9" s="1"/>
  <c r="U2538" i="9"/>
  <c r="V2538" i="9" s="1"/>
  <c r="U2537" i="9"/>
  <c r="V2537" i="9" s="1"/>
  <c r="U2536" i="9"/>
  <c r="V2536" i="9" s="1"/>
  <c r="U2535" i="9"/>
  <c r="V2535" i="9" s="1"/>
  <c r="U2534" i="9"/>
  <c r="V2534" i="9" s="1"/>
  <c r="U2533" i="9"/>
  <c r="V2533" i="9" s="1"/>
  <c r="U2532" i="9"/>
  <c r="V2532" i="9" s="1"/>
  <c r="U2531" i="9"/>
  <c r="V2531" i="9" s="1"/>
  <c r="U2530" i="9"/>
  <c r="V2530" i="9" s="1"/>
  <c r="U2529" i="9"/>
  <c r="V2529" i="9" s="1"/>
  <c r="U2528" i="9" l="1"/>
  <c r="V2528" i="9" s="1"/>
  <c r="U2527" i="9"/>
  <c r="V2527" i="9" s="1"/>
  <c r="U2526" i="9"/>
  <c r="V2526" i="9" s="1"/>
  <c r="U2525" i="9"/>
  <c r="V2525" i="9" s="1"/>
  <c r="U2524" i="9"/>
  <c r="V2524" i="9" s="1"/>
  <c r="U2523" i="9"/>
  <c r="V2523" i="9" s="1"/>
  <c r="U2522" i="9"/>
  <c r="V2522" i="9" s="1"/>
  <c r="U2521" i="9"/>
  <c r="V2521" i="9" s="1"/>
  <c r="U2520" i="9"/>
  <c r="V2520" i="9" s="1"/>
  <c r="U2519" i="9"/>
  <c r="V2519" i="9" s="1"/>
  <c r="U2518" i="9"/>
  <c r="V2518" i="9" s="1"/>
  <c r="U2517" i="9"/>
  <c r="V2517" i="9" s="1"/>
  <c r="U2516" i="9"/>
  <c r="V2516" i="9" s="1"/>
  <c r="U2515" i="9"/>
  <c r="V2515" i="9" s="1"/>
  <c r="U2514" i="9"/>
  <c r="V2514" i="9" s="1"/>
  <c r="U2513" i="9"/>
  <c r="V2513" i="9" s="1"/>
  <c r="U2512" i="9"/>
  <c r="V2512" i="9" s="1"/>
  <c r="U2511" i="9"/>
  <c r="V2511" i="9" s="1"/>
  <c r="U2510" i="9"/>
  <c r="V2510" i="9" s="1"/>
  <c r="U2509" i="9"/>
  <c r="V2509" i="9" s="1"/>
  <c r="U2508" i="9"/>
  <c r="V2508" i="9" s="1"/>
  <c r="U2507" i="9"/>
  <c r="V2507" i="9" s="1"/>
  <c r="U2506" i="9"/>
  <c r="V2506" i="9" s="1"/>
  <c r="U2505" i="9"/>
  <c r="V2505" i="9" s="1"/>
  <c r="U2504" i="9"/>
  <c r="V2504" i="9" s="1"/>
  <c r="U2503" i="9"/>
  <c r="V2503" i="9" s="1"/>
  <c r="U2502" i="9"/>
  <c r="V2502" i="9" s="1"/>
  <c r="U2501" i="9"/>
  <c r="V2501" i="9" s="1"/>
  <c r="U2500" i="9"/>
  <c r="V2500" i="9" s="1"/>
  <c r="U2499" i="9"/>
  <c r="V2499" i="9" s="1"/>
  <c r="U2498" i="9"/>
  <c r="V2498" i="9" s="1"/>
  <c r="U2497" i="9"/>
  <c r="V2497" i="9" s="1"/>
  <c r="U2496" i="9"/>
  <c r="V2496" i="9" s="1"/>
  <c r="U2495" i="9"/>
  <c r="V2495" i="9" s="1"/>
  <c r="U2494" i="9"/>
  <c r="V2494" i="9" s="1"/>
  <c r="U2493" i="9"/>
  <c r="V2493" i="9" s="1"/>
  <c r="U2492" i="9"/>
  <c r="V2492" i="9" s="1"/>
  <c r="U2491" i="9"/>
  <c r="V2491" i="9" s="1"/>
  <c r="U2490" i="9"/>
  <c r="V2490" i="9" s="1"/>
  <c r="U2489" i="9"/>
  <c r="V2489" i="9" s="1"/>
  <c r="C26" i="14" l="1"/>
  <c r="D26" i="14" s="1"/>
  <c r="E26" i="14" s="1"/>
  <c r="C26" i="18"/>
  <c r="D26" i="18" s="1"/>
  <c r="E26" i="18" s="1"/>
  <c r="C22" i="14"/>
  <c r="D22" i="14" s="1"/>
  <c r="E22" i="14" s="1"/>
  <c r="C21" i="14"/>
  <c r="D21" i="14" s="1"/>
  <c r="E21" i="14" s="1"/>
  <c r="U2488" i="9"/>
  <c r="V2488" i="9" s="1"/>
  <c r="U2487" i="9"/>
  <c r="V2487" i="9" s="1"/>
  <c r="U2486" i="9"/>
  <c r="V2486" i="9" s="1"/>
  <c r="U2485" i="9"/>
  <c r="V2485" i="9" s="1"/>
  <c r="U2484" i="9"/>
  <c r="V2484" i="9" s="1"/>
  <c r="U2483" i="9"/>
  <c r="V2483" i="9" s="1"/>
  <c r="U2482" i="9"/>
  <c r="V2482" i="9" s="1"/>
  <c r="U2481" i="9"/>
  <c r="V2481" i="9" s="1"/>
  <c r="U2480" i="9"/>
  <c r="V2480" i="9" s="1"/>
  <c r="U2479" i="9"/>
  <c r="V2479" i="9" s="1"/>
  <c r="U2478" i="9"/>
  <c r="V2478" i="9" s="1"/>
  <c r="U2477" i="9"/>
  <c r="V2477" i="9" s="1"/>
  <c r="U2476" i="9"/>
  <c r="V2476" i="9" s="1"/>
  <c r="U2475" i="9"/>
  <c r="V2475" i="9" s="1"/>
  <c r="U2474" i="9"/>
  <c r="V2474" i="9" s="1"/>
  <c r="U2473" i="9"/>
  <c r="V2473" i="9" s="1"/>
  <c r="U2472" i="9"/>
  <c r="V2472" i="9" s="1"/>
  <c r="U2471" i="9"/>
  <c r="V2471" i="9" s="1"/>
  <c r="U2470" i="9"/>
  <c r="V2470" i="9" s="1"/>
  <c r="U2469" i="9"/>
  <c r="V2469" i="9" s="1"/>
  <c r="U2468" i="9"/>
  <c r="V2468" i="9" s="1"/>
  <c r="U2467" i="9"/>
  <c r="V2467" i="9" s="1"/>
  <c r="U2466" i="9"/>
  <c r="V2466" i="9" s="1"/>
  <c r="U2465" i="9"/>
  <c r="V2465" i="9" s="1"/>
  <c r="U2464" i="9"/>
  <c r="V2464" i="9" s="1"/>
  <c r="U2463" i="9"/>
  <c r="V2463" i="9" s="1"/>
  <c r="U2462" i="9"/>
  <c r="V2462" i="9" s="1"/>
  <c r="U2461" i="9"/>
  <c r="V2461" i="9" s="1"/>
  <c r="U2460" i="9"/>
  <c r="V2460" i="9" s="1"/>
  <c r="U2459" i="9"/>
  <c r="V2459" i="9" s="1"/>
  <c r="U2458" i="9"/>
  <c r="V2458" i="9" s="1"/>
  <c r="U2457" i="9"/>
  <c r="V2457" i="9" s="1"/>
  <c r="U2456" i="9"/>
  <c r="V2456" i="9" s="1"/>
  <c r="U2455" i="9"/>
  <c r="V2455" i="9" s="1"/>
  <c r="U2454" i="9"/>
  <c r="V2454" i="9" s="1"/>
  <c r="U2453" i="9"/>
  <c r="V2453" i="9" s="1"/>
  <c r="U2452" i="9"/>
  <c r="V2452" i="9" s="1"/>
  <c r="U2451" i="9"/>
  <c r="V2451" i="9" s="1"/>
  <c r="U2450" i="9"/>
  <c r="V2450" i="9" s="1"/>
  <c r="U2449" i="9"/>
  <c r="V2449" i="9" s="1"/>
  <c r="U2448" i="9"/>
  <c r="V2448" i="9" s="1"/>
  <c r="U2447" i="9"/>
  <c r="V2447" i="9" s="1"/>
  <c r="U2446" i="9"/>
  <c r="V2446" i="9" s="1"/>
  <c r="U2445" i="9"/>
  <c r="V2445" i="9" s="1"/>
  <c r="U2444" i="9"/>
  <c r="V2444" i="9" s="1"/>
  <c r="U2443" i="9"/>
  <c r="V2443" i="9" s="1"/>
  <c r="U2442" i="9"/>
  <c r="V2442" i="9" s="1"/>
  <c r="U2441" i="9"/>
  <c r="V2441" i="9" s="1"/>
  <c r="U2440" i="9"/>
  <c r="V2440" i="9" s="1"/>
  <c r="U2439" i="9"/>
  <c r="V2439" i="9" s="1"/>
  <c r="U2438" i="9"/>
  <c r="V2438" i="9" s="1"/>
  <c r="U2437" i="9"/>
  <c r="V2437" i="9" s="1"/>
  <c r="U2436" i="9"/>
  <c r="V2436" i="9" s="1"/>
  <c r="U2435" i="9"/>
  <c r="V2435" i="9" s="1"/>
  <c r="U2434" i="9"/>
  <c r="V2434" i="9" s="1"/>
  <c r="U2433" i="9"/>
  <c r="V2433" i="9" s="1"/>
  <c r="U2432" i="9"/>
  <c r="V2432" i="9" s="1"/>
  <c r="U2431" i="9"/>
  <c r="V2431" i="9" s="1"/>
  <c r="U2430" i="9"/>
  <c r="V2430" i="9" s="1"/>
  <c r="U2429" i="9"/>
  <c r="V2429" i="9" s="1"/>
  <c r="U2428" i="9"/>
  <c r="V2428" i="9" s="1"/>
  <c r="U2427" i="9"/>
  <c r="V2427" i="9" s="1"/>
  <c r="U2426" i="9"/>
  <c r="V2426" i="9" s="1"/>
  <c r="U2425" i="9"/>
  <c r="V2425" i="9" s="1"/>
  <c r="U2424" i="9"/>
  <c r="V2424" i="9" s="1"/>
  <c r="U2423" i="9"/>
  <c r="V2423" i="9" s="1"/>
  <c r="U2422" i="9"/>
  <c r="V2422" i="9" s="1"/>
  <c r="U2421" i="9"/>
  <c r="V2421" i="9" s="1"/>
  <c r="X2421" i="9"/>
  <c r="Y2421" i="9"/>
  <c r="Z2421" i="9"/>
  <c r="U2420" i="9"/>
  <c r="V2420" i="9" s="1"/>
  <c r="U2419" i="9"/>
  <c r="V2419" i="9" s="1"/>
  <c r="U2418" i="9"/>
  <c r="V2418" i="9" s="1"/>
  <c r="U2417" i="9"/>
  <c r="V2417" i="9" s="1"/>
  <c r="U2416" i="9"/>
  <c r="V2416" i="9" s="1"/>
  <c r="U2415" i="9"/>
  <c r="V2415" i="9" s="1"/>
  <c r="U2414" i="9"/>
  <c r="V2414" i="9" s="1"/>
  <c r="U2413" i="9"/>
  <c r="V2413" i="9" s="1"/>
  <c r="U2412" i="9"/>
  <c r="V2412" i="9" s="1"/>
  <c r="U2411" i="9"/>
  <c r="V2411" i="9" s="1"/>
  <c r="U2410" i="9"/>
  <c r="V2410" i="9" s="1"/>
  <c r="U2409" i="9"/>
  <c r="V2409" i="9" s="1"/>
  <c r="U2408" i="9"/>
  <c r="V2408" i="9" s="1"/>
  <c r="U2407" i="9"/>
  <c r="V2407" i="9" s="1"/>
  <c r="U2406" i="9"/>
  <c r="V2406" i="9" s="1"/>
  <c r="U2405" i="9"/>
  <c r="V2405" i="9" s="1"/>
  <c r="U2404" i="9"/>
  <c r="V2404" i="9" s="1"/>
  <c r="U2403" i="9"/>
  <c r="V2403" i="9" s="1"/>
  <c r="U2402" i="9"/>
  <c r="V2402" i="9" s="1"/>
  <c r="U2401" i="9"/>
  <c r="V2401" i="9" s="1"/>
  <c r="G44" i="18" l="1"/>
  <c r="F42" i="18"/>
  <c r="G42" i="18" s="1"/>
  <c r="F41" i="18"/>
  <c r="G43" i="18"/>
  <c r="S40" i="18" s="1"/>
  <c r="Q4" i="18"/>
  <c r="C22" i="18"/>
  <c r="D22" i="18" s="1"/>
  <c r="O10" i="18"/>
  <c r="C21" i="18"/>
  <c r="D21" i="18" s="1"/>
  <c r="O25" i="18"/>
  <c r="O27" i="18"/>
  <c r="U2400" i="9"/>
  <c r="V2400" i="9" s="1"/>
  <c r="U2399" i="9"/>
  <c r="V2399" i="9" s="1"/>
  <c r="U2398" i="9"/>
  <c r="V2398" i="9" s="1"/>
  <c r="U2397" i="9"/>
  <c r="V2397" i="9" s="1"/>
  <c r="U2396" i="9"/>
  <c r="V2396" i="9" s="1"/>
  <c r="U2395" i="9"/>
  <c r="V2395" i="9" s="1"/>
  <c r="U2394" i="9"/>
  <c r="V2394" i="9" s="1"/>
  <c r="U2393" i="9"/>
  <c r="V2393" i="9" s="1"/>
  <c r="U2392" i="9"/>
  <c r="V2392" i="9" s="1"/>
  <c r="U2391" i="9"/>
  <c r="V2391" i="9" s="1"/>
  <c r="U2390" i="9"/>
  <c r="V2390" i="9" s="1"/>
  <c r="U2389" i="9"/>
  <c r="V2389" i="9" s="1"/>
  <c r="U2388" i="9"/>
  <c r="V2388" i="9" s="1"/>
  <c r="X2394" i="9"/>
  <c r="X2395" i="9"/>
  <c r="X2396" i="9"/>
  <c r="X2397" i="9"/>
  <c r="X2398" i="9"/>
  <c r="X2399" i="9"/>
  <c r="X2400" i="9"/>
  <c r="X2401" i="9"/>
  <c r="X2402" i="9"/>
  <c r="X2403" i="9"/>
  <c r="X2404" i="9"/>
  <c r="X2405" i="9"/>
  <c r="X2406" i="9"/>
  <c r="U2387" i="9"/>
  <c r="V2387" i="9" s="1"/>
  <c r="U2386" i="9"/>
  <c r="V2386" i="9" s="1"/>
  <c r="U2385" i="9"/>
  <c r="V2385" i="9" s="1"/>
  <c r="U2384" i="9"/>
  <c r="V2384" i="9" s="1"/>
  <c r="U2383" i="9"/>
  <c r="V2383" i="9" s="1"/>
  <c r="U2382" i="9"/>
  <c r="V2382" i="9" s="1"/>
  <c r="U2381" i="9"/>
  <c r="V2381" i="9" s="1"/>
  <c r="U2380" i="9"/>
  <c r="V2380" i="9" s="1"/>
  <c r="U2379" i="9"/>
  <c r="V2379" i="9" s="1"/>
  <c r="U2378" i="9"/>
  <c r="V2378" i="9" s="1"/>
  <c r="U2377" i="9"/>
  <c r="V2377" i="9" s="1"/>
  <c r="U2376" i="9"/>
  <c r="V2376" i="9" s="1"/>
  <c r="U2375" i="9"/>
  <c r="V2375" i="9" s="1"/>
  <c r="U2374" i="9"/>
  <c r="V2374" i="9" s="1"/>
  <c r="U2373" i="9"/>
  <c r="V2373" i="9" s="1"/>
  <c r="U2372" i="9"/>
  <c r="V2372" i="9" s="1"/>
  <c r="U2371" i="9"/>
  <c r="V2371" i="9" s="1"/>
  <c r="U2370" i="9"/>
  <c r="V2370" i="9" s="1"/>
  <c r="U2369" i="9"/>
  <c r="V2369" i="9" s="1"/>
  <c r="U2368" i="9"/>
  <c r="V2368" i="9" s="1"/>
  <c r="U2367" i="9"/>
  <c r="V2367" i="9" s="1"/>
  <c r="U2366" i="9"/>
  <c r="V2366" i="9" s="1"/>
  <c r="U2365" i="9"/>
  <c r="V2365" i="9" s="1"/>
  <c r="U2364" i="9"/>
  <c r="V2364" i="9" s="1"/>
  <c r="U2363" i="9"/>
  <c r="V2363" i="9" s="1"/>
  <c r="U2362" i="9"/>
  <c r="V2362" i="9" s="1"/>
  <c r="U2361" i="9"/>
  <c r="V2361" i="9" s="1"/>
  <c r="U2360" i="9"/>
  <c r="V2360" i="9" s="1"/>
  <c r="U2359" i="9"/>
  <c r="V2359" i="9" s="1"/>
  <c r="U2358" i="9"/>
  <c r="V2358" i="9" s="1"/>
  <c r="U2357" i="9"/>
  <c r="V2357" i="9" s="1"/>
  <c r="U2356" i="9"/>
  <c r="V2356" i="9" s="1"/>
  <c r="U2355" i="9"/>
  <c r="V2355" i="9" s="1"/>
  <c r="U2354" i="9"/>
  <c r="V2354" i="9" s="1"/>
  <c r="U2353" i="9"/>
  <c r="V2353" i="9" s="1"/>
  <c r="U2352" i="9"/>
  <c r="V2352" i="9" s="1"/>
  <c r="U2351" i="9"/>
  <c r="V2351" i="9" s="1"/>
  <c r="U2350" i="9"/>
  <c r="V2350" i="9" s="1"/>
  <c r="U2349" i="9"/>
  <c r="V2349" i="9" s="1"/>
  <c r="U2348" i="9"/>
  <c r="V2348" i="9" s="1"/>
  <c r="U2347" i="9"/>
  <c r="V2347" i="9" s="1"/>
  <c r="E21" i="18" l="1"/>
  <c r="E22" i="18"/>
  <c r="U2346" i="9"/>
  <c r="V2346" i="9" s="1"/>
  <c r="U2345" i="9"/>
  <c r="V2345" i="9" s="1"/>
  <c r="U2344" i="9"/>
  <c r="V2344" i="9" s="1"/>
  <c r="U2343" i="9"/>
  <c r="V2343" i="9" s="1"/>
  <c r="U2342" i="9"/>
  <c r="V2342" i="9" s="1"/>
  <c r="U2341" i="9"/>
  <c r="V2341" i="9" s="1"/>
  <c r="U2340" i="9"/>
  <c r="V2340" i="9" s="1"/>
  <c r="U2339" i="9"/>
  <c r="V2339" i="9" s="1"/>
  <c r="U2338" i="9"/>
  <c r="V2338" i="9" s="1"/>
  <c r="U2337" i="9"/>
  <c r="V2337" i="9" s="1"/>
  <c r="U2336" i="9"/>
  <c r="V2336" i="9" s="1"/>
  <c r="U2335" i="9"/>
  <c r="V2335" i="9" s="1"/>
  <c r="U2334" i="9"/>
  <c r="V2334" i="9" s="1"/>
  <c r="U2333" i="9"/>
  <c r="V2333" i="9" s="1"/>
  <c r="U2332" i="9"/>
  <c r="V2332" i="9" s="1"/>
  <c r="U2331" i="9"/>
  <c r="V2331" i="9" s="1"/>
  <c r="U2330" i="9"/>
  <c r="V2330" i="9" s="1"/>
  <c r="U2329" i="9"/>
  <c r="V2329" i="9" s="1"/>
  <c r="U2328" i="9"/>
  <c r="V2328" i="9" s="1"/>
  <c r="U2327" i="9"/>
  <c r="V2327" i="9" s="1"/>
  <c r="U2326" i="9"/>
  <c r="V2326" i="9" s="1"/>
  <c r="U2325" i="9"/>
  <c r="V2325" i="9" s="1"/>
  <c r="U2324" i="9"/>
  <c r="V2324" i="9" s="1"/>
  <c r="U2323" i="9"/>
  <c r="V2323" i="9" s="1"/>
  <c r="U2322" i="9"/>
  <c r="V2322" i="9" s="1"/>
  <c r="U2321" i="9"/>
  <c r="V2321" i="9" s="1"/>
  <c r="U2320" i="9"/>
  <c r="V2320" i="9" s="1"/>
  <c r="U2319" i="9"/>
  <c r="V2319" i="9" s="1"/>
  <c r="U2318" i="9"/>
  <c r="V2318" i="9" s="1"/>
  <c r="U2317" i="9"/>
  <c r="V2317" i="9" s="1"/>
  <c r="U2316" i="9"/>
  <c r="V2316" i="9" s="1"/>
  <c r="U2315" i="9"/>
  <c r="V2315" i="9" s="1"/>
  <c r="U2314" i="9"/>
  <c r="V2314" i="9" s="1"/>
  <c r="U2313" i="9"/>
  <c r="V2313" i="9" s="1"/>
  <c r="U2312" i="9"/>
  <c r="V2312" i="9" s="1"/>
  <c r="U2311" i="9"/>
  <c r="V2311" i="9" s="1"/>
  <c r="U2310" i="9"/>
  <c r="V2310" i="9" s="1"/>
  <c r="U2309" i="9"/>
  <c r="V2309" i="9" s="1"/>
  <c r="U2308" i="9"/>
  <c r="V2308" i="9" s="1"/>
  <c r="U2307" i="9"/>
  <c r="V2307" i="9" s="1"/>
  <c r="U2306" i="9"/>
  <c r="V2306" i="9" s="1"/>
  <c r="U2305" i="9"/>
  <c r="V2305" i="9" s="1"/>
  <c r="U2304" i="9"/>
  <c r="V2304" i="9" s="1"/>
  <c r="U2303" i="9"/>
  <c r="V2303" i="9" s="1"/>
  <c r="U2302" i="9"/>
  <c r="V2302" i="9" s="1"/>
  <c r="U2301" i="9"/>
  <c r="V2301" i="9" s="1"/>
  <c r="U2300" i="9"/>
  <c r="V2300" i="9" s="1"/>
  <c r="U2299" i="9"/>
  <c r="V2299" i="9" s="1"/>
  <c r="U2298" i="9"/>
  <c r="V2298" i="9" s="1"/>
  <c r="U2297" i="9"/>
  <c r="V2297" i="9" s="1"/>
  <c r="U2296" i="9"/>
  <c r="V2296" i="9" s="1"/>
  <c r="U2295" i="9"/>
  <c r="V2295" i="9" s="1"/>
  <c r="U2294" i="9"/>
  <c r="V2294" i="9" s="1"/>
  <c r="U2293" i="9"/>
  <c r="V2293" i="9" s="1"/>
  <c r="O6" i="18"/>
  <c r="O7" i="18"/>
  <c r="O9" i="18"/>
  <c r="O11" i="18"/>
  <c r="O13" i="18"/>
  <c r="O14" i="18"/>
  <c r="O15" i="18"/>
  <c r="O30" i="18"/>
  <c r="O30" i="14"/>
  <c r="O27" i="14"/>
  <c r="O25" i="14"/>
  <c r="C31" i="14"/>
  <c r="D31" i="14" s="1"/>
  <c r="E31" i="14" s="1"/>
  <c r="C30" i="14"/>
  <c r="D30" i="14" s="1"/>
  <c r="E30" i="14" s="1"/>
  <c r="C29" i="14"/>
  <c r="D29" i="14" s="1"/>
  <c r="E29" i="14" s="1"/>
  <c r="C28" i="14"/>
  <c r="D28" i="14" s="1"/>
  <c r="E28" i="14" s="1"/>
  <c r="C27" i="14"/>
  <c r="D27" i="14" s="1"/>
  <c r="E27" i="14" s="1"/>
  <c r="C25" i="14"/>
  <c r="D25" i="14" s="1"/>
  <c r="E25" i="14" s="1"/>
  <c r="C24" i="14"/>
  <c r="D24" i="14" s="1"/>
  <c r="E24" i="14" s="1"/>
  <c r="C23" i="14"/>
  <c r="D23" i="14" s="1"/>
  <c r="E23" i="14" s="1"/>
  <c r="U2292" i="9"/>
  <c r="V2292" i="9" s="1"/>
  <c r="U2291" i="9"/>
  <c r="V2291" i="9" s="1"/>
  <c r="U2290" i="9"/>
  <c r="V2290" i="9" s="1"/>
  <c r="U2289" i="9"/>
  <c r="V2289" i="9" s="1"/>
  <c r="U2288" i="9"/>
  <c r="V2288" i="9" s="1"/>
  <c r="U2287" i="9"/>
  <c r="V2287" i="9" s="1"/>
  <c r="U2286" i="9"/>
  <c r="V2286" i="9" s="1"/>
  <c r="U2285" i="9"/>
  <c r="V2285" i="9" s="1"/>
  <c r="U2284" i="9"/>
  <c r="V2284" i="9" s="1"/>
  <c r="U2283" i="9"/>
  <c r="V2283" i="9" s="1"/>
  <c r="U2282" i="9"/>
  <c r="V2282" i="9" s="1"/>
  <c r="U2281" i="9"/>
  <c r="V2281" i="9" s="1"/>
  <c r="U2280" i="9"/>
  <c r="V2280" i="9" s="1"/>
  <c r="U2279" i="9"/>
  <c r="V2279" i="9" s="1"/>
  <c r="U2278" i="9"/>
  <c r="V2278" i="9" s="1"/>
  <c r="U2277" i="9"/>
  <c r="V2277" i="9" s="1"/>
  <c r="U2276" i="9"/>
  <c r="V2276" i="9" s="1"/>
  <c r="U2275" i="9"/>
  <c r="V2275" i="9" s="1"/>
  <c r="U2274" i="9"/>
  <c r="V2274" i="9" s="1"/>
  <c r="U2273" i="9"/>
  <c r="V2273" i="9" s="1"/>
  <c r="U2272" i="9"/>
  <c r="V2272" i="9" s="1"/>
  <c r="U2271" i="9"/>
  <c r="V2271" i="9" s="1"/>
  <c r="U2270" i="9"/>
  <c r="V2270" i="9" s="1"/>
  <c r="U2269" i="9"/>
  <c r="V2269" i="9" s="1"/>
  <c r="U2268" i="9"/>
  <c r="V2268" i="9" s="1"/>
  <c r="U2267" i="9"/>
  <c r="V2267" i="9" s="1"/>
  <c r="U2266" i="9"/>
  <c r="V2266" i="9" s="1"/>
  <c r="U2265" i="9"/>
  <c r="V2265" i="9" s="1"/>
  <c r="U2264" i="9"/>
  <c r="V2264" i="9" s="1"/>
  <c r="U2263" i="9"/>
  <c r="V2263" i="9" s="1"/>
  <c r="U2262" i="9"/>
  <c r="V2262" i="9" s="1"/>
  <c r="U2261" i="9"/>
  <c r="V2261" i="9" s="1"/>
  <c r="U2260" i="9"/>
  <c r="V2260" i="9" s="1"/>
  <c r="U2259" i="9"/>
  <c r="V2259" i="9" s="1"/>
  <c r="U2258" i="9"/>
  <c r="V2258" i="9" s="1"/>
  <c r="U2257" i="9"/>
  <c r="V2257" i="9" s="1"/>
  <c r="U2256" i="9"/>
  <c r="V2256" i="9" s="1"/>
  <c r="U2255" i="9"/>
  <c r="V2255" i="9" s="1"/>
  <c r="U2254" i="9"/>
  <c r="V2254" i="9" s="1"/>
  <c r="U2253" i="9"/>
  <c r="V2253" i="9" s="1"/>
  <c r="U2252" i="9"/>
  <c r="V2252" i="9" s="1"/>
  <c r="U2251" i="9"/>
  <c r="V2251" i="9" s="1"/>
  <c r="U2250" i="9"/>
  <c r="V2250" i="9" s="1"/>
  <c r="U2249" i="9"/>
  <c r="V2249" i="9" s="1"/>
  <c r="U2248" i="9"/>
  <c r="V2248" i="9" s="1"/>
  <c r="U2247" i="9"/>
  <c r="V2247" i="9" s="1"/>
  <c r="U2246" i="9"/>
  <c r="V2246" i="9" s="1"/>
  <c r="U2245" i="9"/>
  <c r="V2245" i="9" s="1"/>
  <c r="U2244" i="9"/>
  <c r="V2244" i="9" s="1"/>
  <c r="U2243" i="9"/>
  <c r="V2243" i="9" s="1"/>
  <c r="U2242" i="9"/>
  <c r="V2242" i="9" s="1"/>
  <c r="U2241" i="9"/>
  <c r="V2241" i="9" s="1"/>
  <c r="U2240" i="9"/>
  <c r="V2240" i="9" s="1"/>
  <c r="U2239" i="9"/>
  <c r="V2239" i="9" s="1"/>
  <c r="U2238" i="9"/>
  <c r="V2238" i="9" s="1"/>
  <c r="U2237" i="9"/>
  <c r="V2237" i="9" s="1"/>
  <c r="U2236" i="9"/>
  <c r="V2236" i="9" s="1"/>
  <c r="U2235" i="9"/>
  <c r="V2235" i="9" s="1"/>
  <c r="U2234" i="9"/>
  <c r="V2234" i="9" s="1"/>
  <c r="U2233" i="9"/>
  <c r="V2233" i="9" s="1"/>
  <c r="U2232" i="9"/>
  <c r="V2232" i="9" s="1"/>
  <c r="U2231" i="9"/>
  <c r="V2231" i="9" s="1"/>
  <c r="U2230" i="9"/>
  <c r="V2230" i="9" s="1"/>
  <c r="U2229" i="9"/>
  <c r="V2229" i="9" s="1"/>
  <c r="U2228" i="9"/>
  <c r="V2228" i="9" s="1"/>
  <c r="U2227" i="9"/>
  <c r="V2227" i="9" s="1"/>
  <c r="U2226" i="9"/>
  <c r="V2226" i="9" s="1"/>
  <c r="U2225" i="9"/>
  <c r="V2225" i="9" s="1"/>
  <c r="U2224" i="9"/>
  <c r="V2224" i="9" s="1"/>
  <c r="U2223" i="9"/>
  <c r="V2223" i="9" s="1"/>
  <c r="U2222" i="9"/>
  <c r="V2222" i="9" s="1"/>
  <c r="U2221" i="9"/>
  <c r="V2221" i="9" s="1"/>
  <c r="U2220" i="9"/>
  <c r="V2220" i="9" s="1"/>
  <c r="U2219" i="9"/>
  <c r="V2219" i="9" s="1"/>
  <c r="U2218" i="9"/>
  <c r="V2218" i="9" s="1"/>
  <c r="U2217" i="9"/>
  <c r="V2217" i="9" s="1"/>
  <c r="U2216" i="9"/>
  <c r="V2216" i="9" s="1"/>
  <c r="U2215" i="9"/>
  <c r="V2215" i="9" s="1"/>
  <c r="U2214" i="9"/>
  <c r="V2214" i="9" s="1"/>
  <c r="U2213" i="9"/>
  <c r="V2213" i="9" s="1"/>
  <c r="U2212" i="9"/>
  <c r="V2212" i="9" s="1"/>
  <c r="U2211" i="9"/>
  <c r="V2211" i="9" s="1"/>
  <c r="U2210" i="9"/>
  <c r="V2210" i="9" s="1"/>
  <c r="U2209" i="9"/>
  <c r="V2209" i="9" s="1"/>
  <c r="U2208" i="9"/>
  <c r="V2208" i="9" s="1"/>
  <c r="U2207" i="9"/>
  <c r="V2207" i="9" s="1"/>
  <c r="U2206" i="9"/>
  <c r="V2206" i="9" s="1"/>
  <c r="U2205" i="9"/>
  <c r="V2205" i="9" s="1"/>
  <c r="U2204" i="9"/>
  <c r="V2204" i="9" s="1"/>
  <c r="U2203" i="9"/>
  <c r="V2203" i="9" s="1"/>
  <c r="U2202" i="9"/>
  <c r="V2202" i="9" s="1"/>
  <c r="U2201" i="9"/>
  <c r="V2201" i="9" s="1"/>
  <c r="U2200" i="9"/>
  <c r="V2200" i="9" s="1"/>
  <c r="U2199" i="9"/>
  <c r="V2199" i="9" s="1"/>
  <c r="U2198" i="9"/>
  <c r="V2198" i="9" s="1"/>
  <c r="U2197" i="9"/>
  <c r="V2197" i="9" s="1"/>
  <c r="U2196" i="9"/>
  <c r="V2196" i="9" s="1"/>
  <c r="U2195" i="9"/>
  <c r="V2195" i="9" s="1"/>
  <c r="U2194" i="9"/>
  <c r="V2194" i="9" s="1"/>
  <c r="U2193" i="9"/>
  <c r="V2193" i="9" s="1"/>
  <c r="U2192" i="9"/>
  <c r="V2192" i="9" s="1"/>
  <c r="U2191" i="9"/>
  <c r="V2191" i="9" s="1"/>
  <c r="U2190" i="9"/>
  <c r="V2190" i="9" s="1"/>
  <c r="U2189" i="9"/>
  <c r="V2189" i="9" s="1"/>
  <c r="U2188" i="9"/>
  <c r="V2188" i="9" s="1"/>
  <c r="U2187" i="9"/>
  <c r="V2187" i="9" s="1"/>
  <c r="U2186" i="9"/>
  <c r="V2186" i="9" s="1"/>
  <c r="U2185" i="9"/>
  <c r="V2185" i="9" s="1"/>
  <c r="U2184" i="9"/>
  <c r="V2184" i="9" s="1"/>
  <c r="U2183" i="9"/>
  <c r="V2183" i="9" s="1"/>
  <c r="U2182" i="9"/>
  <c r="V2182" i="9" s="1"/>
  <c r="U2181" i="9"/>
  <c r="V2181" i="9" s="1"/>
  <c r="U2180" i="9"/>
  <c r="V2180" i="9" s="1"/>
  <c r="U2179" i="9"/>
  <c r="V2179" i="9" s="1"/>
  <c r="U2178" i="9"/>
  <c r="V2178" i="9" s="1"/>
  <c r="U2177" i="9"/>
  <c r="V2177" i="9" s="1"/>
  <c r="U2176" i="9"/>
  <c r="V2176" i="9" s="1"/>
  <c r="U2175" i="9"/>
  <c r="V2175" i="9" s="1"/>
  <c r="U2174" i="9"/>
  <c r="V2174" i="9" s="1"/>
  <c r="U2173" i="9"/>
  <c r="V2173" i="9" s="1"/>
  <c r="U2172" i="9"/>
  <c r="V2172" i="9" s="1"/>
  <c r="U2171" i="9"/>
  <c r="V2171" i="9" s="1"/>
  <c r="U2170" i="9"/>
  <c r="V2170" i="9" s="1"/>
  <c r="U2169" i="9"/>
  <c r="V2169" i="9" s="1"/>
  <c r="U2168" i="9"/>
  <c r="V2168" i="9" s="1"/>
  <c r="U2167" i="9"/>
  <c r="V2167" i="9" s="1"/>
  <c r="U2166" i="9"/>
  <c r="V2166" i="9" s="1"/>
  <c r="U2165" i="9"/>
  <c r="V2165" i="9" s="1"/>
  <c r="U2164" i="9"/>
  <c r="V2164" i="9" s="1"/>
  <c r="U2163" i="9"/>
  <c r="V2163" i="9" s="1"/>
  <c r="U2162" i="9"/>
  <c r="V2162" i="9" s="1"/>
  <c r="U2161" i="9"/>
  <c r="V2161" i="9" s="1"/>
  <c r="U2160" i="9"/>
  <c r="V2160" i="9" s="1"/>
  <c r="U2159" i="9"/>
  <c r="V2159" i="9" s="1"/>
  <c r="U2158" i="9"/>
  <c r="V2158" i="9" s="1"/>
  <c r="U2157" i="9"/>
  <c r="V2157" i="9" s="1"/>
  <c r="U2156" i="9"/>
  <c r="V2156" i="9" s="1"/>
  <c r="U2155" i="9"/>
  <c r="V2155" i="9" s="1"/>
  <c r="U2154" i="9"/>
  <c r="V2154" i="9" s="1"/>
  <c r="U2153" i="9"/>
  <c r="V2153" i="9" s="1"/>
  <c r="U2152" i="9"/>
  <c r="V2152" i="9" s="1"/>
  <c r="U2151" i="9"/>
  <c r="V2151" i="9" s="1"/>
  <c r="U2150" i="9"/>
  <c r="V2150" i="9" s="1"/>
  <c r="U2149" i="9"/>
  <c r="V2149" i="9" s="1"/>
  <c r="U2148" i="9"/>
  <c r="V2148" i="9" s="1"/>
  <c r="U2147" i="9"/>
  <c r="V2147" i="9" s="1"/>
  <c r="U2146" i="9"/>
  <c r="V2146" i="9" s="1"/>
  <c r="U2145" i="9"/>
  <c r="V2145" i="9" s="1"/>
  <c r="U2144" i="9"/>
  <c r="V2144" i="9" s="1"/>
  <c r="U2143" i="9"/>
  <c r="V2143" i="9" s="1"/>
  <c r="U2142" i="9"/>
  <c r="V2142" i="9" s="1"/>
  <c r="U2141" i="9"/>
  <c r="V2141" i="9" s="1"/>
  <c r="U2140" i="9"/>
  <c r="V2140" i="9" s="1"/>
  <c r="U2139" i="9"/>
  <c r="V2139" i="9" s="1"/>
  <c r="U2138" i="9"/>
  <c r="V2138" i="9" s="1"/>
  <c r="U2137" i="9"/>
  <c r="V2137" i="9" s="1"/>
  <c r="U2136" i="9"/>
  <c r="V2136" i="9" s="1"/>
  <c r="U2135" i="9"/>
  <c r="V2135" i="9" s="1"/>
  <c r="U2134" i="9"/>
  <c r="V2134" i="9" s="1"/>
  <c r="U2133" i="9"/>
  <c r="V2133" i="9" s="1"/>
  <c r="U2132" i="9"/>
  <c r="V2132" i="9" s="1"/>
  <c r="U2131" i="9"/>
  <c r="V2131" i="9" s="1"/>
  <c r="U2130" i="9"/>
  <c r="V2130" i="9" s="1"/>
  <c r="U2129" i="9"/>
  <c r="V2129" i="9" s="1"/>
  <c r="U2128" i="9"/>
  <c r="V2128" i="9" s="1"/>
  <c r="U2127" i="9"/>
  <c r="V2127" i="9" s="1"/>
  <c r="U2126" i="9"/>
  <c r="V2126" i="9" s="1"/>
  <c r="U2125" i="9"/>
  <c r="V2125" i="9" s="1"/>
  <c r="U2124" i="9"/>
  <c r="V2124" i="9" s="1"/>
  <c r="U2123" i="9"/>
  <c r="V2123" i="9" s="1"/>
  <c r="U2122" i="9"/>
  <c r="V2122" i="9" s="1"/>
  <c r="U2121" i="9"/>
  <c r="V2121" i="9" s="1"/>
  <c r="U2120" i="9"/>
  <c r="V2120" i="9" s="1"/>
  <c r="U2119" i="9"/>
  <c r="V2119" i="9" s="1"/>
  <c r="U2118" i="9"/>
  <c r="V2118" i="9" s="1"/>
  <c r="U2117" i="9"/>
  <c r="V2117" i="9" s="1"/>
  <c r="U2116" i="9"/>
  <c r="V2116" i="9" s="1"/>
  <c r="U2115" i="9"/>
  <c r="V2115" i="9" s="1"/>
  <c r="U2114" i="9"/>
  <c r="V2114" i="9" s="1"/>
  <c r="U2113" i="9"/>
  <c r="V2113" i="9" s="1"/>
  <c r="U2112" i="9"/>
  <c r="V2112" i="9" s="1"/>
  <c r="U2111" i="9"/>
  <c r="V2111" i="9" s="1"/>
  <c r="U2110" i="9"/>
  <c r="V2110" i="9" s="1"/>
  <c r="U2109" i="9"/>
  <c r="V2109" i="9" s="1"/>
  <c r="U2108" i="9"/>
  <c r="V2108" i="9" s="1"/>
  <c r="U2107" i="9"/>
  <c r="V2107" i="9" s="1"/>
  <c r="U2106" i="9"/>
  <c r="V2106" i="9" s="1"/>
  <c r="U2105" i="9"/>
  <c r="V2105" i="9" s="1"/>
  <c r="U2104" i="9"/>
  <c r="V2104" i="9" s="1"/>
  <c r="U2103" i="9"/>
  <c r="V2103" i="9" s="1"/>
  <c r="U2102" i="9"/>
  <c r="V2102" i="9" s="1"/>
  <c r="U2101" i="9"/>
  <c r="V2101" i="9" s="1"/>
  <c r="U2100" i="9"/>
  <c r="V2100" i="9" s="1"/>
  <c r="U2099" i="9"/>
  <c r="V2099" i="9" s="1"/>
  <c r="U2098" i="9"/>
  <c r="V2098" i="9" s="1"/>
  <c r="U2097" i="9"/>
  <c r="V2097" i="9" s="1"/>
  <c r="U2096" i="9"/>
  <c r="V2096" i="9" s="1"/>
  <c r="U2095" i="9"/>
  <c r="V2095" i="9" s="1"/>
  <c r="U2094" i="9"/>
  <c r="V2094" i="9" s="1"/>
  <c r="U2093" i="9"/>
  <c r="V2093" i="9" s="1"/>
  <c r="U2092" i="9"/>
  <c r="V2092" i="9" s="1"/>
  <c r="U2091" i="9"/>
  <c r="V2091" i="9" s="1"/>
  <c r="U2090" i="9"/>
  <c r="V2090" i="9" s="1"/>
  <c r="U2089" i="9"/>
  <c r="V2089" i="9" s="1"/>
  <c r="U2088" i="9"/>
  <c r="V2088" i="9" s="1"/>
  <c r="U2087" i="9"/>
  <c r="V2087" i="9" s="1"/>
  <c r="U2086" i="9"/>
  <c r="V2086" i="9" s="1"/>
  <c r="U2085" i="9"/>
  <c r="V2085" i="9" s="1"/>
  <c r="U2084" i="9"/>
  <c r="V2084" i="9" s="1"/>
  <c r="U2083" i="9"/>
  <c r="V2083" i="9" s="1"/>
  <c r="U2082" i="9"/>
  <c r="V2082" i="9" s="1"/>
  <c r="U2081" i="9"/>
  <c r="V2081" i="9" s="1"/>
  <c r="U2080" i="9"/>
  <c r="V2080" i="9" s="1"/>
  <c r="U2079" i="9"/>
  <c r="V2079" i="9" s="1"/>
  <c r="U2078" i="9"/>
  <c r="V2078" i="9" s="1"/>
  <c r="U2077" i="9"/>
  <c r="V2077" i="9" s="1"/>
  <c r="U2076" i="9"/>
  <c r="V2076" i="9" s="1"/>
  <c r="U2075" i="9"/>
  <c r="V2075" i="9" s="1"/>
  <c r="U2074" i="9"/>
  <c r="V2074" i="9" s="1"/>
  <c r="U2073" i="9"/>
  <c r="V2073" i="9" s="1"/>
  <c r="U2072" i="9"/>
  <c r="V2072" i="9" s="1"/>
  <c r="U2071" i="9"/>
  <c r="V2071" i="9" s="1"/>
  <c r="U2070" i="9"/>
  <c r="V2070" i="9" s="1"/>
  <c r="U2069" i="9"/>
  <c r="V2069" i="9" s="1"/>
  <c r="U2068" i="9"/>
  <c r="V2068" i="9" s="1"/>
  <c r="U2067" i="9"/>
  <c r="V2067" i="9" s="1"/>
  <c r="U2066" i="9"/>
  <c r="V2066" i="9" s="1"/>
  <c r="U2065" i="9"/>
  <c r="V2065" i="9" s="1"/>
  <c r="U2064" i="9"/>
  <c r="V2064" i="9" s="1"/>
  <c r="U2063" i="9"/>
  <c r="V2063" i="9" s="1"/>
  <c r="U2062" i="9"/>
  <c r="V2062" i="9" s="1"/>
  <c r="U2061" i="9"/>
  <c r="V2061" i="9" s="1"/>
  <c r="U2060" i="9"/>
  <c r="V2060" i="9" s="1"/>
  <c r="U2059" i="9"/>
  <c r="V2059" i="9" s="1"/>
  <c r="U2058" i="9"/>
  <c r="V2058" i="9" s="1"/>
  <c r="U2057" i="9"/>
  <c r="V2057" i="9" s="1"/>
  <c r="U2056" i="9"/>
  <c r="V2056" i="9" s="1"/>
  <c r="U2055" i="9"/>
  <c r="V2055" i="9" s="1"/>
  <c r="Q40" i="18"/>
  <c r="C29" i="18"/>
  <c r="D29" i="18" s="1"/>
  <c r="C28" i="18"/>
  <c r="D28" i="18" s="1"/>
  <c r="E28" i="18" s="1"/>
  <c r="C27" i="18"/>
  <c r="D27" i="18" s="1"/>
  <c r="E27" i="18" s="1"/>
  <c r="C25" i="18"/>
  <c r="D25" i="18" s="1"/>
  <c r="E25" i="18" s="1"/>
  <c r="C24" i="18"/>
  <c r="D24" i="18" s="1"/>
  <c r="E24" i="18" s="1"/>
  <c r="C23" i="18"/>
  <c r="D23" i="18" s="1"/>
  <c r="E23" i="18" s="1"/>
  <c r="C31" i="18"/>
  <c r="D31" i="18" s="1"/>
  <c r="C30" i="18"/>
  <c r="D30" i="18" s="1"/>
  <c r="O5" i="18"/>
  <c r="U2054" i="9"/>
  <c r="V2054" i="9" s="1"/>
  <c r="U2053" i="9"/>
  <c r="V2053" i="9" s="1"/>
  <c r="U2052" i="9"/>
  <c r="V2052" i="9" s="1"/>
  <c r="U2051" i="9"/>
  <c r="V2051" i="9" s="1"/>
  <c r="U2050" i="9"/>
  <c r="V2050" i="9" s="1"/>
  <c r="U2049" i="9"/>
  <c r="V2049" i="9" s="1"/>
  <c r="U2048" i="9"/>
  <c r="V2048" i="9" s="1"/>
  <c r="U2047" i="9"/>
  <c r="V2047" i="9" s="1"/>
  <c r="U2046" i="9"/>
  <c r="V2046" i="9" s="1"/>
  <c r="U2045" i="9"/>
  <c r="V2045" i="9" s="1"/>
  <c r="U2044" i="9"/>
  <c r="V2044" i="9" s="1"/>
  <c r="U2043" i="9"/>
  <c r="V2043" i="9" s="1"/>
  <c r="U2042" i="9"/>
  <c r="V2042" i="9" s="1"/>
  <c r="U2041" i="9"/>
  <c r="V2041" i="9" s="1"/>
  <c r="U2040" i="9"/>
  <c r="V2040" i="9" s="1"/>
  <c r="U2039" i="9"/>
  <c r="V2039" i="9" s="1"/>
  <c r="U2038" i="9"/>
  <c r="V2038" i="9" s="1"/>
  <c r="U2037" i="9"/>
  <c r="V2037" i="9" s="1"/>
  <c r="U2036" i="9"/>
  <c r="V2036" i="9" s="1"/>
  <c r="U2035" i="9"/>
  <c r="V2035" i="9" s="1"/>
  <c r="U2034" i="9"/>
  <c r="V2034" i="9" s="1"/>
  <c r="Z2033" i="9"/>
  <c r="Y2033" i="9"/>
  <c r="X2033" i="9"/>
  <c r="U2033" i="9"/>
  <c r="V2033" i="9" s="1"/>
  <c r="Z2029" i="9"/>
  <c r="Y2029" i="9"/>
  <c r="X2029" i="9"/>
  <c r="U2029" i="9"/>
  <c r="V2029" i="9" s="1"/>
  <c r="Z2032" i="9"/>
  <c r="Y2032" i="9"/>
  <c r="X2032" i="9"/>
  <c r="U2032" i="9"/>
  <c r="V2032" i="9" s="1"/>
  <c r="Z2031" i="9"/>
  <c r="Y2031" i="9"/>
  <c r="X2031" i="9"/>
  <c r="U2031" i="9"/>
  <c r="V2031" i="9" s="1"/>
  <c r="Z2030" i="9"/>
  <c r="Y2030" i="9"/>
  <c r="X2030" i="9"/>
  <c r="U2030" i="9"/>
  <c r="V2030" i="9" s="1"/>
  <c r="Z2028" i="9"/>
  <c r="Y2028" i="9"/>
  <c r="X2028" i="9"/>
  <c r="U2028" i="9"/>
  <c r="V2028" i="9" s="1"/>
  <c r="Z2027" i="9"/>
  <c r="Y2027" i="9"/>
  <c r="X2027" i="9"/>
  <c r="U2027" i="9"/>
  <c r="V2027" i="9" s="1"/>
  <c r="Z2025" i="9"/>
  <c r="Y2025" i="9"/>
  <c r="X2025" i="9"/>
  <c r="U2025" i="9"/>
  <c r="V2025" i="9" s="1"/>
  <c r="Z2024" i="9"/>
  <c r="Y2024" i="9"/>
  <c r="X2024" i="9"/>
  <c r="U2024" i="9"/>
  <c r="V2024" i="9" s="1"/>
  <c r="Z2022" i="9"/>
  <c r="Y2022" i="9"/>
  <c r="X2022" i="9"/>
  <c r="U2022" i="9"/>
  <c r="V2022" i="9" s="1"/>
  <c r="Z2021" i="9"/>
  <c r="Y2021" i="9"/>
  <c r="X2021" i="9"/>
  <c r="U2021" i="9"/>
  <c r="V2021" i="9" s="1"/>
  <c r="Z2019" i="9"/>
  <c r="Y2019" i="9"/>
  <c r="X2019" i="9"/>
  <c r="U2019" i="9"/>
  <c r="V2019" i="9" s="1"/>
  <c r="Z2018" i="9"/>
  <c r="Y2018" i="9"/>
  <c r="X2018" i="9"/>
  <c r="U2018" i="9"/>
  <c r="V2018" i="9" s="1"/>
  <c r="Z2016" i="9"/>
  <c r="Y2016" i="9"/>
  <c r="X2016" i="9"/>
  <c r="U2016" i="9"/>
  <c r="V2016" i="9" s="1"/>
  <c r="Z2015" i="9"/>
  <c r="Y2015" i="9"/>
  <c r="X2015" i="9"/>
  <c r="U2015" i="9"/>
  <c r="V2015" i="9" s="1"/>
  <c r="Z2013" i="9"/>
  <c r="Y2013" i="9"/>
  <c r="X2013" i="9"/>
  <c r="U2013" i="9"/>
  <c r="V2013" i="9" s="1"/>
  <c r="Z2012" i="9"/>
  <c r="Y2012" i="9"/>
  <c r="X2012" i="9"/>
  <c r="U2012" i="9"/>
  <c r="V2012" i="9" s="1"/>
  <c r="E5" i="22"/>
  <c r="F5" i="22"/>
  <c r="G5" i="22"/>
  <c r="E6" i="22"/>
  <c r="F6" i="22"/>
  <c r="G6" i="22"/>
  <c r="E7" i="22"/>
  <c r="F7" i="22"/>
  <c r="G7" i="22"/>
  <c r="E8" i="22"/>
  <c r="F8" i="22"/>
  <c r="G8" i="22"/>
  <c r="E9" i="22"/>
  <c r="F9" i="22"/>
  <c r="G9" i="22"/>
  <c r="E10" i="22"/>
  <c r="F10" i="22"/>
  <c r="G10" i="22"/>
  <c r="E11" i="22"/>
  <c r="F11" i="22"/>
  <c r="G11" i="22"/>
  <c r="E12" i="22"/>
  <c r="F12" i="22"/>
  <c r="G12" i="22"/>
  <c r="E13" i="22"/>
  <c r="F13" i="22"/>
  <c r="G13" i="22"/>
  <c r="E14" i="22"/>
  <c r="F14" i="22"/>
  <c r="G14" i="22"/>
  <c r="E15" i="22"/>
  <c r="F15" i="22"/>
  <c r="G15" i="22"/>
  <c r="E16" i="22"/>
  <c r="F16" i="22"/>
  <c r="G16" i="22"/>
  <c r="E17" i="22"/>
  <c r="F17" i="22"/>
  <c r="G17" i="22"/>
  <c r="E18" i="22"/>
  <c r="F18" i="22"/>
  <c r="G18" i="22"/>
  <c r="E19" i="22"/>
  <c r="F19" i="22"/>
  <c r="G19" i="22"/>
  <c r="E20" i="22"/>
  <c r="F20" i="22"/>
  <c r="G20" i="22"/>
  <c r="E21" i="22"/>
  <c r="F21" i="22"/>
  <c r="G21" i="22"/>
  <c r="E22" i="22"/>
  <c r="F22" i="22"/>
  <c r="G22" i="22"/>
  <c r="E23" i="22"/>
  <c r="F23" i="22"/>
  <c r="G23" i="22"/>
  <c r="E24" i="22"/>
  <c r="F24" i="22"/>
  <c r="G24" i="22"/>
  <c r="E25" i="22"/>
  <c r="F25" i="22"/>
  <c r="G25" i="22"/>
  <c r="E26" i="22"/>
  <c r="F26" i="22"/>
  <c r="G26" i="22"/>
  <c r="E27" i="22"/>
  <c r="F27" i="22"/>
  <c r="G27" i="22"/>
  <c r="E28" i="22"/>
  <c r="F28" i="22"/>
  <c r="G28" i="22"/>
  <c r="E29" i="22"/>
  <c r="F29" i="22"/>
  <c r="G29" i="22"/>
  <c r="E30" i="22"/>
  <c r="F30" i="22"/>
  <c r="G30" i="22"/>
  <c r="E31" i="22"/>
  <c r="F31" i="22"/>
  <c r="G31" i="22"/>
  <c r="E32" i="22"/>
  <c r="F32" i="22"/>
  <c r="G32" i="22"/>
  <c r="G4" i="22"/>
  <c r="F4" i="22"/>
  <c r="E4" i="22"/>
  <c r="E9" i="26"/>
  <c r="G418" i="26"/>
  <c r="G410" i="26"/>
  <c r="G402" i="26"/>
  <c r="E29" i="18" l="1"/>
  <c r="V29" i="18"/>
  <c r="E30" i="18"/>
  <c r="V30" i="18" s="1"/>
  <c r="E31" i="18"/>
  <c r="V31" i="18" s="1"/>
  <c r="F30" i="24"/>
  <c r="E5" i="24"/>
  <c r="F5" i="24" s="1"/>
  <c r="G5" i="24" s="1"/>
  <c r="E6" i="24"/>
  <c r="F6" i="24" s="1"/>
  <c r="G6" i="24" s="1"/>
  <c r="E7" i="24"/>
  <c r="F7" i="24" s="1"/>
  <c r="G7" i="24" s="1"/>
  <c r="E8" i="24"/>
  <c r="F8" i="24" s="1"/>
  <c r="G8" i="24" s="1"/>
  <c r="E9" i="24"/>
  <c r="F9" i="24" s="1"/>
  <c r="G9" i="24" s="1"/>
  <c r="E10" i="24"/>
  <c r="F10" i="24" s="1"/>
  <c r="G10" i="24" s="1"/>
  <c r="E11" i="24"/>
  <c r="E4" i="24"/>
  <c r="F4" i="24" s="1"/>
  <c r="G4" i="24" s="1"/>
  <c r="D11" i="24"/>
  <c r="Z1635" i="9"/>
  <c r="Y1635" i="9"/>
  <c r="X1635" i="9"/>
  <c r="U1635" i="9"/>
  <c r="V1635" i="9" s="1"/>
  <c r="Z1641" i="9"/>
  <c r="Y1641" i="9"/>
  <c r="X1641" i="9"/>
  <c r="U1641" i="9"/>
  <c r="V1641" i="9" s="1"/>
  <c r="Z1639" i="9"/>
  <c r="Y1639" i="9"/>
  <c r="X1639" i="9"/>
  <c r="U1639" i="9"/>
  <c r="V1639" i="9" s="1"/>
  <c r="Z1643" i="9"/>
  <c r="Y1643" i="9"/>
  <c r="X1643" i="9"/>
  <c r="U1643" i="9"/>
  <c r="V1643" i="9" s="1"/>
  <c r="Z1647" i="9"/>
  <c r="Y1647" i="9"/>
  <c r="X1647" i="9"/>
  <c r="U1647" i="9"/>
  <c r="V1647" i="9" s="1"/>
  <c r="Z1649" i="9"/>
  <c r="Y1649" i="9"/>
  <c r="X1649" i="9"/>
  <c r="U1649" i="9"/>
  <c r="V1649" i="9" s="1"/>
  <c r="Z1651" i="9"/>
  <c r="Y1651" i="9"/>
  <c r="X1651" i="9"/>
  <c r="U1651" i="9"/>
  <c r="V1651" i="9" s="1"/>
  <c r="Z1653" i="9"/>
  <c r="Y1653" i="9"/>
  <c r="X1653" i="9"/>
  <c r="U1653" i="9"/>
  <c r="V1653" i="9" s="1"/>
  <c r="Z1657" i="9"/>
  <c r="Y1657" i="9"/>
  <c r="X1657" i="9"/>
  <c r="U1657" i="9"/>
  <c r="V1657" i="9" s="1"/>
  <c r="Z1655" i="9"/>
  <c r="Y1655" i="9"/>
  <c r="X1655" i="9"/>
  <c r="U1655" i="9"/>
  <c r="V1655" i="9" s="1"/>
  <c r="Z1669" i="9"/>
  <c r="Y1669" i="9"/>
  <c r="X1669" i="9"/>
  <c r="U1669" i="9"/>
  <c r="V1669" i="9" s="1"/>
  <c r="Z1668" i="9"/>
  <c r="Y1668" i="9"/>
  <c r="X1668" i="9"/>
  <c r="U1668" i="9"/>
  <c r="V1668" i="9" s="1"/>
  <c r="Z1665" i="9"/>
  <c r="Y1665" i="9"/>
  <c r="X1665" i="9"/>
  <c r="U1665" i="9"/>
  <c r="V1665" i="9" s="1"/>
  <c r="Z1664" i="9"/>
  <c r="Y1664" i="9"/>
  <c r="X1664" i="9"/>
  <c r="U1664" i="9"/>
  <c r="V1664" i="9" s="1"/>
  <c r="Z1663" i="9"/>
  <c r="Y1663" i="9"/>
  <c r="X1663" i="9"/>
  <c r="U1663" i="9"/>
  <c r="V1663" i="9" s="1"/>
  <c r="Z1662" i="9"/>
  <c r="Y1662" i="9"/>
  <c r="X1662" i="9"/>
  <c r="U1662" i="9"/>
  <c r="V1662" i="9" s="1"/>
  <c r="Z1661" i="9"/>
  <c r="Y1661" i="9"/>
  <c r="X1661" i="9"/>
  <c r="U1661" i="9"/>
  <c r="V1661" i="9" s="1"/>
  <c r="Z1660" i="9"/>
  <c r="Y1660" i="9"/>
  <c r="X1660" i="9"/>
  <c r="U1660" i="9"/>
  <c r="V1660" i="9" s="1"/>
  <c r="Z1659" i="9"/>
  <c r="Y1659" i="9"/>
  <c r="X1659" i="9"/>
  <c r="U1659" i="9"/>
  <c r="V1659" i="9" s="1"/>
  <c r="Z1667" i="9"/>
  <c r="Y1667" i="9"/>
  <c r="X1667" i="9"/>
  <c r="U1667" i="9"/>
  <c r="V1667" i="9" s="1"/>
  <c r="Z1672" i="9"/>
  <c r="Y1672" i="9"/>
  <c r="X1672" i="9"/>
  <c r="U1672" i="9"/>
  <c r="V1672" i="9" s="1"/>
  <c r="Z1671" i="9"/>
  <c r="Y1671" i="9"/>
  <c r="X1671" i="9"/>
  <c r="U1671" i="9"/>
  <c r="V1671" i="9" s="1"/>
  <c r="Z1678" i="9"/>
  <c r="Y1678" i="9"/>
  <c r="X1678" i="9"/>
  <c r="U1678" i="9"/>
  <c r="V1678" i="9" s="1"/>
  <c r="Z1677" i="9"/>
  <c r="Y1677" i="9"/>
  <c r="X1677" i="9"/>
  <c r="U1677" i="9"/>
  <c r="V1677" i="9" s="1"/>
  <c r="Z1676" i="9"/>
  <c r="Y1676" i="9"/>
  <c r="X1676" i="9"/>
  <c r="U1676" i="9"/>
  <c r="V1676" i="9" s="1"/>
  <c r="Z1675" i="9"/>
  <c r="Y1675" i="9"/>
  <c r="X1675" i="9"/>
  <c r="U1675" i="9"/>
  <c r="V1675" i="9" s="1"/>
  <c r="Z1674" i="9"/>
  <c r="Y1674" i="9"/>
  <c r="X1674" i="9"/>
  <c r="U1674" i="9"/>
  <c r="V1674" i="9" s="1"/>
  <c r="Z1681" i="9"/>
  <c r="Y1681" i="9"/>
  <c r="X1681" i="9"/>
  <c r="U1681" i="9"/>
  <c r="V1681" i="9" s="1"/>
  <c r="Z1680" i="9"/>
  <c r="Y1680" i="9"/>
  <c r="X1680" i="9"/>
  <c r="U1680" i="9"/>
  <c r="V1680" i="9" s="1"/>
  <c r="Z1683" i="9"/>
  <c r="Y1683" i="9"/>
  <c r="X1683" i="9"/>
  <c r="U1683" i="9"/>
  <c r="V1683" i="9" s="1"/>
  <c r="Z1687" i="9"/>
  <c r="Y1687" i="9"/>
  <c r="X1687" i="9"/>
  <c r="U1687" i="9"/>
  <c r="V1687" i="9" s="1"/>
  <c r="Z1686" i="9"/>
  <c r="Y1686" i="9"/>
  <c r="X1686" i="9"/>
  <c r="U1686" i="9"/>
  <c r="V1686" i="9" s="1"/>
  <c r="Z1689" i="9"/>
  <c r="Y1689" i="9"/>
  <c r="X1689" i="9"/>
  <c r="U1689" i="9"/>
  <c r="V1689" i="9" s="1"/>
  <c r="Z1693" i="9"/>
  <c r="Y1693" i="9"/>
  <c r="X1693" i="9"/>
  <c r="U1693" i="9"/>
  <c r="V1693" i="9" s="1"/>
  <c r="N15" i="18"/>
  <c r="N14" i="18"/>
  <c r="N13" i="18"/>
  <c r="N11" i="18"/>
  <c r="N10" i="18"/>
  <c r="N9" i="18"/>
  <c r="N7" i="18"/>
  <c r="N6" i="18"/>
  <c r="C20" i="18"/>
  <c r="D20" i="18" s="1"/>
  <c r="E20" i="18" s="1"/>
  <c r="C20" i="14"/>
  <c r="D20" i="14" s="1"/>
  <c r="E20" i="14" s="1"/>
  <c r="M422" i="10"/>
  <c r="N5" i="18"/>
  <c r="M15" i="18"/>
  <c r="M14" i="18"/>
  <c r="M13" i="18"/>
  <c r="M11" i="18"/>
  <c r="M10" i="18"/>
  <c r="M9" i="18"/>
  <c r="M6" i="18"/>
  <c r="M5" i="18"/>
  <c r="C19" i="14"/>
  <c r="D19" i="14" s="1"/>
  <c r="E19" i="14" s="1"/>
  <c r="F11" i="24" l="1"/>
  <c r="G11" i="24" s="1"/>
  <c r="G12" i="24"/>
  <c r="J9" i="23"/>
  <c r="H10" i="23"/>
  <c r="H8" i="23"/>
  <c r="L19" i="18"/>
  <c r="L15" i="18"/>
  <c r="L14" i="18"/>
  <c r="L13" i="18"/>
  <c r="L11" i="18"/>
  <c r="L10" i="18"/>
  <c r="L9" i="18"/>
  <c r="L7" i="18"/>
  <c r="L6" i="18"/>
  <c r="L5" i="18"/>
  <c r="I10" i="23"/>
  <c r="I8" i="23" l="1"/>
  <c r="J8" i="23" s="1"/>
  <c r="J10" i="23" s="1"/>
  <c r="K19" i="18"/>
  <c r="K15" i="18"/>
  <c r="K14" i="18"/>
  <c r="K13" i="18"/>
  <c r="K11" i="18"/>
  <c r="K9" i="18"/>
  <c r="K7" i="18"/>
  <c r="K6" i="18"/>
  <c r="K5" i="18"/>
  <c r="J18" i="14"/>
  <c r="I18" i="14"/>
  <c r="H18" i="14"/>
  <c r="G18" i="14"/>
  <c r="F18" i="14"/>
  <c r="C18" i="14"/>
  <c r="D18" i="14" s="1"/>
  <c r="E18" i="14" s="1"/>
  <c r="C19" i="18"/>
  <c r="D19" i="18" s="1"/>
  <c r="E19" i="18" s="1"/>
  <c r="J17" i="14"/>
  <c r="I17" i="14"/>
  <c r="H17" i="14"/>
  <c r="G17" i="14"/>
  <c r="F17" i="14"/>
  <c r="Q15" i="14"/>
  <c r="O15" i="14"/>
  <c r="N15" i="14"/>
  <c r="M15" i="14"/>
  <c r="L15" i="14"/>
  <c r="K15" i="14"/>
  <c r="Q14" i="14"/>
  <c r="P14" i="14"/>
  <c r="O14" i="14"/>
  <c r="N14" i="14"/>
  <c r="M14" i="14"/>
  <c r="L14" i="14"/>
  <c r="K14" i="14"/>
  <c r="Q13" i="14"/>
  <c r="P13" i="14"/>
  <c r="O13" i="14"/>
  <c r="N13" i="14"/>
  <c r="M13" i="14"/>
  <c r="L13" i="14"/>
  <c r="K13" i="14"/>
  <c r="C17" i="14"/>
  <c r="D17" i="14" s="1"/>
  <c r="E17" i="14" s="1"/>
  <c r="C17" i="18" l="1"/>
  <c r="D17" i="18" s="1"/>
  <c r="E17" i="18" s="1"/>
  <c r="C18" i="18"/>
  <c r="D18" i="18" s="1"/>
  <c r="E18" i="18" s="1"/>
  <c r="J14" i="18"/>
  <c r="J13" i="18"/>
  <c r="J9" i="18"/>
  <c r="J7" i="18"/>
  <c r="J6" i="18"/>
  <c r="J14" i="14"/>
  <c r="J13" i="14"/>
  <c r="X5072" i="9"/>
  <c r="X5073" i="9"/>
  <c r="X5074" i="9"/>
  <c r="X5075" i="9"/>
  <c r="X5076" i="9"/>
  <c r="X5077" i="9"/>
  <c r="X5078" i="9"/>
  <c r="X5079" i="9"/>
  <c r="X5080" i="9"/>
  <c r="X5081" i="9"/>
  <c r="X5082" i="9"/>
  <c r="X5083" i="9"/>
  <c r="X5084" i="9"/>
  <c r="X5085" i="9"/>
  <c r="X5086" i="9"/>
  <c r="X5087" i="9"/>
  <c r="X5088" i="9"/>
  <c r="X5089" i="9"/>
  <c r="X5090" i="9"/>
  <c r="X5091" i="9"/>
  <c r="X5092" i="9"/>
  <c r="X5093" i="9"/>
  <c r="X5094" i="9"/>
  <c r="X5095" i="9"/>
  <c r="Y5072" i="9"/>
  <c r="Y5073" i="9"/>
  <c r="Y5074" i="9"/>
  <c r="Y5075" i="9"/>
  <c r="Y5076" i="9"/>
  <c r="Y5077" i="9"/>
  <c r="Y5078" i="9"/>
  <c r="Y5079" i="9"/>
  <c r="Y5080" i="9"/>
  <c r="Y5081" i="9"/>
  <c r="Y5082" i="9"/>
  <c r="Y5083" i="9"/>
  <c r="Y5084" i="9"/>
  <c r="Y5085" i="9"/>
  <c r="Y5086" i="9"/>
  <c r="Y5087" i="9"/>
  <c r="Y5088" i="9"/>
  <c r="Y5089" i="9"/>
  <c r="Y5090" i="9"/>
  <c r="Y5091" i="9"/>
  <c r="Y5092" i="9"/>
  <c r="Y5093" i="9"/>
  <c r="Y5094" i="9"/>
  <c r="Y5095" i="9"/>
  <c r="Z5072" i="9"/>
  <c r="Z5073" i="9"/>
  <c r="Z5074" i="9"/>
  <c r="Z5075" i="9"/>
  <c r="Z5076" i="9"/>
  <c r="Z5077" i="9"/>
  <c r="Z5078" i="9"/>
  <c r="Z5079" i="9"/>
  <c r="Z5080" i="9"/>
  <c r="Z5081" i="9"/>
  <c r="Z5082" i="9"/>
  <c r="Z5083" i="9"/>
  <c r="Z5084" i="9"/>
  <c r="Z5085" i="9"/>
  <c r="Z5086" i="9"/>
  <c r="Z5087" i="9"/>
  <c r="Z5088" i="9"/>
  <c r="Z5089" i="9"/>
  <c r="Z5090" i="9"/>
  <c r="Z5091" i="9"/>
  <c r="Z5092" i="9"/>
  <c r="Z5093" i="9"/>
  <c r="Z5094" i="9"/>
  <c r="Z5095" i="9"/>
  <c r="H16" i="18"/>
  <c r="G16" i="18"/>
  <c r="F16" i="18"/>
  <c r="C16" i="18"/>
  <c r="D16" i="18" s="1"/>
  <c r="E16" i="18" s="1"/>
  <c r="I13" i="18"/>
  <c r="I9" i="18"/>
  <c r="I7" i="18"/>
  <c r="I6" i="18"/>
  <c r="H16" i="14"/>
  <c r="G16" i="14"/>
  <c r="F16" i="14"/>
  <c r="C16" i="14"/>
  <c r="D16" i="14" s="1"/>
  <c r="E16" i="14" s="1"/>
  <c r="I13" i="14" l="1"/>
  <c r="H15" i="18" l="1"/>
  <c r="H9" i="18"/>
  <c r="H7" i="18"/>
  <c r="H15" i="14" l="1"/>
  <c r="F15" i="14" l="1"/>
  <c r="F15" i="18"/>
  <c r="C15" i="14"/>
  <c r="D15" i="14" s="1"/>
  <c r="E15" i="14" s="1"/>
  <c r="C15" i="18"/>
  <c r="D15" i="18" s="1"/>
  <c r="E15" i="18" s="1"/>
  <c r="F14" i="18"/>
  <c r="C14" i="18"/>
  <c r="D14" i="18" s="1"/>
  <c r="E14" i="18" s="1"/>
  <c r="F13" i="18"/>
  <c r="C13" i="18"/>
  <c r="D13" i="18" s="1"/>
  <c r="E13" i="18" s="1"/>
  <c r="C12" i="18"/>
  <c r="D12" i="18" s="1"/>
  <c r="E12" i="18" s="1"/>
  <c r="C11" i="18"/>
  <c r="D11" i="18" s="1"/>
  <c r="E11" i="18" s="1"/>
  <c r="C10" i="18"/>
  <c r="D10" i="18" s="1"/>
  <c r="G9" i="18"/>
  <c r="C9" i="18"/>
  <c r="D9" i="18" s="1"/>
  <c r="E9" i="18" s="1"/>
  <c r="C8" i="18"/>
  <c r="D8" i="18" s="1"/>
  <c r="E8" i="18" s="1"/>
  <c r="C7" i="18"/>
  <c r="D7" i="18" s="1"/>
  <c r="E7" i="18" s="1"/>
  <c r="C6" i="18"/>
  <c r="D6" i="18" s="1"/>
  <c r="F5" i="18"/>
  <c r="C5" i="18"/>
  <c r="D5" i="18" s="1"/>
  <c r="E5" i="18" s="1"/>
  <c r="E6" i="18" l="1"/>
  <c r="E10" i="18"/>
  <c r="D7" i="23"/>
  <c r="A74" i="17"/>
  <c r="A37" i="17"/>
  <c r="A10" i="17"/>
  <c r="A33" i="16"/>
  <c r="F5" i="14"/>
  <c r="F13" i="14"/>
  <c r="F14" i="14"/>
  <c r="Z105" i="9"/>
  <c r="Y105" i="9"/>
  <c r="X105" i="9"/>
  <c r="F95" i="11"/>
  <c r="C14" i="14" l="1"/>
  <c r="D14" i="14" s="1"/>
  <c r="E14" i="14" s="1"/>
  <c r="M11" i="14" l="1"/>
  <c r="L11" i="14"/>
  <c r="K11" i="14"/>
  <c r="Q9" i="14"/>
  <c r="O9" i="14"/>
  <c r="N9" i="14"/>
  <c r="M9" i="14"/>
  <c r="L9" i="14"/>
  <c r="K9" i="14"/>
  <c r="J9" i="14"/>
  <c r="I9" i="14"/>
  <c r="H9" i="14"/>
  <c r="G9" i="14"/>
  <c r="C9" i="14"/>
  <c r="D9" i="14" s="1"/>
  <c r="E9" i="14" s="1"/>
  <c r="Q11" i="14" l="1"/>
  <c r="X1538" i="9" l="1"/>
  <c r="X1537" i="9"/>
  <c r="X1536" i="9"/>
  <c r="X1535" i="9"/>
  <c r="X1534" i="9"/>
  <c r="X1533" i="9"/>
  <c r="X1532" i="9"/>
  <c r="Z1506" i="9"/>
  <c r="Y1506" i="9"/>
  <c r="X1506" i="9"/>
  <c r="Z1488" i="9"/>
  <c r="Y1488" i="9"/>
  <c r="X1488" i="9"/>
  <c r="Z1487" i="9"/>
  <c r="Y1487" i="9"/>
  <c r="X1487" i="9"/>
  <c r="X601" i="9" l="1"/>
  <c r="Y601" i="9"/>
  <c r="Z601" i="9"/>
  <c r="X602" i="9"/>
  <c r="Y602" i="9"/>
  <c r="Z602" i="9"/>
  <c r="X600" i="9"/>
  <c r="Y600" i="9"/>
  <c r="Z600" i="9"/>
  <c r="X603" i="9"/>
  <c r="Y603" i="9"/>
  <c r="Z603" i="9"/>
  <c r="X590" i="9" l="1"/>
  <c r="Y590" i="9"/>
  <c r="Z590" i="9"/>
  <c r="X591" i="9"/>
  <c r="Y591" i="9"/>
  <c r="Z591" i="9"/>
  <c r="X592" i="9"/>
  <c r="Y592" i="9"/>
  <c r="Z592" i="9"/>
  <c r="X593" i="9"/>
  <c r="Y593" i="9"/>
  <c r="Z593" i="9"/>
  <c r="X586" i="9"/>
  <c r="Y586" i="9"/>
  <c r="Z586" i="9"/>
  <c r="Z1422" i="9" l="1"/>
  <c r="Y1422" i="9"/>
  <c r="X1422" i="9"/>
  <c r="Z1421" i="9"/>
  <c r="Y1421" i="9"/>
  <c r="X1421" i="9"/>
  <c r="Z1420" i="9"/>
  <c r="Y1420" i="9"/>
  <c r="X1420" i="9"/>
  <c r="Z1419" i="9"/>
  <c r="Y1419" i="9"/>
  <c r="X1419" i="9"/>
  <c r="Z1418" i="9"/>
  <c r="Y1418" i="9"/>
  <c r="X1418" i="9"/>
  <c r="Z1417" i="9"/>
  <c r="Y1417" i="9"/>
  <c r="X1417" i="9"/>
  <c r="Z1416" i="9"/>
  <c r="Y1416" i="9"/>
  <c r="X1416" i="9"/>
  <c r="Z1414" i="9"/>
  <c r="Y1414" i="9"/>
  <c r="X1414" i="9"/>
  <c r="Z1413" i="9"/>
  <c r="Y1413" i="9"/>
  <c r="X1413" i="9"/>
  <c r="Z1412" i="9"/>
  <c r="Y1412" i="9"/>
  <c r="X1412" i="9"/>
  <c r="Z1410" i="9"/>
  <c r="Y1410" i="9"/>
  <c r="X1410" i="9"/>
  <c r="Z1407" i="9"/>
  <c r="Y1407" i="9"/>
  <c r="X1407" i="9"/>
  <c r="Z1406" i="9"/>
  <c r="Y1406" i="9"/>
  <c r="X1406" i="9"/>
  <c r="Z1405" i="9"/>
  <c r="Y1405" i="9"/>
  <c r="X1405" i="9"/>
  <c r="Z1404" i="9"/>
  <c r="Y1404" i="9"/>
  <c r="X1404" i="9"/>
  <c r="Z1415" i="9"/>
  <c r="Y1415" i="9"/>
  <c r="X1415" i="9"/>
  <c r="Z1411" i="9"/>
  <c r="Y1411" i="9"/>
  <c r="X1411" i="9"/>
  <c r="Z1409" i="9"/>
  <c r="Y1409" i="9"/>
  <c r="X1409" i="9"/>
  <c r="Z1408" i="9"/>
  <c r="Y1408" i="9"/>
  <c r="X1408" i="9"/>
  <c r="Z1403" i="9"/>
  <c r="Y1403" i="9"/>
  <c r="X1403" i="9"/>
  <c r="O6" i="14" l="1"/>
  <c r="P4" i="18"/>
  <c r="H4" i="18"/>
  <c r="G4" i="18"/>
  <c r="C13" i="14" l="1"/>
  <c r="D13" i="14" s="1"/>
  <c r="E13" i="14" s="1"/>
  <c r="Q10" i="14" l="1"/>
  <c r="M10" i="14"/>
  <c r="L10" i="14"/>
  <c r="C11" i="14" l="1"/>
  <c r="D11" i="14" s="1"/>
  <c r="C10" i="14"/>
  <c r="D10" i="14" s="1"/>
  <c r="E10" i="14" s="1"/>
  <c r="E11" i="14" l="1"/>
  <c r="Z362" i="9" l="1"/>
  <c r="Y362" i="9"/>
  <c r="X362" i="9"/>
  <c r="Z361" i="9"/>
  <c r="Y361" i="9"/>
  <c r="X361" i="9"/>
  <c r="Z360" i="9"/>
  <c r="Y360" i="9"/>
  <c r="X360" i="9"/>
  <c r="Z359" i="9"/>
  <c r="Y359" i="9"/>
  <c r="X359" i="9"/>
  <c r="Z358" i="9"/>
  <c r="Y358" i="9"/>
  <c r="X358" i="9"/>
  <c r="Z357" i="9"/>
  <c r="Y357" i="9"/>
  <c r="X357" i="9"/>
  <c r="Z356" i="9"/>
  <c r="Y356" i="9"/>
  <c r="X356" i="9"/>
  <c r="Z355" i="9"/>
  <c r="Y355" i="9"/>
  <c r="X355" i="9"/>
  <c r="Z354" i="9"/>
  <c r="Y354" i="9"/>
  <c r="X354" i="9"/>
  <c r="Z353" i="9"/>
  <c r="Y353" i="9"/>
  <c r="X353" i="9"/>
  <c r="Z352" i="9"/>
  <c r="Y352" i="9"/>
  <c r="X352" i="9"/>
  <c r="Z351" i="9"/>
  <c r="Y351" i="9"/>
  <c r="X351" i="9"/>
  <c r="Z350" i="9"/>
  <c r="Y350" i="9"/>
  <c r="X350" i="9"/>
  <c r="Z349" i="9"/>
  <c r="Y349" i="9"/>
  <c r="X349" i="9"/>
  <c r="Z348" i="9"/>
  <c r="Y348" i="9"/>
  <c r="X348" i="9"/>
  <c r="Z347" i="9"/>
  <c r="Y347" i="9"/>
  <c r="X347" i="9"/>
  <c r="Z346" i="9"/>
  <c r="Y346" i="9"/>
  <c r="X346" i="9"/>
  <c r="Z345" i="9"/>
  <c r="Y345" i="9"/>
  <c r="X345" i="9"/>
  <c r="Z344" i="9"/>
  <c r="Y344" i="9"/>
  <c r="X344" i="9"/>
  <c r="Z343" i="9"/>
  <c r="Y343" i="9"/>
  <c r="X343" i="9"/>
  <c r="Z342" i="9"/>
  <c r="Y342" i="9"/>
  <c r="X342" i="9"/>
  <c r="Z341" i="9"/>
  <c r="Y341" i="9"/>
  <c r="X341" i="9"/>
  <c r="Z340" i="9"/>
  <c r="Y340" i="9"/>
  <c r="X340" i="9"/>
  <c r="Z339" i="9"/>
  <c r="Y339" i="9"/>
  <c r="X339" i="9"/>
  <c r="Z338" i="9"/>
  <c r="Y338" i="9"/>
  <c r="X338" i="9"/>
  <c r="G128" i="11"/>
  <c r="E128" i="11"/>
  <c r="G127" i="11"/>
  <c r="E127" i="11"/>
  <c r="G126" i="11"/>
  <c r="E126" i="11"/>
  <c r="G125" i="11"/>
  <c r="E125" i="11"/>
  <c r="G124" i="11"/>
  <c r="E124" i="11"/>
  <c r="G123" i="11"/>
  <c r="E123" i="11"/>
  <c r="G122" i="11"/>
  <c r="E122" i="11"/>
  <c r="G121" i="11"/>
  <c r="E121" i="11"/>
  <c r="G120" i="11"/>
  <c r="E120" i="11"/>
  <c r="U1294" i="9" l="1"/>
  <c r="V1294" i="9" s="1"/>
  <c r="U1293" i="9"/>
  <c r="V1293" i="9" s="1"/>
  <c r="U1292" i="9"/>
  <c r="V1292" i="9" s="1"/>
  <c r="U1291" i="9"/>
  <c r="V1291" i="9" s="1"/>
  <c r="U1290" i="9"/>
  <c r="V1290" i="9" s="1"/>
  <c r="U1060" i="9"/>
  <c r="V1060" i="9" s="1"/>
  <c r="U5083" i="9"/>
  <c r="V5083" i="9" s="1"/>
  <c r="U5095" i="9"/>
  <c r="V5095" i="9" s="1"/>
  <c r="U5080" i="9"/>
  <c r="V5080" i="9" s="1"/>
  <c r="U5092" i="9"/>
  <c r="V5092" i="9" s="1"/>
  <c r="U5072" i="9"/>
  <c r="V5072" i="9" s="1"/>
  <c r="U5084" i="9"/>
  <c r="V5084" i="9" s="1"/>
  <c r="U5073" i="9"/>
  <c r="V5073" i="9" s="1"/>
  <c r="U5085" i="9"/>
  <c r="V5085" i="9" s="1"/>
  <c r="U5074" i="9"/>
  <c r="V5074" i="9" s="1"/>
  <c r="U5086" i="9"/>
  <c r="V5086" i="9" s="1"/>
  <c r="U5075" i="9"/>
  <c r="V5075" i="9" s="1"/>
  <c r="U5087" i="9"/>
  <c r="V5087" i="9" s="1"/>
  <c r="U5082" i="9"/>
  <c r="V5082" i="9" s="1"/>
  <c r="U5094" i="9"/>
  <c r="V5094" i="9" s="1"/>
  <c r="U5076" i="9"/>
  <c r="V5076" i="9" s="1"/>
  <c r="U5088" i="9"/>
  <c r="V5088" i="9" s="1"/>
  <c r="U5077" i="9"/>
  <c r="V5077" i="9" s="1"/>
  <c r="U5089" i="9"/>
  <c r="V5089" i="9" s="1"/>
  <c r="U5078" i="9"/>
  <c r="V5078" i="9" s="1"/>
  <c r="U5090" i="9"/>
  <c r="V5090" i="9" s="1"/>
  <c r="U5079" i="9"/>
  <c r="V5079" i="9" s="1"/>
  <c r="U5091" i="9"/>
  <c r="V5091" i="9" s="1"/>
  <c r="U5081" i="9"/>
  <c r="V5081" i="9" s="1"/>
  <c r="U5093" i="9"/>
  <c r="V5093" i="9" s="1"/>
  <c r="U210" i="9"/>
  <c r="V210" i="9" s="1"/>
  <c r="U205" i="9"/>
  <c r="V205" i="9" s="1"/>
  <c r="U200" i="9"/>
  <c r="V200" i="9" s="1"/>
  <c r="U196" i="9"/>
  <c r="V196" i="9" s="1"/>
  <c r="U193" i="9"/>
  <c r="V193" i="9" s="1"/>
  <c r="U190" i="9"/>
  <c r="V190" i="9" s="1"/>
  <c r="U105" i="9"/>
  <c r="V105" i="9" s="1"/>
  <c r="U2017" i="9"/>
  <c r="V2017" i="9" s="1"/>
  <c r="U2009" i="9"/>
  <c r="V2009" i="9" s="1"/>
  <c r="U2005" i="9"/>
  <c r="V2005" i="9" s="1"/>
  <c r="U2001" i="9"/>
  <c r="V2001" i="9" s="1"/>
  <c r="U2026" i="9"/>
  <c r="V2026" i="9" s="1"/>
  <c r="U2014" i="9"/>
  <c r="V2014" i="9" s="1"/>
  <c r="U2008" i="9"/>
  <c r="V2008" i="9" s="1"/>
  <c r="U2004" i="9"/>
  <c r="V2004" i="9" s="1"/>
  <c r="U2023" i="9"/>
  <c r="V2023" i="9" s="1"/>
  <c r="U2011" i="9"/>
  <c r="V2011" i="9" s="1"/>
  <c r="U2007" i="9"/>
  <c r="V2007" i="9" s="1"/>
  <c r="U2003" i="9"/>
  <c r="V2003" i="9" s="1"/>
  <c r="U2020" i="9"/>
  <c r="V2020" i="9" s="1"/>
  <c r="U2010" i="9"/>
  <c r="V2010" i="9" s="1"/>
  <c r="U2006" i="9"/>
  <c r="V2006" i="9" s="1"/>
  <c r="U2002" i="9"/>
  <c r="V2002" i="9" s="1"/>
  <c r="U2000" i="9"/>
  <c r="V2000" i="9" s="1"/>
  <c r="U1996" i="9"/>
  <c r="V1996" i="9" s="1"/>
  <c r="U1992" i="9"/>
  <c r="V1992" i="9" s="1"/>
  <c r="U1988" i="9"/>
  <c r="V1988" i="9" s="1"/>
  <c r="U1984" i="9"/>
  <c r="V1984" i="9" s="1"/>
  <c r="U1999" i="9"/>
  <c r="V1999" i="9" s="1"/>
  <c r="U1995" i="9"/>
  <c r="V1995" i="9" s="1"/>
  <c r="U1991" i="9"/>
  <c r="V1991" i="9" s="1"/>
  <c r="U1987" i="9"/>
  <c r="V1987" i="9" s="1"/>
  <c r="U1983" i="9"/>
  <c r="V1983" i="9" s="1"/>
  <c r="U1998" i="9"/>
  <c r="V1998" i="9" s="1"/>
  <c r="U1994" i="9"/>
  <c r="V1994" i="9" s="1"/>
  <c r="U1990" i="9"/>
  <c r="V1990" i="9" s="1"/>
  <c r="U1986" i="9"/>
  <c r="V1986" i="9" s="1"/>
  <c r="U1982" i="9"/>
  <c r="V1982" i="9" s="1"/>
  <c r="U1997" i="9"/>
  <c r="V1997" i="9" s="1"/>
  <c r="U1993" i="9"/>
  <c r="V1993" i="9" s="1"/>
  <c r="U1989" i="9"/>
  <c r="V1989" i="9" s="1"/>
  <c r="U1985" i="9"/>
  <c r="V1985" i="9" s="1"/>
  <c r="U1981" i="9"/>
  <c r="V1981" i="9" s="1"/>
  <c r="U3" i="9"/>
  <c r="V3" i="9" s="1"/>
  <c r="U7" i="9"/>
  <c r="V7" i="9" s="1"/>
  <c r="U11" i="9"/>
  <c r="V11" i="9" s="1"/>
  <c r="U15" i="9"/>
  <c r="V15" i="9" s="1"/>
  <c r="U19" i="9"/>
  <c r="V19" i="9" s="1"/>
  <c r="U23" i="9"/>
  <c r="V23" i="9" s="1"/>
  <c r="U31" i="9"/>
  <c r="V31" i="9" s="1"/>
  <c r="U35" i="9"/>
  <c r="V35" i="9" s="1"/>
  <c r="U41" i="9"/>
  <c r="V41" i="9" s="1"/>
  <c r="U53" i="9"/>
  <c r="V53" i="9" s="1"/>
  <c r="U67" i="9"/>
  <c r="V67" i="9" s="1"/>
  <c r="U73" i="9"/>
  <c r="V73" i="9" s="1"/>
  <c r="U76" i="9"/>
  <c r="V76" i="9" s="1"/>
  <c r="U80" i="9"/>
  <c r="V80" i="9" s="1"/>
  <c r="U84" i="9"/>
  <c r="V84" i="9" s="1"/>
  <c r="U88" i="9"/>
  <c r="V88" i="9" s="1"/>
  <c r="U92" i="9"/>
  <c r="V92" i="9" s="1"/>
  <c r="U95" i="9"/>
  <c r="V95" i="9" s="1"/>
  <c r="U108" i="9"/>
  <c r="V108" i="9" s="1"/>
  <c r="U111" i="9"/>
  <c r="V111" i="9" s="1"/>
  <c r="U118" i="9"/>
  <c r="V118" i="9" s="1"/>
  <c r="U123" i="9"/>
  <c r="V123" i="9" s="1"/>
  <c r="U130" i="9"/>
  <c r="V130" i="9" s="1"/>
  <c r="U134" i="9"/>
  <c r="V134" i="9" s="1"/>
  <c r="U139" i="9"/>
  <c r="V139" i="9" s="1"/>
  <c r="U144" i="9"/>
  <c r="V144" i="9" s="1"/>
  <c r="U156" i="9"/>
  <c r="V156" i="9" s="1"/>
  <c r="U167" i="9"/>
  <c r="V167" i="9" s="1"/>
  <c r="U171" i="9"/>
  <c r="V171" i="9" s="1"/>
  <c r="U175" i="9"/>
  <c r="V175" i="9" s="1"/>
  <c r="U179" i="9"/>
  <c r="V179" i="9" s="1"/>
  <c r="U183" i="9"/>
  <c r="V183" i="9" s="1"/>
  <c r="U187" i="9"/>
  <c r="V187" i="9" s="1"/>
  <c r="U227" i="9"/>
  <c r="V227" i="9" s="1"/>
  <c r="U235" i="9"/>
  <c r="V235" i="9" s="1"/>
  <c r="U239" i="9"/>
  <c r="V239" i="9" s="1"/>
  <c r="U243" i="9"/>
  <c r="V243" i="9" s="1"/>
  <c r="U247" i="9"/>
  <c r="V247" i="9" s="1"/>
  <c r="U251" i="9"/>
  <c r="V251" i="9" s="1"/>
  <c r="U255" i="9"/>
  <c r="V255" i="9" s="1"/>
  <c r="U259" i="9"/>
  <c r="V259" i="9" s="1"/>
  <c r="U263" i="9"/>
  <c r="V263" i="9" s="1"/>
  <c r="U267" i="9"/>
  <c r="V267" i="9" s="1"/>
  <c r="U271" i="9"/>
  <c r="V271" i="9" s="1"/>
  <c r="U286" i="9"/>
  <c r="V286" i="9" s="1"/>
  <c r="U295" i="9"/>
  <c r="V295" i="9" s="1"/>
  <c r="U299" i="9"/>
  <c r="V299" i="9" s="1"/>
  <c r="U303" i="9"/>
  <c r="V303" i="9" s="1"/>
  <c r="U307" i="9"/>
  <c r="V307" i="9" s="1"/>
  <c r="U311" i="9"/>
  <c r="V311" i="9" s="1"/>
  <c r="U315" i="9"/>
  <c r="V315" i="9" s="1"/>
  <c r="U319" i="9"/>
  <c r="V319" i="9" s="1"/>
  <c r="U323" i="9"/>
  <c r="V323" i="9" s="1"/>
  <c r="U327" i="9"/>
  <c r="V327" i="9" s="1"/>
  <c r="U331" i="9"/>
  <c r="V331" i="9" s="1"/>
  <c r="U335" i="9"/>
  <c r="V335" i="9" s="1"/>
  <c r="U339" i="9"/>
  <c r="V339" i="9" s="1"/>
  <c r="U343" i="9"/>
  <c r="V343" i="9" s="1"/>
  <c r="U347" i="9"/>
  <c r="V347" i="9" s="1"/>
  <c r="U351" i="9"/>
  <c r="V351" i="9" s="1"/>
  <c r="U355" i="9"/>
  <c r="V355" i="9" s="1"/>
  <c r="U359" i="9"/>
  <c r="V359" i="9" s="1"/>
  <c r="U363" i="9"/>
  <c r="V363" i="9" s="1"/>
  <c r="U367" i="9"/>
  <c r="V367" i="9" s="1"/>
  <c r="U371" i="9"/>
  <c r="V371" i="9" s="1"/>
  <c r="U375" i="9"/>
  <c r="V375" i="9" s="1"/>
  <c r="U379" i="9"/>
  <c r="V379" i="9" s="1"/>
  <c r="U383" i="9"/>
  <c r="V383" i="9" s="1"/>
  <c r="U387" i="9"/>
  <c r="V387" i="9" s="1"/>
  <c r="U391" i="9"/>
  <c r="V391" i="9" s="1"/>
  <c r="U395" i="9"/>
  <c r="V395" i="9" s="1"/>
  <c r="U399" i="9"/>
  <c r="V399" i="9" s="1"/>
  <c r="U403" i="9"/>
  <c r="V403" i="9" s="1"/>
  <c r="U407" i="9"/>
  <c r="V407" i="9" s="1"/>
  <c r="U4" i="9"/>
  <c r="V4" i="9" s="1"/>
  <c r="U9" i="9"/>
  <c r="V9" i="9" s="1"/>
  <c r="U14" i="9"/>
  <c r="V14" i="9" s="1"/>
  <c r="U20" i="9"/>
  <c r="V20" i="9" s="1"/>
  <c r="U25" i="9"/>
  <c r="V25" i="9" s="1"/>
  <c r="U34" i="9"/>
  <c r="V34" i="9" s="1"/>
  <c r="U43" i="9"/>
  <c r="V43" i="9" s="1"/>
  <c r="U58" i="9"/>
  <c r="V58" i="9" s="1"/>
  <c r="U72" i="9"/>
  <c r="V72" i="9" s="1"/>
  <c r="U78" i="9"/>
  <c r="V78" i="9" s="1"/>
  <c r="U83" i="9"/>
  <c r="V83" i="9" s="1"/>
  <c r="U89" i="9"/>
  <c r="V89" i="9" s="1"/>
  <c r="U107" i="9"/>
  <c r="V107" i="9" s="1"/>
  <c r="U114" i="9"/>
  <c r="V114" i="9" s="1"/>
  <c r="U121" i="9"/>
  <c r="V121" i="9" s="1"/>
  <c r="U129" i="9"/>
  <c r="V129" i="9" s="1"/>
  <c r="U136" i="9"/>
  <c r="V136" i="9" s="1"/>
  <c r="U141" i="9"/>
  <c r="V141" i="9" s="1"/>
  <c r="U154" i="9"/>
  <c r="V154" i="9" s="1"/>
  <c r="U173" i="9"/>
  <c r="V173" i="9" s="1"/>
  <c r="U178" i="9"/>
  <c r="V178" i="9" s="1"/>
  <c r="U184" i="9"/>
  <c r="V184" i="9" s="1"/>
  <c r="U189" i="9"/>
  <c r="V189" i="9" s="1"/>
  <c r="U232" i="9"/>
  <c r="V232" i="9" s="1"/>
  <c r="U237" i="9"/>
  <c r="V237" i="9" s="1"/>
  <c r="U242" i="9"/>
  <c r="V242" i="9" s="1"/>
  <c r="U248" i="9"/>
  <c r="V248" i="9" s="1"/>
  <c r="U253" i="9"/>
  <c r="V253" i="9" s="1"/>
  <c r="U258" i="9"/>
  <c r="V258" i="9" s="1"/>
  <c r="U264" i="9"/>
  <c r="V264" i="9" s="1"/>
  <c r="U269" i="9"/>
  <c r="V269" i="9" s="1"/>
  <c r="U281" i="9"/>
  <c r="V281" i="9" s="1"/>
  <c r="U296" i="9"/>
  <c r="V296" i="9" s="1"/>
  <c r="U301" i="9"/>
  <c r="V301" i="9" s="1"/>
  <c r="U306" i="9"/>
  <c r="V306" i="9" s="1"/>
  <c r="U312" i="9"/>
  <c r="V312" i="9" s="1"/>
  <c r="U317" i="9"/>
  <c r="V317" i="9" s="1"/>
  <c r="U322" i="9"/>
  <c r="V322" i="9" s="1"/>
  <c r="U328" i="9"/>
  <c r="V328" i="9" s="1"/>
  <c r="U333" i="9"/>
  <c r="V333" i="9" s="1"/>
  <c r="U338" i="9"/>
  <c r="V338" i="9" s="1"/>
  <c r="U344" i="9"/>
  <c r="V344" i="9" s="1"/>
  <c r="U349" i="9"/>
  <c r="V349" i="9" s="1"/>
  <c r="U354" i="9"/>
  <c r="V354" i="9" s="1"/>
  <c r="U360" i="9"/>
  <c r="V360" i="9" s="1"/>
  <c r="U365" i="9"/>
  <c r="V365" i="9" s="1"/>
  <c r="U370" i="9"/>
  <c r="V370" i="9" s="1"/>
  <c r="U376" i="9"/>
  <c r="V376" i="9" s="1"/>
  <c r="U381" i="9"/>
  <c r="V381" i="9" s="1"/>
  <c r="U386" i="9"/>
  <c r="V386" i="9" s="1"/>
  <c r="U392" i="9"/>
  <c r="V392" i="9" s="1"/>
  <c r="U397" i="9"/>
  <c r="V397" i="9" s="1"/>
  <c r="U402" i="9"/>
  <c r="V402" i="9" s="1"/>
  <c r="U408" i="9"/>
  <c r="V408" i="9" s="1"/>
  <c r="U412" i="9"/>
  <c r="V412" i="9" s="1"/>
  <c r="U416" i="9"/>
  <c r="V416" i="9" s="1"/>
  <c r="U420" i="9"/>
  <c r="V420" i="9" s="1"/>
  <c r="U424" i="9"/>
  <c r="V424" i="9" s="1"/>
  <c r="U428" i="9"/>
  <c r="V428" i="9" s="1"/>
  <c r="U432" i="9"/>
  <c r="V432" i="9" s="1"/>
  <c r="U436" i="9"/>
  <c r="V436" i="9" s="1"/>
  <c r="U440" i="9"/>
  <c r="V440" i="9" s="1"/>
  <c r="U444" i="9"/>
  <c r="V444" i="9" s="1"/>
  <c r="U448" i="9"/>
  <c r="V448" i="9" s="1"/>
  <c r="U452" i="9"/>
  <c r="V452" i="9" s="1"/>
  <c r="U456" i="9"/>
  <c r="V456" i="9" s="1"/>
  <c r="U460" i="9"/>
  <c r="V460" i="9" s="1"/>
  <c r="U464" i="9"/>
  <c r="V464" i="9" s="1"/>
  <c r="U468" i="9"/>
  <c r="V468" i="9" s="1"/>
  <c r="U472" i="9"/>
  <c r="V472" i="9" s="1"/>
  <c r="U476" i="9"/>
  <c r="V476" i="9" s="1"/>
  <c r="U480" i="9"/>
  <c r="V480" i="9" s="1"/>
  <c r="U484" i="9"/>
  <c r="V484" i="9" s="1"/>
  <c r="U488" i="9"/>
  <c r="V488" i="9" s="1"/>
  <c r="U492" i="9"/>
  <c r="V492" i="9" s="1"/>
  <c r="U496" i="9"/>
  <c r="V496" i="9" s="1"/>
  <c r="U500" i="9"/>
  <c r="V500" i="9" s="1"/>
  <c r="U504" i="9"/>
  <c r="V504" i="9" s="1"/>
  <c r="U509" i="9"/>
  <c r="V509" i="9" s="1"/>
  <c r="U517" i="9"/>
  <c r="V517" i="9" s="1"/>
  <c r="U527" i="9"/>
  <c r="V527" i="9" s="1"/>
  <c r="U531" i="9"/>
  <c r="V531" i="9" s="1"/>
  <c r="U536" i="9"/>
  <c r="V536" i="9" s="1"/>
  <c r="U542" i="9"/>
  <c r="V542" i="9" s="1"/>
  <c r="U552" i="9"/>
  <c r="V552" i="9" s="1"/>
  <c r="U556" i="9"/>
  <c r="V556" i="9" s="1"/>
  <c r="U560" i="9"/>
  <c r="V560" i="9" s="1"/>
  <c r="U564" i="9"/>
  <c r="V564" i="9" s="1"/>
  <c r="U572" i="9"/>
  <c r="V572" i="9" s="1"/>
  <c r="U576" i="9"/>
  <c r="V576" i="9" s="1"/>
  <c r="U580" i="9"/>
  <c r="V580" i="9" s="1"/>
  <c r="U584" i="9"/>
  <c r="V584" i="9" s="1"/>
  <c r="U588" i="9"/>
  <c r="V588" i="9" s="1"/>
  <c r="U592" i="9"/>
  <c r="V592" i="9" s="1"/>
  <c r="U596" i="9"/>
  <c r="V596" i="9" s="1"/>
  <c r="U600" i="9"/>
  <c r="V600" i="9" s="1"/>
  <c r="U604" i="9"/>
  <c r="V604" i="9" s="1"/>
  <c r="U608" i="9"/>
  <c r="V608" i="9" s="1"/>
  <c r="U612" i="9"/>
  <c r="V612" i="9" s="1"/>
  <c r="U616" i="9"/>
  <c r="V616" i="9" s="1"/>
  <c r="U620" i="9"/>
  <c r="V620" i="9" s="1"/>
  <c r="U624" i="9"/>
  <c r="V624" i="9" s="1"/>
  <c r="U628" i="9"/>
  <c r="V628" i="9" s="1"/>
  <c r="U632" i="9"/>
  <c r="V632" i="9" s="1"/>
  <c r="U636" i="9"/>
  <c r="V636" i="9" s="1"/>
  <c r="U640" i="9"/>
  <c r="V640" i="9" s="1"/>
  <c r="U644" i="9"/>
  <c r="V644" i="9" s="1"/>
  <c r="U648" i="9"/>
  <c r="V648" i="9" s="1"/>
  <c r="U652" i="9"/>
  <c r="V652" i="9" s="1"/>
  <c r="U656" i="9"/>
  <c r="V656" i="9" s="1"/>
  <c r="U660" i="9"/>
  <c r="V660" i="9" s="1"/>
  <c r="U664" i="9"/>
  <c r="V664" i="9" s="1"/>
  <c r="U668" i="9"/>
  <c r="V668" i="9" s="1"/>
  <c r="U672" i="9"/>
  <c r="V672" i="9" s="1"/>
  <c r="U676" i="9"/>
  <c r="V676" i="9" s="1"/>
  <c r="U680" i="9"/>
  <c r="V680" i="9" s="1"/>
  <c r="U684" i="9"/>
  <c r="V684" i="9" s="1"/>
  <c r="U688" i="9"/>
  <c r="V688" i="9" s="1"/>
  <c r="U692" i="9"/>
  <c r="V692" i="9" s="1"/>
  <c r="U696" i="9"/>
  <c r="V696" i="9" s="1"/>
  <c r="U700" i="9"/>
  <c r="V700" i="9" s="1"/>
  <c r="U704" i="9"/>
  <c r="V704" i="9" s="1"/>
  <c r="U708" i="9"/>
  <c r="V708" i="9" s="1"/>
  <c r="U712" i="9"/>
  <c r="V712" i="9" s="1"/>
  <c r="U716" i="9"/>
  <c r="V716" i="9" s="1"/>
  <c r="U720" i="9"/>
  <c r="V720" i="9" s="1"/>
  <c r="U728" i="9"/>
  <c r="V728" i="9" s="1"/>
  <c r="U740" i="9"/>
  <c r="V740" i="9" s="1"/>
  <c r="U747" i="9"/>
  <c r="V747" i="9" s="1"/>
  <c r="U754" i="9"/>
  <c r="V754" i="9" s="1"/>
  <c r="U759" i="9"/>
  <c r="V759" i="9" s="1"/>
  <c r="U763" i="9"/>
  <c r="V763" i="9" s="1"/>
  <c r="U769" i="9"/>
  <c r="V769" i="9" s="1"/>
  <c r="U775" i="9"/>
  <c r="V775" i="9" s="1"/>
  <c r="U779" i="9"/>
  <c r="V779" i="9" s="1"/>
  <c r="U783" i="9"/>
  <c r="V783" i="9" s="1"/>
  <c r="U787" i="9"/>
  <c r="V787" i="9" s="1"/>
  <c r="U791" i="9"/>
  <c r="V791" i="9" s="1"/>
  <c r="U795" i="9"/>
  <c r="V795" i="9" s="1"/>
  <c r="U799" i="9"/>
  <c r="V799" i="9" s="1"/>
  <c r="U803" i="9"/>
  <c r="V803" i="9" s="1"/>
  <c r="U807" i="9"/>
  <c r="V807" i="9" s="1"/>
  <c r="U811" i="9"/>
  <c r="V811" i="9" s="1"/>
  <c r="U815" i="9"/>
  <c r="V815" i="9" s="1"/>
  <c r="U819" i="9"/>
  <c r="V819" i="9" s="1"/>
  <c r="U823" i="9"/>
  <c r="V823" i="9" s="1"/>
  <c r="U827" i="9"/>
  <c r="V827" i="9" s="1"/>
  <c r="U831" i="9"/>
  <c r="V831" i="9" s="1"/>
  <c r="U835" i="9"/>
  <c r="V835" i="9" s="1"/>
  <c r="U845" i="9"/>
  <c r="V845" i="9" s="1"/>
  <c r="U849" i="9"/>
  <c r="V849" i="9" s="1"/>
  <c r="U853" i="9"/>
  <c r="V853" i="9" s="1"/>
  <c r="U857" i="9"/>
  <c r="V857" i="9" s="1"/>
  <c r="U861" i="9"/>
  <c r="V861" i="9" s="1"/>
  <c r="U865" i="9"/>
  <c r="V865" i="9" s="1"/>
  <c r="U869" i="9"/>
  <c r="V869" i="9" s="1"/>
  <c r="U873" i="9"/>
  <c r="V873" i="9" s="1"/>
  <c r="U5" i="9"/>
  <c r="V5" i="9" s="1"/>
  <c r="U10" i="9"/>
  <c r="V10" i="9" s="1"/>
  <c r="U16" i="9"/>
  <c r="V16" i="9" s="1"/>
  <c r="U21" i="9"/>
  <c r="V21" i="9" s="1"/>
  <c r="U27" i="9"/>
  <c r="V27" i="9" s="1"/>
  <c r="U36" i="9"/>
  <c r="V36" i="9" s="1"/>
  <c r="U45" i="9"/>
  <c r="V45" i="9" s="1"/>
  <c r="U61" i="9"/>
  <c r="V61" i="9" s="1"/>
  <c r="U74" i="9"/>
  <c r="V74" i="9" s="1"/>
  <c r="U79" i="9"/>
  <c r="V79" i="9" s="1"/>
  <c r="U85" i="9"/>
  <c r="V85" i="9" s="1"/>
  <c r="U90" i="9"/>
  <c r="V90" i="9" s="1"/>
  <c r="U93" i="9"/>
  <c r="V93" i="9" s="1"/>
  <c r="U109" i="9"/>
  <c r="V109" i="9" s="1"/>
  <c r="U116" i="9"/>
  <c r="V116" i="9" s="1"/>
  <c r="U122" i="9"/>
  <c r="V122" i="9" s="1"/>
  <c r="U131" i="9"/>
  <c r="V131" i="9" s="1"/>
  <c r="U137" i="9"/>
  <c r="V137" i="9" s="1"/>
  <c r="U142" i="9"/>
  <c r="V142" i="9" s="1"/>
  <c r="U158" i="9"/>
  <c r="V158" i="9" s="1"/>
  <c r="U174" i="9"/>
  <c r="V174" i="9" s="1"/>
  <c r="U180" i="9"/>
  <c r="V180" i="9" s="1"/>
  <c r="U185" i="9"/>
  <c r="V185" i="9" s="1"/>
  <c r="U212" i="9"/>
  <c r="V212" i="9" s="1"/>
  <c r="U233" i="9"/>
  <c r="V233" i="9" s="1"/>
  <c r="U238" i="9"/>
  <c r="V238" i="9" s="1"/>
  <c r="U244" i="9"/>
  <c r="V244" i="9" s="1"/>
  <c r="U249" i="9"/>
  <c r="V249" i="9" s="1"/>
  <c r="U254" i="9"/>
  <c r="V254" i="9" s="1"/>
  <c r="U260" i="9"/>
  <c r="V260" i="9" s="1"/>
  <c r="U265" i="9"/>
  <c r="V265" i="9" s="1"/>
  <c r="U270" i="9"/>
  <c r="V270" i="9" s="1"/>
  <c r="U292" i="9"/>
  <c r="V292" i="9" s="1"/>
  <c r="U297" i="9"/>
  <c r="V297" i="9" s="1"/>
  <c r="U302" i="9"/>
  <c r="V302" i="9" s="1"/>
  <c r="U308" i="9"/>
  <c r="V308" i="9" s="1"/>
  <c r="U313" i="9"/>
  <c r="V313" i="9" s="1"/>
  <c r="U318" i="9"/>
  <c r="V318" i="9" s="1"/>
  <c r="U324" i="9"/>
  <c r="V324" i="9" s="1"/>
  <c r="U329" i="9"/>
  <c r="V329" i="9" s="1"/>
  <c r="U334" i="9"/>
  <c r="V334" i="9" s="1"/>
  <c r="U340" i="9"/>
  <c r="V340" i="9" s="1"/>
  <c r="U345" i="9"/>
  <c r="V345" i="9" s="1"/>
  <c r="U350" i="9"/>
  <c r="V350" i="9" s="1"/>
  <c r="U356" i="9"/>
  <c r="V356" i="9" s="1"/>
  <c r="U361" i="9"/>
  <c r="V361" i="9" s="1"/>
  <c r="U366" i="9"/>
  <c r="V366" i="9" s="1"/>
  <c r="U372" i="9"/>
  <c r="V372" i="9" s="1"/>
  <c r="U377" i="9"/>
  <c r="V377" i="9" s="1"/>
  <c r="U382" i="9"/>
  <c r="V382" i="9" s="1"/>
  <c r="U388" i="9"/>
  <c r="V388" i="9" s="1"/>
  <c r="U393" i="9"/>
  <c r="V393" i="9" s="1"/>
  <c r="U398" i="9"/>
  <c r="V398" i="9" s="1"/>
  <c r="U404" i="9"/>
  <c r="V404" i="9" s="1"/>
  <c r="U409" i="9"/>
  <c r="V409" i="9" s="1"/>
  <c r="U413" i="9"/>
  <c r="V413" i="9" s="1"/>
  <c r="U417" i="9"/>
  <c r="V417" i="9" s="1"/>
  <c r="U421" i="9"/>
  <c r="V421" i="9" s="1"/>
  <c r="U425" i="9"/>
  <c r="V425" i="9" s="1"/>
  <c r="U429" i="9"/>
  <c r="V429" i="9" s="1"/>
  <c r="U433" i="9"/>
  <c r="V433" i="9" s="1"/>
  <c r="U437" i="9"/>
  <c r="V437" i="9" s="1"/>
  <c r="U441" i="9"/>
  <c r="V441" i="9" s="1"/>
  <c r="U445" i="9"/>
  <c r="V445" i="9" s="1"/>
  <c r="U449" i="9"/>
  <c r="V449" i="9" s="1"/>
  <c r="U453" i="9"/>
  <c r="V453" i="9" s="1"/>
  <c r="U457" i="9"/>
  <c r="V457" i="9" s="1"/>
  <c r="U461" i="9"/>
  <c r="V461" i="9" s="1"/>
  <c r="U465" i="9"/>
  <c r="V465" i="9" s="1"/>
  <c r="U469" i="9"/>
  <c r="V469" i="9" s="1"/>
  <c r="U473" i="9"/>
  <c r="V473" i="9" s="1"/>
  <c r="U477" i="9"/>
  <c r="V477" i="9" s="1"/>
  <c r="U481" i="9"/>
  <c r="V481" i="9" s="1"/>
  <c r="U6" i="9"/>
  <c r="V6" i="9" s="1"/>
  <c r="U17" i="9"/>
  <c r="V17" i="9" s="1"/>
  <c r="U32" i="9"/>
  <c r="V32" i="9" s="1"/>
  <c r="U46" i="9"/>
  <c r="V46" i="9" s="1"/>
  <c r="U75" i="9"/>
  <c r="V75" i="9" s="1"/>
  <c r="U81" i="9"/>
  <c r="V81" i="9" s="1"/>
  <c r="U91" i="9"/>
  <c r="V91" i="9" s="1"/>
  <c r="U127" i="9"/>
  <c r="V127" i="9" s="1"/>
  <c r="U138" i="9"/>
  <c r="V138" i="9" s="1"/>
  <c r="U160" i="9"/>
  <c r="V160" i="9" s="1"/>
  <c r="U176" i="9"/>
  <c r="V176" i="9" s="1"/>
  <c r="U186" i="9"/>
  <c r="V186" i="9" s="1"/>
  <c r="U217" i="9"/>
  <c r="V217" i="9" s="1"/>
  <c r="U240" i="9"/>
  <c r="V240" i="9" s="1"/>
  <c r="U250" i="9"/>
  <c r="V250" i="9" s="1"/>
  <c r="U261" i="9"/>
  <c r="V261" i="9" s="1"/>
  <c r="U274" i="9"/>
  <c r="V274" i="9" s="1"/>
  <c r="U298" i="9"/>
  <c r="V298" i="9" s="1"/>
  <c r="U309" i="9"/>
  <c r="V309" i="9" s="1"/>
  <c r="U320" i="9"/>
  <c r="V320" i="9" s="1"/>
  <c r="U330" i="9"/>
  <c r="V330" i="9" s="1"/>
  <c r="U341" i="9"/>
  <c r="V341" i="9" s="1"/>
  <c r="U352" i="9"/>
  <c r="V352" i="9" s="1"/>
  <c r="U362" i="9"/>
  <c r="V362" i="9" s="1"/>
  <c r="U373" i="9"/>
  <c r="V373" i="9" s="1"/>
  <c r="U384" i="9"/>
  <c r="V384" i="9" s="1"/>
  <c r="U394" i="9"/>
  <c r="V394" i="9" s="1"/>
  <c r="U405" i="9"/>
  <c r="V405" i="9" s="1"/>
  <c r="U414" i="9"/>
  <c r="V414" i="9" s="1"/>
  <c r="U422" i="9"/>
  <c r="V422" i="9" s="1"/>
  <c r="U430" i="9"/>
  <c r="V430" i="9" s="1"/>
  <c r="U438" i="9"/>
  <c r="V438" i="9" s="1"/>
  <c r="U446" i="9"/>
  <c r="V446" i="9" s="1"/>
  <c r="U454" i="9"/>
  <c r="V454" i="9" s="1"/>
  <c r="U462" i="9"/>
  <c r="V462" i="9" s="1"/>
  <c r="U470" i="9"/>
  <c r="V470" i="9" s="1"/>
  <c r="U478" i="9"/>
  <c r="V478" i="9" s="1"/>
  <c r="U485" i="9"/>
  <c r="V485" i="9" s="1"/>
  <c r="U490" i="9"/>
  <c r="V490" i="9" s="1"/>
  <c r="U495" i="9"/>
  <c r="V495" i="9" s="1"/>
  <c r="U501" i="9"/>
  <c r="V501" i="9" s="1"/>
  <c r="U508" i="9"/>
  <c r="V508" i="9" s="1"/>
  <c r="U515" i="9"/>
  <c r="V515" i="9" s="1"/>
  <c r="U524" i="9"/>
  <c r="V524" i="9" s="1"/>
  <c r="U529" i="9"/>
  <c r="V529" i="9" s="1"/>
  <c r="U534" i="9"/>
  <c r="V534" i="9" s="1"/>
  <c r="U544" i="9"/>
  <c r="V544" i="9" s="1"/>
  <c r="U554" i="9"/>
  <c r="V554" i="9" s="1"/>
  <c r="U559" i="9"/>
  <c r="V559" i="9" s="1"/>
  <c r="U569" i="9"/>
  <c r="V569" i="9" s="1"/>
  <c r="U574" i="9"/>
  <c r="V574" i="9" s="1"/>
  <c r="U579" i="9"/>
  <c r="V579" i="9" s="1"/>
  <c r="U585" i="9"/>
  <c r="V585" i="9" s="1"/>
  <c r="U590" i="9"/>
  <c r="V590" i="9" s="1"/>
  <c r="U595" i="9"/>
  <c r="V595" i="9" s="1"/>
  <c r="U601" i="9"/>
  <c r="V601" i="9" s="1"/>
  <c r="U606" i="9"/>
  <c r="V606" i="9" s="1"/>
  <c r="U611" i="9"/>
  <c r="V611" i="9" s="1"/>
  <c r="U617" i="9"/>
  <c r="V617" i="9" s="1"/>
  <c r="U622" i="9"/>
  <c r="V622" i="9" s="1"/>
  <c r="U627" i="9"/>
  <c r="V627" i="9" s="1"/>
  <c r="U633" i="9"/>
  <c r="V633" i="9" s="1"/>
  <c r="U638" i="9"/>
  <c r="V638" i="9" s="1"/>
  <c r="U643" i="9"/>
  <c r="V643" i="9" s="1"/>
  <c r="U649" i="9"/>
  <c r="V649" i="9" s="1"/>
  <c r="U654" i="9"/>
  <c r="V654" i="9" s="1"/>
  <c r="U659" i="9"/>
  <c r="V659" i="9" s="1"/>
  <c r="U665" i="9"/>
  <c r="V665" i="9" s="1"/>
  <c r="U670" i="9"/>
  <c r="V670" i="9" s="1"/>
  <c r="U675" i="9"/>
  <c r="V675" i="9" s="1"/>
  <c r="U681" i="9"/>
  <c r="V681" i="9" s="1"/>
  <c r="U686" i="9"/>
  <c r="V686" i="9" s="1"/>
  <c r="U691" i="9"/>
  <c r="V691" i="9" s="1"/>
  <c r="U697" i="9"/>
  <c r="V697" i="9" s="1"/>
  <c r="U702" i="9"/>
  <c r="V702" i="9" s="1"/>
  <c r="U707" i="9"/>
  <c r="V707" i="9" s="1"/>
  <c r="U713" i="9"/>
  <c r="V713" i="9" s="1"/>
  <c r="U718" i="9"/>
  <c r="V718" i="9" s="1"/>
  <c r="U723" i="9"/>
  <c r="V723" i="9" s="1"/>
  <c r="U741" i="9"/>
  <c r="V741" i="9" s="1"/>
  <c r="U750" i="9"/>
  <c r="V750" i="9" s="1"/>
  <c r="U758" i="9"/>
  <c r="V758" i="9" s="1"/>
  <c r="U8" i="9"/>
  <c r="V8" i="9" s="1"/>
  <c r="U18" i="9"/>
  <c r="V18" i="9" s="1"/>
  <c r="U33" i="9"/>
  <c r="V33" i="9" s="1"/>
  <c r="U55" i="9"/>
  <c r="V55" i="9" s="1"/>
  <c r="U82" i="9"/>
  <c r="V82" i="9" s="1"/>
  <c r="U110" i="9"/>
  <c r="V110" i="9" s="1"/>
  <c r="U128" i="9"/>
  <c r="V128" i="9" s="1"/>
  <c r="U140" i="9"/>
  <c r="V140" i="9" s="1"/>
  <c r="U163" i="9"/>
  <c r="V163" i="9" s="1"/>
  <c r="U177" i="9"/>
  <c r="V177" i="9" s="1"/>
  <c r="U188" i="9"/>
  <c r="V188" i="9" s="1"/>
  <c r="U222" i="9"/>
  <c r="V222" i="9" s="1"/>
  <c r="U241" i="9"/>
  <c r="V241" i="9" s="1"/>
  <c r="U252" i="9"/>
  <c r="V252" i="9" s="1"/>
  <c r="U262" i="9"/>
  <c r="V262" i="9" s="1"/>
  <c r="U277" i="9"/>
  <c r="V277" i="9" s="1"/>
  <c r="U300" i="9"/>
  <c r="V300" i="9" s="1"/>
  <c r="U310" i="9"/>
  <c r="V310" i="9" s="1"/>
  <c r="U321" i="9"/>
  <c r="V321" i="9" s="1"/>
  <c r="U332" i="9"/>
  <c r="V332" i="9" s="1"/>
  <c r="U342" i="9"/>
  <c r="V342" i="9" s="1"/>
  <c r="U353" i="9"/>
  <c r="V353" i="9" s="1"/>
  <c r="U364" i="9"/>
  <c r="V364" i="9" s="1"/>
  <c r="U374" i="9"/>
  <c r="V374" i="9" s="1"/>
  <c r="U385" i="9"/>
  <c r="V385" i="9" s="1"/>
  <c r="U396" i="9"/>
  <c r="V396" i="9" s="1"/>
  <c r="U406" i="9"/>
  <c r="V406" i="9" s="1"/>
  <c r="U415" i="9"/>
  <c r="V415" i="9" s="1"/>
  <c r="U423" i="9"/>
  <c r="V423" i="9" s="1"/>
  <c r="U431" i="9"/>
  <c r="V431" i="9" s="1"/>
  <c r="U439" i="9"/>
  <c r="V439" i="9" s="1"/>
  <c r="U447" i="9"/>
  <c r="V447" i="9" s="1"/>
  <c r="U455" i="9"/>
  <c r="V455" i="9" s="1"/>
  <c r="U463" i="9"/>
  <c r="V463" i="9" s="1"/>
  <c r="U471" i="9"/>
  <c r="V471" i="9" s="1"/>
  <c r="U479" i="9"/>
  <c r="V479" i="9" s="1"/>
  <c r="U486" i="9"/>
  <c r="V486" i="9" s="1"/>
  <c r="U491" i="9"/>
  <c r="V491" i="9" s="1"/>
  <c r="U497" i="9"/>
  <c r="V497" i="9" s="1"/>
  <c r="U502" i="9"/>
  <c r="V502" i="9" s="1"/>
  <c r="U518" i="9"/>
  <c r="V518" i="9" s="1"/>
  <c r="U525" i="9"/>
  <c r="V525" i="9" s="1"/>
  <c r="U530" i="9"/>
  <c r="V530" i="9" s="1"/>
  <c r="U537" i="9"/>
  <c r="V537" i="9" s="1"/>
  <c r="U546" i="9"/>
  <c r="V546" i="9" s="1"/>
  <c r="U555" i="9"/>
  <c r="V555" i="9" s="1"/>
  <c r="U561" i="9"/>
  <c r="V561" i="9" s="1"/>
  <c r="U570" i="9"/>
  <c r="V570" i="9" s="1"/>
  <c r="U575" i="9"/>
  <c r="V575" i="9" s="1"/>
  <c r="U581" i="9"/>
  <c r="V581" i="9" s="1"/>
  <c r="U586" i="9"/>
  <c r="V586" i="9" s="1"/>
  <c r="U591" i="9"/>
  <c r="V591" i="9" s="1"/>
  <c r="U597" i="9"/>
  <c r="V597" i="9" s="1"/>
  <c r="U602" i="9"/>
  <c r="V602" i="9" s="1"/>
  <c r="U607" i="9"/>
  <c r="V607" i="9" s="1"/>
  <c r="U613" i="9"/>
  <c r="V613" i="9" s="1"/>
  <c r="U618" i="9"/>
  <c r="V618" i="9" s="1"/>
  <c r="U623" i="9"/>
  <c r="V623" i="9" s="1"/>
  <c r="U629" i="9"/>
  <c r="V629" i="9" s="1"/>
  <c r="U634" i="9"/>
  <c r="V634" i="9" s="1"/>
  <c r="U639" i="9"/>
  <c r="V639" i="9" s="1"/>
  <c r="U645" i="9"/>
  <c r="V645" i="9" s="1"/>
  <c r="U650" i="9"/>
  <c r="V650" i="9" s="1"/>
  <c r="U655" i="9"/>
  <c r="V655" i="9" s="1"/>
  <c r="U661" i="9"/>
  <c r="V661" i="9" s="1"/>
  <c r="U666" i="9"/>
  <c r="V666" i="9" s="1"/>
  <c r="U671" i="9"/>
  <c r="V671" i="9" s="1"/>
  <c r="U677" i="9"/>
  <c r="V677" i="9" s="1"/>
  <c r="U682" i="9"/>
  <c r="V682" i="9" s="1"/>
  <c r="U687" i="9"/>
  <c r="V687" i="9" s="1"/>
  <c r="U693" i="9"/>
  <c r="V693" i="9" s="1"/>
  <c r="U698" i="9"/>
  <c r="V698" i="9" s="1"/>
  <c r="U703" i="9"/>
  <c r="V703" i="9" s="1"/>
  <c r="U709" i="9"/>
  <c r="V709" i="9" s="1"/>
  <c r="U714" i="9"/>
  <c r="V714" i="9" s="1"/>
  <c r="U719" i="9"/>
  <c r="V719" i="9" s="1"/>
  <c r="U733" i="9"/>
  <c r="V733" i="9" s="1"/>
  <c r="U743" i="9"/>
  <c r="V743" i="9" s="1"/>
  <c r="U752" i="9"/>
  <c r="V752" i="9" s="1"/>
  <c r="U12" i="9"/>
  <c r="V12" i="9" s="1"/>
  <c r="U37" i="9"/>
  <c r="V37" i="9" s="1"/>
  <c r="U100" i="9"/>
  <c r="V100" i="9" s="1"/>
  <c r="U132" i="9"/>
  <c r="V132" i="9" s="1"/>
  <c r="U181" i="9"/>
  <c r="V181" i="9" s="1"/>
  <c r="U234" i="9"/>
  <c r="V234" i="9" s="1"/>
  <c r="U256" i="9"/>
  <c r="V256" i="9" s="1"/>
  <c r="U293" i="9"/>
  <c r="V293" i="9" s="1"/>
  <c r="U314" i="9"/>
  <c r="V314" i="9" s="1"/>
  <c r="U336" i="9"/>
  <c r="V336" i="9" s="1"/>
  <c r="U357" i="9"/>
  <c r="V357" i="9" s="1"/>
  <c r="U378" i="9"/>
  <c r="V378" i="9" s="1"/>
  <c r="U400" i="9"/>
  <c r="V400" i="9" s="1"/>
  <c r="U418" i="9"/>
  <c r="V418" i="9" s="1"/>
  <c r="U434" i="9"/>
  <c r="V434" i="9" s="1"/>
  <c r="U450" i="9"/>
  <c r="V450" i="9" s="1"/>
  <c r="U466" i="9"/>
  <c r="V466" i="9" s="1"/>
  <c r="U482" i="9"/>
  <c r="V482" i="9" s="1"/>
  <c r="U493" i="9"/>
  <c r="V493" i="9" s="1"/>
  <c r="U503" i="9"/>
  <c r="V503" i="9" s="1"/>
  <c r="U520" i="9"/>
  <c r="V520" i="9" s="1"/>
  <c r="U532" i="9"/>
  <c r="V532" i="9" s="1"/>
  <c r="U548" i="9"/>
  <c r="V548" i="9" s="1"/>
  <c r="U562" i="9"/>
  <c r="V562" i="9" s="1"/>
  <c r="U577" i="9"/>
  <c r="V577" i="9" s="1"/>
  <c r="U587" i="9"/>
  <c r="V587" i="9" s="1"/>
  <c r="U598" i="9"/>
  <c r="V598" i="9" s="1"/>
  <c r="U609" i="9"/>
  <c r="V609" i="9" s="1"/>
  <c r="U619" i="9"/>
  <c r="V619" i="9" s="1"/>
  <c r="U630" i="9"/>
  <c r="V630" i="9" s="1"/>
  <c r="U641" i="9"/>
  <c r="V641" i="9" s="1"/>
  <c r="U651" i="9"/>
  <c r="V651" i="9" s="1"/>
  <c r="U662" i="9"/>
  <c r="V662" i="9" s="1"/>
  <c r="U673" i="9"/>
  <c r="V673" i="9" s="1"/>
  <c r="U683" i="9"/>
  <c r="V683" i="9" s="1"/>
  <c r="U694" i="9"/>
  <c r="V694" i="9" s="1"/>
  <c r="U705" i="9"/>
  <c r="V705" i="9" s="1"/>
  <c r="U715" i="9"/>
  <c r="V715" i="9" s="1"/>
  <c r="U738" i="9"/>
  <c r="V738" i="9" s="1"/>
  <c r="U756" i="9"/>
  <c r="V756" i="9" s="1"/>
  <c r="U762" i="9"/>
  <c r="V762" i="9" s="1"/>
  <c r="U771" i="9"/>
  <c r="V771" i="9" s="1"/>
  <c r="U777" i="9"/>
  <c r="V777" i="9" s="1"/>
  <c r="U782" i="9"/>
  <c r="V782" i="9" s="1"/>
  <c r="U790" i="9"/>
  <c r="V790" i="9" s="1"/>
  <c r="U796" i="9"/>
  <c r="V796" i="9" s="1"/>
  <c r="U801" i="9"/>
  <c r="V801" i="9" s="1"/>
  <c r="U806" i="9"/>
  <c r="V806" i="9" s="1"/>
  <c r="U812" i="9"/>
  <c r="V812" i="9" s="1"/>
  <c r="U817" i="9"/>
  <c r="V817" i="9" s="1"/>
  <c r="U822" i="9"/>
  <c r="V822" i="9" s="1"/>
  <c r="U828" i="9"/>
  <c r="V828" i="9" s="1"/>
  <c r="U833" i="9"/>
  <c r="V833" i="9" s="1"/>
  <c r="U840" i="9"/>
  <c r="V840" i="9" s="1"/>
  <c r="U850" i="9"/>
  <c r="V850" i="9" s="1"/>
  <c r="U855" i="9"/>
  <c r="V855" i="9" s="1"/>
  <c r="U860" i="9"/>
  <c r="V860" i="9" s="1"/>
  <c r="U866" i="9"/>
  <c r="V866" i="9" s="1"/>
  <c r="U871" i="9"/>
  <c r="V871" i="9" s="1"/>
  <c r="U876" i="9"/>
  <c r="V876" i="9" s="1"/>
  <c r="U880" i="9"/>
  <c r="V880" i="9" s="1"/>
  <c r="U884" i="9"/>
  <c r="V884" i="9" s="1"/>
  <c r="U888" i="9"/>
  <c r="V888" i="9" s="1"/>
  <c r="U892" i="9"/>
  <c r="V892" i="9" s="1"/>
  <c r="U896" i="9"/>
  <c r="V896" i="9" s="1"/>
  <c r="U900" i="9"/>
  <c r="V900" i="9" s="1"/>
  <c r="U904" i="9"/>
  <c r="V904" i="9" s="1"/>
  <c r="U908" i="9"/>
  <c r="V908" i="9" s="1"/>
  <c r="U912" i="9"/>
  <c r="V912" i="9" s="1"/>
  <c r="U916" i="9"/>
  <c r="V916" i="9" s="1"/>
  <c r="U920" i="9"/>
  <c r="V920" i="9" s="1"/>
  <c r="U924" i="9"/>
  <c r="V924" i="9" s="1"/>
  <c r="U928" i="9"/>
  <c r="V928" i="9" s="1"/>
  <c r="U932" i="9"/>
  <c r="V932" i="9" s="1"/>
  <c r="U936" i="9"/>
  <c r="V936" i="9" s="1"/>
  <c r="U940" i="9"/>
  <c r="V940" i="9" s="1"/>
  <c r="U944" i="9"/>
  <c r="V944" i="9" s="1"/>
  <c r="U948" i="9"/>
  <c r="V948" i="9" s="1"/>
  <c r="U952" i="9"/>
  <c r="V952" i="9" s="1"/>
  <c r="U956" i="9"/>
  <c r="V956" i="9" s="1"/>
  <c r="U960" i="9"/>
  <c r="V960" i="9" s="1"/>
  <c r="U981" i="9"/>
  <c r="V981" i="9" s="1"/>
  <c r="U983" i="9"/>
  <c r="V983" i="9" s="1"/>
  <c r="U985" i="9"/>
  <c r="V985" i="9" s="1"/>
  <c r="U987" i="9"/>
  <c r="V987" i="9" s="1"/>
  <c r="U989" i="9"/>
  <c r="V989" i="9" s="1"/>
  <c r="U991" i="9"/>
  <c r="V991" i="9" s="1"/>
  <c r="U993" i="9"/>
  <c r="V993" i="9" s="1"/>
  <c r="U995" i="9"/>
  <c r="V995" i="9" s="1"/>
  <c r="U997" i="9"/>
  <c r="V997" i="9" s="1"/>
  <c r="U1001" i="9"/>
  <c r="V1001" i="9" s="1"/>
  <c r="U1005" i="9"/>
  <c r="V1005" i="9" s="1"/>
  <c r="U1009" i="9"/>
  <c r="V1009" i="9" s="1"/>
  <c r="U1013" i="9"/>
  <c r="V1013" i="9" s="1"/>
  <c r="U1017" i="9"/>
  <c r="V1017" i="9" s="1"/>
  <c r="U1021" i="9"/>
  <c r="V1021" i="9" s="1"/>
  <c r="U1025" i="9"/>
  <c r="V1025" i="9" s="1"/>
  <c r="U1029" i="9"/>
  <c r="V1029" i="9" s="1"/>
  <c r="U1033" i="9"/>
  <c r="V1033" i="9" s="1"/>
  <c r="U1037" i="9"/>
  <c r="V1037" i="9" s="1"/>
  <c r="U1041" i="9"/>
  <c r="V1041" i="9" s="1"/>
  <c r="U1045" i="9"/>
  <c r="V1045" i="9" s="1"/>
  <c r="U1049" i="9"/>
  <c r="V1049" i="9" s="1"/>
  <c r="U1053" i="9"/>
  <c r="V1053" i="9" s="1"/>
  <c r="U1068" i="9"/>
  <c r="V1068" i="9" s="1"/>
  <c r="U1072" i="9"/>
  <c r="V1072" i="9" s="1"/>
  <c r="U1076" i="9"/>
  <c r="V1076" i="9" s="1"/>
  <c r="U1080" i="9"/>
  <c r="V1080" i="9" s="1"/>
  <c r="U1084" i="9"/>
  <c r="V1084" i="9" s="1"/>
  <c r="U1088" i="9"/>
  <c r="V1088" i="9" s="1"/>
  <c r="U1092" i="9"/>
  <c r="V1092" i="9" s="1"/>
  <c r="U1096" i="9"/>
  <c r="V1096" i="9" s="1"/>
  <c r="U1099" i="9"/>
  <c r="V1099" i="9" s="1"/>
  <c r="U1103" i="9"/>
  <c r="V1103" i="9" s="1"/>
  <c r="U1107" i="9"/>
  <c r="V1107" i="9" s="1"/>
  <c r="U1113" i="9"/>
  <c r="V1113" i="9" s="1"/>
  <c r="U1123" i="9"/>
  <c r="V1123" i="9" s="1"/>
  <c r="U1127" i="9"/>
  <c r="V1127" i="9" s="1"/>
  <c r="U1131" i="9"/>
  <c r="V1131" i="9" s="1"/>
  <c r="U1135" i="9"/>
  <c r="V1135" i="9" s="1"/>
  <c r="U1139" i="9"/>
  <c r="V1139" i="9" s="1"/>
  <c r="U1143" i="9"/>
  <c r="V1143" i="9" s="1"/>
  <c r="U1147" i="9"/>
  <c r="V1147" i="9" s="1"/>
  <c r="U1151" i="9"/>
  <c r="V1151" i="9" s="1"/>
  <c r="U1155" i="9"/>
  <c r="V1155" i="9" s="1"/>
  <c r="U1159" i="9"/>
  <c r="V1159" i="9" s="1"/>
  <c r="U1163" i="9"/>
  <c r="V1163" i="9" s="1"/>
  <c r="U1167" i="9"/>
  <c r="V1167" i="9" s="1"/>
  <c r="U1171" i="9"/>
  <c r="V1171" i="9" s="1"/>
  <c r="U1175" i="9"/>
  <c r="V1175" i="9" s="1"/>
  <c r="U1179" i="9"/>
  <c r="V1179" i="9" s="1"/>
  <c r="U1183" i="9"/>
  <c r="V1183" i="9" s="1"/>
  <c r="U1187" i="9"/>
  <c r="V1187" i="9" s="1"/>
  <c r="U1191" i="9"/>
  <c r="V1191" i="9" s="1"/>
  <c r="U1195" i="9"/>
  <c r="V1195" i="9" s="1"/>
  <c r="U1199" i="9"/>
  <c r="V1199" i="9" s="1"/>
  <c r="U1203" i="9"/>
  <c r="V1203" i="9" s="1"/>
  <c r="U1207" i="9"/>
  <c r="V1207" i="9" s="1"/>
  <c r="U1211" i="9"/>
  <c r="V1211" i="9" s="1"/>
  <c r="U1215" i="9"/>
  <c r="V1215" i="9" s="1"/>
  <c r="U1219" i="9"/>
  <c r="V1219" i="9" s="1"/>
  <c r="U1223" i="9"/>
  <c r="V1223" i="9" s="1"/>
  <c r="U1227" i="9"/>
  <c r="V1227" i="9" s="1"/>
  <c r="U1231" i="9"/>
  <c r="V1231" i="9" s="1"/>
  <c r="U1235" i="9"/>
  <c r="V1235" i="9" s="1"/>
  <c r="U1239" i="9"/>
  <c r="V1239" i="9" s="1"/>
  <c r="U1243" i="9"/>
  <c r="V1243" i="9" s="1"/>
  <c r="U1247" i="9"/>
  <c r="V1247" i="9" s="1"/>
  <c r="U1251" i="9"/>
  <c r="V1251" i="9" s="1"/>
  <c r="U1255" i="9"/>
  <c r="V1255" i="9" s="1"/>
  <c r="U1259" i="9"/>
  <c r="V1259" i="9" s="1"/>
  <c r="U1263" i="9"/>
  <c r="V1263" i="9" s="1"/>
  <c r="U1268" i="9"/>
  <c r="V1268" i="9" s="1"/>
  <c r="U1273" i="9"/>
  <c r="V1273" i="9" s="1"/>
  <c r="U1277" i="9"/>
  <c r="V1277" i="9" s="1"/>
  <c r="U1281" i="9"/>
  <c r="V1281" i="9" s="1"/>
  <c r="U1297" i="9"/>
  <c r="V1297" i="9" s="1"/>
  <c r="U1312" i="9"/>
  <c r="V1312" i="9" s="1"/>
  <c r="U1319" i="9"/>
  <c r="V1319" i="9" s="1"/>
  <c r="U1323" i="9"/>
  <c r="V1323" i="9" s="1"/>
  <c r="U1327" i="9"/>
  <c r="V1327" i="9" s="1"/>
  <c r="U1331" i="9"/>
  <c r="V1331" i="9" s="1"/>
  <c r="U1335" i="9"/>
  <c r="V1335" i="9" s="1"/>
  <c r="U13" i="9"/>
  <c r="V13" i="9" s="1"/>
  <c r="U39" i="9"/>
  <c r="V39" i="9" s="1"/>
  <c r="U77" i="9"/>
  <c r="V77" i="9" s="1"/>
  <c r="U133" i="9"/>
  <c r="V133" i="9" s="1"/>
  <c r="U151" i="9"/>
  <c r="V151" i="9" s="1"/>
  <c r="U182" i="9"/>
  <c r="V182" i="9" s="1"/>
  <c r="U236" i="9"/>
  <c r="V236" i="9" s="1"/>
  <c r="U257" i="9"/>
  <c r="V257" i="9" s="1"/>
  <c r="U294" i="9"/>
  <c r="V294" i="9" s="1"/>
  <c r="U316" i="9"/>
  <c r="V316" i="9" s="1"/>
  <c r="U337" i="9"/>
  <c r="V337" i="9" s="1"/>
  <c r="U358" i="9"/>
  <c r="V358" i="9" s="1"/>
  <c r="U380" i="9"/>
  <c r="V380" i="9" s="1"/>
  <c r="U401" i="9"/>
  <c r="V401" i="9" s="1"/>
  <c r="U419" i="9"/>
  <c r="V419" i="9" s="1"/>
  <c r="U435" i="9"/>
  <c r="V435" i="9" s="1"/>
  <c r="U451" i="9"/>
  <c r="V451" i="9" s="1"/>
  <c r="U467" i="9"/>
  <c r="V467" i="9" s="1"/>
  <c r="U483" i="9"/>
  <c r="V483" i="9" s="1"/>
  <c r="U494" i="9"/>
  <c r="V494" i="9" s="1"/>
  <c r="U505" i="9"/>
  <c r="V505" i="9" s="1"/>
  <c r="U521" i="9"/>
  <c r="V521" i="9" s="1"/>
  <c r="U533" i="9"/>
  <c r="V533" i="9" s="1"/>
  <c r="U553" i="9"/>
  <c r="V553" i="9" s="1"/>
  <c r="U563" i="9"/>
  <c r="V563" i="9" s="1"/>
  <c r="U578" i="9"/>
  <c r="V578" i="9" s="1"/>
  <c r="U589" i="9"/>
  <c r="V589" i="9" s="1"/>
  <c r="U599" i="9"/>
  <c r="V599" i="9" s="1"/>
  <c r="U610" i="9"/>
  <c r="V610" i="9" s="1"/>
  <c r="U621" i="9"/>
  <c r="V621" i="9" s="1"/>
  <c r="U631" i="9"/>
  <c r="V631" i="9" s="1"/>
  <c r="U642" i="9"/>
  <c r="V642" i="9" s="1"/>
  <c r="U653" i="9"/>
  <c r="V653" i="9" s="1"/>
  <c r="U663" i="9"/>
  <c r="V663" i="9" s="1"/>
  <c r="U674" i="9"/>
  <c r="V674" i="9" s="1"/>
  <c r="U685" i="9"/>
  <c r="V685" i="9" s="1"/>
  <c r="U695" i="9"/>
  <c r="V695" i="9" s="1"/>
  <c r="U706" i="9"/>
  <c r="V706" i="9" s="1"/>
  <c r="U717" i="9"/>
  <c r="V717" i="9" s="1"/>
  <c r="U739" i="9"/>
  <c r="V739" i="9" s="1"/>
  <c r="U757" i="9"/>
  <c r="V757" i="9" s="1"/>
  <c r="U764" i="9"/>
  <c r="V764" i="9" s="1"/>
  <c r="U773" i="9"/>
  <c r="V773" i="9" s="1"/>
  <c r="U778" i="9"/>
  <c r="V778" i="9" s="1"/>
  <c r="U784" i="9"/>
  <c r="V784" i="9" s="1"/>
  <c r="U786" i="9"/>
  <c r="V786" i="9" s="1"/>
  <c r="U792" i="9"/>
  <c r="V792" i="9" s="1"/>
  <c r="U797" i="9"/>
  <c r="V797" i="9" s="1"/>
  <c r="U802" i="9"/>
  <c r="V802" i="9" s="1"/>
  <c r="U808" i="9"/>
  <c r="V808" i="9" s="1"/>
  <c r="U813" i="9"/>
  <c r="V813" i="9" s="1"/>
  <c r="U818" i="9"/>
  <c r="V818" i="9" s="1"/>
  <c r="U824" i="9"/>
  <c r="V824" i="9" s="1"/>
  <c r="U829" i="9"/>
  <c r="V829" i="9" s="1"/>
  <c r="U834" i="9"/>
  <c r="V834" i="9" s="1"/>
  <c r="U846" i="9"/>
  <c r="V846" i="9" s="1"/>
  <c r="U851" i="9"/>
  <c r="V851" i="9" s="1"/>
  <c r="U856" i="9"/>
  <c r="V856" i="9" s="1"/>
  <c r="U862" i="9"/>
  <c r="V862" i="9" s="1"/>
  <c r="U867" i="9"/>
  <c r="V867" i="9" s="1"/>
  <c r="U872" i="9"/>
  <c r="V872" i="9" s="1"/>
  <c r="U877" i="9"/>
  <c r="V877" i="9" s="1"/>
  <c r="U881" i="9"/>
  <c r="V881" i="9" s="1"/>
  <c r="U885" i="9"/>
  <c r="V885" i="9" s="1"/>
  <c r="U889" i="9"/>
  <c r="V889" i="9" s="1"/>
  <c r="U893" i="9"/>
  <c r="V893" i="9" s="1"/>
  <c r="U897" i="9"/>
  <c r="V897" i="9" s="1"/>
  <c r="U901" i="9"/>
  <c r="V901" i="9" s="1"/>
  <c r="U905" i="9"/>
  <c r="V905" i="9" s="1"/>
  <c r="U909" i="9"/>
  <c r="V909" i="9" s="1"/>
  <c r="U913" i="9"/>
  <c r="V913" i="9" s="1"/>
  <c r="U917" i="9"/>
  <c r="V917" i="9" s="1"/>
  <c r="U921" i="9"/>
  <c r="V921" i="9" s="1"/>
  <c r="U925" i="9"/>
  <c r="V925" i="9" s="1"/>
  <c r="U929" i="9"/>
  <c r="V929" i="9" s="1"/>
  <c r="U933" i="9"/>
  <c r="V933" i="9" s="1"/>
  <c r="U937" i="9"/>
  <c r="V937" i="9" s="1"/>
  <c r="U941" i="9"/>
  <c r="V941" i="9" s="1"/>
  <c r="U945" i="9"/>
  <c r="V945" i="9" s="1"/>
  <c r="U949" i="9"/>
  <c r="V949" i="9" s="1"/>
  <c r="U953" i="9"/>
  <c r="V953" i="9" s="1"/>
  <c r="U957" i="9"/>
  <c r="V957" i="9" s="1"/>
  <c r="U961" i="9"/>
  <c r="V961" i="9" s="1"/>
  <c r="U963" i="9"/>
  <c r="V963" i="9" s="1"/>
  <c r="U965" i="9"/>
  <c r="V965" i="9" s="1"/>
  <c r="U967" i="9"/>
  <c r="V967" i="9" s="1"/>
  <c r="U969" i="9"/>
  <c r="V969" i="9" s="1"/>
  <c r="U971" i="9"/>
  <c r="V971" i="9" s="1"/>
  <c r="U973" i="9"/>
  <c r="V973" i="9" s="1"/>
  <c r="U975" i="9"/>
  <c r="V975" i="9" s="1"/>
  <c r="U978" i="9"/>
  <c r="V978" i="9" s="1"/>
  <c r="U998" i="9"/>
  <c r="V998" i="9" s="1"/>
  <c r="U1002" i="9"/>
  <c r="V1002" i="9" s="1"/>
  <c r="U1006" i="9"/>
  <c r="V1006" i="9" s="1"/>
  <c r="U1010" i="9"/>
  <c r="V1010" i="9" s="1"/>
  <c r="U1014" i="9"/>
  <c r="V1014" i="9" s="1"/>
  <c r="U1018" i="9"/>
  <c r="V1018" i="9" s="1"/>
  <c r="U1022" i="9"/>
  <c r="V1022" i="9" s="1"/>
  <c r="U1026" i="9"/>
  <c r="V1026" i="9" s="1"/>
  <c r="U1030" i="9"/>
  <c r="V1030" i="9" s="1"/>
  <c r="U1034" i="9"/>
  <c r="V1034" i="9" s="1"/>
  <c r="U1038" i="9"/>
  <c r="V1038" i="9" s="1"/>
  <c r="U1042" i="9"/>
  <c r="V1042" i="9" s="1"/>
  <c r="U1046" i="9"/>
  <c r="V1046" i="9" s="1"/>
  <c r="U1050" i="9"/>
  <c r="V1050" i="9" s="1"/>
  <c r="U1054" i="9"/>
  <c r="V1054" i="9" s="1"/>
  <c r="U1065" i="9"/>
  <c r="V1065" i="9" s="1"/>
  <c r="U1069" i="9"/>
  <c r="V1069" i="9" s="1"/>
  <c r="U1073" i="9"/>
  <c r="V1073" i="9" s="1"/>
  <c r="U1077" i="9"/>
  <c r="V1077" i="9" s="1"/>
  <c r="U1081" i="9"/>
  <c r="V1081" i="9" s="1"/>
  <c r="U1085" i="9"/>
  <c r="V1085" i="9" s="1"/>
  <c r="U1089" i="9"/>
  <c r="V1089" i="9" s="1"/>
  <c r="U1093" i="9"/>
  <c r="V1093" i="9" s="1"/>
  <c r="U1097" i="9"/>
  <c r="V1097" i="9" s="1"/>
  <c r="U1100" i="9"/>
  <c r="V1100" i="9" s="1"/>
  <c r="U1104" i="9"/>
  <c r="V1104" i="9" s="1"/>
  <c r="U1108" i="9"/>
  <c r="V1108" i="9" s="1"/>
  <c r="U1116" i="9"/>
  <c r="V1116" i="9" s="1"/>
  <c r="U1124" i="9"/>
  <c r="V1124" i="9" s="1"/>
  <c r="U1128" i="9"/>
  <c r="V1128" i="9" s="1"/>
  <c r="U1132" i="9"/>
  <c r="V1132" i="9" s="1"/>
  <c r="U1136" i="9"/>
  <c r="V1136" i="9" s="1"/>
  <c r="U1140" i="9"/>
  <c r="V1140" i="9" s="1"/>
  <c r="U1144" i="9"/>
  <c r="V1144" i="9" s="1"/>
  <c r="U1148" i="9"/>
  <c r="V1148" i="9" s="1"/>
  <c r="U1152" i="9"/>
  <c r="V1152" i="9" s="1"/>
  <c r="U1156" i="9"/>
  <c r="V1156" i="9" s="1"/>
  <c r="U1160" i="9"/>
  <c r="V1160" i="9" s="1"/>
  <c r="U1164" i="9"/>
  <c r="V1164" i="9" s="1"/>
  <c r="U1168" i="9"/>
  <c r="V1168" i="9" s="1"/>
  <c r="U1172" i="9"/>
  <c r="V1172" i="9" s="1"/>
  <c r="U1176" i="9"/>
  <c r="V1176" i="9" s="1"/>
  <c r="U1180" i="9"/>
  <c r="V1180" i="9" s="1"/>
  <c r="U1184" i="9"/>
  <c r="V1184" i="9" s="1"/>
  <c r="U1188" i="9"/>
  <c r="V1188" i="9" s="1"/>
  <c r="U1192" i="9"/>
  <c r="V1192" i="9" s="1"/>
  <c r="U1196" i="9"/>
  <c r="V1196" i="9" s="1"/>
  <c r="U1200" i="9"/>
  <c r="V1200" i="9" s="1"/>
  <c r="U1204" i="9"/>
  <c r="V1204" i="9" s="1"/>
  <c r="U1208" i="9"/>
  <c r="V1208" i="9" s="1"/>
  <c r="U1212" i="9"/>
  <c r="V1212" i="9" s="1"/>
  <c r="U1216" i="9"/>
  <c r="V1216" i="9" s="1"/>
  <c r="U1220" i="9"/>
  <c r="V1220" i="9" s="1"/>
  <c r="U1224" i="9"/>
  <c r="V1224" i="9" s="1"/>
  <c r="U1228" i="9"/>
  <c r="V1228" i="9" s="1"/>
  <c r="U1232" i="9"/>
  <c r="V1232" i="9" s="1"/>
  <c r="U1236" i="9"/>
  <c r="V1236" i="9" s="1"/>
  <c r="U1240" i="9"/>
  <c r="V1240" i="9" s="1"/>
  <c r="U1244" i="9"/>
  <c r="V1244" i="9" s="1"/>
  <c r="U1248" i="9"/>
  <c r="V1248" i="9" s="1"/>
  <c r="U1252" i="9"/>
  <c r="V1252" i="9" s="1"/>
  <c r="U1256" i="9"/>
  <c r="V1256" i="9" s="1"/>
  <c r="U1260" i="9"/>
  <c r="V1260" i="9" s="1"/>
  <c r="U1264" i="9"/>
  <c r="V1264" i="9" s="1"/>
  <c r="U1269" i="9"/>
  <c r="V1269" i="9" s="1"/>
  <c r="U1274" i="9"/>
  <c r="V1274" i="9" s="1"/>
  <c r="U1278" i="9"/>
  <c r="V1278" i="9" s="1"/>
  <c r="U1282" i="9"/>
  <c r="V1282" i="9" s="1"/>
  <c r="U1301" i="9"/>
  <c r="V1301" i="9" s="1"/>
  <c r="U1315" i="9"/>
  <c r="V1315" i="9" s="1"/>
  <c r="U1320" i="9"/>
  <c r="V1320" i="9" s="1"/>
  <c r="U1324" i="9"/>
  <c r="V1324" i="9" s="1"/>
  <c r="U1328" i="9"/>
  <c r="V1328" i="9" s="1"/>
  <c r="U1332" i="9"/>
  <c r="V1332" i="9" s="1"/>
  <c r="U22" i="9"/>
  <c r="V22" i="9" s="1"/>
  <c r="U86" i="9"/>
  <c r="V86" i="9" s="1"/>
  <c r="U145" i="9"/>
  <c r="V145" i="9" s="1"/>
  <c r="U170" i="9"/>
  <c r="V170" i="9" s="1"/>
  <c r="U245" i="9"/>
  <c r="V245" i="9" s="1"/>
  <c r="U304" i="9"/>
  <c r="V304" i="9" s="1"/>
  <c r="U346" i="9"/>
  <c r="V346" i="9" s="1"/>
  <c r="U389" i="9"/>
  <c r="V389" i="9" s="1"/>
  <c r="U426" i="9"/>
  <c r="V426" i="9" s="1"/>
  <c r="U458" i="9"/>
  <c r="V458" i="9" s="1"/>
  <c r="U487" i="9"/>
  <c r="V487" i="9" s="1"/>
  <c r="U511" i="9"/>
  <c r="V511" i="9" s="1"/>
  <c r="U539" i="9"/>
  <c r="V539" i="9" s="1"/>
  <c r="U571" i="9"/>
  <c r="V571" i="9" s="1"/>
  <c r="U593" i="9"/>
  <c r="V593" i="9" s="1"/>
  <c r="U614" i="9"/>
  <c r="V614" i="9" s="1"/>
  <c r="U635" i="9"/>
  <c r="V635" i="9" s="1"/>
  <c r="U657" i="9"/>
  <c r="V657" i="9" s="1"/>
  <c r="U678" i="9"/>
  <c r="V678" i="9" s="1"/>
  <c r="U699" i="9"/>
  <c r="V699" i="9" s="1"/>
  <c r="U721" i="9"/>
  <c r="V721" i="9" s="1"/>
  <c r="U760" i="9"/>
  <c r="V760" i="9" s="1"/>
  <c r="U774" i="9"/>
  <c r="V774" i="9" s="1"/>
  <c r="U788" i="9"/>
  <c r="V788" i="9" s="1"/>
  <c r="U798" i="9"/>
  <c r="V798" i="9" s="1"/>
  <c r="U809" i="9"/>
  <c r="V809" i="9" s="1"/>
  <c r="U820" i="9"/>
  <c r="V820" i="9" s="1"/>
  <c r="U830" i="9"/>
  <c r="V830" i="9" s="1"/>
  <c r="U847" i="9"/>
  <c r="V847" i="9" s="1"/>
  <c r="U858" i="9"/>
  <c r="V858" i="9" s="1"/>
  <c r="U868" i="9"/>
  <c r="V868" i="9" s="1"/>
  <c r="U878" i="9"/>
  <c r="V878" i="9" s="1"/>
  <c r="U886" i="9"/>
  <c r="V886" i="9" s="1"/>
  <c r="U894" i="9"/>
  <c r="V894" i="9" s="1"/>
  <c r="U902" i="9"/>
  <c r="V902" i="9" s="1"/>
  <c r="U910" i="9"/>
  <c r="V910" i="9" s="1"/>
  <c r="U918" i="9"/>
  <c r="V918" i="9" s="1"/>
  <c r="U926" i="9"/>
  <c r="V926" i="9" s="1"/>
  <c r="U934" i="9"/>
  <c r="V934" i="9" s="1"/>
  <c r="U942" i="9"/>
  <c r="V942" i="9" s="1"/>
  <c r="U950" i="9"/>
  <c r="V950" i="9" s="1"/>
  <c r="U958" i="9"/>
  <c r="V958" i="9" s="1"/>
  <c r="U982" i="9"/>
  <c r="V982" i="9" s="1"/>
  <c r="U986" i="9"/>
  <c r="V986" i="9" s="1"/>
  <c r="U990" i="9"/>
  <c r="V990" i="9" s="1"/>
  <c r="U994" i="9"/>
  <c r="V994" i="9" s="1"/>
  <c r="U999" i="9"/>
  <c r="V999" i="9" s="1"/>
  <c r="U1007" i="9"/>
  <c r="V1007" i="9" s="1"/>
  <c r="U1015" i="9"/>
  <c r="V1015" i="9" s="1"/>
  <c r="U1023" i="9"/>
  <c r="V1023" i="9" s="1"/>
  <c r="U1031" i="9"/>
  <c r="V1031" i="9" s="1"/>
  <c r="U1039" i="9"/>
  <c r="V1039" i="9" s="1"/>
  <c r="U1047" i="9"/>
  <c r="V1047" i="9" s="1"/>
  <c r="U1055" i="9"/>
  <c r="V1055" i="9" s="1"/>
  <c r="U1070" i="9"/>
  <c r="V1070" i="9" s="1"/>
  <c r="U1078" i="9"/>
  <c r="V1078" i="9" s="1"/>
  <c r="U1086" i="9"/>
  <c r="V1086" i="9" s="1"/>
  <c r="U1094" i="9"/>
  <c r="V1094" i="9" s="1"/>
  <c r="U1101" i="9"/>
  <c r="V1101" i="9" s="1"/>
  <c r="U1109" i="9"/>
  <c r="V1109" i="9" s="1"/>
  <c r="U1125" i="9"/>
  <c r="V1125" i="9" s="1"/>
  <c r="U1133" i="9"/>
  <c r="V1133" i="9" s="1"/>
  <c r="U1141" i="9"/>
  <c r="V1141" i="9" s="1"/>
  <c r="U1149" i="9"/>
  <c r="V1149" i="9" s="1"/>
  <c r="U1157" i="9"/>
  <c r="V1157" i="9" s="1"/>
  <c r="U1165" i="9"/>
  <c r="V1165" i="9" s="1"/>
  <c r="U1173" i="9"/>
  <c r="V1173" i="9" s="1"/>
  <c r="U1181" i="9"/>
  <c r="V1181" i="9" s="1"/>
  <c r="U1189" i="9"/>
  <c r="V1189" i="9" s="1"/>
  <c r="U1197" i="9"/>
  <c r="V1197" i="9" s="1"/>
  <c r="U1205" i="9"/>
  <c r="V1205" i="9" s="1"/>
  <c r="U1213" i="9"/>
  <c r="V1213" i="9" s="1"/>
  <c r="U1221" i="9"/>
  <c r="V1221" i="9" s="1"/>
  <c r="U1229" i="9"/>
  <c r="V1229" i="9" s="1"/>
  <c r="U1237" i="9"/>
  <c r="V1237" i="9" s="1"/>
  <c r="U1245" i="9"/>
  <c r="V1245" i="9" s="1"/>
  <c r="U1253" i="9"/>
  <c r="V1253" i="9" s="1"/>
  <c r="U1261" i="9"/>
  <c r="V1261" i="9" s="1"/>
  <c r="U1270" i="9"/>
  <c r="V1270" i="9" s="1"/>
  <c r="U1279" i="9"/>
  <c r="V1279" i="9" s="1"/>
  <c r="U1306" i="9"/>
  <c r="V1306" i="9" s="1"/>
  <c r="U1321" i="9"/>
  <c r="V1321" i="9" s="1"/>
  <c r="U1329" i="9"/>
  <c r="V1329" i="9" s="1"/>
  <c r="U1336" i="9"/>
  <c r="V1336" i="9" s="1"/>
  <c r="U1340" i="9"/>
  <c r="V1340" i="9" s="1"/>
  <c r="U1344" i="9"/>
  <c r="V1344" i="9" s="1"/>
  <c r="U1348" i="9"/>
  <c r="V1348" i="9" s="1"/>
  <c r="U1352" i="9"/>
  <c r="V1352" i="9" s="1"/>
  <c r="U1356" i="9"/>
  <c r="V1356" i="9" s="1"/>
  <c r="U1360" i="9"/>
  <c r="V1360" i="9" s="1"/>
  <c r="U1364" i="9"/>
  <c r="V1364" i="9" s="1"/>
  <c r="U1368" i="9"/>
  <c r="V1368" i="9" s="1"/>
  <c r="U1372" i="9"/>
  <c r="V1372" i="9" s="1"/>
  <c r="U1376" i="9"/>
  <c r="V1376" i="9" s="1"/>
  <c r="U1380" i="9"/>
  <c r="V1380" i="9" s="1"/>
  <c r="U1384" i="9"/>
  <c r="V1384" i="9" s="1"/>
  <c r="U1388" i="9"/>
  <c r="V1388" i="9" s="1"/>
  <c r="U1392" i="9"/>
  <c r="V1392" i="9" s="1"/>
  <c r="U1396" i="9"/>
  <c r="V1396" i="9" s="1"/>
  <c r="U1400" i="9"/>
  <c r="V1400" i="9" s="1"/>
  <c r="U1404" i="9"/>
  <c r="V1404" i="9" s="1"/>
  <c r="U1408" i="9"/>
  <c r="V1408" i="9" s="1"/>
  <c r="U1412" i="9"/>
  <c r="V1412" i="9" s="1"/>
  <c r="U1416" i="9"/>
  <c r="V1416" i="9" s="1"/>
  <c r="U1420" i="9"/>
  <c r="V1420" i="9" s="1"/>
  <c r="U1424" i="9"/>
  <c r="V1424" i="9" s="1"/>
  <c r="U1428" i="9"/>
  <c r="V1428" i="9" s="1"/>
  <c r="U1432" i="9"/>
  <c r="V1432" i="9" s="1"/>
  <c r="U1436" i="9"/>
  <c r="V1436" i="9" s="1"/>
  <c r="U1440" i="9"/>
  <c r="V1440" i="9" s="1"/>
  <c r="U1444" i="9"/>
  <c r="V1444" i="9" s="1"/>
  <c r="U1448" i="9"/>
  <c r="V1448" i="9" s="1"/>
  <c r="U1452" i="9"/>
  <c r="V1452" i="9" s="1"/>
  <c r="U1456" i="9"/>
  <c r="V1456" i="9" s="1"/>
  <c r="U1460" i="9"/>
  <c r="V1460" i="9" s="1"/>
  <c r="U1464" i="9"/>
  <c r="V1464" i="9" s="1"/>
  <c r="U1468" i="9"/>
  <c r="V1468" i="9" s="1"/>
  <c r="U1472" i="9"/>
  <c r="V1472" i="9" s="1"/>
  <c r="U1476" i="9"/>
  <c r="V1476" i="9" s="1"/>
  <c r="U1480" i="9"/>
  <c r="V1480" i="9" s="1"/>
  <c r="U1484" i="9"/>
  <c r="V1484" i="9" s="1"/>
  <c r="U1488" i="9"/>
  <c r="V1488" i="9" s="1"/>
  <c r="U1492" i="9"/>
  <c r="V1492" i="9" s="1"/>
  <c r="U1496" i="9"/>
  <c r="V1496" i="9" s="1"/>
  <c r="U1500" i="9"/>
  <c r="V1500" i="9" s="1"/>
  <c r="U1504" i="9"/>
  <c r="V1504" i="9" s="1"/>
  <c r="U1508" i="9"/>
  <c r="V1508" i="9" s="1"/>
  <c r="U1512" i="9"/>
  <c r="V1512" i="9" s="1"/>
  <c r="U1516" i="9"/>
  <c r="V1516" i="9" s="1"/>
  <c r="U1520" i="9"/>
  <c r="V1520" i="9" s="1"/>
  <c r="U1524" i="9"/>
  <c r="V1524" i="9" s="1"/>
  <c r="U1528" i="9"/>
  <c r="V1528" i="9" s="1"/>
  <c r="U1532" i="9"/>
  <c r="V1532" i="9" s="1"/>
  <c r="U1536" i="9"/>
  <c r="V1536" i="9" s="1"/>
  <c r="U1540" i="9"/>
  <c r="V1540" i="9" s="1"/>
  <c r="U1544" i="9"/>
  <c r="V1544" i="9" s="1"/>
  <c r="U1548" i="9"/>
  <c r="V1548" i="9" s="1"/>
  <c r="U1552" i="9"/>
  <c r="V1552" i="9" s="1"/>
  <c r="U1556" i="9"/>
  <c r="V1556" i="9" s="1"/>
  <c r="U1560" i="9"/>
  <c r="V1560" i="9" s="1"/>
  <c r="U1564" i="9"/>
  <c r="V1564" i="9" s="1"/>
  <c r="U1568" i="9"/>
  <c r="V1568" i="9" s="1"/>
  <c r="U1572" i="9"/>
  <c r="V1572" i="9" s="1"/>
  <c r="U1576" i="9"/>
  <c r="V1576" i="9" s="1"/>
  <c r="U1580" i="9"/>
  <c r="V1580" i="9" s="1"/>
  <c r="U1584" i="9"/>
  <c r="V1584" i="9" s="1"/>
  <c r="U1588" i="9"/>
  <c r="V1588" i="9" s="1"/>
  <c r="U1592" i="9"/>
  <c r="V1592" i="9" s="1"/>
  <c r="U1596" i="9"/>
  <c r="V1596" i="9" s="1"/>
  <c r="U1600" i="9"/>
  <c r="V1600" i="9" s="1"/>
  <c r="U1604" i="9"/>
  <c r="V1604" i="9" s="1"/>
  <c r="U1608" i="9"/>
  <c r="V1608" i="9" s="1"/>
  <c r="U1612" i="9"/>
  <c r="V1612" i="9" s="1"/>
  <c r="U1616" i="9"/>
  <c r="V1616" i="9" s="1"/>
  <c r="U1620" i="9"/>
  <c r="V1620" i="9" s="1"/>
  <c r="U1624" i="9"/>
  <c r="V1624" i="9" s="1"/>
  <c r="U1628" i="9"/>
  <c r="V1628" i="9" s="1"/>
  <c r="U1632" i="9"/>
  <c r="V1632" i="9" s="1"/>
  <c r="U1636" i="9"/>
  <c r="V1636" i="9" s="1"/>
  <c r="U1640" i="9"/>
  <c r="V1640" i="9" s="1"/>
  <c r="U1644" i="9"/>
  <c r="V1644" i="9" s="1"/>
  <c r="U1648" i="9"/>
  <c r="V1648" i="9" s="1"/>
  <c r="U1682" i="9"/>
  <c r="V1682" i="9" s="1"/>
  <c r="U1690" i="9"/>
  <c r="V1690" i="9" s="1"/>
  <c r="U1695" i="9"/>
  <c r="V1695" i="9" s="1"/>
  <c r="U1699" i="9"/>
  <c r="V1699" i="9" s="1"/>
  <c r="U1703" i="9"/>
  <c r="V1703" i="9" s="1"/>
  <c r="U1707" i="9"/>
  <c r="V1707" i="9" s="1"/>
  <c r="U24" i="9"/>
  <c r="V24" i="9" s="1"/>
  <c r="U87" i="9"/>
  <c r="V87" i="9" s="1"/>
  <c r="U150" i="9"/>
  <c r="V150" i="9" s="1"/>
  <c r="U172" i="9"/>
  <c r="V172" i="9" s="1"/>
  <c r="U246" i="9"/>
  <c r="V246" i="9" s="1"/>
  <c r="U305" i="9"/>
  <c r="V305" i="9" s="1"/>
  <c r="U348" i="9"/>
  <c r="V348" i="9" s="1"/>
  <c r="U390" i="9"/>
  <c r="V390" i="9" s="1"/>
  <c r="U427" i="9"/>
  <c r="V427" i="9" s="1"/>
  <c r="U459" i="9"/>
  <c r="V459" i="9" s="1"/>
  <c r="U489" i="9"/>
  <c r="V489" i="9" s="1"/>
  <c r="U514" i="9"/>
  <c r="V514" i="9" s="1"/>
  <c r="U540" i="9"/>
  <c r="V540" i="9" s="1"/>
  <c r="U573" i="9"/>
  <c r="V573" i="9" s="1"/>
  <c r="U594" i="9"/>
  <c r="V594" i="9" s="1"/>
  <c r="U615" i="9"/>
  <c r="V615" i="9" s="1"/>
  <c r="U637" i="9"/>
  <c r="V637" i="9" s="1"/>
  <c r="U658" i="9"/>
  <c r="V658" i="9" s="1"/>
  <c r="U679" i="9"/>
  <c r="V679" i="9" s="1"/>
  <c r="U701" i="9"/>
  <c r="V701" i="9" s="1"/>
  <c r="U722" i="9"/>
  <c r="V722" i="9" s="1"/>
  <c r="U761" i="9"/>
  <c r="V761" i="9" s="1"/>
  <c r="U776" i="9"/>
  <c r="V776" i="9" s="1"/>
  <c r="U785" i="9"/>
  <c r="V785" i="9" s="1"/>
  <c r="U789" i="9"/>
  <c r="V789" i="9" s="1"/>
  <c r="U800" i="9"/>
  <c r="V800" i="9" s="1"/>
  <c r="U810" i="9"/>
  <c r="V810" i="9" s="1"/>
  <c r="U821" i="9"/>
  <c r="V821" i="9" s="1"/>
  <c r="U832" i="9"/>
  <c r="V832" i="9" s="1"/>
  <c r="U848" i="9"/>
  <c r="V848" i="9" s="1"/>
  <c r="U859" i="9"/>
  <c r="V859" i="9" s="1"/>
  <c r="U870" i="9"/>
  <c r="V870" i="9" s="1"/>
  <c r="U879" i="9"/>
  <c r="V879" i="9" s="1"/>
  <c r="U887" i="9"/>
  <c r="V887" i="9" s="1"/>
  <c r="U895" i="9"/>
  <c r="V895" i="9" s="1"/>
  <c r="U903" i="9"/>
  <c r="V903" i="9" s="1"/>
  <c r="U911" i="9"/>
  <c r="V911" i="9" s="1"/>
  <c r="U919" i="9"/>
  <c r="V919" i="9" s="1"/>
  <c r="U927" i="9"/>
  <c r="V927" i="9" s="1"/>
  <c r="U935" i="9"/>
  <c r="V935" i="9" s="1"/>
  <c r="U943" i="9"/>
  <c r="V943" i="9" s="1"/>
  <c r="U951" i="9"/>
  <c r="V951" i="9" s="1"/>
  <c r="U959" i="9"/>
  <c r="V959" i="9" s="1"/>
  <c r="U964" i="9"/>
  <c r="V964" i="9" s="1"/>
  <c r="U968" i="9"/>
  <c r="V968" i="9" s="1"/>
  <c r="U972" i="9"/>
  <c r="V972" i="9" s="1"/>
  <c r="U976" i="9"/>
  <c r="V976" i="9" s="1"/>
  <c r="U1000" i="9"/>
  <c r="V1000" i="9" s="1"/>
  <c r="U1008" i="9"/>
  <c r="V1008" i="9" s="1"/>
  <c r="U1016" i="9"/>
  <c r="V1016" i="9" s="1"/>
  <c r="U1024" i="9"/>
  <c r="V1024" i="9" s="1"/>
  <c r="U1032" i="9"/>
  <c r="V1032" i="9" s="1"/>
  <c r="U1040" i="9"/>
  <c r="V1040" i="9" s="1"/>
  <c r="U1048" i="9"/>
  <c r="V1048" i="9" s="1"/>
  <c r="U1056" i="9"/>
  <c r="V1056" i="9" s="1"/>
  <c r="U1071" i="9"/>
  <c r="V1071" i="9" s="1"/>
  <c r="U1079" i="9"/>
  <c r="V1079" i="9" s="1"/>
  <c r="U1087" i="9"/>
  <c r="V1087" i="9" s="1"/>
  <c r="U1095" i="9"/>
  <c r="V1095" i="9" s="1"/>
  <c r="U1102" i="9"/>
  <c r="V1102" i="9" s="1"/>
  <c r="U1110" i="9"/>
  <c r="V1110" i="9" s="1"/>
  <c r="U1126" i="9"/>
  <c r="V1126" i="9" s="1"/>
  <c r="U1134" i="9"/>
  <c r="V1134" i="9" s="1"/>
  <c r="U1142" i="9"/>
  <c r="V1142" i="9" s="1"/>
  <c r="U1150" i="9"/>
  <c r="V1150" i="9" s="1"/>
  <c r="U1158" i="9"/>
  <c r="V1158" i="9" s="1"/>
  <c r="U1166" i="9"/>
  <c r="V1166" i="9" s="1"/>
  <c r="U1174" i="9"/>
  <c r="V1174" i="9" s="1"/>
  <c r="U1182" i="9"/>
  <c r="V1182" i="9" s="1"/>
  <c r="U1190" i="9"/>
  <c r="V1190" i="9" s="1"/>
  <c r="U1198" i="9"/>
  <c r="V1198" i="9" s="1"/>
  <c r="U1206" i="9"/>
  <c r="V1206" i="9" s="1"/>
  <c r="U1214" i="9"/>
  <c r="V1214" i="9" s="1"/>
  <c r="U1222" i="9"/>
  <c r="V1222" i="9" s="1"/>
  <c r="U1230" i="9"/>
  <c r="V1230" i="9" s="1"/>
  <c r="U1238" i="9"/>
  <c r="V1238" i="9" s="1"/>
  <c r="U1246" i="9"/>
  <c r="V1246" i="9" s="1"/>
  <c r="U1254" i="9"/>
  <c r="V1254" i="9" s="1"/>
  <c r="U1262" i="9"/>
  <c r="V1262" i="9" s="1"/>
  <c r="U1271" i="9"/>
  <c r="V1271" i="9" s="1"/>
  <c r="U1280" i="9"/>
  <c r="V1280" i="9" s="1"/>
  <c r="U1309" i="9"/>
  <c r="V1309" i="9" s="1"/>
  <c r="U1322" i="9"/>
  <c r="V1322" i="9" s="1"/>
  <c r="U1330" i="9"/>
  <c r="V1330" i="9" s="1"/>
  <c r="U1337" i="9"/>
  <c r="V1337" i="9" s="1"/>
  <c r="U1341" i="9"/>
  <c r="V1341" i="9" s="1"/>
  <c r="U1345" i="9"/>
  <c r="V1345" i="9" s="1"/>
  <c r="U1349" i="9"/>
  <c r="V1349" i="9" s="1"/>
  <c r="U1353" i="9"/>
  <c r="V1353" i="9" s="1"/>
  <c r="U1357" i="9"/>
  <c r="V1357" i="9" s="1"/>
  <c r="U1361" i="9"/>
  <c r="V1361" i="9" s="1"/>
  <c r="U1365" i="9"/>
  <c r="V1365" i="9" s="1"/>
  <c r="U1369" i="9"/>
  <c r="V1369" i="9" s="1"/>
  <c r="U1373" i="9"/>
  <c r="V1373" i="9" s="1"/>
  <c r="U1377" i="9"/>
  <c r="V1377" i="9" s="1"/>
  <c r="U1381" i="9"/>
  <c r="V1381" i="9" s="1"/>
  <c r="U1385" i="9"/>
  <c r="V1385" i="9" s="1"/>
  <c r="U1389" i="9"/>
  <c r="V1389" i="9" s="1"/>
  <c r="U1393" i="9"/>
  <c r="V1393" i="9" s="1"/>
  <c r="U1397" i="9"/>
  <c r="V1397" i="9" s="1"/>
  <c r="U1401" i="9"/>
  <c r="V1401" i="9" s="1"/>
  <c r="U1405" i="9"/>
  <c r="V1405" i="9" s="1"/>
  <c r="U1409" i="9"/>
  <c r="V1409" i="9" s="1"/>
  <c r="U1413" i="9"/>
  <c r="V1413" i="9" s="1"/>
  <c r="U1417" i="9"/>
  <c r="V1417" i="9" s="1"/>
  <c r="U1421" i="9"/>
  <c r="V1421" i="9" s="1"/>
  <c r="U1425" i="9"/>
  <c r="V1425" i="9" s="1"/>
  <c r="U1429" i="9"/>
  <c r="V1429" i="9" s="1"/>
  <c r="U1433" i="9"/>
  <c r="V1433" i="9" s="1"/>
  <c r="U1437" i="9"/>
  <c r="V1437" i="9" s="1"/>
  <c r="U1441" i="9"/>
  <c r="V1441" i="9" s="1"/>
  <c r="U1445" i="9"/>
  <c r="V1445" i="9" s="1"/>
  <c r="U1449" i="9"/>
  <c r="V1449" i="9" s="1"/>
  <c r="U1453" i="9"/>
  <c r="V1453" i="9" s="1"/>
  <c r="U1457" i="9"/>
  <c r="V1457" i="9" s="1"/>
  <c r="U1461" i="9"/>
  <c r="V1461" i="9" s="1"/>
  <c r="U1465" i="9"/>
  <c r="V1465" i="9" s="1"/>
  <c r="U1469" i="9"/>
  <c r="V1469" i="9" s="1"/>
  <c r="U1473" i="9"/>
  <c r="V1473" i="9" s="1"/>
  <c r="U1477" i="9"/>
  <c r="V1477" i="9" s="1"/>
  <c r="U1481" i="9"/>
  <c r="V1481" i="9" s="1"/>
  <c r="U1485" i="9"/>
  <c r="V1485" i="9" s="1"/>
  <c r="U1489" i="9"/>
  <c r="V1489" i="9" s="1"/>
  <c r="U1493" i="9"/>
  <c r="V1493" i="9" s="1"/>
  <c r="U1497" i="9"/>
  <c r="V1497" i="9" s="1"/>
  <c r="U1501" i="9"/>
  <c r="V1501" i="9" s="1"/>
  <c r="U1505" i="9"/>
  <c r="V1505" i="9" s="1"/>
  <c r="U1509" i="9"/>
  <c r="V1509" i="9" s="1"/>
  <c r="U1513" i="9"/>
  <c r="V1513" i="9" s="1"/>
  <c r="U1517" i="9"/>
  <c r="V1517" i="9" s="1"/>
  <c r="U1521" i="9"/>
  <c r="V1521" i="9" s="1"/>
  <c r="U1525" i="9"/>
  <c r="V1525" i="9" s="1"/>
  <c r="U1529" i="9"/>
  <c r="V1529" i="9" s="1"/>
  <c r="U1533" i="9"/>
  <c r="V1533" i="9" s="1"/>
  <c r="U1537" i="9"/>
  <c r="V1537" i="9" s="1"/>
  <c r="U1541" i="9"/>
  <c r="V1541" i="9" s="1"/>
  <c r="U1545" i="9"/>
  <c r="V1545" i="9" s="1"/>
  <c r="U1549" i="9"/>
  <c r="V1549" i="9" s="1"/>
  <c r="U1553" i="9"/>
  <c r="V1553" i="9" s="1"/>
  <c r="U1557" i="9"/>
  <c r="V1557" i="9" s="1"/>
  <c r="U1561" i="9"/>
  <c r="V1561" i="9" s="1"/>
  <c r="U1565" i="9"/>
  <c r="V1565" i="9" s="1"/>
  <c r="U1569" i="9"/>
  <c r="V1569" i="9" s="1"/>
  <c r="U1573" i="9"/>
  <c r="V1573" i="9" s="1"/>
  <c r="U1577" i="9"/>
  <c r="V1577" i="9" s="1"/>
  <c r="U1581" i="9"/>
  <c r="V1581" i="9" s="1"/>
  <c r="U1585" i="9"/>
  <c r="V1585" i="9" s="1"/>
  <c r="U1589" i="9"/>
  <c r="V1589" i="9" s="1"/>
  <c r="U1593" i="9"/>
  <c r="V1593" i="9" s="1"/>
  <c r="U1597" i="9"/>
  <c r="V1597" i="9" s="1"/>
  <c r="U1601" i="9"/>
  <c r="V1601" i="9" s="1"/>
  <c r="U1605" i="9"/>
  <c r="V1605" i="9" s="1"/>
  <c r="U1609" i="9"/>
  <c r="V1609" i="9" s="1"/>
  <c r="U1613" i="9"/>
  <c r="V1613" i="9" s="1"/>
  <c r="U1617" i="9"/>
  <c r="V1617" i="9" s="1"/>
  <c r="U1621" i="9"/>
  <c r="V1621" i="9" s="1"/>
  <c r="U1625" i="9"/>
  <c r="V1625" i="9" s="1"/>
  <c r="U1629" i="9"/>
  <c r="V1629" i="9" s="1"/>
  <c r="U1633" i="9"/>
  <c r="V1633" i="9" s="1"/>
  <c r="U1637" i="9"/>
  <c r="V1637" i="9" s="1"/>
  <c r="U1645" i="9"/>
  <c r="V1645" i="9" s="1"/>
  <c r="U1652" i="9"/>
  <c r="V1652" i="9" s="1"/>
  <c r="U1656" i="9"/>
  <c r="V1656" i="9" s="1"/>
  <c r="U1666" i="9"/>
  <c r="V1666" i="9" s="1"/>
  <c r="U1684" i="9"/>
  <c r="V1684" i="9" s="1"/>
  <c r="U1691" i="9"/>
  <c r="V1691" i="9" s="1"/>
  <c r="U1696" i="9"/>
  <c r="V1696" i="9" s="1"/>
  <c r="U1700" i="9"/>
  <c r="V1700" i="9" s="1"/>
  <c r="U1704" i="9"/>
  <c r="V1704" i="9" s="1"/>
  <c r="U1708" i="9"/>
  <c r="V1708" i="9" s="1"/>
  <c r="U1712" i="9"/>
  <c r="V1712" i="9" s="1"/>
  <c r="U1716" i="9"/>
  <c r="V1716" i="9" s="1"/>
  <c r="U1720" i="9"/>
  <c r="V1720" i="9" s="1"/>
  <c r="U1724" i="9"/>
  <c r="V1724" i="9" s="1"/>
  <c r="U1728" i="9"/>
  <c r="V1728" i="9" s="1"/>
  <c r="U1732" i="9"/>
  <c r="V1732" i="9" s="1"/>
  <c r="U1736" i="9"/>
  <c r="V1736" i="9" s="1"/>
  <c r="U1740" i="9"/>
  <c r="V1740" i="9" s="1"/>
  <c r="U1744" i="9"/>
  <c r="V1744" i="9" s="1"/>
  <c r="U1748" i="9"/>
  <c r="V1748" i="9" s="1"/>
  <c r="U1752" i="9"/>
  <c r="V1752" i="9" s="1"/>
  <c r="U1756" i="9"/>
  <c r="V1756" i="9" s="1"/>
  <c r="U1760" i="9"/>
  <c r="V1760" i="9" s="1"/>
  <c r="U1764" i="9"/>
  <c r="V1764" i="9" s="1"/>
  <c r="U1768" i="9"/>
  <c r="V1768" i="9" s="1"/>
  <c r="U1772" i="9"/>
  <c r="V1772" i="9" s="1"/>
  <c r="U1776" i="9"/>
  <c r="V1776" i="9" s="1"/>
  <c r="U1780" i="9"/>
  <c r="V1780" i="9" s="1"/>
  <c r="U1784" i="9"/>
  <c r="V1784" i="9" s="1"/>
  <c r="U1788" i="9"/>
  <c r="V1788" i="9" s="1"/>
  <c r="U1792" i="9"/>
  <c r="V1792" i="9" s="1"/>
  <c r="U1796" i="9"/>
  <c r="V1796" i="9" s="1"/>
  <c r="U1800" i="9"/>
  <c r="V1800" i="9" s="1"/>
  <c r="U1804" i="9"/>
  <c r="V1804" i="9" s="1"/>
  <c r="U1808" i="9"/>
  <c r="V1808" i="9" s="1"/>
  <c r="U1812" i="9"/>
  <c r="V1812" i="9" s="1"/>
  <c r="U1816" i="9"/>
  <c r="V1816" i="9" s="1"/>
  <c r="U1820" i="9"/>
  <c r="V1820" i="9" s="1"/>
  <c r="U1824" i="9"/>
  <c r="V1824" i="9" s="1"/>
  <c r="U1828" i="9"/>
  <c r="V1828" i="9" s="1"/>
  <c r="U1832" i="9"/>
  <c r="V1832" i="9" s="1"/>
  <c r="U1836" i="9"/>
  <c r="V1836" i="9" s="1"/>
  <c r="U1840" i="9"/>
  <c r="V1840" i="9" s="1"/>
  <c r="U1844" i="9"/>
  <c r="V1844" i="9" s="1"/>
  <c r="U1848" i="9"/>
  <c r="V1848" i="9" s="1"/>
  <c r="U1852" i="9"/>
  <c r="V1852" i="9" s="1"/>
  <c r="U1856" i="9"/>
  <c r="V1856" i="9" s="1"/>
  <c r="U1860" i="9"/>
  <c r="V1860" i="9" s="1"/>
  <c r="U1864" i="9"/>
  <c r="V1864" i="9" s="1"/>
  <c r="U1868" i="9"/>
  <c r="V1868" i="9" s="1"/>
  <c r="U1872" i="9"/>
  <c r="V1872" i="9" s="1"/>
  <c r="U1876" i="9"/>
  <c r="V1876" i="9" s="1"/>
  <c r="U1880" i="9"/>
  <c r="V1880" i="9" s="1"/>
  <c r="U1884" i="9"/>
  <c r="V1884" i="9" s="1"/>
  <c r="U1888" i="9"/>
  <c r="V1888" i="9" s="1"/>
  <c r="U1892" i="9"/>
  <c r="V1892" i="9" s="1"/>
  <c r="U1896" i="9"/>
  <c r="V1896" i="9" s="1"/>
  <c r="U1900" i="9"/>
  <c r="V1900" i="9" s="1"/>
  <c r="U1904" i="9"/>
  <c r="V1904" i="9" s="1"/>
  <c r="U1908" i="9"/>
  <c r="V1908" i="9" s="1"/>
  <c r="U1912" i="9"/>
  <c r="V1912" i="9" s="1"/>
  <c r="U1916" i="9"/>
  <c r="V1916" i="9" s="1"/>
  <c r="U1920" i="9"/>
  <c r="V1920" i="9" s="1"/>
  <c r="U1924" i="9"/>
  <c r="V1924" i="9" s="1"/>
  <c r="U1928" i="9"/>
  <c r="V1928" i="9" s="1"/>
  <c r="U1932" i="9"/>
  <c r="V1932" i="9" s="1"/>
  <c r="U1936" i="9"/>
  <c r="V1936" i="9" s="1"/>
  <c r="U1940" i="9"/>
  <c r="V1940" i="9" s="1"/>
  <c r="U1944" i="9"/>
  <c r="V1944" i="9" s="1"/>
  <c r="U1948" i="9"/>
  <c r="V1948" i="9" s="1"/>
  <c r="U1952" i="9"/>
  <c r="V1952" i="9" s="1"/>
  <c r="U1956" i="9"/>
  <c r="V1956" i="9" s="1"/>
  <c r="U1960" i="9"/>
  <c r="V1960" i="9" s="1"/>
  <c r="U1964" i="9"/>
  <c r="V1964" i="9" s="1"/>
  <c r="U1968" i="9"/>
  <c r="V1968" i="9" s="1"/>
  <c r="U1972" i="9"/>
  <c r="V1972" i="9" s="1"/>
  <c r="U1976" i="9"/>
  <c r="V1976" i="9" s="1"/>
  <c r="U1980" i="9"/>
  <c r="V1980" i="9" s="1"/>
  <c r="U69" i="9"/>
  <c r="V69" i="9" s="1"/>
  <c r="U266" i="9"/>
  <c r="V266" i="9" s="1"/>
  <c r="U368" i="9"/>
  <c r="V368" i="9" s="1"/>
  <c r="U442" i="9"/>
  <c r="V442" i="9" s="1"/>
  <c r="U498" i="9"/>
  <c r="V498" i="9" s="1"/>
  <c r="U557" i="9"/>
  <c r="V557" i="9" s="1"/>
  <c r="U603" i="9"/>
  <c r="V603" i="9" s="1"/>
  <c r="U646" i="9"/>
  <c r="V646" i="9" s="1"/>
  <c r="U689" i="9"/>
  <c r="V689" i="9" s="1"/>
  <c r="U745" i="9"/>
  <c r="V745" i="9" s="1"/>
  <c r="U780" i="9"/>
  <c r="V780" i="9" s="1"/>
  <c r="U793" i="9"/>
  <c r="V793" i="9" s="1"/>
  <c r="U814" i="9"/>
  <c r="V814" i="9" s="1"/>
  <c r="U836" i="9"/>
  <c r="V836" i="9" s="1"/>
  <c r="U863" i="9"/>
  <c r="V863" i="9" s="1"/>
  <c r="U882" i="9"/>
  <c r="V882" i="9" s="1"/>
  <c r="U898" i="9"/>
  <c r="V898" i="9" s="1"/>
  <c r="U914" i="9"/>
  <c r="V914" i="9" s="1"/>
  <c r="U930" i="9"/>
  <c r="V930" i="9" s="1"/>
  <c r="U946" i="9"/>
  <c r="V946" i="9" s="1"/>
  <c r="U980" i="9"/>
  <c r="V980" i="9" s="1"/>
  <c r="U988" i="9"/>
  <c r="V988" i="9" s="1"/>
  <c r="U996" i="9"/>
  <c r="V996" i="9" s="1"/>
  <c r="U1011" i="9"/>
  <c r="V1011" i="9" s="1"/>
  <c r="U1027" i="9"/>
  <c r="V1027" i="9" s="1"/>
  <c r="U1043" i="9"/>
  <c r="V1043" i="9" s="1"/>
  <c r="U1066" i="9"/>
  <c r="V1066" i="9" s="1"/>
  <c r="U1082" i="9"/>
  <c r="V1082" i="9" s="1"/>
  <c r="U1119" i="9"/>
  <c r="V1119" i="9" s="1"/>
  <c r="U1137" i="9"/>
  <c r="V1137" i="9" s="1"/>
  <c r="U1153" i="9"/>
  <c r="V1153" i="9" s="1"/>
  <c r="U1169" i="9"/>
  <c r="V1169" i="9" s="1"/>
  <c r="U1185" i="9"/>
  <c r="V1185" i="9" s="1"/>
  <c r="U1201" i="9"/>
  <c r="V1201" i="9" s="1"/>
  <c r="U1217" i="9"/>
  <c r="V1217" i="9" s="1"/>
  <c r="U1233" i="9"/>
  <c r="V1233" i="9" s="1"/>
  <c r="U1249" i="9"/>
  <c r="V1249" i="9" s="1"/>
  <c r="U1265" i="9"/>
  <c r="V1265" i="9" s="1"/>
  <c r="U1283" i="9"/>
  <c r="V1283" i="9" s="1"/>
  <c r="U1316" i="9"/>
  <c r="V1316" i="9" s="1"/>
  <c r="U1333" i="9"/>
  <c r="V1333" i="9" s="1"/>
  <c r="U1342" i="9"/>
  <c r="V1342" i="9" s="1"/>
  <c r="U1350" i="9"/>
  <c r="V1350" i="9" s="1"/>
  <c r="U1358" i="9"/>
  <c r="V1358" i="9" s="1"/>
  <c r="U1366" i="9"/>
  <c r="V1366" i="9" s="1"/>
  <c r="U1374" i="9"/>
  <c r="V1374" i="9" s="1"/>
  <c r="U1382" i="9"/>
  <c r="V1382" i="9" s="1"/>
  <c r="U1390" i="9"/>
  <c r="V1390" i="9" s="1"/>
  <c r="U1398" i="9"/>
  <c r="V1398" i="9" s="1"/>
  <c r="U1406" i="9"/>
  <c r="V1406" i="9" s="1"/>
  <c r="U1414" i="9"/>
  <c r="V1414" i="9" s="1"/>
  <c r="U1422" i="9"/>
  <c r="V1422" i="9" s="1"/>
  <c r="U1430" i="9"/>
  <c r="V1430" i="9" s="1"/>
  <c r="U1438" i="9"/>
  <c r="V1438" i="9" s="1"/>
  <c r="U1446" i="9"/>
  <c r="V1446" i="9" s="1"/>
  <c r="U1454" i="9"/>
  <c r="V1454" i="9" s="1"/>
  <c r="U1462" i="9"/>
  <c r="V1462" i="9" s="1"/>
  <c r="U1470" i="9"/>
  <c r="V1470" i="9" s="1"/>
  <c r="U1478" i="9"/>
  <c r="V1478" i="9" s="1"/>
  <c r="U1486" i="9"/>
  <c r="V1486" i="9" s="1"/>
  <c r="U1494" i="9"/>
  <c r="V1494" i="9" s="1"/>
  <c r="U1502" i="9"/>
  <c r="V1502" i="9" s="1"/>
  <c r="U1510" i="9"/>
  <c r="V1510" i="9" s="1"/>
  <c r="U1518" i="9"/>
  <c r="V1518" i="9" s="1"/>
  <c r="U1526" i="9"/>
  <c r="V1526" i="9" s="1"/>
  <c r="U1534" i="9"/>
  <c r="V1534" i="9" s="1"/>
  <c r="U1542" i="9"/>
  <c r="V1542" i="9" s="1"/>
  <c r="U1550" i="9"/>
  <c r="V1550" i="9" s="1"/>
  <c r="U1558" i="9"/>
  <c r="V1558" i="9" s="1"/>
  <c r="U1566" i="9"/>
  <c r="V1566" i="9" s="1"/>
  <c r="U1574" i="9"/>
  <c r="V1574" i="9" s="1"/>
  <c r="U1582" i="9"/>
  <c r="V1582" i="9" s="1"/>
  <c r="U1590" i="9"/>
  <c r="V1590" i="9" s="1"/>
  <c r="U1598" i="9"/>
  <c r="V1598" i="9" s="1"/>
  <c r="U1606" i="9"/>
  <c r="V1606" i="9" s="1"/>
  <c r="U1614" i="9"/>
  <c r="V1614" i="9" s="1"/>
  <c r="U1622" i="9"/>
  <c r="V1622" i="9" s="1"/>
  <c r="U1630" i="9"/>
  <c r="V1630" i="9" s="1"/>
  <c r="U1638" i="9"/>
  <c r="V1638" i="9" s="1"/>
  <c r="U1646" i="9"/>
  <c r="V1646" i="9" s="1"/>
  <c r="U1685" i="9"/>
  <c r="V1685" i="9" s="1"/>
  <c r="U1697" i="9"/>
  <c r="V1697" i="9" s="1"/>
  <c r="U1705" i="9"/>
  <c r="V1705" i="9" s="1"/>
  <c r="U1711" i="9"/>
  <c r="V1711" i="9" s="1"/>
  <c r="U1717" i="9"/>
  <c r="V1717" i="9" s="1"/>
  <c r="U1722" i="9"/>
  <c r="V1722" i="9" s="1"/>
  <c r="U1727" i="9"/>
  <c r="V1727" i="9" s="1"/>
  <c r="U1733" i="9"/>
  <c r="V1733" i="9" s="1"/>
  <c r="U1738" i="9"/>
  <c r="V1738" i="9" s="1"/>
  <c r="U1743" i="9"/>
  <c r="V1743" i="9" s="1"/>
  <c r="U1749" i="9"/>
  <c r="V1749" i="9" s="1"/>
  <c r="U1754" i="9"/>
  <c r="V1754" i="9" s="1"/>
  <c r="U1759" i="9"/>
  <c r="V1759" i="9" s="1"/>
  <c r="U1765" i="9"/>
  <c r="V1765" i="9" s="1"/>
  <c r="U1770" i="9"/>
  <c r="V1770" i="9" s="1"/>
  <c r="U1775" i="9"/>
  <c r="V1775" i="9" s="1"/>
  <c r="U1781" i="9"/>
  <c r="V1781" i="9" s="1"/>
  <c r="U1786" i="9"/>
  <c r="V1786" i="9" s="1"/>
  <c r="U1791" i="9"/>
  <c r="V1791" i="9" s="1"/>
  <c r="U1797" i="9"/>
  <c r="V1797" i="9" s="1"/>
  <c r="U1802" i="9"/>
  <c r="V1802" i="9" s="1"/>
  <c r="U1807" i="9"/>
  <c r="V1807" i="9" s="1"/>
  <c r="U1813" i="9"/>
  <c r="V1813" i="9" s="1"/>
  <c r="U1818" i="9"/>
  <c r="V1818" i="9" s="1"/>
  <c r="U1823" i="9"/>
  <c r="V1823" i="9" s="1"/>
  <c r="U1829" i="9"/>
  <c r="V1829" i="9" s="1"/>
  <c r="U1834" i="9"/>
  <c r="V1834" i="9" s="1"/>
  <c r="U1839" i="9"/>
  <c r="V1839" i="9" s="1"/>
  <c r="U1845" i="9"/>
  <c r="V1845" i="9" s="1"/>
  <c r="U1850" i="9"/>
  <c r="V1850" i="9" s="1"/>
  <c r="U1855" i="9"/>
  <c r="V1855" i="9" s="1"/>
  <c r="U1861" i="9"/>
  <c r="V1861" i="9" s="1"/>
  <c r="U1866" i="9"/>
  <c r="V1866" i="9" s="1"/>
  <c r="U1871" i="9"/>
  <c r="V1871" i="9" s="1"/>
  <c r="U1877" i="9"/>
  <c r="V1877" i="9" s="1"/>
  <c r="U1882" i="9"/>
  <c r="V1882" i="9" s="1"/>
  <c r="U1887" i="9"/>
  <c r="V1887" i="9" s="1"/>
  <c r="U1893" i="9"/>
  <c r="V1893" i="9" s="1"/>
  <c r="U1898" i="9"/>
  <c r="V1898" i="9" s="1"/>
  <c r="U1903" i="9"/>
  <c r="V1903" i="9" s="1"/>
  <c r="U1909" i="9"/>
  <c r="V1909" i="9" s="1"/>
  <c r="U1914" i="9"/>
  <c r="V1914" i="9" s="1"/>
  <c r="U1919" i="9"/>
  <c r="V1919" i="9" s="1"/>
  <c r="U1925" i="9"/>
  <c r="V1925" i="9" s="1"/>
  <c r="U1930" i="9"/>
  <c r="V1930" i="9" s="1"/>
  <c r="U1935" i="9"/>
  <c r="V1935" i="9" s="1"/>
  <c r="U1941" i="9"/>
  <c r="V1941" i="9" s="1"/>
  <c r="U1946" i="9"/>
  <c r="V1946" i="9" s="1"/>
  <c r="U1951" i="9"/>
  <c r="V1951" i="9" s="1"/>
  <c r="U1957" i="9"/>
  <c r="V1957" i="9" s="1"/>
  <c r="U1962" i="9"/>
  <c r="V1962" i="9" s="1"/>
  <c r="U1967" i="9"/>
  <c r="V1967" i="9" s="1"/>
  <c r="U1973" i="9"/>
  <c r="V1973" i="9" s="1"/>
  <c r="U1978" i="9"/>
  <c r="V1978" i="9" s="1"/>
  <c r="U70" i="9"/>
  <c r="V70" i="9" s="1"/>
  <c r="U268" i="9"/>
  <c r="V268" i="9" s="1"/>
  <c r="U369" i="9"/>
  <c r="V369" i="9" s="1"/>
  <c r="U443" i="9"/>
  <c r="V443" i="9" s="1"/>
  <c r="U499" i="9"/>
  <c r="V499" i="9" s="1"/>
  <c r="U558" i="9"/>
  <c r="V558" i="9" s="1"/>
  <c r="U605" i="9"/>
  <c r="V605" i="9" s="1"/>
  <c r="U647" i="9"/>
  <c r="V647" i="9" s="1"/>
  <c r="U690" i="9"/>
  <c r="V690" i="9" s="1"/>
  <c r="U749" i="9"/>
  <c r="V749" i="9" s="1"/>
  <c r="U781" i="9"/>
  <c r="V781" i="9" s="1"/>
  <c r="U794" i="9"/>
  <c r="V794" i="9" s="1"/>
  <c r="U816" i="9"/>
  <c r="V816" i="9" s="1"/>
  <c r="U837" i="9"/>
  <c r="V837" i="9" s="1"/>
  <c r="U864" i="9"/>
  <c r="V864" i="9" s="1"/>
  <c r="U883" i="9"/>
  <c r="V883" i="9" s="1"/>
  <c r="U899" i="9"/>
  <c r="V899" i="9" s="1"/>
  <c r="U915" i="9"/>
  <c r="V915" i="9" s="1"/>
  <c r="U931" i="9"/>
  <c r="V931" i="9" s="1"/>
  <c r="U947" i="9"/>
  <c r="V947" i="9" s="1"/>
  <c r="U962" i="9"/>
  <c r="V962" i="9" s="1"/>
  <c r="U970" i="9"/>
  <c r="V970" i="9" s="1"/>
  <c r="U979" i="9"/>
  <c r="V979" i="9" s="1"/>
  <c r="U1012" i="9"/>
  <c r="V1012" i="9" s="1"/>
  <c r="U1028" i="9"/>
  <c r="V1028" i="9" s="1"/>
  <c r="U1044" i="9"/>
  <c r="V1044" i="9" s="1"/>
  <c r="U1067" i="9"/>
  <c r="V1067" i="9" s="1"/>
  <c r="U1083" i="9"/>
  <c r="V1083" i="9" s="1"/>
  <c r="U1098" i="9"/>
  <c r="V1098" i="9" s="1"/>
  <c r="U1122" i="9"/>
  <c r="V1122" i="9" s="1"/>
  <c r="U1138" i="9"/>
  <c r="V1138" i="9" s="1"/>
  <c r="U1154" i="9"/>
  <c r="V1154" i="9" s="1"/>
  <c r="U1170" i="9"/>
  <c r="V1170" i="9" s="1"/>
  <c r="U1186" i="9"/>
  <c r="V1186" i="9" s="1"/>
  <c r="U1202" i="9"/>
  <c r="V1202" i="9" s="1"/>
  <c r="U1218" i="9"/>
  <c r="V1218" i="9" s="1"/>
  <c r="U1234" i="9"/>
  <c r="V1234" i="9" s="1"/>
  <c r="U1250" i="9"/>
  <c r="V1250" i="9" s="1"/>
  <c r="U1267" i="9"/>
  <c r="V1267" i="9" s="1"/>
  <c r="U1285" i="9"/>
  <c r="V1285" i="9" s="1"/>
  <c r="U1318" i="9"/>
  <c r="V1318" i="9" s="1"/>
  <c r="U1334" i="9"/>
  <c r="V1334" i="9" s="1"/>
  <c r="U1343" i="9"/>
  <c r="V1343" i="9" s="1"/>
  <c r="U1351" i="9"/>
  <c r="V1351" i="9" s="1"/>
  <c r="U1359" i="9"/>
  <c r="V1359" i="9" s="1"/>
  <c r="U1367" i="9"/>
  <c r="V1367" i="9" s="1"/>
  <c r="U1375" i="9"/>
  <c r="V1375" i="9" s="1"/>
  <c r="U1383" i="9"/>
  <c r="V1383" i="9" s="1"/>
  <c r="U1391" i="9"/>
  <c r="V1391" i="9" s="1"/>
  <c r="U1399" i="9"/>
  <c r="V1399" i="9" s="1"/>
  <c r="U1407" i="9"/>
  <c r="V1407" i="9" s="1"/>
  <c r="U1415" i="9"/>
  <c r="V1415" i="9" s="1"/>
  <c r="U1423" i="9"/>
  <c r="V1423" i="9" s="1"/>
  <c r="U1431" i="9"/>
  <c r="V1431" i="9" s="1"/>
  <c r="U1439" i="9"/>
  <c r="V1439" i="9" s="1"/>
  <c r="U1447" i="9"/>
  <c r="V1447" i="9" s="1"/>
  <c r="U1455" i="9"/>
  <c r="V1455" i="9" s="1"/>
  <c r="U1463" i="9"/>
  <c r="V1463" i="9" s="1"/>
  <c r="U1471" i="9"/>
  <c r="V1471" i="9" s="1"/>
  <c r="U1479" i="9"/>
  <c r="V1479" i="9" s="1"/>
  <c r="U1487" i="9"/>
  <c r="V1487" i="9" s="1"/>
  <c r="U1495" i="9"/>
  <c r="V1495" i="9" s="1"/>
  <c r="U1503" i="9"/>
  <c r="V1503" i="9" s="1"/>
  <c r="U1511" i="9"/>
  <c r="V1511" i="9" s="1"/>
  <c r="U1519" i="9"/>
  <c r="V1519" i="9" s="1"/>
  <c r="U1527" i="9"/>
  <c r="V1527" i="9" s="1"/>
  <c r="U1535" i="9"/>
  <c r="V1535" i="9" s="1"/>
  <c r="U1543" i="9"/>
  <c r="V1543" i="9" s="1"/>
  <c r="U1551" i="9"/>
  <c r="V1551" i="9" s="1"/>
  <c r="U1559" i="9"/>
  <c r="V1559" i="9" s="1"/>
  <c r="U1567" i="9"/>
  <c r="V1567" i="9" s="1"/>
  <c r="U1575" i="9"/>
  <c r="V1575" i="9" s="1"/>
  <c r="U1583" i="9"/>
  <c r="V1583" i="9" s="1"/>
  <c r="U1591" i="9"/>
  <c r="V1591" i="9" s="1"/>
  <c r="U1599" i="9"/>
  <c r="V1599" i="9" s="1"/>
  <c r="U1607" i="9"/>
  <c r="V1607" i="9" s="1"/>
  <c r="U1615" i="9"/>
  <c r="V1615" i="9" s="1"/>
  <c r="U1623" i="9"/>
  <c r="V1623" i="9" s="1"/>
  <c r="U1631" i="9"/>
  <c r="V1631" i="9" s="1"/>
  <c r="U1654" i="9"/>
  <c r="V1654" i="9" s="1"/>
  <c r="U1670" i="9"/>
  <c r="V1670" i="9" s="1"/>
  <c r="U1688" i="9"/>
  <c r="V1688" i="9" s="1"/>
  <c r="U1698" i="9"/>
  <c r="V1698" i="9" s="1"/>
  <c r="U1706" i="9"/>
  <c r="V1706" i="9" s="1"/>
  <c r="U1713" i="9"/>
  <c r="V1713" i="9" s="1"/>
  <c r="U1718" i="9"/>
  <c r="V1718" i="9" s="1"/>
  <c r="U1723" i="9"/>
  <c r="V1723" i="9" s="1"/>
  <c r="U1729" i="9"/>
  <c r="V1729" i="9" s="1"/>
  <c r="U1734" i="9"/>
  <c r="V1734" i="9" s="1"/>
  <c r="U1739" i="9"/>
  <c r="V1739" i="9" s="1"/>
  <c r="U1745" i="9"/>
  <c r="V1745" i="9" s="1"/>
  <c r="U1750" i="9"/>
  <c r="V1750" i="9" s="1"/>
  <c r="U1755" i="9"/>
  <c r="V1755" i="9" s="1"/>
  <c r="U1761" i="9"/>
  <c r="V1761" i="9" s="1"/>
  <c r="U1766" i="9"/>
  <c r="V1766" i="9" s="1"/>
  <c r="U1771" i="9"/>
  <c r="V1771" i="9" s="1"/>
  <c r="U1777" i="9"/>
  <c r="V1777" i="9" s="1"/>
  <c r="U1782" i="9"/>
  <c r="V1782" i="9" s="1"/>
  <c r="U1787" i="9"/>
  <c r="V1787" i="9" s="1"/>
  <c r="U1793" i="9"/>
  <c r="V1793" i="9" s="1"/>
  <c r="U1798" i="9"/>
  <c r="V1798" i="9" s="1"/>
  <c r="U1803" i="9"/>
  <c r="V1803" i="9" s="1"/>
  <c r="U1809" i="9"/>
  <c r="V1809" i="9" s="1"/>
  <c r="U1814" i="9"/>
  <c r="V1814" i="9" s="1"/>
  <c r="U1819" i="9"/>
  <c r="V1819" i="9" s="1"/>
  <c r="U1825" i="9"/>
  <c r="V1825" i="9" s="1"/>
  <c r="U1830" i="9"/>
  <c r="V1830" i="9" s="1"/>
  <c r="U1835" i="9"/>
  <c r="V1835" i="9" s="1"/>
  <c r="U1841" i="9"/>
  <c r="V1841" i="9" s="1"/>
  <c r="U1846" i="9"/>
  <c r="V1846" i="9" s="1"/>
  <c r="U1851" i="9"/>
  <c r="V1851" i="9" s="1"/>
  <c r="U1857" i="9"/>
  <c r="V1857" i="9" s="1"/>
  <c r="U1862" i="9"/>
  <c r="V1862" i="9" s="1"/>
  <c r="U1867" i="9"/>
  <c r="V1867" i="9" s="1"/>
  <c r="U1873" i="9"/>
  <c r="V1873" i="9" s="1"/>
  <c r="U1878" i="9"/>
  <c r="V1878" i="9" s="1"/>
  <c r="U1883" i="9"/>
  <c r="V1883" i="9" s="1"/>
  <c r="U1889" i="9"/>
  <c r="V1889" i="9" s="1"/>
  <c r="U1894" i="9"/>
  <c r="V1894" i="9" s="1"/>
  <c r="U1899" i="9"/>
  <c r="V1899" i="9" s="1"/>
  <c r="U1905" i="9"/>
  <c r="V1905" i="9" s="1"/>
  <c r="U1910" i="9"/>
  <c r="V1910" i="9" s="1"/>
  <c r="U1915" i="9"/>
  <c r="V1915" i="9" s="1"/>
  <c r="U1921" i="9"/>
  <c r="V1921" i="9" s="1"/>
  <c r="U1926" i="9"/>
  <c r="V1926" i="9" s="1"/>
  <c r="U1931" i="9"/>
  <c r="V1931" i="9" s="1"/>
  <c r="U1937" i="9"/>
  <c r="V1937" i="9" s="1"/>
  <c r="U1942" i="9"/>
  <c r="V1942" i="9" s="1"/>
  <c r="U1947" i="9"/>
  <c r="V1947" i="9" s="1"/>
  <c r="U1953" i="9"/>
  <c r="V1953" i="9" s="1"/>
  <c r="U1958" i="9"/>
  <c r="V1958" i="9" s="1"/>
  <c r="U1963" i="9"/>
  <c r="V1963" i="9" s="1"/>
  <c r="U1969" i="9"/>
  <c r="V1969" i="9" s="1"/>
  <c r="U1974" i="9"/>
  <c r="V1974" i="9" s="1"/>
  <c r="U1979" i="9"/>
  <c r="V1979" i="9" s="1"/>
  <c r="U117" i="9"/>
  <c r="V117" i="9" s="1"/>
  <c r="U325" i="9"/>
  <c r="V325" i="9" s="1"/>
  <c r="U474" i="9"/>
  <c r="V474" i="9" s="1"/>
  <c r="U582" i="9"/>
  <c r="V582" i="9" s="1"/>
  <c r="U667" i="9"/>
  <c r="V667" i="9" s="1"/>
  <c r="U765" i="9"/>
  <c r="V765" i="9" s="1"/>
  <c r="U804" i="9"/>
  <c r="V804" i="9" s="1"/>
  <c r="U852" i="9"/>
  <c r="V852" i="9" s="1"/>
  <c r="U890" i="9"/>
  <c r="V890" i="9" s="1"/>
  <c r="U922" i="9"/>
  <c r="V922" i="9" s="1"/>
  <c r="U954" i="9"/>
  <c r="V954" i="9" s="1"/>
  <c r="U992" i="9"/>
  <c r="V992" i="9" s="1"/>
  <c r="U1019" i="9"/>
  <c r="V1019" i="9" s="1"/>
  <c r="U1051" i="9"/>
  <c r="V1051" i="9" s="1"/>
  <c r="U1090" i="9"/>
  <c r="V1090" i="9" s="1"/>
  <c r="U1129" i="9"/>
  <c r="V1129" i="9" s="1"/>
  <c r="U1161" i="9"/>
  <c r="V1161" i="9" s="1"/>
  <c r="U1193" i="9"/>
  <c r="V1193" i="9" s="1"/>
  <c r="U1225" i="9"/>
  <c r="V1225" i="9" s="1"/>
  <c r="U1257" i="9"/>
  <c r="V1257" i="9" s="1"/>
  <c r="U1295" i="9"/>
  <c r="V1295" i="9" s="1"/>
  <c r="U1338" i="9"/>
  <c r="V1338" i="9" s="1"/>
  <c r="U1354" i="9"/>
  <c r="V1354" i="9" s="1"/>
  <c r="U1370" i="9"/>
  <c r="V1370" i="9" s="1"/>
  <c r="U1386" i="9"/>
  <c r="V1386" i="9" s="1"/>
  <c r="U1402" i="9"/>
  <c r="V1402" i="9" s="1"/>
  <c r="U1418" i="9"/>
  <c r="V1418" i="9" s="1"/>
  <c r="U1434" i="9"/>
  <c r="V1434" i="9" s="1"/>
  <c r="U1450" i="9"/>
  <c r="V1450" i="9" s="1"/>
  <c r="U1466" i="9"/>
  <c r="V1466" i="9" s="1"/>
  <c r="U1482" i="9"/>
  <c r="V1482" i="9" s="1"/>
  <c r="U1498" i="9"/>
  <c r="V1498" i="9" s="1"/>
  <c r="U1514" i="9"/>
  <c r="V1514" i="9" s="1"/>
  <c r="U1530" i="9"/>
  <c r="V1530" i="9" s="1"/>
  <c r="U1546" i="9"/>
  <c r="V1546" i="9" s="1"/>
  <c r="U1562" i="9"/>
  <c r="V1562" i="9" s="1"/>
  <c r="U1578" i="9"/>
  <c r="V1578" i="9" s="1"/>
  <c r="U1594" i="9"/>
  <c r="V1594" i="9" s="1"/>
  <c r="U1610" i="9"/>
  <c r="V1610" i="9" s="1"/>
  <c r="U1626" i="9"/>
  <c r="V1626" i="9" s="1"/>
  <c r="U1642" i="9"/>
  <c r="V1642" i="9" s="1"/>
  <c r="U1673" i="9"/>
  <c r="V1673" i="9" s="1"/>
  <c r="U1701" i="9"/>
  <c r="V1701" i="9" s="1"/>
  <c r="U1714" i="9"/>
  <c r="V1714" i="9" s="1"/>
  <c r="U1725" i="9"/>
  <c r="V1725" i="9" s="1"/>
  <c r="U1735" i="9"/>
  <c r="V1735" i="9" s="1"/>
  <c r="U1746" i="9"/>
  <c r="V1746" i="9" s="1"/>
  <c r="U1757" i="9"/>
  <c r="V1757" i="9" s="1"/>
  <c r="U1767" i="9"/>
  <c r="V1767" i="9" s="1"/>
  <c r="U1778" i="9"/>
  <c r="V1778" i="9" s="1"/>
  <c r="U1789" i="9"/>
  <c r="V1789" i="9" s="1"/>
  <c r="U1799" i="9"/>
  <c r="V1799" i="9" s="1"/>
  <c r="U1810" i="9"/>
  <c r="V1810" i="9" s="1"/>
  <c r="U1821" i="9"/>
  <c r="V1821" i="9" s="1"/>
  <c r="U1831" i="9"/>
  <c r="V1831" i="9" s="1"/>
  <c r="U1842" i="9"/>
  <c r="V1842" i="9" s="1"/>
  <c r="U1853" i="9"/>
  <c r="V1853" i="9" s="1"/>
  <c r="U1863" i="9"/>
  <c r="V1863" i="9" s="1"/>
  <c r="U1874" i="9"/>
  <c r="V1874" i="9" s="1"/>
  <c r="U1885" i="9"/>
  <c r="V1885" i="9" s="1"/>
  <c r="U1895" i="9"/>
  <c r="V1895" i="9" s="1"/>
  <c r="U1906" i="9"/>
  <c r="V1906" i="9" s="1"/>
  <c r="U1917" i="9"/>
  <c r="V1917" i="9" s="1"/>
  <c r="U1927" i="9"/>
  <c r="V1927" i="9" s="1"/>
  <c r="U1938" i="9"/>
  <c r="V1938" i="9" s="1"/>
  <c r="U1949" i="9"/>
  <c r="V1949" i="9" s="1"/>
  <c r="U1959" i="9"/>
  <c r="V1959" i="9" s="1"/>
  <c r="U1970" i="9"/>
  <c r="V1970" i="9" s="1"/>
  <c r="U3484" i="9"/>
  <c r="V3484" i="9" s="1"/>
  <c r="U3488" i="9"/>
  <c r="V3488" i="9" s="1"/>
  <c r="U3492" i="9"/>
  <c r="V3492" i="9" s="1"/>
  <c r="U3496" i="9"/>
  <c r="V3496" i="9" s="1"/>
  <c r="U3500" i="9"/>
  <c r="V3500" i="9" s="1"/>
  <c r="U3504" i="9"/>
  <c r="V3504" i="9" s="1"/>
  <c r="U3508" i="9"/>
  <c r="V3508" i="9" s="1"/>
  <c r="U3512" i="9"/>
  <c r="V3512" i="9" s="1"/>
  <c r="U3516" i="9"/>
  <c r="V3516" i="9" s="1"/>
  <c r="U3520" i="9"/>
  <c r="V3520" i="9" s="1"/>
  <c r="U3524" i="9"/>
  <c r="V3524" i="9" s="1"/>
  <c r="U3528" i="9"/>
  <c r="V3528" i="9" s="1"/>
  <c r="U3532" i="9"/>
  <c r="V3532" i="9" s="1"/>
  <c r="U3536" i="9"/>
  <c r="V3536" i="9" s="1"/>
  <c r="U3540" i="9"/>
  <c r="V3540" i="9" s="1"/>
  <c r="U3544" i="9"/>
  <c r="V3544" i="9" s="1"/>
  <c r="U3548" i="9"/>
  <c r="V3548" i="9" s="1"/>
  <c r="U3552" i="9"/>
  <c r="V3552" i="9" s="1"/>
  <c r="U3556" i="9"/>
  <c r="V3556" i="9" s="1"/>
  <c r="U3560" i="9"/>
  <c r="V3560" i="9" s="1"/>
  <c r="U3564" i="9"/>
  <c r="V3564" i="9" s="1"/>
  <c r="U3568" i="9"/>
  <c r="V3568" i="9" s="1"/>
  <c r="U3572" i="9"/>
  <c r="V3572" i="9" s="1"/>
  <c r="U3576" i="9"/>
  <c r="V3576" i="9" s="1"/>
  <c r="U3580" i="9"/>
  <c r="V3580" i="9" s="1"/>
  <c r="U3584" i="9"/>
  <c r="V3584" i="9" s="1"/>
  <c r="U3588" i="9"/>
  <c r="V3588" i="9" s="1"/>
  <c r="U3592" i="9"/>
  <c r="V3592" i="9" s="1"/>
  <c r="U3596" i="9"/>
  <c r="V3596" i="9" s="1"/>
  <c r="U3600" i="9"/>
  <c r="V3600" i="9" s="1"/>
  <c r="U3604" i="9"/>
  <c r="V3604" i="9" s="1"/>
  <c r="U3608" i="9"/>
  <c r="V3608" i="9" s="1"/>
  <c r="U3612" i="9"/>
  <c r="V3612" i="9" s="1"/>
  <c r="U3616" i="9"/>
  <c r="V3616" i="9" s="1"/>
  <c r="U3620" i="9"/>
  <c r="V3620" i="9" s="1"/>
  <c r="U3624" i="9"/>
  <c r="V3624" i="9" s="1"/>
  <c r="U3628" i="9"/>
  <c r="V3628" i="9" s="1"/>
  <c r="U3632" i="9"/>
  <c r="V3632" i="9" s="1"/>
  <c r="U3636" i="9"/>
  <c r="V3636" i="9" s="1"/>
  <c r="U3640" i="9"/>
  <c r="V3640" i="9" s="1"/>
  <c r="U3644" i="9"/>
  <c r="V3644" i="9" s="1"/>
  <c r="U3648" i="9"/>
  <c r="V3648" i="9" s="1"/>
  <c r="U3652" i="9"/>
  <c r="V3652" i="9" s="1"/>
  <c r="U3656" i="9"/>
  <c r="V3656" i="9" s="1"/>
  <c r="U3660" i="9"/>
  <c r="V3660" i="9" s="1"/>
  <c r="U3664" i="9"/>
  <c r="V3664" i="9" s="1"/>
  <c r="U3668" i="9"/>
  <c r="V3668" i="9" s="1"/>
  <c r="U3672" i="9"/>
  <c r="V3672" i="9" s="1"/>
  <c r="U3676" i="9"/>
  <c r="V3676" i="9" s="1"/>
  <c r="U3680" i="9"/>
  <c r="V3680" i="9" s="1"/>
  <c r="U3684" i="9"/>
  <c r="V3684" i="9" s="1"/>
  <c r="U3688" i="9"/>
  <c r="V3688" i="9" s="1"/>
  <c r="U3692" i="9"/>
  <c r="V3692" i="9" s="1"/>
  <c r="U3696" i="9"/>
  <c r="V3696" i="9" s="1"/>
  <c r="U3700" i="9"/>
  <c r="V3700" i="9" s="1"/>
  <c r="U3704" i="9"/>
  <c r="V3704" i="9" s="1"/>
  <c r="U3708" i="9"/>
  <c r="V3708" i="9" s="1"/>
  <c r="U3712" i="9"/>
  <c r="V3712" i="9" s="1"/>
  <c r="U3716" i="9"/>
  <c r="V3716" i="9" s="1"/>
  <c r="U3720" i="9"/>
  <c r="V3720" i="9" s="1"/>
  <c r="U3724" i="9"/>
  <c r="V3724" i="9" s="1"/>
  <c r="U3728" i="9"/>
  <c r="V3728" i="9" s="1"/>
  <c r="U3732" i="9"/>
  <c r="V3732" i="9" s="1"/>
  <c r="U3736" i="9"/>
  <c r="V3736" i="9" s="1"/>
  <c r="U3740" i="9"/>
  <c r="V3740" i="9" s="1"/>
  <c r="U3744" i="9"/>
  <c r="V3744" i="9" s="1"/>
  <c r="U3748" i="9"/>
  <c r="V3748" i="9" s="1"/>
  <c r="U3752" i="9"/>
  <c r="V3752" i="9" s="1"/>
  <c r="U3756" i="9"/>
  <c r="V3756" i="9" s="1"/>
  <c r="U3760" i="9"/>
  <c r="V3760" i="9" s="1"/>
  <c r="U3764" i="9"/>
  <c r="V3764" i="9" s="1"/>
  <c r="U3768" i="9"/>
  <c r="V3768" i="9" s="1"/>
  <c r="U3772" i="9"/>
  <c r="V3772" i="9" s="1"/>
  <c r="U3776" i="9"/>
  <c r="V3776" i="9" s="1"/>
  <c r="U3780" i="9"/>
  <c r="V3780" i="9" s="1"/>
  <c r="U3784" i="9"/>
  <c r="V3784" i="9" s="1"/>
  <c r="U3788" i="9"/>
  <c r="V3788" i="9" s="1"/>
  <c r="U3792" i="9"/>
  <c r="V3792" i="9" s="1"/>
  <c r="U3796" i="9"/>
  <c r="V3796" i="9" s="1"/>
  <c r="U3800" i="9"/>
  <c r="V3800" i="9" s="1"/>
  <c r="U3804" i="9"/>
  <c r="V3804" i="9" s="1"/>
  <c r="U3808" i="9"/>
  <c r="V3808" i="9" s="1"/>
  <c r="U3812" i="9"/>
  <c r="V3812" i="9" s="1"/>
  <c r="U3816" i="9"/>
  <c r="V3816" i="9" s="1"/>
  <c r="U3820" i="9"/>
  <c r="V3820" i="9" s="1"/>
  <c r="U3824" i="9"/>
  <c r="V3824" i="9" s="1"/>
  <c r="U3828" i="9"/>
  <c r="V3828" i="9" s="1"/>
  <c r="U3832" i="9"/>
  <c r="V3832" i="9" s="1"/>
  <c r="U3836" i="9"/>
  <c r="V3836" i="9" s="1"/>
  <c r="U3840" i="9"/>
  <c r="V3840" i="9" s="1"/>
  <c r="U3844" i="9"/>
  <c r="V3844" i="9" s="1"/>
  <c r="U3848" i="9"/>
  <c r="V3848" i="9" s="1"/>
  <c r="U3852" i="9"/>
  <c r="V3852" i="9" s="1"/>
  <c r="U3856" i="9"/>
  <c r="V3856" i="9" s="1"/>
  <c r="U3860" i="9"/>
  <c r="V3860" i="9" s="1"/>
  <c r="U3864" i="9"/>
  <c r="V3864" i="9" s="1"/>
  <c r="U3868" i="9"/>
  <c r="V3868" i="9" s="1"/>
  <c r="U3872" i="9"/>
  <c r="V3872" i="9" s="1"/>
  <c r="U3876" i="9"/>
  <c r="V3876" i="9" s="1"/>
  <c r="U3880" i="9"/>
  <c r="V3880" i="9" s="1"/>
  <c r="U3884" i="9"/>
  <c r="V3884" i="9" s="1"/>
  <c r="U3888" i="9"/>
  <c r="V3888" i="9" s="1"/>
  <c r="U3892" i="9"/>
  <c r="V3892" i="9" s="1"/>
  <c r="U3896" i="9"/>
  <c r="V3896" i="9" s="1"/>
  <c r="U3900" i="9"/>
  <c r="V3900" i="9" s="1"/>
  <c r="U3904" i="9"/>
  <c r="V3904" i="9" s="1"/>
  <c r="U3908" i="9"/>
  <c r="V3908" i="9" s="1"/>
  <c r="U3912" i="9"/>
  <c r="V3912" i="9" s="1"/>
  <c r="U3916" i="9"/>
  <c r="V3916" i="9" s="1"/>
  <c r="U3920" i="9"/>
  <c r="V3920" i="9" s="1"/>
  <c r="U3924" i="9"/>
  <c r="V3924" i="9" s="1"/>
  <c r="U3928" i="9"/>
  <c r="V3928" i="9" s="1"/>
  <c r="U3932" i="9"/>
  <c r="V3932" i="9" s="1"/>
  <c r="U3936" i="9"/>
  <c r="V3936" i="9" s="1"/>
  <c r="U3940" i="9"/>
  <c r="V3940" i="9" s="1"/>
  <c r="U3944" i="9"/>
  <c r="V3944" i="9" s="1"/>
  <c r="U3948" i="9"/>
  <c r="V3948" i="9" s="1"/>
  <c r="U3952" i="9"/>
  <c r="V3952" i="9" s="1"/>
  <c r="U3956" i="9"/>
  <c r="V3956" i="9" s="1"/>
  <c r="U3960" i="9"/>
  <c r="V3960" i="9" s="1"/>
  <c r="U3964" i="9"/>
  <c r="V3964" i="9" s="1"/>
  <c r="U3968" i="9"/>
  <c r="V3968" i="9" s="1"/>
  <c r="U3972" i="9"/>
  <c r="V3972" i="9" s="1"/>
  <c r="U3976" i="9"/>
  <c r="V3976" i="9" s="1"/>
  <c r="U3980" i="9"/>
  <c r="V3980" i="9" s="1"/>
  <c r="U3984" i="9"/>
  <c r="V3984" i="9" s="1"/>
  <c r="U3988" i="9"/>
  <c r="V3988" i="9" s="1"/>
  <c r="U3992" i="9"/>
  <c r="V3992" i="9" s="1"/>
  <c r="U3996" i="9"/>
  <c r="V3996" i="9" s="1"/>
  <c r="U4000" i="9"/>
  <c r="V4000" i="9" s="1"/>
  <c r="U4004" i="9"/>
  <c r="V4004" i="9" s="1"/>
  <c r="U4008" i="9"/>
  <c r="V4008" i="9" s="1"/>
  <c r="U4012" i="9"/>
  <c r="V4012" i="9" s="1"/>
  <c r="U4016" i="9"/>
  <c r="V4016" i="9" s="1"/>
  <c r="U4020" i="9"/>
  <c r="V4020" i="9" s="1"/>
  <c r="U4024" i="9"/>
  <c r="V4024" i="9" s="1"/>
  <c r="U4028" i="9"/>
  <c r="V4028" i="9" s="1"/>
  <c r="U4032" i="9"/>
  <c r="V4032" i="9" s="1"/>
  <c r="U4036" i="9"/>
  <c r="V4036" i="9" s="1"/>
  <c r="U4040" i="9"/>
  <c r="V4040" i="9" s="1"/>
  <c r="U4044" i="9"/>
  <c r="V4044" i="9" s="1"/>
  <c r="U4048" i="9"/>
  <c r="V4048" i="9" s="1"/>
  <c r="U4052" i="9"/>
  <c r="V4052" i="9" s="1"/>
  <c r="U4056" i="9"/>
  <c r="V4056" i="9" s="1"/>
  <c r="U4060" i="9"/>
  <c r="V4060" i="9" s="1"/>
  <c r="U4064" i="9"/>
  <c r="V4064" i="9" s="1"/>
  <c r="U4068" i="9"/>
  <c r="V4068" i="9" s="1"/>
  <c r="U4072" i="9"/>
  <c r="V4072" i="9" s="1"/>
  <c r="U4076" i="9"/>
  <c r="V4076" i="9" s="1"/>
  <c r="U4080" i="9"/>
  <c r="V4080" i="9" s="1"/>
  <c r="U4084" i="9"/>
  <c r="V4084" i="9" s="1"/>
  <c r="U4088" i="9"/>
  <c r="V4088" i="9" s="1"/>
  <c r="U4092" i="9"/>
  <c r="V4092" i="9" s="1"/>
  <c r="U4096" i="9"/>
  <c r="V4096" i="9" s="1"/>
  <c r="U4100" i="9"/>
  <c r="V4100" i="9" s="1"/>
  <c r="U4104" i="9"/>
  <c r="V4104" i="9" s="1"/>
  <c r="U4108" i="9"/>
  <c r="V4108" i="9" s="1"/>
  <c r="U4112" i="9"/>
  <c r="V4112" i="9" s="1"/>
  <c r="U4116" i="9"/>
  <c r="V4116" i="9" s="1"/>
  <c r="U4120" i="9"/>
  <c r="V4120" i="9" s="1"/>
  <c r="U4124" i="9"/>
  <c r="V4124" i="9" s="1"/>
  <c r="U119" i="9"/>
  <c r="V119" i="9" s="1"/>
  <c r="U326" i="9"/>
  <c r="V326" i="9" s="1"/>
  <c r="U475" i="9"/>
  <c r="V475" i="9" s="1"/>
  <c r="U583" i="9"/>
  <c r="V583" i="9" s="1"/>
  <c r="U669" i="9"/>
  <c r="V669" i="9" s="1"/>
  <c r="U767" i="9"/>
  <c r="V767" i="9" s="1"/>
  <c r="U805" i="9"/>
  <c r="V805" i="9" s="1"/>
  <c r="U854" i="9"/>
  <c r="V854" i="9" s="1"/>
  <c r="U891" i="9"/>
  <c r="V891" i="9" s="1"/>
  <c r="U923" i="9"/>
  <c r="V923" i="9" s="1"/>
  <c r="U955" i="9"/>
  <c r="V955" i="9" s="1"/>
  <c r="U974" i="9"/>
  <c r="V974" i="9" s="1"/>
  <c r="U1020" i="9"/>
  <c r="V1020" i="9" s="1"/>
  <c r="U1052" i="9"/>
  <c r="V1052" i="9" s="1"/>
  <c r="U1091" i="9"/>
  <c r="V1091" i="9" s="1"/>
  <c r="U1130" i="9"/>
  <c r="V1130" i="9" s="1"/>
  <c r="U1162" i="9"/>
  <c r="V1162" i="9" s="1"/>
  <c r="U1194" i="9"/>
  <c r="V1194" i="9" s="1"/>
  <c r="U1226" i="9"/>
  <c r="V1226" i="9" s="1"/>
  <c r="U1258" i="9"/>
  <c r="V1258" i="9" s="1"/>
  <c r="U1296" i="9"/>
  <c r="V1296" i="9" s="1"/>
  <c r="U1339" i="9"/>
  <c r="V1339" i="9" s="1"/>
  <c r="U1355" i="9"/>
  <c r="V1355" i="9" s="1"/>
  <c r="U1371" i="9"/>
  <c r="V1371" i="9" s="1"/>
  <c r="U1387" i="9"/>
  <c r="V1387" i="9" s="1"/>
  <c r="U1403" i="9"/>
  <c r="V1403" i="9" s="1"/>
  <c r="U1419" i="9"/>
  <c r="V1419" i="9" s="1"/>
  <c r="U1435" i="9"/>
  <c r="V1435" i="9" s="1"/>
  <c r="U1451" i="9"/>
  <c r="V1451" i="9" s="1"/>
  <c r="U1467" i="9"/>
  <c r="V1467" i="9" s="1"/>
  <c r="U1483" i="9"/>
  <c r="V1483" i="9" s="1"/>
  <c r="U1499" i="9"/>
  <c r="V1499" i="9" s="1"/>
  <c r="U1515" i="9"/>
  <c r="V1515" i="9" s="1"/>
  <c r="U1531" i="9"/>
  <c r="V1531" i="9" s="1"/>
  <c r="U1547" i="9"/>
  <c r="V1547" i="9" s="1"/>
  <c r="U1563" i="9"/>
  <c r="V1563" i="9" s="1"/>
  <c r="U1579" i="9"/>
  <c r="V1579" i="9" s="1"/>
  <c r="U1595" i="9"/>
  <c r="V1595" i="9" s="1"/>
  <c r="U1611" i="9"/>
  <c r="V1611" i="9" s="1"/>
  <c r="U1627" i="9"/>
  <c r="V1627" i="9" s="1"/>
  <c r="U1658" i="9"/>
  <c r="V1658" i="9" s="1"/>
  <c r="U1679" i="9"/>
  <c r="V1679" i="9" s="1"/>
  <c r="U1702" i="9"/>
  <c r="V1702" i="9" s="1"/>
  <c r="U1715" i="9"/>
  <c r="V1715" i="9" s="1"/>
  <c r="U1726" i="9"/>
  <c r="V1726" i="9" s="1"/>
  <c r="U1737" i="9"/>
  <c r="V1737" i="9" s="1"/>
  <c r="U1747" i="9"/>
  <c r="V1747" i="9" s="1"/>
  <c r="U1758" i="9"/>
  <c r="V1758" i="9" s="1"/>
  <c r="U1769" i="9"/>
  <c r="V1769" i="9" s="1"/>
  <c r="U1779" i="9"/>
  <c r="V1779" i="9" s="1"/>
  <c r="U1790" i="9"/>
  <c r="V1790" i="9" s="1"/>
  <c r="U1801" i="9"/>
  <c r="V1801" i="9" s="1"/>
  <c r="U1811" i="9"/>
  <c r="V1811" i="9" s="1"/>
  <c r="U1822" i="9"/>
  <c r="V1822" i="9" s="1"/>
  <c r="U1833" i="9"/>
  <c r="V1833" i="9" s="1"/>
  <c r="U1843" i="9"/>
  <c r="V1843" i="9" s="1"/>
  <c r="U1854" i="9"/>
  <c r="V1854" i="9" s="1"/>
  <c r="U1865" i="9"/>
  <c r="V1865" i="9" s="1"/>
  <c r="U1875" i="9"/>
  <c r="V1875" i="9" s="1"/>
  <c r="U1886" i="9"/>
  <c r="V1886" i="9" s="1"/>
  <c r="U1897" i="9"/>
  <c r="V1897" i="9" s="1"/>
  <c r="U1907" i="9"/>
  <c r="V1907" i="9" s="1"/>
  <c r="U1918" i="9"/>
  <c r="V1918" i="9" s="1"/>
  <c r="U1929" i="9"/>
  <c r="V1929" i="9" s="1"/>
  <c r="U1939" i="9"/>
  <c r="V1939" i="9" s="1"/>
  <c r="U1950" i="9"/>
  <c r="V1950" i="9" s="1"/>
  <c r="U1961" i="9"/>
  <c r="V1961" i="9" s="1"/>
  <c r="U1971" i="9"/>
  <c r="V1971" i="9" s="1"/>
  <c r="U3485" i="9"/>
  <c r="V3485" i="9" s="1"/>
  <c r="U3489" i="9"/>
  <c r="V3489" i="9" s="1"/>
  <c r="U3493" i="9"/>
  <c r="V3493" i="9" s="1"/>
  <c r="U3497" i="9"/>
  <c r="V3497" i="9" s="1"/>
  <c r="U3501" i="9"/>
  <c r="V3501" i="9" s="1"/>
  <c r="U3505" i="9"/>
  <c r="V3505" i="9" s="1"/>
  <c r="U3509" i="9"/>
  <c r="V3509" i="9" s="1"/>
  <c r="U3513" i="9"/>
  <c r="V3513" i="9" s="1"/>
  <c r="U3517" i="9"/>
  <c r="V3517" i="9" s="1"/>
  <c r="U3521" i="9"/>
  <c r="V3521" i="9" s="1"/>
  <c r="U3525" i="9"/>
  <c r="V3525" i="9" s="1"/>
  <c r="U3529" i="9"/>
  <c r="V3529" i="9" s="1"/>
  <c r="U3533" i="9"/>
  <c r="V3533" i="9" s="1"/>
  <c r="U3537" i="9"/>
  <c r="V3537" i="9" s="1"/>
  <c r="U3541" i="9"/>
  <c r="V3541" i="9" s="1"/>
  <c r="U3545" i="9"/>
  <c r="V3545" i="9" s="1"/>
  <c r="U3549" i="9"/>
  <c r="V3549" i="9" s="1"/>
  <c r="U3553" i="9"/>
  <c r="V3553" i="9" s="1"/>
  <c r="U3557" i="9"/>
  <c r="V3557" i="9" s="1"/>
  <c r="U3561" i="9"/>
  <c r="V3561" i="9" s="1"/>
  <c r="U3565" i="9"/>
  <c r="V3565" i="9" s="1"/>
  <c r="U3569" i="9"/>
  <c r="V3569" i="9" s="1"/>
  <c r="U3573" i="9"/>
  <c r="V3573" i="9" s="1"/>
  <c r="U3577" i="9"/>
  <c r="V3577" i="9" s="1"/>
  <c r="U3581" i="9"/>
  <c r="V3581" i="9" s="1"/>
  <c r="U3585" i="9"/>
  <c r="V3585" i="9" s="1"/>
  <c r="U3589" i="9"/>
  <c r="V3589" i="9" s="1"/>
  <c r="U3593" i="9"/>
  <c r="V3593" i="9" s="1"/>
  <c r="U3597" i="9"/>
  <c r="V3597" i="9" s="1"/>
  <c r="U3601" i="9"/>
  <c r="V3601" i="9" s="1"/>
  <c r="U3605" i="9"/>
  <c r="V3605" i="9" s="1"/>
  <c r="U3609" i="9"/>
  <c r="V3609" i="9" s="1"/>
  <c r="U3613" i="9"/>
  <c r="V3613" i="9" s="1"/>
  <c r="U3617" i="9"/>
  <c r="V3617" i="9" s="1"/>
  <c r="U3621" i="9"/>
  <c r="V3621" i="9" s="1"/>
  <c r="U3625" i="9"/>
  <c r="V3625" i="9" s="1"/>
  <c r="U3629" i="9"/>
  <c r="V3629" i="9" s="1"/>
  <c r="U3633" i="9"/>
  <c r="V3633" i="9" s="1"/>
  <c r="U3637" i="9"/>
  <c r="V3637" i="9" s="1"/>
  <c r="U3641" i="9"/>
  <c r="V3641" i="9" s="1"/>
  <c r="U3645" i="9"/>
  <c r="V3645" i="9" s="1"/>
  <c r="U3649" i="9"/>
  <c r="V3649" i="9" s="1"/>
  <c r="U3653" i="9"/>
  <c r="V3653" i="9" s="1"/>
  <c r="U3657" i="9"/>
  <c r="V3657" i="9" s="1"/>
  <c r="U3661" i="9"/>
  <c r="V3661" i="9" s="1"/>
  <c r="U3665" i="9"/>
  <c r="V3665" i="9" s="1"/>
  <c r="U3669" i="9"/>
  <c r="V3669" i="9" s="1"/>
  <c r="U3673" i="9"/>
  <c r="V3673" i="9" s="1"/>
  <c r="U3677" i="9"/>
  <c r="V3677" i="9" s="1"/>
  <c r="U3681" i="9"/>
  <c r="V3681" i="9" s="1"/>
  <c r="U3685" i="9"/>
  <c r="V3685" i="9" s="1"/>
  <c r="U3689" i="9"/>
  <c r="V3689" i="9" s="1"/>
  <c r="U3693" i="9"/>
  <c r="V3693" i="9" s="1"/>
  <c r="U3697" i="9"/>
  <c r="V3697" i="9" s="1"/>
  <c r="U3701" i="9"/>
  <c r="V3701" i="9" s="1"/>
  <c r="U3705" i="9"/>
  <c r="V3705" i="9" s="1"/>
  <c r="U3709" i="9"/>
  <c r="V3709" i="9" s="1"/>
  <c r="U3713" i="9"/>
  <c r="V3713" i="9" s="1"/>
  <c r="U3717" i="9"/>
  <c r="V3717" i="9" s="1"/>
  <c r="U3721" i="9"/>
  <c r="V3721" i="9" s="1"/>
  <c r="U3725" i="9"/>
  <c r="V3725" i="9" s="1"/>
  <c r="U3729" i="9"/>
  <c r="V3729" i="9" s="1"/>
  <c r="U3733" i="9"/>
  <c r="V3733" i="9" s="1"/>
  <c r="U3737" i="9"/>
  <c r="V3737" i="9" s="1"/>
  <c r="U3741" i="9"/>
  <c r="V3741" i="9" s="1"/>
  <c r="U3745" i="9"/>
  <c r="V3745" i="9" s="1"/>
  <c r="U3749" i="9"/>
  <c r="V3749" i="9" s="1"/>
  <c r="U3753" i="9"/>
  <c r="V3753" i="9" s="1"/>
  <c r="U3757" i="9"/>
  <c r="V3757" i="9" s="1"/>
  <c r="U3761" i="9"/>
  <c r="V3761" i="9" s="1"/>
  <c r="U3765" i="9"/>
  <c r="V3765" i="9" s="1"/>
  <c r="U3769" i="9"/>
  <c r="V3769" i="9" s="1"/>
  <c r="U3773" i="9"/>
  <c r="V3773" i="9" s="1"/>
  <c r="U3777" i="9"/>
  <c r="V3777" i="9" s="1"/>
  <c r="U3781" i="9"/>
  <c r="V3781" i="9" s="1"/>
  <c r="U3785" i="9"/>
  <c r="V3785" i="9" s="1"/>
  <c r="U3789" i="9"/>
  <c r="V3789" i="9" s="1"/>
  <c r="U3793" i="9"/>
  <c r="V3793" i="9" s="1"/>
  <c r="U3797" i="9"/>
  <c r="V3797" i="9" s="1"/>
  <c r="U3801" i="9"/>
  <c r="V3801" i="9" s="1"/>
  <c r="U3805" i="9"/>
  <c r="V3805" i="9" s="1"/>
  <c r="U3809" i="9"/>
  <c r="V3809" i="9" s="1"/>
  <c r="U3813" i="9"/>
  <c r="V3813" i="9" s="1"/>
  <c r="U3817" i="9"/>
  <c r="V3817" i="9" s="1"/>
  <c r="U3821" i="9"/>
  <c r="V3821" i="9" s="1"/>
  <c r="U3825" i="9"/>
  <c r="V3825" i="9" s="1"/>
  <c r="U3829" i="9"/>
  <c r="V3829" i="9" s="1"/>
  <c r="U3833" i="9"/>
  <c r="V3833" i="9" s="1"/>
  <c r="U3837" i="9"/>
  <c r="V3837" i="9" s="1"/>
  <c r="U3841" i="9"/>
  <c r="V3841" i="9" s="1"/>
  <c r="U3845" i="9"/>
  <c r="V3845" i="9" s="1"/>
  <c r="U3849" i="9"/>
  <c r="V3849" i="9" s="1"/>
  <c r="U3853" i="9"/>
  <c r="V3853" i="9" s="1"/>
  <c r="U3857" i="9"/>
  <c r="V3857" i="9" s="1"/>
  <c r="U3861" i="9"/>
  <c r="V3861" i="9" s="1"/>
  <c r="U3865" i="9"/>
  <c r="V3865" i="9" s="1"/>
  <c r="U3869" i="9"/>
  <c r="V3869" i="9" s="1"/>
  <c r="U3873" i="9"/>
  <c r="V3873" i="9" s="1"/>
  <c r="U3877" i="9"/>
  <c r="V3877" i="9" s="1"/>
  <c r="U3881" i="9"/>
  <c r="V3881" i="9" s="1"/>
  <c r="U3885" i="9"/>
  <c r="V3885" i="9" s="1"/>
  <c r="U3889" i="9"/>
  <c r="V3889" i="9" s="1"/>
  <c r="U3893" i="9"/>
  <c r="V3893" i="9" s="1"/>
  <c r="U3897" i="9"/>
  <c r="V3897" i="9" s="1"/>
  <c r="U3901" i="9"/>
  <c r="V3901" i="9" s="1"/>
  <c r="U3905" i="9"/>
  <c r="V3905" i="9" s="1"/>
  <c r="U3909" i="9"/>
  <c r="V3909" i="9" s="1"/>
  <c r="U3913" i="9"/>
  <c r="V3913" i="9" s="1"/>
  <c r="U3917" i="9"/>
  <c r="V3917" i="9" s="1"/>
  <c r="U3921" i="9"/>
  <c r="V3921" i="9" s="1"/>
  <c r="U3925" i="9"/>
  <c r="V3925" i="9" s="1"/>
  <c r="U3929" i="9"/>
  <c r="V3929" i="9" s="1"/>
  <c r="U3933" i="9"/>
  <c r="V3933" i="9" s="1"/>
  <c r="U3937" i="9"/>
  <c r="V3937" i="9" s="1"/>
  <c r="U3941" i="9"/>
  <c r="V3941" i="9" s="1"/>
  <c r="U3945" i="9"/>
  <c r="V3945" i="9" s="1"/>
  <c r="U3949" i="9"/>
  <c r="V3949" i="9" s="1"/>
  <c r="U3953" i="9"/>
  <c r="V3953" i="9" s="1"/>
  <c r="U3957" i="9"/>
  <c r="V3957" i="9" s="1"/>
  <c r="U3961" i="9"/>
  <c r="V3961" i="9" s="1"/>
  <c r="U3965" i="9"/>
  <c r="V3965" i="9" s="1"/>
  <c r="U3969" i="9"/>
  <c r="V3969" i="9" s="1"/>
  <c r="U3973" i="9"/>
  <c r="V3973" i="9" s="1"/>
  <c r="U3977" i="9"/>
  <c r="V3977" i="9" s="1"/>
  <c r="U3981" i="9"/>
  <c r="V3981" i="9" s="1"/>
  <c r="U3985" i="9"/>
  <c r="V3985" i="9" s="1"/>
  <c r="U3989" i="9"/>
  <c r="V3989" i="9" s="1"/>
  <c r="U3993" i="9"/>
  <c r="V3993" i="9" s="1"/>
  <c r="U3997" i="9"/>
  <c r="V3997" i="9" s="1"/>
  <c r="U4001" i="9"/>
  <c r="V4001" i="9" s="1"/>
  <c r="U4005" i="9"/>
  <c r="V4005" i="9" s="1"/>
  <c r="U4009" i="9"/>
  <c r="V4009" i="9" s="1"/>
  <c r="U4013" i="9"/>
  <c r="V4013" i="9" s="1"/>
  <c r="U4017" i="9"/>
  <c r="V4017" i="9" s="1"/>
  <c r="U4021" i="9"/>
  <c r="V4021" i="9" s="1"/>
  <c r="U4025" i="9"/>
  <c r="V4025" i="9" s="1"/>
  <c r="U4029" i="9"/>
  <c r="V4029" i="9" s="1"/>
  <c r="U4033" i="9"/>
  <c r="V4033" i="9" s="1"/>
  <c r="U4037" i="9"/>
  <c r="V4037" i="9" s="1"/>
  <c r="U4041" i="9"/>
  <c r="V4041" i="9" s="1"/>
  <c r="U4045" i="9"/>
  <c r="V4045" i="9" s="1"/>
  <c r="U4049" i="9"/>
  <c r="V4049" i="9" s="1"/>
  <c r="U4053" i="9"/>
  <c r="V4053" i="9" s="1"/>
  <c r="U4057" i="9"/>
  <c r="V4057" i="9" s="1"/>
  <c r="U4061" i="9"/>
  <c r="V4061" i="9" s="1"/>
  <c r="U4065" i="9"/>
  <c r="V4065" i="9" s="1"/>
  <c r="U4069" i="9"/>
  <c r="V4069" i="9" s="1"/>
  <c r="U4073" i="9"/>
  <c r="V4073" i="9" s="1"/>
  <c r="U4077" i="9"/>
  <c r="V4077" i="9" s="1"/>
  <c r="U4081" i="9"/>
  <c r="V4081" i="9" s="1"/>
  <c r="U4085" i="9"/>
  <c r="V4085" i="9" s="1"/>
  <c r="U4089" i="9"/>
  <c r="V4089" i="9" s="1"/>
  <c r="U4093" i="9"/>
  <c r="V4093" i="9" s="1"/>
  <c r="U4097" i="9"/>
  <c r="V4097" i="9" s="1"/>
  <c r="U4101" i="9"/>
  <c r="V4101" i="9" s="1"/>
  <c r="U4105" i="9"/>
  <c r="V4105" i="9" s="1"/>
  <c r="U4109" i="9"/>
  <c r="V4109" i="9" s="1"/>
  <c r="U4113" i="9"/>
  <c r="V4113" i="9" s="1"/>
  <c r="U4117" i="9"/>
  <c r="V4117" i="9" s="1"/>
  <c r="U4121" i="9"/>
  <c r="V4121" i="9" s="1"/>
  <c r="U4125" i="9"/>
  <c r="V4125" i="9" s="1"/>
  <c r="U410" i="9"/>
  <c r="V410" i="9" s="1"/>
  <c r="U526" i="9"/>
  <c r="V526" i="9" s="1"/>
  <c r="U625" i="9"/>
  <c r="V625" i="9" s="1"/>
  <c r="U710" i="9"/>
  <c r="V710" i="9" s="1"/>
  <c r="U825" i="9"/>
  <c r="V825" i="9" s="1"/>
  <c r="U874" i="9"/>
  <c r="V874" i="9" s="1"/>
  <c r="U906" i="9"/>
  <c r="V906" i="9" s="1"/>
  <c r="U938" i="9"/>
  <c r="V938" i="9" s="1"/>
  <c r="U984" i="9"/>
  <c r="V984" i="9" s="1"/>
  <c r="U1003" i="9"/>
  <c r="V1003" i="9" s="1"/>
  <c r="U1035" i="9"/>
  <c r="V1035" i="9" s="1"/>
  <c r="U1074" i="9"/>
  <c r="V1074" i="9" s="1"/>
  <c r="U1105" i="9"/>
  <c r="V1105" i="9" s="1"/>
  <c r="U1145" i="9"/>
  <c r="V1145" i="9" s="1"/>
  <c r="U1177" i="9"/>
  <c r="V1177" i="9" s="1"/>
  <c r="U1209" i="9"/>
  <c r="V1209" i="9" s="1"/>
  <c r="U1241" i="9"/>
  <c r="V1241" i="9" s="1"/>
  <c r="U1275" i="9"/>
  <c r="V1275" i="9" s="1"/>
  <c r="U1325" i="9"/>
  <c r="V1325" i="9" s="1"/>
  <c r="U1346" i="9"/>
  <c r="V1346" i="9" s="1"/>
  <c r="U1362" i="9"/>
  <c r="V1362" i="9" s="1"/>
  <c r="U1378" i="9"/>
  <c r="V1378" i="9" s="1"/>
  <c r="U1394" i="9"/>
  <c r="V1394" i="9" s="1"/>
  <c r="U1410" i="9"/>
  <c r="V1410" i="9" s="1"/>
  <c r="U1426" i="9"/>
  <c r="V1426" i="9" s="1"/>
  <c r="U1442" i="9"/>
  <c r="V1442" i="9" s="1"/>
  <c r="U1458" i="9"/>
  <c r="V1458" i="9" s="1"/>
  <c r="U1474" i="9"/>
  <c r="V1474" i="9" s="1"/>
  <c r="U1490" i="9"/>
  <c r="V1490" i="9" s="1"/>
  <c r="U1506" i="9"/>
  <c r="V1506" i="9" s="1"/>
  <c r="U1522" i="9"/>
  <c r="V1522" i="9" s="1"/>
  <c r="U1538" i="9"/>
  <c r="V1538" i="9" s="1"/>
  <c r="U1554" i="9"/>
  <c r="V1554" i="9" s="1"/>
  <c r="U1570" i="9"/>
  <c r="V1570" i="9" s="1"/>
  <c r="U1586" i="9"/>
  <c r="V1586" i="9" s="1"/>
  <c r="U1602" i="9"/>
  <c r="V1602" i="9" s="1"/>
  <c r="U1618" i="9"/>
  <c r="V1618" i="9" s="1"/>
  <c r="U1634" i="9"/>
  <c r="V1634" i="9" s="1"/>
  <c r="U1650" i="9"/>
  <c r="V1650" i="9" s="1"/>
  <c r="U1692" i="9"/>
  <c r="V1692" i="9" s="1"/>
  <c r="U1709" i="9"/>
  <c r="V1709" i="9" s="1"/>
  <c r="U1719" i="9"/>
  <c r="V1719" i="9" s="1"/>
  <c r="U1730" i="9"/>
  <c r="V1730" i="9" s="1"/>
  <c r="U1741" i="9"/>
  <c r="V1741" i="9" s="1"/>
  <c r="U1751" i="9"/>
  <c r="V1751" i="9" s="1"/>
  <c r="U1762" i="9"/>
  <c r="V1762" i="9" s="1"/>
  <c r="U1773" i="9"/>
  <c r="V1773" i="9" s="1"/>
  <c r="U1783" i="9"/>
  <c r="V1783" i="9" s="1"/>
  <c r="U1794" i="9"/>
  <c r="V1794" i="9" s="1"/>
  <c r="U1805" i="9"/>
  <c r="V1805" i="9" s="1"/>
  <c r="U1815" i="9"/>
  <c r="V1815" i="9" s="1"/>
  <c r="U1826" i="9"/>
  <c r="V1826" i="9" s="1"/>
  <c r="U1837" i="9"/>
  <c r="V1837" i="9" s="1"/>
  <c r="U1847" i="9"/>
  <c r="V1847" i="9" s="1"/>
  <c r="U1858" i="9"/>
  <c r="V1858" i="9" s="1"/>
  <c r="U1869" i="9"/>
  <c r="V1869" i="9" s="1"/>
  <c r="U1879" i="9"/>
  <c r="V1879" i="9" s="1"/>
  <c r="U1890" i="9"/>
  <c r="V1890" i="9" s="1"/>
  <c r="U1901" i="9"/>
  <c r="V1901" i="9" s="1"/>
  <c r="U1911" i="9"/>
  <c r="V1911" i="9" s="1"/>
  <c r="U1922" i="9"/>
  <c r="V1922" i="9" s="1"/>
  <c r="U1933" i="9"/>
  <c r="V1933" i="9" s="1"/>
  <c r="U1943" i="9"/>
  <c r="V1943" i="9" s="1"/>
  <c r="U1954" i="9"/>
  <c r="V1954" i="9" s="1"/>
  <c r="U1965" i="9"/>
  <c r="V1965" i="9" s="1"/>
  <c r="U1975" i="9"/>
  <c r="V1975" i="9" s="1"/>
  <c r="U711" i="9"/>
  <c r="V711" i="9" s="1"/>
  <c r="U907" i="9"/>
  <c r="V907" i="9" s="1"/>
  <c r="U1036" i="9"/>
  <c r="V1036" i="9" s="1"/>
  <c r="U1178" i="9"/>
  <c r="V1178" i="9" s="1"/>
  <c r="U1326" i="9"/>
  <c r="V1326" i="9" s="1"/>
  <c r="U1395" i="9"/>
  <c r="V1395" i="9" s="1"/>
  <c r="U1459" i="9"/>
  <c r="V1459" i="9" s="1"/>
  <c r="U1523" i="9"/>
  <c r="V1523" i="9" s="1"/>
  <c r="U1587" i="9"/>
  <c r="V1587" i="9" s="1"/>
  <c r="U1721" i="9"/>
  <c r="V1721" i="9" s="1"/>
  <c r="U1763" i="9"/>
  <c r="V1763" i="9" s="1"/>
  <c r="U1806" i="9"/>
  <c r="V1806" i="9" s="1"/>
  <c r="U1849" i="9"/>
  <c r="V1849" i="9" s="1"/>
  <c r="U1891" i="9"/>
  <c r="V1891" i="9" s="1"/>
  <c r="U1934" i="9"/>
  <c r="V1934" i="9" s="1"/>
  <c r="U1977" i="9"/>
  <c r="V1977" i="9" s="1"/>
  <c r="U3487" i="9"/>
  <c r="V3487" i="9" s="1"/>
  <c r="U3495" i="9"/>
  <c r="V3495" i="9" s="1"/>
  <c r="U3503" i="9"/>
  <c r="V3503" i="9" s="1"/>
  <c r="U3511" i="9"/>
  <c r="V3511" i="9" s="1"/>
  <c r="U3519" i="9"/>
  <c r="V3519" i="9" s="1"/>
  <c r="U3527" i="9"/>
  <c r="V3527" i="9" s="1"/>
  <c r="U3535" i="9"/>
  <c r="V3535" i="9" s="1"/>
  <c r="U3543" i="9"/>
  <c r="V3543" i="9" s="1"/>
  <c r="U3551" i="9"/>
  <c r="V3551" i="9" s="1"/>
  <c r="U3559" i="9"/>
  <c r="V3559" i="9" s="1"/>
  <c r="U3567" i="9"/>
  <c r="V3567" i="9" s="1"/>
  <c r="U3575" i="9"/>
  <c r="V3575" i="9" s="1"/>
  <c r="U3583" i="9"/>
  <c r="V3583" i="9" s="1"/>
  <c r="U3591" i="9"/>
  <c r="V3591" i="9" s="1"/>
  <c r="U3599" i="9"/>
  <c r="V3599" i="9" s="1"/>
  <c r="U3607" i="9"/>
  <c r="V3607" i="9" s="1"/>
  <c r="U3615" i="9"/>
  <c r="V3615" i="9" s="1"/>
  <c r="U3623" i="9"/>
  <c r="V3623" i="9" s="1"/>
  <c r="U3631" i="9"/>
  <c r="V3631" i="9" s="1"/>
  <c r="U3639" i="9"/>
  <c r="V3639" i="9" s="1"/>
  <c r="U3647" i="9"/>
  <c r="V3647" i="9" s="1"/>
  <c r="U3655" i="9"/>
  <c r="V3655" i="9" s="1"/>
  <c r="U3663" i="9"/>
  <c r="V3663" i="9" s="1"/>
  <c r="U3671" i="9"/>
  <c r="V3671" i="9" s="1"/>
  <c r="U3679" i="9"/>
  <c r="V3679" i="9" s="1"/>
  <c r="U3687" i="9"/>
  <c r="V3687" i="9" s="1"/>
  <c r="U411" i="9"/>
  <c r="V411" i="9" s="1"/>
  <c r="U939" i="9"/>
  <c r="V939" i="9" s="1"/>
  <c r="U1075" i="9"/>
  <c r="V1075" i="9" s="1"/>
  <c r="U1210" i="9"/>
  <c r="V1210" i="9" s="1"/>
  <c r="U1347" i="9"/>
  <c r="V1347" i="9" s="1"/>
  <c r="U1411" i="9"/>
  <c r="V1411" i="9" s="1"/>
  <c r="U1475" i="9"/>
  <c r="V1475" i="9" s="1"/>
  <c r="U1539" i="9"/>
  <c r="V1539" i="9" s="1"/>
  <c r="U1603" i="9"/>
  <c r="V1603" i="9" s="1"/>
  <c r="U1731" i="9"/>
  <c r="V1731" i="9" s="1"/>
  <c r="U1774" i="9"/>
  <c r="V1774" i="9" s="1"/>
  <c r="U1817" i="9"/>
  <c r="V1817" i="9" s="1"/>
  <c r="U1859" i="9"/>
  <c r="V1859" i="9" s="1"/>
  <c r="U1902" i="9"/>
  <c r="V1902" i="9" s="1"/>
  <c r="U1945" i="9"/>
  <c r="V1945" i="9" s="1"/>
  <c r="U3482" i="9"/>
  <c r="V3482" i="9" s="1"/>
  <c r="U3490" i="9"/>
  <c r="V3490" i="9" s="1"/>
  <c r="U3498" i="9"/>
  <c r="V3498" i="9" s="1"/>
  <c r="U3506" i="9"/>
  <c r="V3506" i="9" s="1"/>
  <c r="U3514" i="9"/>
  <c r="V3514" i="9" s="1"/>
  <c r="U3522" i="9"/>
  <c r="V3522" i="9" s="1"/>
  <c r="U3530" i="9"/>
  <c r="V3530" i="9" s="1"/>
  <c r="U3538" i="9"/>
  <c r="V3538" i="9" s="1"/>
  <c r="U3546" i="9"/>
  <c r="V3546" i="9" s="1"/>
  <c r="U3554" i="9"/>
  <c r="V3554" i="9" s="1"/>
  <c r="U3562" i="9"/>
  <c r="V3562" i="9" s="1"/>
  <c r="U3570" i="9"/>
  <c r="V3570" i="9" s="1"/>
  <c r="U3578" i="9"/>
  <c r="V3578" i="9" s="1"/>
  <c r="U3586" i="9"/>
  <c r="V3586" i="9" s="1"/>
  <c r="U3594" i="9"/>
  <c r="V3594" i="9" s="1"/>
  <c r="U3602" i="9"/>
  <c r="V3602" i="9" s="1"/>
  <c r="U3610" i="9"/>
  <c r="V3610" i="9" s="1"/>
  <c r="U3618" i="9"/>
  <c r="V3618" i="9" s="1"/>
  <c r="U3626" i="9"/>
  <c r="V3626" i="9" s="1"/>
  <c r="U3634" i="9"/>
  <c r="V3634" i="9" s="1"/>
  <c r="U3642" i="9"/>
  <c r="V3642" i="9" s="1"/>
  <c r="U3650" i="9"/>
  <c r="V3650" i="9" s="1"/>
  <c r="U3658" i="9"/>
  <c r="V3658" i="9" s="1"/>
  <c r="U3666" i="9"/>
  <c r="V3666" i="9" s="1"/>
  <c r="U3674" i="9"/>
  <c r="V3674" i="9" s="1"/>
  <c r="U3682" i="9"/>
  <c r="V3682" i="9" s="1"/>
  <c r="U3690" i="9"/>
  <c r="V3690" i="9" s="1"/>
  <c r="U3698" i="9"/>
  <c r="V3698" i="9" s="1"/>
  <c r="U3706" i="9"/>
  <c r="V3706" i="9" s="1"/>
  <c r="U3714" i="9"/>
  <c r="V3714" i="9" s="1"/>
  <c r="U3722" i="9"/>
  <c r="V3722" i="9" s="1"/>
  <c r="U3730" i="9"/>
  <c r="V3730" i="9" s="1"/>
  <c r="U3738" i="9"/>
  <c r="V3738" i="9" s="1"/>
  <c r="U3746" i="9"/>
  <c r="V3746" i="9" s="1"/>
  <c r="U3754" i="9"/>
  <c r="V3754" i="9" s="1"/>
  <c r="U3762" i="9"/>
  <c r="V3762" i="9" s="1"/>
  <c r="U3770" i="9"/>
  <c r="V3770" i="9" s="1"/>
  <c r="U3778" i="9"/>
  <c r="V3778" i="9" s="1"/>
  <c r="U3786" i="9"/>
  <c r="V3786" i="9" s="1"/>
  <c r="U3794" i="9"/>
  <c r="V3794" i="9" s="1"/>
  <c r="U3802" i="9"/>
  <c r="V3802" i="9" s="1"/>
  <c r="U3810" i="9"/>
  <c r="V3810" i="9" s="1"/>
  <c r="U3818" i="9"/>
  <c r="V3818" i="9" s="1"/>
  <c r="U3826" i="9"/>
  <c r="V3826" i="9" s="1"/>
  <c r="U3834" i="9"/>
  <c r="V3834" i="9" s="1"/>
  <c r="U3842" i="9"/>
  <c r="V3842" i="9" s="1"/>
  <c r="U3850" i="9"/>
  <c r="V3850" i="9" s="1"/>
  <c r="U3858" i="9"/>
  <c r="V3858" i="9" s="1"/>
  <c r="U3866" i="9"/>
  <c r="V3866" i="9" s="1"/>
  <c r="U3874" i="9"/>
  <c r="V3874" i="9" s="1"/>
  <c r="U3882" i="9"/>
  <c r="V3882" i="9" s="1"/>
  <c r="U3890" i="9"/>
  <c r="V3890" i="9" s="1"/>
  <c r="U3898" i="9"/>
  <c r="V3898" i="9" s="1"/>
  <c r="U3906" i="9"/>
  <c r="V3906" i="9" s="1"/>
  <c r="U3914" i="9"/>
  <c r="V3914" i="9" s="1"/>
  <c r="U3922" i="9"/>
  <c r="V3922" i="9" s="1"/>
  <c r="U3930" i="9"/>
  <c r="V3930" i="9" s="1"/>
  <c r="U3938" i="9"/>
  <c r="V3938" i="9" s="1"/>
  <c r="U3946" i="9"/>
  <c r="V3946" i="9" s="1"/>
  <c r="U3954" i="9"/>
  <c r="V3954" i="9" s="1"/>
  <c r="U3962" i="9"/>
  <c r="V3962" i="9" s="1"/>
  <c r="U3970" i="9"/>
  <c r="V3970" i="9" s="1"/>
  <c r="U3978" i="9"/>
  <c r="V3978" i="9" s="1"/>
  <c r="U3986" i="9"/>
  <c r="V3986" i="9" s="1"/>
  <c r="U3994" i="9"/>
  <c r="V3994" i="9" s="1"/>
  <c r="U4002" i="9"/>
  <c r="V4002" i="9" s="1"/>
  <c r="U528" i="9"/>
  <c r="V528" i="9" s="1"/>
  <c r="U826" i="9"/>
  <c r="V826" i="9" s="1"/>
  <c r="U966" i="9"/>
  <c r="V966" i="9" s="1"/>
  <c r="U1106" i="9"/>
  <c r="V1106" i="9" s="1"/>
  <c r="U1242" i="9"/>
  <c r="V1242" i="9" s="1"/>
  <c r="U1363" i="9"/>
  <c r="V1363" i="9" s="1"/>
  <c r="U1427" i="9"/>
  <c r="V1427" i="9" s="1"/>
  <c r="U1491" i="9"/>
  <c r="V1491" i="9" s="1"/>
  <c r="U1555" i="9"/>
  <c r="V1555" i="9" s="1"/>
  <c r="U1619" i="9"/>
  <c r="V1619" i="9" s="1"/>
  <c r="U1694" i="9"/>
  <c r="V1694" i="9" s="1"/>
  <c r="U1742" i="9"/>
  <c r="V1742" i="9" s="1"/>
  <c r="U1785" i="9"/>
  <c r="V1785" i="9" s="1"/>
  <c r="U1827" i="9"/>
  <c r="V1827" i="9" s="1"/>
  <c r="U1870" i="9"/>
  <c r="V1870" i="9" s="1"/>
  <c r="U1913" i="9"/>
  <c r="V1913" i="9" s="1"/>
  <c r="U1955" i="9"/>
  <c r="V1955" i="9" s="1"/>
  <c r="U3483" i="9"/>
  <c r="V3483" i="9" s="1"/>
  <c r="U3491" i="9"/>
  <c r="V3491" i="9" s="1"/>
  <c r="U3499" i="9"/>
  <c r="V3499" i="9" s="1"/>
  <c r="U626" i="9"/>
  <c r="V626" i="9" s="1"/>
  <c r="U1276" i="9"/>
  <c r="V1276" i="9" s="1"/>
  <c r="U1571" i="9"/>
  <c r="V1571" i="9" s="1"/>
  <c r="U1795" i="9"/>
  <c r="V1795" i="9" s="1"/>
  <c r="U1966" i="9"/>
  <c r="V1966" i="9" s="1"/>
  <c r="U3494" i="9"/>
  <c r="V3494" i="9" s="1"/>
  <c r="U3515" i="9"/>
  <c r="V3515" i="9" s="1"/>
  <c r="U3531" i="9"/>
  <c r="V3531" i="9" s="1"/>
  <c r="U3547" i="9"/>
  <c r="V3547" i="9" s="1"/>
  <c r="U3563" i="9"/>
  <c r="V3563" i="9" s="1"/>
  <c r="U3579" i="9"/>
  <c r="V3579" i="9" s="1"/>
  <c r="U3595" i="9"/>
  <c r="V3595" i="9" s="1"/>
  <c r="U3611" i="9"/>
  <c r="V3611" i="9" s="1"/>
  <c r="U3627" i="9"/>
  <c r="V3627" i="9" s="1"/>
  <c r="U3643" i="9"/>
  <c r="V3643" i="9" s="1"/>
  <c r="U3659" i="9"/>
  <c r="V3659" i="9" s="1"/>
  <c r="U3675" i="9"/>
  <c r="V3675" i="9" s="1"/>
  <c r="U3691" i="9"/>
  <c r="V3691" i="9" s="1"/>
  <c r="U3702" i="9"/>
  <c r="V3702" i="9" s="1"/>
  <c r="U3711" i="9"/>
  <c r="V3711" i="9" s="1"/>
  <c r="U3723" i="9"/>
  <c r="V3723" i="9" s="1"/>
  <c r="U3734" i="9"/>
  <c r="V3734" i="9" s="1"/>
  <c r="U3743" i="9"/>
  <c r="V3743" i="9" s="1"/>
  <c r="U3755" i="9"/>
  <c r="V3755" i="9" s="1"/>
  <c r="U3766" i="9"/>
  <c r="V3766" i="9" s="1"/>
  <c r="U3775" i="9"/>
  <c r="V3775" i="9" s="1"/>
  <c r="U3787" i="9"/>
  <c r="V3787" i="9" s="1"/>
  <c r="U3798" i="9"/>
  <c r="V3798" i="9" s="1"/>
  <c r="U3807" i="9"/>
  <c r="V3807" i="9" s="1"/>
  <c r="U3819" i="9"/>
  <c r="V3819" i="9" s="1"/>
  <c r="U3830" i="9"/>
  <c r="V3830" i="9" s="1"/>
  <c r="U3839" i="9"/>
  <c r="V3839" i="9" s="1"/>
  <c r="U3851" i="9"/>
  <c r="V3851" i="9" s="1"/>
  <c r="U3862" i="9"/>
  <c r="V3862" i="9" s="1"/>
  <c r="U3871" i="9"/>
  <c r="V3871" i="9" s="1"/>
  <c r="U3883" i="9"/>
  <c r="V3883" i="9" s="1"/>
  <c r="U3894" i="9"/>
  <c r="V3894" i="9" s="1"/>
  <c r="U3903" i="9"/>
  <c r="V3903" i="9" s="1"/>
  <c r="U3915" i="9"/>
  <c r="V3915" i="9" s="1"/>
  <c r="U3926" i="9"/>
  <c r="V3926" i="9" s="1"/>
  <c r="U3935" i="9"/>
  <c r="V3935" i="9" s="1"/>
  <c r="U3947" i="9"/>
  <c r="V3947" i="9" s="1"/>
  <c r="U3958" i="9"/>
  <c r="V3958" i="9" s="1"/>
  <c r="U3967" i="9"/>
  <c r="V3967" i="9" s="1"/>
  <c r="U3979" i="9"/>
  <c r="V3979" i="9" s="1"/>
  <c r="U3990" i="9"/>
  <c r="V3990" i="9" s="1"/>
  <c r="U3999" i="9"/>
  <c r="V3999" i="9" s="1"/>
  <c r="U4010" i="9"/>
  <c r="V4010" i="9" s="1"/>
  <c r="U4018" i="9"/>
  <c r="V4018" i="9" s="1"/>
  <c r="U4026" i="9"/>
  <c r="V4026" i="9" s="1"/>
  <c r="U4034" i="9"/>
  <c r="V4034" i="9" s="1"/>
  <c r="U4042" i="9"/>
  <c r="V4042" i="9" s="1"/>
  <c r="U4050" i="9"/>
  <c r="V4050" i="9" s="1"/>
  <c r="U4058" i="9"/>
  <c r="V4058" i="9" s="1"/>
  <c r="U4066" i="9"/>
  <c r="V4066" i="9" s="1"/>
  <c r="U4074" i="9"/>
  <c r="V4074" i="9" s="1"/>
  <c r="U4082" i="9"/>
  <c r="V4082" i="9" s="1"/>
  <c r="U4090" i="9"/>
  <c r="V4090" i="9" s="1"/>
  <c r="U4098" i="9"/>
  <c r="V4098" i="9" s="1"/>
  <c r="U4106" i="9"/>
  <c r="V4106" i="9" s="1"/>
  <c r="U4114" i="9"/>
  <c r="V4114" i="9" s="1"/>
  <c r="U4122" i="9"/>
  <c r="V4122" i="9" s="1"/>
  <c r="U4128" i="9"/>
  <c r="V4128" i="9" s="1"/>
  <c r="U4132" i="9"/>
  <c r="V4132" i="9" s="1"/>
  <c r="U4136" i="9"/>
  <c r="V4136" i="9" s="1"/>
  <c r="U4140" i="9"/>
  <c r="V4140" i="9" s="1"/>
  <c r="U4144" i="9"/>
  <c r="V4144" i="9" s="1"/>
  <c r="U4148" i="9"/>
  <c r="V4148" i="9" s="1"/>
  <c r="U4152" i="9"/>
  <c r="V4152" i="9" s="1"/>
  <c r="U4156" i="9"/>
  <c r="V4156" i="9" s="1"/>
  <c r="U4160" i="9"/>
  <c r="V4160" i="9" s="1"/>
  <c r="U4164" i="9"/>
  <c r="V4164" i="9" s="1"/>
  <c r="U4168" i="9"/>
  <c r="V4168" i="9" s="1"/>
  <c r="U4172" i="9"/>
  <c r="V4172" i="9" s="1"/>
  <c r="U4176" i="9"/>
  <c r="V4176" i="9" s="1"/>
  <c r="U4180" i="9"/>
  <c r="V4180" i="9" s="1"/>
  <c r="U4184" i="9"/>
  <c r="V4184" i="9" s="1"/>
  <c r="U4188" i="9"/>
  <c r="V4188" i="9" s="1"/>
  <c r="U4192" i="9"/>
  <c r="V4192" i="9" s="1"/>
  <c r="U4196" i="9"/>
  <c r="V4196" i="9" s="1"/>
  <c r="U4200" i="9"/>
  <c r="V4200" i="9" s="1"/>
  <c r="U4204" i="9"/>
  <c r="V4204" i="9" s="1"/>
  <c r="U4208" i="9"/>
  <c r="V4208" i="9" s="1"/>
  <c r="U4212" i="9"/>
  <c r="V4212" i="9" s="1"/>
  <c r="U4216" i="9"/>
  <c r="V4216" i="9" s="1"/>
  <c r="U4220" i="9"/>
  <c r="V4220" i="9" s="1"/>
  <c r="U4224" i="9"/>
  <c r="V4224" i="9" s="1"/>
  <c r="U4228" i="9"/>
  <c r="V4228" i="9" s="1"/>
  <c r="U4232" i="9"/>
  <c r="V4232" i="9" s="1"/>
  <c r="U4236" i="9"/>
  <c r="V4236" i="9" s="1"/>
  <c r="U4240" i="9"/>
  <c r="V4240" i="9" s="1"/>
  <c r="U4244" i="9"/>
  <c r="V4244" i="9" s="1"/>
  <c r="U4248" i="9"/>
  <c r="V4248" i="9" s="1"/>
  <c r="U4252" i="9"/>
  <c r="V4252" i="9" s="1"/>
  <c r="U4256" i="9"/>
  <c r="V4256" i="9" s="1"/>
  <c r="U4260" i="9"/>
  <c r="V4260" i="9" s="1"/>
  <c r="U4264" i="9"/>
  <c r="V4264" i="9" s="1"/>
  <c r="U4268" i="9"/>
  <c r="V4268" i="9" s="1"/>
  <c r="U4272" i="9"/>
  <c r="V4272" i="9" s="1"/>
  <c r="U4276" i="9"/>
  <c r="V4276" i="9" s="1"/>
  <c r="U4280" i="9"/>
  <c r="V4280" i="9" s="1"/>
  <c r="U4284" i="9"/>
  <c r="V4284" i="9" s="1"/>
  <c r="U4288" i="9"/>
  <c r="V4288" i="9" s="1"/>
  <c r="U4292" i="9"/>
  <c r="V4292" i="9" s="1"/>
  <c r="U4296" i="9"/>
  <c r="V4296" i="9" s="1"/>
  <c r="U4300" i="9"/>
  <c r="V4300" i="9" s="1"/>
  <c r="U4304" i="9"/>
  <c r="V4304" i="9" s="1"/>
  <c r="U4308" i="9"/>
  <c r="V4308" i="9" s="1"/>
  <c r="U4312" i="9"/>
  <c r="V4312" i="9" s="1"/>
  <c r="U4316" i="9"/>
  <c r="V4316" i="9" s="1"/>
  <c r="U4320" i="9"/>
  <c r="V4320" i="9" s="1"/>
  <c r="U4324" i="9"/>
  <c r="V4324" i="9" s="1"/>
  <c r="U4328" i="9"/>
  <c r="V4328" i="9" s="1"/>
  <c r="U4332" i="9"/>
  <c r="V4332" i="9" s="1"/>
  <c r="U4336" i="9"/>
  <c r="V4336" i="9" s="1"/>
  <c r="U4340" i="9"/>
  <c r="V4340" i="9" s="1"/>
  <c r="U4344" i="9"/>
  <c r="V4344" i="9" s="1"/>
  <c r="U4348" i="9"/>
  <c r="V4348" i="9" s="1"/>
  <c r="U4352" i="9"/>
  <c r="V4352" i="9" s="1"/>
  <c r="U4356" i="9"/>
  <c r="V4356" i="9" s="1"/>
  <c r="U4360" i="9"/>
  <c r="V4360" i="9" s="1"/>
  <c r="U4364" i="9"/>
  <c r="V4364" i="9" s="1"/>
  <c r="U4368" i="9"/>
  <c r="V4368" i="9" s="1"/>
  <c r="U4372" i="9"/>
  <c r="V4372" i="9" s="1"/>
  <c r="U4376" i="9"/>
  <c r="V4376" i="9" s="1"/>
  <c r="U4380" i="9"/>
  <c r="V4380" i="9" s="1"/>
  <c r="U4384" i="9"/>
  <c r="V4384" i="9" s="1"/>
  <c r="U4388" i="9"/>
  <c r="V4388" i="9" s="1"/>
  <c r="U4392" i="9"/>
  <c r="V4392" i="9" s="1"/>
  <c r="U4396" i="9"/>
  <c r="V4396" i="9" s="1"/>
  <c r="U4400" i="9"/>
  <c r="V4400" i="9" s="1"/>
  <c r="U4404" i="9"/>
  <c r="V4404" i="9" s="1"/>
  <c r="U4408" i="9"/>
  <c r="V4408" i="9" s="1"/>
  <c r="U4412" i="9"/>
  <c r="V4412" i="9" s="1"/>
  <c r="U4416" i="9"/>
  <c r="V4416" i="9" s="1"/>
  <c r="U4420" i="9"/>
  <c r="V4420" i="9" s="1"/>
  <c r="U4424" i="9"/>
  <c r="V4424" i="9" s="1"/>
  <c r="U4428" i="9"/>
  <c r="V4428" i="9" s="1"/>
  <c r="U4432" i="9"/>
  <c r="V4432" i="9" s="1"/>
  <c r="U4436" i="9"/>
  <c r="V4436" i="9" s="1"/>
  <c r="U4440" i="9"/>
  <c r="V4440" i="9" s="1"/>
  <c r="U4444" i="9"/>
  <c r="V4444" i="9" s="1"/>
  <c r="U4448" i="9"/>
  <c r="V4448" i="9" s="1"/>
  <c r="U4452" i="9"/>
  <c r="V4452" i="9" s="1"/>
  <c r="U4456" i="9"/>
  <c r="V4456" i="9" s="1"/>
  <c r="U4460" i="9"/>
  <c r="V4460" i="9" s="1"/>
  <c r="U4464" i="9"/>
  <c r="V4464" i="9" s="1"/>
  <c r="U4468" i="9"/>
  <c r="V4468" i="9" s="1"/>
  <c r="U4472" i="9"/>
  <c r="V4472" i="9" s="1"/>
  <c r="U4476" i="9"/>
  <c r="V4476" i="9" s="1"/>
  <c r="U4480" i="9"/>
  <c r="V4480" i="9" s="1"/>
  <c r="U4484" i="9"/>
  <c r="V4484" i="9" s="1"/>
  <c r="U4488" i="9"/>
  <c r="V4488" i="9" s="1"/>
  <c r="U4492" i="9"/>
  <c r="V4492" i="9" s="1"/>
  <c r="U4496" i="9"/>
  <c r="V4496" i="9" s="1"/>
  <c r="U4500" i="9"/>
  <c r="V4500" i="9" s="1"/>
  <c r="U4504" i="9"/>
  <c r="V4504" i="9" s="1"/>
  <c r="U4508" i="9"/>
  <c r="V4508" i="9" s="1"/>
  <c r="U4512" i="9"/>
  <c r="V4512" i="9" s="1"/>
  <c r="U4516" i="9"/>
  <c r="V4516" i="9" s="1"/>
  <c r="U4520" i="9"/>
  <c r="V4520" i="9" s="1"/>
  <c r="U4524" i="9"/>
  <c r="V4524" i="9" s="1"/>
  <c r="U4528" i="9"/>
  <c r="V4528" i="9" s="1"/>
  <c r="U4532" i="9"/>
  <c r="V4532" i="9" s="1"/>
  <c r="U4536" i="9"/>
  <c r="V4536" i="9" s="1"/>
  <c r="U4540" i="9"/>
  <c r="V4540" i="9" s="1"/>
  <c r="U4544" i="9"/>
  <c r="V4544" i="9" s="1"/>
  <c r="U4548" i="9"/>
  <c r="V4548" i="9" s="1"/>
  <c r="U4552" i="9"/>
  <c r="V4552" i="9" s="1"/>
  <c r="U4556" i="9"/>
  <c r="V4556" i="9" s="1"/>
  <c r="U4560" i="9"/>
  <c r="V4560" i="9" s="1"/>
  <c r="U4564" i="9"/>
  <c r="V4564" i="9" s="1"/>
  <c r="U4568" i="9"/>
  <c r="V4568" i="9" s="1"/>
  <c r="U4572" i="9"/>
  <c r="V4572" i="9" s="1"/>
  <c r="U4576" i="9"/>
  <c r="V4576" i="9" s="1"/>
  <c r="U4580" i="9"/>
  <c r="V4580" i="9" s="1"/>
  <c r="U4584" i="9"/>
  <c r="V4584" i="9" s="1"/>
  <c r="U4588" i="9"/>
  <c r="V4588" i="9" s="1"/>
  <c r="U4592" i="9"/>
  <c r="V4592" i="9" s="1"/>
  <c r="U4596" i="9"/>
  <c r="V4596" i="9" s="1"/>
  <c r="U4600" i="9"/>
  <c r="V4600" i="9" s="1"/>
  <c r="U4604" i="9"/>
  <c r="V4604" i="9" s="1"/>
  <c r="U4608" i="9"/>
  <c r="V4608" i="9" s="1"/>
  <c r="U4612" i="9"/>
  <c r="V4612" i="9" s="1"/>
  <c r="U4616" i="9"/>
  <c r="V4616" i="9" s="1"/>
  <c r="U4620" i="9"/>
  <c r="V4620" i="9" s="1"/>
  <c r="U4624" i="9"/>
  <c r="V4624" i="9" s="1"/>
  <c r="U4628" i="9"/>
  <c r="V4628" i="9" s="1"/>
  <c r="U4632" i="9"/>
  <c r="V4632" i="9" s="1"/>
  <c r="U4636" i="9"/>
  <c r="V4636" i="9" s="1"/>
  <c r="U4640" i="9"/>
  <c r="V4640" i="9" s="1"/>
  <c r="U4644" i="9"/>
  <c r="V4644" i="9" s="1"/>
  <c r="U4648" i="9"/>
  <c r="V4648" i="9" s="1"/>
  <c r="U4652" i="9"/>
  <c r="V4652" i="9" s="1"/>
  <c r="U4656" i="9"/>
  <c r="V4656" i="9" s="1"/>
  <c r="U4660" i="9"/>
  <c r="V4660" i="9" s="1"/>
  <c r="U4664" i="9"/>
  <c r="V4664" i="9" s="1"/>
  <c r="U4668" i="9"/>
  <c r="V4668" i="9" s="1"/>
  <c r="U4672" i="9"/>
  <c r="V4672" i="9" s="1"/>
  <c r="U4676" i="9"/>
  <c r="V4676" i="9" s="1"/>
  <c r="U4680" i="9"/>
  <c r="V4680" i="9" s="1"/>
  <c r="U4684" i="9"/>
  <c r="V4684" i="9" s="1"/>
  <c r="U4688" i="9"/>
  <c r="V4688" i="9" s="1"/>
  <c r="U4692" i="9"/>
  <c r="V4692" i="9" s="1"/>
  <c r="U4696" i="9"/>
  <c r="V4696" i="9" s="1"/>
  <c r="U4700" i="9"/>
  <c r="V4700" i="9" s="1"/>
  <c r="U4704" i="9"/>
  <c r="V4704" i="9" s="1"/>
  <c r="U4708" i="9"/>
  <c r="V4708" i="9" s="1"/>
  <c r="U4712" i="9"/>
  <c r="V4712" i="9" s="1"/>
  <c r="U4716" i="9"/>
  <c r="V4716" i="9" s="1"/>
  <c r="U4720" i="9"/>
  <c r="V4720" i="9" s="1"/>
  <c r="U4724" i="9"/>
  <c r="V4724" i="9" s="1"/>
  <c r="U4728" i="9"/>
  <c r="V4728" i="9" s="1"/>
  <c r="U4732" i="9"/>
  <c r="V4732" i="9" s="1"/>
  <c r="U4736" i="9"/>
  <c r="V4736" i="9" s="1"/>
  <c r="U4740" i="9"/>
  <c r="V4740" i="9" s="1"/>
  <c r="U4744" i="9"/>
  <c r="V4744" i="9" s="1"/>
  <c r="U4748" i="9"/>
  <c r="V4748" i="9" s="1"/>
  <c r="U4752" i="9"/>
  <c r="V4752" i="9" s="1"/>
  <c r="U4756" i="9"/>
  <c r="V4756" i="9" s="1"/>
  <c r="U4760" i="9"/>
  <c r="V4760" i="9" s="1"/>
  <c r="U4764" i="9"/>
  <c r="V4764" i="9" s="1"/>
  <c r="U4768" i="9"/>
  <c r="V4768" i="9" s="1"/>
  <c r="U4772" i="9"/>
  <c r="V4772" i="9" s="1"/>
  <c r="U4776" i="9"/>
  <c r="V4776" i="9" s="1"/>
  <c r="U4780" i="9"/>
  <c r="V4780" i="9" s="1"/>
  <c r="U4784" i="9"/>
  <c r="V4784" i="9" s="1"/>
  <c r="U4788" i="9"/>
  <c r="V4788" i="9" s="1"/>
  <c r="U4792" i="9"/>
  <c r="V4792" i="9" s="1"/>
  <c r="U4796" i="9"/>
  <c r="V4796" i="9" s="1"/>
  <c r="U4800" i="9"/>
  <c r="V4800" i="9" s="1"/>
  <c r="U4804" i="9"/>
  <c r="V4804" i="9" s="1"/>
  <c r="U4808" i="9"/>
  <c r="V4808" i="9" s="1"/>
  <c r="U4812" i="9"/>
  <c r="V4812" i="9" s="1"/>
  <c r="U4816" i="9"/>
  <c r="V4816" i="9" s="1"/>
  <c r="U4820" i="9"/>
  <c r="V4820" i="9" s="1"/>
  <c r="U4824" i="9"/>
  <c r="V4824" i="9" s="1"/>
  <c r="U4828" i="9"/>
  <c r="V4828" i="9" s="1"/>
  <c r="U4832" i="9"/>
  <c r="V4832" i="9" s="1"/>
  <c r="U4836" i="9"/>
  <c r="V4836" i="9" s="1"/>
  <c r="U4840" i="9"/>
  <c r="V4840" i="9" s="1"/>
  <c r="U4844" i="9"/>
  <c r="V4844" i="9" s="1"/>
  <c r="U4848" i="9"/>
  <c r="V4848" i="9" s="1"/>
  <c r="U4852" i="9"/>
  <c r="V4852" i="9" s="1"/>
  <c r="U4856" i="9"/>
  <c r="V4856" i="9" s="1"/>
  <c r="U4860" i="9"/>
  <c r="V4860" i="9" s="1"/>
  <c r="U4864" i="9"/>
  <c r="V4864" i="9" s="1"/>
  <c r="U4868" i="9"/>
  <c r="V4868" i="9" s="1"/>
  <c r="U4872" i="9"/>
  <c r="V4872" i="9" s="1"/>
  <c r="U4876" i="9"/>
  <c r="V4876" i="9" s="1"/>
  <c r="U4880" i="9"/>
  <c r="V4880" i="9" s="1"/>
  <c r="U4884" i="9"/>
  <c r="V4884" i="9" s="1"/>
  <c r="U4888" i="9"/>
  <c r="V4888" i="9" s="1"/>
  <c r="U4892" i="9"/>
  <c r="V4892" i="9" s="1"/>
  <c r="U4896" i="9"/>
  <c r="V4896" i="9" s="1"/>
  <c r="U4900" i="9"/>
  <c r="V4900" i="9" s="1"/>
  <c r="U4904" i="9"/>
  <c r="V4904" i="9" s="1"/>
  <c r="U4908" i="9"/>
  <c r="V4908" i="9" s="1"/>
  <c r="U4912" i="9"/>
  <c r="V4912" i="9" s="1"/>
  <c r="U4916" i="9"/>
  <c r="V4916" i="9" s="1"/>
  <c r="U4920" i="9"/>
  <c r="V4920" i="9" s="1"/>
  <c r="U4924" i="9"/>
  <c r="V4924" i="9" s="1"/>
  <c r="U4928" i="9"/>
  <c r="V4928" i="9" s="1"/>
  <c r="U4932" i="9"/>
  <c r="V4932" i="9" s="1"/>
  <c r="U4936" i="9"/>
  <c r="V4936" i="9" s="1"/>
  <c r="U4940" i="9"/>
  <c r="V4940" i="9" s="1"/>
  <c r="U4944" i="9"/>
  <c r="V4944" i="9" s="1"/>
  <c r="U4948" i="9"/>
  <c r="V4948" i="9" s="1"/>
  <c r="U4952" i="9"/>
  <c r="V4952" i="9" s="1"/>
  <c r="U4956" i="9"/>
  <c r="V4956" i="9" s="1"/>
  <c r="U4960" i="9"/>
  <c r="V4960" i="9" s="1"/>
  <c r="U4964" i="9"/>
  <c r="V4964" i="9" s="1"/>
  <c r="U4968" i="9"/>
  <c r="V4968" i="9" s="1"/>
  <c r="U4972" i="9"/>
  <c r="V4972" i="9" s="1"/>
  <c r="U4976" i="9"/>
  <c r="V4976" i="9" s="1"/>
  <c r="U4980" i="9"/>
  <c r="V4980" i="9" s="1"/>
  <c r="U4984" i="9"/>
  <c r="V4984" i="9" s="1"/>
  <c r="U4988" i="9"/>
  <c r="V4988" i="9" s="1"/>
  <c r="U4992" i="9"/>
  <c r="V4992" i="9" s="1"/>
  <c r="U4996" i="9"/>
  <c r="V4996" i="9" s="1"/>
  <c r="U5000" i="9"/>
  <c r="V5000" i="9" s="1"/>
  <c r="U5004" i="9"/>
  <c r="V5004" i="9" s="1"/>
  <c r="U5008" i="9"/>
  <c r="V5008" i="9" s="1"/>
  <c r="U5012" i="9"/>
  <c r="V5012" i="9" s="1"/>
  <c r="U5016" i="9"/>
  <c r="V5016" i="9" s="1"/>
  <c r="U5020" i="9"/>
  <c r="V5020" i="9" s="1"/>
  <c r="U5024" i="9"/>
  <c r="V5024" i="9" s="1"/>
  <c r="U5028" i="9"/>
  <c r="V5028" i="9" s="1"/>
  <c r="U5032" i="9"/>
  <c r="V5032" i="9" s="1"/>
  <c r="U5036" i="9"/>
  <c r="V5036" i="9" s="1"/>
  <c r="U5040" i="9"/>
  <c r="V5040" i="9" s="1"/>
  <c r="U5044" i="9"/>
  <c r="V5044" i="9" s="1"/>
  <c r="U5048" i="9"/>
  <c r="V5048" i="9" s="1"/>
  <c r="U5052" i="9"/>
  <c r="V5052" i="9" s="1"/>
  <c r="U5056" i="9"/>
  <c r="V5056" i="9" s="1"/>
  <c r="U5060" i="9"/>
  <c r="V5060" i="9" s="1"/>
  <c r="U5064" i="9"/>
  <c r="V5064" i="9" s="1"/>
  <c r="U5068" i="9"/>
  <c r="V5068" i="9" s="1"/>
  <c r="U875" i="9"/>
  <c r="V875" i="9" s="1"/>
  <c r="U1379" i="9"/>
  <c r="V1379" i="9" s="1"/>
  <c r="U1838" i="9"/>
  <c r="V1838" i="9" s="1"/>
  <c r="U3502" i="9"/>
  <c r="V3502" i="9" s="1"/>
  <c r="U3518" i="9"/>
  <c r="V3518" i="9" s="1"/>
  <c r="U3534" i="9"/>
  <c r="V3534" i="9" s="1"/>
  <c r="U3550" i="9"/>
  <c r="V3550" i="9" s="1"/>
  <c r="U3566" i="9"/>
  <c r="V3566" i="9" s="1"/>
  <c r="U3582" i="9"/>
  <c r="V3582" i="9" s="1"/>
  <c r="U3598" i="9"/>
  <c r="V3598" i="9" s="1"/>
  <c r="U3614" i="9"/>
  <c r="V3614" i="9" s="1"/>
  <c r="U3630" i="9"/>
  <c r="V3630" i="9" s="1"/>
  <c r="U3646" i="9"/>
  <c r="V3646" i="9" s="1"/>
  <c r="U3662" i="9"/>
  <c r="V3662" i="9" s="1"/>
  <c r="U3678" i="9"/>
  <c r="V3678" i="9" s="1"/>
  <c r="U3694" i="9"/>
  <c r="V3694" i="9" s="1"/>
  <c r="U3703" i="9"/>
  <c r="V3703" i="9" s="1"/>
  <c r="U3715" i="9"/>
  <c r="V3715" i="9" s="1"/>
  <c r="U3726" i="9"/>
  <c r="V3726" i="9" s="1"/>
  <c r="U3735" i="9"/>
  <c r="V3735" i="9" s="1"/>
  <c r="U3747" i="9"/>
  <c r="V3747" i="9" s="1"/>
  <c r="U3758" i="9"/>
  <c r="V3758" i="9" s="1"/>
  <c r="U3767" i="9"/>
  <c r="V3767" i="9" s="1"/>
  <c r="U3779" i="9"/>
  <c r="V3779" i="9" s="1"/>
  <c r="U3790" i="9"/>
  <c r="V3790" i="9" s="1"/>
  <c r="U3799" i="9"/>
  <c r="V3799" i="9" s="1"/>
  <c r="U3811" i="9"/>
  <c r="V3811" i="9" s="1"/>
  <c r="U3822" i="9"/>
  <c r="V3822" i="9" s="1"/>
  <c r="U3831" i="9"/>
  <c r="V3831" i="9" s="1"/>
  <c r="U3843" i="9"/>
  <c r="V3843" i="9" s="1"/>
  <c r="U3854" i="9"/>
  <c r="V3854" i="9" s="1"/>
  <c r="U3863" i="9"/>
  <c r="V3863" i="9" s="1"/>
  <c r="U3875" i="9"/>
  <c r="V3875" i="9" s="1"/>
  <c r="U3886" i="9"/>
  <c r="V3886" i="9" s="1"/>
  <c r="U3895" i="9"/>
  <c r="V3895" i="9" s="1"/>
  <c r="U3907" i="9"/>
  <c r="V3907" i="9" s="1"/>
  <c r="U3918" i="9"/>
  <c r="V3918" i="9" s="1"/>
  <c r="U3927" i="9"/>
  <c r="V3927" i="9" s="1"/>
  <c r="U3939" i="9"/>
  <c r="V3939" i="9" s="1"/>
  <c r="U3950" i="9"/>
  <c r="V3950" i="9" s="1"/>
  <c r="U3959" i="9"/>
  <c r="V3959" i="9" s="1"/>
  <c r="U3971" i="9"/>
  <c r="V3971" i="9" s="1"/>
  <c r="U3982" i="9"/>
  <c r="V3982" i="9" s="1"/>
  <c r="U3991" i="9"/>
  <c r="V3991" i="9" s="1"/>
  <c r="U4003" i="9"/>
  <c r="V4003" i="9" s="1"/>
  <c r="U4011" i="9"/>
  <c r="V4011" i="9" s="1"/>
  <c r="U4019" i="9"/>
  <c r="V4019" i="9" s="1"/>
  <c r="U4027" i="9"/>
  <c r="V4027" i="9" s="1"/>
  <c r="U4035" i="9"/>
  <c r="V4035" i="9" s="1"/>
  <c r="U4043" i="9"/>
  <c r="V4043" i="9" s="1"/>
  <c r="U4051" i="9"/>
  <c r="V4051" i="9" s="1"/>
  <c r="U4059" i="9"/>
  <c r="V4059" i="9" s="1"/>
  <c r="U4067" i="9"/>
  <c r="V4067" i="9" s="1"/>
  <c r="U4075" i="9"/>
  <c r="V4075" i="9" s="1"/>
  <c r="U4083" i="9"/>
  <c r="V4083" i="9" s="1"/>
  <c r="U4091" i="9"/>
  <c r="V4091" i="9" s="1"/>
  <c r="U4099" i="9"/>
  <c r="V4099" i="9" s="1"/>
  <c r="U4107" i="9"/>
  <c r="V4107" i="9" s="1"/>
  <c r="U4115" i="9"/>
  <c r="V4115" i="9" s="1"/>
  <c r="U4123" i="9"/>
  <c r="V4123" i="9" s="1"/>
  <c r="U4129" i="9"/>
  <c r="V4129" i="9" s="1"/>
  <c r="U4133" i="9"/>
  <c r="V4133" i="9" s="1"/>
  <c r="U4137" i="9"/>
  <c r="V4137" i="9" s="1"/>
  <c r="U4141" i="9"/>
  <c r="V4141" i="9" s="1"/>
  <c r="U4145" i="9"/>
  <c r="V4145" i="9" s="1"/>
  <c r="U4149" i="9"/>
  <c r="V4149" i="9" s="1"/>
  <c r="U4153" i="9"/>
  <c r="V4153" i="9" s="1"/>
  <c r="U4157" i="9"/>
  <c r="V4157" i="9" s="1"/>
  <c r="U4161" i="9"/>
  <c r="V4161" i="9" s="1"/>
  <c r="U4165" i="9"/>
  <c r="V4165" i="9" s="1"/>
  <c r="U4169" i="9"/>
  <c r="V4169" i="9" s="1"/>
  <c r="U4173" i="9"/>
  <c r="V4173" i="9" s="1"/>
  <c r="U4177" i="9"/>
  <c r="V4177" i="9" s="1"/>
  <c r="U4181" i="9"/>
  <c r="V4181" i="9" s="1"/>
  <c r="U4185" i="9"/>
  <c r="V4185" i="9" s="1"/>
  <c r="U4189" i="9"/>
  <c r="V4189" i="9" s="1"/>
  <c r="U4193" i="9"/>
  <c r="V4193" i="9" s="1"/>
  <c r="U4197" i="9"/>
  <c r="V4197" i="9" s="1"/>
  <c r="U4201" i="9"/>
  <c r="V4201" i="9" s="1"/>
  <c r="U4205" i="9"/>
  <c r="V4205" i="9" s="1"/>
  <c r="U4209" i="9"/>
  <c r="V4209" i="9" s="1"/>
  <c r="U4213" i="9"/>
  <c r="V4213" i="9" s="1"/>
  <c r="U4217" i="9"/>
  <c r="V4217" i="9" s="1"/>
  <c r="U4221" i="9"/>
  <c r="V4221" i="9" s="1"/>
  <c r="U4225" i="9"/>
  <c r="V4225" i="9" s="1"/>
  <c r="U4229" i="9"/>
  <c r="V4229" i="9" s="1"/>
  <c r="U4233" i="9"/>
  <c r="V4233" i="9" s="1"/>
  <c r="U4237" i="9"/>
  <c r="V4237" i="9" s="1"/>
  <c r="U4241" i="9"/>
  <c r="V4241" i="9" s="1"/>
  <c r="U4245" i="9"/>
  <c r="V4245" i="9" s="1"/>
  <c r="U4249" i="9"/>
  <c r="V4249" i="9" s="1"/>
  <c r="U4253" i="9"/>
  <c r="V4253" i="9" s="1"/>
  <c r="U4257" i="9"/>
  <c r="V4257" i="9" s="1"/>
  <c r="U4261" i="9"/>
  <c r="V4261" i="9" s="1"/>
  <c r="U4265" i="9"/>
  <c r="V4265" i="9" s="1"/>
  <c r="U4269" i="9"/>
  <c r="V4269" i="9" s="1"/>
  <c r="U4273" i="9"/>
  <c r="V4273" i="9" s="1"/>
  <c r="U4277" i="9"/>
  <c r="V4277" i="9" s="1"/>
  <c r="U4281" i="9"/>
  <c r="V4281" i="9" s="1"/>
  <c r="U4285" i="9"/>
  <c r="V4285" i="9" s="1"/>
  <c r="U4289" i="9"/>
  <c r="V4289" i="9" s="1"/>
  <c r="U4293" i="9"/>
  <c r="V4293" i="9" s="1"/>
  <c r="U4297" i="9"/>
  <c r="V4297" i="9" s="1"/>
  <c r="U4301" i="9"/>
  <c r="V4301" i="9" s="1"/>
  <c r="U4305" i="9"/>
  <c r="V4305" i="9" s="1"/>
  <c r="U4309" i="9"/>
  <c r="V4309" i="9" s="1"/>
  <c r="U4313" i="9"/>
  <c r="V4313" i="9" s="1"/>
  <c r="U4317" i="9"/>
  <c r="V4317" i="9" s="1"/>
  <c r="U4321" i="9"/>
  <c r="V4321" i="9" s="1"/>
  <c r="U4325" i="9"/>
  <c r="V4325" i="9" s="1"/>
  <c r="U4329" i="9"/>
  <c r="V4329" i="9" s="1"/>
  <c r="U4333" i="9"/>
  <c r="V4333" i="9" s="1"/>
  <c r="U4337" i="9"/>
  <c r="V4337" i="9" s="1"/>
  <c r="U4341" i="9"/>
  <c r="V4341" i="9" s="1"/>
  <c r="U4345" i="9"/>
  <c r="V4345" i="9" s="1"/>
  <c r="U4349" i="9"/>
  <c r="V4349" i="9" s="1"/>
  <c r="U4353" i="9"/>
  <c r="V4353" i="9" s="1"/>
  <c r="U4357" i="9"/>
  <c r="V4357" i="9" s="1"/>
  <c r="U4361" i="9"/>
  <c r="V4361" i="9" s="1"/>
  <c r="U4365" i="9"/>
  <c r="V4365" i="9" s="1"/>
  <c r="U4369" i="9"/>
  <c r="V4369" i="9" s="1"/>
  <c r="U4373" i="9"/>
  <c r="V4373" i="9" s="1"/>
  <c r="U4377" i="9"/>
  <c r="V4377" i="9" s="1"/>
  <c r="U4381" i="9"/>
  <c r="V4381" i="9" s="1"/>
  <c r="U4385" i="9"/>
  <c r="V4385" i="9" s="1"/>
  <c r="U4389" i="9"/>
  <c r="V4389" i="9" s="1"/>
  <c r="U4393" i="9"/>
  <c r="V4393" i="9" s="1"/>
  <c r="U4397" i="9"/>
  <c r="V4397" i="9" s="1"/>
  <c r="U4401" i="9"/>
  <c r="V4401" i="9" s="1"/>
  <c r="U4405" i="9"/>
  <c r="V4405" i="9" s="1"/>
  <c r="U4409" i="9"/>
  <c r="V4409" i="9" s="1"/>
  <c r="U4413" i="9"/>
  <c r="V4413" i="9" s="1"/>
  <c r="U4417" i="9"/>
  <c r="V4417" i="9" s="1"/>
  <c r="U4421" i="9"/>
  <c r="V4421" i="9" s="1"/>
  <c r="U4425" i="9"/>
  <c r="V4425" i="9" s="1"/>
  <c r="U4429" i="9"/>
  <c r="V4429" i="9" s="1"/>
  <c r="U4433" i="9"/>
  <c r="V4433" i="9" s="1"/>
  <c r="U4437" i="9"/>
  <c r="V4437" i="9" s="1"/>
  <c r="U4441" i="9"/>
  <c r="V4441" i="9" s="1"/>
  <c r="U4445" i="9"/>
  <c r="V4445" i="9" s="1"/>
  <c r="U4449" i="9"/>
  <c r="V4449" i="9" s="1"/>
  <c r="U4453" i="9"/>
  <c r="V4453" i="9" s="1"/>
  <c r="U4457" i="9"/>
  <c r="V4457" i="9" s="1"/>
  <c r="U4461" i="9"/>
  <c r="V4461" i="9" s="1"/>
  <c r="U4465" i="9"/>
  <c r="V4465" i="9" s="1"/>
  <c r="U4469" i="9"/>
  <c r="V4469" i="9" s="1"/>
  <c r="U4473" i="9"/>
  <c r="V4473" i="9" s="1"/>
  <c r="U4477" i="9"/>
  <c r="V4477" i="9" s="1"/>
  <c r="U4481" i="9"/>
  <c r="V4481" i="9" s="1"/>
  <c r="U4485" i="9"/>
  <c r="V4485" i="9" s="1"/>
  <c r="U4489" i="9"/>
  <c r="V4489" i="9" s="1"/>
  <c r="U4493" i="9"/>
  <c r="V4493" i="9" s="1"/>
  <c r="U4497" i="9"/>
  <c r="V4497" i="9" s="1"/>
  <c r="U4501" i="9"/>
  <c r="V4501" i="9" s="1"/>
  <c r="U4505" i="9"/>
  <c r="V4505" i="9" s="1"/>
  <c r="U4509" i="9"/>
  <c r="V4509" i="9" s="1"/>
  <c r="U4513" i="9"/>
  <c r="V4513" i="9" s="1"/>
  <c r="U4517" i="9"/>
  <c r="V4517" i="9" s="1"/>
  <c r="U4521" i="9"/>
  <c r="V4521" i="9" s="1"/>
  <c r="U4525" i="9"/>
  <c r="V4525" i="9" s="1"/>
  <c r="U4529" i="9"/>
  <c r="V4529" i="9" s="1"/>
  <c r="U4533" i="9"/>
  <c r="V4533" i="9" s="1"/>
  <c r="U4537" i="9"/>
  <c r="V4537" i="9" s="1"/>
  <c r="U4541" i="9"/>
  <c r="V4541" i="9" s="1"/>
  <c r="U4545" i="9"/>
  <c r="V4545" i="9" s="1"/>
  <c r="U4549" i="9"/>
  <c r="V4549" i="9" s="1"/>
  <c r="U4553" i="9"/>
  <c r="V4553" i="9" s="1"/>
  <c r="U4557" i="9"/>
  <c r="V4557" i="9" s="1"/>
  <c r="U4561" i="9"/>
  <c r="V4561" i="9" s="1"/>
  <c r="U4565" i="9"/>
  <c r="V4565" i="9" s="1"/>
  <c r="U4569" i="9"/>
  <c r="V4569" i="9" s="1"/>
  <c r="U4573" i="9"/>
  <c r="V4573" i="9" s="1"/>
  <c r="U4577" i="9"/>
  <c r="V4577" i="9" s="1"/>
  <c r="U4581" i="9"/>
  <c r="V4581" i="9" s="1"/>
  <c r="U4585" i="9"/>
  <c r="V4585" i="9" s="1"/>
  <c r="U4589" i="9"/>
  <c r="V4589" i="9" s="1"/>
  <c r="U4593" i="9"/>
  <c r="V4593" i="9" s="1"/>
  <c r="U4597" i="9"/>
  <c r="V4597" i="9" s="1"/>
  <c r="U4601" i="9"/>
  <c r="V4601" i="9" s="1"/>
  <c r="U4605" i="9"/>
  <c r="V4605" i="9" s="1"/>
  <c r="U4609" i="9"/>
  <c r="V4609" i="9" s="1"/>
  <c r="U4613" i="9"/>
  <c r="V4613" i="9" s="1"/>
  <c r="U4617" i="9"/>
  <c r="V4617" i="9" s="1"/>
  <c r="U4621" i="9"/>
  <c r="V4621" i="9" s="1"/>
  <c r="U4625" i="9"/>
  <c r="V4625" i="9" s="1"/>
  <c r="U4629" i="9"/>
  <c r="V4629" i="9" s="1"/>
  <c r="U4633" i="9"/>
  <c r="V4633" i="9" s="1"/>
  <c r="U4637" i="9"/>
  <c r="V4637" i="9" s="1"/>
  <c r="U4641" i="9"/>
  <c r="V4641" i="9" s="1"/>
  <c r="U4645" i="9"/>
  <c r="V4645" i="9" s="1"/>
  <c r="U4649" i="9"/>
  <c r="V4649" i="9" s="1"/>
  <c r="U4653" i="9"/>
  <c r="V4653" i="9" s="1"/>
  <c r="U4657" i="9"/>
  <c r="V4657" i="9" s="1"/>
  <c r="U4661" i="9"/>
  <c r="V4661" i="9" s="1"/>
  <c r="U4665" i="9"/>
  <c r="V4665" i="9" s="1"/>
  <c r="U4669" i="9"/>
  <c r="V4669" i="9" s="1"/>
  <c r="U4673" i="9"/>
  <c r="V4673" i="9" s="1"/>
  <c r="U4677" i="9"/>
  <c r="V4677" i="9" s="1"/>
  <c r="U4681" i="9"/>
  <c r="V4681" i="9" s="1"/>
  <c r="U4685" i="9"/>
  <c r="V4685" i="9" s="1"/>
  <c r="U4689" i="9"/>
  <c r="V4689" i="9" s="1"/>
  <c r="U4693" i="9"/>
  <c r="V4693" i="9" s="1"/>
  <c r="U4697" i="9"/>
  <c r="V4697" i="9" s="1"/>
  <c r="U4701" i="9"/>
  <c r="V4701" i="9" s="1"/>
  <c r="U4705" i="9"/>
  <c r="V4705" i="9" s="1"/>
  <c r="U4709" i="9"/>
  <c r="V4709" i="9" s="1"/>
  <c r="U4713" i="9"/>
  <c r="V4713" i="9" s="1"/>
  <c r="U4717" i="9"/>
  <c r="V4717" i="9" s="1"/>
  <c r="U4721" i="9"/>
  <c r="V4721" i="9" s="1"/>
  <c r="U4725" i="9"/>
  <c r="V4725" i="9" s="1"/>
  <c r="U4729" i="9"/>
  <c r="V4729" i="9" s="1"/>
  <c r="U4733" i="9"/>
  <c r="V4733" i="9" s="1"/>
  <c r="U4737" i="9"/>
  <c r="V4737" i="9" s="1"/>
  <c r="U4741" i="9"/>
  <c r="V4741" i="9" s="1"/>
  <c r="U4745" i="9"/>
  <c r="V4745" i="9" s="1"/>
  <c r="U4749" i="9"/>
  <c r="V4749" i="9" s="1"/>
  <c r="U4753" i="9"/>
  <c r="V4753" i="9" s="1"/>
  <c r="U4757" i="9"/>
  <c r="V4757" i="9" s="1"/>
  <c r="U4761" i="9"/>
  <c r="V4761" i="9" s="1"/>
  <c r="U4765" i="9"/>
  <c r="V4765" i="9" s="1"/>
  <c r="U4769" i="9"/>
  <c r="V4769" i="9" s="1"/>
  <c r="U4773" i="9"/>
  <c r="V4773" i="9" s="1"/>
  <c r="U4777" i="9"/>
  <c r="V4777" i="9" s="1"/>
  <c r="U4781" i="9"/>
  <c r="V4781" i="9" s="1"/>
  <c r="U4785" i="9"/>
  <c r="V4785" i="9" s="1"/>
  <c r="U4789" i="9"/>
  <c r="V4789" i="9" s="1"/>
  <c r="U4793" i="9"/>
  <c r="V4793" i="9" s="1"/>
  <c r="U4797" i="9"/>
  <c r="V4797" i="9" s="1"/>
  <c r="U4801" i="9"/>
  <c r="V4801" i="9" s="1"/>
  <c r="U4805" i="9"/>
  <c r="V4805" i="9" s="1"/>
  <c r="U4809" i="9"/>
  <c r="V4809" i="9" s="1"/>
  <c r="U4813" i="9"/>
  <c r="V4813" i="9" s="1"/>
  <c r="U4817" i="9"/>
  <c r="V4817" i="9" s="1"/>
  <c r="U4821" i="9"/>
  <c r="V4821" i="9" s="1"/>
  <c r="U4825" i="9"/>
  <c r="V4825" i="9" s="1"/>
  <c r="U4829" i="9"/>
  <c r="V4829" i="9" s="1"/>
  <c r="U4833" i="9"/>
  <c r="V4833" i="9" s="1"/>
  <c r="U4837" i="9"/>
  <c r="V4837" i="9" s="1"/>
  <c r="U4841" i="9"/>
  <c r="V4841" i="9" s="1"/>
  <c r="U1004" i="9"/>
  <c r="V1004" i="9" s="1"/>
  <c r="U1443" i="9"/>
  <c r="V1443" i="9" s="1"/>
  <c r="U1710" i="9"/>
  <c r="V1710" i="9" s="1"/>
  <c r="U1881" i="9"/>
  <c r="V1881" i="9" s="1"/>
  <c r="U3507" i="9"/>
  <c r="V3507" i="9" s="1"/>
  <c r="U3523" i="9"/>
  <c r="V3523" i="9" s="1"/>
  <c r="U3539" i="9"/>
  <c r="V3539" i="9" s="1"/>
  <c r="U3555" i="9"/>
  <c r="V3555" i="9" s="1"/>
  <c r="U3571" i="9"/>
  <c r="V3571" i="9" s="1"/>
  <c r="U3587" i="9"/>
  <c r="V3587" i="9" s="1"/>
  <c r="U3603" i="9"/>
  <c r="V3603" i="9" s="1"/>
  <c r="U3619" i="9"/>
  <c r="V3619" i="9" s="1"/>
  <c r="U3635" i="9"/>
  <c r="V3635" i="9" s="1"/>
  <c r="U3651" i="9"/>
  <c r="V3651" i="9" s="1"/>
  <c r="U3667" i="9"/>
  <c r="V3667" i="9" s="1"/>
  <c r="U3683" i="9"/>
  <c r="V3683" i="9" s="1"/>
  <c r="U3695" i="9"/>
  <c r="V3695" i="9" s="1"/>
  <c r="U3707" i="9"/>
  <c r="V3707" i="9" s="1"/>
  <c r="U3718" i="9"/>
  <c r="V3718" i="9" s="1"/>
  <c r="U3727" i="9"/>
  <c r="V3727" i="9" s="1"/>
  <c r="U3739" i="9"/>
  <c r="V3739" i="9" s="1"/>
  <c r="U3750" i="9"/>
  <c r="V3750" i="9" s="1"/>
  <c r="U3759" i="9"/>
  <c r="V3759" i="9" s="1"/>
  <c r="U3771" i="9"/>
  <c r="V3771" i="9" s="1"/>
  <c r="U3782" i="9"/>
  <c r="V3782" i="9" s="1"/>
  <c r="U3791" i="9"/>
  <c r="V3791" i="9" s="1"/>
  <c r="U3803" i="9"/>
  <c r="V3803" i="9" s="1"/>
  <c r="U3814" i="9"/>
  <c r="V3814" i="9" s="1"/>
  <c r="U3823" i="9"/>
  <c r="V3823" i="9" s="1"/>
  <c r="U3835" i="9"/>
  <c r="V3835" i="9" s="1"/>
  <c r="U3846" i="9"/>
  <c r="V3846" i="9" s="1"/>
  <c r="U3855" i="9"/>
  <c r="V3855" i="9" s="1"/>
  <c r="U3867" i="9"/>
  <c r="V3867" i="9" s="1"/>
  <c r="U3878" i="9"/>
  <c r="V3878" i="9" s="1"/>
  <c r="U3887" i="9"/>
  <c r="V3887" i="9" s="1"/>
  <c r="U3899" i="9"/>
  <c r="V3899" i="9" s="1"/>
  <c r="U3910" i="9"/>
  <c r="V3910" i="9" s="1"/>
  <c r="U3919" i="9"/>
  <c r="V3919" i="9" s="1"/>
  <c r="U3931" i="9"/>
  <c r="V3931" i="9" s="1"/>
  <c r="U3942" i="9"/>
  <c r="V3942" i="9" s="1"/>
  <c r="U3951" i="9"/>
  <c r="V3951" i="9" s="1"/>
  <c r="U3963" i="9"/>
  <c r="V3963" i="9" s="1"/>
  <c r="U3974" i="9"/>
  <c r="V3974" i="9" s="1"/>
  <c r="U3983" i="9"/>
  <c r="V3983" i="9" s="1"/>
  <c r="U3995" i="9"/>
  <c r="V3995" i="9" s="1"/>
  <c r="U4006" i="9"/>
  <c r="V4006" i="9" s="1"/>
  <c r="U4014" i="9"/>
  <c r="V4014" i="9" s="1"/>
  <c r="U4022" i="9"/>
  <c r="V4022" i="9" s="1"/>
  <c r="U4030" i="9"/>
  <c r="V4030" i="9" s="1"/>
  <c r="U4038" i="9"/>
  <c r="V4038" i="9" s="1"/>
  <c r="U4046" i="9"/>
  <c r="V4046" i="9" s="1"/>
  <c r="U4054" i="9"/>
  <c r="V4054" i="9" s="1"/>
  <c r="U4062" i="9"/>
  <c r="V4062" i="9" s="1"/>
  <c r="U4070" i="9"/>
  <c r="V4070" i="9" s="1"/>
  <c r="U4078" i="9"/>
  <c r="V4078" i="9" s="1"/>
  <c r="U4086" i="9"/>
  <c r="V4086" i="9" s="1"/>
  <c r="U4094" i="9"/>
  <c r="V4094" i="9" s="1"/>
  <c r="U4102" i="9"/>
  <c r="V4102" i="9" s="1"/>
  <c r="U4110" i="9"/>
  <c r="V4110" i="9" s="1"/>
  <c r="U4118" i="9"/>
  <c r="V4118" i="9" s="1"/>
  <c r="U4126" i="9"/>
  <c r="V4126" i="9" s="1"/>
  <c r="U4130" i="9"/>
  <c r="V4130" i="9" s="1"/>
  <c r="U4134" i="9"/>
  <c r="V4134" i="9" s="1"/>
  <c r="U4138" i="9"/>
  <c r="V4138" i="9" s="1"/>
  <c r="U4142" i="9"/>
  <c r="V4142" i="9" s="1"/>
  <c r="U4146" i="9"/>
  <c r="V4146" i="9" s="1"/>
  <c r="U4150" i="9"/>
  <c r="V4150" i="9" s="1"/>
  <c r="U4154" i="9"/>
  <c r="V4154" i="9" s="1"/>
  <c r="U4158" i="9"/>
  <c r="V4158" i="9" s="1"/>
  <c r="U4162" i="9"/>
  <c r="V4162" i="9" s="1"/>
  <c r="U4166" i="9"/>
  <c r="V4166" i="9" s="1"/>
  <c r="U4170" i="9"/>
  <c r="V4170" i="9" s="1"/>
  <c r="U4174" i="9"/>
  <c r="V4174" i="9" s="1"/>
  <c r="U4178" i="9"/>
  <c r="V4178" i="9" s="1"/>
  <c r="U4182" i="9"/>
  <c r="V4182" i="9" s="1"/>
  <c r="U4186" i="9"/>
  <c r="V4186" i="9" s="1"/>
  <c r="U4190" i="9"/>
  <c r="V4190" i="9" s="1"/>
  <c r="U4194" i="9"/>
  <c r="V4194" i="9" s="1"/>
  <c r="U4198" i="9"/>
  <c r="V4198" i="9" s="1"/>
  <c r="U4202" i="9"/>
  <c r="V4202" i="9" s="1"/>
  <c r="U4206" i="9"/>
  <c r="V4206" i="9" s="1"/>
  <c r="U4210" i="9"/>
  <c r="V4210" i="9" s="1"/>
  <c r="U4214" i="9"/>
  <c r="V4214" i="9" s="1"/>
  <c r="U4218" i="9"/>
  <c r="V4218" i="9" s="1"/>
  <c r="U4222" i="9"/>
  <c r="V4222" i="9" s="1"/>
  <c r="U4226" i="9"/>
  <c r="V4226" i="9" s="1"/>
  <c r="U4230" i="9"/>
  <c r="V4230" i="9" s="1"/>
  <c r="U4234" i="9"/>
  <c r="V4234" i="9" s="1"/>
  <c r="U4238" i="9"/>
  <c r="V4238" i="9" s="1"/>
  <c r="U4242" i="9"/>
  <c r="V4242" i="9" s="1"/>
  <c r="U4246" i="9"/>
  <c r="V4246" i="9" s="1"/>
  <c r="U4250" i="9"/>
  <c r="V4250" i="9" s="1"/>
  <c r="U4254" i="9"/>
  <c r="V4254" i="9" s="1"/>
  <c r="U4258" i="9"/>
  <c r="V4258" i="9" s="1"/>
  <c r="U4262" i="9"/>
  <c r="V4262" i="9" s="1"/>
  <c r="U4266" i="9"/>
  <c r="V4266" i="9" s="1"/>
  <c r="U4270" i="9"/>
  <c r="V4270" i="9" s="1"/>
  <c r="U4274" i="9"/>
  <c r="V4274" i="9" s="1"/>
  <c r="U4278" i="9"/>
  <c r="V4278" i="9" s="1"/>
  <c r="U4282" i="9"/>
  <c r="V4282" i="9" s="1"/>
  <c r="U4286" i="9"/>
  <c r="V4286" i="9" s="1"/>
  <c r="U4290" i="9"/>
  <c r="V4290" i="9" s="1"/>
  <c r="U4294" i="9"/>
  <c r="V4294" i="9" s="1"/>
  <c r="U4298" i="9"/>
  <c r="V4298" i="9" s="1"/>
  <c r="U4302" i="9"/>
  <c r="V4302" i="9" s="1"/>
  <c r="U4306" i="9"/>
  <c r="V4306" i="9" s="1"/>
  <c r="U4310" i="9"/>
  <c r="V4310" i="9" s="1"/>
  <c r="U4314" i="9"/>
  <c r="V4314" i="9" s="1"/>
  <c r="U4318" i="9"/>
  <c r="V4318" i="9" s="1"/>
  <c r="U4322" i="9"/>
  <c r="V4322" i="9" s="1"/>
  <c r="U4326" i="9"/>
  <c r="V4326" i="9" s="1"/>
  <c r="U4330" i="9"/>
  <c r="V4330" i="9" s="1"/>
  <c r="U4334" i="9"/>
  <c r="V4334" i="9" s="1"/>
  <c r="U4338" i="9"/>
  <c r="V4338" i="9" s="1"/>
  <c r="U4342" i="9"/>
  <c r="V4342" i="9" s="1"/>
  <c r="U4346" i="9"/>
  <c r="V4346" i="9" s="1"/>
  <c r="U4350" i="9"/>
  <c r="V4350" i="9" s="1"/>
  <c r="U4354" i="9"/>
  <c r="V4354" i="9" s="1"/>
  <c r="U4358" i="9"/>
  <c r="V4358" i="9" s="1"/>
  <c r="U4362" i="9"/>
  <c r="V4362" i="9" s="1"/>
  <c r="U4366" i="9"/>
  <c r="V4366" i="9" s="1"/>
  <c r="U4370" i="9"/>
  <c r="V4370" i="9" s="1"/>
  <c r="U4374" i="9"/>
  <c r="V4374" i="9" s="1"/>
  <c r="U4378" i="9"/>
  <c r="V4378" i="9" s="1"/>
  <c r="U4382" i="9"/>
  <c r="V4382" i="9" s="1"/>
  <c r="U4386" i="9"/>
  <c r="V4386" i="9" s="1"/>
  <c r="U4390" i="9"/>
  <c r="V4390" i="9" s="1"/>
  <c r="U4394" i="9"/>
  <c r="V4394" i="9" s="1"/>
  <c r="U4398" i="9"/>
  <c r="V4398" i="9" s="1"/>
  <c r="U4402" i="9"/>
  <c r="V4402" i="9" s="1"/>
  <c r="U4406" i="9"/>
  <c r="V4406" i="9" s="1"/>
  <c r="U4410" i="9"/>
  <c r="V4410" i="9" s="1"/>
  <c r="U4414" i="9"/>
  <c r="V4414" i="9" s="1"/>
  <c r="U4418" i="9"/>
  <c r="V4418" i="9" s="1"/>
  <c r="U4422" i="9"/>
  <c r="V4422" i="9" s="1"/>
  <c r="U4426" i="9"/>
  <c r="V4426" i="9" s="1"/>
  <c r="U4430" i="9"/>
  <c r="V4430" i="9" s="1"/>
  <c r="U4434" i="9"/>
  <c r="V4434" i="9" s="1"/>
  <c r="U4438" i="9"/>
  <c r="V4438" i="9" s="1"/>
  <c r="U4442" i="9"/>
  <c r="V4442" i="9" s="1"/>
  <c r="U4446" i="9"/>
  <c r="V4446" i="9" s="1"/>
  <c r="U4450" i="9"/>
  <c r="V4450" i="9" s="1"/>
  <c r="U4454" i="9"/>
  <c r="V4454" i="9" s="1"/>
  <c r="U4458" i="9"/>
  <c r="V4458" i="9" s="1"/>
  <c r="U4462" i="9"/>
  <c r="V4462" i="9" s="1"/>
  <c r="U4466" i="9"/>
  <c r="V4466" i="9" s="1"/>
  <c r="U4470" i="9"/>
  <c r="V4470" i="9" s="1"/>
  <c r="U4474" i="9"/>
  <c r="V4474" i="9" s="1"/>
  <c r="U4478" i="9"/>
  <c r="V4478" i="9" s="1"/>
  <c r="U4482" i="9"/>
  <c r="V4482" i="9" s="1"/>
  <c r="U4486" i="9"/>
  <c r="V4486" i="9" s="1"/>
  <c r="U4490" i="9"/>
  <c r="V4490" i="9" s="1"/>
  <c r="U4494" i="9"/>
  <c r="V4494" i="9" s="1"/>
  <c r="U4498" i="9"/>
  <c r="V4498" i="9" s="1"/>
  <c r="U4502" i="9"/>
  <c r="V4502" i="9" s="1"/>
  <c r="U4506" i="9"/>
  <c r="V4506" i="9" s="1"/>
  <c r="U4510" i="9"/>
  <c r="V4510" i="9" s="1"/>
  <c r="U4514" i="9"/>
  <c r="V4514" i="9" s="1"/>
  <c r="U4518" i="9"/>
  <c r="V4518" i="9" s="1"/>
  <c r="U4522" i="9"/>
  <c r="V4522" i="9" s="1"/>
  <c r="U4526" i="9"/>
  <c r="V4526" i="9" s="1"/>
  <c r="U4530" i="9"/>
  <c r="V4530" i="9" s="1"/>
  <c r="U4534" i="9"/>
  <c r="V4534" i="9" s="1"/>
  <c r="U4538" i="9"/>
  <c r="V4538" i="9" s="1"/>
  <c r="U4542" i="9"/>
  <c r="V4542" i="9" s="1"/>
  <c r="U4546" i="9"/>
  <c r="V4546" i="9" s="1"/>
  <c r="U4550" i="9"/>
  <c r="V4550" i="9" s="1"/>
  <c r="U4554" i="9"/>
  <c r="V4554" i="9" s="1"/>
  <c r="U4558" i="9"/>
  <c r="V4558" i="9" s="1"/>
  <c r="U4562" i="9"/>
  <c r="V4562" i="9" s="1"/>
  <c r="U4566" i="9"/>
  <c r="V4566" i="9" s="1"/>
  <c r="U4570" i="9"/>
  <c r="V4570" i="9" s="1"/>
  <c r="U4574" i="9"/>
  <c r="V4574" i="9" s="1"/>
  <c r="U4578" i="9"/>
  <c r="V4578" i="9" s="1"/>
  <c r="U4582" i="9"/>
  <c r="V4582" i="9" s="1"/>
  <c r="U4586" i="9"/>
  <c r="V4586" i="9" s="1"/>
  <c r="U4590" i="9"/>
  <c r="V4590" i="9" s="1"/>
  <c r="U4594" i="9"/>
  <c r="V4594" i="9" s="1"/>
  <c r="U4598" i="9"/>
  <c r="V4598" i="9" s="1"/>
  <c r="U4602" i="9"/>
  <c r="V4602" i="9" s="1"/>
  <c r="U4606" i="9"/>
  <c r="V4606" i="9" s="1"/>
  <c r="U4610" i="9"/>
  <c r="V4610" i="9" s="1"/>
  <c r="U4614" i="9"/>
  <c r="V4614" i="9" s="1"/>
  <c r="U4618" i="9"/>
  <c r="V4618" i="9" s="1"/>
  <c r="U4622" i="9"/>
  <c r="V4622" i="9" s="1"/>
  <c r="U4626" i="9"/>
  <c r="V4626" i="9" s="1"/>
  <c r="U4630" i="9"/>
  <c r="V4630" i="9" s="1"/>
  <c r="U4634" i="9"/>
  <c r="V4634" i="9" s="1"/>
  <c r="U4638" i="9"/>
  <c r="V4638" i="9" s="1"/>
  <c r="U4642" i="9"/>
  <c r="V4642" i="9" s="1"/>
  <c r="U4646" i="9"/>
  <c r="V4646" i="9" s="1"/>
  <c r="U4650" i="9"/>
  <c r="V4650" i="9" s="1"/>
  <c r="U4654" i="9"/>
  <c r="V4654" i="9" s="1"/>
  <c r="U4658" i="9"/>
  <c r="V4658" i="9" s="1"/>
  <c r="U4662" i="9"/>
  <c r="V4662" i="9" s="1"/>
  <c r="U4666" i="9"/>
  <c r="V4666" i="9" s="1"/>
  <c r="U4670" i="9"/>
  <c r="V4670" i="9" s="1"/>
  <c r="U4674" i="9"/>
  <c r="V4674" i="9" s="1"/>
  <c r="U4678" i="9"/>
  <c r="V4678" i="9" s="1"/>
  <c r="U4682" i="9"/>
  <c r="V4682" i="9" s="1"/>
  <c r="U4686" i="9"/>
  <c r="V4686" i="9" s="1"/>
  <c r="U4690" i="9"/>
  <c r="V4690" i="9" s="1"/>
  <c r="U4694" i="9"/>
  <c r="V4694" i="9" s="1"/>
  <c r="U4698" i="9"/>
  <c r="V4698" i="9" s="1"/>
  <c r="U4702" i="9"/>
  <c r="V4702" i="9" s="1"/>
  <c r="U4706" i="9"/>
  <c r="V4706" i="9" s="1"/>
  <c r="U4710" i="9"/>
  <c r="V4710" i="9" s="1"/>
  <c r="U4714" i="9"/>
  <c r="V4714" i="9" s="1"/>
  <c r="U4718" i="9"/>
  <c r="V4718" i="9" s="1"/>
  <c r="U4722" i="9"/>
  <c r="V4722" i="9" s="1"/>
  <c r="U4726" i="9"/>
  <c r="V4726" i="9" s="1"/>
  <c r="U4730" i="9"/>
  <c r="V4730" i="9" s="1"/>
  <c r="U4734" i="9"/>
  <c r="V4734" i="9" s="1"/>
  <c r="U4738" i="9"/>
  <c r="V4738" i="9" s="1"/>
  <c r="U4742" i="9"/>
  <c r="V4742" i="9" s="1"/>
  <c r="U4746" i="9"/>
  <c r="V4746" i="9" s="1"/>
  <c r="U4750" i="9"/>
  <c r="V4750" i="9" s="1"/>
  <c r="U4754" i="9"/>
  <c r="V4754" i="9" s="1"/>
  <c r="U4758" i="9"/>
  <c r="V4758" i="9" s="1"/>
  <c r="U4762" i="9"/>
  <c r="V4762" i="9" s="1"/>
  <c r="U4766" i="9"/>
  <c r="V4766" i="9" s="1"/>
  <c r="U4770" i="9"/>
  <c r="V4770" i="9" s="1"/>
  <c r="U4774" i="9"/>
  <c r="V4774" i="9" s="1"/>
  <c r="U4778" i="9"/>
  <c r="V4778" i="9" s="1"/>
  <c r="U4782" i="9"/>
  <c r="V4782" i="9" s="1"/>
  <c r="U4786" i="9"/>
  <c r="V4786" i="9" s="1"/>
  <c r="U4790" i="9"/>
  <c r="V4790" i="9" s="1"/>
  <c r="U4794" i="9"/>
  <c r="V4794" i="9" s="1"/>
  <c r="U4798" i="9"/>
  <c r="V4798" i="9" s="1"/>
  <c r="U4802" i="9"/>
  <c r="V4802" i="9" s="1"/>
  <c r="U4806" i="9"/>
  <c r="V4806" i="9" s="1"/>
  <c r="U4810" i="9"/>
  <c r="V4810" i="9" s="1"/>
  <c r="U4814" i="9"/>
  <c r="V4814" i="9" s="1"/>
  <c r="U4818" i="9"/>
  <c r="V4818" i="9" s="1"/>
  <c r="U4822" i="9"/>
  <c r="V4822" i="9" s="1"/>
  <c r="U4826" i="9"/>
  <c r="V4826" i="9" s="1"/>
  <c r="U4830" i="9"/>
  <c r="V4830" i="9" s="1"/>
  <c r="U4834" i="9"/>
  <c r="V4834" i="9" s="1"/>
  <c r="U4838" i="9"/>
  <c r="V4838" i="9" s="1"/>
  <c r="U4842" i="9"/>
  <c r="V4842" i="9" s="1"/>
  <c r="U4846" i="9"/>
  <c r="V4846" i="9" s="1"/>
  <c r="U4850" i="9"/>
  <c r="V4850" i="9" s="1"/>
  <c r="U4854" i="9"/>
  <c r="V4854" i="9" s="1"/>
  <c r="U4858" i="9"/>
  <c r="V4858" i="9" s="1"/>
  <c r="U4862" i="9"/>
  <c r="V4862" i="9" s="1"/>
  <c r="U4866" i="9"/>
  <c r="V4866" i="9" s="1"/>
  <c r="U4870" i="9"/>
  <c r="V4870" i="9" s="1"/>
  <c r="U4874" i="9"/>
  <c r="V4874" i="9" s="1"/>
  <c r="U4878" i="9"/>
  <c r="V4878" i="9" s="1"/>
  <c r="U4882" i="9"/>
  <c r="V4882" i="9" s="1"/>
  <c r="U4886" i="9"/>
  <c r="V4886" i="9" s="1"/>
  <c r="U4890" i="9"/>
  <c r="V4890" i="9" s="1"/>
  <c r="U4894" i="9"/>
  <c r="V4894" i="9" s="1"/>
  <c r="U4898" i="9"/>
  <c r="V4898" i="9" s="1"/>
  <c r="U4902" i="9"/>
  <c r="V4902" i="9" s="1"/>
  <c r="U4906" i="9"/>
  <c r="V4906" i="9" s="1"/>
  <c r="U4910" i="9"/>
  <c r="V4910" i="9" s="1"/>
  <c r="U4914" i="9"/>
  <c r="V4914" i="9" s="1"/>
  <c r="U4918" i="9"/>
  <c r="V4918" i="9" s="1"/>
  <c r="U4922" i="9"/>
  <c r="V4922" i="9" s="1"/>
  <c r="U4926" i="9"/>
  <c r="V4926" i="9" s="1"/>
  <c r="U4930" i="9"/>
  <c r="V4930" i="9" s="1"/>
  <c r="U4934" i="9"/>
  <c r="V4934" i="9" s="1"/>
  <c r="U4938" i="9"/>
  <c r="V4938" i="9" s="1"/>
  <c r="U4942" i="9"/>
  <c r="V4942" i="9" s="1"/>
  <c r="U4946" i="9"/>
  <c r="V4946" i="9" s="1"/>
  <c r="U4950" i="9"/>
  <c r="V4950" i="9" s="1"/>
  <c r="U4954" i="9"/>
  <c r="V4954" i="9" s="1"/>
  <c r="U4958" i="9"/>
  <c r="V4958" i="9" s="1"/>
  <c r="U4962" i="9"/>
  <c r="V4962" i="9" s="1"/>
  <c r="U4966" i="9"/>
  <c r="V4966" i="9" s="1"/>
  <c r="U4970" i="9"/>
  <c r="V4970" i="9" s="1"/>
  <c r="U4974" i="9"/>
  <c r="V4974" i="9" s="1"/>
  <c r="U4978" i="9"/>
  <c r="V4978" i="9" s="1"/>
  <c r="U4982" i="9"/>
  <c r="V4982" i="9" s="1"/>
  <c r="U4986" i="9"/>
  <c r="V4986" i="9" s="1"/>
  <c r="U4990" i="9"/>
  <c r="V4990" i="9" s="1"/>
  <c r="U4994" i="9"/>
  <c r="V4994" i="9" s="1"/>
  <c r="U4998" i="9"/>
  <c r="V4998" i="9" s="1"/>
  <c r="U5002" i="9"/>
  <c r="V5002" i="9" s="1"/>
  <c r="U5006" i="9"/>
  <c r="V5006" i="9" s="1"/>
  <c r="U5010" i="9"/>
  <c r="V5010" i="9" s="1"/>
  <c r="U5014" i="9"/>
  <c r="V5014" i="9" s="1"/>
  <c r="U5018" i="9"/>
  <c r="V5018" i="9" s="1"/>
  <c r="U5022" i="9"/>
  <c r="V5022" i="9" s="1"/>
  <c r="U5026" i="9"/>
  <c r="V5026" i="9" s="1"/>
  <c r="U5030" i="9"/>
  <c r="V5030" i="9" s="1"/>
  <c r="U5034" i="9"/>
  <c r="V5034" i="9" s="1"/>
  <c r="U5038" i="9"/>
  <c r="V5038" i="9" s="1"/>
  <c r="U5042" i="9"/>
  <c r="V5042" i="9" s="1"/>
  <c r="U5046" i="9"/>
  <c r="V5046" i="9" s="1"/>
  <c r="U5050" i="9"/>
  <c r="V5050" i="9" s="1"/>
  <c r="U5054" i="9"/>
  <c r="V5054" i="9" s="1"/>
  <c r="U5058" i="9"/>
  <c r="V5058" i="9" s="1"/>
  <c r="U5062" i="9"/>
  <c r="V5062" i="9" s="1"/>
  <c r="U5066" i="9"/>
  <c r="V5066" i="9" s="1"/>
  <c r="U5070" i="9"/>
  <c r="V5070" i="9" s="1"/>
  <c r="U1146" i="9"/>
  <c r="V1146" i="9" s="1"/>
  <c r="U3542" i="9"/>
  <c r="V3542" i="9" s="1"/>
  <c r="U3606" i="9"/>
  <c r="V3606" i="9" s="1"/>
  <c r="U3670" i="9"/>
  <c r="V3670" i="9" s="1"/>
  <c r="U3719" i="9"/>
  <c r="V3719" i="9" s="1"/>
  <c r="U3763" i="9"/>
  <c r="V3763" i="9" s="1"/>
  <c r="U3806" i="9"/>
  <c r="V3806" i="9" s="1"/>
  <c r="U3847" i="9"/>
  <c r="V3847" i="9" s="1"/>
  <c r="U3891" i="9"/>
  <c r="V3891" i="9" s="1"/>
  <c r="U3934" i="9"/>
  <c r="V3934" i="9" s="1"/>
  <c r="U3975" i="9"/>
  <c r="V3975" i="9" s="1"/>
  <c r="U4015" i="9"/>
  <c r="V4015" i="9" s="1"/>
  <c r="U4047" i="9"/>
  <c r="V4047" i="9" s="1"/>
  <c r="U4079" i="9"/>
  <c r="V4079" i="9" s="1"/>
  <c r="U4111" i="9"/>
  <c r="V4111" i="9" s="1"/>
  <c r="U4135" i="9"/>
  <c r="V4135" i="9" s="1"/>
  <c r="U4151" i="9"/>
  <c r="V4151" i="9" s="1"/>
  <c r="U4167" i="9"/>
  <c r="V4167" i="9" s="1"/>
  <c r="U4183" i="9"/>
  <c r="V4183" i="9" s="1"/>
  <c r="U4199" i="9"/>
  <c r="V4199" i="9" s="1"/>
  <c r="U4215" i="9"/>
  <c r="V4215" i="9" s="1"/>
  <c r="U4231" i="9"/>
  <c r="V4231" i="9" s="1"/>
  <c r="U4247" i="9"/>
  <c r="V4247" i="9" s="1"/>
  <c r="U4263" i="9"/>
  <c r="V4263" i="9" s="1"/>
  <c r="U4279" i="9"/>
  <c r="V4279" i="9" s="1"/>
  <c r="U4295" i="9"/>
  <c r="V4295" i="9" s="1"/>
  <c r="U4311" i="9"/>
  <c r="V4311" i="9" s="1"/>
  <c r="U4327" i="9"/>
  <c r="V4327" i="9" s="1"/>
  <c r="U4343" i="9"/>
  <c r="V4343" i="9" s="1"/>
  <c r="U4359" i="9"/>
  <c r="V4359" i="9" s="1"/>
  <c r="U4375" i="9"/>
  <c r="V4375" i="9" s="1"/>
  <c r="U4391" i="9"/>
  <c r="V4391" i="9" s="1"/>
  <c r="U4407" i="9"/>
  <c r="V4407" i="9" s="1"/>
  <c r="U4423" i="9"/>
  <c r="V4423" i="9" s="1"/>
  <c r="U4439" i="9"/>
  <c r="V4439" i="9" s="1"/>
  <c r="U4455" i="9"/>
  <c r="V4455" i="9" s="1"/>
  <c r="U4471" i="9"/>
  <c r="V4471" i="9" s="1"/>
  <c r="U4487" i="9"/>
  <c r="V4487" i="9" s="1"/>
  <c r="U4503" i="9"/>
  <c r="V4503" i="9" s="1"/>
  <c r="U4519" i="9"/>
  <c r="V4519" i="9" s="1"/>
  <c r="U4535" i="9"/>
  <c r="V4535" i="9" s="1"/>
  <c r="U4551" i="9"/>
  <c r="V4551" i="9" s="1"/>
  <c r="U4567" i="9"/>
  <c r="V4567" i="9" s="1"/>
  <c r="U4583" i="9"/>
  <c r="V4583" i="9" s="1"/>
  <c r="U4599" i="9"/>
  <c r="V4599" i="9" s="1"/>
  <c r="U4615" i="9"/>
  <c r="V4615" i="9" s="1"/>
  <c r="U4631" i="9"/>
  <c r="V4631" i="9" s="1"/>
  <c r="U4647" i="9"/>
  <c r="V4647" i="9" s="1"/>
  <c r="U4663" i="9"/>
  <c r="V4663" i="9" s="1"/>
  <c r="U4679" i="9"/>
  <c r="V4679" i="9" s="1"/>
  <c r="U4695" i="9"/>
  <c r="V4695" i="9" s="1"/>
  <c r="U4711" i="9"/>
  <c r="V4711" i="9" s="1"/>
  <c r="U4727" i="9"/>
  <c r="V4727" i="9" s="1"/>
  <c r="U4743" i="9"/>
  <c r="V4743" i="9" s="1"/>
  <c r="U4759" i="9"/>
  <c r="V4759" i="9" s="1"/>
  <c r="U4775" i="9"/>
  <c r="V4775" i="9" s="1"/>
  <c r="U4791" i="9"/>
  <c r="V4791" i="9" s="1"/>
  <c r="U4807" i="9"/>
  <c r="V4807" i="9" s="1"/>
  <c r="U4823" i="9"/>
  <c r="V4823" i="9" s="1"/>
  <c r="U4839" i="9"/>
  <c r="V4839" i="9" s="1"/>
  <c r="U4849" i="9"/>
  <c r="V4849" i="9" s="1"/>
  <c r="U4857" i="9"/>
  <c r="V4857" i="9" s="1"/>
  <c r="U4865" i="9"/>
  <c r="V4865" i="9" s="1"/>
  <c r="U4873" i="9"/>
  <c r="V4873" i="9" s="1"/>
  <c r="U4881" i="9"/>
  <c r="V4881" i="9" s="1"/>
  <c r="U4889" i="9"/>
  <c r="V4889" i="9" s="1"/>
  <c r="U4897" i="9"/>
  <c r="V4897" i="9" s="1"/>
  <c r="U4905" i="9"/>
  <c r="V4905" i="9" s="1"/>
  <c r="U4913" i="9"/>
  <c r="V4913" i="9" s="1"/>
  <c r="U4921" i="9"/>
  <c r="V4921" i="9" s="1"/>
  <c r="U4929" i="9"/>
  <c r="V4929" i="9" s="1"/>
  <c r="U4937" i="9"/>
  <c r="V4937" i="9" s="1"/>
  <c r="U4945" i="9"/>
  <c r="V4945" i="9" s="1"/>
  <c r="U4953" i="9"/>
  <c r="V4953" i="9" s="1"/>
  <c r="U4961" i="9"/>
  <c r="V4961" i="9" s="1"/>
  <c r="U4969" i="9"/>
  <c r="V4969" i="9" s="1"/>
  <c r="U4977" i="9"/>
  <c r="V4977" i="9" s="1"/>
  <c r="U4985" i="9"/>
  <c r="V4985" i="9" s="1"/>
  <c r="U4993" i="9"/>
  <c r="V4993" i="9" s="1"/>
  <c r="U5001" i="9"/>
  <c r="V5001" i="9" s="1"/>
  <c r="U5009" i="9"/>
  <c r="V5009" i="9" s="1"/>
  <c r="U5017" i="9"/>
  <c r="V5017" i="9" s="1"/>
  <c r="U5025" i="9"/>
  <c r="V5025" i="9" s="1"/>
  <c r="U5033" i="9"/>
  <c r="V5033" i="9" s="1"/>
  <c r="U5041" i="9"/>
  <c r="V5041" i="9" s="1"/>
  <c r="U5049" i="9"/>
  <c r="V5049" i="9" s="1"/>
  <c r="U5057" i="9"/>
  <c r="V5057" i="9" s="1"/>
  <c r="U5065" i="9"/>
  <c r="V5065" i="9" s="1"/>
  <c r="U1507" i="9"/>
  <c r="V1507" i="9" s="1"/>
  <c r="U3486" i="9"/>
  <c r="V3486" i="9" s="1"/>
  <c r="U3558" i="9"/>
  <c r="V3558" i="9" s="1"/>
  <c r="U3622" i="9"/>
  <c r="V3622" i="9" s="1"/>
  <c r="U3686" i="9"/>
  <c r="V3686" i="9" s="1"/>
  <c r="U3731" i="9"/>
  <c r="V3731" i="9" s="1"/>
  <c r="U3774" i="9"/>
  <c r="V3774" i="9" s="1"/>
  <c r="U3815" i="9"/>
  <c r="V3815" i="9" s="1"/>
  <c r="U3859" i="9"/>
  <c r="V3859" i="9" s="1"/>
  <c r="U3902" i="9"/>
  <c r="V3902" i="9" s="1"/>
  <c r="U3943" i="9"/>
  <c r="V3943" i="9" s="1"/>
  <c r="U3987" i="9"/>
  <c r="V3987" i="9" s="1"/>
  <c r="U4023" i="9"/>
  <c r="V4023" i="9" s="1"/>
  <c r="U4055" i="9"/>
  <c r="V4055" i="9" s="1"/>
  <c r="U4087" i="9"/>
  <c r="V4087" i="9" s="1"/>
  <c r="U4119" i="9"/>
  <c r="V4119" i="9" s="1"/>
  <c r="U4139" i="9"/>
  <c r="V4139" i="9" s="1"/>
  <c r="U4155" i="9"/>
  <c r="V4155" i="9" s="1"/>
  <c r="U4171" i="9"/>
  <c r="V4171" i="9" s="1"/>
  <c r="U4187" i="9"/>
  <c r="V4187" i="9" s="1"/>
  <c r="U4203" i="9"/>
  <c r="V4203" i="9" s="1"/>
  <c r="U4219" i="9"/>
  <c r="V4219" i="9" s="1"/>
  <c r="U4235" i="9"/>
  <c r="V4235" i="9" s="1"/>
  <c r="U4251" i="9"/>
  <c r="V4251" i="9" s="1"/>
  <c r="U4267" i="9"/>
  <c r="V4267" i="9" s="1"/>
  <c r="U4283" i="9"/>
  <c r="V4283" i="9" s="1"/>
  <c r="U4299" i="9"/>
  <c r="V4299" i="9" s="1"/>
  <c r="U4315" i="9"/>
  <c r="V4315" i="9" s="1"/>
  <c r="U4331" i="9"/>
  <c r="V4331" i="9" s="1"/>
  <c r="U4347" i="9"/>
  <c r="V4347" i="9" s="1"/>
  <c r="U4363" i="9"/>
  <c r="V4363" i="9" s="1"/>
  <c r="U4379" i="9"/>
  <c r="V4379" i="9" s="1"/>
  <c r="U4395" i="9"/>
  <c r="V4395" i="9" s="1"/>
  <c r="U4411" i="9"/>
  <c r="V4411" i="9" s="1"/>
  <c r="U4427" i="9"/>
  <c r="V4427" i="9" s="1"/>
  <c r="U4443" i="9"/>
  <c r="V4443" i="9" s="1"/>
  <c r="U4459" i="9"/>
  <c r="V4459" i="9" s="1"/>
  <c r="U4475" i="9"/>
  <c r="V4475" i="9" s="1"/>
  <c r="U4491" i="9"/>
  <c r="V4491" i="9" s="1"/>
  <c r="U4507" i="9"/>
  <c r="V4507" i="9" s="1"/>
  <c r="U4523" i="9"/>
  <c r="V4523" i="9" s="1"/>
  <c r="U4539" i="9"/>
  <c r="V4539" i="9" s="1"/>
  <c r="U4555" i="9"/>
  <c r="V4555" i="9" s="1"/>
  <c r="U4571" i="9"/>
  <c r="V4571" i="9" s="1"/>
  <c r="U4587" i="9"/>
  <c r="V4587" i="9" s="1"/>
  <c r="U4603" i="9"/>
  <c r="V4603" i="9" s="1"/>
  <c r="U4619" i="9"/>
  <c r="V4619" i="9" s="1"/>
  <c r="U4635" i="9"/>
  <c r="V4635" i="9" s="1"/>
  <c r="U4651" i="9"/>
  <c r="V4651" i="9" s="1"/>
  <c r="U4667" i="9"/>
  <c r="V4667" i="9" s="1"/>
  <c r="U4683" i="9"/>
  <c r="V4683" i="9" s="1"/>
  <c r="U4699" i="9"/>
  <c r="V4699" i="9" s="1"/>
  <c r="U4715" i="9"/>
  <c r="V4715" i="9" s="1"/>
  <c r="U4731" i="9"/>
  <c r="V4731" i="9" s="1"/>
  <c r="U4747" i="9"/>
  <c r="V4747" i="9" s="1"/>
  <c r="U4763" i="9"/>
  <c r="V4763" i="9" s="1"/>
  <c r="U4779" i="9"/>
  <c r="V4779" i="9" s="1"/>
  <c r="U4795" i="9"/>
  <c r="V4795" i="9" s="1"/>
  <c r="U4811" i="9"/>
  <c r="V4811" i="9" s="1"/>
  <c r="U4827" i="9"/>
  <c r="V4827" i="9" s="1"/>
  <c r="U4843" i="9"/>
  <c r="V4843" i="9" s="1"/>
  <c r="U4851" i="9"/>
  <c r="V4851" i="9" s="1"/>
  <c r="U4859" i="9"/>
  <c r="V4859" i="9" s="1"/>
  <c r="U4867" i="9"/>
  <c r="V4867" i="9" s="1"/>
  <c r="U4875" i="9"/>
  <c r="V4875" i="9" s="1"/>
  <c r="U4883" i="9"/>
  <c r="V4883" i="9" s="1"/>
  <c r="U4891" i="9"/>
  <c r="V4891" i="9" s="1"/>
  <c r="U4899" i="9"/>
  <c r="V4899" i="9" s="1"/>
  <c r="U4907" i="9"/>
  <c r="V4907" i="9" s="1"/>
  <c r="U4915" i="9"/>
  <c r="V4915" i="9" s="1"/>
  <c r="U4923" i="9"/>
  <c r="V4923" i="9" s="1"/>
  <c r="U4931" i="9"/>
  <c r="V4931" i="9" s="1"/>
  <c r="U4939" i="9"/>
  <c r="V4939" i="9" s="1"/>
  <c r="U4947" i="9"/>
  <c r="V4947" i="9" s="1"/>
  <c r="U4955" i="9"/>
  <c r="V4955" i="9" s="1"/>
  <c r="U4963" i="9"/>
  <c r="V4963" i="9" s="1"/>
  <c r="U4971" i="9"/>
  <c r="V4971" i="9" s="1"/>
  <c r="U4979" i="9"/>
  <c r="V4979" i="9" s="1"/>
  <c r="U4987" i="9"/>
  <c r="V4987" i="9" s="1"/>
  <c r="U4995" i="9"/>
  <c r="V4995" i="9" s="1"/>
  <c r="U5003" i="9"/>
  <c r="V5003" i="9" s="1"/>
  <c r="U5011" i="9"/>
  <c r="V5011" i="9" s="1"/>
  <c r="U5019" i="9"/>
  <c r="V5019" i="9" s="1"/>
  <c r="U5027" i="9"/>
  <c r="V5027" i="9" s="1"/>
  <c r="U5035" i="9"/>
  <c r="V5035" i="9" s="1"/>
  <c r="U5043" i="9"/>
  <c r="V5043" i="9" s="1"/>
  <c r="U5051" i="9"/>
  <c r="V5051" i="9" s="1"/>
  <c r="U5059" i="9"/>
  <c r="V5059" i="9" s="1"/>
  <c r="U5067" i="9"/>
  <c r="V5067" i="9" s="1"/>
  <c r="U1753" i="9"/>
  <c r="V1753" i="9" s="1"/>
  <c r="U3510" i="9"/>
  <c r="V3510" i="9" s="1"/>
  <c r="U3574" i="9"/>
  <c r="V3574" i="9" s="1"/>
  <c r="U3638" i="9"/>
  <c r="V3638" i="9" s="1"/>
  <c r="U3699" i="9"/>
  <c r="V3699" i="9" s="1"/>
  <c r="U3742" i="9"/>
  <c r="V3742" i="9" s="1"/>
  <c r="U3783" i="9"/>
  <c r="V3783" i="9" s="1"/>
  <c r="U3827" i="9"/>
  <c r="V3827" i="9" s="1"/>
  <c r="U3870" i="9"/>
  <c r="V3870" i="9" s="1"/>
  <c r="U3911" i="9"/>
  <c r="V3911" i="9" s="1"/>
  <c r="U3955" i="9"/>
  <c r="V3955" i="9" s="1"/>
  <c r="U3998" i="9"/>
  <c r="V3998" i="9" s="1"/>
  <c r="U4031" i="9"/>
  <c r="V4031" i="9" s="1"/>
  <c r="U4063" i="9"/>
  <c r="V4063" i="9" s="1"/>
  <c r="U4095" i="9"/>
  <c r="V4095" i="9" s="1"/>
  <c r="U4127" i="9"/>
  <c r="V4127" i="9" s="1"/>
  <c r="U4143" i="9"/>
  <c r="V4143" i="9" s="1"/>
  <c r="U4159" i="9"/>
  <c r="V4159" i="9" s="1"/>
  <c r="U4175" i="9"/>
  <c r="V4175" i="9" s="1"/>
  <c r="U4191" i="9"/>
  <c r="V4191" i="9" s="1"/>
  <c r="U4207" i="9"/>
  <c r="V4207" i="9" s="1"/>
  <c r="U4223" i="9"/>
  <c r="V4223" i="9" s="1"/>
  <c r="U4239" i="9"/>
  <c r="V4239" i="9" s="1"/>
  <c r="U4255" i="9"/>
  <c r="V4255" i="9" s="1"/>
  <c r="U4271" i="9"/>
  <c r="V4271" i="9" s="1"/>
  <c r="U4287" i="9"/>
  <c r="V4287" i="9" s="1"/>
  <c r="U4303" i="9"/>
  <c r="V4303" i="9" s="1"/>
  <c r="U4319" i="9"/>
  <c r="V4319" i="9" s="1"/>
  <c r="U4335" i="9"/>
  <c r="V4335" i="9" s="1"/>
  <c r="U4351" i="9"/>
  <c r="V4351" i="9" s="1"/>
  <c r="U4367" i="9"/>
  <c r="V4367" i="9" s="1"/>
  <c r="U4383" i="9"/>
  <c r="V4383" i="9" s="1"/>
  <c r="U4399" i="9"/>
  <c r="V4399" i="9" s="1"/>
  <c r="U4415" i="9"/>
  <c r="V4415" i="9" s="1"/>
  <c r="U4431" i="9"/>
  <c r="V4431" i="9" s="1"/>
  <c r="U4447" i="9"/>
  <c r="V4447" i="9" s="1"/>
  <c r="U4463" i="9"/>
  <c r="V4463" i="9" s="1"/>
  <c r="U4479" i="9"/>
  <c r="V4479" i="9" s="1"/>
  <c r="U4495" i="9"/>
  <c r="V4495" i="9" s="1"/>
  <c r="U4511" i="9"/>
  <c r="V4511" i="9" s="1"/>
  <c r="U4527" i="9"/>
  <c r="V4527" i="9" s="1"/>
  <c r="U4543" i="9"/>
  <c r="V4543" i="9" s="1"/>
  <c r="U4559" i="9"/>
  <c r="V4559" i="9" s="1"/>
  <c r="U4575" i="9"/>
  <c r="V4575" i="9" s="1"/>
  <c r="U4591" i="9"/>
  <c r="V4591" i="9" s="1"/>
  <c r="U4607" i="9"/>
  <c r="V4607" i="9" s="1"/>
  <c r="U4623" i="9"/>
  <c r="V4623" i="9" s="1"/>
  <c r="U4639" i="9"/>
  <c r="V4639" i="9" s="1"/>
  <c r="U4655" i="9"/>
  <c r="V4655" i="9" s="1"/>
  <c r="U4671" i="9"/>
  <c r="V4671" i="9" s="1"/>
  <c r="U4687" i="9"/>
  <c r="V4687" i="9" s="1"/>
  <c r="U4703" i="9"/>
  <c r="V4703" i="9" s="1"/>
  <c r="U4719" i="9"/>
  <c r="V4719" i="9" s="1"/>
  <c r="U4735" i="9"/>
  <c r="V4735" i="9" s="1"/>
  <c r="U4751" i="9"/>
  <c r="V4751" i="9" s="1"/>
  <c r="U4767" i="9"/>
  <c r="V4767" i="9" s="1"/>
  <c r="U4783" i="9"/>
  <c r="V4783" i="9" s="1"/>
  <c r="U4799" i="9"/>
  <c r="V4799" i="9" s="1"/>
  <c r="U4815" i="9"/>
  <c r="V4815" i="9" s="1"/>
  <c r="U4831" i="9"/>
  <c r="V4831" i="9" s="1"/>
  <c r="U4845" i="9"/>
  <c r="V4845" i="9" s="1"/>
  <c r="U4853" i="9"/>
  <c r="V4853" i="9" s="1"/>
  <c r="U4861" i="9"/>
  <c r="V4861" i="9" s="1"/>
  <c r="U4869" i="9"/>
  <c r="V4869" i="9" s="1"/>
  <c r="U4877" i="9"/>
  <c r="V4877" i="9" s="1"/>
  <c r="U4885" i="9"/>
  <c r="V4885" i="9" s="1"/>
  <c r="U4893" i="9"/>
  <c r="V4893" i="9" s="1"/>
  <c r="U4901" i="9"/>
  <c r="V4901" i="9" s="1"/>
  <c r="U4909" i="9"/>
  <c r="V4909" i="9" s="1"/>
  <c r="U4917" i="9"/>
  <c r="V4917" i="9" s="1"/>
  <c r="U4925" i="9"/>
  <c r="V4925" i="9" s="1"/>
  <c r="U4933" i="9"/>
  <c r="V4933" i="9" s="1"/>
  <c r="U4941" i="9"/>
  <c r="V4941" i="9" s="1"/>
  <c r="U4949" i="9"/>
  <c r="V4949" i="9" s="1"/>
  <c r="U4957" i="9"/>
  <c r="V4957" i="9" s="1"/>
  <c r="U4965" i="9"/>
  <c r="V4965" i="9" s="1"/>
  <c r="U4973" i="9"/>
  <c r="V4973" i="9" s="1"/>
  <c r="U4981" i="9"/>
  <c r="V4981" i="9" s="1"/>
  <c r="U4989" i="9"/>
  <c r="V4989" i="9" s="1"/>
  <c r="U4997" i="9"/>
  <c r="V4997" i="9" s="1"/>
  <c r="U5005" i="9"/>
  <c r="V5005" i="9" s="1"/>
  <c r="U5013" i="9"/>
  <c r="V5013" i="9" s="1"/>
  <c r="U5021" i="9"/>
  <c r="V5021" i="9" s="1"/>
  <c r="U5029" i="9"/>
  <c r="V5029" i="9" s="1"/>
  <c r="U5037" i="9"/>
  <c r="V5037" i="9" s="1"/>
  <c r="U5045" i="9"/>
  <c r="V5045" i="9" s="1"/>
  <c r="U5053" i="9"/>
  <c r="V5053" i="9" s="1"/>
  <c r="U5061" i="9"/>
  <c r="V5061" i="9" s="1"/>
  <c r="U5069" i="9"/>
  <c r="V5069" i="9" s="1"/>
  <c r="U1923" i="9"/>
  <c r="V1923" i="9" s="1"/>
  <c r="U3654" i="9"/>
  <c r="V3654" i="9" s="1"/>
  <c r="U3838" i="9"/>
  <c r="V3838" i="9" s="1"/>
  <c r="U4007" i="9"/>
  <c r="V4007" i="9" s="1"/>
  <c r="U4131" i="9"/>
  <c r="V4131" i="9" s="1"/>
  <c r="U4195" i="9"/>
  <c r="V4195" i="9" s="1"/>
  <c r="U4259" i="9"/>
  <c r="V4259" i="9" s="1"/>
  <c r="U4323" i="9"/>
  <c r="V4323" i="9" s="1"/>
  <c r="U4387" i="9"/>
  <c r="V4387" i="9" s="1"/>
  <c r="U4451" i="9"/>
  <c r="V4451" i="9" s="1"/>
  <c r="U4515" i="9"/>
  <c r="V4515" i="9" s="1"/>
  <c r="U4579" i="9"/>
  <c r="V4579" i="9" s="1"/>
  <c r="U4643" i="9"/>
  <c r="V4643" i="9" s="1"/>
  <c r="U4707" i="9"/>
  <c r="V4707" i="9" s="1"/>
  <c r="U4771" i="9"/>
  <c r="V4771" i="9" s="1"/>
  <c r="U4835" i="9"/>
  <c r="V4835" i="9" s="1"/>
  <c r="U4871" i="9"/>
  <c r="V4871" i="9" s="1"/>
  <c r="U4903" i="9"/>
  <c r="V4903" i="9" s="1"/>
  <c r="U4935" i="9"/>
  <c r="V4935" i="9" s="1"/>
  <c r="U4967" i="9"/>
  <c r="V4967" i="9" s="1"/>
  <c r="U4999" i="9"/>
  <c r="V4999" i="9" s="1"/>
  <c r="U5031" i="9"/>
  <c r="V5031" i="9" s="1"/>
  <c r="U5063" i="9"/>
  <c r="V5063" i="9" s="1"/>
  <c r="U3710" i="9"/>
  <c r="V3710" i="9" s="1"/>
  <c r="U3879" i="9"/>
  <c r="V3879" i="9" s="1"/>
  <c r="U4039" i="9"/>
  <c r="V4039" i="9" s="1"/>
  <c r="U4147" i="9"/>
  <c r="V4147" i="9" s="1"/>
  <c r="U4211" i="9"/>
  <c r="V4211" i="9" s="1"/>
  <c r="U4275" i="9"/>
  <c r="V4275" i="9" s="1"/>
  <c r="U4339" i="9"/>
  <c r="V4339" i="9" s="1"/>
  <c r="U4403" i="9"/>
  <c r="V4403" i="9" s="1"/>
  <c r="U4467" i="9"/>
  <c r="V4467" i="9" s="1"/>
  <c r="U4531" i="9"/>
  <c r="V4531" i="9" s="1"/>
  <c r="U4595" i="9"/>
  <c r="V4595" i="9" s="1"/>
  <c r="U4659" i="9"/>
  <c r="V4659" i="9" s="1"/>
  <c r="U4723" i="9"/>
  <c r="V4723" i="9" s="1"/>
  <c r="U4787" i="9"/>
  <c r="V4787" i="9" s="1"/>
  <c r="U4847" i="9"/>
  <c r="V4847" i="9" s="1"/>
  <c r="U4879" i="9"/>
  <c r="V4879" i="9" s="1"/>
  <c r="U4911" i="9"/>
  <c r="V4911" i="9" s="1"/>
  <c r="U4943" i="9"/>
  <c r="V4943" i="9" s="1"/>
  <c r="U4975" i="9"/>
  <c r="V4975" i="9" s="1"/>
  <c r="U5007" i="9"/>
  <c r="V5007" i="9" s="1"/>
  <c r="U5039" i="9"/>
  <c r="V5039" i="9" s="1"/>
  <c r="U5071" i="9"/>
  <c r="V5071" i="9" s="1"/>
  <c r="U3526" i="9"/>
  <c r="V3526" i="9" s="1"/>
  <c r="U3751" i="9"/>
  <c r="V3751" i="9" s="1"/>
  <c r="U3923" i="9"/>
  <c r="V3923" i="9" s="1"/>
  <c r="U4071" i="9"/>
  <c r="V4071" i="9" s="1"/>
  <c r="U4163" i="9"/>
  <c r="V4163" i="9" s="1"/>
  <c r="U4227" i="9"/>
  <c r="V4227" i="9" s="1"/>
  <c r="U4291" i="9"/>
  <c r="V4291" i="9" s="1"/>
  <c r="U4355" i="9"/>
  <c r="V4355" i="9" s="1"/>
  <c r="U4419" i="9"/>
  <c r="V4419" i="9" s="1"/>
  <c r="U4483" i="9"/>
  <c r="V4483" i="9" s="1"/>
  <c r="U4547" i="9"/>
  <c r="V4547" i="9" s="1"/>
  <c r="U4611" i="9"/>
  <c r="V4611" i="9" s="1"/>
  <c r="U4675" i="9"/>
  <c r="V4675" i="9" s="1"/>
  <c r="U4739" i="9"/>
  <c r="V4739" i="9" s="1"/>
  <c r="U4803" i="9"/>
  <c r="V4803" i="9" s="1"/>
  <c r="U4855" i="9"/>
  <c r="V4855" i="9" s="1"/>
  <c r="U4887" i="9"/>
  <c r="V4887" i="9" s="1"/>
  <c r="U4919" i="9"/>
  <c r="V4919" i="9" s="1"/>
  <c r="U4951" i="9"/>
  <c r="V4951" i="9" s="1"/>
  <c r="U4983" i="9"/>
  <c r="V4983" i="9" s="1"/>
  <c r="U5015" i="9"/>
  <c r="V5015" i="9" s="1"/>
  <c r="U5047" i="9"/>
  <c r="V5047" i="9" s="1"/>
  <c r="U3966" i="9"/>
  <c r="V3966" i="9" s="1"/>
  <c r="U4307" i="9"/>
  <c r="V4307" i="9" s="1"/>
  <c r="U4563" i="9"/>
  <c r="V4563" i="9" s="1"/>
  <c r="U4819" i="9"/>
  <c r="V4819" i="9" s="1"/>
  <c r="U4959" i="9"/>
  <c r="V4959" i="9" s="1"/>
  <c r="U3795" i="9"/>
  <c r="V3795" i="9" s="1"/>
  <c r="U4499" i="9"/>
  <c r="V4499" i="9" s="1"/>
  <c r="U5055" i="9"/>
  <c r="V5055" i="9" s="1"/>
  <c r="U4103" i="9"/>
  <c r="V4103" i="9" s="1"/>
  <c r="U4371" i="9"/>
  <c r="V4371" i="9" s="1"/>
  <c r="U4627" i="9"/>
  <c r="V4627" i="9" s="1"/>
  <c r="U4863" i="9"/>
  <c r="V4863" i="9" s="1"/>
  <c r="U4991" i="9"/>
  <c r="V4991" i="9" s="1"/>
  <c r="U3590" i="9"/>
  <c r="V3590" i="9" s="1"/>
  <c r="U4179" i="9"/>
  <c r="V4179" i="9" s="1"/>
  <c r="U4435" i="9"/>
  <c r="V4435" i="9" s="1"/>
  <c r="U4691" i="9"/>
  <c r="V4691" i="9" s="1"/>
  <c r="U4895" i="9"/>
  <c r="V4895" i="9" s="1"/>
  <c r="U5023" i="9"/>
  <c r="V5023" i="9" s="1"/>
  <c r="U4243" i="9"/>
  <c r="V4243" i="9" s="1"/>
  <c r="U4755" i="9"/>
  <c r="V4755" i="9" s="1"/>
  <c r="U4927" i="9"/>
  <c r="V4927" i="9" s="1"/>
  <c r="C6" i="14" l="1"/>
  <c r="C5" i="14"/>
  <c r="Q8" i="14" l="1"/>
  <c r="Q7" i="14"/>
  <c r="P7" i="14"/>
  <c r="O7" i="14"/>
  <c r="Q6" i="14"/>
  <c r="O5" i="14"/>
  <c r="N5" i="14"/>
  <c r="M5" i="14"/>
  <c r="L5" i="14"/>
  <c r="K5" i="14"/>
  <c r="F76" i="11" l="1"/>
  <c r="F77" i="11"/>
  <c r="F78" i="11"/>
  <c r="F79" i="11"/>
  <c r="F80" i="11"/>
  <c r="F81" i="11"/>
  <c r="F82" i="11"/>
  <c r="F83" i="11"/>
  <c r="F84" i="11"/>
  <c r="F85" i="11"/>
  <c r="F86" i="11"/>
  <c r="F87" i="11"/>
  <c r="F88" i="11"/>
  <c r="F89" i="11"/>
  <c r="F90" i="11"/>
  <c r="F94" i="11"/>
  <c r="F96" i="11"/>
  <c r="F97" i="11"/>
  <c r="F98" i="11"/>
  <c r="F99" i="11"/>
  <c r="F100" i="11"/>
  <c r="F75" i="11"/>
  <c r="H44" i="18"/>
  <c r="O4" i="14" l="1"/>
  <c r="P4" i="14"/>
  <c r="Q4" i="14"/>
  <c r="F4" i="14"/>
  <c r="G4" i="14"/>
  <c r="H4" i="14"/>
  <c r="I4" i="14"/>
  <c r="J4" i="14"/>
  <c r="K4" i="14"/>
  <c r="L4" i="14"/>
  <c r="M4" i="14"/>
  <c r="X3454" i="9" l="1"/>
  <c r="X3453" i="9"/>
  <c r="X3452" i="9"/>
  <c r="X3451" i="9"/>
  <c r="X3450" i="9"/>
  <c r="X3449" i="9"/>
  <c r="X3448" i="9"/>
  <c r="X3447" i="9"/>
  <c r="X3446" i="9"/>
  <c r="X3445" i="9"/>
  <c r="Z3440" i="9" l="1"/>
  <c r="Y3440" i="9"/>
  <c r="X3440" i="9"/>
  <c r="Z3439" i="9"/>
  <c r="Y3439" i="9"/>
  <c r="X3439" i="9"/>
  <c r="Z3438" i="9"/>
  <c r="Y3438" i="9"/>
  <c r="X3438" i="9"/>
  <c r="Z3437" i="9"/>
  <c r="Y3437" i="9"/>
  <c r="X3437" i="9"/>
  <c r="Z3436" i="9"/>
  <c r="Y3436" i="9"/>
  <c r="X3436" i="9"/>
  <c r="Z3435" i="9"/>
  <c r="Y3435" i="9"/>
  <c r="X3435" i="9"/>
  <c r="X3331" i="9" l="1"/>
  <c r="Y3331" i="9"/>
  <c r="Z3331" i="9"/>
  <c r="X3272" i="9" l="1"/>
  <c r="Y3272" i="9"/>
  <c r="Z3272" i="9"/>
  <c r="Z3229" i="9"/>
  <c r="Y3229" i="9"/>
  <c r="X3229" i="9"/>
  <c r="Z3228" i="9"/>
  <c r="Y3228" i="9"/>
  <c r="X3228" i="9"/>
  <c r="Z3227" i="9"/>
  <c r="Y3227" i="9"/>
  <c r="X3227" i="9"/>
  <c r="Z3226" i="9"/>
  <c r="Y3226" i="9"/>
  <c r="X3226" i="9"/>
  <c r="Z3225" i="9"/>
  <c r="Y3225" i="9"/>
  <c r="X3225" i="9"/>
  <c r="Z3043" i="9" l="1"/>
  <c r="Y3043" i="9"/>
  <c r="X3043" i="9"/>
  <c r="Z3042" i="9"/>
  <c r="Y3042" i="9"/>
  <c r="X3042" i="9"/>
  <c r="Z3041" i="9"/>
  <c r="Y3041" i="9"/>
  <c r="X3041" i="9"/>
  <c r="Z3040" i="9"/>
  <c r="Y3040" i="9"/>
  <c r="X3040" i="9"/>
  <c r="Z3039" i="9"/>
  <c r="Y3039" i="9"/>
  <c r="X3039" i="9"/>
  <c r="Z3038" i="9"/>
  <c r="Y3038" i="9"/>
  <c r="X3038" i="9"/>
  <c r="Z3037" i="9"/>
  <c r="Y3037" i="9"/>
  <c r="X3037" i="9"/>
  <c r="Z3036" i="9"/>
  <c r="Y3036" i="9"/>
  <c r="X3036" i="9"/>
  <c r="Z3035" i="9"/>
  <c r="Y3035" i="9"/>
  <c r="X3035" i="9"/>
  <c r="Z3034" i="9"/>
  <c r="Y3034" i="9"/>
  <c r="X3034" i="9"/>
  <c r="Z3033" i="9"/>
  <c r="Y3033" i="9"/>
  <c r="X3033" i="9"/>
  <c r="X3044" i="9"/>
  <c r="X3045" i="9"/>
  <c r="X3046" i="9"/>
  <c r="X3047" i="9"/>
  <c r="X3048" i="9"/>
  <c r="X3049" i="9"/>
  <c r="X3050" i="9"/>
  <c r="X3051" i="9"/>
  <c r="X3053" i="9"/>
  <c r="X3054" i="9"/>
  <c r="X3055" i="9"/>
  <c r="X3056" i="9"/>
  <c r="X3057" i="9"/>
  <c r="X3058" i="9"/>
  <c r="X3059" i="9"/>
  <c r="X3060" i="9"/>
  <c r="X3061" i="9"/>
  <c r="X3062" i="9"/>
  <c r="X3063" i="9"/>
  <c r="X3064" i="9"/>
  <c r="X3065" i="9"/>
  <c r="X3066" i="9"/>
  <c r="X3067" i="9"/>
  <c r="X3068" i="9"/>
  <c r="X3069" i="9"/>
  <c r="X3070" i="9"/>
  <c r="X3071" i="9"/>
  <c r="X3072" i="9"/>
  <c r="X3073" i="9"/>
  <c r="X3074" i="9"/>
  <c r="X3075" i="9"/>
  <c r="X3076" i="9"/>
  <c r="X3077" i="9"/>
  <c r="X3078" i="9"/>
  <c r="X3079" i="9"/>
  <c r="X3080" i="9"/>
  <c r="X3081" i="9"/>
  <c r="X3082" i="9"/>
  <c r="X3083" i="9"/>
  <c r="X3084" i="9"/>
  <c r="X3085" i="9"/>
  <c r="X3086" i="9"/>
  <c r="X3087" i="9"/>
  <c r="X3088" i="9"/>
  <c r="X3089" i="9"/>
  <c r="X3090" i="9"/>
  <c r="X3091" i="9"/>
  <c r="X3092" i="9"/>
  <c r="X3093" i="9"/>
  <c r="X3094" i="9"/>
  <c r="X3095" i="9"/>
  <c r="X3096" i="9"/>
  <c r="X3097" i="9"/>
  <c r="X3098" i="9"/>
  <c r="X3099" i="9"/>
  <c r="X3100" i="9"/>
  <c r="X3101" i="9"/>
  <c r="X3102" i="9"/>
  <c r="X3103" i="9"/>
  <c r="X3104" i="9"/>
  <c r="X3105" i="9"/>
  <c r="X3106" i="9"/>
  <c r="X3107" i="9"/>
  <c r="X3108" i="9"/>
  <c r="X3109" i="9"/>
  <c r="X3110" i="9"/>
  <c r="X3111" i="9"/>
  <c r="X3112" i="9"/>
  <c r="X3113" i="9"/>
  <c r="X3114" i="9"/>
  <c r="X3115" i="9"/>
  <c r="X3116" i="9"/>
  <c r="X3117" i="9"/>
  <c r="X3118" i="9"/>
  <c r="X3119" i="9"/>
  <c r="X3120" i="9"/>
  <c r="X3121" i="9"/>
  <c r="X3122" i="9"/>
  <c r="X3123" i="9"/>
  <c r="X3124" i="9"/>
  <c r="X3125" i="9"/>
  <c r="X3126" i="9"/>
  <c r="X3127" i="9"/>
  <c r="X3128" i="9"/>
  <c r="X3129" i="9"/>
  <c r="X3130" i="9"/>
  <c r="X3131" i="9"/>
  <c r="X3132" i="9"/>
  <c r="X3133" i="9"/>
  <c r="X3134" i="9"/>
  <c r="X3135" i="9"/>
  <c r="X3136" i="9"/>
  <c r="X3137" i="9"/>
  <c r="X3138" i="9"/>
  <c r="X3139" i="9"/>
  <c r="X3140" i="9"/>
  <c r="X3141" i="9"/>
  <c r="X3142" i="9"/>
  <c r="X3143" i="9"/>
  <c r="X3144" i="9"/>
  <c r="X3145" i="9"/>
  <c r="X3146" i="9"/>
  <c r="X3147" i="9"/>
  <c r="X3148" i="9"/>
  <c r="X3149" i="9"/>
  <c r="X3150" i="9"/>
  <c r="X3151" i="9"/>
  <c r="X3152" i="9"/>
  <c r="X3153" i="9"/>
  <c r="X3154" i="9"/>
  <c r="X3155" i="9"/>
  <c r="X3156" i="9"/>
  <c r="X3157" i="9"/>
  <c r="X3158" i="9"/>
  <c r="X3159" i="9"/>
  <c r="X3160" i="9"/>
  <c r="X3161" i="9"/>
  <c r="X3162" i="9"/>
  <c r="X3163" i="9"/>
  <c r="X3164" i="9"/>
  <c r="X3165" i="9"/>
  <c r="X3166" i="9"/>
  <c r="X3167" i="9"/>
  <c r="X3168" i="9"/>
  <c r="X3169" i="9"/>
  <c r="X3170" i="9"/>
  <c r="X3171" i="9"/>
  <c r="X3172" i="9"/>
  <c r="X3173" i="9"/>
  <c r="X3174" i="9"/>
  <c r="X3175" i="9"/>
  <c r="X3176" i="9"/>
  <c r="X3177" i="9"/>
  <c r="X3178" i="9"/>
  <c r="X3179" i="9"/>
  <c r="X3180" i="9"/>
  <c r="X3181" i="9"/>
  <c r="X3182" i="9"/>
  <c r="X3183" i="9"/>
  <c r="X3184" i="9"/>
  <c r="X3185" i="9"/>
  <c r="X3186" i="9"/>
  <c r="X3187" i="9"/>
  <c r="X3188" i="9"/>
  <c r="X3189" i="9"/>
  <c r="X3190" i="9"/>
  <c r="X3191" i="9"/>
  <c r="X3192" i="9"/>
  <c r="X3193" i="9"/>
  <c r="X3194" i="9"/>
  <c r="X3195" i="9"/>
  <c r="X3196" i="9"/>
  <c r="X3197" i="9"/>
  <c r="X3198" i="9"/>
  <c r="X3199" i="9"/>
  <c r="X3200" i="9"/>
  <c r="X3201" i="9"/>
  <c r="X3202" i="9"/>
  <c r="X3203" i="9"/>
  <c r="X3204" i="9"/>
  <c r="X3205" i="9"/>
  <c r="X3206" i="9"/>
  <c r="X3207" i="9"/>
  <c r="X3208" i="9"/>
  <c r="X3209" i="9"/>
  <c r="X3210" i="9"/>
  <c r="X3211" i="9"/>
  <c r="X3212" i="9"/>
  <c r="X3213" i="9"/>
  <c r="X3214" i="9"/>
  <c r="X3215" i="9"/>
  <c r="X3216" i="9"/>
  <c r="X3217" i="9"/>
  <c r="X3218" i="9"/>
  <c r="X3219" i="9"/>
  <c r="X3220" i="9"/>
  <c r="X3221" i="9"/>
  <c r="X3222" i="9"/>
  <c r="X3223" i="9"/>
  <c r="X3224" i="9"/>
  <c r="X3230" i="9"/>
  <c r="X3231" i="9"/>
  <c r="X3232" i="9"/>
  <c r="X3233" i="9"/>
  <c r="X3234" i="9"/>
  <c r="X3235" i="9"/>
  <c r="X3236" i="9"/>
  <c r="X3237" i="9"/>
  <c r="X3238" i="9"/>
  <c r="X3239" i="9"/>
  <c r="X3240" i="9"/>
  <c r="X3241" i="9"/>
  <c r="X3242" i="9"/>
  <c r="X3243" i="9"/>
  <c r="X3244" i="9"/>
  <c r="X3245" i="9"/>
  <c r="X3246" i="9"/>
  <c r="X3247" i="9"/>
  <c r="X3248" i="9"/>
  <c r="X3249" i="9"/>
  <c r="X3250" i="9"/>
  <c r="X3251" i="9"/>
  <c r="X3252" i="9"/>
  <c r="X3253" i="9"/>
  <c r="X3254" i="9"/>
  <c r="X3255" i="9"/>
  <c r="X3256" i="9"/>
  <c r="X3257" i="9"/>
  <c r="X3258" i="9"/>
  <c r="X3259" i="9"/>
  <c r="X3260" i="9"/>
  <c r="X3261" i="9"/>
  <c r="X3262" i="9"/>
  <c r="X3263" i="9"/>
  <c r="X3264" i="9"/>
  <c r="X3265" i="9"/>
  <c r="X3266" i="9"/>
  <c r="X3267" i="9"/>
  <c r="X3268" i="9"/>
  <c r="X3269" i="9"/>
  <c r="X3270" i="9"/>
  <c r="X3271" i="9"/>
  <c r="X3273" i="9"/>
  <c r="X3274" i="9"/>
  <c r="X3275" i="9"/>
  <c r="X3276" i="9"/>
  <c r="X3277" i="9"/>
  <c r="X3278" i="9"/>
  <c r="X3279" i="9"/>
  <c r="X3280" i="9"/>
  <c r="X3281" i="9"/>
  <c r="X3282" i="9"/>
  <c r="X3283" i="9"/>
  <c r="X3284" i="9"/>
  <c r="X3285" i="9"/>
  <c r="X3286" i="9"/>
  <c r="X3287" i="9"/>
  <c r="X3288" i="9"/>
  <c r="X3289" i="9"/>
  <c r="X3290" i="9"/>
  <c r="X3291" i="9"/>
  <c r="X3292" i="9"/>
  <c r="X3293" i="9"/>
  <c r="X3294" i="9"/>
  <c r="X3295" i="9"/>
  <c r="X3296" i="9"/>
  <c r="X3297" i="9"/>
  <c r="X3298" i="9"/>
  <c r="X3299" i="9"/>
  <c r="X3300" i="9"/>
  <c r="X3301" i="9"/>
  <c r="X3302" i="9"/>
  <c r="X3303" i="9"/>
  <c r="X3304" i="9"/>
  <c r="X3305" i="9"/>
  <c r="X3306" i="9"/>
  <c r="X3307" i="9"/>
  <c r="X3308" i="9"/>
  <c r="X3309" i="9"/>
  <c r="X3310" i="9"/>
  <c r="X3311" i="9"/>
  <c r="X3312" i="9"/>
  <c r="X3313" i="9"/>
  <c r="X3314" i="9"/>
  <c r="X3315" i="9"/>
  <c r="X3316" i="9"/>
  <c r="X3317" i="9"/>
  <c r="X3318" i="9"/>
  <c r="X3319" i="9"/>
  <c r="X3320" i="9"/>
  <c r="X3321" i="9"/>
  <c r="X3322" i="9"/>
  <c r="X3323" i="9"/>
  <c r="X3324" i="9"/>
  <c r="X3325" i="9"/>
  <c r="X3326" i="9"/>
  <c r="X3327" i="9"/>
  <c r="X3328" i="9"/>
  <c r="X3329" i="9"/>
  <c r="X3330" i="9"/>
  <c r="X3332" i="9"/>
  <c r="X3333" i="9"/>
  <c r="X3334" i="9"/>
  <c r="X3335" i="9"/>
  <c r="X3336" i="9"/>
  <c r="X3337" i="9"/>
  <c r="X3338" i="9"/>
  <c r="X3339" i="9"/>
  <c r="X3340" i="9"/>
  <c r="X3341" i="9"/>
  <c r="X3342" i="9"/>
  <c r="X3343" i="9"/>
  <c r="X3344" i="9"/>
  <c r="X3345" i="9"/>
  <c r="X3346" i="9"/>
  <c r="X3347" i="9"/>
  <c r="X3348" i="9"/>
  <c r="X3349" i="9"/>
  <c r="X3350" i="9"/>
  <c r="X3351" i="9"/>
  <c r="X3352" i="9"/>
  <c r="X3353" i="9"/>
  <c r="X3354" i="9"/>
  <c r="X3355" i="9"/>
  <c r="X3356" i="9"/>
  <c r="X3357" i="9"/>
  <c r="X3358" i="9"/>
  <c r="X3359" i="9"/>
  <c r="X3360" i="9"/>
  <c r="X3361" i="9"/>
  <c r="X3362" i="9"/>
  <c r="X3363" i="9"/>
  <c r="X3364" i="9"/>
  <c r="X3365" i="9"/>
  <c r="X3366" i="9"/>
  <c r="X3367" i="9"/>
  <c r="X3368" i="9"/>
  <c r="X3369" i="9"/>
  <c r="X3370" i="9"/>
  <c r="X3371" i="9"/>
  <c r="X3372" i="9"/>
  <c r="X3373" i="9"/>
  <c r="X3374" i="9"/>
  <c r="X3375" i="9"/>
  <c r="X3376" i="9"/>
  <c r="X3377" i="9"/>
  <c r="X3378" i="9"/>
  <c r="X3379" i="9"/>
  <c r="X3380" i="9"/>
  <c r="X3381" i="9"/>
  <c r="X3382" i="9"/>
  <c r="X3383" i="9"/>
  <c r="X3384" i="9"/>
  <c r="X3385" i="9"/>
  <c r="X3386" i="9"/>
  <c r="X3387" i="9"/>
  <c r="X3388" i="9"/>
  <c r="X3389" i="9"/>
  <c r="X3390" i="9"/>
  <c r="X3391" i="9"/>
  <c r="X3392" i="9"/>
  <c r="X3393" i="9"/>
  <c r="X3394" i="9"/>
  <c r="X3395" i="9"/>
  <c r="X3396" i="9"/>
  <c r="X3397" i="9"/>
  <c r="X3398" i="9"/>
  <c r="X3399" i="9"/>
  <c r="X3400" i="9"/>
  <c r="X3401" i="9"/>
  <c r="X3402" i="9"/>
  <c r="X3403" i="9"/>
  <c r="X3404" i="9"/>
  <c r="X3405" i="9"/>
  <c r="X3406" i="9"/>
  <c r="X3407" i="9"/>
  <c r="X3408" i="9"/>
  <c r="X3409" i="9"/>
  <c r="X3410" i="9"/>
  <c r="X3411" i="9"/>
  <c r="X3412" i="9"/>
  <c r="X3413" i="9"/>
  <c r="X3414" i="9"/>
  <c r="X3415" i="9"/>
  <c r="X3416" i="9"/>
  <c r="X3417" i="9"/>
  <c r="X3418" i="9"/>
  <c r="X3419" i="9"/>
  <c r="X3420" i="9"/>
  <c r="X3421" i="9"/>
  <c r="X3422" i="9"/>
  <c r="X3423" i="9"/>
  <c r="X3424" i="9"/>
  <c r="X3425" i="9"/>
  <c r="X3426" i="9"/>
  <c r="X3427" i="9"/>
  <c r="X3428" i="9"/>
  <c r="X3429" i="9"/>
  <c r="X3430" i="9"/>
  <c r="X3431" i="9"/>
  <c r="X3432" i="9"/>
  <c r="X3433" i="9"/>
  <c r="X3434" i="9"/>
  <c r="X3441" i="9"/>
  <c r="X3442" i="9"/>
  <c r="X3443" i="9"/>
  <c r="X3444" i="9"/>
  <c r="X3455" i="9"/>
  <c r="X3456" i="9"/>
  <c r="X3457" i="9"/>
  <c r="X3458" i="9"/>
  <c r="X3459" i="9"/>
  <c r="X3460" i="9"/>
  <c r="X3461" i="9"/>
  <c r="X3462" i="9"/>
  <c r="X3463" i="9"/>
  <c r="X3464" i="9"/>
  <c r="X3465" i="9"/>
  <c r="X3466" i="9"/>
  <c r="X3467" i="9"/>
  <c r="X3468" i="9"/>
  <c r="X3469" i="9"/>
  <c r="X3470" i="9"/>
  <c r="X3471" i="9"/>
  <c r="X3472" i="9"/>
  <c r="X3473" i="9"/>
  <c r="X3474" i="9"/>
  <c r="X3475" i="9"/>
  <c r="X3476" i="9"/>
  <c r="X3477" i="9"/>
  <c r="X3478" i="9"/>
  <c r="X3479" i="9"/>
  <c r="X3480" i="9"/>
  <c r="X3481" i="9"/>
  <c r="X3482" i="9"/>
  <c r="X3483" i="9"/>
  <c r="X3484" i="9"/>
  <c r="X3485" i="9"/>
  <c r="X3486" i="9"/>
  <c r="X3487" i="9"/>
  <c r="X3488" i="9"/>
  <c r="X3489" i="9"/>
  <c r="X3490" i="9"/>
  <c r="X3491" i="9"/>
  <c r="X3492" i="9"/>
  <c r="X3493" i="9"/>
  <c r="X3494" i="9"/>
  <c r="X3495" i="9"/>
  <c r="X3496" i="9"/>
  <c r="X3497" i="9"/>
  <c r="X3498" i="9"/>
  <c r="X3499" i="9"/>
  <c r="X3500" i="9"/>
  <c r="X3501" i="9"/>
  <c r="X3502" i="9"/>
  <c r="X3503" i="9"/>
  <c r="X3504" i="9"/>
  <c r="X3505" i="9"/>
  <c r="X3506" i="9"/>
  <c r="X3507" i="9"/>
  <c r="X3508" i="9"/>
  <c r="X3509" i="9"/>
  <c r="X3510" i="9"/>
  <c r="X3511" i="9"/>
  <c r="X3512" i="9"/>
  <c r="X3513" i="9"/>
  <c r="X3514" i="9"/>
  <c r="X3515" i="9"/>
  <c r="X3516" i="9"/>
  <c r="X3517" i="9"/>
  <c r="X3518" i="9"/>
  <c r="X3519" i="9"/>
  <c r="X3520" i="9"/>
  <c r="X3521" i="9"/>
  <c r="X3522" i="9"/>
  <c r="X3523" i="9"/>
  <c r="X3524" i="9"/>
  <c r="X3525" i="9"/>
  <c r="X3526" i="9"/>
  <c r="X3527" i="9"/>
  <c r="X3528" i="9"/>
  <c r="X3529" i="9"/>
  <c r="X3530" i="9"/>
  <c r="X3531" i="9"/>
  <c r="X3532" i="9"/>
  <c r="X3533" i="9"/>
  <c r="X3534" i="9"/>
  <c r="X3535" i="9"/>
  <c r="X3536" i="9"/>
  <c r="X3537" i="9"/>
  <c r="X3538" i="9"/>
  <c r="X3539" i="9"/>
  <c r="X3540" i="9"/>
  <c r="X3541" i="9"/>
  <c r="X3542" i="9"/>
  <c r="X3543" i="9"/>
  <c r="X3544" i="9"/>
  <c r="X3545" i="9"/>
  <c r="X3546" i="9"/>
  <c r="X3547" i="9"/>
  <c r="X3548" i="9"/>
  <c r="X3549" i="9"/>
  <c r="X3550" i="9"/>
  <c r="X3551" i="9"/>
  <c r="X3552" i="9"/>
  <c r="X3553" i="9"/>
  <c r="X3554" i="9"/>
  <c r="X3555" i="9"/>
  <c r="X3556" i="9"/>
  <c r="X3557" i="9"/>
  <c r="X3558" i="9"/>
  <c r="X3559" i="9"/>
  <c r="X3560" i="9"/>
  <c r="X3561" i="9"/>
  <c r="X3562" i="9"/>
  <c r="X3563" i="9"/>
  <c r="X3564" i="9"/>
  <c r="X3565" i="9"/>
  <c r="X3566" i="9"/>
  <c r="X3567" i="9"/>
  <c r="X3568" i="9"/>
  <c r="X3569" i="9"/>
  <c r="X3570" i="9"/>
  <c r="X3571" i="9"/>
  <c r="X3572" i="9"/>
  <c r="X3573" i="9"/>
  <c r="X3574" i="9"/>
  <c r="X3575" i="9"/>
  <c r="X3576" i="9"/>
  <c r="X3577" i="9"/>
  <c r="X3578" i="9"/>
  <c r="X3579" i="9"/>
  <c r="X3580" i="9"/>
  <c r="X3581" i="9"/>
  <c r="X3582" i="9"/>
  <c r="X3583" i="9"/>
  <c r="X3584" i="9"/>
  <c r="X3585" i="9"/>
  <c r="X3586" i="9"/>
  <c r="X3587" i="9"/>
  <c r="X3588" i="9"/>
  <c r="X3589" i="9"/>
  <c r="X3590" i="9"/>
  <c r="X3591" i="9"/>
  <c r="X3592" i="9"/>
  <c r="X3593" i="9"/>
  <c r="X3594" i="9"/>
  <c r="X3595" i="9"/>
  <c r="X3596" i="9"/>
  <c r="X3597" i="9"/>
  <c r="X3598" i="9"/>
  <c r="X3599" i="9"/>
  <c r="X3600" i="9"/>
  <c r="X3601" i="9"/>
  <c r="X3602" i="9"/>
  <c r="X3603" i="9"/>
  <c r="X3604" i="9"/>
  <c r="X3605" i="9"/>
  <c r="X3606" i="9"/>
  <c r="X3607" i="9"/>
  <c r="X3608" i="9"/>
  <c r="X3609" i="9"/>
  <c r="X3610" i="9"/>
  <c r="X3611" i="9"/>
  <c r="X3612" i="9"/>
  <c r="X3613" i="9"/>
  <c r="X3614" i="9"/>
  <c r="X3615" i="9"/>
  <c r="X3616" i="9"/>
  <c r="X3617" i="9"/>
  <c r="X3618" i="9"/>
  <c r="X3619" i="9"/>
  <c r="X3620" i="9"/>
  <c r="X3621" i="9"/>
  <c r="X3622" i="9"/>
  <c r="X3623" i="9"/>
  <c r="X3624" i="9"/>
  <c r="X3625" i="9"/>
  <c r="X3626" i="9"/>
  <c r="X3627" i="9"/>
  <c r="X3628" i="9"/>
  <c r="X3629" i="9"/>
  <c r="X3630" i="9"/>
  <c r="X3631" i="9"/>
  <c r="X3632" i="9"/>
  <c r="X3633" i="9"/>
  <c r="X3634" i="9"/>
  <c r="X3635" i="9"/>
  <c r="X3636" i="9"/>
  <c r="X3637" i="9"/>
  <c r="X3638" i="9"/>
  <c r="X3639" i="9"/>
  <c r="X3640" i="9"/>
  <c r="X3641" i="9"/>
  <c r="X3642" i="9"/>
  <c r="X3643" i="9"/>
  <c r="X3644" i="9"/>
  <c r="X3645" i="9"/>
  <c r="X3646" i="9"/>
  <c r="X3647" i="9"/>
  <c r="X3648" i="9"/>
  <c r="X3649" i="9"/>
  <c r="X3650" i="9"/>
  <c r="X3651" i="9"/>
  <c r="X3652" i="9"/>
  <c r="X3653" i="9"/>
  <c r="X3654" i="9"/>
  <c r="X3655" i="9"/>
  <c r="X3656" i="9"/>
  <c r="X3657" i="9"/>
  <c r="X3658" i="9"/>
  <c r="X3659" i="9"/>
  <c r="X3660" i="9"/>
  <c r="X3661" i="9"/>
  <c r="X3662" i="9"/>
  <c r="X3663" i="9"/>
  <c r="X3664" i="9"/>
  <c r="X3665" i="9"/>
  <c r="X3666" i="9"/>
  <c r="X3667" i="9"/>
  <c r="X3668" i="9"/>
  <c r="X3669" i="9"/>
  <c r="X3670" i="9"/>
  <c r="X3671" i="9"/>
  <c r="X3672" i="9"/>
  <c r="X3673" i="9"/>
  <c r="X3674" i="9"/>
  <c r="X3675" i="9"/>
  <c r="X3676" i="9"/>
  <c r="X3677" i="9"/>
  <c r="X3678" i="9"/>
  <c r="X3679" i="9"/>
  <c r="X3680" i="9"/>
  <c r="X3681" i="9"/>
  <c r="X3682" i="9"/>
  <c r="X3683" i="9"/>
  <c r="X3684" i="9"/>
  <c r="X3685" i="9"/>
  <c r="X3686" i="9"/>
  <c r="X3687" i="9"/>
  <c r="X3688" i="9"/>
  <c r="X3689" i="9"/>
  <c r="X3690" i="9"/>
  <c r="X3691" i="9"/>
  <c r="X3692" i="9"/>
  <c r="X3693" i="9"/>
  <c r="X3694" i="9"/>
  <c r="X3695" i="9"/>
  <c r="X3696" i="9"/>
  <c r="X3697" i="9"/>
  <c r="X3698" i="9"/>
  <c r="X3699" i="9"/>
  <c r="X3700" i="9"/>
  <c r="X3701" i="9"/>
  <c r="X3702" i="9"/>
  <c r="X3703" i="9"/>
  <c r="X3704" i="9"/>
  <c r="X3705" i="9"/>
  <c r="X3706" i="9"/>
  <c r="X3707" i="9"/>
  <c r="X3708" i="9"/>
  <c r="X3709" i="9"/>
  <c r="X3710" i="9"/>
  <c r="X3711" i="9"/>
  <c r="X3712" i="9"/>
  <c r="X3713" i="9"/>
  <c r="X3714" i="9"/>
  <c r="X3715" i="9"/>
  <c r="X3716" i="9"/>
  <c r="X3717" i="9"/>
  <c r="X3718" i="9"/>
  <c r="X3719" i="9"/>
  <c r="X3720" i="9"/>
  <c r="X3721" i="9"/>
  <c r="X3722" i="9"/>
  <c r="X3723" i="9"/>
  <c r="X3724" i="9"/>
  <c r="X3725" i="9"/>
  <c r="X3726" i="9"/>
  <c r="X3727" i="9"/>
  <c r="X3728" i="9"/>
  <c r="X3729" i="9"/>
  <c r="X3730" i="9"/>
  <c r="X3731" i="9"/>
  <c r="X3732" i="9"/>
  <c r="X3733" i="9"/>
  <c r="X3734" i="9"/>
  <c r="X3735" i="9"/>
  <c r="X3736" i="9"/>
  <c r="X3737" i="9"/>
  <c r="X3738" i="9"/>
  <c r="X3739" i="9"/>
  <c r="X3740" i="9"/>
  <c r="X3741" i="9"/>
  <c r="X3742" i="9"/>
  <c r="X3743" i="9"/>
  <c r="X3744" i="9"/>
  <c r="X3745" i="9"/>
  <c r="X3746" i="9"/>
  <c r="X3747" i="9"/>
  <c r="X3748" i="9"/>
  <c r="X3749" i="9"/>
  <c r="X3750" i="9"/>
  <c r="X3751" i="9"/>
  <c r="X3752" i="9"/>
  <c r="X3753" i="9"/>
  <c r="X3754" i="9"/>
  <c r="X3755" i="9"/>
  <c r="X3756" i="9"/>
  <c r="X3757" i="9"/>
  <c r="X3758" i="9"/>
  <c r="X3759" i="9"/>
  <c r="X3760" i="9"/>
  <c r="X3761" i="9"/>
  <c r="X3762" i="9"/>
  <c r="X3763" i="9"/>
  <c r="X3764" i="9"/>
  <c r="X3765" i="9"/>
  <c r="X3766" i="9"/>
  <c r="X3767" i="9"/>
  <c r="X3768" i="9"/>
  <c r="X3769" i="9"/>
  <c r="X3770" i="9"/>
  <c r="X3771" i="9"/>
  <c r="X3772" i="9"/>
  <c r="X3773" i="9"/>
  <c r="X3774" i="9"/>
  <c r="X3775" i="9"/>
  <c r="X3776" i="9"/>
  <c r="X3777" i="9"/>
  <c r="X3778" i="9"/>
  <c r="X3779" i="9"/>
  <c r="X3780" i="9"/>
  <c r="X3781" i="9"/>
  <c r="X3782" i="9"/>
  <c r="X3783" i="9"/>
  <c r="X3784" i="9"/>
  <c r="X3785" i="9"/>
  <c r="X3786" i="9"/>
  <c r="X3787" i="9"/>
  <c r="X3788" i="9"/>
  <c r="X3789" i="9"/>
  <c r="X3790" i="9"/>
  <c r="X3791" i="9"/>
  <c r="X3792" i="9"/>
  <c r="X3793" i="9"/>
  <c r="X3794" i="9"/>
  <c r="X3795" i="9"/>
  <c r="X3796" i="9"/>
  <c r="X3797" i="9"/>
  <c r="X3798" i="9"/>
  <c r="X3799" i="9"/>
  <c r="X3800" i="9"/>
  <c r="X3801" i="9"/>
  <c r="X3802" i="9"/>
  <c r="X3803" i="9"/>
  <c r="X3804" i="9"/>
  <c r="X3805" i="9"/>
  <c r="X3806" i="9"/>
  <c r="X3807" i="9"/>
  <c r="X3808" i="9"/>
  <c r="X3809" i="9"/>
  <c r="X3810" i="9"/>
  <c r="X3811" i="9"/>
  <c r="X3812" i="9"/>
  <c r="X3813" i="9"/>
  <c r="X3814" i="9"/>
  <c r="X3815" i="9"/>
  <c r="X3816" i="9"/>
  <c r="X3817" i="9"/>
  <c r="X3818" i="9"/>
  <c r="X3819" i="9"/>
  <c r="X3820" i="9"/>
  <c r="X3821" i="9"/>
  <c r="X3822" i="9"/>
  <c r="X3823" i="9"/>
  <c r="X3824" i="9"/>
  <c r="X3825" i="9"/>
  <c r="X3826" i="9"/>
  <c r="X3827" i="9"/>
  <c r="X3828" i="9"/>
  <c r="X3829" i="9"/>
  <c r="X3830" i="9"/>
  <c r="X3831" i="9"/>
  <c r="X3832" i="9"/>
  <c r="X3833" i="9"/>
  <c r="X3834" i="9"/>
  <c r="X3835" i="9"/>
  <c r="X3836" i="9"/>
  <c r="X3837" i="9"/>
  <c r="X3838" i="9"/>
  <c r="X3839" i="9"/>
  <c r="X3840" i="9"/>
  <c r="X3841" i="9"/>
  <c r="X3842" i="9"/>
  <c r="X3843" i="9"/>
  <c r="X3844" i="9"/>
  <c r="X3845" i="9"/>
  <c r="X3846" i="9"/>
  <c r="X3847" i="9"/>
  <c r="X3848" i="9"/>
  <c r="X3849" i="9"/>
  <c r="X3850" i="9"/>
  <c r="X3851" i="9"/>
  <c r="X3852" i="9"/>
  <c r="X3853" i="9"/>
  <c r="X3854" i="9"/>
  <c r="X3855" i="9"/>
  <c r="X3856" i="9"/>
  <c r="X3857" i="9"/>
  <c r="X3858" i="9"/>
  <c r="X3859" i="9"/>
  <c r="X3860" i="9"/>
  <c r="X3861" i="9"/>
  <c r="X3862" i="9"/>
  <c r="X3863" i="9"/>
  <c r="X3864" i="9"/>
  <c r="X3865" i="9"/>
  <c r="X3866" i="9"/>
  <c r="X3867" i="9"/>
  <c r="X3868" i="9"/>
  <c r="X3869" i="9"/>
  <c r="X3870" i="9"/>
  <c r="X3871" i="9"/>
  <c r="X3872" i="9"/>
  <c r="X3873" i="9"/>
  <c r="X3874" i="9"/>
  <c r="X3875" i="9"/>
  <c r="X3876" i="9"/>
  <c r="X3877" i="9"/>
  <c r="X3878" i="9"/>
  <c r="X3879" i="9"/>
  <c r="X3880" i="9"/>
  <c r="X3881" i="9"/>
  <c r="X3882" i="9"/>
  <c r="X3883" i="9"/>
  <c r="X3884" i="9"/>
  <c r="X3885" i="9"/>
  <c r="X3886" i="9"/>
  <c r="X3887" i="9"/>
  <c r="X3888" i="9"/>
  <c r="X3889" i="9"/>
  <c r="X3890" i="9"/>
  <c r="X3891" i="9"/>
  <c r="X3892" i="9"/>
  <c r="X3893" i="9"/>
  <c r="X3894" i="9"/>
  <c r="X3895" i="9"/>
  <c r="X3896" i="9"/>
  <c r="X3897" i="9"/>
  <c r="X3898" i="9"/>
  <c r="X3899" i="9"/>
  <c r="X3900" i="9"/>
  <c r="X3901" i="9"/>
  <c r="X3902" i="9"/>
  <c r="X3903" i="9"/>
  <c r="X3904" i="9"/>
  <c r="X3905" i="9"/>
  <c r="X3906" i="9"/>
  <c r="X3907" i="9"/>
  <c r="X3908" i="9"/>
  <c r="X3909" i="9"/>
  <c r="X3910" i="9"/>
  <c r="X3911" i="9"/>
  <c r="X3912" i="9"/>
  <c r="X3913" i="9"/>
  <c r="X3914" i="9"/>
  <c r="X3915" i="9"/>
  <c r="X3916" i="9"/>
  <c r="X3917" i="9"/>
  <c r="X3918" i="9"/>
  <c r="X3919" i="9"/>
  <c r="X3920" i="9"/>
  <c r="X3921" i="9"/>
  <c r="X3922" i="9"/>
  <c r="X3923" i="9"/>
  <c r="X3924" i="9"/>
  <c r="X3925" i="9"/>
  <c r="X3926" i="9"/>
  <c r="X3927" i="9"/>
  <c r="X3928" i="9"/>
  <c r="X3929" i="9"/>
  <c r="X3930" i="9"/>
  <c r="X3931" i="9"/>
  <c r="X3932" i="9"/>
  <c r="X3933" i="9"/>
  <c r="X3934" i="9"/>
  <c r="X3935" i="9"/>
  <c r="X3936" i="9"/>
  <c r="X3937" i="9"/>
  <c r="X3938" i="9"/>
  <c r="X3939" i="9"/>
  <c r="X3940" i="9"/>
  <c r="X3941" i="9"/>
  <c r="X3942" i="9"/>
  <c r="X3943" i="9"/>
  <c r="X3944" i="9"/>
  <c r="X3945" i="9"/>
  <c r="X3946" i="9"/>
  <c r="X3947" i="9"/>
  <c r="X3948" i="9"/>
  <c r="X3949" i="9"/>
  <c r="X3950" i="9"/>
  <c r="X3951" i="9"/>
  <c r="X3952" i="9"/>
  <c r="X3953" i="9"/>
  <c r="X3954" i="9"/>
  <c r="X3955" i="9"/>
  <c r="X3956" i="9"/>
  <c r="X3957" i="9"/>
  <c r="X3958" i="9"/>
  <c r="X3959" i="9"/>
  <c r="X3960" i="9"/>
  <c r="X3961" i="9"/>
  <c r="X3962" i="9"/>
  <c r="X3963" i="9"/>
  <c r="X3964" i="9"/>
  <c r="X3965" i="9"/>
  <c r="X3966" i="9"/>
  <c r="X3967" i="9"/>
  <c r="X3968" i="9"/>
  <c r="X3969" i="9"/>
  <c r="X3970" i="9"/>
  <c r="X3971" i="9"/>
  <c r="X3972" i="9"/>
  <c r="X3973" i="9"/>
  <c r="X3974" i="9"/>
  <c r="X3975" i="9"/>
  <c r="X3976" i="9"/>
  <c r="X3977" i="9"/>
  <c r="X3978" i="9"/>
  <c r="X3979" i="9"/>
  <c r="X3980" i="9"/>
  <c r="X3981" i="9"/>
  <c r="X3982" i="9"/>
  <c r="X3983" i="9"/>
  <c r="X3984" i="9"/>
  <c r="X3985" i="9"/>
  <c r="X3986" i="9"/>
  <c r="X3987" i="9"/>
  <c r="X3988" i="9"/>
  <c r="X3989" i="9"/>
  <c r="X3990" i="9"/>
  <c r="X3991" i="9"/>
  <c r="X3992" i="9"/>
  <c r="X3993" i="9"/>
  <c r="X3994" i="9"/>
  <c r="X3995" i="9"/>
  <c r="X3996" i="9"/>
  <c r="X3997" i="9"/>
  <c r="X3998" i="9"/>
  <c r="X3999" i="9"/>
  <c r="X4000" i="9"/>
  <c r="X4001" i="9"/>
  <c r="X4002" i="9"/>
  <c r="X4003" i="9"/>
  <c r="X4004" i="9"/>
  <c r="X4005" i="9"/>
  <c r="X4006" i="9"/>
  <c r="X4007" i="9"/>
  <c r="X4008" i="9"/>
  <c r="X4009" i="9"/>
  <c r="X4010" i="9"/>
  <c r="X4011" i="9"/>
  <c r="X4012" i="9"/>
  <c r="X4013" i="9"/>
  <c r="X4014" i="9"/>
  <c r="X4015" i="9"/>
  <c r="X4016" i="9"/>
  <c r="X4017" i="9"/>
  <c r="X4018" i="9"/>
  <c r="X4019" i="9"/>
  <c r="X4020" i="9"/>
  <c r="X4021" i="9"/>
  <c r="X4022" i="9"/>
  <c r="X4023" i="9"/>
  <c r="X4024" i="9"/>
  <c r="X4025" i="9"/>
  <c r="X4026" i="9"/>
  <c r="X4027" i="9"/>
  <c r="X4028" i="9"/>
  <c r="X4029" i="9"/>
  <c r="X4030" i="9"/>
  <c r="X4031" i="9"/>
  <c r="X4032" i="9"/>
  <c r="X4033" i="9"/>
  <c r="X4034" i="9"/>
  <c r="X4035" i="9"/>
  <c r="X4036" i="9"/>
  <c r="X4037" i="9"/>
  <c r="X4038" i="9"/>
  <c r="X4039" i="9"/>
  <c r="X4040" i="9"/>
  <c r="X4041" i="9"/>
  <c r="X4042" i="9"/>
  <c r="X4043" i="9"/>
  <c r="X4044" i="9"/>
  <c r="X4045" i="9"/>
  <c r="X4046" i="9"/>
  <c r="X4047" i="9"/>
  <c r="X4048" i="9"/>
  <c r="X4049" i="9"/>
  <c r="X4050" i="9"/>
  <c r="X4051" i="9"/>
  <c r="X4052" i="9"/>
  <c r="X4053" i="9"/>
  <c r="X4054" i="9"/>
  <c r="X4055" i="9"/>
  <c r="X4056" i="9"/>
  <c r="X4057" i="9"/>
  <c r="X4058" i="9"/>
  <c r="X4059" i="9"/>
  <c r="X4060" i="9"/>
  <c r="X4061" i="9"/>
  <c r="X4062" i="9"/>
  <c r="X4063" i="9"/>
  <c r="X4064" i="9"/>
  <c r="X4065" i="9"/>
  <c r="X4066" i="9"/>
  <c r="X4067" i="9"/>
  <c r="X4068" i="9"/>
  <c r="X4069" i="9"/>
  <c r="X4070" i="9"/>
  <c r="X4071" i="9"/>
  <c r="X4072" i="9"/>
  <c r="X4073" i="9"/>
  <c r="X4074" i="9"/>
  <c r="X4075" i="9"/>
  <c r="X4076" i="9"/>
  <c r="X4077" i="9"/>
  <c r="X4078" i="9"/>
  <c r="X4079" i="9"/>
  <c r="X4080" i="9"/>
  <c r="X4081" i="9"/>
  <c r="X4082" i="9"/>
  <c r="X4083" i="9"/>
  <c r="X4084" i="9"/>
  <c r="X4085" i="9"/>
  <c r="X4086" i="9"/>
  <c r="X4087" i="9"/>
  <c r="X4088" i="9"/>
  <c r="X4089" i="9"/>
  <c r="X4090" i="9"/>
  <c r="X4091" i="9"/>
  <c r="X4092" i="9"/>
  <c r="X4093" i="9"/>
  <c r="X4094" i="9"/>
  <c r="X4095" i="9"/>
  <c r="X4096" i="9"/>
  <c r="X4097" i="9"/>
  <c r="X4098" i="9"/>
  <c r="X4099" i="9"/>
  <c r="X4100" i="9"/>
  <c r="X4101" i="9"/>
  <c r="X4102" i="9"/>
  <c r="X4103" i="9"/>
  <c r="X4104" i="9"/>
  <c r="X4105" i="9"/>
  <c r="X4106" i="9"/>
  <c r="X4107" i="9"/>
  <c r="X4108" i="9"/>
  <c r="X4109" i="9"/>
  <c r="X4110" i="9"/>
  <c r="X4111" i="9"/>
  <c r="X4112" i="9"/>
  <c r="X4113" i="9"/>
  <c r="X4114" i="9"/>
  <c r="X4115" i="9"/>
  <c r="X4116" i="9"/>
  <c r="X4117" i="9"/>
  <c r="X4118" i="9"/>
  <c r="X4119" i="9"/>
  <c r="X4120" i="9"/>
  <c r="X4121" i="9"/>
  <c r="X4122" i="9"/>
  <c r="X4123" i="9"/>
  <c r="X4124" i="9"/>
  <c r="X4125" i="9"/>
  <c r="X4126" i="9"/>
  <c r="X4127" i="9"/>
  <c r="X4128" i="9"/>
  <c r="X4129" i="9"/>
  <c r="X4130" i="9"/>
  <c r="X4131" i="9"/>
  <c r="X4132" i="9"/>
  <c r="X4133" i="9"/>
  <c r="X4134" i="9"/>
  <c r="X4135" i="9"/>
  <c r="X4136" i="9"/>
  <c r="X4137" i="9"/>
  <c r="X4138" i="9"/>
  <c r="X4139" i="9"/>
  <c r="X4140" i="9"/>
  <c r="X4141" i="9"/>
  <c r="X4142" i="9"/>
  <c r="X4143" i="9"/>
  <c r="X4144" i="9"/>
  <c r="X4145" i="9"/>
  <c r="X4146" i="9"/>
  <c r="X4147" i="9"/>
  <c r="X4148" i="9"/>
  <c r="X4149" i="9"/>
  <c r="X4150" i="9"/>
  <c r="X4151" i="9"/>
  <c r="X4152" i="9"/>
  <c r="X4153" i="9"/>
  <c r="X4154" i="9"/>
  <c r="X4155" i="9"/>
  <c r="X4156" i="9"/>
  <c r="X4157" i="9"/>
  <c r="X4158" i="9"/>
  <c r="X4159" i="9"/>
  <c r="X4160" i="9"/>
  <c r="X4161" i="9"/>
  <c r="X4162" i="9"/>
  <c r="X4163" i="9"/>
  <c r="X4164" i="9"/>
  <c r="X4165" i="9"/>
  <c r="X4166" i="9"/>
  <c r="X4167" i="9"/>
  <c r="X4168" i="9"/>
  <c r="X4169" i="9"/>
  <c r="X4170" i="9"/>
  <c r="X4171" i="9"/>
  <c r="X4172" i="9"/>
  <c r="X4173" i="9"/>
  <c r="X4174" i="9"/>
  <c r="X4175" i="9"/>
  <c r="X4176" i="9"/>
  <c r="X4177" i="9"/>
  <c r="X4178" i="9"/>
  <c r="X4179" i="9"/>
  <c r="X4180" i="9"/>
  <c r="X4181" i="9"/>
  <c r="X4182" i="9"/>
  <c r="X4183" i="9"/>
  <c r="X4184" i="9"/>
  <c r="X4185" i="9"/>
  <c r="X4186" i="9"/>
  <c r="X4187" i="9"/>
  <c r="X4188" i="9"/>
  <c r="X4189" i="9"/>
  <c r="X4190" i="9"/>
  <c r="X4191" i="9"/>
  <c r="X4192" i="9"/>
  <c r="X4193" i="9"/>
  <c r="X4194" i="9"/>
  <c r="X4195" i="9"/>
  <c r="X4196" i="9"/>
  <c r="X4197" i="9"/>
  <c r="X4198" i="9"/>
  <c r="X4199" i="9"/>
  <c r="X4200" i="9"/>
  <c r="X4201" i="9"/>
  <c r="X4202" i="9"/>
  <c r="X4203" i="9"/>
  <c r="X4204" i="9"/>
  <c r="X4205" i="9"/>
  <c r="X4206" i="9"/>
  <c r="X4207" i="9"/>
  <c r="X4208" i="9"/>
  <c r="X4209" i="9"/>
  <c r="X4210" i="9"/>
  <c r="X4211" i="9"/>
  <c r="X4212" i="9"/>
  <c r="X4213" i="9"/>
  <c r="X4214" i="9"/>
  <c r="X4215" i="9"/>
  <c r="X4216" i="9"/>
  <c r="X4217" i="9"/>
  <c r="X4218" i="9"/>
  <c r="X4219" i="9"/>
  <c r="X4220" i="9"/>
  <c r="X4221" i="9"/>
  <c r="X4222" i="9"/>
  <c r="X4223" i="9"/>
  <c r="X4224" i="9"/>
  <c r="X4225" i="9"/>
  <c r="X4226" i="9"/>
  <c r="X4227" i="9"/>
  <c r="X4228" i="9"/>
  <c r="X4229" i="9"/>
  <c r="X4230" i="9"/>
  <c r="X4231" i="9"/>
  <c r="X4232" i="9"/>
  <c r="X4233" i="9"/>
  <c r="X4234" i="9"/>
  <c r="X4235" i="9"/>
  <c r="X4236" i="9"/>
  <c r="X4237" i="9"/>
  <c r="X4238" i="9"/>
  <c r="X4239" i="9"/>
  <c r="X4240" i="9"/>
  <c r="X4241" i="9"/>
  <c r="X4242" i="9"/>
  <c r="X4243" i="9"/>
  <c r="X4244" i="9"/>
  <c r="X4245" i="9"/>
  <c r="X4246" i="9"/>
  <c r="X4247" i="9"/>
  <c r="X4248" i="9"/>
  <c r="X4249" i="9"/>
  <c r="X4250" i="9"/>
  <c r="X4251" i="9"/>
  <c r="X4252" i="9"/>
  <c r="X4253" i="9"/>
  <c r="X4254" i="9"/>
  <c r="X4255" i="9"/>
  <c r="X4256" i="9"/>
  <c r="X4257" i="9"/>
  <c r="X4258" i="9"/>
  <c r="X4259" i="9"/>
  <c r="X4260" i="9"/>
  <c r="X4261" i="9"/>
  <c r="X4262" i="9"/>
  <c r="X4263" i="9"/>
  <c r="X4264" i="9"/>
  <c r="X4265" i="9"/>
  <c r="X4266" i="9"/>
  <c r="X4267" i="9"/>
  <c r="X4268" i="9"/>
  <c r="X4269" i="9"/>
  <c r="X4270" i="9"/>
  <c r="X4271" i="9"/>
  <c r="X4272" i="9"/>
  <c r="X4273" i="9"/>
  <c r="X4274" i="9"/>
  <c r="X4275" i="9"/>
  <c r="X4276" i="9"/>
  <c r="X4277" i="9"/>
  <c r="X4278" i="9"/>
  <c r="X4279" i="9"/>
  <c r="X4280" i="9"/>
  <c r="X4281" i="9"/>
  <c r="X4282" i="9"/>
  <c r="X4283" i="9"/>
  <c r="X4284" i="9"/>
  <c r="X4285" i="9"/>
  <c r="X4286" i="9"/>
  <c r="X4287" i="9"/>
  <c r="X4288" i="9"/>
  <c r="X4289" i="9"/>
  <c r="X4290" i="9"/>
  <c r="X4291" i="9"/>
  <c r="X4292" i="9"/>
  <c r="X4293" i="9"/>
  <c r="X4294" i="9"/>
  <c r="X4295" i="9"/>
  <c r="X4296" i="9"/>
  <c r="X4297" i="9"/>
  <c r="X4298" i="9"/>
  <c r="X4299" i="9"/>
  <c r="X4300" i="9"/>
  <c r="X4301" i="9"/>
  <c r="X4302" i="9"/>
  <c r="X4303" i="9"/>
  <c r="X4304" i="9"/>
  <c r="X4305" i="9"/>
  <c r="X4306" i="9"/>
  <c r="X4307" i="9"/>
  <c r="X4308" i="9"/>
  <c r="X4309" i="9"/>
  <c r="X4310" i="9"/>
  <c r="X4311" i="9"/>
  <c r="X4312" i="9"/>
  <c r="X4313" i="9"/>
  <c r="X4314" i="9"/>
  <c r="X4315" i="9"/>
  <c r="X4316" i="9"/>
  <c r="X4317" i="9"/>
  <c r="X4318" i="9"/>
  <c r="X4319" i="9"/>
  <c r="X4320" i="9"/>
  <c r="X4321" i="9"/>
  <c r="X4322" i="9"/>
  <c r="X4323" i="9"/>
  <c r="X4324" i="9"/>
  <c r="X4325" i="9"/>
  <c r="X4326" i="9"/>
  <c r="X4327" i="9"/>
  <c r="X4328" i="9"/>
  <c r="X4329" i="9"/>
  <c r="X4330" i="9"/>
  <c r="X4331" i="9"/>
  <c r="X4332" i="9"/>
  <c r="X4333" i="9"/>
  <c r="X4334" i="9"/>
  <c r="X4335" i="9"/>
  <c r="X4336" i="9"/>
  <c r="X4337" i="9"/>
  <c r="X4338" i="9"/>
  <c r="X4339" i="9"/>
  <c r="X4340" i="9"/>
  <c r="X4341" i="9"/>
  <c r="X4342" i="9"/>
  <c r="X4343" i="9"/>
  <c r="X4344" i="9"/>
  <c r="X4345" i="9"/>
  <c r="X4346" i="9"/>
  <c r="X4347" i="9"/>
  <c r="X4348" i="9"/>
  <c r="X4349" i="9"/>
  <c r="X4350" i="9"/>
  <c r="X4351" i="9"/>
  <c r="X4352" i="9"/>
  <c r="X4353" i="9"/>
  <c r="X4354" i="9"/>
  <c r="X4355" i="9"/>
  <c r="X4356" i="9"/>
  <c r="X4357" i="9"/>
  <c r="X4358" i="9"/>
  <c r="X4359" i="9"/>
  <c r="X4360" i="9"/>
  <c r="X4361" i="9"/>
  <c r="X4362" i="9"/>
  <c r="X4363" i="9"/>
  <c r="X4364" i="9"/>
  <c r="X4365" i="9"/>
  <c r="X4366" i="9"/>
  <c r="X4367" i="9"/>
  <c r="X4368" i="9"/>
  <c r="X4369" i="9"/>
  <c r="X4370" i="9"/>
  <c r="X4371" i="9"/>
  <c r="X4372" i="9"/>
  <c r="X4373" i="9"/>
  <c r="X4374" i="9"/>
  <c r="X4375" i="9"/>
  <c r="X4376" i="9"/>
  <c r="X4377" i="9"/>
  <c r="X4378" i="9"/>
  <c r="X4379" i="9"/>
  <c r="X4380" i="9"/>
  <c r="X4381" i="9"/>
  <c r="X4382" i="9"/>
  <c r="X4383" i="9"/>
  <c r="X4384" i="9"/>
  <c r="X4385" i="9"/>
  <c r="X4386" i="9"/>
  <c r="X4387" i="9"/>
  <c r="X4388" i="9"/>
  <c r="X4389" i="9"/>
  <c r="X4390" i="9"/>
  <c r="X4391" i="9"/>
  <c r="X4392" i="9"/>
  <c r="X4393" i="9"/>
  <c r="X4394" i="9"/>
  <c r="X4395" i="9"/>
  <c r="X4396" i="9"/>
  <c r="X4397" i="9"/>
  <c r="X4398" i="9"/>
  <c r="X4399" i="9"/>
  <c r="X4400" i="9"/>
  <c r="X4401" i="9"/>
  <c r="X4402" i="9"/>
  <c r="X4403" i="9"/>
  <c r="X4404" i="9"/>
  <c r="X4405" i="9"/>
  <c r="X4406" i="9"/>
  <c r="X4407" i="9"/>
  <c r="X4408" i="9"/>
  <c r="X4409" i="9"/>
  <c r="X4410" i="9"/>
  <c r="X4411" i="9"/>
  <c r="X4412" i="9"/>
  <c r="X4413" i="9"/>
  <c r="X4414" i="9"/>
  <c r="X4415" i="9"/>
  <c r="X4416" i="9"/>
  <c r="X4417" i="9"/>
  <c r="X4418" i="9"/>
  <c r="X4419" i="9"/>
  <c r="X4420" i="9"/>
  <c r="X4421" i="9"/>
  <c r="X4422" i="9"/>
  <c r="X4423" i="9"/>
  <c r="X4424" i="9"/>
  <c r="X4425" i="9"/>
  <c r="X4426" i="9"/>
  <c r="X4427" i="9"/>
  <c r="X4428" i="9"/>
  <c r="X4429" i="9"/>
  <c r="X4430" i="9"/>
  <c r="X4431" i="9"/>
  <c r="X4432" i="9"/>
  <c r="X4433" i="9"/>
  <c r="X4434" i="9"/>
  <c r="X4435" i="9"/>
  <c r="X4436" i="9"/>
  <c r="X4437" i="9"/>
  <c r="X4438" i="9"/>
  <c r="X4439" i="9"/>
  <c r="X4440" i="9"/>
  <c r="X4441" i="9"/>
  <c r="X4442" i="9"/>
  <c r="X4443" i="9"/>
  <c r="X4444" i="9"/>
  <c r="X4445" i="9"/>
  <c r="X4446" i="9"/>
  <c r="X4447" i="9"/>
  <c r="X4448" i="9"/>
  <c r="X4449" i="9"/>
  <c r="X4450" i="9"/>
  <c r="X4451" i="9"/>
  <c r="X4452" i="9"/>
  <c r="X4453" i="9"/>
  <c r="X4454" i="9"/>
  <c r="X4455" i="9"/>
  <c r="X4456" i="9"/>
  <c r="X4457" i="9"/>
  <c r="X4458" i="9"/>
  <c r="X4459" i="9"/>
  <c r="X4460" i="9"/>
  <c r="X4461" i="9"/>
  <c r="X4462" i="9"/>
  <c r="X4463" i="9"/>
  <c r="X4464" i="9"/>
  <c r="X4465" i="9"/>
  <c r="X4466" i="9"/>
  <c r="X4467" i="9"/>
  <c r="X4468" i="9"/>
  <c r="X4469" i="9"/>
  <c r="X4470" i="9"/>
  <c r="X4471" i="9"/>
  <c r="X4472" i="9"/>
  <c r="X4473" i="9"/>
  <c r="X4474" i="9"/>
  <c r="X4475" i="9"/>
  <c r="X4476" i="9"/>
  <c r="X4477" i="9"/>
  <c r="X4478" i="9"/>
  <c r="X4479" i="9"/>
  <c r="X4480" i="9"/>
  <c r="X4481" i="9"/>
  <c r="X4482" i="9"/>
  <c r="X4483" i="9"/>
  <c r="X4484" i="9"/>
  <c r="X4485" i="9"/>
  <c r="X4486" i="9"/>
  <c r="X4487" i="9"/>
  <c r="X4488" i="9"/>
  <c r="X4489" i="9"/>
  <c r="X4490" i="9"/>
  <c r="X4491" i="9"/>
  <c r="X4492" i="9"/>
  <c r="X4493" i="9"/>
  <c r="X4494" i="9"/>
  <c r="X4495" i="9"/>
  <c r="X4496" i="9"/>
  <c r="X4497" i="9"/>
  <c r="X4498" i="9"/>
  <c r="X4499" i="9"/>
  <c r="X4500" i="9"/>
  <c r="X4501" i="9"/>
  <c r="X4502" i="9"/>
  <c r="X4503" i="9"/>
  <c r="X4504" i="9"/>
  <c r="X4505" i="9"/>
  <c r="X4506" i="9"/>
  <c r="X4507" i="9"/>
  <c r="X4508" i="9"/>
  <c r="X4509" i="9"/>
  <c r="X4510" i="9"/>
  <c r="X4511" i="9"/>
  <c r="X4512" i="9"/>
  <c r="X4513" i="9"/>
  <c r="X4514" i="9"/>
  <c r="X4515" i="9"/>
  <c r="X4516" i="9"/>
  <c r="X4517" i="9"/>
  <c r="X4518" i="9"/>
  <c r="X4519" i="9"/>
  <c r="X4520" i="9"/>
  <c r="X4521" i="9"/>
  <c r="X4522" i="9"/>
  <c r="X4523" i="9"/>
  <c r="X4524" i="9"/>
  <c r="X4525" i="9"/>
  <c r="X4526" i="9"/>
  <c r="X4527" i="9"/>
  <c r="X4528" i="9"/>
  <c r="X4529" i="9"/>
  <c r="X4530" i="9"/>
  <c r="X4531" i="9"/>
  <c r="X4532" i="9"/>
  <c r="X4533" i="9"/>
  <c r="X4534" i="9"/>
  <c r="X4535" i="9"/>
  <c r="X4536" i="9"/>
  <c r="X4537" i="9"/>
  <c r="X4538" i="9"/>
  <c r="X4539" i="9"/>
  <c r="X4540" i="9"/>
  <c r="X4541" i="9"/>
  <c r="X4542" i="9"/>
  <c r="X4543" i="9"/>
  <c r="X4544" i="9"/>
  <c r="X4545" i="9"/>
  <c r="X4546" i="9"/>
  <c r="X4547" i="9"/>
  <c r="X4548" i="9"/>
  <c r="X4549" i="9"/>
  <c r="X4550" i="9"/>
  <c r="X4551" i="9"/>
  <c r="X4552" i="9"/>
  <c r="X4553" i="9"/>
  <c r="X4554" i="9"/>
  <c r="X4555" i="9"/>
  <c r="X4556" i="9"/>
  <c r="X4557" i="9"/>
  <c r="X4558" i="9"/>
  <c r="X4559" i="9"/>
  <c r="X4560" i="9"/>
  <c r="X4561" i="9"/>
  <c r="X4562" i="9"/>
  <c r="X4563" i="9"/>
  <c r="X4564" i="9"/>
  <c r="X4565" i="9"/>
  <c r="X4566" i="9"/>
  <c r="X4567" i="9"/>
  <c r="X4568" i="9"/>
  <c r="X4569" i="9"/>
  <c r="X4570" i="9"/>
  <c r="X4571" i="9"/>
  <c r="X4572" i="9"/>
  <c r="X4573" i="9"/>
  <c r="X4574" i="9"/>
  <c r="X4575" i="9"/>
  <c r="X4576" i="9"/>
  <c r="X4577" i="9"/>
  <c r="X4578" i="9"/>
  <c r="X4579" i="9"/>
  <c r="X4580" i="9"/>
  <c r="X4581" i="9"/>
  <c r="X4582" i="9"/>
  <c r="X4583" i="9"/>
  <c r="X4584" i="9"/>
  <c r="X4585" i="9"/>
  <c r="X4586" i="9"/>
  <c r="X4587" i="9"/>
  <c r="X4588" i="9"/>
  <c r="X4589" i="9"/>
  <c r="X4590" i="9"/>
  <c r="X4591" i="9"/>
  <c r="X4592" i="9"/>
  <c r="X4593" i="9"/>
  <c r="X4594" i="9"/>
  <c r="X4595" i="9"/>
  <c r="X4596" i="9"/>
  <c r="X4597" i="9"/>
  <c r="X4598" i="9"/>
  <c r="X4599" i="9"/>
  <c r="X4600" i="9"/>
  <c r="X4601" i="9"/>
  <c r="X4602" i="9"/>
  <c r="X4603" i="9"/>
  <c r="X4604" i="9"/>
  <c r="X4605" i="9"/>
  <c r="X4606" i="9"/>
  <c r="X4607" i="9"/>
  <c r="X4608" i="9"/>
  <c r="X4609" i="9"/>
  <c r="X4610" i="9"/>
  <c r="X4611" i="9"/>
  <c r="X4612" i="9"/>
  <c r="X4613" i="9"/>
  <c r="X4614" i="9"/>
  <c r="X4615" i="9"/>
  <c r="X4616" i="9"/>
  <c r="X4617" i="9"/>
  <c r="X4618" i="9"/>
  <c r="X4619" i="9"/>
  <c r="X4620" i="9"/>
  <c r="X4621" i="9"/>
  <c r="X4622" i="9"/>
  <c r="X4623" i="9"/>
  <c r="X4624" i="9"/>
  <c r="X4625" i="9"/>
  <c r="X4626" i="9"/>
  <c r="X4627" i="9"/>
  <c r="X4628" i="9"/>
  <c r="X4629" i="9"/>
  <c r="X4630" i="9"/>
  <c r="X4631" i="9"/>
  <c r="X4632" i="9"/>
  <c r="X4633" i="9"/>
  <c r="X4634" i="9"/>
  <c r="X4635" i="9"/>
  <c r="X4636" i="9"/>
  <c r="X4637" i="9"/>
  <c r="X4638" i="9"/>
  <c r="X4639" i="9"/>
  <c r="X4640" i="9"/>
  <c r="X4641" i="9"/>
  <c r="X4642" i="9"/>
  <c r="X4643" i="9"/>
  <c r="X4644" i="9"/>
  <c r="X4645" i="9"/>
  <c r="X4646" i="9"/>
  <c r="X4647" i="9"/>
  <c r="X4648" i="9"/>
  <c r="X4649" i="9"/>
  <c r="X4650" i="9"/>
  <c r="X4651" i="9"/>
  <c r="X4652" i="9"/>
  <c r="X4653" i="9"/>
  <c r="X4654" i="9"/>
  <c r="X4655" i="9"/>
  <c r="X4656" i="9"/>
  <c r="X4657" i="9"/>
  <c r="X4658" i="9"/>
  <c r="X4659" i="9"/>
  <c r="X4660" i="9"/>
  <c r="X4661" i="9"/>
  <c r="X4662" i="9"/>
  <c r="X4663" i="9"/>
  <c r="X4664" i="9"/>
  <c r="X4665" i="9"/>
  <c r="X4666" i="9"/>
  <c r="X4667" i="9"/>
  <c r="X4668" i="9"/>
  <c r="X4669" i="9"/>
  <c r="X4670" i="9"/>
  <c r="X4671" i="9"/>
  <c r="X4672" i="9"/>
  <c r="X4673" i="9"/>
  <c r="X4674" i="9"/>
  <c r="X4675" i="9"/>
  <c r="X4676" i="9"/>
  <c r="X4677" i="9"/>
  <c r="X4678" i="9"/>
  <c r="X4679" i="9"/>
  <c r="X4680" i="9"/>
  <c r="X4681" i="9"/>
  <c r="X4682" i="9"/>
  <c r="X4683" i="9"/>
  <c r="X4684" i="9"/>
  <c r="X4685" i="9"/>
  <c r="X4686" i="9"/>
  <c r="X4687" i="9"/>
  <c r="X4688" i="9"/>
  <c r="X4689" i="9"/>
  <c r="X4690" i="9"/>
  <c r="X4691" i="9"/>
  <c r="X4692" i="9"/>
  <c r="X4693" i="9"/>
  <c r="X4694" i="9"/>
  <c r="X4695" i="9"/>
  <c r="X4696" i="9"/>
  <c r="X4697" i="9"/>
  <c r="X4698" i="9"/>
  <c r="X4699" i="9"/>
  <c r="X4700" i="9"/>
  <c r="X4701" i="9"/>
  <c r="X4702" i="9"/>
  <c r="X4703" i="9"/>
  <c r="X4704" i="9"/>
  <c r="X4705" i="9"/>
  <c r="X4706" i="9"/>
  <c r="X4707" i="9"/>
  <c r="X4708" i="9"/>
  <c r="X4709" i="9"/>
  <c r="X4710" i="9"/>
  <c r="X4711" i="9"/>
  <c r="X4712" i="9"/>
  <c r="X4713" i="9"/>
  <c r="X4714" i="9"/>
  <c r="X4715" i="9"/>
  <c r="X4716" i="9"/>
  <c r="X4717" i="9"/>
  <c r="X4718" i="9"/>
  <c r="X4719" i="9"/>
  <c r="X4720" i="9"/>
  <c r="X4721" i="9"/>
  <c r="X4722" i="9"/>
  <c r="X4723" i="9"/>
  <c r="X4724" i="9"/>
  <c r="X4725" i="9"/>
  <c r="X4726" i="9"/>
  <c r="X4727" i="9"/>
  <c r="X4728" i="9"/>
  <c r="X4729" i="9"/>
  <c r="X4730" i="9"/>
  <c r="X4731" i="9"/>
  <c r="X4732" i="9"/>
  <c r="X4733" i="9"/>
  <c r="X4734" i="9"/>
  <c r="X4735" i="9"/>
  <c r="X4736" i="9"/>
  <c r="X4737" i="9"/>
  <c r="X4738" i="9"/>
  <c r="X4739" i="9"/>
  <c r="X4740" i="9"/>
  <c r="X4741" i="9"/>
  <c r="X4742" i="9"/>
  <c r="X4743" i="9"/>
  <c r="X4744" i="9"/>
  <c r="X4745" i="9"/>
  <c r="X4746" i="9"/>
  <c r="X4747" i="9"/>
  <c r="X4748" i="9"/>
  <c r="X4749" i="9"/>
  <c r="X4750" i="9"/>
  <c r="X4751" i="9"/>
  <c r="X4752" i="9"/>
  <c r="X4753" i="9"/>
  <c r="X4754" i="9"/>
  <c r="X4755" i="9"/>
  <c r="X4756" i="9"/>
  <c r="X4757" i="9"/>
  <c r="X4758" i="9"/>
  <c r="X4759" i="9"/>
  <c r="X4760" i="9"/>
  <c r="X4761" i="9"/>
  <c r="X4762" i="9"/>
  <c r="X4763" i="9"/>
  <c r="X4764" i="9"/>
  <c r="X4765" i="9"/>
  <c r="X4766" i="9"/>
  <c r="X4767" i="9"/>
  <c r="X4768" i="9"/>
  <c r="X4769" i="9"/>
  <c r="X4770" i="9"/>
  <c r="X4771" i="9"/>
  <c r="X4772" i="9"/>
  <c r="X4773" i="9"/>
  <c r="X4774" i="9"/>
  <c r="X4775" i="9"/>
  <c r="X4776" i="9"/>
  <c r="X4777" i="9"/>
  <c r="X4778" i="9"/>
  <c r="X4779" i="9"/>
  <c r="X4780" i="9"/>
  <c r="X4781" i="9"/>
  <c r="X4782" i="9"/>
  <c r="X4783" i="9"/>
  <c r="X4784" i="9"/>
  <c r="X4785" i="9"/>
  <c r="X4786" i="9"/>
  <c r="X4787" i="9"/>
  <c r="X4788" i="9"/>
  <c r="X4789" i="9"/>
  <c r="X4790" i="9"/>
  <c r="X4791" i="9"/>
  <c r="X4792" i="9"/>
  <c r="X4793" i="9"/>
  <c r="X4794" i="9"/>
  <c r="X4795" i="9"/>
  <c r="X4796" i="9"/>
  <c r="X4797" i="9"/>
  <c r="X4798" i="9"/>
  <c r="X4799" i="9"/>
  <c r="X4800" i="9"/>
  <c r="X4801" i="9"/>
  <c r="X4802" i="9"/>
  <c r="X4803" i="9"/>
  <c r="X4804" i="9"/>
  <c r="X4805" i="9"/>
  <c r="X4806" i="9"/>
  <c r="X4807" i="9"/>
  <c r="X4808" i="9"/>
  <c r="X4809" i="9"/>
  <c r="X4810" i="9"/>
  <c r="X4811" i="9"/>
  <c r="X4812" i="9"/>
  <c r="X4813" i="9"/>
  <c r="X4814" i="9"/>
  <c r="X4815" i="9"/>
  <c r="X4816" i="9"/>
  <c r="X4817" i="9"/>
  <c r="X4818" i="9"/>
  <c r="X4819" i="9"/>
  <c r="X4820" i="9"/>
  <c r="X4821" i="9"/>
  <c r="X4822" i="9"/>
  <c r="X4823" i="9"/>
  <c r="X4824" i="9"/>
  <c r="X4825" i="9"/>
  <c r="X4826" i="9"/>
  <c r="X4827" i="9"/>
  <c r="X4828" i="9"/>
  <c r="X4829" i="9"/>
  <c r="X4830" i="9"/>
  <c r="X4831" i="9"/>
  <c r="X4832" i="9"/>
  <c r="X4833" i="9"/>
  <c r="X4834" i="9"/>
  <c r="X4835" i="9"/>
  <c r="X4836" i="9"/>
  <c r="X4837" i="9"/>
  <c r="X4838" i="9"/>
  <c r="X4839" i="9"/>
  <c r="X4840" i="9"/>
  <c r="X4841" i="9"/>
  <c r="X4842" i="9"/>
  <c r="X4843" i="9"/>
  <c r="X4844" i="9"/>
  <c r="X4845" i="9"/>
  <c r="X4846" i="9"/>
  <c r="X4847" i="9"/>
  <c r="X4848" i="9"/>
  <c r="X4849" i="9"/>
  <c r="X4850" i="9"/>
  <c r="X4851" i="9"/>
  <c r="X4852" i="9"/>
  <c r="X4853" i="9"/>
  <c r="X4854" i="9"/>
  <c r="X4855" i="9"/>
  <c r="X4856" i="9"/>
  <c r="X4857" i="9"/>
  <c r="X4858" i="9"/>
  <c r="X4859" i="9"/>
  <c r="X4860" i="9"/>
  <c r="X4861" i="9"/>
  <c r="X4862" i="9"/>
  <c r="X4863" i="9"/>
  <c r="X4864" i="9"/>
  <c r="X4865" i="9"/>
  <c r="X4866" i="9"/>
  <c r="X4867" i="9"/>
  <c r="X4868" i="9"/>
  <c r="X4869" i="9"/>
  <c r="X4870" i="9"/>
  <c r="X4871" i="9"/>
  <c r="X4872" i="9"/>
  <c r="X4873" i="9"/>
  <c r="X4874" i="9"/>
  <c r="X4875" i="9"/>
  <c r="X4876" i="9"/>
  <c r="X4877" i="9"/>
  <c r="X4878" i="9"/>
  <c r="X4879" i="9"/>
  <c r="X4880" i="9"/>
  <c r="X4881" i="9"/>
  <c r="X4882" i="9"/>
  <c r="X4883" i="9"/>
  <c r="X4884" i="9"/>
  <c r="X4885" i="9"/>
  <c r="X4886" i="9"/>
  <c r="X4887" i="9"/>
  <c r="X4888" i="9"/>
  <c r="X4889" i="9"/>
  <c r="X4890" i="9"/>
  <c r="X4891" i="9"/>
  <c r="X4892" i="9"/>
  <c r="X4893" i="9"/>
  <c r="X4894" i="9"/>
  <c r="X4895" i="9"/>
  <c r="X4896" i="9"/>
  <c r="X4897" i="9"/>
  <c r="X4898" i="9"/>
  <c r="X4899" i="9"/>
  <c r="X4900" i="9"/>
  <c r="X4901" i="9"/>
  <c r="X4902" i="9"/>
  <c r="X4903" i="9"/>
  <c r="X4904" i="9"/>
  <c r="X4905" i="9"/>
  <c r="X4906" i="9"/>
  <c r="X4907" i="9"/>
  <c r="X4908" i="9"/>
  <c r="X4909" i="9"/>
  <c r="X4910" i="9"/>
  <c r="X4911" i="9"/>
  <c r="X4912" i="9"/>
  <c r="X4913" i="9"/>
  <c r="X4914" i="9"/>
  <c r="X4915" i="9"/>
  <c r="X4916" i="9"/>
  <c r="X4917" i="9"/>
  <c r="X4918" i="9"/>
  <c r="X4919" i="9"/>
  <c r="X4920" i="9"/>
  <c r="X4921" i="9"/>
  <c r="X4922" i="9"/>
  <c r="X4923" i="9"/>
  <c r="X4924" i="9"/>
  <c r="X4925" i="9"/>
  <c r="X4926" i="9"/>
  <c r="X4927" i="9"/>
  <c r="X4928" i="9"/>
  <c r="X4929" i="9"/>
  <c r="X4930" i="9"/>
  <c r="X4931" i="9"/>
  <c r="X4932" i="9"/>
  <c r="X4933" i="9"/>
  <c r="X4934" i="9"/>
  <c r="X4935" i="9"/>
  <c r="X4936" i="9"/>
  <c r="X4937" i="9"/>
  <c r="X4938" i="9"/>
  <c r="X4939" i="9"/>
  <c r="X4940" i="9"/>
  <c r="X4941" i="9"/>
  <c r="X4942" i="9"/>
  <c r="X4943" i="9"/>
  <c r="X4944" i="9"/>
  <c r="X4945" i="9"/>
  <c r="X4946" i="9"/>
  <c r="X4947" i="9"/>
  <c r="X4948" i="9"/>
  <c r="X4949" i="9"/>
  <c r="X4950" i="9"/>
  <c r="X4951" i="9"/>
  <c r="X4952" i="9"/>
  <c r="X4953" i="9"/>
  <c r="X4954" i="9"/>
  <c r="X4955" i="9"/>
  <c r="X4956" i="9"/>
  <c r="X4957" i="9"/>
  <c r="X4958" i="9"/>
  <c r="X4959" i="9"/>
  <c r="X4960" i="9"/>
  <c r="X4961" i="9"/>
  <c r="X4962" i="9"/>
  <c r="X4963" i="9"/>
  <c r="X4964" i="9"/>
  <c r="X4965" i="9"/>
  <c r="X4966" i="9"/>
  <c r="X4967" i="9"/>
  <c r="X4968" i="9"/>
  <c r="X4969" i="9"/>
  <c r="X4970" i="9"/>
  <c r="X4971" i="9"/>
  <c r="X4972" i="9"/>
  <c r="X4973" i="9"/>
  <c r="X4974" i="9"/>
  <c r="X4975" i="9"/>
  <c r="X4976" i="9"/>
  <c r="X4977" i="9"/>
  <c r="X4978" i="9"/>
  <c r="X4979" i="9"/>
  <c r="X4980" i="9"/>
  <c r="X4981" i="9"/>
  <c r="X4982" i="9"/>
  <c r="X4983" i="9"/>
  <c r="X4984" i="9"/>
  <c r="X4985" i="9"/>
  <c r="X4986" i="9"/>
  <c r="X4987" i="9"/>
  <c r="X4988" i="9"/>
  <c r="X4989" i="9"/>
  <c r="X4990" i="9"/>
  <c r="X4991" i="9"/>
  <c r="X4992" i="9"/>
  <c r="X4993" i="9"/>
  <c r="X4994" i="9"/>
  <c r="X4995" i="9"/>
  <c r="X4996" i="9"/>
  <c r="X4997" i="9"/>
  <c r="X4998" i="9"/>
  <c r="X4999" i="9"/>
  <c r="X5000" i="9"/>
  <c r="X5001" i="9"/>
  <c r="X5002" i="9"/>
  <c r="X5003" i="9"/>
  <c r="X5004" i="9"/>
  <c r="X5005" i="9"/>
  <c r="X5006" i="9"/>
  <c r="X5007" i="9"/>
  <c r="X5008" i="9"/>
  <c r="X5009" i="9"/>
  <c r="X5010" i="9"/>
  <c r="X5011" i="9"/>
  <c r="X5012" i="9"/>
  <c r="X5013" i="9"/>
  <c r="X5014" i="9"/>
  <c r="X5015" i="9"/>
  <c r="X5016" i="9"/>
  <c r="X5017" i="9"/>
  <c r="X5018" i="9"/>
  <c r="X5019" i="9"/>
  <c r="X5020" i="9"/>
  <c r="X5021" i="9"/>
  <c r="X5022" i="9"/>
  <c r="X5023" i="9"/>
  <c r="X5024" i="9"/>
  <c r="X5025" i="9"/>
  <c r="X5026" i="9"/>
  <c r="X5027" i="9"/>
  <c r="X5028" i="9"/>
  <c r="X5029" i="9"/>
  <c r="X5030" i="9"/>
  <c r="X5031" i="9"/>
  <c r="X5032" i="9"/>
  <c r="X5033" i="9"/>
  <c r="X5034" i="9"/>
  <c r="X5035" i="9"/>
  <c r="X5036" i="9"/>
  <c r="X5037" i="9"/>
  <c r="X5038" i="9"/>
  <c r="X5039" i="9"/>
  <c r="X5040" i="9"/>
  <c r="X5041" i="9"/>
  <c r="X5042" i="9"/>
  <c r="X5043" i="9"/>
  <c r="X5044" i="9"/>
  <c r="X5045" i="9"/>
  <c r="X5046" i="9"/>
  <c r="X5047" i="9"/>
  <c r="X5048" i="9"/>
  <c r="X5049" i="9"/>
  <c r="X5050" i="9"/>
  <c r="X5051" i="9"/>
  <c r="X5052" i="9"/>
  <c r="X5053" i="9"/>
  <c r="X5054" i="9"/>
  <c r="X5055" i="9"/>
  <c r="X5056" i="9"/>
  <c r="X5057" i="9"/>
  <c r="X5058" i="9"/>
  <c r="X5059" i="9"/>
  <c r="X5060" i="9"/>
  <c r="X5061" i="9"/>
  <c r="X5062" i="9"/>
  <c r="X5063" i="9"/>
  <c r="X5064" i="9"/>
  <c r="X5065" i="9"/>
  <c r="X5066" i="9"/>
  <c r="X5067" i="9"/>
  <c r="X5068" i="9"/>
  <c r="X5069" i="9"/>
  <c r="X5070" i="9"/>
  <c r="X5071" i="9"/>
  <c r="Y3044" i="9"/>
  <c r="Y3045" i="9"/>
  <c r="Y3046" i="9"/>
  <c r="Y3047" i="9"/>
  <c r="Y3048" i="9"/>
  <c r="Y3049" i="9"/>
  <c r="Y3050" i="9"/>
  <c r="Y3051" i="9"/>
  <c r="Y3053" i="9"/>
  <c r="Y3054" i="9"/>
  <c r="Y3055" i="9"/>
  <c r="Y3056" i="9"/>
  <c r="Y3057" i="9"/>
  <c r="Y3058" i="9"/>
  <c r="Y3059" i="9"/>
  <c r="Y3060" i="9"/>
  <c r="Y3061" i="9"/>
  <c r="Y3062" i="9"/>
  <c r="Y3063" i="9"/>
  <c r="Y3064" i="9"/>
  <c r="Y3065" i="9"/>
  <c r="Y3066" i="9"/>
  <c r="Y3067" i="9"/>
  <c r="Y3068" i="9"/>
  <c r="Y3069" i="9"/>
  <c r="Y3070" i="9"/>
  <c r="Y3071" i="9"/>
  <c r="Y3072" i="9"/>
  <c r="Y3073" i="9"/>
  <c r="Y3074" i="9"/>
  <c r="Y3075" i="9"/>
  <c r="Y3076" i="9"/>
  <c r="Y3077" i="9"/>
  <c r="Y3078" i="9"/>
  <c r="Y3079" i="9"/>
  <c r="Y3080" i="9"/>
  <c r="Y3081" i="9"/>
  <c r="Y3082" i="9"/>
  <c r="Y3083" i="9"/>
  <c r="Y3084" i="9"/>
  <c r="Y3085" i="9"/>
  <c r="Y3086" i="9"/>
  <c r="Y3087" i="9"/>
  <c r="Y3088" i="9"/>
  <c r="Y3089" i="9"/>
  <c r="Y3090" i="9"/>
  <c r="Y3091" i="9"/>
  <c r="Y3092" i="9"/>
  <c r="Y3093" i="9"/>
  <c r="Y3094" i="9"/>
  <c r="Y3095" i="9"/>
  <c r="Y3096" i="9"/>
  <c r="Y3097" i="9"/>
  <c r="Y3098" i="9"/>
  <c r="Y3099" i="9"/>
  <c r="Y3100" i="9"/>
  <c r="Y3101" i="9"/>
  <c r="Y3102" i="9"/>
  <c r="Y3103" i="9"/>
  <c r="Y3104" i="9"/>
  <c r="Y3105" i="9"/>
  <c r="Y3106" i="9"/>
  <c r="Y3107" i="9"/>
  <c r="Y3108" i="9"/>
  <c r="Y3109" i="9"/>
  <c r="Y3110" i="9"/>
  <c r="Y3111" i="9"/>
  <c r="Y3112" i="9"/>
  <c r="Y3113" i="9"/>
  <c r="Y3114" i="9"/>
  <c r="Y3115" i="9"/>
  <c r="Y3116" i="9"/>
  <c r="Y3117" i="9"/>
  <c r="Y3118" i="9"/>
  <c r="Y3119" i="9"/>
  <c r="Y3120" i="9"/>
  <c r="Y3121" i="9"/>
  <c r="Y3122" i="9"/>
  <c r="Y3123" i="9"/>
  <c r="Y3124" i="9"/>
  <c r="Y3125" i="9"/>
  <c r="Y3126" i="9"/>
  <c r="Y3127" i="9"/>
  <c r="Y3128" i="9"/>
  <c r="Y3129" i="9"/>
  <c r="Y3130" i="9"/>
  <c r="Y3131" i="9"/>
  <c r="Y3132" i="9"/>
  <c r="Y3133" i="9"/>
  <c r="Y3134" i="9"/>
  <c r="Y3135" i="9"/>
  <c r="Y3136" i="9"/>
  <c r="Y3137" i="9"/>
  <c r="Y3138" i="9"/>
  <c r="Y3139" i="9"/>
  <c r="Y3140" i="9"/>
  <c r="Y3141" i="9"/>
  <c r="Y3142" i="9"/>
  <c r="Y3143" i="9"/>
  <c r="Y3144" i="9"/>
  <c r="Y3145" i="9"/>
  <c r="Y3146" i="9"/>
  <c r="Y3147" i="9"/>
  <c r="Y3148" i="9"/>
  <c r="Y3149" i="9"/>
  <c r="Y3150" i="9"/>
  <c r="Y3151" i="9"/>
  <c r="Y3152" i="9"/>
  <c r="Y3153" i="9"/>
  <c r="Y3154" i="9"/>
  <c r="Y3155" i="9"/>
  <c r="Y3156" i="9"/>
  <c r="Y3157" i="9"/>
  <c r="Y3158" i="9"/>
  <c r="Y3159" i="9"/>
  <c r="Y3160" i="9"/>
  <c r="Y3161" i="9"/>
  <c r="Y3162" i="9"/>
  <c r="Y3163" i="9"/>
  <c r="Y3164" i="9"/>
  <c r="Y3165" i="9"/>
  <c r="Y3166" i="9"/>
  <c r="Y3167" i="9"/>
  <c r="Y3168" i="9"/>
  <c r="Y3169" i="9"/>
  <c r="Y3170" i="9"/>
  <c r="Y3171" i="9"/>
  <c r="Y3172" i="9"/>
  <c r="Y3173" i="9"/>
  <c r="Y3174" i="9"/>
  <c r="Y3175" i="9"/>
  <c r="Y3176" i="9"/>
  <c r="Y3177" i="9"/>
  <c r="Y3178" i="9"/>
  <c r="Y3179" i="9"/>
  <c r="Y3180" i="9"/>
  <c r="Y3181" i="9"/>
  <c r="Y3182" i="9"/>
  <c r="Y3183" i="9"/>
  <c r="Y3184" i="9"/>
  <c r="Y3185" i="9"/>
  <c r="Y3186" i="9"/>
  <c r="Y3187" i="9"/>
  <c r="Y3188" i="9"/>
  <c r="Y3189" i="9"/>
  <c r="Y3190" i="9"/>
  <c r="Y3191" i="9"/>
  <c r="Y3192" i="9"/>
  <c r="Y3193" i="9"/>
  <c r="Y3194" i="9"/>
  <c r="Y3195" i="9"/>
  <c r="Y3196" i="9"/>
  <c r="Y3197" i="9"/>
  <c r="Y3198" i="9"/>
  <c r="Y3199" i="9"/>
  <c r="Y3200" i="9"/>
  <c r="Y3201" i="9"/>
  <c r="Y3202" i="9"/>
  <c r="Y3203" i="9"/>
  <c r="Y3204" i="9"/>
  <c r="Y3205" i="9"/>
  <c r="Y3206" i="9"/>
  <c r="Y3207" i="9"/>
  <c r="Y3208" i="9"/>
  <c r="Y3209" i="9"/>
  <c r="Y3210" i="9"/>
  <c r="Y3211" i="9"/>
  <c r="Y3212" i="9"/>
  <c r="Y3213" i="9"/>
  <c r="Y3214" i="9"/>
  <c r="Y3215" i="9"/>
  <c r="Y3216" i="9"/>
  <c r="Y3217" i="9"/>
  <c r="Y3218" i="9"/>
  <c r="Y3219" i="9"/>
  <c r="Y3220" i="9"/>
  <c r="Y3221" i="9"/>
  <c r="Y3222" i="9"/>
  <c r="Y3223" i="9"/>
  <c r="Y3224" i="9"/>
  <c r="Y3230" i="9"/>
  <c r="Y3231" i="9"/>
  <c r="Y3232" i="9"/>
  <c r="Y3233" i="9"/>
  <c r="Y3234" i="9"/>
  <c r="Y3235" i="9"/>
  <c r="Y3236" i="9"/>
  <c r="Y3237" i="9"/>
  <c r="Y3238" i="9"/>
  <c r="Y3239" i="9"/>
  <c r="Y3240" i="9"/>
  <c r="Y3241" i="9"/>
  <c r="Y3242" i="9"/>
  <c r="Y3243" i="9"/>
  <c r="Y3244" i="9"/>
  <c r="Y3245" i="9"/>
  <c r="Y3246" i="9"/>
  <c r="Y3247" i="9"/>
  <c r="Y3248" i="9"/>
  <c r="Y3249" i="9"/>
  <c r="Y3250" i="9"/>
  <c r="Y3251" i="9"/>
  <c r="Y3252" i="9"/>
  <c r="Y3253" i="9"/>
  <c r="Y3254" i="9"/>
  <c r="Y3255" i="9"/>
  <c r="Y3256" i="9"/>
  <c r="Y3257" i="9"/>
  <c r="Y3258" i="9"/>
  <c r="Y3259" i="9"/>
  <c r="Y3260" i="9"/>
  <c r="Y3261" i="9"/>
  <c r="Y3262" i="9"/>
  <c r="Y3263" i="9"/>
  <c r="Y3264" i="9"/>
  <c r="Y3265" i="9"/>
  <c r="Y3266" i="9"/>
  <c r="Y3267" i="9"/>
  <c r="Y3268" i="9"/>
  <c r="Y3269" i="9"/>
  <c r="Y3270" i="9"/>
  <c r="Y3271" i="9"/>
  <c r="Y3273" i="9"/>
  <c r="Y3274" i="9"/>
  <c r="Y3275" i="9"/>
  <c r="Y3276" i="9"/>
  <c r="Y3277" i="9"/>
  <c r="Y3278" i="9"/>
  <c r="Y3279" i="9"/>
  <c r="Y3280" i="9"/>
  <c r="Y3281" i="9"/>
  <c r="Y3282" i="9"/>
  <c r="Y3283" i="9"/>
  <c r="Y3284" i="9"/>
  <c r="Y3285" i="9"/>
  <c r="Y3286" i="9"/>
  <c r="Y3287" i="9"/>
  <c r="Y3288" i="9"/>
  <c r="Y3289" i="9"/>
  <c r="Y3290" i="9"/>
  <c r="Y3291" i="9"/>
  <c r="Y3292" i="9"/>
  <c r="Y3293" i="9"/>
  <c r="Y3294" i="9"/>
  <c r="Y3295" i="9"/>
  <c r="Y3296" i="9"/>
  <c r="Y3297" i="9"/>
  <c r="Y3298" i="9"/>
  <c r="Y3299" i="9"/>
  <c r="Y3300" i="9"/>
  <c r="Y3301" i="9"/>
  <c r="Y3302" i="9"/>
  <c r="Y3303" i="9"/>
  <c r="Y3304" i="9"/>
  <c r="Y3305" i="9"/>
  <c r="Y3306" i="9"/>
  <c r="Y3307" i="9"/>
  <c r="Y3308" i="9"/>
  <c r="Y3309" i="9"/>
  <c r="Y3310" i="9"/>
  <c r="Y3311" i="9"/>
  <c r="Y3312" i="9"/>
  <c r="Y3313" i="9"/>
  <c r="Y3314" i="9"/>
  <c r="Y3315" i="9"/>
  <c r="Y3316" i="9"/>
  <c r="Y3317" i="9"/>
  <c r="Y3318" i="9"/>
  <c r="Y3319" i="9"/>
  <c r="Y3320" i="9"/>
  <c r="Y3321" i="9"/>
  <c r="Y3322" i="9"/>
  <c r="Y3323" i="9"/>
  <c r="Y3324" i="9"/>
  <c r="Y3325" i="9"/>
  <c r="Y3326" i="9"/>
  <c r="Y3327" i="9"/>
  <c r="Y3328" i="9"/>
  <c r="Y3329" i="9"/>
  <c r="Y3330" i="9"/>
  <c r="Y3332" i="9"/>
  <c r="Y3333" i="9"/>
  <c r="Y3334" i="9"/>
  <c r="Y3335" i="9"/>
  <c r="Y3336" i="9"/>
  <c r="Y3337" i="9"/>
  <c r="Y3338" i="9"/>
  <c r="Y3339" i="9"/>
  <c r="Y3340" i="9"/>
  <c r="Y3341" i="9"/>
  <c r="Y3342" i="9"/>
  <c r="Y3343" i="9"/>
  <c r="Y3344" i="9"/>
  <c r="Y3345" i="9"/>
  <c r="Y3346" i="9"/>
  <c r="Y3347" i="9"/>
  <c r="Y3348" i="9"/>
  <c r="Y3349" i="9"/>
  <c r="Y3350" i="9"/>
  <c r="Y3351" i="9"/>
  <c r="Y3352" i="9"/>
  <c r="Y3353" i="9"/>
  <c r="Y3354" i="9"/>
  <c r="Y3355" i="9"/>
  <c r="Y3356" i="9"/>
  <c r="Y3357" i="9"/>
  <c r="Y3358" i="9"/>
  <c r="Y3359" i="9"/>
  <c r="Y3360" i="9"/>
  <c r="Y3361" i="9"/>
  <c r="Y3362" i="9"/>
  <c r="Y3363" i="9"/>
  <c r="Y3364" i="9"/>
  <c r="Y3365" i="9"/>
  <c r="Y3366" i="9"/>
  <c r="Y3367" i="9"/>
  <c r="Y3368" i="9"/>
  <c r="Y3369" i="9"/>
  <c r="Y3370" i="9"/>
  <c r="Y3371" i="9"/>
  <c r="Y3372" i="9"/>
  <c r="Y3373" i="9"/>
  <c r="Y3374" i="9"/>
  <c r="Y3375" i="9"/>
  <c r="Y3376" i="9"/>
  <c r="Y3377" i="9"/>
  <c r="Y3378" i="9"/>
  <c r="Y3379" i="9"/>
  <c r="Y3380" i="9"/>
  <c r="Y3381" i="9"/>
  <c r="Y3382" i="9"/>
  <c r="Y3383" i="9"/>
  <c r="Y3384" i="9"/>
  <c r="Y3385" i="9"/>
  <c r="Y3386" i="9"/>
  <c r="Y3387" i="9"/>
  <c r="Y3388" i="9"/>
  <c r="Y3389" i="9"/>
  <c r="Y3390" i="9"/>
  <c r="Y3391" i="9"/>
  <c r="Y3392" i="9"/>
  <c r="Y3393" i="9"/>
  <c r="Y3394" i="9"/>
  <c r="Y3395" i="9"/>
  <c r="Y3396" i="9"/>
  <c r="Y3397" i="9"/>
  <c r="Y3398" i="9"/>
  <c r="Y3399" i="9"/>
  <c r="Y3400" i="9"/>
  <c r="Y3401" i="9"/>
  <c r="Y3402" i="9"/>
  <c r="Y3403" i="9"/>
  <c r="Y3404" i="9"/>
  <c r="Y3405" i="9"/>
  <c r="Y3406" i="9"/>
  <c r="Y3407" i="9"/>
  <c r="Y3408" i="9"/>
  <c r="Y3409" i="9"/>
  <c r="Y3410" i="9"/>
  <c r="Y3411" i="9"/>
  <c r="Y3412" i="9"/>
  <c r="Y3413" i="9"/>
  <c r="Y3414" i="9"/>
  <c r="Y3415" i="9"/>
  <c r="Y3416" i="9"/>
  <c r="Y3417" i="9"/>
  <c r="Y3418" i="9"/>
  <c r="Y3419" i="9"/>
  <c r="Y3420" i="9"/>
  <c r="Y3421" i="9"/>
  <c r="Y3422" i="9"/>
  <c r="Y3423" i="9"/>
  <c r="Y3424" i="9"/>
  <c r="Y3425" i="9"/>
  <c r="Y3426" i="9"/>
  <c r="Y3427" i="9"/>
  <c r="Y3428" i="9"/>
  <c r="Y3429" i="9"/>
  <c r="Y3430" i="9"/>
  <c r="Y3431" i="9"/>
  <c r="Y3432" i="9"/>
  <c r="Y3433" i="9"/>
  <c r="Y3434" i="9"/>
  <c r="Y3441" i="9"/>
  <c r="Y3442" i="9"/>
  <c r="Y3443" i="9"/>
  <c r="Y3444" i="9"/>
  <c r="Y3445" i="9"/>
  <c r="Y3446" i="9"/>
  <c r="Y3447" i="9"/>
  <c r="Y3448" i="9"/>
  <c r="Y3449" i="9"/>
  <c r="Y3450" i="9"/>
  <c r="Y3451" i="9"/>
  <c r="Y3452" i="9"/>
  <c r="Y3453" i="9"/>
  <c r="Y3454" i="9"/>
  <c r="Y3455" i="9"/>
  <c r="Y3456" i="9"/>
  <c r="Y3457" i="9"/>
  <c r="Y3458" i="9"/>
  <c r="Y3459" i="9"/>
  <c r="Y3460" i="9"/>
  <c r="Y3461" i="9"/>
  <c r="Y3462" i="9"/>
  <c r="Y3463" i="9"/>
  <c r="Y3464" i="9"/>
  <c r="Y3465" i="9"/>
  <c r="Y3466" i="9"/>
  <c r="Y3467" i="9"/>
  <c r="Y3468" i="9"/>
  <c r="Y3469" i="9"/>
  <c r="Y3470" i="9"/>
  <c r="Y3471" i="9"/>
  <c r="Y3472" i="9"/>
  <c r="Y3473" i="9"/>
  <c r="Y3474" i="9"/>
  <c r="Y3475" i="9"/>
  <c r="Y3476" i="9"/>
  <c r="Y3477" i="9"/>
  <c r="Y3478" i="9"/>
  <c r="Y3479" i="9"/>
  <c r="Y3480" i="9"/>
  <c r="Y3481" i="9"/>
  <c r="Y3482" i="9"/>
  <c r="Y3483" i="9"/>
  <c r="Y3484" i="9"/>
  <c r="Y3485" i="9"/>
  <c r="Y3486" i="9"/>
  <c r="Y3487" i="9"/>
  <c r="Y3488" i="9"/>
  <c r="Y3489" i="9"/>
  <c r="Y3490" i="9"/>
  <c r="Y3491" i="9"/>
  <c r="Y3492" i="9"/>
  <c r="Y3493" i="9"/>
  <c r="Y3494" i="9"/>
  <c r="Y3495" i="9"/>
  <c r="Y3496" i="9"/>
  <c r="Y3497" i="9"/>
  <c r="Y3498" i="9"/>
  <c r="Y3499" i="9"/>
  <c r="Y3500" i="9"/>
  <c r="Y3501" i="9"/>
  <c r="Y3502" i="9"/>
  <c r="Y3503" i="9"/>
  <c r="Y3504" i="9"/>
  <c r="Y3505" i="9"/>
  <c r="Y3506" i="9"/>
  <c r="Y3507" i="9"/>
  <c r="Y3508" i="9"/>
  <c r="Y3509" i="9"/>
  <c r="Y3510" i="9"/>
  <c r="Y3511" i="9"/>
  <c r="Y3512" i="9"/>
  <c r="Y3513" i="9"/>
  <c r="Y3514" i="9"/>
  <c r="Y3515" i="9"/>
  <c r="Y3516" i="9"/>
  <c r="Y3517" i="9"/>
  <c r="Y3518" i="9"/>
  <c r="Y3519" i="9"/>
  <c r="Y3520" i="9"/>
  <c r="Y3521" i="9"/>
  <c r="Y3522" i="9"/>
  <c r="Y3523" i="9"/>
  <c r="Y3524" i="9"/>
  <c r="Y3525" i="9"/>
  <c r="Y3526" i="9"/>
  <c r="Y3527" i="9"/>
  <c r="Y3528" i="9"/>
  <c r="Y3529" i="9"/>
  <c r="Y3530" i="9"/>
  <c r="Y3531" i="9"/>
  <c r="Y3532" i="9"/>
  <c r="Y3533" i="9"/>
  <c r="Y3534" i="9"/>
  <c r="Y3535" i="9"/>
  <c r="Y3536" i="9"/>
  <c r="Y3537" i="9"/>
  <c r="Y3538" i="9"/>
  <c r="Y3539" i="9"/>
  <c r="Y3540" i="9"/>
  <c r="Y3541" i="9"/>
  <c r="Y3542" i="9"/>
  <c r="Y3543" i="9"/>
  <c r="Y3544" i="9"/>
  <c r="Y3545" i="9"/>
  <c r="Y3546" i="9"/>
  <c r="Y3547" i="9"/>
  <c r="Y3548" i="9"/>
  <c r="Y3549" i="9"/>
  <c r="Y3550" i="9"/>
  <c r="Y3551" i="9"/>
  <c r="Y3552" i="9"/>
  <c r="Y3553" i="9"/>
  <c r="Y3554" i="9"/>
  <c r="Y3555" i="9"/>
  <c r="Y3556" i="9"/>
  <c r="Y3557" i="9"/>
  <c r="Y3558" i="9"/>
  <c r="Y3559" i="9"/>
  <c r="Y3560" i="9"/>
  <c r="Y3561" i="9"/>
  <c r="Y3562" i="9"/>
  <c r="Y3563" i="9"/>
  <c r="Y3564" i="9"/>
  <c r="Y3565" i="9"/>
  <c r="Y3566" i="9"/>
  <c r="Y3567" i="9"/>
  <c r="Y3568" i="9"/>
  <c r="Y3569" i="9"/>
  <c r="Y3570" i="9"/>
  <c r="Y3571" i="9"/>
  <c r="Y3572" i="9"/>
  <c r="Y3573" i="9"/>
  <c r="Y3574" i="9"/>
  <c r="Y3575" i="9"/>
  <c r="Y3576" i="9"/>
  <c r="Y3577" i="9"/>
  <c r="Y3578" i="9"/>
  <c r="Y3579" i="9"/>
  <c r="Y3580" i="9"/>
  <c r="Y3581" i="9"/>
  <c r="Y3582" i="9"/>
  <c r="Y3583" i="9"/>
  <c r="Y3584" i="9"/>
  <c r="Y3585" i="9"/>
  <c r="Y3586" i="9"/>
  <c r="Y3587" i="9"/>
  <c r="Y3588" i="9"/>
  <c r="Y3589" i="9"/>
  <c r="Y3590" i="9"/>
  <c r="Y3591" i="9"/>
  <c r="Y3592" i="9"/>
  <c r="Y3593" i="9"/>
  <c r="Y3594" i="9"/>
  <c r="Y3595" i="9"/>
  <c r="Y3596" i="9"/>
  <c r="Y3597" i="9"/>
  <c r="Y3598" i="9"/>
  <c r="Y3599" i="9"/>
  <c r="Y3600" i="9"/>
  <c r="Y3601" i="9"/>
  <c r="Y3602" i="9"/>
  <c r="Y3603" i="9"/>
  <c r="Y3604" i="9"/>
  <c r="Y3605" i="9"/>
  <c r="Y3606" i="9"/>
  <c r="Y3607" i="9"/>
  <c r="Y3608" i="9"/>
  <c r="Y3609" i="9"/>
  <c r="Y3610" i="9"/>
  <c r="Y3611" i="9"/>
  <c r="Y3612" i="9"/>
  <c r="Y3613" i="9"/>
  <c r="Y3614" i="9"/>
  <c r="Y3615" i="9"/>
  <c r="Y3616" i="9"/>
  <c r="Y3617" i="9"/>
  <c r="Y3618" i="9"/>
  <c r="Y3619" i="9"/>
  <c r="Y3620" i="9"/>
  <c r="Y3621" i="9"/>
  <c r="Y3622" i="9"/>
  <c r="Y3623" i="9"/>
  <c r="Y3624" i="9"/>
  <c r="Y3625" i="9"/>
  <c r="Y3626" i="9"/>
  <c r="Y3627" i="9"/>
  <c r="Y3628" i="9"/>
  <c r="Y3629" i="9"/>
  <c r="Y3630" i="9"/>
  <c r="Y3631" i="9"/>
  <c r="Y3632" i="9"/>
  <c r="Y3633" i="9"/>
  <c r="Y3634" i="9"/>
  <c r="Y3635" i="9"/>
  <c r="Y3636" i="9"/>
  <c r="Y3637" i="9"/>
  <c r="Y3638" i="9"/>
  <c r="Y3639" i="9"/>
  <c r="Y3640" i="9"/>
  <c r="Y3641" i="9"/>
  <c r="Y3642" i="9"/>
  <c r="Y3643" i="9"/>
  <c r="Y3644" i="9"/>
  <c r="Y3645" i="9"/>
  <c r="Y3646" i="9"/>
  <c r="Y3647" i="9"/>
  <c r="Y3648" i="9"/>
  <c r="Y3649" i="9"/>
  <c r="Y3650" i="9"/>
  <c r="Y3651" i="9"/>
  <c r="Y3652" i="9"/>
  <c r="Y3653" i="9"/>
  <c r="Y3654" i="9"/>
  <c r="Y3655" i="9"/>
  <c r="Y3656" i="9"/>
  <c r="Y3657" i="9"/>
  <c r="Y3658" i="9"/>
  <c r="Y3659" i="9"/>
  <c r="Y3660" i="9"/>
  <c r="Y3661" i="9"/>
  <c r="Y3662" i="9"/>
  <c r="Y3663" i="9"/>
  <c r="Y3664" i="9"/>
  <c r="Y3665" i="9"/>
  <c r="Y3666" i="9"/>
  <c r="Y3667" i="9"/>
  <c r="Y3668" i="9"/>
  <c r="Y3669" i="9"/>
  <c r="Y3670" i="9"/>
  <c r="Y3671" i="9"/>
  <c r="Y3672" i="9"/>
  <c r="Y3673" i="9"/>
  <c r="Y3674" i="9"/>
  <c r="Y3675" i="9"/>
  <c r="Y3676" i="9"/>
  <c r="Y3677" i="9"/>
  <c r="Y3678" i="9"/>
  <c r="Y3679" i="9"/>
  <c r="Y3680" i="9"/>
  <c r="Y3681" i="9"/>
  <c r="Y3682" i="9"/>
  <c r="Y3683" i="9"/>
  <c r="Y3684" i="9"/>
  <c r="Y3685" i="9"/>
  <c r="Y3686" i="9"/>
  <c r="Y3687" i="9"/>
  <c r="Y3688" i="9"/>
  <c r="Y3689" i="9"/>
  <c r="Y3690" i="9"/>
  <c r="Y3691" i="9"/>
  <c r="Y3692" i="9"/>
  <c r="Y3693" i="9"/>
  <c r="Y3694" i="9"/>
  <c r="Y3695" i="9"/>
  <c r="Y3696" i="9"/>
  <c r="Y3697" i="9"/>
  <c r="Y3698" i="9"/>
  <c r="Y3699" i="9"/>
  <c r="Y3700" i="9"/>
  <c r="Y3701" i="9"/>
  <c r="Y3702" i="9"/>
  <c r="Y3703" i="9"/>
  <c r="Y3704" i="9"/>
  <c r="Y3705" i="9"/>
  <c r="Y3706" i="9"/>
  <c r="Y3707" i="9"/>
  <c r="Y3708" i="9"/>
  <c r="Y3709" i="9"/>
  <c r="Y3710" i="9"/>
  <c r="Y3711" i="9"/>
  <c r="Y3712" i="9"/>
  <c r="Y3713" i="9"/>
  <c r="Y3714" i="9"/>
  <c r="Y3715" i="9"/>
  <c r="Y3716" i="9"/>
  <c r="Y3717" i="9"/>
  <c r="Y3718" i="9"/>
  <c r="Y3719" i="9"/>
  <c r="Y3720" i="9"/>
  <c r="Y3721" i="9"/>
  <c r="Y3722" i="9"/>
  <c r="Y3723" i="9"/>
  <c r="Y3724" i="9"/>
  <c r="Y3725" i="9"/>
  <c r="Y3726" i="9"/>
  <c r="Y3727" i="9"/>
  <c r="Y3728" i="9"/>
  <c r="Y3729" i="9"/>
  <c r="Y3730" i="9"/>
  <c r="Y3731" i="9"/>
  <c r="Y3732" i="9"/>
  <c r="Y3733" i="9"/>
  <c r="Y3734" i="9"/>
  <c r="Y3735" i="9"/>
  <c r="Y3736" i="9"/>
  <c r="Y3737" i="9"/>
  <c r="Y3738" i="9"/>
  <c r="Y3739" i="9"/>
  <c r="Y3740" i="9"/>
  <c r="Y3741" i="9"/>
  <c r="Y3742" i="9"/>
  <c r="Y3743" i="9"/>
  <c r="Y3744" i="9"/>
  <c r="Y3745" i="9"/>
  <c r="Y3746" i="9"/>
  <c r="Y3747" i="9"/>
  <c r="Y3748" i="9"/>
  <c r="Y3749" i="9"/>
  <c r="Y3750" i="9"/>
  <c r="Y3751" i="9"/>
  <c r="Y3752" i="9"/>
  <c r="Y3753" i="9"/>
  <c r="Y3754" i="9"/>
  <c r="Y3755" i="9"/>
  <c r="Y3756" i="9"/>
  <c r="Y3757" i="9"/>
  <c r="Y3758" i="9"/>
  <c r="Y3759" i="9"/>
  <c r="Y3760" i="9"/>
  <c r="Y3761" i="9"/>
  <c r="Y3762" i="9"/>
  <c r="Y3763" i="9"/>
  <c r="Y3764" i="9"/>
  <c r="Y3765" i="9"/>
  <c r="Y3766" i="9"/>
  <c r="Y3767" i="9"/>
  <c r="Y3768" i="9"/>
  <c r="Y3769" i="9"/>
  <c r="Y3770" i="9"/>
  <c r="Y3771" i="9"/>
  <c r="Y3772" i="9"/>
  <c r="Y3773" i="9"/>
  <c r="Y3774" i="9"/>
  <c r="Y3775" i="9"/>
  <c r="Y3776" i="9"/>
  <c r="Y3777" i="9"/>
  <c r="Y3778" i="9"/>
  <c r="Y3779" i="9"/>
  <c r="Y3780" i="9"/>
  <c r="Y3781" i="9"/>
  <c r="Y3782" i="9"/>
  <c r="Y3783" i="9"/>
  <c r="Y3784" i="9"/>
  <c r="Y3785" i="9"/>
  <c r="Y3786" i="9"/>
  <c r="Y3787" i="9"/>
  <c r="Y3788" i="9"/>
  <c r="Y3789" i="9"/>
  <c r="Y3790" i="9"/>
  <c r="Y3791" i="9"/>
  <c r="Y3792" i="9"/>
  <c r="Y3793" i="9"/>
  <c r="Y3794" i="9"/>
  <c r="Y3795" i="9"/>
  <c r="Y3796" i="9"/>
  <c r="Y3797" i="9"/>
  <c r="Y3798" i="9"/>
  <c r="Y3799" i="9"/>
  <c r="Y3800" i="9"/>
  <c r="Y3801" i="9"/>
  <c r="Y3802" i="9"/>
  <c r="Y3803" i="9"/>
  <c r="Y3804" i="9"/>
  <c r="Y3805" i="9"/>
  <c r="Y3806" i="9"/>
  <c r="Y3807" i="9"/>
  <c r="Y3808" i="9"/>
  <c r="Y3809" i="9"/>
  <c r="Y3810" i="9"/>
  <c r="Y3811" i="9"/>
  <c r="Y3812" i="9"/>
  <c r="Y3813" i="9"/>
  <c r="Y3814" i="9"/>
  <c r="Y3815" i="9"/>
  <c r="Y3816" i="9"/>
  <c r="Y3817" i="9"/>
  <c r="Y3818" i="9"/>
  <c r="Y3819" i="9"/>
  <c r="Y3820" i="9"/>
  <c r="Y3821" i="9"/>
  <c r="Y3822" i="9"/>
  <c r="Y3823" i="9"/>
  <c r="Y3824" i="9"/>
  <c r="Y3825" i="9"/>
  <c r="Y3826" i="9"/>
  <c r="Y3827" i="9"/>
  <c r="Y3828" i="9"/>
  <c r="Y3829" i="9"/>
  <c r="Y3830" i="9"/>
  <c r="Y3831" i="9"/>
  <c r="Y3832" i="9"/>
  <c r="Y3833" i="9"/>
  <c r="Y3834" i="9"/>
  <c r="Y3835" i="9"/>
  <c r="Y3836" i="9"/>
  <c r="Y3837" i="9"/>
  <c r="Y3838" i="9"/>
  <c r="Y3839" i="9"/>
  <c r="Y3840" i="9"/>
  <c r="Y3841" i="9"/>
  <c r="Y3842" i="9"/>
  <c r="Y3843" i="9"/>
  <c r="Y3844" i="9"/>
  <c r="Y3845" i="9"/>
  <c r="Y3846" i="9"/>
  <c r="Y3847" i="9"/>
  <c r="Y3848" i="9"/>
  <c r="Y3849" i="9"/>
  <c r="Y3850" i="9"/>
  <c r="Y3851" i="9"/>
  <c r="Y3852" i="9"/>
  <c r="Y3853" i="9"/>
  <c r="Y3854" i="9"/>
  <c r="Y3855" i="9"/>
  <c r="Y3856" i="9"/>
  <c r="Y3857" i="9"/>
  <c r="Y3858" i="9"/>
  <c r="Y3859" i="9"/>
  <c r="Y3860" i="9"/>
  <c r="Y3861" i="9"/>
  <c r="Y3862" i="9"/>
  <c r="Y3863" i="9"/>
  <c r="Y3864" i="9"/>
  <c r="Y3865" i="9"/>
  <c r="Y3866" i="9"/>
  <c r="Y3867" i="9"/>
  <c r="Y3868" i="9"/>
  <c r="Y3869" i="9"/>
  <c r="Y3870" i="9"/>
  <c r="Y3871" i="9"/>
  <c r="Y3872" i="9"/>
  <c r="Y3873" i="9"/>
  <c r="Y3874" i="9"/>
  <c r="Y3875" i="9"/>
  <c r="Y3876" i="9"/>
  <c r="Y3877" i="9"/>
  <c r="Y3878" i="9"/>
  <c r="Y3879" i="9"/>
  <c r="Y3880" i="9"/>
  <c r="Y3881" i="9"/>
  <c r="Y3882" i="9"/>
  <c r="Y3883" i="9"/>
  <c r="Y3884" i="9"/>
  <c r="Y3885" i="9"/>
  <c r="Y3886" i="9"/>
  <c r="Y3887" i="9"/>
  <c r="Y3888" i="9"/>
  <c r="Y3889" i="9"/>
  <c r="Y3890" i="9"/>
  <c r="Y3891" i="9"/>
  <c r="Y3892" i="9"/>
  <c r="Y3893" i="9"/>
  <c r="Y3894" i="9"/>
  <c r="Y3895" i="9"/>
  <c r="Y3896" i="9"/>
  <c r="Y3897" i="9"/>
  <c r="Y3898" i="9"/>
  <c r="Y3899" i="9"/>
  <c r="Y3900" i="9"/>
  <c r="Y3901" i="9"/>
  <c r="Y3902" i="9"/>
  <c r="Y3903" i="9"/>
  <c r="Y3904" i="9"/>
  <c r="Y3905" i="9"/>
  <c r="Y3906" i="9"/>
  <c r="Y3907" i="9"/>
  <c r="Y3908" i="9"/>
  <c r="Y3909" i="9"/>
  <c r="Y3910" i="9"/>
  <c r="Y3911" i="9"/>
  <c r="Y3912" i="9"/>
  <c r="Y3913" i="9"/>
  <c r="Y3914" i="9"/>
  <c r="Y3915" i="9"/>
  <c r="Y3916" i="9"/>
  <c r="Y3917" i="9"/>
  <c r="Y3918" i="9"/>
  <c r="Y3919" i="9"/>
  <c r="Y3920" i="9"/>
  <c r="Y3921" i="9"/>
  <c r="Y3922" i="9"/>
  <c r="Y3923" i="9"/>
  <c r="Y3924" i="9"/>
  <c r="Y3925" i="9"/>
  <c r="Y3926" i="9"/>
  <c r="Y3927" i="9"/>
  <c r="Y3928" i="9"/>
  <c r="Y3929" i="9"/>
  <c r="Y3930" i="9"/>
  <c r="Y3931" i="9"/>
  <c r="Y3932" i="9"/>
  <c r="Y3933" i="9"/>
  <c r="Y3934" i="9"/>
  <c r="Y3935" i="9"/>
  <c r="Y3936" i="9"/>
  <c r="Y3937" i="9"/>
  <c r="Y3938" i="9"/>
  <c r="Y3939" i="9"/>
  <c r="Y3940" i="9"/>
  <c r="Y3941" i="9"/>
  <c r="Y3942" i="9"/>
  <c r="Y3943" i="9"/>
  <c r="Y3944" i="9"/>
  <c r="Y3945" i="9"/>
  <c r="Y3946" i="9"/>
  <c r="Y3947" i="9"/>
  <c r="Y3948" i="9"/>
  <c r="Y3949" i="9"/>
  <c r="Y3950" i="9"/>
  <c r="Y3951" i="9"/>
  <c r="Y3952" i="9"/>
  <c r="Y3953" i="9"/>
  <c r="Y3954" i="9"/>
  <c r="Y3955" i="9"/>
  <c r="Y3956" i="9"/>
  <c r="Y3957" i="9"/>
  <c r="Y3958" i="9"/>
  <c r="Y3959" i="9"/>
  <c r="Y3960" i="9"/>
  <c r="Y3961" i="9"/>
  <c r="Y3962" i="9"/>
  <c r="Y3963" i="9"/>
  <c r="Y3964" i="9"/>
  <c r="Y3965" i="9"/>
  <c r="Y3966" i="9"/>
  <c r="Y3967" i="9"/>
  <c r="Y3968" i="9"/>
  <c r="Y3969" i="9"/>
  <c r="Y3970" i="9"/>
  <c r="Y3971" i="9"/>
  <c r="Y3972" i="9"/>
  <c r="Y3973" i="9"/>
  <c r="Y3974" i="9"/>
  <c r="Y3975" i="9"/>
  <c r="Y3976" i="9"/>
  <c r="Y3977" i="9"/>
  <c r="Y3978" i="9"/>
  <c r="Y3979" i="9"/>
  <c r="Y3980" i="9"/>
  <c r="Y3981" i="9"/>
  <c r="Y3982" i="9"/>
  <c r="Y3983" i="9"/>
  <c r="Y3984" i="9"/>
  <c r="Y3985" i="9"/>
  <c r="Y3986" i="9"/>
  <c r="Y3987" i="9"/>
  <c r="Y3988" i="9"/>
  <c r="Y3989" i="9"/>
  <c r="Y3990" i="9"/>
  <c r="Y3991" i="9"/>
  <c r="Y3992" i="9"/>
  <c r="Y3993" i="9"/>
  <c r="Y3994" i="9"/>
  <c r="Y3995" i="9"/>
  <c r="Y3996" i="9"/>
  <c r="Y3997" i="9"/>
  <c r="Y3998" i="9"/>
  <c r="Y3999" i="9"/>
  <c r="Y4000" i="9"/>
  <c r="Y4001" i="9"/>
  <c r="Y4002" i="9"/>
  <c r="Y4003" i="9"/>
  <c r="Y4004" i="9"/>
  <c r="Y4005" i="9"/>
  <c r="Y4006" i="9"/>
  <c r="Y4007" i="9"/>
  <c r="Y4008" i="9"/>
  <c r="Y4009" i="9"/>
  <c r="Y4010" i="9"/>
  <c r="Y4011" i="9"/>
  <c r="Y4012" i="9"/>
  <c r="Y4013" i="9"/>
  <c r="Y4014" i="9"/>
  <c r="Y4015" i="9"/>
  <c r="Y4016" i="9"/>
  <c r="Y4017" i="9"/>
  <c r="Y4018" i="9"/>
  <c r="Y4019" i="9"/>
  <c r="Y4020" i="9"/>
  <c r="Y4021" i="9"/>
  <c r="Y4022" i="9"/>
  <c r="Y4023" i="9"/>
  <c r="Y4024" i="9"/>
  <c r="Y4025" i="9"/>
  <c r="Y4026" i="9"/>
  <c r="Y4027" i="9"/>
  <c r="Y4028" i="9"/>
  <c r="Y4029" i="9"/>
  <c r="Y4030" i="9"/>
  <c r="Y4031" i="9"/>
  <c r="Y4032" i="9"/>
  <c r="Y4033" i="9"/>
  <c r="Y4034" i="9"/>
  <c r="Y4035" i="9"/>
  <c r="Y4036" i="9"/>
  <c r="Y4037" i="9"/>
  <c r="Y4038" i="9"/>
  <c r="Y4039" i="9"/>
  <c r="Y4040" i="9"/>
  <c r="Y4041" i="9"/>
  <c r="Y4042" i="9"/>
  <c r="Y4043" i="9"/>
  <c r="Y4044" i="9"/>
  <c r="Y4045" i="9"/>
  <c r="Y4046" i="9"/>
  <c r="Y4047" i="9"/>
  <c r="Y4048" i="9"/>
  <c r="Y4049" i="9"/>
  <c r="Y4050" i="9"/>
  <c r="Y4051" i="9"/>
  <c r="Y4052" i="9"/>
  <c r="Y4053" i="9"/>
  <c r="Y4054" i="9"/>
  <c r="Y4055" i="9"/>
  <c r="Y4056" i="9"/>
  <c r="Y4057" i="9"/>
  <c r="Y4058" i="9"/>
  <c r="Y4059" i="9"/>
  <c r="Y4060" i="9"/>
  <c r="Y4061" i="9"/>
  <c r="Y4062" i="9"/>
  <c r="Y4063" i="9"/>
  <c r="Y4064" i="9"/>
  <c r="Y4065" i="9"/>
  <c r="Y4066" i="9"/>
  <c r="Y4067" i="9"/>
  <c r="Y4068" i="9"/>
  <c r="Y4069" i="9"/>
  <c r="Y4070" i="9"/>
  <c r="Y4071" i="9"/>
  <c r="Y4072" i="9"/>
  <c r="Y4073" i="9"/>
  <c r="Y4074" i="9"/>
  <c r="Y4075" i="9"/>
  <c r="Y4076" i="9"/>
  <c r="Y4077" i="9"/>
  <c r="Y4078" i="9"/>
  <c r="Y4079" i="9"/>
  <c r="Y4080" i="9"/>
  <c r="Y4081" i="9"/>
  <c r="Y4082" i="9"/>
  <c r="Y4083" i="9"/>
  <c r="Y4084" i="9"/>
  <c r="Y4085" i="9"/>
  <c r="Y4086" i="9"/>
  <c r="Y4087" i="9"/>
  <c r="Y4088" i="9"/>
  <c r="Y4089" i="9"/>
  <c r="Y4090" i="9"/>
  <c r="Y4091" i="9"/>
  <c r="Y4092" i="9"/>
  <c r="Y4093" i="9"/>
  <c r="Y4094" i="9"/>
  <c r="Y4095" i="9"/>
  <c r="Y4096" i="9"/>
  <c r="Y4097" i="9"/>
  <c r="Y4098" i="9"/>
  <c r="Y4099" i="9"/>
  <c r="Y4100" i="9"/>
  <c r="Y4101" i="9"/>
  <c r="Y4102" i="9"/>
  <c r="Y4103" i="9"/>
  <c r="Y4104" i="9"/>
  <c r="Y4105" i="9"/>
  <c r="Y4106" i="9"/>
  <c r="Y4107" i="9"/>
  <c r="Y4108" i="9"/>
  <c r="Y4109" i="9"/>
  <c r="Y4110" i="9"/>
  <c r="Y4111" i="9"/>
  <c r="Y4112" i="9"/>
  <c r="Y4113" i="9"/>
  <c r="Y4114" i="9"/>
  <c r="Y4115" i="9"/>
  <c r="Y4116" i="9"/>
  <c r="Y4117" i="9"/>
  <c r="Y4118" i="9"/>
  <c r="Y4119" i="9"/>
  <c r="Y4120" i="9"/>
  <c r="Y4121" i="9"/>
  <c r="Y4122" i="9"/>
  <c r="Y4123" i="9"/>
  <c r="Y4124" i="9"/>
  <c r="Y4125" i="9"/>
  <c r="Y4126" i="9"/>
  <c r="Y4127" i="9"/>
  <c r="Y4128" i="9"/>
  <c r="Y4129" i="9"/>
  <c r="Y4130" i="9"/>
  <c r="Y4131" i="9"/>
  <c r="Y4132" i="9"/>
  <c r="Y4133" i="9"/>
  <c r="Y4134" i="9"/>
  <c r="Y4135" i="9"/>
  <c r="Y4136" i="9"/>
  <c r="Y4137" i="9"/>
  <c r="Y4138" i="9"/>
  <c r="Y4139" i="9"/>
  <c r="Y4140" i="9"/>
  <c r="Y4141" i="9"/>
  <c r="Y4142" i="9"/>
  <c r="Y4143" i="9"/>
  <c r="Y4144" i="9"/>
  <c r="Y4145" i="9"/>
  <c r="Y4146" i="9"/>
  <c r="Y4147" i="9"/>
  <c r="Y4148" i="9"/>
  <c r="Y4149" i="9"/>
  <c r="Y4150" i="9"/>
  <c r="Y4151" i="9"/>
  <c r="Y4152" i="9"/>
  <c r="Y4153" i="9"/>
  <c r="Y4154" i="9"/>
  <c r="Y4155" i="9"/>
  <c r="Y4156" i="9"/>
  <c r="Y4157" i="9"/>
  <c r="Y4158" i="9"/>
  <c r="Y4159" i="9"/>
  <c r="Y4160" i="9"/>
  <c r="Y4161" i="9"/>
  <c r="Y4162" i="9"/>
  <c r="Y4163" i="9"/>
  <c r="Y4164" i="9"/>
  <c r="Y4165" i="9"/>
  <c r="Y4166" i="9"/>
  <c r="Y4167" i="9"/>
  <c r="Y4168" i="9"/>
  <c r="Y4169" i="9"/>
  <c r="Y4170" i="9"/>
  <c r="Y4171" i="9"/>
  <c r="Y4172" i="9"/>
  <c r="Y4173" i="9"/>
  <c r="Y4174" i="9"/>
  <c r="Y4175" i="9"/>
  <c r="Y4176" i="9"/>
  <c r="Y4177" i="9"/>
  <c r="Y4178" i="9"/>
  <c r="Y4179" i="9"/>
  <c r="Y4180" i="9"/>
  <c r="Y4181" i="9"/>
  <c r="Y4182" i="9"/>
  <c r="Y4183" i="9"/>
  <c r="Y4184" i="9"/>
  <c r="Y4185" i="9"/>
  <c r="Y4186" i="9"/>
  <c r="Y4187" i="9"/>
  <c r="Y4188" i="9"/>
  <c r="Y4189" i="9"/>
  <c r="Y4190" i="9"/>
  <c r="Y4191" i="9"/>
  <c r="Y4192" i="9"/>
  <c r="Y4193" i="9"/>
  <c r="Y4194" i="9"/>
  <c r="Y4195" i="9"/>
  <c r="Y4196" i="9"/>
  <c r="Y4197" i="9"/>
  <c r="Y4198" i="9"/>
  <c r="Y4199" i="9"/>
  <c r="Y4200" i="9"/>
  <c r="Y4201" i="9"/>
  <c r="Y4202" i="9"/>
  <c r="Y4203" i="9"/>
  <c r="Y4204" i="9"/>
  <c r="Y4205" i="9"/>
  <c r="Y4206" i="9"/>
  <c r="Y4207" i="9"/>
  <c r="Y4208" i="9"/>
  <c r="Y4209" i="9"/>
  <c r="Y4210" i="9"/>
  <c r="Y4211" i="9"/>
  <c r="Y4212" i="9"/>
  <c r="Y4213" i="9"/>
  <c r="Y4214" i="9"/>
  <c r="Y4215" i="9"/>
  <c r="Y4216" i="9"/>
  <c r="Y4217" i="9"/>
  <c r="Y4218" i="9"/>
  <c r="Y4219" i="9"/>
  <c r="Y4220" i="9"/>
  <c r="Y4221" i="9"/>
  <c r="Y4222" i="9"/>
  <c r="Y4223" i="9"/>
  <c r="Y4224" i="9"/>
  <c r="Y4225" i="9"/>
  <c r="Y4226" i="9"/>
  <c r="Y4227" i="9"/>
  <c r="Y4228" i="9"/>
  <c r="Y4229" i="9"/>
  <c r="Y4230" i="9"/>
  <c r="Y4231" i="9"/>
  <c r="Y4232" i="9"/>
  <c r="Y4233" i="9"/>
  <c r="Y4234" i="9"/>
  <c r="Y4235" i="9"/>
  <c r="Y4236" i="9"/>
  <c r="Y4237" i="9"/>
  <c r="Y4238" i="9"/>
  <c r="Y4239" i="9"/>
  <c r="Y4240" i="9"/>
  <c r="Y4241" i="9"/>
  <c r="Y4242" i="9"/>
  <c r="Y4243" i="9"/>
  <c r="Y4244" i="9"/>
  <c r="Y4245" i="9"/>
  <c r="Y4246" i="9"/>
  <c r="Y4247" i="9"/>
  <c r="Y4248" i="9"/>
  <c r="Y4249" i="9"/>
  <c r="Y4250" i="9"/>
  <c r="Y4251" i="9"/>
  <c r="Y4252" i="9"/>
  <c r="Y4253" i="9"/>
  <c r="Y4254" i="9"/>
  <c r="Y4255" i="9"/>
  <c r="Y4256" i="9"/>
  <c r="Y4257" i="9"/>
  <c r="Y4258" i="9"/>
  <c r="Y4259" i="9"/>
  <c r="Y4260" i="9"/>
  <c r="Y4261" i="9"/>
  <c r="Y4262" i="9"/>
  <c r="Y4263" i="9"/>
  <c r="Y4264" i="9"/>
  <c r="Y4265" i="9"/>
  <c r="Y4266" i="9"/>
  <c r="Y4267" i="9"/>
  <c r="Y4268" i="9"/>
  <c r="Y4269" i="9"/>
  <c r="Y4270" i="9"/>
  <c r="Y4271" i="9"/>
  <c r="Y4272" i="9"/>
  <c r="Y4273" i="9"/>
  <c r="Y4274" i="9"/>
  <c r="Y4275" i="9"/>
  <c r="Y4276" i="9"/>
  <c r="Y4277" i="9"/>
  <c r="Y4278" i="9"/>
  <c r="Y4279" i="9"/>
  <c r="Y4280" i="9"/>
  <c r="Y4281" i="9"/>
  <c r="Y4282" i="9"/>
  <c r="Y4283" i="9"/>
  <c r="Y4284" i="9"/>
  <c r="Y4285" i="9"/>
  <c r="Y4286" i="9"/>
  <c r="Y4287" i="9"/>
  <c r="Y4288" i="9"/>
  <c r="Y4289" i="9"/>
  <c r="Y4290" i="9"/>
  <c r="Y4291" i="9"/>
  <c r="Y4292" i="9"/>
  <c r="Y4293" i="9"/>
  <c r="Y4294" i="9"/>
  <c r="Y4295" i="9"/>
  <c r="Y4296" i="9"/>
  <c r="Y4297" i="9"/>
  <c r="Y4298" i="9"/>
  <c r="Y4299" i="9"/>
  <c r="Y4300" i="9"/>
  <c r="Y4301" i="9"/>
  <c r="Y4302" i="9"/>
  <c r="Y4303" i="9"/>
  <c r="Y4304" i="9"/>
  <c r="Y4305" i="9"/>
  <c r="Y4306" i="9"/>
  <c r="Y4307" i="9"/>
  <c r="Y4308" i="9"/>
  <c r="Y4309" i="9"/>
  <c r="Y4310" i="9"/>
  <c r="Y4311" i="9"/>
  <c r="Y4312" i="9"/>
  <c r="Y4313" i="9"/>
  <c r="Y4314" i="9"/>
  <c r="Y4315" i="9"/>
  <c r="Y4316" i="9"/>
  <c r="Y4317" i="9"/>
  <c r="Y4318" i="9"/>
  <c r="Y4319" i="9"/>
  <c r="Y4320" i="9"/>
  <c r="Y4321" i="9"/>
  <c r="Y4322" i="9"/>
  <c r="Y4323" i="9"/>
  <c r="Y4324" i="9"/>
  <c r="Y4325" i="9"/>
  <c r="Y4326" i="9"/>
  <c r="Y4327" i="9"/>
  <c r="Y4328" i="9"/>
  <c r="Y4329" i="9"/>
  <c r="Y4330" i="9"/>
  <c r="Y4331" i="9"/>
  <c r="Y4332" i="9"/>
  <c r="Y4333" i="9"/>
  <c r="Y4334" i="9"/>
  <c r="Y4335" i="9"/>
  <c r="Y4336" i="9"/>
  <c r="Y4337" i="9"/>
  <c r="Y4338" i="9"/>
  <c r="Y4339" i="9"/>
  <c r="Y4340" i="9"/>
  <c r="Y4341" i="9"/>
  <c r="Y4342" i="9"/>
  <c r="Y4343" i="9"/>
  <c r="Y4344" i="9"/>
  <c r="Y4345" i="9"/>
  <c r="Y4346" i="9"/>
  <c r="Y4347" i="9"/>
  <c r="Y4348" i="9"/>
  <c r="Y4349" i="9"/>
  <c r="Y4350" i="9"/>
  <c r="Y4351" i="9"/>
  <c r="Y4352" i="9"/>
  <c r="Y4353" i="9"/>
  <c r="Y4354" i="9"/>
  <c r="Y4355" i="9"/>
  <c r="Y4356" i="9"/>
  <c r="Y4357" i="9"/>
  <c r="Y4358" i="9"/>
  <c r="Y4359" i="9"/>
  <c r="Y4360" i="9"/>
  <c r="Y4361" i="9"/>
  <c r="Y4362" i="9"/>
  <c r="Y4363" i="9"/>
  <c r="Y4364" i="9"/>
  <c r="Y4365" i="9"/>
  <c r="Y4366" i="9"/>
  <c r="Y4367" i="9"/>
  <c r="Y4368" i="9"/>
  <c r="Y4369" i="9"/>
  <c r="Y4370" i="9"/>
  <c r="Y4371" i="9"/>
  <c r="Y4372" i="9"/>
  <c r="Y4373" i="9"/>
  <c r="Y4374" i="9"/>
  <c r="Y4375" i="9"/>
  <c r="Y4376" i="9"/>
  <c r="Y4377" i="9"/>
  <c r="Y4378" i="9"/>
  <c r="Y4379" i="9"/>
  <c r="Y4380" i="9"/>
  <c r="Y4381" i="9"/>
  <c r="Y4382" i="9"/>
  <c r="Y4383" i="9"/>
  <c r="Y4384" i="9"/>
  <c r="Y4385" i="9"/>
  <c r="Y4386" i="9"/>
  <c r="Y4387" i="9"/>
  <c r="Y4388" i="9"/>
  <c r="Y4389" i="9"/>
  <c r="Y4390" i="9"/>
  <c r="Y4391" i="9"/>
  <c r="Y4392" i="9"/>
  <c r="Y4393" i="9"/>
  <c r="Y4394" i="9"/>
  <c r="Y4395" i="9"/>
  <c r="Y4396" i="9"/>
  <c r="Y4397" i="9"/>
  <c r="Y4398" i="9"/>
  <c r="Y4399" i="9"/>
  <c r="Y4400" i="9"/>
  <c r="Y4401" i="9"/>
  <c r="Y4402" i="9"/>
  <c r="Y4403" i="9"/>
  <c r="Y4404" i="9"/>
  <c r="Y4405" i="9"/>
  <c r="Y4406" i="9"/>
  <c r="Y4407" i="9"/>
  <c r="Y4408" i="9"/>
  <c r="Y4409" i="9"/>
  <c r="Y4410" i="9"/>
  <c r="Y4411" i="9"/>
  <c r="Y4412" i="9"/>
  <c r="Y4413" i="9"/>
  <c r="Y4414" i="9"/>
  <c r="Y4415" i="9"/>
  <c r="Y4416" i="9"/>
  <c r="Y4417" i="9"/>
  <c r="Y4418" i="9"/>
  <c r="Y4419" i="9"/>
  <c r="Y4420" i="9"/>
  <c r="Y4421" i="9"/>
  <c r="Y4422" i="9"/>
  <c r="Y4423" i="9"/>
  <c r="Y4424" i="9"/>
  <c r="Y4425" i="9"/>
  <c r="Y4426" i="9"/>
  <c r="Y4427" i="9"/>
  <c r="Y4428" i="9"/>
  <c r="Y4429" i="9"/>
  <c r="Y4430" i="9"/>
  <c r="Y4431" i="9"/>
  <c r="Y4432" i="9"/>
  <c r="Y4433" i="9"/>
  <c r="Y4434" i="9"/>
  <c r="Y4435" i="9"/>
  <c r="Y4436" i="9"/>
  <c r="Y4437" i="9"/>
  <c r="Y4438" i="9"/>
  <c r="Y4439" i="9"/>
  <c r="Y4440" i="9"/>
  <c r="Y4441" i="9"/>
  <c r="Y4442" i="9"/>
  <c r="Y4443" i="9"/>
  <c r="Y4444" i="9"/>
  <c r="Y4445" i="9"/>
  <c r="Y4446" i="9"/>
  <c r="Y4447" i="9"/>
  <c r="Y4448" i="9"/>
  <c r="Y4449" i="9"/>
  <c r="Y4450" i="9"/>
  <c r="Y4451" i="9"/>
  <c r="Y4452" i="9"/>
  <c r="Y4453" i="9"/>
  <c r="Y4454" i="9"/>
  <c r="Y4455" i="9"/>
  <c r="Y4456" i="9"/>
  <c r="Y4457" i="9"/>
  <c r="Y4458" i="9"/>
  <c r="Y4459" i="9"/>
  <c r="Y4460" i="9"/>
  <c r="Y4461" i="9"/>
  <c r="Y4462" i="9"/>
  <c r="Y4463" i="9"/>
  <c r="Y4464" i="9"/>
  <c r="Y4465" i="9"/>
  <c r="Y4466" i="9"/>
  <c r="Y4467" i="9"/>
  <c r="Y4468" i="9"/>
  <c r="Y4469" i="9"/>
  <c r="Y4470" i="9"/>
  <c r="Y4471" i="9"/>
  <c r="Y4472" i="9"/>
  <c r="Y4473" i="9"/>
  <c r="Y4474" i="9"/>
  <c r="Y4475" i="9"/>
  <c r="Y4476" i="9"/>
  <c r="Y4477" i="9"/>
  <c r="Y4478" i="9"/>
  <c r="Y4479" i="9"/>
  <c r="Y4480" i="9"/>
  <c r="Y4481" i="9"/>
  <c r="Y4482" i="9"/>
  <c r="Y4483" i="9"/>
  <c r="Y4484" i="9"/>
  <c r="Y4485" i="9"/>
  <c r="Y4486" i="9"/>
  <c r="Y4487" i="9"/>
  <c r="Y4488" i="9"/>
  <c r="Y4489" i="9"/>
  <c r="Y4490" i="9"/>
  <c r="Y4491" i="9"/>
  <c r="Y4492" i="9"/>
  <c r="Y4493" i="9"/>
  <c r="Y4494" i="9"/>
  <c r="Y4495" i="9"/>
  <c r="Y4496" i="9"/>
  <c r="Y4497" i="9"/>
  <c r="Y4498" i="9"/>
  <c r="Y4499" i="9"/>
  <c r="Y4500" i="9"/>
  <c r="Y4501" i="9"/>
  <c r="Y4502" i="9"/>
  <c r="Y4503" i="9"/>
  <c r="Y4504" i="9"/>
  <c r="Y4505" i="9"/>
  <c r="Y4506" i="9"/>
  <c r="Y4507" i="9"/>
  <c r="Y4508" i="9"/>
  <c r="Y4509" i="9"/>
  <c r="Y4510" i="9"/>
  <c r="Y4511" i="9"/>
  <c r="Y4512" i="9"/>
  <c r="Y4513" i="9"/>
  <c r="Y4514" i="9"/>
  <c r="Y4515" i="9"/>
  <c r="Y4516" i="9"/>
  <c r="Y4517" i="9"/>
  <c r="Y4518" i="9"/>
  <c r="Y4519" i="9"/>
  <c r="Y4520" i="9"/>
  <c r="Y4521" i="9"/>
  <c r="Y4522" i="9"/>
  <c r="Y4523" i="9"/>
  <c r="Y4524" i="9"/>
  <c r="Y4525" i="9"/>
  <c r="Y4526" i="9"/>
  <c r="Y4527" i="9"/>
  <c r="Y4528" i="9"/>
  <c r="Y4529" i="9"/>
  <c r="Y4530" i="9"/>
  <c r="Y4531" i="9"/>
  <c r="Y4532" i="9"/>
  <c r="Y4533" i="9"/>
  <c r="Y4534" i="9"/>
  <c r="Y4535" i="9"/>
  <c r="Y4536" i="9"/>
  <c r="Y4537" i="9"/>
  <c r="Y4538" i="9"/>
  <c r="Y4539" i="9"/>
  <c r="Y4540" i="9"/>
  <c r="Y4541" i="9"/>
  <c r="Y4542" i="9"/>
  <c r="Y4543" i="9"/>
  <c r="Y4544" i="9"/>
  <c r="Y4545" i="9"/>
  <c r="Y4546" i="9"/>
  <c r="Y4547" i="9"/>
  <c r="Y4548" i="9"/>
  <c r="Y4549" i="9"/>
  <c r="Y4550" i="9"/>
  <c r="Y4551" i="9"/>
  <c r="Y4552" i="9"/>
  <c r="Y4553" i="9"/>
  <c r="Y4554" i="9"/>
  <c r="Y4555" i="9"/>
  <c r="Y4556" i="9"/>
  <c r="Y4557" i="9"/>
  <c r="Y4558" i="9"/>
  <c r="Y4559" i="9"/>
  <c r="Y4560" i="9"/>
  <c r="Y4561" i="9"/>
  <c r="Y4562" i="9"/>
  <c r="Y4563" i="9"/>
  <c r="Y4564" i="9"/>
  <c r="Y4565" i="9"/>
  <c r="Y4566" i="9"/>
  <c r="Y4567" i="9"/>
  <c r="Y4568" i="9"/>
  <c r="Y4569" i="9"/>
  <c r="Y4570" i="9"/>
  <c r="Y4571" i="9"/>
  <c r="Y4572" i="9"/>
  <c r="Y4573" i="9"/>
  <c r="Y4574" i="9"/>
  <c r="Y4575" i="9"/>
  <c r="Y4576" i="9"/>
  <c r="Y4577" i="9"/>
  <c r="Y4578" i="9"/>
  <c r="Y4579" i="9"/>
  <c r="Y4580" i="9"/>
  <c r="Y4581" i="9"/>
  <c r="Y4582" i="9"/>
  <c r="Y4583" i="9"/>
  <c r="Y4584" i="9"/>
  <c r="Y4585" i="9"/>
  <c r="Y4586" i="9"/>
  <c r="Y4587" i="9"/>
  <c r="Y4588" i="9"/>
  <c r="Y4589" i="9"/>
  <c r="Y4590" i="9"/>
  <c r="Y4591" i="9"/>
  <c r="Y4592" i="9"/>
  <c r="Y4593" i="9"/>
  <c r="Y4594" i="9"/>
  <c r="Y4595" i="9"/>
  <c r="Y4596" i="9"/>
  <c r="Y4597" i="9"/>
  <c r="Y4598" i="9"/>
  <c r="Y4599" i="9"/>
  <c r="Y4600" i="9"/>
  <c r="Y4601" i="9"/>
  <c r="Y4602" i="9"/>
  <c r="Y4603" i="9"/>
  <c r="Y4604" i="9"/>
  <c r="Y4605" i="9"/>
  <c r="Y4606" i="9"/>
  <c r="Y4607" i="9"/>
  <c r="Y4608" i="9"/>
  <c r="Y4609" i="9"/>
  <c r="Y4610" i="9"/>
  <c r="Y4611" i="9"/>
  <c r="Y4612" i="9"/>
  <c r="Y4613" i="9"/>
  <c r="Y4614" i="9"/>
  <c r="Y4615" i="9"/>
  <c r="Y4616" i="9"/>
  <c r="Y4617" i="9"/>
  <c r="Y4618" i="9"/>
  <c r="Y4619" i="9"/>
  <c r="Y4620" i="9"/>
  <c r="Y4621" i="9"/>
  <c r="Y4622" i="9"/>
  <c r="Y4623" i="9"/>
  <c r="Y4624" i="9"/>
  <c r="Y4625" i="9"/>
  <c r="Y4626" i="9"/>
  <c r="Y4627" i="9"/>
  <c r="Y4628" i="9"/>
  <c r="Y4629" i="9"/>
  <c r="Y4630" i="9"/>
  <c r="Y4631" i="9"/>
  <c r="Y4632" i="9"/>
  <c r="Y4633" i="9"/>
  <c r="Y4634" i="9"/>
  <c r="Y4635" i="9"/>
  <c r="Y4636" i="9"/>
  <c r="Y4637" i="9"/>
  <c r="Y4638" i="9"/>
  <c r="Y4639" i="9"/>
  <c r="Y4640" i="9"/>
  <c r="Y4641" i="9"/>
  <c r="Y4642" i="9"/>
  <c r="Y4643" i="9"/>
  <c r="Y4644" i="9"/>
  <c r="Y4645" i="9"/>
  <c r="Y4646" i="9"/>
  <c r="Y4647" i="9"/>
  <c r="Y4648" i="9"/>
  <c r="Y4649" i="9"/>
  <c r="Y4650" i="9"/>
  <c r="Y4651" i="9"/>
  <c r="Y4652" i="9"/>
  <c r="Y4653" i="9"/>
  <c r="Y4654" i="9"/>
  <c r="Y4655" i="9"/>
  <c r="Y4656" i="9"/>
  <c r="Y4657" i="9"/>
  <c r="Y4658" i="9"/>
  <c r="Y4659" i="9"/>
  <c r="Y4660" i="9"/>
  <c r="Y4661" i="9"/>
  <c r="Y4662" i="9"/>
  <c r="Y4663" i="9"/>
  <c r="Y4664" i="9"/>
  <c r="Y4665" i="9"/>
  <c r="Y4666" i="9"/>
  <c r="Y4667" i="9"/>
  <c r="Y4668" i="9"/>
  <c r="Y4669" i="9"/>
  <c r="Y4670" i="9"/>
  <c r="Y4671" i="9"/>
  <c r="Y4672" i="9"/>
  <c r="Y4673" i="9"/>
  <c r="Y4674" i="9"/>
  <c r="Y4675" i="9"/>
  <c r="Y4676" i="9"/>
  <c r="Y4677" i="9"/>
  <c r="Y4678" i="9"/>
  <c r="Y4679" i="9"/>
  <c r="Y4680" i="9"/>
  <c r="Y4681" i="9"/>
  <c r="Y4682" i="9"/>
  <c r="Y4683" i="9"/>
  <c r="Y4684" i="9"/>
  <c r="Y4685" i="9"/>
  <c r="Y4686" i="9"/>
  <c r="Y4687" i="9"/>
  <c r="Y4688" i="9"/>
  <c r="Y4689" i="9"/>
  <c r="Y4690" i="9"/>
  <c r="Y4691" i="9"/>
  <c r="Y4692" i="9"/>
  <c r="Y4693" i="9"/>
  <c r="Y4694" i="9"/>
  <c r="Y4695" i="9"/>
  <c r="Y4696" i="9"/>
  <c r="Y4697" i="9"/>
  <c r="Y4698" i="9"/>
  <c r="Y4699" i="9"/>
  <c r="Y4700" i="9"/>
  <c r="Y4701" i="9"/>
  <c r="Y4702" i="9"/>
  <c r="Y4703" i="9"/>
  <c r="Y4704" i="9"/>
  <c r="Y4705" i="9"/>
  <c r="Y4706" i="9"/>
  <c r="Y4707" i="9"/>
  <c r="Y4708" i="9"/>
  <c r="Y4709" i="9"/>
  <c r="Y4710" i="9"/>
  <c r="Y4711" i="9"/>
  <c r="Y4712" i="9"/>
  <c r="Y4713" i="9"/>
  <c r="Y4714" i="9"/>
  <c r="Y4715" i="9"/>
  <c r="Y4716" i="9"/>
  <c r="Y4717" i="9"/>
  <c r="Y4718" i="9"/>
  <c r="Y4719" i="9"/>
  <c r="Y4720" i="9"/>
  <c r="Y4721" i="9"/>
  <c r="Y4722" i="9"/>
  <c r="Y4723" i="9"/>
  <c r="Y4724" i="9"/>
  <c r="Y4725" i="9"/>
  <c r="Y4726" i="9"/>
  <c r="Y4727" i="9"/>
  <c r="Y4728" i="9"/>
  <c r="Y4729" i="9"/>
  <c r="Y4730" i="9"/>
  <c r="Y4731" i="9"/>
  <c r="Y4732" i="9"/>
  <c r="Y4733" i="9"/>
  <c r="Y4734" i="9"/>
  <c r="Y4735" i="9"/>
  <c r="Y4736" i="9"/>
  <c r="Y4737" i="9"/>
  <c r="Y4738" i="9"/>
  <c r="Y4739" i="9"/>
  <c r="Y4740" i="9"/>
  <c r="Y4741" i="9"/>
  <c r="Y4742" i="9"/>
  <c r="Y4743" i="9"/>
  <c r="Y4744" i="9"/>
  <c r="Y4745" i="9"/>
  <c r="Y4746" i="9"/>
  <c r="Y4747" i="9"/>
  <c r="Y4748" i="9"/>
  <c r="Y4749" i="9"/>
  <c r="Y4750" i="9"/>
  <c r="Y4751" i="9"/>
  <c r="Y4752" i="9"/>
  <c r="Y4753" i="9"/>
  <c r="Y4754" i="9"/>
  <c r="Y4755" i="9"/>
  <c r="Y4756" i="9"/>
  <c r="Y4757" i="9"/>
  <c r="Y4758" i="9"/>
  <c r="Y4759" i="9"/>
  <c r="Y4760" i="9"/>
  <c r="Y4761" i="9"/>
  <c r="Y4762" i="9"/>
  <c r="Y4763" i="9"/>
  <c r="Y4764" i="9"/>
  <c r="Y4765" i="9"/>
  <c r="Y4766" i="9"/>
  <c r="Y4767" i="9"/>
  <c r="Y4768" i="9"/>
  <c r="Y4769" i="9"/>
  <c r="Y4770" i="9"/>
  <c r="Y4771" i="9"/>
  <c r="Y4772" i="9"/>
  <c r="Y4773" i="9"/>
  <c r="Y4774" i="9"/>
  <c r="Y4775" i="9"/>
  <c r="Y4776" i="9"/>
  <c r="Y4777" i="9"/>
  <c r="Y4778" i="9"/>
  <c r="Y4779" i="9"/>
  <c r="Y4780" i="9"/>
  <c r="Y4781" i="9"/>
  <c r="Y4782" i="9"/>
  <c r="Y4783" i="9"/>
  <c r="Y4784" i="9"/>
  <c r="Y4785" i="9"/>
  <c r="Y4786" i="9"/>
  <c r="Y4787" i="9"/>
  <c r="Y4788" i="9"/>
  <c r="Y4789" i="9"/>
  <c r="Y4790" i="9"/>
  <c r="Y4791" i="9"/>
  <c r="Y4792" i="9"/>
  <c r="Y4793" i="9"/>
  <c r="Y4794" i="9"/>
  <c r="Y4795" i="9"/>
  <c r="Y4796" i="9"/>
  <c r="Y4797" i="9"/>
  <c r="Y4798" i="9"/>
  <c r="Y4799" i="9"/>
  <c r="Y4800" i="9"/>
  <c r="Y4801" i="9"/>
  <c r="Y4802" i="9"/>
  <c r="Y4803" i="9"/>
  <c r="Y4804" i="9"/>
  <c r="Y4805" i="9"/>
  <c r="Y4806" i="9"/>
  <c r="Y4807" i="9"/>
  <c r="Y4808" i="9"/>
  <c r="Y4809" i="9"/>
  <c r="Y4810" i="9"/>
  <c r="Y4811" i="9"/>
  <c r="Y4812" i="9"/>
  <c r="Y4813" i="9"/>
  <c r="Y4814" i="9"/>
  <c r="Y4815" i="9"/>
  <c r="Y4816" i="9"/>
  <c r="Y4817" i="9"/>
  <c r="Y4818" i="9"/>
  <c r="Y4819" i="9"/>
  <c r="Y4820" i="9"/>
  <c r="Y4821" i="9"/>
  <c r="Y4822" i="9"/>
  <c r="Y4823" i="9"/>
  <c r="Y4824" i="9"/>
  <c r="Y4825" i="9"/>
  <c r="Y4826" i="9"/>
  <c r="Y4827" i="9"/>
  <c r="Y4828" i="9"/>
  <c r="Y4829" i="9"/>
  <c r="Y4830" i="9"/>
  <c r="Y4831" i="9"/>
  <c r="Y4832" i="9"/>
  <c r="Y4833" i="9"/>
  <c r="Y4834" i="9"/>
  <c r="Y4835" i="9"/>
  <c r="Y4836" i="9"/>
  <c r="Y4837" i="9"/>
  <c r="Y4838" i="9"/>
  <c r="Y4839" i="9"/>
  <c r="Y4840" i="9"/>
  <c r="Y4841" i="9"/>
  <c r="Y4842" i="9"/>
  <c r="Y4843" i="9"/>
  <c r="Y4844" i="9"/>
  <c r="Y4845" i="9"/>
  <c r="Y4846" i="9"/>
  <c r="Y4847" i="9"/>
  <c r="Y4848" i="9"/>
  <c r="Y4849" i="9"/>
  <c r="Y4850" i="9"/>
  <c r="Y4851" i="9"/>
  <c r="Y4852" i="9"/>
  <c r="Y4853" i="9"/>
  <c r="Y4854" i="9"/>
  <c r="Y4855" i="9"/>
  <c r="Y4856" i="9"/>
  <c r="Y4857" i="9"/>
  <c r="Y4858" i="9"/>
  <c r="Y4859" i="9"/>
  <c r="Y4860" i="9"/>
  <c r="Y4861" i="9"/>
  <c r="Y4862" i="9"/>
  <c r="Y4863" i="9"/>
  <c r="Y4864" i="9"/>
  <c r="Y4865" i="9"/>
  <c r="Y4866" i="9"/>
  <c r="Y4867" i="9"/>
  <c r="Y4868" i="9"/>
  <c r="Y4869" i="9"/>
  <c r="Y4870" i="9"/>
  <c r="Y4871" i="9"/>
  <c r="Y4872" i="9"/>
  <c r="Y4873" i="9"/>
  <c r="Y4874" i="9"/>
  <c r="Y4875" i="9"/>
  <c r="Y4876" i="9"/>
  <c r="Y4877" i="9"/>
  <c r="Y4878" i="9"/>
  <c r="Y4879" i="9"/>
  <c r="Y4880" i="9"/>
  <c r="Y4881" i="9"/>
  <c r="Y4882" i="9"/>
  <c r="Y4883" i="9"/>
  <c r="Y4884" i="9"/>
  <c r="Y4885" i="9"/>
  <c r="Y4886" i="9"/>
  <c r="Y4887" i="9"/>
  <c r="Y4888" i="9"/>
  <c r="Y4889" i="9"/>
  <c r="Y4890" i="9"/>
  <c r="Y4891" i="9"/>
  <c r="Y4892" i="9"/>
  <c r="Y4893" i="9"/>
  <c r="Y4894" i="9"/>
  <c r="Y4895" i="9"/>
  <c r="Y4896" i="9"/>
  <c r="Y4897" i="9"/>
  <c r="Y4898" i="9"/>
  <c r="Y4899" i="9"/>
  <c r="Y4900" i="9"/>
  <c r="Y4901" i="9"/>
  <c r="Y4902" i="9"/>
  <c r="Y4903" i="9"/>
  <c r="Y4904" i="9"/>
  <c r="Y4905" i="9"/>
  <c r="Y4906" i="9"/>
  <c r="Y4907" i="9"/>
  <c r="Y4908" i="9"/>
  <c r="Y4909" i="9"/>
  <c r="Y4910" i="9"/>
  <c r="Y4911" i="9"/>
  <c r="Y4912" i="9"/>
  <c r="Y4913" i="9"/>
  <c r="Y4914" i="9"/>
  <c r="Y4915" i="9"/>
  <c r="Y4916" i="9"/>
  <c r="Y4917" i="9"/>
  <c r="Y4918" i="9"/>
  <c r="Y4919" i="9"/>
  <c r="Y4920" i="9"/>
  <c r="Y4921" i="9"/>
  <c r="Y4922" i="9"/>
  <c r="Y4923" i="9"/>
  <c r="Y4924" i="9"/>
  <c r="Y4925" i="9"/>
  <c r="Y4926" i="9"/>
  <c r="Y4927" i="9"/>
  <c r="Y4928" i="9"/>
  <c r="Y4929" i="9"/>
  <c r="Y4930" i="9"/>
  <c r="Y4931" i="9"/>
  <c r="Y4932" i="9"/>
  <c r="Y4933" i="9"/>
  <c r="Y4934" i="9"/>
  <c r="Y4935" i="9"/>
  <c r="Y4936" i="9"/>
  <c r="Y4937" i="9"/>
  <c r="Y4938" i="9"/>
  <c r="Y4939" i="9"/>
  <c r="Y4940" i="9"/>
  <c r="Y4941" i="9"/>
  <c r="Y4942" i="9"/>
  <c r="Y4943" i="9"/>
  <c r="Y4944" i="9"/>
  <c r="Y4945" i="9"/>
  <c r="Y4946" i="9"/>
  <c r="Y4947" i="9"/>
  <c r="Y4948" i="9"/>
  <c r="Y4949" i="9"/>
  <c r="Y4950" i="9"/>
  <c r="Y4951" i="9"/>
  <c r="Y4952" i="9"/>
  <c r="Y4953" i="9"/>
  <c r="Y4954" i="9"/>
  <c r="Y4955" i="9"/>
  <c r="Y4956" i="9"/>
  <c r="Y4957" i="9"/>
  <c r="Y4958" i="9"/>
  <c r="Y4959" i="9"/>
  <c r="Y4960" i="9"/>
  <c r="Y4961" i="9"/>
  <c r="Y4962" i="9"/>
  <c r="Y4963" i="9"/>
  <c r="Y4964" i="9"/>
  <c r="Y4965" i="9"/>
  <c r="Y4966" i="9"/>
  <c r="Y4967" i="9"/>
  <c r="Y4968" i="9"/>
  <c r="Y4969" i="9"/>
  <c r="Y4970" i="9"/>
  <c r="Y4971" i="9"/>
  <c r="Y4972" i="9"/>
  <c r="Y4973" i="9"/>
  <c r="Y4974" i="9"/>
  <c r="Y4975" i="9"/>
  <c r="Y4976" i="9"/>
  <c r="Y4977" i="9"/>
  <c r="Y4978" i="9"/>
  <c r="Y4979" i="9"/>
  <c r="Y4980" i="9"/>
  <c r="Y4981" i="9"/>
  <c r="Y4982" i="9"/>
  <c r="Y4983" i="9"/>
  <c r="Y4984" i="9"/>
  <c r="Y4985" i="9"/>
  <c r="Y4986" i="9"/>
  <c r="Y4987" i="9"/>
  <c r="Y4988" i="9"/>
  <c r="Y4989" i="9"/>
  <c r="Y4990" i="9"/>
  <c r="Y4991" i="9"/>
  <c r="Y4992" i="9"/>
  <c r="Y4993" i="9"/>
  <c r="Y4994" i="9"/>
  <c r="Y4995" i="9"/>
  <c r="Y4996" i="9"/>
  <c r="Y4997" i="9"/>
  <c r="Y4998" i="9"/>
  <c r="Y4999" i="9"/>
  <c r="Y5000" i="9"/>
  <c r="Y5001" i="9"/>
  <c r="Y5002" i="9"/>
  <c r="Y5003" i="9"/>
  <c r="Y5004" i="9"/>
  <c r="Y5005" i="9"/>
  <c r="Y5006" i="9"/>
  <c r="Y5007" i="9"/>
  <c r="Y5008" i="9"/>
  <c r="Y5009" i="9"/>
  <c r="Y5010" i="9"/>
  <c r="Y5011" i="9"/>
  <c r="Y5012" i="9"/>
  <c r="Y5013" i="9"/>
  <c r="Y5014" i="9"/>
  <c r="Y5015" i="9"/>
  <c r="Y5016" i="9"/>
  <c r="Y5017" i="9"/>
  <c r="Y5018" i="9"/>
  <c r="Y5019" i="9"/>
  <c r="Y5020" i="9"/>
  <c r="Y5021" i="9"/>
  <c r="Y5022" i="9"/>
  <c r="Y5023" i="9"/>
  <c r="Y5024" i="9"/>
  <c r="Y5025" i="9"/>
  <c r="Y5026" i="9"/>
  <c r="Y5027" i="9"/>
  <c r="Y5028" i="9"/>
  <c r="Y5029" i="9"/>
  <c r="Y5030" i="9"/>
  <c r="Y5031" i="9"/>
  <c r="Y5032" i="9"/>
  <c r="Y5033" i="9"/>
  <c r="Y5034" i="9"/>
  <c r="Y5035" i="9"/>
  <c r="Y5036" i="9"/>
  <c r="Y5037" i="9"/>
  <c r="Y5038" i="9"/>
  <c r="Y5039" i="9"/>
  <c r="Y5040" i="9"/>
  <c r="Y5041" i="9"/>
  <c r="Y5042" i="9"/>
  <c r="Y5043" i="9"/>
  <c r="Y5044" i="9"/>
  <c r="Y5045" i="9"/>
  <c r="Y5046" i="9"/>
  <c r="Y5047" i="9"/>
  <c r="Y5048" i="9"/>
  <c r="Y5049" i="9"/>
  <c r="Y5050" i="9"/>
  <c r="Y5051" i="9"/>
  <c r="Y5052" i="9"/>
  <c r="Y5053" i="9"/>
  <c r="Y5054" i="9"/>
  <c r="Y5055" i="9"/>
  <c r="Y5056" i="9"/>
  <c r="Y5057" i="9"/>
  <c r="Y5058" i="9"/>
  <c r="Y5059" i="9"/>
  <c r="Y5060" i="9"/>
  <c r="Y5061" i="9"/>
  <c r="Y5062" i="9"/>
  <c r="Y5063" i="9"/>
  <c r="Y5064" i="9"/>
  <c r="Y5065" i="9"/>
  <c r="Y5066" i="9"/>
  <c r="Y5067" i="9"/>
  <c r="Y5068" i="9"/>
  <c r="Y5069" i="9"/>
  <c r="Y5070" i="9"/>
  <c r="Y5071" i="9"/>
  <c r="Z3044" i="9"/>
  <c r="Z3045" i="9"/>
  <c r="Z3046" i="9"/>
  <c r="Z3047" i="9"/>
  <c r="Z3048" i="9"/>
  <c r="Z3049" i="9"/>
  <c r="Z3050" i="9"/>
  <c r="Z3051" i="9"/>
  <c r="Z3053" i="9"/>
  <c r="Z3054" i="9"/>
  <c r="Z3055" i="9"/>
  <c r="Z3056" i="9"/>
  <c r="Z3057" i="9"/>
  <c r="Z3058" i="9"/>
  <c r="Z3059" i="9"/>
  <c r="Z3060" i="9"/>
  <c r="Z3061" i="9"/>
  <c r="Z3062" i="9"/>
  <c r="Z3063" i="9"/>
  <c r="Z3064" i="9"/>
  <c r="Z3065" i="9"/>
  <c r="Z3066" i="9"/>
  <c r="Z3067" i="9"/>
  <c r="Z3068" i="9"/>
  <c r="Z3069" i="9"/>
  <c r="Z3070" i="9"/>
  <c r="Z3071" i="9"/>
  <c r="Z3072" i="9"/>
  <c r="Z3073" i="9"/>
  <c r="Z3074" i="9"/>
  <c r="Z3075" i="9"/>
  <c r="Z3076" i="9"/>
  <c r="Z3077" i="9"/>
  <c r="Z3078" i="9"/>
  <c r="Z3079" i="9"/>
  <c r="Z3080" i="9"/>
  <c r="Z3081" i="9"/>
  <c r="Z3082" i="9"/>
  <c r="Z3083" i="9"/>
  <c r="Z3084" i="9"/>
  <c r="Z3085" i="9"/>
  <c r="Z3086" i="9"/>
  <c r="Z3087" i="9"/>
  <c r="Z3088" i="9"/>
  <c r="Z3089" i="9"/>
  <c r="Z3090" i="9"/>
  <c r="Z3091" i="9"/>
  <c r="Z3092" i="9"/>
  <c r="Z3093" i="9"/>
  <c r="Z3094" i="9"/>
  <c r="Z3095" i="9"/>
  <c r="Z3096" i="9"/>
  <c r="Z3097" i="9"/>
  <c r="Z3098" i="9"/>
  <c r="Z3099" i="9"/>
  <c r="Z3100" i="9"/>
  <c r="Z3101" i="9"/>
  <c r="Z3102" i="9"/>
  <c r="Z3103" i="9"/>
  <c r="Z3104" i="9"/>
  <c r="Z3105" i="9"/>
  <c r="Z3106" i="9"/>
  <c r="Z3107" i="9"/>
  <c r="Z3108" i="9"/>
  <c r="Z3109" i="9"/>
  <c r="Z3110" i="9"/>
  <c r="Z3111" i="9"/>
  <c r="Z3112" i="9"/>
  <c r="Z3113" i="9"/>
  <c r="Z3114" i="9"/>
  <c r="Z3115" i="9"/>
  <c r="Z3116" i="9"/>
  <c r="Z3117" i="9"/>
  <c r="Z3118" i="9"/>
  <c r="Z3119" i="9"/>
  <c r="Z3120" i="9"/>
  <c r="Z3121" i="9"/>
  <c r="Z3122" i="9"/>
  <c r="Z3123" i="9"/>
  <c r="Z3124" i="9"/>
  <c r="Z3125" i="9"/>
  <c r="Z3126" i="9"/>
  <c r="Z3127" i="9"/>
  <c r="Z3128" i="9"/>
  <c r="Z3129" i="9"/>
  <c r="Z3130" i="9"/>
  <c r="Z3131" i="9"/>
  <c r="Z3132" i="9"/>
  <c r="Z3133" i="9"/>
  <c r="Z3134" i="9"/>
  <c r="Z3135" i="9"/>
  <c r="Z3136" i="9"/>
  <c r="Z3137" i="9"/>
  <c r="Z3138" i="9"/>
  <c r="Z3139" i="9"/>
  <c r="Z3140" i="9"/>
  <c r="Z3141" i="9"/>
  <c r="Z3142" i="9"/>
  <c r="Z3143" i="9"/>
  <c r="Z3144" i="9"/>
  <c r="Z3145" i="9"/>
  <c r="Z3146" i="9"/>
  <c r="Z3147" i="9"/>
  <c r="Z3148" i="9"/>
  <c r="Z3149" i="9"/>
  <c r="Z3150" i="9"/>
  <c r="Z3151" i="9"/>
  <c r="Z3152" i="9"/>
  <c r="Z3153" i="9"/>
  <c r="Z3154" i="9"/>
  <c r="Z3155" i="9"/>
  <c r="Z3156" i="9"/>
  <c r="Z3157" i="9"/>
  <c r="Z3158" i="9"/>
  <c r="Z3159" i="9"/>
  <c r="Z3160" i="9"/>
  <c r="Z3161" i="9"/>
  <c r="Z3162" i="9"/>
  <c r="Z3163" i="9"/>
  <c r="Z3164" i="9"/>
  <c r="Z3165" i="9"/>
  <c r="Z3166" i="9"/>
  <c r="Z3167" i="9"/>
  <c r="Z3168" i="9"/>
  <c r="Z3169" i="9"/>
  <c r="Z3170" i="9"/>
  <c r="Z3171" i="9"/>
  <c r="Z3172" i="9"/>
  <c r="Z3173" i="9"/>
  <c r="Z3174" i="9"/>
  <c r="Z3175" i="9"/>
  <c r="Z3176" i="9"/>
  <c r="Z3177" i="9"/>
  <c r="Z3178" i="9"/>
  <c r="Z3179" i="9"/>
  <c r="Z3180" i="9"/>
  <c r="Z3181" i="9"/>
  <c r="Z3182" i="9"/>
  <c r="Z3183" i="9"/>
  <c r="Z3184" i="9"/>
  <c r="Z3185" i="9"/>
  <c r="Z3186" i="9"/>
  <c r="Z3187" i="9"/>
  <c r="Z3188" i="9"/>
  <c r="Z3189" i="9"/>
  <c r="Z3190" i="9"/>
  <c r="Z3191" i="9"/>
  <c r="Z3192" i="9"/>
  <c r="Z3193" i="9"/>
  <c r="Z3194" i="9"/>
  <c r="Z3195" i="9"/>
  <c r="Z3196" i="9"/>
  <c r="Z3197" i="9"/>
  <c r="Z3198" i="9"/>
  <c r="Z3199" i="9"/>
  <c r="Z3200" i="9"/>
  <c r="Z3201" i="9"/>
  <c r="Z3202" i="9"/>
  <c r="Z3203" i="9"/>
  <c r="Z3204" i="9"/>
  <c r="Z3205" i="9"/>
  <c r="Z3206" i="9"/>
  <c r="Z3207" i="9"/>
  <c r="Z3208" i="9"/>
  <c r="Z3209" i="9"/>
  <c r="Z3210" i="9"/>
  <c r="Z3211" i="9"/>
  <c r="Z3212" i="9"/>
  <c r="Z3213" i="9"/>
  <c r="Z3214" i="9"/>
  <c r="Z3215" i="9"/>
  <c r="Z3216" i="9"/>
  <c r="Z3217" i="9"/>
  <c r="Z3218" i="9"/>
  <c r="Z3219" i="9"/>
  <c r="Z3220" i="9"/>
  <c r="Z3221" i="9"/>
  <c r="Z3222" i="9"/>
  <c r="Z3223" i="9"/>
  <c r="Z3224" i="9"/>
  <c r="Z3230" i="9"/>
  <c r="Z3231" i="9"/>
  <c r="Z3232" i="9"/>
  <c r="Z3233" i="9"/>
  <c r="Z3234" i="9"/>
  <c r="Z3235" i="9"/>
  <c r="Z3236" i="9"/>
  <c r="Z3237" i="9"/>
  <c r="Z3238" i="9"/>
  <c r="Z3239" i="9"/>
  <c r="Z3240" i="9"/>
  <c r="Z3241" i="9"/>
  <c r="Z3242" i="9"/>
  <c r="Z3243" i="9"/>
  <c r="Z3244" i="9"/>
  <c r="Z3245" i="9"/>
  <c r="Z3246" i="9"/>
  <c r="Z3247" i="9"/>
  <c r="Z3248" i="9"/>
  <c r="Z3249" i="9"/>
  <c r="Z3250" i="9"/>
  <c r="Z3251" i="9"/>
  <c r="Z3252" i="9"/>
  <c r="Z3253" i="9"/>
  <c r="Z3254" i="9"/>
  <c r="Z3255" i="9"/>
  <c r="Z3256" i="9"/>
  <c r="Z3257" i="9"/>
  <c r="Z3258" i="9"/>
  <c r="Z3259" i="9"/>
  <c r="Z3260" i="9"/>
  <c r="Z3261" i="9"/>
  <c r="Z3262" i="9"/>
  <c r="Z3263" i="9"/>
  <c r="Z3264" i="9"/>
  <c r="Z3265" i="9"/>
  <c r="Z3266" i="9"/>
  <c r="Z3267" i="9"/>
  <c r="Z3268" i="9"/>
  <c r="Z3269" i="9"/>
  <c r="Z3270" i="9"/>
  <c r="Z3271" i="9"/>
  <c r="Z3273" i="9"/>
  <c r="Z3274" i="9"/>
  <c r="Z3275" i="9"/>
  <c r="Z3276" i="9"/>
  <c r="Z3277" i="9"/>
  <c r="Z3278" i="9"/>
  <c r="Z3279" i="9"/>
  <c r="Z3280" i="9"/>
  <c r="Z3281" i="9"/>
  <c r="Z3282" i="9"/>
  <c r="Z3283" i="9"/>
  <c r="Z3284" i="9"/>
  <c r="Z3285" i="9"/>
  <c r="Z3286" i="9"/>
  <c r="Z3287" i="9"/>
  <c r="Z3288" i="9"/>
  <c r="Z3289" i="9"/>
  <c r="Z3290" i="9"/>
  <c r="Z3291" i="9"/>
  <c r="Z3292" i="9"/>
  <c r="Z3293" i="9"/>
  <c r="Z3294" i="9"/>
  <c r="Z3295" i="9"/>
  <c r="Z3296" i="9"/>
  <c r="Z3297" i="9"/>
  <c r="Z3298" i="9"/>
  <c r="Z3299" i="9"/>
  <c r="Z3300" i="9"/>
  <c r="Z3301" i="9"/>
  <c r="Z3302" i="9"/>
  <c r="Z3303" i="9"/>
  <c r="Z3304" i="9"/>
  <c r="Z3305" i="9"/>
  <c r="Z3306" i="9"/>
  <c r="Z3307" i="9"/>
  <c r="Z3308" i="9"/>
  <c r="Z3309" i="9"/>
  <c r="Z3310" i="9"/>
  <c r="Z3311" i="9"/>
  <c r="Z3312" i="9"/>
  <c r="Z3313" i="9"/>
  <c r="Z3314" i="9"/>
  <c r="Z3315" i="9"/>
  <c r="Z3316" i="9"/>
  <c r="Z3317" i="9"/>
  <c r="Z3318" i="9"/>
  <c r="Z3319" i="9"/>
  <c r="Z3320" i="9"/>
  <c r="Z3321" i="9"/>
  <c r="Z3322" i="9"/>
  <c r="Z3323" i="9"/>
  <c r="Z3324" i="9"/>
  <c r="Z3325" i="9"/>
  <c r="Z3326" i="9"/>
  <c r="Z3327" i="9"/>
  <c r="Z3328" i="9"/>
  <c r="Z3329" i="9"/>
  <c r="Z3330" i="9"/>
  <c r="Z3332" i="9"/>
  <c r="Z3333" i="9"/>
  <c r="Z3334" i="9"/>
  <c r="Z3335" i="9"/>
  <c r="Z3336" i="9"/>
  <c r="Z3337" i="9"/>
  <c r="Z3338" i="9"/>
  <c r="Z3339" i="9"/>
  <c r="Z3340" i="9"/>
  <c r="Z3341" i="9"/>
  <c r="Z3342" i="9"/>
  <c r="Z3343" i="9"/>
  <c r="Z3344" i="9"/>
  <c r="Z3345" i="9"/>
  <c r="Z3346" i="9"/>
  <c r="Z3347" i="9"/>
  <c r="Z3348" i="9"/>
  <c r="Z3349" i="9"/>
  <c r="Z3350" i="9"/>
  <c r="Z3351" i="9"/>
  <c r="Z3352" i="9"/>
  <c r="Z3353" i="9"/>
  <c r="Z3354" i="9"/>
  <c r="Z3355" i="9"/>
  <c r="Z3356" i="9"/>
  <c r="Z3357" i="9"/>
  <c r="Z3358" i="9"/>
  <c r="Z3359" i="9"/>
  <c r="Z3360" i="9"/>
  <c r="Z3361" i="9"/>
  <c r="Z3362" i="9"/>
  <c r="Z3363" i="9"/>
  <c r="Z3364" i="9"/>
  <c r="Z3365" i="9"/>
  <c r="Z3366" i="9"/>
  <c r="Z3367" i="9"/>
  <c r="Z3368" i="9"/>
  <c r="Z3369" i="9"/>
  <c r="Z3370" i="9"/>
  <c r="Z3371" i="9"/>
  <c r="Z3372" i="9"/>
  <c r="Z3373" i="9"/>
  <c r="Z3374" i="9"/>
  <c r="Z3375" i="9"/>
  <c r="Z3376" i="9"/>
  <c r="Z3377" i="9"/>
  <c r="Z3378" i="9"/>
  <c r="Z3379" i="9"/>
  <c r="Z3380" i="9"/>
  <c r="Z3381" i="9"/>
  <c r="Z3382" i="9"/>
  <c r="Z3383" i="9"/>
  <c r="Z3384" i="9"/>
  <c r="Z3385" i="9"/>
  <c r="Z3386" i="9"/>
  <c r="Z3387" i="9"/>
  <c r="Z3388" i="9"/>
  <c r="Z3389" i="9"/>
  <c r="Z3390" i="9"/>
  <c r="Z3391" i="9"/>
  <c r="Z3392" i="9"/>
  <c r="Z3393" i="9"/>
  <c r="Z3394" i="9"/>
  <c r="Z3395" i="9"/>
  <c r="Z3396" i="9"/>
  <c r="Z3397" i="9"/>
  <c r="Z3398" i="9"/>
  <c r="Z3399" i="9"/>
  <c r="Z3400" i="9"/>
  <c r="Z3401" i="9"/>
  <c r="Z3402" i="9"/>
  <c r="Z3403" i="9"/>
  <c r="Z3404" i="9"/>
  <c r="Z3405" i="9"/>
  <c r="Z3406" i="9"/>
  <c r="Z3407" i="9"/>
  <c r="Z3408" i="9"/>
  <c r="Z3409" i="9"/>
  <c r="Z3410" i="9"/>
  <c r="Z3411" i="9"/>
  <c r="Z3412" i="9"/>
  <c r="Z3413" i="9"/>
  <c r="Z3414" i="9"/>
  <c r="Z3415" i="9"/>
  <c r="Z3416" i="9"/>
  <c r="Z3417" i="9"/>
  <c r="Z3418" i="9"/>
  <c r="Z3419" i="9"/>
  <c r="Z3420" i="9"/>
  <c r="Z3421" i="9"/>
  <c r="Z3422" i="9"/>
  <c r="Z3423" i="9"/>
  <c r="Z3424" i="9"/>
  <c r="Z3425" i="9"/>
  <c r="Z3426" i="9"/>
  <c r="Z3427" i="9"/>
  <c r="Z3428" i="9"/>
  <c r="Z3429" i="9"/>
  <c r="Z3430" i="9"/>
  <c r="Z3431" i="9"/>
  <c r="Z3432" i="9"/>
  <c r="Z3433" i="9"/>
  <c r="Z3434" i="9"/>
  <c r="Z3441" i="9"/>
  <c r="Z3442" i="9"/>
  <c r="Z3443" i="9"/>
  <c r="Z3444" i="9"/>
  <c r="Z3445" i="9"/>
  <c r="Z3446" i="9"/>
  <c r="Z3447" i="9"/>
  <c r="Z3448" i="9"/>
  <c r="Z3449" i="9"/>
  <c r="Z3450" i="9"/>
  <c r="Z3451" i="9"/>
  <c r="Z3452" i="9"/>
  <c r="Z3453" i="9"/>
  <c r="Z3454" i="9"/>
  <c r="Z3455" i="9"/>
  <c r="Z3456" i="9"/>
  <c r="Z3457" i="9"/>
  <c r="Z3458" i="9"/>
  <c r="Z3459" i="9"/>
  <c r="Z3460" i="9"/>
  <c r="Z3461" i="9"/>
  <c r="Z3462" i="9"/>
  <c r="Z3463" i="9"/>
  <c r="Z3464" i="9"/>
  <c r="Z3465" i="9"/>
  <c r="Z3466" i="9"/>
  <c r="Z3467" i="9"/>
  <c r="Z3468" i="9"/>
  <c r="Z3469" i="9"/>
  <c r="Z3470" i="9"/>
  <c r="Z3471" i="9"/>
  <c r="Z3472" i="9"/>
  <c r="Z3473" i="9"/>
  <c r="Z3474" i="9"/>
  <c r="Z3475" i="9"/>
  <c r="Z3476" i="9"/>
  <c r="Z3477" i="9"/>
  <c r="Z3478" i="9"/>
  <c r="Z3479" i="9"/>
  <c r="Z3480" i="9"/>
  <c r="Z3481" i="9"/>
  <c r="Z3482" i="9"/>
  <c r="Z3483" i="9"/>
  <c r="Z3484" i="9"/>
  <c r="Z3485" i="9"/>
  <c r="Z3486" i="9"/>
  <c r="Z3487" i="9"/>
  <c r="Z3488" i="9"/>
  <c r="Z3489" i="9"/>
  <c r="Z3490" i="9"/>
  <c r="Z3491" i="9"/>
  <c r="Z3492" i="9"/>
  <c r="Z3493" i="9"/>
  <c r="Z3494" i="9"/>
  <c r="Z3495" i="9"/>
  <c r="Z3496" i="9"/>
  <c r="Z3497" i="9"/>
  <c r="Z3498" i="9"/>
  <c r="Z3499" i="9"/>
  <c r="Z3500" i="9"/>
  <c r="Z3501" i="9"/>
  <c r="Z3502" i="9"/>
  <c r="Z3503" i="9"/>
  <c r="Z3504" i="9"/>
  <c r="Z3505" i="9"/>
  <c r="Z3506" i="9"/>
  <c r="Z3507" i="9"/>
  <c r="Z3508" i="9"/>
  <c r="Z3509" i="9"/>
  <c r="Z3510" i="9"/>
  <c r="Z3511" i="9"/>
  <c r="Z3512" i="9"/>
  <c r="Z3513" i="9"/>
  <c r="Z3514" i="9"/>
  <c r="Z3515" i="9"/>
  <c r="Z3516" i="9"/>
  <c r="Z3517" i="9"/>
  <c r="Z3518" i="9"/>
  <c r="Z3519" i="9"/>
  <c r="Z3520" i="9"/>
  <c r="Z3521" i="9"/>
  <c r="Z3522" i="9"/>
  <c r="Z3523" i="9"/>
  <c r="Z3524" i="9"/>
  <c r="Z3525" i="9"/>
  <c r="Z3526" i="9"/>
  <c r="Z3527" i="9"/>
  <c r="Z3528" i="9"/>
  <c r="Z3529" i="9"/>
  <c r="Z3530" i="9"/>
  <c r="Z3531" i="9"/>
  <c r="Z3532" i="9"/>
  <c r="Z3533" i="9"/>
  <c r="Z3534" i="9"/>
  <c r="Z3535" i="9"/>
  <c r="Z3536" i="9"/>
  <c r="Z3537" i="9"/>
  <c r="Z3538" i="9"/>
  <c r="Z3539" i="9"/>
  <c r="Z3540" i="9"/>
  <c r="Z3541" i="9"/>
  <c r="Z3542" i="9"/>
  <c r="Z3543" i="9"/>
  <c r="Z3544" i="9"/>
  <c r="Z3545" i="9"/>
  <c r="Z3546" i="9"/>
  <c r="Z3547" i="9"/>
  <c r="Z3548" i="9"/>
  <c r="Z3549" i="9"/>
  <c r="Z3550" i="9"/>
  <c r="Z3551" i="9"/>
  <c r="Z3552" i="9"/>
  <c r="Z3553" i="9"/>
  <c r="Z3554" i="9"/>
  <c r="Z3555" i="9"/>
  <c r="Z3556" i="9"/>
  <c r="Z3557" i="9"/>
  <c r="Z3558" i="9"/>
  <c r="Z3559" i="9"/>
  <c r="Z3560" i="9"/>
  <c r="Z3561" i="9"/>
  <c r="Z3562" i="9"/>
  <c r="Z3563" i="9"/>
  <c r="Z3564" i="9"/>
  <c r="Z3565" i="9"/>
  <c r="Z3566" i="9"/>
  <c r="Z3567" i="9"/>
  <c r="Z3568" i="9"/>
  <c r="Z3569" i="9"/>
  <c r="Z3570" i="9"/>
  <c r="Z3571" i="9"/>
  <c r="Z3572" i="9"/>
  <c r="Z3573" i="9"/>
  <c r="Z3574" i="9"/>
  <c r="Z3575" i="9"/>
  <c r="Z3576" i="9"/>
  <c r="Z3577" i="9"/>
  <c r="Z3578" i="9"/>
  <c r="Z3579" i="9"/>
  <c r="Z3580" i="9"/>
  <c r="Z3581" i="9"/>
  <c r="Z3582" i="9"/>
  <c r="Z3583" i="9"/>
  <c r="Z3584" i="9"/>
  <c r="Z3585" i="9"/>
  <c r="Z3586" i="9"/>
  <c r="Z3587" i="9"/>
  <c r="Z3588" i="9"/>
  <c r="Z3589" i="9"/>
  <c r="Z3590" i="9"/>
  <c r="Z3591" i="9"/>
  <c r="Z3592" i="9"/>
  <c r="Z3593" i="9"/>
  <c r="Z3594" i="9"/>
  <c r="Z3595" i="9"/>
  <c r="Z3596" i="9"/>
  <c r="Z3597" i="9"/>
  <c r="Z3598" i="9"/>
  <c r="Z3599" i="9"/>
  <c r="Z3600" i="9"/>
  <c r="Z3601" i="9"/>
  <c r="Z3602" i="9"/>
  <c r="Z3603" i="9"/>
  <c r="Z3604" i="9"/>
  <c r="Z3605" i="9"/>
  <c r="Z3606" i="9"/>
  <c r="Z3607" i="9"/>
  <c r="Z3608" i="9"/>
  <c r="Z3609" i="9"/>
  <c r="Z3610" i="9"/>
  <c r="Z3611" i="9"/>
  <c r="Z3612" i="9"/>
  <c r="Z3613" i="9"/>
  <c r="Z3614" i="9"/>
  <c r="Z3615" i="9"/>
  <c r="Z3616" i="9"/>
  <c r="Z3617" i="9"/>
  <c r="Z3618" i="9"/>
  <c r="Z3619" i="9"/>
  <c r="Z3620" i="9"/>
  <c r="Z3621" i="9"/>
  <c r="Z3622" i="9"/>
  <c r="Z3623" i="9"/>
  <c r="Z3624" i="9"/>
  <c r="Z3625" i="9"/>
  <c r="Z3626" i="9"/>
  <c r="Z3627" i="9"/>
  <c r="Z3628" i="9"/>
  <c r="Z3629" i="9"/>
  <c r="Z3630" i="9"/>
  <c r="Z3631" i="9"/>
  <c r="Z3632" i="9"/>
  <c r="Z3633" i="9"/>
  <c r="Z3634" i="9"/>
  <c r="Z3635" i="9"/>
  <c r="Z3636" i="9"/>
  <c r="Z3637" i="9"/>
  <c r="Z3638" i="9"/>
  <c r="Z3639" i="9"/>
  <c r="Z3640" i="9"/>
  <c r="Z3641" i="9"/>
  <c r="Z3642" i="9"/>
  <c r="Z3643" i="9"/>
  <c r="Z3644" i="9"/>
  <c r="Z3645" i="9"/>
  <c r="Z3646" i="9"/>
  <c r="Z3647" i="9"/>
  <c r="Z3648" i="9"/>
  <c r="Z3649" i="9"/>
  <c r="Z3650" i="9"/>
  <c r="Z3651" i="9"/>
  <c r="Z3652" i="9"/>
  <c r="Z3653" i="9"/>
  <c r="Z3654" i="9"/>
  <c r="Z3655" i="9"/>
  <c r="Z3656" i="9"/>
  <c r="Z3657" i="9"/>
  <c r="Z3658" i="9"/>
  <c r="Z3659" i="9"/>
  <c r="Z3660" i="9"/>
  <c r="Z3661" i="9"/>
  <c r="Z3662" i="9"/>
  <c r="Z3663" i="9"/>
  <c r="Z3664" i="9"/>
  <c r="Z3665" i="9"/>
  <c r="Z3666" i="9"/>
  <c r="Z3667" i="9"/>
  <c r="Z3668" i="9"/>
  <c r="Z3669" i="9"/>
  <c r="Z3670" i="9"/>
  <c r="Z3671" i="9"/>
  <c r="Z3672" i="9"/>
  <c r="Z3673" i="9"/>
  <c r="Z3674" i="9"/>
  <c r="Z3675" i="9"/>
  <c r="Z3676" i="9"/>
  <c r="Z3677" i="9"/>
  <c r="Z3678" i="9"/>
  <c r="Z3679" i="9"/>
  <c r="Z3680" i="9"/>
  <c r="Z3681" i="9"/>
  <c r="Z3682" i="9"/>
  <c r="Z3683" i="9"/>
  <c r="Z3684" i="9"/>
  <c r="Z3685" i="9"/>
  <c r="Z3686" i="9"/>
  <c r="Z3687" i="9"/>
  <c r="Z3688" i="9"/>
  <c r="Z3689" i="9"/>
  <c r="Z3690" i="9"/>
  <c r="Z3691" i="9"/>
  <c r="Z3692" i="9"/>
  <c r="Z3693" i="9"/>
  <c r="Z3694" i="9"/>
  <c r="Z3695" i="9"/>
  <c r="Z3696" i="9"/>
  <c r="Z3697" i="9"/>
  <c r="Z3698" i="9"/>
  <c r="Z3699" i="9"/>
  <c r="Z3700" i="9"/>
  <c r="Z3701" i="9"/>
  <c r="Z3702" i="9"/>
  <c r="Z3703" i="9"/>
  <c r="Z3704" i="9"/>
  <c r="Z3705" i="9"/>
  <c r="Z3706" i="9"/>
  <c r="Z3707" i="9"/>
  <c r="Z3708" i="9"/>
  <c r="Z3709" i="9"/>
  <c r="Z3710" i="9"/>
  <c r="Z3711" i="9"/>
  <c r="Z3712" i="9"/>
  <c r="Z3713" i="9"/>
  <c r="Z3714" i="9"/>
  <c r="Z3715" i="9"/>
  <c r="Z3716" i="9"/>
  <c r="Z3717" i="9"/>
  <c r="Z3718" i="9"/>
  <c r="Z3719" i="9"/>
  <c r="Z3720" i="9"/>
  <c r="Z3721" i="9"/>
  <c r="Z3722" i="9"/>
  <c r="Z3723" i="9"/>
  <c r="Z3724" i="9"/>
  <c r="Z3725" i="9"/>
  <c r="Z3726" i="9"/>
  <c r="Z3727" i="9"/>
  <c r="Z3728" i="9"/>
  <c r="Z3729" i="9"/>
  <c r="Z3730" i="9"/>
  <c r="Z3731" i="9"/>
  <c r="Z3732" i="9"/>
  <c r="Z3733" i="9"/>
  <c r="Z3734" i="9"/>
  <c r="Z3735" i="9"/>
  <c r="Z3736" i="9"/>
  <c r="Z3737" i="9"/>
  <c r="Z3738" i="9"/>
  <c r="Z3739" i="9"/>
  <c r="Z3740" i="9"/>
  <c r="Z3741" i="9"/>
  <c r="Z3742" i="9"/>
  <c r="Z3743" i="9"/>
  <c r="Z3744" i="9"/>
  <c r="Z3745" i="9"/>
  <c r="Z3746" i="9"/>
  <c r="Z3747" i="9"/>
  <c r="Z3748" i="9"/>
  <c r="Z3749" i="9"/>
  <c r="Z3750" i="9"/>
  <c r="Z3751" i="9"/>
  <c r="Z3752" i="9"/>
  <c r="Z3753" i="9"/>
  <c r="Z3754" i="9"/>
  <c r="Z3755" i="9"/>
  <c r="Z3756" i="9"/>
  <c r="Z3757" i="9"/>
  <c r="Z3758" i="9"/>
  <c r="Z3759" i="9"/>
  <c r="Z3760" i="9"/>
  <c r="Z3761" i="9"/>
  <c r="Z3762" i="9"/>
  <c r="Z3763" i="9"/>
  <c r="Z3764" i="9"/>
  <c r="Z3765" i="9"/>
  <c r="Z3766" i="9"/>
  <c r="Z3767" i="9"/>
  <c r="Z3768" i="9"/>
  <c r="Z3769" i="9"/>
  <c r="Z3770" i="9"/>
  <c r="Z3771" i="9"/>
  <c r="Z3772" i="9"/>
  <c r="Z3773" i="9"/>
  <c r="Z3774" i="9"/>
  <c r="Z3775" i="9"/>
  <c r="Z3776" i="9"/>
  <c r="Z3777" i="9"/>
  <c r="Z3778" i="9"/>
  <c r="Z3779" i="9"/>
  <c r="Z3780" i="9"/>
  <c r="Z3781" i="9"/>
  <c r="Z3782" i="9"/>
  <c r="Z3783" i="9"/>
  <c r="Z3784" i="9"/>
  <c r="Z3785" i="9"/>
  <c r="Z3786" i="9"/>
  <c r="Z3787" i="9"/>
  <c r="Z3788" i="9"/>
  <c r="Z3789" i="9"/>
  <c r="Z3790" i="9"/>
  <c r="Z3791" i="9"/>
  <c r="Z3792" i="9"/>
  <c r="Z3793" i="9"/>
  <c r="Z3794" i="9"/>
  <c r="Z3795" i="9"/>
  <c r="Z3796" i="9"/>
  <c r="Z3797" i="9"/>
  <c r="Z3798" i="9"/>
  <c r="Z3799" i="9"/>
  <c r="Z3800" i="9"/>
  <c r="Z3801" i="9"/>
  <c r="Z3802" i="9"/>
  <c r="Z3803" i="9"/>
  <c r="Z3804" i="9"/>
  <c r="Z3805" i="9"/>
  <c r="Z3806" i="9"/>
  <c r="Z3807" i="9"/>
  <c r="Z3808" i="9"/>
  <c r="Z3809" i="9"/>
  <c r="Z3810" i="9"/>
  <c r="Z3811" i="9"/>
  <c r="Z3812" i="9"/>
  <c r="Z3813" i="9"/>
  <c r="Z3814" i="9"/>
  <c r="Z3815" i="9"/>
  <c r="Z3816" i="9"/>
  <c r="Z3817" i="9"/>
  <c r="Z3818" i="9"/>
  <c r="Z3819" i="9"/>
  <c r="Z3820" i="9"/>
  <c r="Z3821" i="9"/>
  <c r="Z3822" i="9"/>
  <c r="Z3823" i="9"/>
  <c r="Z3824" i="9"/>
  <c r="Z3825" i="9"/>
  <c r="Z3826" i="9"/>
  <c r="Z3827" i="9"/>
  <c r="Z3828" i="9"/>
  <c r="Z3829" i="9"/>
  <c r="Z3830" i="9"/>
  <c r="Z3831" i="9"/>
  <c r="Z3832" i="9"/>
  <c r="Z3833" i="9"/>
  <c r="Z3834" i="9"/>
  <c r="Z3835" i="9"/>
  <c r="Z3836" i="9"/>
  <c r="Z3837" i="9"/>
  <c r="Z3838" i="9"/>
  <c r="Z3839" i="9"/>
  <c r="Z3840" i="9"/>
  <c r="Z3841" i="9"/>
  <c r="Z3842" i="9"/>
  <c r="Z3843" i="9"/>
  <c r="Z3844" i="9"/>
  <c r="Z3845" i="9"/>
  <c r="Z3846" i="9"/>
  <c r="Z3847" i="9"/>
  <c r="Z3848" i="9"/>
  <c r="Z3849" i="9"/>
  <c r="Z3850" i="9"/>
  <c r="Z3851" i="9"/>
  <c r="Z3852" i="9"/>
  <c r="Z3853" i="9"/>
  <c r="Z3854" i="9"/>
  <c r="Z3855" i="9"/>
  <c r="Z3856" i="9"/>
  <c r="Z3857" i="9"/>
  <c r="Z3858" i="9"/>
  <c r="Z3859" i="9"/>
  <c r="Z3860" i="9"/>
  <c r="Z3861" i="9"/>
  <c r="Z3862" i="9"/>
  <c r="Z3863" i="9"/>
  <c r="Z3864" i="9"/>
  <c r="Z3865" i="9"/>
  <c r="Z3866" i="9"/>
  <c r="Z3867" i="9"/>
  <c r="Z3868" i="9"/>
  <c r="Z3869" i="9"/>
  <c r="Z3870" i="9"/>
  <c r="Z3871" i="9"/>
  <c r="Z3872" i="9"/>
  <c r="Z3873" i="9"/>
  <c r="Z3874" i="9"/>
  <c r="Z3875" i="9"/>
  <c r="Z3876" i="9"/>
  <c r="Z3877" i="9"/>
  <c r="Z3878" i="9"/>
  <c r="Z3879" i="9"/>
  <c r="Z3880" i="9"/>
  <c r="Z3881" i="9"/>
  <c r="Z3882" i="9"/>
  <c r="Z3883" i="9"/>
  <c r="Z3884" i="9"/>
  <c r="Z3885" i="9"/>
  <c r="Z3886" i="9"/>
  <c r="Z3887" i="9"/>
  <c r="Z3888" i="9"/>
  <c r="Z3889" i="9"/>
  <c r="Z3890" i="9"/>
  <c r="Z3891" i="9"/>
  <c r="Z3892" i="9"/>
  <c r="Z3893" i="9"/>
  <c r="Z3894" i="9"/>
  <c r="Z3895" i="9"/>
  <c r="Z3896" i="9"/>
  <c r="Z3897" i="9"/>
  <c r="Z3898" i="9"/>
  <c r="Z3899" i="9"/>
  <c r="Z3900" i="9"/>
  <c r="Z3901" i="9"/>
  <c r="Z3902" i="9"/>
  <c r="Z3903" i="9"/>
  <c r="Z3904" i="9"/>
  <c r="Z3905" i="9"/>
  <c r="Z3906" i="9"/>
  <c r="Z3907" i="9"/>
  <c r="Z3908" i="9"/>
  <c r="Z3909" i="9"/>
  <c r="Z3910" i="9"/>
  <c r="Z3911" i="9"/>
  <c r="Z3912" i="9"/>
  <c r="Z3913" i="9"/>
  <c r="Z3914" i="9"/>
  <c r="Z3915" i="9"/>
  <c r="Z3916" i="9"/>
  <c r="Z3917" i="9"/>
  <c r="Z3918" i="9"/>
  <c r="Z3919" i="9"/>
  <c r="Z3920" i="9"/>
  <c r="Z3921" i="9"/>
  <c r="Z3922" i="9"/>
  <c r="Z3923" i="9"/>
  <c r="Z3924" i="9"/>
  <c r="Z3925" i="9"/>
  <c r="Z3926" i="9"/>
  <c r="Z3927" i="9"/>
  <c r="Z3928" i="9"/>
  <c r="Z3929" i="9"/>
  <c r="Z3930" i="9"/>
  <c r="Z3931" i="9"/>
  <c r="Z3932" i="9"/>
  <c r="Z3933" i="9"/>
  <c r="Z3934" i="9"/>
  <c r="Z3935" i="9"/>
  <c r="Z3936" i="9"/>
  <c r="Z3937" i="9"/>
  <c r="Z3938" i="9"/>
  <c r="Z3939" i="9"/>
  <c r="Z3940" i="9"/>
  <c r="Z3941" i="9"/>
  <c r="Z3942" i="9"/>
  <c r="Z3943" i="9"/>
  <c r="Z3944" i="9"/>
  <c r="Z3945" i="9"/>
  <c r="Z3946" i="9"/>
  <c r="Z3947" i="9"/>
  <c r="Z3948" i="9"/>
  <c r="Z3949" i="9"/>
  <c r="Z3950" i="9"/>
  <c r="Z3951" i="9"/>
  <c r="Z3952" i="9"/>
  <c r="Z3953" i="9"/>
  <c r="Z3954" i="9"/>
  <c r="Z3955" i="9"/>
  <c r="Z3956" i="9"/>
  <c r="Z3957" i="9"/>
  <c r="Z3958" i="9"/>
  <c r="Z3959" i="9"/>
  <c r="Z3960" i="9"/>
  <c r="Z3961" i="9"/>
  <c r="Z3962" i="9"/>
  <c r="Z3963" i="9"/>
  <c r="Z3964" i="9"/>
  <c r="Z3965" i="9"/>
  <c r="Z3966" i="9"/>
  <c r="Z3967" i="9"/>
  <c r="Z3968" i="9"/>
  <c r="Z3969" i="9"/>
  <c r="Z3970" i="9"/>
  <c r="Z3971" i="9"/>
  <c r="Z3972" i="9"/>
  <c r="Z3973" i="9"/>
  <c r="Z3974" i="9"/>
  <c r="Z3975" i="9"/>
  <c r="Z3976" i="9"/>
  <c r="Z3977" i="9"/>
  <c r="Z3978" i="9"/>
  <c r="Z3979" i="9"/>
  <c r="Z3980" i="9"/>
  <c r="Z3981" i="9"/>
  <c r="Z3982" i="9"/>
  <c r="Z3983" i="9"/>
  <c r="Z3984" i="9"/>
  <c r="Z3985" i="9"/>
  <c r="Z3986" i="9"/>
  <c r="Z3987" i="9"/>
  <c r="Z3988" i="9"/>
  <c r="Z3989" i="9"/>
  <c r="Z3990" i="9"/>
  <c r="Z3991" i="9"/>
  <c r="Z3992" i="9"/>
  <c r="Z3993" i="9"/>
  <c r="Z3994" i="9"/>
  <c r="Z3995" i="9"/>
  <c r="Z3996" i="9"/>
  <c r="Z3997" i="9"/>
  <c r="Z3998" i="9"/>
  <c r="Z3999" i="9"/>
  <c r="Z4000" i="9"/>
  <c r="Z4001" i="9"/>
  <c r="Z4002" i="9"/>
  <c r="Z4003" i="9"/>
  <c r="Z4004" i="9"/>
  <c r="Z4005" i="9"/>
  <c r="Z4006" i="9"/>
  <c r="Z4007" i="9"/>
  <c r="Z4008" i="9"/>
  <c r="Z4009" i="9"/>
  <c r="Z4010" i="9"/>
  <c r="Z4011" i="9"/>
  <c r="Z4012" i="9"/>
  <c r="Z4013" i="9"/>
  <c r="Z4014" i="9"/>
  <c r="Z4015" i="9"/>
  <c r="Z4016" i="9"/>
  <c r="Z4017" i="9"/>
  <c r="Z4018" i="9"/>
  <c r="Z4019" i="9"/>
  <c r="Z4020" i="9"/>
  <c r="Z4021" i="9"/>
  <c r="Z4022" i="9"/>
  <c r="Z4023" i="9"/>
  <c r="Z4024" i="9"/>
  <c r="Z4025" i="9"/>
  <c r="Z4026" i="9"/>
  <c r="Z4027" i="9"/>
  <c r="Z4028" i="9"/>
  <c r="Z4029" i="9"/>
  <c r="Z4030" i="9"/>
  <c r="Z4031" i="9"/>
  <c r="Z4032" i="9"/>
  <c r="Z4033" i="9"/>
  <c r="Z4034" i="9"/>
  <c r="Z4035" i="9"/>
  <c r="Z4036" i="9"/>
  <c r="Z4037" i="9"/>
  <c r="Z4038" i="9"/>
  <c r="Z4039" i="9"/>
  <c r="Z4040" i="9"/>
  <c r="Z4041" i="9"/>
  <c r="Z4042" i="9"/>
  <c r="Z4043" i="9"/>
  <c r="Z4044" i="9"/>
  <c r="Z4045" i="9"/>
  <c r="Z4046" i="9"/>
  <c r="Z4047" i="9"/>
  <c r="Z4048" i="9"/>
  <c r="Z4049" i="9"/>
  <c r="Z4050" i="9"/>
  <c r="Z4051" i="9"/>
  <c r="Z4052" i="9"/>
  <c r="Z4053" i="9"/>
  <c r="Z4054" i="9"/>
  <c r="Z4055" i="9"/>
  <c r="Z4056" i="9"/>
  <c r="Z4057" i="9"/>
  <c r="Z4058" i="9"/>
  <c r="Z4059" i="9"/>
  <c r="Z4060" i="9"/>
  <c r="Z4061" i="9"/>
  <c r="Z4062" i="9"/>
  <c r="Z4063" i="9"/>
  <c r="Z4064" i="9"/>
  <c r="Z4065" i="9"/>
  <c r="Z4066" i="9"/>
  <c r="Z4067" i="9"/>
  <c r="Z4068" i="9"/>
  <c r="Z4069" i="9"/>
  <c r="Z4070" i="9"/>
  <c r="Z4071" i="9"/>
  <c r="Z4072" i="9"/>
  <c r="Z4073" i="9"/>
  <c r="Z4074" i="9"/>
  <c r="Z4075" i="9"/>
  <c r="Z4076" i="9"/>
  <c r="Z4077" i="9"/>
  <c r="Z4078" i="9"/>
  <c r="Z4079" i="9"/>
  <c r="Z4080" i="9"/>
  <c r="Z4081" i="9"/>
  <c r="Z4082" i="9"/>
  <c r="Z4083" i="9"/>
  <c r="Z4084" i="9"/>
  <c r="Z4085" i="9"/>
  <c r="Z4086" i="9"/>
  <c r="Z4087" i="9"/>
  <c r="Z4088" i="9"/>
  <c r="Z4089" i="9"/>
  <c r="Z4090" i="9"/>
  <c r="Z4091" i="9"/>
  <c r="Z4092" i="9"/>
  <c r="Z4093" i="9"/>
  <c r="Z4094" i="9"/>
  <c r="Z4095" i="9"/>
  <c r="Z4096" i="9"/>
  <c r="Z4097" i="9"/>
  <c r="Z4098" i="9"/>
  <c r="Z4099" i="9"/>
  <c r="Z4100" i="9"/>
  <c r="Z4101" i="9"/>
  <c r="Z4102" i="9"/>
  <c r="Z4103" i="9"/>
  <c r="Z4104" i="9"/>
  <c r="Z4105" i="9"/>
  <c r="Z4106" i="9"/>
  <c r="Z4107" i="9"/>
  <c r="Z4108" i="9"/>
  <c r="Z4109" i="9"/>
  <c r="Z4110" i="9"/>
  <c r="Z4111" i="9"/>
  <c r="Z4112" i="9"/>
  <c r="Z4113" i="9"/>
  <c r="Z4114" i="9"/>
  <c r="Z4115" i="9"/>
  <c r="Z4116" i="9"/>
  <c r="Z4117" i="9"/>
  <c r="Z4118" i="9"/>
  <c r="Z4119" i="9"/>
  <c r="Z4120" i="9"/>
  <c r="Z4121" i="9"/>
  <c r="Z4122" i="9"/>
  <c r="Z4123" i="9"/>
  <c r="Z4124" i="9"/>
  <c r="Z4125" i="9"/>
  <c r="Z4126" i="9"/>
  <c r="Z4127" i="9"/>
  <c r="Z4128" i="9"/>
  <c r="Z4129" i="9"/>
  <c r="Z4130" i="9"/>
  <c r="Z4131" i="9"/>
  <c r="Z4132" i="9"/>
  <c r="Z4133" i="9"/>
  <c r="Z4134" i="9"/>
  <c r="Z4135" i="9"/>
  <c r="Z4136" i="9"/>
  <c r="Z4137" i="9"/>
  <c r="Z4138" i="9"/>
  <c r="Z4139" i="9"/>
  <c r="Z4140" i="9"/>
  <c r="Z4141" i="9"/>
  <c r="Z4142" i="9"/>
  <c r="Z4143" i="9"/>
  <c r="Z4144" i="9"/>
  <c r="Z4145" i="9"/>
  <c r="Z4146" i="9"/>
  <c r="Z4147" i="9"/>
  <c r="Z4148" i="9"/>
  <c r="Z4149" i="9"/>
  <c r="Z4150" i="9"/>
  <c r="Z4151" i="9"/>
  <c r="Z4152" i="9"/>
  <c r="Z4153" i="9"/>
  <c r="Z4154" i="9"/>
  <c r="Z4155" i="9"/>
  <c r="Z4156" i="9"/>
  <c r="Z4157" i="9"/>
  <c r="Z4158" i="9"/>
  <c r="Z4159" i="9"/>
  <c r="Z4160" i="9"/>
  <c r="Z4161" i="9"/>
  <c r="Z4162" i="9"/>
  <c r="Z4163" i="9"/>
  <c r="Z4164" i="9"/>
  <c r="Z4165" i="9"/>
  <c r="Z4166" i="9"/>
  <c r="Z4167" i="9"/>
  <c r="Z4168" i="9"/>
  <c r="Z4169" i="9"/>
  <c r="Z4170" i="9"/>
  <c r="Z4171" i="9"/>
  <c r="Z4172" i="9"/>
  <c r="Z4173" i="9"/>
  <c r="Z4174" i="9"/>
  <c r="Z4175" i="9"/>
  <c r="Z4176" i="9"/>
  <c r="Z4177" i="9"/>
  <c r="Z4178" i="9"/>
  <c r="Z4179" i="9"/>
  <c r="Z4180" i="9"/>
  <c r="Z4181" i="9"/>
  <c r="Z4182" i="9"/>
  <c r="Z4183" i="9"/>
  <c r="Z4184" i="9"/>
  <c r="Z4185" i="9"/>
  <c r="Z4186" i="9"/>
  <c r="Z4187" i="9"/>
  <c r="Z4188" i="9"/>
  <c r="Z4189" i="9"/>
  <c r="Z4190" i="9"/>
  <c r="Z4191" i="9"/>
  <c r="Z4192" i="9"/>
  <c r="Z4193" i="9"/>
  <c r="Z4194" i="9"/>
  <c r="Z4195" i="9"/>
  <c r="Z4196" i="9"/>
  <c r="Z4197" i="9"/>
  <c r="Z4198" i="9"/>
  <c r="Z4199" i="9"/>
  <c r="Z4200" i="9"/>
  <c r="Z4201" i="9"/>
  <c r="Z4202" i="9"/>
  <c r="Z4203" i="9"/>
  <c r="Z4204" i="9"/>
  <c r="Z4205" i="9"/>
  <c r="Z4206" i="9"/>
  <c r="Z4207" i="9"/>
  <c r="Z4208" i="9"/>
  <c r="Z4209" i="9"/>
  <c r="Z4210" i="9"/>
  <c r="Z4211" i="9"/>
  <c r="Z4212" i="9"/>
  <c r="Z4213" i="9"/>
  <c r="Z4214" i="9"/>
  <c r="Z4215" i="9"/>
  <c r="Z4216" i="9"/>
  <c r="Z4217" i="9"/>
  <c r="Z4218" i="9"/>
  <c r="Z4219" i="9"/>
  <c r="Z4220" i="9"/>
  <c r="Z4221" i="9"/>
  <c r="Z4222" i="9"/>
  <c r="Z4223" i="9"/>
  <c r="Z4224" i="9"/>
  <c r="Z4225" i="9"/>
  <c r="Z4226" i="9"/>
  <c r="Z4227" i="9"/>
  <c r="Z4228" i="9"/>
  <c r="Z4229" i="9"/>
  <c r="Z4230" i="9"/>
  <c r="Z4231" i="9"/>
  <c r="Z4232" i="9"/>
  <c r="Z4233" i="9"/>
  <c r="Z4234" i="9"/>
  <c r="Z4235" i="9"/>
  <c r="Z4236" i="9"/>
  <c r="Z4237" i="9"/>
  <c r="Z4238" i="9"/>
  <c r="Z4239" i="9"/>
  <c r="Z4240" i="9"/>
  <c r="Z4241" i="9"/>
  <c r="Z4242" i="9"/>
  <c r="Z4243" i="9"/>
  <c r="Z4244" i="9"/>
  <c r="Z4245" i="9"/>
  <c r="Z4246" i="9"/>
  <c r="Z4247" i="9"/>
  <c r="Z4248" i="9"/>
  <c r="Z4249" i="9"/>
  <c r="Z4250" i="9"/>
  <c r="Z4251" i="9"/>
  <c r="Z4252" i="9"/>
  <c r="Z4253" i="9"/>
  <c r="Z4254" i="9"/>
  <c r="Z4255" i="9"/>
  <c r="Z4256" i="9"/>
  <c r="Z4257" i="9"/>
  <c r="Z4258" i="9"/>
  <c r="Z4259" i="9"/>
  <c r="Z4260" i="9"/>
  <c r="Z4261" i="9"/>
  <c r="Z4262" i="9"/>
  <c r="Z4263" i="9"/>
  <c r="Z4264" i="9"/>
  <c r="Z4265" i="9"/>
  <c r="Z4266" i="9"/>
  <c r="Z4267" i="9"/>
  <c r="Z4268" i="9"/>
  <c r="Z4269" i="9"/>
  <c r="Z4270" i="9"/>
  <c r="Z4271" i="9"/>
  <c r="Z4272" i="9"/>
  <c r="Z4273" i="9"/>
  <c r="Z4274" i="9"/>
  <c r="Z4275" i="9"/>
  <c r="Z4276" i="9"/>
  <c r="Z4277" i="9"/>
  <c r="Z4278" i="9"/>
  <c r="Z4279" i="9"/>
  <c r="Z4280" i="9"/>
  <c r="Z4281" i="9"/>
  <c r="Z4282" i="9"/>
  <c r="Z4283" i="9"/>
  <c r="Z4284" i="9"/>
  <c r="Z4285" i="9"/>
  <c r="Z4286" i="9"/>
  <c r="Z4287" i="9"/>
  <c r="Z4288" i="9"/>
  <c r="Z4289" i="9"/>
  <c r="Z4290" i="9"/>
  <c r="Z4291" i="9"/>
  <c r="Z4292" i="9"/>
  <c r="Z4293" i="9"/>
  <c r="Z4294" i="9"/>
  <c r="Z4295" i="9"/>
  <c r="Z4296" i="9"/>
  <c r="Z4297" i="9"/>
  <c r="Z4298" i="9"/>
  <c r="Z4299" i="9"/>
  <c r="Z4300" i="9"/>
  <c r="Z4301" i="9"/>
  <c r="Z4302" i="9"/>
  <c r="Z4303" i="9"/>
  <c r="Z4304" i="9"/>
  <c r="Z4305" i="9"/>
  <c r="Z4306" i="9"/>
  <c r="Z4307" i="9"/>
  <c r="Z4308" i="9"/>
  <c r="Z4309" i="9"/>
  <c r="Z4310" i="9"/>
  <c r="Z4311" i="9"/>
  <c r="Z4312" i="9"/>
  <c r="Z4313" i="9"/>
  <c r="Z4314" i="9"/>
  <c r="Z4315" i="9"/>
  <c r="Z4316" i="9"/>
  <c r="Z4317" i="9"/>
  <c r="Z4318" i="9"/>
  <c r="Z4319" i="9"/>
  <c r="Z4320" i="9"/>
  <c r="Z4321" i="9"/>
  <c r="Z4322" i="9"/>
  <c r="Z4323" i="9"/>
  <c r="Z4324" i="9"/>
  <c r="Z4325" i="9"/>
  <c r="Z4326" i="9"/>
  <c r="Z4327" i="9"/>
  <c r="Z4328" i="9"/>
  <c r="Z4329" i="9"/>
  <c r="Z4330" i="9"/>
  <c r="Z4331" i="9"/>
  <c r="Z4332" i="9"/>
  <c r="Z4333" i="9"/>
  <c r="Z4334" i="9"/>
  <c r="Z4335" i="9"/>
  <c r="Z4336" i="9"/>
  <c r="Z4337" i="9"/>
  <c r="Z4338" i="9"/>
  <c r="Z4339" i="9"/>
  <c r="Z4340" i="9"/>
  <c r="Z4341" i="9"/>
  <c r="Z4342" i="9"/>
  <c r="Z4343" i="9"/>
  <c r="Z4344" i="9"/>
  <c r="Z4345" i="9"/>
  <c r="Z4346" i="9"/>
  <c r="Z4347" i="9"/>
  <c r="Z4348" i="9"/>
  <c r="Z4349" i="9"/>
  <c r="Z4350" i="9"/>
  <c r="Z4351" i="9"/>
  <c r="Z4352" i="9"/>
  <c r="Z4353" i="9"/>
  <c r="Z4354" i="9"/>
  <c r="Z4355" i="9"/>
  <c r="Z4356" i="9"/>
  <c r="Z4357" i="9"/>
  <c r="Z4358" i="9"/>
  <c r="Z4359" i="9"/>
  <c r="Z4360" i="9"/>
  <c r="Z4361" i="9"/>
  <c r="Z4362" i="9"/>
  <c r="Z4363" i="9"/>
  <c r="Z4364" i="9"/>
  <c r="Z4365" i="9"/>
  <c r="Z4366" i="9"/>
  <c r="Z4367" i="9"/>
  <c r="Z4368" i="9"/>
  <c r="Z4369" i="9"/>
  <c r="Z4370" i="9"/>
  <c r="Z4371" i="9"/>
  <c r="Z4372" i="9"/>
  <c r="Z4373" i="9"/>
  <c r="Z4374" i="9"/>
  <c r="Z4375" i="9"/>
  <c r="Z4376" i="9"/>
  <c r="Z4377" i="9"/>
  <c r="Z4378" i="9"/>
  <c r="Z4379" i="9"/>
  <c r="Z4380" i="9"/>
  <c r="Z4381" i="9"/>
  <c r="Z4382" i="9"/>
  <c r="Z4383" i="9"/>
  <c r="Z4384" i="9"/>
  <c r="Z4385" i="9"/>
  <c r="Z4386" i="9"/>
  <c r="Z4387" i="9"/>
  <c r="Z4388" i="9"/>
  <c r="Z4389" i="9"/>
  <c r="Z4390" i="9"/>
  <c r="Z4391" i="9"/>
  <c r="Z4392" i="9"/>
  <c r="Z4393" i="9"/>
  <c r="Z4394" i="9"/>
  <c r="Z4395" i="9"/>
  <c r="Z4396" i="9"/>
  <c r="Z4397" i="9"/>
  <c r="Z4398" i="9"/>
  <c r="Z4399" i="9"/>
  <c r="Z4400" i="9"/>
  <c r="Z4401" i="9"/>
  <c r="Z4402" i="9"/>
  <c r="Z4403" i="9"/>
  <c r="Z4404" i="9"/>
  <c r="Z4405" i="9"/>
  <c r="Z4406" i="9"/>
  <c r="Z4407" i="9"/>
  <c r="Z4408" i="9"/>
  <c r="Z4409" i="9"/>
  <c r="Z4410" i="9"/>
  <c r="Z4411" i="9"/>
  <c r="Z4412" i="9"/>
  <c r="Z4413" i="9"/>
  <c r="Z4414" i="9"/>
  <c r="Z4415" i="9"/>
  <c r="Z4416" i="9"/>
  <c r="Z4417" i="9"/>
  <c r="Z4418" i="9"/>
  <c r="Z4419" i="9"/>
  <c r="Z4420" i="9"/>
  <c r="Z4421" i="9"/>
  <c r="Z4422" i="9"/>
  <c r="Z4423" i="9"/>
  <c r="Z4424" i="9"/>
  <c r="Z4425" i="9"/>
  <c r="Z4426" i="9"/>
  <c r="Z4427" i="9"/>
  <c r="Z4428" i="9"/>
  <c r="Z4429" i="9"/>
  <c r="Z4430" i="9"/>
  <c r="Z4431" i="9"/>
  <c r="Z4432" i="9"/>
  <c r="Z4433" i="9"/>
  <c r="Z4434" i="9"/>
  <c r="Z4435" i="9"/>
  <c r="Z4436" i="9"/>
  <c r="Z4437" i="9"/>
  <c r="Z4438" i="9"/>
  <c r="Z4439" i="9"/>
  <c r="Z4440" i="9"/>
  <c r="Z4441" i="9"/>
  <c r="Z4442" i="9"/>
  <c r="Z4443" i="9"/>
  <c r="Z4444" i="9"/>
  <c r="Z4445" i="9"/>
  <c r="Z4446" i="9"/>
  <c r="Z4447" i="9"/>
  <c r="Z4448" i="9"/>
  <c r="Z4449" i="9"/>
  <c r="Z4450" i="9"/>
  <c r="Z4451" i="9"/>
  <c r="Z4452" i="9"/>
  <c r="Z4453" i="9"/>
  <c r="Z4454" i="9"/>
  <c r="Z4455" i="9"/>
  <c r="Z4456" i="9"/>
  <c r="Z4457" i="9"/>
  <c r="Z4458" i="9"/>
  <c r="Z4459" i="9"/>
  <c r="Z4460" i="9"/>
  <c r="Z4461" i="9"/>
  <c r="Z4462" i="9"/>
  <c r="Z4463" i="9"/>
  <c r="Z4464" i="9"/>
  <c r="Z4465" i="9"/>
  <c r="Z4466" i="9"/>
  <c r="Z4467" i="9"/>
  <c r="Z4468" i="9"/>
  <c r="Z4469" i="9"/>
  <c r="Z4470" i="9"/>
  <c r="Z4471" i="9"/>
  <c r="Z4472" i="9"/>
  <c r="Z4473" i="9"/>
  <c r="Z4474" i="9"/>
  <c r="Z4475" i="9"/>
  <c r="Z4476" i="9"/>
  <c r="Z4477" i="9"/>
  <c r="Z4478" i="9"/>
  <c r="Z4479" i="9"/>
  <c r="Z4480" i="9"/>
  <c r="Z4481" i="9"/>
  <c r="Z4482" i="9"/>
  <c r="Z4483" i="9"/>
  <c r="Z4484" i="9"/>
  <c r="Z4485" i="9"/>
  <c r="Z4486" i="9"/>
  <c r="Z4487" i="9"/>
  <c r="Z4488" i="9"/>
  <c r="Z4489" i="9"/>
  <c r="Z4490" i="9"/>
  <c r="Z4491" i="9"/>
  <c r="Z4492" i="9"/>
  <c r="Z4493" i="9"/>
  <c r="Z4494" i="9"/>
  <c r="Z4495" i="9"/>
  <c r="Z4496" i="9"/>
  <c r="Z4497" i="9"/>
  <c r="Z4498" i="9"/>
  <c r="Z4499" i="9"/>
  <c r="Z4500" i="9"/>
  <c r="Z4501" i="9"/>
  <c r="Z4502" i="9"/>
  <c r="Z4503" i="9"/>
  <c r="Z4504" i="9"/>
  <c r="Z4505" i="9"/>
  <c r="Z4506" i="9"/>
  <c r="Z4507" i="9"/>
  <c r="Z4508" i="9"/>
  <c r="Z4509" i="9"/>
  <c r="Z4510" i="9"/>
  <c r="Z4511" i="9"/>
  <c r="Z4512" i="9"/>
  <c r="Z4513" i="9"/>
  <c r="Z4514" i="9"/>
  <c r="Z4515" i="9"/>
  <c r="Z4516" i="9"/>
  <c r="Z4517" i="9"/>
  <c r="Z4518" i="9"/>
  <c r="Z4519" i="9"/>
  <c r="Z4520" i="9"/>
  <c r="Z4521" i="9"/>
  <c r="Z4522" i="9"/>
  <c r="Z4523" i="9"/>
  <c r="Z4524" i="9"/>
  <c r="Z4525" i="9"/>
  <c r="Z4526" i="9"/>
  <c r="Z4527" i="9"/>
  <c r="Z4528" i="9"/>
  <c r="Z4529" i="9"/>
  <c r="Z4530" i="9"/>
  <c r="Z4531" i="9"/>
  <c r="Z4532" i="9"/>
  <c r="Z4533" i="9"/>
  <c r="Z4534" i="9"/>
  <c r="Z4535" i="9"/>
  <c r="Z4536" i="9"/>
  <c r="Z4537" i="9"/>
  <c r="Z4538" i="9"/>
  <c r="Z4539" i="9"/>
  <c r="Z4540" i="9"/>
  <c r="Z4541" i="9"/>
  <c r="Z4542" i="9"/>
  <c r="Z4543" i="9"/>
  <c r="Z4544" i="9"/>
  <c r="Z4545" i="9"/>
  <c r="Z4546" i="9"/>
  <c r="Z4547" i="9"/>
  <c r="Z4548" i="9"/>
  <c r="Z4549" i="9"/>
  <c r="Z4550" i="9"/>
  <c r="Z4551" i="9"/>
  <c r="Z4552" i="9"/>
  <c r="Z4553" i="9"/>
  <c r="Z4554" i="9"/>
  <c r="Z4555" i="9"/>
  <c r="Z4556" i="9"/>
  <c r="Z4557" i="9"/>
  <c r="Z4558" i="9"/>
  <c r="Z4559" i="9"/>
  <c r="Z4560" i="9"/>
  <c r="Z4561" i="9"/>
  <c r="Z4562" i="9"/>
  <c r="Z4563" i="9"/>
  <c r="Z4564" i="9"/>
  <c r="Z4565" i="9"/>
  <c r="Z4566" i="9"/>
  <c r="Z4567" i="9"/>
  <c r="Z4568" i="9"/>
  <c r="Z4569" i="9"/>
  <c r="Z4570" i="9"/>
  <c r="Z4571" i="9"/>
  <c r="Z4572" i="9"/>
  <c r="Z4573" i="9"/>
  <c r="Z4574" i="9"/>
  <c r="Z4575" i="9"/>
  <c r="Z4576" i="9"/>
  <c r="Z4577" i="9"/>
  <c r="Z4578" i="9"/>
  <c r="Z4579" i="9"/>
  <c r="Z4580" i="9"/>
  <c r="Z4581" i="9"/>
  <c r="Z4582" i="9"/>
  <c r="Z4583" i="9"/>
  <c r="Z4584" i="9"/>
  <c r="Z4585" i="9"/>
  <c r="Z4586" i="9"/>
  <c r="Z4587" i="9"/>
  <c r="Z4588" i="9"/>
  <c r="Z4589" i="9"/>
  <c r="Z4590" i="9"/>
  <c r="Z4591" i="9"/>
  <c r="Z4592" i="9"/>
  <c r="Z4593" i="9"/>
  <c r="Z4594" i="9"/>
  <c r="Z4595" i="9"/>
  <c r="Z4596" i="9"/>
  <c r="Z4597" i="9"/>
  <c r="Z4598" i="9"/>
  <c r="Z4599" i="9"/>
  <c r="Z4600" i="9"/>
  <c r="Z4601" i="9"/>
  <c r="Z4602" i="9"/>
  <c r="Z4603" i="9"/>
  <c r="Z4604" i="9"/>
  <c r="Z4605" i="9"/>
  <c r="Z4606" i="9"/>
  <c r="Z4607" i="9"/>
  <c r="Z4608" i="9"/>
  <c r="Z4609" i="9"/>
  <c r="Z4610" i="9"/>
  <c r="Z4611" i="9"/>
  <c r="Z4612" i="9"/>
  <c r="Z4613" i="9"/>
  <c r="Z4614" i="9"/>
  <c r="Z4615" i="9"/>
  <c r="Z4616" i="9"/>
  <c r="Z4617" i="9"/>
  <c r="Z4618" i="9"/>
  <c r="Z4619" i="9"/>
  <c r="Z4620" i="9"/>
  <c r="Z4621" i="9"/>
  <c r="Z4622" i="9"/>
  <c r="Z4623" i="9"/>
  <c r="Z4624" i="9"/>
  <c r="Z4625" i="9"/>
  <c r="Z4626" i="9"/>
  <c r="Z4627" i="9"/>
  <c r="Z4628" i="9"/>
  <c r="Z4629" i="9"/>
  <c r="Z4630" i="9"/>
  <c r="Z4631" i="9"/>
  <c r="Z4632" i="9"/>
  <c r="Z4633" i="9"/>
  <c r="Z4634" i="9"/>
  <c r="Z4635" i="9"/>
  <c r="Z4636" i="9"/>
  <c r="Z4637" i="9"/>
  <c r="Z4638" i="9"/>
  <c r="Z4639" i="9"/>
  <c r="Z4640" i="9"/>
  <c r="Z4641" i="9"/>
  <c r="Z4642" i="9"/>
  <c r="Z4643" i="9"/>
  <c r="Z4644" i="9"/>
  <c r="Z4645" i="9"/>
  <c r="Z4646" i="9"/>
  <c r="Z4647" i="9"/>
  <c r="Z4648" i="9"/>
  <c r="Z4649" i="9"/>
  <c r="Z4650" i="9"/>
  <c r="Z4651" i="9"/>
  <c r="Z4652" i="9"/>
  <c r="Z4653" i="9"/>
  <c r="Z4654" i="9"/>
  <c r="Z4655" i="9"/>
  <c r="Z4656" i="9"/>
  <c r="Z4657" i="9"/>
  <c r="Z4658" i="9"/>
  <c r="Z4659" i="9"/>
  <c r="Z4660" i="9"/>
  <c r="Z4661" i="9"/>
  <c r="Z4662" i="9"/>
  <c r="Z4663" i="9"/>
  <c r="Z4664" i="9"/>
  <c r="Z4665" i="9"/>
  <c r="Z4666" i="9"/>
  <c r="Z4667" i="9"/>
  <c r="Z4668" i="9"/>
  <c r="Z4669" i="9"/>
  <c r="Z4670" i="9"/>
  <c r="Z4671" i="9"/>
  <c r="Z4672" i="9"/>
  <c r="Z4673" i="9"/>
  <c r="Z4674" i="9"/>
  <c r="Z4675" i="9"/>
  <c r="Z4676" i="9"/>
  <c r="Z4677" i="9"/>
  <c r="Z4678" i="9"/>
  <c r="Z4679" i="9"/>
  <c r="Z4680" i="9"/>
  <c r="Z4681" i="9"/>
  <c r="Z4682" i="9"/>
  <c r="Z4683" i="9"/>
  <c r="Z4684" i="9"/>
  <c r="Z4685" i="9"/>
  <c r="Z4686" i="9"/>
  <c r="Z4687" i="9"/>
  <c r="Z4688" i="9"/>
  <c r="Z4689" i="9"/>
  <c r="Z4690" i="9"/>
  <c r="Z4691" i="9"/>
  <c r="Z4692" i="9"/>
  <c r="Z4693" i="9"/>
  <c r="Z4694" i="9"/>
  <c r="Z4695" i="9"/>
  <c r="Z4696" i="9"/>
  <c r="Z4697" i="9"/>
  <c r="Z4698" i="9"/>
  <c r="Z4699" i="9"/>
  <c r="Z4700" i="9"/>
  <c r="Z4701" i="9"/>
  <c r="Z4702" i="9"/>
  <c r="Z4703" i="9"/>
  <c r="Z4704" i="9"/>
  <c r="Z4705" i="9"/>
  <c r="Z4706" i="9"/>
  <c r="Z4707" i="9"/>
  <c r="Z4708" i="9"/>
  <c r="Z4709" i="9"/>
  <c r="Z4710" i="9"/>
  <c r="Z4711" i="9"/>
  <c r="Z4712" i="9"/>
  <c r="Z4713" i="9"/>
  <c r="Z4714" i="9"/>
  <c r="Z4715" i="9"/>
  <c r="Z4716" i="9"/>
  <c r="Z4717" i="9"/>
  <c r="Z4718" i="9"/>
  <c r="Z4719" i="9"/>
  <c r="Z4720" i="9"/>
  <c r="Z4721" i="9"/>
  <c r="Z4722" i="9"/>
  <c r="Z4723" i="9"/>
  <c r="Z4724" i="9"/>
  <c r="Z4725" i="9"/>
  <c r="Z4726" i="9"/>
  <c r="Z4727" i="9"/>
  <c r="Z4728" i="9"/>
  <c r="Z4729" i="9"/>
  <c r="Z4730" i="9"/>
  <c r="Z4731" i="9"/>
  <c r="Z4732" i="9"/>
  <c r="Z4733" i="9"/>
  <c r="Z4734" i="9"/>
  <c r="Z4735" i="9"/>
  <c r="Z4736" i="9"/>
  <c r="Z4737" i="9"/>
  <c r="Z4738" i="9"/>
  <c r="Z4739" i="9"/>
  <c r="Z4740" i="9"/>
  <c r="Z4741" i="9"/>
  <c r="Z4742" i="9"/>
  <c r="Z4743" i="9"/>
  <c r="Z4744" i="9"/>
  <c r="Z4745" i="9"/>
  <c r="Z4746" i="9"/>
  <c r="Z4747" i="9"/>
  <c r="Z4748" i="9"/>
  <c r="Z4749" i="9"/>
  <c r="Z4750" i="9"/>
  <c r="Z4751" i="9"/>
  <c r="Z4752" i="9"/>
  <c r="Z4753" i="9"/>
  <c r="Z4754" i="9"/>
  <c r="Z4755" i="9"/>
  <c r="Z4756" i="9"/>
  <c r="Z4757" i="9"/>
  <c r="Z4758" i="9"/>
  <c r="Z4759" i="9"/>
  <c r="Z4760" i="9"/>
  <c r="Z4761" i="9"/>
  <c r="Z4762" i="9"/>
  <c r="Z4763" i="9"/>
  <c r="Z4764" i="9"/>
  <c r="Z4765" i="9"/>
  <c r="Z4766" i="9"/>
  <c r="Z4767" i="9"/>
  <c r="Z4768" i="9"/>
  <c r="Z4769" i="9"/>
  <c r="Z4770" i="9"/>
  <c r="Z4771" i="9"/>
  <c r="Z4772" i="9"/>
  <c r="Z4773" i="9"/>
  <c r="Z4774" i="9"/>
  <c r="Z4775" i="9"/>
  <c r="Z4776" i="9"/>
  <c r="Z4777" i="9"/>
  <c r="Z4778" i="9"/>
  <c r="Z4779" i="9"/>
  <c r="Z4780" i="9"/>
  <c r="Z4781" i="9"/>
  <c r="Z4782" i="9"/>
  <c r="Z4783" i="9"/>
  <c r="Z4784" i="9"/>
  <c r="Z4785" i="9"/>
  <c r="Z4786" i="9"/>
  <c r="Z4787" i="9"/>
  <c r="Z4788" i="9"/>
  <c r="Z4789" i="9"/>
  <c r="Z4790" i="9"/>
  <c r="Z4791" i="9"/>
  <c r="Z4792" i="9"/>
  <c r="Z4793" i="9"/>
  <c r="Z4794" i="9"/>
  <c r="Z4795" i="9"/>
  <c r="Z4796" i="9"/>
  <c r="Z4797" i="9"/>
  <c r="Z4798" i="9"/>
  <c r="Z4799" i="9"/>
  <c r="Z4800" i="9"/>
  <c r="Z4801" i="9"/>
  <c r="Z4802" i="9"/>
  <c r="Z4803" i="9"/>
  <c r="Z4804" i="9"/>
  <c r="Z4805" i="9"/>
  <c r="Z4806" i="9"/>
  <c r="Z4807" i="9"/>
  <c r="Z4808" i="9"/>
  <c r="Z4809" i="9"/>
  <c r="Z4810" i="9"/>
  <c r="Z4811" i="9"/>
  <c r="Z4812" i="9"/>
  <c r="Z4813" i="9"/>
  <c r="Z4814" i="9"/>
  <c r="Z4815" i="9"/>
  <c r="Z4816" i="9"/>
  <c r="Z4817" i="9"/>
  <c r="Z4818" i="9"/>
  <c r="Z4819" i="9"/>
  <c r="Z4820" i="9"/>
  <c r="Z4821" i="9"/>
  <c r="Z4822" i="9"/>
  <c r="Z4823" i="9"/>
  <c r="Z4824" i="9"/>
  <c r="Z4825" i="9"/>
  <c r="Z4826" i="9"/>
  <c r="Z4827" i="9"/>
  <c r="Z4828" i="9"/>
  <c r="Z4829" i="9"/>
  <c r="Z4830" i="9"/>
  <c r="Z4831" i="9"/>
  <c r="Z4832" i="9"/>
  <c r="Z4833" i="9"/>
  <c r="Z4834" i="9"/>
  <c r="Z4835" i="9"/>
  <c r="Z4836" i="9"/>
  <c r="Z4837" i="9"/>
  <c r="Z4838" i="9"/>
  <c r="Z4839" i="9"/>
  <c r="Z4840" i="9"/>
  <c r="Z4841" i="9"/>
  <c r="Z4842" i="9"/>
  <c r="Z4843" i="9"/>
  <c r="Z4844" i="9"/>
  <c r="Z4845" i="9"/>
  <c r="Z4846" i="9"/>
  <c r="Z4847" i="9"/>
  <c r="Z4848" i="9"/>
  <c r="Z4849" i="9"/>
  <c r="Z4850" i="9"/>
  <c r="Z4851" i="9"/>
  <c r="Z4852" i="9"/>
  <c r="Z4853" i="9"/>
  <c r="Z4854" i="9"/>
  <c r="Z4855" i="9"/>
  <c r="Z4856" i="9"/>
  <c r="Z4857" i="9"/>
  <c r="Z4858" i="9"/>
  <c r="Z4859" i="9"/>
  <c r="Z4860" i="9"/>
  <c r="Z4861" i="9"/>
  <c r="Z4862" i="9"/>
  <c r="Z4863" i="9"/>
  <c r="Z4864" i="9"/>
  <c r="Z4865" i="9"/>
  <c r="Z4866" i="9"/>
  <c r="Z4867" i="9"/>
  <c r="Z4868" i="9"/>
  <c r="Z4869" i="9"/>
  <c r="Z4870" i="9"/>
  <c r="Z4871" i="9"/>
  <c r="Z4872" i="9"/>
  <c r="Z4873" i="9"/>
  <c r="Z4874" i="9"/>
  <c r="Z4875" i="9"/>
  <c r="Z4876" i="9"/>
  <c r="Z4877" i="9"/>
  <c r="Z4878" i="9"/>
  <c r="Z4879" i="9"/>
  <c r="Z4880" i="9"/>
  <c r="Z4881" i="9"/>
  <c r="Z4882" i="9"/>
  <c r="Z4883" i="9"/>
  <c r="Z4884" i="9"/>
  <c r="Z4885" i="9"/>
  <c r="Z4886" i="9"/>
  <c r="Z4887" i="9"/>
  <c r="Z4888" i="9"/>
  <c r="Z4889" i="9"/>
  <c r="Z4890" i="9"/>
  <c r="Z4891" i="9"/>
  <c r="Z4892" i="9"/>
  <c r="Z4893" i="9"/>
  <c r="Z4894" i="9"/>
  <c r="Z4895" i="9"/>
  <c r="Z4896" i="9"/>
  <c r="Z4897" i="9"/>
  <c r="Z4898" i="9"/>
  <c r="Z4899" i="9"/>
  <c r="Z4900" i="9"/>
  <c r="Z4901" i="9"/>
  <c r="Z4902" i="9"/>
  <c r="Z4903" i="9"/>
  <c r="Z4904" i="9"/>
  <c r="Z4905" i="9"/>
  <c r="Z4906" i="9"/>
  <c r="Z4907" i="9"/>
  <c r="Z4908" i="9"/>
  <c r="Z4909" i="9"/>
  <c r="Z4910" i="9"/>
  <c r="Z4911" i="9"/>
  <c r="Z4912" i="9"/>
  <c r="Z4913" i="9"/>
  <c r="Z4914" i="9"/>
  <c r="Z4915" i="9"/>
  <c r="Z4916" i="9"/>
  <c r="Z4917" i="9"/>
  <c r="Z4918" i="9"/>
  <c r="Z4919" i="9"/>
  <c r="Z4920" i="9"/>
  <c r="Z4921" i="9"/>
  <c r="Z4922" i="9"/>
  <c r="Z4923" i="9"/>
  <c r="Z4924" i="9"/>
  <c r="Z4925" i="9"/>
  <c r="Z4926" i="9"/>
  <c r="Z4927" i="9"/>
  <c r="Z4928" i="9"/>
  <c r="Z4929" i="9"/>
  <c r="Z4930" i="9"/>
  <c r="Z4931" i="9"/>
  <c r="Z4932" i="9"/>
  <c r="Z4933" i="9"/>
  <c r="Z4934" i="9"/>
  <c r="Z4935" i="9"/>
  <c r="Z4936" i="9"/>
  <c r="Z4937" i="9"/>
  <c r="Z4938" i="9"/>
  <c r="Z4939" i="9"/>
  <c r="Z4940" i="9"/>
  <c r="Z4941" i="9"/>
  <c r="Z4942" i="9"/>
  <c r="Z4943" i="9"/>
  <c r="Z4944" i="9"/>
  <c r="Z4945" i="9"/>
  <c r="Z4946" i="9"/>
  <c r="Z4947" i="9"/>
  <c r="Z4948" i="9"/>
  <c r="Z4949" i="9"/>
  <c r="Z4950" i="9"/>
  <c r="Z4951" i="9"/>
  <c r="Z4952" i="9"/>
  <c r="Z4953" i="9"/>
  <c r="Z4954" i="9"/>
  <c r="Z4955" i="9"/>
  <c r="Z4956" i="9"/>
  <c r="Z4957" i="9"/>
  <c r="Z4958" i="9"/>
  <c r="Z4959" i="9"/>
  <c r="Z4960" i="9"/>
  <c r="Z4961" i="9"/>
  <c r="Z4962" i="9"/>
  <c r="Z4963" i="9"/>
  <c r="Z4964" i="9"/>
  <c r="Z4965" i="9"/>
  <c r="Z4966" i="9"/>
  <c r="Z4967" i="9"/>
  <c r="Z4968" i="9"/>
  <c r="Z4969" i="9"/>
  <c r="Z4970" i="9"/>
  <c r="Z4971" i="9"/>
  <c r="Z4972" i="9"/>
  <c r="Z4973" i="9"/>
  <c r="Z4974" i="9"/>
  <c r="Z4975" i="9"/>
  <c r="Z4976" i="9"/>
  <c r="Z4977" i="9"/>
  <c r="Z4978" i="9"/>
  <c r="Z4979" i="9"/>
  <c r="Z4980" i="9"/>
  <c r="Z4981" i="9"/>
  <c r="Z4982" i="9"/>
  <c r="Z4983" i="9"/>
  <c r="Z4984" i="9"/>
  <c r="Z4985" i="9"/>
  <c r="Z4986" i="9"/>
  <c r="Z4987" i="9"/>
  <c r="Z4988" i="9"/>
  <c r="Z4989" i="9"/>
  <c r="Z4990" i="9"/>
  <c r="Z4991" i="9"/>
  <c r="Z4992" i="9"/>
  <c r="Z4993" i="9"/>
  <c r="Z4994" i="9"/>
  <c r="Z4995" i="9"/>
  <c r="Z4996" i="9"/>
  <c r="Z4997" i="9"/>
  <c r="Z4998" i="9"/>
  <c r="Z4999" i="9"/>
  <c r="Z5000" i="9"/>
  <c r="Z5001" i="9"/>
  <c r="Z5002" i="9"/>
  <c r="Z5003" i="9"/>
  <c r="Z5004" i="9"/>
  <c r="Z5005" i="9"/>
  <c r="Z5006" i="9"/>
  <c r="Z5007" i="9"/>
  <c r="Z5008" i="9"/>
  <c r="Z5009" i="9"/>
  <c r="Z5010" i="9"/>
  <c r="Z5011" i="9"/>
  <c r="Z5012" i="9"/>
  <c r="Z5013" i="9"/>
  <c r="Z5014" i="9"/>
  <c r="Z5015" i="9"/>
  <c r="Z5016" i="9"/>
  <c r="Z5017" i="9"/>
  <c r="Z5018" i="9"/>
  <c r="Z5019" i="9"/>
  <c r="Z5020" i="9"/>
  <c r="Z5021" i="9"/>
  <c r="Z5022" i="9"/>
  <c r="Z5023" i="9"/>
  <c r="Z5024" i="9"/>
  <c r="Z5025" i="9"/>
  <c r="Z5026" i="9"/>
  <c r="Z5027" i="9"/>
  <c r="Z5028" i="9"/>
  <c r="Z5029" i="9"/>
  <c r="Z5030" i="9"/>
  <c r="Z5031" i="9"/>
  <c r="Z5032" i="9"/>
  <c r="Z5033" i="9"/>
  <c r="Z5034" i="9"/>
  <c r="Z5035" i="9"/>
  <c r="Z5036" i="9"/>
  <c r="Z5037" i="9"/>
  <c r="Z5038" i="9"/>
  <c r="Z5039" i="9"/>
  <c r="Z5040" i="9"/>
  <c r="Z5041" i="9"/>
  <c r="Z5042" i="9"/>
  <c r="Z5043" i="9"/>
  <c r="Z5044" i="9"/>
  <c r="Z5045" i="9"/>
  <c r="Z5046" i="9"/>
  <c r="Z5047" i="9"/>
  <c r="Z5048" i="9"/>
  <c r="Z5049" i="9"/>
  <c r="Z5050" i="9"/>
  <c r="Z5051" i="9"/>
  <c r="Z5052" i="9"/>
  <c r="Z5053" i="9"/>
  <c r="Z5054" i="9"/>
  <c r="Z5055" i="9"/>
  <c r="Z5056" i="9"/>
  <c r="Z5057" i="9"/>
  <c r="Z5058" i="9"/>
  <c r="Z5059" i="9"/>
  <c r="Z5060" i="9"/>
  <c r="Z5061" i="9"/>
  <c r="Z5062" i="9"/>
  <c r="Z5063" i="9"/>
  <c r="Z5064" i="9"/>
  <c r="Z5065" i="9"/>
  <c r="Z5066" i="9"/>
  <c r="Z5067" i="9"/>
  <c r="Z5068" i="9"/>
  <c r="Z5069" i="9"/>
  <c r="Z5070" i="9"/>
  <c r="Z5071" i="9"/>
  <c r="Q30" i="14" l="1"/>
  <c r="Q31" i="14"/>
  <c r="X3006" i="9" l="1"/>
  <c r="X3007" i="9"/>
  <c r="X3008" i="9"/>
  <c r="X3009" i="9"/>
  <c r="X3010" i="9"/>
  <c r="X3011" i="9"/>
  <c r="Y3006" i="9"/>
  <c r="Y3007" i="9"/>
  <c r="Y3008" i="9"/>
  <c r="Y3009" i="9"/>
  <c r="Y3010" i="9"/>
  <c r="Y3011" i="9"/>
  <c r="Z3006" i="9"/>
  <c r="Z3007" i="9"/>
  <c r="Z3008" i="9"/>
  <c r="Z3009" i="9"/>
  <c r="Z3010" i="9"/>
  <c r="Z3011" i="9"/>
  <c r="Q12" i="14"/>
  <c r="Q16" i="14"/>
  <c r="Q17" i="14"/>
  <c r="Q18" i="14"/>
  <c r="Q19" i="14"/>
  <c r="Q20" i="14"/>
  <c r="Q21" i="14"/>
  <c r="Q22" i="14"/>
  <c r="Q23" i="14"/>
  <c r="Q25" i="14"/>
  <c r="Q26" i="14"/>
  <c r="Q28" i="14"/>
  <c r="Q29" i="14"/>
  <c r="Q32" i="14" l="1"/>
  <c r="X2947" i="9"/>
  <c r="X2948" i="9"/>
  <c r="X2949" i="9"/>
  <c r="X2950" i="9"/>
  <c r="X2951" i="9"/>
  <c r="X2952" i="9"/>
  <c r="X2953" i="9"/>
  <c r="X2954" i="9"/>
  <c r="X2955" i="9"/>
  <c r="X2956" i="9"/>
  <c r="X2957" i="9"/>
  <c r="X2958" i="9"/>
  <c r="X2959" i="9"/>
  <c r="X2960" i="9"/>
  <c r="X2961" i="9"/>
  <c r="X2962" i="9"/>
  <c r="X2963" i="9"/>
  <c r="X2964" i="9"/>
  <c r="X2965" i="9"/>
  <c r="X2966" i="9"/>
  <c r="X2967" i="9"/>
  <c r="X2968" i="9"/>
  <c r="X2969" i="9"/>
  <c r="X2970" i="9"/>
  <c r="X2971" i="9"/>
  <c r="X2972" i="9"/>
  <c r="X2973" i="9"/>
  <c r="X2974" i="9"/>
  <c r="X2975" i="9"/>
  <c r="X2976" i="9"/>
  <c r="X2977" i="9"/>
  <c r="X2978" i="9"/>
  <c r="X2979" i="9"/>
  <c r="X2980" i="9"/>
  <c r="X2981" i="9"/>
  <c r="X2982" i="9"/>
  <c r="X2983" i="9"/>
  <c r="X2984" i="9"/>
  <c r="X2985" i="9"/>
  <c r="X2986" i="9"/>
  <c r="X2987" i="9"/>
  <c r="X2988" i="9"/>
  <c r="X2989" i="9"/>
  <c r="X2990" i="9"/>
  <c r="X2991" i="9"/>
  <c r="X2992" i="9"/>
  <c r="X2993" i="9"/>
  <c r="X2994" i="9"/>
  <c r="X2995" i="9"/>
  <c r="X2996" i="9"/>
  <c r="X2997" i="9"/>
  <c r="X2998" i="9"/>
  <c r="X2999" i="9"/>
  <c r="X3000" i="9"/>
  <c r="X3001" i="9"/>
  <c r="X3002" i="9"/>
  <c r="X3003" i="9"/>
  <c r="X3004" i="9"/>
  <c r="X3005" i="9"/>
  <c r="Y2947" i="9"/>
  <c r="Y2948" i="9"/>
  <c r="Y2949" i="9"/>
  <c r="Y2950" i="9"/>
  <c r="Y2951" i="9"/>
  <c r="Y2952" i="9"/>
  <c r="Y2953" i="9"/>
  <c r="Y2954" i="9"/>
  <c r="Y2955" i="9"/>
  <c r="Y2956" i="9"/>
  <c r="Y2957" i="9"/>
  <c r="Y2958" i="9"/>
  <c r="Y2959" i="9"/>
  <c r="Y2960" i="9"/>
  <c r="Y2961" i="9"/>
  <c r="Y2962" i="9"/>
  <c r="Y2963" i="9"/>
  <c r="Y2964" i="9"/>
  <c r="Y2965" i="9"/>
  <c r="Y2966" i="9"/>
  <c r="Y2967" i="9"/>
  <c r="Y2968" i="9"/>
  <c r="Y2969" i="9"/>
  <c r="Y2970" i="9"/>
  <c r="Y2971" i="9"/>
  <c r="Y2972" i="9"/>
  <c r="Y2973" i="9"/>
  <c r="Y2974" i="9"/>
  <c r="Y2975" i="9"/>
  <c r="Y2976" i="9"/>
  <c r="Y2977" i="9"/>
  <c r="Y2978" i="9"/>
  <c r="Y2979" i="9"/>
  <c r="Y2980" i="9"/>
  <c r="Y2981" i="9"/>
  <c r="Y2982" i="9"/>
  <c r="Y2983" i="9"/>
  <c r="Y2984" i="9"/>
  <c r="Y2985" i="9"/>
  <c r="Y2986" i="9"/>
  <c r="Y2987" i="9"/>
  <c r="Y2988" i="9"/>
  <c r="Y2989" i="9"/>
  <c r="Y2990" i="9"/>
  <c r="Y2991" i="9"/>
  <c r="Y2992" i="9"/>
  <c r="Y2993" i="9"/>
  <c r="Y2994" i="9"/>
  <c r="Y2995" i="9"/>
  <c r="Y2996" i="9"/>
  <c r="Y2997" i="9"/>
  <c r="Y2998" i="9"/>
  <c r="Y2999" i="9"/>
  <c r="Y3000" i="9"/>
  <c r="Y3001" i="9"/>
  <c r="Y3002" i="9"/>
  <c r="Y3003" i="9"/>
  <c r="Y3004" i="9"/>
  <c r="Y3005" i="9"/>
  <c r="Z2947" i="9"/>
  <c r="Z2948" i="9"/>
  <c r="Z2949" i="9"/>
  <c r="Z2950" i="9"/>
  <c r="Z2951" i="9"/>
  <c r="Z2952" i="9"/>
  <c r="Z2953" i="9"/>
  <c r="Z2954" i="9"/>
  <c r="Z2955" i="9"/>
  <c r="Z2956" i="9"/>
  <c r="Z2957" i="9"/>
  <c r="Z2958" i="9"/>
  <c r="Z2959" i="9"/>
  <c r="Z2960" i="9"/>
  <c r="Z2961" i="9"/>
  <c r="Z2962" i="9"/>
  <c r="Z2963" i="9"/>
  <c r="Z2964" i="9"/>
  <c r="Z2965" i="9"/>
  <c r="Z2966" i="9"/>
  <c r="Z2967" i="9"/>
  <c r="Z2968" i="9"/>
  <c r="Z2969" i="9"/>
  <c r="Z2970" i="9"/>
  <c r="Z2971" i="9"/>
  <c r="Z2972" i="9"/>
  <c r="Z2973" i="9"/>
  <c r="Z2974" i="9"/>
  <c r="Z2975" i="9"/>
  <c r="Z2976" i="9"/>
  <c r="Z2977" i="9"/>
  <c r="Z2978" i="9"/>
  <c r="Z2979" i="9"/>
  <c r="Z2980" i="9"/>
  <c r="Z2981" i="9"/>
  <c r="Z2982" i="9"/>
  <c r="Z2983" i="9"/>
  <c r="Z2984" i="9"/>
  <c r="Z2985" i="9"/>
  <c r="Z2986" i="9"/>
  <c r="Z2987" i="9"/>
  <c r="Z2988" i="9"/>
  <c r="Z2989" i="9"/>
  <c r="Z2990" i="9"/>
  <c r="Z2991" i="9"/>
  <c r="Z2992" i="9"/>
  <c r="Z2993" i="9"/>
  <c r="Z2994" i="9"/>
  <c r="Z2995" i="9"/>
  <c r="Z2996" i="9"/>
  <c r="Z2997" i="9"/>
  <c r="Z2998" i="9"/>
  <c r="Z2999" i="9"/>
  <c r="Z3000" i="9"/>
  <c r="Z3001" i="9"/>
  <c r="Z3002" i="9"/>
  <c r="Z3003" i="9"/>
  <c r="Z3004" i="9"/>
  <c r="Z3005" i="9"/>
  <c r="P28" i="14" l="1"/>
  <c r="P28" i="18"/>
  <c r="P25" i="18"/>
  <c r="V25" i="18" s="1"/>
  <c r="P25" i="14"/>
  <c r="R25" i="14" s="1"/>
  <c r="X2921" i="9"/>
  <c r="X2922" i="9"/>
  <c r="X2923" i="9"/>
  <c r="X2924" i="9"/>
  <c r="X2925" i="9"/>
  <c r="X2926" i="9"/>
  <c r="X2927" i="9"/>
  <c r="X2928" i="9"/>
  <c r="X2929" i="9"/>
  <c r="X2930" i="9"/>
  <c r="X2931" i="9"/>
  <c r="X2932" i="9"/>
  <c r="X2933" i="9"/>
  <c r="X2934" i="9"/>
  <c r="X2935" i="9"/>
  <c r="X2936" i="9"/>
  <c r="X2937" i="9"/>
  <c r="X2938" i="9"/>
  <c r="X2939" i="9"/>
  <c r="X2940" i="9"/>
  <c r="X2941" i="9"/>
  <c r="X2942" i="9"/>
  <c r="X2943" i="9"/>
  <c r="X2944" i="9"/>
  <c r="X2945" i="9"/>
  <c r="X2946" i="9"/>
  <c r="Y2921" i="9"/>
  <c r="Y2922" i="9"/>
  <c r="Y2923" i="9"/>
  <c r="Y2924" i="9"/>
  <c r="Y2925" i="9"/>
  <c r="Y2926" i="9"/>
  <c r="Y2927" i="9"/>
  <c r="Y2928" i="9"/>
  <c r="Y2929" i="9"/>
  <c r="Y2930" i="9"/>
  <c r="Y2931" i="9"/>
  <c r="Y2932" i="9"/>
  <c r="Y2933" i="9"/>
  <c r="Y2934" i="9"/>
  <c r="Y2935" i="9"/>
  <c r="Y2936" i="9"/>
  <c r="Y2937" i="9"/>
  <c r="Y2938" i="9"/>
  <c r="Y2939" i="9"/>
  <c r="Y2940" i="9"/>
  <c r="Y2941" i="9"/>
  <c r="Y2942" i="9"/>
  <c r="Y2943" i="9"/>
  <c r="Y2944" i="9"/>
  <c r="Y2945" i="9"/>
  <c r="Y2946" i="9"/>
  <c r="Z2921" i="9"/>
  <c r="Z2922" i="9"/>
  <c r="Z2923" i="9"/>
  <c r="Z2924" i="9"/>
  <c r="Z2925" i="9"/>
  <c r="Z2926" i="9"/>
  <c r="Z2927" i="9"/>
  <c r="Z2928" i="9"/>
  <c r="Z2929" i="9"/>
  <c r="Z2930" i="9"/>
  <c r="Z2931" i="9"/>
  <c r="Z2932" i="9"/>
  <c r="Z2933" i="9"/>
  <c r="Z2934" i="9"/>
  <c r="Z2935" i="9"/>
  <c r="Z2936" i="9"/>
  <c r="Z2937" i="9"/>
  <c r="Z2938" i="9"/>
  <c r="Z2939" i="9"/>
  <c r="Z2940" i="9"/>
  <c r="Z2941" i="9"/>
  <c r="Z2942" i="9"/>
  <c r="Z2943" i="9"/>
  <c r="Z2944" i="9"/>
  <c r="Z2945" i="9"/>
  <c r="Z2946" i="9"/>
  <c r="X2874" i="9" l="1"/>
  <c r="X2875" i="9"/>
  <c r="X2876" i="9"/>
  <c r="X2877" i="9"/>
  <c r="X2878" i="9"/>
  <c r="X2879" i="9"/>
  <c r="X2880" i="9"/>
  <c r="X2881" i="9"/>
  <c r="X2882" i="9"/>
  <c r="X2883" i="9"/>
  <c r="X2884" i="9"/>
  <c r="X2885" i="9"/>
  <c r="X2886" i="9"/>
  <c r="X2887" i="9"/>
  <c r="X2888" i="9"/>
  <c r="X2889" i="9"/>
  <c r="X2890" i="9"/>
  <c r="X2891" i="9"/>
  <c r="X2892" i="9"/>
  <c r="X2893" i="9"/>
  <c r="X2894" i="9"/>
  <c r="X2895" i="9"/>
  <c r="X2896" i="9"/>
  <c r="X2897" i="9"/>
  <c r="X2898" i="9"/>
  <c r="X2899" i="9"/>
  <c r="X2900" i="9"/>
  <c r="X2901" i="9"/>
  <c r="X2902" i="9"/>
  <c r="X2903" i="9"/>
  <c r="X2904" i="9"/>
  <c r="X2905" i="9"/>
  <c r="X2906" i="9"/>
  <c r="X2907" i="9"/>
  <c r="X2908" i="9"/>
  <c r="X2909" i="9"/>
  <c r="X2910" i="9"/>
  <c r="X2911" i="9"/>
  <c r="X2912" i="9"/>
  <c r="X2913" i="9"/>
  <c r="X2914" i="9"/>
  <c r="X2915" i="9"/>
  <c r="X2916" i="9"/>
  <c r="X2917" i="9"/>
  <c r="X2918" i="9"/>
  <c r="X2919" i="9"/>
  <c r="X2920" i="9"/>
  <c r="Y2874" i="9"/>
  <c r="Y2875" i="9"/>
  <c r="Y2876" i="9"/>
  <c r="Y2877" i="9"/>
  <c r="Y2878" i="9"/>
  <c r="Y2879" i="9"/>
  <c r="Y2880" i="9"/>
  <c r="Y2881" i="9"/>
  <c r="Y2882" i="9"/>
  <c r="Y2883" i="9"/>
  <c r="Y2884" i="9"/>
  <c r="Y2885" i="9"/>
  <c r="Y2886" i="9"/>
  <c r="Y2887" i="9"/>
  <c r="Y2888" i="9"/>
  <c r="Y2889" i="9"/>
  <c r="Y2890" i="9"/>
  <c r="Y2891" i="9"/>
  <c r="Y2892" i="9"/>
  <c r="Y2893" i="9"/>
  <c r="Y2894" i="9"/>
  <c r="Y2895" i="9"/>
  <c r="Y2896" i="9"/>
  <c r="Y2897" i="9"/>
  <c r="Y2898" i="9"/>
  <c r="Y2899" i="9"/>
  <c r="Y2900" i="9"/>
  <c r="Y2901" i="9"/>
  <c r="Y2902" i="9"/>
  <c r="Y2903" i="9"/>
  <c r="Y2904" i="9"/>
  <c r="Y2905" i="9"/>
  <c r="Y2906" i="9"/>
  <c r="Y2907" i="9"/>
  <c r="Y2908" i="9"/>
  <c r="Y2909" i="9"/>
  <c r="Y2910" i="9"/>
  <c r="Y2911" i="9"/>
  <c r="Y2912" i="9"/>
  <c r="Y2913" i="9"/>
  <c r="Y2914" i="9"/>
  <c r="Y2915" i="9"/>
  <c r="Y2916" i="9"/>
  <c r="Y2917" i="9"/>
  <c r="Y2918" i="9"/>
  <c r="Y2919" i="9"/>
  <c r="Y2920" i="9"/>
  <c r="Z2874" i="9"/>
  <c r="Z2875" i="9"/>
  <c r="Z2876" i="9"/>
  <c r="Z2877" i="9"/>
  <c r="Z2878" i="9"/>
  <c r="Z2879" i="9"/>
  <c r="Z2880" i="9"/>
  <c r="Z2881" i="9"/>
  <c r="Z2882" i="9"/>
  <c r="Z2883" i="9"/>
  <c r="Z2884" i="9"/>
  <c r="Z2885" i="9"/>
  <c r="Z2886" i="9"/>
  <c r="Z2887" i="9"/>
  <c r="Z2888" i="9"/>
  <c r="Z2889" i="9"/>
  <c r="Z2890" i="9"/>
  <c r="Z2891" i="9"/>
  <c r="Z2892" i="9"/>
  <c r="Z2893" i="9"/>
  <c r="Z2894" i="9"/>
  <c r="Z2895" i="9"/>
  <c r="Z2896" i="9"/>
  <c r="Z2897" i="9"/>
  <c r="Z2898" i="9"/>
  <c r="Z2899" i="9"/>
  <c r="Z2900" i="9"/>
  <c r="Z2901" i="9"/>
  <c r="Z2902" i="9"/>
  <c r="Z2903" i="9"/>
  <c r="Z2904" i="9"/>
  <c r="Z2905" i="9"/>
  <c r="Z2906" i="9"/>
  <c r="Z2907" i="9"/>
  <c r="Z2908" i="9"/>
  <c r="Z2909" i="9"/>
  <c r="Z2910" i="9"/>
  <c r="Z2911" i="9"/>
  <c r="Z2912" i="9"/>
  <c r="Z2913" i="9"/>
  <c r="Z2914" i="9"/>
  <c r="Z2915" i="9"/>
  <c r="Z2916" i="9"/>
  <c r="Z2917" i="9"/>
  <c r="Z2918" i="9"/>
  <c r="Z2919" i="9"/>
  <c r="Z2920" i="9"/>
  <c r="P18" i="14" l="1"/>
  <c r="P18" i="18"/>
  <c r="P26" i="18"/>
  <c r="V26" i="18" s="1"/>
  <c r="P26" i="14"/>
  <c r="R26" i="14" s="1"/>
  <c r="D6" i="14"/>
  <c r="X2842" i="9"/>
  <c r="X2843" i="9"/>
  <c r="X2844" i="9"/>
  <c r="X2845" i="9"/>
  <c r="X2846" i="9"/>
  <c r="X2847" i="9"/>
  <c r="X2848" i="9"/>
  <c r="X2849" i="9"/>
  <c r="X2850" i="9"/>
  <c r="X2851" i="9"/>
  <c r="X2852" i="9"/>
  <c r="X2853" i="9"/>
  <c r="X2854" i="9"/>
  <c r="X2855" i="9"/>
  <c r="X2856" i="9"/>
  <c r="X2857" i="9"/>
  <c r="X2858" i="9"/>
  <c r="X2859" i="9"/>
  <c r="X2860" i="9"/>
  <c r="X2861" i="9"/>
  <c r="X2862" i="9"/>
  <c r="X2863" i="9"/>
  <c r="X2864" i="9"/>
  <c r="X2865" i="9"/>
  <c r="X2866" i="9"/>
  <c r="X2867" i="9"/>
  <c r="X2868" i="9"/>
  <c r="X2869" i="9"/>
  <c r="X2870" i="9"/>
  <c r="X2871" i="9"/>
  <c r="X2872" i="9"/>
  <c r="X2873" i="9"/>
  <c r="Y2842" i="9"/>
  <c r="Y2843" i="9"/>
  <c r="Y2844" i="9"/>
  <c r="Y2845" i="9"/>
  <c r="Y2846" i="9"/>
  <c r="Y2847" i="9"/>
  <c r="Y2848" i="9"/>
  <c r="Y2849" i="9"/>
  <c r="Y2850" i="9"/>
  <c r="Y2851" i="9"/>
  <c r="Y2852" i="9"/>
  <c r="Y2853" i="9"/>
  <c r="Y2854" i="9"/>
  <c r="Y2855" i="9"/>
  <c r="Y2856" i="9"/>
  <c r="Y2857" i="9"/>
  <c r="Y2858" i="9"/>
  <c r="Y2859" i="9"/>
  <c r="Y2860" i="9"/>
  <c r="Y2861" i="9"/>
  <c r="Y2862" i="9"/>
  <c r="Y2863" i="9"/>
  <c r="Y2864" i="9"/>
  <c r="Y2865" i="9"/>
  <c r="Y2866" i="9"/>
  <c r="Y2867" i="9"/>
  <c r="Y2868" i="9"/>
  <c r="Y2869" i="9"/>
  <c r="Y2870" i="9"/>
  <c r="Y2871" i="9"/>
  <c r="Y2872" i="9"/>
  <c r="Y2873" i="9"/>
  <c r="Z2842" i="9"/>
  <c r="Z2843" i="9"/>
  <c r="Z2844" i="9"/>
  <c r="Z2845" i="9"/>
  <c r="Z2846" i="9"/>
  <c r="Z2847" i="9"/>
  <c r="Z2848" i="9"/>
  <c r="Z2849" i="9"/>
  <c r="Z2850" i="9"/>
  <c r="Z2851" i="9"/>
  <c r="Z2852" i="9"/>
  <c r="Z2853" i="9"/>
  <c r="Z2854" i="9"/>
  <c r="Z2855" i="9"/>
  <c r="Z2856" i="9"/>
  <c r="Z2857" i="9"/>
  <c r="Z2858" i="9"/>
  <c r="Z2859" i="9"/>
  <c r="Z2860" i="9"/>
  <c r="Z2861" i="9"/>
  <c r="Z2862" i="9"/>
  <c r="Z2863" i="9"/>
  <c r="Z2864" i="9"/>
  <c r="Z2865" i="9"/>
  <c r="Z2866" i="9"/>
  <c r="Z2867" i="9"/>
  <c r="Z2868" i="9"/>
  <c r="Z2869" i="9"/>
  <c r="Z2870" i="9"/>
  <c r="Z2871" i="9"/>
  <c r="Z2872" i="9"/>
  <c r="Z2873" i="9"/>
  <c r="X2837" i="9"/>
  <c r="X2838" i="9"/>
  <c r="X2839" i="9"/>
  <c r="X2840" i="9"/>
  <c r="X2841" i="9"/>
  <c r="Y2837" i="9"/>
  <c r="Y2838" i="9"/>
  <c r="Y2839" i="9"/>
  <c r="Y2840" i="9"/>
  <c r="Y2841" i="9"/>
  <c r="Z2837" i="9"/>
  <c r="Z2838" i="9"/>
  <c r="Z2839" i="9"/>
  <c r="Z2840" i="9"/>
  <c r="Z2841" i="9"/>
  <c r="E6" i="14" l="1"/>
  <c r="X2824" i="9"/>
  <c r="X2825" i="9"/>
  <c r="X2826" i="9"/>
  <c r="X2827" i="9"/>
  <c r="X2828" i="9"/>
  <c r="X2829" i="9"/>
  <c r="X2830" i="9"/>
  <c r="X2831" i="9"/>
  <c r="X2832" i="9"/>
  <c r="X2833" i="9"/>
  <c r="X2834" i="9"/>
  <c r="X2835" i="9"/>
  <c r="X2836" i="9"/>
  <c r="Y2824" i="9"/>
  <c r="Y2825" i="9"/>
  <c r="Y2826" i="9"/>
  <c r="Y2827" i="9"/>
  <c r="Y2828" i="9"/>
  <c r="Y2829" i="9"/>
  <c r="Y2830" i="9"/>
  <c r="Y2831" i="9"/>
  <c r="Y2832" i="9"/>
  <c r="Y2833" i="9"/>
  <c r="Y2834" i="9"/>
  <c r="Y2835" i="9"/>
  <c r="Y2836" i="9"/>
  <c r="Z2824" i="9"/>
  <c r="Z2825" i="9"/>
  <c r="Z2826" i="9"/>
  <c r="Z2827" i="9"/>
  <c r="Z2828" i="9"/>
  <c r="Z2829" i="9"/>
  <c r="Z2830" i="9"/>
  <c r="Z2831" i="9"/>
  <c r="Z2832" i="9"/>
  <c r="Z2833" i="9"/>
  <c r="Z2834" i="9"/>
  <c r="Z2835" i="9"/>
  <c r="Z2836" i="9"/>
  <c r="X2791" i="9" l="1"/>
  <c r="X2792" i="9"/>
  <c r="X2793" i="9"/>
  <c r="X2794" i="9"/>
  <c r="X2795" i="9"/>
  <c r="X2796" i="9"/>
  <c r="X2797" i="9"/>
  <c r="X2798" i="9"/>
  <c r="X2799" i="9"/>
  <c r="X2800" i="9"/>
  <c r="X2801" i="9"/>
  <c r="X2802" i="9"/>
  <c r="X2803" i="9"/>
  <c r="X2804" i="9"/>
  <c r="X2805" i="9"/>
  <c r="X2806" i="9"/>
  <c r="X2807" i="9"/>
  <c r="X2808" i="9"/>
  <c r="X2809" i="9"/>
  <c r="X2810" i="9"/>
  <c r="X2811" i="9"/>
  <c r="X2812" i="9"/>
  <c r="X2813" i="9"/>
  <c r="X2814" i="9"/>
  <c r="X2815" i="9"/>
  <c r="X2816" i="9"/>
  <c r="X2817" i="9"/>
  <c r="X2818" i="9"/>
  <c r="X2819" i="9"/>
  <c r="X2820" i="9"/>
  <c r="X2821" i="9"/>
  <c r="X2822" i="9"/>
  <c r="X2823" i="9"/>
  <c r="Y2791" i="9"/>
  <c r="Y2792" i="9"/>
  <c r="Y2793" i="9"/>
  <c r="Y2794" i="9"/>
  <c r="Y2795" i="9"/>
  <c r="Y2796" i="9"/>
  <c r="Y2797" i="9"/>
  <c r="Y2798" i="9"/>
  <c r="Y2799" i="9"/>
  <c r="Y2800" i="9"/>
  <c r="Y2801" i="9"/>
  <c r="Y2802" i="9"/>
  <c r="Y2803" i="9"/>
  <c r="Y2804" i="9"/>
  <c r="Y2805" i="9"/>
  <c r="Y2806" i="9"/>
  <c r="Y2807" i="9"/>
  <c r="Y2808" i="9"/>
  <c r="Y2809" i="9"/>
  <c r="Y2810" i="9"/>
  <c r="Y2811" i="9"/>
  <c r="Y2812" i="9"/>
  <c r="Y2813" i="9"/>
  <c r="Y2814" i="9"/>
  <c r="Y2815" i="9"/>
  <c r="Y2816" i="9"/>
  <c r="Y2817" i="9"/>
  <c r="Y2818" i="9"/>
  <c r="Y2819" i="9"/>
  <c r="Y2820" i="9"/>
  <c r="Y2821" i="9"/>
  <c r="Y2822" i="9"/>
  <c r="Y2823" i="9"/>
  <c r="Z2791" i="9"/>
  <c r="Z2792" i="9"/>
  <c r="Z2793" i="9"/>
  <c r="Z2794" i="9"/>
  <c r="Z2795" i="9"/>
  <c r="Z2796" i="9"/>
  <c r="Z2797" i="9"/>
  <c r="Z2798" i="9"/>
  <c r="Z2799" i="9"/>
  <c r="Z2800" i="9"/>
  <c r="Z2801" i="9"/>
  <c r="Z2802" i="9"/>
  <c r="Z2803" i="9"/>
  <c r="Z2804" i="9"/>
  <c r="Z2805" i="9"/>
  <c r="Z2806" i="9"/>
  <c r="Z2807" i="9"/>
  <c r="Z2808" i="9"/>
  <c r="Z2809" i="9"/>
  <c r="Z2810" i="9"/>
  <c r="Z2811" i="9"/>
  <c r="Z2812" i="9"/>
  <c r="Z2813" i="9"/>
  <c r="Z2814" i="9"/>
  <c r="Z2815" i="9"/>
  <c r="Z2816" i="9"/>
  <c r="Z2817" i="9"/>
  <c r="Z2818" i="9"/>
  <c r="Z2819" i="9"/>
  <c r="Z2820" i="9"/>
  <c r="Z2821" i="9"/>
  <c r="Z2822" i="9"/>
  <c r="Z2823" i="9"/>
  <c r="H42" i="18" l="1"/>
  <c r="R36" i="14" l="1"/>
  <c r="R37" i="14" l="1"/>
  <c r="Z2082" i="9"/>
  <c r="Y2082" i="9"/>
  <c r="X2082" i="9"/>
  <c r="Z2081" i="9"/>
  <c r="Y2081" i="9"/>
  <c r="X2081" i="9"/>
  <c r="N4" i="14" l="1"/>
  <c r="R38" i="14"/>
  <c r="R39" i="14"/>
  <c r="R40" i="14"/>
  <c r="R41" i="14"/>
  <c r="Z3" i="9" l="1"/>
  <c r="Z4" i="9"/>
  <c r="Z5" i="9"/>
  <c r="Z6" i="9"/>
  <c r="Z7" i="9"/>
  <c r="Z8" i="9"/>
  <c r="Z9" i="9"/>
  <c r="Z10" i="9"/>
  <c r="Z11" i="9"/>
  <c r="Z12" i="9"/>
  <c r="Z13" i="9"/>
  <c r="Z14" i="9"/>
  <c r="Z15" i="9"/>
  <c r="Z16" i="9"/>
  <c r="Z17" i="9"/>
  <c r="Z18" i="9"/>
  <c r="Z19" i="9"/>
  <c r="Z20" i="9"/>
  <c r="Z21" i="9"/>
  <c r="Z22" i="9"/>
  <c r="Z23" i="9"/>
  <c r="Z24" i="9"/>
  <c r="Z25" i="9"/>
  <c r="Z27" i="9"/>
  <c r="Z31" i="9"/>
  <c r="Z32" i="9"/>
  <c r="Z33" i="9"/>
  <c r="Z34" i="9"/>
  <c r="Z35" i="9"/>
  <c r="Z36" i="9"/>
  <c r="Z37" i="9"/>
  <c r="Z39" i="9"/>
  <c r="Z41" i="9"/>
  <c r="Z43" i="9"/>
  <c r="Z45" i="9"/>
  <c r="Z46" i="9"/>
  <c r="Z53" i="9"/>
  <c r="Z55" i="9"/>
  <c r="Z58" i="9"/>
  <c r="Z61" i="9"/>
  <c r="Z67" i="9"/>
  <c r="Z69" i="9"/>
  <c r="Z70" i="9"/>
  <c r="Z72" i="9"/>
  <c r="Z73" i="9"/>
  <c r="Z74" i="9"/>
  <c r="Z75" i="9"/>
  <c r="Z76" i="9"/>
  <c r="Z77" i="9"/>
  <c r="Z78" i="9"/>
  <c r="Z79" i="9"/>
  <c r="Z80" i="9"/>
  <c r="Z81" i="9"/>
  <c r="Z82" i="9"/>
  <c r="Z83" i="9"/>
  <c r="Z84" i="9"/>
  <c r="Z85" i="9"/>
  <c r="Z86" i="9"/>
  <c r="Z87" i="9"/>
  <c r="Z88" i="9"/>
  <c r="Z89" i="9"/>
  <c r="Z90" i="9"/>
  <c r="Z91" i="9"/>
  <c r="Z92" i="9"/>
  <c r="Z93" i="9"/>
  <c r="Z95" i="9"/>
  <c r="Z100" i="9"/>
  <c r="Z107" i="9"/>
  <c r="Z108" i="9"/>
  <c r="Z109" i="9"/>
  <c r="Z110" i="9"/>
  <c r="Z111" i="9"/>
  <c r="Z114" i="9"/>
  <c r="Z116" i="9"/>
  <c r="Z117" i="9"/>
  <c r="Z118" i="9"/>
  <c r="Z119" i="9"/>
  <c r="Z121" i="9"/>
  <c r="Z122" i="9"/>
  <c r="Z123" i="9"/>
  <c r="Z127" i="9"/>
  <c r="F7" i="18" s="1"/>
  <c r="Z128" i="9"/>
  <c r="Z129" i="9"/>
  <c r="Z130" i="9"/>
  <c r="Z131" i="9"/>
  <c r="Z132" i="9"/>
  <c r="Z133" i="9"/>
  <c r="Z134" i="9"/>
  <c r="Z136" i="9"/>
  <c r="Z137" i="9"/>
  <c r="Z138" i="9"/>
  <c r="Z139" i="9"/>
  <c r="Z140" i="9"/>
  <c r="Z141" i="9"/>
  <c r="Z142" i="9"/>
  <c r="Z144" i="9"/>
  <c r="Z145" i="9"/>
  <c r="Z150" i="9"/>
  <c r="Z151" i="9"/>
  <c r="Z154" i="9"/>
  <c r="Z156" i="9"/>
  <c r="Z158" i="9"/>
  <c r="Z160" i="9"/>
  <c r="Z163" i="9"/>
  <c r="Z167" i="9"/>
  <c r="Z170" i="9"/>
  <c r="Z171" i="9"/>
  <c r="Z172" i="9"/>
  <c r="Z173" i="9"/>
  <c r="Z174" i="9"/>
  <c r="Z175" i="9"/>
  <c r="Z176" i="9"/>
  <c r="Z177" i="9"/>
  <c r="Z178" i="9"/>
  <c r="Z179" i="9"/>
  <c r="Z180" i="9"/>
  <c r="Z181" i="9"/>
  <c r="Z182" i="9"/>
  <c r="Z183" i="9"/>
  <c r="Z184" i="9"/>
  <c r="Z185" i="9"/>
  <c r="Z186" i="9"/>
  <c r="Z187" i="9"/>
  <c r="Z188" i="9"/>
  <c r="Z189" i="9"/>
  <c r="G14" i="18" s="1"/>
  <c r="Z190" i="9"/>
  <c r="Z193" i="9"/>
  <c r="Z196" i="9"/>
  <c r="Z200" i="9"/>
  <c r="Z205" i="9"/>
  <c r="Z210" i="9"/>
  <c r="Z212" i="9"/>
  <c r="Z217" i="9"/>
  <c r="Z222" i="9"/>
  <c r="Z227" i="9"/>
  <c r="Z232" i="9"/>
  <c r="Z233" i="9"/>
  <c r="Z234" i="9"/>
  <c r="Z235" i="9"/>
  <c r="Z236" i="9"/>
  <c r="Z237" i="9"/>
  <c r="Z238" i="9"/>
  <c r="Z239" i="9"/>
  <c r="Z240" i="9"/>
  <c r="Z241" i="9"/>
  <c r="Z242" i="9"/>
  <c r="Z243" i="9"/>
  <c r="Z244" i="9"/>
  <c r="Z245" i="9"/>
  <c r="Z246" i="9"/>
  <c r="Z247" i="9"/>
  <c r="Z248" i="9"/>
  <c r="Z249" i="9"/>
  <c r="Z250" i="9"/>
  <c r="Z251" i="9"/>
  <c r="Z252" i="9"/>
  <c r="Z253" i="9"/>
  <c r="Z254" i="9"/>
  <c r="Z255" i="9"/>
  <c r="Z256" i="9"/>
  <c r="Z257" i="9"/>
  <c r="Z258" i="9"/>
  <c r="Z259" i="9"/>
  <c r="Z260" i="9"/>
  <c r="Z261" i="9"/>
  <c r="Z262" i="9"/>
  <c r="Z263" i="9"/>
  <c r="Z264" i="9"/>
  <c r="Z265" i="9"/>
  <c r="Z266" i="9"/>
  <c r="Z267" i="9"/>
  <c r="Z268" i="9"/>
  <c r="Z269" i="9"/>
  <c r="Z270" i="9"/>
  <c r="Z271" i="9"/>
  <c r="Z274" i="9"/>
  <c r="Z277" i="9"/>
  <c r="Z281" i="9"/>
  <c r="Z286" i="9"/>
  <c r="Z292" i="9"/>
  <c r="Z293" i="9"/>
  <c r="Z294" i="9"/>
  <c r="Z295" i="9"/>
  <c r="Z296" i="9"/>
  <c r="Z297" i="9"/>
  <c r="Z298" i="9"/>
  <c r="Z299" i="9"/>
  <c r="Z300" i="9"/>
  <c r="Z301" i="9"/>
  <c r="Z302" i="9"/>
  <c r="Z303" i="9"/>
  <c r="Z304" i="9"/>
  <c r="Z305" i="9"/>
  <c r="Z306" i="9"/>
  <c r="Z307" i="9"/>
  <c r="Z308" i="9"/>
  <c r="Z309" i="9"/>
  <c r="Z310" i="9"/>
  <c r="Z311" i="9"/>
  <c r="Z312" i="9"/>
  <c r="Z313" i="9"/>
  <c r="Z314" i="9"/>
  <c r="Z315" i="9"/>
  <c r="Z316" i="9"/>
  <c r="Z317" i="9"/>
  <c r="Z318" i="9"/>
  <c r="Z319" i="9"/>
  <c r="Z320" i="9"/>
  <c r="Z321" i="9"/>
  <c r="Z322" i="9"/>
  <c r="Z323" i="9"/>
  <c r="Z324" i="9"/>
  <c r="Z325" i="9"/>
  <c r="Z326" i="9"/>
  <c r="Z327" i="9"/>
  <c r="Z328" i="9"/>
  <c r="Z329" i="9"/>
  <c r="Z330" i="9"/>
  <c r="Z331" i="9"/>
  <c r="Z332" i="9"/>
  <c r="Z333" i="9"/>
  <c r="Z334" i="9"/>
  <c r="Z335" i="9"/>
  <c r="Z336" i="9"/>
  <c r="Z337" i="9"/>
  <c r="Z363" i="9"/>
  <c r="Z364" i="9"/>
  <c r="Z365" i="9"/>
  <c r="Z366" i="9"/>
  <c r="Z367" i="9"/>
  <c r="Z368" i="9"/>
  <c r="Z369" i="9"/>
  <c r="Z370" i="9"/>
  <c r="Z371" i="9"/>
  <c r="Z372" i="9"/>
  <c r="Z373" i="9"/>
  <c r="Z374" i="9"/>
  <c r="Z375" i="9"/>
  <c r="Z376" i="9"/>
  <c r="Z377" i="9"/>
  <c r="Z378" i="9"/>
  <c r="Z379" i="9"/>
  <c r="Z380" i="9"/>
  <c r="Z381" i="9"/>
  <c r="Z382" i="9"/>
  <c r="Z383" i="9"/>
  <c r="Z384" i="9"/>
  <c r="Z385" i="9"/>
  <c r="Z386" i="9"/>
  <c r="Z387" i="9"/>
  <c r="Z388" i="9"/>
  <c r="Z389" i="9"/>
  <c r="Z390" i="9"/>
  <c r="Z391" i="9"/>
  <c r="Z392" i="9"/>
  <c r="Z393" i="9"/>
  <c r="Z394" i="9"/>
  <c r="Z395" i="9"/>
  <c r="Z396" i="9"/>
  <c r="Z397" i="9"/>
  <c r="Z398" i="9"/>
  <c r="Z399" i="9"/>
  <c r="Z400" i="9"/>
  <c r="Z401" i="9"/>
  <c r="Z402" i="9"/>
  <c r="Z403" i="9"/>
  <c r="Z404" i="9"/>
  <c r="Z405" i="9"/>
  <c r="Z406" i="9"/>
  <c r="Z407" i="9"/>
  <c r="Z408" i="9"/>
  <c r="Z409" i="9"/>
  <c r="Z410" i="9"/>
  <c r="Z411" i="9"/>
  <c r="Z412" i="9"/>
  <c r="Z413" i="9"/>
  <c r="Z414" i="9"/>
  <c r="Z415" i="9"/>
  <c r="Z416" i="9"/>
  <c r="Z417" i="9"/>
  <c r="Z418" i="9"/>
  <c r="Z419" i="9"/>
  <c r="Z420" i="9"/>
  <c r="Z421" i="9"/>
  <c r="Z422" i="9"/>
  <c r="Z423" i="9"/>
  <c r="Z424" i="9"/>
  <c r="Z425" i="9"/>
  <c r="Z426" i="9"/>
  <c r="Z427" i="9"/>
  <c r="Z428" i="9"/>
  <c r="Z429" i="9"/>
  <c r="Z430" i="9"/>
  <c r="Z431" i="9"/>
  <c r="Z432" i="9"/>
  <c r="Z433" i="9"/>
  <c r="Z434" i="9"/>
  <c r="Z435" i="9"/>
  <c r="Z436" i="9"/>
  <c r="Z437" i="9"/>
  <c r="Z438" i="9"/>
  <c r="Z439" i="9"/>
  <c r="Z440" i="9"/>
  <c r="Z441" i="9"/>
  <c r="Z442" i="9"/>
  <c r="Z443" i="9"/>
  <c r="Z444" i="9"/>
  <c r="Z445" i="9"/>
  <c r="Z446" i="9"/>
  <c r="Z447" i="9"/>
  <c r="Z448" i="9"/>
  <c r="Z449" i="9"/>
  <c r="Z450" i="9"/>
  <c r="Z451" i="9"/>
  <c r="Z452" i="9"/>
  <c r="Z453" i="9"/>
  <c r="Z454" i="9"/>
  <c r="Z455" i="9"/>
  <c r="Z456" i="9"/>
  <c r="Z457" i="9"/>
  <c r="Z458" i="9"/>
  <c r="Z459" i="9"/>
  <c r="Z460" i="9"/>
  <c r="Z461" i="9"/>
  <c r="Z462" i="9"/>
  <c r="Z463" i="9"/>
  <c r="Z464" i="9"/>
  <c r="Z465" i="9"/>
  <c r="Z466" i="9"/>
  <c r="Z467" i="9"/>
  <c r="Z468" i="9"/>
  <c r="Z469" i="9"/>
  <c r="Z470" i="9"/>
  <c r="Z471" i="9"/>
  <c r="Z472" i="9"/>
  <c r="Z473" i="9"/>
  <c r="Z474" i="9"/>
  <c r="Z475" i="9"/>
  <c r="Z476" i="9"/>
  <c r="Z477" i="9"/>
  <c r="Z478" i="9"/>
  <c r="Z479" i="9"/>
  <c r="Z480" i="9"/>
  <c r="Z481" i="9"/>
  <c r="Z482" i="9"/>
  <c r="Z483" i="9"/>
  <c r="Z484" i="9"/>
  <c r="Z485" i="9"/>
  <c r="Z486" i="9"/>
  <c r="Z487" i="9"/>
  <c r="Z488" i="9"/>
  <c r="Z489" i="9"/>
  <c r="Z490" i="9"/>
  <c r="Z491" i="9"/>
  <c r="Z492" i="9"/>
  <c r="Z493" i="9"/>
  <c r="Z494" i="9"/>
  <c r="Z495" i="9"/>
  <c r="Z496" i="9"/>
  <c r="Z497" i="9"/>
  <c r="Z498" i="9"/>
  <c r="Z499" i="9"/>
  <c r="Z500" i="9"/>
  <c r="Z501" i="9"/>
  <c r="Z502" i="9"/>
  <c r="Z503" i="9"/>
  <c r="Z504" i="9"/>
  <c r="Z505" i="9"/>
  <c r="Z508" i="9"/>
  <c r="Z509" i="9"/>
  <c r="Z511" i="9"/>
  <c r="Z514" i="9"/>
  <c r="Z515" i="9"/>
  <c r="Z517" i="9"/>
  <c r="Z518" i="9"/>
  <c r="Z520" i="9"/>
  <c r="Z521" i="9"/>
  <c r="Z524" i="9"/>
  <c r="Z525" i="9"/>
  <c r="Z526" i="9"/>
  <c r="Z527" i="9"/>
  <c r="Z528" i="9"/>
  <c r="Z529" i="9"/>
  <c r="Z530" i="9"/>
  <c r="Z531" i="9"/>
  <c r="Z532" i="9"/>
  <c r="Z533" i="9"/>
  <c r="Z534" i="9"/>
  <c r="Z536" i="9"/>
  <c r="Z537" i="9"/>
  <c r="Z539" i="9"/>
  <c r="Z540" i="9"/>
  <c r="Z542" i="9"/>
  <c r="Z544" i="9"/>
  <c r="Z546" i="9"/>
  <c r="Z548" i="9"/>
  <c r="Z552" i="9"/>
  <c r="Z553" i="9"/>
  <c r="Z554" i="9"/>
  <c r="Z555" i="9"/>
  <c r="Z556" i="9"/>
  <c r="Z557" i="9"/>
  <c r="Z558" i="9"/>
  <c r="Z559" i="9"/>
  <c r="Z560" i="9"/>
  <c r="Z561" i="9"/>
  <c r="Z562" i="9"/>
  <c r="Z563" i="9"/>
  <c r="Z564" i="9"/>
  <c r="Z569" i="9"/>
  <c r="Z570" i="9"/>
  <c r="Z571" i="9"/>
  <c r="Z572" i="9"/>
  <c r="Z573" i="9"/>
  <c r="Z574" i="9"/>
  <c r="Z575" i="9"/>
  <c r="Z576" i="9"/>
  <c r="Z577" i="9"/>
  <c r="Z578" i="9"/>
  <c r="Z579" i="9"/>
  <c r="Z580" i="9"/>
  <c r="Z581" i="9"/>
  <c r="Z582" i="9"/>
  <c r="Z583" i="9"/>
  <c r="Z584" i="9"/>
  <c r="Z587" i="9"/>
  <c r="Z588" i="9"/>
  <c r="Z594" i="9"/>
  <c r="Z595" i="9"/>
  <c r="Z585" i="9"/>
  <c r="Z589" i="9"/>
  <c r="Z596" i="9"/>
  <c r="Z597" i="9"/>
  <c r="Z598" i="9"/>
  <c r="Z599" i="9"/>
  <c r="Z604" i="9"/>
  <c r="Z605" i="9"/>
  <c r="Z606" i="9"/>
  <c r="Z607" i="9"/>
  <c r="Z608" i="9"/>
  <c r="Z609" i="9"/>
  <c r="Z610" i="9"/>
  <c r="Z611" i="9"/>
  <c r="Z612" i="9"/>
  <c r="Z613" i="9"/>
  <c r="Z614" i="9"/>
  <c r="Z615" i="9"/>
  <c r="Z616" i="9"/>
  <c r="Z617" i="9"/>
  <c r="Z618" i="9"/>
  <c r="Z619" i="9"/>
  <c r="Z620" i="9"/>
  <c r="Z621" i="9"/>
  <c r="Z622" i="9"/>
  <c r="Z623" i="9"/>
  <c r="Z624" i="9"/>
  <c r="Z625" i="9"/>
  <c r="Z626" i="9"/>
  <c r="Z627" i="9"/>
  <c r="Z628" i="9"/>
  <c r="Z629" i="9"/>
  <c r="Z630" i="9"/>
  <c r="Z631" i="9"/>
  <c r="Z632" i="9"/>
  <c r="Z633" i="9"/>
  <c r="Z634" i="9"/>
  <c r="Z635" i="9"/>
  <c r="Z636" i="9"/>
  <c r="Z637" i="9"/>
  <c r="Z638" i="9"/>
  <c r="Z639" i="9"/>
  <c r="Z640" i="9"/>
  <c r="Z641" i="9"/>
  <c r="Z642" i="9"/>
  <c r="Z643" i="9"/>
  <c r="Z644" i="9"/>
  <c r="Z645" i="9"/>
  <c r="Z646" i="9"/>
  <c r="Z647" i="9"/>
  <c r="Z648" i="9"/>
  <c r="Z649" i="9"/>
  <c r="Z650" i="9"/>
  <c r="Z651" i="9"/>
  <c r="Z652" i="9"/>
  <c r="Z653" i="9"/>
  <c r="Z654" i="9"/>
  <c r="Z655" i="9"/>
  <c r="Z656" i="9"/>
  <c r="Z657" i="9"/>
  <c r="Z658" i="9"/>
  <c r="Z659" i="9"/>
  <c r="Z660" i="9"/>
  <c r="Z661" i="9"/>
  <c r="Z662" i="9"/>
  <c r="Z663" i="9"/>
  <c r="Z664" i="9"/>
  <c r="Z665" i="9"/>
  <c r="Z666" i="9"/>
  <c r="Z667" i="9"/>
  <c r="Z668" i="9"/>
  <c r="Z669" i="9"/>
  <c r="Z670" i="9"/>
  <c r="Z671" i="9"/>
  <c r="Z672" i="9"/>
  <c r="Z673" i="9"/>
  <c r="Z674" i="9"/>
  <c r="Z675" i="9"/>
  <c r="Z676" i="9"/>
  <c r="Z677" i="9"/>
  <c r="Z678" i="9"/>
  <c r="Z679" i="9"/>
  <c r="Z680" i="9"/>
  <c r="Z681" i="9"/>
  <c r="Z682" i="9"/>
  <c r="Z683" i="9"/>
  <c r="Z684" i="9"/>
  <c r="Z685" i="9"/>
  <c r="Z686" i="9"/>
  <c r="Z687" i="9"/>
  <c r="Z688" i="9"/>
  <c r="Z689" i="9"/>
  <c r="Z690" i="9"/>
  <c r="Z691" i="9"/>
  <c r="Z692" i="9"/>
  <c r="Z693" i="9"/>
  <c r="Z694" i="9"/>
  <c r="Z695" i="9"/>
  <c r="Z696" i="9"/>
  <c r="Z697" i="9"/>
  <c r="Z698" i="9"/>
  <c r="Z699" i="9"/>
  <c r="Z700" i="9"/>
  <c r="Z701" i="9"/>
  <c r="Z702" i="9"/>
  <c r="Z703" i="9"/>
  <c r="Z704" i="9"/>
  <c r="Z705" i="9"/>
  <c r="Z706" i="9"/>
  <c r="Z707" i="9"/>
  <c r="Z708" i="9"/>
  <c r="Z709" i="9"/>
  <c r="Z710" i="9"/>
  <c r="Z711" i="9"/>
  <c r="Z712" i="9"/>
  <c r="Z713" i="9"/>
  <c r="Z714" i="9"/>
  <c r="Z715" i="9"/>
  <c r="Z716" i="9"/>
  <c r="Z717" i="9"/>
  <c r="Z718" i="9"/>
  <c r="Z719" i="9"/>
  <c r="Z720" i="9"/>
  <c r="Z721" i="9"/>
  <c r="Z722" i="9"/>
  <c r="Z723" i="9"/>
  <c r="Z728" i="9"/>
  <c r="Z733" i="9"/>
  <c r="Z738" i="9"/>
  <c r="Z739" i="9"/>
  <c r="Z740" i="9"/>
  <c r="Z741" i="9"/>
  <c r="Z743" i="9"/>
  <c r="Z745" i="9"/>
  <c r="Z747" i="9"/>
  <c r="Z749" i="9"/>
  <c r="Z750" i="9"/>
  <c r="Z752" i="9"/>
  <c r="Z754" i="9"/>
  <c r="Z756" i="9"/>
  <c r="Z757" i="9"/>
  <c r="Z758" i="9"/>
  <c r="Z759" i="9"/>
  <c r="Z760" i="9"/>
  <c r="Z761" i="9"/>
  <c r="Z762" i="9"/>
  <c r="Z763" i="9"/>
  <c r="Z764" i="9"/>
  <c r="Z765" i="9"/>
  <c r="Z767" i="9"/>
  <c r="Z769" i="9"/>
  <c r="Z771" i="9"/>
  <c r="Z773" i="9"/>
  <c r="Z774" i="9"/>
  <c r="Z775" i="9"/>
  <c r="Z776" i="9"/>
  <c r="Z777" i="9"/>
  <c r="Z778" i="9"/>
  <c r="Z779" i="9"/>
  <c r="Z780" i="9"/>
  <c r="Z781" i="9"/>
  <c r="Z782" i="9"/>
  <c r="Z783" i="9"/>
  <c r="Z784" i="9"/>
  <c r="Z785" i="9"/>
  <c r="Z786" i="9"/>
  <c r="Z787" i="9"/>
  <c r="Z788" i="9"/>
  <c r="Z789" i="9"/>
  <c r="Z790" i="9"/>
  <c r="Z791" i="9"/>
  <c r="Z792" i="9"/>
  <c r="Z793" i="9"/>
  <c r="Z794" i="9"/>
  <c r="Z795" i="9"/>
  <c r="Z796" i="9"/>
  <c r="Z797" i="9"/>
  <c r="Z798" i="9"/>
  <c r="Z799" i="9"/>
  <c r="Z800" i="9"/>
  <c r="Z801" i="9"/>
  <c r="Z802" i="9"/>
  <c r="Z803" i="9"/>
  <c r="Z804" i="9"/>
  <c r="Z805" i="9"/>
  <c r="Z806" i="9"/>
  <c r="Z807" i="9"/>
  <c r="Z808" i="9"/>
  <c r="Z809" i="9"/>
  <c r="Z810" i="9"/>
  <c r="Z811" i="9"/>
  <c r="Z812" i="9"/>
  <c r="Z813" i="9"/>
  <c r="Z814" i="9"/>
  <c r="Z815" i="9"/>
  <c r="Z816" i="9"/>
  <c r="Z817" i="9"/>
  <c r="Z818" i="9"/>
  <c r="Z819" i="9"/>
  <c r="Z820" i="9"/>
  <c r="Z821" i="9"/>
  <c r="Z822" i="9"/>
  <c r="Z823" i="9"/>
  <c r="Z824" i="9"/>
  <c r="Z825" i="9"/>
  <c r="Z826" i="9"/>
  <c r="Z827" i="9"/>
  <c r="Z828" i="9"/>
  <c r="Z829" i="9"/>
  <c r="Z830" i="9"/>
  <c r="Z831" i="9"/>
  <c r="Z832" i="9"/>
  <c r="Z833" i="9"/>
  <c r="Z834" i="9"/>
  <c r="Z835" i="9"/>
  <c r="Z836" i="9"/>
  <c r="Z837" i="9"/>
  <c r="Z840" i="9"/>
  <c r="Z845" i="9"/>
  <c r="Z846" i="9"/>
  <c r="Z847" i="9"/>
  <c r="Z848" i="9"/>
  <c r="Z849" i="9"/>
  <c r="Z850" i="9"/>
  <c r="Z851" i="9"/>
  <c r="Z852" i="9"/>
  <c r="Z853" i="9"/>
  <c r="Z854" i="9"/>
  <c r="Z855" i="9"/>
  <c r="Z856" i="9"/>
  <c r="Z857" i="9"/>
  <c r="Z858" i="9"/>
  <c r="Z859" i="9"/>
  <c r="Z860" i="9"/>
  <c r="Z861" i="9"/>
  <c r="Z862" i="9"/>
  <c r="Z863" i="9"/>
  <c r="Z864" i="9"/>
  <c r="Z865" i="9"/>
  <c r="Z866" i="9"/>
  <c r="Z867" i="9"/>
  <c r="Z868" i="9"/>
  <c r="Z869" i="9"/>
  <c r="Z870" i="9"/>
  <c r="Z871" i="9"/>
  <c r="Z872" i="9"/>
  <c r="Z873" i="9"/>
  <c r="Z874" i="9"/>
  <c r="Z875" i="9"/>
  <c r="Z876" i="9"/>
  <c r="Z877" i="9"/>
  <c r="Z878" i="9"/>
  <c r="Z879" i="9"/>
  <c r="Z880" i="9"/>
  <c r="Z881" i="9"/>
  <c r="Z882" i="9"/>
  <c r="Z883" i="9"/>
  <c r="Z884" i="9"/>
  <c r="Z885" i="9"/>
  <c r="Z886" i="9"/>
  <c r="Z887" i="9"/>
  <c r="Z888" i="9"/>
  <c r="Z889" i="9"/>
  <c r="Z890" i="9"/>
  <c r="Z891" i="9"/>
  <c r="Z892" i="9"/>
  <c r="Z893" i="9"/>
  <c r="Z894" i="9"/>
  <c r="Z895" i="9"/>
  <c r="Z896" i="9"/>
  <c r="Z897" i="9"/>
  <c r="Z898" i="9"/>
  <c r="Z899" i="9"/>
  <c r="Z900" i="9"/>
  <c r="Z901" i="9"/>
  <c r="Z902" i="9"/>
  <c r="Z903" i="9"/>
  <c r="Z904" i="9"/>
  <c r="Z905" i="9"/>
  <c r="Z906" i="9"/>
  <c r="Z907" i="9"/>
  <c r="Z908" i="9"/>
  <c r="Z909" i="9"/>
  <c r="Z910" i="9"/>
  <c r="Z911" i="9"/>
  <c r="Z912" i="9"/>
  <c r="Z913" i="9"/>
  <c r="Z914" i="9"/>
  <c r="Z915" i="9"/>
  <c r="Z916" i="9"/>
  <c r="Z917" i="9"/>
  <c r="Z918" i="9"/>
  <c r="Z919" i="9"/>
  <c r="Z920" i="9"/>
  <c r="Z921" i="9"/>
  <c r="Z922" i="9"/>
  <c r="Z923" i="9"/>
  <c r="Z924" i="9"/>
  <c r="Z925" i="9"/>
  <c r="Z926" i="9"/>
  <c r="Z927" i="9"/>
  <c r="Z928" i="9"/>
  <c r="Z929" i="9"/>
  <c r="Z930" i="9"/>
  <c r="Z931" i="9"/>
  <c r="Z932" i="9"/>
  <c r="Z933" i="9"/>
  <c r="Z934" i="9"/>
  <c r="Z935" i="9"/>
  <c r="Z936" i="9"/>
  <c r="Z937" i="9"/>
  <c r="Z938" i="9"/>
  <c r="Z939" i="9"/>
  <c r="Z940" i="9"/>
  <c r="Z941" i="9"/>
  <c r="Z942" i="9"/>
  <c r="Z943" i="9"/>
  <c r="Z944" i="9"/>
  <c r="Z945" i="9"/>
  <c r="Z946" i="9"/>
  <c r="Z947" i="9"/>
  <c r="Z948" i="9"/>
  <c r="Z949" i="9"/>
  <c r="Z950" i="9"/>
  <c r="Z951" i="9"/>
  <c r="Z952" i="9"/>
  <c r="Z953" i="9"/>
  <c r="Z954" i="9"/>
  <c r="Z955" i="9"/>
  <c r="Z956" i="9"/>
  <c r="Z957" i="9"/>
  <c r="Z958" i="9"/>
  <c r="Z959" i="9"/>
  <c r="Z960" i="9"/>
  <c r="Z961" i="9"/>
  <c r="Z980" i="9"/>
  <c r="Z962" i="9"/>
  <c r="Z981" i="9"/>
  <c r="Z963" i="9"/>
  <c r="Z982" i="9"/>
  <c r="Z964" i="9"/>
  <c r="Z983" i="9"/>
  <c r="Z965" i="9"/>
  <c r="Z984" i="9"/>
  <c r="Z966" i="9"/>
  <c r="Z985" i="9"/>
  <c r="Z967" i="9"/>
  <c r="Z986" i="9"/>
  <c r="Z968" i="9"/>
  <c r="Z987" i="9"/>
  <c r="Z969" i="9"/>
  <c r="Z988" i="9"/>
  <c r="Z970" i="9"/>
  <c r="Z989" i="9"/>
  <c r="Z971" i="9"/>
  <c r="Z990" i="9"/>
  <c r="Z972" i="9"/>
  <c r="Z991" i="9"/>
  <c r="Z973" i="9"/>
  <c r="Z992" i="9"/>
  <c r="Z974" i="9"/>
  <c r="Z993" i="9"/>
  <c r="Z975" i="9"/>
  <c r="Z994" i="9"/>
  <c r="Z976" i="9"/>
  <c r="Z995" i="9"/>
  <c r="Z978" i="9"/>
  <c r="Z996" i="9"/>
  <c r="Z979" i="9"/>
  <c r="Z997" i="9"/>
  <c r="Z998" i="9"/>
  <c r="Z999" i="9"/>
  <c r="Z1000" i="9"/>
  <c r="Z1001" i="9"/>
  <c r="Z1002" i="9"/>
  <c r="Z1003" i="9"/>
  <c r="Z1004" i="9"/>
  <c r="Z1005" i="9"/>
  <c r="Z1006" i="9"/>
  <c r="Z1007" i="9"/>
  <c r="Z1008" i="9"/>
  <c r="Z1009" i="9"/>
  <c r="Z1010" i="9"/>
  <c r="Z1011" i="9"/>
  <c r="Z1012" i="9"/>
  <c r="Z1013" i="9"/>
  <c r="Z1014" i="9"/>
  <c r="Z1015" i="9"/>
  <c r="Z1016" i="9"/>
  <c r="Z1017" i="9"/>
  <c r="Z1018" i="9"/>
  <c r="Z1019" i="9"/>
  <c r="Z1020" i="9"/>
  <c r="Z1021" i="9"/>
  <c r="Z1022" i="9"/>
  <c r="Z1023" i="9"/>
  <c r="Z1024" i="9"/>
  <c r="Z1025" i="9"/>
  <c r="Z1026" i="9"/>
  <c r="Z1027" i="9"/>
  <c r="Z1028" i="9"/>
  <c r="Z1029" i="9"/>
  <c r="Z1030" i="9"/>
  <c r="Z1031" i="9"/>
  <c r="Z1032" i="9"/>
  <c r="Z1033" i="9"/>
  <c r="Z1034" i="9"/>
  <c r="Z1035" i="9"/>
  <c r="Z1036" i="9"/>
  <c r="Z1037" i="9"/>
  <c r="Z1038" i="9"/>
  <c r="Z1039" i="9"/>
  <c r="Z1040" i="9"/>
  <c r="Z1041" i="9"/>
  <c r="Z1042" i="9"/>
  <c r="Z1043" i="9"/>
  <c r="Z1044" i="9"/>
  <c r="Z1045" i="9"/>
  <c r="Z1046" i="9"/>
  <c r="Z1047" i="9"/>
  <c r="Z1048" i="9"/>
  <c r="Z1049" i="9"/>
  <c r="Z1050" i="9"/>
  <c r="Z1051" i="9"/>
  <c r="Z1052" i="9"/>
  <c r="Z1053" i="9"/>
  <c r="Z1054" i="9"/>
  <c r="Z1055" i="9"/>
  <c r="Z1056" i="9"/>
  <c r="Z1060" i="9"/>
  <c r="Z1065" i="9"/>
  <c r="Z1066" i="9"/>
  <c r="Z1067" i="9"/>
  <c r="Z1068" i="9"/>
  <c r="Z1069" i="9"/>
  <c r="Z1070" i="9"/>
  <c r="Z1071" i="9"/>
  <c r="Z1072" i="9"/>
  <c r="Z1073" i="9"/>
  <c r="Z1074" i="9"/>
  <c r="Z1075" i="9"/>
  <c r="Z1076" i="9"/>
  <c r="Z1077" i="9"/>
  <c r="Z1078" i="9"/>
  <c r="Z1079" i="9"/>
  <c r="Z1080" i="9"/>
  <c r="Z1081" i="9"/>
  <c r="Z1082" i="9"/>
  <c r="Z1083" i="9"/>
  <c r="Z1084" i="9"/>
  <c r="Z1085" i="9"/>
  <c r="Z1086" i="9"/>
  <c r="Z1087" i="9"/>
  <c r="Z1088" i="9"/>
  <c r="Z1089" i="9"/>
  <c r="Z1090" i="9"/>
  <c r="Z1091" i="9"/>
  <c r="Z1092" i="9"/>
  <c r="Z1093" i="9"/>
  <c r="Z1094" i="9"/>
  <c r="Z1095" i="9"/>
  <c r="Z1096" i="9"/>
  <c r="Z1097" i="9"/>
  <c r="Z1098" i="9"/>
  <c r="Z1099" i="9"/>
  <c r="Z1100" i="9"/>
  <c r="Z1101" i="9"/>
  <c r="Z1102" i="9"/>
  <c r="Z1103" i="9"/>
  <c r="Z1104" i="9"/>
  <c r="Z1105" i="9"/>
  <c r="Z1106" i="9"/>
  <c r="Z1107" i="9"/>
  <c r="Z1108" i="9"/>
  <c r="Z1109" i="9"/>
  <c r="Z1110" i="9"/>
  <c r="Z1113" i="9"/>
  <c r="Z1116" i="9"/>
  <c r="Z1119" i="9"/>
  <c r="Z1122" i="9"/>
  <c r="Z1123" i="9"/>
  <c r="Z1124" i="9"/>
  <c r="Z1125" i="9"/>
  <c r="Z1126" i="9"/>
  <c r="Z1127" i="9"/>
  <c r="Z1128" i="9"/>
  <c r="Z1129" i="9"/>
  <c r="Z1130" i="9"/>
  <c r="Z1131" i="9"/>
  <c r="Z1132" i="9"/>
  <c r="Z1133" i="9"/>
  <c r="Z1134" i="9"/>
  <c r="Z1135" i="9"/>
  <c r="Z1136" i="9"/>
  <c r="Z1137" i="9"/>
  <c r="Z1138" i="9"/>
  <c r="Z1139" i="9"/>
  <c r="Z1140" i="9"/>
  <c r="Z1141" i="9"/>
  <c r="Z1142" i="9"/>
  <c r="Z1143" i="9"/>
  <c r="Z1144" i="9"/>
  <c r="Z1145" i="9"/>
  <c r="Z1146" i="9"/>
  <c r="Z1147" i="9"/>
  <c r="Z1148" i="9"/>
  <c r="Z1149" i="9"/>
  <c r="Z1150" i="9"/>
  <c r="Z1151" i="9"/>
  <c r="Z1152" i="9"/>
  <c r="Z1153" i="9"/>
  <c r="Z1154" i="9"/>
  <c r="Z1155" i="9"/>
  <c r="Z1156" i="9"/>
  <c r="Z1157" i="9"/>
  <c r="Z1158" i="9"/>
  <c r="Z1159" i="9"/>
  <c r="Z1160" i="9"/>
  <c r="Z1161" i="9"/>
  <c r="Z1162" i="9"/>
  <c r="Z1163" i="9"/>
  <c r="Z1164" i="9"/>
  <c r="Z1165" i="9"/>
  <c r="Z1166" i="9"/>
  <c r="Z1167" i="9"/>
  <c r="Z1168" i="9"/>
  <c r="Z1169" i="9"/>
  <c r="Z1170" i="9"/>
  <c r="Z1171" i="9"/>
  <c r="Z1172" i="9"/>
  <c r="Z1173" i="9"/>
  <c r="Z1174" i="9"/>
  <c r="Z1175" i="9"/>
  <c r="Z1176" i="9"/>
  <c r="Z1177" i="9"/>
  <c r="Z1178" i="9"/>
  <c r="Z1179" i="9"/>
  <c r="Z1180" i="9"/>
  <c r="Z1181" i="9"/>
  <c r="Z1182" i="9"/>
  <c r="Z1183" i="9"/>
  <c r="Z1184" i="9"/>
  <c r="Z1185" i="9"/>
  <c r="Z1186" i="9"/>
  <c r="Z1187" i="9"/>
  <c r="Z1188" i="9"/>
  <c r="Z1189" i="9"/>
  <c r="Z1190" i="9"/>
  <c r="Z1191" i="9"/>
  <c r="Z1192" i="9"/>
  <c r="Z1193" i="9"/>
  <c r="Z1194" i="9"/>
  <c r="Z1195" i="9"/>
  <c r="Z1196" i="9"/>
  <c r="Z1197" i="9"/>
  <c r="Z1198" i="9"/>
  <c r="Z1199" i="9"/>
  <c r="Z1200" i="9"/>
  <c r="Z1201" i="9"/>
  <c r="Z1202" i="9"/>
  <c r="Z1203" i="9"/>
  <c r="Z1204" i="9"/>
  <c r="Z1205" i="9"/>
  <c r="Z1206" i="9"/>
  <c r="Z1207" i="9"/>
  <c r="Z1208" i="9"/>
  <c r="Z1209" i="9"/>
  <c r="Z1210" i="9"/>
  <c r="Z1211" i="9"/>
  <c r="Z1212" i="9"/>
  <c r="Z1213" i="9"/>
  <c r="Z1214" i="9"/>
  <c r="Z1215" i="9"/>
  <c r="Z1216" i="9"/>
  <c r="Z1217" i="9"/>
  <c r="Z1218" i="9"/>
  <c r="Z1219" i="9"/>
  <c r="Z1220" i="9"/>
  <c r="Z1221" i="9"/>
  <c r="Z1222" i="9"/>
  <c r="Z1223" i="9"/>
  <c r="Z1224" i="9"/>
  <c r="Z1225" i="9"/>
  <c r="Z1226" i="9"/>
  <c r="Z1227" i="9"/>
  <c r="Z1228" i="9"/>
  <c r="Z1229" i="9"/>
  <c r="Z1230" i="9"/>
  <c r="Z1231" i="9"/>
  <c r="Z1232" i="9"/>
  <c r="Z1233" i="9"/>
  <c r="Z1234" i="9"/>
  <c r="Z1235" i="9"/>
  <c r="Z1236" i="9"/>
  <c r="Z1237" i="9"/>
  <c r="Z1238" i="9"/>
  <c r="Z1239" i="9"/>
  <c r="Z1240" i="9"/>
  <c r="Z1241" i="9"/>
  <c r="Z1242" i="9"/>
  <c r="Z1243" i="9"/>
  <c r="Z1244" i="9"/>
  <c r="Z1245" i="9"/>
  <c r="Z1246" i="9"/>
  <c r="Z1247" i="9"/>
  <c r="Z1248" i="9"/>
  <c r="Z1249" i="9"/>
  <c r="Z1250" i="9"/>
  <c r="Z1251" i="9"/>
  <c r="Z1252" i="9"/>
  <c r="Z1253" i="9"/>
  <c r="Z1254" i="9"/>
  <c r="Z1255" i="9"/>
  <c r="Z1256" i="9"/>
  <c r="Z1257" i="9"/>
  <c r="Z1258" i="9"/>
  <c r="Z1259" i="9"/>
  <c r="Z1260" i="9"/>
  <c r="Z1261" i="9"/>
  <c r="Z1262" i="9"/>
  <c r="Z1263" i="9"/>
  <c r="Z1264" i="9"/>
  <c r="Z1265" i="9"/>
  <c r="Z1267" i="9"/>
  <c r="Z1268" i="9"/>
  <c r="Z1269" i="9"/>
  <c r="Z1270" i="9"/>
  <c r="Z1271" i="9"/>
  <c r="Z1273" i="9"/>
  <c r="Z1274" i="9"/>
  <c r="Z1275" i="9"/>
  <c r="Z1276" i="9"/>
  <c r="Z1277" i="9"/>
  <c r="Z1278" i="9"/>
  <c r="Z1279" i="9"/>
  <c r="Z1280" i="9"/>
  <c r="Z1281" i="9"/>
  <c r="Z1282" i="9"/>
  <c r="Z1283" i="9"/>
  <c r="Z1285" i="9"/>
  <c r="Z1290" i="9"/>
  <c r="Z1291" i="9"/>
  <c r="Z1292" i="9"/>
  <c r="Z1293" i="9"/>
  <c r="Z1294" i="9"/>
  <c r="Z1295" i="9"/>
  <c r="Z1296" i="9"/>
  <c r="Z1297" i="9"/>
  <c r="Z1301" i="9"/>
  <c r="Z1306" i="9"/>
  <c r="Z1309" i="9"/>
  <c r="Z1312" i="9"/>
  <c r="Z1315" i="9"/>
  <c r="Z1316" i="9"/>
  <c r="Z1318" i="9"/>
  <c r="Z1319" i="9"/>
  <c r="Z1320" i="9"/>
  <c r="Z1321" i="9"/>
  <c r="Z1322" i="9"/>
  <c r="Z1323" i="9"/>
  <c r="Z1324" i="9"/>
  <c r="Z1325" i="9"/>
  <c r="Z1326" i="9"/>
  <c r="Z1327" i="9"/>
  <c r="Z1328" i="9"/>
  <c r="Z1329" i="9"/>
  <c r="Z1330" i="9"/>
  <c r="Z1331" i="9"/>
  <c r="Z1332" i="9"/>
  <c r="Z1333" i="9"/>
  <c r="Z1334" i="9"/>
  <c r="Z1335" i="9"/>
  <c r="Z1336" i="9"/>
  <c r="Z1337" i="9"/>
  <c r="Z1338" i="9"/>
  <c r="Z1339" i="9"/>
  <c r="Z1340" i="9"/>
  <c r="Z1341" i="9"/>
  <c r="Z1342" i="9"/>
  <c r="Z1343" i="9"/>
  <c r="Z1344" i="9"/>
  <c r="Z1345" i="9"/>
  <c r="Z1346" i="9"/>
  <c r="Z1347" i="9"/>
  <c r="Z1348" i="9"/>
  <c r="Z1349" i="9"/>
  <c r="Z1350" i="9"/>
  <c r="Z1351" i="9"/>
  <c r="Z1352" i="9"/>
  <c r="Z1353" i="9"/>
  <c r="Z1354" i="9"/>
  <c r="Z1355" i="9"/>
  <c r="Z1356" i="9"/>
  <c r="Z1357" i="9"/>
  <c r="Z1358" i="9"/>
  <c r="Z1359" i="9"/>
  <c r="Z1360" i="9"/>
  <c r="Z1361" i="9"/>
  <c r="Z1362" i="9"/>
  <c r="Z1363" i="9"/>
  <c r="Z1364" i="9"/>
  <c r="Z1365" i="9"/>
  <c r="Z1366" i="9"/>
  <c r="Z1367" i="9"/>
  <c r="Z1368" i="9"/>
  <c r="Z1369" i="9"/>
  <c r="Z1370" i="9"/>
  <c r="Z1371" i="9"/>
  <c r="Z1372" i="9"/>
  <c r="Z1373" i="9"/>
  <c r="Z1374" i="9"/>
  <c r="Z1375" i="9"/>
  <c r="Z1376" i="9"/>
  <c r="Z1377" i="9"/>
  <c r="Z1378" i="9"/>
  <c r="Z1379" i="9"/>
  <c r="Z1380" i="9"/>
  <c r="Z1381" i="9"/>
  <c r="Z1382" i="9"/>
  <c r="Z1383" i="9"/>
  <c r="Z1384" i="9"/>
  <c r="Z1385" i="9"/>
  <c r="Z1386" i="9"/>
  <c r="Z1387" i="9"/>
  <c r="Z1388" i="9"/>
  <c r="Z1389" i="9"/>
  <c r="Z1390" i="9"/>
  <c r="Z1391" i="9"/>
  <c r="Z1392" i="9"/>
  <c r="Z1393" i="9"/>
  <c r="Z1394" i="9"/>
  <c r="Z1395" i="9"/>
  <c r="Z1396" i="9"/>
  <c r="Z1397" i="9"/>
  <c r="Z1398" i="9"/>
  <c r="Z1399" i="9"/>
  <c r="Z1400" i="9"/>
  <c r="Z1401" i="9"/>
  <c r="Z1402" i="9"/>
  <c r="Z1423" i="9"/>
  <c r="Z1424" i="9"/>
  <c r="Z1425" i="9"/>
  <c r="Z1426" i="9"/>
  <c r="Z1427" i="9"/>
  <c r="Z1428" i="9"/>
  <c r="Z1429" i="9"/>
  <c r="Z1430" i="9"/>
  <c r="Z1431" i="9"/>
  <c r="Z1432" i="9"/>
  <c r="Z1433" i="9"/>
  <c r="Z1434" i="9"/>
  <c r="Z1435" i="9"/>
  <c r="Z1436" i="9"/>
  <c r="Z1437" i="9"/>
  <c r="Z1438" i="9"/>
  <c r="Z1439" i="9"/>
  <c r="Z1440" i="9"/>
  <c r="Z1441" i="9"/>
  <c r="Z1442" i="9"/>
  <c r="Z1443" i="9"/>
  <c r="Z1444" i="9"/>
  <c r="Z1445" i="9"/>
  <c r="Z1446" i="9"/>
  <c r="Z1447" i="9"/>
  <c r="Z1448" i="9"/>
  <c r="Z1449" i="9"/>
  <c r="Z1450" i="9"/>
  <c r="Z1451" i="9"/>
  <c r="Z1452" i="9"/>
  <c r="Z1453" i="9"/>
  <c r="Z1454" i="9"/>
  <c r="Z1455" i="9"/>
  <c r="Z1456" i="9"/>
  <c r="Z1457" i="9"/>
  <c r="Z1458" i="9"/>
  <c r="Z1459" i="9"/>
  <c r="Z1460" i="9"/>
  <c r="Z1461" i="9"/>
  <c r="Z1462" i="9"/>
  <c r="Z1463" i="9"/>
  <c r="Z1464" i="9"/>
  <c r="Z1465" i="9"/>
  <c r="Z1466" i="9"/>
  <c r="Z1467" i="9"/>
  <c r="Z1468" i="9"/>
  <c r="Z1469" i="9"/>
  <c r="Z1470" i="9"/>
  <c r="Z1471" i="9"/>
  <c r="Z1472" i="9"/>
  <c r="Z1473" i="9"/>
  <c r="Z1474" i="9"/>
  <c r="Z1475" i="9"/>
  <c r="Z1476" i="9"/>
  <c r="Z1477" i="9"/>
  <c r="Z1478" i="9"/>
  <c r="Z1479" i="9"/>
  <c r="Z1480" i="9"/>
  <c r="Z1481" i="9"/>
  <c r="Z1482" i="9"/>
  <c r="Z1483" i="9"/>
  <c r="Z1484" i="9"/>
  <c r="Z1485" i="9"/>
  <c r="Z1486" i="9"/>
  <c r="Z1489" i="9"/>
  <c r="Z1490" i="9"/>
  <c r="Z1491" i="9"/>
  <c r="Z1492" i="9"/>
  <c r="Z1493" i="9"/>
  <c r="Z1494" i="9"/>
  <c r="Z1495" i="9"/>
  <c r="Z1496" i="9"/>
  <c r="Z1497" i="9"/>
  <c r="Z1498" i="9"/>
  <c r="Z1499" i="9"/>
  <c r="Z1500" i="9"/>
  <c r="Z1501" i="9"/>
  <c r="Z1502" i="9"/>
  <c r="Z1503" i="9"/>
  <c r="Z1504" i="9"/>
  <c r="Z1505" i="9"/>
  <c r="Z1507" i="9"/>
  <c r="Z1508" i="9"/>
  <c r="Z1509" i="9"/>
  <c r="Z1510" i="9"/>
  <c r="Z1511" i="9"/>
  <c r="Z1512" i="9"/>
  <c r="Z1513" i="9"/>
  <c r="Z1514" i="9"/>
  <c r="Z1515" i="9"/>
  <c r="Z1516" i="9"/>
  <c r="Z1517" i="9"/>
  <c r="Z1518" i="9"/>
  <c r="Z1519" i="9"/>
  <c r="Z1520" i="9"/>
  <c r="Z1521" i="9"/>
  <c r="Z1522" i="9"/>
  <c r="Z1523" i="9"/>
  <c r="Z1524" i="9"/>
  <c r="Z1525" i="9"/>
  <c r="Z1526" i="9"/>
  <c r="Z1527" i="9"/>
  <c r="Z1528" i="9"/>
  <c r="Z1529" i="9"/>
  <c r="Z1530" i="9"/>
  <c r="Z1531" i="9"/>
  <c r="Z1532" i="9"/>
  <c r="Z1533" i="9"/>
  <c r="Z1534" i="9"/>
  <c r="Z1535" i="9"/>
  <c r="Z1536" i="9"/>
  <c r="Z1537" i="9"/>
  <c r="Z1538" i="9"/>
  <c r="Z1539" i="9"/>
  <c r="Z1540" i="9"/>
  <c r="Z1541" i="9"/>
  <c r="Z1542" i="9"/>
  <c r="Z1543" i="9"/>
  <c r="Z1544" i="9"/>
  <c r="Z1545" i="9"/>
  <c r="Z1546" i="9"/>
  <c r="Z1547" i="9"/>
  <c r="Z1548" i="9"/>
  <c r="Z1549" i="9"/>
  <c r="Z1550" i="9"/>
  <c r="Z1551" i="9"/>
  <c r="Z1552" i="9"/>
  <c r="Z1553" i="9"/>
  <c r="Z1554" i="9"/>
  <c r="Z1555" i="9"/>
  <c r="Z1556" i="9"/>
  <c r="Z1557" i="9"/>
  <c r="Z1558" i="9"/>
  <c r="Z1559" i="9"/>
  <c r="Z1560" i="9"/>
  <c r="Z1561" i="9"/>
  <c r="Z1562" i="9"/>
  <c r="Z1563" i="9"/>
  <c r="Z1564" i="9"/>
  <c r="Z1565" i="9"/>
  <c r="Z1566" i="9"/>
  <c r="Z1567" i="9"/>
  <c r="Z1568" i="9"/>
  <c r="Z1569" i="9"/>
  <c r="Z1570" i="9"/>
  <c r="Z1571" i="9"/>
  <c r="Z1572" i="9"/>
  <c r="Z1573" i="9"/>
  <c r="Z1574" i="9"/>
  <c r="Z1575" i="9"/>
  <c r="Z1576" i="9"/>
  <c r="Z1577" i="9"/>
  <c r="Z1578" i="9"/>
  <c r="Z1579" i="9"/>
  <c r="Z1580" i="9"/>
  <c r="Z1581" i="9"/>
  <c r="Z1582" i="9"/>
  <c r="Z1583" i="9"/>
  <c r="Z1584" i="9"/>
  <c r="Z1585" i="9"/>
  <c r="Z1586" i="9"/>
  <c r="Z1587" i="9"/>
  <c r="Z1588" i="9"/>
  <c r="Z1589" i="9"/>
  <c r="Z1590" i="9"/>
  <c r="Z1591" i="9"/>
  <c r="Z1592" i="9"/>
  <c r="Z1593" i="9"/>
  <c r="Z1594" i="9"/>
  <c r="Z1595" i="9"/>
  <c r="Z1596" i="9"/>
  <c r="Z1597" i="9"/>
  <c r="Z1598" i="9"/>
  <c r="Z1599" i="9"/>
  <c r="Z1600" i="9"/>
  <c r="Z1601" i="9"/>
  <c r="Z1602" i="9"/>
  <c r="Z1603" i="9"/>
  <c r="Z1604" i="9"/>
  <c r="Z1605" i="9"/>
  <c r="Z1606" i="9"/>
  <c r="Z1607" i="9"/>
  <c r="Z1608" i="9"/>
  <c r="Z1609" i="9"/>
  <c r="Z1610" i="9"/>
  <c r="Z1611" i="9"/>
  <c r="Z1612" i="9"/>
  <c r="Z1613" i="9"/>
  <c r="Z1614" i="9"/>
  <c r="Z1615" i="9"/>
  <c r="Z1616" i="9"/>
  <c r="Z1617" i="9"/>
  <c r="Z1618" i="9"/>
  <c r="Z1619" i="9"/>
  <c r="Z1620" i="9"/>
  <c r="Z1621" i="9"/>
  <c r="Z1622" i="9"/>
  <c r="Z1623" i="9"/>
  <c r="Z1624" i="9"/>
  <c r="Z1625" i="9"/>
  <c r="Z1626" i="9"/>
  <c r="Z1627" i="9"/>
  <c r="Z1628" i="9"/>
  <c r="Z1629" i="9"/>
  <c r="Z1630" i="9"/>
  <c r="Z1631" i="9"/>
  <c r="Z1632" i="9"/>
  <c r="Z1633" i="9"/>
  <c r="Z1634" i="9"/>
  <c r="Z1636" i="9"/>
  <c r="Z1637" i="9"/>
  <c r="Z1638" i="9"/>
  <c r="Z1640" i="9"/>
  <c r="Z1642" i="9"/>
  <c r="Z1644" i="9"/>
  <c r="Z1645" i="9"/>
  <c r="Z1646" i="9"/>
  <c r="Z1648" i="9"/>
  <c r="Z1650" i="9"/>
  <c r="Z1652" i="9"/>
  <c r="Z1654" i="9"/>
  <c r="Z1656" i="9"/>
  <c r="Z1658" i="9"/>
  <c r="Z1666" i="9"/>
  <c r="Z1670" i="9"/>
  <c r="Z1673" i="9"/>
  <c r="Z1679" i="9"/>
  <c r="Z1682" i="9"/>
  <c r="Z1684" i="9"/>
  <c r="Z1685" i="9"/>
  <c r="Z1688" i="9"/>
  <c r="Z1690" i="9"/>
  <c r="Z1691" i="9"/>
  <c r="Z1692" i="9"/>
  <c r="Z1694" i="9"/>
  <c r="Z1695" i="9"/>
  <c r="Z1696" i="9"/>
  <c r="Z1697" i="9"/>
  <c r="Z1698" i="9"/>
  <c r="Z1699" i="9"/>
  <c r="Z1700" i="9"/>
  <c r="Z1701" i="9"/>
  <c r="Z1702" i="9"/>
  <c r="Z1703" i="9"/>
  <c r="Z1704" i="9"/>
  <c r="Z1705" i="9"/>
  <c r="Z1706" i="9"/>
  <c r="Z1707" i="9"/>
  <c r="Z1708" i="9"/>
  <c r="Z1709" i="9"/>
  <c r="Z1710" i="9"/>
  <c r="Z1711" i="9"/>
  <c r="Z1712" i="9"/>
  <c r="Z1713" i="9"/>
  <c r="Z1714" i="9"/>
  <c r="Z1715" i="9"/>
  <c r="Z1716" i="9"/>
  <c r="Z1717" i="9"/>
  <c r="Z1718" i="9"/>
  <c r="Z1719" i="9"/>
  <c r="Z1720" i="9"/>
  <c r="Z1721" i="9"/>
  <c r="Z1722" i="9"/>
  <c r="Z1723" i="9"/>
  <c r="Z1724" i="9"/>
  <c r="Z1725" i="9"/>
  <c r="Z1726" i="9"/>
  <c r="Z1727" i="9"/>
  <c r="Z1728" i="9"/>
  <c r="Z1729" i="9"/>
  <c r="Z1730" i="9"/>
  <c r="Z1731" i="9"/>
  <c r="Z1732" i="9"/>
  <c r="Z1733" i="9"/>
  <c r="Z1734" i="9"/>
  <c r="Z1735" i="9"/>
  <c r="Z1736" i="9"/>
  <c r="Z1737" i="9"/>
  <c r="Z1738" i="9"/>
  <c r="Z1739" i="9"/>
  <c r="Z1740" i="9"/>
  <c r="Z1741" i="9"/>
  <c r="Z1742" i="9"/>
  <c r="Z1743" i="9"/>
  <c r="Z1744" i="9"/>
  <c r="Z1745" i="9"/>
  <c r="Z1746" i="9"/>
  <c r="Z1747" i="9"/>
  <c r="Z1748" i="9"/>
  <c r="Z1749" i="9"/>
  <c r="Z1750" i="9"/>
  <c r="Z1751" i="9"/>
  <c r="Z1752" i="9"/>
  <c r="Z1753" i="9"/>
  <c r="Z1754" i="9"/>
  <c r="Z1755" i="9"/>
  <c r="Z1756" i="9"/>
  <c r="Z1757" i="9"/>
  <c r="Z1758" i="9"/>
  <c r="Z1759" i="9"/>
  <c r="Z1760" i="9"/>
  <c r="Z1761" i="9"/>
  <c r="Z1762" i="9"/>
  <c r="Z1763" i="9"/>
  <c r="Z1764" i="9"/>
  <c r="Z1765" i="9"/>
  <c r="Z1766" i="9"/>
  <c r="Z1767" i="9"/>
  <c r="Z1768" i="9"/>
  <c r="Z1769" i="9"/>
  <c r="Z1770" i="9"/>
  <c r="Z1771" i="9"/>
  <c r="Z1772" i="9"/>
  <c r="Z1773" i="9"/>
  <c r="Z1774" i="9"/>
  <c r="Z1775" i="9"/>
  <c r="Z1776" i="9"/>
  <c r="Z1777" i="9"/>
  <c r="Z1778" i="9"/>
  <c r="Z1779" i="9"/>
  <c r="Z1780" i="9"/>
  <c r="Z1781" i="9"/>
  <c r="Z1782" i="9"/>
  <c r="Z1783" i="9"/>
  <c r="Z1784" i="9"/>
  <c r="Z1785" i="9"/>
  <c r="Z1786" i="9"/>
  <c r="Z1787" i="9"/>
  <c r="Z1788" i="9"/>
  <c r="Z1789" i="9"/>
  <c r="Z1790" i="9"/>
  <c r="Z1791" i="9"/>
  <c r="Z1792" i="9"/>
  <c r="Z1793" i="9"/>
  <c r="Z1795" i="9"/>
  <c r="Z1796" i="9"/>
  <c r="Z1797" i="9"/>
  <c r="Z1798" i="9"/>
  <c r="Z1799" i="9"/>
  <c r="Z1800" i="9"/>
  <c r="Z1801" i="9"/>
  <c r="Z1802" i="9"/>
  <c r="Z1803" i="9"/>
  <c r="Z1804" i="9"/>
  <c r="Z1805" i="9"/>
  <c r="Z1806" i="9"/>
  <c r="Z1807" i="9"/>
  <c r="Z1808" i="9"/>
  <c r="Z1809" i="9"/>
  <c r="Z1810" i="9"/>
  <c r="Z1811" i="9"/>
  <c r="Z1812" i="9"/>
  <c r="Z1813" i="9"/>
  <c r="Z1814" i="9"/>
  <c r="Z1815" i="9"/>
  <c r="Z1816" i="9"/>
  <c r="Z1817" i="9"/>
  <c r="Z1818" i="9"/>
  <c r="Z1819" i="9"/>
  <c r="Z1820" i="9"/>
  <c r="Z1821" i="9"/>
  <c r="Z1822" i="9"/>
  <c r="Z1823" i="9"/>
  <c r="Z1824" i="9"/>
  <c r="Z1825" i="9"/>
  <c r="Z1826" i="9"/>
  <c r="Z1827" i="9"/>
  <c r="Z1828" i="9"/>
  <c r="Z1829" i="9"/>
  <c r="Z1830" i="9"/>
  <c r="Z1831" i="9"/>
  <c r="Z1832" i="9"/>
  <c r="Z1833" i="9"/>
  <c r="Z1834" i="9"/>
  <c r="Z1835" i="9"/>
  <c r="Z1836" i="9"/>
  <c r="Z1837" i="9"/>
  <c r="Z1838" i="9"/>
  <c r="Z1839" i="9"/>
  <c r="Z1840" i="9"/>
  <c r="Z1841" i="9"/>
  <c r="Z1842" i="9"/>
  <c r="Z1843" i="9"/>
  <c r="Z1844" i="9"/>
  <c r="Z1845" i="9"/>
  <c r="Z1846" i="9"/>
  <c r="Z1847" i="9"/>
  <c r="Z1848" i="9"/>
  <c r="Z1849" i="9"/>
  <c r="Z1850" i="9"/>
  <c r="Z1851" i="9"/>
  <c r="Z1852" i="9"/>
  <c r="Z1853" i="9"/>
  <c r="Z1854" i="9"/>
  <c r="Z1855" i="9"/>
  <c r="Z1856" i="9"/>
  <c r="Z1857" i="9"/>
  <c r="Z1858" i="9"/>
  <c r="Z1859" i="9"/>
  <c r="Z1860" i="9"/>
  <c r="Z1861" i="9"/>
  <c r="Z1862" i="9"/>
  <c r="Z1863" i="9"/>
  <c r="Z1864" i="9"/>
  <c r="Z1865" i="9"/>
  <c r="Z1866" i="9"/>
  <c r="Z1867" i="9"/>
  <c r="Z1868" i="9"/>
  <c r="Z1869" i="9"/>
  <c r="Z1870" i="9"/>
  <c r="Z1871" i="9"/>
  <c r="Z1872" i="9"/>
  <c r="Z1873" i="9"/>
  <c r="Z1874" i="9"/>
  <c r="Z1875" i="9"/>
  <c r="Z1876" i="9"/>
  <c r="Z1877" i="9"/>
  <c r="Z1878" i="9"/>
  <c r="Z1879" i="9"/>
  <c r="Z1880" i="9"/>
  <c r="Z1881" i="9"/>
  <c r="Z1882" i="9"/>
  <c r="Z1883" i="9"/>
  <c r="Z1884" i="9"/>
  <c r="Z1885" i="9"/>
  <c r="Z1886" i="9"/>
  <c r="Z1887" i="9"/>
  <c r="Z1888" i="9"/>
  <c r="Z1889" i="9"/>
  <c r="Z1890" i="9"/>
  <c r="Z1891" i="9"/>
  <c r="Z1892" i="9"/>
  <c r="Z1893" i="9"/>
  <c r="Z1894" i="9"/>
  <c r="Z1895" i="9"/>
  <c r="Z1896" i="9"/>
  <c r="Z1897" i="9"/>
  <c r="Z1898" i="9"/>
  <c r="Z1899" i="9"/>
  <c r="Z1900" i="9"/>
  <c r="Z1901" i="9"/>
  <c r="Z1902" i="9"/>
  <c r="Z1903" i="9"/>
  <c r="Z1904" i="9"/>
  <c r="Z1905" i="9"/>
  <c r="Z1906" i="9"/>
  <c r="Z1907" i="9"/>
  <c r="Z1908" i="9"/>
  <c r="Z1909" i="9"/>
  <c r="Z1910" i="9"/>
  <c r="Z1911" i="9"/>
  <c r="Z1912" i="9"/>
  <c r="Z1913" i="9"/>
  <c r="Z1914" i="9"/>
  <c r="Z1915" i="9"/>
  <c r="Z1916" i="9"/>
  <c r="Z1917" i="9"/>
  <c r="Z1918" i="9"/>
  <c r="Z1919" i="9"/>
  <c r="Z1920" i="9"/>
  <c r="Z1921" i="9"/>
  <c r="Z1922" i="9"/>
  <c r="Z1923" i="9"/>
  <c r="Z1924" i="9"/>
  <c r="Z1925" i="9"/>
  <c r="Z1926" i="9"/>
  <c r="Z1927" i="9"/>
  <c r="Z1928" i="9"/>
  <c r="Z1929" i="9"/>
  <c r="Z1930" i="9"/>
  <c r="Z1931" i="9"/>
  <c r="Z1932" i="9"/>
  <c r="Z1933" i="9"/>
  <c r="Z1934" i="9"/>
  <c r="Z1935" i="9"/>
  <c r="Z1936" i="9"/>
  <c r="Z1937" i="9"/>
  <c r="Z1938" i="9"/>
  <c r="Z1939" i="9"/>
  <c r="Z1940" i="9"/>
  <c r="Z1941" i="9"/>
  <c r="Z1942" i="9"/>
  <c r="Z1943" i="9"/>
  <c r="Z1944" i="9"/>
  <c r="Z1945" i="9"/>
  <c r="Z1946" i="9"/>
  <c r="Z1947" i="9"/>
  <c r="Z1948" i="9"/>
  <c r="Z1949" i="9"/>
  <c r="Z1950" i="9"/>
  <c r="Z1951" i="9"/>
  <c r="Z1952" i="9"/>
  <c r="Z1953" i="9"/>
  <c r="Z1954" i="9"/>
  <c r="Z1955" i="9"/>
  <c r="Z1956" i="9"/>
  <c r="Z1957" i="9"/>
  <c r="Z1958" i="9"/>
  <c r="Z1959" i="9"/>
  <c r="Z1960" i="9"/>
  <c r="Z1961" i="9"/>
  <c r="Z1962" i="9"/>
  <c r="Z1963" i="9"/>
  <c r="Z1964" i="9"/>
  <c r="Z1965" i="9"/>
  <c r="Z1966" i="9"/>
  <c r="Z1967" i="9"/>
  <c r="Z1968" i="9"/>
  <c r="Z1969" i="9"/>
  <c r="Z1970" i="9"/>
  <c r="Z1971" i="9"/>
  <c r="Z1972" i="9"/>
  <c r="Z1973" i="9"/>
  <c r="Z1974" i="9"/>
  <c r="Z1975" i="9"/>
  <c r="Z1976" i="9"/>
  <c r="Z1977" i="9"/>
  <c r="Z1978" i="9"/>
  <c r="Z1979" i="9"/>
  <c r="Z1980" i="9"/>
  <c r="Z1981" i="9"/>
  <c r="Z1982" i="9"/>
  <c r="Z1983" i="9"/>
  <c r="Z1984" i="9"/>
  <c r="Z1985" i="9"/>
  <c r="Z1986" i="9"/>
  <c r="Z1987" i="9"/>
  <c r="Z1988" i="9"/>
  <c r="Z1989" i="9"/>
  <c r="Z1990" i="9"/>
  <c r="Z1991" i="9"/>
  <c r="Z1992" i="9"/>
  <c r="Z1993" i="9"/>
  <c r="Z1994" i="9"/>
  <c r="Z1995" i="9"/>
  <c r="Z1996" i="9"/>
  <c r="Z1997" i="9"/>
  <c r="Z1998" i="9"/>
  <c r="Z1999" i="9"/>
  <c r="Z2000" i="9"/>
  <c r="Z2001" i="9"/>
  <c r="Z2002" i="9"/>
  <c r="Z2003" i="9"/>
  <c r="Z2004" i="9"/>
  <c r="Z2005" i="9"/>
  <c r="Z2006" i="9"/>
  <c r="Z2007" i="9"/>
  <c r="Z2008" i="9"/>
  <c r="Z2009" i="9"/>
  <c r="Z2010" i="9"/>
  <c r="Z2011" i="9"/>
  <c r="Z2014" i="9"/>
  <c r="Z2017" i="9"/>
  <c r="Z2020" i="9"/>
  <c r="Z2023" i="9"/>
  <c r="Z2026" i="9"/>
  <c r="Z2034" i="9"/>
  <c r="Z2035" i="9"/>
  <c r="Z2036" i="9"/>
  <c r="Z2037" i="9"/>
  <c r="Z2038" i="9"/>
  <c r="Z2039" i="9"/>
  <c r="Z2040" i="9"/>
  <c r="Z2041" i="9"/>
  <c r="Z2042" i="9"/>
  <c r="Z2043" i="9"/>
  <c r="Z2044" i="9"/>
  <c r="Z2045" i="9"/>
  <c r="Z2046" i="9"/>
  <c r="Z2047" i="9"/>
  <c r="Z2048" i="9"/>
  <c r="Z2049" i="9"/>
  <c r="Z2050" i="9"/>
  <c r="Z2051" i="9"/>
  <c r="Z2052" i="9"/>
  <c r="Z2053" i="9"/>
  <c r="Z2054" i="9"/>
  <c r="Z2055" i="9"/>
  <c r="Z2056" i="9"/>
  <c r="Z2057" i="9"/>
  <c r="Z2058" i="9"/>
  <c r="Z2059" i="9"/>
  <c r="Z2060" i="9"/>
  <c r="Z2061" i="9"/>
  <c r="Z2062" i="9"/>
  <c r="Z2063" i="9"/>
  <c r="Z2064" i="9"/>
  <c r="Z2065" i="9"/>
  <c r="Z2066" i="9"/>
  <c r="Z2067" i="9"/>
  <c r="Z2068" i="9"/>
  <c r="Z2069" i="9"/>
  <c r="Z2070" i="9"/>
  <c r="Z2071" i="9"/>
  <c r="Z2072" i="9"/>
  <c r="Z2073" i="9"/>
  <c r="Z2074" i="9"/>
  <c r="Z2075" i="9"/>
  <c r="Z2076" i="9"/>
  <c r="Z2077" i="9"/>
  <c r="Z2078" i="9"/>
  <c r="Z2079" i="9"/>
  <c r="Z2080" i="9"/>
  <c r="Z2083" i="9"/>
  <c r="Z2084" i="9"/>
  <c r="Z2085" i="9"/>
  <c r="Z2086" i="9"/>
  <c r="Z2087" i="9"/>
  <c r="Z2088" i="9"/>
  <c r="Z2089" i="9"/>
  <c r="Z2090" i="9"/>
  <c r="Z2091" i="9"/>
  <c r="Z2092" i="9"/>
  <c r="Z2093" i="9"/>
  <c r="Z2094" i="9"/>
  <c r="Z2095" i="9"/>
  <c r="Z2096" i="9"/>
  <c r="Z2097" i="9"/>
  <c r="Z2098" i="9"/>
  <c r="Z2099" i="9"/>
  <c r="Z2100" i="9"/>
  <c r="Z2101" i="9"/>
  <c r="Z2102" i="9"/>
  <c r="Z2103" i="9"/>
  <c r="Z2104" i="9"/>
  <c r="Z2105" i="9"/>
  <c r="Z2106" i="9"/>
  <c r="Z2107" i="9"/>
  <c r="Z2108" i="9"/>
  <c r="Z2109" i="9"/>
  <c r="Z2110" i="9"/>
  <c r="Z2111" i="9"/>
  <c r="Z2112" i="9"/>
  <c r="Z2113" i="9"/>
  <c r="Z2114" i="9"/>
  <c r="Z2115" i="9"/>
  <c r="Z2116" i="9"/>
  <c r="Z2117" i="9"/>
  <c r="Z2118" i="9"/>
  <c r="Z2119" i="9"/>
  <c r="Z2120" i="9"/>
  <c r="Z2121" i="9"/>
  <c r="Z2122" i="9"/>
  <c r="Z2123" i="9"/>
  <c r="Z2124" i="9"/>
  <c r="Z2125" i="9"/>
  <c r="Z2126" i="9"/>
  <c r="Z2127" i="9"/>
  <c r="Z2128" i="9"/>
  <c r="Z2129" i="9"/>
  <c r="Z2130" i="9"/>
  <c r="Z2131" i="9"/>
  <c r="Z2132" i="9"/>
  <c r="Z2133" i="9"/>
  <c r="Z2134" i="9"/>
  <c r="Z2135" i="9"/>
  <c r="Z2136" i="9"/>
  <c r="Z2137" i="9"/>
  <c r="Z2138" i="9"/>
  <c r="Z2139" i="9"/>
  <c r="Z2140" i="9"/>
  <c r="Z2141" i="9"/>
  <c r="Z2142" i="9"/>
  <c r="Z2143" i="9"/>
  <c r="Z2144" i="9"/>
  <c r="Z2145" i="9"/>
  <c r="Z2146" i="9"/>
  <c r="Z2147" i="9"/>
  <c r="Z2148" i="9"/>
  <c r="Z2149" i="9"/>
  <c r="Z2150" i="9"/>
  <c r="Z2151" i="9"/>
  <c r="Z2152" i="9"/>
  <c r="Z2153" i="9"/>
  <c r="Z2154" i="9"/>
  <c r="Z2155" i="9"/>
  <c r="Z2156" i="9"/>
  <c r="Z2157" i="9"/>
  <c r="Z2158" i="9"/>
  <c r="Z2159" i="9"/>
  <c r="Z2160" i="9"/>
  <c r="Z2161" i="9"/>
  <c r="Z2162" i="9"/>
  <c r="Z2163" i="9"/>
  <c r="Z2164" i="9"/>
  <c r="Z2165" i="9"/>
  <c r="Z2166" i="9"/>
  <c r="Z2167" i="9"/>
  <c r="Z2168" i="9"/>
  <c r="Z2169" i="9"/>
  <c r="Z2170" i="9"/>
  <c r="Z2171" i="9"/>
  <c r="Z2172" i="9"/>
  <c r="Z2173" i="9"/>
  <c r="Z2174" i="9"/>
  <c r="Z2175" i="9"/>
  <c r="Z2176" i="9"/>
  <c r="Z2177" i="9"/>
  <c r="Z2178" i="9"/>
  <c r="Z2179" i="9"/>
  <c r="Z2180" i="9"/>
  <c r="Z2181" i="9"/>
  <c r="Z2182" i="9"/>
  <c r="Z2183" i="9"/>
  <c r="Z2184" i="9"/>
  <c r="Z2185" i="9"/>
  <c r="Z2186" i="9"/>
  <c r="Z2187" i="9"/>
  <c r="Z2188" i="9"/>
  <c r="Z2189" i="9"/>
  <c r="Z2190" i="9"/>
  <c r="Z2191" i="9"/>
  <c r="Z2192" i="9"/>
  <c r="Z2193" i="9"/>
  <c r="Z2194" i="9"/>
  <c r="Z2195" i="9"/>
  <c r="Z2196" i="9"/>
  <c r="Z2197" i="9"/>
  <c r="Z2198" i="9"/>
  <c r="Z2199" i="9"/>
  <c r="Z2200" i="9"/>
  <c r="Z2201" i="9"/>
  <c r="Z2202" i="9"/>
  <c r="Z2203" i="9"/>
  <c r="Z2204" i="9"/>
  <c r="Z2205" i="9"/>
  <c r="Z2206" i="9"/>
  <c r="Z2207" i="9"/>
  <c r="Z2208" i="9"/>
  <c r="Z2209" i="9"/>
  <c r="Z2210" i="9"/>
  <c r="Z2211" i="9"/>
  <c r="Z2212" i="9"/>
  <c r="Z2213" i="9"/>
  <c r="Z2214" i="9"/>
  <c r="Z2215" i="9"/>
  <c r="Z2216" i="9"/>
  <c r="Z2217" i="9"/>
  <c r="Z2218" i="9"/>
  <c r="Z2219" i="9"/>
  <c r="Z2220" i="9"/>
  <c r="Z2221" i="9"/>
  <c r="Z2222" i="9"/>
  <c r="Z2223" i="9"/>
  <c r="Z2224" i="9"/>
  <c r="Z2225" i="9"/>
  <c r="Z2226" i="9"/>
  <c r="Z2227" i="9"/>
  <c r="Z2228" i="9"/>
  <c r="Z2229" i="9"/>
  <c r="Z2230" i="9"/>
  <c r="Z2231" i="9"/>
  <c r="Z2232" i="9"/>
  <c r="Z2233" i="9"/>
  <c r="Z2234" i="9"/>
  <c r="Z2235" i="9"/>
  <c r="Z2236" i="9"/>
  <c r="Z2237" i="9"/>
  <c r="Z2238" i="9"/>
  <c r="Z2239" i="9"/>
  <c r="Z2240" i="9"/>
  <c r="Z2241" i="9"/>
  <c r="Z2242" i="9"/>
  <c r="Z2243" i="9"/>
  <c r="Z2244" i="9"/>
  <c r="Z2245" i="9"/>
  <c r="Z2246" i="9"/>
  <c r="Z2247" i="9"/>
  <c r="Z2248" i="9"/>
  <c r="Z2249" i="9"/>
  <c r="Z2250" i="9"/>
  <c r="Z2251" i="9"/>
  <c r="Z2252" i="9"/>
  <c r="Z2253" i="9"/>
  <c r="Z2254" i="9"/>
  <c r="Z2255" i="9"/>
  <c r="Z2256" i="9"/>
  <c r="Z2257" i="9"/>
  <c r="Z2258" i="9"/>
  <c r="Z2259" i="9"/>
  <c r="Z2260" i="9"/>
  <c r="Z2261" i="9"/>
  <c r="Z2262" i="9"/>
  <c r="Z2263" i="9"/>
  <c r="Z2264" i="9"/>
  <c r="Z2265" i="9"/>
  <c r="Z2266" i="9"/>
  <c r="Z2267" i="9"/>
  <c r="Z2268" i="9"/>
  <c r="Z2269" i="9"/>
  <c r="Z2270" i="9"/>
  <c r="Z2271" i="9"/>
  <c r="Z2272" i="9"/>
  <c r="Z2273" i="9"/>
  <c r="Z2274" i="9"/>
  <c r="Z2275" i="9"/>
  <c r="Z2276" i="9"/>
  <c r="Z2277" i="9"/>
  <c r="Z2278" i="9"/>
  <c r="Z2279" i="9"/>
  <c r="Z2280" i="9"/>
  <c r="Z2281" i="9"/>
  <c r="Z2282" i="9"/>
  <c r="Z2283" i="9"/>
  <c r="Z2284" i="9"/>
  <c r="Z2285" i="9"/>
  <c r="Z2286" i="9"/>
  <c r="Z2287" i="9"/>
  <c r="Z2288" i="9"/>
  <c r="Z2289" i="9"/>
  <c r="Z2290" i="9"/>
  <c r="Z2291" i="9"/>
  <c r="Z2292" i="9"/>
  <c r="Z2293" i="9"/>
  <c r="Z2294" i="9"/>
  <c r="Z2295" i="9"/>
  <c r="Z2296" i="9"/>
  <c r="Z2297" i="9"/>
  <c r="Z2298" i="9"/>
  <c r="Z2299" i="9"/>
  <c r="Z2300" i="9"/>
  <c r="Z2301" i="9"/>
  <c r="Z2302" i="9"/>
  <c r="Z2303" i="9"/>
  <c r="Z2304" i="9"/>
  <c r="Z2305" i="9"/>
  <c r="Z2306" i="9"/>
  <c r="Z2307" i="9"/>
  <c r="Z2308" i="9"/>
  <c r="Z2309" i="9"/>
  <c r="Z2310" i="9"/>
  <c r="Z2311" i="9"/>
  <c r="Z2312" i="9"/>
  <c r="Z2313" i="9"/>
  <c r="Z2314" i="9"/>
  <c r="Z2315" i="9"/>
  <c r="Z2316" i="9"/>
  <c r="Z2317" i="9"/>
  <c r="Z2318" i="9"/>
  <c r="Z2319" i="9"/>
  <c r="Z2320" i="9"/>
  <c r="Z2321" i="9"/>
  <c r="Z2322" i="9"/>
  <c r="Z2323" i="9"/>
  <c r="Z2324" i="9"/>
  <c r="Z2325" i="9"/>
  <c r="Z2326" i="9"/>
  <c r="Z2327" i="9"/>
  <c r="Z2328" i="9"/>
  <c r="Z2329" i="9"/>
  <c r="Z2330" i="9"/>
  <c r="Z2331" i="9"/>
  <c r="Z2332" i="9"/>
  <c r="Z2333" i="9"/>
  <c r="Z2334" i="9"/>
  <c r="Z2335" i="9"/>
  <c r="Z2336" i="9"/>
  <c r="Z2337" i="9"/>
  <c r="Z2338" i="9"/>
  <c r="Z2339" i="9"/>
  <c r="Z2340" i="9"/>
  <c r="Z2341" i="9"/>
  <c r="Z2342" i="9"/>
  <c r="Z2343" i="9"/>
  <c r="Z2344" i="9"/>
  <c r="Z2345" i="9"/>
  <c r="Z2346" i="9"/>
  <c r="Z2347" i="9"/>
  <c r="Z2348" i="9"/>
  <c r="Z2349" i="9"/>
  <c r="Z2350" i="9"/>
  <c r="Z2351" i="9"/>
  <c r="Z2352" i="9"/>
  <c r="Z2353" i="9"/>
  <c r="Z2354" i="9"/>
  <c r="Z2355" i="9"/>
  <c r="Z2356" i="9"/>
  <c r="Z2357" i="9"/>
  <c r="Z2358" i="9"/>
  <c r="Z2359" i="9"/>
  <c r="Z2360" i="9"/>
  <c r="Z2361" i="9"/>
  <c r="Z2362" i="9"/>
  <c r="Z2363" i="9"/>
  <c r="Z2364" i="9"/>
  <c r="Z2365" i="9"/>
  <c r="Z2366" i="9"/>
  <c r="Z2367" i="9"/>
  <c r="Z2368" i="9"/>
  <c r="Z2369" i="9"/>
  <c r="Z2370" i="9"/>
  <c r="Z2371" i="9"/>
  <c r="Z2372" i="9"/>
  <c r="Z2373" i="9"/>
  <c r="Z2374" i="9"/>
  <c r="Z2375" i="9"/>
  <c r="Z2376" i="9"/>
  <c r="Z2377" i="9"/>
  <c r="Z2378" i="9"/>
  <c r="Z2379" i="9"/>
  <c r="Z2380" i="9"/>
  <c r="Z2381" i="9"/>
  <c r="Z2382" i="9"/>
  <c r="Z2383" i="9"/>
  <c r="Z2384" i="9"/>
  <c r="Z2385" i="9"/>
  <c r="Z2386" i="9"/>
  <c r="Z2387" i="9"/>
  <c r="Z2388" i="9"/>
  <c r="Z2389" i="9"/>
  <c r="Z2390" i="9"/>
  <c r="Z2391" i="9"/>
  <c r="Z2392" i="9"/>
  <c r="Z2393" i="9"/>
  <c r="Z2394" i="9"/>
  <c r="Z2395" i="9"/>
  <c r="Z2396" i="9"/>
  <c r="Z2397" i="9"/>
  <c r="Z2398" i="9"/>
  <c r="Z2399" i="9"/>
  <c r="Z2400" i="9"/>
  <c r="Z2401" i="9"/>
  <c r="Z2402" i="9"/>
  <c r="Z2403" i="9"/>
  <c r="Z2404" i="9"/>
  <c r="Z2405" i="9"/>
  <c r="Z2406" i="9"/>
  <c r="Z2407" i="9"/>
  <c r="Z2408" i="9"/>
  <c r="Z2409" i="9"/>
  <c r="Z2410" i="9"/>
  <c r="Z2411" i="9"/>
  <c r="Z2412" i="9"/>
  <c r="Z2413" i="9"/>
  <c r="Z2414" i="9"/>
  <c r="Z2415" i="9"/>
  <c r="Z2416" i="9"/>
  <c r="Z2417" i="9"/>
  <c r="Z2418" i="9"/>
  <c r="Z2419" i="9"/>
  <c r="Z2420" i="9"/>
  <c r="Z2422" i="9"/>
  <c r="Z2423" i="9"/>
  <c r="Z2424" i="9"/>
  <c r="Z2425" i="9"/>
  <c r="Z2426" i="9"/>
  <c r="Z2427" i="9"/>
  <c r="Z2428" i="9"/>
  <c r="Z2429" i="9"/>
  <c r="Z2430" i="9"/>
  <c r="Z2431" i="9"/>
  <c r="Z2432" i="9"/>
  <c r="Z2433" i="9"/>
  <c r="Z2434" i="9"/>
  <c r="Z2435" i="9"/>
  <c r="Z2436" i="9"/>
  <c r="Z2437" i="9"/>
  <c r="Z2438" i="9"/>
  <c r="Z2439" i="9"/>
  <c r="Z2440" i="9"/>
  <c r="Z2441" i="9"/>
  <c r="Z2442" i="9"/>
  <c r="Z2443" i="9"/>
  <c r="Z2444" i="9"/>
  <c r="Z2445" i="9"/>
  <c r="Z2446" i="9"/>
  <c r="Z2447" i="9"/>
  <c r="Z2448" i="9"/>
  <c r="Z2449" i="9"/>
  <c r="Z2450" i="9"/>
  <c r="Z2451" i="9"/>
  <c r="Z2452" i="9"/>
  <c r="Z2453" i="9"/>
  <c r="Z2454" i="9"/>
  <c r="Z2455" i="9"/>
  <c r="Z2456" i="9"/>
  <c r="Z2457" i="9"/>
  <c r="Z2458" i="9"/>
  <c r="Z2459" i="9"/>
  <c r="Z2460" i="9"/>
  <c r="Z2461" i="9"/>
  <c r="Z2462" i="9"/>
  <c r="Z2463" i="9"/>
  <c r="Z2464" i="9"/>
  <c r="Z2465" i="9"/>
  <c r="Z2466" i="9"/>
  <c r="Z2467" i="9"/>
  <c r="Z2468" i="9"/>
  <c r="Z2469" i="9"/>
  <c r="Z2470" i="9"/>
  <c r="Z2471" i="9"/>
  <c r="Z2472" i="9"/>
  <c r="Z2473" i="9"/>
  <c r="Z2474" i="9"/>
  <c r="Z2475" i="9"/>
  <c r="Z2476" i="9"/>
  <c r="Z2477" i="9"/>
  <c r="Z2478" i="9"/>
  <c r="Z2479" i="9"/>
  <c r="Z2480" i="9"/>
  <c r="Z2481" i="9"/>
  <c r="Z2482" i="9"/>
  <c r="Z2483" i="9"/>
  <c r="Z2484" i="9"/>
  <c r="Z2485" i="9"/>
  <c r="Z2486" i="9"/>
  <c r="Z2487" i="9"/>
  <c r="Z2488" i="9"/>
  <c r="Z2489" i="9"/>
  <c r="Z2490" i="9"/>
  <c r="Z2491" i="9"/>
  <c r="Z2492" i="9"/>
  <c r="Z2493" i="9"/>
  <c r="Z2494" i="9"/>
  <c r="Z2495" i="9"/>
  <c r="Z2496" i="9"/>
  <c r="Z2497" i="9"/>
  <c r="Z2498" i="9"/>
  <c r="Z2499" i="9"/>
  <c r="Z2500" i="9"/>
  <c r="Z2501" i="9"/>
  <c r="Z2502" i="9"/>
  <c r="Z2503" i="9"/>
  <c r="Z2504" i="9"/>
  <c r="Z2505" i="9"/>
  <c r="Z2506" i="9"/>
  <c r="Z2507" i="9"/>
  <c r="Z2508" i="9"/>
  <c r="Z2509" i="9"/>
  <c r="Z2510" i="9"/>
  <c r="Z2511" i="9"/>
  <c r="Z2512" i="9"/>
  <c r="Z2513" i="9"/>
  <c r="Z2514" i="9"/>
  <c r="Z2515" i="9"/>
  <c r="Z2516" i="9"/>
  <c r="Z2517" i="9"/>
  <c r="Z2518" i="9"/>
  <c r="Z2519" i="9"/>
  <c r="Z2520" i="9"/>
  <c r="Z2521" i="9"/>
  <c r="Z2522" i="9"/>
  <c r="Z2523" i="9"/>
  <c r="Z2524" i="9"/>
  <c r="Z2525" i="9"/>
  <c r="Z2526" i="9"/>
  <c r="Z2527" i="9"/>
  <c r="Z2528" i="9"/>
  <c r="Z2529" i="9"/>
  <c r="Z2530" i="9"/>
  <c r="Z2531" i="9"/>
  <c r="Z2532" i="9"/>
  <c r="Z2533" i="9"/>
  <c r="Z2534" i="9"/>
  <c r="Z2535" i="9"/>
  <c r="Z2536" i="9"/>
  <c r="Z2537" i="9"/>
  <c r="Z2538" i="9"/>
  <c r="Z2539" i="9"/>
  <c r="Z2540" i="9"/>
  <c r="Z2541" i="9"/>
  <c r="Z2542" i="9"/>
  <c r="Z2543" i="9"/>
  <c r="Z2544" i="9"/>
  <c r="Z2545" i="9"/>
  <c r="Z2546" i="9"/>
  <c r="Z2547" i="9"/>
  <c r="Z2548" i="9"/>
  <c r="Z2549" i="9"/>
  <c r="Z2550" i="9"/>
  <c r="Z2551" i="9"/>
  <c r="Z2552" i="9"/>
  <c r="Z2553" i="9"/>
  <c r="Z2554" i="9"/>
  <c r="Z2555" i="9"/>
  <c r="Z2556" i="9"/>
  <c r="Z2557" i="9"/>
  <c r="Z2558" i="9"/>
  <c r="Z2559" i="9"/>
  <c r="Z2560" i="9"/>
  <c r="Z2561" i="9"/>
  <c r="Z2562" i="9"/>
  <c r="Z2563" i="9"/>
  <c r="Z2564" i="9"/>
  <c r="Z2565" i="9"/>
  <c r="Z2566" i="9"/>
  <c r="Z2567" i="9"/>
  <c r="Z2568" i="9"/>
  <c r="Z2569" i="9"/>
  <c r="Z2570" i="9"/>
  <c r="Z2571" i="9"/>
  <c r="Z2572" i="9"/>
  <c r="Z2573" i="9"/>
  <c r="Z2574" i="9"/>
  <c r="Z2575" i="9"/>
  <c r="Z2576" i="9"/>
  <c r="Z2577" i="9"/>
  <c r="Z2578" i="9"/>
  <c r="Z2579" i="9"/>
  <c r="Z2580" i="9"/>
  <c r="Z2581" i="9"/>
  <c r="Z2582" i="9"/>
  <c r="Z2583" i="9"/>
  <c r="Z2584" i="9"/>
  <c r="Z2585" i="9"/>
  <c r="Z2586" i="9"/>
  <c r="Z2587" i="9"/>
  <c r="Z2588" i="9"/>
  <c r="Z2589" i="9"/>
  <c r="Z2590" i="9"/>
  <c r="Z2591" i="9"/>
  <c r="Z2592" i="9"/>
  <c r="Z2593" i="9"/>
  <c r="Z2594" i="9"/>
  <c r="Z2595" i="9"/>
  <c r="Z2596" i="9"/>
  <c r="Z2597" i="9"/>
  <c r="Z2598" i="9"/>
  <c r="Z2599" i="9"/>
  <c r="Z2600" i="9"/>
  <c r="Z2601" i="9"/>
  <c r="Z2602" i="9"/>
  <c r="Z2603" i="9"/>
  <c r="Z2604" i="9"/>
  <c r="Z2605" i="9"/>
  <c r="Z2606" i="9"/>
  <c r="Z2607" i="9"/>
  <c r="Z2608" i="9"/>
  <c r="Z2609" i="9"/>
  <c r="Z2610" i="9"/>
  <c r="Z2611" i="9"/>
  <c r="Z2612" i="9"/>
  <c r="Z2613" i="9"/>
  <c r="Z2614" i="9"/>
  <c r="Z2615" i="9"/>
  <c r="Z2616" i="9"/>
  <c r="Z2617" i="9"/>
  <c r="Z2618" i="9"/>
  <c r="Z2619" i="9"/>
  <c r="Z2620" i="9"/>
  <c r="Z2621" i="9"/>
  <c r="Z2622" i="9"/>
  <c r="Z2623" i="9"/>
  <c r="Z2624" i="9"/>
  <c r="Z2625" i="9"/>
  <c r="Z2626" i="9"/>
  <c r="Z2627" i="9"/>
  <c r="Z2628" i="9"/>
  <c r="Z2629" i="9"/>
  <c r="Z2630" i="9"/>
  <c r="Z2631" i="9"/>
  <c r="Z2632" i="9"/>
  <c r="Z2633" i="9"/>
  <c r="Z2634" i="9"/>
  <c r="Z2635" i="9"/>
  <c r="Z2636" i="9"/>
  <c r="Z2637" i="9"/>
  <c r="Z2638" i="9"/>
  <c r="Z2639" i="9"/>
  <c r="Z2640" i="9"/>
  <c r="Z2641" i="9"/>
  <c r="Z2642" i="9"/>
  <c r="Z2643" i="9"/>
  <c r="Z2644" i="9"/>
  <c r="Z2645" i="9"/>
  <c r="Z2646" i="9"/>
  <c r="Z2647" i="9"/>
  <c r="Z2648" i="9"/>
  <c r="Z2649" i="9"/>
  <c r="Z2650" i="9"/>
  <c r="Z2651" i="9"/>
  <c r="Z2652" i="9"/>
  <c r="Z2653" i="9"/>
  <c r="Z2654" i="9"/>
  <c r="Z2655" i="9"/>
  <c r="Z2656" i="9"/>
  <c r="Z2657" i="9"/>
  <c r="Z2658" i="9"/>
  <c r="Z2659" i="9"/>
  <c r="Z2660" i="9"/>
  <c r="Z2661" i="9"/>
  <c r="Z2662" i="9"/>
  <c r="Z2663" i="9"/>
  <c r="Z2664" i="9"/>
  <c r="Z2665" i="9"/>
  <c r="Z2666" i="9"/>
  <c r="Z2667" i="9"/>
  <c r="Z2668" i="9"/>
  <c r="Z2669" i="9"/>
  <c r="Z2670" i="9"/>
  <c r="Z2671" i="9"/>
  <c r="Z2672" i="9"/>
  <c r="Z2673" i="9"/>
  <c r="Z2674" i="9"/>
  <c r="Z2675" i="9"/>
  <c r="Z2676" i="9"/>
  <c r="Z2677" i="9"/>
  <c r="Z2678" i="9"/>
  <c r="Z2679" i="9"/>
  <c r="Z2680" i="9"/>
  <c r="Z2681" i="9"/>
  <c r="Z2682" i="9"/>
  <c r="Z2683" i="9"/>
  <c r="Z2684" i="9"/>
  <c r="Z2685" i="9"/>
  <c r="Z2686" i="9"/>
  <c r="Z2687" i="9"/>
  <c r="Z2688" i="9"/>
  <c r="Z2689" i="9"/>
  <c r="Z2690" i="9"/>
  <c r="Z2691" i="9"/>
  <c r="Z2692" i="9"/>
  <c r="Z2693" i="9"/>
  <c r="Z2694" i="9"/>
  <c r="Z2695" i="9"/>
  <c r="Z2696" i="9"/>
  <c r="Z2697" i="9"/>
  <c r="Z2698" i="9"/>
  <c r="Z2699" i="9"/>
  <c r="Z2700" i="9"/>
  <c r="Z2701" i="9"/>
  <c r="Z2702" i="9"/>
  <c r="Z2703" i="9"/>
  <c r="Z2704" i="9"/>
  <c r="Z2705" i="9"/>
  <c r="Z2706" i="9"/>
  <c r="Z2707" i="9"/>
  <c r="Z2708" i="9"/>
  <c r="Z2709" i="9"/>
  <c r="Z2710" i="9"/>
  <c r="Z2711" i="9"/>
  <c r="Z2712" i="9"/>
  <c r="Z2713" i="9"/>
  <c r="Z2714" i="9"/>
  <c r="Z2715" i="9"/>
  <c r="Z2716" i="9"/>
  <c r="Z2717" i="9"/>
  <c r="Z2718" i="9"/>
  <c r="Z2719" i="9"/>
  <c r="Z2720" i="9"/>
  <c r="Z2721" i="9"/>
  <c r="Z2722" i="9"/>
  <c r="Z2723" i="9"/>
  <c r="Z2724" i="9"/>
  <c r="Z2725" i="9"/>
  <c r="Z2726" i="9"/>
  <c r="Z2727" i="9"/>
  <c r="Z2728" i="9"/>
  <c r="Z2729" i="9"/>
  <c r="Z2730" i="9"/>
  <c r="Z2731" i="9"/>
  <c r="Z2732" i="9"/>
  <c r="Z2733" i="9"/>
  <c r="Z2734" i="9"/>
  <c r="Z2735" i="9"/>
  <c r="Z2736" i="9"/>
  <c r="Z2737" i="9"/>
  <c r="Z2738" i="9"/>
  <c r="Z2739" i="9"/>
  <c r="Z2740" i="9"/>
  <c r="Z2741" i="9"/>
  <c r="Z2742" i="9"/>
  <c r="Z2743" i="9"/>
  <c r="Z2744" i="9"/>
  <c r="Z2745" i="9"/>
  <c r="Z2746" i="9"/>
  <c r="Z2747" i="9"/>
  <c r="Z2748" i="9"/>
  <c r="Z2749" i="9"/>
  <c r="Z2750" i="9"/>
  <c r="Z2751" i="9"/>
  <c r="Z2752" i="9"/>
  <c r="Z2753" i="9"/>
  <c r="Z2754" i="9"/>
  <c r="Z2755" i="9"/>
  <c r="Z2756" i="9"/>
  <c r="Z2757" i="9"/>
  <c r="Z2758" i="9"/>
  <c r="Z2759" i="9"/>
  <c r="Z2760" i="9"/>
  <c r="Z2761" i="9"/>
  <c r="Z2762" i="9"/>
  <c r="Z2763" i="9"/>
  <c r="Z2764" i="9"/>
  <c r="Z2765" i="9"/>
  <c r="Z2766" i="9"/>
  <c r="Z2767" i="9"/>
  <c r="Z2768" i="9"/>
  <c r="Z2769" i="9"/>
  <c r="Z2770" i="9"/>
  <c r="Z2771" i="9"/>
  <c r="Z2772" i="9"/>
  <c r="Z2773" i="9"/>
  <c r="Z2774" i="9"/>
  <c r="Z2775" i="9"/>
  <c r="Z2776" i="9"/>
  <c r="Z2777" i="9"/>
  <c r="Z2778" i="9"/>
  <c r="Z2779" i="9"/>
  <c r="Z2780" i="9"/>
  <c r="Z2781" i="9"/>
  <c r="Z2782" i="9"/>
  <c r="Z2783" i="9"/>
  <c r="Z2784" i="9"/>
  <c r="Z2785" i="9"/>
  <c r="Z2786" i="9"/>
  <c r="Z2787" i="9"/>
  <c r="Z2788" i="9"/>
  <c r="Z2789" i="9"/>
  <c r="Z2790" i="9"/>
  <c r="Y3" i="9"/>
  <c r="Y4" i="9"/>
  <c r="Y5" i="9"/>
  <c r="Y6" i="9"/>
  <c r="Y7" i="9"/>
  <c r="Y8" i="9"/>
  <c r="Y9" i="9"/>
  <c r="Y10" i="9"/>
  <c r="Y11" i="9"/>
  <c r="Y12" i="9"/>
  <c r="Y13" i="9"/>
  <c r="Y14" i="9"/>
  <c r="Y15" i="9"/>
  <c r="Y16" i="9"/>
  <c r="Y17" i="9"/>
  <c r="Y18" i="9"/>
  <c r="Y19" i="9"/>
  <c r="Y20" i="9"/>
  <c r="Y21" i="9"/>
  <c r="Y22" i="9"/>
  <c r="Y23" i="9"/>
  <c r="Y24" i="9"/>
  <c r="Y25" i="9"/>
  <c r="Y27" i="9"/>
  <c r="Y31" i="9"/>
  <c r="Y32" i="9"/>
  <c r="Y33" i="9"/>
  <c r="Y34" i="9"/>
  <c r="Y35" i="9"/>
  <c r="Y36" i="9"/>
  <c r="Y37" i="9"/>
  <c r="Y39" i="9"/>
  <c r="Y41" i="9"/>
  <c r="Y43" i="9"/>
  <c r="Y45" i="9"/>
  <c r="Y46" i="9"/>
  <c r="Y53" i="9"/>
  <c r="Y55" i="9"/>
  <c r="Y58" i="9"/>
  <c r="Y61" i="9"/>
  <c r="Y67" i="9"/>
  <c r="Y69" i="9"/>
  <c r="Y70" i="9"/>
  <c r="Y72" i="9"/>
  <c r="Y73" i="9"/>
  <c r="Y74" i="9"/>
  <c r="Y75" i="9"/>
  <c r="Y76" i="9"/>
  <c r="Y77" i="9"/>
  <c r="Y78" i="9"/>
  <c r="Y79" i="9"/>
  <c r="Y80" i="9"/>
  <c r="Y81" i="9"/>
  <c r="Y82" i="9"/>
  <c r="Y83" i="9"/>
  <c r="Y84" i="9"/>
  <c r="Y85" i="9"/>
  <c r="Y86" i="9"/>
  <c r="Y87" i="9"/>
  <c r="Y88" i="9"/>
  <c r="Y89" i="9"/>
  <c r="Y90" i="9"/>
  <c r="Y91" i="9"/>
  <c r="Y92" i="9"/>
  <c r="Y93" i="9"/>
  <c r="Y95" i="9"/>
  <c r="Y100" i="9"/>
  <c r="Y107" i="9"/>
  <c r="Y108" i="9"/>
  <c r="Y109" i="9"/>
  <c r="Y110" i="9"/>
  <c r="Y111" i="9"/>
  <c r="Y114" i="9"/>
  <c r="Y116" i="9"/>
  <c r="Y117" i="9"/>
  <c r="Y118" i="9"/>
  <c r="Y119" i="9"/>
  <c r="Y121" i="9"/>
  <c r="Y122" i="9"/>
  <c r="Y123" i="9"/>
  <c r="Y127" i="9"/>
  <c r="Y128" i="9"/>
  <c r="Y129" i="9"/>
  <c r="Y130" i="9"/>
  <c r="Y131" i="9"/>
  <c r="Y132" i="9"/>
  <c r="Y133" i="9"/>
  <c r="Y134" i="9"/>
  <c r="Y136" i="9"/>
  <c r="Y137" i="9"/>
  <c r="Y138" i="9"/>
  <c r="Y139" i="9"/>
  <c r="Y140" i="9"/>
  <c r="Y141" i="9"/>
  <c r="Y142" i="9"/>
  <c r="Y144" i="9"/>
  <c r="Y145" i="9"/>
  <c r="Y150" i="9"/>
  <c r="Y151" i="9"/>
  <c r="Y154" i="9"/>
  <c r="Y156" i="9"/>
  <c r="Y158" i="9"/>
  <c r="Y160" i="9"/>
  <c r="Y163" i="9"/>
  <c r="Y167" i="9"/>
  <c r="Y170" i="9"/>
  <c r="Y171" i="9"/>
  <c r="Y172" i="9"/>
  <c r="Y173" i="9"/>
  <c r="Y174" i="9"/>
  <c r="Y175" i="9"/>
  <c r="Y176" i="9"/>
  <c r="Y177" i="9"/>
  <c r="Y178" i="9"/>
  <c r="Y179" i="9"/>
  <c r="Y180" i="9"/>
  <c r="Y181" i="9"/>
  <c r="Y182" i="9"/>
  <c r="Y183" i="9"/>
  <c r="Y184" i="9"/>
  <c r="Y185" i="9"/>
  <c r="Y186" i="9"/>
  <c r="Y187" i="9"/>
  <c r="Y188" i="9"/>
  <c r="Y189" i="9"/>
  <c r="Y190" i="9"/>
  <c r="Y193" i="9"/>
  <c r="Y196" i="9"/>
  <c r="Y200" i="9"/>
  <c r="Y205" i="9"/>
  <c r="Y210" i="9"/>
  <c r="Y212" i="9"/>
  <c r="Y217" i="9"/>
  <c r="Y222" i="9"/>
  <c r="Y227"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4" i="9"/>
  <c r="Y277" i="9"/>
  <c r="Y281" i="9"/>
  <c r="Y286" i="9"/>
  <c r="Y292" i="9"/>
  <c r="Y293" i="9"/>
  <c r="Y294" i="9"/>
  <c r="Y295" i="9"/>
  <c r="Y296" i="9"/>
  <c r="Y297" i="9"/>
  <c r="Y298" i="9"/>
  <c r="Y299" i="9"/>
  <c r="Y300" i="9"/>
  <c r="Y301" i="9"/>
  <c r="Y302" i="9"/>
  <c r="Y303" i="9"/>
  <c r="Y304" i="9"/>
  <c r="Y305" i="9"/>
  <c r="Y306" i="9"/>
  <c r="Y307" i="9"/>
  <c r="Y308" i="9"/>
  <c r="Y309" i="9"/>
  <c r="Y310" i="9"/>
  <c r="Y311" i="9"/>
  <c r="Y312" i="9"/>
  <c r="Y313" i="9"/>
  <c r="Y314" i="9"/>
  <c r="Y315" i="9"/>
  <c r="Y316" i="9"/>
  <c r="Y317" i="9"/>
  <c r="Y318" i="9"/>
  <c r="Y319" i="9"/>
  <c r="Y320" i="9"/>
  <c r="Y321" i="9"/>
  <c r="Y322" i="9"/>
  <c r="Y323" i="9"/>
  <c r="Y324" i="9"/>
  <c r="Y325" i="9"/>
  <c r="Y326" i="9"/>
  <c r="Y327" i="9"/>
  <c r="Y328" i="9"/>
  <c r="Y329" i="9"/>
  <c r="Y330" i="9"/>
  <c r="Y331" i="9"/>
  <c r="Y332" i="9"/>
  <c r="Y333" i="9"/>
  <c r="Y334" i="9"/>
  <c r="Y335" i="9"/>
  <c r="Y336" i="9"/>
  <c r="Y337" i="9"/>
  <c r="Y363" i="9"/>
  <c r="Y364" i="9"/>
  <c r="Y365" i="9"/>
  <c r="Y366" i="9"/>
  <c r="Y367" i="9"/>
  <c r="Y368" i="9"/>
  <c r="Y369" i="9"/>
  <c r="Y370" i="9"/>
  <c r="Y371" i="9"/>
  <c r="Y372" i="9"/>
  <c r="Y373" i="9"/>
  <c r="Y374" i="9"/>
  <c r="Y375" i="9"/>
  <c r="Y376" i="9"/>
  <c r="Y377" i="9"/>
  <c r="Y378" i="9"/>
  <c r="Y379" i="9"/>
  <c r="Y380" i="9"/>
  <c r="Y381" i="9"/>
  <c r="Y382" i="9"/>
  <c r="Y383" i="9"/>
  <c r="Y384" i="9"/>
  <c r="Y385" i="9"/>
  <c r="Y386" i="9"/>
  <c r="Y387" i="9"/>
  <c r="Y388" i="9"/>
  <c r="Y389" i="9"/>
  <c r="Y390" i="9"/>
  <c r="Y391" i="9"/>
  <c r="Y392" i="9"/>
  <c r="Y393" i="9"/>
  <c r="Y394" i="9"/>
  <c r="Y395" i="9"/>
  <c r="Y396" i="9"/>
  <c r="Y397" i="9"/>
  <c r="Y398" i="9"/>
  <c r="Y399" i="9"/>
  <c r="Y400" i="9"/>
  <c r="Y401" i="9"/>
  <c r="Y402" i="9"/>
  <c r="Y403" i="9"/>
  <c r="Y404" i="9"/>
  <c r="Y405" i="9"/>
  <c r="Y406" i="9"/>
  <c r="Y407" i="9"/>
  <c r="Y408" i="9"/>
  <c r="Y409" i="9"/>
  <c r="Y410" i="9"/>
  <c r="Y411" i="9"/>
  <c r="Y412" i="9"/>
  <c r="Y413" i="9"/>
  <c r="Y414" i="9"/>
  <c r="Y415" i="9"/>
  <c r="Y416" i="9"/>
  <c r="Y417" i="9"/>
  <c r="Y418" i="9"/>
  <c r="Y419" i="9"/>
  <c r="Y420" i="9"/>
  <c r="Y421" i="9"/>
  <c r="Y422" i="9"/>
  <c r="Y423" i="9"/>
  <c r="Y424" i="9"/>
  <c r="Y425" i="9"/>
  <c r="Y426" i="9"/>
  <c r="Y427" i="9"/>
  <c r="Y428" i="9"/>
  <c r="Y429" i="9"/>
  <c r="Y430" i="9"/>
  <c r="Y431" i="9"/>
  <c r="Y432" i="9"/>
  <c r="Y433" i="9"/>
  <c r="Y434" i="9"/>
  <c r="Y435" i="9"/>
  <c r="Y436" i="9"/>
  <c r="Y437" i="9"/>
  <c r="Y438" i="9"/>
  <c r="Y439" i="9"/>
  <c r="Y440" i="9"/>
  <c r="Y441" i="9"/>
  <c r="Y442" i="9"/>
  <c r="Y443" i="9"/>
  <c r="Y444" i="9"/>
  <c r="Y445" i="9"/>
  <c r="Y446" i="9"/>
  <c r="Y447" i="9"/>
  <c r="Y448" i="9"/>
  <c r="Y449" i="9"/>
  <c r="Y450" i="9"/>
  <c r="Y451" i="9"/>
  <c r="Y452" i="9"/>
  <c r="Y453" i="9"/>
  <c r="Y454" i="9"/>
  <c r="Y455" i="9"/>
  <c r="Y456" i="9"/>
  <c r="Y457" i="9"/>
  <c r="Y458" i="9"/>
  <c r="Y459" i="9"/>
  <c r="Y460" i="9"/>
  <c r="Y461" i="9"/>
  <c r="Y462" i="9"/>
  <c r="Y463" i="9"/>
  <c r="Y464" i="9"/>
  <c r="Y465" i="9"/>
  <c r="Y466" i="9"/>
  <c r="Y467" i="9"/>
  <c r="Y468" i="9"/>
  <c r="Y469" i="9"/>
  <c r="Y470" i="9"/>
  <c r="Y471" i="9"/>
  <c r="Y472" i="9"/>
  <c r="Y473" i="9"/>
  <c r="Y474" i="9"/>
  <c r="Y475" i="9"/>
  <c r="Y476" i="9"/>
  <c r="Y477" i="9"/>
  <c r="Y478" i="9"/>
  <c r="Y479" i="9"/>
  <c r="Y480" i="9"/>
  <c r="Y481" i="9"/>
  <c r="Y482" i="9"/>
  <c r="Y483" i="9"/>
  <c r="Y484" i="9"/>
  <c r="Y485" i="9"/>
  <c r="Y486" i="9"/>
  <c r="Y487" i="9"/>
  <c r="Y488" i="9"/>
  <c r="Y489" i="9"/>
  <c r="Y490" i="9"/>
  <c r="Y491" i="9"/>
  <c r="Y492" i="9"/>
  <c r="Y493" i="9"/>
  <c r="Y494" i="9"/>
  <c r="Y495" i="9"/>
  <c r="Y496" i="9"/>
  <c r="Y497" i="9"/>
  <c r="Y498" i="9"/>
  <c r="Y499" i="9"/>
  <c r="Y500" i="9"/>
  <c r="Y501" i="9"/>
  <c r="Y502" i="9"/>
  <c r="Y503" i="9"/>
  <c r="Y504" i="9"/>
  <c r="Y505" i="9"/>
  <c r="Y508" i="9"/>
  <c r="Y509" i="9"/>
  <c r="Y511" i="9"/>
  <c r="Y514" i="9"/>
  <c r="Y515" i="9"/>
  <c r="Y517" i="9"/>
  <c r="Y518" i="9"/>
  <c r="Y520" i="9"/>
  <c r="Y521" i="9"/>
  <c r="Y524" i="9"/>
  <c r="Y525" i="9"/>
  <c r="Y526" i="9"/>
  <c r="Y527" i="9"/>
  <c r="Y528" i="9"/>
  <c r="Y529" i="9"/>
  <c r="Y530" i="9"/>
  <c r="Y531" i="9"/>
  <c r="Y532" i="9"/>
  <c r="Y533" i="9"/>
  <c r="Y534" i="9"/>
  <c r="Y536" i="9"/>
  <c r="Y537" i="9"/>
  <c r="Y539" i="9"/>
  <c r="Y540" i="9"/>
  <c r="Y542" i="9"/>
  <c r="Y544" i="9"/>
  <c r="Y546" i="9"/>
  <c r="Y548" i="9"/>
  <c r="Y552" i="9"/>
  <c r="Y553" i="9"/>
  <c r="Y554" i="9"/>
  <c r="Y555" i="9"/>
  <c r="Y556" i="9"/>
  <c r="Y557" i="9"/>
  <c r="Y558" i="9"/>
  <c r="Y559" i="9"/>
  <c r="Y560" i="9"/>
  <c r="Y561" i="9"/>
  <c r="Y562" i="9"/>
  <c r="Y563" i="9"/>
  <c r="Y564" i="9"/>
  <c r="Y569" i="9"/>
  <c r="Y570" i="9"/>
  <c r="Y571" i="9"/>
  <c r="Y572" i="9"/>
  <c r="Y573" i="9"/>
  <c r="Y574" i="9"/>
  <c r="Y575" i="9"/>
  <c r="Y576" i="9"/>
  <c r="Y577" i="9"/>
  <c r="Y578" i="9"/>
  <c r="Y579" i="9"/>
  <c r="Y580" i="9"/>
  <c r="Y581" i="9"/>
  <c r="Y582" i="9"/>
  <c r="Y583" i="9"/>
  <c r="Y584" i="9"/>
  <c r="Y587" i="9"/>
  <c r="Y588" i="9"/>
  <c r="Y594" i="9"/>
  <c r="Y595" i="9"/>
  <c r="Y585" i="9"/>
  <c r="Y589" i="9"/>
  <c r="Y596" i="9"/>
  <c r="Y597" i="9"/>
  <c r="Y598" i="9"/>
  <c r="Y599" i="9"/>
  <c r="Y604" i="9"/>
  <c r="Y605" i="9"/>
  <c r="Y606" i="9"/>
  <c r="Y607" i="9"/>
  <c r="Y608" i="9"/>
  <c r="Y609" i="9"/>
  <c r="Y610" i="9"/>
  <c r="Y611" i="9"/>
  <c r="Y612" i="9"/>
  <c r="Y613" i="9"/>
  <c r="Y614" i="9"/>
  <c r="Y615" i="9"/>
  <c r="Y616" i="9"/>
  <c r="Y617" i="9"/>
  <c r="Y618" i="9"/>
  <c r="Y619" i="9"/>
  <c r="Y620" i="9"/>
  <c r="Y621" i="9"/>
  <c r="Y622" i="9"/>
  <c r="Y623" i="9"/>
  <c r="Y624" i="9"/>
  <c r="Y625" i="9"/>
  <c r="Y626" i="9"/>
  <c r="Y627" i="9"/>
  <c r="Y628" i="9"/>
  <c r="Y629" i="9"/>
  <c r="Y630" i="9"/>
  <c r="Y631" i="9"/>
  <c r="Y632" i="9"/>
  <c r="Y633" i="9"/>
  <c r="Y634" i="9"/>
  <c r="Y635" i="9"/>
  <c r="Y636" i="9"/>
  <c r="Y637" i="9"/>
  <c r="Y638" i="9"/>
  <c r="Y639" i="9"/>
  <c r="Y640" i="9"/>
  <c r="Y641" i="9"/>
  <c r="Y642" i="9"/>
  <c r="Y643" i="9"/>
  <c r="Y644" i="9"/>
  <c r="Y645" i="9"/>
  <c r="Y646" i="9"/>
  <c r="Y647" i="9"/>
  <c r="Y648" i="9"/>
  <c r="Y649" i="9"/>
  <c r="Y650" i="9"/>
  <c r="Y651" i="9"/>
  <c r="Y652" i="9"/>
  <c r="Y653" i="9"/>
  <c r="Y654" i="9"/>
  <c r="Y655" i="9"/>
  <c r="Y656" i="9"/>
  <c r="Y657" i="9"/>
  <c r="Y658" i="9"/>
  <c r="Y659" i="9"/>
  <c r="Y660" i="9"/>
  <c r="Y661" i="9"/>
  <c r="Y662" i="9"/>
  <c r="Y663" i="9"/>
  <c r="Y664" i="9"/>
  <c r="Y665" i="9"/>
  <c r="Y666" i="9"/>
  <c r="Y667" i="9"/>
  <c r="Y668" i="9"/>
  <c r="Y669" i="9"/>
  <c r="Y670" i="9"/>
  <c r="Y671" i="9"/>
  <c r="Y672" i="9"/>
  <c r="Y673" i="9"/>
  <c r="Y674" i="9"/>
  <c r="Y675" i="9"/>
  <c r="Y676" i="9"/>
  <c r="Y677" i="9"/>
  <c r="Y678" i="9"/>
  <c r="Y679" i="9"/>
  <c r="Y680" i="9"/>
  <c r="Y681" i="9"/>
  <c r="Y682" i="9"/>
  <c r="Y683" i="9"/>
  <c r="Y684" i="9"/>
  <c r="Y685" i="9"/>
  <c r="Y686" i="9"/>
  <c r="Y687" i="9"/>
  <c r="Y688" i="9"/>
  <c r="Y689" i="9"/>
  <c r="Y690" i="9"/>
  <c r="Y691" i="9"/>
  <c r="Y692" i="9"/>
  <c r="Y693" i="9"/>
  <c r="Y694" i="9"/>
  <c r="Y695" i="9"/>
  <c r="Y696" i="9"/>
  <c r="Y697" i="9"/>
  <c r="Y698" i="9"/>
  <c r="Y699" i="9"/>
  <c r="Y700" i="9"/>
  <c r="Y701" i="9"/>
  <c r="Y702" i="9"/>
  <c r="Y703" i="9"/>
  <c r="Y704" i="9"/>
  <c r="Y705" i="9"/>
  <c r="Y706" i="9"/>
  <c r="Y707" i="9"/>
  <c r="Y708" i="9"/>
  <c r="Y709" i="9"/>
  <c r="Y710" i="9"/>
  <c r="Y711" i="9"/>
  <c r="Y712" i="9"/>
  <c r="Y713" i="9"/>
  <c r="Y714" i="9"/>
  <c r="Y715" i="9"/>
  <c r="Y716" i="9"/>
  <c r="Y717" i="9"/>
  <c r="Y718" i="9"/>
  <c r="Y719" i="9"/>
  <c r="Y720" i="9"/>
  <c r="Y721" i="9"/>
  <c r="Y722" i="9"/>
  <c r="Y723" i="9"/>
  <c r="Y728" i="9"/>
  <c r="Y733" i="9"/>
  <c r="Y738" i="9"/>
  <c r="Y739" i="9"/>
  <c r="Y740" i="9"/>
  <c r="Y741" i="9"/>
  <c r="Y743" i="9"/>
  <c r="Y745" i="9"/>
  <c r="Y747" i="9"/>
  <c r="Y749" i="9"/>
  <c r="Y750" i="9"/>
  <c r="Y752" i="9"/>
  <c r="Y754" i="9"/>
  <c r="Y756" i="9"/>
  <c r="Y757" i="9"/>
  <c r="Y758" i="9"/>
  <c r="Y759" i="9"/>
  <c r="Y760" i="9"/>
  <c r="Y761" i="9"/>
  <c r="Y762" i="9"/>
  <c r="Y763" i="9"/>
  <c r="Y764" i="9"/>
  <c r="Y765" i="9"/>
  <c r="Y767" i="9"/>
  <c r="Y769" i="9"/>
  <c r="Y771" i="9"/>
  <c r="Y773" i="9"/>
  <c r="Y774" i="9"/>
  <c r="Y775" i="9"/>
  <c r="Y776" i="9"/>
  <c r="Y777" i="9"/>
  <c r="Y778" i="9"/>
  <c r="Y779" i="9"/>
  <c r="Y780" i="9"/>
  <c r="Y781" i="9"/>
  <c r="Y782" i="9"/>
  <c r="Y783" i="9"/>
  <c r="Y784" i="9"/>
  <c r="Y785" i="9"/>
  <c r="Y786" i="9"/>
  <c r="Y787" i="9"/>
  <c r="Y788" i="9"/>
  <c r="Y789" i="9"/>
  <c r="Y790" i="9"/>
  <c r="Y791" i="9"/>
  <c r="Y792" i="9"/>
  <c r="Y793" i="9"/>
  <c r="Y794" i="9"/>
  <c r="Y795" i="9"/>
  <c r="Y796" i="9"/>
  <c r="Y797" i="9"/>
  <c r="Y798" i="9"/>
  <c r="Y799" i="9"/>
  <c r="Y800" i="9"/>
  <c r="Y801" i="9"/>
  <c r="Y802" i="9"/>
  <c r="Y803" i="9"/>
  <c r="Y804" i="9"/>
  <c r="Y805" i="9"/>
  <c r="Y806" i="9"/>
  <c r="Y807" i="9"/>
  <c r="Y808" i="9"/>
  <c r="Y809" i="9"/>
  <c r="Y810" i="9"/>
  <c r="Y811" i="9"/>
  <c r="Y812" i="9"/>
  <c r="Y813" i="9"/>
  <c r="Y814" i="9"/>
  <c r="Y815" i="9"/>
  <c r="Y816" i="9"/>
  <c r="Y817" i="9"/>
  <c r="Y818" i="9"/>
  <c r="Y819" i="9"/>
  <c r="Y820" i="9"/>
  <c r="Y821" i="9"/>
  <c r="Y822" i="9"/>
  <c r="Y823" i="9"/>
  <c r="Y824" i="9"/>
  <c r="Y825" i="9"/>
  <c r="Y826" i="9"/>
  <c r="Y827" i="9"/>
  <c r="Y828" i="9"/>
  <c r="Y829" i="9"/>
  <c r="Y830" i="9"/>
  <c r="Y831" i="9"/>
  <c r="Y832" i="9"/>
  <c r="Y833" i="9"/>
  <c r="Y834" i="9"/>
  <c r="Y835" i="9"/>
  <c r="Y836" i="9"/>
  <c r="Y837" i="9"/>
  <c r="Y840" i="9"/>
  <c r="Y845" i="9"/>
  <c r="Y846" i="9"/>
  <c r="Y847" i="9"/>
  <c r="Y848" i="9"/>
  <c r="Y849" i="9"/>
  <c r="Y850" i="9"/>
  <c r="Y851" i="9"/>
  <c r="Y852" i="9"/>
  <c r="Y853" i="9"/>
  <c r="Y854" i="9"/>
  <c r="Y855" i="9"/>
  <c r="Y856" i="9"/>
  <c r="Y857" i="9"/>
  <c r="Y858" i="9"/>
  <c r="Y859" i="9"/>
  <c r="Y860" i="9"/>
  <c r="Y861" i="9"/>
  <c r="Y862" i="9"/>
  <c r="Y863" i="9"/>
  <c r="Y864" i="9"/>
  <c r="Y865" i="9"/>
  <c r="Y866" i="9"/>
  <c r="Y867" i="9"/>
  <c r="Y868" i="9"/>
  <c r="Y869" i="9"/>
  <c r="Y870" i="9"/>
  <c r="Y871" i="9"/>
  <c r="Y872" i="9"/>
  <c r="Y873" i="9"/>
  <c r="Y874" i="9"/>
  <c r="Y875" i="9"/>
  <c r="Y876" i="9"/>
  <c r="Y877" i="9"/>
  <c r="Y878" i="9"/>
  <c r="Y879" i="9"/>
  <c r="Y880" i="9"/>
  <c r="Y881" i="9"/>
  <c r="Y882" i="9"/>
  <c r="Y883" i="9"/>
  <c r="Y884" i="9"/>
  <c r="Y885" i="9"/>
  <c r="Y886" i="9"/>
  <c r="Y887" i="9"/>
  <c r="Y888" i="9"/>
  <c r="Y889" i="9"/>
  <c r="Y890" i="9"/>
  <c r="Y891" i="9"/>
  <c r="Y892" i="9"/>
  <c r="Y893" i="9"/>
  <c r="Y894" i="9"/>
  <c r="Y895" i="9"/>
  <c r="Y896" i="9"/>
  <c r="Y897" i="9"/>
  <c r="Y898" i="9"/>
  <c r="Y899" i="9"/>
  <c r="Y900" i="9"/>
  <c r="Y901" i="9"/>
  <c r="Y902" i="9"/>
  <c r="Y903" i="9"/>
  <c r="Y904" i="9"/>
  <c r="Y905" i="9"/>
  <c r="Y906" i="9"/>
  <c r="Y907" i="9"/>
  <c r="Y908" i="9"/>
  <c r="Y909" i="9"/>
  <c r="Y910" i="9"/>
  <c r="Y911" i="9"/>
  <c r="Y912" i="9"/>
  <c r="Y913" i="9"/>
  <c r="Y914" i="9"/>
  <c r="Y915" i="9"/>
  <c r="Y916" i="9"/>
  <c r="Y917" i="9"/>
  <c r="Y918" i="9"/>
  <c r="Y919" i="9"/>
  <c r="Y920" i="9"/>
  <c r="Y921" i="9"/>
  <c r="Y922" i="9"/>
  <c r="Y923" i="9"/>
  <c r="Y924" i="9"/>
  <c r="Y925" i="9"/>
  <c r="Y926" i="9"/>
  <c r="Y927" i="9"/>
  <c r="Y928" i="9"/>
  <c r="Y929" i="9"/>
  <c r="Y930" i="9"/>
  <c r="Y931" i="9"/>
  <c r="Y932" i="9"/>
  <c r="Y933" i="9"/>
  <c r="Y934" i="9"/>
  <c r="Y935" i="9"/>
  <c r="Y936" i="9"/>
  <c r="Y937" i="9"/>
  <c r="Y938" i="9"/>
  <c r="Y939" i="9"/>
  <c r="Y940" i="9"/>
  <c r="Y941" i="9"/>
  <c r="Y942" i="9"/>
  <c r="Y943" i="9"/>
  <c r="Y944" i="9"/>
  <c r="Y945" i="9"/>
  <c r="Y946" i="9"/>
  <c r="Y947" i="9"/>
  <c r="Y948" i="9"/>
  <c r="Y949" i="9"/>
  <c r="Y950" i="9"/>
  <c r="Y951" i="9"/>
  <c r="Y952" i="9"/>
  <c r="Y953" i="9"/>
  <c r="Y954" i="9"/>
  <c r="Y955" i="9"/>
  <c r="Y956" i="9"/>
  <c r="Y957" i="9"/>
  <c r="Y958" i="9"/>
  <c r="Y959" i="9"/>
  <c r="Y960" i="9"/>
  <c r="Y961" i="9"/>
  <c r="Y980" i="9"/>
  <c r="Y962" i="9"/>
  <c r="Y981" i="9"/>
  <c r="Y963" i="9"/>
  <c r="Y982" i="9"/>
  <c r="Y964" i="9"/>
  <c r="Y983" i="9"/>
  <c r="Y965" i="9"/>
  <c r="Y984" i="9"/>
  <c r="Y966" i="9"/>
  <c r="Y985" i="9"/>
  <c r="Y967" i="9"/>
  <c r="Y986" i="9"/>
  <c r="Y968" i="9"/>
  <c r="Y987" i="9"/>
  <c r="Y969" i="9"/>
  <c r="Y988" i="9"/>
  <c r="Y970" i="9"/>
  <c r="Y989" i="9"/>
  <c r="Y971" i="9"/>
  <c r="Y990" i="9"/>
  <c r="Y972" i="9"/>
  <c r="Y991" i="9"/>
  <c r="Y973" i="9"/>
  <c r="Y992" i="9"/>
  <c r="Y974" i="9"/>
  <c r="Y993" i="9"/>
  <c r="Y975" i="9"/>
  <c r="Y994" i="9"/>
  <c r="Y976" i="9"/>
  <c r="Y995" i="9"/>
  <c r="Y978" i="9"/>
  <c r="Y996" i="9"/>
  <c r="Y979" i="9"/>
  <c r="Y997" i="9"/>
  <c r="Y998" i="9"/>
  <c r="Y999" i="9"/>
  <c r="Y1000" i="9"/>
  <c r="Y1001" i="9"/>
  <c r="Y1002" i="9"/>
  <c r="Y1003" i="9"/>
  <c r="Y1004" i="9"/>
  <c r="Y1005" i="9"/>
  <c r="Y1006" i="9"/>
  <c r="Y1007" i="9"/>
  <c r="Y1008" i="9"/>
  <c r="Y1009" i="9"/>
  <c r="Y1010" i="9"/>
  <c r="Y1011" i="9"/>
  <c r="Y1012" i="9"/>
  <c r="Y1013" i="9"/>
  <c r="Y1014" i="9"/>
  <c r="Y1015" i="9"/>
  <c r="Y1016" i="9"/>
  <c r="Y1017" i="9"/>
  <c r="Y1018" i="9"/>
  <c r="Y1019" i="9"/>
  <c r="Y1020" i="9"/>
  <c r="Y1021" i="9"/>
  <c r="Y1022" i="9"/>
  <c r="Y1023" i="9"/>
  <c r="Y1024" i="9"/>
  <c r="Y1025" i="9"/>
  <c r="Y1026" i="9"/>
  <c r="Y1027" i="9"/>
  <c r="Y1028" i="9"/>
  <c r="Y1029" i="9"/>
  <c r="Y1030" i="9"/>
  <c r="Y1031" i="9"/>
  <c r="Y1032" i="9"/>
  <c r="Y1033" i="9"/>
  <c r="Y1034" i="9"/>
  <c r="Y1035" i="9"/>
  <c r="Y1036" i="9"/>
  <c r="Y1037" i="9"/>
  <c r="Y1038" i="9"/>
  <c r="Y1039" i="9"/>
  <c r="Y1040" i="9"/>
  <c r="Y1041" i="9"/>
  <c r="Y1042" i="9"/>
  <c r="Y1043" i="9"/>
  <c r="Y1044" i="9"/>
  <c r="Y1045" i="9"/>
  <c r="Y1046" i="9"/>
  <c r="Y1047" i="9"/>
  <c r="Y1048" i="9"/>
  <c r="Y1049" i="9"/>
  <c r="Y1050" i="9"/>
  <c r="Y1051" i="9"/>
  <c r="Y1052" i="9"/>
  <c r="Y1053" i="9"/>
  <c r="Y1054" i="9"/>
  <c r="Y1055" i="9"/>
  <c r="Y1056" i="9"/>
  <c r="Y1060" i="9"/>
  <c r="Y1065" i="9"/>
  <c r="Y1066" i="9"/>
  <c r="Y1067" i="9"/>
  <c r="Y1068" i="9"/>
  <c r="Y1069" i="9"/>
  <c r="Y1070" i="9"/>
  <c r="Y1071" i="9"/>
  <c r="Y1072" i="9"/>
  <c r="Y1073" i="9"/>
  <c r="Y1074" i="9"/>
  <c r="Y1075" i="9"/>
  <c r="Y1076" i="9"/>
  <c r="Y1077" i="9"/>
  <c r="Y1078" i="9"/>
  <c r="Y1079" i="9"/>
  <c r="Y1080" i="9"/>
  <c r="Y1081" i="9"/>
  <c r="Y1082" i="9"/>
  <c r="Y1083" i="9"/>
  <c r="Y1084" i="9"/>
  <c r="Y1085" i="9"/>
  <c r="Y1086" i="9"/>
  <c r="Y1087" i="9"/>
  <c r="Y1088" i="9"/>
  <c r="Y1089" i="9"/>
  <c r="Y1090" i="9"/>
  <c r="Y1091" i="9"/>
  <c r="Y1092" i="9"/>
  <c r="Y1093" i="9"/>
  <c r="Y1094" i="9"/>
  <c r="Y1095" i="9"/>
  <c r="Y1096" i="9"/>
  <c r="Y1097" i="9"/>
  <c r="Y1098" i="9"/>
  <c r="Y1099" i="9"/>
  <c r="Y1100" i="9"/>
  <c r="Y1101" i="9"/>
  <c r="Y1102" i="9"/>
  <c r="Y1103" i="9"/>
  <c r="Y1104" i="9"/>
  <c r="Y1105" i="9"/>
  <c r="Y1106" i="9"/>
  <c r="Y1107" i="9"/>
  <c r="Y1108" i="9"/>
  <c r="Y1109" i="9"/>
  <c r="Y1110" i="9"/>
  <c r="Y1113" i="9"/>
  <c r="Y1116" i="9"/>
  <c r="Y1119" i="9"/>
  <c r="Y1122" i="9"/>
  <c r="Y1123" i="9"/>
  <c r="Y1124" i="9"/>
  <c r="Y1125" i="9"/>
  <c r="Y1126" i="9"/>
  <c r="Y1127" i="9"/>
  <c r="Y1128" i="9"/>
  <c r="Y1129" i="9"/>
  <c r="Y1130" i="9"/>
  <c r="Y1131" i="9"/>
  <c r="Y1132" i="9"/>
  <c r="Y1133" i="9"/>
  <c r="Y1134" i="9"/>
  <c r="Y1135" i="9"/>
  <c r="Y1136" i="9"/>
  <c r="Y1137" i="9"/>
  <c r="Y1138" i="9"/>
  <c r="Y1139" i="9"/>
  <c r="Y1140" i="9"/>
  <c r="Y1141" i="9"/>
  <c r="Y1142" i="9"/>
  <c r="Y1143" i="9"/>
  <c r="Y1144" i="9"/>
  <c r="Y1145" i="9"/>
  <c r="Y1146" i="9"/>
  <c r="Y1147" i="9"/>
  <c r="Y1148" i="9"/>
  <c r="Y1149" i="9"/>
  <c r="Y1150" i="9"/>
  <c r="Y1151" i="9"/>
  <c r="Y1152" i="9"/>
  <c r="Y1153" i="9"/>
  <c r="Y1154" i="9"/>
  <c r="Y1155" i="9"/>
  <c r="Y1156" i="9"/>
  <c r="Y1157" i="9"/>
  <c r="Y1158" i="9"/>
  <c r="Y1159" i="9"/>
  <c r="Y1160" i="9"/>
  <c r="Y1161" i="9"/>
  <c r="Y1162" i="9"/>
  <c r="Y1163" i="9"/>
  <c r="Y1164" i="9"/>
  <c r="Y1165" i="9"/>
  <c r="Y1166" i="9"/>
  <c r="Y1167" i="9"/>
  <c r="Y1168" i="9"/>
  <c r="Y1169" i="9"/>
  <c r="Y1170" i="9"/>
  <c r="Y1171" i="9"/>
  <c r="Y1172" i="9"/>
  <c r="Y1173" i="9"/>
  <c r="Y1174" i="9"/>
  <c r="Y1175" i="9"/>
  <c r="Y1176" i="9"/>
  <c r="Y1177" i="9"/>
  <c r="Y1178" i="9"/>
  <c r="Y1179" i="9"/>
  <c r="Y1180" i="9"/>
  <c r="Y1181" i="9"/>
  <c r="Y1182" i="9"/>
  <c r="Y1183" i="9"/>
  <c r="Y1184" i="9"/>
  <c r="Y1185" i="9"/>
  <c r="Y1186" i="9"/>
  <c r="Y1187" i="9"/>
  <c r="Y1188" i="9"/>
  <c r="Y1189" i="9"/>
  <c r="Y1190" i="9"/>
  <c r="Y1191" i="9"/>
  <c r="Y1192" i="9"/>
  <c r="Y1193" i="9"/>
  <c r="Y1194" i="9"/>
  <c r="Y1195" i="9"/>
  <c r="Y1196" i="9"/>
  <c r="Y1197" i="9"/>
  <c r="Y1198" i="9"/>
  <c r="Y1199" i="9"/>
  <c r="Y1200" i="9"/>
  <c r="Y1201" i="9"/>
  <c r="Y1202" i="9"/>
  <c r="Y1203" i="9"/>
  <c r="Y1204" i="9"/>
  <c r="Y1205" i="9"/>
  <c r="Y1206" i="9"/>
  <c r="Y1207" i="9"/>
  <c r="Y1208" i="9"/>
  <c r="Y1209" i="9"/>
  <c r="Y1210" i="9"/>
  <c r="Y1211" i="9"/>
  <c r="Y1212" i="9"/>
  <c r="Y1213" i="9"/>
  <c r="Y1214" i="9"/>
  <c r="Y1215" i="9"/>
  <c r="Y1216" i="9"/>
  <c r="Y1217" i="9"/>
  <c r="Y1218" i="9"/>
  <c r="Y1219" i="9"/>
  <c r="Y1220" i="9"/>
  <c r="Y1221" i="9"/>
  <c r="Y1222" i="9"/>
  <c r="Y1223" i="9"/>
  <c r="Y1224" i="9"/>
  <c r="Y1225" i="9"/>
  <c r="Y1226" i="9"/>
  <c r="Y1227" i="9"/>
  <c r="Y1228" i="9"/>
  <c r="Y1229" i="9"/>
  <c r="Y1230" i="9"/>
  <c r="Y1231" i="9"/>
  <c r="Y1232" i="9"/>
  <c r="Y1233" i="9"/>
  <c r="Y1234" i="9"/>
  <c r="Y1235" i="9"/>
  <c r="Y1236" i="9"/>
  <c r="Y1237" i="9"/>
  <c r="Y1238" i="9"/>
  <c r="Y1239" i="9"/>
  <c r="Y1240" i="9"/>
  <c r="Y1241" i="9"/>
  <c r="Y1242" i="9"/>
  <c r="Y1243" i="9"/>
  <c r="Y1244" i="9"/>
  <c r="Y1245" i="9"/>
  <c r="Y1246" i="9"/>
  <c r="Y1247" i="9"/>
  <c r="Y1248" i="9"/>
  <c r="Y1249" i="9"/>
  <c r="Y1250" i="9"/>
  <c r="Y1251" i="9"/>
  <c r="Y1252" i="9"/>
  <c r="Y1253" i="9"/>
  <c r="Y1254" i="9"/>
  <c r="Y1255" i="9"/>
  <c r="Y1256" i="9"/>
  <c r="Y1257" i="9"/>
  <c r="Y1258" i="9"/>
  <c r="Y1259" i="9"/>
  <c r="Y1260" i="9"/>
  <c r="Y1261" i="9"/>
  <c r="Y1262" i="9"/>
  <c r="Y1263" i="9"/>
  <c r="Y1264" i="9"/>
  <c r="Y1265" i="9"/>
  <c r="Y1267" i="9"/>
  <c r="Y1268" i="9"/>
  <c r="Y1269" i="9"/>
  <c r="Y1270" i="9"/>
  <c r="Y1271" i="9"/>
  <c r="Y1273" i="9"/>
  <c r="Y1274" i="9"/>
  <c r="Y1275" i="9"/>
  <c r="Y1276" i="9"/>
  <c r="Y1277" i="9"/>
  <c r="Y1278" i="9"/>
  <c r="Y1279" i="9"/>
  <c r="Y1280" i="9"/>
  <c r="Y1281" i="9"/>
  <c r="Y1282" i="9"/>
  <c r="Y1283" i="9"/>
  <c r="Y1285" i="9"/>
  <c r="Y1290" i="9"/>
  <c r="Y1291" i="9"/>
  <c r="Y1292" i="9"/>
  <c r="Y1293" i="9"/>
  <c r="Y1294" i="9"/>
  <c r="Y1295" i="9"/>
  <c r="Y1296" i="9"/>
  <c r="Y1297" i="9"/>
  <c r="Y1301" i="9"/>
  <c r="Y1306" i="9"/>
  <c r="Y1309" i="9"/>
  <c r="Y1312" i="9"/>
  <c r="Y1315" i="9"/>
  <c r="Y1316" i="9"/>
  <c r="Y1318" i="9"/>
  <c r="Y1319" i="9"/>
  <c r="Y1320" i="9"/>
  <c r="Y1321" i="9"/>
  <c r="Y1322" i="9"/>
  <c r="Y1323" i="9"/>
  <c r="Y1324" i="9"/>
  <c r="Y1325" i="9"/>
  <c r="Y1326" i="9"/>
  <c r="Y1327" i="9"/>
  <c r="Y1328" i="9"/>
  <c r="Y1329" i="9"/>
  <c r="Y1330" i="9"/>
  <c r="Y1331" i="9"/>
  <c r="Y1332" i="9"/>
  <c r="Y1333" i="9"/>
  <c r="Y1334" i="9"/>
  <c r="Y1335" i="9"/>
  <c r="Y1336" i="9"/>
  <c r="Y1337" i="9"/>
  <c r="Y1338" i="9"/>
  <c r="Y1339" i="9"/>
  <c r="Y1340" i="9"/>
  <c r="Y1341" i="9"/>
  <c r="Y1342" i="9"/>
  <c r="Y1343" i="9"/>
  <c r="Y1344" i="9"/>
  <c r="Y1345" i="9"/>
  <c r="Y1346" i="9"/>
  <c r="Y1347" i="9"/>
  <c r="Y1348" i="9"/>
  <c r="Y1349" i="9"/>
  <c r="Y1350" i="9"/>
  <c r="Y1351" i="9"/>
  <c r="Y1352" i="9"/>
  <c r="Y1353" i="9"/>
  <c r="Y1354" i="9"/>
  <c r="Y1355" i="9"/>
  <c r="Y1356" i="9"/>
  <c r="Y1357" i="9"/>
  <c r="Y1358" i="9"/>
  <c r="Y1359" i="9"/>
  <c r="Y1360" i="9"/>
  <c r="Y1361" i="9"/>
  <c r="Y1362" i="9"/>
  <c r="Y1363" i="9"/>
  <c r="Y1364" i="9"/>
  <c r="Y1365" i="9"/>
  <c r="Y1366" i="9"/>
  <c r="Y1367" i="9"/>
  <c r="Y1368" i="9"/>
  <c r="Y1369" i="9"/>
  <c r="Y1370" i="9"/>
  <c r="Y1371" i="9"/>
  <c r="Y1372" i="9"/>
  <c r="Y1373" i="9"/>
  <c r="Y1374" i="9"/>
  <c r="Y1375" i="9"/>
  <c r="Y1376" i="9"/>
  <c r="Y1377" i="9"/>
  <c r="Y1378" i="9"/>
  <c r="Y1379" i="9"/>
  <c r="Y1380" i="9"/>
  <c r="Y1381" i="9"/>
  <c r="Y1382" i="9"/>
  <c r="Y1383" i="9"/>
  <c r="Y1384" i="9"/>
  <c r="Y1385" i="9"/>
  <c r="Y1386" i="9"/>
  <c r="Y1387" i="9"/>
  <c r="Y1388" i="9"/>
  <c r="Y1389" i="9"/>
  <c r="Y1390" i="9"/>
  <c r="Y1391" i="9"/>
  <c r="Y1392" i="9"/>
  <c r="Y1393" i="9"/>
  <c r="Y1394" i="9"/>
  <c r="Y1395" i="9"/>
  <c r="Y1396" i="9"/>
  <c r="Y1397" i="9"/>
  <c r="Y1398" i="9"/>
  <c r="Y1399" i="9"/>
  <c r="Y1400" i="9"/>
  <c r="Y1401" i="9"/>
  <c r="Y1402" i="9"/>
  <c r="Y1423" i="9"/>
  <c r="Y1424" i="9"/>
  <c r="Y1425" i="9"/>
  <c r="Y1426" i="9"/>
  <c r="Y1427" i="9"/>
  <c r="Y1428" i="9"/>
  <c r="Y1429" i="9"/>
  <c r="Y1430" i="9"/>
  <c r="Y1431" i="9"/>
  <c r="Y1432" i="9"/>
  <c r="Y1433" i="9"/>
  <c r="Y1434" i="9"/>
  <c r="Y1435" i="9"/>
  <c r="Y1436" i="9"/>
  <c r="Y1437" i="9"/>
  <c r="Y1438" i="9"/>
  <c r="Y1439" i="9"/>
  <c r="Y1440" i="9"/>
  <c r="Y1441" i="9"/>
  <c r="Y1442" i="9"/>
  <c r="Y1443" i="9"/>
  <c r="Y1444" i="9"/>
  <c r="Y1445" i="9"/>
  <c r="Y1446" i="9"/>
  <c r="Y1447" i="9"/>
  <c r="Y1448" i="9"/>
  <c r="Y1449" i="9"/>
  <c r="Y1450" i="9"/>
  <c r="Y1451" i="9"/>
  <c r="Y1452" i="9"/>
  <c r="Y1453" i="9"/>
  <c r="Y1454" i="9"/>
  <c r="Y1455" i="9"/>
  <c r="Y1456" i="9"/>
  <c r="Y1457" i="9"/>
  <c r="Y1458" i="9"/>
  <c r="Y1459" i="9"/>
  <c r="Y1460" i="9"/>
  <c r="Y1461" i="9"/>
  <c r="Y1462" i="9"/>
  <c r="Y1463" i="9"/>
  <c r="Y1464" i="9"/>
  <c r="Y1465" i="9"/>
  <c r="Y1466" i="9"/>
  <c r="Y1467" i="9"/>
  <c r="Y1468" i="9"/>
  <c r="Y1469" i="9"/>
  <c r="Y1470" i="9"/>
  <c r="Y1471" i="9"/>
  <c r="Y1472" i="9"/>
  <c r="Y1473" i="9"/>
  <c r="Y1474" i="9"/>
  <c r="Y1475" i="9"/>
  <c r="Y1476" i="9"/>
  <c r="Y1477" i="9"/>
  <c r="Y1478" i="9"/>
  <c r="Y1479" i="9"/>
  <c r="Y1480" i="9"/>
  <c r="Y1481" i="9"/>
  <c r="Y1482" i="9"/>
  <c r="Y1483" i="9"/>
  <c r="Y1484" i="9"/>
  <c r="Y1485" i="9"/>
  <c r="Y1486" i="9"/>
  <c r="Y1489" i="9"/>
  <c r="Y1490" i="9"/>
  <c r="Y1491" i="9"/>
  <c r="Y1492" i="9"/>
  <c r="Y1493" i="9"/>
  <c r="Y1494" i="9"/>
  <c r="Y1495" i="9"/>
  <c r="Y1496" i="9"/>
  <c r="Y1497" i="9"/>
  <c r="Y1498" i="9"/>
  <c r="Y1499" i="9"/>
  <c r="Y1500" i="9"/>
  <c r="Y1501" i="9"/>
  <c r="Y1502" i="9"/>
  <c r="Y1503" i="9"/>
  <c r="Y1504" i="9"/>
  <c r="Y1505" i="9"/>
  <c r="Y1507" i="9"/>
  <c r="Y1508" i="9"/>
  <c r="Y1509" i="9"/>
  <c r="Y1510" i="9"/>
  <c r="Y1511" i="9"/>
  <c r="Y1512" i="9"/>
  <c r="Y1513" i="9"/>
  <c r="Y1514" i="9"/>
  <c r="Y1515" i="9"/>
  <c r="Y1516" i="9"/>
  <c r="Y1517" i="9"/>
  <c r="Y1518" i="9"/>
  <c r="Y1519" i="9"/>
  <c r="Y1520" i="9"/>
  <c r="Y1521" i="9"/>
  <c r="Y1522" i="9"/>
  <c r="Y1523" i="9"/>
  <c r="Y1524" i="9"/>
  <c r="Y1525" i="9"/>
  <c r="Y1526" i="9"/>
  <c r="Y1527" i="9"/>
  <c r="Y1528" i="9"/>
  <c r="Y1529" i="9"/>
  <c r="Y1530" i="9"/>
  <c r="Y1531" i="9"/>
  <c r="Y1532" i="9"/>
  <c r="Y1533" i="9"/>
  <c r="Y1534" i="9"/>
  <c r="Y1535" i="9"/>
  <c r="Y1536" i="9"/>
  <c r="Y1537" i="9"/>
  <c r="Y1538" i="9"/>
  <c r="Y1539" i="9"/>
  <c r="Y1540" i="9"/>
  <c r="Y1541" i="9"/>
  <c r="Y1542" i="9"/>
  <c r="Y1543" i="9"/>
  <c r="Y1544" i="9"/>
  <c r="Y1545" i="9"/>
  <c r="Y1546" i="9"/>
  <c r="Y1547" i="9"/>
  <c r="Y1548" i="9"/>
  <c r="Y1549" i="9"/>
  <c r="Y1550" i="9"/>
  <c r="Y1551" i="9"/>
  <c r="Y1552" i="9"/>
  <c r="Y1553" i="9"/>
  <c r="Y1554" i="9"/>
  <c r="Y1555" i="9"/>
  <c r="Y1556" i="9"/>
  <c r="Y1557" i="9"/>
  <c r="Y1558" i="9"/>
  <c r="Y1559" i="9"/>
  <c r="Y1560" i="9"/>
  <c r="Y1561" i="9"/>
  <c r="Y1562" i="9"/>
  <c r="Y1563" i="9"/>
  <c r="Y1564" i="9"/>
  <c r="Y1565" i="9"/>
  <c r="Y1566" i="9"/>
  <c r="Y1567" i="9"/>
  <c r="Y1568" i="9"/>
  <c r="Y1569" i="9"/>
  <c r="Y1570" i="9"/>
  <c r="Y1571" i="9"/>
  <c r="Y1572" i="9"/>
  <c r="Y1573" i="9"/>
  <c r="Y1574" i="9"/>
  <c r="Y1575" i="9"/>
  <c r="Y1576" i="9"/>
  <c r="Y1577" i="9"/>
  <c r="Y1578" i="9"/>
  <c r="Y1579" i="9"/>
  <c r="Y1580" i="9"/>
  <c r="Y1581" i="9"/>
  <c r="Y1582" i="9"/>
  <c r="Y1583" i="9"/>
  <c r="Y1584" i="9"/>
  <c r="Y1585" i="9"/>
  <c r="Y1586" i="9"/>
  <c r="Y1587" i="9"/>
  <c r="Y1588" i="9"/>
  <c r="Y1589" i="9"/>
  <c r="Y1590" i="9"/>
  <c r="Y1591" i="9"/>
  <c r="Y1592" i="9"/>
  <c r="Y1593" i="9"/>
  <c r="Y1594" i="9"/>
  <c r="Y1595" i="9"/>
  <c r="Y1596" i="9"/>
  <c r="Y1597" i="9"/>
  <c r="Y1598" i="9"/>
  <c r="Y1599" i="9"/>
  <c r="Y1600" i="9"/>
  <c r="Y1601" i="9"/>
  <c r="Y1602" i="9"/>
  <c r="Y1603" i="9"/>
  <c r="Y1604" i="9"/>
  <c r="Y1605" i="9"/>
  <c r="Y1606" i="9"/>
  <c r="Y1607" i="9"/>
  <c r="Y1608" i="9"/>
  <c r="Y1609" i="9"/>
  <c r="Y1610" i="9"/>
  <c r="Y1611" i="9"/>
  <c r="Y1612" i="9"/>
  <c r="Y1613" i="9"/>
  <c r="Y1614" i="9"/>
  <c r="Y1615" i="9"/>
  <c r="Y1616" i="9"/>
  <c r="Y1617" i="9"/>
  <c r="Y1618" i="9"/>
  <c r="Y1619" i="9"/>
  <c r="Y1620" i="9"/>
  <c r="Y1621" i="9"/>
  <c r="Y1622" i="9"/>
  <c r="Y1623" i="9"/>
  <c r="Y1624" i="9"/>
  <c r="Y1625" i="9"/>
  <c r="Y1626" i="9"/>
  <c r="Y1627" i="9"/>
  <c r="Y1628" i="9"/>
  <c r="Y1629" i="9"/>
  <c r="Y1630" i="9"/>
  <c r="Y1631" i="9"/>
  <c r="Y1632" i="9"/>
  <c r="Y1633" i="9"/>
  <c r="Y1634" i="9"/>
  <c r="Y1636" i="9"/>
  <c r="Y1637" i="9"/>
  <c r="Y1638" i="9"/>
  <c r="Y1640" i="9"/>
  <c r="Y1642" i="9"/>
  <c r="Y1644" i="9"/>
  <c r="Y1645" i="9"/>
  <c r="Y1646" i="9"/>
  <c r="Y1648" i="9"/>
  <c r="Y1650" i="9"/>
  <c r="Y1652" i="9"/>
  <c r="Y1654" i="9"/>
  <c r="Y1656" i="9"/>
  <c r="Y1658" i="9"/>
  <c r="Y1666" i="9"/>
  <c r="Y1670" i="9"/>
  <c r="Y1673" i="9"/>
  <c r="Y1679" i="9"/>
  <c r="Y1682" i="9"/>
  <c r="Y1684" i="9"/>
  <c r="Y1685" i="9"/>
  <c r="Y1688" i="9"/>
  <c r="Y1690" i="9"/>
  <c r="Y1691" i="9"/>
  <c r="Y1692" i="9"/>
  <c r="Y1694" i="9"/>
  <c r="Y1695" i="9"/>
  <c r="Y1696" i="9"/>
  <c r="Y1697" i="9"/>
  <c r="Y1698" i="9"/>
  <c r="Y1699" i="9"/>
  <c r="Y1700" i="9"/>
  <c r="Y1701" i="9"/>
  <c r="Y1702" i="9"/>
  <c r="Y1703" i="9"/>
  <c r="Y1704" i="9"/>
  <c r="Y1705" i="9"/>
  <c r="Y1706" i="9"/>
  <c r="Y1707" i="9"/>
  <c r="Y1708" i="9"/>
  <c r="Y1709" i="9"/>
  <c r="Y1710" i="9"/>
  <c r="Y1711" i="9"/>
  <c r="Y1712" i="9"/>
  <c r="Y1713" i="9"/>
  <c r="Y1714" i="9"/>
  <c r="Y1715" i="9"/>
  <c r="Y1716" i="9"/>
  <c r="Y1717" i="9"/>
  <c r="Y1718" i="9"/>
  <c r="Y1719" i="9"/>
  <c r="Y1720" i="9"/>
  <c r="Y1721" i="9"/>
  <c r="Y1722" i="9"/>
  <c r="Y1723" i="9"/>
  <c r="Y1724" i="9"/>
  <c r="Y1725" i="9"/>
  <c r="Y1726" i="9"/>
  <c r="Y1727" i="9"/>
  <c r="Y1728" i="9"/>
  <c r="Y1729" i="9"/>
  <c r="Y1730" i="9"/>
  <c r="Y1731" i="9"/>
  <c r="Y1732" i="9"/>
  <c r="Y1733" i="9"/>
  <c r="Y1734" i="9"/>
  <c r="Y1735" i="9"/>
  <c r="Y1736" i="9"/>
  <c r="Y1737" i="9"/>
  <c r="Y1738" i="9"/>
  <c r="Y1739" i="9"/>
  <c r="Y1740" i="9"/>
  <c r="Y1741" i="9"/>
  <c r="Y1742" i="9"/>
  <c r="Y1743" i="9"/>
  <c r="Y1744" i="9"/>
  <c r="Y1745" i="9"/>
  <c r="Y1746" i="9"/>
  <c r="Y1747" i="9"/>
  <c r="Y1748" i="9"/>
  <c r="Y1749" i="9"/>
  <c r="Y1750" i="9"/>
  <c r="Y1751" i="9"/>
  <c r="Y1752" i="9"/>
  <c r="Y1753" i="9"/>
  <c r="Y1754" i="9"/>
  <c r="Y1755" i="9"/>
  <c r="Y1756" i="9"/>
  <c r="Y1757" i="9"/>
  <c r="Y1758" i="9"/>
  <c r="Y1759" i="9"/>
  <c r="Y1760" i="9"/>
  <c r="Y1761" i="9"/>
  <c r="Y1762" i="9"/>
  <c r="Y1763" i="9"/>
  <c r="Y1764" i="9"/>
  <c r="Y1765" i="9"/>
  <c r="Y1766" i="9"/>
  <c r="Y1767" i="9"/>
  <c r="Y1768" i="9"/>
  <c r="Y1769" i="9"/>
  <c r="Y1770" i="9"/>
  <c r="Y1771" i="9"/>
  <c r="Y1772" i="9"/>
  <c r="Y1773" i="9"/>
  <c r="Y1774" i="9"/>
  <c r="Y1775" i="9"/>
  <c r="Y1776" i="9"/>
  <c r="Y1777" i="9"/>
  <c r="Y1778" i="9"/>
  <c r="Y1779" i="9"/>
  <c r="Y1780" i="9"/>
  <c r="Y1781" i="9"/>
  <c r="Y1782" i="9"/>
  <c r="Y1783" i="9"/>
  <c r="Y1784" i="9"/>
  <c r="Y1785" i="9"/>
  <c r="Y1786" i="9"/>
  <c r="Y1787" i="9"/>
  <c r="Y1788" i="9"/>
  <c r="Y1789" i="9"/>
  <c r="Y1790" i="9"/>
  <c r="Y1791" i="9"/>
  <c r="Y1792" i="9"/>
  <c r="Y1793" i="9"/>
  <c r="Y1794" i="9"/>
  <c r="Y1795" i="9"/>
  <c r="Y1796" i="9"/>
  <c r="Y1797" i="9"/>
  <c r="Y1798" i="9"/>
  <c r="Y1799" i="9"/>
  <c r="Y1800" i="9"/>
  <c r="Y1801" i="9"/>
  <c r="Y1802" i="9"/>
  <c r="Y1803" i="9"/>
  <c r="Y1804" i="9"/>
  <c r="Y1805" i="9"/>
  <c r="Y1806" i="9"/>
  <c r="Y1807" i="9"/>
  <c r="Y1808" i="9"/>
  <c r="Y1809" i="9"/>
  <c r="Y1810" i="9"/>
  <c r="Y1811" i="9"/>
  <c r="Y1812" i="9"/>
  <c r="Y1813" i="9"/>
  <c r="Y1814" i="9"/>
  <c r="Y1815" i="9"/>
  <c r="Y1816" i="9"/>
  <c r="Y1817" i="9"/>
  <c r="Y1818" i="9"/>
  <c r="Y1819" i="9"/>
  <c r="Y1820" i="9"/>
  <c r="Y1821" i="9"/>
  <c r="Y1822" i="9"/>
  <c r="Y1823" i="9"/>
  <c r="Y1824" i="9"/>
  <c r="Y1825" i="9"/>
  <c r="Y1826" i="9"/>
  <c r="Y1827" i="9"/>
  <c r="Y1828" i="9"/>
  <c r="Y1829" i="9"/>
  <c r="Y1830" i="9"/>
  <c r="Y1831" i="9"/>
  <c r="Y1832" i="9"/>
  <c r="Y1833" i="9"/>
  <c r="Y1834" i="9"/>
  <c r="Y1835" i="9"/>
  <c r="Y1836" i="9"/>
  <c r="Y1837" i="9"/>
  <c r="Y1838" i="9"/>
  <c r="Y1839" i="9"/>
  <c r="Y1840" i="9"/>
  <c r="Y1841" i="9"/>
  <c r="Y1842" i="9"/>
  <c r="Y1843" i="9"/>
  <c r="Y1844" i="9"/>
  <c r="Y1845" i="9"/>
  <c r="Y1846" i="9"/>
  <c r="Y1847" i="9"/>
  <c r="Y1848" i="9"/>
  <c r="Y1849" i="9"/>
  <c r="Y1850" i="9"/>
  <c r="Y1851" i="9"/>
  <c r="Y1852" i="9"/>
  <c r="Y1853" i="9"/>
  <c r="Y1854" i="9"/>
  <c r="Y1855" i="9"/>
  <c r="Y1856" i="9"/>
  <c r="Y1857" i="9"/>
  <c r="Y1858" i="9"/>
  <c r="Y1859" i="9"/>
  <c r="Y1860" i="9"/>
  <c r="Y1861" i="9"/>
  <c r="Y1862" i="9"/>
  <c r="Y1863" i="9"/>
  <c r="Y1864" i="9"/>
  <c r="Y1865" i="9"/>
  <c r="Y1866" i="9"/>
  <c r="Y1867" i="9"/>
  <c r="Y1868" i="9"/>
  <c r="Y1869" i="9"/>
  <c r="Y1870" i="9"/>
  <c r="Y1871" i="9"/>
  <c r="Y1872" i="9"/>
  <c r="Y1873" i="9"/>
  <c r="Y1874" i="9"/>
  <c r="Y1875" i="9"/>
  <c r="Y1876" i="9"/>
  <c r="Y1877" i="9"/>
  <c r="Y1878" i="9"/>
  <c r="Y1879" i="9"/>
  <c r="Y1880" i="9"/>
  <c r="Y1881" i="9"/>
  <c r="Y1882" i="9"/>
  <c r="Y1883" i="9"/>
  <c r="Y1884" i="9"/>
  <c r="Y1885" i="9"/>
  <c r="Y1886" i="9"/>
  <c r="Y1887" i="9"/>
  <c r="Y1888" i="9"/>
  <c r="Y1889" i="9"/>
  <c r="Y1890" i="9"/>
  <c r="Y1891" i="9"/>
  <c r="Y1892" i="9"/>
  <c r="Y1893" i="9"/>
  <c r="Y1894" i="9"/>
  <c r="Y1895" i="9"/>
  <c r="Y1896" i="9"/>
  <c r="Y1897" i="9"/>
  <c r="Y1898" i="9"/>
  <c r="Y1899" i="9"/>
  <c r="Y1900" i="9"/>
  <c r="Y1901" i="9"/>
  <c r="Y1902" i="9"/>
  <c r="Y1903" i="9"/>
  <c r="Y1904" i="9"/>
  <c r="Y1905" i="9"/>
  <c r="Y1906" i="9"/>
  <c r="Y1907" i="9"/>
  <c r="Y1908" i="9"/>
  <c r="Y1909" i="9"/>
  <c r="Y1910" i="9"/>
  <c r="Y1911" i="9"/>
  <c r="Y1912" i="9"/>
  <c r="Y1913" i="9"/>
  <c r="Y1914" i="9"/>
  <c r="Y1915" i="9"/>
  <c r="Y1916" i="9"/>
  <c r="Y1917" i="9"/>
  <c r="Y1918" i="9"/>
  <c r="Y1919" i="9"/>
  <c r="Y1920" i="9"/>
  <c r="Y1921" i="9"/>
  <c r="Y1922" i="9"/>
  <c r="Y1923" i="9"/>
  <c r="Y1924" i="9"/>
  <c r="Y1925" i="9"/>
  <c r="Y1926" i="9"/>
  <c r="Y1927" i="9"/>
  <c r="Y1928" i="9"/>
  <c r="Y1929" i="9"/>
  <c r="Y1930" i="9"/>
  <c r="Y1931" i="9"/>
  <c r="Y1932" i="9"/>
  <c r="Y1933" i="9"/>
  <c r="Y1934" i="9"/>
  <c r="Y1935" i="9"/>
  <c r="Y1936" i="9"/>
  <c r="Y1937" i="9"/>
  <c r="Y1938" i="9"/>
  <c r="Y1939" i="9"/>
  <c r="Y1940" i="9"/>
  <c r="Y1941" i="9"/>
  <c r="Y1942" i="9"/>
  <c r="Y1943" i="9"/>
  <c r="Y1944" i="9"/>
  <c r="Y1945" i="9"/>
  <c r="Y1946" i="9"/>
  <c r="Y1947" i="9"/>
  <c r="Y1948" i="9"/>
  <c r="Y1949" i="9"/>
  <c r="Y1950" i="9"/>
  <c r="Y1951" i="9"/>
  <c r="Y1952" i="9"/>
  <c r="Y1953" i="9"/>
  <c r="Y1954" i="9"/>
  <c r="Y1955" i="9"/>
  <c r="Y1956" i="9"/>
  <c r="Y1957" i="9"/>
  <c r="Y1958" i="9"/>
  <c r="Y1959" i="9"/>
  <c r="Y1960" i="9"/>
  <c r="Y1961" i="9"/>
  <c r="Y1962" i="9"/>
  <c r="Y1963" i="9"/>
  <c r="Y1964" i="9"/>
  <c r="Y1965" i="9"/>
  <c r="Y1966" i="9"/>
  <c r="Y1967" i="9"/>
  <c r="Y1968" i="9"/>
  <c r="Y1969" i="9"/>
  <c r="Y1970" i="9"/>
  <c r="Y1971" i="9"/>
  <c r="Y1972" i="9"/>
  <c r="Y1973" i="9"/>
  <c r="Y1974" i="9"/>
  <c r="Y1975" i="9"/>
  <c r="Y1976" i="9"/>
  <c r="Y1977" i="9"/>
  <c r="Y1978" i="9"/>
  <c r="Y1979" i="9"/>
  <c r="Y1980" i="9"/>
  <c r="Y1981" i="9"/>
  <c r="Y1982" i="9"/>
  <c r="Y1983" i="9"/>
  <c r="Y1984" i="9"/>
  <c r="Y1985" i="9"/>
  <c r="Y1986" i="9"/>
  <c r="Y1987" i="9"/>
  <c r="Y1988" i="9"/>
  <c r="Y1989" i="9"/>
  <c r="Y1990" i="9"/>
  <c r="Y1991" i="9"/>
  <c r="Y1992" i="9"/>
  <c r="Y1993" i="9"/>
  <c r="Y1994" i="9"/>
  <c r="Y1995" i="9"/>
  <c r="Y1996" i="9"/>
  <c r="Y1997" i="9"/>
  <c r="Y1998" i="9"/>
  <c r="Y1999" i="9"/>
  <c r="Y2000" i="9"/>
  <c r="Y2001" i="9"/>
  <c r="Y2002" i="9"/>
  <c r="Y2003" i="9"/>
  <c r="Y2004" i="9"/>
  <c r="Y2005" i="9"/>
  <c r="Y2006" i="9"/>
  <c r="Y2007" i="9"/>
  <c r="Y2008" i="9"/>
  <c r="Y2009" i="9"/>
  <c r="Y2010" i="9"/>
  <c r="Y2011" i="9"/>
  <c r="Y2014" i="9"/>
  <c r="Y2017" i="9"/>
  <c r="Y2020" i="9"/>
  <c r="Y2023" i="9"/>
  <c r="Y2026" i="9"/>
  <c r="Y2034" i="9"/>
  <c r="Y2035" i="9"/>
  <c r="Y2036" i="9"/>
  <c r="Y2037" i="9"/>
  <c r="Y2038" i="9"/>
  <c r="Y2039" i="9"/>
  <c r="Y2040" i="9"/>
  <c r="Y2041" i="9"/>
  <c r="Y2042" i="9"/>
  <c r="Y2043" i="9"/>
  <c r="Y2044" i="9"/>
  <c r="Y2045" i="9"/>
  <c r="Y2046" i="9"/>
  <c r="Y2047" i="9"/>
  <c r="Y2048" i="9"/>
  <c r="Y2049" i="9"/>
  <c r="Y2050" i="9"/>
  <c r="Y2051" i="9"/>
  <c r="Y2052" i="9"/>
  <c r="Y2053" i="9"/>
  <c r="Y2054" i="9"/>
  <c r="Y2055" i="9"/>
  <c r="Y2056" i="9"/>
  <c r="Y2057" i="9"/>
  <c r="Y2058" i="9"/>
  <c r="Y2059" i="9"/>
  <c r="Y2060" i="9"/>
  <c r="Y2061" i="9"/>
  <c r="Y2062" i="9"/>
  <c r="Y2063" i="9"/>
  <c r="Y2064" i="9"/>
  <c r="Y2065" i="9"/>
  <c r="Y2066" i="9"/>
  <c r="Y2067" i="9"/>
  <c r="Y2068" i="9"/>
  <c r="Y2069" i="9"/>
  <c r="Y2070" i="9"/>
  <c r="Y2071" i="9"/>
  <c r="Y2072" i="9"/>
  <c r="Y2073" i="9"/>
  <c r="Y2074" i="9"/>
  <c r="Y2075" i="9"/>
  <c r="Y2076" i="9"/>
  <c r="Y2077" i="9"/>
  <c r="Y2078" i="9"/>
  <c r="Y2079" i="9"/>
  <c r="Y2080" i="9"/>
  <c r="Y2083" i="9"/>
  <c r="Y2084" i="9"/>
  <c r="Y2085" i="9"/>
  <c r="Y2086" i="9"/>
  <c r="Y2087" i="9"/>
  <c r="Y2088" i="9"/>
  <c r="Y2089" i="9"/>
  <c r="Y2090" i="9"/>
  <c r="Y2091" i="9"/>
  <c r="Y2092" i="9"/>
  <c r="Y2093" i="9"/>
  <c r="Y2094" i="9"/>
  <c r="Y2095" i="9"/>
  <c r="Y2096" i="9"/>
  <c r="Y2097" i="9"/>
  <c r="Y2098" i="9"/>
  <c r="Y2099" i="9"/>
  <c r="Y2100" i="9"/>
  <c r="Y2101" i="9"/>
  <c r="Y2102" i="9"/>
  <c r="Y2103" i="9"/>
  <c r="Y2104" i="9"/>
  <c r="Y2105" i="9"/>
  <c r="Y2106" i="9"/>
  <c r="Y2107" i="9"/>
  <c r="Y2108" i="9"/>
  <c r="Y2109" i="9"/>
  <c r="Y2110" i="9"/>
  <c r="Y2111" i="9"/>
  <c r="Y2112" i="9"/>
  <c r="Y2113" i="9"/>
  <c r="Y2114" i="9"/>
  <c r="Y2115" i="9"/>
  <c r="Y2116" i="9"/>
  <c r="Y2117" i="9"/>
  <c r="Y2118" i="9"/>
  <c r="Y2119" i="9"/>
  <c r="Y2120" i="9"/>
  <c r="Y2121" i="9"/>
  <c r="Y2122" i="9"/>
  <c r="Y2123" i="9"/>
  <c r="Y2124" i="9"/>
  <c r="Y2125" i="9"/>
  <c r="Y2126" i="9"/>
  <c r="Y2127" i="9"/>
  <c r="Y2128" i="9"/>
  <c r="Y2129" i="9"/>
  <c r="Y2130" i="9"/>
  <c r="Y2131" i="9"/>
  <c r="Y2132" i="9"/>
  <c r="Y2133" i="9"/>
  <c r="Y2134" i="9"/>
  <c r="Y2135" i="9"/>
  <c r="Y2136" i="9"/>
  <c r="Y2137" i="9"/>
  <c r="Y2138" i="9"/>
  <c r="Y2139" i="9"/>
  <c r="Y2140" i="9"/>
  <c r="Y2141" i="9"/>
  <c r="Y2142" i="9"/>
  <c r="Y2143" i="9"/>
  <c r="Y2144" i="9"/>
  <c r="Y2145" i="9"/>
  <c r="Y2146" i="9"/>
  <c r="Y2147" i="9"/>
  <c r="Y2148" i="9"/>
  <c r="Y2149" i="9"/>
  <c r="Y2150" i="9"/>
  <c r="Y2151" i="9"/>
  <c r="Y2152" i="9"/>
  <c r="Y2153" i="9"/>
  <c r="Y2154" i="9"/>
  <c r="Y2155" i="9"/>
  <c r="Y2156" i="9"/>
  <c r="Y2157" i="9"/>
  <c r="Y2158" i="9"/>
  <c r="Y2159" i="9"/>
  <c r="Y2160" i="9"/>
  <c r="Y2161" i="9"/>
  <c r="Y2162" i="9"/>
  <c r="Y2163" i="9"/>
  <c r="Y2164" i="9"/>
  <c r="Y2165" i="9"/>
  <c r="Y2166" i="9"/>
  <c r="Y2167" i="9"/>
  <c r="Y2168" i="9"/>
  <c r="Y2169" i="9"/>
  <c r="Y2170" i="9"/>
  <c r="Y2171" i="9"/>
  <c r="Y2172" i="9"/>
  <c r="Y2173" i="9"/>
  <c r="Y2174" i="9"/>
  <c r="Y2175" i="9"/>
  <c r="Y2176" i="9"/>
  <c r="Y2177" i="9"/>
  <c r="Y2178" i="9"/>
  <c r="Y2179" i="9"/>
  <c r="Y2180" i="9"/>
  <c r="Y2181" i="9"/>
  <c r="Y2182" i="9"/>
  <c r="Y2183" i="9"/>
  <c r="Y2184" i="9"/>
  <c r="Y2185" i="9"/>
  <c r="Y2186" i="9"/>
  <c r="Y2187" i="9"/>
  <c r="Y2188" i="9"/>
  <c r="Y2189" i="9"/>
  <c r="Y2190" i="9"/>
  <c r="Y2191" i="9"/>
  <c r="Y2192" i="9"/>
  <c r="Y2193" i="9"/>
  <c r="Y2194" i="9"/>
  <c r="Y2195" i="9"/>
  <c r="Y2196" i="9"/>
  <c r="Y2197" i="9"/>
  <c r="Y2198" i="9"/>
  <c r="Y2199" i="9"/>
  <c r="Y2200" i="9"/>
  <c r="Y2201" i="9"/>
  <c r="Y2202" i="9"/>
  <c r="Y2203" i="9"/>
  <c r="Y2204" i="9"/>
  <c r="Y2205" i="9"/>
  <c r="Y2206" i="9"/>
  <c r="Y2207" i="9"/>
  <c r="Y2208" i="9"/>
  <c r="Y2209" i="9"/>
  <c r="Y2210" i="9"/>
  <c r="Y2211" i="9"/>
  <c r="Y2212" i="9"/>
  <c r="Y2213" i="9"/>
  <c r="Y2214" i="9"/>
  <c r="Y2215" i="9"/>
  <c r="Y2216" i="9"/>
  <c r="Y2217" i="9"/>
  <c r="Y2218" i="9"/>
  <c r="Y2219" i="9"/>
  <c r="Y2220" i="9"/>
  <c r="Y2221" i="9"/>
  <c r="Y2222" i="9"/>
  <c r="Y2223" i="9"/>
  <c r="Y2224" i="9"/>
  <c r="Y2225" i="9"/>
  <c r="Y2226" i="9"/>
  <c r="Y2227" i="9"/>
  <c r="Y2228" i="9"/>
  <c r="Y2229" i="9"/>
  <c r="Y2230" i="9"/>
  <c r="Y2231" i="9"/>
  <c r="Y2232" i="9"/>
  <c r="Y2233" i="9"/>
  <c r="Y2234" i="9"/>
  <c r="Y2235" i="9"/>
  <c r="Y2236" i="9"/>
  <c r="Y2237" i="9"/>
  <c r="Y2238" i="9"/>
  <c r="Y2239" i="9"/>
  <c r="Y2240" i="9"/>
  <c r="Y2241" i="9"/>
  <c r="Y2242" i="9"/>
  <c r="Y2243" i="9"/>
  <c r="Y2244" i="9"/>
  <c r="Y2245" i="9"/>
  <c r="Y2246" i="9"/>
  <c r="Y2247" i="9"/>
  <c r="Y2248" i="9"/>
  <c r="Y2249" i="9"/>
  <c r="Y2250" i="9"/>
  <c r="Y2251" i="9"/>
  <c r="Y2252" i="9"/>
  <c r="Y2253" i="9"/>
  <c r="Y2254" i="9"/>
  <c r="Y2255" i="9"/>
  <c r="Y2256" i="9"/>
  <c r="Y2257" i="9"/>
  <c r="Y2258" i="9"/>
  <c r="Y2259" i="9"/>
  <c r="Y2260" i="9"/>
  <c r="Y2261" i="9"/>
  <c r="Y2262" i="9"/>
  <c r="Y2263" i="9"/>
  <c r="Y2264" i="9"/>
  <c r="Y2265" i="9"/>
  <c r="Y2266" i="9"/>
  <c r="Y2267" i="9"/>
  <c r="Y2268" i="9"/>
  <c r="Y2269" i="9"/>
  <c r="Y2270" i="9"/>
  <c r="Y2271" i="9"/>
  <c r="Y2272" i="9"/>
  <c r="Y2273" i="9"/>
  <c r="Y2274" i="9"/>
  <c r="Y2275" i="9"/>
  <c r="Y2276" i="9"/>
  <c r="Y2277" i="9"/>
  <c r="Y2278" i="9"/>
  <c r="Y2279" i="9"/>
  <c r="Y2280" i="9"/>
  <c r="Y2281" i="9"/>
  <c r="Y2282" i="9"/>
  <c r="Y2283" i="9"/>
  <c r="Y2284" i="9"/>
  <c r="Y2285" i="9"/>
  <c r="Y2286" i="9"/>
  <c r="Y2287" i="9"/>
  <c r="Y2288" i="9"/>
  <c r="Y2289" i="9"/>
  <c r="Y2290" i="9"/>
  <c r="Y2291" i="9"/>
  <c r="Y2292" i="9"/>
  <c r="Y2293" i="9"/>
  <c r="Y2294" i="9"/>
  <c r="Y2295" i="9"/>
  <c r="Y2296" i="9"/>
  <c r="Y2297" i="9"/>
  <c r="Y2298" i="9"/>
  <c r="Y2299" i="9"/>
  <c r="Y2300" i="9"/>
  <c r="Y2301" i="9"/>
  <c r="Y2302" i="9"/>
  <c r="Y2303" i="9"/>
  <c r="Y2304" i="9"/>
  <c r="Y2305" i="9"/>
  <c r="Y2306" i="9"/>
  <c r="Y2307" i="9"/>
  <c r="Y2308" i="9"/>
  <c r="Y2309" i="9"/>
  <c r="Y2310" i="9"/>
  <c r="Y2311" i="9"/>
  <c r="Y2312" i="9"/>
  <c r="Y2313" i="9"/>
  <c r="Y2314" i="9"/>
  <c r="Y2315" i="9"/>
  <c r="Y2316" i="9"/>
  <c r="Y2317" i="9"/>
  <c r="Y2318" i="9"/>
  <c r="Y2319" i="9"/>
  <c r="Y2320" i="9"/>
  <c r="Y2321" i="9"/>
  <c r="Y2322" i="9"/>
  <c r="Y2323" i="9"/>
  <c r="Y2324" i="9"/>
  <c r="Y2325" i="9"/>
  <c r="Y2326" i="9"/>
  <c r="Y2327" i="9"/>
  <c r="Y2328" i="9"/>
  <c r="Y2329" i="9"/>
  <c r="Y2330" i="9"/>
  <c r="Y2331" i="9"/>
  <c r="Y2332" i="9"/>
  <c r="Y2333" i="9"/>
  <c r="Y2334" i="9"/>
  <c r="Y2335" i="9"/>
  <c r="Y2336" i="9"/>
  <c r="Y2337" i="9"/>
  <c r="Y2338" i="9"/>
  <c r="Y2339" i="9"/>
  <c r="Y2340" i="9"/>
  <c r="Y2341" i="9"/>
  <c r="Y2342" i="9"/>
  <c r="Y2343" i="9"/>
  <c r="Y2344" i="9"/>
  <c r="Y2345" i="9"/>
  <c r="Y2346" i="9"/>
  <c r="Y2347" i="9"/>
  <c r="Y2348" i="9"/>
  <c r="Y2349" i="9"/>
  <c r="Y2350" i="9"/>
  <c r="Y2351" i="9"/>
  <c r="Y2352" i="9"/>
  <c r="Y2353" i="9"/>
  <c r="Y2354" i="9"/>
  <c r="Y2355" i="9"/>
  <c r="Y2356" i="9"/>
  <c r="Y2357" i="9"/>
  <c r="Y2358" i="9"/>
  <c r="Y2359" i="9"/>
  <c r="Y2360" i="9"/>
  <c r="Y2361" i="9"/>
  <c r="Y2362" i="9"/>
  <c r="Y2363" i="9"/>
  <c r="Y2364" i="9"/>
  <c r="Y2365" i="9"/>
  <c r="Y2366" i="9"/>
  <c r="Y2367" i="9"/>
  <c r="Y2368" i="9"/>
  <c r="Y2369" i="9"/>
  <c r="Y2370" i="9"/>
  <c r="Y2371" i="9"/>
  <c r="Y2372" i="9"/>
  <c r="Y2373" i="9"/>
  <c r="Y2374" i="9"/>
  <c r="Y2375" i="9"/>
  <c r="Y2376" i="9"/>
  <c r="Y2377" i="9"/>
  <c r="Y2378" i="9"/>
  <c r="Y2379" i="9"/>
  <c r="Y2380" i="9"/>
  <c r="Y2381" i="9"/>
  <c r="Y2382" i="9"/>
  <c r="Y2383" i="9"/>
  <c r="Y2384" i="9"/>
  <c r="Y2385" i="9"/>
  <c r="Y2386" i="9"/>
  <c r="Y2387" i="9"/>
  <c r="Y2388" i="9"/>
  <c r="Y2389" i="9"/>
  <c r="Y2390" i="9"/>
  <c r="Y2391" i="9"/>
  <c r="Y2392" i="9"/>
  <c r="Y2393" i="9"/>
  <c r="Y2394" i="9"/>
  <c r="Y2395" i="9"/>
  <c r="Y2396" i="9"/>
  <c r="Y2397" i="9"/>
  <c r="Y2398" i="9"/>
  <c r="Y2399" i="9"/>
  <c r="Y2400" i="9"/>
  <c r="Y2401" i="9"/>
  <c r="Y2402" i="9"/>
  <c r="Y2403" i="9"/>
  <c r="Y2404" i="9"/>
  <c r="Y2405" i="9"/>
  <c r="Y2406" i="9"/>
  <c r="Y2407" i="9"/>
  <c r="Y2408" i="9"/>
  <c r="Y2409" i="9"/>
  <c r="Y2410" i="9"/>
  <c r="Y2411" i="9"/>
  <c r="Y2412" i="9"/>
  <c r="Y2413" i="9"/>
  <c r="Y2414" i="9"/>
  <c r="Y2415" i="9"/>
  <c r="Y2416" i="9"/>
  <c r="Y2417" i="9"/>
  <c r="Y2418" i="9"/>
  <c r="Y2419" i="9"/>
  <c r="Y2420" i="9"/>
  <c r="Y2422" i="9"/>
  <c r="Y2423" i="9"/>
  <c r="Y2424" i="9"/>
  <c r="Y2425" i="9"/>
  <c r="Y2426" i="9"/>
  <c r="Y2427" i="9"/>
  <c r="Y2428" i="9"/>
  <c r="Y2429" i="9"/>
  <c r="Y2430" i="9"/>
  <c r="Y2431" i="9"/>
  <c r="Y2432" i="9"/>
  <c r="Y2433" i="9"/>
  <c r="Y2434" i="9"/>
  <c r="Y2435" i="9"/>
  <c r="Y2436" i="9"/>
  <c r="Y2437" i="9"/>
  <c r="Y2438" i="9"/>
  <c r="Y2439" i="9"/>
  <c r="Y2440" i="9"/>
  <c r="Y2441" i="9"/>
  <c r="Y2442" i="9"/>
  <c r="Y2443" i="9"/>
  <c r="Y2444" i="9"/>
  <c r="Y2445" i="9"/>
  <c r="Y2446" i="9"/>
  <c r="Y2447" i="9"/>
  <c r="Y2448" i="9"/>
  <c r="Y2449" i="9"/>
  <c r="Y2450" i="9"/>
  <c r="Y2451" i="9"/>
  <c r="Y2452" i="9"/>
  <c r="Y2453" i="9"/>
  <c r="Y2454" i="9"/>
  <c r="Y2455" i="9"/>
  <c r="Y2456" i="9"/>
  <c r="Y2457" i="9"/>
  <c r="Y2458" i="9"/>
  <c r="Y2459" i="9"/>
  <c r="Y2460" i="9"/>
  <c r="Y2461" i="9"/>
  <c r="Y2462" i="9"/>
  <c r="Y2463" i="9"/>
  <c r="Y2464" i="9"/>
  <c r="Y2465" i="9"/>
  <c r="Y2466" i="9"/>
  <c r="Y2467" i="9"/>
  <c r="Y2468" i="9"/>
  <c r="Y2469" i="9"/>
  <c r="Y2470" i="9"/>
  <c r="Y2471" i="9"/>
  <c r="Y2472" i="9"/>
  <c r="Y2473" i="9"/>
  <c r="Y2474" i="9"/>
  <c r="Y2475" i="9"/>
  <c r="Y2476" i="9"/>
  <c r="Y2477" i="9"/>
  <c r="Y2478" i="9"/>
  <c r="Y2479" i="9"/>
  <c r="Y2480" i="9"/>
  <c r="Y2481" i="9"/>
  <c r="Y2482" i="9"/>
  <c r="Y2483" i="9"/>
  <c r="Y2484" i="9"/>
  <c r="Y2485" i="9"/>
  <c r="Y2486" i="9"/>
  <c r="Y2487" i="9"/>
  <c r="Y2488" i="9"/>
  <c r="Y2489" i="9"/>
  <c r="Y2490" i="9"/>
  <c r="Y2491" i="9"/>
  <c r="Y2492" i="9"/>
  <c r="Y2493" i="9"/>
  <c r="Y2494" i="9"/>
  <c r="Y2495" i="9"/>
  <c r="Y2496" i="9"/>
  <c r="Y2497" i="9"/>
  <c r="Y2498" i="9"/>
  <c r="Y2499" i="9"/>
  <c r="Y2500" i="9"/>
  <c r="Y2501" i="9"/>
  <c r="Y2502" i="9"/>
  <c r="Y2503" i="9"/>
  <c r="Y2504" i="9"/>
  <c r="Y2505" i="9"/>
  <c r="Y2506" i="9"/>
  <c r="Y2507" i="9"/>
  <c r="Y2508" i="9"/>
  <c r="Y2509" i="9"/>
  <c r="Y2510" i="9"/>
  <c r="Y2511" i="9"/>
  <c r="Y2512" i="9"/>
  <c r="Y2513" i="9"/>
  <c r="Y2514" i="9"/>
  <c r="Y2515" i="9"/>
  <c r="Y2516" i="9"/>
  <c r="Y2517" i="9"/>
  <c r="Y2518" i="9"/>
  <c r="Y2519" i="9"/>
  <c r="Y2520" i="9"/>
  <c r="Y2521" i="9"/>
  <c r="Y2522" i="9"/>
  <c r="Y2523" i="9"/>
  <c r="Y2524" i="9"/>
  <c r="Y2525" i="9"/>
  <c r="Y2526" i="9"/>
  <c r="Y2527" i="9"/>
  <c r="Y2528" i="9"/>
  <c r="Y2529" i="9"/>
  <c r="Y2530" i="9"/>
  <c r="Y2531" i="9"/>
  <c r="Y2532" i="9"/>
  <c r="Y2533" i="9"/>
  <c r="Y2534" i="9"/>
  <c r="Y2535" i="9"/>
  <c r="Y2536" i="9"/>
  <c r="Y2537" i="9"/>
  <c r="Y2538" i="9"/>
  <c r="Y2539" i="9"/>
  <c r="Y2540" i="9"/>
  <c r="Y2541" i="9"/>
  <c r="Y2542" i="9"/>
  <c r="Y2543" i="9"/>
  <c r="Y2544" i="9"/>
  <c r="Y2545" i="9"/>
  <c r="Y2546" i="9"/>
  <c r="Y2547" i="9"/>
  <c r="Y2548" i="9"/>
  <c r="Y2549" i="9"/>
  <c r="Y2550" i="9"/>
  <c r="Y2551" i="9"/>
  <c r="Y2552" i="9"/>
  <c r="Y2553" i="9"/>
  <c r="Y2554" i="9"/>
  <c r="Y2555" i="9"/>
  <c r="Y2556" i="9"/>
  <c r="Y2557" i="9"/>
  <c r="Y2558" i="9"/>
  <c r="Y2559" i="9"/>
  <c r="Y2560" i="9"/>
  <c r="Y2561" i="9"/>
  <c r="Y2562" i="9"/>
  <c r="Y2563" i="9"/>
  <c r="Y2564" i="9"/>
  <c r="Y2565" i="9"/>
  <c r="Y2566" i="9"/>
  <c r="Y2567" i="9"/>
  <c r="Y2568" i="9"/>
  <c r="Y2569" i="9"/>
  <c r="Y2570" i="9"/>
  <c r="Y2571" i="9"/>
  <c r="Y2572" i="9"/>
  <c r="Y2573" i="9"/>
  <c r="Y2574" i="9"/>
  <c r="Y2575" i="9"/>
  <c r="Y2576" i="9"/>
  <c r="Y2577" i="9"/>
  <c r="Y2578" i="9"/>
  <c r="Y2579" i="9"/>
  <c r="Y2580" i="9"/>
  <c r="Y2581" i="9"/>
  <c r="Y2582" i="9"/>
  <c r="Y2583" i="9"/>
  <c r="Y2584" i="9"/>
  <c r="Y2585" i="9"/>
  <c r="Y2586" i="9"/>
  <c r="Y2587" i="9"/>
  <c r="Y2588" i="9"/>
  <c r="Y2589" i="9"/>
  <c r="Y2590" i="9"/>
  <c r="Y2591" i="9"/>
  <c r="Y2592" i="9"/>
  <c r="Y2593" i="9"/>
  <c r="Y2594" i="9"/>
  <c r="Y2595" i="9"/>
  <c r="Y2596" i="9"/>
  <c r="Y2597" i="9"/>
  <c r="Y2598" i="9"/>
  <c r="Y2599" i="9"/>
  <c r="Y2600" i="9"/>
  <c r="Y2601" i="9"/>
  <c r="Y2602" i="9"/>
  <c r="Y2603" i="9"/>
  <c r="Y2604" i="9"/>
  <c r="Y2605" i="9"/>
  <c r="Y2606" i="9"/>
  <c r="Y2607" i="9"/>
  <c r="Y2608" i="9"/>
  <c r="Y2609" i="9"/>
  <c r="Y2610" i="9"/>
  <c r="Y2611" i="9"/>
  <c r="Y2612" i="9"/>
  <c r="Y2613" i="9"/>
  <c r="Y2614" i="9"/>
  <c r="Y2615" i="9"/>
  <c r="Y2616" i="9"/>
  <c r="Y2617" i="9"/>
  <c r="Y2618" i="9"/>
  <c r="Y2619" i="9"/>
  <c r="Y2620" i="9"/>
  <c r="Y2621" i="9"/>
  <c r="Y2622" i="9"/>
  <c r="Y2623" i="9"/>
  <c r="Y2624" i="9"/>
  <c r="Y2625" i="9"/>
  <c r="Y2626" i="9"/>
  <c r="Y2627" i="9"/>
  <c r="Y2628" i="9"/>
  <c r="Y2629" i="9"/>
  <c r="Y2630" i="9"/>
  <c r="Y2631" i="9"/>
  <c r="Y2632" i="9"/>
  <c r="Y2633" i="9"/>
  <c r="Y2634" i="9"/>
  <c r="Y2635" i="9"/>
  <c r="Y2636" i="9"/>
  <c r="Y2637" i="9"/>
  <c r="Y2638" i="9"/>
  <c r="Y2639" i="9"/>
  <c r="Y2640" i="9"/>
  <c r="Y2641" i="9"/>
  <c r="Y2642" i="9"/>
  <c r="Y2643" i="9"/>
  <c r="Y2644" i="9"/>
  <c r="Y2645" i="9"/>
  <c r="Y2646" i="9"/>
  <c r="Y2647" i="9"/>
  <c r="Y2648" i="9"/>
  <c r="Y2649" i="9"/>
  <c r="Y2650" i="9"/>
  <c r="Y2651" i="9"/>
  <c r="Y2652" i="9"/>
  <c r="Y2653" i="9"/>
  <c r="Y2654" i="9"/>
  <c r="Y2655" i="9"/>
  <c r="Y2656" i="9"/>
  <c r="Y2657" i="9"/>
  <c r="Y2658" i="9"/>
  <c r="Y2659" i="9"/>
  <c r="Y2660" i="9"/>
  <c r="Y2661" i="9"/>
  <c r="Y2662" i="9"/>
  <c r="Y2663" i="9"/>
  <c r="Y2664" i="9"/>
  <c r="Y2665" i="9"/>
  <c r="Y2666" i="9"/>
  <c r="Y2667" i="9"/>
  <c r="Y2668" i="9"/>
  <c r="Y2669" i="9"/>
  <c r="Y2670" i="9"/>
  <c r="Y2671" i="9"/>
  <c r="Y2672" i="9"/>
  <c r="Y2673" i="9"/>
  <c r="Y2674" i="9"/>
  <c r="Y2675" i="9"/>
  <c r="Y2676" i="9"/>
  <c r="Y2677" i="9"/>
  <c r="Y2678" i="9"/>
  <c r="Y2679" i="9"/>
  <c r="Y2680" i="9"/>
  <c r="Y2681" i="9"/>
  <c r="Y2682" i="9"/>
  <c r="Y2683" i="9"/>
  <c r="Y2684" i="9"/>
  <c r="Y2685" i="9"/>
  <c r="Y2686" i="9"/>
  <c r="Y2687" i="9"/>
  <c r="Y2688" i="9"/>
  <c r="Y2689" i="9"/>
  <c r="Y2690" i="9"/>
  <c r="Y2691" i="9"/>
  <c r="Y2692" i="9"/>
  <c r="Y2693" i="9"/>
  <c r="Y2694" i="9"/>
  <c r="Y2695" i="9"/>
  <c r="Y2696" i="9"/>
  <c r="Y2697" i="9"/>
  <c r="Y2698" i="9"/>
  <c r="Y2699" i="9"/>
  <c r="Y2700" i="9"/>
  <c r="Y2701" i="9"/>
  <c r="Y2702" i="9"/>
  <c r="Y2703" i="9"/>
  <c r="Y2704" i="9"/>
  <c r="Y2705" i="9"/>
  <c r="Y2706" i="9"/>
  <c r="Y2707" i="9"/>
  <c r="Y2708" i="9"/>
  <c r="Y2709" i="9"/>
  <c r="Y2710" i="9"/>
  <c r="Y2711" i="9"/>
  <c r="Y2712" i="9"/>
  <c r="Y2713" i="9"/>
  <c r="Y2714" i="9"/>
  <c r="Y2715" i="9"/>
  <c r="Y2716" i="9"/>
  <c r="Y2717" i="9"/>
  <c r="Y2718" i="9"/>
  <c r="Y2719" i="9"/>
  <c r="Y2720" i="9"/>
  <c r="Y2721" i="9"/>
  <c r="Y2722" i="9"/>
  <c r="Y2723" i="9"/>
  <c r="Y2724" i="9"/>
  <c r="Y2725" i="9"/>
  <c r="Y2726" i="9"/>
  <c r="Y2727" i="9"/>
  <c r="Y2728" i="9"/>
  <c r="Y2729" i="9"/>
  <c r="Y2730" i="9"/>
  <c r="Y2731" i="9"/>
  <c r="Y2732" i="9"/>
  <c r="Y2733" i="9"/>
  <c r="Y2734" i="9"/>
  <c r="Y2735" i="9"/>
  <c r="Y2736" i="9"/>
  <c r="Y2737" i="9"/>
  <c r="Y2738" i="9"/>
  <c r="Y2739" i="9"/>
  <c r="Y2740" i="9"/>
  <c r="Y2741" i="9"/>
  <c r="Y2742" i="9"/>
  <c r="Y2743" i="9"/>
  <c r="Y2744" i="9"/>
  <c r="Y2745" i="9"/>
  <c r="Y2746" i="9"/>
  <c r="Y2747" i="9"/>
  <c r="Y2748" i="9"/>
  <c r="Y2749" i="9"/>
  <c r="Y2750" i="9"/>
  <c r="Y2751" i="9"/>
  <c r="Y2752" i="9"/>
  <c r="Y2753" i="9"/>
  <c r="Y2754" i="9"/>
  <c r="Y2755" i="9"/>
  <c r="Y2756" i="9"/>
  <c r="Y2757" i="9"/>
  <c r="Y2758" i="9"/>
  <c r="Y2759" i="9"/>
  <c r="Y2760" i="9"/>
  <c r="Y2761" i="9"/>
  <c r="Y2762" i="9"/>
  <c r="Y2763" i="9"/>
  <c r="Y2764" i="9"/>
  <c r="Y2765" i="9"/>
  <c r="Y2766" i="9"/>
  <c r="Y2767" i="9"/>
  <c r="Y2768" i="9"/>
  <c r="Y2769" i="9"/>
  <c r="Y2770" i="9"/>
  <c r="Y2771" i="9"/>
  <c r="Y2772" i="9"/>
  <c r="Y2773" i="9"/>
  <c r="Y2774" i="9"/>
  <c r="Y2775" i="9"/>
  <c r="Y2776" i="9"/>
  <c r="Y2777" i="9"/>
  <c r="Y2778" i="9"/>
  <c r="Y2779" i="9"/>
  <c r="Y2780" i="9"/>
  <c r="Y2781" i="9"/>
  <c r="Y2782" i="9"/>
  <c r="Y2783" i="9"/>
  <c r="Y2784" i="9"/>
  <c r="Y2785" i="9"/>
  <c r="Y2786" i="9"/>
  <c r="Y2787" i="9"/>
  <c r="Y2788" i="9"/>
  <c r="Y2789" i="9"/>
  <c r="Y2790" i="9"/>
  <c r="P17" i="14" l="1"/>
  <c r="P17" i="18"/>
  <c r="P23" i="18"/>
  <c r="P23" i="14"/>
  <c r="P27" i="18"/>
  <c r="P27" i="14"/>
  <c r="R27" i="14" s="1"/>
  <c r="P20" i="18"/>
  <c r="P20" i="14"/>
  <c r="P12" i="18"/>
  <c r="P29" i="18"/>
  <c r="P29" i="14"/>
  <c r="P31" i="14"/>
  <c r="P31" i="18"/>
  <c r="P30" i="14"/>
  <c r="R30" i="14" s="1"/>
  <c r="P30" i="18"/>
  <c r="R30" i="18" s="1"/>
  <c r="P19" i="18"/>
  <c r="P19" i="14"/>
  <c r="P21" i="18"/>
  <c r="R21" i="18" s="1"/>
  <c r="P21" i="14"/>
  <c r="R21" i="14" s="1"/>
  <c r="P22" i="18"/>
  <c r="R22" i="18" s="1"/>
  <c r="P22" i="14"/>
  <c r="R22" i="14" s="1"/>
  <c r="P8" i="18"/>
  <c r="P16" i="18"/>
  <c r="P8" i="14"/>
  <c r="P16" i="14"/>
  <c r="O28" i="18"/>
  <c r="V28" i="18" s="1"/>
  <c r="O28" i="14"/>
  <c r="R28" i="14" s="1"/>
  <c r="O24" i="18"/>
  <c r="R24" i="18" s="1"/>
  <c r="O24" i="14"/>
  <c r="R24" i="14" s="1"/>
  <c r="O23" i="18"/>
  <c r="O23" i="14"/>
  <c r="O17" i="18"/>
  <c r="O17" i="14"/>
  <c r="O20" i="18"/>
  <c r="O20" i="14"/>
  <c r="O8" i="18"/>
  <c r="O31" i="14"/>
  <c r="O31" i="18"/>
  <c r="O16" i="18"/>
  <c r="O18" i="18"/>
  <c r="O18" i="14"/>
  <c r="O29" i="14"/>
  <c r="O29" i="18"/>
  <c r="O19" i="18"/>
  <c r="O19" i="14"/>
  <c r="O12" i="18"/>
  <c r="O16" i="14"/>
  <c r="N17" i="18"/>
  <c r="N19" i="14"/>
  <c r="N19" i="18"/>
  <c r="N12" i="18"/>
  <c r="N8" i="18"/>
  <c r="N16" i="18"/>
  <c r="N18" i="14"/>
  <c r="N18" i="18"/>
  <c r="N17" i="14"/>
  <c r="M7" i="18"/>
  <c r="N16" i="14"/>
  <c r="M17" i="18"/>
  <c r="M16" i="18"/>
  <c r="M18" i="18"/>
  <c r="M18" i="14"/>
  <c r="M8" i="18"/>
  <c r="M12" i="18"/>
  <c r="M19" i="18"/>
  <c r="M19" i="14"/>
  <c r="M17" i="14"/>
  <c r="F6" i="18"/>
  <c r="M16" i="14"/>
  <c r="L8" i="18"/>
  <c r="L17" i="18"/>
  <c r="L12" i="18"/>
  <c r="L18" i="18"/>
  <c r="L18" i="14"/>
  <c r="L16" i="18"/>
  <c r="L17" i="14"/>
  <c r="K8" i="18"/>
  <c r="K18" i="18"/>
  <c r="K18" i="14"/>
  <c r="K16" i="18"/>
  <c r="K17" i="18"/>
  <c r="L16" i="14"/>
  <c r="K12" i="18"/>
  <c r="K10" i="18"/>
  <c r="K10" i="14"/>
  <c r="K16" i="14"/>
  <c r="K17" i="14"/>
  <c r="J8" i="18"/>
  <c r="J5" i="18"/>
  <c r="J5" i="14"/>
  <c r="J11" i="18"/>
  <c r="J11" i="14"/>
  <c r="J10" i="18"/>
  <c r="J10" i="14"/>
  <c r="J16" i="18"/>
  <c r="J16" i="14"/>
  <c r="J15" i="14"/>
  <c r="J15" i="18"/>
  <c r="J12" i="18"/>
  <c r="I15" i="18"/>
  <c r="I15" i="14"/>
  <c r="I5" i="18"/>
  <c r="I5" i="14"/>
  <c r="I12" i="18"/>
  <c r="I11" i="18"/>
  <c r="I11" i="14"/>
  <c r="I16" i="14"/>
  <c r="I16" i="18"/>
  <c r="G11" i="18"/>
  <c r="I14" i="18"/>
  <c r="I14" i="14"/>
  <c r="I10" i="18"/>
  <c r="I8" i="18"/>
  <c r="I10" i="14"/>
  <c r="H12" i="18"/>
  <c r="H13" i="18"/>
  <c r="H5" i="18"/>
  <c r="H8" i="18"/>
  <c r="H14" i="18"/>
  <c r="H6" i="14"/>
  <c r="H6" i="18"/>
  <c r="H11" i="18"/>
  <c r="H10" i="18"/>
  <c r="H8" i="14"/>
  <c r="H13" i="14"/>
  <c r="H14" i="14"/>
  <c r="H11" i="14"/>
  <c r="H10" i="14"/>
  <c r="G13" i="18"/>
  <c r="G13" i="14"/>
  <c r="F12" i="18"/>
  <c r="F11" i="18"/>
  <c r="G12" i="18"/>
  <c r="G6" i="18"/>
  <c r="F8" i="18"/>
  <c r="G5" i="18"/>
  <c r="G14" i="14"/>
  <c r="G7" i="18"/>
  <c r="G7" i="14"/>
  <c r="G8" i="18"/>
  <c r="G15" i="14"/>
  <c r="G15" i="18"/>
  <c r="F10" i="18"/>
  <c r="F9" i="18"/>
  <c r="G10" i="18"/>
  <c r="G10" i="14"/>
  <c r="G11" i="14"/>
  <c r="G8" i="14"/>
  <c r="G6" i="14"/>
  <c r="F12" i="14"/>
  <c r="F11" i="14"/>
  <c r="F7" i="14"/>
  <c r="F6" i="14"/>
  <c r="F8" i="14"/>
  <c r="F10" i="14"/>
  <c r="F9" i="14"/>
  <c r="P12" i="14"/>
  <c r="P9" i="14"/>
  <c r="O10" i="14"/>
  <c r="P10" i="14"/>
  <c r="P11" i="14"/>
  <c r="L7" i="14"/>
  <c r="N12" i="14"/>
  <c r="M12" i="14"/>
  <c r="N11" i="14"/>
  <c r="M6" i="14"/>
  <c r="N6" i="14"/>
  <c r="M8" i="14"/>
  <c r="L6" i="14"/>
  <c r="L8" i="14"/>
  <c r="K8" i="14"/>
  <c r="K6" i="14"/>
  <c r="P6" i="14"/>
  <c r="J8" i="14"/>
  <c r="I8" i="14"/>
  <c r="J6" i="14"/>
  <c r="I6" i="14"/>
  <c r="O8" i="14"/>
  <c r="O12" i="14"/>
  <c r="O11" i="14"/>
  <c r="N7" i="14"/>
  <c r="N8" i="14"/>
  <c r="N10" i="14"/>
  <c r="M7" i="14"/>
  <c r="L12" i="14"/>
  <c r="J7" i="14"/>
  <c r="K7" i="14"/>
  <c r="J12" i="14"/>
  <c r="K12" i="14"/>
  <c r="I7" i="14"/>
  <c r="I12" i="14"/>
  <c r="H5" i="14"/>
  <c r="H7" i="14"/>
  <c r="H12" i="14"/>
  <c r="G5" i="14"/>
  <c r="G12" i="14"/>
  <c r="O32" i="18" l="1"/>
  <c r="L32" i="18"/>
  <c r="P32" i="18"/>
  <c r="H32" i="18"/>
  <c r="M32" i="18"/>
  <c r="F32" i="18"/>
  <c r="I32" i="18"/>
  <c r="J32" i="18"/>
  <c r="K32" i="18"/>
  <c r="G32" i="18"/>
  <c r="R23" i="14"/>
  <c r="R31" i="18"/>
  <c r="R29" i="14"/>
  <c r="R31" i="14"/>
  <c r="F31" i="24"/>
  <c r="P32" i="14"/>
  <c r="R19" i="14"/>
  <c r="R19" i="18"/>
  <c r="D11" i="23"/>
  <c r="M32" i="14"/>
  <c r="F32" i="14"/>
  <c r="F33" i="14" s="1"/>
  <c r="O32" i="14"/>
  <c r="I32" i="14"/>
  <c r="J32" i="14"/>
  <c r="K32" i="14"/>
  <c r="G32" i="14"/>
  <c r="L32" i="14"/>
  <c r="H32" i="14"/>
  <c r="R18" i="18"/>
  <c r="R17" i="14"/>
  <c r="R18" i="14"/>
  <c r="R17" i="18"/>
  <c r="R16" i="14"/>
  <c r="R16" i="18"/>
  <c r="R15" i="14"/>
  <c r="R14" i="18"/>
  <c r="R15" i="18"/>
  <c r="R14" i="14"/>
  <c r="R10" i="18"/>
  <c r="R9" i="14"/>
  <c r="R13" i="14"/>
  <c r="R12" i="18"/>
  <c r="R11" i="14"/>
  <c r="R7" i="18"/>
  <c r="R10" i="14"/>
  <c r="R8" i="18"/>
  <c r="R11" i="18"/>
  <c r="Q27" i="20"/>
  <c r="P27" i="20"/>
  <c r="O27" i="20"/>
  <c r="R26" i="20"/>
  <c r="S26" i="20" s="1"/>
  <c r="T26" i="20" s="1"/>
  <c r="R25" i="20"/>
  <c r="S25" i="20" s="1"/>
  <c r="T25" i="20" s="1"/>
  <c r="D23" i="20"/>
  <c r="E23" i="20"/>
  <c r="F23" i="20"/>
  <c r="G23" i="20"/>
  <c r="H23" i="20"/>
  <c r="I23" i="20"/>
  <c r="J23" i="20"/>
  <c r="K23" i="20"/>
  <c r="L23" i="20"/>
  <c r="M23" i="20"/>
  <c r="N23" i="20"/>
  <c r="C23" i="20"/>
  <c r="D19" i="20"/>
  <c r="E19" i="20"/>
  <c r="F19" i="20"/>
  <c r="G19" i="20"/>
  <c r="H19" i="20"/>
  <c r="I19" i="20"/>
  <c r="J19" i="20"/>
  <c r="K19" i="20"/>
  <c r="L19" i="20"/>
  <c r="M19" i="20"/>
  <c r="N19" i="20"/>
  <c r="C19" i="20"/>
  <c r="D17" i="20"/>
  <c r="E17" i="20"/>
  <c r="F17" i="20"/>
  <c r="G17" i="20"/>
  <c r="H17" i="20"/>
  <c r="I17" i="20"/>
  <c r="J17" i="20"/>
  <c r="K17" i="20"/>
  <c r="L17" i="20"/>
  <c r="M17" i="20"/>
  <c r="N17" i="20"/>
  <c r="C17" i="20"/>
  <c r="D14" i="20"/>
  <c r="E14" i="20"/>
  <c r="F14" i="20"/>
  <c r="G14" i="20"/>
  <c r="H14" i="20"/>
  <c r="I14" i="20"/>
  <c r="J14" i="20"/>
  <c r="K14" i="20"/>
  <c r="L14" i="20"/>
  <c r="C14" i="20"/>
  <c r="M15" i="20"/>
  <c r="M14" i="20" s="1"/>
  <c r="M13" i="20"/>
  <c r="M12" i="20" s="1"/>
  <c r="D12" i="20"/>
  <c r="E12" i="20"/>
  <c r="F12" i="20"/>
  <c r="G12" i="20"/>
  <c r="H12" i="20"/>
  <c r="I12" i="20"/>
  <c r="J12" i="20"/>
  <c r="K12" i="20"/>
  <c r="L12" i="20"/>
  <c r="C12" i="20"/>
  <c r="D7" i="20"/>
  <c r="E7" i="20"/>
  <c r="F7" i="20"/>
  <c r="G7" i="20"/>
  <c r="H7" i="20"/>
  <c r="I7" i="20"/>
  <c r="J7" i="20"/>
  <c r="K7" i="20"/>
  <c r="L7" i="20"/>
  <c r="M7" i="20"/>
  <c r="N7" i="20"/>
  <c r="C7" i="20"/>
  <c r="D5" i="20"/>
  <c r="E5" i="20"/>
  <c r="F5" i="20"/>
  <c r="G5" i="20"/>
  <c r="H5" i="20"/>
  <c r="I5" i="20"/>
  <c r="J5" i="20"/>
  <c r="K5" i="20"/>
  <c r="L5" i="20"/>
  <c r="M5" i="20"/>
  <c r="N5" i="20"/>
  <c r="C5" i="20"/>
  <c r="D3" i="20"/>
  <c r="E3" i="20"/>
  <c r="F3" i="20"/>
  <c r="G3" i="20"/>
  <c r="G27" i="20" s="1"/>
  <c r="H3" i="20"/>
  <c r="I3" i="20"/>
  <c r="J3" i="20"/>
  <c r="K3" i="20"/>
  <c r="L3" i="20"/>
  <c r="M3" i="20"/>
  <c r="N3" i="20"/>
  <c r="C3" i="20"/>
  <c r="V23" i="18" l="1"/>
  <c r="Q39" i="18"/>
  <c r="H27" i="20"/>
  <c r="K27" i="20"/>
  <c r="L27" i="20"/>
  <c r="N13" i="20"/>
  <c r="N12" i="20" s="1"/>
  <c r="R17" i="20"/>
  <c r="S17" i="20" s="1"/>
  <c r="T17" i="20" s="1"/>
  <c r="R19" i="20"/>
  <c r="S19" i="20" s="1"/>
  <c r="T19" i="20" s="1"/>
  <c r="R23" i="20"/>
  <c r="S23" i="20" s="1"/>
  <c r="T23" i="20" s="1"/>
  <c r="R3" i="20"/>
  <c r="S3" i="20" s="1"/>
  <c r="T3" i="20" s="1"/>
  <c r="R5" i="20"/>
  <c r="S5" i="20" s="1"/>
  <c r="R7" i="20"/>
  <c r="S7" i="20" s="1"/>
  <c r="T7" i="20" s="1"/>
  <c r="T8" i="20" s="1"/>
  <c r="R12" i="20"/>
  <c r="S12" i="20" s="1"/>
  <c r="T12" i="20" s="1"/>
  <c r="F27" i="20"/>
  <c r="M27" i="20"/>
  <c r="I27" i="20"/>
  <c r="J27" i="20"/>
  <c r="G33" i="14"/>
  <c r="H33" i="14" s="1"/>
  <c r="N15" i="20"/>
  <c r="N14" i="20" s="1"/>
  <c r="N27" i="20" s="1"/>
  <c r="E27" i="20"/>
  <c r="D27" i="20"/>
  <c r="R14" i="20"/>
  <c r="S14" i="20" s="1"/>
  <c r="C27" i="20"/>
  <c r="R27" i="20" l="1"/>
  <c r="T14" i="20"/>
  <c r="T27" i="20" s="1"/>
  <c r="S27" i="20"/>
  <c r="H43" i="18" l="1"/>
  <c r="X2640" i="9" l="1"/>
  <c r="X2641" i="9"/>
  <c r="X2642" i="9"/>
  <c r="X2643" i="9"/>
  <c r="X2644" i="9"/>
  <c r="X2645" i="9"/>
  <c r="X2646" i="9"/>
  <c r="X2647" i="9"/>
  <c r="X2648" i="9"/>
  <c r="X2649" i="9"/>
  <c r="X2650" i="9"/>
  <c r="X2651" i="9"/>
  <c r="X2652" i="9"/>
  <c r="X2653" i="9"/>
  <c r="X2654" i="9"/>
  <c r="X2655" i="9"/>
  <c r="X2656" i="9"/>
  <c r="X2657" i="9"/>
  <c r="X2658" i="9"/>
  <c r="X2659" i="9"/>
  <c r="X2660" i="9"/>
  <c r="X2661" i="9"/>
  <c r="X2662" i="9"/>
  <c r="X2663" i="9"/>
  <c r="X2664" i="9"/>
  <c r="X2665" i="9"/>
  <c r="X2666" i="9"/>
  <c r="X2667" i="9"/>
  <c r="X2668" i="9"/>
  <c r="X2669" i="9"/>
  <c r="X2670" i="9"/>
  <c r="X2671" i="9"/>
  <c r="X2672" i="9"/>
  <c r="X2673" i="9"/>
  <c r="X2674" i="9"/>
  <c r="X2675" i="9"/>
  <c r="X2676" i="9"/>
  <c r="X2677" i="9"/>
  <c r="X2678" i="9"/>
  <c r="X2679" i="9"/>
  <c r="X2680" i="9"/>
  <c r="X2681" i="9"/>
  <c r="X2682" i="9"/>
  <c r="X2683" i="9"/>
  <c r="X2684" i="9"/>
  <c r="X2685" i="9"/>
  <c r="X2686" i="9"/>
  <c r="X2687" i="9"/>
  <c r="X2688" i="9"/>
  <c r="X2689" i="9"/>
  <c r="X2690" i="9"/>
  <c r="X2691" i="9"/>
  <c r="X2692" i="9"/>
  <c r="X2693" i="9"/>
  <c r="X2694" i="9"/>
  <c r="X2695" i="9"/>
  <c r="X2696" i="9"/>
  <c r="X2697" i="9"/>
  <c r="X2698" i="9"/>
  <c r="X2699" i="9"/>
  <c r="X2700" i="9"/>
  <c r="X2701" i="9"/>
  <c r="X2702" i="9"/>
  <c r="X2703" i="9"/>
  <c r="X2704" i="9"/>
  <c r="X2705" i="9"/>
  <c r="X2706" i="9"/>
  <c r="X2707" i="9"/>
  <c r="X2708" i="9"/>
  <c r="X2709" i="9"/>
  <c r="X2710" i="9"/>
  <c r="X2711" i="9"/>
  <c r="X2712" i="9"/>
  <c r="X2713" i="9"/>
  <c r="X2714" i="9"/>
  <c r="X2715" i="9"/>
  <c r="X2716" i="9"/>
  <c r="X2717" i="9"/>
  <c r="X2718" i="9"/>
  <c r="X2719" i="9"/>
  <c r="X2720" i="9"/>
  <c r="X2721" i="9"/>
  <c r="X2722" i="9"/>
  <c r="X2723" i="9"/>
  <c r="X2724" i="9"/>
  <c r="X2725" i="9"/>
  <c r="X2726" i="9"/>
  <c r="X2727" i="9"/>
  <c r="X2728" i="9"/>
  <c r="X2729" i="9"/>
  <c r="X2730" i="9"/>
  <c r="X2731" i="9"/>
  <c r="X2732" i="9"/>
  <c r="X2733" i="9"/>
  <c r="X2734" i="9"/>
  <c r="X2735" i="9"/>
  <c r="X2736" i="9"/>
  <c r="X2737" i="9"/>
  <c r="X2738" i="9"/>
  <c r="X2739" i="9"/>
  <c r="X2740" i="9"/>
  <c r="X2741" i="9"/>
  <c r="X2742" i="9"/>
  <c r="X2743" i="9"/>
  <c r="X2744" i="9"/>
  <c r="X2745" i="9"/>
  <c r="X2746" i="9"/>
  <c r="X2747" i="9"/>
  <c r="X2748" i="9"/>
  <c r="X2749" i="9"/>
  <c r="X2750" i="9"/>
  <c r="X2751" i="9"/>
  <c r="X2752" i="9"/>
  <c r="X2753" i="9"/>
  <c r="X2754" i="9"/>
  <c r="X2755" i="9"/>
  <c r="X2756" i="9"/>
  <c r="X2757" i="9"/>
  <c r="X2758" i="9"/>
  <c r="X2759" i="9"/>
  <c r="X2760" i="9"/>
  <c r="X2761" i="9"/>
  <c r="X2762" i="9"/>
  <c r="X2763" i="9"/>
  <c r="X2764" i="9"/>
  <c r="X2765" i="9"/>
  <c r="X2766" i="9"/>
  <c r="X2767" i="9"/>
  <c r="X2768" i="9"/>
  <c r="X2769" i="9"/>
  <c r="X2770" i="9"/>
  <c r="X2771" i="9"/>
  <c r="X2772" i="9"/>
  <c r="X2773" i="9"/>
  <c r="X2774" i="9"/>
  <c r="X2775" i="9"/>
  <c r="X2776" i="9"/>
  <c r="X2777" i="9"/>
  <c r="X2778" i="9"/>
  <c r="X2779" i="9"/>
  <c r="X2780" i="9"/>
  <c r="X2781" i="9"/>
  <c r="X2782" i="9"/>
  <c r="X2783" i="9"/>
  <c r="X2784" i="9"/>
  <c r="X2785" i="9"/>
  <c r="X2786" i="9"/>
  <c r="X2787" i="9"/>
  <c r="X2788" i="9"/>
  <c r="X2789" i="9"/>
  <c r="X2790" i="9"/>
  <c r="X2580" i="9" l="1"/>
  <c r="X2581" i="9"/>
  <c r="X2582" i="9"/>
  <c r="X2583" i="9"/>
  <c r="X2584" i="9"/>
  <c r="X2585" i="9"/>
  <c r="X2586" i="9"/>
  <c r="X2587" i="9"/>
  <c r="X2588" i="9"/>
  <c r="X2589" i="9"/>
  <c r="X2590" i="9"/>
  <c r="X2591" i="9"/>
  <c r="X2592" i="9"/>
  <c r="X2593" i="9"/>
  <c r="X2594" i="9"/>
  <c r="X2595" i="9"/>
  <c r="X2596" i="9"/>
  <c r="X2597" i="9"/>
  <c r="X2598" i="9"/>
  <c r="X2599" i="9"/>
  <c r="X2600" i="9"/>
  <c r="X2601" i="9"/>
  <c r="X2602" i="9"/>
  <c r="X2603" i="9"/>
  <c r="X2604" i="9"/>
  <c r="X2605" i="9"/>
  <c r="X2606" i="9"/>
  <c r="X2607" i="9"/>
  <c r="X2608" i="9"/>
  <c r="X2609" i="9"/>
  <c r="X2610" i="9"/>
  <c r="X2611" i="9"/>
  <c r="X2612" i="9"/>
  <c r="X2613" i="9"/>
  <c r="X2614" i="9"/>
  <c r="X2615" i="9"/>
  <c r="X2616" i="9"/>
  <c r="X2617" i="9"/>
  <c r="X2618" i="9"/>
  <c r="X2619" i="9"/>
  <c r="X2620" i="9"/>
  <c r="X2621" i="9"/>
  <c r="X2622" i="9"/>
  <c r="X2623" i="9"/>
  <c r="X2624" i="9"/>
  <c r="X2625" i="9"/>
  <c r="X2626" i="9"/>
  <c r="X2627" i="9"/>
  <c r="X2628" i="9"/>
  <c r="X2629" i="9"/>
  <c r="X2630" i="9"/>
  <c r="X2631" i="9"/>
  <c r="X2632" i="9"/>
  <c r="X2633" i="9"/>
  <c r="X2634" i="9"/>
  <c r="X2635" i="9"/>
  <c r="X2636" i="9"/>
  <c r="X2637" i="9"/>
  <c r="X2638" i="9"/>
  <c r="X2639" i="9"/>
  <c r="X2576" i="9" l="1"/>
  <c r="X2577" i="9"/>
  <c r="X2578" i="9"/>
  <c r="X2579" i="9"/>
  <c r="X2567" i="9"/>
  <c r="X2568" i="9"/>
  <c r="X2569" i="9"/>
  <c r="X2570" i="9"/>
  <c r="X2571" i="9"/>
  <c r="X2572" i="9"/>
  <c r="X2573" i="9"/>
  <c r="X2574" i="9"/>
  <c r="X2575" i="9"/>
  <c r="X2360" i="9" l="1"/>
  <c r="X2361" i="9"/>
  <c r="X2362" i="9"/>
  <c r="X2363" i="9"/>
  <c r="X2364" i="9"/>
  <c r="X2365" i="9"/>
  <c r="X2366" i="9"/>
  <c r="X2367" i="9"/>
  <c r="X2368" i="9"/>
  <c r="X2369" i="9"/>
  <c r="X2370" i="9"/>
  <c r="X2371" i="9"/>
  <c r="X2372" i="9"/>
  <c r="X2373" i="9"/>
  <c r="X2374" i="9"/>
  <c r="X2375" i="9"/>
  <c r="X2376" i="9"/>
  <c r="X2377" i="9"/>
  <c r="X2378" i="9"/>
  <c r="X2379" i="9"/>
  <c r="X2380" i="9"/>
  <c r="X2381" i="9"/>
  <c r="X2382" i="9"/>
  <c r="X2383" i="9"/>
  <c r="X2384" i="9"/>
  <c r="X2385" i="9"/>
  <c r="X2386" i="9"/>
  <c r="X2387" i="9"/>
  <c r="X2388" i="9"/>
  <c r="X2389" i="9"/>
  <c r="X2390" i="9"/>
  <c r="X2391" i="9"/>
  <c r="X2392" i="9"/>
  <c r="X2393" i="9"/>
  <c r="X2407" i="9"/>
  <c r="X2408" i="9"/>
  <c r="X2409" i="9"/>
  <c r="X2410" i="9"/>
  <c r="X2411" i="9"/>
  <c r="X2412" i="9"/>
  <c r="X2413" i="9"/>
  <c r="X2414" i="9"/>
  <c r="X2415" i="9"/>
  <c r="X2416" i="9"/>
  <c r="X2417" i="9"/>
  <c r="X2418" i="9"/>
  <c r="X2419" i="9"/>
  <c r="X2420" i="9"/>
  <c r="X2422" i="9"/>
  <c r="X2423" i="9"/>
  <c r="X2424" i="9"/>
  <c r="X2425" i="9"/>
  <c r="X2426" i="9"/>
  <c r="X2427" i="9"/>
  <c r="X2428" i="9"/>
  <c r="X2429" i="9"/>
  <c r="X2430" i="9"/>
  <c r="X2431" i="9"/>
  <c r="X2432" i="9"/>
  <c r="X2433" i="9"/>
  <c r="X2434" i="9"/>
  <c r="X2435" i="9"/>
  <c r="X2436" i="9"/>
  <c r="X2437" i="9"/>
  <c r="X2438" i="9"/>
  <c r="X2439" i="9"/>
  <c r="X2440" i="9"/>
  <c r="X2441" i="9"/>
  <c r="X2442" i="9"/>
  <c r="X2443" i="9"/>
  <c r="X2444" i="9"/>
  <c r="X2445" i="9"/>
  <c r="X2446" i="9"/>
  <c r="X2447" i="9"/>
  <c r="X2448" i="9"/>
  <c r="X2449" i="9"/>
  <c r="X2450" i="9"/>
  <c r="X2451" i="9"/>
  <c r="X2452" i="9"/>
  <c r="X2453" i="9"/>
  <c r="X2454" i="9"/>
  <c r="X2455" i="9"/>
  <c r="X2456" i="9"/>
  <c r="X2457" i="9"/>
  <c r="X2458" i="9"/>
  <c r="X2459" i="9"/>
  <c r="X2460" i="9"/>
  <c r="X2461" i="9"/>
  <c r="X2462" i="9"/>
  <c r="X2463" i="9"/>
  <c r="X2464" i="9"/>
  <c r="X2465" i="9"/>
  <c r="X2466" i="9"/>
  <c r="X2467" i="9"/>
  <c r="X2468" i="9"/>
  <c r="X2469" i="9"/>
  <c r="X2470" i="9"/>
  <c r="X2471" i="9"/>
  <c r="X2472" i="9"/>
  <c r="X2473" i="9"/>
  <c r="X2474" i="9"/>
  <c r="X2475" i="9"/>
  <c r="X2476" i="9"/>
  <c r="X2477" i="9"/>
  <c r="X2478" i="9"/>
  <c r="X2479" i="9"/>
  <c r="X2480" i="9"/>
  <c r="X2481" i="9"/>
  <c r="X2482" i="9"/>
  <c r="X2483" i="9"/>
  <c r="X2484" i="9"/>
  <c r="X2485" i="9"/>
  <c r="X2486" i="9"/>
  <c r="X2487" i="9"/>
  <c r="X2488" i="9"/>
  <c r="X2489" i="9"/>
  <c r="X2490" i="9"/>
  <c r="X2491" i="9"/>
  <c r="X2492" i="9"/>
  <c r="X2493" i="9"/>
  <c r="X2494" i="9"/>
  <c r="X2495" i="9"/>
  <c r="X2496" i="9"/>
  <c r="X2497" i="9"/>
  <c r="X2498" i="9"/>
  <c r="X2499" i="9"/>
  <c r="X2500" i="9"/>
  <c r="X2501" i="9"/>
  <c r="X2502" i="9"/>
  <c r="X2503" i="9"/>
  <c r="X2504" i="9"/>
  <c r="X2505" i="9"/>
  <c r="X2506" i="9"/>
  <c r="X2507" i="9"/>
  <c r="X2508" i="9"/>
  <c r="X2509" i="9"/>
  <c r="X2510" i="9"/>
  <c r="X2511" i="9"/>
  <c r="X2512" i="9"/>
  <c r="X2513" i="9"/>
  <c r="X2514" i="9"/>
  <c r="X2515" i="9"/>
  <c r="X2516" i="9"/>
  <c r="X2517" i="9"/>
  <c r="X2518" i="9"/>
  <c r="X2519" i="9"/>
  <c r="X2520" i="9"/>
  <c r="X2521" i="9"/>
  <c r="X2522" i="9"/>
  <c r="X2523" i="9"/>
  <c r="X2524" i="9"/>
  <c r="X2525" i="9"/>
  <c r="X2526" i="9"/>
  <c r="X2527" i="9"/>
  <c r="X2528" i="9"/>
  <c r="X2529" i="9"/>
  <c r="X2530" i="9"/>
  <c r="X2531" i="9"/>
  <c r="X2532" i="9"/>
  <c r="X2533" i="9"/>
  <c r="X2534" i="9"/>
  <c r="X2535" i="9"/>
  <c r="X2536" i="9"/>
  <c r="X2537" i="9"/>
  <c r="X2538" i="9"/>
  <c r="X2539" i="9"/>
  <c r="X2540" i="9"/>
  <c r="X2541" i="9"/>
  <c r="X2542" i="9"/>
  <c r="X2543" i="9"/>
  <c r="X2544" i="9"/>
  <c r="X2545" i="9"/>
  <c r="X2546" i="9"/>
  <c r="X2547" i="9"/>
  <c r="X2548" i="9"/>
  <c r="X2549" i="9"/>
  <c r="X2550" i="9"/>
  <c r="X2551" i="9"/>
  <c r="X2552" i="9"/>
  <c r="X2553" i="9"/>
  <c r="X2554" i="9"/>
  <c r="X2555" i="9"/>
  <c r="X2556" i="9"/>
  <c r="X2557" i="9"/>
  <c r="X2558" i="9"/>
  <c r="X2559" i="9"/>
  <c r="X2560" i="9"/>
  <c r="X2561" i="9"/>
  <c r="X2562" i="9"/>
  <c r="X2563" i="9"/>
  <c r="X2564" i="9"/>
  <c r="X2565" i="9"/>
  <c r="X2566" i="9"/>
  <c r="X2303" i="9" l="1"/>
  <c r="X2304" i="9"/>
  <c r="X2305" i="9"/>
  <c r="X2306" i="9"/>
  <c r="X2307" i="9"/>
  <c r="X2308" i="9"/>
  <c r="X2309" i="9"/>
  <c r="X2310" i="9"/>
  <c r="X2311" i="9"/>
  <c r="X2312" i="9"/>
  <c r="X2313" i="9"/>
  <c r="X2314" i="9"/>
  <c r="X2315" i="9"/>
  <c r="X2316" i="9"/>
  <c r="X2317" i="9"/>
  <c r="X2318" i="9"/>
  <c r="X2319" i="9"/>
  <c r="X2320" i="9"/>
  <c r="X2321" i="9"/>
  <c r="X2322" i="9"/>
  <c r="X2323" i="9"/>
  <c r="X2324" i="9"/>
  <c r="X2325" i="9"/>
  <c r="X2326" i="9"/>
  <c r="X2327" i="9"/>
  <c r="X2328" i="9"/>
  <c r="X2329" i="9"/>
  <c r="X2330" i="9"/>
  <c r="X2331" i="9"/>
  <c r="X2332" i="9"/>
  <c r="X2333" i="9"/>
  <c r="X2334" i="9"/>
  <c r="X2335" i="9"/>
  <c r="X2336" i="9"/>
  <c r="X2337" i="9"/>
  <c r="X2338" i="9"/>
  <c r="X2339" i="9"/>
  <c r="X2340" i="9"/>
  <c r="X2341" i="9"/>
  <c r="X2342" i="9"/>
  <c r="X2343" i="9"/>
  <c r="X2344" i="9"/>
  <c r="X2345" i="9"/>
  <c r="X2346" i="9"/>
  <c r="X2347" i="9"/>
  <c r="X2348" i="9"/>
  <c r="X2349" i="9"/>
  <c r="X2350" i="9"/>
  <c r="X2351" i="9"/>
  <c r="X2352" i="9"/>
  <c r="X2353" i="9"/>
  <c r="X2354" i="9"/>
  <c r="X2355" i="9"/>
  <c r="X2356" i="9"/>
  <c r="X2357" i="9"/>
  <c r="X2358" i="9"/>
  <c r="X2359" i="9"/>
  <c r="X2249" i="9" l="1"/>
  <c r="X2250" i="9"/>
  <c r="X2251" i="9"/>
  <c r="X2252" i="9"/>
  <c r="X2253" i="9"/>
  <c r="X2254" i="9"/>
  <c r="X2255" i="9"/>
  <c r="X2256" i="9"/>
  <c r="X2257" i="9"/>
  <c r="X2258" i="9"/>
  <c r="X2259" i="9"/>
  <c r="X2260" i="9"/>
  <c r="X2261" i="9"/>
  <c r="X2262" i="9"/>
  <c r="X2263" i="9"/>
  <c r="X2264" i="9"/>
  <c r="X2265" i="9"/>
  <c r="X2266" i="9"/>
  <c r="X2267" i="9"/>
  <c r="X2268" i="9"/>
  <c r="X2269" i="9"/>
  <c r="X2270" i="9"/>
  <c r="X2271" i="9"/>
  <c r="X2272" i="9"/>
  <c r="X2273" i="9"/>
  <c r="X2274" i="9"/>
  <c r="X2275" i="9"/>
  <c r="X2276" i="9"/>
  <c r="X2277" i="9"/>
  <c r="X2278" i="9"/>
  <c r="X2279" i="9"/>
  <c r="X2280" i="9"/>
  <c r="X2281" i="9"/>
  <c r="X2282" i="9"/>
  <c r="X2283" i="9"/>
  <c r="X2284" i="9"/>
  <c r="X2285" i="9"/>
  <c r="X2286" i="9"/>
  <c r="X2287" i="9"/>
  <c r="X2288" i="9"/>
  <c r="X2289" i="9"/>
  <c r="X2290" i="9"/>
  <c r="X2291" i="9"/>
  <c r="X2292" i="9"/>
  <c r="X2293" i="9"/>
  <c r="X2294" i="9"/>
  <c r="X2295" i="9"/>
  <c r="X2296" i="9"/>
  <c r="X2297" i="9"/>
  <c r="X2298" i="9"/>
  <c r="X2299" i="9"/>
  <c r="X2300" i="9"/>
  <c r="X2301" i="9"/>
  <c r="X2302" i="9"/>
  <c r="X2220" i="9" l="1"/>
  <c r="X2221" i="9"/>
  <c r="X2222" i="9"/>
  <c r="X2223" i="9"/>
  <c r="X2224" i="9"/>
  <c r="X2225" i="9"/>
  <c r="X2226" i="9"/>
  <c r="X2227" i="9"/>
  <c r="X2228" i="9"/>
  <c r="X2229" i="9"/>
  <c r="X2230" i="9"/>
  <c r="X2231" i="9"/>
  <c r="X2232" i="9"/>
  <c r="X2233" i="9"/>
  <c r="X2234" i="9"/>
  <c r="X2235" i="9"/>
  <c r="X2236" i="9"/>
  <c r="X2237" i="9"/>
  <c r="X2238" i="9"/>
  <c r="X2239" i="9"/>
  <c r="X2240" i="9"/>
  <c r="X2241" i="9"/>
  <c r="X2242" i="9"/>
  <c r="X2243" i="9"/>
  <c r="X2244" i="9"/>
  <c r="X2245" i="9"/>
  <c r="X2246" i="9"/>
  <c r="X2247" i="9"/>
  <c r="X2248" i="9"/>
  <c r="X2026" i="9" l="1"/>
  <c r="X2034" i="9"/>
  <c r="X2035" i="9"/>
  <c r="X2036" i="9"/>
  <c r="X2037" i="9"/>
  <c r="X2038" i="9"/>
  <c r="X2039" i="9"/>
  <c r="X2040" i="9"/>
  <c r="X2041" i="9"/>
  <c r="X2042" i="9"/>
  <c r="X2043" i="9"/>
  <c r="X2044" i="9"/>
  <c r="X2045" i="9"/>
  <c r="X2046" i="9"/>
  <c r="X2047" i="9"/>
  <c r="X2048" i="9"/>
  <c r="X2049" i="9"/>
  <c r="X2050" i="9"/>
  <c r="X2051" i="9"/>
  <c r="X2052" i="9"/>
  <c r="X2053" i="9"/>
  <c r="X2054" i="9"/>
  <c r="X2055" i="9"/>
  <c r="X2056" i="9"/>
  <c r="X2057" i="9"/>
  <c r="X2058" i="9"/>
  <c r="X2059" i="9"/>
  <c r="X2060" i="9"/>
  <c r="X2061" i="9"/>
  <c r="X2062" i="9"/>
  <c r="X2063" i="9"/>
  <c r="X2064" i="9"/>
  <c r="X2065" i="9"/>
  <c r="X2066" i="9"/>
  <c r="X2067" i="9"/>
  <c r="X2068" i="9"/>
  <c r="X2069" i="9"/>
  <c r="X2070" i="9"/>
  <c r="X2071" i="9"/>
  <c r="X2072" i="9"/>
  <c r="X2073" i="9"/>
  <c r="X2074" i="9"/>
  <c r="X2075" i="9"/>
  <c r="X2076" i="9"/>
  <c r="X2077" i="9"/>
  <c r="X2078" i="9"/>
  <c r="X2079" i="9"/>
  <c r="X2080" i="9"/>
  <c r="X2083" i="9"/>
  <c r="X2084" i="9"/>
  <c r="X2085" i="9"/>
  <c r="X2086" i="9"/>
  <c r="X2087" i="9"/>
  <c r="X2088" i="9"/>
  <c r="X2089" i="9"/>
  <c r="X2090" i="9"/>
  <c r="X2091" i="9"/>
  <c r="X2092" i="9"/>
  <c r="X2093" i="9"/>
  <c r="X2094" i="9"/>
  <c r="X2095" i="9"/>
  <c r="X2096" i="9"/>
  <c r="X2097" i="9"/>
  <c r="X2098" i="9"/>
  <c r="X2099" i="9"/>
  <c r="X2100" i="9"/>
  <c r="X2101" i="9"/>
  <c r="X2102" i="9"/>
  <c r="X2103" i="9"/>
  <c r="X2104" i="9"/>
  <c r="X2105" i="9"/>
  <c r="X2106" i="9"/>
  <c r="X2107" i="9"/>
  <c r="X2108" i="9"/>
  <c r="X2109" i="9"/>
  <c r="X2110" i="9"/>
  <c r="X2111" i="9"/>
  <c r="X2112" i="9"/>
  <c r="X2113" i="9"/>
  <c r="X2114" i="9"/>
  <c r="X2115" i="9"/>
  <c r="X2116" i="9"/>
  <c r="X2117" i="9"/>
  <c r="X2118" i="9"/>
  <c r="X2119" i="9"/>
  <c r="X2120" i="9"/>
  <c r="X2121" i="9"/>
  <c r="X2122" i="9"/>
  <c r="X2123" i="9"/>
  <c r="X2124" i="9"/>
  <c r="X2125" i="9"/>
  <c r="X2126" i="9"/>
  <c r="X2127" i="9"/>
  <c r="X2128" i="9"/>
  <c r="X2129" i="9"/>
  <c r="X2130" i="9"/>
  <c r="X2131" i="9"/>
  <c r="X2132" i="9"/>
  <c r="X2133" i="9"/>
  <c r="X2134" i="9"/>
  <c r="X2135" i="9"/>
  <c r="X2136" i="9"/>
  <c r="X2137" i="9"/>
  <c r="X2138" i="9"/>
  <c r="X2139" i="9"/>
  <c r="X2140" i="9"/>
  <c r="X2141" i="9"/>
  <c r="X2142" i="9"/>
  <c r="X2143" i="9"/>
  <c r="X2144" i="9"/>
  <c r="X2145" i="9"/>
  <c r="X2146" i="9"/>
  <c r="X2147" i="9"/>
  <c r="X2148" i="9"/>
  <c r="X2149" i="9"/>
  <c r="X2150" i="9"/>
  <c r="X2151" i="9"/>
  <c r="X2152" i="9"/>
  <c r="X2153" i="9"/>
  <c r="X2154" i="9"/>
  <c r="X2155" i="9"/>
  <c r="X2156" i="9"/>
  <c r="X2157" i="9"/>
  <c r="X2158" i="9"/>
  <c r="X2159" i="9"/>
  <c r="X2160" i="9"/>
  <c r="X2161" i="9"/>
  <c r="X2162" i="9"/>
  <c r="X2163" i="9"/>
  <c r="X2164" i="9"/>
  <c r="X2165" i="9"/>
  <c r="X2166" i="9"/>
  <c r="X2167" i="9"/>
  <c r="X2168" i="9"/>
  <c r="X2169" i="9"/>
  <c r="X2170" i="9"/>
  <c r="X2171" i="9"/>
  <c r="X2172" i="9"/>
  <c r="X2173" i="9"/>
  <c r="X2174" i="9"/>
  <c r="X2175" i="9"/>
  <c r="X2176" i="9"/>
  <c r="X2177" i="9"/>
  <c r="X2178" i="9"/>
  <c r="X2179" i="9"/>
  <c r="X2180" i="9"/>
  <c r="X2181" i="9"/>
  <c r="X2182" i="9"/>
  <c r="X2183" i="9"/>
  <c r="X2184" i="9"/>
  <c r="X2185" i="9"/>
  <c r="X2186" i="9"/>
  <c r="X2187" i="9"/>
  <c r="X2188" i="9"/>
  <c r="X2189" i="9"/>
  <c r="X2190" i="9"/>
  <c r="X2191" i="9"/>
  <c r="X2192" i="9"/>
  <c r="X2193" i="9"/>
  <c r="X2194" i="9"/>
  <c r="X2195" i="9"/>
  <c r="X2196" i="9"/>
  <c r="X2197" i="9"/>
  <c r="X2198" i="9"/>
  <c r="X2199" i="9"/>
  <c r="X2200" i="9"/>
  <c r="X2201" i="9"/>
  <c r="X2202" i="9"/>
  <c r="X2203" i="9"/>
  <c r="X2204" i="9"/>
  <c r="X2205" i="9"/>
  <c r="X2206" i="9"/>
  <c r="X2207" i="9"/>
  <c r="X2208" i="9"/>
  <c r="X2209" i="9"/>
  <c r="X2210" i="9"/>
  <c r="X2211" i="9"/>
  <c r="X2212" i="9"/>
  <c r="X2213" i="9"/>
  <c r="X2214" i="9"/>
  <c r="X2215" i="9"/>
  <c r="X2216" i="9"/>
  <c r="X2217" i="9"/>
  <c r="X2218" i="9"/>
  <c r="X2219" i="9"/>
  <c r="X1973" i="9" l="1"/>
  <c r="X1974" i="9"/>
  <c r="X1975" i="9"/>
  <c r="X1976" i="9"/>
  <c r="X1977" i="9"/>
  <c r="X1978" i="9"/>
  <c r="X1979" i="9"/>
  <c r="X1980" i="9"/>
  <c r="X1981" i="9"/>
  <c r="X1982" i="9"/>
  <c r="X1983" i="9"/>
  <c r="X1984" i="9"/>
  <c r="X1985" i="9"/>
  <c r="X1986" i="9"/>
  <c r="X1987" i="9"/>
  <c r="X1988" i="9"/>
  <c r="X1989" i="9"/>
  <c r="X1990" i="9"/>
  <c r="X1991" i="9"/>
  <c r="X1992" i="9"/>
  <c r="X1993" i="9"/>
  <c r="X1994" i="9"/>
  <c r="X1995" i="9"/>
  <c r="X1996" i="9"/>
  <c r="X1997" i="9"/>
  <c r="X1998" i="9"/>
  <c r="X1999" i="9"/>
  <c r="X2000" i="9"/>
  <c r="X2001" i="9"/>
  <c r="X2002" i="9"/>
  <c r="X2003" i="9"/>
  <c r="X2004" i="9"/>
  <c r="X2005" i="9"/>
  <c r="X2006" i="9"/>
  <c r="X2007" i="9"/>
  <c r="X2008" i="9"/>
  <c r="X2009" i="9"/>
  <c r="X2010" i="9"/>
  <c r="X2011" i="9"/>
  <c r="X2014" i="9"/>
  <c r="X2017" i="9"/>
  <c r="X2020" i="9"/>
  <c r="X2023" i="9"/>
  <c r="Z1794" i="9" l="1"/>
  <c r="X1950" i="9"/>
  <c r="X1951" i="9"/>
  <c r="X1952" i="9"/>
  <c r="X1953" i="9"/>
  <c r="X1954" i="9"/>
  <c r="X1955" i="9"/>
  <c r="X1956" i="9"/>
  <c r="X1957" i="9"/>
  <c r="X1958" i="9"/>
  <c r="X1959" i="9"/>
  <c r="X1960" i="9"/>
  <c r="X1961" i="9"/>
  <c r="X1962" i="9"/>
  <c r="X1963" i="9"/>
  <c r="X1964" i="9"/>
  <c r="X1965" i="9"/>
  <c r="X1966" i="9"/>
  <c r="X1967" i="9"/>
  <c r="X1968" i="9"/>
  <c r="X1969" i="9"/>
  <c r="X1970" i="9"/>
  <c r="X1971" i="9"/>
  <c r="X1972" i="9"/>
  <c r="N20" i="14" l="1"/>
  <c r="R20" i="14" s="1"/>
  <c r="N20" i="18"/>
  <c r="N32" i="18" s="1"/>
  <c r="X1817" i="9"/>
  <c r="X1818" i="9"/>
  <c r="X1819" i="9"/>
  <c r="X1820" i="9"/>
  <c r="X1821" i="9"/>
  <c r="X1822" i="9"/>
  <c r="X1823" i="9"/>
  <c r="X1824" i="9"/>
  <c r="X1825" i="9"/>
  <c r="X1826" i="9"/>
  <c r="X1827" i="9"/>
  <c r="X1828" i="9"/>
  <c r="X1829" i="9"/>
  <c r="X1830" i="9"/>
  <c r="X1831" i="9"/>
  <c r="X1832" i="9"/>
  <c r="X1833" i="9"/>
  <c r="X1834" i="9"/>
  <c r="X1835" i="9"/>
  <c r="X1836" i="9"/>
  <c r="X1837" i="9"/>
  <c r="X1838" i="9"/>
  <c r="X1839" i="9"/>
  <c r="X1840" i="9"/>
  <c r="X1841" i="9"/>
  <c r="X1842" i="9"/>
  <c r="X1843" i="9"/>
  <c r="X1844" i="9"/>
  <c r="X1845" i="9"/>
  <c r="X1846" i="9"/>
  <c r="X1847" i="9"/>
  <c r="X1848" i="9"/>
  <c r="X1849" i="9"/>
  <c r="X1850" i="9"/>
  <c r="X1851" i="9"/>
  <c r="X1852" i="9"/>
  <c r="X1853" i="9"/>
  <c r="X1854" i="9"/>
  <c r="X1855" i="9"/>
  <c r="X1856" i="9"/>
  <c r="X1857" i="9"/>
  <c r="X1858" i="9"/>
  <c r="X1859" i="9"/>
  <c r="X1860" i="9"/>
  <c r="X1861" i="9"/>
  <c r="X1862" i="9"/>
  <c r="X1863" i="9"/>
  <c r="X1864" i="9"/>
  <c r="X1865" i="9"/>
  <c r="X1866" i="9"/>
  <c r="X1867" i="9"/>
  <c r="X1868" i="9"/>
  <c r="X1869" i="9"/>
  <c r="X1870" i="9"/>
  <c r="X1871" i="9"/>
  <c r="X1872" i="9"/>
  <c r="X1873" i="9"/>
  <c r="X1874" i="9"/>
  <c r="X1875" i="9"/>
  <c r="X1876" i="9"/>
  <c r="X1877" i="9"/>
  <c r="X1878" i="9"/>
  <c r="X1879" i="9"/>
  <c r="X1880" i="9"/>
  <c r="X1881" i="9"/>
  <c r="X1882" i="9"/>
  <c r="X1883" i="9"/>
  <c r="X1884" i="9"/>
  <c r="X1885" i="9"/>
  <c r="X1886" i="9"/>
  <c r="X1887" i="9"/>
  <c r="X1888" i="9"/>
  <c r="X1889" i="9"/>
  <c r="X1890" i="9"/>
  <c r="X1891" i="9"/>
  <c r="X1892" i="9"/>
  <c r="X1893" i="9"/>
  <c r="X1894" i="9"/>
  <c r="X1895" i="9"/>
  <c r="X1896" i="9"/>
  <c r="X1897" i="9"/>
  <c r="X1898" i="9"/>
  <c r="X1899" i="9"/>
  <c r="X1900" i="9"/>
  <c r="X1901" i="9"/>
  <c r="X1902" i="9"/>
  <c r="X1903" i="9"/>
  <c r="X1904" i="9"/>
  <c r="X1905" i="9"/>
  <c r="X1906" i="9"/>
  <c r="X1907" i="9"/>
  <c r="X1908" i="9"/>
  <c r="X1909" i="9"/>
  <c r="X1910" i="9"/>
  <c r="X1911" i="9"/>
  <c r="X1912" i="9"/>
  <c r="X1913" i="9"/>
  <c r="X1914" i="9"/>
  <c r="X1915" i="9"/>
  <c r="X1916" i="9"/>
  <c r="X1917" i="9"/>
  <c r="X1918" i="9"/>
  <c r="X1919" i="9"/>
  <c r="X1920" i="9"/>
  <c r="X1921" i="9"/>
  <c r="X1922" i="9"/>
  <c r="X1923" i="9"/>
  <c r="X1924" i="9"/>
  <c r="X1925" i="9"/>
  <c r="X1926" i="9"/>
  <c r="X1927" i="9"/>
  <c r="X1928" i="9"/>
  <c r="X1929" i="9"/>
  <c r="X1930" i="9"/>
  <c r="X1931" i="9"/>
  <c r="X1932" i="9"/>
  <c r="X1933" i="9"/>
  <c r="X1934" i="9"/>
  <c r="X1935" i="9"/>
  <c r="X1936" i="9"/>
  <c r="X1937" i="9"/>
  <c r="X1938" i="9"/>
  <c r="X1939" i="9"/>
  <c r="X1940" i="9"/>
  <c r="X1941" i="9"/>
  <c r="X1942" i="9"/>
  <c r="X1943" i="9"/>
  <c r="X1944" i="9"/>
  <c r="X1945" i="9"/>
  <c r="X1946" i="9"/>
  <c r="X1947" i="9"/>
  <c r="X1948" i="9"/>
  <c r="X1949" i="9"/>
  <c r="N32" i="14" l="1"/>
  <c r="E31" i="24"/>
  <c r="R20" i="18"/>
  <c r="X1789" i="9"/>
  <c r="X1790" i="9"/>
  <c r="X1791" i="9"/>
  <c r="X1792" i="9"/>
  <c r="X1793" i="9"/>
  <c r="X1794" i="9"/>
  <c r="X1795" i="9"/>
  <c r="X1796" i="9"/>
  <c r="X1797" i="9"/>
  <c r="X1798" i="9"/>
  <c r="X1799" i="9"/>
  <c r="X1800" i="9"/>
  <c r="X1801" i="9"/>
  <c r="X1802" i="9"/>
  <c r="X1803" i="9"/>
  <c r="X1804" i="9"/>
  <c r="X1805" i="9"/>
  <c r="X1806" i="9"/>
  <c r="X1807" i="9"/>
  <c r="X1808" i="9"/>
  <c r="X1809" i="9"/>
  <c r="X1810" i="9"/>
  <c r="X1811" i="9"/>
  <c r="X1812" i="9"/>
  <c r="X1813" i="9"/>
  <c r="X1814" i="9"/>
  <c r="X1815" i="9"/>
  <c r="X1816" i="9"/>
  <c r="D34" i="24" l="1"/>
  <c r="D31" i="24"/>
  <c r="D32" i="24" s="1"/>
  <c r="X1762" i="9"/>
  <c r="X1763" i="9"/>
  <c r="X1764" i="9"/>
  <c r="X1765" i="9"/>
  <c r="X1766" i="9"/>
  <c r="X1767" i="9"/>
  <c r="X1768" i="9"/>
  <c r="X1769" i="9"/>
  <c r="X1770" i="9"/>
  <c r="X1771" i="9"/>
  <c r="X1772" i="9"/>
  <c r="X1773" i="9"/>
  <c r="X1774" i="9"/>
  <c r="X1775" i="9"/>
  <c r="X1776" i="9"/>
  <c r="X1777" i="9"/>
  <c r="X1778" i="9"/>
  <c r="X1779" i="9"/>
  <c r="X1780" i="9"/>
  <c r="X1781" i="9"/>
  <c r="X1782" i="9"/>
  <c r="X1783" i="9"/>
  <c r="X1784" i="9"/>
  <c r="X1785" i="9"/>
  <c r="X1786" i="9"/>
  <c r="X1787" i="9"/>
  <c r="X1788" i="9"/>
  <c r="X1644" i="9"/>
  <c r="X1645" i="9"/>
  <c r="X1646" i="9"/>
  <c r="X1648" i="9"/>
  <c r="X1650" i="9"/>
  <c r="X1652" i="9"/>
  <c r="X1654" i="9"/>
  <c r="X1656" i="9"/>
  <c r="X1658" i="9"/>
  <c r="X1666" i="9"/>
  <c r="X1670" i="9"/>
  <c r="X1673" i="9"/>
  <c r="X1679" i="9"/>
  <c r="X1682" i="9"/>
  <c r="X1684" i="9"/>
  <c r="X1685" i="9"/>
  <c r="X1688" i="9"/>
  <c r="X1690" i="9"/>
  <c r="X1691" i="9"/>
  <c r="X1692" i="9"/>
  <c r="X1694" i="9"/>
  <c r="X1695" i="9"/>
  <c r="X1696" i="9"/>
  <c r="X1697" i="9"/>
  <c r="X1698" i="9"/>
  <c r="X1699" i="9"/>
  <c r="X1700" i="9"/>
  <c r="X1701" i="9"/>
  <c r="X1702" i="9"/>
  <c r="X1703" i="9"/>
  <c r="X1704" i="9"/>
  <c r="X1705" i="9"/>
  <c r="X1706" i="9"/>
  <c r="X1707" i="9"/>
  <c r="X1708" i="9"/>
  <c r="X1709" i="9"/>
  <c r="X1710" i="9"/>
  <c r="X1711" i="9"/>
  <c r="X1712" i="9"/>
  <c r="X1713" i="9"/>
  <c r="X1714" i="9"/>
  <c r="X1715" i="9"/>
  <c r="X1716" i="9"/>
  <c r="X1717" i="9"/>
  <c r="X1718" i="9"/>
  <c r="X1719" i="9"/>
  <c r="X1720" i="9"/>
  <c r="X1721" i="9"/>
  <c r="X1722" i="9"/>
  <c r="X1723" i="9"/>
  <c r="X1724" i="9"/>
  <c r="X1725" i="9"/>
  <c r="X1726" i="9"/>
  <c r="X1727" i="9"/>
  <c r="X1728" i="9"/>
  <c r="X1729" i="9"/>
  <c r="X1730" i="9"/>
  <c r="X1731" i="9"/>
  <c r="X1732" i="9"/>
  <c r="X1733" i="9"/>
  <c r="X1734" i="9"/>
  <c r="X1735" i="9"/>
  <c r="X1736" i="9"/>
  <c r="X1737" i="9"/>
  <c r="X1738" i="9"/>
  <c r="X1739" i="9"/>
  <c r="X1740" i="9"/>
  <c r="X1741" i="9"/>
  <c r="X1742" i="9"/>
  <c r="X1743" i="9"/>
  <c r="X1744" i="9"/>
  <c r="X1745" i="9"/>
  <c r="X1746" i="9"/>
  <c r="X1747" i="9"/>
  <c r="X1748" i="9"/>
  <c r="X1749" i="9"/>
  <c r="X1750" i="9"/>
  <c r="X1751" i="9"/>
  <c r="X1752" i="9"/>
  <c r="X1753" i="9"/>
  <c r="X1754" i="9"/>
  <c r="X1755" i="9"/>
  <c r="X1756" i="9"/>
  <c r="X1757" i="9"/>
  <c r="X1758" i="9"/>
  <c r="X1759" i="9"/>
  <c r="X1760" i="9"/>
  <c r="X1761" i="9"/>
  <c r="X1586" i="9" l="1"/>
  <c r="X1587" i="9"/>
  <c r="X1588" i="9"/>
  <c r="X1589" i="9"/>
  <c r="X1590" i="9"/>
  <c r="X1591" i="9"/>
  <c r="X1592" i="9"/>
  <c r="X1593" i="9"/>
  <c r="X1594" i="9"/>
  <c r="X1595" i="9"/>
  <c r="X1596" i="9"/>
  <c r="X1597" i="9"/>
  <c r="X1598" i="9"/>
  <c r="X1599" i="9"/>
  <c r="X1600" i="9"/>
  <c r="X1601" i="9"/>
  <c r="X1602" i="9"/>
  <c r="X1603" i="9"/>
  <c r="X1604" i="9"/>
  <c r="X1605" i="9"/>
  <c r="X1606" i="9"/>
  <c r="X1607" i="9"/>
  <c r="X1608" i="9"/>
  <c r="X1609" i="9"/>
  <c r="X1610" i="9"/>
  <c r="X1611" i="9"/>
  <c r="X1612" i="9"/>
  <c r="X1613" i="9"/>
  <c r="X1614" i="9"/>
  <c r="X1615" i="9"/>
  <c r="X1616" i="9"/>
  <c r="X1617" i="9"/>
  <c r="X1618" i="9"/>
  <c r="X1619" i="9"/>
  <c r="X1620" i="9"/>
  <c r="X1621" i="9"/>
  <c r="X1622" i="9"/>
  <c r="X1623" i="9"/>
  <c r="X1624" i="9"/>
  <c r="X1625" i="9"/>
  <c r="X1626" i="9"/>
  <c r="X1627" i="9"/>
  <c r="X1628" i="9"/>
  <c r="X1629" i="9"/>
  <c r="X1630" i="9"/>
  <c r="X1631" i="9"/>
  <c r="X1632" i="9"/>
  <c r="X1633" i="9"/>
  <c r="X1634" i="9"/>
  <c r="X1636" i="9"/>
  <c r="X1637" i="9"/>
  <c r="X1638" i="9"/>
  <c r="X1640" i="9"/>
  <c r="X1642" i="9"/>
  <c r="X1579" i="9"/>
  <c r="X1580" i="9"/>
  <c r="X1581" i="9"/>
  <c r="X1582" i="9"/>
  <c r="X1583" i="9"/>
  <c r="X1584" i="9"/>
  <c r="X1585" i="9"/>
  <c r="X1577" i="9"/>
  <c r="X1578" i="9"/>
  <c r="D5" i="14"/>
  <c r="E5" i="14" s="1"/>
  <c r="C7" i="14"/>
  <c r="D7" i="14" s="1"/>
  <c r="E7" i="14" s="1"/>
  <c r="C8" i="14"/>
  <c r="D8" i="14" s="1"/>
  <c r="E8" i="14" s="1"/>
  <c r="I33" i="14" l="1"/>
  <c r="J33" i="14" s="1"/>
  <c r="K33" i="14" s="1"/>
  <c r="L33" i="14" s="1"/>
  <c r="X1362" i="9"/>
  <c r="X1363" i="9"/>
  <c r="X1364" i="9"/>
  <c r="X1365" i="9"/>
  <c r="X1366" i="9"/>
  <c r="X1367" i="9"/>
  <c r="X1368" i="9"/>
  <c r="X1369" i="9"/>
  <c r="X1370" i="9"/>
  <c r="X1371" i="9"/>
  <c r="X1372" i="9"/>
  <c r="X1373" i="9"/>
  <c r="X1374" i="9"/>
  <c r="X1375" i="9"/>
  <c r="X1376" i="9"/>
  <c r="X1377" i="9"/>
  <c r="X1378" i="9"/>
  <c r="X1379" i="9"/>
  <c r="X1380" i="9"/>
  <c r="X1381" i="9"/>
  <c r="X1382" i="9"/>
  <c r="X1383" i="9"/>
  <c r="X1384" i="9"/>
  <c r="X1385" i="9"/>
  <c r="X1386" i="9"/>
  <c r="X1387" i="9"/>
  <c r="X1388" i="9"/>
  <c r="X1389" i="9"/>
  <c r="X1390" i="9"/>
  <c r="X1391" i="9"/>
  <c r="X1392" i="9"/>
  <c r="X1393" i="9"/>
  <c r="X1394" i="9"/>
  <c r="X1395" i="9"/>
  <c r="X1396" i="9"/>
  <c r="X1397" i="9"/>
  <c r="X1398" i="9"/>
  <c r="X1399" i="9"/>
  <c r="X1400" i="9"/>
  <c r="X1401" i="9"/>
  <c r="X1402" i="9"/>
  <c r="X1423" i="9"/>
  <c r="X1424" i="9"/>
  <c r="X1425" i="9"/>
  <c r="X1426" i="9"/>
  <c r="X1427" i="9"/>
  <c r="X1428" i="9"/>
  <c r="X1429" i="9"/>
  <c r="X1430" i="9"/>
  <c r="X1431" i="9"/>
  <c r="X1432" i="9"/>
  <c r="X1433" i="9"/>
  <c r="X1434" i="9"/>
  <c r="X1435" i="9"/>
  <c r="X1436" i="9"/>
  <c r="X1437" i="9"/>
  <c r="X1438" i="9"/>
  <c r="X1439" i="9"/>
  <c r="X1440" i="9"/>
  <c r="X1441" i="9"/>
  <c r="X1442" i="9"/>
  <c r="X1443" i="9"/>
  <c r="X1444" i="9"/>
  <c r="X1445" i="9"/>
  <c r="X1446" i="9"/>
  <c r="X1447" i="9"/>
  <c r="X1448" i="9"/>
  <c r="X1449" i="9"/>
  <c r="X1450" i="9"/>
  <c r="X1451" i="9"/>
  <c r="X1452" i="9"/>
  <c r="X1453" i="9"/>
  <c r="X1454" i="9"/>
  <c r="X1455" i="9"/>
  <c r="X1456" i="9"/>
  <c r="X1457" i="9"/>
  <c r="X1458" i="9"/>
  <c r="X1459" i="9"/>
  <c r="X1460" i="9"/>
  <c r="X1461" i="9"/>
  <c r="X1462" i="9"/>
  <c r="X1463" i="9"/>
  <c r="X1464" i="9"/>
  <c r="X1465" i="9"/>
  <c r="X1466" i="9"/>
  <c r="X1467" i="9"/>
  <c r="X1468" i="9"/>
  <c r="X1469" i="9"/>
  <c r="X1470" i="9"/>
  <c r="X1471" i="9"/>
  <c r="X1472" i="9"/>
  <c r="X1473" i="9"/>
  <c r="X1474" i="9"/>
  <c r="X1475" i="9"/>
  <c r="X1476" i="9"/>
  <c r="X1477" i="9"/>
  <c r="X1478" i="9"/>
  <c r="X1479" i="9"/>
  <c r="X1480" i="9"/>
  <c r="X1481" i="9"/>
  <c r="X1482" i="9"/>
  <c r="X1483" i="9"/>
  <c r="X1484" i="9"/>
  <c r="X1485" i="9"/>
  <c r="X1486" i="9"/>
  <c r="X1489" i="9"/>
  <c r="X1490" i="9"/>
  <c r="X1491" i="9"/>
  <c r="X1492" i="9"/>
  <c r="X1493" i="9"/>
  <c r="X1494" i="9"/>
  <c r="X1495" i="9"/>
  <c r="X1496" i="9"/>
  <c r="X1497" i="9"/>
  <c r="X1498" i="9"/>
  <c r="X1499" i="9"/>
  <c r="X1500" i="9"/>
  <c r="X1501" i="9"/>
  <c r="X1502" i="9"/>
  <c r="X1503" i="9"/>
  <c r="X1504" i="9"/>
  <c r="X1505" i="9"/>
  <c r="X1507" i="9"/>
  <c r="X1508" i="9"/>
  <c r="X1509" i="9"/>
  <c r="X1510" i="9"/>
  <c r="X1511" i="9"/>
  <c r="X1512" i="9"/>
  <c r="X1513" i="9"/>
  <c r="X1514" i="9"/>
  <c r="X1515" i="9"/>
  <c r="X1516" i="9"/>
  <c r="X1517" i="9"/>
  <c r="X1518" i="9"/>
  <c r="X1519" i="9"/>
  <c r="X1520" i="9"/>
  <c r="X1521" i="9"/>
  <c r="X1522" i="9"/>
  <c r="X1523" i="9"/>
  <c r="X1524" i="9"/>
  <c r="X1525" i="9"/>
  <c r="X1526" i="9"/>
  <c r="X1527" i="9"/>
  <c r="X1528" i="9"/>
  <c r="X1529" i="9"/>
  <c r="X1530" i="9"/>
  <c r="X1531" i="9"/>
  <c r="X1539" i="9"/>
  <c r="X1540" i="9"/>
  <c r="X1541" i="9"/>
  <c r="X1542" i="9"/>
  <c r="X1543" i="9"/>
  <c r="X1544" i="9"/>
  <c r="X1545" i="9"/>
  <c r="X1546" i="9"/>
  <c r="X1547" i="9"/>
  <c r="X1548" i="9"/>
  <c r="X1549" i="9"/>
  <c r="X1550" i="9"/>
  <c r="X1551" i="9"/>
  <c r="X1552" i="9"/>
  <c r="X1553" i="9"/>
  <c r="X1554" i="9"/>
  <c r="X1555" i="9"/>
  <c r="X1556" i="9"/>
  <c r="X1557" i="9"/>
  <c r="X1558" i="9"/>
  <c r="X1559" i="9"/>
  <c r="X1560" i="9"/>
  <c r="X1561" i="9"/>
  <c r="X1562" i="9"/>
  <c r="X1563" i="9"/>
  <c r="X1564" i="9"/>
  <c r="X1565" i="9"/>
  <c r="X1566" i="9"/>
  <c r="X1567" i="9"/>
  <c r="X1568" i="9"/>
  <c r="X1569" i="9"/>
  <c r="X1570" i="9"/>
  <c r="X1571" i="9"/>
  <c r="X1572" i="9"/>
  <c r="X1573" i="9"/>
  <c r="X1574" i="9"/>
  <c r="X1575" i="9"/>
  <c r="X1576" i="9"/>
  <c r="X1341" i="9"/>
  <c r="X1342" i="9"/>
  <c r="X1343" i="9"/>
  <c r="X1344" i="9"/>
  <c r="X1345" i="9"/>
  <c r="X1346" i="9"/>
  <c r="X1347" i="9"/>
  <c r="X1348" i="9"/>
  <c r="X1349" i="9"/>
  <c r="X1350" i="9"/>
  <c r="X1351" i="9"/>
  <c r="X1352" i="9"/>
  <c r="X1353" i="9"/>
  <c r="X1354" i="9"/>
  <c r="X1355" i="9"/>
  <c r="X1356" i="9"/>
  <c r="X1357" i="9"/>
  <c r="X1358" i="9"/>
  <c r="X1359" i="9"/>
  <c r="X1360" i="9"/>
  <c r="X1361" i="9"/>
  <c r="X1295" i="9"/>
  <c r="X1296" i="9"/>
  <c r="X1297" i="9"/>
  <c r="X1301" i="9"/>
  <c r="X1306" i="9"/>
  <c r="X1309" i="9"/>
  <c r="X1312" i="9"/>
  <c r="X1315" i="9"/>
  <c r="X1316" i="9"/>
  <c r="X1318" i="9"/>
  <c r="X1319" i="9"/>
  <c r="X1320" i="9"/>
  <c r="X1321" i="9"/>
  <c r="X1322" i="9"/>
  <c r="X1323" i="9"/>
  <c r="X1324" i="9"/>
  <c r="X1325" i="9"/>
  <c r="X1326" i="9"/>
  <c r="X1327" i="9"/>
  <c r="X1328" i="9"/>
  <c r="X1329" i="9"/>
  <c r="X1330" i="9"/>
  <c r="X1331" i="9"/>
  <c r="X1332" i="9"/>
  <c r="X1333" i="9"/>
  <c r="X1334" i="9"/>
  <c r="X1335" i="9"/>
  <c r="X1336" i="9"/>
  <c r="X1337" i="9"/>
  <c r="X1338" i="9"/>
  <c r="X1339" i="9"/>
  <c r="X1340" i="9"/>
  <c r="X1122" i="9"/>
  <c r="X1123" i="9"/>
  <c r="X1124" i="9"/>
  <c r="X1125" i="9"/>
  <c r="X1126" i="9"/>
  <c r="X1127" i="9"/>
  <c r="X1128" i="9"/>
  <c r="X1129" i="9"/>
  <c r="X1130" i="9"/>
  <c r="X1131" i="9"/>
  <c r="X1132" i="9"/>
  <c r="X1133" i="9"/>
  <c r="X1134" i="9"/>
  <c r="X1135" i="9"/>
  <c r="X1136" i="9"/>
  <c r="X1137" i="9"/>
  <c r="X1138" i="9"/>
  <c r="X1139" i="9"/>
  <c r="X1140" i="9"/>
  <c r="X1141" i="9"/>
  <c r="X1142" i="9"/>
  <c r="X1143" i="9"/>
  <c r="X1144" i="9"/>
  <c r="X1145" i="9"/>
  <c r="X1146" i="9"/>
  <c r="X1147" i="9"/>
  <c r="X1148" i="9"/>
  <c r="X1149" i="9"/>
  <c r="X1150" i="9"/>
  <c r="X1151" i="9"/>
  <c r="X1152" i="9"/>
  <c r="X1153" i="9"/>
  <c r="X1154" i="9"/>
  <c r="X1155" i="9"/>
  <c r="X1156" i="9"/>
  <c r="X1157" i="9"/>
  <c r="X1158" i="9"/>
  <c r="X1159" i="9"/>
  <c r="X1160" i="9"/>
  <c r="X1161" i="9"/>
  <c r="X1162" i="9"/>
  <c r="X1163" i="9"/>
  <c r="X1164" i="9"/>
  <c r="X1165" i="9"/>
  <c r="X1166" i="9"/>
  <c r="X1167" i="9"/>
  <c r="X1168" i="9"/>
  <c r="X1169" i="9"/>
  <c r="X1170" i="9"/>
  <c r="X1171" i="9"/>
  <c r="X1172" i="9"/>
  <c r="X1173" i="9"/>
  <c r="X1174" i="9"/>
  <c r="X1175" i="9"/>
  <c r="X1176" i="9"/>
  <c r="X1177" i="9"/>
  <c r="X1178" i="9"/>
  <c r="X1179" i="9"/>
  <c r="X1180" i="9"/>
  <c r="X1181" i="9"/>
  <c r="X1182" i="9"/>
  <c r="X1183" i="9"/>
  <c r="X1184" i="9"/>
  <c r="X1185" i="9"/>
  <c r="X1186" i="9"/>
  <c r="X1187" i="9"/>
  <c r="X1188" i="9"/>
  <c r="X1189" i="9"/>
  <c r="X1190" i="9"/>
  <c r="X1191" i="9"/>
  <c r="X1192" i="9"/>
  <c r="X1193" i="9"/>
  <c r="X1194" i="9"/>
  <c r="X1195" i="9"/>
  <c r="X1196" i="9"/>
  <c r="X1197" i="9"/>
  <c r="X1198" i="9"/>
  <c r="X1199" i="9"/>
  <c r="X1200" i="9"/>
  <c r="X1201" i="9"/>
  <c r="X1202" i="9"/>
  <c r="X1203" i="9"/>
  <c r="X1204" i="9"/>
  <c r="X1205" i="9"/>
  <c r="X1206" i="9"/>
  <c r="X1207" i="9"/>
  <c r="X1208" i="9"/>
  <c r="X1209" i="9"/>
  <c r="X1210" i="9"/>
  <c r="X1211" i="9"/>
  <c r="X1212" i="9"/>
  <c r="X1213" i="9"/>
  <c r="X1214" i="9"/>
  <c r="X1215" i="9"/>
  <c r="X1216" i="9"/>
  <c r="X1217" i="9"/>
  <c r="X1218" i="9"/>
  <c r="X1219" i="9"/>
  <c r="X1220" i="9"/>
  <c r="X1221" i="9"/>
  <c r="X1222" i="9"/>
  <c r="X1223" i="9"/>
  <c r="X1224" i="9"/>
  <c r="X1225" i="9"/>
  <c r="X1226" i="9"/>
  <c r="X1227" i="9"/>
  <c r="X1228" i="9"/>
  <c r="X1229" i="9"/>
  <c r="X1230" i="9"/>
  <c r="X1231" i="9"/>
  <c r="X1232" i="9"/>
  <c r="X1233" i="9"/>
  <c r="X1234" i="9"/>
  <c r="X1235" i="9"/>
  <c r="X1236" i="9"/>
  <c r="X1237" i="9"/>
  <c r="X1238" i="9"/>
  <c r="X1239" i="9"/>
  <c r="X1240" i="9"/>
  <c r="X1241" i="9"/>
  <c r="X1242" i="9"/>
  <c r="X1243" i="9"/>
  <c r="X1244" i="9"/>
  <c r="X1245" i="9"/>
  <c r="X1246" i="9"/>
  <c r="X1247" i="9"/>
  <c r="X1248" i="9"/>
  <c r="X1249" i="9"/>
  <c r="X1250" i="9"/>
  <c r="X1251" i="9"/>
  <c r="X1252" i="9"/>
  <c r="X1253" i="9"/>
  <c r="X1254" i="9"/>
  <c r="X1255" i="9"/>
  <c r="X1256" i="9"/>
  <c r="X1257" i="9"/>
  <c r="X1258" i="9"/>
  <c r="X1259" i="9"/>
  <c r="X1260" i="9"/>
  <c r="X1261" i="9"/>
  <c r="X1262" i="9"/>
  <c r="X1263" i="9"/>
  <c r="X1264" i="9"/>
  <c r="X1265" i="9"/>
  <c r="X1267" i="9"/>
  <c r="X1268" i="9"/>
  <c r="X1269" i="9"/>
  <c r="X1270" i="9"/>
  <c r="X1271" i="9"/>
  <c r="X1273" i="9"/>
  <c r="X1274" i="9"/>
  <c r="X1275" i="9"/>
  <c r="X1276" i="9"/>
  <c r="X1277" i="9"/>
  <c r="X1278" i="9"/>
  <c r="X1279" i="9"/>
  <c r="X1280" i="9"/>
  <c r="X1281" i="9"/>
  <c r="X1282" i="9"/>
  <c r="X1283" i="9"/>
  <c r="X1285" i="9"/>
  <c r="X1290" i="9"/>
  <c r="X1291" i="9"/>
  <c r="X1292" i="9"/>
  <c r="X1293" i="9"/>
  <c r="X1294" i="9"/>
  <c r="X1042" i="9"/>
  <c r="X1043" i="9"/>
  <c r="X1044" i="9"/>
  <c r="X1045" i="9"/>
  <c r="X1046" i="9"/>
  <c r="X1047" i="9"/>
  <c r="X1048" i="9"/>
  <c r="X1049" i="9"/>
  <c r="X1050" i="9"/>
  <c r="X1051" i="9"/>
  <c r="X1052" i="9"/>
  <c r="X1053" i="9"/>
  <c r="X1054" i="9"/>
  <c r="X1055" i="9"/>
  <c r="X1056" i="9"/>
  <c r="X1060" i="9"/>
  <c r="X1065" i="9"/>
  <c r="X1066" i="9"/>
  <c r="X1067" i="9"/>
  <c r="X1068" i="9"/>
  <c r="X1069" i="9"/>
  <c r="X1070" i="9"/>
  <c r="X1071" i="9"/>
  <c r="X1072" i="9"/>
  <c r="X1073" i="9"/>
  <c r="X1074" i="9"/>
  <c r="X1075" i="9"/>
  <c r="X1076" i="9"/>
  <c r="X1077" i="9"/>
  <c r="X1078" i="9"/>
  <c r="X1079" i="9"/>
  <c r="X1080" i="9"/>
  <c r="X1081" i="9"/>
  <c r="X1082" i="9"/>
  <c r="X1083" i="9"/>
  <c r="X1084" i="9"/>
  <c r="X1085" i="9"/>
  <c r="X1086" i="9"/>
  <c r="X1087" i="9"/>
  <c r="X1088" i="9"/>
  <c r="X1089" i="9"/>
  <c r="X1090" i="9"/>
  <c r="X1091" i="9"/>
  <c r="X1092" i="9"/>
  <c r="X1093" i="9"/>
  <c r="X1094" i="9"/>
  <c r="X1095" i="9"/>
  <c r="X1096" i="9"/>
  <c r="X1097" i="9"/>
  <c r="X1098" i="9"/>
  <c r="X1099" i="9"/>
  <c r="X1100" i="9"/>
  <c r="X1101" i="9"/>
  <c r="X1102" i="9"/>
  <c r="X1103" i="9"/>
  <c r="X1104" i="9"/>
  <c r="X1105" i="9"/>
  <c r="X1106" i="9"/>
  <c r="X1107" i="9"/>
  <c r="X1108" i="9"/>
  <c r="X1109" i="9"/>
  <c r="X1110" i="9"/>
  <c r="X1113" i="9"/>
  <c r="X1116" i="9"/>
  <c r="X1119" i="9"/>
  <c r="R6" i="18" l="1"/>
  <c r="G41" i="18" l="1"/>
  <c r="F45" i="18"/>
  <c r="AR14" i="19"/>
  <c r="AU14" i="19"/>
  <c r="AX14" i="19"/>
  <c r="BA14" i="19"/>
  <c r="BD14" i="19"/>
  <c r="BG14" i="19"/>
  <c r="X1040" i="9"/>
  <c r="X1041" i="9"/>
  <c r="X1020" i="9"/>
  <c r="X1021" i="9"/>
  <c r="X1022" i="9"/>
  <c r="X1023" i="9"/>
  <c r="X1024" i="9"/>
  <c r="X1025" i="9"/>
  <c r="X1026" i="9"/>
  <c r="X1027" i="9"/>
  <c r="X1028" i="9"/>
  <c r="X1029" i="9"/>
  <c r="X1030" i="9"/>
  <c r="X1031" i="9"/>
  <c r="X1032" i="9"/>
  <c r="X1033" i="9"/>
  <c r="X1034" i="9"/>
  <c r="X1035" i="9"/>
  <c r="X1036" i="9"/>
  <c r="X1037" i="9"/>
  <c r="X1038" i="9"/>
  <c r="X1039" i="9"/>
  <c r="G45" i="18" l="1"/>
  <c r="A37" i="18" s="1"/>
  <c r="H41" i="18"/>
  <c r="R9" i="18"/>
  <c r="BG18" i="19"/>
  <c r="BG17" i="19"/>
  <c r="BG16" i="19"/>
  <c r="BG15" i="19"/>
  <c r="BG13" i="19"/>
  <c r="BG11" i="19"/>
  <c r="BG12" i="19"/>
  <c r="BD12" i="19"/>
  <c r="AR18" i="19"/>
  <c r="AR17" i="19"/>
  <c r="AR16" i="19"/>
  <c r="AR15" i="19"/>
  <c r="AR13" i="19"/>
  <c r="AR11" i="19"/>
  <c r="AR12" i="19"/>
  <c r="AO15" i="19"/>
  <c r="AL13" i="19"/>
  <c r="AL15" i="19"/>
  <c r="AI15" i="19"/>
  <c r="AF15" i="19"/>
  <c r="AC16" i="19"/>
  <c r="AC17" i="19"/>
  <c r="AC18" i="19"/>
  <c r="AC11" i="19"/>
  <c r="AC12" i="19"/>
  <c r="AC13" i="19"/>
  <c r="AC14" i="19"/>
  <c r="AC15" i="19"/>
  <c r="Z15" i="19"/>
  <c r="W15" i="19"/>
  <c r="W18" i="19"/>
  <c r="W17" i="19"/>
  <c r="W16" i="19"/>
  <c r="W14" i="19"/>
  <c r="W13" i="19"/>
  <c r="W12" i="19"/>
  <c r="W11" i="19"/>
  <c r="N16" i="19"/>
  <c r="N17" i="19"/>
  <c r="N18" i="19"/>
  <c r="N11" i="19"/>
  <c r="N12" i="19"/>
  <c r="N13" i="19"/>
  <c r="N14" i="19"/>
  <c r="N15" i="19"/>
  <c r="BD18" i="19"/>
  <c r="BD17" i="19"/>
  <c r="BD16" i="19"/>
  <c r="BD15" i="19"/>
  <c r="BD13" i="19"/>
  <c r="BD11" i="19"/>
  <c r="BA18" i="19"/>
  <c r="BA17" i="19"/>
  <c r="BA16" i="19"/>
  <c r="BA15" i="19"/>
  <c r="BA13" i="19"/>
  <c r="BA12" i="19"/>
  <c r="BA11" i="19"/>
  <c r="AX18" i="19"/>
  <c r="AX17" i="19"/>
  <c r="AX16" i="19"/>
  <c r="AX15" i="19"/>
  <c r="AX13" i="19"/>
  <c r="AX12" i="19"/>
  <c r="AX11" i="19"/>
  <c r="AU18" i="19"/>
  <c r="AU17" i="19"/>
  <c r="AU16" i="19"/>
  <c r="AU15" i="19"/>
  <c r="AU13" i="19"/>
  <c r="AU12" i="19"/>
  <c r="AU11" i="19"/>
  <c r="AO18" i="19"/>
  <c r="AO17" i="19"/>
  <c r="AO16" i="19"/>
  <c r="AO14" i="19"/>
  <c r="AO13" i="19"/>
  <c r="AO12" i="19"/>
  <c r="AO11" i="19"/>
  <c r="AL18" i="19"/>
  <c r="AL17" i="19"/>
  <c r="AL16" i="19"/>
  <c r="AL14" i="19"/>
  <c r="AL12" i="19"/>
  <c r="AL11" i="19"/>
  <c r="AI18" i="19"/>
  <c r="AI17" i="19"/>
  <c r="AI16" i="19"/>
  <c r="AI14" i="19"/>
  <c r="AI13" i="19"/>
  <c r="AI12" i="19"/>
  <c r="AI11" i="19"/>
  <c r="AF18" i="19"/>
  <c r="AF17" i="19"/>
  <c r="AF16" i="19"/>
  <c r="AF14" i="19"/>
  <c r="AF13" i="19"/>
  <c r="AF12" i="19"/>
  <c r="AF11" i="19"/>
  <c r="Z18" i="19"/>
  <c r="Z17" i="19"/>
  <c r="Z16" i="19"/>
  <c r="Z14" i="19"/>
  <c r="Z13" i="19"/>
  <c r="Z12" i="19"/>
  <c r="Z11" i="19"/>
  <c r="T18" i="19"/>
  <c r="T17" i="19"/>
  <c r="T16" i="19"/>
  <c r="T15" i="19"/>
  <c r="T14" i="19"/>
  <c r="T13" i="19"/>
  <c r="T12" i="19"/>
  <c r="T11" i="19"/>
  <c r="Q18" i="19"/>
  <c r="Q17" i="19"/>
  <c r="Q16" i="19"/>
  <c r="Q15" i="19"/>
  <c r="Q14" i="19"/>
  <c r="Q13" i="19"/>
  <c r="Q12" i="19"/>
  <c r="Q11" i="19"/>
  <c r="K18" i="19"/>
  <c r="K17" i="19"/>
  <c r="K16" i="19"/>
  <c r="K15" i="19"/>
  <c r="K14" i="19"/>
  <c r="K13" i="19"/>
  <c r="K12" i="19"/>
  <c r="K11" i="19"/>
  <c r="H18" i="19"/>
  <c r="H17" i="19"/>
  <c r="H16" i="19"/>
  <c r="H15" i="19"/>
  <c r="H14" i="19"/>
  <c r="H13" i="19"/>
  <c r="H12" i="19"/>
  <c r="H11" i="19"/>
  <c r="E12" i="19"/>
  <c r="E13" i="19"/>
  <c r="E14" i="19"/>
  <c r="E15" i="19"/>
  <c r="E16" i="19"/>
  <c r="E17" i="19"/>
  <c r="E18" i="19"/>
  <c r="E11" i="19"/>
  <c r="H45" i="18" l="1"/>
  <c r="A48" i="14" s="1"/>
  <c r="BH17" i="19"/>
  <c r="BH18" i="19"/>
  <c r="BH16" i="19"/>
  <c r="BH13" i="19"/>
  <c r="BH12" i="19"/>
  <c r="BH15" i="19"/>
  <c r="BH14" i="19"/>
  <c r="X1019" i="9"/>
  <c r="X1015" i="9"/>
  <c r="X1016" i="9"/>
  <c r="X1017" i="9"/>
  <c r="X1018" i="9"/>
  <c r="X826" i="9" l="1"/>
  <c r="X827" i="9"/>
  <c r="X828" i="9"/>
  <c r="X829" i="9"/>
  <c r="X830" i="9"/>
  <c r="X831" i="9"/>
  <c r="X832" i="9"/>
  <c r="X833" i="9"/>
  <c r="X834" i="9"/>
  <c r="X835" i="9"/>
  <c r="X836" i="9"/>
  <c r="X837" i="9"/>
  <c r="X840" i="9"/>
  <c r="X845" i="9"/>
  <c r="X846" i="9"/>
  <c r="X847" i="9"/>
  <c r="X848" i="9"/>
  <c r="X849" i="9"/>
  <c r="X850" i="9"/>
  <c r="X851" i="9"/>
  <c r="X852" i="9"/>
  <c r="X853" i="9"/>
  <c r="X854" i="9"/>
  <c r="X855" i="9"/>
  <c r="X856" i="9"/>
  <c r="X857" i="9"/>
  <c r="X858" i="9"/>
  <c r="X859" i="9"/>
  <c r="X860" i="9"/>
  <c r="X861" i="9"/>
  <c r="X862" i="9"/>
  <c r="X863" i="9"/>
  <c r="X864" i="9"/>
  <c r="X865" i="9"/>
  <c r="X866" i="9"/>
  <c r="X867" i="9"/>
  <c r="X868" i="9"/>
  <c r="X869" i="9"/>
  <c r="X870" i="9"/>
  <c r="X871" i="9"/>
  <c r="X872" i="9"/>
  <c r="X873" i="9"/>
  <c r="X874" i="9"/>
  <c r="X875" i="9"/>
  <c r="X876" i="9"/>
  <c r="X877" i="9"/>
  <c r="X878" i="9"/>
  <c r="X879" i="9"/>
  <c r="X880" i="9"/>
  <c r="X881" i="9"/>
  <c r="X882" i="9"/>
  <c r="X883" i="9"/>
  <c r="X884" i="9"/>
  <c r="X885" i="9"/>
  <c r="X886" i="9"/>
  <c r="X887" i="9"/>
  <c r="X888" i="9"/>
  <c r="X889" i="9"/>
  <c r="X890" i="9"/>
  <c r="X891" i="9"/>
  <c r="X892" i="9"/>
  <c r="X893" i="9"/>
  <c r="X894" i="9"/>
  <c r="X895" i="9"/>
  <c r="X896" i="9"/>
  <c r="X897" i="9"/>
  <c r="X898" i="9"/>
  <c r="X899" i="9"/>
  <c r="X900" i="9"/>
  <c r="X901" i="9"/>
  <c r="X902" i="9"/>
  <c r="X903" i="9"/>
  <c r="X904" i="9"/>
  <c r="X905" i="9"/>
  <c r="X906" i="9"/>
  <c r="X907" i="9"/>
  <c r="X908" i="9"/>
  <c r="X909" i="9"/>
  <c r="X910" i="9"/>
  <c r="X911" i="9"/>
  <c r="X912" i="9"/>
  <c r="X913" i="9"/>
  <c r="X914" i="9"/>
  <c r="X915" i="9"/>
  <c r="X916" i="9"/>
  <c r="X917" i="9"/>
  <c r="X918" i="9"/>
  <c r="X919" i="9"/>
  <c r="X920" i="9"/>
  <c r="X921" i="9"/>
  <c r="X922" i="9"/>
  <c r="X923" i="9"/>
  <c r="X924" i="9"/>
  <c r="X925" i="9"/>
  <c r="X926" i="9"/>
  <c r="X927" i="9"/>
  <c r="X928" i="9"/>
  <c r="X929" i="9"/>
  <c r="X930" i="9"/>
  <c r="X931" i="9"/>
  <c r="X932" i="9"/>
  <c r="X933" i="9"/>
  <c r="X934" i="9"/>
  <c r="X935" i="9"/>
  <c r="X936" i="9"/>
  <c r="X937" i="9"/>
  <c r="X938" i="9"/>
  <c r="X939" i="9"/>
  <c r="X940" i="9"/>
  <c r="X941" i="9"/>
  <c r="X942" i="9"/>
  <c r="X943" i="9"/>
  <c r="X944" i="9"/>
  <c r="X945" i="9"/>
  <c r="X946" i="9"/>
  <c r="X947" i="9"/>
  <c r="X948" i="9"/>
  <c r="X949" i="9"/>
  <c r="X950" i="9"/>
  <c r="X951" i="9"/>
  <c r="X952" i="9"/>
  <c r="X953" i="9"/>
  <c r="X954" i="9"/>
  <c r="X955" i="9"/>
  <c r="X956" i="9"/>
  <c r="X957" i="9"/>
  <c r="X958" i="9"/>
  <c r="X959" i="9"/>
  <c r="X960" i="9"/>
  <c r="X961" i="9"/>
  <c r="X980" i="9"/>
  <c r="X962" i="9"/>
  <c r="X981" i="9"/>
  <c r="X963" i="9"/>
  <c r="X982" i="9"/>
  <c r="X964" i="9"/>
  <c r="X983" i="9"/>
  <c r="X965" i="9"/>
  <c r="X984" i="9"/>
  <c r="X966" i="9"/>
  <c r="X985" i="9"/>
  <c r="X967" i="9"/>
  <c r="X986" i="9"/>
  <c r="X968" i="9"/>
  <c r="X987" i="9"/>
  <c r="X969" i="9"/>
  <c r="X988" i="9"/>
  <c r="X970" i="9"/>
  <c r="X989" i="9"/>
  <c r="X971" i="9"/>
  <c r="X990" i="9"/>
  <c r="X972" i="9"/>
  <c r="X991" i="9"/>
  <c r="X973" i="9"/>
  <c r="X992" i="9"/>
  <c r="X974" i="9"/>
  <c r="X993" i="9"/>
  <c r="X975" i="9"/>
  <c r="X994" i="9"/>
  <c r="X976" i="9"/>
  <c r="X995" i="9"/>
  <c r="X978" i="9"/>
  <c r="X996" i="9"/>
  <c r="X979" i="9"/>
  <c r="X997" i="9"/>
  <c r="X998" i="9"/>
  <c r="X999" i="9"/>
  <c r="X1000" i="9"/>
  <c r="X1001" i="9"/>
  <c r="X1002" i="9"/>
  <c r="X1003" i="9"/>
  <c r="X1004" i="9"/>
  <c r="X1005" i="9"/>
  <c r="X1006" i="9"/>
  <c r="X1007" i="9"/>
  <c r="X1008" i="9"/>
  <c r="X1009" i="9"/>
  <c r="X1010" i="9"/>
  <c r="X1011" i="9"/>
  <c r="X1012" i="9"/>
  <c r="X1013" i="9"/>
  <c r="X1014" i="9"/>
  <c r="X807" i="9" l="1"/>
  <c r="X808" i="9"/>
  <c r="X809" i="9"/>
  <c r="X810" i="9"/>
  <c r="X811" i="9"/>
  <c r="X812" i="9"/>
  <c r="X813" i="9"/>
  <c r="X814" i="9"/>
  <c r="X815" i="9"/>
  <c r="X816" i="9"/>
  <c r="X817" i="9"/>
  <c r="X818" i="9"/>
  <c r="X819" i="9"/>
  <c r="X820" i="9"/>
  <c r="X821" i="9"/>
  <c r="X822" i="9"/>
  <c r="X823" i="9"/>
  <c r="X824" i="9"/>
  <c r="X825" i="9"/>
  <c r="R5" i="18" l="1"/>
  <c r="R13" i="18"/>
  <c r="X610" i="9"/>
  <c r="X611" i="9"/>
  <c r="X612" i="9"/>
  <c r="X613" i="9"/>
  <c r="X614" i="9"/>
  <c r="X615" i="9"/>
  <c r="X616" i="9"/>
  <c r="X617" i="9"/>
  <c r="X618" i="9"/>
  <c r="X619" i="9"/>
  <c r="X620" i="9"/>
  <c r="X621" i="9"/>
  <c r="X622" i="9"/>
  <c r="X623" i="9"/>
  <c r="X624" i="9"/>
  <c r="X625" i="9"/>
  <c r="X626" i="9"/>
  <c r="X627" i="9"/>
  <c r="X628" i="9"/>
  <c r="X629" i="9"/>
  <c r="X630" i="9"/>
  <c r="X631" i="9"/>
  <c r="X632" i="9"/>
  <c r="X633" i="9"/>
  <c r="X634" i="9"/>
  <c r="X635" i="9"/>
  <c r="X636" i="9"/>
  <c r="X637" i="9"/>
  <c r="X638" i="9"/>
  <c r="X639" i="9"/>
  <c r="X640" i="9"/>
  <c r="X641" i="9"/>
  <c r="X642" i="9"/>
  <c r="X643" i="9"/>
  <c r="X644" i="9"/>
  <c r="X645" i="9"/>
  <c r="X646" i="9"/>
  <c r="X647" i="9"/>
  <c r="X648" i="9"/>
  <c r="X649" i="9"/>
  <c r="X650" i="9"/>
  <c r="X651" i="9"/>
  <c r="X652" i="9"/>
  <c r="X653" i="9"/>
  <c r="X654" i="9"/>
  <c r="X655" i="9"/>
  <c r="X656" i="9"/>
  <c r="X657" i="9"/>
  <c r="X658" i="9"/>
  <c r="X659" i="9"/>
  <c r="X660" i="9"/>
  <c r="X661" i="9"/>
  <c r="X662" i="9"/>
  <c r="X663" i="9"/>
  <c r="X664" i="9"/>
  <c r="X665" i="9"/>
  <c r="X666" i="9"/>
  <c r="X667" i="9"/>
  <c r="X668" i="9"/>
  <c r="X669" i="9"/>
  <c r="X670" i="9"/>
  <c r="X671" i="9"/>
  <c r="X672" i="9"/>
  <c r="X673" i="9"/>
  <c r="X674" i="9"/>
  <c r="X675" i="9"/>
  <c r="X676" i="9"/>
  <c r="X677" i="9"/>
  <c r="X678" i="9"/>
  <c r="X679" i="9"/>
  <c r="X680" i="9"/>
  <c r="X681" i="9"/>
  <c r="X682" i="9"/>
  <c r="X683" i="9"/>
  <c r="X684" i="9"/>
  <c r="X685" i="9"/>
  <c r="X686" i="9"/>
  <c r="X687" i="9"/>
  <c r="X688" i="9"/>
  <c r="X689" i="9"/>
  <c r="X690" i="9"/>
  <c r="X691" i="9"/>
  <c r="X692" i="9"/>
  <c r="X693" i="9"/>
  <c r="X694" i="9"/>
  <c r="X695" i="9"/>
  <c r="X696" i="9"/>
  <c r="X697" i="9"/>
  <c r="X698" i="9"/>
  <c r="X699" i="9"/>
  <c r="X700" i="9"/>
  <c r="X701" i="9"/>
  <c r="X702" i="9"/>
  <c r="X703" i="9"/>
  <c r="X704" i="9"/>
  <c r="X705" i="9"/>
  <c r="X706" i="9"/>
  <c r="X707" i="9"/>
  <c r="X708" i="9"/>
  <c r="X709" i="9"/>
  <c r="X710" i="9"/>
  <c r="X711" i="9"/>
  <c r="X712" i="9"/>
  <c r="X713" i="9"/>
  <c r="X714" i="9"/>
  <c r="X715" i="9"/>
  <c r="X716" i="9"/>
  <c r="X717" i="9"/>
  <c r="X718" i="9"/>
  <c r="X719" i="9"/>
  <c r="X720" i="9"/>
  <c r="X721" i="9"/>
  <c r="X722" i="9"/>
  <c r="X723" i="9"/>
  <c r="X728" i="9"/>
  <c r="X733" i="9"/>
  <c r="X738" i="9"/>
  <c r="X739" i="9"/>
  <c r="X740" i="9"/>
  <c r="X741" i="9"/>
  <c r="X743" i="9"/>
  <c r="X745" i="9"/>
  <c r="X747" i="9"/>
  <c r="X749" i="9"/>
  <c r="X750" i="9"/>
  <c r="X752" i="9"/>
  <c r="X754" i="9"/>
  <c r="X756" i="9"/>
  <c r="X757" i="9"/>
  <c r="X758" i="9"/>
  <c r="X759" i="9"/>
  <c r="X760" i="9"/>
  <c r="X761" i="9"/>
  <c r="X762" i="9"/>
  <c r="X763" i="9"/>
  <c r="X764" i="9"/>
  <c r="X765" i="9"/>
  <c r="X767" i="9"/>
  <c r="X769" i="9"/>
  <c r="X771" i="9"/>
  <c r="X773" i="9"/>
  <c r="X774" i="9"/>
  <c r="X775" i="9"/>
  <c r="X776" i="9"/>
  <c r="X777" i="9"/>
  <c r="X778" i="9"/>
  <c r="X779" i="9"/>
  <c r="X780" i="9"/>
  <c r="X781" i="9"/>
  <c r="X782" i="9"/>
  <c r="X783" i="9"/>
  <c r="X784" i="9"/>
  <c r="X785" i="9"/>
  <c r="X786" i="9"/>
  <c r="X787" i="9"/>
  <c r="X788" i="9"/>
  <c r="X789" i="9"/>
  <c r="X790" i="9"/>
  <c r="X791" i="9"/>
  <c r="X792" i="9"/>
  <c r="X793" i="9"/>
  <c r="X794" i="9"/>
  <c r="X795" i="9"/>
  <c r="X796" i="9"/>
  <c r="X797" i="9"/>
  <c r="X798" i="9"/>
  <c r="X799" i="9"/>
  <c r="X800" i="9"/>
  <c r="X801" i="9"/>
  <c r="X802" i="9"/>
  <c r="X803" i="9"/>
  <c r="X804" i="9"/>
  <c r="X805" i="9"/>
  <c r="X806" i="9"/>
  <c r="R32" i="18" l="1"/>
  <c r="X561" i="9"/>
  <c r="X562" i="9"/>
  <c r="X563" i="9"/>
  <c r="X564" i="9"/>
  <c r="X569" i="9"/>
  <c r="X570" i="9"/>
  <c r="X571" i="9"/>
  <c r="X572" i="9"/>
  <c r="X573" i="9"/>
  <c r="X574" i="9"/>
  <c r="X575" i="9"/>
  <c r="X576" i="9"/>
  <c r="X577" i="9"/>
  <c r="X578" i="9"/>
  <c r="X579" i="9"/>
  <c r="X580" i="9"/>
  <c r="X581" i="9"/>
  <c r="X582" i="9"/>
  <c r="X583" i="9"/>
  <c r="X584" i="9"/>
  <c r="X587" i="9"/>
  <c r="X588" i="9"/>
  <c r="X594" i="9"/>
  <c r="X595" i="9"/>
  <c r="X585" i="9"/>
  <c r="X589" i="9"/>
  <c r="X596" i="9"/>
  <c r="X597" i="9"/>
  <c r="X598" i="9"/>
  <c r="X599" i="9"/>
  <c r="X604" i="9"/>
  <c r="X605" i="9"/>
  <c r="X606" i="9"/>
  <c r="X607" i="9"/>
  <c r="X608" i="9"/>
  <c r="X609" i="9"/>
  <c r="X518" i="9"/>
  <c r="X520" i="9"/>
  <c r="X521" i="9"/>
  <c r="X524" i="9"/>
  <c r="X525" i="9"/>
  <c r="X526" i="9"/>
  <c r="X527" i="9"/>
  <c r="X528" i="9"/>
  <c r="X529" i="9"/>
  <c r="X530" i="9"/>
  <c r="X531" i="9"/>
  <c r="X532" i="9"/>
  <c r="X533" i="9"/>
  <c r="X534" i="9"/>
  <c r="X536" i="9"/>
  <c r="X537" i="9"/>
  <c r="X539" i="9"/>
  <c r="X540" i="9"/>
  <c r="X542" i="9"/>
  <c r="X544" i="9"/>
  <c r="X546" i="9"/>
  <c r="X548" i="9"/>
  <c r="X552" i="9"/>
  <c r="X553" i="9"/>
  <c r="X554" i="9"/>
  <c r="X555" i="9"/>
  <c r="X556" i="9"/>
  <c r="X557" i="9"/>
  <c r="X558" i="9"/>
  <c r="X559" i="9"/>
  <c r="X560" i="9"/>
  <c r="C3" i="17" l="1"/>
  <c r="C158" i="17" s="1"/>
  <c r="C2" i="17"/>
  <c r="C157" i="17" s="1"/>
  <c r="C1" i="17"/>
  <c r="A17" i="17" s="1"/>
  <c r="D1" i="16"/>
  <c r="A26" i="16" s="1"/>
  <c r="C12" i="14"/>
  <c r="D12" i="14" s="1"/>
  <c r="E12" i="14" s="1"/>
  <c r="X517" i="9"/>
  <c r="X515" i="9"/>
  <c r="X514" i="9"/>
  <c r="X511" i="9"/>
  <c r="X509" i="9"/>
  <c r="X508" i="9"/>
  <c r="X505" i="9"/>
  <c r="X504" i="9"/>
  <c r="X503" i="9"/>
  <c r="X502" i="9"/>
  <c r="X501" i="9"/>
  <c r="X500" i="9"/>
  <c r="X499" i="9"/>
  <c r="X498" i="9"/>
  <c r="X497" i="9"/>
  <c r="X496" i="9"/>
  <c r="X495" i="9"/>
  <c r="X494" i="9"/>
  <c r="X493" i="9"/>
  <c r="X492" i="9"/>
  <c r="X491" i="9"/>
  <c r="X490" i="9"/>
  <c r="X489" i="9"/>
  <c r="X488" i="9"/>
  <c r="X487" i="9"/>
  <c r="X486" i="9"/>
  <c r="X485" i="9"/>
  <c r="X484" i="9"/>
  <c r="X483" i="9"/>
  <c r="X482" i="9"/>
  <c r="X481" i="9"/>
  <c r="X480" i="9"/>
  <c r="X479" i="9"/>
  <c r="X478" i="9"/>
  <c r="X477" i="9"/>
  <c r="X476" i="9"/>
  <c r="X475" i="9"/>
  <c r="X474" i="9"/>
  <c r="X473" i="9"/>
  <c r="X472" i="9"/>
  <c r="X471" i="9"/>
  <c r="X470" i="9"/>
  <c r="X469" i="9"/>
  <c r="X468" i="9"/>
  <c r="X467" i="9"/>
  <c r="X466" i="9"/>
  <c r="X465" i="9"/>
  <c r="X464" i="9"/>
  <c r="X463" i="9"/>
  <c r="X462" i="9"/>
  <c r="X461" i="9"/>
  <c r="X460" i="9"/>
  <c r="X459" i="9"/>
  <c r="X458" i="9"/>
  <c r="X457" i="9"/>
  <c r="X456" i="9"/>
  <c r="X455" i="9"/>
  <c r="X454" i="9"/>
  <c r="X453" i="9"/>
  <c r="X452" i="9"/>
  <c r="X451" i="9"/>
  <c r="X450" i="9"/>
  <c r="X449" i="9"/>
  <c r="X448" i="9"/>
  <c r="X447" i="9"/>
  <c r="X446" i="9"/>
  <c r="X445" i="9"/>
  <c r="X444" i="9"/>
  <c r="X443" i="9"/>
  <c r="X442" i="9"/>
  <c r="X441" i="9"/>
  <c r="X440" i="9"/>
  <c r="X439" i="9"/>
  <c r="X438" i="9"/>
  <c r="X437" i="9"/>
  <c r="X436" i="9"/>
  <c r="X435" i="9"/>
  <c r="X434" i="9"/>
  <c r="X433" i="9"/>
  <c r="X432" i="9"/>
  <c r="X431" i="9"/>
  <c r="X430" i="9"/>
  <c r="X429" i="9"/>
  <c r="X428" i="9"/>
  <c r="X427" i="9"/>
  <c r="X426" i="9"/>
  <c r="X425" i="9"/>
  <c r="X424" i="9"/>
  <c r="X423" i="9"/>
  <c r="X422" i="9"/>
  <c r="X421" i="9"/>
  <c r="X420" i="9"/>
  <c r="X419" i="9"/>
  <c r="X418" i="9"/>
  <c r="X417" i="9"/>
  <c r="X416" i="9"/>
  <c r="X415" i="9"/>
  <c r="X414" i="9"/>
  <c r="X413" i="9"/>
  <c r="X412" i="9"/>
  <c r="X411" i="9"/>
  <c r="X410" i="9"/>
  <c r="X409" i="9"/>
  <c r="X408" i="9"/>
  <c r="X407" i="9"/>
  <c r="X406" i="9"/>
  <c r="X405" i="9"/>
  <c r="X404" i="9"/>
  <c r="X403" i="9"/>
  <c r="X402" i="9"/>
  <c r="X401" i="9"/>
  <c r="X400" i="9"/>
  <c r="X399" i="9"/>
  <c r="X398" i="9"/>
  <c r="X397" i="9"/>
  <c r="X396" i="9"/>
  <c r="X395" i="9"/>
  <c r="X394" i="9"/>
  <c r="X393" i="9"/>
  <c r="X392" i="9"/>
  <c r="X391" i="9"/>
  <c r="X390" i="9"/>
  <c r="X389" i="9"/>
  <c r="X388" i="9"/>
  <c r="X387" i="9"/>
  <c r="X386" i="9"/>
  <c r="X385" i="9"/>
  <c r="X384" i="9"/>
  <c r="X383" i="9"/>
  <c r="X382" i="9"/>
  <c r="X381" i="9"/>
  <c r="X380" i="9"/>
  <c r="X379" i="9"/>
  <c r="X378" i="9"/>
  <c r="X377" i="9"/>
  <c r="X376" i="9"/>
  <c r="X375" i="9"/>
  <c r="X374" i="9"/>
  <c r="X373" i="9"/>
  <c r="X372" i="9"/>
  <c r="X371" i="9"/>
  <c r="X370" i="9"/>
  <c r="X369" i="9"/>
  <c r="X368" i="9"/>
  <c r="X367" i="9"/>
  <c r="X366" i="9"/>
  <c r="X365" i="9"/>
  <c r="X364" i="9"/>
  <c r="X363" i="9"/>
  <c r="X337" i="9"/>
  <c r="X336" i="9"/>
  <c r="X335" i="9"/>
  <c r="X334" i="9"/>
  <c r="X333" i="9"/>
  <c r="X332" i="9"/>
  <c r="X331" i="9"/>
  <c r="X330" i="9"/>
  <c r="X329" i="9"/>
  <c r="X328" i="9"/>
  <c r="X327" i="9"/>
  <c r="X326" i="9"/>
  <c r="X325" i="9"/>
  <c r="X324" i="9"/>
  <c r="X323" i="9"/>
  <c r="X322" i="9"/>
  <c r="X321" i="9"/>
  <c r="X320" i="9"/>
  <c r="X319" i="9"/>
  <c r="X318" i="9"/>
  <c r="X317" i="9"/>
  <c r="X316" i="9"/>
  <c r="X315" i="9"/>
  <c r="X314" i="9"/>
  <c r="X313" i="9"/>
  <c r="X312" i="9"/>
  <c r="X311" i="9"/>
  <c r="X310" i="9"/>
  <c r="X309" i="9"/>
  <c r="X308" i="9"/>
  <c r="X307" i="9"/>
  <c r="X306" i="9"/>
  <c r="X305" i="9"/>
  <c r="X304" i="9"/>
  <c r="X303" i="9"/>
  <c r="X302" i="9"/>
  <c r="X301" i="9"/>
  <c r="X300" i="9"/>
  <c r="X299" i="9"/>
  <c r="X298" i="9"/>
  <c r="X297" i="9"/>
  <c r="X296" i="9"/>
  <c r="X295" i="9"/>
  <c r="X294" i="9"/>
  <c r="X293" i="9"/>
  <c r="X292" i="9"/>
  <c r="X286" i="9"/>
  <c r="X281" i="9"/>
  <c r="X277" i="9"/>
  <c r="X274" i="9"/>
  <c r="X271" i="9"/>
  <c r="X270" i="9"/>
  <c r="X269" i="9"/>
  <c r="X268" i="9"/>
  <c r="X267" i="9"/>
  <c r="X266" i="9"/>
  <c r="X265" i="9"/>
  <c r="X264" i="9"/>
  <c r="X263" i="9"/>
  <c r="X262" i="9"/>
  <c r="X261" i="9"/>
  <c r="X260" i="9"/>
  <c r="X259" i="9"/>
  <c r="X258" i="9"/>
  <c r="X257" i="9"/>
  <c r="X256" i="9"/>
  <c r="X255" i="9"/>
  <c r="X254" i="9"/>
  <c r="X253" i="9"/>
  <c r="X252" i="9"/>
  <c r="X251" i="9"/>
  <c r="X250" i="9"/>
  <c r="X249" i="9"/>
  <c r="X248" i="9"/>
  <c r="X247" i="9"/>
  <c r="X246" i="9"/>
  <c r="X245" i="9"/>
  <c r="X244" i="9"/>
  <c r="X243" i="9"/>
  <c r="X242" i="9"/>
  <c r="X241" i="9"/>
  <c r="X240" i="9"/>
  <c r="X239" i="9"/>
  <c r="X238" i="9"/>
  <c r="X237" i="9"/>
  <c r="X236" i="9"/>
  <c r="X235" i="9"/>
  <c r="X234" i="9"/>
  <c r="X233" i="9"/>
  <c r="X232" i="9"/>
  <c r="X227" i="9"/>
  <c r="X222" i="9"/>
  <c r="X217" i="9"/>
  <c r="X212" i="9"/>
  <c r="X210" i="9"/>
  <c r="X205" i="9"/>
  <c r="X200" i="9"/>
  <c r="X196" i="9"/>
  <c r="X193" i="9"/>
  <c r="X190" i="9"/>
  <c r="X189" i="9"/>
  <c r="X188" i="9"/>
  <c r="X187" i="9"/>
  <c r="X186" i="9"/>
  <c r="X185" i="9"/>
  <c r="X184" i="9"/>
  <c r="X183" i="9"/>
  <c r="X182" i="9"/>
  <c r="X181" i="9"/>
  <c r="X180" i="9"/>
  <c r="X179" i="9"/>
  <c r="X178" i="9"/>
  <c r="X177" i="9"/>
  <c r="X176" i="9"/>
  <c r="X175" i="9"/>
  <c r="X174" i="9"/>
  <c r="X173" i="9"/>
  <c r="X172" i="9"/>
  <c r="X171" i="9"/>
  <c r="X170" i="9"/>
  <c r="X167" i="9"/>
  <c r="X163" i="9"/>
  <c r="X160" i="9"/>
  <c r="X158" i="9"/>
  <c r="X156" i="9"/>
  <c r="X154" i="9"/>
  <c r="X151" i="9"/>
  <c r="X150" i="9"/>
  <c r="X145" i="9"/>
  <c r="X144" i="9"/>
  <c r="X142" i="9"/>
  <c r="X141" i="9"/>
  <c r="X140" i="9"/>
  <c r="X139" i="9"/>
  <c r="X138" i="9"/>
  <c r="X137" i="9"/>
  <c r="X136" i="9"/>
  <c r="X134" i="9"/>
  <c r="X133" i="9"/>
  <c r="X132" i="9"/>
  <c r="X131" i="9"/>
  <c r="X130" i="9"/>
  <c r="X129" i="9"/>
  <c r="X128" i="9"/>
  <c r="X127" i="9"/>
  <c r="X123" i="9"/>
  <c r="X122" i="9"/>
  <c r="X121" i="9"/>
  <c r="X119" i="9"/>
  <c r="X118" i="9"/>
  <c r="X117" i="9"/>
  <c r="X116" i="9"/>
  <c r="X114" i="9"/>
  <c r="X111" i="9"/>
  <c r="X110" i="9"/>
  <c r="X109" i="9"/>
  <c r="X108" i="9"/>
  <c r="X107" i="9"/>
  <c r="X100" i="9"/>
  <c r="X95" i="9"/>
  <c r="X93" i="9"/>
  <c r="X92" i="9"/>
  <c r="X91" i="9"/>
  <c r="X90" i="9"/>
  <c r="X89" i="9"/>
  <c r="X88" i="9"/>
  <c r="X87" i="9"/>
  <c r="X86" i="9"/>
  <c r="X85" i="9"/>
  <c r="X84" i="9"/>
  <c r="X83" i="9"/>
  <c r="X82" i="9"/>
  <c r="X81" i="9"/>
  <c r="X80" i="9"/>
  <c r="X79" i="9"/>
  <c r="X78" i="9"/>
  <c r="X77" i="9"/>
  <c r="X76" i="9"/>
  <c r="X75" i="9"/>
  <c r="X74" i="9"/>
  <c r="X73" i="9"/>
  <c r="X72" i="9"/>
  <c r="X70" i="9"/>
  <c r="X69" i="9"/>
  <c r="X67" i="9"/>
  <c r="X61" i="9"/>
  <c r="X58" i="9"/>
  <c r="X55" i="9"/>
  <c r="X53" i="9"/>
  <c r="X46" i="9"/>
  <c r="X45" i="9"/>
  <c r="X43" i="9"/>
  <c r="X41" i="9"/>
  <c r="X39" i="9"/>
  <c r="X37" i="9"/>
  <c r="X36" i="9"/>
  <c r="X35" i="9"/>
  <c r="X34" i="9"/>
  <c r="X33" i="9"/>
  <c r="X32" i="9"/>
  <c r="X31" i="9"/>
  <c r="X27" i="9"/>
  <c r="X25" i="9"/>
  <c r="X24" i="9"/>
  <c r="X23" i="9"/>
  <c r="X22" i="9"/>
  <c r="X21" i="9"/>
  <c r="X20" i="9"/>
  <c r="X19" i="9"/>
  <c r="X18" i="9"/>
  <c r="X17" i="9"/>
  <c r="X16" i="9"/>
  <c r="X15" i="9"/>
  <c r="X14" i="9"/>
  <c r="X13" i="9"/>
  <c r="X12" i="9"/>
  <c r="X11" i="9"/>
  <c r="X10" i="9"/>
  <c r="X9" i="9"/>
  <c r="X8" i="9"/>
  <c r="X7" i="9"/>
  <c r="X6" i="9"/>
  <c r="X5" i="9"/>
  <c r="X4" i="9"/>
  <c r="X3" i="9"/>
  <c r="N43" i="14" l="1"/>
  <c r="R8" i="14"/>
  <c r="R5" i="14"/>
  <c r="R7" i="14"/>
  <c r="R6" i="14"/>
  <c r="P43" i="14"/>
  <c r="J43" i="14"/>
  <c r="M33" i="14" l="1"/>
  <c r="N33" i="14" s="1"/>
  <c r="M43" i="14"/>
  <c r="I42" i="14"/>
  <c r="I44" i="14" s="1"/>
  <c r="O43" i="14"/>
  <c r="P42" i="14"/>
  <c r="Q42" i="14"/>
  <c r="K43" i="14"/>
  <c r="K42" i="14"/>
  <c r="K44" i="14" s="1"/>
  <c r="J42" i="14"/>
  <c r="J44" i="14" s="1"/>
  <c r="G43" i="14"/>
  <c r="G42" i="14"/>
  <c r="G44" i="14" s="1"/>
  <c r="F43" i="14"/>
  <c r="F42" i="14"/>
  <c r="F44" i="14" s="1"/>
  <c r="H42" i="14"/>
  <c r="H44" i="14" s="1"/>
  <c r="H43" i="14"/>
  <c r="O42" i="14"/>
  <c r="N42" i="14"/>
  <c r="R12" i="14"/>
  <c r="R32" i="14" s="1"/>
  <c r="O33" i="14" l="1"/>
  <c r="P33" i="14" s="1"/>
  <c r="Q33" i="14" s="1"/>
  <c r="E29" i="24"/>
  <c r="M42" i="14"/>
  <c r="I43" i="14"/>
  <c r="L42" i="14"/>
  <c r="L44" i="14" s="1"/>
  <c r="L43" i="14"/>
  <c r="E32" i="24" l="1"/>
  <c r="F29" i="24"/>
  <c r="F32" i="24" s="1"/>
  <c r="J47" i="14"/>
  <c r="I47" i="14"/>
  <c r="F34" i="14"/>
  <c r="F33" i="18"/>
  <c r="G33" i="18" s="1"/>
  <c r="H33" i="18" s="1"/>
  <c r="I33" i="18" s="1"/>
  <c r="J33" i="18" s="1"/>
  <c r="K33" i="18" s="1"/>
  <c r="L33" i="18" s="1"/>
  <c r="M33" i="18" s="1"/>
  <c r="N33" i="18" s="1"/>
  <c r="O33" i="18" s="1"/>
  <c r="P33" i="18" s="1"/>
  <c r="Q33" i="18" s="1"/>
  <c r="Q34" i="14"/>
  <c r="Q43" i="14" s="1"/>
  <c r="S39" i="18"/>
  <c r="S41" i="18" s="1"/>
  <c r="P34" i="14"/>
  <c r="K34" i="14"/>
  <c r="G34" i="14"/>
  <c r="N34" i="14"/>
  <c r="J34" i="14"/>
  <c r="O34" i="14"/>
  <c r="M34" i="14"/>
  <c r="I34" i="14"/>
  <c r="I36" i="18"/>
  <c r="L34" i="14"/>
  <c r="H34" i="14"/>
  <c r="J36" i="18"/>
  <c r="J38" i="18" s="1"/>
  <c r="D13" i="23" l="1"/>
  <c r="D16" i="23" s="1"/>
  <c r="D18" i="23"/>
</calcChain>
</file>

<file path=xl/sharedStrings.xml><?xml version="1.0" encoding="utf-8"?>
<sst xmlns="http://schemas.openxmlformats.org/spreadsheetml/2006/main" count="53372" uniqueCount="6261">
  <si>
    <t>INSTITUTO NACIONAL DE TRANSPARENCIA, ACCESO A LA INFORMACIÓN Y PROTECCIÓN DE DATOS PERSONALES</t>
  </si>
  <si>
    <t>Servicio</t>
  </si>
  <si>
    <t>Tipo de Requerimiento</t>
  </si>
  <si>
    <t>Subdirección</t>
  </si>
  <si>
    <t>Departamento</t>
  </si>
  <si>
    <t>Sistema</t>
  </si>
  <si>
    <t>Clasificación / Fase</t>
  </si>
  <si>
    <t># Ticket</t>
  </si>
  <si>
    <t>Nombre del Servicio / Tarea / Requerimiento</t>
  </si>
  <si>
    <t>Descripción</t>
  </si>
  <si>
    <t>Tiempo
(Hrs 00/100)</t>
  </si>
  <si>
    <t>Estatus</t>
  </si>
  <si>
    <t>Evidencia (URL)</t>
  </si>
  <si>
    <t>Ingeniero</t>
  </si>
  <si>
    <t>Perfil</t>
  </si>
  <si>
    <t>Soporte a aplicativos</t>
  </si>
  <si>
    <t>SAW</t>
  </si>
  <si>
    <t>Terminado</t>
  </si>
  <si>
    <t>Ingeniero en soporte a aplicativos</t>
  </si>
  <si>
    <t>Luis Fernando Aldana Mendoza</t>
  </si>
  <si>
    <t>Ingeniero de software (Sharepoint)</t>
  </si>
  <si>
    <t>Correctivos </t>
  </si>
  <si>
    <t>Desarrollo</t>
  </si>
  <si>
    <t>Construcción</t>
  </si>
  <si>
    <t>PROYECTO:</t>
  </si>
  <si>
    <t>CONTRATO:</t>
  </si>
  <si>
    <t>SERVICIO:</t>
  </si>
  <si>
    <t>ÁREA:</t>
  </si>
  <si>
    <t>Paloma Martín del Campo Jiménez</t>
  </si>
  <si>
    <t>Gerente técnico de servicios de desarrollo y mantenimiento de aplicativos</t>
  </si>
  <si>
    <t>Subdirección de Aplicaciones Web</t>
  </si>
  <si>
    <t># Servicios</t>
  </si>
  <si>
    <t>Horas Consumidas</t>
  </si>
  <si>
    <t>Total general</t>
  </si>
  <si>
    <t>Recursos</t>
  </si>
  <si>
    <t>Entregaron los servicios</t>
  </si>
  <si>
    <t>Director del Proyecto</t>
  </si>
  <si>
    <t>Ingeniero de software (Micrositios)</t>
  </si>
  <si>
    <t>Experto en experiencia de usuarios y diseño gráfico</t>
  </si>
  <si>
    <t>Ingeniero en soporte a sistemas de negocio</t>
  </si>
  <si>
    <t>Ingeniero de software (JAVA)</t>
  </si>
  <si>
    <t>Tercerización de servicios de soporte a infraestructura, desarrollo, seguridad, mantenimiento y soporte de aplicativos del INAI</t>
  </si>
  <si>
    <t>Soporte, Mantenimiento y Desarrollo de Aplicativos</t>
  </si>
  <si>
    <t>SST</t>
  </si>
  <si>
    <t>Edgar Humberto Pinzón Sánchez</t>
  </si>
  <si>
    <t>SPD</t>
  </si>
  <si>
    <t>Marina Adame Velasco</t>
  </si>
  <si>
    <t>Pedro Cortes Carmona</t>
  </si>
  <si>
    <t>Reyna Durán Manuel</t>
  </si>
  <si>
    <t>SAI</t>
  </si>
  <si>
    <t>Fecha Inicio (dd/mm/aaaa)</t>
  </si>
  <si>
    <t>Fecha Fin (dd/mm/aaaa)</t>
  </si>
  <si>
    <t>Facturación</t>
  </si>
  <si>
    <t>Área</t>
  </si>
  <si>
    <t>Suma de Tiempo
(Hrs 00/100)</t>
  </si>
  <si>
    <t>Tiempo (hrs)</t>
  </si>
  <si>
    <t>Nombre del catálogo</t>
  </si>
  <si>
    <t>Valores</t>
  </si>
  <si>
    <t>Análisis de requerimientos</t>
  </si>
  <si>
    <t>Mantenimiento</t>
  </si>
  <si>
    <t>Correctivos urgentes</t>
  </si>
  <si>
    <t>Informativos</t>
  </si>
  <si>
    <t>Evolutivos</t>
  </si>
  <si>
    <t>Adaptativos</t>
  </si>
  <si>
    <t>Preventivos</t>
  </si>
  <si>
    <t>Diseño detallado</t>
  </si>
  <si>
    <t>Pruebas unitarias </t>
  </si>
  <si>
    <t xml:space="preserve">Mesa de Servicio </t>
  </si>
  <si>
    <t>Pruebas integrales</t>
  </si>
  <si>
    <t>Subdirección de Protección de Datos</t>
  </si>
  <si>
    <t>Departamento de Desarrollo de Sistemas</t>
  </si>
  <si>
    <t>Fase del proyecto</t>
  </si>
  <si>
    <t>Análisis</t>
  </si>
  <si>
    <t>Diseño</t>
  </si>
  <si>
    <t>Configuración</t>
  </si>
  <si>
    <t>Pruebas</t>
  </si>
  <si>
    <t>Cierre</t>
  </si>
  <si>
    <t>Estimación</t>
  </si>
  <si>
    <t>Director del proyecto</t>
  </si>
  <si>
    <t>Arquitecto de software</t>
  </si>
  <si>
    <t>Analista de procesos</t>
  </si>
  <si>
    <t>Ingeniero de Pruebas</t>
  </si>
  <si>
    <t>Ingeniero de software (.NET)</t>
  </si>
  <si>
    <t>Ingeniero de software (SAP-CRM)</t>
  </si>
  <si>
    <t>Ingeniero de software (SAP-BW-BI&amp;BO)</t>
  </si>
  <si>
    <t>Ingeniero de software (SAP-ABAP)</t>
  </si>
  <si>
    <t>Ingeniero de software (Open Text)</t>
  </si>
  <si>
    <t>Ingeniero de software (MS CRM Dynamics)</t>
  </si>
  <si>
    <t>Ingeniero de software (Liferay)</t>
  </si>
  <si>
    <t>Ingeniero de software (IOS)</t>
  </si>
  <si>
    <t>Arquitecto empresarial</t>
  </si>
  <si>
    <t>Ingeniero Windows</t>
  </si>
  <si>
    <t>Ingeniero en telecomunicaciones</t>
  </si>
  <si>
    <t>Administrador de base de datos (Junior)</t>
  </si>
  <si>
    <t>Administrador de base de datos (Senior)</t>
  </si>
  <si>
    <t>Ingeniero en Oracle</t>
  </si>
  <si>
    <t>Ingeniero en soporte a ofimática (SIRVE)</t>
  </si>
  <si>
    <t>Rubén Constantino Sánchez</t>
  </si>
  <si>
    <t>Franco Sánchez Fonseca</t>
  </si>
  <si>
    <t>Roberto Joaquín Camarón Morales</t>
  </si>
  <si>
    <t>Antonio Jiménez Salgado</t>
  </si>
  <si>
    <t>Susana Yadira Almaraz Sibaja</t>
  </si>
  <si>
    <t>Carolina Montoya Palmeros</t>
  </si>
  <si>
    <t>Tamara Zambrano Pérez</t>
  </si>
  <si>
    <t>EJERCICIO:</t>
  </si>
  <si>
    <t>(en blanco)</t>
  </si>
  <si>
    <t>NOTA: Las evidencias de  los servicios entregados fueron validados por el Gerente técnico de servicios de desarrollo y mantenimiento de aplicativos.</t>
  </si>
  <si>
    <t>INAI</t>
  </si>
  <si>
    <t>ND Negocios Digitales-Endeavor</t>
  </si>
  <si>
    <t>Descripción Impresión</t>
  </si>
  <si>
    <t>Meses Facturados</t>
  </si>
  <si>
    <t>Unidad de Medida</t>
  </si>
  <si>
    <t>Costo</t>
  </si>
  <si>
    <t>TOTAL</t>
  </si>
  <si>
    <t>Dirección del proyecto</t>
  </si>
  <si>
    <t>Hora/Hombre</t>
  </si>
  <si>
    <t>Servicios relacionados con el Soporte, Mantenimiento y Desarrollo de aplicativos</t>
  </si>
  <si>
    <t>Ingeniero de software (Android)</t>
  </si>
  <si>
    <t>Soporte a Infraestructura</t>
  </si>
  <si>
    <t>Monitoreo de seguridad</t>
  </si>
  <si>
    <t>Ingeniero de monitoreo de niveles de seguridad</t>
  </si>
  <si>
    <t>Tiempo</t>
  </si>
  <si>
    <t>Ingenieros</t>
  </si>
  <si>
    <t>Áreas</t>
  </si>
  <si>
    <t>Status</t>
  </si>
  <si>
    <t>Proceso</t>
  </si>
  <si>
    <t>Personal del Proveedor</t>
  </si>
  <si>
    <t>Costo x hora</t>
  </si>
  <si>
    <t>Costo x hora con IVA</t>
  </si>
  <si>
    <t>Costo por día con IVA</t>
  </si>
  <si>
    <t>ENERO</t>
  </si>
  <si>
    <t>FEBRERO</t>
  </si>
  <si>
    <t>MARZO</t>
  </si>
  <si>
    <t>ABRIL</t>
  </si>
  <si>
    <t>MAYO</t>
  </si>
  <si>
    <t>JUNIO</t>
  </si>
  <si>
    <t>JULIO</t>
  </si>
  <si>
    <t>AGOSTO</t>
  </si>
  <si>
    <t>SEPTIEMBRE</t>
  </si>
  <si>
    <t>OCTUBRE</t>
  </si>
  <si>
    <t>NOVIEMBRE</t>
  </si>
  <si>
    <t>DICIEMBRE</t>
  </si>
  <si>
    <t>PRESUPUESTO</t>
  </si>
  <si>
    <t>Indicador</t>
  </si>
  <si>
    <t>%</t>
  </si>
  <si>
    <t>$</t>
  </si>
  <si>
    <t>Diferencia</t>
  </si>
  <si>
    <t>&lt; 0</t>
  </si>
  <si>
    <t>Rojo</t>
  </si>
  <si>
    <t>Amarillo</t>
  </si>
  <si>
    <t>Verde</t>
  </si>
  <si>
    <t>&lt;= $ 38,500</t>
  </si>
  <si>
    <t>&gt; $ 38,500</t>
  </si>
  <si>
    <t>&lt;= 1%</t>
  </si>
  <si>
    <t>&gt; 1%</t>
  </si>
  <si>
    <t>DS</t>
  </si>
  <si>
    <t>Jesús Martín García Ramírez</t>
  </si>
  <si>
    <t>Dirección</t>
  </si>
  <si>
    <t>Dirección de Sistemas</t>
  </si>
  <si>
    <t>Anel Morales Regalado</t>
  </si>
  <si>
    <t>Horacio Alemán Alcántara</t>
  </si>
  <si>
    <t>OA/C066/19</t>
  </si>
  <si>
    <t>Subdirección de Soluciones Tecnológicas</t>
  </si>
  <si>
    <t>Víctor Manuel Huerta González</t>
  </si>
  <si>
    <t>Rafael González García</t>
  </si>
  <si>
    <t>Juan Carlos Lopez Rivera</t>
  </si>
  <si>
    <t>Director de Sistemas</t>
  </si>
  <si>
    <t>Subdirector de Aplicaciones Web</t>
  </si>
  <si>
    <t>Subdirector de Soluciones Tecnológicas</t>
  </si>
  <si>
    <t>Subdirector de Protección de Datos</t>
  </si>
  <si>
    <t>Subdirector de Acceso a la Información</t>
  </si>
  <si>
    <t>Subdirección de Acceso a la Información</t>
  </si>
  <si>
    <t>Jefe del Departamento de Desarrollo de Sistemas</t>
  </si>
  <si>
    <t>Análisis de Requerimientos</t>
  </si>
  <si>
    <t>Servicios por perfil</t>
  </si>
  <si>
    <t>Horas por perfil</t>
  </si>
  <si>
    <r>
      <t xml:space="preserve">RFC ND Negocios Digitales: </t>
    </r>
    <r>
      <rPr>
        <b/>
        <sz val="7.5"/>
        <color rgb="FF000000"/>
        <rFont val="Calibri"/>
        <family val="2"/>
      </rPr>
      <t>NND110909DCA</t>
    </r>
  </si>
  <si>
    <t>Instituto Nacional de Transparencia, Acceso a la Información y Protección de Datos Personales</t>
  </si>
  <si>
    <t>“TERCERIZACIÓN DE SERVICIOS DE SOPORTE A INFRAESTRUCTURA, DESARROLLO, SEGURIDAD, MANTENIMIENTO Y SOPORTE DE APLICATIVOS DEL INAI”</t>
  </si>
  <si>
    <t>Reporte Mensual</t>
  </si>
  <si>
    <t>Servicio: Soporte, Mantenimiento y Desarrollo de Aplicativos</t>
  </si>
  <si>
    <t>Area:</t>
  </si>
  <si>
    <t>Periodo</t>
  </si>
  <si>
    <t>LICITACIÓN PÚBLICA DE CARÁCTER NACIONAL</t>
  </si>
  <si>
    <t>Objetivo</t>
  </si>
  <si>
    <t>Documentación de Referencia</t>
  </si>
  <si>
    <t xml:space="preserve">LICITACIÓN PÚBLICA DE CARÁCTER NACIONAL </t>
  </si>
  <si>
    <t>Clave interna:</t>
  </si>
  <si>
    <t xml:space="preserve">Clave electrónica:  </t>
  </si>
  <si>
    <t>Contrato:</t>
  </si>
  <si>
    <t xml:space="preserve">“TERCERIZACIÓN DE SERVICIOS DE SOPORTE A INFRAESTRUCTURA, DESARROLLO, SEGURIDAD, MANTENIMIENTO Y SOPORTE DE APLICATIVOS DEL INAI” </t>
  </si>
  <si>
    <t>Período de Servicio</t>
  </si>
  <si>
    <t>Tipos de Solicitudes</t>
  </si>
  <si>
    <t>Los Servicios de Soporte, Mantenimiento y Desarrollo de Aplicativos, están compuestos principalmente por solicitudes de:</t>
  </si>
  <si>
    <t>La ejecución de los servicios de Soporte, Mantenimiento y Desarrollo de Aplicativos fue realizada por los siguientes recursos:</t>
  </si>
  <si>
    <r>
      <t xml:space="preserve">Las métricas son generadas a partir de los servicios prestados por los recursos asignados a los </t>
    </r>
    <r>
      <rPr>
        <b/>
        <sz val="12"/>
        <color rgb="FF000000"/>
        <rFont val="Arial"/>
        <family val="2"/>
      </rPr>
      <t>Servicios de Soporte, Mantenimiento y Desarrollo de Aplicativos</t>
    </r>
    <r>
      <rPr>
        <sz val="12"/>
        <color rgb="FF000000"/>
        <rFont val="Calibri"/>
        <family val="2"/>
      </rPr>
      <t>.</t>
    </r>
  </si>
  <si>
    <t>Horas Consumidas por Servicio</t>
  </si>
  <si>
    <t>Horas consumidas</t>
  </si>
  <si>
    <t>Nombre</t>
  </si>
  <si>
    <t xml:space="preserve">Horas Consumidas por Perfil </t>
  </si>
  <si>
    <t>Acumulado Mensual de Horas</t>
  </si>
  <si>
    <t>De acuerdo a la información del Anexo Técnico de este contrato, a continuación, se muestra un acumulado de las horas consumidas en este contrato.</t>
  </si>
  <si>
    <t>Total</t>
  </si>
  <si>
    <t>SACP</t>
  </si>
  <si>
    <t>(Todas)</t>
  </si>
  <si>
    <t>DDS</t>
  </si>
  <si>
    <t>I N A I</t>
  </si>
  <si>
    <t>Edrei Arturo Graciano Alcaraz</t>
  </si>
  <si>
    <t>Felix Omar Sotelo Flores</t>
  </si>
  <si>
    <t>Entrada</t>
  </si>
  <si>
    <t>Salida</t>
  </si>
  <si>
    <t>Horas</t>
  </si>
  <si>
    <t>REGISTRO DE ENTRADA Y SALIDA</t>
  </si>
  <si>
    <t>Horas de comida:</t>
  </si>
  <si>
    <t>NP</t>
  </si>
  <si>
    <t>Adalberto Larios Villagrán</t>
  </si>
  <si>
    <t>José Martin Cortes Sarmiento</t>
  </si>
  <si>
    <t>Diferencia VS Presupuesto</t>
  </si>
  <si>
    <t>Remanente</t>
  </si>
  <si>
    <t>Irving Cabrera Chiñas</t>
  </si>
  <si>
    <t>Félix Omar Sotelo Flores</t>
  </si>
  <si>
    <t>Comentarios</t>
  </si>
  <si>
    <t>Marco Antonio Neri Gomez</t>
  </si>
  <si>
    <t>Presupuesto</t>
  </si>
  <si>
    <t>Estimación c/IVA</t>
  </si>
  <si>
    <t>PROYECTOS</t>
  </si>
  <si>
    <t>s/IVA</t>
  </si>
  <si>
    <t>6% retención de IVA</t>
  </si>
  <si>
    <t>Pronostico</t>
  </si>
  <si>
    <t>Proyectos</t>
  </si>
  <si>
    <t>Pizarras</t>
  </si>
  <si>
    <t>Ene</t>
  </si>
  <si>
    <t>Feb</t>
  </si>
  <si>
    <t>Mar</t>
  </si>
  <si>
    <t>Abr</t>
  </si>
  <si>
    <t>May</t>
  </si>
  <si>
    <t>Jun</t>
  </si>
  <si>
    <t>Jul</t>
  </si>
  <si>
    <t>Ago</t>
  </si>
  <si>
    <t>Sep</t>
  </si>
  <si>
    <t>Oct</t>
  </si>
  <si>
    <t>Nov</t>
  </si>
  <si>
    <t>Dic</t>
  </si>
  <si>
    <t>Director de Proyecto</t>
  </si>
  <si>
    <t>Analista de Procesos</t>
  </si>
  <si>
    <t>Sist.</t>
  </si>
  <si>
    <t>20 % adicional</t>
  </si>
  <si>
    <t>Facturación Mensual</t>
  </si>
  <si>
    <t>Propuesta Final</t>
  </si>
  <si>
    <t>Ingeniero de software (JAVA) Jr</t>
  </si>
  <si>
    <t>SUBTOTAL</t>
  </si>
  <si>
    <t>Proyecto 1</t>
  </si>
  <si>
    <t>Proyecto 1 con IVA (16%)</t>
  </si>
  <si>
    <t>Proyecto 2 sin IVA</t>
  </si>
  <si>
    <t>Proyecto 2 con IVA (16%)</t>
  </si>
  <si>
    <t>Proyecto 3 sin IVA</t>
  </si>
  <si>
    <t>Proyecto 3 con IVA (16%)</t>
  </si>
  <si>
    <t>SSI</t>
  </si>
  <si>
    <t>Yara Luz Villalana Morales</t>
  </si>
  <si>
    <t>Samuel Antonio Partida Contreras</t>
  </si>
  <si>
    <t>Subdirección de Sistemas de Información</t>
  </si>
  <si>
    <t>Subdirector de Sistemas de Información</t>
  </si>
  <si>
    <t>Angel Eustacio medina Ferretiz</t>
  </si>
  <si>
    <t>Ingeniero de software (ANDROID)</t>
  </si>
  <si>
    <t>Ricardo Olivares Velàzquez</t>
  </si>
  <si>
    <t>Ingeniero de pruebas</t>
  </si>
  <si>
    <t>Antonio de la Cruz de Santiago</t>
  </si>
  <si>
    <t>Dif %</t>
  </si>
  <si>
    <t>ND Negocios Digitales</t>
  </si>
  <si>
    <t>Severidad</t>
  </si>
  <si>
    <t>Complejidad</t>
  </si>
  <si>
    <t>Tiempo solución max (hrs)</t>
  </si>
  <si>
    <t>Cumplimiento</t>
  </si>
  <si>
    <t>MEDIA</t>
  </si>
  <si>
    <t xml:space="preserve">SEVERIDAD </t>
  </si>
  <si>
    <t xml:space="preserve">DESCRIPCIÓN </t>
  </si>
  <si>
    <t xml:space="preserve">COMPLEJIDAD </t>
  </si>
  <si>
    <t xml:space="preserve">TIEMPO DE SOLUCIÓN </t>
  </si>
  <si>
    <t>Valoración</t>
  </si>
  <si>
    <t>Días</t>
  </si>
  <si>
    <t>CRÍTICA</t>
  </si>
  <si>
    <t xml:space="preserve">El sistema no puede operar o alguno de sus módulos impide que el proceso siga su marcha y/o corresponde a un cambio normativo que tiene que atenderse en máximo de 2 días.  </t>
  </si>
  <si>
    <t>ALTA</t>
  </si>
  <si>
    <t xml:space="preserve">Hasta máximo 2 días hábiles después de reportado el evento. </t>
  </si>
  <si>
    <t xml:space="preserve">Hasta máximo 1 días hábiles después de reportado el evento. </t>
  </si>
  <si>
    <t>BAJA</t>
  </si>
  <si>
    <t xml:space="preserve">Hasta máximo 4 horas después de reportado el evento. </t>
  </si>
  <si>
    <t>El sistema mostró una falla grave, pero se puede seguir operando y no se detiene la operación y/o corresponde a un cambio normativo que tiene que atenderse en máximo 10 días.</t>
  </si>
  <si>
    <t xml:space="preserve">Hasta máximo 10 días hábiles después de reportado el evento. </t>
  </si>
  <si>
    <t xml:space="preserve">Hasta máximo 8 días hábiles después de reportado el evento. </t>
  </si>
  <si>
    <t xml:space="preserve">Hasta máximo 6 días hábiles después de reportado el evento. </t>
  </si>
  <si>
    <t xml:space="preserve">El sistema tiene problemas mínimos que no detienen ni afectan la operación del mismo. </t>
  </si>
  <si>
    <t xml:space="preserve">Hasta máximo 15 días hábiles después de reportado el evento. </t>
  </si>
  <si>
    <t xml:space="preserve">Hasta máximo 12 días hábiles después de reportado el evento. </t>
  </si>
  <si>
    <t>Gabriela Itzel Medrano Carrasco</t>
  </si>
  <si>
    <t>Noé Domínguez Aldana</t>
  </si>
  <si>
    <t>Acomulado</t>
  </si>
  <si>
    <t>Rafael Morales Parra</t>
  </si>
  <si>
    <t>Mín. de Fecha Inicio (dd/mm/aaaa)</t>
  </si>
  <si>
    <t>Fecha Solicitud</t>
  </si>
  <si>
    <t>Fecha evalacuación perfil</t>
  </si>
  <si>
    <t>Fecha periodo evaluación</t>
  </si>
  <si>
    <t>Ingeniero de software (Business Intelligence)</t>
  </si>
  <si>
    <t>Ingeniero de software (Big Data)</t>
  </si>
  <si>
    <t>Ingeniero de software (SOLR Cloud)</t>
  </si>
  <si>
    <t>Analisis de Requerimientos</t>
  </si>
  <si>
    <t>PIZARRAS 4</t>
  </si>
  <si>
    <t>Contrucción</t>
  </si>
  <si>
    <t>Template para Integrantes Línea de Acción</t>
  </si>
  <si>
    <t>Se modifico y mejor el componente de Integrantes Línea de Acción</t>
  </si>
  <si>
    <t>https://172.20.32.217/catalogs/unidadAdmini</t>
  </si>
  <si>
    <t>Template para Unidades Administrativas</t>
  </si>
  <si>
    <t>Se modifico y mejor el componente de Unidades Administrativas</t>
  </si>
  <si>
    <t>https://172.20.32.217/catalogs/unidadAdmin</t>
  </si>
  <si>
    <t xml:space="preserve">Modificación en Templates de Líneas Estrategicas y Líneas de Acción </t>
  </si>
  <si>
    <t>Se modificaron y mejoraron las pantallas de  Líneas Estrategicas y Líneas de Acción ya que sus campos eran incorrectos</t>
  </si>
  <si>
    <t>https://172.20.32.217/catalogs/strategic-line</t>
  </si>
  <si>
    <t>Template Relacionar Areas administrativas</t>
  </si>
  <si>
    <t>Se ha creado el template inicial para la pantalla de Areas administrativas de Implementación para el menú de Catálogos</t>
  </si>
  <si>
    <t>https://172.20.32.217/catalogs/admin-areas</t>
  </si>
  <si>
    <t>Construcción del Service para Integrantes Línea de Acción</t>
  </si>
  <si>
    <t>Ajuste y consumo del Servicio del back end para conectar con el template de Líneas de Acción</t>
  </si>
  <si>
    <t>https://172.20.32.217/catalogs/action-lines</t>
  </si>
  <si>
    <t>Conexión del componente para Integrantes Línea de Acción</t>
  </si>
  <si>
    <t>Se han conectado los servicios obtenidos del back end al Componente de Líneas de Acción</t>
  </si>
  <si>
    <t>https://172.20.32.217/catalogs/action-line</t>
  </si>
  <si>
    <t xml:space="preserve">Ajustes en código de Servicio de usuarios </t>
  </si>
  <si>
    <t>Se mejoro la conexión con el back end desde usuario, de manera que los datos se traen de mejor forma</t>
  </si>
  <si>
    <t>https://172.20.32.217/catalogs/users</t>
  </si>
  <si>
    <t>Desarrollo de Menus y su Logica</t>
  </si>
  <si>
    <t>Se han conectado con los end points del back end para la consulta de Menú dinamico en base los diferentes perfiles</t>
  </si>
  <si>
    <t>https://172.20.32.217/catalogs/menus</t>
  </si>
  <si>
    <t>Desarrollo de Roles y su Logica</t>
  </si>
  <si>
    <t>Se han hecho ajustes al componente de Usuarios para la opción de validar por Perfil el acceso a UA o Integrantes</t>
  </si>
  <si>
    <t>https://172.20.32.217/catalogs/rol</t>
  </si>
  <si>
    <t>Desarrollo Catalogos</t>
  </si>
  <si>
    <t>Se han realizado ajustes a los Catalogos de Integrantes y Usuarios</t>
  </si>
  <si>
    <t>https://172.20.32.217/catalogs</t>
  </si>
  <si>
    <t>Revisión de Seguimientos</t>
  </si>
  <si>
    <t>Se ha dado revisión con el equipo para la logica de Formato Seguimientos</t>
  </si>
  <si>
    <t>https://172.20.32.217/seguimientos</t>
  </si>
  <si>
    <t>Revisión de Formato ABC</t>
  </si>
  <si>
    <t>Se ha dado revisión con el equipo para la logica de Formato ABC</t>
  </si>
  <si>
    <t>https://172.20.32.217/abc-format</t>
  </si>
  <si>
    <t>Desarrollo Actividades</t>
  </si>
  <si>
    <t>Se han conectado los componentes para la pantalla de Actividades con el BackEnd para consulta y busqueda</t>
  </si>
  <si>
    <t>https://172.20.32.217/activitiess</t>
  </si>
  <si>
    <t>Desarrollo Actividades y su Logica</t>
  </si>
  <si>
    <t>Se han conectado los componentes para la pantalla de Actividades con el BackEnd para Alta y Baja</t>
  </si>
  <si>
    <t>https://172.20.32.217/activities</t>
  </si>
  <si>
    <t>Implementación Catalogos para Seguimiento</t>
  </si>
  <si>
    <t>Se han creado los servicios para la pantalla de Seguimiento para realizar las consultas, bajas, altas</t>
  </si>
  <si>
    <t>https://172.20.32.217/catalogs/seguimiento</t>
  </si>
  <si>
    <t>Desarrollo las botoneras para Actividades y seguimiento</t>
  </si>
  <si>
    <t>Se han creadoel componente necesario para las botoneras de Estatus de Actividades</t>
  </si>
  <si>
    <t>https://172.20.32.217/catalogs/activities-bottons</t>
  </si>
  <si>
    <t>Implementación de los serivicios para botoneras y agregado dentro de la pantalla de Actividades</t>
  </si>
  <si>
    <t>Se han conectado con los end points del back end para el componente de las botoneras, así como implementación en el componente de Actividades</t>
  </si>
  <si>
    <t>https://172.20.32.217/catalogs/activitie-buttons</t>
  </si>
  <si>
    <t>Template Configuración Tiempo Respuesta</t>
  </si>
  <si>
    <t>Se ha creado el template inicial para la pantalla de  Configuración Tiempo Respuesta para el menú de Flujos</t>
  </si>
  <si>
    <t>https://172.20.32.217/workflow/response-time-config</t>
  </si>
  <si>
    <t>Template Asociar Líneas Acción</t>
  </si>
  <si>
    <t>Se ha creado el template inicial para la pantalla de Asociar Líneas Acción para el menú de Flujos</t>
  </si>
  <si>
    <t>https://172.20.32.217/workflow/associate-action-lines</t>
  </si>
  <si>
    <t>Conexión al back end del componente de Seguimiento</t>
  </si>
  <si>
    <t>Se ha conectado y consumido los servicios para Seguimiento, en altas, bajas y consulta</t>
  </si>
  <si>
    <t>https://172.20.32.217/activities/seguimieto</t>
  </si>
  <si>
    <t>Ajuste de roles en catalogo de Usuarios, mostrando Integrantes para SNT y UA para Integrantes</t>
  </si>
  <si>
    <t>Se realizaron correcciones en el Catalogo de Usuarios debido a que se mostraban incorrectamente los campos de Integrantes y UA dependiendo el perfil firmado</t>
  </si>
  <si>
    <t>https://172.20.32.217/activities/alta-actividades</t>
  </si>
  <si>
    <t>Entrega del componente de Seguimientos con sus altas, bajas, consultas</t>
  </si>
  <si>
    <t>Se termino de conectar y testear el componente de Seguimientos con back end</t>
  </si>
  <si>
    <t>https://172.20.32.217/activities/seguimiento</t>
  </si>
  <si>
    <t>enero</t>
  </si>
  <si>
    <t>PNT</t>
  </si>
  <si>
    <t>Modificar Respuestas</t>
  </si>
  <si>
    <t>Desarrollo y flujos completos para el componente, servicios, maquetado</t>
  </si>
  <si>
    <t>https://frontdev.plataformadetransparencia.org.mx/sisai/administracion/configuracion-procesos</t>
  </si>
  <si>
    <t>Modificar Respuestas Contestar</t>
  </si>
  <si>
    <t>https://frontdev.plataformadetransparencia.org.mx/sisai/soportes/modificar-fechas</t>
  </si>
  <si>
    <t>Modificar Respuestas Solicitud</t>
  </si>
  <si>
    <t>https://frontdev.plataformadetransparencia.org.mx/sisai/soportes/modificar-turnado</t>
  </si>
  <si>
    <t>Modificar Respuestas Recepcion Soporte</t>
  </si>
  <si>
    <t>https://frontdev.plataformadetransparencia.org.mx/sisai/soportes/</t>
  </si>
  <si>
    <t>Modificar Respuestas Transferencia</t>
  </si>
  <si>
    <t>https://frontdev.plataformadetransparencia.org.mx/sisai/administracion/configuracion-pagos/transferencias</t>
  </si>
  <si>
    <t>Servicios de menus, enrutamientos, etc</t>
  </si>
  <si>
    <t>Agregar configuraciones de pago para el componente administración de pagos (muchas reglas de negocio)</t>
  </si>
  <si>
    <t>Update de componente</t>
  </si>
  <si>
    <t>Modificacion de componente modificar-respuestas solicitud aceptar</t>
  </si>
  <si>
    <t>https://frontdev.plataformadetransparencia.org.mx/sisai/soportes/modificar-respuesta</t>
  </si>
  <si>
    <t>Modificacion de componente modificar-respuestas solicitud contestar</t>
  </si>
  <si>
    <t>https://frontdev.plataformadetransparencia.org.mx/sisai/administracion/cofiguracion-medios-reproduccion</t>
  </si>
  <si>
    <t>Componente Sustituir Respuesta</t>
  </si>
  <si>
    <t>Creación desarrollo y flujos para el componente</t>
  </si>
  <si>
    <t>https://frontdev.plataformadetransparencia.org.mx/sisai/administracion/cofiguracion-medios-reproduccion/nuevo-medio-reproduccion</t>
  </si>
  <si>
    <t>Componente Sustituir Respuesta Asignar</t>
  </si>
  <si>
    <t>https://frontdev.plataformadetransparencia.org.mx/sisai/administracion/cofiguracion-medios-reproduccion/editar-medio-reproduccion</t>
  </si>
  <si>
    <t>Componente Sustituir Respuesta Sustituir</t>
  </si>
  <si>
    <t>https://frontdev.plataformadetransparencia.org.mx/sisai/monitor</t>
  </si>
  <si>
    <t>Componente Sustituir Respuesta Contestar</t>
  </si>
  <si>
    <t>https://frontdev.plataformadetransparencia.org.mx/sisai/monitor/seguimiento-solicitud</t>
  </si>
  <si>
    <t>Soporte a servicios</t>
  </si>
  <si>
    <t>PIZARRAS</t>
  </si>
  <si>
    <t>Construcción, Mantenimiento, Desarrollo</t>
  </si>
  <si>
    <t>En Proceso</t>
  </si>
  <si>
    <t>http://172.20.32.217/</t>
  </si>
  <si>
    <t>SISAI</t>
  </si>
  <si>
    <t xml:space="preserve">Ambiente de Desarrollo SISAI </t>
  </si>
  <si>
    <t>Descarga de codigo SISAI Back y configuracion de servidores para ambiente de desarrollo</t>
  </si>
  <si>
    <t>En proceso</t>
  </si>
  <si>
    <t>https://172.20.32.20/svn/PNT_SISAI_V2/DEV/code/services</t>
  </si>
  <si>
    <t>Servicio - Modificar Turnado Solicitud</t>
  </si>
  <si>
    <t>Servicio de modifiacion de turnado de solicitudes en para consumo de PNT - Nuevo</t>
  </si>
  <si>
    <t>Servicio-Modificar Respuesta Solicitud</t>
  </si>
  <si>
    <t>Servicio de modifiacion de respuesta de solicitudes en para consumo de PNT - Nuevo</t>
  </si>
  <si>
    <t>Servicio - Sustituir Respuesta</t>
  </si>
  <si>
    <t>Servicio para la sustitución de respuestas, para consumo en PNT - Nuevo</t>
  </si>
  <si>
    <t>Servicios - Bitacora y Servicios Nuevos</t>
  </si>
  <si>
    <t>Adecuación de bitácoras de soporte para nuevas funcionalidades registradas</t>
  </si>
  <si>
    <t xml:space="preserve">Ambiente de Desarrollo Pizarras </t>
  </si>
  <si>
    <t xml:space="preserve">Descarga de código pizarras Back y análisis de ambiente para desarrollo </t>
  </si>
  <si>
    <t>https://172.20.32.20/svn/Pizarras4/tags/backend</t>
  </si>
  <si>
    <t>Servicio - Consulta de Seguimientos</t>
  </si>
  <si>
    <t>Mapeo y construcción de servicio de consultas para el módulo de seguimiento</t>
  </si>
  <si>
    <t>Servicio - Alta de Seguimientos</t>
  </si>
  <si>
    <t>Servicio para el alta seguimientos</t>
  </si>
  <si>
    <t>Servicio - Baja de seguimientos</t>
  </si>
  <si>
    <t>Servicio para la baja de seguimientos</t>
  </si>
  <si>
    <t>Servicios -Botonera de Seguimientos</t>
  </si>
  <si>
    <t>Servicios de actualizar, cancelar, enviar y rechazar para el módulo de seguimiento</t>
  </si>
  <si>
    <t>Servicio - Carga de Actividades ABC</t>
  </si>
  <si>
    <t>Servicio para realizar la carga de actividades ABC del módulo de actividades</t>
  </si>
  <si>
    <t>CEVINAI</t>
  </si>
  <si>
    <t>N/A</t>
  </si>
  <si>
    <t xml:space="preserve">OPTIMIZAR FUNCIONALIDAD </t>
  </si>
  <si>
    <t xml:space="preserve">avances informes institucionales </t>
  </si>
  <si>
    <t>Desarrollo del sitio</t>
  </si>
  <si>
    <t xml:space="preserve">Realizar consultas </t>
  </si>
  <si>
    <t xml:space="preserve">Carga de formatos </t>
  </si>
  <si>
    <t xml:space="preserve">Control de cambio </t>
  </si>
  <si>
    <t>https://teams.microsoft.com/l/meetup-join/19%3ameeting_NGM2NDQ2MTctMjZkYi00NTgxLWFkZjUtNzhkY2MxNjcwYWI3%40thread.v2/0?context=%7b%22Tid%22%3a%224e6a317c-9761-4ff0-8de8-4d166927ec3b%22%2c%22Oid%22%3a%2257195589-7096-49aa-a4ed-62b966ed50fc%22%7d</t>
  </si>
  <si>
    <t xml:space="preserve">Revisiones de planes </t>
  </si>
  <si>
    <t>https://teams.microsoft.com/l/meetup-join/19%3ameeting_MjkzNGMwMzYtOGNhMi00YTljLWJmNWUtZGZmOWUzNTkyMjRm%40thread.v2/0?context=%7b%22Tid%22%3a%224e6a317c-9761-4ff0-8de8-4d166927ec3b%22%2c%22Oid%22%3a%2257195589-7096-49aa-a4ed-62b966ed50fc%22%7d</t>
  </si>
  <si>
    <t xml:space="preserve">Planeacion carga de archivos </t>
  </si>
  <si>
    <t xml:space="preserve">Accesos en pagina web </t>
  </si>
  <si>
    <t>Ensayo reportaje</t>
  </si>
  <si>
    <t>Caja de herramientas</t>
  </si>
  <si>
    <t xml:space="preserve">Parlamento abierto </t>
  </si>
  <si>
    <t>https://teams.microsoft.com/l/meetup-join/19%3ameeting_NDc1M2ZjNTEtNWExOS00NjgxLWJkNDEtYzc5YmNkMDMxOWQ3%40thread.v2/0?context=%7b%22Tid%22%3a%224e6a317c-9761-4ff0-8de8-4d166927ec3b%22%2c%22Oid%22%3a%22abee1892-ec1b-4a00-9846-e199aa4672c5%22%7d</t>
  </si>
  <si>
    <t>promocion y vinculacion</t>
  </si>
  <si>
    <t>Parlamento abierto 2022</t>
  </si>
  <si>
    <t xml:space="preserve">Rediseño de submenu de pagina web </t>
  </si>
  <si>
    <t>Consultas envio de usuarios</t>
  </si>
  <si>
    <t xml:space="preserve">Paginas web </t>
  </si>
  <si>
    <t>Implementación funcionalidad descarga obligaciones de transparencia (datos abiertos)</t>
  </si>
  <si>
    <t>Pruebas servicios externos y mejoras validaciones descarga archivos</t>
  </si>
  <si>
    <t xml:space="preserve"> Se agrega validación (solo solicitante) a iconos actualizar y cambiar datos(componente sidebar).</t>
  </si>
  <si>
    <t>Se refactoriza la carga de datos para los catálogos de estado o federación en pantallas modulo administración</t>
  </si>
  <si>
    <t>Desarrollo modal avisos (home) y refactorización importaciones en el sharedModule. Asi como la creación de archivo de barril para los componentes.</t>
  </si>
  <si>
    <t>Se agregan validaciones y roles a rutas aplicación SISAIV3 para los roles  PNT- USUARIO DE RECURSOS FINANCIEROS  y  PNT- DIRECCION GENERAL DE ENLACE. Se hace análisis y estimación de tiempos para la atención de incidencias detectadas en las pruebas de seguridad de código estático.</t>
  </si>
  <si>
    <t>https://172.20.32.20/svn/PNT_V3/trunk/Front-end/Pnt-front-end-3.0</t>
  </si>
  <si>
    <t>Se implementa bandera activa a items del menú del aplicativo PNT V3 y se agregan validaciones con los distintos roles del aplicativo</t>
  </si>
  <si>
    <t>Se agregan validaciones a iconos sidebar y se ajusta redirección datos abiertos</t>
  </si>
  <si>
    <t>https://172.20.32.20/svn/PNT_V3/trunk/Front-end</t>
  </si>
  <si>
    <t>https://172.20.32.20/svn/MIGRACION_LIFERAY73/tags/SISAI/portlets</t>
  </si>
  <si>
    <t>Se refactorizan request que incluyen la palabra password en jsp del portlet</t>
  </si>
  <si>
    <t>Se cambian los console.log por console.error en controladores y servicios  portlet administración</t>
  </si>
  <si>
    <t>Se quita código comentado y se cambia la manera de comentar en los archivos jsp</t>
  </si>
  <si>
    <t>Pruebas y actualización angularjs en portlet administración</t>
  </si>
  <si>
    <t>Atención de posibles vulnerabilidades de seguridad en portlet administración</t>
  </si>
  <si>
    <t>PRODATOS</t>
  </si>
  <si>
    <t>Mesa de Servicio</t>
  </si>
  <si>
    <t>NDPRO023001</t>
  </si>
  <si>
    <t>Revision Contadores INAI</t>
  </si>
  <si>
    <t>Revision de Numeración erronea en casos y ajuste en contadores</t>
  </si>
  <si>
    <t>Access Specifier Manipulation</t>
  </si>
  <si>
    <t>Insecure Randomness</t>
  </si>
  <si>
    <t>Key Management: Hardcoded Encryption Key</t>
  </si>
  <si>
    <t>Log Forging</t>
  </si>
  <si>
    <t>Null Dereference</t>
  </si>
  <si>
    <t>Password Management: Password in Configuration File</t>
  </si>
  <si>
    <t>Path Manipulation</t>
  </si>
  <si>
    <t>Portability Flaw: Locale Dependent Comparison</t>
  </si>
  <si>
    <t>Privacy Violation: Heap Inspection</t>
  </si>
  <si>
    <t>Race Condition: Singleton Member Field</t>
  </si>
  <si>
    <t>Unreleased Resource: Streams</t>
  </si>
  <si>
    <t>Weak Encryption: Insecure Mode of Operation</t>
  </si>
  <si>
    <t>Build Misconfiguration: External Maven Dependency Repository</t>
  </si>
  <si>
    <t>Code Correctness: Byte Array to String Conversion</t>
  </si>
  <si>
    <t>Code Correctness: Class Does Not Implement equals</t>
  </si>
  <si>
    <t>Code Correctness: Comparison of Boxed Primitive Types</t>
  </si>
  <si>
    <t>Code Correctness: Constructor Invokes Overridable Function</t>
  </si>
  <si>
    <t>Atención de brechas de vulnerabilidad</t>
  </si>
  <si>
    <t>febrero</t>
  </si>
  <si>
    <t>Modificar paidload que genera Liferay para leer Id que trae el token</t>
  </si>
  <si>
    <t>Agregar funcionalidad para generar token con el Id usuario autenticado en Liferay</t>
  </si>
  <si>
    <t>Programar mecanismo de descifrado de token</t>
  </si>
  <si>
    <t>Integración con mecanismo del token del service builder con el back end</t>
  </si>
  <si>
    <t>Servicios Back Solicitudes</t>
  </si>
  <si>
    <t>Servicios Back Unidad de Transparencia</t>
  </si>
  <si>
    <t>Servicios Back Gestión Interna</t>
  </si>
  <si>
    <t>Soportes</t>
  </si>
  <si>
    <t xml:space="preserve">Actualizacion CEVINAI </t>
  </si>
  <si>
    <t>http://repositoriosdgis.ifai.org.mx/Pagina%20Web/Actividades%202023/02-Febrero%202023/Actualizacion%20CEVINAI.docx</t>
  </si>
  <si>
    <t xml:space="preserve">Micrositio Certamen </t>
  </si>
  <si>
    <t>http://repositoriosdgis.ifai.org.mx/Pagina%20Web/Actividades%202023/02-Febrero%202023/Micrositio%20Certamen.docx</t>
  </si>
  <si>
    <t xml:space="preserve">PROSEDE </t>
  </si>
  <si>
    <t>http://repositoriosdgis.ifai.org.mx/Pagina%20Web/Actividades%202023/02-Febrero%202023/PROSEDE%202023.docx</t>
  </si>
  <si>
    <t xml:space="preserve">Migracion de Informacion Resoluciones </t>
  </si>
  <si>
    <t>http://repositoriosdgis.ifai.org.mx/Pagina%20Web/Actividades%202023/02-Febrero%202023/Resoluciones.docx</t>
  </si>
  <si>
    <t xml:space="preserve">Carga a micrositio Premio Innovacion </t>
  </si>
  <si>
    <t>http://repositoriosdgis.ifai.org.mx/Pagina%20Web/Actividades%202023/02-Febrero%202023/Premio%20innovaci%C3%B3n.docx</t>
  </si>
  <si>
    <t xml:space="preserve">Project Micrositios </t>
  </si>
  <si>
    <t>http://repositoriosdgis.ifai.org.mx/Pagina%20Web/Actividades%202023/02-Febrero%202023/Project%20Micrositios.docx</t>
  </si>
  <si>
    <t xml:space="preserve">Revision de micrositios </t>
  </si>
  <si>
    <t xml:space="preserve">Contenido Certamen </t>
  </si>
  <si>
    <t>http://repositoriosdgis.ifai.org.mx/Pagina%20Web/Forms/AllItems.aspx?RootFolder=%2FPagina%20Web%2FActividades%202023%2F02%2DFebrero%202023</t>
  </si>
  <si>
    <t xml:space="preserve">Actualizacion Unidad de Transparencia </t>
  </si>
  <si>
    <t>http://repositoriosdgis.ifai.org.mx/Pagina%20Web/Actividades%202023/02-Febrero%202023/Actializacion%20de%20Unidad%20de%20Transparencia%20seccion%20de%20Obligaciones%20de%20transparencia.docx</t>
  </si>
  <si>
    <t xml:space="preserve">Actualizacion Comité de Transparencia </t>
  </si>
  <si>
    <t>http://repositoriosdgis.ifai.org.mx/Pagina%20Web/Actividades%202023/02-Febrero%202023/Actualizaci%C3%B3n%20Comit%C3%A9%20de%20Transparencia.docx</t>
  </si>
  <si>
    <t>http://repositoriosdgis.ifai.org.mx/Pagina%20Web/Actividades%202023/02-Febrero%202023/Project%20Micrositios%202.docx</t>
  </si>
  <si>
    <t xml:space="preserve">Credenciales Prosede </t>
  </si>
  <si>
    <t>http://repositoriosdgis.ifai.org.mx/Pagina%20Web/Actividades%202023/02-Febrero%202023/Credenciales%20PROSEDE%20%202023.docx</t>
  </si>
  <si>
    <t xml:space="preserve">Actualizacion de Usuarios SNT </t>
  </si>
  <si>
    <t>http://repositoriosdgis.ifai.org.mx/Pagina%20Web/Actividades%202023/02-Febrero%202023/Actualizacion%20de%20Usuarios.docx</t>
  </si>
  <si>
    <t xml:space="preserve">Modificacion en Certamen </t>
  </si>
  <si>
    <t>http://repositoriosdgis.ifai.org.mx/Pagina%20Web/Actividades%202023/02-Febrero%202023/Cambio%20de%20Certamen%20de%20innovaci%C3%B3n.docx</t>
  </si>
  <si>
    <t xml:space="preserve">Actualizacion Micrositio del CIT23 </t>
  </si>
  <si>
    <t>http://repositoriosdgis.ifai.org.mx/Pagina%20Web/Actividades%202023/02-Febrero%202023/Actualizacion%20Micrositio%20CIT23.docx</t>
  </si>
  <si>
    <t xml:space="preserve">Banco de Practicas </t>
  </si>
  <si>
    <t>http://repositoriosdgis.ifai.org.mx/Pagina%20Web/Actividades%202023/02-Febrero%202023/Banco%20de%20Practica.docx</t>
  </si>
  <si>
    <t xml:space="preserve">Micrositio Contratacion Abierta </t>
  </si>
  <si>
    <t>http://repositoriosdgis.ifai.org.mx/Pagina%20Web/Actividades%202023/02-Febrero%202023/Revisi%C3%B3n%20de%20Micrositio%20contrataci%C3%B3n%20Abierta.docx</t>
  </si>
  <si>
    <t xml:space="preserve">Modificacion Certamen 2023 </t>
  </si>
  <si>
    <t>http://repositoriosdgis.ifai.org.mx/Pagina%20Web/Actividades%202023/02-Febrero%202023/Modificaci%C3%B3n%20Dise%C3%B1o%20Certamen%202023.docx</t>
  </si>
  <si>
    <t>SIGEMI-SICOM</t>
  </si>
  <si>
    <t>Analisis de requerimientos</t>
  </si>
  <si>
    <t>Analisis y revisión de la guía de remediación de SICOM</t>
  </si>
  <si>
    <t>Rubén Adrián Vázquez Calzada</t>
  </si>
  <si>
    <t>Se han trabajado y actualizado todos los módulos a petición de los clientes del sistema SIPRON, nos dijeron que trabajaramos Sábado, Domingo y Lunes(Puente), y que sería remunerado con dias extras</t>
  </si>
  <si>
    <t>https://sipron.inai.org.mx/login</t>
  </si>
  <si>
    <t>https://sipron.inai.org.mx/</t>
  </si>
  <si>
    <t>Plataforma PNT</t>
  </si>
  <si>
    <t>Diseño y maquetado del módulo de Información Inteligente.</t>
  </si>
  <si>
    <t>Elaboración de propuesta de 3 pantallas de entrada, creación del icono de información inteligente, diseño de pantalla de estadisticas y tendencias, elaboración de pantalla de solicitudes con reacomodo de 5 filtros.</t>
  </si>
  <si>
    <t>Gelitzli García González</t>
  </si>
  <si>
    <t>Elaboración de propuestade la pantalla con carrusel, acomodo de elementos en la pantalla de solicitudes y 2 propuestas de acomodo de solicitudes, propuesta de navegación de 42 temas y sus subtemas, propuesta de 3 iconos para los tema, elaboración y diseño de 3 pantallas de gráficas de los temas más consultados, propuesta de la colocación de datos duros con texto y gráfica circular.</t>
  </si>
  <si>
    <t>Propuesta y acomodo de 39 iconos para temas, cambio y propuesta de la sección de temas relacionados ordenados por probabilidad y análisis, propuesta de hoja de la solicitud a la hora de bajar el archivo en PDF, diseño de la propuesta de la vista de los Subtemas, cambio de propuesta para la pantalla de tendencias con 2 opciones: lo mas preguntado y lo más consultado, propuesta de 3 imágenes para gráficas de tendencias.</t>
  </si>
  <si>
    <t>Atención a cambios de las propuestas, ajustes de vistas, colores de gráficas y contornos, elaboración de archivos en ptt y pdf para su visto bueno, separación de elementos para la elaboración del HTML.</t>
  </si>
  <si>
    <t>NDPRO023002</t>
  </si>
  <si>
    <t>Ajuste de contadores de Solicitud de Proteccion de Derechos,
Ajuste a casos de Solicitud de Proteccion de Derechos en la corrección de números de expediente</t>
  </si>
  <si>
    <t>APP MOVIL</t>
  </si>
  <si>
    <t>Crear pantalla de login</t>
  </si>
  <si>
    <t>Se migra pantalla de login</t>
  </si>
  <si>
    <t>https://172.20.32.20/svn/PNT_APPS_V2/DEV/code/App-Movil-v3/PNT-app-1.0.0</t>
  </si>
  <si>
    <t>Angel Eustacio Medina Ferretiz</t>
  </si>
  <si>
    <t>Incorporar servicios de login</t>
  </si>
  <si>
    <t>Crear pantalla de registro</t>
  </si>
  <si>
    <t>Se migra pantalla de registro</t>
  </si>
  <si>
    <t>Configuracion Google Firebase, projecto y aplicativos externos</t>
  </si>
  <si>
    <t>Se recuperar he integran keys para login con redes</t>
  </si>
  <si>
    <t>Incorporacion Login Facebook</t>
  </si>
  <si>
    <t>Se incorpora login de Facebook y se obtienen token de pnt</t>
  </si>
  <si>
    <t>Incorporacion Login Google</t>
  </si>
  <si>
    <t>Se incorpora login de Google y se obtienen token de pnt</t>
  </si>
  <si>
    <t>Incorporacion Login Twitter</t>
  </si>
  <si>
    <t>Se incorpora login de Twitter y se obtienen token de pnt</t>
  </si>
  <si>
    <t>Incorporacion Login Apple</t>
  </si>
  <si>
    <t>Se incorpora login de Apple y se obtienen token de pnt</t>
  </si>
  <si>
    <t xml:space="preserve">Agregar excepciones para falta de emial en redes sociales y configuracion interceptor </t>
  </si>
  <si>
    <t>Crear pantalla de Home</t>
  </si>
  <si>
    <t>Se crea pantalla de home utilizando tabbar</t>
  </si>
  <si>
    <t>Crear card para pantalla home</t>
  </si>
  <si>
    <t>Se crea el componente Card para utilizar en los menus de Home y se agrega animacion</t>
  </si>
  <si>
    <t>Generar listados de menus en home</t>
  </si>
  <si>
    <t>Se crean listados que sirven como menu en Home</t>
  </si>
  <si>
    <t xml:space="preserve">Generar componente de carga </t>
  </si>
  <si>
    <t>Se crea dialogo para mostrar durante la carga de una peticion u operacion</t>
  </si>
  <si>
    <t>Crear pantalla de buscador Mis Solicitudes</t>
  </si>
  <si>
    <t>Se crea el formulario para Mis Solicitudes</t>
  </si>
  <si>
    <t>Crear selector de Organo garante</t>
  </si>
  <si>
    <t>Crear selector de sujeto obligado</t>
  </si>
  <si>
    <t>Crear listado de Mis solicitudes</t>
  </si>
  <si>
    <t>Se genera el listado para los resultados de busqueda de mis solicitudes</t>
  </si>
  <si>
    <t>Generar vista detalle de mis solicitudes</t>
  </si>
  <si>
    <t>Se genera vista detalle de mis solicitudes</t>
  </si>
  <si>
    <t>Generar vista historial de mis solicitudes</t>
  </si>
  <si>
    <t>Dentro la vista detalle de mis solicitudes, se agrega la vista para ver el historial de una solicitud</t>
  </si>
  <si>
    <t>Se crea selector multiple para sujetos obligados</t>
  </si>
  <si>
    <t>Generar vista Crear Solicitud de Informacion Publica</t>
  </si>
  <si>
    <t>Eleccion de widget, maquetado del primer paso de formulairo y generacion de validaciones</t>
  </si>
  <si>
    <t>Maquetado de formulario para crear solicitudes</t>
  </si>
  <si>
    <t>Modificar archivos nativos para integracion de plugins para seleccionar archivos</t>
  </si>
  <si>
    <t>Generar listado de notificaciones para el detalle de mis solicitudes</t>
  </si>
  <si>
    <t>Se genera la pantalla de prevencion para el detalle de mis solicitudes</t>
  </si>
  <si>
    <t>Se genera la pantalla de disponibilidad para el detalle de mis solicitudes</t>
  </si>
  <si>
    <t>Se genera la pantalla de quejas para el detalle de mis solicitudes</t>
  </si>
  <si>
    <t>Se genera la pantalla de prevencion parcial/prevencion para el detalle de mis solicitudes</t>
  </si>
  <si>
    <t>Se complementan validaciones para crear solicitud</t>
  </si>
  <si>
    <t>Se generan modelos y servicios faltantes para crear solicitud de informacion publica</t>
  </si>
  <si>
    <t>Generar vista Crear Solicitud de Datos Personales</t>
  </si>
  <si>
    <t>NA</t>
  </si>
  <si>
    <t>DESARROLLO PLANTILLAS POWER BI</t>
  </si>
  <si>
    <t>Se tuvo uns sesión para revisar los reportes de pizarras que se tenían. De igual forma se tomó nota de los cambios que se requerían. Se comenzó a realizar la migración de base de datos.</t>
  </si>
  <si>
    <t>Se continuó con la migración a la nueva base de datos y se detectaron algunos campos faltantes.</t>
  </si>
  <si>
    <t>Se continuó con la migración a la nueva base de datos y se comenzaron a realizar pruebas de funcionalidad.</t>
  </si>
  <si>
    <t>Se concluyó con la migración a la base de datos y se complementó la tabla de entidades con la información del usuario- Se realizaron pruebas de funcionalidad.</t>
  </si>
  <si>
    <t>Se realizaron algunas pruebas funcionales además de que se realizaron pruebas de publicación de los reportes.</t>
  </si>
  <si>
    <t>Servicios de Seguimiento de Actividades</t>
  </si>
  <si>
    <t>Se realizaron los servicios correspondientes al módulo de Seguimiento de Actividades</t>
  </si>
  <si>
    <t>https://172.20.32.20/svn/Pizarras4/tags</t>
  </si>
  <si>
    <t>Módulo de Actividades ABC</t>
  </si>
  <si>
    <t>Se realiza el Back de las pantallas de módulo de activdidades ABC, alta, baja, cambios y carga.</t>
  </si>
  <si>
    <t>Se terminan las funionalidades faltantes del sistema de Pizarras para presentar al usuario.</t>
  </si>
  <si>
    <t>BUSCADORES</t>
  </si>
  <si>
    <t>Atención de Hallazgos de Seguridad de Buscadores</t>
  </si>
  <si>
    <t>Corrección de incidentes de seguridad, se arreglan hallazgos de vulnerabilidades de seguridad del sistema Buscador General</t>
  </si>
  <si>
    <t>Se da soporte y mantenimiento de las incidencias reportadas por el área usuaria.</t>
  </si>
  <si>
    <t>Se da soporte y mantenimiento de las incidencias reportadas por el área usuaria en la capacitación.</t>
  </si>
  <si>
    <t>OA/C018/2023</t>
  </si>
  <si>
    <t>Contrato: OA/C018/2023</t>
  </si>
  <si>
    <r>
      <rPr>
        <sz val="11"/>
        <color rgb="FF000000"/>
        <rFont val="Calibri"/>
        <family val="2"/>
      </rPr>
      <t>Clave Interna:</t>
    </r>
    <r>
      <rPr>
        <b/>
        <sz val="11"/>
        <color rgb="FF000000"/>
        <rFont val="Calibri"/>
        <family val="2"/>
      </rPr>
      <t xml:space="preserve"> LPN-044210999-033-2022</t>
    </r>
  </si>
  <si>
    <r>
      <rPr>
        <sz val="11"/>
        <color rgb="FF000000"/>
        <rFont val="Calibri"/>
        <family val="2"/>
      </rPr>
      <t xml:space="preserve">Clave electrónica: </t>
    </r>
    <r>
      <rPr>
        <b/>
        <sz val="11"/>
        <color rgb="FF000000"/>
        <rFont val="Calibri"/>
        <family val="2"/>
      </rPr>
      <t>LA-044210999-E100-2022</t>
    </r>
  </si>
  <si>
    <t>LA-044210999-E100-2022</t>
  </si>
  <si>
    <t>LPN-044210999-033-2022</t>
  </si>
  <si>
    <t>Horas consumidas 2023</t>
  </si>
  <si>
    <t>Stephany Gabriela Juarez Sanchez</t>
  </si>
  <si>
    <t>https://172.20.32.20/svn/MIGRACION_LIFERAY73/branches/DEV/Portlets/Buscador</t>
  </si>
  <si>
    <t>https://ifai-my.sharepoint.com/:f:/g/personal/samuel_partida_inai_org_mx/EutuUMrVR9BGmwCVIIiGg6EBGlJGKRARU4MdZbLaNNjV-A?e=2N4gbq</t>
  </si>
  <si>
    <t>http://172.16.33.34:8000/ND%202023/Forms/AllItems.aspx?RootFolder=%2FND%202023%2FAdministraci%C3%B3n%20del%20Servicio%2FEntregables%2FDirecci%C3%B3n%20de%20Sistemas%2FSAI%2FEvidencias%20PRODATOS%2F02%20FEBRERO&amp;InitialTabId=Ribbon%2EDocument&amp;VisibilityContext=WSSTabPersistence</t>
  </si>
  <si>
    <t>Días inhabiles</t>
  </si>
  <si>
    <t>Atención de incidencias</t>
  </si>
  <si>
    <t>Se trabajan en las incidencias de pizarras. Consulta de actividades ABC, ordenamiento de tabla de actividades, incidencia de consulta de actividades</t>
  </si>
  <si>
    <t>Prueba y revisión de inicidencias</t>
  </si>
  <si>
    <t xml:space="preserve">Se trabajan en las incidencias reportadas por el usuario y se vuelve a generar versión de pruebas </t>
  </si>
  <si>
    <t>Seguimiento incidencias pizarrras</t>
  </si>
  <si>
    <t>Se detecta la inicidencia de que se permite la creación de usuarios con el mismo correo y se detectan varios casos en la base</t>
  </si>
  <si>
    <t>Se realiza la corrección y las restricciones en el back para la creación de usuarios</t>
  </si>
  <si>
    <t>IMPUGNACIONES</t>
  </si>
  <si>
    <t>Análisis de la reingeniería del proyecto de quejas</t>
  </si>
  <si>
    <t>Se estudia la documentación proporcionada para la reingeniería del proceoso de quejas</t>
  </si>
  <si>
    <t>Estudio StoreProcedure</t>
  </si>
  <si>
    <t>Se hace el estudio del store procedure que forma parte del guardado de quejas actual</t>
  </si>
  <si>
    <t xml:space="preserve">Se inicia el proyecto nuevo de quejas </t>
  </si>
  <si>
    <t>https://172.20.32.20/svn/PNT_V3/trunk/Back-end/Sigemi-pnt3-api-rest</t>
  </si>
  <si>
    <t>Mapeo de clases para servicio guardado quejas</t>
  </si>
  <si>
    <t>Se inicia el mapeo de las clases para iniciar a implmentar el servicio</t>
  </si>
  <si>
    <t>Mapeo de catálogos de quejas</t>
  </si>
  <si>
    <t>Se realiza el mapeo de catalogos para ws guardado de queja</t>
  </si>
  <si>
    <t>Creación de servicios, Daos</t>
  </si>
  <si>
    <t>Se realiza el diseño de servicios y repositorios para todos los catalogos y entidades mapeadas</t>
  </si>
  <si>
    <t xml:space="preserve">Diseño de servicios </t>
  </si>
  <si>
    <t>Se realiza el diseño de arquitectura para la unifiación de excepciones y validaciones dentro del proyecto</t>
  </si>
  <si>
    <t>Implementación servicio guardar quejas</t>
  </si>
  <si>
    <t>Se trabaja en el servicio de guardado de quejas</t>
  </si>
  <si>
    <t>Corrección de bug en producción</t>
  </si>
  <si>
    <t>Se realiza la corrección del tamaño de caracteres dentro de los comentarios para actividades, seguimientos y actividades abc</t>
  </si>
  <si>
    <t>Se revisa con SICOM servicio actual</t>
  </si>
  <si>
    <t>Se trabaja con SICOM para mayor conexto del servicio y se resuelven dudas para la creación del nuevo servicio</t>
  </si>
  <si>
    <t>Guía e implmentacion de error en producción</t>
  </si>
  <si>
    <t>Se da acompañamiento a Adrían para levantar el ambiente de pizarras y se atiende error de fecha de creación en actividades</t>
  </si>
  <si>
    <t xml:space="preserve">Doumentacion </t>
  </si>
  <si>
    <t>Se realiza diagrama de flujo de lo que se realiza en el servicio de guardar quejas</t>
  </si>
  <si>
    <t>Elaboración de HTML módulo de Información Inteligente.</t>
  </si>
  <si>
    <t>Investigacion para crearla mejor opciónde un  carousel con css y html</t>
  </si>
  <si>
    <t>Maquetado html  pantalla carousel</t>
  </si>
  <si>
    <t>Maquetado css  pantalla carousel</t>
  </si>
  <si>
    <t>Creacion de carousel con mas de una fila de iconos</t>
  </si>
  <si>
    <t>Maquetado html segunda pantalla carousel</t>
  </si>
  <si>
    <t>Maquetado css segunda pantalla carousel</t>
  </si>
  <si>
    <t>Creacion de carousel con una fila de iconos</t>
  </si>
  <si>
    <t>Investigacion de como crear barra lateral solo con html y css</t>
  </si>
  <si>
    <t>Creacion de barra lateral y tabla colapsables</t>
  </si>
  <si>
    <t>Creacion de pantalla  html y css para las 3 graficas</t>
  </si>
  <si>
    <t>Reunión de revisión del HTML</t>
  </si>
  <si>
    <t>Eloboración de paquete y envío de entregable</t>
  </si>
  <si>
    <t>Cambio en la maqueta</t>
  </si>
  <si>
    <t>Elaboración de cambios en la maqueta, revisión de maqueta y envío de la maqueta final.</t>
  </si>
  <si>
    <t>marzo</t>
  </si>
  <si>
    <t xml:space="preserve">Pizarras </t>
  </si>
  <si>
    <t>Ajustes finales en codigo fuente para liberación del aplicativo</t>
  </si>
  <si>
    <t>Incidencia de consulta de actividades-Consulta de Seguimientos </t>
  </si>
  <si>
    <t>Consulta de Actividades ABC, En catálogos líneas de acción se puede poner la numeración y agregar múltiples líneas</t>
  </si>
  <si>
    <t>Ordenamiento de tabla de Actividades-ordenamiento de tabla de seguimientos</t>
  </si>
  <si>
    <t>Cierre de proyecto y adecuaciones productivas</t>
  </si>
  <si>
    <t>Generación de filtros en cascada en la parte de búsqueda, y en la creación de nuevo.</t>
  </si>
  <si>
    <t>Buscador</t>
  </si>
  <si>
    <t>Programación de modulos : Integrantes lineas de accion, Implementaciòn actividades, seguimiento actividades, Formato ABC, Catalogo lineas de accion</t>
  </si>
  <si>
    <t>Reunión, acuerdos y revisión de las tecnologias que se utilizarán  para el desarrollo del Buscador</t>
  </si>
  <si>
    <t>Recepción de  maquetado e inicio del análisis del Buscador</t>
  </si>
  <si>
    <t>Inicio investigacion de la tecnologia Redux con Ngrx</t>
  </si>
  <si>
    <t>Reunión de trabajo</t>
  </si>
  <si>
    <t>Reunión para trabajar con el equipo y banderazo para iniciar con el análisis del desarrollo del Buscador</t>
  </si>
  <si>
    <t>Capacitación Redux</t>
  </si>
  <si>
    <t>Inicio de capacitación tecnología Redux</t>
  </si>
  <si>
    <t>Acceso a repositorio</t>
  </si>
  <si>
    <t>Validación grupal de accesos al repositorio</t>
  </si>
  <si>
    <t>Maquetado</t>
  </si>
  <si>
    <t>Maquetado del carrusel principal</t>
  </si>
  <si>
    <t>Diseño carrusel principal</t>
  </si>
  <si>
    <t>Conexión con servicios sin aplicar redux para el carrusel princiapal, se mantiene en suspenso el uso del ngrx</t>
  </si>
  <si>
    <t>Conexión con servicios sin aplicar redux para el carrusel princiapal, se mantiene en suspenso el uso del Ngrx</t>
  </si>
  <si>
    <t>https://devbuscadorinteligente.plataformadetransparencia.org.mx/temas</t>
  </si>
  <si>
    <t>Diseño carrusel secundario</t>
  </si>
  <si>
    <t>Diseño de carrousel secundario y analisis de la tarjeta SISAI de la aplicación, daily</t>
  </si>
  <si>
    <t>https://devbuscadorinteligente.plataformadetransparencia.org.mx/buscador/results</t>
  </si>
  <si>
    <t>Aplicación de diseño Redux</t>
  </si>
  <si>
    <t>Implementación del del patrón de diseño Redux, a cards</t>
  </si>
  <si>
    <t>Análisis de los códigos propuestos para la aplicación del patron redux, en equipo y por separado</t>
  </si>
  <si>
    <t>Modificación de tarjetas</t>
  </si>
  <si>
    <t>Conexión de un servicio,  sin Redux, para la modificación de las tarjetas como deben mostrarse ya con datos reales</t>
  </si>
  <si>
    <t>Avances en tarjeta probabilidad de analisis, cambios en pagina de resultados</t>
  </si>
  <si>
    <t>Cambios en temas-page, preparacion para subida de graficos, actualizacion de tarjeta SISAI y caruseles</t>
  </si>
  <si>
    <t>Corrección de errores, y cambios solicitados a tarjeta SISAI</t>
  </si>
  <si>
    <t>Correctivos</t>
  </si>
  <si>
    <t>Cambio en efectos, filtros, input-search, efectos y reducers, tarjeta SISAI</t>
  </si>
  <si>
    <t>Tarjeta SISAI, Tarjeta SICOM</t>
  </si>
  <si>
    <t>Modificaciónes finales, de la tarjeta SISAI, creación de la tarjeta SICOM</t>
  </si>
  <si>
    <t>Tarjeta SIPOT</t>
  </si>
  <si>
    <t>Finalizacion de la tarjeta SICOM, Avances tarjeta SIPOT</t>
  </si>
  <si>
    <t>Finalizacion tarjeta SIPOT</t>
  </si>
  <si>
    <t>Incorporar servicios para generar una solicitud de informacion publica</t>
  </si>
  <si>
    <t>Se analiza y construye la peticion oara generar la solicitud de informacion</t>
  </si>
  <si>
    <t>Se integra nuevo servicio para recuperar datos estadisticos del usuario, relevantes para el alta de solicitud</t>
  </si>
  <si>
    <t>Incorporar servicios para generar una solicitud de informacion de datos personales</t>
  </si>
  <si>
    <t xml:space="preserve">Validaciones para generar una solicitud de informacion </t>
  </si>
  <si>
    <t>Se agregan validaciones de campos visibles y no visibles de acuerdo a las selecciones del usuario</t>
  </si>
  <si>
    <t>Creacion de pantalla de descarga de acuses</t>
  </si>
  <si>
    <t xml:space="preserve">Se crea nueva pantalla donde se podran descargar los acuses generados por una solicitud </t>
  </si>
  <si>
    <t>Integrar cuerpo de peticiones para alta de solicitudes</t>
  </si>
  <si>
    <t>El cuerpo de las peticiones se adapta a los campos escencialmente requeridos en la app movil, aplica para informacion publica y datos personales</t>
  </si>
  <si>
    <t>Creacion de pantalla para cambio de datos de cuenta</t>
  </si>
  <si>
    <t>Se crea una pantalla para cambiar los datos personales del usuario de cuenta [Controller, model, binding, screen]</t>
  </si>
  <si>
    <t>Correccion de problemas de conectividad</t>
  </si>
  <si>
    <t>Se destino tiempo para corregitr problemas de conectividad a la vpn</t>
  </si>
  <si>
    <t>Integracion de servicios para cambiar datos</t>
  </si>
  <si>
    <t>Se agrega el servicio para poder cambiar datos relativos al usuario [Model, request, response]</t>
  </si>
  <si>
    <t>Integracion de servicio para recuperar datos de cuenta</t>
  </si>
  <si>
    <t>Se agrega el servicio para poder recuperar datos relativos al usuario y colocarlos en el formulario</t>
  </si>
  <si>
    <t>Integracion de servicios para cambiar contraseña</t>
  </si>
  <si>
    <t>Se agrega el servicio para poder cambiar contraseña deñ usuario [Model, request, response]</t>
  </si>
  <si>
    <t>Creacion de pantalla para cambiar contraseña</t>
  </si>
  <si>
    <t>Se crea una pantalla para cambiar contraseña [Controller, model, binding, screen]</t>
  </si>
  <si>
    <t>Agregar opciones de domicilio a recurrente disponibilidad</t>
  </si>
  <si>
    <t>Se agregan opciones de envio a domicilio al recurrente de disponibilidad, se agrega listado de paises</t>
  </si>
  <si>
    <t>Se agregan opciones de envio a domicilio al recurrente de disponibilidad, se agrega listado de municipios</t>
  </si>
  <si>
    <t>Se agregan opciones de envio a domicilio al recurrente de disponibilidad, se agrega listado de colonias</t>
  </si>
  <si>
    <t>Se agregan opciones de envio a domicilio al recurrente de disponibilidad, se agrega busqueda de domicilio via codigo postal</t>
  </si>
  <si>
    <t>Integrar calculo de costos para recurrente disponibilidad</t>
  </si>
  <si>
    <t>Se agrega el calco de costo del medio de reproduccion usando su respectivo servicio y el domicilio proporcionado</t>
  </si>
  <si>
    <t>Validaciones para entrega de informacion</t>
  </si>
  <si>
    <t>Se verifican validaciones para entrega nacional e internacional, asi tambien las relacionadas con los costos</t>
  </si>
  <si>
    <t>Integrar servicio para responder recurrente disponibilidad</t>
  </si>
  <si>
    <t>Se genera la peticion y respuesta para responder al recurrente disponibildiad</t>
  </si>
  <si>
    <t>Integrar servicio para responder recurrente prevencion</t>
  </si>
  <si>
    <t>Se genera la peticion para responder al recurrente prevencion, se hace busqueda en el codigo prexistente para rescatar el cuerpo de la peticion</t>
  </si>
  <si>
    <t>Creacion pantalla buscador mis quejas</t>
  </si>
  <si>
    <t>Se crea la pantalla de buscador de mis quejas</t>
  </si>
  <si>
    <t>Creacion pantalla detalle de mis quejas</t>
  </si>
  <si>
    <t>Se crea la pantalla del detalle de mis quejas, lista el resultado de la busqueda</t>
  </si>
  <si>
    <t>Integrar push notifications</t>
  </si>
  <si>
    <t>Se integra libreria y permisos para escuchar push notifications desde FCM</t>
  </si>
  <si>
    <t>Se integra la reaccion de recibir notificaciones y se dirige las pantallas correspondiente existentes</t>
  </si>
  <si>
    <t>Se crean patanllas faltantes para notificacion de finaliazacion de solicitud</t>
  </si>
  <si>
    <t>Integrar buscador nacional solicitudes</t>
  </si>
  <si>
    <t>Se integra servicio para buscar solicitudes publicas</t>
  </si>
  <si>
    <t>Se crea vista de buscador de solicitudes publicas y sus validaciones</t>
  </si>
  <si>
    <t>Se crea vista del listado de solicitudes publicas y servicio para compartir solicitud</t>
  </si>
  <si>
    <t>Integrar buscador nacional quejas</t>
  </si>
  <si>
    <t>Se crea vista de buscador de quejas y sus validaciones</t>
  </si>
  <si>
    <t>Se integra servicio para buscar quejas</t>
  </si>
  <si>
    <t>Integrar buscador nacional obligaciones</t>
  </si>
  <si>
    <t>Se crea vista de buscador de obligaciones y sus validaciones</t>
  </si>
  <si>
    <t>Se crea vista de catalogo para seleccionar Obligaciones disponibles del organo garante</t>
  </si>
  <si>
    <t>Se integra servicio para buscar obligaciones</t>
  </si>
  <si>
    <t>Se crea vista del listado de obligaciones</t>
  </si>
  <si>
    <t>Se crea el item de cada resultado de buscador de acuerdo a la respuesta en forma de Map</t>
  </si>
  <si>
    <t>Creacion de logica para obtener la informaciona mostrar correctamente en cada item</t>
  </si>
  <si>
    <t>PDF Buscador nacional obligaciones</t>
  </si>
  <si>
    <t>Se crea el pdf descargable del resultado del buscador</t>
  </si>
  <si>
    <t>PDF Buscador nacional solicitudes</t>
  </si>
  <si>
    <t>Integrar estadisticos en buscadores</t>
  </si>
  <si>
    <t>Se agregan las peticiones a servicios de estadistico para los 3 buscadores</t>
  </si>
  <si>
    <t>Integrar descarga de archivos adjuntos en buscadores</t>
  </si>
  <si>
    <t>Se agregan los servicios para descargar archivos adjuntos para solicitudes y quejas, se agrega libreria</t>
  </si>
  <si>
    <t>Configuracion de perfil</t>
  </si>
  <si>
    <t>Se crea vista para configurar datos del perfil</t>
  </si>
  <si>
    <t>Pruebas de servicios</t>
  </si>
  <si>
    <t>Se realizan pruebas a los servicios de buscadores y a los cuerpos de peticion</t>
  </si>
  <si>
    <t>Se crea vista para datos de perfil personales de persona fisica</t>
  </si>
  <si>
    <t>Se crea vista para datos de perfil personales de persona moral</t>
  </si>
  <si>
    <t>Se crea vista para datos de direccion</t>
  </si>
  <si>
    <t>Se crea vista para datos de estadisticos</t>
  </si>
  <si>
    <t>Registro de usuarios</t>
  </si>
  <si>
    <t>Se crean peticiones para registrar nuevos usuarios</t>
  </si>
  <si>
    <t>Revision de pantallas de la app</t>
  </si>
  <si>
    <t>Se verifica la funcionalidad general de las pantallas existentes de la app</t>
  </si>
  <si>
    <t>Se agregan validaciones de campos para registro de usuariois</t>
  </si>
  <si>
    <t>Registro de usuarios pnt v3</t>
  </si>
  <si>
    <t>Se crea nueva pantalla de registro para migrar el uso de liferay</t>
  </si>
  <si>
    <t>Se agrega peticion para registrar nuevos usuarios</t>
  </si>
  <si>
    <t>Registro con redes sociales</t>
  </si>
  <si>
    <t>Se incorpora el registro con facebook, se recupera informacion publica de la cuenta</t>
  </si>
  <si>
    <t>Se incorpora el registro con google, se recupera informacion publica de la cuenta</t>
  </si>
  <si>
    <t>Se incorpora el registro con twitter, se recupera informacion publica de la cuenta</t>
  </si>
  <si>
    <t>Se crean peticiones e interfaz para los botones de redes sociales</t>
  </si>
  <si>
    <t>Recuperar contraseña</t>
  </si>
  <si>
    <t>Se crea formulario y peticiones para recuperar contraseña con los servicios actuales</t>
  </si>
  <si>
    <t>Se crea formulario y peticiones para recuperar contraseña con los servicios de pnt v3</t>
  </si>
  <si>
    <t>Atención de requerimientos</t>
  </si>
  <si>
    <t>Se atenendieron las remediacións correspondientes con: Null Dereference</t>
  </si>
  <si>
    <t>https://172.20.32.20/svn/PNT_mediosImpugnacion/tags/SIGEMI_WS_Version_2.1.0_rc_20230123</t>
  </si>
  <si>
    <t>Se atenendieron las remediacións correspondientes con: Password Management: Hardcoded Password</t>
  </si>
  <si>
    <t>Se atenendieron las remediacións correspondientes con: Password Management: Password in Configuration File</t>
  </si>
  <si>
    <t>Se atenendieron las remediacións correspondientes con: Portability Flaw: Locale Dependent Comparison y Path Manipulation</t>
  </si>
  <si>
    <t>Se atenendieron las remediacións correspondientes con: Race Condition: Singleton Member Field</t>
  </si>
  <si>
    <t>Se atenendieron las remediacións correspondientes con: Unreleased Resource: Streams</t>
  </si>
  <si>
    <t>Se atenendieron las remediacións correspondientes con: Dead Code: Unused Field</t>
  </si>
  <si>
    <t>Se atenendieron las remediacións correspondientes con: Code Correctness: Constructor Invokes Overridable Function</t>
  </si>
  <si>
    <t>Se atenendieron las remediacións correspondientes con: Code Correctness: Dead Code: Unused Field</t>
  </si>
  <si>
    <t>Se atenendieron las remediacións correspondientes con: Code Correctness: Dead Code: Unused Method</t>
  </si>
  <si>
    <t>Se atenendieron las remediacións correspondientes con: Code Correctness: J2EE Bad Practices: Leftover Debug Code</t>
  </si>
  <si>
    <t>Se atenendieron las remediacións correspondientes con: Missing Check against Null</t>
  </si>
  <si>
    <t>Se atenendieron las remediacións correspondientes con: Missing Check for Null Parameter</t>
  </si>
  <si>
    <t>Se atenendieron las remediacións correspondientes con: Object Model Violation: Erroneous clone() Method</t>
  </si>
  <si>
    <t>Se atenendieron las remediacións correspondientes con: Object Model Violation: Just one of equals() and hashCode() Defined</t>
  </si>
  <si>
    <t>Se atenendieron las remediacións correspondientes con: Password Management: Password in Comment</t>
  </si>
  <si>
    <t>Se atenendieron las remediacións correspondientes con: Poor Error Handling: Empty Catch Block</t>
  </si>
  <si>
    <t>Se atenendieron las remediacións correspondientes con: Overly Broad Catch</t>
  </si>
  <si>
    <t>Se atenendieron las remediacións correspondientes con: Poor Error Handling: Overly Broad Catch</t>
  </si>
  <si>
    <t>Se atenendieron las remediacións correspondientes con el levantamiento y revisión del proyecto de pizarras</t>
  </si>
  <si>
    <t>Se ambiento y tramitaron permisos para levantar el proyecto de manera local</t>
  </si>
  <si>
    <t xml:space="preserve">Modificacion servicio profecional </t>
  </si>
  <si>
    <t>http://repositoriosdgis.ifai.org.mx/Pagina%20Web/Actividades%202023/03-Marzo-2023/Observaciones%20al%20Micrositio%20Servicio%20Profecional.docx</t>
  </si>
  <si>
    <t xml:space="preserve">Actualizacion Reportes </t>
  </si>
  <si>
    <t>http://repositoriosdgis.ifai.org.mx/Pagina%20Web/Actividades%202023/03-Marzo-2023/ACTUALIZACION%20DE%20PROYECTOS%20DE%20LA%20SEMANA%20DEL%2017%20DE%20MARZO%20AL%2023%20DE%20MARZO%20DEL%202023.docx</t>
  </si>
  <si>
    <t xml:space="preserve">Avance de proyectos  </t>
  </si>
  <si>
    <t xml:space="preserve">Pruebas CEVINAI </t>
  </si>
  <si>
    <t>http://repositoriosdgis.ifai.org.mx/Pagina%20Web/Actividades%202023/03-Marzo-2023/Actualizaci%C3%B3n%20Solicitud%20de%20Informaci%C3%B3n.docx</t>
  </si>
  <si>
    <t xml:space="preserve">Rediseño de URL </t>
  </si>
  <si>
    <t>http://repositoriosdgis.ifai.org.mx/Pagina%20Web/Actividades%202023/03-Marzo-2023/Redireccionamiento%20de%20p%C3%A1ginas%20Abramos%20M%C3%A9xico.docx</t>
  </si>
  <si>
    <t xml:space="preserve">Reunion semanal </t>
  </si>
  <si>
    <t>https://www.google.com/url?q=https://teams.microsoft.com/l/meetup-join/19%253ameeting_NDc1M2ZjNTEtNWExOS00NjgxLWJkNDEtYzc5YmNkMDMxOWQ3%2540thread.v2/0?context%3D%257b%2522Tid%2522%253a%25224e6a317c-9761-4ff0-8de8-4d166927ec3b%2522%252c%2522Oid%2522%253a%2522abee1892-ec1b-4a00-9846-e199aa4672c5%2522%257d&amp;sa=D&amp;source=calendar&amp;ust=1679167545876696&amp;usg=AOvVaw0S2jZhpsFSDCN8NmEz0Xn3</t>
  </si>
  <si>
    <t xml:space="preserve">Concurso Historieta Infantil 2023 </t>
  </si>
  <si>
    <t>http://repositoriosdgis.ifai.org.mx/Pagina%20Web/Actividades%202023/03-Marzo-2023/Concurso%20de%20Historieta%20Infantil.docx</t>
  </si>
  <si>
    <t xml:space="preserve"> Fechas de Platica Informativa </t>
  </si>
  <si>
    <t xml:space="preserve">Actualizacion micrositio CC-INAI </t>
  </si>
  <si>
    <t>http://repositoriosdgis.ifai.org.mx/Pagina%20Web/Actividades%202023/03-Marzo-2023/Consejo%20Consultivo.docx</t>
  </si>
  <si>
    <t xml:space="preserve">Minutas CEVINAI </t>
  </si>
  <si>
    <t>http://repositoriosdgis.ifai.org.mx/Pagina%20Web/Actividades%202023/03-Marzo-2023/Lectura%20de%20minutas.docx</t>
  </si>
  <si>
    <t xml:space="preserve">Servicio profesional </t>
  </si>
  <si>
    <t>Actualizacion solicitud de Informacion</t>
  </si>
  <si>
    <t xml:space="preserve">Validacion pagina web Registro de eventos </t>
  </si>
  <si>
    <t>http://repositoriosdgis.ifai.org.mx/Pagina%20Web/Actividades%202023/03-Marzo-2023/P%C3%A1gina%20web%20Registro%20de%20Eventos.docx</t>
  </si>
  <si>
    <t xml:space="preserve">Micrositio de Promocion y Vinculacion con la sociedad </t>
  </si>
  <si>
    <t>http://repositoriosdgis.ifai.org.mx/Pagina%20Web/Actividades%202023/03-Marzo-2023/Micrositio%20Promoci%C3%B3n%20y%20Vinculaci%C3%B3n%20con%20la%20Sociedad.docx</t>
  </si>
  <si>
    <t xml:space="preserve">Reunion CEVINAI </t>
  </si>
  <si>
    <t xml:space="preserve">Actualizacion micrositio Pleno infantil 2023 </t>
  </si>
  <si>
    <t>http://repositoriosdgis.ifai.org.mx/Pagina%20Web/Actividades%202023/03-Marzo-2023/Directorio%20Pleno%20ni%C3%B1os.docx</t>
  </si>
  <si>
    <t xml:space="preserve">Actualizacion micrositio Planeacion </t>
  </si>
  <si>
    <t xml:space="preserve">pruebas concurso nacional de cuento juvenil 2023 </t>
  </si>
  <si>
    <t>http://repositoriosdgis.ifai.org.mx/Pagina%20Web/Actividades%202023/03-Marzo-2023/Solicitudes%20%20de%20Usuarios%20Pleno%20ni%C3%B1os%202023.docx</t>
  </si>
  <si>
    <t>Actualizacion elementos graficos</t>
  </si>
  <si>
    <t xml:space="preserve">Actualizacion de avance de proyectos </t>
  </si>
  <si>
    <t xml:space="preserve">Actualizacion micrositio cuentos </t>
  </si>
  <si>
    <t>http://repositoriosdgis.ifai.org.mx/Pagina%20Web/Actividades%202023/03-Marzo-2023/Actualizaci%C3%B3n%20Micrositio%20Cuento.docx</t>
  </si>
  <si>
    <t xml:space="preserve">Actualizacion liga You tube </t>
  </si>
  <si>
    <t>http://repositoriosdgis.ifai.org.mx/Pagina%20Web/Actividades%202023/03-Marzo-2023/Actualizaci%C3%B3n%20liga%20You%20Tube.docx</t>
  </si>
  <si>
    <t xml:space="preserve">Actualizacion del Micrositio pleno Infantil </t>
  </si>
  <si>
    <t xml:space="preserve">Modificacion PROSEDE </t>
  </si>
  <si>
    <t>http://repositoriosdgis.ifai.org.mx/Pagina%20Web/Actividades%202023/03-Marzo-2023/Cambio%20de%20imagen%20PROSEDE.docx</t>
  </si>
  <si>
    <t>Inicio  Concurso Nacional Universitario 2023</t>
  </si>
  <si>
    <t>http://repositoriosdgis.ifai.org.mx/Pagina%20Web/Actividades%202023/03-Marzo-2023/Dise%C3%B1o%20Concurso%20Nacional%20Universitario%202023.docx</t>
  </si>
  <si>
    <t xml:space="preserve">seguimiento Concurso Nacional de Spot de Radio </t>
  </si>
  <si>
    <t>http://repositoriosdgis.ifai.org.mx/Pagina%20Web/Actividades%202023/03-Marzo-2023/creaci%C3%B3n%20Concurso%20Nacional%20de%20Spot%20de%20Radio.docx</t>
  </si>
  <si>
    <t>http://repositoriosdgis.ifai.org.mx/Pagina%20Web/Actividades%202023/03-Marzo-2023/Actualizaci%C3%B3n%20de%20avance%20de%20proyecto.docx</t>
  </si>
  <si>
    <t xml:space="preserve">Monitoreo EIPDP </t>
  </si>
  <si>
    <t>http://repositoriosdgis.ifai.org.mx/Pagina%20Web/Actividades%202023/03-Marzo-2023/Prueba%20EIPDP.docx</t>
  </si>
  <si>
    <t xml:space="preserve">Pruebas Micrositio Trabajo Universitario </t>
  </si>
  <si>
    <t>http://repositoriosdgis.ifai.org.mx/Pagina%20Web/Actividades%202023/03-Marzo-2023/Actualizaci%C3%B3n%20Micrositio%20Trabajo%20Universitario.docx</t>
  </si>
  <si>
    <t xml:space="preserve">Actualizacion Banco de Practica </t>
  </si>
  <si>
    <t>http://repositoriosdgis.ifai.org.mx/Pagina%20Web/Actividades%202023/03-Marzo-2023/Banco%20de%20practicas.docx</t>
  </si>
  <si>
    <t>Registro de evento Pagina web "Guia de apoyo"</t>
  </si>
  <si>
    <t>http://repositoriosdgis.ifai.org.mx/Pagina%20Web/Actividades%202023/03-Marzo-2023/P%C3%A1gina%20Web.docx</t>
  </si>
  <si>
    <t xml:space="preserve">Reunion Sitio de Informes </t>
  </si>
  <si>
    <t>https://teams.microsoft.com/l/meetup-join/19%3ameeting_ODE2NTZkZDktYWJmNC00YTdiLTk2MjktYWM2MjA0MzQwNTUy%40thread.v2/0?context=%7b%22Tid%22%3a%224e6a317c-9761-4ff0-8de8-4d166927ec3b%22%2c%22Oid%22%3a%2257195589-7096-49aa-a4ed-62b966ed50fc%22%7d</t>
  </si>
  <si>
    <t xml:space="preserve">actializacion micrositio trabajo Universitario </t>
  </si>
  <si>
    <t xml:space="preserve">Actualizaciones micrositio Informes de Labores </t>
  </si>
  <si>
    <t>http://repositoriosdgis.ifai.org.mx/Pagina%20Web/Actividades%202023/03-Marzo-2023/PRESENTACI%C3%93N%20DE%20INFORME.docx</t>
  </si>
  <si>
    <t xml:space="preserve">Solicitudes de Usuarios Pleno niños </t>
  </si>
  <si>
    <t xml:space="preserve">Cambios micrositio Informes de Labores </t>
  </si>
  <si>
    <t>http://repositoriosdgis.ifai.org.mx/Pagina%20Web/Actividades%202023/03-Marzo-2023/Cambios%20en%20sitio%20Informes%20de%20Labores.docx</t>
  </si>
  <si>
    <t xml:space="preserve">Seguimuento de proyecto CEVINAI </t>
  </si>
  <si>
    <t>https://www.google.com/url?q=https://teams.microsoft.com/l/meetup-join/19%253ameeting_NTlkYzYzOTAtNjlhNC00Njg0LWE3NGEtOWE2NDZlMWIwYTcz%2540thread.v2/0?context%3D%257b%2522Tid%2522%253a%25224e6a317c-9761-4ff0-8de8-4d166927ec3b%2522%252c%2522Oid%2522%253a%252257195589-7096-49aa-a4ed-62b966ed50fc%2522%257d&amp;sa=D&amp;source=calendar&amp;usd=2&amp;usg=AOvVaw1IDzCNxHwE-F5QvnBEEWsz</t>
  </si>
  <si>
    <t xml:space="preserve">carga de Insumos Banco de Practica </t>
  </si>
  <si>
    <t>http://repositoriosdgis.ifai.org.mx/Pagina%20Web/Actividades%202023/03-Marzo-2023/Modificacion%20Banco%20de%20Practica.docx</t>
  </si>
  <si>
    <t>Reunion Actualizacion de actividades</t>
  </si>
  <si>
    <t>https://teams.microsoft.com/l/meetup-join/19%3ameeting_MTI4NTc1ZWUtM2U2OS00ODVlLThjMjctYjNmMjdlYTkzZGFk%40thread.v2/0?context=%7b%22Tid%22%3a%224e6a317c-9761-4ff0-8de8-4d166927ec3b%22%2c%22Oid%22%3a%2257195589-7096-49aa-a4ed-62b966ed50fc%22%7d</t>
  </si>
  <si>
    <t xml:space="preserve">Reunion Sitios Consultas </t>
  </si>
  <si>
    <t>https://teams.microsoft.com/l/meetup-join/19%3ameeting_MTMxZWY2ZDItOTUwOS00Nzk0LThmNWUtYzJkMzkwOTAxNTEx%40thread.v2/0?context=%7b%22Tid%22%3a%224e6a317c-9761-4ff0-8de8-4d166927ec3b%22%2c%22Oid%22%3a%2257195589-7096-49aa-a4ed-62b966ed50fc%22%7d</t>
  </si>
  <si>
    <t xml:space="preserve">Reunioln Avance de Proyectos </t>
  </si>
  <si>
    <t>https://www.google.com/url?q=https://teams.microsoft.com/l/meetup-join/19%253ameeting_NDc1M2ZjNTEtNWExOS00NjgxLWJkNDEtYzc5YmNkMDMxOWQ3%2540thread.v2/0?context%3D%257b%2522Tid%2522%253a%25224e6a317c-9761-4ff0-8de8-4d166927ec3b%2522%252c%2522Oid%2522%253a%2522abee1892-ec1b-4a00-9846-e199aa4672c5%2522%257d&amp;sa=D&amp;source=calendar&amp;ust=1680114066948899&amp;usg=AOvVaw2IRZsjb6XhxLRT-jh0euQk</t>
  </si>
  <si>
    <t xml:space="preserve">Reunion Revision de Anexo </t>
  </si>
  <si>
    <t>https://teams.microsoft.com/l/meetup-join/19%3ameeting_MDE1MzExYTctZDFkNy00ZDZjLWJmMzYtZWUyZDM2ODhjZmEx%40thread.v2/0?context=%7b%22Tid%22%3a%224e6a317c-9761-4ff0-8de8-4d166927ec3b%22%2c%22Oid%22%3a%2257195589-7096-49aa-a4ed-62b966ed50fc%22%7d</t>
  </si>
  <si>
    <t xml:space="preserve">Actualizacion micrositio Identidad segura </t>
  </si>
  <si>
    <t>http://repositoriosdgis.ifai.org.mx/Pagina%20Web/Actividades%202023/03-Marzo-2023/Actualizaci%C3%B3n%20Micrositio%20Identidad%20Segura.docx</t>
  </si>
  <si>
    <t xml:space="preserve">Modificacion Banco de Practica </t>
  </si>
  <si>
    <t xml:space="preserve">Actualizacion informacion grafica </t>
  </si>
  <si>
    <r>
      <rPr>
        <sz val="10"/>
        <color rgb="FF000000"/>
        <rFont val="Calibri"/>
        <family val="2"/>
      </rPr>
      <t>Validacion Banco de Practica</t>
    </r>
    <r>
      <rPr>
        <sz val="10"/>
        <color rgb="FF000000"/>
        <rFont val="Arial"/>
        <family val="2"/>
      </rPr>
      <t xml:space="preserve"> </t>
    </r>
  </si>
  <si>
    <t>Actualizacion Certamen de Innovacion en Transparencia 2023</t>
  </si>
  <si>
    <t xml:space="preserve">Solicitudes de Usuarios Pleno </t>
  </si>
  <si>
    <t xml:space="preserve">Actualizacion concurso nacional de periodismo </t>
  </si>
  <si>
    <t xml:space="preserve">Reunion avance de proyectos </t>
  </si>
  <si>
    <t xml:space="preserve">Actualizacion proyectos </t>
  </si>
  <si>
    <t>Ambientación y descarga proyecto Buscador Inteligente</t>
  </si>
  <si>
    <t>Asignación de tiempos, actividades y analisis estructura de carpetas y configuración del proyecto</t>
  </si>
  <si>
    <t>Desarrollo pantalla resultados,desarrollo componente filtro entidad e institución</t>
  </si>
  <si>
    <t>Desarrollo maqueta sección resultados y componente filtros año y rango de fechas</t>
  </si>
  <si>
    <t>Implementación del patrón NGRX para persistir y modificar el request que se envía a la petición http que regresa los resultados</t>
  </si>
  <si>
    <t>https://172.20.32.20/svn/PNT_SISAI_V2/DEV/code/servicesSISAI2</t>
  </si>
  <si>
    <t>https://172.20.32.20/svn/PNT_FRONT/PNT_BUSCADORINTELIGENTE/branches/buscador-inteligente-app/</t>
  </si>
  <si>
    <t>Buscador Inteligente</t>
  </si>
  <si>
    <t>Creación interfaces, actions y reducers</t>
  </si>
  <si>
    <t xml:space="preserve">Creación servicios y effects NGRX,para obtener los datos del back </t>
  </si>
  <si>
    <t>Uso de actions y reducers en componente filtros Temas,subtemas,entidad y sujetos obligados</t>
  </si>
  <si>
    <t>Implementación de checkbox y envío de datos de acuerdo al filtro seleccionado en filtros Temas,subtemas,entidad y sujetos obligados</t>
  </si>
  <si>
    <t xml:space="preserve">Implementación validaciones para mostrar los filtros de acuerdo a la colección seleccionada </t>
  </si>
  <si>
    <t>Desarrollo filtros para la colección Quejas</t>
  </si>
  <si>
    <t>Desarrollo componente filtros seleccionados</t>
  </si>
  <si>
    <t>Implementación actions y reducers para los filtros de la colección SICOM</t>
  </si>
  <si>
    <t>Mejora en las interfaces y actualización de las mismas,nueva funcionalidad filtros colección SISAI</t>
  </si>
  <si>
    <t>Implementación validaciones para los filtros seleccionados y los filtros no se rendericen una vez que navegas entre páginas.</t>
  </si>
  <si>
    <t>Implementación y desarrollo de los filtros para la colección SIPOT, así como el desarrollo del componente tiempo solo por mes y año</t>
  </si>
  <si>
    <t>Mejoras y refactorización de algunos metodos de los componentes filtro</t>
  </si>
  <si>
    <t>desarrollo validar acceso a endpoints monitor</t>
  </si>
  <si>
    <t>desarrollo validar acceso a endpoints servicios reportes</t>
  </si>
  <si>
    <t xml:space="preserve">desarrollo rateLimit en commands solicitudes </t>
  </si>
  <si>
    <t>desarrollo obtener token en clases commands portlet Federado</t>
  </si>
  <si>
    <t>desarrollo ventana modal al superar el límite de peticiones permitidas</t>
  </si>
  <si>
    <t>Desarrollo de lógica para agrupamiento de información de Solicitudes</t>
  </si>
  <si>
    <t>Modificación de servicio para descarga de Solicitudes y Recursos</t>
  </si>
  <si>
    <t>Desarrollo de lógica para recuperación de información de Solicitudes</t>
  </si>
  <si>
    <t>Desarrollo de lógica para agrupamiento de información de Recursos</t>
  </si>
  <si>
    <t>Desarrollo de lógica para recuperación de información de Recursos</t>
  </si>
  <si>
    <t>Desarrollo de servicios de para buscar textos en contenido de archivos</t>
  </si>
  <si>
    <t>Creación de microservicio para estadístico de SIPOT, SISAI, SICOM</t>
  </si>
  <si>
    <t>Desarrollo de funcionalidad para filtrar subtemas con base a la integridad referencial de BD</t>
  </si>
  <si>
    <t>Mejoras filtro obligaciones de transparencia</t>
  </si>
  <si>
    <t xml:space="preserve">Refactorización tablas en  sección detalle cards información pública </t>
  </si>
  <si>
    <t xml:space="preserve">Tablas responsive en cards y mejoras diseño y responsive a carruseles </t>
  </si>
  <si>
    <t>Validación reset cards al cambiar entre colecciones seleccionadas y filtros seleccionados</t>
  </si>
  <si>
    <t>Implementación skeleton component en filtros y card al estar cargando la información</t>
  </si>
  <si>
    <t>Desarrollo de filtros solicitudes,quejas y obligaciones de transparencia en pagina tendencias.</t>
  </si>
  <si>
    <t>Implementación función que permite reconocer el dominio actual de la aplicación para acotar la funcionalidad a solo buscador de género</t>
  </si>
  <si>
    <t>Implementación validaciones en componentes y reducers para buscador de género</t>
  </si>
  <si>
    <t xml:space="preserve">Ajustes estilos en componente buscador de género </t>
  </si>
  <si>
    <t>Implementación CAVINAI e integra2 en la aplicación</t>
  </si>
  <si>
    <t>Modificación del componente footer y temáticos para la implementación del icono de género</t>
  </si>
  <si>
    <t>Homologación componente home y pruebas funcionalidad en toda la aplicación con los distintos dominios</t>
  </si>
  <si>
    <t>abril</t>
  </si>
  <si>
    <t>Se atenendieron las remediacións correspondientes con: Poor Style: Confusing Naming</t>
  </si>
  <si>
    <t>Se atenendieron las remediacións correspondientes con: Poor Style: Non-final Public Static Field</t>
  </si>
  <si>
    <t>se modificó parte del formato ABC pizarras</t>
  </si>
  <si>
    <t>https://172.20.32.20/svn/Pizarras4/tags/backend/API-RutasImplementacion_v3</t>
  </si>
  <si>
    <t>Se continuó con la modificación de los servicios de guardado para formato ABC</t>
  </si>
  <si>
    <t>Se continuó con la modificación de los servicios de edición para formato ABC</t>
  </si>
  <si>
    <t>Se atenendieron las remediacións correspondientes con: Poor Logging Practice: Multiple Loggers</t>
  </si>
  <si>
    <t>Se atenendieron las remediacións correspondientes con: Poor Logging Practice: Use of a System Output Stream</t>
  </si>
  <si>
    <t>Se atenendieron las remediacións correspondientes con: System Information Leak: Overly Broad SQL Logging</t>
  </si>
  <si>
    <t>atencion de requerimiento abc</t>
  </si>
  <si>
    <t>se revisó flujo de carga de actividades ABC</t>
  </si>
  <si>
    <t>Modificar y dar seguimiento a las actividades en pizarras</t>
  </si>
  <si>
    <t>se modifico parte de la carga de actividades abc</t>
  </si>
  <si>
    <t>atención de requrimiento descritop para edicion de actividades pizarras</t>
  </si>
  <si>
    <t>Se atenendieron las remediacións correspondientes con seguimiento de actividades en formatos en pizarras</t>
  </si>
  <si>
    <t>Se atenendieron las remediacións correspondientes con seguimiento de actividades en pizarras</t>
  </si>
  <si>
    <t>Se atenendieron las remediacións correspondientes con: Poor Style: Value Never Read</t>
  </si>
  <si>
    <t>Generar clase para cifrar AES</t>
  </si>
  <si>
    <t>Analisis de la clase preexistente en java para encontrar sus similares en dart</t>
  </si>
  <si>
    <t>Adaptar logica de cifrado a la logica interna de la app en flutter</t>
  </si>
  <si>
    <t>Generar clase para decifrar AES</t>
  </si>
  <si>
    <t>Se crea metodo para decifrar el texto anterior en base64</t>
  </si>
  <si>
    <t>Correccion en las llaves de cifrado para obtener los mismo resultados en cada decifrado (Investigacion de metodos similares)</t>
  </si>
  <si>
    <t>Creacion de pantalla para alta de quejas</t>
  </si>
  <si>
    <t>Se crea estructura base para el alta de quejas</t>
  </si>
  <si>
    <t>Se incorporan widgets necesarios para capturar la queja</t>
  </si>
  <si>
    <t>Se agrega stepper y division de pasos</t>
  </si>
  <si>
    <t>Se agregan validaciones. campos y peticiones</t>
  </si>
  <si>
    <t>Se incorpora servicio para precarga de datos de la queja</t>
  </si>
  <si>
    <t>Se incorpora servicio para alta de queja</t>
  </si>
  <si>
    <t>Creacion de pantalla para listar folios generados</t>
  </si>
  <si>
    <t>Pantalla de prouesta para listar los folios generados a partir del registro de solicitudes</t>
  </si>
  <si>
    <t>Incorporar servicios para configuracion de perfil sisai</t>
  </si>
  <si>
    <t>Se genera clase, peticion y campos para listar los datos personales de perfil</t>
  </si>
  <si>
    <t>Se genera clase, peticion y campos para listar los datos personales de direccion</t>
  </si>
  <si>
    <t>Cambios de mensajes catch de excepciones en peticiones http</t>
  </si>
  <si>
    <t>Se cambian mensajes de alerta cuando no hay conexion y se incorporan excepciones personalizadas de acuerdo al codigo http devuelto</t>
  </si>
  <si>
    <t>Se genera clase, peticion y campos para listar los datos personales de estadisticos</t>
  </si>
  <si>
    <t>Validacion permisos vpn</t>
  </si>
  <si>
    <t>Se realizan pruebas para validar el funcionamiento de la vpn y el cliente forticlient</t>
  </si>
  <si>
    <t>Se genera clase, peticion y campos para guardar los datos personales de perfil</t>
  </si>
  <si>
    <t>Se genera clase, peticion y campos para guardar los datos direccion de perfil</t>
  </si>
  <si>
    <t>Se realizan pruebas para validar el funcionamiento de la vpn y el cliente forticlient, las pruebas se realizan en diferentes equipos</t>
  </si>
  <si>
    <t>Se realia sesion de apoyo para correccion del problema de conexion del cliente en equipo mac</t>
  </si>
  <si>
    <t>Revision de servicios y pantallas</t>
  </si>
  <si>
    <t>Revision de servicios registro de solicitante y recuperar contraseña. [Respuestas y peticiones]</t>
  </si>
  <si>
    <t>Revision de servicios alta de quejas. [Respuestas y peticiones]</t>
  </si>
  <si>
    <t>Revision de servicios configuracion de cuenta. [Respuestas y peticiones]</t>
  </si>
  <si>
    <t>Se integra servicio para registrar estadisticos [modelo, peticion y respuesta]</t>
  </si>
  <si>
    <t>Revision de pantalla para listar acuses generados por solicitud</t>
  </si>
  <si>
    <t>Se integra servicio para registrar estadisticos, se recuperan los datos almacenados y se colocan en los exixtentyes en pantalla</t>
  </si>
  <si>
    <t>Se integra servicio para registrar direecion [modelo, peticion y respuesta]</t>
  </si>
  <si>
    <t>Se integra servicio para registrar direccion, se recuperan los datos almacenados y se colocan en los exixtentyes en pantalla</t>
  </si>
  <si>
    <t>Obtener json cifrado para registro de solicitudes de informacion publica y datos personales</t>
  </si>
  <si>
    <t>Se incorporan llamadas de funcion para obtener el cuerpo de peticion cifrada para poder incluirla en las nuevas peticiones</t>
  </si>
  <si>
    <t>Modificar servicios de registro de solicitudes de informacion publica y datos personales</t>
  </si>
  <si>
    <t xml:space="preserve">Se modifcan las peticiones http para poder adaptarse a la nueva manera de enviar el cuerpo json cifrado y elarchivo adjunto multipart </t>
  </si>
  <si>
    <t>Incorporar servicios para descargar acuse de solicitud</t>
  </si>
  <si>
    <t>Se agrega servicio para obtener el archivo adjunto alojado externo y se agrega funcionalidad para abrirlo con el navegador nativo del dispositivo [modelo, peticion y respuesta]</t>
  </si>
  <si>
    <t>Se verifica funcionalida y existencia de diversos servicios utilizados en la app v3</t>
  </si>
  <si>
    <t>Seguimiento de mis quejas</t>
  </si>
  <si>
    <t>Correccion de las pantallas de resultados de busqueda de mis quejas y detalle de mis quejas, se corrigen los campos visualizados y diseño de pantalla</t>
  </si>
  <si>
    <t>Se incorpora servicio para poder listar las notificaciones en el detalle de mis quejas</t>
  </si>
  <si>
    <t>Observaciones Seguimientos</t>
  </si>
  <si>
    <t>Se realizan las observaciones del módulo de seguimientos, alta y edición de seguimientos</t>
  </si>
  <si>
    <t>Se realizan las observaciones del módulo de seguimientos, cambio de estatus y visualización de seguimiento</t>
  </si>
  <si>
    <t>Se realizan las observaciones del módulo de seguimientos,busqueda y tabla de resultados</t>
  </si>
  <si>
    <t>Servicio Guardar Queja</t>
  </si>
  <si>
    <t>Servicio Consultar Mis Quejas</t>
  </si>
  <si>
    <t>Servicio Consultar Medio de Impugnacion</t>
  </si>
  <si>
    <t>Servicio para consultar a detalle una queja guardada, se obtiene información y archivos</t>
  </si>
  <si>
    <t>Servicio consultar notificaciones</t>
  </si>
  <si>
    <t>Servicio para consultar las notificaciones relacionadas a una queja</t>
  </si>
  <si>
    <t>Servicio para consultar las notificaciones relacionadas a una queja.</t>
  </si>
  <si>
    <t>Servicio Consultar Archivo</t>
  </si>
  <si>
    <t>Servicio para la consulta de documentos y archivos. Se cambia tipo base64 a multipart</t>
  </si>
  <si>
    <t>Daily</t>
  </si>
  <si>
    <t>Daily de avances</t>
  </si>
  <si>
    <t xml:space="preserve">Correctivos </t>
  </si>
  <si>
    <t>Corrección boton respuesta SISAI, Corrección carrusel principal busqueda, datos adicionales e info adicional e Sisai</t>
  </si>
  <si>
    <t>Desarrollo Especiales</t>
  </si>
  <si>
    <t>Desarrollo de componentes especiales para la card SIPOT</t>
  </si>
  <si>
    <t>Graficos especiales</t>
  </si>
  <si>
    <t>Estudio y pruebas para graficas de burbuja, con librerias externas o en su caso canvas</t>
  </si>
  <si>
    <t>Descargas</t>
  </si>
  <si>
    <t>Cambio para las descargas desde sisai y sicom</t>
  </si>
  <si>
    <t>Tabla, paginador</t>
  </si>
  <si>
    <t>Creación de componente especial de tabla con paginador que se puede o no cargar en las cards de información, reestructuración de datos para lograr comportamiento</t>
  </si>
  <si>
    <t>Graficas de Tendencias</t>
  </si>
  <si>
    <t>Pruebas con componentes existenetes para el desarrollo de las graficas de tendencia</t>
  </si>
  <si>
    <t>El equipo concluyo que no se ajustan a las nececidades los componentes existentes y que el desarrollo de los mismos tiene que ser con CANVAS</t>
  </si>
  <si>
    <t>Análisis y estudio para la creación con Canvas de componentes de graficas estadisticas</t>
  </si>
  <si>
    <t xml:space="preserve">Desarrollo de grafica circular con Canvas </t>
  </si>
  <si>
    <t>Desarrollo de grafica piramidal con Canvas</t>
  </si>
  <si>
    <t>Desarrollo de grafica de tendencias con Canvas</t>
  </si>
  <si>
    <t>realizar las correcciones necesarias para la gráfica circular, también implementé algunas mejoras adicionales para mejorar su visualización y usabilidad. Por ejemplo, añadí interactividad a la gráfica mediante la inclusión de efectos de animación al pasar el cursor sobre las diferentes secciones de la misma.</t>
  </si>
  <si>
    <t>realizar las correcciones necesarias para la gráfica piramidal, también implementé algunas mejoras adicionales para mejorar su visualización y usabilidad. Por ejemplo, añadí interactividad a la gráfica mediante la inclusión de efectos de animación al pasar el cursor sobre las diferentes secciones de la misma.</t>
  </si>
  <si>
    <t>realizar las correcciones necesarias para la gráfica tendencias, también implementé algunas mejoras adicionales para mejorar su visualización y usabilidad. Por ejemplo, añadí interactividad a la gráfica mediante la inclusión de efectos de animación al pasar el cursor sobre las diferentes secciones de la misma.</t>
  </si>
  <si>
    <t>Tarjetas solicitudes, quejas e información, Carruseles</t>
  </si>
  <si>
    <t>ajustes a los diseños de las cards, quejas, solicitudes e informacion, carruseles asi como la implementacion de diversas funcionalidades solicitadas por el usuario.</t>
  </si>
  <si>
    <t>Funcionalidad div 60.40</t>
  </si>
  <si>
    <t>Creacion de funcionalidad de div 60% a 40% para las coindcidencias en archivos, en todas las cards</t>
  </si>
  <si>
    <t>Optimización de código</t>
  </si>
  <si>
    <t>Optimización de código, eliminación de logs, y repeticiones en solicitudes de información al servidor</t>
  </si>
  <si>
    <t>Performance código</t>
  </si>
  <si>
    <t>Pruebas del código propuesto para la optimización y la mejor maera de solicitar información al servidor, se evita las multiples consultas al servidor, mejorando el performance de la aplicación</t>
  </si>
  <si>
    <t>Finalización de componentes</t>
  </si>
  <si>
    <t>Revisión y pruebas finales de todos los cambios solicitados por el cliente</t>
  </si>
  <si>
    <t>Requerimientos para reportes estadísticos</t>
  </si>
  <si>
    <t>Pruebas de diseño para la solucion de envíos de reportes estadísticos, creación de servicios e imlementación 1/30</t>
  </si>
  <si>
    <t>Pruebas de diseño para la solucion de envíos de reportes estadísticos, creación de servicios e imlementación 9/30</t>
  </si>
  <si>
    <t>Pruebas de diseño para la solucion de envíos de reportes estadísticos, creación de servicios e imlementación 20/30</t>
  </si>
  <si>
    <t>http://repositoriosdgis.ifai.org.mx</t>
  </si>
  <si>
    <t xml:space="preserve">Campos de Perfil </t>
  </si>
  <si>
    <t>actualizacin Concurso Nacional Universitario 2023</t>
  </si>
  <si>
    <t xml:space="preserve">modificacion Identidad segura </t>
  </si>
  <si>
    <t xml:space="preserve">Guia de apoyo envios </t>
  </si>
  <si>
    <t xml:space="preserve">alta usuarios banco de practicas </t>
  </si>
  <si>
    <t xml:space="preserve">Prosede actualizacion </t>
  </si>
  <si>
    <t xml:space="preserve">Arcualizacion de archivos </t>
  </si>
  <si>
    <t xml:space="preserve">modificacion calendario </t>
  </si>
  <si>
    <t xml:space="preserve">Visualizacion del sitio Guia de apoyo </t>
  </si>
  <si>
    <t xml:space="preserve">Solicitud de integracion Procede </t>
  </si>
  <si>
    <t xml:space="preserve">actualizacion PROCEDE </t>
  </si>
  <si>
    <t xml:space="preserve">Retiro de ventana emergente </t>
  </si>
  <si>
    <t xml:space="preserve">actualizacion de reportes </t>
  </si>
  <si>
    <t xml:space="preserve">Recuperacin de usuarios </t>
  </si>
  <si>
    <t xml:space="preserve">Pagina web carga de documentacion </t>
  </si>
  <si>
    <t xml:space="preserve">Alta  de usuarios Ensayo Reportaje </t>
  </si>
  <si>
    <t xml:space="preserve">Reunion semanal de avances </t>
  </si>
  <si>
    <t>https://www.google.com/url?q=https://teams.microsoft.com/l/meetup-join/19%253ameeting_NDc1M2ZjNTEtNWExOS00NjgxLWJkNDEtYzc5YmNkMDMxOWQ3%2540thread.v2/0?context%3D%257b%2522Tid%2522%253a%25224e6a317c-9761-4ff0-8de8-4d166927ec3b%2522%252c%2522Oid%2522%253a%2522abee1892-ec1b-4a00-9846-e199aa4672c5%2522%257d&amp;sa=D&amp;source=calendar&amp;ust=1683684135507459&amp;usg=AOvVaw2Lo_z7CNhLfwnUI6LV8Yr2</t>
  </si>
  <si>
    <t xml:space="preserve">Presentacion Odoo </t>
  </si>
  <si>
    <t xml:space="preserve">revision de minutas </t>
  </si>
  <si>
    <t xml:space="preserve">Mdificacion micrositio Planeacion </t>
  </si>
  <si>
    <t xml:space="preserve">Modificacion micrositio Identidad segura </t>
  </si>
  <si>
    <t xml:space="preserve">Pruebas Osticket </t>
  </si>
  <si>
    <t xml:space="preserve">Error ligas </t>
  </si>
  <si>
    <t xml:space="preserve">Mofimicacion Pleno niños </t>
  </si>
  <si>
    <t xml:space="preserve">Actualizacion Revista </t>
  </si>
  <si>
    <t xml:space="preserve">Actualizacion Gobierno abierto </t>
  </si>
  <si>
    <t xml:space="preserve">reunion de avances </t>
  </si>
  <si>
    <t>https://www.google.com/url?q=https://teams.microsoft.com/l/meetup-join/19%253ameeting_NDc1M2ZjNTEtNWExOS00NjgxLWJkNDEtYzc5YmNkMDMxOWQ3%2540thread.v2/0?context%3D%257b%2522Tid%2522%253a%25224e6a317c-9761-4ff0-8de8-4d166927ec3b%2522%252c%2522Oid%2522%253a%2522abee1892-ec1b-4a00-9846-e199aa4672c5%2522%257d&amp;sa=D&amp;source=calendar&amp;ust=1683684141480477&amp;usg=AOvVaw2_WIVPvP1cWhz-6xjd9lLc</t>
  </si>
  <si>
    <t xml:space="preserve">actualizacion Planeacion </t>
  </si>
  <si>
    <t xml:space="preserve">Actualizacion Pagina Web </t>
  </si>
  <si>
    <t xml:space="preserve">Actualizacion Informes 2023 </t>
  </si>
  <si>
    <t xml:space="preserve">actualizacioin Revista </t>
  </si>
  <si>
    <t xml:space="preserve">modificaion usuarios Pagina Web </t>
  </si>
  <si>
    <t xml:space="preserve">Actualizacion directorio RTA </t>
  </si>
  <si>
    <t xml:space="preserve">Modificacion Identidad Segura </t>
  </si>
  <si>
    <t xml:space="preserve">acatualizacion de padron de SO </t>
  </si>
  <si>
    <t xml:space="preserve">Actualizacion comité de etica </t>
  </si>
  <si>
    <t xml:space="preserve">Actualizacion del sitio SEDE </t>
  </si>
  <si>
    <t xml:space="preserve">carga de archivos pagina web </t>
  </si>
  <si>
    <t xml:space="preserve">carga de imágenes PROMOCION Y VINCULACION </t>
  </si>
  <si>
    <t xml:space="preserve">Recuperacion de usuarios </t>
  </si>
  <si>
    <t xml:space="preserve">actualizacion PROSEDE </t>
  </si>
  <si>
    <t xml:space="preserve">Actualizacion Pleno niños </t>
  </si>
  <si>
    <t>Juan Gabriel Romero Ramirez</t>
  </si>
  <si>
    <t>Se tuvieron sesiones para validar las observaciones de los usuarios sobre los reportes. También se estuvieron realizando algunos de los ajustes solicitados.</t>
  </si>
  <si>
    <t>Se mantuvieron sesiones para revisar los cambios realizados. De igual forma se estuvieron validando las diferentes formas de mostrar las gráficas.</t>
  </si>
  <si>
    <t>Se realizaron lkos cambios faltantes y se agregaron los diferentes filtros en un menú para facilitar su acceso a los usuarios.</t>
  </si>
  <si>
    <t>Se crea componente manteniendo el diseño actual de los temáticos para el buscador de género</t>
  </si>
  <si>
    <t>Mejoras a componente descripción en cards</t>
  </si>
  <si>
    <t>Mejoras cards y sección archivos de la respuesta</t>
  </si>
  <si>
    <t xml:space="preserve">Se agrega funcionalidad para poder descargar y mostrar correctamente los archivos de la respuesta y la solicitud </t>
  </si>
  <si>
    <t>Mejoras para que el input de búsqueda principal sea responsive en móviles</t>
  </si>
  <si>
    <t>Se agrega funcionalidad para sombrear palabras que coinciden con la busque del usuario</t>
  </si>
  <si>
    <t>Implementación de palabras (clave) en el resaltado de las coincidencias</t>
  </si>
  <si>
    <t xml:space="preserve">Mejoras en responsive Input de búsqueda </t>
  </si>
  <si>
    <t>Agrupación de temas y subtemas repetidos en los carousel, así como mejoras en iconos next y prev</t>
  </si>
  <si>
    <t>Mejoras en responsive sección archivos</t>
  </si>
  <si>
    <t>Se quita el id de género para que la búsqueda sea sobre todo el universo de información, y se quita funcionalidad infinito al carousel de temas</t>
  </si>
  <si>
    <t>Se quita el loading para la inserción de estadísticos y se hace la implementación de estadísticos usando ngrx</t>
  </si>
  <si>
    <t>Mejoras función filtro tipo respuesta</t>
  </si>
  <si>
    <t xml:space="preserve">Mejoras componente loading </t>
  </si>
  <si>
    <t xml:space="preserve">Mejoras generales buscador de género y pruebas </t>
  </si>
  <si>
    <t>Mejoras servicio que actualiza y obtiene los sujetos obligados, para recuperar e insertar la fecha actualización</t>
  </si>
  <si>
    <t>Implementación campos fecha registro y fecha actualización en vistas sujetos obligados (módulos federado)</t>
  </si>
  <si>
    <t>Implementación servicio para el llenado de las gráficas de acuerdo a la colección seleccionada y mejoras de código</t>
  </si>
  <si>
    <t>Implementación campo dtFechaLimiteRegistroMi a query del servicio actualizar datos solicitud (modulo soportes)</t>
  </si>
  <si>
    <t>Pruebas e implementación campo en la vista jsp</t>
  </si>
  <si>
    <t>Se hacen ajustes, validaciones y pruebas para integrar dos nuevos roles al portlet de soportes y que estos puedan ver el soporte de modificar datos solicitud</t>
  </si>
  <si>
    <t>Implementación columna folio parent y correo electrónico en soporte modificar fechas solicitud</t>
  </si>
  <si>
    <t>Pruebas y despliegue en desarrollo con todas las modificaciones para validar el correcto funcionamiento</t>
  </si>
  <si>
    <t>Mejoras servicio actualizar y modificar datos solicitud</t>
  </si>
  <si>
    <t>https://172.20.32.20/svn/MIGRACION_LIFERAY73</t>
  </si>
  <si>
    <t>mayo</t>
  </si>
  <si>
    <t>Revisión y ajustes de los componentes de Federados</t>
  </si>
  <si>
    <t xml:space="preserve">Se realiza servicio de consulta de archivos para la descarga de acuses de impugnaciones </t>
  </si>
  <si>
    <t xml:space="preserve">Incidencia producción </t>
  </si>
  <si>
    <t>Se realiza revisión y corrección de incidencia productiva. Carga de rutas de implementación a  Actividades ABC</t>
  </si>
  <si>
    <t xml:space="preserve">Servicio updateStatus </t>
  </si>
  <si>
    <t xml:space="preserve">Se realiza el servicio de actualización de estatus para las notificaciones </t>
  </si>
  <si>
    <t xml:space="preserve">Servicio guarda documento respuesta notificación </t>
  </si>
  <si>
    <t xml:space="preserve">Se realiza el servicio interno de guardado de documentos para el módulo de notificaciones </t>
  </si>
  <si>
    <t xml:space="preserve">Servicio respuesta notificación </t>
  </si>
  <si>
    <t xml:space="preserve">Se realiza servicio de respuesta de notificacion de recurrentes </t>
  </si>
  <si>
    <t xml:space="preserve">Prueba guardado de quejas </t>
  </si>
  <si>
    <t xml:space="preserve">Se prueban campos de envío a sp de guardado de quejas </t>
  </si>
  <si>
    <t xml:space="preserve">Servicio de respuesta solicitud </t>
  </si>
  <si>
    <t xml:space="preserve">Se realiza el servicio de respuesta de solicitud </t>
  </si>
  <si>
    <t xml:space="preserve">Se trabaja en el agregado de campos en la comparativa de actividades de ruta de implementación y actividades abc </t>
  </si>
  <si>
    <t xml:space="preserve">Incidencia producción  </t>
  </si>
  <si>
    <t xml:space="preserve">Corrección de reglas de negocio para carga de actividades abc y agregado. </t>
  </si>
  <si>
    <t xml:space="preserve">Actualizacion de micrositio DDHIG </t>
  </si>
  <si>
    <t>http://repositoriosdgis.ifai.org.mx/Pagina%20Web/Actividades%202023/05-Mayo-2023/Actualizacion%20micrositio%20DDHIG.docx</t>
  </si>
  <si>
    <t xml:space="preserve">Actualizacion del micrositio Comité de Etica </t>
  </si>
  <si>
    <t>http://repositoriosdgis.ifai.org.mx/Pagina%20Web/Actividades%202023/05-Mayo-2023/Actualizacion%20comite%20de%20Etica.docx</t>
  </si>
  <si>
    <t>Modificacion de estilos</t>
  </si>
  <si>
    <t>http://repositoriosdgis.ifai.org.mx/Pagina%20Web/Actividades%202023/05-Mayo-2023/Modificacion%20ortografica.docx</t>
  </si>
  <si>
    <t xml:space="preserve">Actualizacioion micrositio Innovacion y buena practica </t>
  </si>
  <si>
    <t>http://repositoriosdgis.ifai.org.mx/Pagina%20Web/Actividades%202023/05-Mayo-2023/Actualizacion%20micrositio%20de%20innovacion%20y%20buena%20practica.docx</t>
  </si>
  <si>
    <t xml:space="preserve">Planeacion carga de metodologia </t>
  </si>
  <si>
    <t>http://repositoriosdgis.ifai.org.mx/Pagina%20Web/Actividades%202023/05-Mayo-2023/Actualizacion%20mayo.docx</t>
  </si>
  <si>
    <t xml:space="preserve">Actualizacion sitio Derechos humanos </t>
  </si>
  <si>
    <t xml:space="preserve">Cambio de estilos promocion </t>
  </si>
  <si>
    <t xml:space="preserve">Recuperacion de contraseñas </t>
  </si>
  <si>
    <t xml:space="preserve">actualizacion avance de proyecto </t>
  </si>
  <si>
    <t xml:space="preserve">actualizacion micrositio Innovacion y buena practica </t>
  </si>
  <si>
    <t xml:space="preserve">revision micrositio </t>
  </si>
  <si>
    <t>http://repositoriosdgis.ifai.org.mx/Pagina%20Web/Actividades%202023/05-Mayo-2023/validacion%20micrositio.docx</t>
  </si>
  <si>
    <t xml:space="preserve">actualizacion micrositio oficina de control </t>
  </si>
  <si>
    <t>http://repositoriosdgis.ifai.org.mx/Pagina%20Web/Actividades%202023/05-Mayo-2023/Actualizacion%20micrositio%20oficina%20de%20control.docx</t>
  </si>
  <si>
    <t>http://repositoriosdgis.ifai.org.mx/Pagina%20Web/Actividades%202023/05-Mayo-2023/actualizacion%20avance%20de%20proyectos.docx</t>
  </si>
  <si>
    <t xml:space="preserve">carga de documentacion </t>
  </si>
  <si>
    <t xml:space="preserve">reporte prosede </t>
  </si>
  <si>
    <t>http://repositoriosdgis.ifai.org.mx/Pagina%20Web/Actividades%202023/05-Mayo-2023/Reporte%20procede.docx</t>
  </si>
  <si>
    <t xml:space="preserve">Carga de Documentacion </t>
  </si>
  <si>
    <t xml:space="preserve">Liga de registros </t>
  </si>
  <si>
    <t>http://repositoriosdgis.ifai.org.mx/Pagina%20Web/Actividades%202023/05-Mayo-2023/Registros.docx</t>
  </si>
  <si>
    <t xml:space="preserve">actualizacion comité de etica </t>
  </si>
  <si>
    <t xml:space="preserve">platica informativa certamen </t>
  </si>
  <si>
    <t>http://repositoriosdgis.ifai.org.mx/Pagina%20Web/Actividades%202023/05-Mayo-2023/liga%20certamen.docx</t>
  </si>
  <si>
    <t xml:space="preserve">actualizacion prosede </t>
  </si>
  <si>
    <t xml:space="preserve">actualizacion servisio profecional </t>
  </si>
  <si>
    <t xml:space="preserve">actualizacion sistemas de citas </t>
  </si>
  <si>
    <t>actualizacion pleno infantil 2023</t>
  </si>
  <si>
    <t xml:space="preserve">modificacion procede inai </t>
  </si>
  <si>
    <t xml:space="preserve">actualizacion servicio profecional </t>
  </si>
  <si>
    <t xml:space="preserve">actualizacion de avance de proyectos </t>
  </si>
  <si>
    <t xml:space="preserve">apollo a falla de concurso de periodismo </t>
  </si>
  <si>
    <t xml:space="preserve">actualizacion apartado unidad de transparencia </t>
  </si>
  <si>
    <t xml:space="preserve">actualizacion micrositio comité de etica </t>
  </si>
  <si>
    <t xml:space="preserve">actualizacion banco de practicas </t>
  </si>
  <si>
    <t xml:space="preserve">actualizacion micrositio SEDE- INAI </t>
  </si>
  <si>
    <t xml:space="preserve">actualizacin avance de proyectos </t>
  </si>
  <si>
    <t xml:space="preserve">actualizacion servicio profesional </t>
  </si>
  <si>
    <t xml:space="preserve">actualizacion formato de comisiones </t>
  </si>
  <si>
    <t xml:space="preserve">actualizacion certamen </t>
  </si>
  <si>
    <t xml:space="preserve">revision pleno niños </t>
  </si>
  <si>
    <t>Se estuvieron realizando los cambios solicitados en el informe- Asimismo se estuvieron realizando pruebas para validar la funcionalidad del reporte.</t>
  </si>
  <si>
    <t>https://app.powerbi.com/view?r=eyJrIjoiNTJkYThhZDgtZDRiMC00Y2MzLWJlNDYtZDNkNWNmYjc0ZDBlIiwidCI6IjI2ZjlkZDhhLTg2OTEtNGZjZC05MTU5LWI5ODMwZWFjOTk3YiJ9&amp;embedImagePlaceholder=true</t>
  </si>
  <si>
    <t>Se continuaron realizando los cambios, se crearon escenarios de pruebas y automatización de la publicación de reportes. Además, se estuvieron haciendo cambios de conectividad de la base de datos.</t>
  </si>
  <si>
    <t>Se mostraron los reportes publicados además de concluir pruebas de mostrar la ultima fecha de actualización de los reportes.</t>
  </si>
  <si>
    <t>Buscador de género</t>
  </si>
  <si>
    <t>Implementar servicio del registro de estadístico en todo el buscador</t>
  </si>
  <si>
    <t>Maquetado formulario</t>
  </si>
  <si>
    <t xml:space="preserve"> Maquetado de formulario de búsqueda de "Mis quejas"</t>
  </si>
  <si>
    <t>Maquetado grid</t>
  </si>
  <si>
    <t>Maquetado de grid de listado de quejas</t>
  </si>
  <si>
    <t>Maquetado funcionalidad</t>
  </si>
  <si>
    <t>Maquetado de funcionalidad de "expando row" para el detalle de quejas</t>
  </si>
  <si>
    <t>Maquetado pantalla</t>
  </si>
  <si>
    <t>Maquetado de la pantalla de seguimiento de la queja</t>
  </si>
  <si>
    <t>Maquetado de la pantalla para prevenir una queja</t>
  </si>
  <si>
    <t>Maquetado de la pantalla para admitir una queja</t>
  </si>
  <si>
    <t>Maquetado de la pantalla para admitir y cerrar una queja</t>
  </si>
  <si>
    <t>Registro quejas</t>
  </si>
  <si>
    <t>Se integra servicio para registrar quejas [modelo, peticion y respuesta]</t>
  </si>
  <si>
    <t>Se da seguimiento y pruebas al error presentado al generar una nueva queja de una solicitud valida</t>
  </si>
  <si>
    <t>Pantallas para seguimiento de mis quejas</t>
  </si>
  <si>
    <t>Se incorpora servicio para seguimiento de mis quejas (listado, detalle e historial)</t>
  </si>
  <si>
    <t>Cambios de url para nuevos servicios de modulousuarios</t>
  </si>
  <si>
    <t>Se inica el cambio de servicios para pantallas del sisai, tambien se verifican peticiones y respuestas de los servicios</t>
  </si>
  <si>
    <t>Mis quejas</t>
  </si>
  <si>
    <t>Cambio de servicios para pantallas de quejas y buscadores nacionales, tambien se verifican peticiones y respuestas de los servicios</t>
  </si>
  <si>
    <t>Cambio de servicios para pantallas de buscador obligaciones</t>
  </si>
  <si>
    <t>Cambio de servicios para pantallas de buscador quejas</t>
  </si>
  <si>
    <t>Cambio de servicios para pantallas de buscador solicitudes</t>
  </si>
  <si>
    <t>Correcciones de app</t>
  </si>
  <si>
    <t>Se ocultan servicios nuevos de usuarios y se reemplazan por sus similares de liferay</t>
  </si>
  <si>
    <t>Correcciones visuales como cambios de colores, conteos de caracteres y presentacion de widgets</t>
  </si>
  <si>
    <t>Se agrega a peticon de solicitud de informacion publica segmento para el medio de notificacion</t>
  </si>
  <si>
    <t>Correcciones visuales como cambios de colores y listado de acuses y SO, correccion al modelo de responder recurrentes</t>
  </si>
  <si>
    <t>Se realiza un cambio al selector multiple de instutuciones, se seleccionan SO de diversos OG</t>
  </si>
  <si>
    <t>Incorporar servicios para descargar adjuntos</t>
  </si>
  <si>
    <t>Se agregan peticiones faltantes para descargar archivos adjuntos</t>
  </si>
  <si>
    <t>Correcciones visuales como cambios de diseño en cards de acuses, se agrega boton para regresar a inicio en acuses, se agregan campos faltantes al servicio de registrar estadisticos y cambios de formato en detalles de resultados de solicitud e historial</t>
  </si>
  <si>
    <t>Se cambia servicio para mostrar en selector de estados cuando se trate de una direccion</t>
  </si>
  <si>
    <t>Cambios en el servicio de registrar y elimiinar token movil, cambios visuales en la app y se realiza research para problema con falsos resultados de busqueda en mis solicitudes</t>
  </si>
  <si>
    <t>Se realizan ajustes para detalle de quejas, como la incorporacion de notificaciones e historial de quejas</t>
  </si>
  <si>
    <t>Buscador mis solicitudes</t>
  </si>
  <si>
    <t>Se realiza research para corregir error con las peticiones internas y actualizar el token en posible expiracion</t>
  </si>
  <si>
    <t>Se integra servicio para descarga de adjuntos de queja</t>
  </si>
  <si>
    <t>Notificaciones de Mis quejas</t>
  </si>
  <si>
    <t>Se integra servicio para adjuntar archivo a la respuesta de "Prevenciosn" en quejas</t>
  </si>
  <si>
    <t>Se integra servicio para responder la notificcacion de mis quejas</t>
  </si>
  <si>
    <t>Cominucacion de Mis quejas</t>
  </si>
  <si>
    <t xml:space="preserve">Se integra servicio para adjuntar archivo a la respuesta de "Comunicacion" RIA en quejas </t>
  </si>
  <si>
    <t>Se integra servicio para responder la Comunicacion RIA de mis quejas</t>
  </si>
  <si>
    <t>Se realizan pruebas para responder RIA</t>
  </si>
  <si>
    <t>Se realizan pruebas para responder notificaciones</t>
  </si>
  <si>
    <t>Se actualizan url para servicios que apunten a liferay para reemplazarlos por nuevos</t>
  </si>
  <si>
    <t>Se incorpora abrir acuse de registro de la queja en navegador externo</t>
  </si>
  <si>
    <t>Se cambia widget para renderizar html en notificacion de quejas</t>
  </si>
  <si>
    <t>Se corrige problema al crear solicitud de datos personales con una cuenta recien creada</t>
  </si>
  <si>
    <t>Se corrige problema al crear solicitud de datos personales al crear una portabilidad de datos</t>
  </si>
  <si>
    <t>SAIMEX</t>
  </si>
  <si>
    <t>Se incorporan servicios de saimex para alta de quejas, repuesta de quejas y adjuntos</t>
  </si>
  <si>
    <t>Atención a observaciones</t>
  </si>
  <si>
    <t>Se realzian ajustes visuales a la app, cambiar orden de botones de menu, cambios de texto y cambio de botones</t>
  </si>
  <si>
    <t>Se realzian ajustes visuales a la app, agregar funcionalidad para retroceder en stepper, agregado texto de ayuda en card de mis quejas</t>
  </si>
  <si>
    <t>Se realzian ajustes visuales a la app y se verifica funcionamiento de estadisticos</t>
  </si>
  <si>
    <t>Se realzian ajustes visuales a la app, se cambian colores en snackbar y elementos de app</t>
  </si>
  <si>
    <t>Se realzian ajustes visuales a la app, se agrega snackbar de validaciones en wizard y se agregan validaciones faltantes a forms</t>
  </si>
  <si>
    <t>Se realzian ajustes visuales a la app, se cambian url de redes sociales</t>
  </si>
  <si>
    <t>Se hace revision de plugins de redes sociales pra el registro y autentificacion</t>
  </si>
  <si>
    <t>http://repositoriosdgis.ifai.org.mx/Pagina%20Web/Actividades%202023/06-%20Junio%202023/actualizacion%20gobierno%20abierto.docx</t>
  </si>
  <si>
    <t>http://repositoriosdgis.ifai.org.mx/Pagina%20Web/Actividades%202023/06-%20Junio%202023/actualizacion%20pleno%20ni%C3%B1os%202023.docx</t>
  </si>
  <si>
    <t>http://repositoriosdgis.ifai.org.mx/Pagina%20Web/Actividades%202023/06-%20Junio%202023/actualizacion%20de%20proyecto%20uno.docx</t>
  </si>
  <si>
    <t xml:space="preserve">Alta usuarios premio PDP </t>
  </si>
  <si>
    <t>http://repositoriosdgis.ifai.org.mx/Pagina%20Web/Actividades%202023/06-%20Junio%202023/actualizacion%20pdp.docx</t>
  </si>
  <si>
    <t>http://repositoriosdgis.ifai.org.mx/Pagina%20Web/Actividades%202023/06-%20Junio%202023/micrositio%20planeacion.docx</t>
  </si>
  <si>
    <t xml:space="preserve">carga publica </t>
  </si>
  <si>
    <t>http://repositoriosdgis.ifai.org.mx/Pagina%20Web/Actividades%202023/06-%20Junio%202023/carga%20publica.docx</t>
  </si>
  <si>
    <t>http://repositoriosdgis.ifai.org.mx/Pagina%20Web/Actividades%202023/06-%20Junio%202023/modificacion%20sitio%20DGPVS.docx</t>
  </si>
  <si>
    <t>http://repositoriosdgis.ifai.org.mx/Pagina%20Web/Actividades%202023/06-%20Junio%202023/Pagina%20web.docx</t>
  </si>
  <si>
    <t>http://repositoriosdgis.ifai.org.mx/Pagina%20Web/Actividades%202023/06-%20Junio%202023/actualizacion%20comite%20de%20etica%202.docx</t>
  </si>
  <si>
    <t>http://repositoriosdgis.ifai.org.mx/Pagina%20Web/Actividades%202023/06-%20Junio%202023/actualizacion%20sitio%20certamen.docx</t>
  </si>
  <si>
    <t>http://repositoriosdgis.ifai.org.mx/Pagina%20Web/Actividades%202023/06-%20Junio%202023/actualizacion%20avance%20de%20proyecto.docx</t>
  </si>
  <si>
    <t>http://repositoriosdgis.ifai.org.mx/Pagina%20Web/Actividades%202023/06-%20Junio%202023/actualizacion%20Eventos.docx</t>
  </si>
  <si>
    <t xml:space="preserve">Carga ECOS ICIC </t>
  </si>
  <si>
    <t>http://repositoriosdgis.ifai.org.mx/Pagina%20Web/Actividades%202023/06-%20Junio%202023/Carga%20ICIC.docx</t>
  </si>
  <si>
    <t>http://repositoriosdgis.ifai.org.mx/Pagina%20Web/Actividades%202023/06-%20Junio%202023/actualizacion%20avance%20de%20proyecto%202.docx</t>
  </si>
  <si>
    <t xml:space="preserve">carga de archivo ICIC </t>
  </si>
  <si>
    <t>http://repositoriosdgis.ifai.org.mx/Pagina%20Web/Actividades%202023/06-%20Junio%202023/Actualizacion%20ICIC.docx</t>
  </si>
  <si>
    <t>http://repositoriosdgis.ifai.org.mx/Pagina%20Web/Actividades%202023/06-%20Junio%202023/actualizacion%20consultas.docx</t>
  </si>
  <si>
    <t>http://repositoriosdgis.ifai.org.mx/Pagina%20Web/Actividades%202023/06-%20Junio%202023/liga%20certamen.docx</t>
  </si>
  <si>
    <t>http://repositoriosdgis.ifai.org.mx/Pagina%20Web/Actividades%202023/06-%20Junio%202023/actualizacion%20micrositio.docx</t>
  </si>
  <si>
    <t xml:space="preserve">Actividades ODOO </t>
  </si>
  <si>
    <t>http://repositoriosdgis.ifai.org.mx/Pagina%20Web/Actividades%202023/06-%20Junio%202023/Actividades%20ODOO.docx</t>
  </si>
  <si>
    <t>http://repositoriosdgis.ifai.org.mx/Pagina%20Web/Actividades%202023/06-%20Junio%202023/Consejo%20consultivo.docx</t>
  </si>
  <si>
    <t>http://repositoriosdgis.ifai.org.mx/Pagina%20Web/Actividades%202023/06-%20Junio%202023/unidad%20de%20transparencia.docx</t>
  </si>
  <si>
    <t>http://repositoriosdgis.ifai.org.mx/Pagina%20Web/Actividades%202023/06-%20Junio%202023/actualizacion%20de%20avance%20de%20proyectos.docx</t>
  </si>
  <si>
    <t>http://repositoriosdgis.ifai.org.mx/Pagina%20Web/Actividades%202023/06-%20Junio%202023/actualizacion%20servicio%20profecional.docx</t>
  </si>
  <si>
    <t xml:space="preserve">apoyo en pagina web </t>
  </si>
  <si>
    <t>http://repositoriosdgis.ifai.org.mx/Pagina%20Web/Actividades%202023/06-%20Junio%202023/gobierno%20abierto.docx</t>
  </si>
  <si>
    <t>http://repositoriosdgis.ifai.org.mx/Pagina%20Web/Actividades%202023/06-%20Junio%202023/Resoluciones.docx</t>
  </si>
  <si>
    <t>http://repositoriosdgis.ifai.org.mx/Pagina%20Web/Actividades%202023/06-%20Junio%202023/Actualizacion%20%20Resoluciones.docx</t>
  </si>
  <si>
    <t>junio</t>
  </si>
  <si>
    <t>Se configura la VPN para conectarme al INAI</t>
  </si>
  <si>
    <t>Se revisa el Diccionario de Datos del SISAI</t>
  </si>
  <si>
    <t>Se revisa el Diccionario de Datos del SISAI con todas las tablas que se manejan</t>
  </si>
  <si>
    <t>Se revisa el Diagrama E-R del SISAI</t>
  </si>
  <si>
    <t>Se revisa el Diagrama Entidad-Relación de las tablas del SISAI, para entender la relación de las tablas del sistema</t>
  </si>
  <si>
    <t>Se instala el software Toad for Oracle</t>
  </si>
  <si>
    <t>Se instala el software Toad for Oracle para poder conectarnos a la base de datos</t>
  </si>
  <si>
    <t>Se configura la conexión para la base de datos de producción</t>
  </si>
  <si>
    <t>Se configura la conexión para la base de datos de producción para el servidor 172.20.36.91 y se valida la conexión</t>
  </si>
  <si>
    <t>Se revisa el archivo 'Querys SISAI'</t>
  </si>
  <si>
    <t>Se revisa el archivo 'Querys SISAI' para conocer las 16 consultas que se podrían mejorar u optimizar</t>
  </si>
  <si>
    <t>Se revisa el archivo 'Relación de querys de la PNT a mejorar'</t>
  </si>
  <si>
    <t>Se revisa el archivo 'Relación de querys de la PNT a mejorar' con la relación de los querys del SISAI que son prioritarios</t>
  </si>
  <si>
    <t>Se solicito el acceso a la base de datos para desarrollo</t>
  </si>
  <si>
    <t>Se solicito el acceso y el usuario para conectarnos a la base de datos para el ambiente de desarrollo, para lectura y escritura</t>
  </si>
  <si>
    <t>Se valida conexión a basa de datos de desarrollo</t>
  </si>
  <si>
    <t>Se valida conexión a basa de datos de desarrollo desde el Toad</t>
  </si>
  <si>
    <t>Se revisa documento 'Querys Ponencia Sisai'</t>
  </si>
  <si>
    <t>Se revisa documento 'Querys Ponencia Sisai' para ir comprobando el tipo de consultas que se pueden ir mejorando y para irse familiarizando con las tablas</t>
  </si>
  <si>
    <t xml:space="preserve">actualización gobierno abierto </t>
  </si>
  <si>
    <t xml:space="preserve">Actualización enlace pleno infantil 2023 </t>
  </si>
  <si>
    <t xml:space="preserve">Actualización de avance de proyectos </t>
  </si>
  <si>
    <t xml:space="preserve">actualización pleno niños </t>
  </si>
  <si>
    <t xml:space="preserve">actualización micrositio planeación </t>
  </si>
  <si>
    <t xml:space="preserve">Revisión de accesos </t>
  </si>
  <si>
    <t>Modificación sitio DGPVS</t>
  </si>
  <si>
    <t xml:space="preserve">actualización pagina web </t>
  </si>
  <si>
    <t>actualización micrositio comité de ética</t>
  </si>
  <si>
    <t>actualización micrositio del CIT23</t>
  </si>
  <si>
    <t xml:space="preserve"> actualización fechas pleno niños </t>
  </si>
  <si>
    <t xml:space="preserve">actualización avance de proyecto </t>
  </si>
  <si>
    <t xml:space="preserve">actualización carga publica </t>
  </si>
  <si>
    <t xml:space="preserve">actualización consultivo </t>
  </si>
  <si>
    <t xml:space="preserve">actualización eventos </t>
  </si>
  <si>
    <t xml:space="preserve">Actualización consultas </t>
  </si>
  <si>
    <t>Actualización micrositio certamen</t>
  </si>
  <si>
    <t xml:space="preserve">Actualización micrositio </t>
  </si>
  <si>
    <t xml:space="preserve">Actualización ICIC </t>
  </si>
  <si>
    <t>Actualización micrositio consejo consultivo.</t>
  </si>
  <si>
    <t xml:space="preserve">Actualización micrositio consultas </t>
  </si>
  <si>
    <t xml:space="preserve">actualización EIPDP </t>
  </si>
  <si>
    <t xml:space="preserve">Actualización sitio consultas </t>
  </si>
  <si>
    <t xml:space="preserve">actualización servicio profesional </t>
  </si>
  <si>
    <t xml:space="preserve">Actualización micrositio certamen </t>
  </si>
  <si>
    <t xml:space="preserve">actualización micrositio gobierno abierto </t>
  </si>
  <si>
    <t xml:space="preserve">Actualización sitio Resoluciones </t>
  </si>
  <si>
    <t>Se instalo el software Forticlient</t>
  </si>
  <si>
    <t>Se instalo el software Forticlient para poder configurar la VPN para conectarme a la red del INAI</t>
  </si>
  <si>
    <t>Se configura la VPN para conectarse a los servidores del INAI, de acuerdo a la información proporcionada el subdirector y se valida la conexión</t>
  </si>
  <si>
    <t>Se accede a carpeta de SharePoint de SISAI</t>
  </si>
  <si>
    <t>Se valida acceso a carpeta de SharePoint que contienen algunos queris del SISAI y se descargan los documentos</t>
  </si>
  <si>
    <t>Implementación servicio consulta roles</t>
  </si>
  <si>
    <t>Implementación carga catálogos por rol</t>
  </si>
  <si>
    <t>Desarrollo agregar, actualizar y eliminar rol</t>
  </si>
  <si>
    <t>Desarrollo pantalla consulta usuarios</t>
  </si>
  <si>
    <t>Implementación validación extensiones instaladas en el navegador</t>
  </si>
  <si>
    <t>Pruebas y mejoras para validar las extensiones instaladas en el navegador</t>
  </si>
  <si>
    <t>Implementación y desarrollo para validar extensiones instaladas y agregar header a las peticiones http</t>
  </si>
  <si>
    <t xml:space="preserve">Investigación ofuscado y minificado de código </t>
  </si>
  <si>
    <t xml:space="preserve">Implementación servicio consulta usuarios </t>
  </si>
  <si>
    <t>Se agrega funcionalidad para cargar catálogos de acuerdo al usuario logeado</t>
  </si>
  <si>
    <t>Implementación modal roles del usuario</t>
  </si>
  <si>
    <t>Se crea pantalla editar usuario</t>
  </si>
  <si>
    <t xml:space="preserve"> Implementación servicio descarga de usuarios</t>
  </si>
  <si>
    <t>Desarrollo función para convertir archivo tipo application/octet-stream a Excel</t>
  </si>
  <si>
    <t>Implementación servicio consultar sujetos obligados</t>
  </si>
  <si>
    <t>Implementación servicio y funcionalidad botones agregar y editar</t>
  </si>
  <si>
    <t>Pruebas redirect home PNT,mejoras servicio inicio sesión de la app</t>
  </si>
  <si>
    <t>Maquetación pantalla registro usuarios internos</t>
  </si>
  <si>
    <t>Maquetación pantalla editar usuarios internos</t>
  </si>
  <si>
    <t>Maquetación pantalla editar contraseña usuarios internos y columnas dinámicas tabla</t>
  </si>
  <si>
    <t>Implementación servicio consulta usuarios internos</t>
  </si>
  <si>
    <t>Implementación servicio master módulo usuarios</t>
  </si>
  <si>
    <t>Implementación validaciones formulario</t>
  </si>
  <si>
    <t>Implementación servicio registro usuario y actualizar contraseña</t>
  </si>
  <si>
    <t>Implementación lógica catálogos de acuerdo al rol seleccionado</t>
  </si>
  <si>
    <t>Implementación lógica catálogos de acuerdo al rol seleccionado y pruebas flujos desarrollados</t>
  </si>
  <si>
    <t>Validaciones catálogos registro usuario</t>
  </si>
  <si>
    <t>Validación flujos registro y consulta usuario, versionado en SVN</t>
  </si>
  <si>
    <t>Desarrollo pantalla Agregar Sujeto Obligado</t>
  </si>
  <si>
    <t>Desarrollo pantalla Editar Sujeto Obligado</t>
  </si>
  <si>
    <t>Implementación servicios agregar y editar sujeto obligado</t>
  </si>
  <si>
    <t>Implementación tabla para el listado de sujetos obligados</t>
  </si>
  <si>
    <t>Implementación servicio listar sujetos obligados y limpiar formularios</t>
  </si>
  <si>
    <t>Implementación botón eliminar múltiples sujetos obligados</t>
  </si>
  <si>
    <t>Pruebas y validación (maxlength,minlength,email,pattern teléfono,campos requeridos, implementación alertas, modales de confirmación y acción correcta o fallida en pantallas)</t>
  </si>
  <si>
    <t>Reingeniería liferay</t>
  </si>
  <si>
    <t>Análisis de componentes de Cubernetes</t>
  </si>
  <si>
    <t>Analisis de los diferetes componentes del cluster</t>
  </si>
  <si>
    <t>Configuración VPN al INAI</t>
  </si>
  <si>
    <t>Se configura la VPN para conectarse a los servidores del INAI, de acuardo a la información proporcionada el subdirector, se valida la conexión con cada uno</t>
  </si>
  <si>
    <t>Se reviso acceso a los diferentes servidores</t>
  </si>
  <si>
    <t>Se reviso que se tenga acceso y salida de internet de los diferentes servidores</t>
  </si>
  <si>
    <t>Actualizacion de SO</t>
  </si>
  <si>
    <t>Ya con los accesos, se actualizo el SO, ultimo nivel de actualizaciones</t>
  </si>
  <si>
    <t>Instalacion de software de pre requisitos</t>
  </si>
  <si>
    <t>Se instaló algunas herraientas a utilizar</t>
  </si>
  <si>
    <t>Configuracion de pre-requisitos</t>
  </si>
  <si>
    <t>Se quito swap y otras configuraciones necesarias</t>
  </si>
  <si>
    <t>Configuracion de operator node</t>
  </si>
  <si>
    <t>Se dejo a puesto el operator node, es donde todo se va configurar</t>
  </si>
  <si>
    <t>Configuracion de usuario</t>
  </si>
  <si>
    <t>Se agrego el usuario de Oracle en los 7 servidores</t>
  </si>
  <si>
    <t>Se configuro el SSH passworless login</t>
  </si>
  <si>
    <t>passwordless login del operator node a todos los demas servidores</t>
  </si>
  <si>
    <t>Se trabaja en el servicio interno de consulta de detalle de queja por idMedioImpugnacion</t>
  </si>
  <si>
    <t>Se trabaja en el servicio interno de obtener notificaciones por idMedio impugnacion</t>
  </si>
  <si>
    <t>Se trabaja en el servicio interno de acutalizacion de estatus de notificacion</t>
  </si>
  <si>
    <t>Se trabaja en el servicio interno de respuesta de solicitud RIA</t>
  </si>
  <si>
    <t>Se trabaja en el servicio interno de consulta de historico</t>
  </si>
  <si>
    <t>Se trabaja en el servicio interno de notificacion recurrente</t>
  </si>
  <si>
    <t>Pruebas Servicios Internos</t>
  </si>
  <si>
    <t>Se realizan pruebas y correcciones para los serivicios internos de guardado de queja</t>
  </si>
  <si>
    <t>Se realizan pruebas y correcciones para los serivicios internos guardado de queja y consultar mis quejas</t>
  </si>
  <si>
    <t>Servicios Externos</t>
  </si>
  <si>
    <t>Se realizan los servicios externos para listar quejas y obtener el detalle de la queja.</t>
  </si>
  <si>
    <t>Servicios Externos / Pruebas Servicios Internos</t>
  </si>
  <si>
    <t>Se realiza servicio externo para la consulta de detalle medio impugnacion y listado de notificaciones</t>
  </si>
  <si>
    <t>Se realiza servicio externo para actualizar estatus y response notificacion recurrent. Se realizan prueba sy correcciones a servicios internos</t>
  </si>
  <si>
    <t>Se realiza servicio externo de consulta de historico. Se realizan pruebas y correcciones al serivicio interno consuta Historico</t>
  </si>
  <si>
    <t xml:space="preserve">Pruebas y Correcciones de Servicios Internos </t>
  </si>
  <si>
    <t>Se realiza prueba y correcciones al servicio solitudRia</t>
  </si>
  <si>
    <t>Se realiza prueba y correcciones al servicio getNotificacionRecurrent</t>
  </si>
  <si>
    <t>Se realiza prueba y correcciones al servicio de consulta de documentos</t>
  </si>
  <si>
    <t>Conexión de servicio para guardado de queja</t>
  </si>
  <si>
    <t>Se realiza conexión de servicio del guardado de queja</t>
  </si>
  <si>
    <t>Pruebas de servicios internos</t>
  </si>
  <si>
    <t>Pruebas de servicios internos notifiacion recurrente o obtener documento</t>
  </si>
  <si>
    <t>Victor Humberto Rivera Lauyola</t>
  </si>
  <si>
    <t>Carlos Uriel Ortiz Cornejo</t>
  </si>
  <si>
    <t>Desarrollo pantalla Unidades Administrativas</t>
  </si>
  <si>
    <t>Desarrollo pantalla Agregar Unidades administrativas</t>
  </si>
  <si>
    <t>Desarrollo pantalla Editar Unidades administrativas</t>
  </si>
  <si>
    <t>Validación para ocultar o mostrar la pantalla de unidades administrativas de acuerdo al rol de usuario</t>
  </si>
  <si>
    <t>Desarrollo pantalla sub enlaces dashboard</t>
  </si>
  <si>
    <t>Desarrollo pantalla agregar sub enlaces</t>
  </si>
  <si>
    <t>Desarrollo pantalla editar sub enlaces</t>
  </si>
  <si>
    <t>Implementación servicios agregar, editar  sub enlaces y mapeo respuestas</t>
  </si>
  <si>
    <t>Implementación tabla para el listado de sub enlaces</t>
  </si>
  <si>
    <t>Validación para ocultar o mostrar la tabla  de sub enlaces</t>
  </si>
  <si>
    <t>julio</t>
  </si>
  <si>
    <t>Desarrollo e implementación servicios Back</t>
  </si>
  <si>
    <t>Desarrollar pantalla para actualizar datos de usuarios externos</t>
  </si>
  <si>
    <t xml:space="preserve">Servicio para reactivar cuentas de usuarios </t>
  </si>
  <si>
    <t>Desarrollar pantalla de aviso de reactivación de cuenta</t>
  </si>
  <si>
    <t>Microservicios para envíar correo por la modificación de password.</t>
  </si>
  <si>
    <t>Microservicios para “Olvide mi contraseña”</t>
  </si>
  <si>
    <t>Microservicios para desactivar cuenta</t>
  </si>
  <si>
    <t>Modulo de Usuarios</t>
  </si>
  <si>
    <t>https://172.20.32.20/svn/PNT_V3/trunk/Back-end/Modulo-usuarios-pnt3-api-rest</t>
  </si>
  <si>
    <t>Implementación servicio eliminar múltiples unidades administrativas</t>
  </si>
  <si>
    <t>Desarrollo e implementación servicios agregar y editar  unidades administrativas,mapeo respuestas</t>
  </si>
  <si>
    <t>Desarrollo de tabla para el listado de sujetos obligados</t>
  </si>
  <si>
    <t>Implementación botón eliminar múltiples sub enlaces</t>
  </si>
  <si>
    <t>Desarrollo servicio listar sub enlaces  y funcionalidad limpiar formulario</t>
  </si>
  <si>
    <t xml:space="preserve">Busqueda expediente Resoluciones </t>
  </si>
  <si>
    <t>http://repositoriosdgis.ifai.org.mx/Pagina%20Web/Actividades%202023/07-Julio-2023/Expediente%20Resoluciones.docx</t>
  </si>
  <si>
    <t xml:space="preserve">Actualizacion Requerimiento de aplicaciones web </t>
  </si>
  <si>
    <t>http://repositoriosdgis.ifai.org.mx/Pagina%20Web/Actividades%202023/07-Julio-2023/Requerimientos%20de%20aplicaciones%20web.docx</t>
  </si>
  <si>
    <t xml:space="preserve">Actualizacion pagina INAI </t>
  </si>
  <si>
    <t>http://repositoriosdgis.ifai.org.mx/Pagina%20Web/Actividades%202023/07-Julio-2023/actualizacion%20pagina%20inai.docx</t>
  </si>
  <si>
    <t>actualizacion de inventario de micrositios</t>
  </si>
  <si>
    <t>http://repositoriosdgis.ifai.org.mx/Pagina%20Web/Actividades%202023/07-Julio-2023/actualizacion%20de%20inventario%20de%20micrositios.docx</t>
  </si>
  <si>
    <t>Actualizacion de micrositio MIPYMES</t>
  </si>
  <si>
    <t>http://repositoriosdgis.ifai.org.mx/Pagina%20Web/Actividades%202023/07-Julio-2023/Actualizacion%20micrositio%20MIPYME.docx</t>
  </si>
  <si>
    <t>http://repositoriosdgis.ifai.org.mx/Pagina%20Web/Actividades%202023/07-Julio-2023/actualizacion%20de%20avance%20de%20proyecto.docx</t>
  </si>
  <si>
    <t xml:space="preserve">Carga de responsables de Resoluciones </t>
  </si>
  <si>
    <t>http://repositoriosdgis.ifai.org.mx/Pagina%20Web/Actividades%202023/07-Julio-2023/carga%20de%20responsable%20de%20Resoluciones.docx</t>
  </si>
  <si>
    <t>Busqueda de ID Resoluciones</t>
  </si>
  <si>
    <t>http://repositoriosdgis.ifai.org.mx/Pagina%20Web/Actividades%202023/07-Julio-2023/Busqueda%20de%20ID%20de%20Resoluciones.docx</t>
  </si>
  <si>
    <t>Actualizacion de fechas de micrositios</t>
  </si>
  <si>
    <t>http://repositoriosdgis.ifai.org.mx/Pagina%20Web/Actividades%202023/07-Julio-2023/actualizacion%20de%20fecha%20de%20micrositio.docx</t>
  </si>
  <si>
    <t xml:space="preserve">Actualizacion busqueda de Resoluciones </t>
  </si>
  <si>
    <t>http://repositoriosdgis.ifai.org.mx/Pagina%20Web/Actividades%202023/07-Julio-2023/Actualizacion%20busqueda%20de%20Resoluciones.docx</t>
  </si>
  <si>
    <t>Apoyo a formulario de Registros</t>
  </si>
  <si>
    <t>http://repositoriosdgis.ifai.org.mx/Pagina%20Web/Actividades%202023/07-Julio-2023/Apoyo%20en%20formulario%20de%20registros.docx</t>
  </si>
  <si>
    <t>http://repositoriosdgis.ifai.org.mx/Pagina%20Web/Actividades%202023/07-Julio-2023/Actualizacion%20de%20avance%20de%20proyecto%202.docx</t>
  </si>
  <si>
    <t>Actualizacion de micrositio MIPyMES</t>
  </si>
  <si>
    <t>http://repositoriosdgis.ifai.org.mx/Pagina%20Web/Actividades%202023/07-Julio-2023/Monitoreo%20PNT%20%2017072023.docx</t>
  </si>
  <si>
    <t>http://repositoriosdgis.ifai.org.mx/Pagina%20Web/Actividades%202023/07-Julio-2023/Monitoreo%20PNT%20%2018072023.docx</t>
  </si>
  <si>
    <t>http://repositoriosdgis.ifai.org.mx/Pagina%20Web/Actividades%202023/07-Julio-2023/Reporte%20monitoreo%20PNT%2020230719.docx</t>
  </si>
  <si>
    <t>http://repositoriosdgis.ifai.org.mx/Pagina%20Web/Actividades%202023/07-Julio-2023/Monitoreo%20PNT%20%2020230720.docx</t>
  </si>
  <si>
    <t>http://repositoriosdgis.ifai.org.mx/Pagina%20Web/Actividades%202023/07-Julio-2023/Monitoreo%20PNT%20%2021072023.docx</t>
  </si>
  <si>
    <t>http://repositoriosdgis.ifai.org.mx/Pagina%20Web/Actividades%202023/07-Julio-2023/Monitoreo%20PNT%20%2024072023.docx</t>
  </si>
  <si>
    <t>http://repositoriosdgis.ifai.org.mx/Pagina%20Web/Actividades%202023/07-Julio-2023/Monitoreo%20PNT.docx</t>
  </si>
  <si>
    <t>http://repositoriosdgis.ifai.org.mx/Pagina%20Web/Actividades%202023/07-Julio-2023/Monitoreo%20PNT%2027072023.docx</t>
  </si>
  <si>
    <t>Agregar usuario de Oracle a Sudo</t>
  </si>
  <si>
    <t>Se agregó el usuario Oracle para que pueda tener acceso root y sea el unico que se pueda logear en el sistema operativo</t>
  </si>
  <si>
    <t>Eliminar root para acceso por ssh</t>
  </si>
  <si>
    <t>Se quitó el usuario root para que pueda loquearse por ssh, por temas de seguridad</t>
  </si>
  <si>
    <t>Instalar  repositorio OLCNE</t>
  </si>
  <si>
    <t>Se habilitó el repositorio de OLCNE 1.6 y se deshabilitó las versiones anteriores</t>
  </si>
  <si>
    <t>Configurar Chrony</t>
  </si>
  <si>
    <t>Se configuró Chrony  para temas de NTP</t>
  </si>
  <si>
    <t>Deshabilitar firewall</t>
  </si>
  <si>
    <t>Se deshabilitó  calico de pod networking para su uso</t>
  </si>
  <si>
    <t>Habilitar modulos de kernel que necesita k8s</t>
  </si>
  <si>
    <t>Se habiltó bridge y netfilter como parte del prerquisito</t>
  </si>
  <si>
    <t>Configurar worker nodes</t>
  </si>
  <si>
    <t>Se configuró Worker nodes ya que lleva una configuracion diferentes al ser los que  corren los conetenedores</t>
  </si>
  <si>
    <t>Instalar olcne-agent y olcne-utils</t>
  </si>
  <si>
    <t>Se instaló olcne-agent y olcne-utils en cada nodo del cluster, desde el operator node cuando se manda a habilitar o configurar algun modulo de kubernetes, utiliza el agente de cada nodo para hacer la instalacion en los nodos necesarios.</t>
  </si>
  <si>
    <t>Instalar y configurar  HAProxy</t>
  </si>
  <si>
    <t>Se instaló y se configuró HAProxy, los control plane se registran como backend y como frontend los worker node que se van a estar conectando por puerto 6443, tambien se habilito las estadisticas en el puerto 9000</t>
  </si>
  <si>
    <t>Crear X.509 Certificates para nodos de Kubernetes</t>
  </si>
  <si>
    <t>Se crearon certificados necesarios para la correcta comunicación entre control plane y worker nodes</t>
  </si>
  <si>
    <t>Configurar  de X.509 Certificates para el servicio de  externalIPs Kubernetes</t>
  </si>
  <si>
    <t>Se configuraron certificados para poder utilizar la IP externa para los diferentes contenedores</t>
  </si>
  <si>
    <t>Crear ambiente usando los  Certificates</t>
  </si>
  <si>
    <t>Se creó el cluster usando los certificadores creados en el punto anterior</t>
  </si>
  <si>
    <t>Crear cluster de kubernetes</t>
  </si>
  <si>
    <t>Creacion del modulo de k8s</t>
  </si>
  <si>
    <t>Configurar Kubernetes Pod Network</t>
  </si>
  <si>
    <t>Creacion del modulo de calico</t>
  </si>
  <si>
    <t>Verificar  funcionamiento de kubernetes</t>
  </si>
  <si>
    <t>Sesión para Revisar Sistema SISAI con subdirector</t>
  </si>
  <si>
    <t>Sesión para Revisar Sistema SISAI con subdirector, para conocer el detalle del sistema y como se componen las diversas plataformas</t>
  </si>
  <si>
    <t>https://ifai-my.sharepoint.com/:w:/r/personal/samuel_partida_inai_org_mx/_layouts/15/Doc.aspx?sourcedoc=%7B02FEEE52-24CD-4F94-BBE7-27EFD149FE59%7D&amp;file=Querys%20Ponencia_MejoraNReyes.docx&amp;action=default&amp;mobileredirect=true</t>
  </si>
  <si>
    <t>Sesión para revisar detalle de tablas que componen al SISAI</t>
  </si>
  <si>
    <t>Sesión para Profundizar en las tablas del SISAI con director y explicación a detalle de cada objeto</t>
  </si>
  <si>
    <t>Analisis de las tablas del SISAN que se revisaron el sesiones</t>
  </si>
  <si>
    <t>Analisis de las tablas para familiarizarce con las necesidades o consultas que se pueden solicitar</t>
  </si>
  <si>
    <t>Se analiza 1er consulta del Archivo Querys Ponencia, se valida en herramienta</t>
  </si>
  <si>
    <t>Se analiza consulta 'Solicitudes por Entidad Federativa - EXCEL' del Archivo Querys Ponencia, se valida en herramienta y propone mejora</t>
  </si>
  <si>
    <t>Se analiza 2da consulta del Archivo Querys Ponencia, se valida en herramienta</t>
  </si>
  <si>
    <t>Se analiza consulta 'Solicitudes por Sujeto Obligado y Entidad Federativa' del Archivo Querys Ponencia, se valida en herramienta y propone mejora</t>
  </si>
  <si>
    <t>Se analiza 3er consulta del Archivo Querys Ponencia, se valida en herramienta</t>
  </si>
  <si>
    <t>Se analiza consulta 'Solicitudes por Entidad Federativa y tipo (acceso - datos personales)' del Archivo Querys Ponencia, se valida en herramienta y propone mejora</t>
  </si>
  <si>
    <t>Se analiza 4ta consulta del Archivo Querys Ponencia, se valida en herramienta</t>
  </si>
  <si>
    <t>Se analiza consulta 'Solicitudes totales por tipo (acceso - datos personales) - EXCEL' del Archivo Querys Ponencia, se valida en herramienta y propone mejora</t>
  </si>
  <si>
    <t>Se analiza 5ta consulta del Archivo Querys Ponencia, se valida en herramienta</t>
  </si>
  <si>
    <t>Se analiza consulta 'Solicitudes totales por tipo y Entidad Federativa (acceso - datos personales)' del Archivo Querys Ponencia, se valida en herramienta y propone mejora</t>
  </si>
  <si>
    <t>Se analiza 6ta consulta del Archivo Querys Ponencia, se valida en herramienta</t>
  </si>
  <si>
    <t>Se analiza consulta 'Solicitudes de datos personales por tipo de derecho' del Archivo Querys Ponencia, se valida en herramienta y propone mejora</t>
  </si>
  <si>
    <t>Se analiza 7ma consulta del Archivo Querys Ponencia, se valida en herramienta</t>
  </si>
  <si>
    <t>Se analiza consulta 'Temática de las solicitudes por Entidad federativa y Sujeto obligado' del Archivo Querys Ponencia, se valida en herramienta y propone mejora</t>
  </si>
  <si>
    <t>Se analiza 8va consulta del Archivo Querys Ponencia, se valida en herramienta</t>
  </si>
  <si>
    <t>Se analiza consulta 'Solicitudes app móvil EXCEL' del Archivo Querys Ponencia, se valida en herramienta y propone mejora</t>
  </si>
  <si>
    <t>Se analiza 9na consulta del Archivo Querys Ponencia, se valida en herramienta</t>
  </si>
  <si>
    <t>Se analiza consulta 'Solicitudes de Portabilidad ' del Archivo Querys Ponencia, se valida en herramienta y propone mejora</t>
  </si>
  <si>
    <t>Se revisan herramienta Toad For Oracle para poder utilizar el 'Auto Optimize SQL'</t>
  </si>
  <si>
    <t>Se revisan configuraciones en herramienta Toad For Oracle para poder utilizar el 'Auto Optimize SQL'</t>
  </si>
  <si>
    <t>Se solicita apoyo del DBA para crear tabla en Desarrollo para validar si el Auto Optimizador SQL funciona</t>
  </si>
  <si>
    <t>Se solicita apoyo del DBA para crear tabla "NREYES"."QUEST_SL_EXPLAIN1" en el ambiente de Desarrollo para validar si el Auto Optimizador SQL funciona</t>
  </si>
  <si>
    <t>Se solicita apoyo del DBA para otorgar permisos de escritura en usuario NREYES</t>
  </si>
  <si>
    <t>Se solicita apoyo del DBA para otorgar permisos de escritura en usuario NREYES  para validar si el Auto Optimizador SQL funciona</t>
  </si>
  <si>
    <t>Se valida y comprueba que funciona la herramienta de Optimizador de SQL para Desarrollo</t>
  </si>
  <si>
    <t>Se valida y comprueba que funciona la herramienta de Auto Optimizador de SQL para el ambiente de Desarrollo</t>
  </si>
  <si>
    <t>Se solicita apoyo del DBA para crear tabla en producción para validar si el Auto Optimizador SQL funciona</t>
  </si>
  <si>
    <t>Se solicita apoyo del DBA para crear tabla "NREYES_RO"."QUEST_SL_EXPLAIN2" en el ambiente de producción para validar si el Auto Optimizador SQL funciona</t>
  </si>
  <si>
    <t>Se solicita apoyo del DBA para otorgar permisos de escritura en usuario NREYES_RO Temporalmente</t>
  </si>
  <si>
    <t>Se solicita apoyo del DBA para otorgar permisos de escritura en usuario NREYES_RO Temporalmente, para validar si el Auto Optimizador SQL funciona</t>
  </si>
  <si>
    <t>Se valida y comprueba que funciona la herramienta de Auto Optimizador de SQL para Producción</t>
  </si>
  <si>
    <t>Se valida y comprueba que funciona la herramienta de Auto Optimizador de SQL para el ambiente de Producción</t>
  </si>
  <si>
    <t>Se afinaron detalles de mejoras de Querys Ponencia</t>
  </si>
  <si>
    <t>Se completaron ultimos detalles de mejoras de Querys Ponencia con apoyo de la herramienta 'Auto Optimice SQL'</t>
  </si>
  <si>
    <t>Se finalizó documento  'Querys Ponencia' con mis mejoras</t>
  </si>
  <si>
    <t>Se completó el documento de Word 'Querys Ponencia' con el query de mi mejora + la mejora propuesta por la herramienta con bajo costo</t>
  </si>
  <si>
    <t>Se solicitaron permisos para cargar archivos a la ruta del sharepoint</t>
  </si>
  <si>
    <t>https://ifai-my.sharepoint.com/:f:/g/personal/samuel_partida_inai_org_mx/EhnHp-X2lStGg5P2QwlBuq8BbjTg9fMK54TAiA0jZ_ZP8w?e=JrfLBh</t>
  </si>
  <si>
    <t>Se agregó archivo 'Querys Ponencia_MejoraNReyes' a ruta</t>
  </si>
  <si>
    <t>Se agregó mi archivo 'Querys Ponencia_MejoraNReyes' con mejoras al sharepoint con los 9 querys y mejoras</t>
  </si>
  <si>
    <t>Sesión con subdirector para revisar pasos siguientes</t>
  </si>
  <si>
    <t>Se tuvó sesión con el subdirector para comentar pasos siguientes sobre nuevas mejoras al SISAI</t>
  </si>
  <si>
    <t>Se revisó la estructura del nuevo paquete del SISAI, de los procedimientos y parametros</t>
  </si>
  <si>
    <t>Se revisó con subdirector la estructura que tendra el paquete del SISAI y como se iran agregando los procedimientos, asi como los parametros</t>
  </si>
  <si>
    <t>Se revisó funcionalidad del 1er query del archivo y valida en la aplicación</t>
  </si>
  <si>
    <t>Se revisó funcionalidad del 1er query del archivo 'Query SISAI' con una navegación en el aplicativo con el subdirector</t>
  </si>
  <si>
    <t>Se analizó el 1er Query de SISAI '1.	Funcionalidad del dashboard de Mis Solicitudes'</t>
  </si>
  <si>
    <t>Se analizó el 1er Query de SISAI '1.Funcionalidad que obtiene el dashboard de Mis Solicitudes del solicitante' y se detectó un tema con el parametro 'idUsuario' ya que debe ser obligatorio</t>
  </si>
  <si>
    <t>https://ifai-my.sharepoint.com/:w:/r/personal/samuel_partida_inai_org_mx/_layouts/15/Doc.aspx?sourcedoc=%7B857C1DE6-C80B-4619-955C-110C6CF83906%7D&amp;file=Querys%20SISAI%20Avances%20Mejoras%20Julio23.docx&amp;action=default&amp;mobileredirect=true</t>
  </si>
  <si>
    <t>Se trabajó para optimizar el 1er Query de SISAI</t>
  </si>
  <si>
    <t>Se trabajó para optimizar el 1er Query de SISAI, de la funcionalidad del dashboard de Mis Solicitudes</t>
  </si>
  <si>
    <t>Se revisó la tabla 'sisai.sisai_tr_solicitud_general' columna 'id_usuario_solicitud'</t>
  </si>
  <si>
    <t>Se revisó a detalle del query1, la tabla 'sisai.sisai_tr_solicitud_general' con la columna 'id_usuario_solicitud' y se propuso creación de INDICE</t>
  </si>
  <si>
    <t>Se intentó crear 1ra versión del paquete con usuario NREYES y marcó error</t>
  </si>
  <si>
    <t>Se intentó crear 1ra versión del paquete y no se tenian los privilegios con mi usuario NREYES en el ambiente de Desarrollo, se le reportó a subdirector</t>
  </si>
  <si>
    <t>Se solicitó apoyo para poder ingresar a mi correo de ND</t>
  </si>
  <si>
    <t>Se solicitó apoyo para poder ingresar a mi correo de ND para solicitar peticiones de la Base de Datos</t>
  </si>
  <si>
    <t>Se solicitó apoyo a base de datos via correo, para privilegios a usuario NREYES en Desarrollo</t>
  </si>
  <si>
    <t>Se envió correo a base de datos para que se otorgen los privilegios de escritura en BD para usuario NREYES en el ambiente de Desarrollo</t>
  </si>
  <si>
    <t>Se revisó archivo 'CC_TIPO-ticket7105__12072023', para solicitar crear paquete en BD</t>
  </si>
  <si>
    <t>Al continuar sin poder crear objetos de BD en Desarrollo, se informó que para crearlo se tendría que solicitar a través del archivo 'CC_TIPO-ticket7105__12072023', se revisó archivo</t>
  </si>
  <si>
    <t>Se revisó correo para verificar nuevo usuario SISAI</t>
  </si>
  <si>
    <t>Se proporcionó el usuario SISAI para finalmente poder crear objetos en Desarrollo</t>
  </si>
  <si>
    <t>Se configuró y validó conexión a través del Toad for Oracle</t>
  </si>
  <si>
    <t>Se configuró y validó la conexión a través del Toad for Oracle con nuevo usuario SISAI</t>
  </si>
  <si>
    <t>Se trabajó con el Header del Nuevo Paquete</t>
  </si>
  <si>
    <t>Se trabajó con el Header del Nuevo Paquete 'SISAI.PACK_SISAI2' y se crea con el usuario SISAI</t>
  </si>
  <si>
    <t>Se trabajó con el Body del Nuevo Paquete</t>
  </si>
  <si>
    <t>Se trabajó con el Body del Nuevo Paquete 'SISAI.PACK_SISAI2' y se crea con el usuario SISAI</t>
  </si>
  <si>
    <t>Se trabajó con el 1er Procedimiento 'FUNC1_DASHBOARDMISSOLICITUDES'</t>
  </si>
  <si>
    <t>Se trabajó con el 1er Procedimiento 'FUNC1_DASHBOARDMISSOLICITUDES' y se implimentó SQL Dinamico para condiciones del parametro 'IdEstatus'</t>
  </si>
  <si>
    <t>Se confirmó el valor de la constante para el parametro 'IdEstatus'</t>
  </si>
  <si>
    <t>Se confirmó con Samuel el valor de la constante para el parametro 'IdEstatus', ya que esto es importante para las condiciones en el 1er procedimiento</t>
  </si>
  <si>
    <t>Se validó resultado del 1er Procedimiento del paquete, con bloque anonimo</t>
  </si>
  <si>
    <t>Se validó resultado del 1er Procedimiento dentro del paquete, con una salida en un bloque anonimo para visualizar resultados</t>
  </si>
  <si>
    <t>Se analizó el 2do Query del SISAI '2. Funcionalidad bandera de folio a recurso de revisión'</t>
  </si>
  <si>
    <t>Se analizó el 2do Query del SISAI '2. Funcionalidad que obtiene la bandera para identificar si un folio es candidato a recurso de revisión.' y este se comenta con subdirección para que lo revisen a profundidad</t>
  </si>
  <si>
    <t>Se modificó el 1er procedimiento 'FUNC1_DASHBOARDMISSOLICITUDES' a SQL dinámico</t>
  </si>
  <si>
    <t>Se modificó el 1er procedimiento 'FUNC1_DASHBOARDMISSOLICITUDES' para convertirlo a SQL dinámico por el tipo de parámetros que se manejan</t>
  </si>
  <si>
    <t>Se realizaron pruebas para  manejar el Query dinámico en el 1er Procedimiento del paquete</t>
  </si>
  <si>
    <t>Se realizaron pruebas de las variantes que representa el manejar el Query dinámico en el 1er Procedimiento del paquete</t>
  </si>
  <si>
    <t>Se comprobó salida del query dinámico con bloque anónimo SYS_REFCURSOR</t>
  </si>
  <si>
    <t>Se comprobó salida del query dinámico con bloque anónimo con variable SYS_REFCURSOR y se detectarón errores</t>
  </si>
  <si>
    <t>Se verificó campo por campo del query dinámico de la Funcionalidad 1</t>
  </si>
  <si>
    <t>Se verificó campo por campo del query dinámico de la Funcionalidad 1, para validar el tipo de dato y longitud exactos</t>
  </si>
  <si>
    <t>Se declararon las variables en bloque anónimo, del query de la Funcionalidad 1</t>
  </si>
  <si>
    <t>Se declararon las variables en bloque anónimo con validación exacta de tamaños de tipos de datos, del query de la Funcionalidad 1</t>
  </si>
  <si>
    <t>Se actualizaron las condiciones del query dinámico para detectar errores y se regresó a la mínima expresión de la consulta</t>
  </si>
  <si>
    <t>Se actualizaron las condiciones del query dinámico para detectar errores y se regresó a la mínima expresión de la consulta, para ir validando cada parámetro</t>
  </si>
  <si>
    <t>Se detectó error del procedimiento en las fechas dinámicas</t>
  </si>
  <si>
    <t>Se detectó error del procedimiento en las fechas dinámicas por un carácter adicional y se corrigió</t>
  </si>
  <si>
    <t>Se validó el paquete-procedimiento de la funcionalidad # 1 y se tuvo un resultado exitoso</t>
  </si>
  <si>
    <t>Se validó el paquete-procedimiento de la funcionalidad # 1 y se tuvo un resultado exitoso con la salida del cursor completo con diversos parámetros</t>
  </si>
  <si>
    <t>Se revisó el 3er query, se ejecutaron diversas consultas y pruebas con distintos parámetros</t>
  </si>
  <si>
    <t>Se revisó el 3er query que 'obtiene el detalle de una solicitud en el dashboard del solicitante', se ejecutaron diversas consultas y pruebas con distintos parámetros</t>
  </si>
  <si>
    <t>Se detectaron dudas en Query de Funcionalidad 3, no se sabe si se tiene que armar un query completo o ir validando paso a paso en los diversos queries</t>
  </si>
  <si>
    <t>Se detectaron inconsistencias en Query de Funcionalidad 3, ya que son varios queries pequeños, no se sabe si se tiene que armar un query completo o ir validando paso a paso en los diversos queries</t>
  </si>
  <si>
    <t>Se actualizó el documento 'Query SISAI' con las dudas sobre el Query 3</t>
  </si>
  <si>
    <t>Se actualizó el documento 'Query SISAI' con las dudas sobre el Query 3 para revisarlas con Subdirector la próxima semana</t>
  </si>
  <si>
    <t>Se revisó el 5to query, se hicieron las primeras ejecuciones con los parámetros</t>
  </si>
  <si>
    <t>Se revisó el 5to query para 'exportar las solicitudes del solicitante', se hicieron las primeras ejecuciones con los parámetros para entender su funcionamiento</t>
  </si>
  <si>
    <t>Se optimizó el 5to query para tener una versión mejorada</t>
  </si>
  <si>
    <t>Se optimizó el 5to query para tener una versión mejorada en tiempo de respuesta y costo</t>
  </si>
  <si>
    <t>Se creó el nuevo procedimiento 'FUNC5_EXPORTARSOLICITUDES' en el paquete 'PACK_SISAI2'</t>
  </si>
  <si>
    <t>Se creó el nuevo procedimiento 'FUNC5_EXPORTARSOLICITUDES' en el paquete 'PACK_SISAI2', con la funcionalidad del 5to Query</t>
  </si>
  <si>
    <t>Se verificó campo por campo del query de la Funcionalidad 5</t>
  </si>
  <si>
    <t>Se verificó campo por campo del query de la Funcionalidad 5, validando el tipo de dato y longitud exactos</t>
  </si>
  <si>
    <t>Se declararon las variables en bloque anónimo, del query de la Funcionalidad 5</t>
  </si>
  <si>
    <t>Se declararon las variables en bloque anónimo con validación exacta de tamaños de tipos de datos, del query de la Funcionalidad 5</t>
  </si>
  <si>
    <t>Se validó el paquete-procedimiento de la funcionalidad # 5 con el bloque anónimo correcto</t>
  </si>
  <si>
    <t>Se validó el paquete-procedimiento de la funcionalidad # 5 con el bloque anónimo correcto y se tuvo un resultado exitoso con la salida del cursor completo con el único parámetro vID_SOLICITUDDEPENDENCIA</t>
  </si>
  <si>
    <t>Se actualizo el documento 'Query SISAI' con los comentarios sobre el Query 5</t>
  </si>
  <si>
    <t>Se actualizó el documento 'Query SISAI' con los comentarios sobre el Query 5, por el parámetro de una lista de valores de los id´s para revisarlas con Subdirector la próxima semana, se tendría que aplicar SQL dinámico para resolverlo</t>
  </si>
  <si>
    <t>Se revisó el 6to query, se hicieron las primeras ejecuciones con los parámetros</t>
  </si>
  <si>
    <t>Se revisó el 6to query para 'obtención del dashboard en la recepción de solicitudes UT', se hicieron las primeras ejecuciones con los parámetros para entender su funcionamiento</t>
  </si>
  <si>
    <t>Se optimizó el 6to query para tener una mejor versión</t>
  </si>
  <si>
    <t>Se optimizó el 6to query para tener una mejor versión con mejor tiempo de respuesta y costo</t>
  </si>
  <si>
    <t>Se creó nuevo procedimiento 'FUNC6_DASHBRDRECEPCIONSOLICIT_UT' en el paquete 'PACK_SISAI2'</t>
  </si>
  <si>
    <t>Se creó nuevo procedimiento 'FUNC6_DASHBRDRECEPCIONSOLICIT_UT' en el paquete 'PACK_SISAI2', con la funcionalidad del 6to Query</t>
  </si>
  <si>
    <t>Se verificó campo por campo del query de la Funcionalidad 6</t>
  </si>
  <si>
    <t>Se verificó campo por campo del query de la Funcionalidad 6, validando el tipo de dato y longitud exactos</t>
  </si>
  <si>
    <t>Se declararon las variables en bloque anónimo, del query de la Funcionalidad 6</t>
  </si>
  <si>
    <t>Se declararon las variables en bloque anónimo con validación exacta de tamaños de tipos de datos, del query de la Funcionalidad 6</t>
  </si>
  <si>
    <t>Se validó el paquete-procedimiento de la funcionalidad # 6 con el bloque anónimo correcto, se tuvo un resultado exitoso con la salida del cursor completo</t>
  </si>
  <si>
    <t>Se validó el paquete-procedimiento de la funcionalidad # 6 con el bloque anónimo correcto y se tuvo un resultado exitoso con la salida del cursor completo con los parámetros detectados (FolioSolicitud, EstatusAsignacion y fecha_oficial_recepcion)</t>
  </si>
  <si>
    <t>Se actualizó el documento 'Query SISAI' con los comentarios sobre el Query 6</t>
  </si>
  <si>
    <t>Se actualizó el documento 'Query SISAI' con los comentarios sobre el Query 6, ya que trae 2 parámetros que no se tiene la certeza si se manejaran o no y si serian obligatorios o no, para revisar lo con Subdirector la próxima semana</t>
  </si>
  <si>
    <t>Se revisó el 7mo query, se hicieron las primeras ejecuciones con los parámetros para entender su funcionamiento</t>
  </si>
  <si>
    <t>Se revisó el 7mo query que 'obtiene el detalle de una solicitud en el dashboard de la UT y GI', se hicieron las primeras ejecuciones con los parámetros para entender su funcionamiento</t>
  </si>
  <si>
    <t>Se detectaron inconsistencias en Query de Funcionalidad 7</t>
  </si>
  <si>
    <t>Se detectaron inconsistencias en Query de Funcionalidad 7, ya que son varios queries pequeños, no se sabe si se tiene que armar un query completo o ir validando paso a paso en los diversos queries</t>
  </si>
  <si>
    <t>Se actualizó el documento 'Query SISAI' con las dudas sobre el Query 7</t>
  </si>
  <si>
    <t>Se actualizó el documento 'Query SISAI' con las dudas sobre el Query 7 para revisarlas con Subdirector esta semana</t>
  </si>
  <si>
    <t>Se revisó el 8vo query que 'permite la exportación de las solicitudes de la UT a formato excel'</t>
  </si>
  <si>
    <t>Se revisó el 8vo query que 'permite la exportación de las solicitudes de la UT a formato excel', se hicieron las primeras ejecuciones con los parámetros para entender su funcionamiento</t>
  </si>
  <si>
    <t>Se detectaron inconsistencias en Query de Funcionalidad 8</t>
  </si>
  <si>
    <t>Se detectaron inconsistencias en Query de Funcionalidad 8, por parametro de Lista que no se sabe cómo se va a ingresar</t>
  </si>
  <si>
    <t>Se actualizó el documento 'Query SISAI' con las dudas sobre el Query 8</t>
  </si>
  <si>
    <t>Se actualizó el documento 'Query SISAI' con las dudas sobre el Query 8 para revisarlas con Subdirector esta semana</t>
  </si>
  <si>
    <t>Se revisó el 9no query que 'obtiene todas las respuestas posibles a aplicar por parte de la UT'</t>
  </si>
  <si>
    <t>Se revisó el 9no query que 'obtiene todas las respuestas posibles a aplicar por parte de la UT', se hicieron las primeras ejecuciones con los parámetros para entender su funcionamiento</t>
  </si>
  <si>
    <t>Se detectaron inconsistencias en Query de Funcionalidad 9</t>
  </si>
  <si>
    <t>Se detectaron inconsistencias en Query de Funcionalidad 9, por único parámetro y al ser un query pequeño</t>
  </si>
  <si>
    <t>Se actualizó el documento 'Query SISAI' con las dudas sobre el Query 9</t>
  </si>
  <si>
    <t>Se actualizó el documento 'Query SISAI' con las dudas sobre el Query 9 para revisarlas con Subdirector esta semana</t>
  </si>
  <si>
    <t>Se revisó el 10mo query que 'obtiene el dashboard en la recepción de solicitudes GI de la UT'</t>
  </si>
  <si>
    <t>Se revisó el 10mo query que 'obtiene el dashboard en la recepción de solicitudes GI de la UT', se hicieron las primeras ejecuciones con los parámetros para entender su funcionamiento</t>
  </si>
  <si>
    <t>Se detectaron inconsistencias en Query de Funcionalidad 10</t>
  </si>
  <si>
    <t>Se detectaron inconsistencias en Query de Funcionalidad 10, por parámetros que no se sabe si son obligatorios y para aclarar parámetros de Estatus Respuesta que manda el aplicativo</t>
  </si>
  <si>
    <t>Se actualizó el documento 'Query SISAI' con las dudas sobre el Query 10</t>
  </si>
  <si>
    <t>Se actualizó el documento 'Query SISAI' con las dudas sobre el Query 10 para revisarlas con Subdirector esta semana</t>
  </si>
  <si>
    <t>Se revisó el 11vo query que 'permite el turnado de un folio a unidades administrativas'</t>
  </si>
  <si>
    <t>Se revisó el 11vo query que 'permite el turnado de un folio a unidades administrativas', se hicieron las primeras ejecuciones con los parámetros para entender su funcionamiento</t>
  </si>
  <si>
    <t>Se detectaron inconsistencias en Query de Funcionalidad 11</t>
  </si>
  <si>
    <t>Se detectaron inconsistencias en Query de Funcionalidad 11, ya que son varios queries pequeños, no se sabe si se tiene que armar un query completo o ir validando paso a paso en los diversos queries</t>
  </si>
  <si>
    <t>Se actualizó el documento 'Query SISAI' con las dudas sobre el Query 11</t>
  </si>
  <si>
    <t>Se actualizó el documento 'Query SISAI' con las dudas sobre el Query 11 para revisarlas con Subdirector esta semana</t>
  </si>
  <si>
    <t>Se revisó el 12vo query que 'obtiene el dashboard con los folios y subfolios pendientes de respuestas de las unidades administrativas'</t>
  </si>
  <si>
    <t>Se revisó el 12vo query que 'obtiene el dashboard con los folios y subfolios pendientes de respuestas de las unidades administrativas', se hicieron las primeras ejecuciones con los parámetros para entender su funcionamiento</t>
  </si>
  <si>
    <t>Se detectaron inconsistencias en Query de Funcionalidad 12</t>
  </si>
  <si>
    <t>Se detectaron inconsistencias en Query de Funcionalidad 12, ya que son varios queries y no se sabe el manejo de algunos parámetros</t>
  </si>
  <si>
    <t>Se actualizó el documento 'Query SISAI' con las dudas sobre el Query 12</t>
  </si>
  <si>
    <t>Se actualizó el documento 'Query SISAI' con las dudas sobre el Query 12 para revisarlas con Subdirector esta semana</t>
  </si>
  <si>
    <t>Se revisó el 13vo query que 'obtiene el seguimiento de un subfolio de la unidad administrativa'</t>
  </si>
  <si>
    <t>Se revisó el 13vo query que 'obtiene el seguimiento de un subfolio de la unidad administrativa', se hicieron las primeras ejecuciones con los parámetros para entender su funcionamiento</t>
  </si>
  <si>
    <t>Se detectaron inconsistencias en Query de Funcionalidad 13</t>
  </si>
  <si>
    <t>Se detectaron inconsistencias en Query de Funcionalidad 13, ya que son algunos queries pequeños con parámetros aparentemente obligatorios</t>
  </si>
  <si>
    <t>Se actualizó el documento 'Query SISAI' con las dudas sobre el Query 13</t>
  </si>
  <si>
    <t>Se actualizó el documento 'Query SISAI' con las dudas sobre el Query 13 para revisarlas con Subdirector esta semana</t>
  </si>
  <si>
    <t>Se revisó el 14vo query que 'obtiene los movimientos de un subfolio turnado a la unidad administrativa'</t>
  </si>
  <si>
    <t>Se revisó el 14vo query que 'obtiene los movimientos de un subfolio turnado a la unidad administrativa', se hicieron las primeras ejecuciones con los parámetros para entender su funcionamiento</t>
  </si>
  <si>
    <t>Se detectaron inconsistencias en Query de Funcionalidad 14</t>
  </si>
  <si>
    <t>Se detectaron inconsistencias en Query de Funcionalidad 14, ya que son algunos queries pequeños con parámetros aparentemente obligatorios</t>
  </si>
  <si>
    <t>Se actualizó el documento 'Query SISAI' con las dudas sobre el Query 14</t>
  </si>
  <si>
    <t>Se actualizó el documento 'Query SISAI' con las dudas sobre el Query 14 para revisarlas con Subdirector esta semana</t>
  </si>
  <si>
    <t>Se revisó el 15vo query que 'obtiene el dashboard de las solicitudes asignadas por la unidad de transparencia'</t>
  </si>
  <si>
    <t>Se revisó el 15vo query que 'obtiene el dashboard de las solicitudes asignadas por la unidad de transparencia', se hicieron las primeras ejecuciones con los parámetros para entender su funcionamiento</t>
  </si>
  <si>
    <t>Se detectaron inconsistencias en Query de Funcionalidad 15</t>
  </si>
  <si>
    <t>Se detectaron inconsistencias en Query de Funcionalidad 15, ya que el query tiene parámetros aparentemente obligatorios y Estatus de Respuesta que se deben poner fijos</t>
  </si>
  <si>
    <t>Se actualizó el documento 'Query SISAI' con las dudas sobre el Query 15</t>
  </si>
  <si>
    <t>Se actualizó el documento 'Query SISAI' con las dudas sobre el Query 15 para revisarlas con Subdirector esta semana</t>
  </si>
  <si>
    <t>Se revisó el 16vo query que 'obtener la integración de respuestas de todos los subfolios por la unidad de transparencia'</t>
  </si>
  <si>
    <t>Se revisó el 16vo query que 'obtener la integración de respuestas de todos los subfolios por la unidad de transparencia', se hicieron las primeras ejecuciones con los parámetros para entender su funcionamiento</t>
  </si>
  <si>
    <t>Se detectaron inconsistencias en Query de Funcionalidad 16</t>
  </si>
  <si>
    <t>Se detectaron inconsistencias en Query de Funcionalidad 16, ya que son algunos queries pequeños con parámetros aparentemente obligatorios</t>
  </si>
  <si>
    <t>Se actualizó el documento 'Query SISAI' con las dudas sobre el Query 16</t>
  </si>
  <si>
    <t>Se actualizó el documento 'Query SISAI' con las dudas sobre el Query 16 para revisarlas con Subdirector esta semana</t>
  </si>
  <si>
    <t xml:space="preserve">Se solicitó sesión con Subdirector </t>
  </si>
  <si>
    <t>Se solicitó sesión con Subdirector para revisar las dudas de las consultas SISAI</t>
  </si>
  <si>
    <t>Se tuvo sesión con Samuel y se aclararon todas las dudas</t>
  </si>
  <si>
    <t>Se tuvo sesión con Samuel y se aclararon todas las dudas de los querys para seguir trabajando y avanzando</t>
  </si>
  <si>
    <t>https://teams.microsoft.com/l/meetup-join/19%3ameeting_ODVhOGVlZjEtNTBiYi00YmZlLWE4YTctNjU1ZWE1MGE3ZDgw%40thread.v2/0?context=%7b%22Tid%22%3a%224e6a317c-9761-4ff0-8de8-4d166927ec3b%22%2c%22Oid%22%3a%2237cb4d22-67dc-4b0b-8a9b-c056152d8661%22%7d</t>
  </si>
  <si>
    <t>Se actualizó paquete de funcionalidad 1</t>
  </si>
  <si>
    <t>Se actualizó paquete de funcionalidad 1 para condición dinámica de 't2.ds_solicitud like'</t>
  </si>
  <si>
    <t>Se validó nuevamente funcionalidad 1 de forma correcta y se muestra en bloque anónimo</t>
  </si>
  <si>
    <t>Se validó nuevamente funcionalidad 1 de forma correcta y se muestra en bloque anónimo el campo 'ds_solicitud' para comprobar que si funcione la condición</t>
  </si>
  <si>
    <t>Se actualizó paquete de funcionalidad 5</t>
  </si>
  <si>
    <t>Se actualizó paquete de funcionalidad 5 para pasarlo a query dinámico y de esa forma manejar el parámetro como lista de los Ids</t>
  </si>
  <si>
    <t>Se validó nuevamente la salida del query de funcionalidad 5 de forma correcta</t>
  </si>
  <si>
    <t>Se validó nuevamente la salida del query de funcionalidad 5 de forma correcta al ingresar un filtro con valores enlistados, separados por comas</t>
  </si>
  <si>
    <t>Se creó el nuevo procedimiento 'FUNC3DETSOLDASH_SOLICDEPEN_Q1' en el paquete 'PACK_SISAI2'</t>
  </si>
  <si>
    <t>Se creó el nuevo procedimiento 'FUNC3DETSOLDASH_SOLICDEPEN_Q1' en el paquete 'PACK_SISAI2', con la 3ra funcionalidad y el 1ro de los queries pequeños que obtiene las solicitudes de dependencia</t>
  </si>
  <si>
    <t>Se validó el paquete-procedimiento de la funcionalidad # 3 - Query 1 con el bloque anónimo correcto</t>
  </si>
  <si>
    <t>Se validó el paquete-procedimiento de la funcionalidad # 3 - Query 1 con el bloque anónimo correcto y se tuvo un resultado exitoso con la salida del cursor completo con el único parámetro</t>
  </si>
  <si>
    <t>Se creó el nuevo procedimiento 'FUNC3DETSOLDASH_ADJUNTXSOLIC_Q2' en el paquete 'PACK_SISAI2'</t>
  </si>
  <si>
    <t>Se creó el nuevo procedimiento 'FUNC3DETSOLDASH_ADJUNTXSOLIC_Q2' en el paquete 'PACK_SISAI2', con la 3ra funcionalidad y el 2do de los queries pequeños que obtiene los adjuntos por solicitud general</t>
  </si>
  <si>
    <t>Se validó el paquete-procedimiento de la funcionalidad # 3 - Query 2 con el bloque anónimo correcto</t>
  </si>
  <si>
    <t>Se validó el paquete-procedimiento de la funcionalidad # 3 - Query 2 con el bloque anónimo correcto y se tuvo un resultado exitoso con la salida del cursor completo con el único parámetro</t>
  </si>
  <si>
    <t>Se creó el nuevo procedimiento 'FUNC3DETSOLDASH_RESPXSOLDEP_Q3' en el paquete 'PACK_SISAI2'</t>
  </si>
  <si>
    <t>Se creó el nuevo procedimiento 'FUNC3DETSOLDASH_RESPXSOLDEP_Q3' en el paquete 'PACK_SISAI2', con la 3ra funcionalidad y el 3ero de los queries pequeños que obtiene las respuestas por solicitud dependencia</t>
  </si>
  <si>
    <t>Se validó el paquete-procedimiento de la funcionalidad # 3 - Query 3 con el bloque anónimo correcto</t>
  </si>
  <si>
    <t>Se validó el paquete-procedimiento de la funcionalidad # 3 - Query 3 con el bloque anónimo correcto y se tuvo un resultado exitoso con la salida del cursor completo con el único parámetro</t>
  </si>
  <si>
    <t>Se creó el nuevo procedimiento 'FUNC3DETSOLDASH_ADJXIDRESP_Q4' en el paquete 'PACK_SISAI2'</t>
  </si>
  <si>
    <t>Se creó el nuevo procedimiento 'FUNC3DETSOLDASH_ADJXIDRESP_Q4' en el paquete 'PACK_SISAI2', con la 3ra funcionalidad y el 4to de los queries pequeños que obtiene los adjuntos por id respuesta</t>
  </si>
  <si>
    <t>Se validó el paquete-procedimiento de la funcionalidad # 3 - Query 4 con el bloque anónimo correcto</t>
  </si>
  <si>
    <t>Se validó el paquete-procedimiento de la funcionalidad # 3 - Query 4 con el bloque anónimo correcto y se tuvo un resultado exitoso con la salida del cursor completo con el único parámetro</t>
  </si>
  <si>
    <t>Se creó el nuevo procedimiento 'FUNC3DETSOLDASH_COMPETXRESP_Q6' en el paquete 'PACK_SISAI2'</t>
  </si>
  <si>
    <t>Se creó el nuevo procedimiento 'FUNC3DETSOLDASH_COMPETXRESP_Q6' en el paquete 'PACK_SISAI2', con la 3ra funcionalidad y el 6to de los queries pequeños que obtiene la competencia por respuesta</t>
  </si>
  <si>
    <t>Se validó el paquete-procedimiento de la funcionalidad # 3 - Query 6 con el bloque anónimo correcto</t>
  </si>
  <si>
    <t>Se validó el paquete-procedimiento de la funcionalidad # 3 - Query 6 con el bloque anónimo correcto y se tuvo un resultado exitoso con la salida del cursor completo con el único parámetro</t>
  </si>
  <si>
    <t>Se actualizó paquete de funcionalidad 6</t>
  </si>
  <si>
    <t>Se actualizó paquete de funcionalidad 6 con las ultimas indicaciones de que parámetros van obligatorios u opcionales</t>
  </si>
  <si>
    <t>Se validó nuevamente la salida del query de funcionalidad 6</t>
  </si>
  <si>
    <t>Se validó nuevamente la salida del query de funcionalidad 6 de forma correcta al ingresar los filtros</t>
  </si>
  <si>
    <t xml:space="preserve">Se solicitó apoyo por medio de un correo, para BD de Desarrollo </t>
  </si>
  <si>
    <t>Se creó el nuevo procedimiento 'FUNC3DETSOLDASH_NOTIFDISPONIBXRESP_QF3Q5' en el paquete 'PACK_SISAI2'</t>
  </si>
  <si>
    <t>Se creó el nuevo procedimiento 'FUNC3DETSOLDASH_NOTIFDISPONIBXRESP_QF3Q5' en el paquete 'PACK_SISAI2', con la 3ra funcionalidad y el 5to de los queries pequeños que obtiene la notificación disponibilidad por respuesta</t>
  </si>
  <si>
    <t xml:space="preserve">Se revisó campo por campo de la tabla 'SISAI_TR_NOTIF_DISPONIB' </t>
  </si>
  <si>
    <t>Se revisó campo por campo de la tabla 'SISAI_TR_NOTIF_DISPONIB' para identificar los tipos de datos y tamaño para validación en bloque anonimo</t>
  </si>
  <si>
    <t>Se validó el paquete-procedimiento de la funcionalidad # 3 - Query 5 con el bloque anónimo correcto</t>
  </si>
  <si>
    <t>Se validó el paquete-procedimiento de la funcionalidad # 3 - Query 5 con el bloque anónimo correcto y se tuvo un resultado exitoso con la salida del cursor completo con el único parámetro</t>
  </si>
  <si>
    <t>Se optimiza en herramienta el Query de la funcionlidad 3 con todos sus subqueries</t>
  </si>
  <si>
    <t>Se optimiza en la herramienta Auto Optimice de Toad el Query de la funcionlidad 3 con todos los subqueries del 1 al 6</t>
  </si>
  <si>
    <t>Se optimiza en la herramienta el Query de la funcionlidad 5</t>
  </si>
  <si>
    <t>Se optimiza en la herramienta Auto Optimice de Toad el Query de la funcionlidad 5</t>
  </si>
  <si>
    <t>Se optimiza en la herramienta el Query de la funcionlidad 6</t>
  </si>
  <si>
    <t>Se optimiza en la herramienta Auto Optimice de Toad el Query de la funcionlidad 6</t>
  </si>
  <si>
    <t>Aplicativos / Proyectos</t>
  </si>
  <si>
    <t>Ejercido hasta el 31/07/2023</t>
  </si>
  <si>
    <t>Listado de Proyectos / Aplicativos que han requerido recurso del Servicio de Tercerización 2023</t>
  </si>
  <si>
    <r>
      <rPr>
        <b/>
        <sz val="11"/>
        <color rgb="FF000000"/>
        <rFont val="Calibri"/>
        <family val="2"/>
      </rPr>
      <t xml:space="preserve">Corte: </t>
    </r>
    <r>
      <rPr>
        <sz val="11"/>
        <color rgb="FF000000"/>
        <rFont val="Calibri"/>
        <family val="2"/>
      </rPr>
      <t xml:space="preserve">   31/07/2023</t>
    </r>
  </si>
  <si>
    <t>Programado restante al 31/12/2023</t>
  </si>
  <si>
    <t>Presupuesto original Sistemas</t>
  </si>
  <si>
    <t>Status Presupuesto Servicio Tercerización Sistemas, partida 3301 
Ejercicio 2023</t>
  </si>
  <si>
    <t>Ejercido a julio</t>
  </si>
  <si>
    <t>Planeado ago-dic</t>
  </si>
  <si>
    <t>Traspaso DST a Sistemas</t>
  </si>
  <si>
    <t>Total Sistemas</t>
  </si>
  <si>
    <t>Desarrollo pantalla detalle queja dividida en secciones (Maquetación)</t>
  </si>
  <si>
    <t>Desarrollo sección datos y detalle de la queja (Maquetación)</t>
  </si>
  <si>
    <t>Desarrollo sección respuestas de la queja (Maquetación)</t>
  </si>
  <si>
    <t>Desarrollo sección lote de sujetos obligados para la creación de más de 33 solicitudes</t>
  </si>
  <si>
    <t>Desarrollo componente tabs y componente picklist (Maquetación)</t>
  </si>
  <si>
    <t>Refactorización código existente del formulario acceso a la información</t>
  </si>
  <si>
    <t>Desarrollo componente modal ayuda (como hacer un lote de solicitudes)</t>
  </si>
  <si>
    <t>Desarrollo sección notificaciones de la queja (Maquetación)</t>
  </si>
  <si>
    <t>Se hace mejoras componente picklist formulario acceso a la información</t>
  </si>
  <si>
    <t>Desarrollo tabla cargas masivas de solicitudes</t>
  </si>
  <si>
    <t>Reestructuración de botón login y sidebar</t>
  </si>
  <si>
    <t>Se reestructura barra búsqueda</t>
  </si>
  <si>
    <t>Se agrega icono cargas masivas a dashboard solicitante</t>
  </si>
  <si>
    <t>Implementación componente lista sujetos obligados formulario acceso a la información</t>
  </si>
  <si>
    <t>Mapeo interfaces e implementación servicios carga masiva</t>
  </si>
  <si>
    <t>Ajustes css componente sidebar y main container</t>
  </si>
  <si>
    <t>Ajustes estilos y posición a componente sidebar</t>
  </si>
  <si>
    <t>Implementación iconos en header y mejoras al icono de la hamburguesa</t>
  </si>
  <si>
    <t>Mejoras y reestructuración componente header</t>
  </si>
  <si>
    <t>Se ajustan estilos al main container y al componente header asi como a la imagen de fondo del header</t>
  </si>
  <si>
    <t>Creación módulos avisos, estadísticas y Maquetación pantallas avisos</t>
  </si>
  <si>
    <t>Maquetación pantallas estadísticas</t>
  </si>
  <si>
    <t>Desarrollo componente mapa interactivo de los estados del país, se crea pantalla con graficas estadísticas por órgano</t>
  </si>
  <si>
    <t xml:space="preserve">Implementación y pruebas de graficas apexhcart, integración servicio mis cargas masivas </t>
  </si>
  <si>
    <t>Mejoras header pnt frontend Angular</t>
  </si>
  <si>
    <t>Mejoras iconos header  y se agregan imágenes pnt y transparencia al header</t>
  </si>
  <si>
    <t>Implementación servicios pantalla consulta mis cargas masivas</t>
  </si>
  <si>
    <t>Implementación servicios pantalla detalle carga masiva</t>
  </si>
  <si>
    <t>Rediseño detalle de solicitud en el expando row</t>
  </si>
  <si>
    <t>Se agrega logica para la descarga de adjuntos en el detalle de la solicitud ya que al cambiar el rediseño la logica cambio</t>
  </si>
  <si>
    <t>Implementación pantalla seguimiento y consumo servicios descarga archivos</t>
  </si>
  <si>
    <t>agosto</t>
  </si>
  <si>
    <t xml:space="preserve">   Desarrollar funcionalidad para editar Sector.</t>
  </si>
  <si>
    <t xml:space="preserve">   Desarrollar grid de Sectores.</t>
  </si>
  <si>
    <t xml:space="preserve">   Desarrollar funcionalidad para eliminación de Sectores</t>
  </si>
  <si>
    <t xml:space="preserve">   Desarrollar pantalla para agregar clasificación.</t>
  </si>
  <si>
    <t xml:space="preserve">   Desarrollar pantalla modal con funcionalidad de edición de Clasificaciones para agregar y editar SubClasificaciones</t>
  </si>
  <si>
    <t xml:space="preserve">   Desarrollar grid de Clasificaciones</t>
  </si>
  <si>
    <t xml:space="preserve">   Desarrollar funcionalidad para eliminación de Clasificaciones</t>
  </si>
  <si>
    <t>Desarrollar servicios rest para datos abiertos de solicitudes y quejas</t>
  </si>
  <si>
    <t>Desarrollar servicios rest para datos abiertos de obligaciones de transparencia</t>
  </si>
  <si>
    <t>servicio para recuperación de usuarios, en base a texto (busqueda)</t>
  </si>
  <si>
    <t>servicio para alta de usuarios</t>
  </si>
  <si>
    <t>servicio para edición de usuarios</t>
  </si>
  <si>
    <t>servicio para cambio de contraseña</t>
  </si>
  <si>
    <t>servicio para activar/desactivar usuario</t>
  </si>
  <si>
    <t>Analisis de actualizacion de OLCNE a 1.7</t>
  </si>
  <si>
    <t>Se analizo la actualizacion de OLCNE a 1.7, pero el repositorio no estaba disponible</t>
  </si>
  <si>
    <t>Sesion con desarrolladores</t>
  </si>
  <si>
    <t>Se tuvo una sesion con los desarrolladores para enseñar lo que se hizo</t>
  </si>
  <si>
    <t>Preparacion de "demo"</t>
  </si>
  <si>
    <t>Durante la sesion se pidio que se haga un demo de como seria ya usando el K8s, junto con lo que ya tienen</t>
  </si>
  <si>
    <t>Generacion de documentacion</t>
  </si>
  <si>
    <t>Documentacion de faltante junto con el caso de uso</t>
  </si>
  <si>
    <t>Analisis de instalacion de nuevos ambientes (PNT)</t>
  </si>
  <si>
    <t>Se esta analizando la instalacion/configuracion de otros ambientes mas grandes</t>
  </si>
  <si>
    <t>Analisis de uso de herramienta para publicacion de servicio en k8s</t>
  </si>
  <si>
    <t>Se analizo la mejor herramienta para exponer los servicios de k8s (NodePort, Custom Image)</t>
  </si>
  <si>
    <t>Actualizacion de Jenkins</t>
  </si>
  <si>
    <t>Se actualizo Jenkins, es un herramienta que constantemente tiene actualizaciones</t>
  </si>
  <si>
    <t>Instalacion de plugins(modulos) Jenkins</t>
  </si>
  <si>
    <t>Para poder usar ciertos pipelines es necesario instalar el modulo correspondiente</t>
  </si>
  <si>
    <t>Configuracion de pipeline y prereq</t>
  </si>
  <si>
    <t>Configuracion de pipline y prerequisitos de SO y otro plugins</t>
  </si>
  <si>
    <t>Se revisó el Query 1 de la Funcionalidad 7,  se encontro reutilización</t>
  </si>
  <si>
    <t>Se revisó el Query 1 de la Funcionalidad 7, para obtener la solicitud dependencia y se encontro reutilización ('FUNC3DETSOLDASH_SOLICDEPEN_QF3Q1')</t>
  </si>
  <si>
    <t>Se actualizó documento Querys SISAI con el detalle del Query 1 - Funcionalidad 7</t>
  </si>
  <si>
    <t>Se actualizó documento Querys SISAI con el detalle encontrado en el Query 1 - Funcionalidad 7</t>
  </si>
  <si>
    <t>Se revisó el Query 2 de la Funcionalidad 7, se encontro reutilización</t>
  </si>
  <si>
    <t>Se revisó el Query 2 de la Funcionalidad 7, para obtener adjuntos por solicitud general  y se encontro reutilización ('FUNC3DETSOLDASH_ADJUNTXSOLIC_QF3Q2')</t>
  </si>
  <si>
    <t>Se actualizó documento Querys SISAI con el detalle del Query 2 - Funcionalidad 7</t>
  </si>
  <si>
    <t>Se actualizó documento Querys SISAI con el detalle encontrado en el Query 2 - Funcionalidad 7</t>
  </si>
  <si>
    <t>Se creó el nuevo procedimiento 'FUNC7DETSOLDASHUTGI_ADJUNTOXIDSOLINT_QF7Q3' en el paquete 'PACK_SISAI2'</t>
  </si>
  <si>
    <t>Se creó el nuevo procedimiento 'FUNC7DETSOLDASHUTGI_ADJUNTOXIDSOLINT_QF7Q3' en el paquete 'PACK_SISAI2', con la 7ma funcionalidad y el 3er de los queries pequeños que obtiene los adjuntos por id solitud gestion interna</t>
  </si>
  <si>
    <t>Se validó campo por campo de la tabla 'SISAI_TR_ADJUNTOS' para validación en bloque anonimo</t>
  </si>
  <si>
    <t>Se validó campo por campo de la tabla 'SISAI_TR_ADJUNTOS' para identificar los tipos de datos y tamaño para validación en bloque anonimo</t>
  </si>
  <si>
    <t>Se validó el paquete-procedimiento de la funcionalidad # 7 - Query 3 con el bloque anónimo correcto</t>
  </si>
  <si>
    <t>Se validó el paquete-procedimiento de la funcionalidad # 7 - Query 3 con el bloque anónimo correcto y se tuvo un resultado exitoso con la salida del cursor completo con el único parámetro</t>
  </si>
  <si>
    <t>Se creó el nuevo procedimiento 'FUNC7DETSOLDASHUTGI_SOLGIXSOLDEPEN_QF7Q4' en el paquete 'PACK_SISAI2'</t>
  </si>
  <si>
    <t>Se creó el nuevo procedimiento 'FUNC7DETSOLDASHUTGI_SOLGIXSOLDEPEN_QF7Q4' en el paquete 'PACK_SISAI2', con la 7ma funcionalidad y el 4to de los queries pequeños que obtiene las solicitudes de gestión interna por solicitud dependencia</t>
  </si>
  <si>
    <t>Se validó campo por campo de la tabla 'SISAI_TR_GI_SOLICITUDES' para validación en bloque anonimo</t>
  </si>
  <si>
    <t>Se validó campo por campo de la tabla 'SISAI_TR_GI_SOLICITUDES' para identificar los tipos de datos y tamaño para validación en bloque anonimo</t>
  </si>
  <si>
    <t>Se validó el paquete-procedimiento de la funcionalidad # 7 - Query 4 con el bloque anónimo correcto</t>
  </si>
  <si>
    <t>Se validó el paquete-procedimiento de la funcionalidad # 7 - Query 4 con el bloque anónimo correcto y se tuvo un resultado exitoso con la salida del cursor completo con el único parámetro</t>
  </si>
  <si>
    <t>Se revisó el Query 5 de la Funcionalidad 7, se encontro reutilización</t>
  </si>
  <si>
    <t>Se revisó el Query 5 de la Funcionalidad 7, para obtener respuestas por solicitud dependencia y se encontro reutilización ('FUNC3DETSOLDASH_RESPUXSOLICDEP_QF3Q3')</t>
  </si>
  <si>
    <t>Se actualizó documento Querys SISAI con el detalle encontrado en el Query 5 - Funcionalidad 7</t>
  </si>
  <si>
    <t>Se creó el nuevo procedimiento 'FUNC7DETSOLDASHUTGI_SOLESTADISTICO_QF7Q6' en el paquete 'PACK_SISAI2'</t>
  </si>
  <si>
    <t>Se creó el nuevo procedimiento 'FUNC7DETSOLDASHUTGI_SOLESTADISTICO_QF7Q6' en el paquete 'PACK_SISAI2', con la 7ma funcionalidad y el 6to de los queries pequeños que obtiene la lista solicitud estadístico por solicitud general</t>
  </si>
  <si>
    <t>Se validó campo por campo de la tabla 'SISAI_TR_SOLICITUD_ESTADISTICO' para la validación en bloque anonimo</t>
  </si>
  <si>
    <t>Se validó campo por campo de la tabla 'SISAI_TR_SOLICITUD_ESTADISTICO' para identificar los tipos de datos y tamaño para validación en bloque anonimo</t>
  </si>
  <si>
    <t>Se validó el paquete-procedimiento de la funcionalidad # 7 - Query 6 con el bloque anónimo correcto</t>
  </si>
  <si>
    <t>Se validó el paquete-procedimiento de la funcionalidad # 7 - Query 6 con el bloque anónimo correcto y se tuvo un resultado exitoso con la salida del cursor completo con el único parámetro</t>
  </si>
  <si>
    <t>Se creó el nuevo procedimiento 'FUNC7DETSOLDASHUTGI_SOLXACCESIBILIDAD_QF7Q7' en el paquete 'PACK_SISAI2'</t>
  </si>
  <si>
    <t>Se creó el nuevo procedimiento 'FUNC7DETSOLDASHUTGI_SOLXACCESIBILIDAD_QF7Q7' en el paquete 'PACK_SISAI2', con la 7ma funcionalidad y el 7mo de los queries pequeños que obtiene la lista de solicitud de accesibilidad por solicitud general</t>
  </si>
  <si>
    <t>Se validó campo por campo de la tabla 'SISAI_TR_SOLICITUD_X_ACCESIBIL' para la validación en bloque anonimo</t>
  </si>
  <si>
    <t>Se validó campo por campo de la tabla 'SISAI_TR_SOLICITUD_X_ACCESIBIL' para identificar los tipos de datos y tamaño para validación en bloque anonimo</t>
  </si>
  <si>
    <t>Se validó el paquete-procedimiento de la funcionalidad # 7 - Query 7 con el bloque anónimo correcto</t>
  </si>
  <si>
    <t>Se validó el paquete-procedimiento de la funcionalidad # 7 - Query 7 con el bloque anónimo correcto y se tuvo un resultado exitoso con la salida del cursor completo con el único parámetro</t>
  </si>
  <si>
    <t>Se revisó el Query 8 de la Funcionalidad 7, se encontro reutilización</t>
  </si>
  <si>
    <t>Se revisó el Query 8 de la Funcionalidad 7, para obtener adjunto de la ut por id respuesta y se encontro reutilización ('FUNC3DETSOLDASH_ADJUNTOXIDRESP_QF3Q4')</t>
  </si>
  <si>
    <t>Se actualizó documento Querys SISAI con el detalle encontrado en el Query 8 - Funcionalidad 7</t>
  </si>
  <si>
    <t>Se revisó el Query 9 de la Funcionalidad 7, se encontro reutilización</t>
  </si>
  <si>
    <t>Se revisó el Query 9 de la Funcionalidad 7, para obtener la notificación disponibilidad por respuesta de notoria incompetencia y se encontro reutilización ('FUNC3DETSOLDASH_NOTIFDISPONIBXRESP_QF3Q5')</t>
  </si>
  <si>
    <t>Se actualizó documento Querys SISAI con el detalle encontrado en el Query 9 - Funcionalidad 7</t>
  </si>
  <si>
    <t>Se revisó el Query 10 de la Funcionalidad 7, se encontro reutilización</t>
  </si>
  <si>
    <t>Se revisó el Query 10 de la Funcionalidad 7, para obtener competencia por sujeto obligado si una solicitud fue canalizada y se encontro reutilización ('FUNC3DETSOLDASH_COMPETENXRESP_QF3Q6')</t>
  </si>
  <si>
    <t>Se actualizó documento Querys SISAI con el detalle encontrado en el Query 10 - Funcionalidad 7</t>
  </si>
  <si>
    <t>Se creó el nuevo procedimiento 'FUNC7DETSOLDASHUTGI_SOLDATOPERSON_QF7Q11' en el paquete 'PACK_SISAI2'</t>
  </si>
  <si>
    <t>Se creó el nuevo procedimiento 'FUNC7DETSOLDASHUTGI_SOLDATOPERSON_QF7Q11' en el paquete 'PACK_SISAI2', con la 7ma funcionalidad y el 11vo de los queries pequeños que obtiene la solicitud datos perso por solicitud dependencia cuando es una solicitud ARCOP</t>
  </si>
  <si>
    <t>Se validó campo por campo de la tabla 'SISAI_TR_SOLICITUD_DATOS_PERSO' para validación en bloque anonimo</t>
  </si>
  <si>
    <t>Se validó campo por campo de la tabla 'SISAI_TR_SOLICITUD_DATOS_PERSO' para identificar los tipos de datos y tamaño para validación en bloque anonimo</t>
  </si>
  <si>
    <t>Se validó el paquete-procedimiento de la funcionalidad # 7 - Query 11 con el bloque anónimo correcto</t>
  </si>
  <si>
    <t>Se validó el paquete-procedimiento de la funcionalidad # 7 - Query 11 con el bloque anónimo correcto y se tuvo un resultado exitoso con la salida del cursor completo con el único parámetro</t>
  </si>
  <si>
    <t>Se creó el nuevo procedimiento 'FUNC7DETSOLDASHUTGI_ESTADISTXOCUPA_QF7Q12' en el paquete 'PACK_SISAI2'</t>
  </si>
  <si>
    <t>Se creó el nuevo procedimiento 'FUNC7DETSOLDASHUTGI_ESTADISTXOCUPA_QF7Q12' en el paquete 'PACK_SISAI2', con la 7ma funcionalidad y el 12vo de los queries pequeños que obtiene el estadístico ocupación por id solicitud estadística</t>
  </si>
  <si>
    <t>Se validó campo por campo de la tabla 'SISAI_TR_ESTADISTICO_X_OCUP' para validación en bloque anonimo</t>
  </si>
  <si>
    <t>Se validó campo por campo de la tabla 'SISAI_TR_ESTADISTICO_X_OCUP' para identificar los tipos de datos y tamaño para validación en bloque anonimo</t>
  </si>
  <si>
    <t>Se validó el paquete-procedimiento de la funcionalidad # 7 - Query 12 con el bloque anónimo correcto</t>
  </si>
  <si>
    <t>Se validó el paquete-procedimiento de la funcionalidad # 7 - Query 12 con el bloque anónimo correcto y se tuvo un resultado exitoso con la salida del cursor completo con el único parámetro</t>
  </si>
  <si>
    <t>Se creó el nuevo procedimiento 'FUNC7DETSOLDASHUTGI_ACCESIBILIDAD_QF7Q13' en el paquete 'PACK_SISAI2'</t>
  </si>
  <si>
    <t>Se creó el nuevo procedimiento 'FUNC7DETSOLDASHUTGI_ACCESIBILIDAD_QF7Q13' en el paquete 'PACK_SISAI2', con la 7ma funcionalidad y el 13vo de los queries pequeños que obtiene el estadístico ocupación por id solicitud estadística</t>
  </si>
  <si>
    <t>Se validó campo por campo de la tabla 'SISAI_TC_ACCESIBILIDAD' para validación en bloque anonimo</t>
  </si>
  <si>
    <t>Se validó campo por campo de la tabla 'SISAI_TC_ACCESIBILIDAD' para identificar los tipos de datos y tamaño para validación en bloque anonimo</t>
  </si>
  <si>
    <t>Se validó el paquete-procedimiento de la funcionalidad # 7 - Query 13 con el bloque anónimo correcto</t>
  </si>
  <si>
    <t>Se validó el paquete-procedimiento de la funcionalidad # 7 - Query 13 con el bloque anónimo correcto y se tuvo un resultado exitoso con la salida del cursor completo con el único parámetro</t>
  </si>
  <si>
    <t>Se creó el nuevo procedimiento 'FUNC7DETSOLDASHUTGI_LEYEXIDRESP_QF7Q14' en el paquete 'PACK_SISAI2'</t>
  </si>
  <si>
    <t>Se creó el nuevo procedimiento 'FUNC7DETSOLDASHUTGI_LEYEXIDRESP_QF7Q14' en el paquete 'PACK_SISAI2', con la 7ma funcionalidad y el 14to de los queries pequeños que obtiene leyes por id respuesta</t>
  </si>
  <si>
    <t>Se validó campo por campo de las tablas 'SISAI_TR_LEY_CLASIFICACION' y 'SISAI_TC_LEYES' para validación en bloque anonimo</t>
  </si>
  <si>
    <t>Se validó campo por campo de las tablas 'SISAI_TR_LEY_CLASIFICACION' y 'SISAI_TC_LEYES' para identificar los tipos de datos y tamaño para validación en bloque anonimo</t>
  </si>
  <si>
    <t>Se validó el paquete-procedimiento de la funcionalidad # 7 - Query 14 con el bloque anónimo correcto</t>
  </si>
  <si>
    <t>Se validó el paquete-procedimiento de la funcionalidad # 7 - Query 14 con el bloque anónimo correcto y se tuvo un resultado exitoso con la salida del cursor completo con el único parámetro</t>
  </si>
  <si>
    <t>Se actualizó documento Querys SISAI con los nombres de los procedimientos de los Querys de Funcionalidad 7, que no se reutilizaban</t>
  </si>
  <si>
    <t>Se actualizó documento Querys SISAI con los nombres de los procedimientos recien creados sobre los Querys de Funcionalidad 7, que no se reutilizaban</t>
  </si>
  <si>
    <t>Se optimizarón en la herramienta Auto Optimice de Toad los Querys todos losquerys de la funcionlidad 7</t>
  </si>
  <si>
    <t>Se optimizó en la herramienta Auto Optimice de Toad los Querys de la funcionlidad 7 con todos los subqueries del 1 al 14, sin contemplar los reutilizados</t>
  </si>
  <si>
    <t>Se creó el nuevo procedimiento 'FUNC8EXPSOLICITUDUT_FORMEXCEL_QF8' en el paquete 'PACK_SISAI2'</t>
  </si>
  <si>
    <t>Se creó el nuevo procedimiento 'FUNC8EXPSOLICITUDUT_FORMEXCEL_QF8' en el paquete 'PACK_SISAI2', con la 8va funcionalidad que que permite la exportación de las solicitudes de la UT a formato excel</t>
  </si>
  <si>
    <t>Se pasó el procedimiento a query dinamico</t>
  </si>
  <si>
    <t>Se pasó el procedimiento a query dinamico para poder manejar el parametro de la lista del campo ID_SOLICITUDDEPENDENCIA</t>
  </si>
  <si>
    <t>Se validó campo por campo del query 8 para validación en bloque anonimo</t>
  </si>
  <si>
    <t>Se validó campo por campo del query 8 para identificar los tipos de datos y tamaño para validación en bloque anonimo</t>
  </si>
  <si>
    <t>Se validó el paquete-procedimiento de la funcionalidad # 8 con el bloque anónimo correcto</t>
  </si>
  <si>
    <t>Se validó el paquete-procedimiento de la funcionalidad # 8 con el bloque anónimo correcto y se tuvo un resultado exitoso con la salida del cursor completo con el único parámetro</t>
  </si>
  <si>
    <t>Se creó el nuevo procedimiento 'FUNC9RESPUESTASPOSIBL_UT_QF9' en el paquete 'PACK_SISAI2'</t>
  </si>
  <si>
    <t>Se creó el nuevo procedimiento 'FUNC9RESPUESTASPOSIBL_UT_QF9' en el paquete 'PACK_SISAI2', con la 9na funcionalidad que obtiene todas las respuestas posibles a aplicar por parte de la UT</t>
  </si>
  <si>
    <t>Se validó campo por campo de la tabla 'SISAI_TR_RESPUESTA'</t>
  </si>
  <si>
    <t>Se validó campo por campo de la tabla 'SISAI_TR_RESPUESTA' para identificar los tipos de datos y tamaño para validación en bloque anonimo</t>
  </si>
  <si>
    <t>Se validó el paquete-procedimiento de la funcionalidad # 9 con el bloque anónimo correcto</t>
  </si>
  <si>
    <t>Se validó el paquete-procedimiento de la funcionalidad # 9 con el bloque anónimo correcto y se tuvo un resultado exitoso con la salida del cursor completo con el único parámetro</t>
  </si>
  <si>
    <t>Se actualizó documento Querys SISAI con los procedimientos recien creados sobre el Query de Funcionalidad 9, que no se reutilizaban</t>
  </si>
  <si>
    <t>Se actualizó documento Querys SISAI con los nombres de los procedimientos recien creados sobre el Query de Funcionalidad 9, que no se reutilizaban</t>
  </si>
  <si>
    <t>Se creó el nuevo procedimiento 'FUNC10DASHBOARDRECEPSOLICI_GIUT_QF10' en el paquete 'PACK_SISAI2'</t>
  </si>
  <si>
    <t>Se creó el nuevo procedimiento 'FUNC10DASHBOARDRECEPSOLICI_GIUT_QF10' en el paquete 'PACK_SISAI2', con la 10ma funcionalidad que obtiene el dashboard en la recepción de solicitudes GI de la UT</t>
  </si>
  <si>
    <t>Se validó campo por campo del select del query de la funcionalidad 10</t>
  </si>
  <si>
    <t>Se validó campo por campo del select del query de la funcionalidad 10 para identificar los tipos de datos y tamaño para validación en bloque anonimo</t>
  </si>
  <si>
    <t>Se validó el paquete-procedimiento de la funcionalidad # 10 con el bloque anónimo correcto</t>
  </si>
  <si>
    <t>Se validó el paquete-procedimiento de la funcionalidad # 10 con el bloque anónimo correcto y se tuvo un resultado exitoso con la salida del cursor completo con distintos parámetros</t>
  </si>
  <si>
    <t>Se actualizó documento Querys SISAI con los procedimientos recien creados sobre el Query de Funcionalidad 10, que no se reutilizaban</t>
  </si>
  <si>
    <t>Se actualizó documento Querys SISAI con los nombres de los procedimientos recien creados sobre el Query de Funcionalidad 10, que no se reutilizaban</t>
  </si>
  <si>
    <t>Se creó el nuevo procedimiento 'FUNC11TURNAFOLIOUNIAD_SOLIXSOLDEPEN_QF11Q1' en el paquete 'PACK_SISAI2'</t>
  </si>
  <si>
    <t>Se creó el nuevo procedimiento 'FUNC11TURNAFOLIOUNIAD_SOLIXSOLDEPEN_QF11Q1' en el paquete 'PACK_SISAI2', con el query 1 de la 11va funcionalidad que obtiene las solicitudes por solicitud dependencia para la generación de subfolios</t>
  </si>
  <si>
    <t>Se validó campo por campo de la tabla 'SISAI_TR_GI_SOLICITUDES'</t>
  </si>
  <si>
    <t>Se validó el paquete-procedimiento del query 1 de la funcionalidad # 11 con el bloque anónimo correcto</t>
  </si>
  <si>
    <t>Se validó el paquete-procedimiento del query 1 de la funcionalidad # 11 con el bloque anónimo correcto y se tuvo un resultado exitoso con la salida del cursor completo con sus distintos parámetros</t>
  </si>
  <si>
    <t>Se actualizó documento Querys SISAI con los procedimientos recien creados sobre el Query 1 de la Funcionalidad 11, que no se reutilizaban</t>
  </si>
  <si>
    <t>Se actualizó documento Querys SISAI con los nombres de los procedimientos recien creados sobre el Query 1 de la Funcionalidad 11, que no se reutilizaban</t>
  </si>
  <si>
    <t>Se creó el nuevo procedimiento 'FUNC11TURNAFOLIOUNIAD_CONFIGPLAZOSO_QF11Q2' en el paquete 'PACK_SISAI2'</t>
  </si>
  <si>
    <t>Se creó el nuevo procedimiento 'FUNC11TURNAFOLIOUNIAD_CONFIGPLAZOSO_QF11Q2' en el paquete 'PACK_SISAI2', con el query 2 de la 11va funcionalidad que obtiene la configuración de plazos a nivel de sujeto obligado</t>
  </si>
  <si>
    <t xml:space="preserve">Se validó campo por campo de la tabla 'SISAI_TW_CONFIG_PROCESO' </t>
  </si>
  <si>
    <t>Se validó campo por campo de la tabla 'SISAI_TW_CONFIG_PROCESO' para identificar los tipos de datos y tamaño para validación en bloque anonimo</t>
  </si>
  <si>
    <t>Se validó el paquete-procedimiento del query 2 de la funcionalidad # 11 con el bloque anónimo correcto</t>
  </si>
  <si>
    <t>Se validó el paquete-procedimiento del query 2 de la funcionalidad # 11 con el bloque anónimo correcto y se tuvo un resultado exitoso con la salida del cursor completo con el único parámetro</t>
  </si>
  <si>
    <t>Se actualizó documento Querys SISAI con los procedimientos recien creados sobre el Query 2 de la Funcionalidad 11, que no se reutilizaban</t>
  </si>
  <si>
    <t>Se actualizó documento Querys SISAI con los nombres de los procedimientos recien creados sobre el Query 2 de la Funcionalidad 11, que no se reutilizaban</t>
  </si>
  <si>
    <t>Se creó el nuevo procedimiento 'FUNC11TURNAFOLIOUNIAD_CONFIPROCXORGGTE_QF11Q3' en el paquete 'PACK_SISAI2'</t>
  </si>
  <si>
    <t>Se creó el nuevo procedimiento 'FUNC11TURNAFOLIOUNIAD_CONFIPROCXORGGTE_QF11Q3' en el paquete 'PACK_SISAI2', con el query 3 de la 11va funcionalidad que obtiene la configuración de procesos por organismo garante</t>
  </si>
  <si>
    <t>Se validó el paquete-procedimiento del query 3 de la funcionalidad # 11 con el bloque anónimo correcto</t>
  </si>
  <si>
    <t>Se validó el paquete-procedimiento del query 3 de la funcionalidad # 11 con el bloque anónimo correcto y se tuvo un resultado exitoso con la salida del cursor completo con varios parámetros</t>
  </si>
  <si>
    <t>Se actualizó documento Querys SISAI con los procedimientos recien creados sobre el Query 3 de la Funcionalidad 11, que no se reutilizaban</t>
  </si>
  <si>
    <t>Se actualizó documento Querys SISAI con los nombres de los procedimientos recien creados sobre el Query 3 de la Funcionalidad 11, que no se reutilizaban</t>
  </si>
  <si>
    <t>Se revisó el Query 4 de la Funcionalidad 11, se encontro reutilización ('FUNC7DETSOLDASHUTGI_SOLGIXSOLDEPEN_QF7Q4')</t>
  </si>
  <si>
    <t>Se revisó el Query 4 de la Funcionalidad 11, para obtener solicitudes Gestion interna por solicitud dependencia para generar subfolios y se encontro reutilización ('FUNC7DETSOLDASHUTGI_SOLGIXSOLDEPEN_QF7Q4')</t>
  </si>
  <si>
    <t>Se actualizó documento Querys SISAI con el detalle encontrado en el Query 4 - Funcionalidad 11</t>
  </si>
  <si>
    <t>Se creó el nuevo procedimiento 'FUNC12DASHBOARDFOLIOPENDRPTAUNIADM_QF12Q1' en el paquete 'PACK_SISAI2'</t>
  </si>
  <si>
    <t>Se creó el nuevo procedimiento 'FUNC12DASHBOARDFOLIOPENDRPTAUNIADM_QF12Q1' en el paquete 'PACK_SISAI2', con el query 1 de la 12va funcionalidad que obtiene el dashboard con los folios y subfolios pendientes de respuestas de las unidades administrativas</t>
  </si>
  <si>
    <t xml:space="preserve">Se validó campo por campo del query 1 de la funcionalidad 12 </t>
  </si>
  <si>
    <t>Se validó campo por campo del query 1 de la funcionalidad 12 para identificar los tipos de datos y tamaño para validación en bloque anonimo</t>
  </si>
  <si>
    <t xml:space="preserve">Se validó el paquete-procedimiento del query 1 de la funcionalidad # 12 con el bloque anónimo correcto </t>
  </si>
  <si>
    <t>Se validó el paquete-procedimiento del query 1 de la funcionalidad # 12 con el bloque anónimo correcto y se tuvo un resultado exitoso con la salida del cursor completo con varios parametros</t>
  </si>
  <si>
    <t>Se actualizó documento Querys SISAI con los procedimientos recien creados sobre el Query 1 de la Funcionalidad 12, que no se reutilizaban</t>
  </si>
  <si>
    <t>Se actualizó documento Querys SISAI con los nombres de los procedimientos recien creados sobre el Query 1 de la Funcionalidad 12, que no se reutilizaban</t>
  </si>
  <si>
    <t>Se creó el nuevo procedimiento 'FUNC12DASHBOARDFOLIOPENDRPTASEFOLCOMTRANSPA_QF12Q2' en el paquete 'PACK_SISAI2', con el query 2 de la 12va funcionalidad</t>
  </si>
  <si>
    <t>Se creó el nuevo procedimiento 'FUNC12DASHBOARDFOLIOPENDRPTASEFOLCOMTRANSPA_QF12Q2' en el paquete 'PACK_SISAI2', con el query 2 de la 12va funcionalidad que se obtiene el seguimiento por cada folio para identificar si pasó por comité de transparencia</t>
  </si>
  <si>
    <t>Se validó campo por campo de la tabla 'SISAI_TR_GI_SEGUIMIENTO'</t>
  </si>
  <si>
    <t>Se validó campo por campo de la tabla 'SISAI_TR_GI_SEGUIMIENTO' para identificar los tipos de datos y tamaño para validación en bloque anonimo</t>
  </si>
  <si>
    <t>Se validó el paquete-procedimiento del query 2 de la funcionalidad # 12 con el bloque anónimo correcto</t>
  </si>
  <si>
    <t>Se validó el paquete-procedimiento del query 2 de la funcionalidad # 12 con el bloque anónimo correcto y se tuvo un resultado exitoso con la salida del cursor completo con el único parámetro</t>
  </si>
  <si>
    <t>Se actualizó documento Querys SISAI con los procedimientos recien creados sobre el Query 2 de la Funcionalidad 12, que no se reutilizaban</t>
  </si>
  <si>
    <t>Se actualizó documento Querys SISAI con los nombres de los procedimientos recien creados sobre el Query 2 de la Funcionalidad 12, que no se reutilizaban</t>
  </si>
  <si>
    <t>Se creó el nuevo procedimiento 'FUNC12DASHBOARDFOLIOPENDRPTASNOTERMIDIATRANS_QF12Q3' en el paquete 'PACK_SISAI2', con el query 3 de la 12va funcionalidad</t>
  </si>
  <si>
    <t>Se creó el nuevo procedimiento 'FUNC12DASHBOARDFOLIOPENDRPTASNOTERMIDIATRANS_QF12Q3' en el paquete 'PACK_SISAI2', con el query 3 de la 12va funcionalidad que se ontiene la información si es que considera sábados el so o el og</t>
  </si>
  <si>
    <t>Se validó campo por campo de las tablas 'sisai_tr_calendario_master y sisai_tr_calendario_so', del query 3</t>
  </si>
  <si>
    <t>Se validó campo por campo de las tablas 'sisai_tr_calendario_master y sisai_tr_calendario_so', del query 3, para identificar los tipos de datos y tamaño para validación en bloque anonimo</t>
  </si>
  <si>
    <t>Se validó el paquete-procedimiento del query 3 de la funcionalidad # 12 con el bloque anónimo correcto</t>
  </si>
  <si>
    <t>Se validó el paquete-procedimiento del query 3 de la funcionalidad # 12 con el bloque anónimo correcto y se tuvo un resultado exitoso con la salida del cursor completo con varios parámetros</t>
  </si>
  <si>
    <t>Se actualizó documento Querys SISAI con los procedimientos recien creados sobre el Query 3 de la Funcionalidad 12, que no se reutilizaban</t>
  </si>
  <si>
    <t>Se actualizó documento Querys SISAI con los nombres de los procedimientos recien creados sobre el Query 3 de la Funcionalidad 12, que no se reutilizaban</t>
  </si>
  <si>
    <t>Se creó el nuevo procedimiento 'FUNC12DASHBOARDFOLIOPENDRPTASLTADIAINHABIL_QF12Q4' en el paquete 'PACK_SISAI2', con el query 4 de la 12va funcionalidad</t>
  </si>
  <si>
    <t>Se creó el nuevo procedimiento 'FUNC12DASHBOARDFOLIOPENDRPTASLTADIAINHABIL_QF12Q4' en el paquete 'PACK_SISAI2', con el query 4 de la 12va funcionalidad que se obtiene la lista de días inhábiles por so o por og</t>
  </si>
  <si>
    <t>Se validó campo por campo de las tablas del query 4</t>
  </si>
  <si>
    <t>Se validó campo por campo de las tablas del query 4, para identificar los tipos de datos y tamaño para validación en bloque anonimo</t>
  </si>
  <si>
    <t>Se validó el paquete-procedimiento del query 4 de la funcionalidad # 12 con el bloque anónimo correcto</t>
  </si>
  <si>
    <t>Se validó el paquete-procedimiento del query 4 de la funcionalidad # 12 con el bloque anónimo correcto y se tuvo un resultado exitoso con la salida del cursor completo con un único parámetro</t>
  </si>
  <si>
    <t>Se actualizó documento Querys SISAI con los procedimientos recien creados sobre el Query 4 de la Funcionalidad 12, que no se reutilizaban</t>
  </si>
  <si>
    <t>Se actualizó documento Querys SISAI con los nombres de los procedimientos recien creados sobre el Query 4 de la Funcionalidad 12, que no se reutilizaban</t>
  </si>
  <si>
    <t>Se revisó el Query 1 de la Funcionalidad 13, se encontro reutilización ('FUNC7DETSOLDASHUTGI_SOLGIXSOLDEPEN_QF7Q4')</t>
  </si>
  <si>
    <t>Se revisó el Query 1 de la Funcionalidad 13, para obtener las solicitudes en gestión interna por solicitud dependencia y se encontro reutilización ('FUNC7DETSOLDASHUTGI_SOLGIXSOLDEPEN_QF7Q4')</t>
  </si>
  <si>
    <t>Se actualizó documento Querys SISAI con el detalle encontrado en el Query 1 - Funcionalidad 13</t>
  </si>
  <si>
    <t>Se revisó el Query 2 de la Funcionalidad 13, se encontro reutilización ('FUNC12DASHBOARDFOLIOPENDRPTASEFOLCOMTRANSPA_QF12Q2')</t>
  </si>
  <si>
    <t>Se revisó el Query 2 de la Funcionalidad 13, para obtener el seguimiento de cada subfolio de gestión interna y se encontro reutilización ('FUNC12DASHBOARDFOLIOPENDRPTASEFOLCOMTRANSPA_QF12Q2')</t>
  </si>
  <si>
    <t>Se actualizó documento Querys SISAI con el detalle encontrado en el Query 2 - Funcionalidad 13</t>
  </si>
  <si>
    <t xml:space="preserve">Se creó el nuevo procedimiento 'FUNC13OBTSEGUISUBFOUNIADXFLUJOSEGSUBFL_QF13Q3' en el paquete 'PACK_SISAI2', con el query 3 de la 13va funcionalidad </t>
  </si>
  <si>
    <t>Se creó el nuevo procedimiento 'FUNC13OBTSEGUISUBFOUNIADXFLUJOSEGSUBFL_QF13Q3' en el paquete 'PACK_SISAI2', con el query 3 de la 13va funcionalidad que se obtiene los adjuntos de cada flujo del seguimiento del subfolio</t>
  </si>
  <si>
    <t xml:space="preserve">Se validó campo por campo de la tabla 'SISAI_TR_ADJUNTOS' </t>
  </si>
  <si>
    <t>Se validó el paquete-procedimiento del query 3 de la funcionalidad # 13 con el bloque anónimo correcto</t>
  </si>
  <si>
    <t>Se validó el paquete-procedimiento del query 3 de la funcionalidad # 13 con el bloque anónimo correcto y se tuvo un resultado exitoso con la salida del cursor completo con un único parámetro</t>
  </si>
  <si>
    <t>Se actualizó documento Querys SISAI con los procedimientos recien creados sobre el Query 3 de la Funcionalidad 13, que no se reutilizaban</t>
  </si>
  <si>
    <t>Se actualizó documento Querys SISAI con los nombres de los procedimientos recien creados sobre el Query 3 de la Funcionalidad 13, que no se reutilizaban</t>
  </si>
  <si>
    <t>Se revisó el Query 1 de la Funcionalidad 14, se encontro reutilización ('FUNC11TURNAFOLIOUNIAD_SOLIXSOLDEPEN_QF11Q1')</t>
  </si>
  <si>
    <t>Se revisó el Query 1 de la Funcionalidad 14, para obtener solicitudes gestión interna por id y se encontro reutilización ('FUNC11TURNAFOLIOUNIAD_SOLIXSOLDEPEN_QF11Q1')</t>
  </si>
  <si>
    <t>Se actualizó documento Querys SISAI con el detalle encontrado en el Query 1 - Funcionalidad 14</t>
  </si>
  <si>
    <t>Se revisó el Query 2 de la Funcionalidad 14, se encontro reutilización ('FUNC12DASHBOARDFOLIOPENDRPTASEFOLCOMTRANSPA_QF12Q2')</t>
  </si>
  <si>
    <t>Se revisó el Query 2 de la Funcionalidad 14, para el seguimiento gestión interna por solicitud GI y se encontro reutilización ('FUNC12DASHBOARDFOLIOPENDRPTASEFOLCOMTRANSPA_QF12Q2')</t>
  </si>
  <si>
    <t>Se actualizó documento Querys SISAI con el detalle encontrado en el Query 2 - Funcionalidad 14</t>
  </si>
  <si>
    <t>Se revisó el Query 3 de la Funcionalidad 14, se encontro reutilización ('FUNC13OBTSEGUISUBFOUNIADXFLUJOSEGSUBFL_QF13Q3')</t>
  </si>
  <si>
    <t>Se revisó el Query 3 de la Funcionalidad 14, para obtener adjuntos por seguimiento de gestión interna y se encontro reutilización ('FUNC13OBTSEGUISUBFOUNIADXFLUJOSEGSUBFL_QF13Q3')</t>
  </si>
  <si>
    <t>Se actualizó documento Querys SISAI con el detalle encontrado en el Query 3 - Funcionalidad 14</t>
  </si>
  <si>
    <t xml:space="preserve">Se creó el nuevo procedimiento 'FUNC15DASHSOLASIGUT_SOLPENDXCONTUA_QF15Q1' en el paquete 'PACK_SISAI2', con el query 1 de la 15va funcionalidad </t>
  </si>
  <si>
    <t>Se creó el nuevo procedimiento 'FUNC15DASHSOLASIGUT_SOLPENDXCONTUA_QF15Q1' en el paquete 'PACK_SISAI2', con el query 1 de la 15va funcionalidad que se obtiene solicitudes pendientes por contestar de la UA</t>
  </si>
  <si>
    <t>Se validó campo por campo de las tablas del 1er query de la funcionalidad 15</t>
  </si>
  <si>
    <t>Se validó campo por campo de las tablas del 1er query de la funcionalidad 15, para identificar los tipos de datos y tamaño para validación en bloque anonimo</t>
  </si>
  <si>
    <t>Se validó el paquete-procedimiento del query 1 de la funcionalidad # 15 con el bloque anónimo correcto</t>
  </si>
  <si>
    <t>Se validó el paquete-procedimiento del query 1 de la funcionalidad # 15 con el bloque anónimo correcto y se tuvo un resultado exitoso con la salida del cursor completo con varios parámetros</t>
  </si>
  <si>
    <t>Se actualizó documento Querys SISAI con los procedimientos recien creados sobre el Query 1 de la Funcionalidad 15, que no se reutilizaban</t>
  </si>
  <si>
    <t>Se actualizó documento Querys SISAI con los nombres de los procedimientos recien creados sobre el Query 1 de la Funcionalidad 15, que no se reutilizaban</t>
  </si>
  <si>
    <t>Se revisó el Query 2 de la Funcionalidad 15 se encontro reutilización ('FUNC7DETSOLDASHUTGI_SOLGIXSOLDEPEN_QF7Q4')</t>
  </si>
  <si>
    <t>Se revisó el Query 2 de la Funcionalidad 15, para obtener las solicitudes gestión interna por solicitud dependencia y se encontro reutilización ('FUNC7DETSOLDASHUTGI_SOLGIXSOLDEPEN_QF7Q4')</t>
  </si>
  <si>
    <t>Se actualizó documento Querys SISAI con el detalle encontrado en el Query 2 - Funcionalidad 15</t>
  </si>
  <si>
    <t>Se revisó el Query 3 de la Funcionalidad 15,  se encontro reutilización ('FUNC12DASHBOARDFOLIOPENDRPTASNOTERMIDIATRANS_QF12Q3'')</t>
  </si>
  <si>
    <t>Se revisó el Query 3 de la Funcionalidad 15, para obtener la información si es que considera sábados el so o el og y se encontro reutilización ('FUNC12DASHBOARDFOLIOPENDRPTASNOTERMIDIATRANS_QF12Q3'')</t>
  </si>
  <si>
    <t>Se actualizó documento Querys SISAI con el detalle encontrado en el Query 3 - Funcionalidad 15</t>
  </si>
  <si>
    <t>Se revisó el Query 4 de la Funcionalidad 15, se encontro reutilización ('FUNC12DASHBOARDFOLIOPENDRPTASLTADIAINHABIL_QF12Q4')</t>
  </si>
  <si>
    <t>Se revisó el Query 4 de la Funcionalidad 15, para obtener  la lista de días inhábiles por so o por og y se encontro reutilización ('FUNC12DASHBOARDFOLIOPENDRPTASLTADIAINHABIL_QF12Q4')</t>
  </si>
  <si>
    <t>Se actualizó documento Querys SISAI con el detalle encontrado en el Query 4 - Funcionalidad 15</t>
  </si>
  <si>
    <t>Se revisó el Query 1 de la Funcionalidad 16, se encontro reutilización ('FUNC7DETSOLDASHUTGI_SOLGIXSOLDEPEN_QF7Q4')</t>
  </si>
  <si>
    <t>Se revisó el Query 1 de la Funcionalidad 16, para obtener las solicitudes gestión interna por solicitud dependencia y se encontro reutilización ('FUNC7DETSOLDASHUTGI_SOLGIXSOLDEPEN_QF7Q4')</t>
  </si>
  <si>
    <t>Se actualizó documento Querys SISAI con el detalle encontrado en el Query 1 - Funcionalidad 16</t>
  </si>
  <si>
    <t>Se revisó el Query 2 de la Funcionalidad 16, se encontro reutilización ('FUNC12DASHBOARDFOLIOPENDRPTASEFOLCOMTRANSPA_QF12Q2')</t>
  </si>
  <si>
    <t>Se revisó el Query 2 de la Funcionalidad 16, para obtener el seguimiento de cada subfolio en gestión interna por solicitud GI y se encontro reutilización ('FUNC12DASHBOARDFOLIOPENDRPTASEFOLCOMTRANSPA_QF12Q2')</t>
  </si>
  <si>
    <t>Se actualizó documento Querys SISAI con el detalle encontrado en el Query 2 - Funcionalidad 16</t>
  </si>
  <si>
    <t>Se revisó el Query 3 de la Funcionalidad 16, se encontro reutilización ('FUNC11TURNAFOLIOUNIAD_SOLIXSOLDEPEN_QF11Q1')</t>
  </si>
  <si>
    <t>Se revisó el Query 3 de la Funcionalidad 16, para obtener los adjuntos por subfolio de seguimiento y se encontro reutilización ('FUNC11TURNAFOLIOUNIAD_SOLIXSOLDEPEN_QF11Q1')</t>
  </si>
  <si>
    <t>Se revisó el query 1 de la 15va funcionalidad, se aplican mejoras a query para ejecusión más limpia con un costo menor</t>
  </si>
  <si>
    <t>Se revisó el query 1 de la 15va funcionalidad, se analizan alternativas</t>
  </si>
  <si>
    <t>Se revisó el query 1 de la 15va funcionalidad, se analizan alternativas de optimización en la herramienta</t>
  </si>
  <si>
    <t>Se actualizó procedimiento 'FUNC15DASHSOLASIGUT_SOLPENDXCONTUA_QF15Q1'</t>
  </si>
  <si>
    <t>Se actualizó procedimiento 'FUNC15DASHSOLASIGUT_SOLPENDXCONTUA_QF15Q1' con el query 1 de la fucionalidad 15 mejorado y optimizado</t>
  </si>
  <si>
    <t>Se repasó el query 1 de la Funcionalidad 3 para optimizarlo con ayuda de la herramienta Toad</t>
  </si>
  <si>
    <t>Si se encuentra mejora, se actualiza query mejorado en procedimiento 'FUNC3DETSOLDASH_SOLICDEPEN_QF3Q1'</t>
  </si>
  <si>
    <t xml:space="preserve">Si se encuentra mejora a menor costo, se actualiza query mejorado en procedimiento 'FUNC3DETSOLDASH_SOLICDEPEN_QF3Q1' de la Funcionalidad 3 </t>
  </si>
  <si>
    <t>Se repasó el query 2 de la Funcionalidad 3 para optimizarlo con ayuda de la herramienta Toad</t>
  </si>
  <si>
    <t>Si se encuentra mejora, se actualiza query mejorado en procedimiento 'FUNC3DETSOLDASH_ADJUNTXSOLIC_QF3Q2'</t>
  </si>
  <si>
    <t>Si se encuentra mejora a menor costo, se actualiza query mejorado en procedimiento 'FUNC3DETSOLDASH_ADJUNTXSOLIC_QF3Q2' de la Funcionalidad 3</t>
  </si>
  <si>
    <t>Se repasó el query 3 de la Funcionalidad 3 para optimizarlo con ayuda de la herramienta Toad</t>
  </si>
  <si>
    <t>Si se encuentra mejora, se actualiza query mejorado en procedimiento 'FUNC3DETSOLDASH_RESPUXSOLICDEP_QF3Q3'</t>
  </si>
  <si>
    <t>Si se encuentra mejora a menor costo, se actualiza query mejorado en procedimiento 'FUNC3DETSOLDASH_RESPUXSOLICDEP_QF3Q3' de la Funcionalidad 3</t>
  </si>
  <si>
    <t>Se repasó el query 4 de la Funcionalidad 3 para optimizarlo con ayuda de la herramienta</t>
  </si>
  <si>
    <t>Se repasó el query 4 de la Funcionalidad 3 para optimizarlo con ayuda de la herramienta Toad</t>
  </si>
  <si>
    <t>Si se encuentra mejora, se actualiza query mejorado en procedimiento 'FUNC3DETSOLDASH_ADJUNTOXIDRESP_QF3Q4'</t>
  </si>
  <si>
    <t>Si se encuentra mejora a menor costo, se actualiza query mejorado en procedimiento 'FUNC3DETSOLDASH_ADJUNTOXIDRESP_QF3Q4' de la Funcionalidad 3</t>
  </si>
  <si>
    <t>Se repasó el query 5 de la Funcionalidad 3 para optimizarlo con ayuda de la herramienta</t>
  </si>
  <si>
    <t>Se repasó el query 5 de la Funcionalidad 3 para optimizarlo con ayuda de la herramienta Toad</t>
  </si>
  <si>
    <t>Si se encuentra mejora, se actualiza query mejorado en procedimiento 'FUNC3DETSOLDASH_NOTIFDISPONIBXRESP_QF3Q5'</t>
  </si>
  <si>
    <t>Si se encuentra mejora a menor costo, se actualiza query mejorado en procedimiento 'FUNC3DETSOLDASH_NOTIFDISPONIBXRESP_QF3Q5' de la Funcionalidad 3</t>
  </si>
  <si>
    <t>Se repasó el query 6 de la Funcionalidad 3 para optimizarlo con ayuda de la herramienta</t>
  </si>
  <si>
    <t>Se repasó el query 6 de la Funcionalidad 3 para optimizarlo con ayuda de la herramienta Toad</t>
  </si>
  <si>
    <t>Si se encuentra mejora, se actualiza query mejorado en procedimiento 'FUNC3DETSOLDASH_COMPETENXRESP_QF3Q6'</t>
  </si>
  <si>
    <t>Si se encuentra mejora a menor costo, se actualiza query mejorado en procedimiento 'FUNC3DETSOLDASH_COMPETENXRESP_QF3Q6' de la Funcionalidad 3</t>
  </si>
  <si>
    <t>Se repasó el query 3 de la Funcionalidad 7 para optimizarlo con ayuda de la herramienta</t>
  </si>
  <si>
    <t>Se repasó el query 3 de la Funcionalidad 7 para optimizarlo con ayuda de la herramienta Toad</t>
  </si>
  <si>
    <t>Si se encuentra mejora, se actualiza query mejorado en procedimiento 'FUNC7DETSOLDASHUTGI_ADJUNTOXIDSOLINT_QF7Q3'</t>
  </si>
  <si>
    <t>Si se encuentra mejora a menor costo, se actualiza query mejorado en procedimiento 'FUNC7DETSOLDASHUTGI_ADJUNTOXIDSOLINT_QF7Q3' de la Funcionalidad 7</t>
  </si>
  <si>
    <t>Se repasó el query 4 de la Funcionalidad 7 para optimizarlo con ayuda de la herramienta</t>
  </si>
  <si>
    <t>Se repasó el query 4 de la Funcionalidad 7 para optimizarlo con ayuda de la herramienta Toad</t>
  </si>
  <si>
    <t>Si se encuentra mejora, se actualiza query mejorado en procedimiento 'FUNC7DETSOLDASHUTGI_SOLGIXSOLDEPEN_QF7Q4'</t>
  </si>
  <si>
    <t>Si se encuentra mejora a menor costo, se actualiza query mejorado en procedimiento 'FUNC7DETSOLDASHUTGI_SOLGIXSOLDEPEN_QF7Q4' de la Funcionalidad 7</t>
  </si>
  <si>
    <t>Se repasó el query 6 de la Funcionalidad 7 para optimizarlo con ayuda de la herramienta</t>
  </si>
  <si>
    <t>Se repasó el query 6 de la Funcionalidad 7 para optimizarlo con ayuda de la herramienta Toad</t>
  </si>
  <si>
    <t>Si se encuentra mejora, se actualiza query mejorado en procedimiento 'FUNC7DETSOLDASHUTGI_SOLESTADISTICO_QF7Q6'</t>
  </si>
  <si>
    <t>Si se encuentra mejora a menor costo, se actualiza query mejorado en procedimiento 'FUNC7DETSOLDASHUTGI_SOLESTADISTICO_QF7Q6' de la Funcionalidad 7</t>
  </si>
  <si>
    <t>Se repasó el query 7 de la Funcionalidad 7 para optimizarlo con ayuda de la herramienta</t>
  </si>
  <si>
    <t>Se repasó el query 7 de la Funcionalidad 7 para optimizarlo con ayuda de la herramienta Toad</t>
  </si>
  <si>
    <t>Si se encuentra mejora, se actualiza query mejorado en procedimiento 'FUNC7DETSOLDASHUTGI_SOLXACCESIBILIDAD_QF7Q7'</t>
  </si>
  <si>
    <t>Si se encuentra mejora a menor costo, se actualiza query mejorado en procedimiento 'FUNC7DETSOLDASHUTGI_SOLXACCESIBILIDAD_QF7Q7' de la Funcionalidad 7</t>
  </si>
  <si>
    <t>Se repasó el query 11 de la Funcionalidad 7 para optimizarlo con ayuda de la herramienta</t>
  </si>
  <si>
    <t>Se repasó el query 11 de la Funcionalidad 7 para optimizarlo con ayuda de la herramienta Toad</t>
  </si>
  <si>
    <t>Si se encuentra mejora, se actualiza query mejorado en procedimiento 'FUNC7DETSOLDASHUTGI_SOLDATPERSOXSOLDEP_QF7Q11'</t>
  </si>
  <si>
    <t>Si se encuentra mejora a menor costo, se actualiza query mejorado en procedimiento 'FUNC7DETSOLDASHUTGI_SOLDATPERSOXSOLDEP_QF7Q11' de la Funcionalidad 7</t>
  </si>
  <si>
    <t>Se repasó el query 12 de la Funcionalidad 7 para optimizarlo con ayuda de la herramienta</t>
  </si>
  <si>
    <t>Se repasó el query 12 de la Funcionalidad 7 para optimizarlo con ayuda de la herramienta Toad</t>
  </si>
  <si>
    <t>Si se encuentra mejora, se actualiza query mejorado en procedimiento 'FUNC7DETSOLDASHUTGI_ESTADISTOCUPXIDSOL_QF7Q12'</t>
  </si>
  <si>
    <t>Si se encuentra mejora a menor costo, se actualiza query mejorado en procedimiento 'FUNC7DETSOLDASHUTGI_ESTADISTOCUPXIDSOL_QF7Q12' de la Funcionalidad 7</t>
  </si>
  <si>
    <t>Se repasó el query 13 de la Funcionalidad 7 para optimizarlo con ayuda de la herramienta Toad</t>
  </si>
  <si>
    <t>Si se encuentra mejora, se actualiza query mejorado en procedimiento 'FUNC7DETSOLDASHUTGI_ACCESIBILIDAD_QF7Q13'</t>
  </si>
  <si>
    <t>Si se encuentra mejora a menor costo, se actualiza query mejorado en procedimiento 'FUNC7DETSOLDASHUTGI_ACCESIBILIDAD_QF7Q13' de la Funcionalidad 7</t>
  </si>
  <si>
    <t>Se repasó el query 14 de la Funcionalidad 7 para optimizarlo con ayuda de la herramienta</t>
  </si>
  <si>
    <t>Se repasó el query 14 de la Funcionalidad 7 para optimizarlo con ayuda de la herramienta Toad</t>
  </si>
  <si>
    <t>Si se encuentra mejora, se actualiza query mejorado en procedimiento 'FUNC7DETSOLDASHUTGI_LEYEIDRESP_QF7Q14'</t>
  </si>
  <si>
    <t>Si se encuentra mejora a menor costo, se actualiza query mejorado en procedimiento 'FUNC7DETSOLDASHUTGI_LEYEIDRESP_QF7Q14' de la Funcionalidad 7</t>
  </si>
  <si>
    <t>Se repasó el query 1 de la Funcionalidad 9 para optimizarlo con ayuda de la herramienta</t>
  </si>
  <si>
    <t>Se repasó el query 1 de la Funcionalidad 9 para optimizarlo con ayuda de la herramienta Toad</t>
  </si>
  <si>
    <t>Si se encuentra mejora, se actualiza query mejorado en procedimiento 'FUNC9RESPUESTASPOSIBL_UT_QF9'</t>
  </si>
  <si>
    <t>Si se encuentra mejora a menor costo, se actualiza query mejorado en procedimiento 'FUNC9RESPUESTASPOSIBL_UT_QF9' de la Funcionalidad 9</t>
  </si>
  <si>
    <t>Se repasó el query 1 de la Funcionalidad 11 para optimizarlo con ayuda de la herramienta</t>
  </si>
  <si>
    <t>Se repasó el query 1 de la Funcionalidad 11 para optimizarlo con ayuda de la herramienta Toad</t>
  </si>
  <si>
    <t>Si se encuentra mejora, se actualiza query mejorado en procedimiento 'FUNC11TURNAFOLIOUNIAD_SOLIXSOLDEPEN_QF11Q1'</t>
  </si>
  <si>
    <t>Si se encuentra mejora a menor costo, se actualiza query mejorado en procedimiento 'FUNC11TURNAFOLIOUNIAD_SOLIXSOLDEPEN_QF11Q1' de la Funcionalidad 11</t>
  </si>
  <si>
    <t>Se repasó el query 2 de la Funcionalidad 11 para optimizarlo con ayuda de la herramienta</t>
  </si>
  <si>
    <t>Se repasó el query 2 de la Funcionalidad 11 para optimizarlo con ayuda de la herramienta Toad</t>
  </si>
  <si>
    <t>Si se encuentra mejora, se actualiza query mejorado en procedimiento 'FUNC11TURNAFOLIOUNIAD_CONFIGPLAZOSO_QF11Q2'</t>
  </si>
  <si>
    <t>Si se encuentra mejora a menor costo, se actualiza query mejorado en procedimiento 'FUNC11TURNAFOLIOUNIAD_CONFIGPLAZOSO_QF11Q2' de la Funcionalidad 11</t>
  </si>
  <si>
    <t>Se repasó el query 3 de la Funcionalidad 11 para optimizarlo con ayuda de la herramienta Toad</t>
  </si>
  <si>
    <t>Si se encuentra mejora, se actualiza query mejorado en procedimiento 'FUNC11TURNAFOLIOUNIAD_CONFIPROCXORGGTE_QF11Q3'</t>
  </si>
  <si>
    <t>Si se encuentra mejora a menor costo, se actualiza query mejorado en procedimiento 'FUNC11TURNAFOLIOUNIAD_CONFIPROCXORGGTE_QF11Q3' de la Funcionalidad 11</t>
  </si>
  <si>
    <t>Se repasó el query 2 de la Funcionalidad 12 para optimizarlo con ayuda de la herramienta Toad</t>
  </si>
  <si>
    <t>Si se encuentra mejora, se actualiza query mejorado en procedimiento 'FUNC12DASHBOARDFOLIOPENDRPTASEFOLCOMTRANSPA_QF12Q2'</t>
  </si>
  <si>
    <t>Si se encuentra mejora a menor costo, se actualiza query mejorado en procedimiento 'FUNC12DASHBOARDFOLIOPENDRPTASEFOLCOMTRANSPA_QF12Q2' de la Funcionalidad 12</t>
  </si>
  <si>
    <t>Se repasó el query 3 de la Funcionalidad 12 para optimizarlo con ayuda de la herramienta</t>
  </si>
  <si>
    <t>Se repasó el query 3 de la Funcionalidad 12 para optimizarlo con ayuda de la herramienta Toad</t>
  </si>
  <si>
    <t>Si se encuentra mejora, se actualiza query mejorado en procedimiento 'FUNC12DASHBOARDFOLIOPENDRPTASNOTERMIDIATRANS_QF12Q3'</t>
  </si>
  <si>
    <t>Si se encuentra mejora a menor costo, se actualiza query mejorado en procedimiento 'FUNC12DASHBOARDFOLIOPENDRPTASNOTERMIDIATRANS_QF12Q3' de la Funcionalidad 12</t>
  </si>
  <si>
    <t>Se repasó el query 4 de la Funcionalidad 12 para optimizarlo con ayuda de la herramienta</t>
  </si>
  <si>
    <t>Se repasó el query 4 de la Funcionalidad 12 para optimizarlo con ayuda de la herramienta Toad</t>
  </si>
  <si>
    <t>Si se encuentra mejora, se actualiza query mejorado en procedimiento 'FUNC12DASHBOARDFOLIOPENDRPTASLTADIAINHABIL_QF12Q4'</t>
  </si>
  <si>
    <t>Si se encuentra mejora a menor costo, se actualiza query mejorado en procedimiento 'FUNC12DASHBOARDFOLIOPENDRPTASLTADIAINHABIL_QF12Q4' de la Funcionalidad 12</t>
  </si>
  <si>
    <t>Se repasó el query 3 de la Funcionalidad 13 para optimizarlo con ayuda de la herramienta</t>
  </si>
  <si>
    <t>Se repasó el query 3 de la Funcionalidad 13 para optimizarlo con ayuda de la herramienta Toad</t>
  </si>
  <si>
    <t>Si se encuentra mejora, se actualiza query mejorado en procedimiento 'FUNC13SEGUISUBFOLIOUAADJUNTCFLUJOSEGUISUFL_QF13Q3'</t>
  </si>
  <si>
    <t>Si se encuentra mejora a menor costo, se actualiza query mejorado en procedimiento 'FUNC13SEGUISUBFOLIOUAADJUNTCFLUJOSEGUISUFL_QF13Q3' de la Funcionalidad 13</t>
  </si>
  <si>
    <t>Se tuvó platica con Samuel para comentarle todo lo trabajado sobre los Querys Sisay</t>
  </si>
  <si>
    <t>Se tuvó platica con Samuel para comentarle todo lo trabajado sobre los Querys Sisay, se realizaron un total de 28 procedimientos y se validaron las ejecuciones en bloques anonimos, para visualizar la información que devuelve el proceso</t>
  </si>
  <si>
    <t>Se tuvó platica con Samuel para verificar los pasos siguientes</t>
  </si>
  <si>
    <t>Se tuvó platica con Samuel para verificar los pasos siguientes, sobre los querys del Sigemi</t>
  </si>
  <si>
    <t>Se revisó documento compartido por Samuel</t>
  </si>
  <si>
    <t>Se revisó documento compartido por Samuel para documentar los procedimientos creados</t>
  </si>
  <si>
    <t>https://ifai-my.sharepoint.com/:w:/r/personal/samuel_partida_inai_org_mx/_layouts/15/Doc.aspx?sourcedoc=%7B7B4B462A-5BD6-4703-9C97-9263404EF901%7D&amp;file=PRO-AA-NN-P29-Reporte%20de%20Actividades.docx&amp;action=default&amp;mobileredirect=true</t>
  </si>
  <si>
    <t>Se comenzó a llenar el documento 'PRO-AA-NN-P29-Reporte de Actividades'</t>
  </si>
  <si>
    <t>Se comenzó a llenar el documento 'PRO-AA-NN-P29-Reporte de Actividades' con el Antecedente, Objetivo del Documento e Información del Proyecto</t>
  </si>
  <si>
    <t>Se detalló el contenido del reporte en el documento 'PRO-AA-NN-P29-Reporte de Actividades'</t>
  </si>
  <si>
    <t>Se detalló el contenido del reporte en el documento 'PRO-AA-NN-P29-Reporte de Actividades' y se nombró el paquete 'SISAI.PACK_SISAI2' creado</t>
  </si>
  <si>
    <t>https://ifai-my.sharepoint.com/:w:/r/personal/samuel_partida_inai_org_mx/_layouts/15/Doc.aspx?sourcedoc=%7B92F2CF33-67E3-4DC2-9E3B-3E37B65C844D%7D&amp;file=PRO-AA-NN-P29-Reporte%20de%20Actividades%20NRG_210823.docx&amp;action=default&amp;mobileredirect=true</t>
  </si>
  <si>
    <t>Se documentó el Query 1 de la Funcionalidad 1 en el documento 'PRO-AA-NN-P29-Reporte de Actividades'</t>
  </si>
  <si>
    <t>Se documentó el Query 1 de la Funcionalidad 1 en el documento 'PRO-AA-NN-P29-Reporte de Actividades' con el procedimiento FUNC1DASHBOARDMISSOLICITUDES_QF1</t>
  </si>
  <si>
    <t>Se documentó que para la Funcionalidad 2 no se registró query porque se mejorará desde el aplicativo</t>
  </si>
  <si>
    <t>Se documentó el Query 1 de la Funcionalidad 3 en el documento 'PRO-AA-NN-P29-Reporte de Actividades'</t>
  </si>
  <si>
    <t>Se documentó el Query 1 de la Funcionalidad 3 en el documento 'PRO-AA-NN-P29-Reporte de Actividades' con el procedimiento FUNC3DETSOLDASH_SOLICDEPEN_QF3Q1</t>
  </si>
  <si>
    <t>Se documentó el Query 2 de la Funcionalidad 3 en el documento 'PRO-AA-NN-P29-Reporte de Actividades'</t>
  </si>
  <si>
    <t>Se documentó el Query 2 de la Funcionalidad 3 en el documento 'PRO-AA-NN-P29-Reporte de Actividades' con el procedimiento FUNC3DETSOLDASH_ADJUNTXSOLIC_QF3Q2</t>
  </si>
  <si>
    <t>Se documentó el Query 3 de la Funcionalidad 3 en el documento 'PRO-AA-NN-P29-Reporte de Actividades'</t>
  </si>
  <si>
    <t>Se documentó el Query 3 de la Funcionalidad 3 en el documento 'PRO-AA-NN-P29-Reporte de Actividades' con el procedimiento FUNC3DETSOLDASH_RESPUXSOLICDEP_QF3Q3</t>
  </si>
  <si>
    <t>Se documentó el Query 4 de la Funcionalidad 3 en el documento 'PRO-AA-NN-P29-Reporte de Actividades'</t>
  </si>
  <si>
    <t>Se documentó el Query 4 de la Funcionalidad 3 en el documento 'PRO-AA-NN-P29-Reporte de Actividades' con el procedimiento FUNC3DETSOLDASH_ADJUNTOXIDRESP_QF3Q4</t>
  </si>
  <si>
    <t>Se documentó el Query 5 de la Funcionalidad 3 en el documento 'PRO-AA-NN-P29-Reporte de Actividades'</t>
  </si>
  <si>
    <t>Se documentó el Query 5 de la Funcionalidad 3 en el documento 'PRO-AA-NN-P29-Reporte de Actividades' con el procedimiento FUNC3DETSOLDASH_NOTIFDISPONIBXRESP_QF3Q5</t>
  </si>
  <si>
    <t>Se documentó el Query 6 de la Funcionalidad 3 en el documento 'PRO-AA-NN-P29-Reporte de Actividades'</t>
  </si>
  <si>
    <t>Se documentó el Query 6 de la Funcionalidad 3 en el documento 'PRO-AA-NN-P29-Reporte de Actividades' con el procedimiento FUNC3DETSOLDASH_COMPETENXRESP_QF3Q6</t>
  </si>
  <si>
    <t>Se documentó que para la Funcionalidad 4 no se registró query porque ya lo estan desarrollando</t>
  </si>
  <si>
    <t>Se documentó el Query 1 de la Funcionalidad 5 en el documento 'PRO-AA-NN-P29-Reporte de Actividades'</t>
  </si>
  <si>
    <t>Se documentó el Query 1 de la Funcionalidad 5 en el documento 'PRO-AA-NN-P29-Reporte de Actividades' con el procedimiento FUNC5EXPORTARSOLICITUDES_QF5</t>
  </si>
  <si>
    <t>Se documentó el Query 1 de la Funcionalidad 6 en el documento 'PRO-AA-NN-P29-Reporte de Actividades'</t>
  </si>
  <si>
    <t>Se documentó el Query 1 de la Funcionalidad 6 en el documento 'PRO-AA-NN-P29-Reporte de Actividades' con el procedimiento FUNC6DASHBOARDRECSOLICIT_UT_QF6</t>
  </si>
  <si>
    <t xml:space="preserve">Se documentó que para el Query 1 de la Funcionalidad 7 se reutilzá  procedimiento </t>
  </si>
  <si>
    <t>Se documentó que para el Query 1 de la Funcionalidad 7 se reutilzá el procedimiento FUNC3DETSOLDASH_SOLICDEPEN_QF3Q1, en el documento 'PRO-AA-NN-P29-Reporte de Actividades'</t>
  </si>
  <si>
    <t xml:space="preserve">Se documentó que para el Query 2 de la Funcionalidad 7 se reutilzá procedimiento </t>
  </si>
  <si>
    <t>Se documentó que para el Query 2 de la Funcionalidad 7 se reutilzá el procedimiento FUNC3DETSOLDASH_ADJUNTXSOLIC_QF3Q2, en el documento 'PRO-AA-NN-P29-Reporte de Actividades'</t>
  </si>
  <si>
    <t>Se documentó el Query 3 de la Funcionalidad 7 en el documento 'PRO-AA-NN-P29-Reporte de Actividades'</t>
  </si>
  <si>
    <t>Se documentó el Query 3 de la Funcionalidad 7 en el documento 'PRO-AA-NN-P29-Reporte de Actividades' con el procedimiento FUNC7DETSOLDASHUTGI_ADJUNTOXIDSOLINT_QF7Q3</t>
  </si>
  <si>
    <t>Se documentó el Query 4 de la Funcionalidad 7 en el documento 'PRO-AA-NN-P29-Reporte de Actividades'</t>
  </si>
  <si>
    <t>Se documentó el Query 4 de la Funcionalidad 7 en el documento 'PRO-AA-NN-P29-Reporte de Actividades' con el procedimiento FUNC7DETSOLDASHUTGI_SOLGIXSOLDEPEN_QF7Q4</t>
  </si>
  <si>
    <t xml:space="preserve">Se documentó que para el Query 5 de la Funcionalidad 7 se reutilzá el procedimiento </t>
  </si>
  <si>
    <t>Se documentó que para el Query 5 de la Funcionalidad 7 se reutilzá el procedimiento FUNC3DETSOLDASH_RESPUXSOLICDEP_QF3Q3, en el documento 'PRO-AA-NN-P29-Reporte de Actividades'</t>
  </si>
  <si>
    <t>Se documentó el Query 6 de la Funcionalidad 7 en el documento 'PRO-AA-NN-P29-Reporte de Actividades'</t>
  </si>
  <si>
    <t>Se documentó el Query 6 de la Funcionalidad 7 en el documento 'PRO-AA-NN-P29-Reporte de Actividades' con el procedimiento FUNC7DETSOLDASHUTGI_SOLESTADISTICO_QF7Q6</t>
  </si>
  <si>
    <t>Se documentó el Query 7 de la Funcionalidad 7 en el documento 'PRO-AA-NN-P29-Reporte de Actividades'</t>
  </si>
  <si>
    <t>Se documentó el Query 7 de la Funcionalidad 7 en el documento 'PRO-AA-NN-P29-Reporte de Actividades' con el procedimiento FUNC7DETSOLDASHUTGI_SOLXACCESIBILIDAD_QF7Q7</t>
  </si>
  <si>
    <t xml:space="preserve">Se documentó que para el Query 8 de la Funcionalidad 7 se reutilzá el procedimiento </t>
  </si>
  <si>
    <t>Se documentó que para el Query 8 de la Funcionalidad 7 se reutilzá el procedimiento FUNC3DETSOLDASH_ADJUNTOXIDRESP_QF3Q4, en el documento 'PRO-AA-NN-P29-Reporte de Actividades'</t>
  </si>
  <si>
    <t>Se documentó que para el Query 9 de la Funcionalidad 7 se reutilzá el procedimiento</t>
  </si>
  <si>
    <t>Se documentó que para el Query 9 de la Funcionalidad 7 se reutilzá el procedimiento FUNC3DETSOLDASH_NOTIFDISPONIBXRESP_QF3Q5, en el documento 'PRO-AA-NN-P29-Reporte de Actividades'</t>
  </si>
  <si>
    <t>Se documentó que para el Query 10 de la Funcionalidad 7 se reutilzá el procedimiento</t>
  </si>
  <si>
    <t>Se documentó que para el Query 10 de la Funcionalidad 7 se reutilzá el procedimiento FUNC3DETSOLDASH_COMPETENXRESP_QF3Q6, en el documento 'PRO-AA-NN-P29-Reporte de Actividades'</t>
  </si>
  <si>
    <t>Se documentó el Query 11 de la Funcionalidad 7 en el documento 'PRO-AA-NN-P29-Reporte de Actividades'</t>
  </si>
  <si>
    <t>Se documentó el Query 11 de la Funcionalidad 7 en el documento 'PRO-AA-NN-P29-Reporte de Actividades' con el procedimiento FUNC7DETSOLDASHUTGI_SOLDATPERSOXSOLDEP_QF7Q11</t>
  </si>
  <si>
    <t>Se documentó el Query 12 de la Funcionalidad 7 en el documento 'PRO-AA-NN-P29-Reporte de Actividades'</t>
  </si>
  <si>
    <t>Se documentó el Query 12 de la Funcionalidad 7 en el documento 'PRO-AA-NN-P29-Reporte de Actividades' con el procedimiento FUNC7DETSOLDASHUTGI_ESTADISTOCUPXIDSOL_QF7Q12</t>
  </si>
  <si>
    <t>Se documentó el Query 13 de la Funcionalidad 7 en el documento 'PRO-AA-NN-P29-Reporte de Actividades'</t>
  </si>
  <si>
    <t>Se documentó el Query 13 de la Funcionalidad 7 en el documento 'PRO-AA-NN-P29-Reporte de Actividades' con el procedimiento FUNC7DETSOLDASHUTGI_ACCESIBILIDAD_QF7Q13</t>
  </si>
  <si>
    <t>Se documentó el Query 14 de la Funcionalidad 7 en el documento 'PRO-AA-NN-P29-Reporte de Actividades'</t>
  </si>
  <si>
    <t>Se documentó el Query 14 de la Funcionalidad 7 en el documento 'PRO-AA-NN-P29-Reporte de Actividades' con el procedimiento FUNC7DETSOLDASHUTGI_LEYEIDRESP_QF7Q14</t>
  </si>
  <si>
    <t>Se documentó el Query 1 de la Funcionalidad 8 en el documento 'PRO-AA-NN-P29-Reporte de Actividades'</t>
  </si>
  <si>
    <t>Se documentó el Query 1 de la Funcionalidad 8 en el documento 'PRO-AA-NN-P29-Reporte de Actividades' con el procedimiento FUNC8EXPORTARSOLICITUDUTEXCEL_QF8</t>
  </si>
  <si>
    <t>Se documentó el Query 1 de la Funcionalidad 9 en el documento 'PRO-AA-NN-P29-Reporte de Actividades'</t>
  </si>
  <si>
    <t>Se documentó el Query 1 de la Funcionalidad 9 en el documento 'PRO-AA-NN-P29-Reporte de Actividades' con el procedimiento FUNC9RESPUESTASPOSIBL_UT_QF9</t>
  </si>
  <si>
    <t>Se documentó el Query 1 de la Funcionalidad 10 en el documento 'PRO-AA-NN-P29-Reporte de Actividades'</t>
  </si>
  <si>
    <t>Se documentó el Query 1 de la Funcionalidad 10 en el documento 'PRO-AA-NN-P29-Reporte de Actividades' con el procedimiento FUNC10DASHBOARDRECEPSOLICI_GIUT_QF10</t>
  </si>
  <si>
    <t>Se documentó el Query 1 de la Funcionalidad 11 en el documento 'PRO-AA-NN-P29-Reporte de Actividades'</t>
  </si>
  <si>
    <t>Se documentó el Query 1 de la Funcionalidad 11 en el documento 'PRO-AA-NN-P29-Reporte de Actividades' con el procedimiento FUNC11TURNAFOLIOUNIAD_SOLIXSOLDEPEN_QF11Q1</t>
  </si>
  <si>
    <t>Se documentó el Query 2 de la Funcionalidad 11 en el documento 'PRO-AA-NN-P29-Reporte de Actividades'</t>
  </si>
  <si>
    <t>Se documentó el Query 2 de la Funcionalidad 11 en el documento 'PRO-AA-NN-P29-Reporte de Actividades' con el procedimiento FUNC11TURNAFOLIOUNIAD_CONFIGPLAZOSO_QF11Q2</t>
  </si>
  <si>
    <t>Se documentó el Query 3 de la Funcionalidad 11 en el documento 'PRO-AA-NN-P29-Reporte de Actividades'</t>
  </si>
  <si>
    <t>Se documentó el Query 3 de la Funcionalidad 11 en el documento 'PRO-AA-NN-P29-Reporte de Actividades' con el procedimiento FUNC11TURNAFOLIOUNIAD_CONFIPROCXORGGTE_QF11Q3</t>
  </si>
  <si>
    <t>Se documentó que para el Query 4 de la Funcionalidad 11 se reutilzá el procedimiento</t>
  </si>
  <si>
    <t>Se documentó que para el Query 4 de la Funcionalidad 11 se reutilzá el procedimiento FUNC7DETSOLDASHUTGI_SOLGIXSOLDEPEN_QF7Q4, en el documento 'PRO-AA-NN-P29-Reporte de Actividades'</t>
  </si>
  <si>
    <t>Se documentó el Query 1 de la Funcionalidad 12 en el documento 'PRO-AA-NN-P29-Reporte de Actividades'</t>
  </si>
  <si>
    <t>Se documentó el Query 1 de la Funcionalidad 12 en el documento 'PRO-AA-NN-P29-Reporte de Actividades' con el procedimiento FUNC12DASHBOARDFOLIOPENDRPTAUNIADM_QF12Q1</t>
  </si>
  <si>
    <t>Se documentó el Query 2 de la Funcionalidad 12 en el documento 'PRO-AA-NN-P29-Reporte de Actividades'</t>
  </si>
  <si>
    <t>Se documentó el Query 2 de la Funcionalidad 12 en el documento 'PRO-AA-NN-P29-Reporte de Actividades' con el procedimiento FUNC12DASHBOARDFOLIOPENDRPTASEFOLCOMTRANSPA_QF12Q2</t>
  </si>
  <si>
    <t>Se documentó el Query 3 de la Funcionalidad 12 en el documento 'PRO-AA-NN-P29-Reporte de Actividades'</t>
  </si>
  <si>
    <t>Se documentó el Query 3 de la Funcionalidad 12 en el documento 'PRO-AA-NN-P29-Reporte de Actividades' con el procedimiento FUNC12DASHBOARDFOLIOPENDRPTASNOTERMIDIATRANS_QF12Q3</t>
  </si>
  <si>
    <t>Se documentó el Query 4 de la Funcionalidad 12 en el documento 'PRO-AA-NN-P29-Reporte de Actividades'</t>
  </si>
  <si>
    <t>Se documentó el Query 4 de la Funcionalidad 12 en el documento 'PRO-AA-NN-P29-Reporte de Actividades' con el procedimiento FUNC12DASHBOARDFOLIOPENDRPTASLTADIAINHABIL_QF12Q4</t>
  </si>
  <si>
    <t>Se documentó que para el Query 1 de la Funcionalidad 13 se reutilzá el procedimiento</t>
  </si>
  <si>
    <t>Se documentó que para el Query 1 de la Funcionalidad 13 se reutilzá el procedimiento FUNC7DETSOLDASHUTGI_SOLGIXSOLDEPEN_QF7Q4, en el documento 'PRO-AA-NN-P29-Reporte de Actividades'</t>
  </si>
  <si>
    <t>Se documentó que para el Query 2 de la Funcionalidad 13 se reutilzá el procedimiento</t>
  </si>
  <si>
    <t>Se documentó que para el Query 2 de la Funcionalidad 13 se reutilzá el procedimiento FUNC12DASHBOARDFOLIOPENDRPTASEFOLCOMTRANSPA_QF12Q2, en el documento 'PRO-AA-NN-P29-Reporte de Actividades'</t>
  </si>
  <si>
    <t>Se documentó el Query 3 de la Funcionalidad 13 en el documento 'PRO-AA-NN-P29-Reporte de Actividades'</t>
  </si>
  <si>
    <t>Se documentó el Query 3 de la Funcionalidad 13 en el documento 'PRO-AA-NN-P29-Reporte de Actividades' con el procedimiento FUNC13SEGUISUBFOLIOUAADJUNTCFLUJOSEGUISUFL_QF13Q3</t>
  </si>
  <si>
    <t>Se documentó que para el Query 1 de la Funcionalidad 14 se reutilzá el procedimiento</t>
  </si>
  <si>
    <t>Se documentó que para el Query 1 de la Funcionalidad 14 se reutilzá el procedimiento FUNC11TURNAFOLIOUNIAD_SOLIXSOLDEPEN_QF11Q1, en el documento 'PRO-AA-NN-P29-Reporte de Actividades'</t>
  </si>
  <si>
    <t>Se documentó que para el Query 2 de la Funcionalidad 14 se reutilzá el procedimiento</t>
  </si>
  <si>
    <t>Se documentó que para el Query 2 de la Funcionalidad 14 se reutilzá el procedimiento FUNC12DASHBOARDFOLIOPENDRPTASEFOLCOMTRANSPA_QF12Q2, en el documento 'PRO-AA-NN-P29-Reporte de Actividades'</t>
  </si>
  <si>
    <t>Se documentó que para el Query 3 de la Funcionalidad 14 se reutilzá el procedimiento</t>
  </si>
  <si>
    <t>Se documentó que para el Query 3 de la Funcionalidad 14 se reutilzá el procedimiento FUNC11TURNAFOLIOUNIAD_SOLIXSOLDEPEN_QF11Q1, en el documento 'PRO-AA-NN-P29-Reporte de Actividades'</t>
  </si>
  <si>
    <t>Se documentó el Query 1 de la Funcionalidad 15 en el documento 'PRO-AA-NN-P29-Reporte de Actividades'</t>
  </si>
  <si>
    <t>Se documentó el Query 1 de la Funcionalidad 15 en el documento 'PRO-AA-NN-P29-Reporte de Actividades' con el procedimiento FUNC15DASHSOLASIGXUTSOLPENXCONTUA_QF15Q1</t>
  </si>
  <si>
    <t>Se documentó que para el Query 2 de la Funcionalidad 15 se reutilzá el procedimiento</t>
  </si>
  <si>
    <t>Se documentó que para el Query 2 de la Funcionalidad 15 se reutilzá el procedimiento FUNC7DETSOLDASHUTGI_SOLGIXSOLDEPEN_QF7Q4, en el documento 'PRO-AA-NN-P29-Reporte de Actividades'</t>
  </si>
  <si>
    <t>Se documentó que para el Query 3 de la Funcionalidad 15 se reutilzá el procedimiento</t>
  </si>
  <si>
    <t>Se documentó que para el Query 3 de la Funcionalidad 15 se reutilzá el procedimiento FUNC12DASHBOARDFOLIOPENDRPTASNOTERMIDIATRANS_QF12Q3, en el documento 'PRO-AA-NN-P29-Reporte de Actividades'</t>
  </si>
  <si>
    <t>Se documentó que para el Query 4 de la Funcionalidad 15 se reutilzá el procedimiento</t>
  </si>
  <si>
    <t>Se documentó que para el Query 4 de la Funcionalidad 15 se reutilzá el procedimiento FUNC12DASHBOARDFOLIOPENDRPTASLTADIAINHABIL_QF12Q4’, en el documento 'PRO-AA-NN-P29-Reporte de Actividades'</t>
  </si>
  <si>
    <t>Se documentó que para el Query 1 de la Funcionalidad 16 se reutilzá el procedimiento</t>
  </si>
  <si>
    <t>Se documentó que para el Query 1 de la Funcionalidad 16 se reutilzá el procedimiento FUNC7DETSOLDASHUTGI_SOLGIXSOLDEPEN_QF7Q4, en el documento 'PRO-AA-NN-P29-Reporte de Actividades'</t>
  </si>
  <si>
    <t xml:space="preserve">Se documentó que para el Query 2 de la Funcionalidad 16 se reutilzá el procedimiento </t>
  </si>
  <si>
    <t>Se documentó que para el Query 2 de la Funcionalidad 16 se reutilzá el procedimiento FUNC12DASHBOARDFOLIOPENDRPTASEFOLCOMTRANSPA_QF12Q2, en el documento 'PRO-AA-NN-P29-Reporte de Actividades'</t>
  </si>
  <si>
    <t>Se documentó que para el Query 3 de la Funcionalidad 16 se reutilzá el procedimiento</t>
  </si>
  <si>
    <t>Se documentó que para el Query 3 de la Funcionalidad 16 se reutilzá el procedimiento FUNC11TURNAFOLIOUNIAD_SOLIXSOLDEPEN_QF11Q1’, en el documento 'PRO-AA-NN-P29-Reporte de Actividades'</t>
  </si>
  <si>
    <t>Se revisa documentación sobre Simple Oracle Document Access (SODA)</t>
  </si>
  <si>
    <t>https://docs.oracle.com/en/database/oracle/simple-oracle-document-access/</t>
  </si>
  <si>
    <t>Se revisarón los ultimos detalles en lo documentado del Query 1 de la Funcionalidad 1</t>
  </si>
  <si>
    <t>Se revisarón los ultimos detalles en lo documentado del Query 1 de la Funcionalidad 1 en el documento 'PRO-AA-NN-P29-Reporte de Actividades'</t>
  </si>
  <si>
    <t>Se revisarón los ultimos detalles en lo documentado de los Querys del 1 al 3 de la Funcionalidad 3</t>
  </si>
  <si>
    <t>Se revisarón los ultimos detalles en lo documentado de los Querys del 1 al 3 de la Funcionalidad 3 en el documento 'PRO-AA-NN-P29-Reporte de Actividades'</t>
  </si>
  <si>
    <t>Se revisarón los ultimos detalles en lo documentado de los Querys del 4 al 6 de la Funcionalidad 3</t>
  </si>
  <si>
    <t>Se revisarón los ultimos detalles en lo documentado de los Querys del 4 al 6 de la Funcionalidad 3 en el documento 'PRO-AA-NN-P29-Reporte de Actividades'</t>
  </si>
  <si>
    <t>Se revisarón los ultimos detalles en lo documentado del Query 1 de la Funcionalidad 5</t>
  </si>
  <si>
    <t>Se revisarón los ultimos detalles en lo documentado del Query 1 de la Funcionalidad 5 en el documento 'PRO-AA-NN-P29-Reporte de Actividades'</t>
  </si>
  <si>
    <t>Se revisarón los ultimos detalles en lo documentado del Query 1 de la Funcionalidad 6</t>
  </si>
  <si>
    <t>Se revisarón los ultimos detalles en lo documentado del Query 1 de la Funcionalidad 6 en el documento 'PRO-AA-NN-P29-Reporte de Actividades'</t>
  </si>
  <si>
    <t>Se revisarón los ultimos detalles en lo documentado de los Querys del 1 al 3 de la Funcionalidad 7</t>
  </si>
  <si>
    <t>Se revisarón los ultimos detalles en lo documentado de los Querys del 1 al 3 de la Funcionalidad 7 en el documento 'PRO-AA-NN-P29-Reporte de Actividades'</t>
  </si>
  <si>
    <t>Se revisarón los ultimos detalles en lo documentado de los Querys del 4 al 6 de la Funcionalidad 7</t>
  </si>
  <si>
    <t>Se revisarón los ultimos detalles en lo documentado de los Querys del 4 al 6 de la Funcionalidad 7 en el documento 'PRO-AA-NN-P29-Reporte de Actividades'</t>
  </si>
  <si>
    <t>Se revisarón los ultimos detalles en lo documentado de los Querys del 7 al 9 de la Funcionalidad 7</t>
  </si>
  <si>
    <t>Se revisarón los ultimos detalles en lo documentado de los Querys del 7 al 9 de la Funcionalidad 7 en el documento 'PRO-AA-NN-P29-Reporte de Actividades'</t>
  </si>
  <si>
    <t>Se revisarón los ultimos detalles en lo documentado de los Querys del 10 al 14 de la Funcionalidad 7</t>
  </si>
  <si>
    <t>Se revisarón los ultimos detalles en lo documentado de los Querys del 10 al 14 de la Funcionalidad 7 en el documento 'PRO-AA-NN-P29-Reporte de Actividades'</t>
  </si>
  <si>
    <t>Se revisarón los ultimos detalles en lo documentado de los Query 1 de la Funcionalidad 8</t>
  </si>
  <si>
    <t>Se revisarón los ultimos detalles en lo documentado de los Query 1 de la Funcionalidad 8 en el documento 'PRO-AA-NN-P29-Reporte de Actividades'</t>
  </si>
  <si>
    <t>Se revisarón los ultimos detalles en lo documentado de los Query 1 de la Funcionalidad 9</t>
  </si>
  <si>
    <t>Se revisarón los ultimos detalles en lo documentado de los Query 1 de la Funcionalidad 9 en el documento 'PRO-AA-NN-P29-Reporte de Actividades'</t>
  </si>
  <si>
    <t>Se revisarón los ultimos detalles en lo documentado de los Query 1 de la Funcionalidad 10</t>
  </si>
  <si>
    <t>Se revisarón los ultimos detalles en lo documentado de los Query 1 de la Funcionalidad 10 en el documento 'PRO-AA-NN-P29-Reporte de Actividades'</t>
  </si>
  <si>
    <t>Se revisarón los ultimos detalles en lo documentado de los Querys 1 y 2 de la Funcionalidad 11</t>
  </si>
  <si>
    <t>Se revisarón los ultimos detalles en lo documentado de los Querys 1 y 2 de la Funcionalidad 11 en el documento 'PRO-AA-NN-P29-Reporte de Actividades'</t>
  </si>
  <si>
    <t>Se revisarón los ultimos detalles en lo documentado de los Querys 3 y 4 de la Funcionalidad 11</t>
  </si>
  <si>
    <t>Se revisarón los ultimos detalles en lo documentado de los Querys 3 y 4 de la Funcionalidad 11 en el documento 'PRO-AA-NN-P29-Reporte de Actividades'</t>
  </si>
  <si>
    <t>Se revisarón los ultimos detalles en lo documentado de los Querys 1 y 2 de la Funcionalidad 12</t>
  </si>
  <si>
    <t>Se revisarón los ultimos detalles en lo documentado de los Querys 1 y 2 de la Funcionalidad 12 en el documento 'PRO-AA-NN-P29-Reporte de Actividades'</t>
  </si>
  <si>
    <t>Se revisarón los ultimos detalles en lo documentado de los Querys 3 y 4 de la Funcionalidad 12</t>
  </si>
  <si>
    <t>Se revisarón los ultimos detalles en lo documentado de los Querys 3 y 4 de la Funcionalidad 12 en el documento 'PRO-AA-NN-P29-Reporte de Actividades'</t>
  </si>
  <si>
    <t>Se revisarón los ultimos detalles en lo documentado de los Querys del 1 al 3 de la Funcionalidad 13</t>
  </si>
  <si>
    <t>Se revisarón los ultimos detalles en lo documentado de los Querys del 1 al 3 de la Funcionalidad 13 en el documento 'PRO-AA-NN-P29-Reporte de Actividades'</t>
  </si>
  <si>
    <t>Se revisarón los ultimos detalles en lo documentado de los Querys del 1 al 3 de la Funcionalidad 14</t>
  </si>
  <si>
    <t>Se revisarón los ultimos detalles en lo documentado de los Querys del 1 al 3 de la Funcionalidad 14 en el documento 'PRO-AA-NN-P29-Reporte de Actividades'</t>
  </si>
  <si>
    <t>Se revisarón los ultimos detalles en lo documentado de los Querys 1 y 2 de la Funcionalidad 15</t>
  </si>
  <si>
    <t>Se revisarón los ultimos detalles en lo documentado de los Querys 1 y 2 de la Funcionalidad 15 en el documento 'PRO-AA-NN-P29-Reporte de Actividades'</t>
  </si>
  <si>
    <t>Se revisarón los ultimos detalles en lo documentado de los Querys 3 y 4 de la Funcionalidad 15</t>
  </si>
  <si>
    <t>Se revisarón los ultimos detalles en lo documentado de los Querys 3 y 4 de la Funcionalidad 15 en el documento 'PRO-AA-NN-P29-Reporte de Actividades'</t>
  </si>
  <si>
    <t>Se revisarón los ultimos detalles en lo documentado de los Querys del 1 al 3 de la Funcionalidad 16</t>
  </si>
  <si>
    <t>Se revisarón los ultimos detalles en lo documentado de los Querys del 1 al 3 de la Funcionalidad 16 en el documento 'PRO-AA-NN-P29-Reporte de Actividades'</t>
  </si>
  <si>
    <t>Se revisó documentación '1. Overview of SODA' de liga compartida</t>
  </si>
  <si>
    <t>Se revisó documentación '1. Overview of SODA' de liga compartida de Simple Oracle Document Access (SODA)</t>
  </si>
  <si>
    <t>https://docs.oracle.com/en/database/oracle/simple-oracle-document-access/adsdi/overview-soda.html#GUID-BE42F8D3-B86B-43B4-B2A3-5760A4DF79FB</t>
  </si>
  <si>
    <t>Se revisó documentación '1.1 Overview of SODA Documents' de liga compartida</t>
  </si>
  <si>
    <t>Se revisó documentación '1.1 Overview of SODA Documents' de liga compartida de Simple Oracle Document Access (SODA)</t>
  </si>
  <si>
    <t xml:space="preserve">Se revisó documentación '1.2 Overview of SODA Document Collections' de liga compartida </t>
  </si>
  <si>
    <t>Se revisó documentación '1.2 Overview of SODA Document Collections' de liga compartida de Simple Oracle Document Access (SODA)</t>
  </si>
  <si>
    <t>Se revisó documentación '1.3 Default Naming of a Collection Table' de liga compartida</t>
  </si>
  <si>
    <t>Se revisó documentación '1.3 Default Naming of a Collection Table' de liga compartida de Simple Oracle Document Access (SODA)</t>
  </si>
  <si>
    <t>Se revisó documentación '1.4 A View of Your SODA Collections' de liga compartida</t>
  </si>
  <si>
    <t>Se revisó documentación '1.4 A View of Your SODA Collections' de liga compartida de Simple Oracle Document Access (SODA)</t>
  </si>
  <si>
    <t>Se revisó documentación '1.5 Monitoring SODA Operation Performance' de liga compartida</t>
  </si>
  <si>
    <t>Se revisó documentación '1.5 Monitoring SODA Operation Performance' de liga compartida de Simple Oracle Document Access (SODA)</t>
  </si>
  <si>
    <t>Se revisó documentación '2 Overview of SODA Filter Specifications (QBEs)' de liga compartida</t>
  </si>
  <si>
    <t>Se revisó documentación '2 Overview of SODA Filter Specifications (QBEs)' de liga compartida de Simple Oracle Document Access (SODA)</t>
  </si>
  <si>
    <t>https://docs.oracle.com/en/database/oracle/simple-oracle-document-access/adsdi/overview-soda-filter-specifications-qbes.html#GUID-CB09C4E3-BBB1-40DC-88A8-8417821B0FBE</t>
  </si>
  <si>
    <t>Se revisó documentación '2.1 Sample JSON Documents' de liga compartida</t>
  </si>
  <si>
    <t>Se revisó documentación '2.1 Sample JSON Documents' de liga compartida de Simple Oracle Document Access (SODA)</t>
  </si>
  <si>
    <t>Se revisó documentación '2.2 Overview of Paths in SODA QBEs' de liga compartida</t>
  </si>
  <si>
    <t>Se revisó documentación '2.2 Overview of Paths in SODA QBEs' de liga compartida de Simple Oracle Document Access (SODA)</t>
  </si>
  <si>
    <t>Se revisó documentación '2.3 Overview of QBE Comparison Operators' de liga compartida</t>
  </si>
  <si>
    <t>Se revisó documentación '2.3 Overview of QBE Comparison Operators' de liga compartida de Simple Oracle Document Access (SODA)</t>
  </si>
  <si>
    <t>Se revisó documentación '2.4 Overview of QBE Operator $not' de liga compartida</t>
  </si>
  <si>
    <t>Se revisó documentación '2.4 Overview of QBE Operator $not' de liga compartida de Simple Oracle Document Access (SODA)</t>
  </si>
  <si>
    <t>Se revisó documentación '2.5 Overview of QBE Item-Method Operators' de liga compartida</t>
  </si>
  <si>
    <t>Se revisó documentación '2.5 Overview of QBE Item-Method Operators' de liga compartida de Simple Oracle Document Access (SODA)</t>
  </si>
  <si>
    <t>Se revisó documentación '2.6 Overview of QBE Logical Combining Operators' de liga compartida</t>
  </si>
  <si>
    <t>Se revisó documentación '2.6 Overview of QBE Logical Combining Operators' de liga compartida de Simple Oracle Document Access (SODA)</t>
  </si>
  <si>
    <t>Se revisó documentación '2.7 Overview of Nested Conditions in QBEs' de liga compartida</t>
  </si>
  <si>
    <t>Se revisó documentación '2.7 Overview of Nested Conditions in QBEs' de liga compartida de Simple Oracle Document Access (SODA)</t>
  </si>
  <si>
    <t>Se revisó documentación '2.8 Overview of QBE Operator $id' de liga compartida</t>
  </si>
  <si>
    <t>Se revisó documentación '2.8 Overview of QBE Operator $id' de liga compartida de Simple Oracle Document Access (SODA)</t>
  </si>
  <si>
    <t>Se revisó documentación '2.9 Overview of QBE Operator $orderby' de liga compartida</t>
  </si>
  <si>
    <t>Se revisó documentación '2.9 Overview of QBE Operator $orderby' de liga compartida de Simple Oracle Document Access (SODA)</t>
  </si>
  <si>
    <t>Se revisó documentación '2.10 Overview of QBE Spatial Operators' de liga compartida</t>
  </si>
  <si>
    <t>Se revisó documentación '2.10 Overview of QBE Spatial Operators' de liga compartida de Simple Oracle Document Access (SODA)</t>
  </si>
  <si>
    <t>Se revisó documentación '2.11 Overview of QBE Operator $contains' de liga compartida</t>
  </si>
  <si>
    <t>Se revisó documentación '2.11 Overview of QBE Operator $contains' de liga compartida de Simple Oracle Document Access (SODA)</t>
  </si>
  <si>
    <t>Se revisó documentación '2.12 Overview of QBE Operator $textContains' de liga compartida</t>
  </si>
  <si>
    <t>Se revisó documentación '2.12 Overview of QBE Operator $textContains' de liga compartida de Simple Oracle Document Access (SODA)</t>
  </si>
  <si>
    <t>Se revisó documentación '6 SODA Index Specifications (Reference)' de liga compartida</t>
  </si>
  <si>
    <t>Se revisó documentación '6 SODA Index Specifications (Reference)' de liga compartida de Simple Oracle Document Access (SODA)</t>
  </si>
  <si>
    <t>https://docs.oracle.com/en/database/oracle/simple-oracle-document-access/adsdi/soda-index-specifications-reference.html#GUID-00C06941-6FFD-4CEB-81B6-9A7FBD577A2C</t>
  </si>
  <si>
    <t>Se revisó documentación '7 SODA Collection Metadata Components (Reference)' de liga compartida</t>
  </si>
  <si>
    <t>Se revisó documentación '7 SODA Collection Metadata Components (Reference)' de liga compartida de Simple Oracle Document Access (SODA)</t>
  </si>
  <si>
    <t>https://docs.oracle.com/en/database/oracle/simple-oracle-document-access/adsdi/soda-collection-metadata-components-reference.html#GUID-49EFF3D3-9FAB-4DA6-BDE2-2650383566A3</t>
  </si>
  <si>
    <t>Se revisó documentación '7.1 Default Collection Metadata' de liga compartida</t>
  </si>
  <si>
    <t>Se revisó documentación '7.1 Default Collection Metadata' de liga compartida de Simple Oracle Document Access (SODA)</t>
  </si>
  <si>
    <t>Se revisó documentación '7.2 Schema' de liga compartida</t>
  </si>
  <si>
    <t>Se revisó documentación '7.2 Schema' de liga compartida de Simple Oracle Document Access (SODA)</t>
  </si>
  <si>
    <t>Se revisó documentación '7.3 Table or View' de liga compartida</t>
  </si>
  <si>
    <t>Se revisó documentación '7.3 Table or View' de liga compartida de Simple Oracle Document Access (SODA)</t>
  </si>
  <si>
    <t>Se revisó documentación '7.4 Key Column Name' de liga compartida</t>
  </si>
  <si>
    <t>Se revisó documentación '7.4 Key Column Name' de liga compartida de Simple Oracle Document Access (SODA)</t>
  </si>
  <si>
    <t>Se revisó documentación '7.5 Key Column Type' de liga compartida</t>
  </si>
  <si>
    <t>Se revisó documentación '7.5 Key Column Type' de liga compartida de Simple Oracle Document Access (SODA)</t>
  </si>
  <si>
    <t>Se revisó documentación '7.6 Key Column Max Length' de liga compartida</t>
  </si>
  <si>
    <t>Se revisó documentación '7.6 Key Column Max Length' de liga compartida de Simple Oracle Document Access (SODA)</t>
  </si>
  <si>
    <t>NDPRO023003</t>
  </si>
  <si>
    <t>Reporte Volumetría Pronadatos</t>
  </si>
  <si>
    <t>Reporte Volumetría INAI Prodatos</t>
  </si>
  <si>
    <t>http://172.16.33.34:8000/ND%202023/Forms/AllItems.aspx?RootFolder=%2FND%202023%2FAdministraci%C3%B3n%20del%20Servicio%2FEntregables%2FDirecci%C3%B3n%20de%20Sistemas%2FSAI%2FEvidencias%20PRODATOS%2F08%20AGOSTO%2FVOLUMETRIA&amp;FolderCTID=0x01200053FBB37AD7924441AB8C15E0CC4A0DE4&amp;View={592DB672-1E31-468C-AB01-34C34FC55CBC}</t>
  </si>
  <si>
    <t>Análisis pérdida de documentos</t>
  </si>
  <si>
    <t>Análisis pérdida de documentos de casos Denuncias Sistema INAI PRODATOS</t>
  </si>
  <si>
    <t>http://172.16.33.34:8000/ND%202023/Forms/AllItems.aspx?RootFolder=%2FND%202023%2FAdministraci%C3%B3n%20del%20Servicio%2FEntregables%2FDirecci%C3%B3n%20de%20Sistemas%2FSAI%2FEvidencias%20PRODATOS%2F08%20AGOSTO%2FlOGS&amp;FolderCTID=0x01200053FBB37AD7924441AB8C15E0CC4A0DE4&amp;View={592DB672-1E31-468C-AB01-34C34FC55CBC}</t>
  </si>
  <si>
    <t>NDPRO023004</t>
  </si>
  <si>
    <t>Manuales de auditoria de OpenText</t>
  </si>
  <si>
    <t>Busqueda de Manuales de auditoria de OpenText por solicitud del subdirector de SAI</t>
  </si>
  <si>
    <t>http://172.16.33.34:8000/ND%202023/Forms/AllItems.aspx?RootFolder=%2FND%202023%2FAdministraci%C3%B3n%20del%20Servicio%2FEntregables%2FDirecci%C3%B3n%20de%20Sistemas%2FSAI%2FEvidencias%20PRODATOS%2F08%20AGOSTO%2FOPENTEXT&amp;FolderCTID=0x01200053FBB37AD7924441AB8C15E0CC4A0DE4&amp;View={592DB672-1E31-468C-AB01-34C34FC55CBC}</t>
  </si>
  <si>
    <t>http://repositoriosdgis.ifai.org.mx/Pagina%20Web/Actividades%202023/08-Agosto-2023/Actualizacion%20busqueda%20de%20Resoluciones.docx</t>
  </si>
  <si>
    <t xml:space="preserve">Actualizacion micrositio Certamen </t>
  </si>
  <si>
    <t>http://repositoriosdgis.ifai.org.mx/Pagina%20Web/Actividades%202023/08-Agosto-2023/certamen%20e%20innovacion.docx</t>
  </si>
  <si>
    <t xml:space="preserve">Actualizacion avance de proyecto </t>
  </si>
  <si>
    <t>http://repositoriosdgis.ifai.org.mx/Pagina%20Web/Actividades%202023/08-Agosto-2023/Reporte%20de%20actividades%20agosto.docx</t>
  </si>
  <si>
    <t>Actualizacion micrositio control interno</t>
  </si>
  <si>
    <t>http://repositoriosdgis.ifai.org.mx/Pagina%20Web/Actividades%202023/08-Agosto-2023/Actualizacion%20micrositio%20control%20interno.docx</t>
  </si>
  <si>
    <t>Actualizacion de pestañas de ganadores</t>
  </si>
  <si>
    <t xml:space="preserve">Actualizacion portal </t>
  </si>
  <si>
    <t xml:space="preserve">Actualizacion de micrositio Revista Sociedad y tranparencia </t>
  </si>
  <si>
    <t>http://repositoriosdgis.ifai.org.mx/Pagina%20Web/Actividades%202023/08-Agosto-2023/Revista%20sociedad%20y%20transparencia.docx</t>
  </si>
  <si>
    <t>Actualizacion Revista Sociedad y Transparencia</t>
  </si>
  <si>
    <t>Falla tecnica en el registro de concurso</t>
  </si>
  <si>
    <t>Actualizaciones IP`S</t>
  </si>
  <si>
    <t xml:space="preserve">Actualizacion gobierno abierto y transparencia </t>
  </si>
  <si>
    <t>http://repositoriosdgis.ifai.org.mx/Pagina%20Web/Actividades%202023/08-Agosto-2023/gobierno%20abierto%20y%20transparencia.docx</t>
  </si>
  <si>
    <t xml:space="preserve">Actualizacion plataforma </t>
  </si>
  <si>
    <t xml:space="preserve">Actualizacion micrositio de expedientes clasificados </t>
  </si>
  <si>
    <t xml:space="preserve">Actualizacion de Certamen de Innovacion y Transparencia </t>
  </si>
  <si>
    <t xml:space="preserve">Presentacion Modulo de envio masivo </t>
  </si>
  <si>
    <t xml:space="preserve">Reunion SACP </t>
  </si>
  <si>
    <t>https://teams.microsoft.com/l/meetup-join/19%3ameeting_MGYwYzBkNjMtMzU0NS00NDk0LWFlYTEtZDdiMDI3NzUwZWZi%40thread.v2/0?context=%7b%22Tid%22%3a%224e6a317c-9761-4ff0-8de8-4d166927ec3b%22%2c%22Oid%22%3a%2257195589-7096-49aa-a4ed-62b966ed50fc%22%7d</t>
  </si>
  <si>
    <t xml:space="preserve">Incidencias SACP  </t>
  </si>
  <si>
    <t>http://repositoriosdgis.ifai.org.mx/Pagina%20Web/Actividades%202023/08-Agosto-2023/Actualizacion%20SACP.docx</t>
  </si>
  <si>
    <t>Servicio crearUsuario</t>
  </si>
  <si>
    <t>Se genera la funcionalidad para limpiar el correo y contraseña del usuario a registrar.</t>
  </si>
  <si>
    <t>Servicio consulta usuarios</t>
  </si>
  <si>
    <t>Se modifica la consulta de usuarios para que no se muestre la columna de roles</t>
  </si>
  <si>
    <t>Se modifica los estilos de los botones para homologar el tema del sistema</t>
  </si>
  <si>
    <t>Modificacón de los grids en los formularios de consulta</t>
  </si>
  <si>
    <t>Se modifca las pantallas de los formularios de consulta para que sean en dos columnas y sean responsivos</t>
  </si>
  <si>
    <t xml:space="preserve">Servicio para obtener los datos del usuario en sesión </t>
  </si>
  <si>
    <t>Se modifican los servicios par abtener los datos del usuario en sesión</t>
  </si>
  <si>
    <t>Servicio de consulta de usuario</t>
  </si>
  <si>
    <t>Se modifica la consulta del campo de usuario, para que se busque en los campos de nombre, correo, etc</t>
  </si>
  <si>
    <t>Servicio de consulta de bitácora</t>
  </si>
  <si>
    <t>Se modifica la consulta de los registros de bitácora agregando los campos obligatorios</t>
  </si>
  <si>
    <t>Servicio de creación de bitácora</t>
  </si>
  <si>
    <t>Se modifica el servicio para el registro de la bitácora</t>
  </si>
  <si>
    <t>Prubas del módulo de bistácora</t>
  </si>
  <si>
    <t>Se realizan las pruebas para alta y consulta de los servicios de bitácora</t>
  </si>
  <si>
    <t>En la pantalla de mantenimiento agregar combos de los datos del usuario</t>
  </si>
  <si>
    <t>Se crean los servicios para consultar y modificar los datos del usuario</t>
  </si>
  <si>
    <t xml:space="preserve">Se prueban los servicios de la pantalla de mantenimiento </t>
  </si>
  <si>
    <t>Se prueban los servicios de alta, baja, modificación y consulta en la pantalla de mantenimiento de usuarios</t>
  </si>
  <si>
    <t>Se cambia el ordenamiento de las opciones del usuario</t>
  </si>
  <si>
    <t>Se modifica la consulta de las opciones del usuario</t>
  </si>
  <si>
    <t>Cambio en las etiquetas de las pantallas del  módulo de usuarios</t>
  </si>
  <si>
    <t>Se modifican las etiquetas para las pantallas del módulo de usuario</t>
  </si>
  <si>
    <t>Generar el componente de front end en cargas masivas</t>
  </si>
  <si>
    <t>Se genera el componente de formulario que permite seleccionar todos sujetos obligados</t>
  </si>
  <si>
    <t>Generar el componente de front end para peticiones cargas masivas</t>
  </si>
  <si>
    <t>Se genera el componente de formulario que permite cosntruir el request para multiples sujetos obligados</t>
  </si>
  <si>
    <t>Generar componente de selección de sujetos obligados en front-end</t>
  </si>
  <si>
    <t>Se genera el componente de formulario que permite seleccionar multiples sujetos obligados</t>
  </si>
  <si>
    <t>Generar pantalla de estatus para front-end para cargas maisvas</t>
  </si>
  <si>
    <t>Se genera la pantalla para presentar cifras asociadas a la carga masiva</t>
  </si>
  <si>
    <t>Generar pantalla de listado para front-end para cargas masivas</t>
  </si>
  <si>
    <t>Se genera la pantalla para presentar el grid con las cargas masivas asociadas</t>
  </si>
  <si>
    <t>Generar listado de busqueda en pantalla de detalle de cargas masivas por órgano Garante y Sujeto Obligado</t>
  </si>
  <si>
    <t>Se genera el grid con flitros de órgano garante y sujeto obligado.</t>
  </si>
  <si>
    <t>Claudia García Francisco</t>
  </si>
  <si>
    <t>Hora Inicio</t>
  </si>
  <si>
    <t>Hora Fin</t>
  </si>
  <si>
    <t>septiembre</t>
  </si>
  <si>
    <t>DSJGRR01</t>
  </si>
  <si>
    <t>DSJGRR02</t>
  </si>
  <si>
    <t>DSJGRR03</t>
  </si>
  <si>
    <t>DSJGRR05</t>
  </si>
  <si>
    <t>DSJGRR06</t>
  </si>
  <si>
    <t>DSJGRR07</t>
  </si>
  <si>
    <t>DSJGRR09</t>
  </si>
  <si>
    <t>Análisis y diseño de pantalla para consultar notificaciones</t>
  </si>
  <si>
    <t>Desarrollo de FRONT para consultar notificaciones</t>
  </si>
  <si>
    <t>Desarrollo de logica para recibir servicios del back de notificaciones</t>
  </si>
  <si>
    <t>Desarrollo de pantalla Mis Quejas, analisis y diseño de reglas de negocio</t>
  </si>
  <si>
    <t>Desarrollo de pantalla Mis Quejas, revisión de código y validación de reglas de negocio</t>
  </si>
  <si>
    <t>Desarrollo de pantalla Mis Quejas, programación de funcionalidad de pantalla</t>
  </si>
  <si>
    <t>Desarrollo de pantalla Mis Quejas, programación de funcionalidad de botones</t>
  </si>
  <si>
    <t>Desarrollo de pantalla Mis Quejas, revisión, validaciones y correcciones</t>
  </si>
  <si>
    <t>Ajustes al servicio de almacenamiento de queja para obtener archivo de SISAI</t>
  </si>
  <si>
    <t>DSJGRR11</t>
  </si>
  <si>
    <t>DSJGRR13</t>
  </si>
  <si>
    <t>Adecuaciones a la programación de la nueva arquitectura para navegación de la PNT</t>
  </si>
  <si>
    <t>Prueba de concepto para funcionalidad con programación reactiva</t>
  </si>
  <si>
    <t>Desarrollo de pantalla Mis Quejas, revisión de código y validación de tanda de reglas de negocio</t>
  </si>
  <si>
    <t>Desarrollo de pantalla Mis Quejas, programación de funcionalidad de pantalla de las siguientes reglas de negocio</t>
  </si>
  <si>
    <t>DSFOSF01</t>
  </si>
  <si>
    <t>DSFOSF03</t>
  </si>
  <si>
    <t>DSFOSF05</t>
  </si>
  <si>
    <t>Análisis y diseño de servicios de pantalla para consultar notificaciones</t>
  </si>
  <si>
    <t>Desarrollo de servicios del back de notificaciones</t>
  </si>
  <si>
    <t>Desarrollo de servicios  Mis Quejas, programación de funcionalidad</t>
  </si>
  <si>
    <t>Análisis y diseño de servicios para programación reactiva PNT</t>
  </si>
  <si>
    <t>Desarrollo de servicios para prueba reactiva</t>
  </si>
  <si>
    <t>01 p. m.</t>
  </si>
  <si>
    <t>02 p. m.</t>
  </si>
  <si>
    <t>FECHA:</t>
  </si>
  <si>
    <t>DSCOCO001</t>
  </si>
  <si>
    <t>Instalacion y configuracion de SonarQube</t>
  </si>
  <si>
    <t>Se instalo y configuro sonarqube para el CI/CD</t>
  </si>
  <si>
    <t>http://172.20.32.120:9000</t>
  </si>
  <si>
    <t>DSCOCO002</t>
  </si>
  <si>
    <t>Configuracion de PODMAN</t>
  </si>
  <si>
    <t>Se termino de configurar PODMAN y se levanto el servicio de local registry</t>
  </si>
  <si>
    <t>http://172.20.32.120:5000</t>
  </si>
  <si>
    <t>DSCOCO003</t>
  </si>
  <si>
    <t>Se actualizo ya que es un herramienta que constantemente tiene actualizaciones y siempre hay que mantenerlo en la ultima version</t>
  </si>
  <si>
    <t>http://172.20.32.118:8080</t>
  </si>
  <si>
    <t>DSCOCO004</t>
  </si>
  <si>
    <t>instalacion de plugin de Jenkins</t>
  </si>
  <si>
    <t>Al igual los plugins contstantemente piden actualizar, y lo mas recomendado es actualizarlos</t>
  </si>
  <si>
    <t>DSCOCO005</t>
  </si>
  <si>
    <t>Configuracion de SonarQube en Jenkins</t>
  </si>
  <si>
    <t>Se configuro jenkins en tools para que sepa donde esta el sonarcube scanner para que lo podamos utilizar en los pipelines</t>
  </si>
  <si>
    <t>DSCOCO006</t>
  </si>
  <si>
    <t>Configuracion de Maven en Jenkins</t>
  </si>
  <si>
    <t>Se configuro maven en jenkins para la compilacion de java en los pipelines</t>
  </si>
  <si>
    <t>DSCOCO007</t>
  </si>
  <si>
    <t>Actualizacion de OLCNE</t>
  </si>
  <si>
    <t>Se actualizo OLCNE a la version 1.7 lo cual viene con k8s 1.26.6</t>
  </si>
  <si>
    <t>172.20.32.113-117</t>
  </si>
  <si>
    <t>DSCOCO008</t>
  </si>
  <si>
    <t>Se actualizo todos los nodos a la ultima version que trae consigo el ultimo kernel</t>
  </si>
  <si>
    <t>DSCOCO009</t>
  </si>
  <si>
    <t>Instalacion y configuracion de agente de Jenkins</t>
  </si>
  <si>
    <t>Instalacion y configuracion de agente de jenkins para el consumo de jobs.</t>
  </si>
  <si>
    <t>172.20.32.120</t>
  </si>
  <si>
    <t>SPDCGF01</t>
  </si>
  <si>
    <t>Pantalla de estadisiticos sin login</t>
  </si>
  <si>
    <t>Integración de la  la pantalla que permite visualizar datos estadisticos generales de la PNT, dandola de alta como módulo en el proyecto de front, aasi como construir el sisteama de rutas y de seguridad</t>
  </si>
  <si>
    <t>SPDCGF02</t>
  </si>
  <si>
    <t>Análisis y diseño para la integración de la liberia de graficado, para poder ser reactiva y responsiva</t>
  </si>
  <si>
    <t>SPDCGF03</t>
  </si>
  <si>
    <t xml:space="preserve">Desarrollo 12 gráficas de la pantalla de estaditicos generales </t>
  </si>
  <si>
    <t>SPDCGF04</t>
  </si>
  <si>
    <t>Pantalla de estadisticos por usuario</t>
  </si>
  <si>
    <t>Desarrollo de la pantalla que permite visualizar datos estadisticos de cada usuario</t>
  </si>
  <si>
    <t>SPDCGF05</t>
  </si>
  <si>
    <t xml:space="preserve">Pantalla de estadisticos por Organo garante </t>
  </si>
  <si>
    <t>Integración de la  la pantalla que permite visualizar sdatos estadisticos por cada organo garante de la PNT, dandola de alta como módulo en el proyecto de front, aasi como construir el sisteama de rutas y de seguridad</t>
  </si>
  <si>
    <t>SPDCGF06</t>
  </si>
  <si>
    <t>Desarrollo de la pantalla que permite visualizar datos estadisticos por cada organo garante, integrando las graficas y su movimiento</t>
  </si>
  <si>
    <t>SPDCGF07</t>
  </si>
  <si>
    <t>Pantalla de estadisticos por Sujeto Obligado</t>
  </si>
  <si>
    <t>Integración de la  la pantalla que permite visualizar datos estadisticos por cada sujeto obligado, dandola de alta como módulo en el proyecto de front, aasi como construir el sisteama de rutas y de seguridad</t>
  </si>
  <si>
    <t>SPDCGF08</t>
  </si>
  <si>
    <t>Desarrollo de la pantalla que permite visualizar datos estadisticos por cada sujeto obligado</t>
  </si>
  <si>
    <t>SPDCGF09</t>
  </si>
  <si>
    <t>Modificar pantalla de avisos en login</t>
  </si>
  <si>
    <t>Se cambia la responsividad de la pantalla para presentar los avisos en la pantalla de login</t>
  </si>
  <si>
    <t>SPDCGF10</t>
  </si>
  <si>
    <t>Analisis y diseño de la tabla de avisos</t>
  </si>
  <si>
    <t>Análisis y diseño de la tabla de avisos para que permita registrar los 3 tipos de avisos a los distintos roles que contempla la PNT</t>
  </si>
  <si>
    <t>SPDCGF11</t>
  </si>
  <si>
    <t xml:space="preserve">Diseño de la pantalla </t>
  </si>
  <si>
    <t>Diseño de pantalla para registrar los 3 distintos tipos de avisos por los distintos roles que contempla la PNT</t>
  </si>
  <si>
    <t>SPDCGF12</t>
  </si>
  <si>
    <t>Análisis y diseño  módulo de avisos</t>
  </si>
  <si>
    <t>Análisis  de los requerimientos para construir los servicios backend del módulo de avisos</t>
  </si>
  <si>
    <t>https://172.20.32.20/svn/PNT_MICROSERVICIOS/branches/</t>
  </si>
  <si>
    <t>SPDCGF13</t>
  </si>
  <si>
    <t>Diseño de los requerimientos para construir los servicios backend del módulo de avisos</t>
  </si>
  <si>
    <t>SPDCGF14</t>
  </si>
  <si>
    <t>Mapeo base de dato</t>
  </si>
  <si>
    <t>Se generar las clases entidades para el mapeo de las tablas en base de datos</t>
  </si>
  <si>
    <t>SPDCGF15</t>
  </si>
  <si>
    <t>Servicio alta de avisos</t>
  </si>
  <si>
    <t>Se construye los servicios restfull para el registro de avisos</t>
  </si>
  <si>
    <t>SPDCGF16</t>
  </si>
  <si>
    <t>Validaciones para alta de avisos</t>
  </si>
  <si>
    <t>Se gregan las validaciones para la alta y modificación de avisos</t>
  </si>
  <si>
    <t>SPDCGF17</t>
  </si>
  <si>
    <t>Servicio de actualización de avisos</t>
  </si>
  <si>
    <t>Se construye los servicios restfull y sea gregan las validaciones para la actualización de avisos</t>
  </si>
  <si>
    <t>SPDCGF18</t>
  </si>
  <si>
    <t>Servicio de consulta de avisos</t>
  </si>
  <si>
    <t>Se construye los servicios restfull y sea gregan las validaciones para la consulta de avisos</t>
  </si>
  <si>
    <t>SPDCGF19</t>
  </si>
  <si>
    <t>Servicio de eliminación de avisos</t>
  </si>
  <si>
    <t>Se construye los servicios restfull y sea gregan las validaciones para la eliminación de avisos</t>
  </si>
  <si>
    <t>SPDCGF20</t>
  </si>
  <si>
    <t>Servicio de eliminación de las url de avisos</t>
  </si>
  <si>
    <t>Se construye los servicios restfull  para la eliminación de las url de avisos</t>
  </si>
  <si>
    <t>SPDCGF21</t>
  </si>
  <si>
    <t>Configuración para los docker y docker compose</t>
  </si>
  <si>
    <t>Se hace la configuración para la alta del microservicio avisos en el sevidor de eureka y api gatway, se hacen las configuracion para el docker y docker compose</t>
  </si>
  <si>
    <t>SAWYLVM01</t>
  </si>
  <si>
    <t>http://repositoriosdgis.ifai.org.mx/Pagina%20Web/Actividades%202023/09-septiembre-2023/actividades%20mes%20de%20septiembre.docx</t>
  </si>
  <si>
    <t>SAWYLVM02</t>
  </si>
  <si>
    <t xml:space="preserve">actualizacion pagina consejo consultivo </t>
  </si>
  <si>
    <t>SAWYLVM03</t>
  </si>
  <si>
    <t>SAWYLVM04</t>
  </si>
  <si>
    <t xml:space="preserve">actualizacion cierre registro  </t>
  </si>
  <si>
    <t>SAWYLVM05</t>
  </si>
  <si>
    <t>actualizacion acceso de usuarios</t>
  </si>
  <si>
    <t>SAWYLVM06</t>
  </si>
  <si>
    <t>SAWYLVM07</t>
  </si>
  <si>
    <t xml:space="preserve">actualizacion pleno niños </t>
  </si>
  <si>
    <t>SAWYLVM08</t>
  </si>
  <si>
    <t xml:space="preserve">actualizacion control interno </t>
  </si>
  <si>
    <t>SAWYLVM09</t>
  </si>
  <si>
    <t xml:space="preserve">actualizacion micrositio institucional </t>
  </si>
  <si>
    <t>SAWYLVM10</t>
  </si>
  <si>
    <t>actualizacion revista</t>
  </si>
  <si>
    <t>SAWYLVM11</t>
  </si>
  <si>
    <t>SAWYLVM12</t>
  </si>
  <si>
    <t xml:space="preserve">actualizacion SACP </t>
  </si>
  <si>
    <t>SAWYLVM13</t>
  </si>
  <si>
    <t xml:space="preserve">reunion SACP </t>
  </si>
  <si>
    <t>https://teams.microsoft.com/l/meetup-join/19%3ameeting_M2RiOTY5MjEtNDA5OS00OWE5LTgzNjktNGE5MWU3Y2NlZmEx%40thread.v2/0?context=%7b%22Tid%22%3a%224e6a317c-9761-4ff0-8de8-4d166927ec3b%22%2c%22Oid%22%3a%2257195589-7096-49aa-a4ed-62b966ed50fc%22%7d</t>
  </si>
  <si>
    <t>SAWYLVM14</t>
  </si>
  <si>
    <t>SAWYLVM15</t>
  </si>
  <si>
    <t xml:space="preserve">actualizacion SNT </t>
  </si>
  <si>
    <t>SAWYLVM16</t>
  </si>
  <si>
    <t>SAWYLVM17</t>
  </si>
  <si>
    <t xml:space="preserve">actualizacion ensayo reportaje </t>
  </si>
  <si>
    <t>SAWYLVM18</t>
  </si>
  <si>
    <t xml:space="preserve">actualizacion CLIC </t>
  </si>
  <si>
    <t>SAWYLVM19</t>
  </si>
  <si>
    <t xml:space="preserve">actualizacion sociedad y transparencia </t>
  </si>
  <si>
    <t>http://repositoriosdgis.ifai.org.mx/Pagina%20Web/Actividades%202023/09-septiembre-2023/Revista%20sociedad%20y%20transparencia.docx</t>
  </si>
  <si>
    <t>SAWYLVM20</t>
  </si>
  <si>
    <t xml:space="preserve">actualizacion micrositio control interno </t>
  </si>
  <si>
    <t>http://repositoriosdgis.ifai.org.mx/Pagina%20Web/Actividades%202023/09-septiembre-2023/Actualizacion%20micrositio%20control%20interno.docx</t>
  </si>
  <si>
    <t>SAWYLVM21</t>
  </si>
  <si>
    <t xml:space="preserve">actualizacion sitio </t>
  </si>
  <si>
    <t>SAWYLVM22</t>
  </si>
  <si>
    <t xml:space="preserve">actualizacion parlamento abierto </t>
  </si>
  <si>
    <t>SAWYLVM23</t>
  </si>
  <si>
    <t xml:space="preserve">actualizacion consejo consultivo </t>
  </si>
  <si>
    <t>SAWYLVM24</t>
  </si>
  <si>
    <t xml:space="preserve">actualizacion miembros pleno </t>
  </si>
  <si>
    <t>http://repositoriosdgis.ifai.org.mx/Pagina%20Web/Actividades%202023/09-septiembre-2023/miembros%20pleno.docx</t>
  </si>
  <si>
    <t>SAWYLVM25</t>
  </si>
  <si>
    <t xml:space="preserve">actualizacion miembros adherentes </t>
  </si>
  <si>
    <t>http://repositoriosdgis.ifai.org.mx/Pagina%20Web/Actividades%202023/09-septiembre-2023/miembros%20adherentes.docx</t>
  </si>
  <si>
    <t>SAWYLVM26</t>
  </si>
  <si>
    <t xml:space="preserve">actualizacion observador </t>
  </si>
  <si>
    <t>http://repositoriosdgis.ifai.org.mx/Pagina%20Web/Actividades%202023/09-septiembre-2023/Miembro%20observador%20y%20socios%20cooperacion.docx</t>
  </si>
  <si>
    <t>SAWYLVM27</t>
  </si>
  <si>
    <t>actualizacion socios de cooperacion</t>
  </si>
  <si>
    <t>SAWYLVM28</t>
  </si>
  <si>
    <t>SAWYLVM29</t>
  </si>
  <si>
    <t xml:space="preserve">actualizacion sitio consejo </t>
  </si>
  <si>
    <t>SAWYLVM30</t>
  </si>
  <si>
    <t>SAWYLVM31</t>
  </si>
  <si>
    <t>SAWYLVM32</t>
  </si>
  <si>
    <t xml:space="preserve">actualizacion sitio consejo consultivo </t>
  </si>
  <si>
    <t>SAWYLVM33</t>
  </si>
  <si>
    <t>SAWYLVM34</t>
  </si>
  <si>
    <t>actualizacion consulta curricular</t>
  </si>
  <si>
    <t>SAWYLVM35</t>
  </si>
  <si>
    <t>SAWYLVM36</t>
  </si>
  <si>
    <t>SAWYLVM37</t>
  </si>
  <si>
    <t xml:space="preserve">actualizacion carga GAyT </t>
  </si>
  <si>
    <t>SAWYLVM38</t>
  </si>
  <si>
    <t xml:space="preserve">actualizacion CIT </t>
  </si>
  <si>
    <t>SAWYLVM39</t>
  </si>
  <si>
    <t>SAWYLVM40</t>
  </si>
  <si>
    <t>SAWYLVM41</t>
  </si>
  <si>
    <t xml:space="preserve">actualizacin ensayo reportaje </t>
  </si>
  <si>
    <t>SAWYLVM42</t>
  </si>
  <si>
    <t>SAWYLVM43</t>
  </si>
  <si>
    <t>SAWYLVM44</t>
  </si>
  <si>
    <t>actualizacion miembros pleno RTA</t>
  </si>
  <si>
    <t>SAWYLVM45</t>
  </si>
  <si>
    <t>actualizacion miembros adherentes RTA</t>
  </si>
  <si>
    <t>SAWYLVM46</t>
  </si>
  <si>
    <t>actualizacion observador RTA</t>
  </si>
  <si>
    <t>SAWYLVM47</t>
  </si>
  <si>
    <t>actualizacion socios de cooperacion RTA</t>
  </si>
  <si>
    <t>SAWYLVM48</t>
  </si>
  <si>
    <t>SAWYLVM49</t>
  </si>
  <si>
    <t>SAWYLVM50</t>
  </si>
  <si>
    <t>SAWYLVM51</t>
  </si>
  <si>
    <t>SAWYLVM52</t>
  </si>
  <si>
    <t>SAWYLVM53</t>
  </si>
  <si>
    <t>SAWYLVM54</t>
  </si>
  <si>
    <t>SAWYLVM55</t>
  </si>
  <si>
    <t xml:space="preserve">actualizacion comite de etica </t>
  </si>
  <si>
    <t>SAWYLVM56</t>
  </si>
  <si>
    <t>SAWYLVM57</t>
  </si>
  <si>
    <t>SAWYLVM58</t>
  </si>
  <si>
    <t>SAWYLVM59</t>
  </si>
  <si>
    <t>SAWYLVM60</t>
  </si>
  <si>
    <t>SAWYLVM61</t>
  </si>
  <si>
    <t xml:space="preserve">Actualizacion de aplicaciones web </t>
  </si>
  <si>
    <t>QA/QC</t>
  </si>
  <si>
    <t>SCI</t>
  </si>
  <si>
    <t>Micrositios</t>
  </si>
  <si>
    <t>CSTMALG004</t>
  </si>
  <si>
    <t>Envío de la orden de trabajo de ServicioProfesional para su análisis</t>
  </si>
  <si>
    <t>Correo con el contenido de la orden de trabajo con la cual se trabajará</t>
  </si>
  <si>
    <t>\\vcifs\tercerizado2023\Evidencias Tercerización 2023\Ingeniero de Prueba\Septiembre\Semana 1</t>
  </si>
  <si>
    <t>Miguel Alejandro López Gutiérrez</t>
  </si>
  <si>
    <t>INGENIERO DE PRUEBAS</t>
  </si>
  <si>
    <t>CSTMALG005</t>
  </si>
  <si>
    <t>análisis de la orden de trabajo ServicioProfesional</t>
  </si>
  <si>
    <t>Se hace el análisis de la OT para realiza su ejecución</t>
  </si>
  <si>
    <t>CSTMALG006</t>
  </si>
  <si>
    <t>Análisis sobre instalación de paqueterías en MobaExterm</t>
  </si>
  <si>
    <t>Se hace la busqueda de manuales, tutoriales y documentación en general para apredizaje de su funcionamiento</t>
  </si>
  <si>
    <t>CSTMALG007</t>
  </si>
  <si>
    <t>Envío de correos y revisión de documentación del proceso de calidad y manual de procedimientos</t>
  </si>
  <si>
    <t>Documentación sobre los formatos utilizados durante las pruebas y documentación con el proceso de pruebas y como se llevan a cabo</t>
  </si>
  <si>
    <t>CSTMALG008</t>
  </si>
  <si>
    <t>Análisis sobre comandos linux en MobaExterm</t>
  </si>
  <si>
    <t>CSTMALG009</t>
  </si>
  <si>
    <t>Seguimiento de la orden de trabajo ServicioProfesional</t>
  </si>
  <si>
    <t>Se da seguimiento de la orden de trabajo en el proceso de pruebas</t>
  </si>
  <si>
    <t>CSTMALG010</t>
  </si>
  <si>
    <t>Instalación de paquetería de la orden de trabajo ServicioProfesional</t>
  </si>
  <si>
    <t>se hace la instalación de las paqueterías de la OT para su funcionamiento</t>
  </si>
  <si>
    <t>CSTMALG011</t>
  </si>
  <si>
    <t>Resolución de dudas con la orden de trabajo ServicioProfesional</t>
  </si>
  <si>
    <t>Se resuelven todas las dudas y pendientes sobre la OT analizada</t>
  </si>
  <si>
    <t>CSTMALG012</t>
  </si>
  <si>
    <t>Instalación completa del ambiente ServicioProfesional</t>
  </si>
  <si>
    <t>\\vcifs\tercerizado2023\Evidencias Tercerización 2023\Ingeniero de Prueba\Septiembre\Semana 2</t>
  </si>
  <si>
    <t>CSTMALG013</t>
  </si>
  <si>
    <t>Instalación de MySql</t>
  </si>
  <si>
    <t>descarga e instalación de herramienta para su utilización durante las pruebas</t>
  </si>
  <si>
    <t>CSTMALG014</t>
  </si>
  <si>
    <t>levantamiento de Base de datos ServicioProfesional</t>
  </si>
  <si>
    <t>Se da de alta la base de datos para el seguimiento de la OT</t>
  </si>
  <si>
    <t>CSTMALG015</t>
  </si>
  <si>
    <t>Detalles sobre la versión dela base de datos ServicioProfesional</t>
  </si>
  <si>
    <t>Se detectó un tema sobre las versiones de las bases de datos</t>
  </si>
  <si>
    <t>CSTMALG016</t>
  </si>
  <si>
    <t>Envío de correo con la orden de trabajo sobre Levantar un Servicio Front</t>
  </si>
  <si>
    <t>CSTMALG017</t>
  </si>
  <si>
    <t>Solicitud a equipo de desarrollo la URL faltante para poder crear el ambiente con los servicios de QA</t>
  </si>
  <si>
    <t>seguimiento de la solicitud hecha al equipo de desarrollo para obtener la url faltante en las pruebas</t>
  </si>
  <si>
    <t>CSTMALG018</t>
  </si>
  <si>
    <t>Instalación de Visual Studio</t>
  </si>
  <si>
    <t>CSTMALG019</t>
  </si>
  <si>
    <t>Solicitud de credenciales para ingresar a los repositorios SVN</t>
  </si>
  <si>
    <t>Se hace la solicitud para dar de alta el usuario miguel.lopez para accesar a los repositorios SVN</t>
  </si>
  <si>
    <t>CSTMALG020</t>
  </si>
  <si>
    <t xml:space="preserve">Instalación de angular </t>
  </si>
  <si>
    <t>CSTMALG021</t>
  </si>
  <si>
    <t>Resolución de temas sobre la instalación de Angular</t>
  </si>
  <si>
    <t>Se encontró tema sobre la instalación de angular y estos ya fueron resueltos</t>
  </si>
  <si>
    <t>CSTMALG022</t>
  </si>
  <si>
    <t>instalación de tortoise para descarga de repositorio de archivos</t>
  </si>
  <si>
    <t>CSTMALG023</t>
  </si>
  <si>
    <t>Alta de usuario para poder ingresar a los repositorios de archivos FRONT</t>
  </si>
  <si>
    <t>Se da de alta el usuario miguel.lopez para poder ingresar a los repositorios del archivo FRONT</t>
  </si>
  <si>
    <t>\\vcifs\tercerizado2023\Evidencias Tercerización 2023\Ingeniero de Prueba\Septiembre\Semana 3</t>
  </si>
  <si>
    <t>CSTMALG024</t>
  </si>
  <si>
    <t>Descarga e instalación de repositorios de archivos FRONT a traves de tortoise</t>
  </si>
  <si>
    <t>CSTMALG025</t>
  </si>
  <si>
    <t>Resolución de temas de la petición de URL al equipo de desarrollo</t>
  </si>
  <si>
    <t>Se hizo el envío de la URL faltante de la solicitud realizada al equipo de desarrollo para poder continuar con las pruebas</t>
  </si>
  <si>
    <t>CSTMALG026</t>
  </si>
  <si>
    <t>instalación completa del sitio web FRONT</t>
  </si>
  <si>
    <t>CSTMALG027</t>
  </si>
  <si>
    <t>Captura de evidencias de ejecución de la instalación del FRONT</t>
  </si>
  <si>
    <t>Registro de evidencias en su formato correspondiente</t>
  </si>
  <si>
    <t>CSTMALG028</t>
  </si>
  <si>
    <t>Resolución de incidencia sobre la versión de la base de datos de ServicioProfesional</t>
  </si>
  <si>
    <t>Resolución de la versión de la base de datos ServicioProfesional con la versión correcta de la misma</t>
  </si>
  <si>
    <t>CSTMALG029</t>
  </si>
  <si>
    <t>Ejecución completa del sitio ServicioProfesional</t>
  </si>
  <si>
    <t>Se hace la ejecución completa del sitio ServicioProfesional con toda su paquetería y su ejecución en portal</t>
  </si>
  <si>
    <t>CSTMALG030</t>
  </si>
  <si>
    <t>Captura de evidencias completas sobre la instalación de ServicioProfesional</t>
  </si>
  <si>
    <t>CSTMALG031</t>
  </si>
  <si>
    <t>Documentación de observaciones e incidencias sobre la instalacipon de ServicioProfesional</t>
  </si>
  <si>
    <t>CSTMALG032</t>
  </si>
  <si>
    <t>Documentación completa de la orden de trabajo de la instalación del FRONT</t>
  </si>
  <si>
    <t>Inventarios</t>
  </si>
  <si>
    <t>CSTMALG033</t>
  </si>
  <si>
    <t>Envío de documentación del sitio de inventarios DGPVS y SNT  para su revisión</t>
  </si>
  <si>
    <t>CSTMALG034</t>
  </si>
  <si>
    <t xml:space="preserve">Análisis de la documentación del sitio web de inventarios DGPVS y SNT </t>
  </si>
  <si>
    <t>Registro de evidencias e incidencias sobre los temas encontrados durante su ejecución</t>
  </si>
  <si>
    <t>CSTMALG035</t>
  </si>
  <si>
    <t xml:space="preserve">Instalación y revisión del sitio de inventarios DGPVS y SNT </t>
  </si>
  <si>
    <t>\\vcifs\tercerizado2023\Evidencias Tercerización 2023\Ingeniero de Prueba\Septiembre\Semana 4</t>
  </si>
  <si>
    <t>CSTMALG036</t>
  </si>
  <si>
    <t xml:space="preserve">Documentación de funcionamiento del sitio de inventarios DGPVS y SNT </t>
  </si>
  <si>
    <t>CSTMALG037</t>
  </si>
  <si>
    <t xml:space="preserve">Alta de usuario y contraseña de mantis para generar las incidencias encontradas </t>
  </si>
  <si>
    <t xml:space="preserve">Creación de usuario para registro de incidencias </t>
  </si>
  <si>
    <t>CSTMALG038</t>
  </si>
  <si>
    <t xml:space="preserve">Análisis sobre el uso de mantis y como generar incidencias </t>
  </si>
  <si>
    <t>busqueda de manuales, tutoriales sobre el uso de mantis para realizar el registro de incidencias</t>
  </si>
  <si>
    <t>CSTMALG039</t>
  </si>
  <si>
    <t>Registro de observaciones durante la revisión del sitio  de inventarios DGPVS y SNT</t>
  </si>
  <si>
    <t>Observaciones en el documento de  inventarios DGPVS y SNT</t>
  </si>
  <si>
    <t>Observaciones en la instalación del sitio y funcionamiento de InventariosDGPVS y SNT</t>
  </si>
  <si>
    <t>incidencias encontradas en el funcionamiento y uso del sistema de Inventarios</t>
  </si>
  <si>
    <t xml:space="preserve">Registro de documento de evaluación mensual y documentación para levantar incidencias </t>
  </si>
  <si>
    <t xml:space="preserve">Registro de las actividades realizadas durante el mes para su </t>
  </si>
  <si>
    <t>CSTMALG001</t>
  </si>
  <si>
    <t>CSTMALG002</t>
  </si>
  <si>
    <t>CSTMALG003</t>
  </si>
  <si>
    <t>SSIVHRL01</t>
  </si>
  <si>
    <t>Se revisó documentación '7.7 Key Column Assignment Method'</t>
  </si>
  <si>
    <t>Se revisó documentación '7.7 Key Column Assignment Method' de liga compartida de Simple Oracle Document Access (SODA)</t>
  </si>
  <si>
    <t>Se revisó documentación '7.8 Key Column Path'</t>
  </si>
  <si>
    <t>Se revisó documentación '7.8 Key Column Path' de liga compartida de Simple Oracle Document Access (SODA)</t>
  </si>
  <si>
    <t>Se revisó documentación '7.9 Key Column Sequence Name'</t>
  </si>
  <si>
    <t>Se revisó documentación '7.9 Key Column Sequence Name' de liga compartida de Simple Oracle Document Access (SODA)</t>
  </si>
  <si>
    <t>Se revisó documentación '7.10 Content Column Name'</t>
  </si>
  <si>
    <t>Se revisó documentación '7.10 Content Column Name' de liga compartida de Simple Oracle Document Access (SODA)</t>
  </si>
  <si>
    <t>Se revisó documentación '7.11 Content Column Type'</t>
  </si>
  <si>
    <t>Se revisó documentación '7.11 Content Column Type' de liga compartida de Simple Oracle Document Access (SODA)</t>
  </si>
  <si>
    <t>Se revisó documentación '7.12 Content Column Format'</t>
  </si>
  <si>
    <t>Se revisó documentación '7.12 Content Column Format' de liga compartida de Simple Oracle Document Access (SODA)</t>
  </si>
  <si>
    <t>Se revisó documentación '7.13 Content Column Max Length'</t>
  </si>
  <si>
    <t>Se revisó documentación '7.13 Content Column Max Length' de liga compartida de Simple Oracle Document Access (SODA)</t>
  </si>
  <si>
    <t>Se revisó documentación '7.14 Content Column JSON Validation'</t>
  </si>
  <si>
    <t>Se revisó documentación '7.14 Content Column JSON Validation' de liga compartida de Simple Oracle Document Access (SODA)</t>
  </si>
  <si>
    <t>Se revisó documentación '7.15 Content Column SecureFiles LOB Compression'</t>
  </si>
  <si>
    <t>Se revisó documentación '7.15 Content Column SecureFiles LOB Compression' de liga compartida de Simple Oracle Document Access (SODA)</t>
  </si>
  <si>
    <t>Se revisó documentación '7.16 Content Column SecureFiles LOB Cache'</t>
  </si>
  <si>
    <t>Se revisó documentación '7.16 Content Column SecureFiles LOB Cache' de liga compartida de Simple Oracle Document Access (SODA)</t>
  </si>
  <si>
    <t>Se revisó documentación '7.17 Content Column SecureFiles LOB Encryption'</t>
  </si>
  <si>
    <t>Se revisó documentación '7.17 Content Column SecureFiles LOB Encryption' de liga compartida de Simple Oracle Document Access (SODA)</t>
  </si>
  <si>
    <t>Se revisó documentación '7.18 Version Column Name'</t>
  </si>
  <si>
    <t>Se revisó documentación '7.18 Version Column Name' de liga compartida de Simple Oracle Document Access (SODA)</t>
  </si>
  <si>
    <t>Se revisó documentación '7.19 Version Column Generation Method'</t>
  </si>
  <si>
    <t>Se revisó documentación '7.19 Version Column Generation Method' de liga compartida de Simple Oracle Document Access (SODA)</t>
  </si>
  <si>
    <t>Se revisó documentación '7.20 Last-Modified Time Stamp Column Name'</t>
  </si>
  <si>
    <t>Se revisó documentación '7.20 Last-Modified Time Stamp Column Name' de liga compartida de Simple Oracle Document Access (SODA)</t>
  </si>
  <si>
    <t>Se revisó documentación '7.21 Last-Modified Column Index Name'</t>
  </si>
  <si>
    <t>Se revisó documentación '7.21 Last-Modified Column Index Name' de liga compartida de Simple Oracle Document Access (SODA)</t>
  </si>
  <si>
    <t>Se revisó documentación '7.22 Creation Time Stamp Column Name'</t>
  </si>
  <si>
    <t>Se revisó documentación '7.22 Creation Time Stamp Column Name' de liga compartida de Simple Oracle Document Access (SODA)</t>
  </si>
  <si>
    <t>SSIVHRL02</t>
  </si>
  <si>
    <t>Se revisó documentación '7.23 Media Type Column Name'</t>
  </si>
  <si>
    <t>Se revisó documentación '7.23 Media Type Column Name' de liga compartida de Simple Oracle Document Access (SODA)</t>
  </si>
  <si>
    <t>Se revisó documentación '7.24 Read Only'</t>
  </si>
  <si>
    <t>Se revisó documentación '7.24 Read Only' de liga compartida de Simple Oracle Document Access (SODA)</t>
  </si>
  <si>
    <t>Se revisó documentación '3 Overview of SODA Indexing'</t>
  </si>
  <si>
    <t>Se revisó documentación '3 Overview of SODA Indexing' de liga compartida de Simple Oracle Document Access (SODA)</t>
  </si>
  <si>
    <t>Se revisó documentación '5 SODA Filter Specifications (Reference)'</t>
  </si>
  <si>
    <t>Se revisó documentación '5 SODA Filter Specifications (Reference)' de liga compartida de Simple Oracle Document Access (SODA)</t>
  </si>
  <si>
    <t>Se revisó documentación '5.1 Composite Filters (Reference)'</t>
  </si>
  <si>
    <t>Se revisó documentación '5.1 Composite Filters (Reference)' de liga compartida de Simple Oracle Document Access (SODA)</t>
  </si>
  <si>
    <t>Se revisó documentación '5.1.1 Orderby Clause Sorts Selected Objects'</t>
  </si>
  <si>
    <t>Se revisó documentación '5.1.1 Orderby Clause Sorts Selected Objects' de liga compartida de Simple Oracle Document Access (SODA)</t>
  </si>
  <si>
    <t>Se revisó documentación '5.2 Filter Conditions (Reference)'</t>
  </si>
  <si>
    <t>Se revisó documentación '5.2 Filter Conditions (Reference)' de liga compartida de Simple Oracle Document Access (SODA)</t>
  </si>
  <si>
    <t>Se revisó documentación '5.2.1 Scalar-Equality Clause (Reference)'</t>
  </si>
  <si>
    <t>Se revisó documentación '5.2.1 Scalar-Equality Clause (Reference)' de liga compartida de Simple Oracle Document Access (SODA)</t>
  </si>
  <si>
    <t>Se revisó documentación '5.2.2 Field-Condition Clause (Reference)'</t>
  </si>
  <si>
    <t>Se revisó documentación '5.2.2 Field-Condition Clause (Reference)' de liga compartida de Simple Oracle Document Access (SODA)</t>
  </si>
  <si>
    <t>Se revisó documentación '5.2.2.1 Comparison Clause (Reference)'</t>
  </si>
  <si>
    <t>Se revisó documentación '5.2.2.1 Comparison Clause (Reference)' de liga compartida de Simple Oracle Document Access (SODA)</t>
  </si>
  <si>
    <t>Se revisó documentación '5.2.2.2 Not Clause (Reference)'</t>
  </si>
  <si>
    <t>Se revisó documentación '5.2.2.2 Not Clause (Reference)' de liga compartida de Simple Oracle Document Access (SODA)</t>
  </si>
  <si>
    <t>Se revisó documentación '5.2.2.3 Item-Method Clause (Reference)'</t>
  </si>
  <si>
    <t>Se revisó documentación '5.2.2.3 Item-Method Clause (Reference)' de liga compartida de Simple Oracle Document Access (SODA)</t>
  </si>
  <si>
    <t>Se revisó documentación '5.2.2.4 ISO 8601 Date, Time, and Duration Support'</t>
  </si>
  <si>
    <t>Se revisó documentación '5.2.2.4 ISO 8601 Date, Time, and Duration Support' de liga compartida de Simple Oracle Document Access (SODA)</t>
  </si>
  <si>
    <t>Se revisó documentación '5.2.3 Logical Combining Clause (Reference)'</t>
  </si>
  <si>
    <t>Se revisó documentación '5.2.3 Logical Combining Clause (Reference)' de liga compartida de Simple Oracle Document Access (SODA)</t>
  </si>
  <si>
    <t>Se revisó documentación '5.2.3.1 Omitting $and'</t>
  </si>
  <si>
    <t>Se revisó documentación '5.2.3.1 Omitting $and' de liga compartida de Simple Oracle Document Access (SODA)</t>
  </si>
  <si>
    <t>Se revisó documentación '5.2.4 Nested-Condition Clause (Reference)'</t>
  </si>
  <si>
    <t>Se revisó documentación '5.2.4 Nested-Condition Clause (Reference)' de liga compartida de Simple Oracle Document Access (SODA)</t>
  </si>
  <si>
    <t>SSIVHRL03</t>
  </si>
  <si>
    <t>Se revisó documentación '5.2.5 ID Clause (Reference)'</t>
  </si>
  <si>
    <t>Se revisó documentación '5.2.5 ID Clause (Reference)' de liga compartida de Simple Oracle Document Access (SODA)</t>
  </si>
  <si>
    <t>Se revisó documentación '5.2.6 Text-Contains Clause (Reference)'</t>
  </si>
  <si>
    <t>Se revisó documentación '5.2.6 Text-Contains Clause (Reference)' de liga compartida de Simple Oracle Document Access (SODA)</t>
  </si>
  <si>
    <t>Se revisó documentación '5.2.7 Special-Criterion Clause (Reference)'</t>
  </si>
  <si>
    <t>Se revisó documentación '5.2.7 Special-Criterion Clause (Reference)' de liga compartida de Simple Oracle Document Access (SODA)</t>
  </si>
  <si>
    <t>Se revisó documentación '5.2.7.1 Spatial Clause (Reference)'</t>
  </si>
  <si>
    <t>Se revisó documentación '5.2.7.1 Spatial Clause (Reference)' de liga compartida de Simple Oracle Document Access (SODA)</t>
  </si>
  <si>
    <t>Se revisó documentación '5.2.7.2 Contains Clause (Reference)'</t>
  </si>
  <si>
    <t>Se revisó documentación '5.2.7.2 Contains Clause (Reference)' de liga compartida de Simple Oracle Document Access (SODA)</t>
  </si>
  <si>
    <t>Se revisó documentación '8 SODA Drivers'</t>
  </si>
  <si>
    <t>Se revisó documentación '8 SODA Drivers' de liga compartida de Simple Oracle Document Access (SODA)</t>
  </si>
  <si>
    <t>Se revisó documentación '9 SODA Feature Support'</t>
  </si>
  <si>
    <t>Se revisó documentación '9 SODA Feature Support' de liga compartida de Simple Oracle Document Access (SODA)</t>
  </si>
  <si>
    <t>Se revisó documentación '10 SODA Guidelines and Restrictions'</t>
  </si>
  <si>
    <t>Se revisó documentación '10 SODA Guidelines and Restrictions' de liga compartida de Simple Oracle Document Access (SODA)</t>
  </si>
  <si>
    <t>Se revisó información de 'MongoDB : todo sobre la base de datos NoSQL orientada a documentos'</t>
  </si>
  <si>
    <t>Se revisó información de 'MongoDB : todo sobre la base de datos NoSQL orientada a documentos' en portales de internet</t>
  </si>
  <si>
    <t xml:space="preserve">Se visualizó video de 'MongoDB in 5 minutes with Eliot Horowitz' </t>
  </si>
  <si>
    <t xml:space="preserve">Se visualizó video de 'MongoDB in 5 minutes with Eliot Horowitz' de portales de internet </t>
  </si>
  <si>
    <t>SSIVHRL04</t>
  </si>
  <si>
    <t>Se visualizó video de 'How do NoSQL database work? Simply Explained!'</t>
  </si>
  <si>
    <t xml:space="preserve">Se visualizó video de 'How do NoSQL database work? Simply Explained!' de portales de internet </t>
  </si>
  <si>
    <t>Se visualizó video de 'Hystory of Data Bases' de portales de internet'</t>
  </si>
  <si>
    <t xml:space="preserve">Se visualizó video de 'Hystory of Data Bases' de portales de internet' de portales de internet  </t>
  </si>
  <si>
    <t>Se revisó información de 'BASES DE DATOS NO ESTRUCTURADAS - MONGODB'</t>
  </si>
  <si>
    <t>Se revisó información de 'BASES DE DATOS NO ESTRUCTURADAS - MONGODB' en portales de internet</t>
  </si>
  <si>
    <t>Se revisó información de 'Descripción MongoDB'</t>
  </si>
  <si>
    <t>Se revisó información de 'Descripción MongoDB' en portales de internet</t>
  </si>
  <si>
    <t>Se revisó información de 'Alternativas a Mongo DB'</t>
  </si>
  <si>
    <t>Se revisó información de 'Alternativas a Mongo DB' en portales de internet</t>
  </si>
  <si>
    <t>Se revisó información de 'Descarga de Mongo DB'</t>
  </si>
  <si>
    <t>Se revisó información de 'Descarga de Mongo DB' en portales de internet</t>
  </si>
  <si>
    <t>Se revisó información de 'MongoDB en Consola'</t>
  </si>
  <si>
    <t>Se revisó información de 'MongoDB en Consola' en portales de internet</t>
  </si>
  <si>
    <t>Se revisó información de 'MONGODB'</t>
  </si>
  <si>
    <t>Se revisó información de 'MONGODB' en portales de internet</t>
  </si>
  <si>
    <t>Se revisó información de 'Algunos comandos MongoDB'</t>
  </si>
  <si>
    <t>Se revisó información de 'Algunos comandos MongoDB' en portales de internet</t>
  </si>
  <si>
    <t>Se revisó información de 'MongoDB Compass'</t>
  </si>
  <si>
    <t>Se revisó información de 'MongoDB Compass' en portales de internet</t>
  </si>
  <si>
    <t>Se revisó información de 'Bases de datos y colecciones'</t>
  </si>
  <si>
    <t>Se revisó información de 'Bases de datos y colecciones' en portales de internet</t>
  </si>
  <si>
    <t xml:space="preserve">Se revisó el archivo 'Querys_Estadisiticas_Totales' </t>
  </si>
  <si>
    <t>Se revisó el archivo 'Querys_Estadisiticas_Totales' proporcionado por Samuel</t>
  </si>
  <si>
    <t>https://ifai-my.sharepoint.com/:w:/r/personal/samuel_partida_inai_org_mx/_layouts/15/Doc.aspx?sourcedoc=%7B3E0B597C-177D-4332-BF69-1CAAE80C3BFE%7D&amp;file=Querys_Estadisiticas_Totales.docx&amp;action=default&amp;mobileredirect=true</t>
  </si>
  <si>
    <t>Se dio retroalimentación rapida a Samuel sobre archivo 'Querys_Estadisiticas_Totales'</t>
  </si>
  <si>
    <t>Se dio retroalimentación rapida a Samuel sobre cuantos querys se van a trabajar del archivo 'Querys_Estadisiticas_Totales'</t>
  </si>
  <si>
    <t>Se revisó el archivo 'Final Ficha estadística 2023'</t>
  </si>
  <si>
    <t>Se revisó el archivo 'Final Ficha estadística 2023' proporcionado por Samuel</t>
  </si>
  <si>
    <t>https://ifai-my.sharepoint.com/:w:/r/personal/samuel_partida_inai_org_mx/_layouts/15/Doc.aspx?sourcedoc=%7BB2D2E97A-3869-4BD0-816C-4DC330308770%7D&amp;file=Final%20Ficha%20estad%C3%ADstica%202023.docx&amp;action=default&amp;mobileredirect=true</t>
  </si>
  <si>
    <t>Se dio retroalimentación rapida a Samuel sobre archivo 'Final Ficha estadística 2023'</t>
  </si>
  <si>
    <t>Se dio retroalimentación rapida a Samuel sobre cuantos querys se van a trabajar del archivo 'Final Ficha estadística 2023'</t>
  </si>
  <si>
    <t>Se revisó el query 1 de 'TOTAL DE SOLICITUDES DE INFORMACIÓN' del archivo 'Querys_Estadisiticas_Totales'</t>
  </si>
  <si>
    <t>Se revisó el query 1 de 'TOTAL DE SOLICITUDES DE INFORMACIÓN' del archivo 'Querys_Estadisiticas_Totales' de forma general, para verificar si no hay dudas a revisar con Samuel</t>
  </si>
  <si>
    <t>Se revisó el query 1 de 'TOTAL DE RECURSOS DE REVISIÓN INGRESADOS ' del archivo 'Querys_Estadisiticas_Totales' de forma general</t>
  </si>
  <si>
    <t>Se revisó el query 1 de 'TOTAL DE RECURSOS DE REVISIÓN INGRESADOS ' del archivo 'Querys_Estadisiticas_Totales' de forma general, para verificar si no hay dudas a revisar con Samuel</t>
  </si>
  <si>
    <t>Se revisó el query 2 de 'TOTAL DE RECURSOS DE REVISIÓN INGRESADOS ' del archivo 'Querys_Estadisiticas_Totales' de forma general</t>
  </si>
  <si>
    <t>Se revisó el query 2 de 'TOTAL DE RECURSOS DE REVISIÓN INGRESADOS ' del archivo 'Querys_Estadisiticas_Totales' de forma general, para verificar si no hay dudas a revisar con Samuel</t>
  </si>
  <si>
    <t>Se revisó el query 3 de 'TOTAL DE RECURSOS DE REVISIÓN INGRESADOS ' del archivo 'Querys_Estadisiticas_Totales' de forma general</t>
  </si>
  <si>
    <t>Se revisó el query 3 de 'TOTAL DE RECURSOS DE REVISIÓN INGRESADOS ' del archivo 'Querys_Estadisiticas_Totales' de forma general, para verificar si no hay dudas a revisar con Samuel</t>
  </si>
  <si>
    <t>Se revisó el query 1 de 'TOTAL DE RECURSOS DE REVISIÓN GESTIONADOS' del archivo 'Querys_Estadisiticas_Totales' de forma general</t>
  </si>
  <si>
    <t>Se revisó el query 1 de 'TOTAL DE RECURSOS DE REVISIÓN GESTIONADOS' del archivo 'Querys_Estadisiticas_Totales' de forma general, para verificar si no hay dudas a revisar con Samuel</t>
  </si>
  <si>
    <t>Se revisó el query 1 de 'TOTAL DE OBLIGACIONES DE TRANSPARENCIA' del archivo 'Querys_Estadisiticas_Totales' de forma general</t>
  </si>
  <si>
    <t>Se revisó el query 1 de 'TOTAL DE OBLIGACIONES DE TRANSPARENCIA' del archivo 'Querys_Estadisiticas_Totales' de forma general, para verificar si no hay dudas a revisar con Samuel</t>
  </si>
  <si>
    <t>Se revisó el query 1 de 'TOTAL CONSULTA EN LOS BUSCADORES' del archivo 'Querys_Estadisiticas_Totales' de forma general</t>
  </si>
  <si>
    <t>Se revisó el query 1 de 'TOTAL CONSULTA EN LOS BUSCADORES' del archivo 'Querys_Estadisiticas_Totales' de forma general, para verificar si no hay dudas a revisar con Samuel</t>
  </si>
  <si>
    <t>Se revisó el query 2 de 'TOTAL CONSULTA EN LOS BUSCADORES' del archivo 'Querys_Estadisiticas_Totales' de forma general</t>
  </si>
  <si>
    <t>Se revisó el query 2 de 'TOTAL CONSULTA EN LOS BUSCADORES' del archivo 'Querys_Estadisiticas_Totales' de forma general, para verificar si no hay dudas a revisar con Samuel</t>
  </si>
  <si>
    <t>Se revisó el query 1 de 'En la Plataforma Nacional de Transparencia, las obligaciones más consultadas por los ciudadanos' del archivo 'Final Ficha estadística 2023' de forma general</t>
  </si>
  <si>
    <t>Se revisó el query 1 de 'En la Plataforma Nacional de Transparencia, las obligaciones más consultadas por los ciudadanos' del archivo 'Final Ficha estadística 2023' de forma general, para verificar si no hay dudas a revisar con Samuel</t>
  </si>
  <si>
    <t>Se revisó el query 1 de 'Términos más utilizados en el Buscador Nacional' del archivo 'Final Ficha estadística 2023' de forma general</t>
  </si>
  <si>
    <t>Se revisó el query 1 de 'Términos más utilizados en el Buscador Nacional' del archivo 'Final Ficha estadística 2023' de forma general, para verificar si no hay dudas a revisar con Samuel</t>
  </si>
  <si>
    <t>Se revisó el query 1 de 'Los temas más consultados en la PNT de Sujetos Obligados Federales' del archivo 'Final Ficha estadística 2023' de forma general</t>
  </si>
  <si>
    <t>Se revisó el query 1 de 'Los temas más consultados en la PNT de Sujetos Obligados Federales' del archivo 'Final Ficha estadística 2023' de forma general, para verificar si no hay dudas a revisar con Samuel</t>
  </si>
  <si>
    <t>Se revisó el query 1 de 'Sujetos Obligados federales con más obligaciones cargadas' del archivo 'Final Ficha estadística 2023' de forma general</t>
  </si>
  <si>
    <t>Se revisó el query 1 de 'Sujetos Obligados federales con más obligaciones cargadas' del archivo 'Final Ficha estadística 2023' de forma general, para verificar si no hay dudas a revisar con Samuel</t>
  </si>
  <si>
    <t>Se revisó el query 1 de 'Sujetos Obligados federales con más solicitudes de información' del archivo 'Final Ficha estadística 2023' de forma general</t>
  </si>
  <si>
    <t>Se revisó el query 1 de 'Sujetos Obligados federales con más solicitudes de información' del archivo 'Final Ficha estadística 2023' de forma general, para verificar si no hay dudas a revisar con Samuel</t>
  </si>
  <si>
    <t>Se revisó el query 1 de 'Sujetos Obligados federales con más recursos de revisión' del archivo 'Final Ficha estadística 2023' de forma general</t>
  </si>
  <si>
    <t>Se revisó el query 1 de 'Sujetos Obligados federales con más recursos de revisión' del archivo 'Final Ficha estadística 2023' de forma general, para verificar si no hay dudas a revisar con Samuel</t>
  </si>
  <si>
    <t>Se revisó el query 1 de 'Total de consultas realizadas a los buscadores temáticos' del archivo 'Final Ficha estadística 2023' de forma general</t>
  </si>
  <si>
    <t>Se revisó el query 1 de 'Total de consultas realizadas a los buscadores temáticos' del archivo 'Final Ficha estadística 2023' de forma general, para verificar si no hay dudas a revisar con Samuel</t>
  </si>
  <si>
    <t>Se revisó el query 2 de 'Total de consultas realizadas a los buscadores temáticos' del archivo 'Final Ficha estadística 2023' de forma general</t>
  </si>
  <si>
    <t>Se revisó el query 2 de 'Total de consultas realizadas a los buscadores temáticos' del archivo 'Final Ficha estadística 2023' de forma general, para verificar si no hay dudas a revisar con Samuel</t>
  </si>
  <si>
    <t>Se revisó el query 1 de 'Consulta a los módulos de la PNT en el buscador Nacional' del archivo 'Final Ficha estadística 2023' de forma general</t>
  </si>
  <si>
    <t>Se revisó el query 1 de 'Consulta a los módulos de la PNT en el buscador Nacional' del archivo 'Final Ficha estadística 2023' de forma general, para verificar si no hay dudas a revisar con Samuel</t>
  </si>
  <si>
    <t>Se comenzó a trabajar con el query 1 'TOTAL DE SOLICITUDES DE INFORMACIÓN' del archivo 'Querys_Estadisiticas_Totales'</t>
  </si>
  <si>
    <t>Se comenzó a trabajar con el query 1 'TOTAL DE SOLICITUDES DE INFORMACIÓN' del archivo 'Querys_Estadisiticas_Totales', validando información para analizar forma de mejorar lo</t>
  </si>
  <si>
    <t>https://ifai-my.sharepoint.com/:w:/r/personal/samuel_partida_inai_org_mx/_layouts/15/Doc.aspx?sourcedoc=%7BE3893BBE-E71E-4A16-B776-AACBCF429F22%7D&amp;file=Querys_Estadisiticas_Totales_NReyes.docx&amp;action=default&amp;mobileredirect=true</t>
  </si>
  <si>
    <t>Se trabajó con el Header del Nuevo Paquete 'SISAI.PACK_SISAI3'</t>
  </si>
  <si>
    <t>Se trabajó con el Header del Nuevo Paquete 'SISAI.PACK_SISAI3' y se crea con el usuario SIAI</t>
  </si>
  <si>
    <t>Se trabajó con el Body del Nuevo Paquete 'SISAI.PACK_SISAI3'</t>
  </si>
  <si>
    <t>Se trabajó con el Body del Nuevo Paquete 'SISAI.PACK_SISAI3' y se crea con el usuario SISAI</t>
  </si>
  <si>
    <t>Se revisó el Query #1 del archivo FFE23 para la Funcionalidad 1, se hicieron las primeras ejecuciones con los parámetros para entender su funcionamiento</t>
  </si>
  <si>
    <t>Se revisó el Query #1 del archivo FFE23 para la Funcionalidad 1 'En la Plataforma Nacional de Transparencia, las obligaciones más consultadas por los ciudadanos', se hicieron las primeras ejecuciones con los parámetros para entender su funcionamiento</t>
  </si>
  <si>
    <t>https://ifai-my.sharepoint.com/:w:/r/personal/samuel_partida_inai_org_mx/_layouts/15/Doc.aspx?sourcedoc=%7BE86B8887-5B44-4E6E-9769-3D4691D4B621%7D&amp;file=Final%20Ficha%20estad%C3%ADstica%202023_NReyes.docx&amp;action=default&amp;mobileredirect=true</t>
  </si>
  <si>
    <t xml:space="preserve">Se optimizó el Query #1 del archivo FFE23 (Funcionalidad 1) </t>
  </si>
  <si>
    <t>Se optimizó el Query #1 del archivo FFE23 (Funcionalidad 1) para tener una versión mejorada en tiempo de respuesta y costo</t>
  </si>
  <si>
    <t>Se creó el nuevo procedimiento 'FUNC1_PLATANACTRANSPAOBLICONSULTQ1' en el paquete 'PACK_SISAI3'</t>
  </si>
  <si>
    <t>Se creó el nuevo procedimiento 'FUNC1_PLATANACTRANSPAOBLICONSULTQ1' en el paquete 'PACK_SISAI3', con la funcionalidad del Query #1</t>
  </si>
  <si>
    <t>Se verificó campo por campo del query 1 de la Funcionalidad 1</t>
  </si>
  <si>
    <t>Se verificó campo por campo del query 1 de la Funcionalidad 1, validando el tipo de dato y longitud exactos</t>
  </si>
  <si>
    <t>Se declararon las variables en bloque anónimo con validación exacta de tamaños de tipos de datos, del query 1 de la Funcionalidad 1</t>
  </si>
  <si>
    <t>Se validó el paquete-procedimiento de la funcionalidad 1 - Query # 1 con el bloque anónimo correcto y se tuvo un resultado exitoso</t>
  </si>
  <si>
    <t xml:space="preserve">Se validó el paquete-procedimiento de la funcionalidad 1 - Query # 1 con el bloque anónimo correcto y se tuvo un resultado exitoso con la salida del cursor completo </t>
  </si>
  <si>
    <t>Se actualizó el documento 'Final Ficha estadística 2023' con los comentarios sobre el Query 1 de la Funcionalidad 1</t>
  </si>
  <si>
    <t>Se revisó el Query #1 del archivo FFE23 para la Funcionalidad 2, se hicieron las primeras ejecuciones con los parámetros para entender su funcionamiento</t>
  </si>
  <si>
    <t>Se revisó el Query #1 del archivo FFE23 para la Funcionalidad 2 'Términos más utilizados en el Buscador Nacional', se hicieron las primeras ejecuciones con los parámetros para entender su funcionamiento</t>
  </si>
  <si>
    <t>Se optimizó el Query #1 del archivo FFE23 (Funcionalidad 2) para tener una versión mejorada</t>
  </si>
  <si>
    <t>Se optimizó el Query #1 del archivo FFE23 (Funcionalidad 2) para tener una versión mejorada en tiempo de respuesta y costo</t>
  </si>
  <si>
    <t>Se creó el nuevo procedimiento 'FUNC2_TERMASUTILBUSCNAC' en el paquete 'PACK_SISAI3'</t>
  </si>
  <si>
    <t>Se creó el nuevo procedimiento 'FUNC2_TERMASUTILBUSCNAC' en el paquete 'PACK_SISAI3', con la funcionalidad del Query #1</t>
  </si>
  <si>
    <t>Se verificó campo por campo del query 1 de la Funcionalidad 2</t>
  </si>
  <si>
    <t>Se verificó campo por campo del query 1 de la Funcionalidad 2, validando el tipo de dato y longitud exactos</t>
  </si>
  <si>
    <t>Se declararon las variables en bloque anónimo con validación exacta de tamaños de tipos de datos, del query 1 de la Funcionalidad 2</t>
  </si>
  <si>
    <t>Se validó el paquete-procedimiento de la funcionalidad 2 - Query # 1 con el bloque anónimo correcto y se tuvo un resultado exitoso</t>
  </si>
  <si>
    <t xml:space="preserve">Se validó el paquete-procedimiento de la funcionalidad 2 - Query # 1 con el bloque anónimo correcto y se tuvo un resultado exitoso con la salida del cursor completo </t>
  </si>
  <si>
    <t>Se actualizó el documento 'Final Ficha estadística 2023' con los comentarios sobre el Query 1 de la Funcionalidad 2</t>
  </si>
  <si>
    <t>Se revisó el Query #1 del archivo FFE23 para la Funcionalidad 3, se hicieron las primeras ejecuciones con los parámetros para entender su funcionamiento</t>
  </si>
  <si>
    <t>Se revisó el Query #1 del archivo FFE23 para la Funcionalidad 3 'Los temas más consultados en la PNT de Sujetos Obligados Federales', se hicieron las primeras ejecuciones con los parámetros para entender su funcionamiento</t>
  </si>
  <si>
    <t xml:space="preserve">Se optimizó el Query #1 del archivo FFE23 (Funcionalidad 3) para tener una versión mejorada </t>
  </si>
  <si>
    <t>Se optimizó el Query #1 del archivo FFE23 (Funcionalidad 3) para tener una versión mejorada en tiempo de respuesta y costo</t>
  </si>
  <si>
    <t>Se creó el nuevo procedimiento 'FUNC3_TEMASCONSULPNTSUJOBLIFED' en el paquete 'PACK_SISAI3'</t>
  </si>
  <si>
    <t>Se creó el nuevo procedimiento 'FUNC3_TEMASCONSULPNTSUJOBLIFED' en el paquete 'PACK_SISAI3', con la funcionalidad del Query #1</t>
  </si>
  <si>
    <t>Se verificó campo por campo del query 1 de la Funcionalidad 3</t>
  </si>
  <si>
    <t>Se verificó campo por campo del query 1 de la Funcionalidad 3, validando el tipo de dato y longitud exactos</t>
  </si>
  <si>
    <t>Se declararon las variables en bloque anónimo con validación exacta de tamaños de tipos de datos, del query 1 de la Funcionalidad 3</t>
  </si>
  <si>
    <t>Se validó el paquete-procedimiento de la funcionalidad 3 - Query # 1 con el bloque anónimo correcto y se tuvo un resultado exitoso</t>
  </si>
  <si>
    <t xml:space="preserve">Se validó el paquete-procedimiento de la funcionalidad 3 - Query # 1 con el bloque anónimo correcto y se tuvo un resultado exitoso con la salida del cursor completo </t>
  </si>
  <si>
    <t>Se actualizó el documento 'Final Ficha estadística 2023' con los comentarios sobre el Query 1 de la Funcionalidad 3</t>
  </si>
  <si>
    <t>Se revisó el Query #1 del archivo FFE23 para la Funcionalidad 4, se hicieron las primeras ejecuciones con los parámetros para entender su funcionamiento</t>
  </si>
  <si>
    <t>Se revisó el Query #1 del archivo FFE23 para la Funcionalidad 4 'Sujetos Obligados federales con más obligaciones cargadas', se hicieron las primeras ejecuciones con los parámetros para entender su funcionamiento</t>
  </si>
  <si>
    <t xml:space="preserve">Se optimizó el Query #1 del archivo FFE23 (Funcionalidad 4) para tener una versión mejorada </t>
  </si>
  <si>
    <t>Se optimizó el Query #1 del archivo FFE23 (Funcionalidad 4) para tener una versión mejorada en tiempo de respuesta y costo</t>
  </si>
  <si>
    <t>Se creó el nuevo procedimiento 'FUNC4_SUJOBLIFEDEMASOBLICARGA' en el paquete 'PACK_SISAI3'</t>
  </si>
  <si>
    <t>Se creó el nuevo procedimiento 'FUNC4_SUJOBLIFEDEMASOBLICARGA' en el paquete 'PACK_SISAI3', con la funcionalidad del Query #1</t>
  </si>
  <si>
    <t>Se verificó campo por campo del query 1 de la Funcionalidad 4, validando el tipo de dato y longitud exactos</t>
  </si>
  <si>
    <t>Se declararon las variables en bloque anónimo con validación exacta de tamaños de tipos de datos, del query 1 de la Funcionalidad 4</t>
  </si>
  <si>
    <t>Se validó el paquete-procedimiento de la funcionalidad 4 - Query # 1 con el bloque anónimo correcto y se tuvo un resultado exitoso</t>
  </si>
  <si>
    <t xml:space="preserve">Se validó el paquete-procedimiento de la funcionalidad 4 - Query # 1 con el bloque anónimo correcto y se tuvo un resultado exitoso con la salida del cursor completo </t>
  </si>
  <si>
    <t>Se actualizó el documento 'Final Ficha estadística 2023' con los comentarios sobre el Query 1 de la Funcionalidad 4</t>
  </si>
  <si>
    <t>Se revisó el Query #1 del archivo FFE23 para la Funcionalidad 5, se hicieron las primeras ejecuciones con los parámetros para entender su funcionamiento</t>
  </si>
  <si>
    <t>Se revisó el Query #1 del archivo FFE23 para la Funcionalidad 5 'Sujetos Obligados federales con más solicitudes de información', se hicieron las primeras ejecuciones con los parámetros para entender su funcionamiento</t>
  </si>
  <si>
    <t>Se optimizó el Query #1 del archivo FFE23 (Funcionalidad 5) para tener una versión mejorada</t>
  </si>
  <si>
    <t>Se optimizó el Query #1 del archivo FFE23 (Funcionalidad 5) para tener una versión mejorada en tiempo de respuesta y costo</t>
  </si>
  <si>
    <t>Se creó el nuevo procedimiento 'FUNC5_SUJOBLIFEDMASSOLICINFO' en el paquete 'PACK_SISAI3', con la funcionalidad del Query #1</t>
  </si>
  <si>
    <t>Se verificó campo por campo del query 1 de la Funcionalidad 5, validando el tipo de dato y longitud exactos</t>
  </si>
  <si>
    <t>Se declararon las variables en bloque anónimo con validación exacta de tamaños de tipos de datos, del query 1 de la Funcionalidad 5</t>
  </si>
  <si>
    <t>Se validó el paquete-procedimiento de la funcionalidad 5 - Query # 1 con el bloque anónimo correcto y se tuvo un resultado exitoso</t>
  </si>
  <si>
    <t xml:space="preserve">Se validó el paquete-procedimiento de la funcionalidad 5 - Query # 1 con el bloque anónimo correcto y se tuvo un resultado exitoso con la salida del cursor completo </t>
  </si>
  <si>
    <t>Se actualizó el documento 'Final Ficha estadística 2023' con los comentarios sobre el Query 1 de la Funcionalidad 5</t>
  </si>
  <si>
    <t>Se revisó el Query #1 del archivo FFE23 para la Funcionalidad 6 'Sujetos Obligados federales con más recursos de revisión'</t>
  </si>
  <si>
    <t>Se revisó el Query #1 del archivo FFE23 para la Funcionalidad 6 'Sujetos Obligados federales con más recursos de revisión', se hicieron las primeras ejecuciones con los parámetros para entender su funcionamiento</t>
  </si>
  <si>
    <t>Se optimizó el Query #1 del archivo FFE23 (Funcionalidad 6) para tener una versión mejorada</t>
  </si>
  <si>
    <t>Se optimizó el Query #1 del archivo FFE23 (Funcionalidad 6) para tener una versión mejorada en tiempo de respuesta y costo</t>
  </si>
  <si>
    <t>Se creó el nuevo procedimiento 'FUNC6_SUJOBLIFEDMASRECREVI'</t>
  </si>
  <si>
    <t>Se creó el nuevo procedimiento 'FUNC6_SUJOBLIFEDMASRECREVI' en el paquete 'PACK_SISAI3', con la funcionalidad del Query #1</t>
  </si>
  <si>
    <t>Se verificó campo por campo del query 1 de la Funcionalidad 6, validando el tipo de dato y longitud exactos</t>
  </si>
  <si>
    <t>Se declararon las variables en bloque anónimo con validación exacta de tamaños de tipos de datos, del query 1 de la Funcionalidad 6</t>
  </si>
  <si>
    <t>Se validó el paquete-procedimiento de la funcionalidad 6 - Query # 1 con el bloque anónimo correcto</t>
  </si>
  <si>
    <t xml:space="preserve">Se validó el paquete-procedimiento de la funcionalidad 6 - Query # 1 con el bloque anónimo correcto y se tuvo un resultado exitoso con la salida del cursor completo </t>
  </si>
  <si>
    <t>Se actualizó el documento 'Final Ficha estadística 2023' con los comentarios sobre el Q1 de la Func 6</t>
  </si>
  <si>
    <t>Se actualizó el documento 'Final Ficha estadística 2023' con los comentarios sobre el Query 1 de la Funcionalidad 6</t>
  </si>
  <si>
    <t>Se revisó el Query #1 del archivo FFE23 para la Funcionalidad 7 'Total de consultas realizadas a los buscadores temáticos'</t>
  </si>
  <si>
    <t>Se revisó el Query #1 del archivo FFE23 para la Funcionalidad 7 'Total de consultas realizadas a los buscadores temáticos', se hicieron las primeras ejecuciones con los parámetros para entender su funcionamiento</t>
  </si>
  <si>
    <t>Se optimizó el Query #1 del archivo FFE23 (Funcionalidad 7) para tener una versión mejorada</t>
  </si>
  <si>
    <t>Se optimizó el Query #1 del archivo FFE23 (Funcionalidad 7) para tener una versión mejorada en tiempo de respuesta y costo</t>
  </si>
  <si>
    <t>Se creó el nuevo procedimiento 'FUNC7_TOTCONSREABUSCATEMAQ1'</t>
  </si>
  <si>
    <t>Se creó el nuevo procedimiento 'FUNC7_TOTCONSREABUSCATEMAQ1' en el paquete 'PACK_SISAI3', con la funcionalidad del Query #1</t>
  </si>
  <si>
    <t>Se verificó campo por campo del query 1 de la Funcionalidad 7, validando el tipo de dato y longitud exactos</t>
  </si>
  <si>
    <t>Se declararon las variables en bloque anónimo con validación exacta de tamaños de tipos de datos, del query 1 de la Funcionalidad 7</t>
  </si>
  <si>
    <t>Se validó el paquete-procedimiento de la funcionalidad 7 - Query # 1 con el bloque anónimo correcto</t>
  </si>
  <si>
    <t xml:space="preserve">Se validó el paquete-procedimiento de la funcionalidad 7 - Query # 1 con el bloque anónimo correcto y se tuvo un resultado exitoso con la salida del cursor completo </t>
  </si>
  <si>
    <t>Se actualizó el documento 'Final Ficha estadística 2023' con los comentarios sobre el Query 1 de la Funcionalidad 7</t>
  </si>
  <si>
    <t>Se revisó el Query #2 del archivo FFE23 para la Funcionalidad 7 'Total de consultas realizadas a los buscadores temáticos'</t>
  </si>
  <si>
    <t>Se revisó el Query #2 del archivo FFE23 para la Funcionalidad 7 'Total de consultas realizadas a los buscadores temáticos', se hicieron las primeras ejecuciones con los parámetros para entender su funcionamiento</t>
  </si>
  <si>
    <t>Se optimizó el Query #2 del archivo FFE23 (Funcionalidad 7) para tener una versión mejorada</t>
  </si>
  <si>
    <t>Se optimizó el Query #2 del archivo FFE23 (Funcionalidad 7) para tener una versión mejorada en tiempo de respuesta y costo</t>
  </si>
  <si>
    <t>Se creó el nuevo procedimiento 'FUNC7_TOTCONSREABUSCATEMAQ2'</t>
  </si>
  <si>
    <t>Se creó el nuevo procedimiento 'FUNC7_TOTCONSREABUSCATEMAQ2' en el paquete 'PACK_SISAI3', con la funcionalidad del Query #2</t>
  </si>
  <si>
    <t>Se verificó campo por campo del query 2 de la Funcionalidad 7, validando el tipo de dato y longitud exactos</t>
  </si>
  <si>
    <t>Se declararon las variables en bloque anónimo con validación exacta de tamaños de tipos de datos, del query 2 de la Funcionalidad 7</t>
  </si>
  <si>
    <t>Se validó el paquete-procedimiento de la funcionalidad 7 - Query # 2 con el bloque anónimo correcto</t>
  </si>
  <si>
    <t xml:space="preserve">Se validó el paquete-procedimiento de la funcionalidad 7 - Query # 2 con el bloque anónimo correcto y se tuvo un resultado exitoso con la salida del cursor completo </t>
  </si>
  <si>
    <t>Se actualizó el documento 'Final Ficha estadística 2023' con los comentarios sobre el Query 2 de la Funcionalidad 7</t>
  </si>
  <si>
    <t>Se revisó el Query #1 del archivo FFE23 para la Funcionalidad 8 'Consulta a los módulos de la PNT en el buscador Nacional'</t>
  </si>
  <si>
    <t>Se revisó el Query #1 del archivo FFE23 para la Funcionalidad 8 'Consulta a los módulos de la PNT en el buscador Nacional', se hicieron las primeras ejecuciones con los parámetros para entender su funcionamiento</t>
  </si>
  <si>
    <t>Se creó el nuevo procedimiento 'FUNC8_CONSMODPNTBUSCNACQ1' en el paquete 'PACK_SISAI3', con la funcionalidad del Query #1</t>
  </si>
  <si>
    <t>Se optimizó el Query #1 del archivo FFE23 (Funcionalidad 8) para tener una versión mejorada en tiempo de respuesta y costo</t>
  </si>
  <si>
    <t>Se creó el nuevo procedimiento 'FUNC8_CONSMODPNTBUSCNACQ1'</t>
  </si>
  <si>
    <t>Se verificó campo por campo del query 1 de la Funcionalidad 8, validando el tipo de dato y longitud exactos</t>
  </si>
  <si>
    <t>Se declararon las variables en bloque anónimo con validación exacta de tamaños de tipos de datos, del query 1 de la Funcionalidad 8</t>
  </si>
  <si>
    <t>Se validó el paquete-procedimiento de la funcionalidad 8 - Query # 1 con el bloque anónimo correcto</t>
  </si>
  <si>
    <t xml:space="preserve">Se validó el paquete-procedimiento de la funcionalidad 8 - Query # 1 con el bloque anónimo correcto y se tuvo un resultado exitoso con la salida del cursor completo </t>
  </si>
  <si>
    <t>Se actualizó el documento 'Final Ficha estadística 2023' con los comentarios sobre el Query 1 de la Funcionalidad 8</t>
  </si>
  <si>
    <t>Se revisó el Query #1 del archivo IEDEPNI para la Funcionalidad 1 'TOTAL DE SOLICITUDES DE INFORMACIÓN'</t>
  </si>
  <si>
    <t>Se revisó el Query #1 del archivo IEDEPNI para la Funcionalidad 1 'TOTAL DE SOLICITUDES DE INFORMACIÓN', se hicieron las primeras ejecuciones con los parámetros para entender su funcionamiento</t>
  </si>
  <si>
    <t>Se optimizó el Query #1 del archivo IEDEPNI (Funcionalidad 1) para tener una versión mejorada</t>
  </si>
  <si>
    <t>Se optimizó el Query #1 del archivo IEDEPNI (Funcionalidad 1) para tener una versión mejorada en tiempo de respuesta y costo</t>
  </si>
  <si>
    <t>Se creó el nuevo procedimiento 'FUNC1_TOTSOLDEINFOQ1'</t>
  </si>
  <si>
    <t>Se creó el nuevo procedimiento 'FUNC1_TOTSOLDEINFOQ1' en el paquete 'PACK_SISAI3', con la funcionalidad del Query #1</t>
  </si>
  <si>
    <t>Se tuvó sesión con Samuel para revisar las herramientas de tuneo que se utilizan</t>
  </si>
  <si>
    <t>Se tuvó sesión con Samuel para revisar las herramientas de tuneo que se utilizan y el proceso que llevo para optimizar los queries que he trabajado</t>
  </si>
  <si>
    <t>Se validó el paquete-procedimiento de la funcionalidad 1 - Query # 1 con el bloque anónimo correcto</t>
  </si>
  <si>
    <t>Se actualizó el documento 'Querys_Estadisiticas_Totales' con los comentarios sobre el Query 1 de la Funcionalidad 1</t>
  </si>
  <si>
    <t>Se revisó el Query #1 del archivo IEDEPNI para la Funcionalidad 2 'TOTAL DE RECURSOS DE REVISIÓN INGRESADOS - Recursos de HCOM E INFOMEX'</t>
  </si>
  <si>
    <t>Se revisó el Query #1 del archivo IEDEPNI para la Funcionalidad 2 'TOTAL DE RECURSOS DE REVISIÓN INGRESADOS - Recursos de HCOM E INFOMEX', se hicieron las primeras ejecuciones con los parámetros para entender su funcionamiento</t>
  </si>
  <si>
    <t>Se optimizó el Query #1 del archivo IEDEPNI (Funcionalidad 2) para tener una versión mejorada</t>
  </si>
  <si>
    <t>Se optimizó el Query #1 del archivo IEDEPNI (Funcionalidad 2) para tener una versión mejorada en tiempo de respuesta y costo</t>
  </si>
  <si>
    <t>Se creó el nuevo procedimiento 'FUNC2_TOTRRIHCOMEINFOMEXQ1'</t>
  </si>
  <si>
    <t>Se creó el nuevo procedimiento 'FUNC2_TOTRRIHCOMEINFOMEXQ1' en el paquete 'PACK_SISAI3', con la funcionalidad del Query #1</t>
  </si>
  <si>
    <t>Se validó el paquete-procedimiento de la funcionalidad 2 - Query # 1 con el bloque anónimo correcto</t>
  </si>
  <si>
    <t>Se actualizó el documento 'Querys_Estadisiticas_Totales' con los comentarios sobre el Query 1 de la Funcionalidad 2</t>
  </si>
  <si>
    <t>Se revisó el Query #2 del archivo IEDEPNI para la Funcionalidad 2 'TOTAL DE RECURSOS DE REVISIÓN INGRESADOS - Obtiene los recursos de revisión interpuestos'</t>
  </si>
  <si>
    <t>Se revisó el Query #2 del archivo IEDEPNI para la Funcionalidad 2 'TOTAL DE RECURSOS DE REVISIÓN INGRESADOS - Obtiene los recursos de revisión interpuestos', se hicieron las primeras ejecuciones con los parámetros para entender su funcionamiento</t>
  </si>
  <si>
    <t>Se optimizó el Query #2 del archivo IEDEPNI (Funcionalidad 2) para tener una versión mejorada</t>
  </si>
  <si>
    <t>Se optimizó el Query #2 del archivo IEDEPNI (Funcionalidad 2) para tener una versión mejorada en tiempo de respuesta y costo</t>
  </si>
  <si>
    <t>Se creó el nuevo procedimiento 'FUNC2_TOTRRIOBTRECREVINTERPUQ2'</t>
  </si>
  <si>
    <t>Se creó el nuevo procedimiento 'FUNC2_TOTRRIOBTRECREVINTERPUQ2' en el paquete 'PACK_SISAI3', con la funcionalidad del Query #2</t>
  </si>
  <si>
    <t>Se verificó campo por campo del query 2 de la Funcionalidad 2, validando el tipo de dato y longitud exactos</t>
  </si>
  <si>
    <t>Se declararon las variables en bloque anónimo con validación exacta de tamaños de tipos de datos, del query 2 de la Funcionalidad 2</t>
  </si>
  <si>
    <t>Se validó el paquete-procedimiento de la funcionalidad 2 - Query # 2 con el bloque anónimo correcto</t>
  </si>
  <si>
    <t xml:space="preserve">Se validó el paquete-procedimiento de la funcionalidad 2 - Query # 2 con el bloque anónimo correcto y se tuvo un resultado exitoso con la salida del cursor completo </t>
  </si>
  <si>
    <t>Se actualizó el documento 'Querys_Estadisiticas_Totales' con los comentarios sobre el Query 2 de la Funcionalidad 2</t>
  </si>
  <si>
    <t>Se revisó el Query #3 del archivo IEDEPNI para la Funcionalidad 2 'TOTAL DE RECURSOS DE REVISIÓN INGRESADOS - Obtiene los recursos de revisión gestionados fuera'</t>
  </si>
  <si>
    <t>Se revisó el Query #3 del archivo IEDEPNI para la Funcionalidad 2 'TOTAL DE RECURSOS DE REVISIÓN INGRESADOS - Obtiene los recursos de revisión gestionados fuera', se hicieron las primeras ejecuciones con los parámetros para entender su funcionamiento</t>
  </si>
  <si>
    <t>Se optimizó el Query #3 del archivo IEDEPNI (Funcionalidad 2) para tener una versión mejorada</t>
  </si>
  <si>
    <t>Se optimizó el Query #3 del archivo IEDEPNI (Funcionalidad 2) para tener una versión mejorada en tiempo de respuesta y costo</t>
  </si>
  <si>
    <t>Se creó el nuevo procedimiento 'FUNC2_TOTRRIOBTRECREVGESTFUEQ3'</t>
  </si>
  <si>
    <t>Se creó el nuevo procedimiento 'FUNC2_TOTRRIOBTRECREVGESTFUEQ3' en el paquete 'PACK_SISAI3', con la funcionalidad del Query #3</t>
  </si>
  <si>
    <t>Se verificó campo por campo del query 3 de la Funcionalidad 2, validando el tipo de dato y longitud exactos</t>
  </si>
  <si>
    <t>Se declararon las variables en bloque anónimo con validación exacta de tamaños de tipos de datos, del query 3 de la Funcionalidad 2</t>
  </si>
  <si>
    <t>Se validó el paquete-procedimiento de la funcionalidad 2 - Query # 3 con el bloque anónimo correcto</t>
  </si>
  <si>
    <t xml:space="preserve">Se validó el paquete-procedimiento de la funcionalidad 2 - Query # 3 con el bloque anónimo correcto y se tuvo un resultado exitoso con la salida del cursor completo </t>
  </si>
  <si>
    <t>Se actualizó el documento 'Querys_Estadisiticas_Totales' con los comentarios sobre el Query 3 de la Funcionalidad 2</t>
  </si>
  <si>
    <t>Se revisó el Query #1 del archivo IEDEPNI para la Funcionalidad 3 'TOTAL DE RECURSOS DE REVISIÓN GESTIONADOS'</t>
  </si>
  <si>
    <t>Se revisó el Query #1 del archivo IEDEPNI para la Funcionalidad 3 'TOTAL DE RECURSOS DE REVISIÓN GESTIONADOS', se hicieron las primeras ejecuciones con los parámetros para entender su funcionamiento</t>
  </si>
  <si>
    <t>Se optimizó el Query #1 del archivo IEDEPNI (Funcionalidad 3) para tener una versión mejorada</t>
  </si>
  <si>
    <t>Se optimizó el Query #1 del archivo IEDEPNI (Funcionalidad 3) para tener una versión mejorada en tiempo de respuesta y costo</t>
  </si>
  <si>
    <t>Se creó el nuevo procedimiento 'FUNC3_TOTRECREVGESTIOQ1'</t>
  </si>
  <si>
    <t>Se creó el nuevo procedimiento 'FUNC3_TOTRECREVGESTIOQ1' en el paquete 'PACK_SISAI3', con la funcionalidad del Query #1</t>
  </si>
  <si>
    <t>Se validó el paquete-procedimiento de la funcionalidad 3 - Query # 1 con el bloque anónimo correcto</t>
  </si>
  <si>
    <t>Se actualizó el documento 'Querys_Estadisiticas_Totales' con los comentarios sobre el Query 1 de la Funcionalidad 3</t>
  </si>
  <si>
    <t>Se revisó el Query #1 del archivo IEDEPNI para la Funcionalidad 4 'TOTAL DE OBLIGACIONES DE TRANSPARENCIA'</t>
  </si>
  <si>
    <t>Se revisó el Query #1 del archivo IEDEPNI para la Funcionalidad 4 'TOTAL DE OBLIGACIONES DE TRANSPARENCIA', se hicieron las primeras ejecuciones con los parámetros para entender su funcionamiento</t>
  </si>
  <si>
    <t>Se optimizó el Query #1 del archivo IEDEPNI (Funcionalidad 4) para tener una versión mejorada</t>
  </si>
  <si>
    <t>Se optimizó el Query #1 del archivo IEDEPNI (Funcionalidad 4) para tener una versión mejorada en tiempo de respuesta y costo</t>
  </si>
  <si>
    <t>Se creó el nuevo procedimiento 'FUNC4_TOTOBLTRANSPAQ1'</t>
  </si>
  <si>
    <t>Se creó el nuevo procedimiento 'FUNC4_TOTOBLTRANSPAQ1' en el paquete 'PACK_SISAI3', con la funcionalidad del Query #1</t>
  </si>
  <si>
    <t>Se validó el paquete-procedimiento de la funcionalidad 4 - Query # 1 con el bloque anónimo correcto</t>
  </si>
  <si>
    <t>Se actualizó el documento 'Querys_Estadisiticas_Totales' con los comentarios sobre el Query 1 de la Funcionalidad 4</t>
  </si>
  <si>
    <t>Se revisó el Query #1 del archivo IEDEPNI para la Funcionalidad 5 'TOTAL CONSULTA EN LOS BUSCADORES - Buscador Nacional'</t>
  </si>
  <si>
    <t>Se revisó el Query #1 del archivo IEDEPNI para la Funcionalidad 5 'TOTAL CONSULTA EN LOS BUSCADORES - Buscador Nacional', se hicieron las primeras ejecuciones con los parámetros para entender su funcionamiento</t>
  </si>
  <si>
    <t>Se optimizó el Query #1 del archivo IEDEPNI (Funcionalidad 5) para tener una versión mejorada</t>
  </si>
  <si>
    <t>Se optimizó el Query #1 del archivo IEDEPNI (Funcionalidad 5) para tener una versión mejorada en tiempo de respuesta y costo</t>
  </si>
  <si>
    <t>Se creó el nuevo procedimiento 'FUNC5_TOTCONSBUSCADONACQ1'</t>
  </si>
  <si>
    <t>Se creó el nuevo procedimiento 'FUNC5_TOTCONSBUSCADONACQ1' en el paquete 'PACK_SISAI3', con la funcionalidad del Query #1</t>
  </si>
  <si>
    <t>Se validó el paquete-procedimiento de la funcionalidad 5 - Query # 1 con el bloque anónimo correcto</t>
  </si>
  <si>
    <t>Se actualizó el documento 'Querys_Estadisiticas_Totales' con los comentarios sobre el Query 1 de la Funcionalidad 5</t>
  </si>
  <si>
    <t>Se revisó el Query #2| del archivo IEDEPNI para la Funcionalidad 5 'TOTAL CONSULTA EN LOS BUSCADORES - Buscadores temáticos'</t>
  </si>
  <si>
    <t>Se revisó el Query #2 del archivo IEDEPNI para la Funcionalidad 5 'TOTAL CONSULTA EN LOS BUSCADORES - Buscadores temáticos', se hicieron las primeras ejecuciones con los parámetros para entender su funcionamiento</t>
  </si>
  <si>
    <t>Se optimizó el Query #2 del archivo IEDEPNI (Funcionalidad 5) para tener una versión mejorada</t>
  </si>
  <si>
    <t>Se optimizó el Query #2 del archivo IEDEPNI (Funcionalidad 5) para tener una versión mejorada en tiempo de respuesta y costo</t>
  </si>
  <si>
    <t>Se creó el nuevo procedimiento 'FUNC5_TOTCONSBUSCADOTEMATICOQ2'</t>
  </si>
  <si>
    <t>Se creó el nuevo procedimiento 'FUNC5_TOTCONSBUSCADOTEMATICOQ2' en el paquete 'PACK_SISAI3', con la funcionalidad del Query #2</t>
  </si>
  <si>
    <t>Se verificó campo por campo del query 2 de la Funcionalidad 5, validando el tipo de dato y longitud exactos</t>
  </si>
  <si>
    <t>Se declararon las variables en bloque anónimo con validación exacta de tamaños de tipos de datos, del query 2 de la Funcionalidad 5</t>
  </si>
  <si>
    <t>Se validó el paquete-procedimiento de la funcionalidad 5 - Query # 2 con el bloque anónimo correcto</t>
  </si>
  <si>
    <t xml:space="preserve">Se validó el paquete-procedimiento de la funcionalidad 5 - Query # 2 con el bloque anónimo correcto y se tuvo un resultado exitoso con la salida del cursor completo </t>
  </si>
  <si>
    <t>SSIVHRL05</t>
  </si>
  <si>
    <t>SSIVHRL06</t>
  </si>
  <si>
    <t>SSIVHRL07</t>
  </si>
  <si>
    <t>SSIVHRL08</t>
  </si>
  <si>
    <t>SSIVHRL09</t>
  </si>
  <si>
    <t>SSIVHRL10</t>
  </si>
  <si>
    <t>SSIVHRL11</t>
  </si>
  <si>
    <t>SSIVHRL12</t>
  </si>
  <si>
    <t>SSIVHRL13</t>
  </si>
  <si>
    <t>SSIVHRL14</t>
  </si>
  <si>
    <t>SSIVHRL15</t>
  </si>
  <si>
    <t>SSIVHRL16</t>
  </si>
  <si>
    <t>SSIVHRL17</t>
  </si>
  <si>
    <t>SSIVHRL18</t>
  </si>
  <si>
    <t>SSIVHRL19</t>
  </si>
  <si>
    <t>SSIVHRL20</t>
  </si>
  <si>
    <t>SSIVHRL21</t>
  </si>
  <si>
    <t>SSIVHRL22</t>
  </si>
  <si>
    <t>SSIVHRL23</t>
  </si>
  <si>
    <t>SSIVHRL24</t>
  </si>
  <si>
    <t>SSIVHRL25</t>
  </si>
  <si>
    <t>SSIVHRL26</t>
  </si>
  <si>
    <t>SSIVHRL27</t>
  </si>
  <si>
    <t>SSIVHRL28</t>
  </si>
  <si>
    <t>SSIVHRL29</t>
  </si>
  <si>
    <t>SSIVHRL30</t>
  </si>
  <si>
    <t>SSIVHRL31</t>
  </si>
  <si>
    <t>SSIVHRL32</t>
  </si>
  <si>
    <t>SSIVHRL33</t>
  </si>
  <si>
    <t>SSIVHRL34</t>
  </si>
  <si>
    <t>SSIVHRL35</t>
  </si>
  <si>
    <t>SSIVHRL36</t>
  </si>
  <si>
    <t>SSIVHRL37</t>
  </si>
  <si>
    <t>SSIVHRL38</t>
  </si>
  <si>
    <t>SSIVHRL39</t>
  </si>
  <si>
    <t>SSIVHRL40</t>
  </si>
  <si>
    <t>SSIVHRL41</t>
  </si>
  <si>
    <t>SSIVHRL42</t>
  </si>
  <si>
    <t>SSIVHRL43</t>
  </si>
  <si>
    <t>SSIVHRL44</t>
  </si>
  <si>
    <t>SSIVHRL45</t>
  </si>
  <si>
    <t>SSIVHRL46</t>
  </si>
  <si>
    <t>SSIVHRL47</t>
  </si>
  <si>
    <t>SSIVHRL48</t>
  </si>
  <si>
    <t>SSIVHRL49</t>
  </si>
  <si>
    <t>SSIVHRL50</t>
  </si>
  <si>
    <t>SSIVHRL51</t>
  </si>
  <si>
    <t>SSIVHRL52</t>
  </si>
  <si>
    <t>SSIVHRL53</t>
  </si>
  <si>
    <t>SSIVHRL54</t>
  </si>
  <si>
    <t>SSIVHRL55</t>
  </si>
  <si>
    <t>SSIVHRL56</t>
  </si>
  <si>
    <t>SSIVHRL57</t>
  </si>
  <si>
    <t>SSIVHRL58</t>
  </si>
  <si>
    <t>SSIVHRL59</t>
  </si>
  <si>
    <t>SSIVHRL60</t>
  </si>
  <si>
    <t>SSIVHRL61</t>
  </si>
  <si>
    <t>SSIVHRL62</t>
  </si>
  <si>
    <t>SSIVHRL63</t>
  </si>
  <si>
    <t>SSIVHRL64</t>
  </si>
  <si>
    <t>SSIVHRL65</t>
  </si>
  <si>
    <t>SSIVHRL66</t>
  </si>
  <si>
    <t>SSIVHRL67</t>
  </si>
  <si>
    <t>SSIVHRL68</t>
  </si>
  <si>
    <t>SSIVHRL69</t>
  </si>
  <si>
    <t>SSIVHRL70</t>
  </si>
  <si>
    <t>SSIVHRL71</t>
  </si>
  <si>
    <t>SSIVHRL72</t>
  </si>
  <si>
    <t>SSIVHRL73</t>
  </si>
  <si>
    <t>SSIVHRL74</t>
  </si>
  <si>
    <t>SSIVHRL75</t>
  </si>
  <si>
    <t>SSIVHRL76</t>
  </si>
  <si>
    <t>SSIVHRL77</t>
  </si>
  <si>
    <t>SSIVHRL78</t>
  </si>
  <si>
    <t>SSIVHRL79</t>
  </si>
  <si>
    <t>SSIVHRL80</t>
  </si>
  <si>
    <t>SSIVHRL81</t>
  </si>
  <si>
    <t>SSIVHRL82</t>
  </si>
  <si>
    <t>SSIVHRL83</t>
  </si>
  <si>
    <t>SSIVHRL84</t>
  </si>
  <si>
    <t>SSIVHRL85</t>
  </si>
  <si>
    <t>SSIVHRL86</t>
  </si>
  <si>
    <t>SSIVHRL87</t>
  </si>
  <si>
    <t>SSIVHRL88</t>
  </si>
  <si>
    <t>SSIVHRL89</t>
  </si>
  <si>
    <t>SSIVHRL90</t>
  </si>
  <si>
    <t>SSIVHRL91</t>
  </si>
  <si>
    <t>SSIVHRL92</t>
  </si>
  <si>
    <t>SSIVHRL93</t>
  </si>
  <si>
    <t>SSIVHRL94</t>
  </si>
  <si>
    <t>SSIVHRL95</t>
  </si>
  <si>
    <t>SSIVHRL96</t>
  </si>
  <si>
    <t>SSIVHRL97</t>
  </si>
  <si>
    <t>SSIVHRL98</t>
  </si>
  <si>
    <t>SSIVHRL99</t>
  </si>
  <si>
    <t>SSIVHRL100</t>
  </si>
  <si>
    <t>SSIVHRL101</t>
  </si>
  <si>
    <t>SSIVHRL102</t>
  </si>
  <si>
    <t>SSIVHRL103</t>
  </si>
  <si>
    <t>SSIVHRL104</t>
  </si>
  <si>
    <t>SSIVHRL105</t>
  </si>
  <si>
    <t>SSIVHRL106</t>
  </si>
  <si>
    <t>SSIVHRL107</t>
  </si>
  <si>
    <t>SSIVHRL108</t>
  </si>
  <si>
    <t>SSIVHRL109</t>
  </si>
  <si>
    <t>SSIVHRL110</t>
  </si>
  <si>
    <t>SSIVHRL111</t>
  </si>
  <si>
    <t>SSIVHRL112</t>
  </si>
  <si>
    <t>SSIVHRL113</t>
  </si>
  <si>
    <t>SSIVHRL114</t>
  </si>
  <si>
    <t>SSIVHRL115</t>
  </si>
  <si>
    <t>SSIVHRL116</t>
  </si>
  <si>
    <t>SSIVHRL117</t>
  </si>
  <si>
    <t>SSIVHRL118</t>
  </si>
  <si>
    <t>SSIVHRL119</t>
  </si>
  <si>
    <t>SSIVHRL120</t>
  </si>
  <si>
    <t>SSIVHRL121</t>
  </si>
  <si>
    <t>SSIVHRL122</t>
  </si>
  <si>
    <t>SSIVHRL123</t>
  </si>
  <si>
    <t>SSIVHRL124</t>
  </si>
  <si>
    <t>SSIVHRL125</t>
  </si>
  <si>
    <t>SSIVHRL126</t>
  </si>
  <si>
    <t>SSIVHRL127</t>
  </si>
  <si>
    <t>SSIVHRL128</t>
  </si>
  <si>
    <t>SSIVHRL129</t>
  </si>
  <si>
    <t>SSIVHRL130</t>
  </si>
  <si>
    <t>SSIVHRL131</t>
  </si>
  <si>
    <t>SSIVHRL132</t>
  </si>
  <si>
    <t>SSIVHRL133</t>
  </si>
  <si>
    <t>SSIVHRL134</t>
  </si>
  <si>
    <t>SSIVHRL135</t>
  </si>
  <si>
    <t>SSIVHRL136</t>
  </si>
  <si>
    <t>SSIVHRL137</t>
  </si>
  <si>
    <t>SSIVHRL138</t>
  </si>
  <si>
    <t>SSIVHRL139</t>
  </si>
  <si>
    <t>SSIVHRL140</t>
  </si>
  <si>
    <t>SSIVHRL141</t>
  </si>
  <si>
    <t>SSIVHRL142</t>
  </si>
  <si>
    <t>SSIVHRL143</t>
  </si>
  <si>
    <t>SSIVHRL144</t>
  </si>
  <si>
    <t>SSIVHRL145</t>
  </si>
  <si>
    <t>SSIVHRL146</t>
  </si>
  <si>
    <t>SSIVHRL147</t>
  </si>
  <si>
    <t>SSIVHRL148</t>
  </si>
  <si>
    <t>SSIVHRL149</t>
  </si>
  <si>
    <t>SSIVHRL150</t>
  </si>
  <si>
    <t>SSIVHRL151</t>
  </si>
  <si>
    <t>SSIVHRL152</t>
  </si>
  <si>
    <t>SSIVHRL153</t>
  </si>
  <si>
    <t>SSIVHRL154</t>
  </si>
  <si>
    <t>SSIVHRL155</t>
  </si>
  <si>
    <t>SSIVHRL156</t>
  </si>
  <si>
    <t>SSIVHRL157</t>
  </si>
  <si>
    <t>SSIVHRL158</t>
  </si>
  <si>
    <t>SSIVHRL159</t>
  </si>
  <si>
    <t>SSIVHRL160</t>
  </si>
  <si>
    <t>SSIVHRL161</t>
  </si>
  <si>
    <t>SSIVHRL162</t>
  </si>
  <si>
    <t>SSIVHRL163</t>
  </si>
  <si>
    <t>SSIVHRL164</t>
  </si>
  <si>
    <t>SSIVHRL165</t>
  </si>
  <si>
    <t>SSIVHRL166</t>
  </si>
  <si>
    <t>SSIVHRL167</t>
  </si>
  <si>
    <t>SSIVHRL168</t>
  </si>
  <si>
    <t>SSIVHRL169</t>
  </si>
  <si>
    <t>SSIVHRL170</t>
  </si>
  <si>
    <t>SSIVHRL171</t>
  </si>
  <si>
    <t>SSIVHRL172</t>
  </si>
  <si>
    <t>SSIVHRL173</t>
  </si>
  <si>
    <t>SSIVHRL174</t>
  </si>
  <si>
    <t>SSIVHRL175</t>
  </si>
  <si>
    <t>SSIVHRL176</t>
  </si>
  <si>
    <t>SSIVHRL177</t>
  </si>
  <si>
    <t>SSIVHRL178</t>
  </si>
  <si>
    <t>SSIVHRL179</t>
  </si>
  <si>
    <t>SSIVHRL180</t>
  </si>
  <si>
    <t>SSIVHRL181</t>
  </si>
  <si>
    <t>SSIVHRL182</t>
  </si>
  <si>
    <t>SSIVHRL183</t>
  </si>
  <si>
    <t>SSIVHRL184</t>
  </si>
  <si>
    <t>SSIVHRL185</t>
  </si>
  <si>
    <t>SSIVHRL186</t>
  </si>
  <si>
    <t>SSIVHRL187</t>
  </si>
  <si>
    <t>SSIVHRL188</t>
  </si>
  <si>
    <t>SSIVHRL189</t>
  </si>
  <si>
    <t>SSIVHRL190</t>
  </si>
  <si>
    <t>SSIVHRL191</t>
  </si>
  <si>
    <t>SSIVHRL192</t>
  </si>
  <si>
    <t>SSIVHRL193</t>
  </si>
  <si>
    <t>SSIVHRL194</t>
  </si>
  <si>
    <t>SSIVHRL195</t>
  </si>
  <si>
    <t>SSIVHRL196</t>
  </si>
  <si>
    <t>Alan Camacho Martínez</t>
  </si>
  <si>
    <t>Subdirección de Calidad e Implantación</t>
  </si>
  <si>
    <t>Subdirector de Calidad e Implantación</t>
  </si>
  <si>
    <t>https://ifai-my.sharepoint.com/:w:/r/personal/samuel_partida_inai_org_mx/_layouts/15/Doc.aspx?sourcedoc=%7BE1C9D5F0-1998-4F6F-AA50-AD0234A43E1F%7D&amp;file=Simple%20Oracle%20Document%20Access%20Information%20NRG.docx&amp;action=default&amp;mobileredirect=true</t>
  </si>
  <si>
    <t>https://ifai-my.sharepoint.com/personal/samuel_partida_inai_org_mx/_layouts/15/onedrive.aspx?ga=1&amp;id=%2Fpersonal%2Fsamuel%5Fpartida%5Finai%5Forg%5Fmx%2FDocuments%2FOPTIMIZAR%5FQUERYS%5FSISAI%5FSIGEMI%2FMongoDBNoEstructuradas%5FNRG%2Epdf&amp;parent=%2Fpersonal%2Fsamuel%5Fpartida%5Finai%5Forg%5Fmx%2FDocuments%2FOPTIMIZAR%5FQUERYS%5FSISAI%5FSIGEMI</t>
  </si>
  <si>
    <t>https://ifai-my.sharepoint.com/:w:/r/personal/samuel_partida_inai_org_mx/_layouts/15/Doc.aspx?sourcedoc=%7B98EA4DE4-9A7E-4E1F-9820-3D91C5833AC2%7D&amp;file=MongoDBNoSQL_OrientadaADocumentos_NRG.docx&amp;action=default&amp;mobileredirect=true</t>
  </si>
  <si>
    <t>Desarrollo de servicios Mis Quejas, analisis y diseño de reglas de negocio</t>
  </si>
  <si>
    <t>DSFOSF02</t>
  </si>
  <si>
    <t>DSFOSF04</t>
  </si>
  <si>
    <t>DSFOSF06</t>
  </si>
  <si>
    <t>DSJGRR04</t>
  </si>
  <si>
    <t>DSJGRR08</t>
  </si>
  <si>
    <t>DSJGRR10</t>
  </si>
  <si>
    <t>DSJGRR12</t>
  </si>
  <si>
    <t xml:space="preserve">Proyecto </t>
  </si>
  <si>
    <t>Recurso</t>
  </si>
  <si>
    <t>Horas estimadas</t>
  </si>
  <si>
    <t>Pizarras 5</t>
  </si>
  <si>
    <t>Micrositio “Criterios de Interpretación actualizados”</t>
  </si>
  <si>
    <t>Actualización de la APP Movil</t>
  </si>
  <si>
    <t>Motor de firma electrónica SICOM</t>
  </si>
  <si>
    <t>Costo por hora</t>
  </si>
  <si>
    <t>Costo con IVA</t>
  </si>
  <si>
    <t>Horas estimadas por perfil</t>
  </si>
  <si>
    <t>Status Presupuesto Servicio Tercerización Sistemas, partida 3301</t>
  </si>
  <si>
    <t xml:space="preserve">Ejercicio 2023 </t>
  </si>
  <si>
    <t xml:space="preserve"> Descripción </t>
  </si>
  <si>
    <t xml:space="preserve"> Presupuesto </t>
  </si>
  <si>
    <t xml:space="preserve"> Ejercido a septiembre </t>
  </si>
  <si>
    <t xml:space="preserve"> Planeado oct-dic </t>
  </si>
  <si>
    <t>*Pendiente por traspasar por parte de la DST</t>
  </si>
  <si>
    <t>Traspaso acordado DST a Sistemas</t>
  </si>
  <si>
    <t>Cambio de Áreas de Calidad y BD a Sistemas</t>
  </si>
  <si>
    <t>Total pendiente por traspasar de la DST a DS</t>
  </si>
  <si>
    <t>BITACORA DE SEGUIMIENTO A ACTIVIDADES DE LOS RECURSOS DE TERCERIZACIÓN</t>
  </si>
  <si>
    <t>Recurso:</t>
  </si>
  <si>
    <t>Periodo:</t>
  </si>
  <si>
    <t>Fecha elaboración:</t>
  </si>
  <si>
    <t>XX/XX/XXXX</t>
  </si>
  <si>
    <t>Realizó</t>
  </si>
  <si>
    <t>Validó</t>
  </si>
  <si>
    <t>Dirección de Sistemas, DGTI - INAI</t>
  </si>
  <si>
    <t>Total de Horas</t>
  </si>
  <si>
    <t xml:space="preserve">Perfil: </t>
  </si>
  <si>
    <t>DSJGRR14</t>
  </si>
  <si>
    <t>octubre</t>
  </si>
  <si>
    <t>Modificar pantallas para implementar combos de selección múltiple</t>
  </si>
  <si>
    <t>DSJGRR15</t>
  </si>
  <si>
    <t>DSJGRR16</t>
  </si>
  <si>
    <t>DSJGRR17</t>
  </si>
  <si>
    <t>DSJGRR18</t>
  </si>
  <si>
    <t>DSJGRR19</t>
  </si>
  <si>
    <t>DSJGRR20</t>
  </si>
  <si>
    <t>Pantalla para estadísticas de solicitudes</t>
  </si>
  <si>
    <t>Pantalla para estadísticas de quejas</t>
  </si>
  <si>
    <t>Pantalla para estadísticas de resoluciones</t>
  </si>
  <si>
    <t>Pantalla para estadísticas por usuario/solicitudes</t>
  </si>
  <si>
    <t>Pantalla para estadísticas por usuario/quejas</t>
  </si>
  <si>
    <t>Pantalla para estadísticas por usuario/resoluciones</t>
  </si>
  <si>
    <t>DSFOSF07</t>
  </si>
  <si>
    <t>Back para estadísticas de solicitudes</t>
  </si>
  <si>
    <t>Back para estadísticas de quejas</t>
  </si>
  <si>
    <t>Back para estadísticas de resoluciones</t>
  </si>
  <si>
    <t>Back para estadísticas por usuario/solicitudes</t>
  </si>
  <si>
    <t>Back para estadísticas por usuario/quejas</t>
  </si>
  <si>
    <t>Back para estadísticas por usuario/resoluciones</t>
  </si>
  <si>
    <t>Backs para implementar combos de selección múltiple</t>
  </si>
  <si>
    <t>DSFOSF08</t>
  </si>
  <si>
    <t>DSFOSF09</t>
  </si>
  <si>
    <t>DSFOSF10</t>
  </si>
  <si>
    <t>DSFOSF11</t>
  </si>
  <si>
    <t>DSFOSF12</t>
  </si>
  <si>
    <t>DSFOSF13</t>
  </si>
  <si>
    <t>Gasto corriente</t>
  </si>
  <si>
    <t>Ampliación</t>
  </si>
  <si>
    <t>Presupuesto DST</t>
  </si>
  <si>
    <t>Kubernetes</t>
  </si>
  <si>
    <t>App Móvil</t>
  </si>
  <si>
    <t>Motor de Firma</t>
  </si>
  <si>
    <t>Micrositio</t>
  </si>
  <si>
    <t>Presupuesto ampliación</t>
  </si>
  <si>
    <t>Análisis de los requerimientos para el proyecto de estadisticos</t>
  </si>
  <si>
    <t>Analizar los requerimientos para el proyecto de estadisticos</t>
  </si>
  <si>
    <t>https://github.com/INAIMexico/pnt-microservicios-estadisticos</t>
  </si>
  <si>
    <t>Análisis de los procesos en base de datos</t>
  </si>
  <si>
    <t>Analizar la obtención de los resultados de los procesos de base de datos</t>
  </si>
  <si>
    <t>Análisis de respuesta para los servicios de backend</t>
  </si>
  <si>
    <t>Analizar la respuesta de los servicios que consumen los procesos de la base de datos</t>
  </si>
  <si>
    <t>Mapeo de las entidades de los catálogos de base de datos en Java</t>
  </si>
  <si>
    <t>Mapear las tablas de los catálogos de la base de datos en el proyecto de estadisticos</t>
  </si>
  <si>
    <t>Mapeo de las entidades para los objetos de solicitudes de base de datos</t>
  </si>
  <si>
    <t>Mapear las tablas de los objetos de solicitudes de base de datos para invocar los procesos almacenados.</t>
  </si>
  <si>
    <t>Desarrollo del metódos para consumir el proceso para la graficas de solicitudes</t>
  </si>
  <si>
    <t>Desarrollo e implementación de los metódos para la invocación del proceso para obtener la graficas de solicitudes</t>
  </si>
  <si>
    <t>Desarrollo de los servicios para los catálogos de solicitudes</t>
  </si>
  <si>
    <t>Desarrollar los servicios para mostrar los catálogos de las solicitudes</t>
  </si>
  <si>
    <t>Desarrollo de los servicios para los catálogos de quejas</t>
  </si>
  <si>
    <t>Desarrollar los servicios para mostrar los catálogos de las quejas</t>
  </si>
  <si>
    <t>Desarrollo de los metódos genericos para consumir los procesos almacenados</t>
  </si>
  <si>
    <t>Desarrollar los metódos genericos para consumir los procesos almacenados para generar las gráficas de solicitudes</t>
  </si>
  <si>
    <t>Desarrollo de los servicios para exponer los datos de las gráficas de solicitudes</t>
  </si>
  <si>
    <t>Desarrollo e implementación de los servicios para exponer los resultados de los procesos almacenados para generar las gráficas</t>
  </si>
  <si>
    <t>Mapeo de las entidades para los objetos de quejas de base de datos</t>
  </si>
  <si>
    <t>Mapear las tablas de los objetos de quejas de base de datos para invocar los procesos almacenados.</t>
  </si>
  <si>
    <t>Desarrollo de los metódos para consumir el proceso para las graficas de quejas</t>
  </si>
  <si>
    <t>Desarrollo e implementación de los metódos para la invocación del proceso para obtener la graficas de quejas</t>
  </si>
  <si>
    <t>Desarrollo de funcionalidad para registrar la ultima respuesta de una solicitud a la bitacora de una queja</t>
  </si>
  <si>
    <t>Codificar la funcionalidad para consultar la ultima respuesta de una solicitud de información en SISAI y registrar su referencia en el sistema de SIGEMI</t>
  </si>
  <si>
    <t>Desarrollo para registrar en bitacora la creación del acuse de registro de queja</t>
  </si>
  <si>
    <t>Codificar la funionalidad para registrar en la bitacora de registro de documentos de una queja, la generación del acuse de recepción de una queja</t>
  </si>
  <si>
    <t>Desarrollo para llamar a los subreportes que generan el acuse de queja</t>
  </si>
  <si>
    <t>Corrección de incidencia que no permitia consumir algunos subreportes que se requieren para generar acuses de registro de quejas</t>
  </si>
  <si>
    <t>Desarrollo para registrar RIA's</t>
  </si>
  <si>
    <t>Codificación del requerimiento para registrar uno o más RIA's  asociados a una queja</t>
  </si>
  <si>
    <t>Desarrollo para generar acuse de registro de RIA</t>
  </si>
  <si>
    <t>Codificar la funcionalidad para generar acuses de respuesta a RIA's</t>
  </si>
  <si>
    <t>Desarrollo para registrar respuesta a notificaciones</t>
  </si>
  <si>
    <t>Registro de las respuestas de las notificaciones enviadas por un organo garante y respondidas por un solicitante</t>
  </si>
  <si>
    <t>Desarrollo para generar acuse de registro de notificaciones</t>
  </si>
  <si>
    <t>Codificar la funcionalidad para generar acuses de respuesta a notificaciones</t>
  </si>
  <si>
    <t>Desarrollo para listar comunicaciones</t>
  </si>
  <si>
    <t>Modifiación de servicio rest para registrar los requerimientos de comunicación por parte del organismo garante</t>
  </si>
  <si>
    <t xml:space="preserve">Desarrollo para registrar respuesta a  requerimiento de comunicación </t>
  </si>
  <si>
    <t>Desarrollo del servicio que permite registrar los requerimientos de comunicación responidos por el solicitante</t>
  </si>
  <si>
    <t>SPDCGF22</t>
  </si>
  <si>
    <t>Desarrollo para generar acuse de comunicaciones</t>
  </si>
  <si>
    <t>Desarrollo del servicio que permite generar el acuse de registro de "comunicación"</t>
  </si>
  <si>
    <t>Instalacion y configuracion de Helm</t>
  </si>
  <si>
    <t>Se instalo y configuro la herramienta helm que es un manejador de paquetes para k8s</t>
  </si>
  <si>
    <t>Instalacion y configuracion de Traefik</t>
  </si>
  <si>
    <t>Se instalo y configuro el controller ingress traefik para poder controlar todos las salidas de k8s</t>
  </si>
  <si>
    <t>instalacion y configuracion de MetalLb</t>
  </si>
  <si>
    <t>Se instalo el modulo de MetalLb para poder utilizar loadbalancer con ip interna, que a su vez esta ligado traefik</t>
  </si>
  <si>
    <t>Instalacion y configuracion de ArgoCD</t>
  </si>
  <si>
    <t>Se instalo y configuro ArgoCD para poder hacer el deployment en automatico del las imagenes a k8s una vez que cambia el manifest.</t>
  </si>
  <si>
    <t>http://argocd.local.inai.org.mx</t>
  </si>
  <si>
    <t>Instalacion y configuracion de Trivy</t>
  </si>
  <si>
    <t>Se instalo y configuro trivy para escaneo de la imagen que crea podman</t>
  </si>
  <si>
    <t>Configuracion de Dependency Check</t>
  </si>
  <si>
    <t>Se instalo y configuro dependency check top owasp 10 para escanear cualquer vulnerabilidad en cuanto a OWASP</t>
  </si>
  <si>
    <t>Configuracion de gradle en jenkins</t>
  </si>
  <si>
    <t>Se configuro gradle en jenkins para que se pueda usar para compilar los proyectos de java</t>
  </si>
  <si>
    <t>http://172.20.32.118:8080/</t>
  </si>
  <si>
    <t>creacion de pipeline CI</t>
  </si>
  <si>
    <t>Se creo el archivo Jenkinsfile que es el que contiene todo el pipleline de CI, este reside en mi github personal, es donde se hizo las pruebas</t>
  </si>
  <si>
    <t>creacion de pipeline CD</t>
  </si>
  <si>
    <t>Se creo el archivo Jenkinsfile que es el que contiene todo el pipleline de CD, este reside en mi github personal, es donde se hizo las pruebas</t>
  </si>
  <si>
    <t>DSCOCO010</t>
  </si>
  <si>
    <t>SPDOVP01</t>
  </si>
  <si>
    <t>Introducción al proyecto</t>
  </si>
  <si>
    <t>Explicación del proyecto, tecnologias a utilizar y lectura de documentación</t>
  </si>
  <si>
    <t>https://172.20.32.20/svn/FIRMA_ELECTRONICA_2/trunk/Firma-electronica-app-front-end</t>
  </si>
  <si>
    <t>Orlando Vázquez Pintor</t>
  </si>
  <si>
    <t>SPDOVP02</t>
  </si>
  <si>
    <t>Integracion de librería de consistencia</t>
  </si>
  <si>
    <t>Se realiza el analisis y la implementación de la librería necesaria para poder realizar la verificacion de consistencia</t>
  </si>
  <si>
    <t>SPDOVP03</t>
  </si>
  <si>
    <t>Servicio para hashes</t>
  </si>
  <si>
    <t xml:space="preserve">Se realiza utileria para generar hashes de acuerdo al certificado </t>
  </si>
  <si>
    <t>SPDOVP04</t>
  </si>
  <si>
    <t>Servicio para pkcs7</t>
  </si>
  <si>
    <t xml:space="preserve">Se realiza utileria para generar pkcs7 de acuerdo al certificado </t>
  </si>
  <si>
    <t>SPDOVP05</t>
  </si>
  <si>
    <t>Subir archivos para firma unilateral</t>
  </si>
  <si>
    <t>Implementación del servicio para Subir archivos para firma unilateral</t>
  </si>
  <si>
    <t>SPDOVP06</t>
  </si>
  <si>
    <t>Registrar firma electronica pkcs7</t>
  </si>
  <si>
    <t>Implementación del servicio para Registrar firma electronica pkcs7</t>
  </si>
  <si>
    <t>SPDOVP07</t>
  </si>
  <si>
    <t>Subir archivos para firma multilateral fin firma asociada</t>
  </si>
  <si>
    <t>Se implementa servicio para Subir archivos para firma multilateral fin firma asociada</t>
  </si>
  <si>
    <t>SPDOVP08</t>
  </si>
  <si>
    <t>Subir archivos para firma</t>
  </si>
  <si>
    <t>Se implementa servicio para Subir archivos para firma</t>
  </si>
  <si>
    <t>SPDOVP09</t>
  </si>
  <si>
    <t>Implementación de servicio para registrar firma electronica pkcs7</t>
  </si>
  <si>
    <t>SPDOVP10</t>
  </si>
  <si>
    <t>Descarga hoja de evidencias</t>
  </si>
  <si>
    <t>Implementacion de servicio para descarga hoja de evidencias</t>
  </si>
  <si>
    <t>SPDOVP11</t>
  </si>
  <si>
    <t>Descarga documento firmado</t>
  </si>
  <si>
    <t>Implementacion de servicio para descarga documento firmado</t>
  </si>
  <si>
    <t>SPDOVP12</t>
  </si>
  <si>
    <t>Descarga bloque firmado</t>
  </si>
  <si>
    <t>Implementacion de servicio para descarga bloque firmado</t>
  </si>
  <si>
    <t>SPDOVP13</t>
  </si>
  <si>
    <t>cancelar Documento</t>
  </si>
  <si>
    <t>Implementación de servicio para cancelar documentos</t>
  </si>
  <si>
    <t>Se pulierón los procedimientos del documento IEDEPNI</t>
  </si>
  <si>
    <t>Se pulierón todos los procedimientos del documento IEDEPNI</t>
  </si>
  <si>
    <t>Se revisó de nuevo el Query #1 del archivo IEDEPNI para la Funcionalidad 1, para aplicar posibles mejoras</t>
  </si>
  <si>
    <t>Se revisó de nuevo el Query #1 del archivo IEDEPNI para la Funcionalidad 1 'TOTAL DE SOLICITUDES DE INFORMACIÓN' para aplicar posibles mejoras</t>
  </si>
  <si>
    <t>Se revalidó el procedimiento 'FUNC1_TOTSOLDEINFOQ1'</t>
  </si>
  <si>
    <t>Se revalidó el procedimiento 'FUNC1_TOTSOLDEINFOQ1' del paquete 'PACK_SISAI3' para afinar detalles finales</t>
  </si>
  <si>
    <t>Se revisó de nuevo el Query #1 del archivo IEDEPNI para la Funcionalidad 2, para aplicar posibles mejoras</t>
  </si>
  <si>
    <t>Se revisó de nuevo el Query #1 del archivo IEDEPNI para la Funcionalidad 2 'TOTAL DE RECURSOS DE REVISIÓN INGRESADOS - Recursos de HCOM E INFOMEX' para aplicar posibles mejoras</t>
  </si>
  <si>
    <t>Se revalidó el procedimiento 'FUNC2_TOTRRIHCOMEINFOMEXQ1'</t>
  </si>
  <si>
    <t>Se revalidó el procedimiento 'FUNC2_TOTRRIHCOMEINFOMEXQ1' en el paquete 'PACK_SISAI3' para afinar detalles finales</t>
  </si>
  <si>
    <t>Se revisó de nuevo el Query #2 del archivo IEDEPNI para la Funcionalidad 2, para aplicar posibles mejoras</t>
  </si>
  <si>
    <t>Se revisó de nuevo el Query #2 del archivo IEDEPNI para la Funcionalidad 2 'TOTAL DE RECURSOS DE REVISIÓN INGRESADOS - Obtiene los recursos de revisión interpuestos' para aplicar posibles mejoras</t>
  </si>
  <si>
    <t>Se revalidó el procedimiento 'FUNC2_TOTRRIOBTRECREVINTERPUQ2'</t>
  </si>
  <si>
    <t>Se revalidó el procedimiento 'FUNC2_TOTRRIOBTRECREVINTERPUQ2' en el paquete 'PACK_SISAI3' para afinar detalles finales</t>
  </si>
  <si>
    <t>Se revisó de nuevo el Query #3 del archivo IEDEPNI para la Funcionalidad 2, para aplicar posibles mejoras</t>
  </si>
  <si>
    <t>Se revisó de nuevo el Query #3 del archivo IEDEPNI para la Funcionalidad 2 'TOTAL DE RECURSOS DE REVISIÓN INGRESADOS - Obtiene los recursos de revisión gestionados fuera' para aplicar posibles mejoras</t>
  </si>
  <si>
    <t>Se revalidó el procedimiento 'FUNC2_TOTRRIOBTRECREVGESTFUEQ3'</t>
  </si>
  <si>
    <t>Se revalidó el procedimiento 'FUNC2_TOTRRIOBTRECREVGESTFUEQ3' en el paquete 'PACK_SISAI3' para afinar detalles finales</t>
  </si>
  <si>
    <t>Se revisó de nuevo el Query #1 del archivo IEDEPNI para la Funcionalidad 3, para aplicar posibles mejoras</t>
  </si>
  <si>
    <t>Se revisó de nuevo el Query #1 del archivo IEDEPNI para la Funcionalidad 3 'TOTAL DE RECURSOS DE REVISIÓN GESTIONADOS' para aplicar posibles mejoras</t>
  </si>
  <si>
    <t xml:space="preserve">Se revalidó el procedimiento 'FUNC3_TOTRECREVGESTIOQ1' </t>
  </si>
  <si>
    <t>Se revalidó el procedimiento 'FUNC3_TOTRECREVGESTIOQ1' en el paquete 'PACK_SISAI3' para afinar detalles finales</t>
  </si>
  <si>
    <t>Se revisó de nuevo el Query #1 del archivo IEDEPNI para la Funcionalidad 4, para aplicar posibles mejoras</t>
  </si>
  <si>
    <t>Se revisó de nuevo el Query #1 del archivo IEDEPNI para la Funcionalidad 4 'TOTAL DE OBLIGACIONES DE TRANSPARENCIA' para aplicar posibles mejoras</t>
  </si>
  <si>
    <t>Se revalidó el procedimiento 'FUNC4_TOTOBLTRANSPAQ1'</t>
  </si>
  <si>
    <t>Se revalidó el procedimiento 'FUNC4_TOTOBLTRANSPAQ1' en el paquete 'PACK_SISAI3' para afinar detalles finales</t>
  </si>
  <si>
    <t>Se revisó de nuevo el Query #1 del archivo IEDEPNI para la Funcionalidad 5, para aplicar posibles mejoras</t>
  </si>
  <si>
    <t>Se revisó de nuevo el Query #1 del archivo IEDEPNI para la Funcionalidad 5 'TOTAL CONSULTA EN LOS BUSCADORES - Buscador Nacional' para aplicar posibles mejoras</t>
  </si>
  <si>
    <t>Se revalidó el procedimiento 'FUNC5_TOTCONSBUSCADONACQ1'</t>
  </si>
  <si>
    <t>Se revalidó el procedimiento 'FUNC5_TOTCONSBUSCADONACQ1' en el paquete 'PACK_SISAI3' para afinar detalles finales</t>
  </si>
  <si>
    <t>Se revisó de nuevo el Query #2| del archivo IEDEPNI para la Funcionalidad 5, para aplicar posibles mejoras</t>
  </si>
  <si>
    <t>Se revisó de nuevo el Query #2| del archivo IEDEPNI para la Funcionalidad 5 'TOTAL CONSULTA EN LOS BUSCADORES - Buscadores temáticos' para aplicar posibles mejoras</t>
  </si>
  <si>
    <t>Se revalidó el procedimiento 'FUNC5_TOTCONSBUSCADOTEMATICOQ2'</t>
  </si>
  <si>
    <t>Se revalidó el procedimiento 'FUNC5_TOTCONSBUSCADOTEMATICOQ2' en el paquete 'PACK_SISAI3' para afinar detalles finales</t>
  </si>
  <si>
    <t>Se afinó el documento 'Final Ficha estadística 2023' con todos los detalles trabajados</t>
  </si>
  <si>
    <t>Se compartio el documento FFE23 a lider de TI</t>
  </si>
  <si>
    <t>Se compartio el documento FFE23 a lider de TI con el detalle de todo lo trabajo</t>
  </si>
  <si>
    <t>Se afinó el documento 'Querys_Estadisiticas_Totales' con todos los detalles trabajados</t>
  </si>
  <si>
    <t>Se compartio el documento IEDEPNI a lider de TI</t>
  </si>
  <si>
    <t>Se compartio el documento IEDEPNI a lider de TI con el detalle de todo lo trabajo</t>
  </si>
  <si>
    <t>Se tocó base con Samuel para el proximo requerimiento</t>
  </si>
  <si>
    <t>Se tuvo sesion con Annel para conocer el proximo requerimiento</t>
  </si>
  <si>
    <t>Se revisarón las 2 vistas materializadas proporcionadas</t>
  </si>
  <si>
    <t>Se revisarón las 2 vistas materializadas proporcionadas por Annel para entender el funcionamiento de estas</t>
  </si>
  <si>
    <t>Se consultó con Samuel sobre los proximos entregables</t>
  </si>
  <si>
    <t>Se consultó con Samuel cuales serian los proximos entregables para el tema de los Dashboards que van a requerir los procedimientos</t>
  </si>
  <si>
    <t>Se tuvo sesion con Samuel para revisar la estructura de las vistas materializadas</t>
  </si>
  <si>
    <t>Se tuvo sesion con Samuel para revisar la estructura de las tablas 'BI_VWM_SOLICITUDES_ESTADISTICAS' y 'BI_VWM_SOLICITUDES_ESTADISTICAS_DETALLE'</t>
  </si>
  <si>
    <t>Se tuvo sesión con Samuel y el equipo para conocer el alcance del requerimiento</t>
  </si>
  <si>
    <t>Se tuvo sesión con Samuel y el equipo para conocer el alcance del requerimiento y lo que tengo que comenzar a desarrollar, los entregables a trabajar</t>
  </si>
  <si>
    <t>Se tomó nota del como se deben poner los nombres de los procedimientos</t>
  </si>
  <si>
    <t>Se tomó nota del como se deben poner los nombres de los procedimientos, así como las variables de entrada y salida</t>
  </si>
  <si>
    <t>Se tomó pantalla de la maqueta de procedimientos inicial</t>
  </si>
  <si>
    <t>Se tomó pantalla de la maqueta de procedimientos inicial que es con la cual se validara el total de los procedimientos</t>
  </si>
  <si>
    <t>Se validó conexión con el usuario BI</t>
  </si>
  <si>
    <t>Se validó conexión con el usuario BI y se comprueba que si tenga acceso a las vistas del requerimiento</t>
  </si>
  <si>
    <t>Se definio el total de procedimientos y sus nombres</t>
  </si>
  <si>
    <t>Se definio el total de procedimientos y se le da un nombre a cada uno para comenzar a desarrollar el paquete</t>
  </si>
  <si>
    <t>Se creó paquete de la BD 'BI.PACK_SOLICITUDES_ESTADISTICAS'</t>
  </si>
  <si>
    <t>Se creó paquete de la BD 'BI.PACK_SOLICITUDES_ESTADISTICAS' de forma general con su header y su body</t>
  </si>
  <si>
    <t>Se creó el esqueleto de los 15 procedimientos indentificados inicialmente con los parametros de entrada de los IDs de la vista materializada</t>
  </si>
  <si>
    <t>Se creó el esqueleto de los 15 procedimientos indentificados inicialmente con los parametros de entrada de los IDs de la tabla 'BI_VWM_SOLICITUDES_ESTADISTICAS_DETALLE' y con su respectivo parametro de cursor para la salida</t>
  </si>
  <si>
    <t>Se creó el contenido del procedimiento #1 OBTENER_TIPO_SOLICITUD con la consulta que va a retornar el total por el Tipo de Solicitud</t>
  </si>
  <si>
    <t>Se creó el contenido del procedimiento #1 OBTENER_TIPO_SOLICITUD con la consulta que va a retornar el total por el Tipo de Solicitud de la tabla 'BI_VWM_SOLICITUDES_ESTADISTICAS_DETALLE' con la relación de su respectivo Catalogo para obtener su descripción</t>
  </si>
  <si>
    <t>Se compiló paquete con la primer versión del 1er procedimiento</t>
  </si>
  <si>
    <t>Se compiló paquete con la primer versión del 1er procedimiento y se valida que no tenga errores</t>
  </si>
  <si>
    <t>Se declararón las variables en bloque anónimo del query del procdimiento OBTENER_TIPO_SOLICITUD</t>
  </si>
  <si>
    <t>Se declararón las variables en bloque anónimo con validación exacta de tamaños de tipos de datos, del query del procdimiento OBTENER_TIPO_SOLICITUD</t>
  </si>
  <si>
    <t>Se validó el paquete-procedimiento 'OBTENER_TIPO_SOLICITUD' con el bloque anónimo correcto</t>
  </si>
  <si>
    <t xml:space="preserve">Se validó el paquete-procedimiento 'OBTENER_TIPO_SOLICITUD' con el bloque anónimo correcto y se tuvo un resultado exitoso con la salida del cursor completo </t>
  </si>
  <si>
    <t>Se tuvo sesión con equipo para mostrar avances del paquete y procedimientos creados</t>
  </si>
  <si>
    <t>Se tuvo sesión con equipo para mostrar avances del paquete y procedimientos creados y para aclarar dudas para continuar avanzando</t>
  </si>
  <si>
    <t>Se concluyó que seran un total de 12 procedimientos</t>
  </si>
  <si>
    <t>Se concluyó que seran un total de 12 procedimientos y se le comparten al equipo los nombres de los procedimientos</t>
  </si>
  <si>
    <t>Se validó el acceso al video de sesión pasada del viernes 13</t>
  </si>
  <si>
    <t>Se validó el acceso al video de sesión pasada del viernes 13 para poder visualizar y aclarar cualquier duda</t>
  </si>
  <si>
    <t>Se compartió con el DBA un error en el explain plan</t>
  </si>
  <si>
    <t>Se compartió con el DBA un error en el explain plan que se obtiene al validar el costo de las consultas</t>
  </si>
  <si>
    <t>Se tuvo sesión con equipo y se explicaron algunos cambios a considerar</t>
  </si>
  <si>
    <t>Se tuvo sesión con equipo solo con Horacio y Antonio y se explicaron algunos cambios a considerar</t>
  </si>
  <si>
    <t>Se tuvo sesión con Samuel y con equipo para nuevos cambios a considerar, cambio para que ahora los parametros reciban mas de 1 valor</t>
  </si>
  <si>
    <t>Se tuvo sesión con Samuel y con equipo para nuevos cambios a considerar, se nos compartio que los cambios para la construcción de los procedimientos ya que ahora los parametros de entrada deben recibir mas de 1 valor</t>
  </si>
  <si>
    <t>Se revisó un ejemplo proporcionado por Annel para entender el funcionamiento de los objetos del tipo TAB</t>
  </si>
  <si>
    <t>Se consultó mas información sobre el funcionamiento de los objetos TAB para entender el como se declaran</t>
  </si>
  <si>
    <t>Se consultó mas detalle sobre el funcionamiento de los objetos TAB para entender el como se declaran</t>
  </si>
  <si>
    <t>Se trabajó en declarar los objetos de tipo TAB en el 1er procedimiento</t>
  </si>
  <si>
    <t>Se revisaron los errores encontrados y se identifico que el problema es porque hace falta crearlos en la BD como objetos de tipo TIPE y como Colecciones -</t>
  </si>
  <si>
    <t>Se crearon todos los objetos del tipo TYPE y Collection Type</t>
  </si>
  <si>
    <t>Se crearon todos los objetos del tipo TYPE y Collection Type para poder consumirlos en c/u de los procedimientos</t>
  </si>
  <si>
    <t>Se tocó base con Antonio para validar los nombres de los nuevos objetos</t>
  </si>
  <si>
    <t>Se tocó base con Antonio para validar los nombres de los nuevos objetos y se ajustan algunos de ellos</t>
  </si>
  <si>
    <t>Se tuvo sesión para revisar los avances</t>
  </si>
  <si>
    <t>Se tuvo sesión con Samuel y Horacio para revisar los avances hasta el momento</t>
  </si>
  <si>
    <t>Se actualizó el procedimiento para manejar objetos del tipo TAB</t>
  </si>
  <si>
    <t>Se actualizó el procedimiento para manejar todos los nuevos objetos del tipo TAB</t>
  </si>
  <si>
    <t>Se trabajó en el procedimiento 'OBTENER_TIPO_SOLICITUD'</t>
  </si>
  <si>
    <t>Se trabajó en el procedimiento 'OBTENER_TIPO_SOLICITUD' para lograr que funcione con un 1er parametro de tipo TAB declarado</t>
  </si>
  <si>
    <t>Se validó el paquete-procedimiento 'OBTENER_TIPO_SOLICITUD' con el bloque anónimo</t>
  </si>
  <si>
    <t>Se validó el paquete-procedimiento 'OBTENER_TIPO_SOLICITUD' con el bloque anónimo pero se encuentran errores en la salida del cursor</t>
  </si>
  <si>
    <t>Se revisó a detalle para identificar los posibles errores</t>
  </si>
  <si>
    <t>Se revisó a detalle para identificar los posibles errores y encontrar la solución</t>
  </si>
  <si>
    <t>Se identificó problema con la inicialización de las variables TAB</t>
  </si>
  <si>
    <t>Se identificó problema con la inicialización de las variables TAB al validar con el bloque anonimo</t>
  </si>
  <si>
    <t>Se actualizó bloque anonimo con la forma correcta de inicializar la variable</t>
  </si>
  <si>
    <t>Se actualizó bloque anonimo con la forma correcta de inicializar la variable e irle dando los valores que tendra la colección</t>
  </si>
  <si>
    <t>Se logró validar de forma exitosa el procedimiento con el 1er parametro de tipo TAB</t>
  </si>
  <si>
    <t>Se logró validar de forma exitosa el procedimiento con el 1er parametro de tipo TAB 'TAB_ENTIDADFEDERATIVA'</t>
  </si>
  <si>
    <t>Se tuvo sesión con Samuel para revisar los avances hasta el momento</t>
  </si>
  <si>
    <t>Se actualizó procedimiento 'OBTENER_TIPO_SOLICITUD'</t>
  </si>
  <si>
    <t>Se actualizó procedimiento 'OBTENER_TIPO_SOLICITUD' con todas las variables de tipo TAB</t>
  </si>
  <si>
    <t>Se validó el paquete-procedimiento 'OBTENER_TIPO_SOLICITUD' con el bloque anónimo pero se encuentran nuevos errores en la salida del cursor</t>
  </si>
  <si>
    <t>Se identificaron los errores en el procedimiento 'OBTENER_TIPO_SOLICITUD'</t>
  </si>
  <si>
    <t>Se identificaron los errores en el procedimiento 'OBTENER_TIPO_SOLICITUD' ya que hay variables del tipo TAB que no se consideraran y esas se tienen que tratar distinto</t>
  </si>
  <si>
    <t>Se ajustó el procedimiento 'OBTENER_TIPO_SOLICITUD' con estas recientes mejoras identificaras</t>
  </si>
  <si>
    <t>Se ajustó el procedimiento 'OBTENER_TIPO_SOLICITUD' con estas recientes mejoras identificaras y se compila paquete sin errores</t>
  </si>
  <si>
    <t>Se validó el paquete-procedimiento 'OBTENER_TIPO_SOLICITUD' con el bloque anónimo y se comprueba salida con informacion correcta del cursor</t>
  </si>
  <si>
    <t>Se le confirmó al equipo que ya esta listo el 1er procedimiento 'OBTENER_TIPO_SOLICITUD'</t>
  </si>
  <si>
    <t>Se le confirmó al equipo que ya esta listo el 1er procedimiento 'OBTENER_TIPO_SOLICITUD' para comenzar a consumirlo con el aplicativo</t>
  </si>
  <si>
    <t>Se estimaron tiempos de la contrucción de todos los procedimientos nuevos con las variables del tipo TAB</t>
  </si>
  <si>
    <t>Se estimaron tiempos de la contrucción de todos los procedimientos nuevos que se deben terminar de construir con las variables del tipo TAB y con sus respectivas validaciones y casos especiales</t>
  </si>
  <si>
    <t>Se construyó la consulta para tratar el 2do procedimiento OBTENER_DERECHO_DP</t>
  </si>
  <si>
    <t>Se construyó la consulta para tratae el 2do procedimiento OBTENER_DERECHO_DP</t>
  </si>
  <si>
    <t>Se validó información que retorna la consulta sea la correcta</t>
  </si>
  <si>
    <t>Se validó que la información que retorna la consulta con los distintos parametros sea la correcta</t>
  </si>
  <si>
    <t>Se trabajó en el 2do procedimiento 'OBTENER_DERECHO_DP'</t>
  </si>
  <si>
    <t>Se trabajó en el 2do procedimiento 'OBTENER_DERECHO_DP' con sus respectivas variables TAB y con su consulta previamente validada, se compila sin errores</t>
  </si>
  <si>
    <t>Se validó el paquete-procedimiento 'OBTENER_DERECHO_DP' con el bloque anónimo correcto</t>
  </si>
  <si>
    <t>Se validó el paquete-procedimiento 'OBTENER_DERECHO_DP' con el bloque anónimo correcto y se tuvo un resultado exitoso con la salida del cursor completo</t>
  </si>
  <si>
    <t>Se le informó al equipo que ya esta este 2do procedimiento para que lo revisen</t>
  </si>
  <si>
    <t>Se le informó al equipo que ya esta este 2do procedimiento para que lo revisen y consuman desde el aplicativo</t>
  </si>
  <si>
    <t>Se construyó la consulta para tratar el 3er procedimiento OBTENER_MEDIO_ENTRADA</t>
  </si>
  <si>
    <t>Se validó la información que retorna la consulta sea la correcta</t>
  </si>
  <si>
    <t>Se trabajó en el 3er procedimiento 'OBTENER_MEDIO_ENTRADA' con sus respectivas variables TAB</t>
  </si>
  <si>
    <t>Se trabajó en el 3er procedimiento 'OBTENER_MEDIO_ENTRADA' con sus respectivas variables TAB y con su consulta previamente validada, se compila sin errores</t>
  </si>
  <si>
    <t>Se validó el paquete-procedimiento 'OBTENER_MEDIO_ENTRADA' con el bloque anónimo correcto</t>
  </si>
  <si>
    <t>Se validó el paquete-procedimiento 'OBTENER_MEDIO_ENTRADA' con el bloque anónimo correcto y se tuvo un resultado exitoso con la salida del cursor completo</t>
  </si>
  <si>
    <t>Se le informó al equipo que ya esta este 3er procedimiento para que lo revisen</t>
  </si>
  <si>
    <t>Se le informó al equipo que ya esta este 3er procedimiento para que lo revisen y consuman desde el aplicativo</t>
  </si>
  <si>
    <t>Se construyó la consulta para tratar el 4to procedimiento OBTENER_MODALIDAD_ENTREGA</t>
  </si>
  <si>
    <t>Se trabajó en el 4to procedimiento 'OBTENER_MODALIDAD_ENTREGA' con sus respectivas variables TAB</t>
  </si>
  <si>
    <t>Se trabajó en el 4to procedimiento 'OBTENER_MODALIDAD_ENTREGA' con sus respectivas variables TAB y con su consulta previamente validada, se compila sin errores</t>
  </si>
  <si>
    <t>Se validó el paquete-procedimiento 'OBTENER_MODALIDAD_ENTREGA' con el bloque anónimo correcto</t>
  </si>
  <si>
    <t>Se validó el paquete-procedimiento 'OBTENER_MODALIDAD_ENTREGA' con el bloque anónimo correcto y se tuvo un resultado exitoso con la salida del cursor completo</t>
  </si>
  <si>
    <t>Se le informó al equipo que ya esta este 4to procedimiento para que lo revisen</t>
  </si>
  <si>
    <t>Se le informó al equipo que ya esta este 4to procedimiento para que lo revisen y consuman desde el aplicativo</t>
  </si>
  <si>
    <t>Se construyó la consulta para tratar el 5to procedimiento OBTENER_RECIBO_NOTIFICACION</t>
  </si>
  <si>
    <t>Se trabajó en el 5to procedimiento 'OBTENER_RECIBO_NOTIFICACION' con sus respectivas variables TAB</t>
  </si>
  <si>
    <t>Se trabajó en el 5to procedimiento 'OBTENER_RECIBO_NOTIFICACION' con sus respectivas variables TAB y con su consulta previamente validada, se compila sin errores</t>
  </si>
  <si>
    <t>Se validó el paquete-procedimiento 'OBTENER_RECIBO_NOTIFICACION' con el bloque anónimo correcto</t>
  </si>
  <si>
    <t>Se validó el paquete-procedimiento 'OBTENER_RECIBO_NOTIFICACION' con el bloque anónimo correcto y se tuvo un resultado exitoso con la salida del cursor completo</t>
  </si>
  <si>
    <t>Se le informó al equipo que ya esta este 5to procedimiento para que lo revisen</t>
  </si>
  <si>
    <t>Se le informó al equipo que ya esta este 5to procedimiento para que lo revisen y consuman desde el aplicativo</t>
  </si>
  <si>
    <t>Se tuvo platica con Antonio para aplicar mejoras a la forma de validar los objetos TAB</t>
  </si>
  <si>
    <t>Se tuvo platica con Antonio para aplicar mejoras a la forma de validar los objetos TAB y contruir los querys dinamicos</t>
  </si>
  <si>
    <t>Se solicitaron cambios en las consultas que contienen los diversos procedimientos</t>
  </si>
  <si>
    <t>Se solicitaron cambios en las consultas que contienen los diversos procedimientos para manejarlos como subquerys</t>
  </si>
  <si>
    <t>Se hicieron pruebas de paquete de prueba de Antonio para validar las mejoras</t>
  </si>
  <si>
    <t>Se hicieron pruebas de paquete de prueba de Antonio para validar que las mejoras propuestas si retornan información correcta</t>
  </si>
  <si>
    <t>Se aplicaron mejoras propuestas al 5to procedimiento</t>
  </si>
  <si>
    <t>Se aplicaron mejoras propuestas al 5to procedimiento y se valida que la información resultante sea correcta</t>
  </si>
  <si>
    <t>Se construyó la consulta para tratar el 6to procedimiento OBTENER_FG_PRORROGA</t>
  </si>
  <si>
    <t>Se trabajó en el 6to procedimiento 'OBTENER_FG_PRORROGA' con sus respectivas variables TAB</t>
  </si>
  <si>
    <t>Se trabajó en el 6to procedimiento 'OBTENER_FG_PRORROGA' con sus respectivas variables TAB y con su consulta previamente validada, se compila sin errores</t>
  </si>
  <si>
    <t>Se validó el paquete-procedimiento 'OBTENER_FG_PRORROGA' con el bloque anónimo correcto</t>
  </si>
  <si>
    <t>Se validó el paquete-procedimiento 'OBTENER_FG_PRORROGA' con el bloque anónimo correcto y se tuvo un resultado exitoso con la salida del cursor completo</t>
  </si>
  <si>
    <t>Se le informó al equipo que ya esta este 6to procedimiento para que lo revisen</t>
  </si>
  <si>
    <t>Se le informó al equipo que ya esta este 6to procedimiento para que lo revisen y consuman desde el aplicativo</t>
  </si>
  <si>
    <t>Se construyó la consulta para tratar el 7mo procedimiento OBTENER_FG_PREVENCION</t>
  </si>
  <si>
    <t>Se trabajó en el 7mo procedimiento 'OBTENER_FG_PREVENCION' con sus respectivas variables TAB</t>
  </si>
  <si>
    <t>Se trabajó en el 7mo procedimiento 'OBTENER_FG_PREVENCION' con sus respectivas variables TAB y con su consulta previamente validada, se compila sin errores</t>
  </si>
  <si>
    <t>Se validó el paquete-procedimiento 'OBTENER_FG_PREVENCION' con el bloque anónimo correcto</t>
  </si>
  <si>
    <t>Se validó el paquete-procedimiento 'OBTENER_FG_PREVENCION' con el bloque anónimo correcto y se tuvo un resultado exitoso con la salida del cursor completo</t>
  </si>
  <si>
    <t>Se le informó al equipo que ya esta este 7mo procedimiento para que lo revisen</t>
  </si>
  <si>
    <t>Se le informó al equipo que ya esta este 7mo procedimiento para que lo revisen y consuman desde el aplicativo</t>
  </si>
  <si>
    <t>Se construyó la consulta para tratar el 8vo procedimiento OBTENER_FG_DISPONIBILIDAD</t>
  </si>
  <si>
    <t>Se trabajó en el 8vo procedimiento 'OBTENER_FG_DISPONIBILIDAD' con sus respectivas variables TAB</t>
  </si>
  <si>
    <t>Se trabajó en el 8vo procedimiento 'OBTENER_FG_DISPONIBILIDAD' con sus respectivas variables TAB y con su consulta previamente validada, se compila sin errores</t>
  </si>
  <si>
    <t>Se validó el paquete-procedimiento 'OBTENER_FG_DISPONIBILIDAD' con el bloque anónimo correcto</t>
  </si>
  <si>
    <t>Se validó el paquete-procedimiento 'OBTENER_FG_DISPONIBILIDAD' con el bloque anónimo correcto y se tuvo un resultado exitoso con la salida del cursor completo</t>
  </si>
  <si>
    <t>Se le informó al equipo que ya esta este 8vo procedimiento para que lo revisen</t>
  </si>
  <si>
    <t>Se le informó al equipo que ya esta este 8vo procedimiento para que lo revisen y consuman desde el aplicativo</t>
  </si>
  <si>
    <t>Se construyó la consulta para tratar el 9no procedimiento OBTENER_ULTIMA_RESPUESTA</t>
  </si>
  <si>
    <t>Se trabajó en el 9no procedimiento 'OBTENER_ULTIMA_RESPUESTA' con sus respectivas variables TAB</t>
  </si>
  <si>
    <t>Se trabajó en el 9no procedimiento 'OBTENER_ULTIMA_RESPUESTA' con sus respectivas variables TAB y con su consulta previamente validada, se compila sin errores</t>
  </si>
  <si>
    <t>Se validó el paquete-procedimiento 'OBTENER_ULTIMA_RESPUESTA' con el bloque anónimo correcto</t>
  </si>
  <si>
    <t>Se validó el paquete-procedimiento 'OBTENER_ULTIMA_RESPUESTA' con el bloque anónimo correcto y se tuvo un resultado exitoso con la salida del cursor completo</t>
  </si>
  <si>
    <t>Se le informó al equipo que ya esta este 9no procedimiento para que lo revisen</t>
  </si>
  <si>
    <t>Se le informó al equipo que ya esta este 9no procedimiento para que lo revisen y consuman desde el aplicativo</t>
  </si>
  <si>
    <t>Se construyó la consulta para tratar el 10mo procedimiento OBTENER_SOLICITUDESXDIA</t>
  </si>
  <si>
    <t>Se trabajó en el 10mo procedimiento 'OBTENER_SOLICITUDESXDIA' con sus respectivas variables TAB</t>
  </si>
  <si>
    <t>Se trabajó en el 10mo procedimiento 'OBTENER_SOLICITUDESXDIA' con sus respectivas variables TAB y con su consulta previamente validada, se compila sin errores</t>
  </si>
  <si>
    <t>Se validó el paquete-procedimiento 'OBTENER_SOLICITUDESXDIA' con el bloque anónimo correcto</t>
  </si>
  <si>
    <t>Se validó el paquete-procedimiento 'OBTENER_SOLICITUDESXDIA' con el bloque anónimo correcto y se tuvo un resultado exitoso con la salida del cursor completo</t>
  </si>
  <si>
    <t>Se le informó al equipo que ya esta este 10mo procedimiento para que lo revisen</t>
  </si>
  <si>
    <t>Se le informó al equipo que ya esta este 10mo procedimiento para que lo revisen y consuman desde el aplicativo</t>
  </si>
  <si>
    <t>Se construyó la consulta para tratar el 11vo procedimiento OBTENER_ESTATUS</t>
  </si>
  <si>
    <t>Se trabajó en el 11vo procedimiento 'OBTENER_ESTATUS' con sus respectivas variables TAB</t>
  </si>
  <si>
    <t>Se trabajó en el 11vo procedimiento 'OBTENER_ESTATUS' con sus respectivas variables TAB y con su consulta previamente validada, se compila sin errores</t>
  </si>
  <si>
    <t>Se validó el paquete-procedimiento 'OBTENER_ESTATUS' con el bloque anónimo correcto</t>
  </si>
  <si>
    <t>Se validó el paquete-procedimiento 'OBTENER_ESTATUS' con el bloque anónimo correcto y se tuvo un resultado exitoso con la salida del cursor completo</t>
  </si>
  <si>
    <t>Se le informó al equipo que ya esta este 11vo procedimiento para que lo revisen</t>
  </si>
  <si>
    <t>Se le informó al equipo que ya esta este 11vo procedimiento para que lo revisen y consuman desde el aplicativo</t>
  </si>
  <si>
    <t>Se toco base con Samuel para definir el catalogo de Tematicas</t>
  </si>
  <si>
    <t>Se toco base con Samuel para definir el catalogo de Tematicas, me aclaro el punto y segui avanzando sin problema</t>
  </si>
  <si>
    <t>Se construyó la consulta para tratar el 12vo procedimiento OBTENER_TEMATICA</t>
  </si>
  <si>
    <t>Se trabajó en el 12vo procedimiento 'OBTENER_TEMATICA' con sus respectivas variables TAB</t>
  </si>
  <si>
    <t>Se trabajó en el 12vo procedimiento 'OBTENER_TEMATICA' con sus respectivas variables TAB y con su consulta previamente validada, se compila sin errores</t>
  </si>
  <si>
    <t>Se validó el paquete-procedimiento 'OBTENER_TEMATICA' con el bloque anónimo correcto</t>
  </si>
  <si>
    <t>Se validó el paquete-procedimiento 'OBTENER_TEMATICA' con el bloque anónimo correcto y se tuvo un resultado exitoso con la salida del cursor completo</t>
  </si>
  <si>
    <t>Se le informó al equipo que ya esta este 12vo procedimiento para que lo revisen</t>
  </si>
  <si>
    <t>Se le informó al equipo que ya esta este 12vo procedimiento para que lo revisen y consuman desde el aplicativo</t>
  </si>
  <si>
    <t>Se revisaron las consultas de los procedimientos creados para aplicar mejora de subquerys</t>
  </si>
  <si>
    <t>Se revisaron las consultas de los procedimientos creados para aplicar mejora de subquerys en las consultas que si aplique</t>
  </si>
  <si>
    <t>Se aplicó mejora solicitada en todos los procedimientos</t>
  </si>
  <si>
    <t>Se aplicó mejora solicitada en todos los procedimientos para no considerar las banderas como parametros</t>
  </si>
  <si>
    <t>Se tuvo sesión con equipo para nuevos cambios en procedimientos creados</t>
  </si>
  <si>
    <t>Se recolectó 1er cambio para modificar los parametros de salida del cursor</t>
  </si>
  <si>
    <t>Se recolectó 1er cambio para modificar los parametros de salida del cursor por el generito 'P_C_RESULTADO'</t>
  </si>
  <si>
    <t>Se recolectó 2do cambio para unificar las etiquetas de todos los querys a retornar</t>
  </si>
  <si>
    <t>Se recolectó 2do cambio para unificar las etiquetas de todos los querys a retornar en el cursor, por ID....NOMBRE....TOTAL</t>
  </si>
  <si>
    <t>Se recolectó 3er cambio para incluir el ID en los procedimientos de las Banderas</t>
  </si>
  <si>
    <t>Se trabajó agregando el 1er cambio a todos los procedimientos</t>
  </si>
  <si>
    <t>Se trabajó agregando el 1er cambio a todos los procedimientos y se compiló paquete para comprobar que no hay errores</t>
  </si>
  <si>
    <t>Se trabajó agregando el 2do cambio a todos los procedimientos</t>
  </si>
  <si>
    <t>Se trabajó agregando el 2do cambio a todos los procedimientos y se compiló paquete para comprobar que no hay errores</t>
  </si>
  <si>
    <t>Se trabajó agregando el 3er cambio a todos los procedimientos</t>
  </si>
  <si>
    <t>Se trabajó agregando el 3er cambio a todos los procedimientos y se compiló paquete para comprobar que no hay errores</t>
  </si>
  <si>
    <t>Se validó nuevamente que todos los procedimientos se puedan invocar a través del bloque anónimo correcto</t>
  </si>
  <si>
    <t>Se validó nuevamente que todos los procedimientos se puedan invocar a través del bloque anónimo correcto y se tenga resultado exitoso con la salida del cursor completo</t>
  </si>
  <si>
    <t>MICROSITIO CRITERIOS DE ACEPTACION DE LA SNT</t>
  </si>
  <si>
    <t>http://repositoriosdgis.ifai.org.mx/Pagina%20Web/Actividades%20Ricardo%20Olivares%202023/actividades%20octubre/rfc.png</t>
  </si>
  <si>
    <t>http://repositoriosdgis.ifai.org.mx/Pagina%20Web/Actividades%20Ricardo%20Olivares%202023/actividades%20octubre/catalogos.png</t>
  </si>
  <si>
    <t>http://repositoriosdgis.ifai.org.mx/Pagina%20Web/Actividades%20Ricardo%20Olivares%202023/actividades%20octubre/Basededatos.PNG</t>
  </si>
  <si>
    <t>http://repositoriosdgis.ifai.org.mx/Pagina%20Web/Actividades%20Ricardo%20Olivares%202023/actividades%20octubre/tipoexpedientelistar.png</t>
  </si>
  <si>
    <t>http://repositoriosdgis.ifai.org.mx/Pagina%20Web/Actividades%20Ricardo%20Olivares%202023/actividades%20octubre/tipoexpedienteregistrar.png</t>
  </si>
  <si>
    <t>http://repositoriosdgis.ifai.org.mx/Pagina%20Web/Actividades%20Ricardo%20Olivares%202023/actividades%20octubre/tipoexpedienteeditar.png</t>
  </si>
  <si>
    <t>http://repositoriosdgis.ifai.org.mx/Pagina%20Web/Actividades%20Ricardo%20Olivares%202023/actividades%20octubre/permisos.png</t>
  </si>
  <si>
    <t>http://repositoriosdgis.ifai.org.mx/Pagina%20Web/Actividades%20Ricardo%20Olivares%202023/actividades%20octubre/aniosregistrar.png</t>
  </si>
  <si>
    <t>http://repositoriosdgis.ifai.org.mx/Pagina%20Web/Actividades%20Ricardo%20Olivares%202023/actividades%20octubre/epocaeditar.png</t>
  </si>
  <si>
    <t>http://repositoriosdgis.ifai.org.mx/Pagina%20Web/Actividades%20Ricardo%20Olivares%202023/actividades%20octubre/criterioseditar.png</t>
  </si>
  <si>
    <t>http://repositoriosdgis.ifai.org.mx/Pagina%20Web/Actividades%20Ricardo%20Olivares%202023/actividades%20octubre/entidadeseditar.png</t>
  </si>
  <si>
    <t>http://repositoriosdgis.ifai.org.mx/Pagina%20Web/Actividades%202023/10-octubre-2023/actividades%20del%20mes%20de%20octubre.docx</t>
  </si>
  <si>
    <t>http://repositoriosdgis.ifai.org.mx/Pagina%20Web/Actividades%202023/10-octubre-2023/actualizacion%20consejo%20consultivo.docx</t>
  </si>
  <si>
    <t xml:space="preserve">Actualizacion seccion ponente  </t>
  </si>
  <si>
    <t xml:space="preserve">actualizacion RTA cooperacion </t>
  </si>
  <si>
    <t>http://repositoriosdgis.ifai.org.mx/Pagina%20Web/Actividades%202023/10-octubre-2023/actualizacion%20RTA%20Cooperacion.docx</t>
  </si>
  <si>
    <t xml:space="preserve">actualizacion micrositio RTA observador </t>
  </si>
  <si>
    <t>http://repositoriosdgis.ifai.org.mx/Pagina%20Web/Actividades%202023/10-octubre-2023/Miembro%20observador%20y%20socios%20cooperacion.docx</t>
  </si>
  <si>
    <t>actualizacion RTA consejo directivo</t>
  </si>
  <si>
    <t>http://repositoriosdgis.ifai.org.mx/Pagina%20Web/Actividades%202023/10-octubre-2023/RTA%20consejo%20directivo.docx</t>
  </si>
  <si>
    <t xml:space="preserve">Actualizacion micrositio SNT </t>
  </si>
  <si>
    <t>http://repositoriosdgis.ifai.org.mx/Pagina%20Web/Actividades%202023/10-octubre-2023/Actualizaciones%20Octubre.docx</t>
  </si>
  <si>
    <t xml:space="preserve">actualizacion pagina web </t>
  </si>
  <si>
    <t xml:space="preserve">actualizacion de avance de proyecto </t>
  </si>
  <si>
    <t>http://repositoriosdgis.ifai.org.mx/Pagina%20Web/Actividades%202023/10-octubre-2023/actualizacion%20avance%20de%20proyecto%20semana%202.docx</t>
  </si>
  <si>
    <t xml:space="preserve">actualizacion repositorio </t>
  </si>
  <si>
    <t>http://repositoriosdgis.ifai.org.mx/Pagina%20Web/Actividades%202023/10-octubre-2023/actualizacion%20repositorio.docx</t>
  </si>
  <si>
    <t xml:space="preserve">actualizacion micrositio </t>
  </si>
  <si>
    <t>http://repositoriosdgis.ifai.org.mx/Pagina%20Web/Actividades%202023/10-octubre-2023/actualizacion%20inventarios%20micrositio.docx</t>
  </si>
  <si>
    <t xml:space="preserve">actualizacion RTA encuentros </t>
  </si>
  <si>
    <t>http://repositoriosdgis.ifai.org.mx/Pagina%20Web/Actividades%202023/10-octubre-2023/Actualizacion%20SACP.docx</t>
  </si>
  <si>
    <t xml:space="preserve">actualizacion paginas web </t>
  </si>
  <si>
    <t>actaulizacion micrositio Repositorio</t>
  </si>
  <si>
    <t xml:space="preserve">actualizacion  Proyecto micrositio </t>
  </si>
  <si>
    <t xml:space="preserve">Actualizacion CIT </t>
  </si>
  <si>
    <t>http://repositoriosdgis.ifai.org.mx/Pagina%20Web/Actividades%202023/10-octubre-2023/actualizacion%20CIT.docx</t>
  </si>
  <si>
    <t>actualizacion sitios</t>
  </si>
  <si>
    <t>http://repositoriosdgis.ifai.org.mx/Pagina%20Web/Actividades%202023/10-octubre-2023/actualizaciones%20sitios.docx</t>
  </si>
  <si>
    <t xml:space="preserve">actualizacion contraeña GAP </t>
  </si>
  <si>
    <t xml:space="preserve">Actualizacion de avance de proyecto </t>
  </si>
  <si>
    <t xml:space="preserve">actualizacion pagina web carga </t>
  </si>
  <si>
    <t>http://repositoriosdgis.ifai.org.mx/Pagina%20Web/Actividades%202023/10-octubre-2023/Insumo%20criterios%20de%20SNT.docx</t>
  </si>
  <si>
    <t xml:space="preserve">actualizacion micrositios </t>
  </si>
  <si>
    <t xml:space="preserve">actualizacion contenido INAI </t>
  </si>
  <si>
    <t xml:space="preserve">actualizacion de inventario micrositio </t>
  </si>
  <si>
    <t xml:space="preserve">Ajustes sitio RTA </t>
  </si>
  <si>
    <t>Insumos micrositio Criterios del SNT</t>
  </si>
  <si>
    <t xml:space="preserve">actualizacion cambio de control </t>
  </si>
  <si>
    <t>http://repositoriosdgis.ifai.org.mx/Pagina%20Web/Actividades%202023/10-octubre-2023/actualizacion%20control%20interno.docx</t>
  </si>
  <si>
    <t xml:space="preserve">actualizacion consejo directivo </t>
  </si>
  <si>
    <t xml:space="preserve">actualizacion contraseña GAP </t>
  </si>
  <si>
    <t xml:space="preserve">actualizaciones estautus de peticiones </t>
  </si>
  <si>
    <t xml:space="preserve">actualizacion inventarios micrositios </t>
  </si>
  <si>
    <t xml:space="preserve">actualizacion resoluciones </t>
  </si>
  <si>
    <t>http://repositoriosdgis.ifai.org.mx/Pagina%20Web/Actividades%202023/10-octubre-2023/actualizacion%20avance%20de%20preyectos.docx</t>
  </si>
  <si>
    <t xml:space="preserve">Actualizacion de estatus de peticiones </t>
  </si>
  <si>
    <t>http://repositoriosdgis.ifai.org.mx/Pagina%20Web/Actividades%202023/10-octubre-2023/estatus%20de%20requerimiento.docx</t>
  </si>
  <si>
    <t xml:space="preserve">Reunion Control Interno </t>
  </si>
  <si>
    <t>https://teams.microsoft.com/l/meetup-join/19%3ameeting_M2U3YzhkZjYtNjFlOS00MjAyLTg0NDQtNmYyNzU5OTQ1NTI3%40thread.v2/0?context=%7b%22Tid%22%3a%224e6a317c-9761-4ff0-8de8-4d166927ec3b%22%2c%22Oid%22%3a%2257195589-7096-49aa-a4ed-62b966ed50fc%22%7d</t>
  </si>
  <si>
    <t xml:space="preserve">Actualizacion micrositio RTA consejo directivo </t>
  </si>
  <si>
    <t>actualizacion de inventarios de micrositio</t>
  </si>
  <si>
    <t>http://repositoriosdgis.ifai.org.mx/Pagina%20Web/Actividades%202023/10-octubre-2023/Modificacion%20de%20control%20de%20cambios.docx</t>
  </si>
  <si>
    <t>modificacion pagina DGPVS</t>
  </si>
  <si>
    <t xml:space="preserve">actualizacion micrositio sede </t>
  </si>
  <si>
    <t xml:space="preserve">Insumos graficos micrositio criterios </t>
  </si>
  <si>
    <t>http://repositoriosdgis.ifai.org.mx/Pagina%20Web/Actividades%202023/10-octubre-2023/RFC%20Micrositio%20-%20Criterios%20de%20Interpretacio%C3%ACn_actualizado.docx</t>
  </si>
  <si>
    <t xml:space="preserve">actualizacion criterios SNT </t>
  </si>
  <si>
    <t xml:space="preserve">actualizacion cc </t>
  </si>
  <si>
    <t xml:space="preserve">actualizacion micrositio RTA </t>
  </si>
  <si>
    <t>http://repositoriosdgis.ifai.org.mx/Pagina%20Web/Actividades%202023/10-octubre-2023/Ajustes%20al%20sitio%20de%20RTA.docx</t>
  </si>
  <si>
    <t>SAWYLVM62</t>
  </si>
  <si>
    <t xml:space="preserve">actualizacion de paginas web </t>
  </si>
  <si>
    <t>SAWYLVM63</t>
  </si>
  <si>
    <t>SAWYLVM64</t>
  </si>
  <si>
    <t>SAWYLVM65</t>
  </si>
  <si>
    <t>SAWYLVM66</t>
  </si>
  <si>
    <t xml:space="preserve">Actualizacionpagina web </t>
  </si>
  <si>
    <t>SAWYLVM67</t>
  </si>
  <si>
    <t>SAWYLVM68</t>
  </si>
  <si>
    <t xml:space="preserve">ajuste sitio RTA </t>
  </si>
  <si>
    <t>SAWYLVM69</t>
  </si>
  <si>
    <t xml:space="preserve">actualizaciones micrositios </t>
  </si>
  <si>
    <t>SAWYLVM70</t>
  </si>
  <si>
    <t xml:space="preserve">Actualizacion CIT evaluacion </t>
  </si>
  <si>
    <t>SAWYLVM71</t>
  </si>
  <si>
    <t xml:space="preserve">actualizacioncontraseña GAP </t>
  </si>
  <si>
    <t>SAWYLVM72</t>
  </si>
  <si>
    <t>SAWYLVM73</t>
  </si>
  <si>
    <t>Documentación de incidencias</t>
  </si>
  <si>
    <t>Documentación de incidencias de inventarios</t>
  </si>
  <si>
    <t>\\vcifs\tercerizado2023\Evidencias Tercerización 2023\Ingeniero de Prueba\Octubre\Semana 1</t>
  </si>
  <si>
    <t>Registros de incidencias en Mantis</t>
  </si>
  <si>
    <t>Se genera la incidencia en mantis una vez con las evidencias de las pruebas</t>
  </si>
  <si>
    <t>Cierre parcial de pruebas de ejecución del sistema de Inventarios</t>
  </si>
  <si>
    <t>Se envía el correo del cierre parcial de la ejecución del sistema de Inventarios</t>
  </si>
  <si>
    <t>Servicio Profesional</t>
  </si>
  <si>
    <t>Se realiza la nueva vesión del micrositio de ServicioProfesional</t>
  </si>
  <si>
    <t>Se revisa la versión dos de ServicioProfesional con los cambios realizados en la OT</t>
  </si>
  <si>
    <t>GAP</t>
  </si>
  <si>
    <t>Envío y revisión de OT GAP</t>
  </si>
  <si>
    <t>Se recibe correo de nueva OT para su revisión y ejecución llamada GAP</t>
  </si>
  <si>
    <t>Seguimiento de ejecución de la OT servicioProfesional</t>
  </si>
  <si>
    <t>Se realiza la ejecución de la OT servicioProfesional</t>
  </si>
  <si>
    <t>Se continua con la ejecución de ServicioProfesional</t>
  </si>
  <si>
    <t>Se continua con ejecuta la OT de ServicioProfesional</t>
  </si>
  <si>
    <t>Solicitud de base de datos para las pruebas de ServicioProfesional</t>
  </si>
  <si>
    <t>Se da seguimiento a la solicitud al equipo de base de datos de su apoyo para obtener la base de datos de ServicioProfesional</t>
  </si>
  <si>
    <t>Entrega de base de datos para ServicioProfesional</t>
  </si>
  <si>
    <t>El equipo de base de datos entrega la base para continuar con las pruebas de ServicioProfesional</t>
  </si>
  <si>
    <t>\\vcifs\tercerizado2023\Evidencias Tercerización 2023\Ingeniero de Prueba\Octubre\Semana 2</t>
  </si>
  <si>
    <t>Ejecución completa de la OT ServicioProfesional con detalles de conexión</t>
  </si>
  <si>
    <t>Se termina de ejecutar la OT ServicioProfesional con detalles en la conexión</t>
  </si>
  <si>
    <t>Se completa de manera correcta la OT de ServicioProfesional</t>
  </si>
  <si>
    <t>Se resuelven los detalles de la OT ServicioProfesional y se completa la ejecución</t>
  </si>
  <si>
    <t>Encuentro XXV</t>
  </si>
  <si>
    <t>Se envía la OT Encuentro XXV</t>
  </si>
  <si>
    <t>Se recibe correo con la nueva OT llamada Encuentro XXV</t>
  </si>
  <si>
    <t>Se documenta la evidencia de la OT ServicioProfesional</t>
  </si>
  <si>
    <t>Se termina la OT ServicioProfesional y se documenta la evidencia</t>
  </si>
  <si>
    <t>Se ejecuta la OT Encuentro XXV</t>
  </si>
  <si>
    <t>Se ejecuta y documenta la OT Encuentro XXV</t>
  </si>
  <si>
    <t>Se envía el correo de liberación de pruebas de la OT ServicioProfesional</t>
  </si>
  <si>
    <t>Se envía correo a las personas correspondientes sobre la OT documentada de ServicioProfesional</t>
  </si>
  <si>
    <t>Resolución de insidencias encontradas sobre la OT del módulo de Inventarios</t>
  </si>
  <si>
    <t>Se dio seguimiento a las insidencias encontradas en la ejecución de la OT del Módulo de Inventarios</t>
  </si>
  <si>
    <t>Criterios de Interpretación SNT</t>
  </si>
  <si>
    <t>Se da seguimiento a la OT del micrositio del RFC del proyecto Criterios de Interpretación</t>
  </si>
  <si>
    <t>Se hace el análisis de la documentación del micrositio de Criterios de Interpretación del SNT</t>
  </si>
  <si>
    <t>\\vcifs\tercerizado2023\Evidencias Tercerización 2023\Ingeniero de Prueba\Octubre\Semana 3</t>
  </si>
  <si>
    <t>Se continua con el análisis del documento de Criterios de Interpretación SNT</t>
  </si>
  <si>
    <t>Se continua con el análsis del documento de Criterios de Interpretación SNT para obtener los casos de prueba</t>
  </si>
  <si>
    <t>Alta de usuario en TestLink para creación de casos de prueba</t>
  </si>
  <si>
    <t>Se da de alta el usuario en TestLink para creación de casos de prueba sobre el documento Criterios de Interpretación SNT</t>
  </si>
  <si>
    <t>Seguimiento del documento de Criterios de Interpretación SNT para obtener casos de prueba</t>
  </si>
  <si>
    <t xml:space="preserve">Análisis de documento SNT para documentación de casos de prueba </t>
  </si>
  <si>
    <t>Documentación de casos de pruebas en TestLink del documento Criterios de Interpretación SNT</t>
  </si>
  <si>
    <t>Se genera en Testlink el espacio de pruebas y se generan los casos de pruebas de Criterios de Interpretación SNT</t>
  </si>
  <si>
    <t>\\vcifs\tercerizado2023\Evidencias Tercerización 2023\Ingeniero de Prueba\Octubre\Semana 4</t>
  </si>
  <si>
    <t>Se tiene una sesión sobre la función del módulo de usuarios en el proyecto Cristerios de Interpretación SNT</t>
  </si>
  <si>
    <t>Se hace una sesión con el equipo de desarrollo sobre el funcionamiento del modulo de usuarios y los roles que se estarán manejando</t>
  </si>
  <si>
    <t>Registro de casos de prueba en TestLink de RFC Criterios de Interpretación SNT</t>
  </si>
  <si>
    <t>Se generan los casos de prueba en Testlink sobre el proyecto RFC Criterios de Interpretación SNT</t>
  </si>
  <si>
    <t>Análisis de la documentación del módulo de usuarios</t>
  </si>
  <si>
    <t>Se hace el análisis del video y documento obtenidos para el módulo de usuarios SNT</t>
  </si>
  <si>
    <t>Se completa la carga de Casos de prueba en Testlink de RFC Criterios de interpretación SNT</t>
  </si>
  <si>
    <t>Se terminan de documentar los casos de prueba de RFC Criterios de Interpretación SNT</t>
  </si>
  <si>
    <t>Alta de nueva carpeta en testlink para el módulo de usuarios</t>
  </si>
  <si>
    <t>Se da de alta una nueva carpeta en testlink para la documentación de casos de prueba del módulo de usuarios sobre el proyecto SNT</t>
  </si>
  <si>
    <t>Se da seguimiento al documento del módulo de usuarios para generar los casos de prueba</t>
  </si>
  <si>
    <t>Se da seguimiento y a su vez se van documentando los casos de prueba del modulo de usuarios sobre el proyecto Criterios de Interpretación SNT</t>
  </si>
  <si>
    <t xml:space="preserve">Análisis y documentación de casos de prueba sobre el módulo de usuarios </t>
  </si>
  <si>
    <t>Se generan los casos de prueba mediante la documentación del módulo de usuarios</t>
  </si>
  <si>
    <t>\\vcifs\tercerizado2023\Evidencias Tercerización 2023\Ingeniero de Prueba\Octubre\Semana 5</t>
  </si>
  <si>
    <t>SPDCGF23</t>
  </si>
  <si>
    <t>SPDCGF24</t>
  </si>
  <si>
    <t>SPDCGF25</t>
  </si>
  <si>
    <t>SPDCGF26</t>
  </si>
  <si>
    <t>SPDCGF27</t>
  </si>
  <si>
    <t>SPDCGF28</t>
  </si>
  <si>
    <t>SPDCGF29</t>
  </si>
  <si>
    <t>SPDCGF30</t>
  </si>
  <si>
    <t>SPDCGF31</t>
  </si>
  <si>
    <t>SPDCGF32</t>
  </si>
  <si>
    <t>SPDCGF33</t>
  </si>
  <si>
    <t>SPDCGF34</t>
  </si>
  <si>
    <t>SPDCGF35</t>
  </si>
  <si>
    <t>SPDCGF36</t>
  </si>
  <si>
    <t>SPDCGF37</t>
  </si>
  <si>
    <t>SPDCGF38</t>
  </si>
  <si>
    <t>SPDCGF39</t>
  </si>
  <si>
    <t>SPDCGF40</t>
  </si>
  <si>
    <t>SPDCGF41</t>
  </si>
  <si>
    <t>SPDCGF42</t>
  </si>
  <si>
    <t>SPDCGF43</t>
  </si>
  <si>
    <t>Portal de Firma Electrónica</t>
  </si>
  <si>
    <t>SSIVHRL197</t>
  </si>
  <si>
    <t>SSIVHRL198</t>
  </si>
  <si>
    <t>SSIVHRL199</t>
  </si>
  <si>
    <t>SSIVHRL200</t>
  </si>
  <si>
    <t>SSIVHRL201</t>
  </si>
  <si>
    <t>SSIVHRL202</t>
  </si>
  <si>
    <t>SSIVHRL203</t>
  </si>
  <si>
    <t>SSIVHRL204</t>
  </si>
  <si>
    <t>SSIVHRL205</t>
  </si>
  <si>
    <t>SSIVHRL206</t>
  </si>
  <si>
    <t>SSIVHRL207</t>
  </si>
  <si>
    <t>SSIVHRL208</t>
  </si>
  <si>
    <t>SSIVHRL209</t>
  </si>
  <si>
    <t>SSIVHRL210</t>
  </si>
  <si>
    <t>SSIVHRL211</t>
  </si>
  <si>
    <t>SSIVHRL212</t>
  </si>
  <si>
    <t>SSIVHRL213</t>
  </si>
  <si>
    <t>SSIVHRL214</t>
  </si>
  <si>
    <t>SSIVHRL215</t>
  </si>
  <si>
    <t>SSIVHRL216</t>
  </si>
  <si>
    <t>SSIVHRL217</t>
  </si>
  <si>
    <t>SSIVHRL218</t>
  </si>
  <si>
    <t>SSIVHRL219</t>
  </si>
  <si>
    <t>SSIVHRL220</t>
  </si>
  <si>
    <t>SSIVHRL221</t>
  </si>
  <si>
    <t>SSIVHRL222</t>
  </si>
  <si>
    <t>SSIVHRL223</t>
  </si>
  <si>
    <t>SSIVHRL224</t>
  </si>
  <si>
    <t>SSIVHRL225</t>
  </si>
  <si>
    <t>SSIVHRL226</t>
  </si>
  <si>
    <t>SSIVHRL227</t>
  </si>
  <si>
    <t>SSIVHRL228</t>
  </si>
  <si>
    <t>SSIVHRL229</t>
  </si>
  <si>
    <t>SSIVHRL230</t>
  </si>
  <si>
    <t>SSIVHRL231</t>
  </si>
  <si>
    <t>SSIVHRL232</t>
  </si>
  <si>
    <t>SSIVHRL233</t>
  </si>
  <si>
    <t>SSIVHRL234</t>
  </si>
  <si>
    <t>SSIVHRL235</t>
  </si>
  <si>
    <t>SSIVHRL236</t>
  </si>
  <si>
    <t>SSIVHRL237</t>
  </si>
  <si>
    <t>SSIVHRL238</t>
  </si>
  <si>
    <t>SSIVHRL239</t>
  </si>
  <si>
    <t>SSIVHRL240</t>
  </si>
  <si>
    <t>SSIVHRL241</t>
  </si>
  <si>
    <t>SSIVHRL242</t>
  </si>
  <si>
    <t>SSIVHRL243</t>
  </si>
  <si>
    <t>SSIVHRL244</t>
  </si>
  <si>
    <t>SSIVHRL245</t>
  </si>
  <si>
    <t>SSIVHRL246</t>
  </si>
  <si>
    <t>SSIVHRL247</t>
  </si>
  <si>
    <t>SSIVHRL248</t>
  </si>
  <si>
    <t>SSIVHRL249</t>
  </si>
  <si>
    <t>SSIVHRL250</t>
  </si>
  <si>
    <t>SSIVHRL251</t>
  </si>
  <si>
    <t>SSIVHRL252</t>
  </si>
  <si>
    <t>SSIVHRL253</t>
  </si>
  <si>
    <t>SSIVHRL254</t>
  </si>
  <si>
    <t>SSIVHRL255</t>
  </si>
  <si>
    <t>SSIVHRL256</t>
  </si>
  <si>
    <t>SSIVHRL257</t>
  </si>
  <si>
    <t>SSIVHRL258</t>
  </si>
  <si>
    <t>SSIVHRL259</t>
  </si>
  <si>
    <t>SSIVHRL260</t>
  </si>
  <si>
    <t>SSIVHRL261</t>
  </si>
  <si>
    <t>SSIVHRL262</t>
  </si>
  <si>
    <t>SSIVHRL263</t>
  </si>
  <si>
    <t>SSIVHRL264</t>
  </si>
  <si>
    <t>SSIVHRL265</t>
  </si>
  <si>
    <t>SSIVHRL266</t>
  </si>
  <si>
    <t>SSIVHRL267</t>
  </si>
  <si>
    <t>SSIVHRL268</t>
  </si>
  <si>
    <t>SSIVHRL269</t>
  </si>
  <si>
    <t>SSIVHRL270</t>
  </si>
  <si>
    <t>SSIVHRL271</t>
  </si>
  <si>
    <t>SSIVHRL272</t>
  </si>
  <si>
    <t>SSIVHRL273</t>
  </si>
  <si>
    <t>SSIVHRL274</t>
  </si>
  <si>
    <t>SSIVHRL275</t>
  </si>
  <si>
    <t>SSIVHRL276</t>
  </si>
  <si>
    <t>SSIVHRL277</t>
  </si>
  <si>
    <t>SSIVHRL278</t>
  </si>
  <si>
    <t>SSIVHRL279</t>
  </si>
  <si>
    <t>SSIVHRL280</t>
  </si>
  <si>
    <t>SSIVHRL281</t>
  </si>
  <si>
    <t>SSIVHRL282</t>
  </si>
  <si>
    <t>SSIVHRL283</t>
  </si>
  <si>
    <t>SSIVHRL284</t>
  </si>
  <si>
    <t>SSIVHRL285</t>
  </si>
  <si>
    <t>SSIVHRL286</t>
  </si>
  <si>
    <t>SSIVHRL287</t>
  </si>
  <si>
    <t>SSIVHRL288</t>
  </si>
  <si>
    <t>SSIVHRL289</t>
  </si>
  <si>
    <t>SSIVHRL290</t>
  </si>
  <si>
    <t>SSIVHRL291</t>
  </si>
  <si>
    <t>SSIVHRL292</t>
  </si>
  <si>
    <t>SSIVHRL293</t>
  </si>
  <si>
    <t>SSIVHRL294</t>
  </si>
  <si>
    <t>SSIVHRL295</t>
  </si>
  <si>
    <t>SSIVHRL296</t>
  </si>
  <si>
    <t>SSIVHRL297</t>
  </si>
  <si>
    <t>SSIVHRL298</t>
  </si>
  <si>
    <t>SSIVHRL299</t>
  </si>
  <si>
    <t>SSIVHRL300</t>
  </si>
  <si>
    <t>SSIVHRL301</t>
  </si>
  <si>
    <t>SSIVHRL302</t>
  </si>
  <si>
    <t>SSIVHRL303</t>
  </si>
  <si>
    <t>SSIVHRL304</t>
  </si>
  <si>
    <t>SSIVHRL305</t>
  </si>
  <si>
    <t>SSIVHRL306</t>
  </si>
  <si>
    <t>SSIVHRL307</t>
  </si>
  <si>
    <t>SSIVHRL308</t>
  </si>
  <si>
    <t>SSIVHRL309</t>
  </si>
  <si>
    <t>SSIVHRL310</t>
  </si>
  <si>
    <t>SSIVHRL311</t>
  </si>
  <si>
    <t>SSIVHRL312</t>
  </si>
  <si>
    <t>SSIVHRL313</t>
  </si>
  <si>
    <t>SSIVHRL314</t>
  </si>
  <si>
    <t>SSIVHRL315</t>
  </si>
  <si>
    <t>SSIVHRL316</t>
  </si>
  <si>
    <t>SSIVHRL317</t>
  </si>
  <si>
    <t>SSIVHRL318</t>
  </si>
  <si>
    <t>SSIVHRL319</t>
  </si>
  <si>
    <t>SSIVHRL320</t>
  </si>
  <si>
    <t>SSIVHRL321</t>
  </si>
  <si>
    <t>SSIVHRL322</t>
  </si>
  <si>
    <t>SSIVHRL323</t>
  </si>
  <si>
    <t>SSIVHRL324</t>
  </si>
  <si>
    <t>SSIVHRL325</t>
  </si>
  <si>
    <t>SSIVHRL326</t>
  </si>
  <si>
    <t>SSIVHRL327</t>
  </si>
  <si>
    <t>SSIVHRL328</t>
  </si>
  <si>
    <t>SSIVHRL329</t>
  </si>
  <si>
    <t>SSIVHRL330</t>
  </si>
  <si>
    <t>SSIVHRL331</t>
  </si>
  <si>
    <t>SAWYLVM74</t>
  </si>
  <si>
    <t>SAWYLVM75</t>
  </si>
  <si>
    <t>SAWYLVM76</t>
  </si>
  <si>
    <t>SAWYLVM77</t>
  </si>
  <si>
    <t>SAWYLVM78</t>
  </si>
  <si>
    <t>SAWYLVM79</t>
  </si>
  <si>
    <t>SAWYLVM80</t>
  </si>
  <si>
    <t>SAWYLVM81</t>
  </si>
  <si>
    <t>SAWYLVM82</t>
  </si>
  <si>
    <t>SAWYLVM83</t>
  </si>
  <si>
    <t>SAWYLVM84</t>
  </si>
  <si>
    <t>SAWYLVM85</t>
  </si>
  <si>
    <t>SAWYLVM86</t>
  </si>
  <si>
    <t>SAWYLVM87</t>
  </si>
  <si>
    <t>SAWYLVM88</t>
  </si>
  <si>
    <t>SAWYLVM89</t>
  </si>
  <si>
    <t>SAWYLVM90</t>
  </si>
  <si>
    <t>SAWYLVM91</t>
  </si>
  <si>
    <t>SAWYLVM92</t>
  </si>
  <si>
    <t>SAWYLVM93</t>
  </si>
  <si>
    <t>SAWYLVM94</t>
  </si>
  <si>
    <t>SAWYLVM95</t>
  </si>
  <si>
    <t>SAWYLVM96</t>
  </si>
  <si>
    <t>SAWYLVM97</t>
  </si>
  <si>
    <t>SAWYLVM98</t>
  </si>
  <si>
    <t>SAWYLVM99</t>
  </si>
  <si>
    <t>SAWYLVM100</t>
  </si>
  <si>
    <t>SAWYLVM101</t>
  </si>
  <si>
    <t>SAWYLVM102</t>
  </si>
  <si>
    <t>SAWYLVM103</t>
  </si>
  <si>
    <t>SAWYLVM104</t>
  </si>
  <si>
    <t>SAWYLVM105</t>
  </si>
  <si>
    <t>SAWYLVM106</t>
  </si>
  <si>
    <t>SAWYLVM107</t>
  </si>
  <si>
    <t>SAWYLVM108</t>
  </si>
  <si>
    <t>SAWYLVM109</t>
  </si>
  <si>
    <t>SAWYLVM110</t>
  </si>
  <si>
    <t>SAWYLVM111</t>
  </si>
  <si>
    <t>SAWYLVM112</t>
  </si>
  <si>
    <t>SAWYLVM113</t>
  </si>
  <si>
    <t>SAWYLVM114</t>
  </si>
  <si>
    <t>SAWYLVM115</t>
  </si>
  <si>
    <t>SAWYLVM116</t>
  </si>
  <si>
    <t>SAWYLVM117</t>
  </si>
  <si>
    <t>SAWYLVM118</t>
  </si>
  <si>
    <t>SAWYLVM119</t>
  </si>
  <si>
    <t>SAWYLVM120</t>
  </si>
  <si>
    <t>SAWYLVM121</t>
  </si>
  <si>
    <t>SAWYLVM122</t>
  </si>
  <si>
    <t>SAWYLVM123</t>
  </si>
  <si>
    <t>SAWYLVM124</t>
  </si>
  <si>
    <t>SAWYLVM125</t>
  </si>
  <si>
    <t>SAWYLVM126</t>
  </si>
  <si>
    <t>SAWYLVM127</t>
  </si>
  <si>
    <t>SAWYLVM128</t>
  </si>
  <si>
    <t>SAWYLVM129</t>
  </si>
  <si>
    <t>SAWYLVM130</t>
  </si>
  <si>
    <t>SAWYLVM131</t>
  </si>
  <si>
    <t>SAWYLVM132</t>
  </si>
  <si>
    <t>SAWYLVM133</t>
  </si>
  <si>
    <t>SAWYLVM134</t>
  </si>
  <si>
    <t>DSCOCO011</t>
  </si>
  <si>
    <t>DSCOCO012</t>
  </si>
  <si>
    <t>DSCOCO013</t>
  </si>
  <si>
    <t>DSCOCO014</t>
  </si>
  <si>
    <t>DSCOCO015</t>
  </si>
  <si>
    <t>DSCOCO016</t>
  </si>
  <si>
    <t>DSCOCO017</t>
  </si>
  <si>
    <t>DSCOCO018</t>
  </si>
  <si>
    <t>CSTMALG040</t>
  </si>
  <si>
    <t>CSTMALG041</t>
  </si>
  <si>
    <t>CSTMALG042</t>
  </si>
  <si>
    <t>CSTMALG043</t>
  </si>
  <si>
    <t>CSTMALG044</t>
  </si>
  <si>
    <t>CSTMALG045</t>
  </si>
  <si>
    <t>CSTMALG046</t>
  </si>
  <si>
    <t>CSTMALG047</t>
  </si>
  <si>
    <t>CSTMALG048</t>
  </si>
  <si>
    <t>CSTMALG049</t>
  </si>
  <si>
    <t>CSTMALG050</t>
  </si>
  <si>
    <t>CSTMALG051</t>
  </si>
  <si>
    <t>CSTMALG052</t>
  </si>
  <si>
    <t>CSTMALG053</t>
  </si>
  <si>
    <t>CSTMALG054</t>
  </si>
  <si>
    <t>CSTMALG055</t>
  </si>
  <si>
    <t>CSTMALG056</t>
  </si>
  <si>
    <t>CSTMALG057</t>
  </si>
  <si>
    <t>CSTMALG058</t>
  </si>
  <si>
    <t>CSTMALG059</t>
  </si>
  <si>
    <t>CSTMALG060</t>
  </si>
  <si>
    <t>CSTMALG061</t>
  </si>
  <si>
    <t>CSTMALG062</t>
  </si>
  <si>
    <t>CSTMALG063</t>
  </si>
  <si>
    <t>CSTMALG064</t>
  </si>
  <si>
    <t>CSTMALG065</t>
  </si>
  <si>
    <t>CSTMALG066</t>
  </si>
  <si>
    <t>CSTMALG067</t>
  </si>
  <si>
    <t>CSTMALG068</t>
  </si>
  <si>
    <t>CSTMALG069</t>
  </si>
  <si>
    <t>CSTMALG070</t>
  </si>
  <si>
    <t>CSTMALG071</t>
  </si>
  <si>
    <t>Revisión y análisis de RFC</t>
  </si>
  <si>
    <t>Se reviso el documento del RFC con la solicitud del requerimiento para el Micrositio del INAI</t>
  </si>
  <si>
    <t>Explicación tecnologías, ambientes y configuraciones del proyecto</t>
  </si>
  <si>
    <t>Explicación  de tecnologías a utilizar en el desarrollo del proyecto</t>
  </si>
  <si>
    <t>Revisión de los catálogos de BD</t>
  </si>
  <si>
    <t>Revisión de los catálogos para estructurar la base de datos</t>
  </si>
  <si>
    <t>Construcción de la base de datos</t>
  </si>
  <si>
    <t>Desarrollo de los  scripts para la base de datos</t>
  </si>
  <si>
    <t>BackEnd  Laravel</t>
  </si>
  <si>
    <t>Desarrollo del backend en Laravel</t>
  </si>
  <si>
    <t>Modulo tipos de expediente</t>
  </si>
  <si>
    <t>Desarrollo del primer modulo de Tipos de expediente</t>
  </si>
  <si>
    <t>Modulo de Rubros</t>
  </si>
  <si>
    <t>Desarrollo del modulo de Administración</t>
  </si>
  <si>
    <t>Modulo de Años</t>
  </si>
  <si>
    <t>Desarrollo del modulo de Años</t>
  </si>
  <si>
    <t>Modulo de Épocas</t>
  </si>
  <si>
    <t>Desarrollo del modulo de Épocas</t>
  </si>
  <si>
    <t>Modulo de Tipos de criterio</t>
  </si>
  <si>
    <t>Desarrollo del modulo de tipos de criterios</t>
  </si>
  <si>
    <t>Modulo de Entidad Federativa</t>
  </si>
  <si>
    <t>Desarrollo del modulo de Entidad Federativa</t>
  </si>
  <si>
    <t>SIPRON-PIZARRAS 5</t>
  </si>
  <si>
    <t>SAINRO01</t>
  </si>
  <si>
    <t>Reunion de levantamiento con cliente, explicación y entendimiento  del RFC</t>
  </si>
  <si>
    <t>Sesión de levantamiento de información con el cliente, llenado de documento de Análisis, matriz de requerimientos y mockups Requerimientos 1.1,1.2,1.3</t>
  </si>
  <si>
    <t>http://172.16.33.34:8000/SIPRON%20PIZARRAS%205/Forms/AllItems.aspx?RootFolder=%2FSIPRON%20PIZARRAS%205%2F02%20EJECUCI%C3%93N%2F01%20An%C3%A1lisis&amp;FolderCTID=0x01200022B549C5C30EBB44A4C1E26276D73DDB&amp;View={E9ADF662-9DA5-4848-BEED-BA9860EC1C11}</t>
  </si>
  <si>
    <t>Nayeli Ruíz Ortíz</t>
  </si>
  <si>
    <t>SAINRO02</t>
  </si>
  <si>
    <t>Sesión de levantamiento de información con el cliente, llenado de documento de Análisis, matriz de requerimientos y mockups Requerimientos 1.4,1.5,1.6</t>
  </si>
  <si>
    <t>SAINRO03</t>
  </si>
  <si>
    <t>Sesión de levantamiento de información con el cliente, llenado de documento de Análisis, matriz de requerimientos y mockups Requerimientos 1.7,1.8,2.4.1</t>
  </si>
  <si>
    <t>SAINRO04</t>
  </si>
  <si>
    <t>Sesión de levantamiento de información con el cliente, llenado de documento de Análisis, matriz de requerimientos y mockups Requerimientos 2.4.2, 2.5.1</t>
  </si>
  <si>
    <t>SAINRO05</t>
  </si>
  <si>
    <t>Sesión de levantamiento de información con el cliente, llenado de documento de Análisis, matriz de requerimientos y mockups Requerimientos 3.1.1,3.2.16, 3.3.9, 3.5.10</t>
  </si>
  <si>
    <t>SAINRO06</t>
  </si>
  <si>
    <t>Sesión de levantamiento de información con el cliente, llenado de documento de Análisis, matriz de requerimientos y mockups Requerimientos 3.2.1, 3.3.7,3.2.2</t>
  </si>
  <si>
    <t>SAINRO07</t>
  </si>
  <si>
    <t>Sesión de levantamiento de información con el cliente, llenado de documento de Análisis, matriz de requerimientos y mockups Requerimientos 3.2.3,3.2.4,3.3.8</t>
  </si>
  <si>
    <t>SAINRO08</t>
  </si>
  <si>
    <t>Sesión de levantamiento de información con el cliente, llenado de documento de Análisis, matriz de requerimientos y mockups Requerimientos 3.2.5,3.2.6,3.2.7</t>
  </si>
  <si>
    <t>SAINRO09</t>
  </si>
  <si>
    <t>Sesión de levantamiento de información con el cliente, llenado de documento de Análisis, matriz de requerimientos y mockups Requerimientos 3.2.8,3.2.9, 3.3.5,3.5.5</t>
  </si>
  <si>
    <t>SAINRO10</t>
  </si>
  <si>
    <t>Sesión de levantamiento de información con el cliente, llenado de documento de Análisis, matriz de requerimientos y mockups Requerimientos 3.2.10,3.3.6,3.5.6</t>
  </si>
  <si>
    <t>SAINRO11</t>
  </si>
  <si>
    <t>Sesión de levantamiento de información con el cliente, llenado de documento de Análisis, matriz de requerimientos y mockups Requerimientos 3.2.11,3.3.1, 3.5.1</t>
  </si>
  <si>
    <t>SAINRO12</t>
  </si>
  <si>
    <t>Sesión de levantamiento de información con el cliente, llenado de documento de Análisis, matriz de requerimientos y mockups Requerimientos 3.2.12,3.3.2,3.5.2</t>
  </si>
  <si>
    <t>SAINRO13</t>
  </si>
  <si>
    <t>Sesión de levantamiento de información con el cliente, llenado de documento de Análisis, matriz de requerimientos y mockups Requerimientos 3.2.13,3.3.3,3.4.2,3.4.3,3.5.3</t>
  </si>
  <si>
    <t>SAINRO14</t>
  </si>
  <si>
    <t>Sesión de levantamiento de información con el cliente, llenado de documento de Análisis, matriz de requerimientos y mockups Requerimientos 3.2.14,3.3.4,3.5.4</t>
  </si>
  <si>
    <t>SAINRO15</t>
  </si>
  <si>
    <t>Sesión de levantamiento de información con el cliente, llenado de documento de Análisis, matriz de requerimientos y mockups Requerimientos 3.2.15, 3.5.7</t>
  </si>
  <si>
    <t>SAINRO16</t>
  </si>
  <si>
    <t>Sesión de levantamiento de información con el cliente, llenado de documento de Análisis, matriz de requerimientos y mockups Requerimientos 3.4.1,3.4.4,3.4.5,3.5.9,3.5.8,1,2,2.1,2.2,2.3,2.4</t>
  </si>
  <si>
    <t>SAINRO17</t>
  </si>
  <si>
    <t>Sesión de levantamiento de información con el cliente, llenado de documento de Análisis, matriz de requerimientos y mockups Requerimientos 2.5,3,3.1,3.2,3.3,3.4,3.5,4,4.1,4.2</t>
  </si>
  <si>
    <t>SAIGDVM01</t>
  </si>
  <si>
    <t>Diseño de los Casos de Prueba</t>
  </si>
  <si>
    <t>Revisión de los casos de uso ( Documento de Análisis) para elaboración del Diseño de los Casos de Prueba (Plan de pruebas), Requerimientos: 1.1,1.2,1.3,1.4,1.5,1.6,1.7,1.8,2.4.1,2.4.2,2.5.1</t>
  </si>
  <si>
    <t>http://172.16.33.34:8000/SIPRON%20PIZARRAS%205/Forms/AllItems.aspx?RootFolder=%2FSIPRON%20PIZARRAS%205%2F02%20EJECUCI%C3%93N%2F02%20Dise%C3%B1o&amp;FolderCTID=0x01200022B549C5C30EBB44A4C1E26276D73DDB&amp;View={E9ADF662-9DA5-4848-BEED-BA9860EC1C11}</t>
  </si>
  <si>
    <t>Gustavo Didier Vazquez Muníz</t>
  </si>
  <si>
    <t>SAIGDVM02</t>
  </si>
  <si>
    <t>Revisión de los casos de uso ( Documento de Análisis) para elaboración del Diseño de los Casos de Prueba (Plan de pruebas), Requerimientos: 3.1.1, 3.2.16,3.3.9,3.5.10,3.2.1,3.3.7,3.2.2,3.2.3,3.2.4,3.3.8,3.2.5,3.2.6,3.2.7,3.2.8,3.2.9,3.3.5,3.5.5,3.2.10,3.3.6,3.5.6</t>
  </si>
  <si>
    <t>SAIGDVM03</t>
  </si>
  <si>
    <t>Revisión de los casos de uso ( Documento de Análisis) para elaboración del Diseño de los Casos de Prueba (Plan de pruebas), Requerimientos: 3.2.11,3.3.1,3.5.1,3.2.12,3.3.2,3.5.2,3.2.13,3.3.3,3.4.2,3.4.3,3.5.3,3.2.14,3.3.4,3.5.4,3.2.15,3.5.7,3.4.1,3.4.4,3.4.5,3.5.9,3.5.8,1,2</t>
  </si>
  <si>
    <t>SAIGDVM04</t>
  </si>
  <si>
    <t>Revisión de los casos de uso ( Documento de Análisis) para elaboración del Diseño de los Casos de Prueba (Plan de pruebas), Requerimientos: 2.1,2.2,2.3,2.4,2.5,3,3.1,3.2,3.3,3.4,3.5,4,4.1,4.2</t>
  </si>
  <si>
    <t>SAIPMCJ01</t>
  </si>
  <si>
    <t>Enregables fase de Inicio y Planeación</t>
  </si>
  <si>
    <t>Listado de Documentos
Plan de Alcance
Plan de Trabajo
Plan de Comunicaciones
Plan de Riesgos</t>
  </si>
  <si>
    <t>SAIPMCJ02</t>
  </si>
  <si>
    <t>http://172.16.33.34:8000/SIPRON%20PIZARRAS%205/Forms/AllItems.aspx?RootFolder=%2FSIPRON%20PIZARRAS%205%2F01%20INICIO%20Y%20PLANEACI%C3%93N&amp;FolderCTID=0x01200022B549C5C30EBB44A4C1E26276D73DDB&amp;View={E9ADF662-9DA5-4848-BEED-BA9860EC1C11}</t>
  </si>
  <si>
    <t>SAIPMCJ03</t>
  </si>
  <si>
    <t>Cronograma</t>
  </si>
  <si>
    <t>SAIPMCJ04</t>
  </si>
  <si>
    <t>Monitoreo y control fase de análisis</t>
  </si>
  <si>
    <t>SAIPMCJ05</t>
  </si>
  <si>
    <t>Monitoreo y control de las sesiones de levantamiento de información del 16 al 20 de octubre 2024</t>
  </si>
  <si>
    <t>SAIPMCJ06</t>
  </si>
  <si>
    <t>Reunión KickOff</t>
  </si>
  <si>
    <t>Reunión de KickOff con el equipo interno y externo del proyecto</t>
  </si>
  <si>
    <t>DEMO PIZARRAS4</t>
  </si>
  <si>
    <t>El usuario mostró el funcionamiento del aplicativo version 4, el cual será al quese le aplicaran las mejoras</t>
  </si>
  <si>
    <t>http://172.16.33.34:8000/SIPRON%20PIZARRAS%205/Forms/AllItems.aspx?RootFolder=%2FSIPRON%20PIZARRAS%205%2F03%20CONTROL%20Y%20SEGUIMIENTO%2FMEETS&amp;FolderCTID=0x01200022B549C5C30EBB44A4C1E26276D73DDB&amp;View={E9ADF662-9DA5-4848-BEED-BA9860EC1C11}</t>
  </si>
  <si>
    <t>Monitoreo y control de las sesiones de levantamiento de información del 09 al 13 de octubre 2024</t>
  </si>
  <si>
    <t>Monitoreo y control de las sesiones de levantamiento de información del 09 al 13 de octubre 2025</t>
  </si>
  <si>
    <t>Monitoreo y control de las sesiones de levantamiento de información del 09 al 13 de octubre 2026</t>
  </si>
  <si>
    <t>SAIPMCJ07</t>
  </si>
  <si>
    <t>Monitoreo y control de las sesiones de levantamiento de información del 09 al 13 de octubre 2027</t>
  </si>
  <si>
    <t>SAIPMCJ08</t>
  </si>
  <si>
    <t>SAIPMCJ09</t>
  </si>
  <si>
    <t>SAIPMCJ10</t>
  </si>
  <si>
    <t>SAIPMCJ11</t>
  </si>
  <si>
    <t>SAIPMCJ12</t>
  </si>
  <si>
    <t>SAIPMCJ13</t>
  </si>
  <si>
    <t>noviembre</t>
  </si>
  <si>
    <t>Pantalla para responder notificaciones</t>
  </si>
  <si>
    <t>Desarrollar pantalla para estadísticas por usuario/resoluciones</t>
  </si>
  <si>
    <t>Implementar funcionalidad para las estadísticas por usuario (redireccionamiento)</t>
  </si>
  <si>
    <t>Modificar header del buscador inteligente con la nueva versión</t>
  </si>
  <si>
    <t>Implementar estadística de lo mas PREGUNTADO del buscador inteligente</t>
  </si>
  <si>
    <t>Implementar estadística de lo mas CONSULTADO del buscador inteligente</t>
  </si>
  <si>
    <t>Presupuesto DST 2</t>
  </si>
  <si>
    <t>Presupuesto DST 3</t>
  </si>
  <si>
    <t>DSJGRR21</t>
  </si>
  <si>
    <t>DSJGRR22</t>
  </si>
  <si>
    <t>DSJGRR23</t>
  </si>
  <si>
    <t>DSJGRR24</t>
  </si>
  <si>
    <t>DSJGRR25</t>
  </si>
  <si>
    <t>DSJGRR26</t>
  </si>
  <si>
    <t>DSJGRR27</t>
  </si>
  <si>
    <t>DSJGRR28</t>
  </si>
  <si>
    <t>DSFOSF14</t>
  </si>
  <si>
    <t>Oct, nov, dic</t>
  </si>
  <si>
    <t>Pantalla Descarga de archivos</t>
  </si>
  <si>
    <t>Ajustes FRONT para SAIMEX</t>
  </si>
  <si>
    <t>Implementar listado completo de subtemas por cada tema</t>
  </si>
  <si>
    <t>Diseñar listado de los OG en el apartado de los filtros por campo orden</t>
  </si>
  <si>
    <t>Modificar el diseño de los temas de los datos detalle del registro</t>
  </si>
  <si>
    <t>Modificar servicios de busqueda en servidores SOLR</t>
  </si>
  <si>
    <t>Modificar servicios del buscador general para omitir subtemas</t>
  </si>
  <si>
    <t>Modificar registros "Sin Temática" para omitirlos</t>
  </si>
  <si>
    <t>Modificar filtro de area de resultados</t>
  </si>
  <si>
    <t>En servicio compartir en redes sociales, integrar servicio de X</t>
  </si>
  <si>
    <t xml:space="preserve">Modificar frame de solicitudes,quejas y obligaciones. </t>
  </si>
  <si>
    <t>Modificar etiquetas: Folio por Folio de la solicitud / Descripción de la solicitud por Descripción de la solicitude información / Tipo de solicitud por Tipo de solicitud de información /etc</t>
  </si>
  <si>
    <t>Modificar etiquetas Entidad por Estado ó Federación .</t>
  </si>
  <si>
    <t>Modificar servicio de fecha de envío</t>
  </si>
  <si>
    <t>Modificar servicio de fecha de notificacion de admisión al SO</t>
  </si>
  <si>
    <t>Modificar input parte superior para buscar por tema</t>
  </si>
  <si>
    <t>Modificar sección de tutoriales</t>
  </si>
  <si>
    <t xml:space="preserve">Modificar servicio de ordenamiento por conteo en los filtros considerando el total de registros encontrados </t>
  </si>
  <si>
    <t>Modificar servicio de Obligaciones de transparencia cuando se buscar por un tema desde el carrusel</t>
  </si>
  <si>
    <t>Desarrollar servicios para obtener porcentaje de predicción por IA para solicitudes y respuestas en el buscador</t>
  </si>
  <si>
    <t>Desarrollar front para desplegar porcentaje de prediccón por IA para solicitudes y respuestas en el buscador</t>
  </si>
  <si>
    <t>Validación y adecuaciones front y back de acuerdo a observaciones de la DS</t>
  </si>
  <si>
    <t>Implementar adecuaciones al código fuente para atender hallazgos del módulo - Catálogos</t>
  </si>
  <si>
    <t>Implementar adecuaciones al código fuente para atender hallazgos del módulo - Commons</t>
  </si>
  <si>
    <t>Implementar adecuaciones al código fuente para atender hallazgos del módulo - Buscador inteligente</t>
  </si>
  <si>
    <t>Implementar adecuaciones al código fuente para atender hallazgos del módulo - Datos Abiertos</t>
  </si>
  <si>
    <t>Implementar adecuaciones al código fuente para atender hallazgos del módulo - Federado</t>
  </si>
  <si>
    <t xml:space="preserve">Implementar y ejecutar herramientas SAST y SCA definidas en el nuevo  proceso SSDLC en el código de la Nueva Arquitectura de la PNT </t>
  </si>
  <si>
    <t>Melissa Karen Gonzalez</t>
  </si>
  <si>
    <t>Víctor Jahir Cuevas Contreras</t>
  </si>
  <si>
    <t>Director</t>
  </si>
  <si>
    <t>Analista</t>
  </si>
  <si>
    <t>Desarrollador</t>
  </si>
  <si>
    <t>BI</t>
  </si>
  <si>
    <t>SSIOVP014</t>
  </si>
  <si>
    <t>Servicio para obtener invocacion de certificado</t>
  </si>
  <si>
    <t>Se implementa servicio para obtener la información de un certificado a partir de un base64</t>
  </si>
  <si>
    <t>SSIOVP017</t>
  </si>
  <si>
    <t>Corrección de firma, en canvas</t>
  </si>
  <si>
    <t>Se corrige la implementación de la captura de firma</t>
  </si>
  <si>
    <t>SSIOVP018</t>
  </si>
  <si>
    <t xml:space="preserve">Corrección de fecha </t>
  </si>
  <si>
    <t>Se maneja el error de fecha en el home de la pagina</t>
  </si>
  <si>
    <t>SSIOVP019</t>
  </si>
  <si>
    <t>Corrección RFC</t>
  </si>
  <si>
    <t>Se remueven validadores para RFC en la vista del perfil de usuario</t>
  </si>
  <si>
    <t>Sesión de inducción</t>
  </si>
  <si>
    <t>Inducción para el proyecto de jurisdiccional</t>
  </si>
  <si>
    <t xml:space="preserve">git@github.com:adanmgs/jurisdicfront.git </t>
  </si>
  <si>
    <t>Analisis de codigo</t>
  </si>
  <si>
    <t>Clonación de proyecto y analisis de codigo</t>
  </si>
  <si>
    <t>Sesion de entendimiento</t>
  </si>
  <si>
    <t>Reunion con el equipo para revisar los putos/tareas a trabajar</t>
  </si>
  <si>
    <t>Analisis de actividades</t>
  </si>
  <si>
    <t>Se realiza un listado de actividades junto con estimaciones, para poder trabajarlas</t>
  </si>
  <si>
    <t>Revisión de actividades</t>
  </si>
  <si>
    <t>Reunion con el equipo para revisar las actividades</t>
  </si>
  <si>
    <t>Revisión de modulos</t>
  </si>
  <si>
    <t>Se revisan los modulos dentro del sistema para poder comenzar a implementar cambios</t>
  </si>
  <si>
    <t>Rediseño de tabla-migracion de componentes</t>
  </si>
  <si>
    <t>Se rediseña la tabla para el modulo de administrador, se ajustan componentes para usar los de primeNG</t>
  </si>
  <si>
    <t>Ajuste de estilos</t>
  </si>
  <si>
    <t>Se ajustan estilos para la tabla, así como para el nav bar aplciarles un selected cuando la navegación apunte al menu</t>
  </si>
  <si>
    <t>Nueva ruta</t>
  </si>
  <si>
    <t>Se agrega una nueva ruta al proyecto para poder navegar y así remover el dialog</t>
  </si>
  <si>
    <t>Se agrega barra de navegacion</t>
  </si>
  <si>
    <t>Se agrega una nueva barra de navegación para poder hacer back al location</t>
  </si>
  <si>
    <t>Migración de componentes</t>
  </si>
  <si>
    <t>Se migran componentes de la vista de detalle de contrato</t>
  </si>
  <si>
    <t>Ajuste de datos de acuerdo a los componentes</t>
  </si>
  <si>
    <t>Se realiza una reestructuración de servicios y manejo de datos de acuerdo a los nuevos componentes</t>
  </si>
  <si>
    <t>Refactor servicios</t>
  </si>
  <si>
    <t>Se refactoriza implementación de servicios</t>
  </si>
  <si>
    <t>Jurisdiccional</t>
  </si>
  <si>
    <t>SAIOVP001</t>
  </si>
  <si>
    <t>SAIOVP002</t>
  </si>
  <si>
    <t>SAIOVP003</t>
  </si>
  <si>
    <t>SAIOVP004</t>
  </si>
  <si>
    <t>SAIOVP005</t>
  </si>
  <si>
    <t>SAIOVP006</t>
  </si>
  <si>
    <t>SAIOVP007</t>
  </si>
  <si>
    <t>SAIOVP008</t>
  </si>
  <si>
    <t>SAIOVP009</t>
  </si>
  <si>
    <t>SAIOVP010</t>
  </si>
  <si>
    <t>SAIOVP011</t>
  </si>
  <si>
    <t>SAIOVP012</t>
  </si>
  <si>
    <t>SAIOVP013</t>
  </si>
  <si>
    <t>DSVJCC001</t>
  </si>
  <si>
    <t>DSVJCC002</t>
  </si>
  <si>
    <t>DSVJCC003</t>
  </si>
  <si>
    <t>DSVJCC004</t>
  </si>
  <si>
    <t>DSVJCC005</t>
  </si>
  <si>
    <t>DSVJCC006</t>
  </si>
  <si>
    <t>DSMKG001</t>
  </si>
  <si>
    <t>DSMKG002</t>
  </si>
  <si>
    <t>DSMKG003</t>
  </si>
  <si>
    <t>DSMKG004</t>
  </si>
  <si>
    <t>DSMKG005</t>
  </si>
  <si>
    <t>DSMKG006</t>
  </si>
  <si>
    <t>DSMKG007</t>
  </si>
  <si>
    <t>DSMKG008</t>
  </si>
  <si>
    <t>DSMKG009</t>
  </si>
  <si>
    <t>DSMKG010</t>
  </si>
  <si>
    <t>DSMKG011</t>
  </si>
  <si>
    <t>DSMKG012</t>
  </si>
  <si>
    <t>DSMKG013</t>
  </si>
  <si>
    <t>DSMKG014</t>
  </si>
  <si>
    <t>DSMKG015</t>
  </si>
  <si>
    <t>DSMKG016</t>
  </si>
  <si>
    <t>DSMKG017</t>
  </si>
  <si>
    <t>DSMKG018</t>
  </si>
  <si>
    <t>DSMKG019</t>
  </si>
  <si>
    <t>DSMKG020</t>
  </si>
  <si>
    <t>Desarrollo de servicios Back de respuesta a notificaciones</t>
  </si>
  <si>
    <t>Desarrollo de servicios back para descarga de archivos</t>
  </si>
  <si>
    <t>Desarrollo de servicios back para integrar SAIMEX a la PNT</t>
  </si>
  <si>
    <t xml:space="preserve">Desarrollar servicios para generación de estadísticas </t>
  </si>
  <si>
    <t>Modificar servicios back para integrarlos con el FRONT del Buscador Inteligente</t>
  </si>
  <si>
    <t>DSFOSF15</t>
  </si>
  <si>
    <t>DSFOSF16</t>
  </si>
  <si>
    <t>DSFOSF17</t>
  </si>
  <si>
    <t>DSFOSF18</t>
  </si>
  <si>
    <t>SPDCGF044</t>
  </si>
  <si>
    <t xml:space="preserve">Cambio de los servicios de solicitudes </t>
  </si>
  <si>
    <t>Cambio en los servicios de solicitudes para que la consulta se por medio de criteria query y no por procesos de base de datos</t>
  </si>
  <si>
    <t>SPDCGF045</t>
  </si>
  <si>
    <t>Cambio de los servicios de resoluciones</t>
  </si>
  <si>
    <t>Cambio en los servicios de resoluciones para que la consulta se por medio de criteria query y no por procesos de base de datos</t>
  </si>
  <si>
    <t>SPDCGF046</t>
  </si>
  <si>
    <t>Desarrollo de servicio para consultar el top de sujetos obligados en solicitudes</t>
  </si>
  <si>
    <t>Se desarrolla el servicio para obtener el top de sujetos obligados que reciben más solicitudes</t>
  </si>
  <si>
    <t>SPDCGF047</t>
  </si>
  <si>
    <t>Desarrollo de servicio para consultar el top de sujetos obligados en quejas</t>
  </si>
  <si>
    <t>Se desarrolla el servicio para obtener el top de sujetos obligados que reciben más quejas</t>
  </si>
  <si>
    <t>SPDCGF048</t>
  </si>
  <si>
    <t>Desarrollo de servicio para consultar el top de comisionados que hacen resoluciones</t>
  </si>
  <si>
    <t>Se desarrolla el servicio para obtener el top de comisionados que hacen resoluciones</t>
  </si>
  <si>
    <t>SPDCGF049</t>
  </si>
  <si>
    <t>Cambio en el mapeo de solicitudes para obtener la descripción</t>
  </si>
  <si>
    <t>Cambio en el mapeo de entidades para obtener la descripción de las solicitudes sin hacer join a tablas externas</t>
  </si>
  <si>
    <t>SPDCGF050</t>
  </si>
  <si>
    <t>Cambio en el mapeo de quejas para obtener la descripción</t>
  </si>
  <si>
    <t>Cambio en el mapeo de entidades para obtener la descripción de las quejas sin hacer join a tablas externas</t>
  </si>
  <si>
    <t>SPDCGF051</t>
  </si>
  <si>
    <t>SPDCGF052</t>
  </si>
  <si>
    <t>Cambio en el mapeo de resoluciones para obtener la descripción</t>
  </si>
  <si>
    <t>Cambio en el mapeo de entidades para obtener la descripción de las resoluciones  sin hacer join a tablas externas</t>
  </si>
  <si>
    <t>SPDCGF053</t>
  </si>
  <si>
    <t xml:space="preserve">Desarrollo del servicio para agrupar los totales de INFOMEX </t>
  </si>
  <si>
    <t>Desarrollo del servicio para agrupar los totales de INFOMEX .</t>
  </si>
  <si>
    <t>SPDCGF054</t>
  </si>
  <si>
    <t>Desarrollo de mis quejas saimex</t>
  </si>
  <si>
    <t>SPDCGF055</t>
  </si>
  <si>
    <t>Desarrollo de registro queja saimex</t>
  </si>
  <si>
    <t>SPDCGF056</t>
  </si>
  <si>
    <t>Desarrollo de descarga adjunto para queja saimex</t>
  </si>
  <si>
    <t>SPDCGF057</t>
  </si>
  <si>
    <t>Desarrollo de descarga acuse saimex</t>
  </si>
  <si>
    <t>SPDCGF058</t>
  </si>
  <si>
    <t>Desarrollo de historico de respuesta saimex</t>
  </si>
  <si>
    <t>SPDCGF059</t>
  </si>
  <si>
    <t>Configuración de jasper reports para subreportes</t>
  </si>
  <si>
    <t>Configuración a nivel de sistema operativo para poder invocar subreportes</t>
  </si>
  <si>
    <t>SPDCGF060</t>
  </si>
  <si>
    <t>Configuración de tipo de letras para reportes</t>
  </si>
  <si>
    <t>Configuración a nivel de sistema operativo para poder consumir los tipos de letra del sistema operativo</t>
  </si>
  <si>
    <t>SPDCGF061</t>
  </si>
  <si>
    <t>Configuración de jvm para reportes</t>
  </si>
  <si>
    <t xml:space="preserve">Configuración a nivel de jvm  para poder consumir los tipos de letra </t>
  </si>
  <si>
    <t>Adecuaciones a nivel de front end para el consumo de servicios de saimex para quejas</t>
  </si>
  <si>
    <t>Desarrollo de servicios angular para consumir front-end en el menu de detalle</t>
  </si>
  <si>
    <t>Adecuación de estilos en front end para presentar la información de las quejas en saimex</t>
  </si>
  <si>
    <t>Desarrollo de servicios angular para consumir front-end en el menu de mis quejas</t>
  </si>
  <si>
    <t>Funcionalidad para  consulta de mis quejas</t>
  </si>
  <si>
    <t>Funcionalidad para registrar quejas</t>
  </si>
  <si>
    <t>Desarrollo para consultar el tracking del avance de la queja</t>
  </si>
  <si>
    <t>Funcionalidad para gestionar acuses</t>
  </si>
  <si>
    <t>SAWYLVM135</t>
  </si>
  <si>
    <t xml:space="preserve">Actualización micrositio SNT </t>
  </si>
  <si>
    <t>http://repositoriosdgis.ifai.org.mx/Pagina%20Web/Actividades%202023/11-Noviembre-2023/reporte%20actividad%20noviembre.docx</t>
  </si>
  <si>
    <t>SAWYLVM136</t>
  </si>
  <si>
    <t xml:space="preserve">Actualización sitio cambio de control </t>
  </si>
  <si>
    <t>http://repositoriosdgis.ifai.org.mx/Pagina%20Web/Actividades%202023/11-Noviembre-2023/actividades%20de%20control%20elementos.docx</t>
  </si>
  <si>
    <t>SAWYLVM137</t>
  </si>
  <si>
    <t xml:space="preserve">Actualización Armonizacion </t>
  </si>
  <si>
    <t>SAWYLVM138</t>
  </si>
  <si>
    <t xml:space="preserve">Actualización RTA </t>
  </si>
  <si>
    <t>SAWYLVM139</t>
  </si>
  <si>
    <t xml:space="preserve">Actualización pagina web </t>
  </si>
  <si>
    <t>SAWYLVM140</t>
  </si>
  <si>
    <t xml:space="preserve">Actualización prosede </t>
  </si>
  <si>
    <t>SAWYLVM141</t>
  </si>
  <si>
    <t xml:space="preserve">Actualización avance de proyecto </t>
  </si>
  <si>
    <t>SAWYLVM142</t>
  </si>
  <si>
    <t xml:space="preserve">Actualización carga de usuarios </t>
  </si>
  <si>
    <t>http://repositoriosdgis.ifai.org.mx/Pagina%20Web/Actividades%202023/11-Noviembre-2023/actividades%20de%20control%20parametro.docx</t>
  </si>
  <si>
    <t>SAWYLVM143</t>
  </si>
  <si>
    <t xml:space="preserve">Actualización subsistema de evaluacion </t>
  </si>
  <si>
    <t>SAWYLVM144</t>
  </si>
  <si>
    <t xml:space="preserve">Actualización de administracion deriesgos </t>
  </si>
  <si>
    <t>http://repositoriosdgis.ifai.org.mx/Pagina%20Web/Actividades%202023/11-Noviembre-2023/actualizacion%20control%20interno.docx</t>
  </si>
  <si>
    <t>SAWYLVM145</t>
  </si>
  <si>
    <t xml:space="preserve">Actualización de supervision de mejora continua </t>
  </si>
  <si>
    <t>SAWYLVM146</t>
  </si>
  <si>
    <t xml:space="preserve">Actualización ambiente de control parametros </t>
  </si>
  <si>
    <t>http://repositoriosdgis.ifai.org.mx/Pagina%20Web/Actividades%202023/11-Noviembre-2023/administracion%20de%20riesgos%20parametro.docx</t>
  </si>
  <si>
    <t>SAWYLVM147</t>
  </si>
  <si>
    <t xml:space="preserve">Actualización ambiente de control principios basicos </t>
  </si>
  <si>
    <t>http://repositoriosdgis.ifai.org.mx/Pagina%20Web/Actividades%202023/11-Noviembre-2023/ambiente%20de%20control%20principios%20basicos.docx</t>
  </si>
  <si>
    <t>SAWYLVM148</t>
  </si>
  <si>
    <t xml:space="preserve">Actualuzacion elementos de control interno asociado </t>
  </si>
  <si>
    <t>SAWYLVM149</t>
  </si>
  <si>
    <t xml:space="preserve">Actualización administracion de riesgos </t>
  </si>
  <si>
    <t>http://repositoriosdgis.ifai.org.mx/Pagina%20Web/Actividades%202023/11-Noviembre-2023/informacion%20y%20comunicacion%20(parametro).docx</t>
  </si>
  <si>
    <t>SAWYLVM150</t>
  </si>
  <si>
    <t xml:space="preserve">Actualización parametros riesgos </t>
  </si>
  <si>
    <t>http://repositoriosdgis.ifai.org.mx/Pagina%20Web/Actividades%202023/11-Noviembre-2023/informacion%20y%20comunicacion%20(principios%20basicos).docx</t>
  </si>
  <si>
    <t>SAWYLVM151</t>
  </si>
  <si>
    <t xml:space="preserve">Actualización principios basicos riesgos </t>
  </si>
  <si>
    <t>http://repositoriosdgis.ifai.org.mx/Pagina%20Web/Actividades%202023/11-Noviembre-2023/administracion%20de%20riesgos%20principios%20basicos.docx</t>
  </si>
  <si>
    <t>SAWYLVM152</t>
  </si>
  <si>
    <t xml:space="preserve">Actualización elementos de control riesgos </t>
  </si>
  <si>
    <t>http://repositoriosdgis.ifai.org.mx/Pagina%20Web/Actividades%202023/11-Noviembre-2023/ambiente%20de%20control%20elemento%20de%20control%20inerno.docx</t>
  </si>
  <si>
    <t>SAWYLVM153</t>
  </si>
  <si>
    <t xml:space="preserve">Actualización de actividades de control </t>
  </si>
  <si>
    <t>SAWYLVM154</t>
  </si>
  <si>
    <t xml:space="preserve">Actualización de parametros de control </t>
  </si>
  <si>
    <t>SAWYLVM155</t>
  </si>
  <si>
    <t xml:space="preserve">Actualización de principios basicos de control </t>
  </si>
  <si>
    <t>SAWYLVM156</t>
  </si>
  <si>
    <t xml:space="preserve">Actualización de elementos de control interno </t>
  </si>
  <si>
    <t>SAWYLVM157</t>
  </si>
  <si>
    <t xml:space="preserve">Actualización de informacion de comunicación </t>
  </si>
  <si>
    <t>SAWYLVM158</t>
  </si>
  <si>
    <t xml:space="preserve">Actualización de parametro de informacion y comuicacion </t>
  </si>
  <si>
    <t>SAWYLVM159</t>
  </si>
  <si>
    <t xml:space="preserve">Actualización principios basicos de informacion y comunicación </t>
  </si>
  <si>
    <t>SAWYLVM160</t>
  </si>
  <si>
    <t xml:space="preserve">Actualización informacin y comuicacion de elementos de control inteno </t>
  </si>
  <si>
    <t>SAWYLVM161</t>
  </si>
  <si>
    <t>actualizacin de supervision y mejora continua</t>
  </si>
  <si>
    <t>SAWYLVM162</t>
  </si>
  <si>
    <t xml:space="preserve">Actualización de elementos de control interno y supervisioin de mejora continua </t>
  </si>
  <si>
    <t>http://repositoriosdgis.ifai.org.mx/Pagina%20Web/Actividades%202023/11-Noviembre-2023/administracion%20de%20riesgo%20elemntos%20de%20control%20interno.docx</t>
  </si>
  <si>
    <t>SAWYLVM163</t>
  </si>
  <si>
    <t>SAWYLVM164</t>
  </si>
  <si>
    <t xml:space="preserve">Actualización parlamento abierto </t>
  </si>
  <si>
    <t>SAWYLVM165</t>
  </si>
  <si>
    <t xml:space="preserve">Actualización revision de usuario </t>
  </si>
  <si>
    <t>SAWYLVM166</t>
  </si>
  <si>
    <t>SAWYLVM167</t>
  </si>
  <si>
    <t xml:space="preserve">Actualización de servicio profesional </t>
  </si>
  <si>
    <t>SAWYLVM168</t>
  </si>
  <si>
    <t xml:space="preserve">Actualización de vance de proyecto </t>
  </si>
  <si>
    <t>http://repositoriosdgis.ifai.org.mx/Pagina%20Web/Actividades%202023/11-Noviembre-2023/actualizacion%20de%20avance%20de%20proyecto%20nov.docx</t>
  </si>
  <si>
    <t>SAWYLVM169</t>
  </si>
  <si>
    <t xml:space="preserve">Actualización micrositio criterios del SNT </t>
  </si>
  <si>
    <t>SAWYLVM170</t>
  </si>
  <si>
    <t>Actualización pagina DGPVS</t>
  </si>
  <si>
    <t>SAWYLVM171</t>
  </si>
  <si>
    <t>SAWYLVM172</t>
  </si>
  <si>
    <t>SAWYLVM173</t>
  </si>
  <si>
    <t>SAWYLVM174</t>
  </si>
  <si>
    <t>actualizacin servicio profecional</t>
  </si>
  <si>
    <t>SAWYLVM175</t>
  </si>
  <si>
    <t>SAWYLVM176</t>
  </si>
  <si>
    <t>SAWYLVM177</t>
  </si>
  <si>
    <t xml:space="preserve">Actualización inventario micrositio </t>
  </si>
  <si>
    <t>SAWYLVM178</t>
  </si>
  <si>
    <t xml:space="preserve">Actualización micrositio criterios </t>
  </si>
  <si>
    <t>SAWYLVM179</t>
  </si>
  <si>
    <t xml:space="preserve">Actualización control interno </t>
  </si>
  <si>
    <t>SAWYLVM180</t>
  </si>
  <si>
    <t xml:space="preserve">Actualización sitio servicio profecional </t>
  </si>
  <si>
    <t>SAWYLVM181</t>
  </si>
  <si>
    <t xml:space="preserve">Actualización de avance de proyecto </t>
  </si>
  <si>
    <t>Se desarrolla modulo de materias</t>
  </si>
  <si>
    <t>http://repositoriosdgis.ifai.org.mx/Pagina%20Web/Actividades%20Ricardo%20Olivares%202023/actividades%20octubre/materiasregistrar.png</t>
  </si>
  <si>
    <t>Se desarrolla modulo de organismo garante</t>
  </si>
  <si>
    <t>Se desarrolla modulo de criterios principales</t>
  </si>
  <si>
    <t>Se desarrolla modulo de informacion</t>
  </si>
  <si>
    <t>http://repositoriosdgis.ifai.org.mx/Pagina%20Web/Actividades%20Ricardo%20Olivares%202023/actividades%20octubre/informacioneditarresoluciones.png</t>
  </si>
  <si>
    <t>Se desarrolla modulo decarga de csv</t>
  </si>
  <si>
    <t>Se comienza con los estilos para el sitio</t>
  </si>
  <si>
    <t>Se comprueba la vizualizacon y funcionalidad del buscador de resoluciones</t>
  </si>
  <si>
    <t>se realizan los estilos para el buscador de resoluciones</t>
  </si>
  <si>
    <t>se realiza funcionalidad de filtros de busqueda laterales</t>
  </si>
  <si>
    <t>Se agrega funcionalidad de busqueda por ajax para clave de control</t>
  </si>
  <si>
    <t>Se agrega funcionalidad de botones de descarga</t>
  </si>
  <si>
    <t>desarrollo del modulo de Organismo garante</t>
  </si>
  <si>
    <t>desarrollo del modulo de Secciones de tipos de criterios</t>
  </si>
  <si>
    <t>desarrollo del modulo de Informacion</t>
  </si>
  <si>
    <t>desarrollo del modulo de carga de csv</t>
  </si>
  <si>
    <t>SPDAEMF001</t>
  </si>
  <si>
    <t>Actualizacion de versiones Flutter y plugins</t>
  </si>
  <si>
    <t>Se actualizo version de flutter, plugins y se atienden incidencias surgidas de esto</t>
  </si>
  <si>
    <t>https://172.20.32.20/svn/PNT_APPS_V2/DEV/code/appMovil/pnt</t>
  </si>
  <si>
    <t>SPDAEMF002</t>
  </si>
  <si>
    <t>Actualizacion de direcciones de servicios</t>
  </si>
  <si>
    <t>Se actualizaron las url de servicios para la app</t>
  </si>
  <si>
    <t>SPDAEMF003</t>
  </si>
  <si>
    <t>Validacion de funcionamiento de servicios</t>
  </si>
  <si>
    <t>Se valida el funcionamiento de todos los servicios de la app y se depuran errores</t>
  </si>
  <si>
    <t>SPDAEMF004</t>
  </si>
  <si>
    <t>Reunion seguimiento de errores</t>
  </si>
  <si>
    <t xml:space="preserve">Se toma reunion para da seguimiento a los errores detectados en los servicios y depurar </t>
  </si>
  <si>
    <t>SPDAEMF005</t>
  </si>
  <si>
    <t>Revision FB login</t>
  </si>
  <si>
    <t>Se hace research para obtener datos necesarios para el alta de nueva app de fb para login</t>
  </si>
  <si>
    <t>SPDAEMF006</t>
  </si>
  <si>
    <t>Validacion de responsive y correccion de estilos</t>
  </si>
  <si>
    <t>Se valiada en diferentes tamaños y se corrige segun sea necesario</t>
  </si>
  <si>
    <t>SPDAEMF007</t>
  </si>
  <si>
    <t>Revision twitter login</t>
  </si>
  <si>
    <t>Se hace research para obtener datos necesarios para el alta de nueva app de twitter para login</t>
  </si>
  <si>
    <t>SPDAEMF008</t>
  </si>
  <si>
    <t>SPDAEMF009</t>
  </si>
  <si>
    <t>Se valida el funcionamiento de los servicios de buscador de obligaciones</t>
  </si>
  <si>
    <t>SPDAEMF010</t>
  </si>
  <si>
    <t>Generar documento de guia para login Facebook y Twitter</t>
  </si>
  <si>
    <t>Se genera un documento de guia que detalla las acciones a llevar para crear una cuenta y configurarla en Meta developers (facebook) y Twitter developers</t>
  </si>
  <si>
    <t>SPDAEMF011</t>
  </si>
  <si>
    <t>SPDAEMF012</t>
  </si>
  <si>
    <t>Revision de problemas flutter 3.16</t>
  </si>
  <si>
    <t>Se realiza una sesion de review para implementar flutter 3.16 en la app</t>
  </si>
  <si>
    <t>SPDAEMF013</t>
  </si>
  <si>
    <t>Actualizar y correccion de errores api 33 Android</t>
  </si>
  <si>
    <t>Se actualiza version de android y se solventan errores nativos dentro de la aplicacion</t>
  </si>
  <si>
    <t>SPDAEMF014</t>
  </si>
  <si>
    <t>SPDAEMF015</t>
  </si>
  <si>
    <t>SPDAEMF016</t>
  </si>
  <si>
    <t>Análisis y registro de casos de prueba del documento "módulo de Usuarios"</t>
  </si>
  <si>
    <t>Análisis del documento de "modulo de usuarios" para obtener casos de prueba previos a su ejecución</t>
  </si>
  <si>
    <t>\\vcifs\tercerizado2023\Evidencias Tercerización 2023\Ingeniero de Prueba\Noviembre\Semana 1</t>
  </si>
  <si>
    <t xml:space="preserve">Casos de prueba Módulo de usuarios a la carpeta de testlink </t>
  </si>
  <si>
    <t xml:space="preserve">Se registran los casos de roles de usuarios en la carpeta de testlink </t>
  </si>
  <si>
    <t>\\vcifs\tercerizado2023\Evidencias Tercerización 2023\Ingeniero de Prueba\Noviembre\Semana 2</t>
  </si>
  <si>
    <t>Casos de prueba Módulo Roles de usuarios</t>
  </si>
  <si>
    <t>Análisis de todos los casos de prueba de roles de usuario</t>
  </si>
  <si>
    <t>Casos de prueba roles del Módulo de usuarios en Testlink</t>
  </si>
  <si>
    <t>Se hace el registro de los casos de roles del módulo de usuarios en Testlink</t>
  </si>
  <si>
    <t>Sesiones solicitudes masivas</t>
  </si>
  <si>
    <t>Se hace un sesión con el equipo de desarrollo sobre el módulo de solicitudes masivas</t>
  </si>
  <si>
    <t>Casos de prueba de los roles de usuarios</t>
  </si>
  <si>
    <t>Se hace el registro completo de los casos de pruebas del documento del módulo de usuarios</t>
  </si>
  <si>
    <t>Se continua con el análisis del documento de Modulo de usuarios para obtener casos de prueba previos a su ejecucicón</t>
  </si>
  <si>
    <t>Casos de prueba de los roles de usuarios en testlink</t>
  </si>
  <si>
    <t>Se termina de registrar en testlink los casos de prueba del documento de modulo de usuarios</t>
  </si>
  <si>
    <t>\\vcifs\tercerizado2023\Evidencias Tercerización 2023\Ingeniero de Prueba\Noviembre\Semana 3</t>
  </si>
  <si>
    <t>Incidencias del Modulo de inventarios</t>
  </si>
  <si>
    <t>Se da seguimiento de un correo del equipo de desarrollo sobre las incidencias registradas en mantis sobre el módulo de inventarios</t>
  </si>
  <si>
    <t>Carga de casos de prueba de roles de usuario</t>
  </si>
  <si>
    <t>Se termina el registro de casos de prueba de roles de usuario en la plataforma de testlink para su ejecución</t>
  </si>
  <si>
    <t>Nuevos casos de prueba del módulo de usuarios</t>
  </si>
  <si>
    <t>Se generan nuevos casos de prueba a traves de un documento nuevo sobre el módulo de usuarios</t>
  </si>
  <si>
    <t>Casos de prueba nuevos  usuarios</t>
  </si>
  <si>
    <t xml:space="preserve">Se continua con el registro en testlink los nuevos casos del módulo de usuarios </t>
  </si>
  <si>
    <t>Correo para pruebas de sistema de inventarios versión 2</t>
  </si>
  <si>
    <t>Se da seguimiento al correo de la nueva versión del sistema de inventarios para pruebas</t>
  </si>
  <si>
    <t>Ejecución de pruebas de la nueva versión del sistema de inventarios</t>
  </si>
  <si>
    <t>Se realizan las pruebas de la nueva versión del sistema de inventarios</t>
  </si>
  <si>
    <t>Ejecución de las pruebas del sistema de inventarios version 2</t>
  </si>
  <si>
    <t>Se terminan de realizar las pruebas de la versión dos del sistema de inventarios</t>
  </si>
  <si>
    <t>\\vcifs\tercerizado2023\Evidencias Tercerización 2023\Ingeniero de Prueba\Noviembre\Semana 4</t>
  </si>
  <si>
    <t>Documentación de evidencias después de las pruebas del sistema de inventarios</t>
  </si>
  <si>
    <t>Se documentan las evidencias del sistema de inventarios una vez finalizadas las pruebas</t>
  </si>
  <si>
    <t>Incidencias detectadas durante la ejecución de las pruebas de inventarios</t>
  </si>
  <si>
    <t>Se documentan las incidencias encontradas durantelas pruebas de la nueva versión del sistema de inventarios</t>
  </si>
  <si>
    <t>Liberación parcial de pruebas sistema de inventarios</t>
  </si>
  <si>
    <t xml:space="preserve">Se documenta y se genera el correo para la liberación parcial de pruebas de </t>
  </si>
  <si>
    <t>Nuevo análsis a los casos de prueba del módulo de usuarios</t>
  </si>
  <si>
    <t>Se analiza nueva documentación para casos de prueba del módulo de usuarios</t>
  </si>
  <si>
    <t>Prueba mediante matríz de roles para módulo de usuarios</t>
  </si>
  <si>
    <t>Se agregan los pasos para los casos del módulo de usuarios para realizar las pruebas</t>
  </si>
  <si>
    <t>Generación de pasos para casos de prueba en testlink</t>
  </si>
  <si>
    <t>Se agregan más pasos a los casos de prueba con base en la documentación entregada por parte del equipo de desarrollo</t>
  </si>
  <si>
    <t>\\vcifs\tercerizado2023\Evidencias Tercerización 2023\Ingeniero de Prueba\Noviembre\Semana 5</t>
  </si>
  <si>
    <t xml:space="preserve">Ingreso a sitios para realizar las pruebas </t>
  </si>
  <si>
    <t>Se da seguimiento a los enlaces entregados por parte de desarrollo para acceso al sitio del módulo de usuarios previo a las pruebas</t>
  </si>
  <si>
    <t>Documento de asignación de pruebas para el módulo de usuarios</t>
  </si>
  <si>
    <t>Casos de prueba previos al inicio de las pruebas del módulo de usuarios</t>
  </si>
  <si>
    <t>Se terminan de revisar los casos de prueba previos al inicio de la ejecución de las pruebas del módulo de usuarios</t>
  </si>
  <si>
    <t>Seguimiento y análisis a los casos de prueba previos al inicio de las pruebas del módulo de usuarios</t>
  </si>
  <si>
    <t>SAIMALG01</t>
  </si>
  <si>
    <t>SAIMALG02</t>
  </si>
  <si>
    <t>SAIMALG03</t>
  </si>
  <si>
    <t>SAIMALG104</t>
  </si>
  <si>
    <t>SAIMALG05</t>
  </si>
  <si>
    <t>SAIMALG06</t>
  </si>
  <si>
    <t>SPDMALG01</t>
  </si>
  <si>
    <t>SPDMALG02</t>
  </si>
  <si>
    <t>SPDMALG03</t>
  </si>
  <si>
    <t>SPDMALG04</t>
  </si>
  <si>
    <t>SPDMALG05</t>
  </si>
  <si>
    <t>SPDMALG06</t>
  </si>
  <si>
    <t>SPDMALG07</t>
  </si>
  <si>
    <t>SPDMALG08</t>
  </si>
  <si>
    <t>SPDMALG09</t>
  </si>
  <si>
    <t>SPDMALG10</t>
  </si>
  <si>
    <t>SPDMALG11</t>
  </si>
  <si>
    <t>SPDMALG12</t>
  </si>
  <si>
    <t>SPDMALG13</t>
  </si>
  <si>
    <t>SPDMALG14</t>
  </si>
  <si>
    <t>SPDMALG15</t>
  </si>
  <si>
    <t>SPDMALG16</t>
  </si>
  <si>
    <t>SPDMALG17</t>
  </si>
  <si>
    <t>Se revisa el documento de asignación de pruebas para el módulo de usuarios y se validan los casos asignados</t>
  </si>
  <si>
    <t>SPDMALG18</t>
  </si>
  <si>
    <t>Se expuso duda de procedimiento "OBTENER_SOLICITUDESXDIA"</t>
  </si>
  <si>
    <t>Se expuso duda de procedimiento "OBTENER_SOLICITUDESXDIA" ya que al no tener el campo para el NOMBRE no se sabe que manejar, se dejó solo el dato del TOTAL</t>
  </si>
  <si>
    <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t>
  </si>
  <si>
    <t>Se revisó estructura de tabla de Quejas</t>
  </si>
  <si>
    <t>https://ifai-my.sharepoint.com/personal/samuel_partida_inai_org_mx/_layouts/15/onedrive.aspx?ga=1&amp;id=%2Fpersonal%2Fsamuel%5Fpartida%5Finai%5Forg%5Fmx%2FDocuments%2FOPTIMIZAR%5FQUERYS%5FSISAI%5FSIGEMI%2FPACK%5FQUEJAS%5FESTADISTICAS%2Ezip&amp;parent=%2Fpersonal%2Fsamuel%5Fpartida%5Finai%5Forg%5Fmx%2FDocuments%2FOPTIMIZAR%5FQUERYS%5FSISAI%5FSIGEMI</t>
  </si>
  <si>
    <t>Se nos solicitó mejora en los procedimientos de banderas de Solicitudes</t>
  </si>
  <si>
    <t>Se nos solicitó que, para los procedimientos de Solicitudes, deben devolver 2 registros, independientemente de que tenga o no datos</t>
  </si>
  <si>
    <t>Se comenzó a trabajar en las consultas para mantener los 2 registros en todos los escenarios</t>
  </si>
  <si>
    <t>Se comenzó a trabajar en las consultas del 1er procedimiento de Solicitudes para ver opción de mantener los 2 registros en todos los escenarios</t>
  </si>
  <si>
    <t>Se modifico el procedimiento 'OBTENER_FG_PRORROGA' para dejar solamente 2 registros</t>
  </si>
  <si>
    <t>Se modifico el procedimiento 'OBTENER_FG_PRORROGA' para dejar solamente 2 registros, aunque solo funcionara cuando el registro de un tipo traia 1 registro solamente, no es solución completa</t>
  </si>
  <si>
    <t>Se tuvo sesión con Samuel para revisar la estructura de la tabla de Quejas</t>
  </si>
  <si>
    <t>Se valida que tenga acceso desde usuario BI a las tablas de catalogos</t>
  </si>
  <si>
    <t xml:space="preserve">Se valida que tenga acceso desde usuario BI a las tablas de catalogos como ''FEDERADO.FEDERADO_TC_ENTIDADFEDERATIVA'' </t>
  </si>
  <si>
    <t>Se definió el total de procedimientos</t>
  </si>
  <si>
    <t xml:space="preserve">Se definió el total de procedimientos y se le da un nombre a cada uno para comenzar a desarrollar el paquete </t>
  </si>
  <si>
    <t>Se trabajó en declarar los objetos de tipo TAB</t>
  </si>
  <si>
    <t>Se creó paquete de la BD 'BI.PACK_QUEJAS_ESTADISTICAS'</t>
  </si>
  <si>
    <t xml:space="preserve">Se creó paquete de la BD 'BI.PACK_QUEJAS_ESTADISTICAS' de forma general con su header y su body </t>
  </si>
  <si>
    <t>Se creó el esqueleto de los 9 procedimientos identificados</t>
  </si>
  <si>
    <t xml:space="preserve">Se creó el esqueleto de los 9 procedimientos identificados inicialmente con los parametros de entrada de los IDs de la tabla 'BI_IMPUGNACIONES_VWM_QUEJAS_ESTADISTICAS' y con su respectivo parametro de cursor para la salida </t>
  </si>
  <si>
    <t xml:space="preserve">Se construyó la consulta para tratar el 1er procedimiento 'OBTENER_ENTIDADFEDERATIVA' </t>
  </si>
  <si>
    <t xml:space="preserve">Se validó que la información que retorna la consulta sea la correcta </t>
  </si>
  <si>
    <t xml:space="preserve">Se validó que la información que retorna la consulta con los distintos parametros sea la correcta </t>
  </si>
  <si>
    <t>Se trabajó en el 1er procedimiento 'OBTENER_ENTIDADFEDERATIVA'</t>
  </si>
  <si>
    <t>Se trabajó en el 1er procedimiento 'OBTENER_ENTIDADFEDERATIVA' con sus respectivas variables TAB y con su consulta previamente validada, se compila sin errores</t>
  </si>
  <si>
    <t>Se validó el paquete-procedimiento 'OBTENER_ENTIDADFEDERATIVA' con el bloque anónimo correcto</t>
  </si>
  <si>
    <t xml:space="preserve">Se validó el paquete-procedimiento 'OBTENER_ENTIDADFEDERATIVA' con el bloque anónimo correcto y se tuvo un resultado exitoso con la salida del cursor completo </t>
  </si>
  <si>
    <t>Se tuvo sesión rapida con Samuel y Antonio para aclarar dudas sobre el 1er procedimiento</t>
  </si>
  <si>
    <t>Se actualizo el 1er procedimiento por el nombre correcto</t>
  </si>
  <si>
    <t xml:space="preserve">Se actualizo el 1er procedimiento por el nombre correcto 'BI.PACK_QUEJAS_ESTADISTICAS.OBTENER_MEDIOREGISTRO' </t>
  </si>
  <si>
    <t>Se validó el paquete-procedimiento 'OBTENER_MEDIOREGISTRO' con el bloque anónimo correcto</t>
  </si>
  <si>
    <t>Se validó el paquete-procedimiento 'OBTENER_MEDIOREGISTRO' con el bloque anónimo correcto y se tuvo un resultado exitoso con la salida del cursor completo</t>
  </si>
  <si>
    <t>Se le informó al equipo que ya esta esté 1er procedimiento para que lo revisen</t>
  </si>
  <si>
    <t xml:space="preserve">Se construyó la consulta para tratar el 2do procedimiento 'OBTENER_MEDIONOTIFICACION' </t>
  </si>
  <si>
    <t>Se trabajó en el 2do procedimiento 'OBTENER_MEDIONOTIFICACION', se compila sin errores</t>
  </si>
  <si>
    <t>Se trabajó en el 2do procedimiento 'OBTENER_MEDIONOTIFICACION' con sus respectivas variables TAB y con su consulta previamente validada, se compila sin errores</t>
  </si>
  <si>
    <t>Se validó el paquete-procedimiento 'OBTENER_MEDIONOTIFICACION' con el bloque anónimo correcto</t>
  </si>
  <si>
    <t xml:space="preserve">Se validó el paquete-procedimiento 'OBTENER_MEDIONOTIFICACION' con el bloque anónimo correcto y se tuvo un resultado exitoso con la salida del cursor completo </t>
  </si>
  <si>
    <t>Se le informó al equipo que ya esta esté 2do procedimiento</t>
  </si>
  <si>
    <t>Se expuso duda sobre el 3er procedimiento</t>
  </si>
  <si>
    <t xml:space="preserve">Se expuso duda sobre el 3er procedimiento ya que hay que considerar los ID_STATUS mas usados, los 9 más usados ya que tomo esa validación de la tabla 'IMPUGNACIONES.MEDI_TR_MEDIO_IMPUGNACION' </t>
  </si>
  <si>
    <t xml:space="preserve">Se construyó la consulta para tratar el 3er procedimiento 'OBTENER_TIPOSTATUS' </t>
  </si>
  <si>
    <t>Se trabajó en el 3er procedimiento 'OBTENER_TIPOSTATUS'</t>
  </si>
  <si>
    <t xml:space="preserve">Se trabajó en el 3er procedimiento 'OBTENER_TIPOSTATUS' con sus respectivas variables TAB y con su consulta previamente validada, se compila sin errores </t>
  </si>
  <si>
    <t>Se validó el paquete-procedimiento 'OBTENER_TIPOSTATUS' con el bloque anónimo correcto</t>
  </si>
  <si>
    <t xml:space="preserve">Se validó el paquete-procedimiento 'OBTENER_TIPOSTATUS' con el bloque anónimo correcto y se tuvo un resultado exitoso con la salida del cursor completo </t>
  </si>
  <si>
    <t>Se le informó al equipo que ya esta esté 3er procedimiento</t>
  </si>
  <si>
    <t xml:space="preserve">Se construyó la consulta para tratar el 4to procedimiento 'OBTENER_TIPOMEDIOIMPUGNACION' </t>
  </si>
  <si>
    <t>Se validó que la información que retorna la consulta</t>
  </si>
  <si>
    <t>Se validó el paquete-procedimiento 'OBTENER_TIPOMEDIOIMPUGNACION' con el bloque anónimo correcto</t>
  </si>
  <si>
    <t xml:space="preserve">Se validó el paquete-procedimiento 'OBTENER_TIPOMEDIOIMPUGNACION' con el bloque anónimo correcto y se tuvo un resultado exitoso con la salida del cursor completo </t>
  </si>
  <si>
    <t>Se le informó al equipo que ya esta esté 4to procedimiento para que lo revisen</t>
  </si>
  <si>
    <t>Se construyó la consulta para tratar el 5to procedimiento 'OBTENER_FG_AMPLIADO'</t>
  </si>
  <si>
    <t>Se trabajó en el 5to procedimiento 'OBTENER_FG_AMPLIADO'</t>
  </si>
  <si>
    <t>Se trabajó en el 5to procedimiento 'OBTENER_FG_AMPLIADO' con sus respectivas variables TAB y con su consulta previamente validada, se compila sin errores</t>
  </si>
  <si>
    <t>Se validó el paquete-procedimiento 'OBTENER_FG_AMPLIADO' con el bloque anónimo correcto</t>
  </si>
  <si>
    <t xml:space="preserve">Se validó el paquete-procedimiento 'OBTENER_FG_AMPLIADO' con el bloque anónimo correcto y se tuvo un resultado exitoso con la salida del cursor completo </t>
  </si>
  <si>
    <t>Se le informó al equipo que ya esta esté 5to procedimiento para que lo revisen</t>
  </si>
  <si>
    <t>Se construyó la consulta para tratar el 6to procedimiento 'OBTENER_FG_ADMITIDO'</t>
  </si>
  <si>
    <t>Se trabajó en el 6to procedimiento 'OBTENER_FG_ADMITIDO'</t>
  </si>
  <si>
    <t xml:space="preserve">Se trabajó en el 6to procedimiento 'OBTENER_FG_ADMITIDO' con sus respectivas variables TAB y con su consulta previamente validada, se compila sin errores </t>
  </si>
  <si>
    <t>Se validó el paquete-procedimiento 'OBTENER_FG_ADMITIDO' con el bloque anónimo correcto</t>
  </si>
  <si>
    <t xml:space="preserve">Se validó el paquete-procedimiento 'OBTENER_FG_ADMITIDO' con el bloque anónimo correcto y se tuvo un resultado exitoso con la salida del cursor completo </t>
  </si>
  <si>
    <t>Se le informó al equipo que ya esta esté 6to procedimiento para que lo revisen</t>
  </si>
  <si>
    <t>Se construyó la consulta para tratar el 7mo procedimiento 'OBTENER_FG_PREVENIDO'</t>
  </si>
  <si>
    <t>Se trabajó en el 7mo procedimiento 'OBTENER_FG_PREVENIDO'</t>
  </si>
  <si>
    <t xml:space="preserve">Se trabajó en el 7mo procedimiento 'OBTENER_FG_PREVENIDO' con sus respectivas variables TAB y con su consulta previamente validada, se compila sin errores </t>
  </si>
  <si>
    <t>Se validó el paquete-procedimiento 'OBTENER_FG_PREVENIDO' con el bloque anónimo correcto</t>
  </si>
  <si>
    <t xml:space="preserve">Se validó el paquete-procedimiento 'OBTENER_FG_PREVENIDO' con el bloque anónimo correcto y se tuvo un resultado exitoso con la salida del cursor completo </t>
  </si>
  <si>
    <t>Se le informó al equipo que ya esta esté 7mo procedimiento para que lo revisen</t>
  </si>
  <si>
    <t xml:space="preserve">Se construyó la consulta para tratar el 8vo procedimiento 'OBTENER_FG_DESECHADO' </t>
  </si>
  <si>
    <t>Se trabajó en el 8vo procedimiento 'OBTENER_FG_DESECHADO'</t>
  </si>
  <si>
    <t>Se trabajó en el 8vo procedimiento 'OBTENER_FG_DESECHADO' con sus respectivas variables TAB y con su consulta previamente validada, se compila sin errores</t>
  </si>
  <si>
    <t>Se validó el paquete-procedimiento 'OBTENER_FG_DESECHADO' con el bloque anónimo correcto</t>
  </si>
  <si>
    <t xml:space="preserve">Se validó el paquete-procedimiento 'OBTENER_FG_DESECHADO' con el bloque anónimo correcto y se tuvo un resultado exitoso con la salida del cursor completo </t>
  </si>
  <si>
    <t>Se le informó al equipo que ya esta esté 8vo procedimiento para que lo revisen</t>
  </si>
  <si>
    <t xml:space="preserve">Se construyó la consulta para tratar el 9no procedimiento 'OBTENER_FECHAINTERPOSICION' </t>
  </si>
  <si>
    <t xml:space="preserve">Se trabajó en el 9no procedimiento 'OBTENER_FECHAINTERPOSICION' </t>
  </si>
  <si>
    <t xml:space="preserve">Se trabajó en el 9no procedimiento 'OBTENER_FECHAINTERPOSICION' con sus respectivas variables TAB y con su consulta previamente validada, se compila sin errores </t>
  </si>
  <si>
    <t>Se validó el paquete-procedimiento 'OBTENER_FECHAINTERPOSICION' con el bloque anónimo correcto</t>
  </si>
  <si>
    <t>Se validó el paquete-procedimiento 'OBTENER_FECHAINTERPOSICION' con el bloque anónimo correcto y se tuvo un resultado exitoso con la salida del cursor completo</t>
  </si>
  <si>
    <t>Se comparten nuevas tablas de los Catalogos a considerar para considerar en los Procedimiento</t>
  </si>
  <si>
    <t xml:space="preserve">Se actualizo nuevo catálogo en procedimiento 'OBTENER_MEDIOREGISTRO' de Quejas </t>
  </si>
  <si>
    <t xml:space="preserve">Se actualizo nuevo catálogo en procedimiento 'OBTENER_MEDIONOTIFICACION' de Quejas </t>
  </si>
  <si>
    <t xml:space="preserve">Se actualizo nuevo catálogo en procedimiento 'OBTENER_TIPOMEDIOIMPUGNACION' de Quejas </t>
  </si>
  <si>
    <t>Se le informó al equipo que ya estan las actualizaciones de los 3 procedimientos de Quejas</t>
  </si>
  <si>
    <t xml:space="preserve">Se revisó estructura de tabla de Resoluciones 'BI.IMPUGNACIONES_VWM_RESOLUCIONES_ESTADISTICAS' </t>
  </si>
  <si>
    <t>https://ifai-my.sharepoint.com/personal/samuel_partida_inai_org_mx/_layouts/15/onedrive.aspx?ga=1&amp;id=%2Fpersonal%2Fsamuel%5Fpartida%5Finai%5Forg%5Fmx%2FDocuments%2FOPTIMIZAR%5FQUERYS%5FSISAI%5FSIGEMI%2FPACK%5FRESOLUCIONES%5FESTADISTICAS%2Ezip&amp;parent=%2Fpersonal%2Fsamuel%5Fpartida%5Finai%5Forg%5Fmx%2FDocuments%2FOPTIMIZAR%5FQUERYS%5FSISAI%5FSIGEMI</t>
  </si>
  <si>
    <t>Se tuvo sesión con Samuel para revisar la estructura de la tabla de Resoluciones</t>
  </si>
  <si>
    <t xml:space="preserve">Se trabajó en declarar los objetos de tipo TAB en el 1er procedimiento </t>
  </si>
  <si>
    <t>Se creó paquete de la BD 'BI.PACK_RESOLUCIONES_ESTADISTICAS'</t>
  </si>
  <si>
    <t>Se creó paquete de la BD 'BI.PACK_RESOLUCIONES_ESTADISTICAS' de forma general con su header y su body</t>
  </si>
  <si>
    <t>Se creó el esqueleto de los 7 procedimientos identificados de la tabla 'IMPUGNACIONES_VWM_RESOLUCIONES_ESTADISTICAS'</t>
  </si>
  <si>
    <t xml:space="preserve">Se creó el esqueleto de los 7 procedimientos identificados inicialmente con los parametros de entrada de los IDs de la tabla 'IMPUGNACIONES_VWM_RESOLUCIONES_ESTADISTICAS' y con su respectivo parametro de cursor para la salida </t>
  </si>
  <si>
    <t xml:space="preserve">Se construyó la consulta para tratar el 1er procedimiento 'OBTENER_MEDIOREGISTRO' </t>
  </si>
  <si>
    <t>Se trabajó en el 1er procedimiento 'OBTENER_MEDIOREGISTRO'</t>
  </si>
  <si>
    <t xml:space="preserve">Se trabajó en el 1er procedimiento 'OBTENER_MEDIOREGISTRO' con sus respectivas variables TAB y con su consulta previamente validada, se compila sin errores </t>
  </si>
  <si>
    <t xml:space="preserve">Se validó el paquete-procedimiento 'OBTENER_MEDIOREGISTRO' con el bloque anónimo correcto y se tuvo un resultado exitoso con la salida del cursor completo </t>
  </si>
  <si>
    <t>Se construyó la consulta para tratar el 2do procedimiento 'OBTENER_MEDIONOTIFICACION'</t>
  </si>
  <si>
    <t>Se trabajó en el 2do procedimiento 'OBTENER_MEDIONOTIFICACION'</t>
  </si>
  <si>
    <t>Se validó el paquete-procedimiento 'OBTENER_MEDIONOTIFICACION'</t>
  </si>
  <si>
    <t>Se construyó la consulta para tratar el 3er procedimiento 'OBTENER_TIPOMEDIO'</t>
  </si>
  <si>
    <t>Se trabajó en el 3er procedimiento 'OBTENER_TIPOMEDIO'</t>
  </si>
  <si>
    <t xml:space="preserve">Se trabajó en el 3er procedimiento 'OBTENER_TIPOMEDIO' con sus respectivas variables TAB y con su consulta previamente validada, se compila sin errores </t>
  </si>
  <si>
    <t>Se validó el paquete-procedimiento 'OBTENER_TIPOMEDIO' con el bloque anónimo correcto</t>
  </si>
  <si>
    <t>Se validó el paquete-procedimiento 'OBTENER_TIPOMEDIO' con el bloque anónimo correcto y se tuvo un resultado exitoso con la salida del cursor completo</t>
  </si>
  <si>
    <t>Se le informó al equipo que ya esta esté 3er procedimiento para que lo revisen</t>
  </si>
  <si>
    <t xml:space="preserve">Se construyó la consulta para tratar el 4to procedimiento 'OBTENER_FGTIENEINSTRUCCION' </t>
  </si>
  <si>
    <t>Se trabajó en el 4to procedimiento 'OBTENER_FGTIENEINSTRUCCION'</t>
  </si>
  <si>
    <t xml:space="preserve">Se trabajó en el 4to procedimiento 'OBTENER_FGTIENEINSTRUCCION' con sus respectivas variables TAB y con su consulta previamente validada, se compila sin errores </t>
  </si>
  <si>
    <t>Se validó el paquete-procedimiento 'OBTENER_FGTIENEINSTRUCCION' con el bloque anónimo correcto</t>
  </si>
  <si>
    <t xml:space="preserve">Se validó el paquete-procedimiento 'OBTENER_FGTIENEINSTRUCCION' con el bloque anónimo correcto y se tuvo un resultado exitoso con la salida del cursor completo </t>
  </si>
  <si>
    <t xml:space="preserve">Se construyó la consulta para tratar el 5to procedimiento 'OBTENER_SENTIDORESOLUCION' </t>
  </si>
  <si>
    <t>Se trabajó en el 5to procedimiento 'OBTENER_SENTIDORESOLUCION'</t>
  </si>
  <si>
    <t xml:space="preserve">Se trabajó en el 5to procedimiento 'OBTENER_SENTIDORESOLUCION' con sus respectivas variables TAB y con su consulta previamente validada, se compila sin errores </t>
  </si>
  <si>
    <t>Se validó el paquete-procedimiento 'OBTENER_SENTIDORESOLUCION' con el bloque anónimo correcto</t>
  </si>
  <si>
    <t xml:space="preserve">Se validó el paquete-procedimiento 'OBTENER_SENTIDORESOLUCION' con el bloque anónimo correcto y se tuvo un resultado exitoso con la salida del cursor completo </t>
  </si>
  <si>
    <t xml:space="preserve">Se construyó la consulta para tratar el 6to procedimiento 'OBTENER_FECHANOTIFICACIONRESOLUCION' </t>
  </si>
  <si>
    <t>Se trabajó en el 6to procedimiento 'OBTENER_FECHANOTIFICACIONRESOLUCION'</t>
  </si>
  <si>
    <t>Se trabajó en el 6to procedimiento 'OBTENER_FECHANOTIFICACIONRESOLUCION' con sus respectivas variables TAB y con su consulta previamente validada, se compila sin errores</t>
  </si>
  <si>
    <t xml:space="preserve">Se validó el paquete-procedimiento 'OBTENER_FECHANOTIFICACIONRESOLUCION' con el bloque anónimo correcto y se tuvo un resultado exitoso con la salida del cursor completo </t>
  </si>
  <si>
    <t xml:space="preserve">Se comentó que se tienen que agrerar 2 nuevos procedimientos en los paquetes de Solicitudes y Quejas </t>
  </si>
  <si>
    <t xml:space="preserve">Se construyó la consulta para tratar el 13vo procedimiento 'OBTENER_FG_QUEJA' de SOLICITUDES </t>
  </si>
  <si>
    <t>Se trabajó en el 13vo procedimiento 'OBTENER_FG_QUEJA'</t>
  </si>
  <si>
    <t>Se trabajó en el 13vo procedimiento 'OBTENER_FG_QUEJA' con sus respectivas variables TAB y con su consulta previamente validada, se compila sin errores</t>
  </si>
  <si>
    <t>Se validó el paquete-procedimiento 'OBTENER_FG_QUEJA' con el bloque anónimo correcto</t>
  </si>
  <si>
    <t xml:space="preserve">Se validó el paquete-procedimiento 'OBTENER_FG_QUEJA' con el bloque anónimo correcto y se tuvo un resultado exitoso con la salida del cursor completo </t>
  </si>
  <si>
    <t>Se le informó al equipo que ya esta esté 13vo procedimiento para que lo revisen</t>
  </si>
  <si>
    <t xml:space="preserve">Se construyó la consulta para tratar el 10mo procedimiento 'OBTENER_FG_RESOLUCION' de QUEJAS </t>
  </si>
  <si>
    <t>Se trabajó en el 10mo procedimiento 'OBTENER_FG_RESOLUCION'</t>
  </si>
  <si>
    <t xml:space="preserve">Se trabajó en el 10mo procedimiento 'OBTENER_FG_RESOLUCION' con sus respectivas variables TAB y con su consulta previamente validada, se compila sin errores </t>
  </si>
  <si>
    <t>Se validó el paquete-procedimiento 'OBTENER_FG_RESOLUCION' con el bloque anónimo correcto</t>
  </si>
  <si>
    <t>Se validó el paquete-procedimiento 'OBTENER_FG_RESOLUCION' con el bloque anónimo correcto y se tuvo un resultado exitoso con la salida del cursor completo</t>
  </si>
  <si>
    <t>Se nos compartió cambio en 3 tablas de los procesos con campo 'FECHA_ACTUALIZACION'</t>
  </si>
  <si>
    <t xml:space="preserve">Se nos compartió que en las 3 tablas de los procesos ya se tiene el campo 'FECHA_ACTUALIZACION', se preguntó si tendría algún cambio para aplicar a los procedimientos o no </t>
  </si>
  <si>
    <t>Se confirmo que No habría cambios a aplicar por esta fecha recientemente agregada</t>
  </si>
  <si>
    <t xml:space="preserve">Se confirmo que No habría cambios a aplicar por esta fecha recientemente agregada de 'FECHA_ACTUALIZACION' </t>
  </si>
  <si>
    <t xml:space="preserve">Se trabajo en la solución de manejar 2 registros siempre en el caso de los procedimientos de las banderas </t>
  </si>
  <si>
    <t>Se creo el algoritmo como tipo prueba de escritorio para diseñar la solución</t>
  </si>
  <si>
    <t xml:space="preserve">Se creo el algoritmo como tipo prueba de escritorio para diseñar la solución de los casos condicionales de como ira componiéndose la solución </t>
  </si>
  <si>
    <t>Se define logica de consultas para el diseño de la solución</t>
  </si>
  <si>
    <t xml:space="preserve">Se define que una primer consulta determinara si la consulta trae 0, 1 o 2 registros, dependiendo del resultado de esta primer consulta se tendra una consulta resultante </t>
  </si>
  <si>
    <t>Se continua definiendo logica interna de solución</t>
  </si>
  <si>
    <t xml:space="preserve">Se define que, si el resultado fue 2, se tendra una consulta completa con la seguridad que esa información siempre tendra ambos estatus (0 y 1) y siempre se mostraran 2 valores </t>
  </si>
  <si>
    <t xml:space="preserve">Se define que, si el resultado fue 1, se maneja otra consulta para determinar el valor de la BANDERA que puede ser a su vez 0 o 1, y dependiendo de cada uno de esos valores se tendra finalmente una consulta que retorna 1 solo valor con la bandera en cuestión con su respectivo UNION del registro faltante con total de 0 y viceversa </t>
  </si>
  <si>
    <t xml:space="preserve">Se define si el resultado fue 0 se tendra consulta por defecto que es una unión de 2 consultas con total igual a 0 </t>
  </si>
  <si>
    <t>Se integran todas las consultas en el paquete como solución</t>
  </si>
  <si>
    <t xml:space="preserve">Se integran todas las consultas en el paquete y se va tratando cuando sea sql dinamico con valores de TAB o con retorno de valor en variable dependiendo de que se va a evaluar o retornar </t>
  </si>
  <si>
    <t>Se trataron los errores encontrados</t>
  </si>
  <si>
    <t xml:space="preserve">Se trataron los errores que se encuentran para poder compilar el paquete de forma correcta </t>
  </si>
  <si>
    <t>Se trabajó en el 7mo procedimiento 'OBTENER_COMISIONADO'</t>
  </si>
  <si>
    <t>Se trabajó en el 7mo procedimiento 'OBTENER_COMISIONADO' con sus respectivas variables TAB y con su consulta previamente validada, se compila sin erro</t>
  </si>
  <si>
    <t>Se validó el paquete-procedimiento 'OBTENER_COMISIONADO' con el bloque anónimo correcto</t>
  </si>
  <si>
    <t xml:space="preserve">Se validó el paquete-procedimiento 'OBTENER_COMISIONADO' con el bloque anónimo correcto y se tuvo un resultado exitoso con la salida del cursor completo </t>
  </si>
  <si>
    <t>Se construyeron las distintas consultas para tratar el 7mo procedimiento de banderas 'OBTENER_FG_PREVENCION'</t>
  </si>
  <si>
    <t xml:space="preserve">Se construyeron las distintas consultas para tratar el 7mo procedimiento de banderas 'OBTENER_FG_PREVENCION' de SOLICITUDES, para tratar los condicionales </t>
  </si>
  <si>
    <t xml:space="preserve">Se validó que la información que retorna de las distintas consultas con los distintos parametros sea la correcta </t>
  </si>
  <si>
    <t>Se trabajó con los ajustes del 7mo procedimiento de banderas 'OBTENER_FG_PREVENCION'</t>
  </si>
  <si>
    <t xml:space="preserve">Se trabajó con los ajustes del 7mo procedimiento de banderas 'OBTENER_FG_PREVENCION', con las consultas necesarias de las condicionantes previamente validadas, se compila sin errores </t>
  </si>
  <si>
    <t xml:space="preserve">Se validó el paquete-procedimiento 'OBTENER_FG_PREVENCION' con el bloque anónimo correcto y se tuvo un resultado exitoso con la salida del cursor completo </t>
  </si>
  <si>
    <t>Se le informó al equipo que ya estan los ajustes para el 7mo procedimiento de banderas 'OBTENER_FG_PREVENCION',para que lo revisen</t>
  </si>
  <si>
    <t>Se construyeron las distintas consultas para tratar el 8vo procedimiento de banderas 'OBTENER_FG_DISPONIBILIDAD'</t>
  </si>
  <si>
    <t xml:space="preserve">Se construyeron las distintas consultas para tratar el 8vo procedimiento de banderas 'OBTENER_FG_DISPONIBILIDAD' de SOLICITUDES, para tratar los condicionales </t>
  </si>
  <si>
    <t>Se trabajó con los ajustes del 8vo procedimiento de banderas 'OBTENER_FG_DISPONIBILIDAD'</t>
  </si>
  <si>
    <t xml:space="preserve">Se trabajó con los ajustes del 8vo procedimiento de banderas 'OBTENER_FG_DISPONIBILIDAD', con las consultas necesarias de las condicionantes previamente validadas, se compila sin errores </t>
  </si>
  <si>
    <t xml:space="preserve">Se validó el paquete-procedimiento 'OBTENER_FG_DISPONIBILIDAD' con el bloque anónimo correcto y se tuvo un resultado exitoso con la salida del cursor completo </t>
  </si>
  <si>
    <t>Se le informó al equipo que ya estan los ajustes para el 8vo procedimiento de banderas 'OBTENER_FG_DISPONIBILIDAD',para que lo revisen</t>
  </si>
  <si>
    <t>Se construyeron las distintas consultas para tratar el 13vo procedimiento de banderas 'OBTENER_FG_QUEJA'</t>
  </si>
  <si>
    <t xml:space="preserve">Se construyeron las distintas consultas para tratar el 13vo procedimiento de banderas 'OBTENER_FG_QUEJA' de SOLICITUDES, para tratar los condicionales </t>
  </si>
  <si>
    <t xml:space="preserve">Se validó que la información que retorna de las distintas consultas con los distintos parametros sea la correcta - </t>
  </si>
  <si>
    <t>Se trabajó con los ajustes del 13vo procedimiento de banderas 'OBTENER_FG_QUEJA'</t>
  </si>
  <si>
    <t>Se trabajó con los ajustes del 13vo procedimiento de banderas 'OBTENER_FG_QUEJA', con las consultas necesarias de las condicionantes previamente validadas, se compila sin errores</t>
  </si>
  <si>
    <t>Se construyeron las distintas consultas para tratar el 5to procedimiento de banderas 'OBTENER_FG_AMPLIADO'</t>
  </si>
  <si>
    <t xml:space="preserve">Se construyeron las distintas consultas para tratar el 5to procedimiento de banderas 'OBTENER_FG_AMPLIADO' de QUEJAS, para tratar los condicionales </t>
  </si>
  <si>
    <t>Se trabajó con los ajustes del 5to procedimiento de banderas 'OBTENER_FG_AMPLIADO'</t>
  </si>
  <si>
    <t>Se trabajó con los ajustes del 5to procedimiento de banderas 'OBTENER_FG_AMPLIADO', con las consultas necesarias de las condicionantes previamente validadas, se compila sin errores</t>
  </si>
  <si>
    <t>Se le informó al equipo que ya estan los ajustes para el 5to procedimiento de banderas 'OBTENER_FG_AMPLIADO',para que lo revisen</t>
  </si>
  <si>
    <t>Se construyeron las distintas consultas para tratar el 6to procedimiento de banderas 'OBTENER_FG_ADMITIDO'</t>
  </si>
  <si>
    <t>Se construyeron las distintas consultas para tratar el 6to procedimiento de banderas 'OBTENER_FG_ADMITIDO' de QUEJAS, para tratar los condicionales</t>
  </si>
  <si>
    <t>Se trabajó con los ajustes del 6to procedimiento de banderas 'OBTENER_FG_ADMITIDO'</t>
  </si>
  <si>
    <t xml:space="preserve">Se trabajó con los ajustes del 6to procedimiento de banderas 'OBTENER_FG_ADMITIDO', con las consultas necesarias de las condicionantes previamente validadas, se compila sin errores </t>
  </si>
  <si>
    <t>Se construyerón las distintas consultas para tratar el 7mo procedimiento de banderas 'OBTENER_FG_PREVENIDO' de QUEJAS</t>
  </si>
  <si>
    <t>Se construyerón las distintas consultas para tratar el 7mo procedimiento de banderas 'OBTENER_FG_PREVENIDO' de QUEJAS, para tratar los condicionales</t>
  </si>
  <si>
    <t>Se construyeron las distintas consultas para tratar el 8vo procedimiento de banderas 'OBTENER_FG_DESECHADO'</t>
  </si>
  <si>
    <t xml:space="preserve">Se construyeron las distintas consultas para tratar el 8vo procedimiento de banderas 'OBTENER_FG_DESECHADO' de QUEJAS, para tratar los condicionales </t>
  </si>
  <si>
    <t>Se validó que la información que retorna de las distintas consultas con los distintos parametros sea la correcta</t>
  </si>
  <si>
    <t>Se trabajó con los ajustes del 8vo procedimiento de banderas 'OBTENER_FG_DESECHADO'</t>
  </si>
  <si>
    <t xml:space="preserve">Se trabajó con los ajustes del 8vo procedimiento de banderas 'OBTENER_FG_DESECHADO', con las consultas necesarias de las condicionantes previamente validadas, se compila sin errores </t>
  </si>
  <si>
    <t>Se construyeron las distintas consultas para tratar el 4to procedimiento de banderas 'OBTENER_FGTIENEINSTRUCCION' de QUEJAS</t>
  </si>
  <si>
    <t>Se trabajó con los ajustes del 4to procedimiento de banderas 'OBTENER_FGTIENEINSTRUCCION'</t>
  </si>
  <si>
    <t xml:space="preserve">Se trabajó con los ajustes del 4to procedimiento de banderas 'OBTENER_FGTIENEINSTRUCCION', con las consultas necesarias de las condicionantes previamente validadas, se compila sin errores </t>
  </si>
  <si>
    <t>Se le informó al equipo que ya estan los ajustes para el 4to procedimiento de banderas 'OBTENER_FGTIENEINSTRUCCION',para que lo revisen</t>
  </si>
  <si>
    <t>Se le proporciono bloque anónimo para ejecutar procedimientos de bandera a equipo</t>
  </si>
  <si>
    <t xml:space="preserve">Se le proporciono bloque anónimo para ejecutar procedimientos de bandera a equipo para que puedan validar los cambios aplicados </t>
  </si>
  <si>
    <t xml:space="preserve">Se detecto cambio en vista de 'BI.SISAI_VWM_SOLICITUDES_ESTADISTICAS' ya que el campo de 'ID_ULTIMA_RESPUESTA' ya cambio por 'ID_TIPO_RESPUESTA' </t>
  </si>
  <si>
    <t xml:space="preserve">Se reconstruyeron las consultas del 1er procedimiento de 'OBTENER_TIPO_SOLICITUD' de SOLICITUDES </t>
  </si>
  <si>
    <t>Se trabajó con los ajustes del 1er procedimiento de 'OBTENER_TIPO_SOLICITUD', con el cambio del campo actualizado</t>
  </si>
  <si>
    <t xml:space="preserve">Se trabajó con los ajustes del 1er procedimiento de 'OBTENER_TIPO_SOLICITUD', con el cambio del campo actualizado en la vista materializada, se compila sin errores </t>
  </si>
  <si>
    <t xml:space="preserve">Se validó el paquete-procedimiento 'OBTENER_TIPO_SOLICITUD' con el bloque anónimo correcto y se tuvo un resultado exitoso con la salida del cursor completo de nuevo </t>
  </si>
  <si>
    <t xml:space="preserve">Se reconstruyeron las consultas del 2do procedimiento de 'OBTENER_DERECHO_DP' de SOLICITUDES </t>
  </si>
  <si>
    <t>Se trabajó con los ajustes del 2do procedimiento de 'OBTENER_DERECHO_DP', con el cambio del campo actualizado</t>
  </si>
  <si>
    <t xml:space="preserve">Se trabajó con los ajustes del 2do procedimiento de 'OBTENER_DERECHO_DP', con el cambio del campo actualizado en la vista materializada, se compila sin errores </t>
  </si>
  <si>
    <t xml:space="preserve">Se validó el paquete-procedimiento 'OBTENER_DERECHO_DP' con el bloque anónimo correcto y se tuvo un resultado exitoso con la salida del cursor completo de nuevo </t>
  </si>
  <si>
    <t xml:space="preserve">Se reconstruyeron las consultas del 3er procedimiento de 'OBTENER_MEDIO_ENTRADA' de SOLICITUDES </t>
  </si>
  <si>
    <t>Se trabajó con los ajustes del 3er procedimiento de 'OBTENER_MEDIO_ENTRADA', con el cambio del campo actualizado</t>
  </si>
  <si>
    <t xml:space="preserve">Se trabajó con los ajustes del 3er procedimiento de 'OBTENER_MEDIO_ENTRADA', con el cambio del campo actualizado en la vista materializada, se compila sin errores </t>
  </si>
  <si>
    <t xml:space="preserve">Se validó el paquete-procedimiento 'OBTENER_MEDIO_ENTRADA' con el bloque anónimo correcto y se tuvo un resultado exitoso con la salida del cursor completo de nuevo </t>
  </si>
  <si>
    <t xml:space="preserve">Se reconstruyeron las consultas del 4to procedimiento de 'OBTENER_MODALIDAD_ENTREGA' de SOLICITUDES </t>
  </si>
  <si>
    <t>Se trabajó con los ajustes del 4to procedimiento de 'OBTENER_MODALIDAD_ENTREGA', con el cambio del campo actualizado</t>
  </si>
  <si>
    <t xml:space="preserve">Se trabajó con los ajustes del 4to procedimiento de 'OBTENER_MODALIDAD_ENTREGA', con el cambio del campo actualizado en la vista materializada, se compila sin errores </t>
  </si>
  <si>
    <t xml:space="preserve">Se validó el paquete-procedimiento 'OBTENER_MODALIDAD_ENTREGA' con el bloque anónimo correcto y se tuvo un resultado exitoso con la salida del cursor completo de nuevo </t>
  </si>
  <si>
    <t xml:space="preserve">Se reconstruyeron las consultas del 5to procedimiento de 'OBTENER_RECIBO_NOTIFICACION' de SOLICITUDES </t>
  </si>
  <si>
    <t>Se trabajó con los ajustes del 5to procedimiento de 'OBTENER_RECIBO_NOTIFICACION', con el cambio del campo actualizado</t>
  </si>
  <si>
    <t xml:space="preserve">Se trabajó con los ajustes del 5to procedimiento de 'OBTENER_RECIBO_NOTIFICACION', con el cambio del campo actualizado en la vista materializada, se compila sin errores </t>
  </si>
  <si>
    <t xml:space="preserve">Se validó el paquete-procedimiento 'OBTENER_RECIBO_NOTIFICACION' con el bloque anónimo correcto </t>
  </si>
  <si>
    <t xml:space="preserve">Se validó el paquete-procedimiento 'OBTENER_RECIBO_NOTIFICACION' con el bloque anónimo correcto y se tuvo un resultado exitoso con la salida del cursor completo de nuevo </t>
  </si>
  <si>
    <t xml:space="preserve">Se reconstruyeron las consultas del 6to procedimiento de 'OBTENER_FG_PRORROGA' de SOLICITUDES </t>
  </si>
  <si>
    <t>Se trabajó con los ajustes del 6to procedimiento de 'OBTENER_FG_PRORROGA', con el cambio del campo actualizado</t>
  </si>
  <si>
    <t xml:space="preserve">Se trabajó con los ajustes del 6to procedimiento de 'OBTENER_FG_PRORROGA', con el cambio del campo actualizado en la vista materializada, se compila sin errores </t>
  </si>
  <si>
    <t xml:space="preserve">Se validó el paquete-procedimiento 'OBTENER_FG_PRORROGA' con el bloque anónimo correcto y se tuvo un resultado exitoso con la salida del cursor completo de nuevo </t>
  </si>
  <si>
    <t xml:space="preserve">Se reconstruyeron las consultas del 7mo procedimiento de 'OBTENER_FG_PREVENCION' de SOLICITUDES </t>
  </si>
  <si>
    <t xml:space="preserve">Se validó el paquete-procedimiento 'OBTENER_FG_PREVENCION' con el bloque anónimo correcto y se tuvo un resultado exitoso con la salida del cursor completo de nuevo </t>
  </si>
  <si>
    <t xml:space="preserve">Se reconstruyeron las consultas del 8vo procedimiento de 'OBTENER_FG_DISPONIBILIDAD' de SOLICITUDES </t>
  </si>
  <si>
    <t>Se trabajó con los ajustes del 8vo procedimiento de 'OBTENER_FG_DISPONIBILIDAD', con el cambio del campo actualizado</t>
  </si>
  <si>
    <t xml:space="preserve">Se trabajó con los ajustes del 8vo procedimiento de 'OBTENER_FG_DISPONIBILIDAD', con el cambio del campo actualizado en la vista materializada, se compila sin errores </t>
  </si>
  <si>
    <t>Se validó el paquete-procedimiento 'OBTENER_FG_DISPONIBILIDAD' con el bloque anónimo correcto y se tuvo un resultado exitoso</t>
  </si>
  <si>
    <t xml:space="preserve">Se validó el paquete-procedimiento 'OBTENER_FG_DISPONIBILIDAD' con el bloque anónimo correcto y se tuvo un resultado exitoso con la salida del cursor completo de nuevo </t>
  </si>
  <si>
    <t xml:space="preserve">Se reconstruyeron las consultas del 9no procedimiento de 'OBTENER_ULTIMA_RESPUESTA' de SOLICITUDES </t>
  </si>
  <si>
    <t>Se trabajó con los ajustes del 9no procedimiento de 'OBTENER_ULTIMA_RESPUESTA', con el cambio del campo actualizado</t>
  </si>
  <si>
    <t xml:space="preserve">Se trabajó con los ajustes del 9no procedimiento de 'OBTENER_ULTIMA_RESPUESTA', con el cambio del campo actualizado en la vista materializada, se compila sin errores </t>
  </si>
  <si>
    <t xml:space="preserve">Se reconstruyeron las consultas del 10mo procedimiento de 'OBTENER_SOLICITUDESXDIA' de SOLICITUDES </t>
  </si>
  <si>
    <t>Se trabajó con los ajustes del 10mo procedimiento de 'OBTENER_SOLICITUDESXDIA', con el cambio del campo actualizado</t>
  </si>
  <si>
    <t xml:space="preserve">Se trabajó con los ajustes del 10mo procedimiento de 'OBTENER_SOLICITUDESXDIA', con el cambio del campo actualizado en la vista materializada, se compila sin errores </t>
  </si>
  <si>
    <t xml:space="preserve">Se validó el paquete-procedimiento 'OBTENER_SOLICITUDESXDIA' con el bloque anónimo correcto y se tuvo un resultado exitoso con la salida del cursor completo de nuevo </t>
  </si>
  <si>
    <t xml:space="preserve">Se reconstruyeron las consultas del 11vo procedimiento de 'OBTENER_ESTATUS' de SOLICITUDES </t>
  </si>
  <si>
    <t>Se trabajó con los ajustes del 11vo procedimiento de 'OBTENER_ESTATUS', con el cambio del campo actualizado</t>
  </si>
  <si>
    <t xml:space="preserve">Se trabajó con los ajustes del 11vo procedimiento de 'OBTENER_ESTATUS', con el cambio del campo actualizado en la vista materializada, se compila sin errores </t>
  </si>
  <si>
    <t>Se validó el paquete-procedimiento 'OBTENER_ESTATUS' con el bloque anónimo correcto y se tuvo un resultado exitoso con la salida del cursor completo de nuevo</t>
  </si>
  <si>
    <t>Se trabajó con los ajustes del 12vo procedimiento de 'OBTENER_TEMATICA', con el cambio del campo actualizado</t>
  </si>
  <si>
    <t xml:space="preserve">Se trabajó con los ajustes del 12vo procedimiento de 'OBTENER_TEMATICA', con el cambio del campo actualizado en la vista materializada, se compila sin errores </t>
  </si>
  <si>
    <t xml:space="preserve">Se validó el paquete-procedimiento 'OBTENER_TEMATICA' con el bloque anónimo correcto y se tuvo un resultado exitoso </t>
  </si>
  <si>
    <t xml:space="preserve">Se validó el paquete-procedimiento 'OBTENER_TEMATICA' con el bloque anónimo correcto y se tuvo un resultado exitoso con la salida del cursor completo de nuevo </t>
  </si>
  <si>
    <t xml:space="preserve">Se reconstruyeron las consultas del 13vo procedimiento de 'OBTENER_FG_QUEJA' de SOLICITUDES </t>
  </si>
  <si>
    <t>Se trabajó con los ajustes del 13vo procedimiento de 'OBTENER_FG_QUEJA', con el cambio del campo actualizado</t>
  </si>
  <si>
    <t xml:space="preserve">Se trabajó con los ajustes del 13vo procedimiento de 'OBTENER_FG_QUEJA', con el cambio del campo actualizado en la vista materializada, se compila sin errores </t>
  </si>
  <si>
    <t>Se validó el paquete-procedimiento 'OBTENER_FG_QUEJA' con el bloque anónimo correcto y se tuvo un resultado exitoso</t>
  </si>
  <si>
    <t xml:space="preserve">Se validó el paquete-procedimiento 'OBTENER_FG_QUEJA' con el bloque anónimo correcto y se tuvo un resultado exitoso con la salida del cursor completo de nuevo </t>
  </si>
  <si>
    <t>SSIVHRL332</t>
  </si>
  <si>
    <t>SSIVHRL333</t>
  </si>
  <si>
    <t>SSIVHRL334</t>
  </si>
  <si>
    <t>SSIVHRL335</t>
  </si>
  <si>
    <t>SSIVHRL336</t>
  </si>
  <si>
    <t>SSIVHRL337</t>
  </si>
  <si>
    <t>SSIVHRL338</t>
  </si>
  <si>
    <t>SSIVHRL339</t>
  </si>
  <si>
    <t>SSIVHRL340</t>
  </si>
  <si>
    <t>SSIVHRL341</t>
  </si>
  <si>
    <t>SSIVHRL342</t>
  </si>
  <si>
    <t>SSIVHRL343</t>
  </si>
  <si>
    <t>SSIVHRL344</t>
  </si>
  <si>
    <t>SSIVHRL345</t>
  </si>
  <si>
    <t>SSIVHRL346</t>
  </si>
  <si>
    <t>SSIVHRL347</t>
  </si>
  <si>
    <t>SSIVHRL348</t>
  </si>
  <si>
    <t>SSIVHRL349</t>
  </si>
  <si>
    <t>SSIVHRL350</t>
  </si>
  <si>
    <t>SSIVHRL351</t>
  </si>
  <si>
    <t>SSIVHRL352</t>
  </si>
  <si>
    <t>SSIVHRL353</t>
  </si>
  <si>
    <t>SSIVHRL354</t>
  </si>
  <si>
    <t>SSIVHRL355</t>
  </si>
  <si>
    <t>SSIVHRL356</t>
  </si>
  <si>
    <t>SSIVHRL357</t>
  </si>
  <si>
    <t>SSIVHRL358</t>
  </si>
  <si>
    <t>SSIVHRL359</t>
  </si>
  <si>
    <t>SSIVHRL360</t>
  </si>
  <si>
    <t>SSIVHRL361</t>
  </si>
  <si>
    <t>SSIVHRL362</t>
  </si>
  <si>
    <t>SSIVHRL363</t>
  </si>
  <si>
    <t>SSIVHRL364</t>
  </si>
  <si>
    <t>SSIVHRL365</t>
  </si>
  <si>
    <t>SSIVHRL366</t>
  </si>
  <si>
    <t>SSIVHRL367</t>
  </si>
  <si>
    <t>SSIVHRL368</t>
  </si>
  <si>
    <t>SSIVHRL369</t>
  </si>
  <si>
    <t>SSIVHRL370</t>
  </si>
  <si>
    <t>SSIVHRL371</t>
  </si>
  <si>
    <t>SSIVHRL372</t>
  </si>
  <si>
    <t>SSIVHRL373</t>
  </si>
  <si>
    <t>SSIVHRL374</t>
  </si>
  <si>
    <t>SSIVHRL375</t>
  </si>
  <si>
    <t>SSIVHRL376</t>
  </si>
  <si>
    <t>SSIVHRL377</t>
  </si>
  <si>
    <t>SSIVHRL378</t>
  </si>
  <si>
    <t>SSIVHRL379</t>
  </si>
  <si>
    <t>SSIVHRL380</t>
  </si>
  <si>
    <t>SSIVHRL381</t>
  </si>
  <si>
    <t>SSIVHRL382</t>
  </si>
  <si>
    <t>SSIVHRL383</t>
  </si>
  <si>
    <t>SSIVHRL384</t>
  </si>
  <si>
    <t>SSIVHRL385</t>
  </si>
  <si>
    <t>SSIVHRL386</t>
  </si>
  <si>
    <t>SSIVHRL387</t>
  </si>
  <si>
    <t>SSIVHRL388</t>
  </si>
  <si>
    <t>SSIVHRL389</t>
  </si>
  <si>
    <t>SSIVHRL390</t>
  </si>
  <si>
    <t>SSIVHRL391</t>
  </si>
  <si>
    <t>SSIVHRL392</t>
  </si>
  <si>
    <t>SSIVHRL393</t>
  </si>
  <si>
    <t>SSIVHRL394</t>
  </si>
  <si>
    <t>SSIVHRL395</t>
  </si>
  <si>
    <t>SSIVHRL396</t>
  </si>
  <si>
    <t>SSIVHRL397</t>
  </si>
  <si>
    <t>SSIVHRL398</t>
  </si>
  <si>
    <t>SSIVHRL399</t>
  </si>
  <si>
    <t>SSIVHRL400</t>
  </si>
  <si>
    <t>SSIVHRL401</t>
  </si>
  <si>
    <t>SSIVHRL402</t>
  </si>
  <si>
    <t>SSIVHRL403</t>
  </si>
  <si>
    <t>SSIVHRL404</t>
  </si>
  <si>
    <t>SSIVHRL405</t>
  </si>
  <si>
    <t>SSIVHRL406</t>
  </si>
  <si>
    <t>SSIVHRL407</t>
  </si>
  <si>
    <t>SSIVHRL408</t>
  </si>
  <si>
    <t>SSIVHRL409</t>
  </si>
  <si>
    <t>SSIVHRL410</t>
  </si>
  <si>
    <t>SSIVHRL411</t>
  </si>
  <si>
    <t>SSIVHRL412</t>
  </si>
  <si>
    <t>SSIVHRL413</t>
  </si>
  <si>
    <t>SSIVHRL414</t>
  </si>
  <si>
    <t>SSIVHRL415</t>
  </si>
  <si>
    <t>SSIVHRL416</t>
  </si>
  <si>
    <t>SSIVHRL417</t>
  </si>
  <si>
    <t>SSIVHRL418</t>
  </si>
  <si>
    <t>SSIVHRL419</t>
  </si>
  <si>
    <t>SSIVHRL420</t>
  </si>
  <si>
    <t>SSIVHRL421</t>
  </si>
  <si>
    <t>SSIVHRL422</t>
  </si>
  <si>
    <t>SSIVHRL423</t>
  </si>
  <si>
    <t>SSIVHRL424</t>
  </si>
  <si>
    <t>SSIVHRL425</t>
  </si>
  <si>
    <t>SSIVHRL426</t>
  </si>
  <si>
    <t>SSIVHRL427</t>
  </si>
  <si>
    <t>SSIVHRL428</t>
  </si>
  <si>
    <t>SSIVHRL429</t>
  </si>
  <si>
    <t>SSIVHRL430</t>
  </si>
  <si>
    <t>SSIVHRL431</t>
  </si>
  <si>
    <t>SSIVHRL432</t>
  </si>
  <si>
    <t>SSIVHRL433</t>
  </si>
  <si>
    <t>SSIVHRL434</t>
  </si>
  <si>
    <t>SSIVHRL435</t>
  </si>
  <si>
    <t>SSIVHRL436</t>
  </si>
  <si>
    <t>SSIVHRL437</t>
  </si>
  <si>
    <t>SSIVHRL438</t>
  </si>
  <si>
    <t>SSIVHRL439</t>
  </si>
  <si>
    <t>SSIVHRL440</t>
  </si>
  <si>
    <t>SSIVHRL441</t>
  </si>
  <si>
    <t>SSIVHRL442</t>
  </si>
  <si>
    <t>SSIVHRL443</t>
  </si>
  <si>
    <t>SSIVHRL444</t>
  </si>
  <si>
    <t>SSIVHRL445</t>
  </si>
  <si>
    <t>SSIVHRL446</t>
  </si>
  <si>
    <t>SSIVHRL447</t>
  </si>
  <si>
    <t>SSIVHRL448</t>
  </si>
  <si>
    <t>SSIVHRL449</t>
  </si>
  <si>
    <t>SSIVHRL450</t>
  </si>
  <si>
    <t>SSIVHRL451</t>
  </si>
  <si>
    <t>SSIVHRL452</t>
  </si>
  <si>
    <t>SSIVHRL453</t>
  </si>
  <si>
    <t>SSIVHRL454</t>
  </si>
  <si>
    <t>SSIVHRL455</t>
  </si>
  <si>
    <t>SSIVHRL456</t>
  </si>
  <si>
    <t>SSIVHRL457</t>
  </si>
  <si>
    <t>SSIVHRL458</t>
  </si>
  <si>
    <t>SSIVHRL459</t>
  </si>
  <si>
    <t>SSIVHRL460</t>
  </si>
  <si>
    <t>SSIVHRL461</t>
  </si>
  <si>
    <t>SSIVHRL462</t>
  </si>
  <si>
    <t>SSIVHRL463</t>
  </si>
  <si>
    <t>SSIVHRL464</t>
  </si>
  <si>
    <t>SSIVHRL465</t>
  </si>
  <si>
    <t>SSIVHRL466</t>
  </si>
  <si>
    <t>SSIVHRL467</t>
  </si>
  <si>
    <t>SSIVHRL468</t>
  </si>
  <si>
    <t>SSIVHRL469</t>
  </si>
  <si>
    <t>SSIVHRL470</t>
  </si>
  <si>
    <t>SSIVHRL471</t>
  </si>
  <si>
    <t>SSIVHRL472</t>
  </si>
  <si>
    <t>SSIVHRL473</t>
  </si>
  <si>
    <t>SSIVHRL474</t>
  </si>
  <si>
    <t>SSIVHRL475</t>
  </si>
  <si>
    <t>SSIVHRL476</t>
  </si>
  <si>
    <t>SSIVHRL477</t>
  </si>
  <si>
    <t>SSIVHRL478</t>
  </si>
  <si>
    <t>SSIVHRL479</t>
  </si>
  <si>
    <t>SSIVHRL480</t>
  </si>
  <si>
    <t>SSIVHRL481</t>
  </si>
  <si>
    <t>SSIVHRL482</t>
  </si>
  <si>
    <t>SSIVHRL483</t>
  </si>
  <si>
    <t>SSIVHRL484</t>
  </si>
  <si>
    <t>SSIVHRL485</t>
  </si>
  <si>
    <t>SSIVHRL486</t>
  </si>
  <si>
    <t>SSIVHRL487</t>
  </si>
  <si>
    <t>SSIVHRL488</t>
  </si>
  <si>
    <t>SSIVHRL489</t>
  </si>
  <si>
    <t>SSIVHRL490</t>
  </si>
  <si>
    <t>SSIVHRL491</t>
  </si>
  <si>
    <t>SSIVHRL492</t>
  </si>
  <si>
    <t>SSIVHRL493</t>
  </si>
  <si>
    <t>SSIVHRL494</t>
  </si>
  <si>
    <t>SSIVHRL495</t>
  </si>
  <si>
    <t>SSIVHRL496</t>
  </si>
  <si>
    <t>SSIVHRL497</t>
  </si>
  <si>
    <t>SSIVHRL498</t>
  </si>
  <si>
    <t>SSIVHRL499</t>
  </si>
  <si>
    <t>SSIVHRL500</t>
  </si>
  <si>
    <t>SSIVHRL501</t>
  </si>
  <si>
    <t>SSIVHRL502</t>
  </si>
  <si>
    <t>SSIVHRL503</t>
  </si>
  <si>
    <t>SSIVHRL504</t>
  </si>
  <si>
    <t>SSIVHRL505</t>
  </si>
  <si>
    <t>SSIVHRL506</t>
  </si>
  <si>
    <t>SSIVHRL507</t>
  </si>
  <si>
    <t>SSIVHRL508</t>
  </si>
  <si>
    <t>SSIVHRL509</t>
  </si>
  <si>
    <t>SSIVHRL510</t>
  </si>
  <si>
    <t>SSIVHRL511</t>
  </si>
  <si>
    <t>SSIVHRL512</t>
  </si>
  <si>
    <t>SSIVHRL513</t>
  </si>
  <si>
    <t>SSIVHRL514</t>
  </si>
  <si>
    <t>SSIVHRL515</t>
  </si>
  <si>
    <t>SSIVHRL516</t>
  </si>
  <si>
    <t>SSIVHRL517</t>
  </si>
  <si>
    <t>SSIVHRL518</t>
  </si>
  <si>
    <t>SSIVHRL519</t>
  </si>
  <si>
    <t>SSIVHRL520</t>
  </si>
  <si>
    <t>SSIVHRL521</t>
  </si>
  <si>
    <t>SSIVHRL522</t>
  </si>
  <si>
    <t>SSIVHRL523</t>
  </si>
  <si>
    <t>SSIVHRL524</t>
  </si>
  <si>
    <t>SSIVHRL525</t>
  </si>
  <si>
    <t>SSIVHRL526</t>
  </si>
  <si>
    <t>SSIVHRL527</t>
  </si>
  <si>
    <t>SSIVHRL528</t>
  </si>
  <si>
    <t>SSIVHRL529</t>
  </si>
  <si>
    <t>SSIVHRL530</t>
  </si>
  <si>
    <t>SSIVHRL531</t>
  </si>
  <si>
    <t>SSIVHRL532</t>
  </si>
  <si>
    <t>Monitoreo y control fase de Construcción</t>
  </si>
  <si>
    <t>Toma de avance diario y actualización de cronograma</t>
  </si>
  <si>
    <t>http://172.16.33.34:8000/SIPRON%20PIZARRAS%205/Forms/AllItems.aspx?RootFolder=%2FSIPRON%20PIZARRAS%205%2F03%20CONTROL%20Y%20SEGUIMIENTO%2FCronograma&amp;FolderCTID=0x01200022B549C5C30EBB44A4C1E26276D73DDB&amp;View={E9ADF662-9DA5-4848-BEED-BA9860EC1C11}</t>
  </si>
  <si>
    <t>SAIPMCJ014</t>
  </si>
  <si>
    <t>SAIPMCJ015</t>
  </si>
  <si>
    <t>Revisión y actualización de Plan de riesgos</t>
  </si>
  <si>
    <t>http://172.16.33.34:8000/SIPRON%20PIZARRAS%205/Forms/AllItems.aspx?RootFolder=%2FSIPRON%20PIZARRAS%205%2F03%20CONTROL%20Y%20SEGUIMIENTO%2FPlan%20de%20Riesgos&amp;FolderCTID=0x01200022B549C5C30EBB44A4C1E26276D73DDB&amp;View={E9ADF662-9DA5-4848-BEED-BA9860EC1C11}</t>
  </si>
  <si>
    <t>SAIPMCJ016</t>
  </si>
  <si>
    <t>Generación de Presentación semanal de estatus del proyecto</t>
  </si>
  <si>
    <t>http://172.16.33.34:8000/SIPRON%20PIZARRAS%205/Forms/AllItems.aspx?RootFolder=%2FSIPRON%20PIZARRAS%205%2F03%20CONTROL%20Y%20SEGUIMIENTO%2FReporte%20Semanal%20de%20Avance&amp;FolderCTID=0x01200022B549C5C30EBB44A4C1E26276D73DDB&amp;View={E9ADF662-9DA5-4848-BEED-BA9860EC1C11}</t>
  </si>
  <si>
    <t>SAIPMCJ017</t>
  </si>
  <si>
    <t>Presentación avance semanal del 01 al 03 de noviembre 2023</t>
  </si>
  <si>
    <t>http://172.16.33.34:8000/SIPRON%20PIZARRAS%205/Forms/AllItems.aspx?RootFolder=%2FSIPRON%20PIZARRAS%205%2F03%20CONTROL%20Y%20SEGUIMIENTO%2FMinuta%20de%20la%20Reuni%C3%B3n&amp;FolderCTID=0x01200022B549C5C30EBB44A4C1E26276D73DDB&amp;View={E9ADF662-9DA5-4848-BEED-BA9860EC1C11}</t>
  </si>
  <si>
    <t>SAIPMCJ018</t>
  </si>
  <si>
    <t>SAIPMCJ019</t>
  </si>
  <si>
    <t>SAIPMCJ020</t>
  </si>
  <si>
    <t>SAIPMCJ021</t>
  </si>
  <si>
    <t>SAIPMCJ022</t>
  </si>
  <si>
    <t>SAIPMCJ023</t>
  </si>
  <si>
    <t>SAIPMCJ024</t>
  </si>
  <si>
    <t>SAIPMCJ025</t>
  </si>
  <si>
    <t>Presentación avance semanal del 06 al 10 de noviembre 2023</t>
  </si>
  <si>
    <t>SAIPMCJ026</t>
  </si>
  <si>
    <t>SAIPMCJ027</t>
  </si>
  <si>
    <t>SAIPMCJ028</t>
  </si>
  <si>
    <t>SAIPMCJ029</t>
  </si>
  <si>
    <t>SAIPMCJ030</t>
  </si>
  <si>
    <t>SAIPMCJ031</t>
  </si>
  <si>
    <t>SAIPMCJ032</t>
  </si>
  <si>
    <t>SAIPMCJ033</t>
  </si>
  <si>
    <t>Presentación avance semanal del 13 al 17 de noviembre 2023</t>
  </si>
  <si>
    <t>SAIPMCJ034</t>
  </si>
  <si>
    <t>SAIPMCJ035</t>
  </si>
  <si>
    <t>SAIPMCJ036</t>
  </si>
  <si>
    <t>SAIPMCJ037</t>
  </si>
  <si>
    <t>SAIPMCJ038</t>
  </si>
  <si>
    <t>SAIPMCJ039</t>
  </si>
  <si>
    <t>SAIPMCJ040</t>
  </si>
  <si>
    <t>Presentación avance semanal del 20 al 24 de noviembre 2026</t>
  </si>
  <si>
    <t>SAIPMCJ041</t>
  </si>
  <si>
    <t>SAIPMCJ042</t>
  </si>
  <si>
    <t>SAIPMCJ043</t>
  </si>
  <si>
    <t>SAIPMCJ044</t>
  </si>
  <si>
    <t>SAIPMCJ045</t>
  </si>
  <si>
    <t>SIPRON - PIZARRAS 5</t>
  </si>
  <si>
    <t>Informe General</t>
  </si>
  <si>
    <t>Desarrollo y reordenamiento del informe general. Se elimina mapas y se segmentan g´raficas y tablas. Se ajustan filtros los cuales se aplicarán en todos los informes.</t>
  </si>
  <si>
    <t>https://na01.safelinks.protection.outlook.com/?url=https%3A%2F%2F172.20.32.20%2Fsvn%2FPizarras4%2Ftags%2FBI&amp;data=05%7C01%7C%7Cbc3f18f0f1d740074a7d08dbf29e748b%7C84df9e7fe9f640afb435aaaaaaaaaaaa%7C1%7C0%7C638370534612757112%7CUnknown%7CTWFpbGZsb3d8eyJWIjoiMC4wLjAwMDAiLCJQIjoiV2luMzIiLCJBTiI6Ik1haWwiLCJXVCI6Mn0%3D%7C3000%7C%7C%7C&amp;sdata=nXOYof4wQM90Kb4o5IwiZEBbMKgNSVP5rZ4BpLT00gA%3D&amp;reserved=0</t>
  </si>
  <si>
    <t>Tablero</t>
  </si>
  <si>
    <t>Desarrollo de informes que muyestren un resumen general de todos los integrantes del SNT para los porgramas elegido. Se realizan 5 gráficos para esta solución.</t>
  </si>
  <si>
    <t>Cobertura General</t>
  </si>
  <si>
    <t xml:space="preserve">Se realiza un mapa de calor con base en la cobertura de las líneas de acción que ha cumplido el integraante. </t>
  </si>
  <si>
    <t>Cobertura del Programa por LA</t>
  </si>
  <si>
    <t>Se genera una tabla con el total de lineas de acción elegiles y el porcentaje de la cobertura. Contiene una gráfica de barras y una tabla informativa. De igual forma, se agregan los filtros estándar solicitados.</t>
  </si>
  <si>
    <t>Cobertura de Actividades por Eje</t>
  </si>
  <si>
    <t>Se genera un par de tablas que contienen la información sobre las líneas de acción elegibles y la cobertura que se realizó por cada uno de los integrantes (OGL y Federación)</t>
  </si>
  <si>
    <t>Cobertura de Actividades</t>
  </si>
  <si>
    <t>Se desarrolla un informe que contiene las actividades realizadas por los inegrantes. Dichas actividades se han separado por semestre.</t>
  </si>
  <si>
    <t>Cobertura del programa por región</t>
  </si>
  <si>
    <t>Se implementa un reporte con las actividades que se realizaron por cada una de las regiones que se encuentran actualmente en el SNT.</t>
  </si>
  <si>
    <t>Estatus cumpimiento</t>
  </si>
  <si>
    <t>Se generan un informe con la representación gráfica de las activaciones que se realizaron por parte de los integrantes del SNT.</t>
  </si>
  <si>
    <t>Evidencias</t>
  </si>
  <si>
    <t>Muestra el listado de líneas de acción por cada uno de los integrantes. En este listado contiene un apartado donde muestra las evidencias por medio de un hipervinculo el cuál puede ser consultado por el usuario.</t>
  </si>
  <si>
    <t>Actividades sin avance</t>
  </si>
  <si>
    <t>Muestra una gráfica que contiene el número de actividades que no han sido atendidas por diferentes situaciones imprevistas.</t>
  </si>
  <si>
    <t>Avance por integrante</t>
  </si>
  <si>
    <t>Se muestra la gráfica con el total de activaciones por estatus de cumplimiento. Así como la segmentación por integrante y eje.</t>
  </si>
  <si>
    <t>Cuadro comparativo</t>
  </si>
  <si>
    <t xml:space="preserve">Muestra dos cuadros comparativos en donde se visualizan los integrantes del SNT y su presupuesto. </t>
  </si>
  <si>
    <t>Menú pizarras</t>
  </si>
  <si>
    <t>Se realiza un diseño con un menú el cual contiene acceso a todos los informes de pizarras. De igual forma, permite seleccionar el programa del cual puede consultar la información.</t>
  </si>
  <si>
    <t>SAISGJS001</t>
  </si>
  <si>
    <t>SAISGJS002</t>
  </si>
  <si>
    <t>SAISGJS003</t>
  </si>
  <si>
    <t>SAISGJS004</t>
  </si>
  <si>
    <t>SAISGJS005</t>
  </si>
  <si>
    <t>SAISGJS006</t>
  </si>
  <si>
    <t>SAISGJS007</t>
  </si>
  <si>
    <t>SAISGJS008</t>
  </si>
  <si>
    <t>SAISGJS009</t>
  </si>
  <si>
    <t>SAISGJS010</t>
  </si>
  <si>
    <t>SAISGJS011</t>
  </si>
  <si>
    <t>SAISGJS012</t>
  </si>
  <si>
    <t>SAISGJS013</t>
  </si>
  <si>
    <t>Se hicieron más pruebas sobre las consultas para el mantener ambos registros para las banderas</t>
  </si>
  <si>
    <t xml:space="preserve">Se hicieron más pruebas sobre las consultas del procedimiento OBTENER_FG_PRORROGA para evaluar si con algunos UNIONS se puede respetar el mantener ambos registros </t>
  </si>
  <si>
    <t>Se hicieron más pruebas para determinar si con subqueries es posible resolver el tema de banderas</t>
  </si>
  <si>
    <t>Se hicieron más pruebas para determinar si con subqueries es posible resolver el tema de los 2 registros en todo caso</t>
  </si>
  <si>
    <t>Se concluye que con las pruebas realizadas no es posible resolver de mantener 2 registros</t>
  </si>
  <si>
    <t>Se concluye que con las pruebas realizadas no es posible resolver la situación ya que con el Union solo le pegas 1 registro siempre, pero eso generara que se tengan en ocasiones 3 registros en ocasiones, lo cual es incorrecto</t>
  </si>
  <si>
    <t>Se le informó al equipo que ya esta este procedimiento de banderas 'OBTENER_FG_PRORROGA' para que lo revisen</t>
  </si>
  <si>
    <t>Se comenta que falto procedimiento de COMISIONADOS para las Resoluciones</t>
  </si>
  <si>
    <t>Se construyó la consulta para tratar el 7mo procedimiento 'OBTENER_COMISIONADO' de RESOLUCIONES</t>
  </si>
  <si>
    <t xml:space="preserve">Se construyó la consulta para tratar el 7mo procedimiento 'OBTENER_COMISIONADO' de RESOLUCIONES </t>
  </si>
  <si>
    <t>Se trabajó con los ajustes del 7mo procedimiento de banderas 'OBTENER_FG_PREVENIDO'</t>
  </si>
  <si>
    <t xml:space="preserve">Se trabajó con los ajustes del 7mo procedimiento de banderas 'OBTENER_FG_PREVENIDO', con las consultas necesarias de las condicionantes previamente validadas, se compila sin errores </t>
  </si>
  <si>
    <t>Se le informó al equipo que ya estan los ajustes para el 7mo procedimiento de banderas 'OBTENER_FG_PREVENIDO',para que lo revisen</t>
  </si>
  <si>
    <t xml:space="preserve">Se construyeron las distintas consultas para tratar el 4to procedimiento de banderas 'OBTENER_FGTIENEINSTRUCCION' de RESOLUCIONES, para tratar los condicionales </t>
  </si>
  <si>
    <t xml:space="preserve">Se modificó la estructura de tabla de Quejas 'BI_IMPUGNACIONES_VWM_QUEJAS_ESTADISTICAS' </t>
  </si>
  <si>
    <t xml:space="preserve">Se tuvo sesión con en Subdirector para revisar la estructura de la tabla de Quejas y analizar el número de procedimientos </t>
  </si>
  <si>
    <t>Se tuvo sesión rapida con personal del INAI para aclarar dudas sobre el 1er procedimiento de tabla de Quejas</t>
  </si>
  <si>
    <t xml:space="preserve">Se le esplicó al equipo que ya esta esté 5to procedimiento para que lo revisen y consuman desde el aplicativo </t>
  </si>
  <si>
    <t xml:space="preserve">Se le explicó al equipo que ya esta esté 1er procedimiento para que lo revisen y consuman desde el aplicativo </t>
  </si>
  <si>
    <t xml:space="preserve">Se le explicó al equipo que ya esta esté 2do procedimiento para que lo revisen y consuman desde el aplicativo </t>
  </si>
  <si>
    <t>Se le explicó al equipo que ya esta esté 3er procedimiento para que lo revisen y consuman desde el aplicativo</t>
  </si>
  <si>
    <t xml:space="preserve">Se le explicó al equipo que ya esta esté 4to procedimiento para que lo revisen y consuman desde el aplicativo </t>
  </si>
  <si>
    <t>Se le explicó al equipo que ya esta esté 6to procedimiento para que lo revisen y consuman desde el aplicativo</t>
  </si>
  <si>
    <t>Se le explicó al equipo que ya esta esté 7mo procedimiento para que lo revisen y consuman desde el aplicativo</t>
  </si>
  <si>
    <t xml:space="preserve">Se le explicó al equipo que ya esta esté 8vo procedimiento para que lo revisen y consuman desde el aplicativo </t>
  </si>
  <si>
    <t>Se le explicó al equipo que ya estan las actualizaciones de los 3 procedimientos de Quejas para que lo revisen y consuman desde el aplicativo</t>
  </si>
  <si>
    <t>Se le explicó al equipo que ya esta este 2do procedimiento para que lo revisen y consuman desde el aplicativo</t>
  </si>
  <si>
    <t xml:space="preserve">Se le explicó al equipo que ya esta esté 3er procedimiento para que lo revisen y consuman desde el aplicativo </t>
  </si>
  <si>
    <t xml:space="preserve">Se le explicó al equipo que ya esta esté 5to procedimiento para que lo revisen y consuman desde el aplicativo </t>
  </si>
  <si>
    <t xml:space="preserve">Se le explicó al equipo que ya esta esté 6to procedimiento para que lo revisen y consuman desde el aplicativo </t>
  </si>
  <si>
    <t xml:space="preserve">Se le explicó al equipo que ya esta esté 13vo procedimiento para que lo revisen y consuman desde el aplicativo </t>
  </si>
  <si>
    <t xml:space="preserve">Se le explicó al equipo que ya esta este procedimiento de banderas 'OBTENER_FG_PRORROGA' para que lo revisen y consuman desde el aplicativo </t>
  </si>
  <si>
    <t xml:space="preserve">Se le explicó al equipo que ya esta esté 7mo procedimiento para que lo revisen y consuman desde el aplicación </t>
  </si>
  <si>
    <t xml:space="preserve">Se le explicó al equipo que ya estan los ajustes para el 7mo procedimiento de banderas 'OBTENER_FG_PREVENCION',para que lo revisen y consuman desde el aplicativo </t>
  </si>
  <si>
    <t>Se le explicó al equipo que ya estan los ajustes para el 8vo procedimiento de banderas 'OBTENER_FG_DISPONIBILIDAD',para que lo revisen y consuman desde el aplicativo</t>
  </si>
  <si>
    <t xml:space="preserve">Se le explicó al equipo que ya estan los ajustes para el 5to procedimiento de banderas 'OBTENER_FG_AMPLIADO',para que lo revisen y consuman desde el aplicativo </t>
  </si>
  <si>
    <t xml:space="preserve">Se le explicó al equipo que ya estan los ajustes para el 7mo procedimiento de banderas 'OBTENER_FG_PREVENIDO',para que lo revisen y consuman desde el aplicativo </t>
  </si>
  <si>
    <t xml:space="preserve">Se le explicó al equipo que ya estan los ajustes para el 4to procedimiento de banderas 'OBTENER_FGTIENEINSTRUCCION',para que lo revisen y consuman desde el aplicativo </t>
  </si>
  <si>
    <t xml:space="preserve">Se tuvo sesión con Subdirector para revisar la estructura de la tabla de Resoluciones y analizar el número de procedimientos </t>
  </si>
  <si>
    <t>DSCOCO019</t>
  </si>
  <si>
    <t>Sesion Despliegue Microservicios</t>
  </si>
  <si>
    <t>DSCOCO020</t>
  </si>
  <si>
    <t>Sesion aclaracion de dudas de implementacion de insfraestructura en k8s</t>
  </si>
  <si>
    <t>DSCOCO021</t>
  </si>
  <si>
    <t>Continuación configuración de  los pipeline para los servicios que ya se tienen</t>
  </si>
  <si>
    <t>DSCOCO022</t>
  </si>
  <si>
    <t>Sesion Continuación Despliegue Microservicio</t>
  </si>
  <si>
    <t>Analisis de github y gitlab</t>
  </si>
  <si>
    <t>DSCOCO023</t>
  </si>
  <si>
    <t>Analisis del pipleline CD</t>
  </si>
  <si>
    <t>DSCOCO024</t>
  </si>
  <si>
    <t>DSCOCO025</t>
  </si>
  <si>
    <t>Configuracion de argocd</t>
  </si>
  <si>
    <t>DSCOCO026</t>
  </si>
  <si>
    <t>Analisis de docker-compose</t>
  </si>
  <si>
    <t>Configuración inicial de los pipeline para los servicios existentes</t>
  </si>
  <si>
    <t>Implementación junto con el equipo de infraestructura de los k8s</t>
  </si>
  <si>
    <t>Uso de herramientas para ajustes a pipelines</t>
  </si>
  <si>
    <t>Analisis de gitlab y github para el uso de sub carpetas, resolviendose por medio de sparse checkout</t>
  </si>
  <si>
    <t>Configuración del pipleline de CD para actualizarlo con el "git push"</t>
  </si>
  <si>
    <t>Se configuró argocd para soportar el monitoreo de subcarpeta de github</t>
  </si>
  <si>
    <t>Finalización de pipelines y configuración de dependencias para trabajar de forma nativa con k8s</t>
  </si>
  <si>
    <t>DSCOCO027</t>
  </si>
  <si>
    <t>DSCOCO028</t>
  </si>
  <si>
    <t>SPRINT 1</t>
  </si>
  <si>
    <t>1.1 Agregar pantalla de inicio que dirijan al SIPRON y a Pizarras de Avance de cada uno de los programas.</t>
  </si>
  <si>
    <t>https://172.20.32.20/svn/Pizarras4/tags/frontend/pizarras_v4_frontend</t>
  </si>
  <si>
    <t>1.2 Material de apoyo</t>
  </si>
  <si>
    <t>1.3 Estructura de Programas</t>
  </si>
  <si>
    <t>1.4 Nombre del rol</t>
  </si>
  <si>
    <t>SAIJDBR03</t>
  </si>
  <si>
    <t>1.5 Cobertura</t>
  </si>
  <si>
    <t>SAIJDBR04</t>
  </si>
  <si>
    <t>SAIJDBR05</t>
  </si>
  <si>
    <t>1.6 Funcionalidad de Pestaña "Pizarras" (Valorar visibilidad en 2023)- Inhabilitar en Rol Enlace y UA</t>
  </si>
  <si>
    <t>SAIJDBR06</t>
  </si>
  <si>
    <t xml:space="preserve">1.7 Menu </t>
  </si>
  <si>
    <t>SAIJDBR07</t>
  </si>
  <si>
    <t>1.8 Generar un nuevo menú denominado “blog”</t>
  </si>
  <si>
    <t>SAIJDBR08</t>
  </si>
  <si>
    <t>SAIJDBR09</t>
  </si>
  <si>
    <t>SPRINT 3</t>
  </si>
  <si>
    <t>2.4.1 Integrar mensajería instantánea (Alerta de mensajes no leídos)</t>
  </si>
  <si>
    <t>SAIJDBR10</t>
  </si>
  <si>
    <t>2.4.2 esignación de programa por enlace (PROTAI-PRONADATOS, o en su caso, AMBOS)</t>
  </si>
  <si>
    <t>SAIJDBR11</t>
  </si>
  <si>
    <t>3.1.1.Habilitar campos en Apartado "Nuevo" para la asignación de Líneas de Enlace a UA</t>
  </si>
  <si>
    <t>SAIJDBR12</t>
  </si>
  <si>
    <t xml:space="preserve">3.2.1Integrar en los 3 roles, en todas las pantallas, el filtro de Numeración </t>
  </si>
  <si>
    <t>SAIJDBR13</t>
  </si>
  <si>
    <t>3.2.2 Eliminar filtros de Estrategia</t>
  </si>
  <si>
    <t>SAIJDBR14</t>
  </si>
  <si>
    <t>3.2.3 Agregar histórico de Estatus actividad</t>
  </si>
  <si>
    <t>SAIJDBR15</t>
  </si>
  <si>
    <t>3.2.4 Pop-ups que describan la acción a realizar en Formulario de Alta de Actividades</t>
  </si>
  <si>
    <t>SAIJDBR16</t>
  </si>
  <si>
    <t>3.2.5 Comentarios individuales en cada campo</t>
  </si>
  <si>
    <t>SAIJDBR17</t>
  </si>
  <si>
    <t>3.2.6 Corregir incidencia en campo "Presupuesto"; no funciona la opción "No Incluido"</t>
  </si>
  <si>
    <t>SAIJDBR18</t>
  </si>
  <si>
    <t>3.2.7 Agregar campo abierto donde se reporte la cantidad erogada para la actividad</t>
  </si>
  <si>
    <t>SAIJDBR19</t>
  </si>
  <si>
    <t>3.2.8 Corregir incidencia de datos en los filtros; al aceptar la información, no se guarda correctamente lo seleccionado en combos de filtros.</t>
  </si>
  <si>
    <t>SAIJDBR20</t>
  </si>
  <si>
    <t>3.2.9 Agregar filtros de elección múltiple en los combos, es decir, que se puedan elegir uno o más opciones mediante casillas de verificación.</t>
  </si>
  <si>
    <t>SAIJDBR21</t>
  </si>
  <si>
    <t>3.2.10 Crear nuevo filtro "Región" (Sólo en el rol de Administrador)</t>
  </si>
  <si>
    <t>SAIJDBR22</t>
  </si>
  <si>
    <t>3.2.11 Crear módulo o botón que permita descargar los reportes en datos abiertos (.csv) en todos los roles de usuarios</t>
  </si>
  <si>
    <t>SAIJDBR23</t>
  </si>
  <si>
    <t>3.2.12 Modificar opciones de Estatus de "Revisión Integrante y Validado Integrante" a "Revisión Enlace y Validado Enlace"</t>
  </si>
  <si>
    <t>SAIJDBR24</t>
  </si>
  <si>
    <t>3.2.13 Mensaje al SNT de Alerta de inicio y final de Proceso</t>
  </si>
  <si>
    <t>SAIJDBR25</t>
  </si>
  <si>
    <t>3.2.14 Nueva columna de fecha y hora de carga; visualización de tabla inicial con actividades más recientes cargadas</t>
  </si>
  <si>
    <t>SAIJDBR26</t>
  </si>
  <si>
    <t>3.2.15 Activar flechas para ordenar por abreviatura de integrante.</t>
  </si>
  <si>
    <t>SAIJDBR27</t>
  </si>
  <si>
    <t>3.2.16 Habilitar botón para que los Enlaces puedan asignar actividades a las UA una vez que éstas ya han sido creadas</t>
  </si>
  <si>
    <t>SAIJDBR28</t>
  </si>
  <si>
    <t>3.3.1 Crear módulo o botón que permita descargar los reportes en datos abiertos (.csv) en todos los roles de usuario</t>
  </si>
  <si>
    <t>SAIJDBR29</t>
  </si>
  <si>
    <t>3.3.2 Modificar opciones de Estatus de "Revisión Integrante y Validado Integrante" a "Revisión Enlace y Validado Enlace"</t>
  </si>
  <si>
    <t>SAIJDBR30</t>
  </si>
  <si>
    <t>3.3.3 Mensaje al SNT de Alerta de inicio y final de Proceso</t>
  </si>
  <si>
    <t>SAIJDBR31</t>
  </si>
  <si>
    <t>3.3.4 Nueva columna de fecha y hora de carga; visualización de tabla inicial con actividades más recientes cargadas</t>
  </si>
  <si>
    <t>SAIJDBR32</t>
  </si>
  <si>
    <t>3.3.5 Agregar filtros de opción múltiple en los combos, es decir, que se puedan elegir más de una opción</t>
  </si>
  <si>
    <t>SAIJDBR33</t>
  </si>
  <si>
    <t>SAIJDBR34</t>
  </si>
  <si>
    <t>3.3.6 Crear nuevo filtro "Región" solo para el rol de Administrador</t>
  </si>
  <si>
    <t>SAIJDBR35</t>
  </si>
  <si>
    <t>3.3.7 Integrar en los 3 roles, en todas las pantallas, el filtro de Numeración para elegir actividad en el formulario</t>
  </si>
  <si>
    <t>SAIJDBR36</t>
  </si>
  <si>
    <t>3.3.8 Pop-ups que describan la acción a realizar en Formulario de Seguimiento de Actividades</t>
  </si>
  <si>
    <t>SAIJDBR37</t>
  </si>
  <si>
    <t>SPRINT 4</t>
  </si>
  <si>
    <t xml:space="preserve">3.3.9 Habilitar botón para que los Enlaces puedan asignar actividades a las UA una vez que éstas ya han sido creadas </t>
  </si>
  <si>
    <t>SAIJDBR38</t>
  </si>
  <si>
    <t>3.4.1 Funcionalidad total del apartado “Configuración de Procesos del SNT” en Rol de Enlace, así como la semaforización conforme al calendario configurado.</t>
  </si>
  <si>
    <t>SAIJDBR39</t>
  </si>
  <si>
    <t>SAIJDBR40</t>
  </si>
  <si>
    <t>3.4.2 Envío automático de correo electrónico para el inicio y fin de carga en los procesos correspondientes (Ruta de Implementación, Seguimiento y Formato ABC)</t>
  </si>
  <si>
    <t>SAIJDBR41</t>
  </si>
  <si>
    <t>3.4.3 Mensaje de Alerta de inicio de Proceso</t>
  </si>
  <si>
    <t>SAIJDBR42</t>
  </si>
  <si>
    <t>3.4.5 Funcionamiento de la apertura y cierre de Procesos en el Sistema para administrador</t>
  </si>
  <si>
    <t>SAIJDBR43</t>
  </si>
  <si>
    <t>SAIJDBR44</t>
  </si>
  <si>
    <t>3.5.1 Crear módulo o botón que permita descargar los reportes en datos abiertos (.csv) en todos los roles de usuario</t>
  </si>
  <si>
    <t>SAIJDBR45</t>
  </si>
  <si>
    <t>3.5.2 Modificar opciones de Estatus de "Revisión Integrante y Validado Integrante" a "Revisión Enlace y Validado Enlace"</t>
  </si>
  <si>
    <t>SAIJDBR46</t>
  </si>
  <si>
    <t>3.5.3 Mensaje de Alerta de inicio de Proceso</t>
  </si>
  <si>
    <t>3.5.4 Nueva columna de fecha y hora de carga; visualización de tabla inicial con actividades más recientes cargadas</t>
  </si>
  <si>
    <t>3.5.5 Agregar filtros de opción múltiple en los combos, es decir, que se puedan elegir más de una opción</t>
  </si>
  <si>
    <t>3.5.6 Crear nuevo filtro "Región"</t>
  </si>
  <si>
    <t>SAIJDBR02</t>
  </si>
  <si>
    <t>SAIJDBR01</t>
  </si>
  <si>
    <t>SAIMAN001</t>
  </si>
  <si>
    <t>https://172.20.32.20/svn/Pizarras4/tags/backend/API-RutasImplementacion</t>
  </si>
  <si>
    <t>SAIMAN002</t>
  </si>
  <si>
    <t>SAIMAN003</t>
  </si>
  <si>
    <t>SAIMAN004</t>
  </si>
  <si>
    <t>SAIMAN005</t>
  </si>
  <si>
    <t>SAIMAN006</t>
  </si>
  <si>
    <t>SAIMAN007</t>
  </si>
  <si>
    <t>SAIMAN008</t>
  </si>
  <si>
    <t>SAIMAN009</t>
  </si>
  <si>
    <t>SAIMAN010</t>
  </si>
  <si>
    <t>SAIMAN011</t>
  </si>
  <si>
    <t>SAIMAN012</t>
  </si>
  <si>
    <t>SAIMAN013</t>
  </si>
  <si>
    <t>SAIMAN014</t>
  </si>
  <si>
    <t>Tipo de gasto</t>
  </si>
  <si>
    <t>SAIGDVM05</t>
  </si>
  <si>
    <t>Ejecución de pruebas SPRINT 1</t>
  </si>
  <si>
    <t>Se verifico el ambiente de pruebas y se inició con la ejecución de las pruebas Internas del SPRINT 1  (1.1)</t>
  </si>
  <si>
    <t>Ejecución y registro de incidentes de las pruebas Internas del SPRINT 1  (1.1)</t>
  </si>
  <si>
    <t>http://172.16.33.34:8000/SIPRON%20PIZARRAS%205/Forms/AllItems.aspx?RootFolder=%2FSIPRON%20PIZARRAS%205%2F02%20EJECUCI%C3%93N%2F04%20Pruebas&amp;FolderCTID=0x01200022B549C5C30EBB44A4C1E26276D73DDB&amp;View={E9ADF662-9DA5-4848-BEED-BA9860EC1C11}</t>
  </si>
  <si>
    <t>SAIGDVM06</t>
  </si>
  <si>
    <t>Ejecución y resgistro de incidentes de las pruebas Internas del SPRINT 1  (1.2)</t>
  </si>
  <si>
    <t>SAIGDVM07</t>
  </si>
  <si>
    <t>Ejecución y resgistro de incidentes de las pruebas Internas del SPRINT 1  (1.3)</t>
  </si>
  <si>
    <t>SAIGDVM08</t>
  </si>
  <si>
    <t>Ejecución y registro de las pruebas Internas del SPRINT 1  (1.4)</t>
  </si>
  <si>
    <t>SAIGDVM09</t>
  </si>
  <si>
    <t>Ejecución y registro de las pruebas Internas del SPRINT 1  (1.5)</t>
  </si>
  <si>
    <t>SAIGDVM10</t>
  </si>
  <si>
    <t>Ejecución y registro de las pruebas Internas del SPRINT 1  (1.6)</t>
  </si>
  <si>
    <t>SAIGDVM11</t>
  </si>
  <si>
    <t>Ejecución y registro de las pruebas Internas del SPRINT 1  (1.7)</t>
  </si>
  <si>
    <t>SAIGDVM12</t>
  </si>
  <si>
    <t>Ejecución y registro de las pruebas Internas del SPRINT 1  (1.8)</t>
  </si>
  <si>
    <t>SAIGDVM13</t>
  </si>
  <si>
    <t>Ejecución de pruebas SPRINT 2</t>
  </si>
  <si>
    <t>Ejecución y registro de las pruebas Internas del SPRINT 2 (MODULO DE PIZARRAS 5)</t>
  </si>
  <si>
    <t>Total Tiempo</t>
  </si>
  <si>
    <t>Total Suma de Costo</t>
  </si>
  <si>
    <t>Suma de Costo</t>
  </si>
  <si>
    <t>diciembre</t>
  </si>
  <si>
    <t>Tipo</t>
  </si>
  <si>
    <t>Enrique Rodriguez Flores</t>
  </si>
  <si>
    <t>Wendy Elizabeth Bonilla Machuca</t>
  </si>
  <si>
    <t>Magdalena Garrido Pérez</t>
  </si>
  <si>
    <t>https://frontdev.plataformadetransparencia.org.mx/sisai/administracion/configuracion-pagos</t>
  </si>
  <si>
    <t>Soporte a servicios, menus, diversos componentes</t>
  </si>
  <si>
    <t>Desarrollo del front-end de pizarras</t>
  </si>
  <si>
    <t>Desarrollo e implementación de las soluciones a los hallazgos de vulnerabilidad de la PNT SIGEMI</t>
  </si>
  <si>
    <t>Desarrollo e implementación de las soluciones a los hallazgos de vulnerabilidad de la PNT SISAI</t>
  </si>
  <si>
    <t>Desarrollo e implementación de las soluciones a los hallazgos de vulnerabilidad de la PNT Modulo de Usuarios</t>
  </si>
  <si>
    <t>Desarrollo e implementación de las soluciones a los hallazgos de vulnerabilidad de la PNT SIPOT</t>
  </si>
  <si>
    <t>Se han trabajado y actualizado todos los módulos a petición de los clientes del sistema SIPRON I</t>
  </si>
  <si>
    <t>Se han trabajado y actualizado todos los módulos a petición de los clientes del sistema SIPRON II</t>
  </si>
  <si>
    <t>Se han trabajado y actualizado todos los módulos a petición de los clientes del sistema SIPRON III</t>
  </si>
  <si>
    <t>Se han trabajado y actualizado todos los módulos a petición de los clientes del sistema SIPRON IV</t>
  </si>
  <si>
    <t>Se han trabajado y actualizado todos los módulos a petición de los clientes del sistema SIPRON V</t>
  </si>
  <si>
    <t>Se descarga el proecto nuevo de quejas y se realizan las conexiones y puebas necesarias para empezar el desarrllo del sistema. Se idetifican los servicios y las tablas necesarias dentro del servicio de guardado de queja</t>
  </si>
  <si>
    <t>Java 1</t>
  </si>
  <si>
    <t>Java 2</t>
  </si>
  <si>
    <t>Oracle</t>
  </si>
  <si>
    <t>QA</t>
  </si>
  <si>
    <t>Solars</t>
  </si>
  <si>
    <t>Java 3</t>
  </si>
  <si>
    <t>hrs dic</t>
  </si>
  <si>
    <t>Traspaso DSTI</t>
  </si>
  <si>
    <t>Solicitud de Ampliación para el contrato OA/C018/2023 a partir del 2 de octubre 2023</t>
  </si>
  <si>
    <t>Requerimientos de los id de reportes estadísticos</t>
  </si>
  <si>
    <t>Desarrollo de servicios rest para funcionalidades específicas de los catálogos federados 1ra parte</t>
  </si>
  <si>
    <t>Desarrollo de servicios rest para funcionalidades específicas de los catálogos federados 2da parte</t>
  </si>
  <si>
    <t>Monitoreo de PNT 1</t>
  </si>
  <si>
    <t>Monitoreo de PNT 2</t>
  </si>
  <si>
    <t>Monitoreo de PNT 3</t>
  </si>
  <si>
    <t>Monitoreo de PNT 4</t>
  </si>
  <si>
    <t>Monitoreo de PNT 5</t>
  </si>
  <si>
    <t>Monitoreo de PNT 6</t>
  </si>
  <si>
    <t>Monitoreo de PNT 7</t>
  </si>
  <si>
    <t>Monitoreo de PNT 8</t>
  </si>
  <si>
    <t>Monitoreo de PNT 9</t>
  </si>
  <si>
    <t>Monitoreo de PNT 10</t>
  </si>
  <si>
    <t>Monitoreo de PNT 11</t>
  </si>
  <si>
    <t>Creación de todos los pods correctamente</t>
  </si>
  <si>
    <t>Se solicitó apoyo para que se modifique la tabla del plan de ayuda de la BD de Desarrollo ("SISAI"."QUEST_SL_TEMP_EXPLAIN1"."OBJECT_NAME")</t>
  </si>
  <si>
    <t>DSVJCC007</t>
  </si>
  <si>
    <t>Implementar adecuaciones al código fuente para atender hallazgos del módulo - SISAI</t>
  </si>
  <si>
    <t>DSVJCC008</t>
  </si>
  <si>
    <t>DSVJCC009</t>
  </si>
  <si>
    <t>Implementar adecuaciones al código fuente para atender hallazgos del módulo - SIGEMI</t>
  </si>
  <si>
    <t>Implementar adecuaciones al código fuente para atender hallazgos del módulo - Modulo de Usuarios</t>
  </si>
  <si>
    <t>DSVJCC010</t>
  </si>
  <si>
    <t>Implementar adecuaciones al código fuente para atender hallazgos del módulo - Modulo de Reportes</t>
  </si>
  <si>
    <t>DSVJCC011</t>
  </si>
  <si>
    <t>Implementar adecuaciones al código fuente para atender hallazgos del módulo - Modulo de Soportes</t>
  </si>
  <si>
    <t>DSMKG021</t>
  </si>
  <si>
    <t>https://172.20.32.20/</t>
  </si>
  <si>
    <t>Modificar los objetos java y de base de datos para incluir la información de email de destinatario, mensaje enviado y nombre de los adjuntos</t>
  </si>
  <si>
    <t>Ajustar los manejadores de persistencia tanto para registrar como para recuperar la formación nueva</t>
  </si>
  <si>
    <t>Analisis de Requerimiento STP</t>
  </si>
  <si>
    <t>Ajustar el motor de los acuses para imprimir la información nueva en caso de existir, tanto desde el módulo de consulta de acuses como en caliente al momento de ejecutar un proceso</t>
  </si>
  <si>
    <t>Recuperar durante el proceso de Comunicado de cumplimiento al recurrente y enviarlo al motor de acuses</t>
  </si>
  <si>
    <t>Recuperar durante el proceso de Comunicado de cumplimiento al sujeto obligado y enviarlo al motor de acuses</t>
  </si>
  <si>
    <t>Realizar validación en proceso para informa al usuario que la notificación no se puede hacer ya que el medio de notificación estar fuera de la PNT</t>
  </si>
  <si>
    <t>Desarrollar la consulta de base de datos para el reporte</t>
  </si>
  <si>
    <t>Desarrollar el script de base de datos para dar los permisos de acceso al módulo de reportes al personal de la DGCR</t>
  </si>
  <si>
    <t>Integrar el nuevo reporte la vista y el controlador del módulo de reportes</t>
  </si>
  <si>
    <t>Integrar servicios para que las respuestas de los cumplimientos de los sujetos obligados se puedan consultar en una vista pública.</t>
  </si>
  <si>
    <t>Integrar servicios para permitir visualizar el mensaje de Vista tal como le llega al recurrente.</t>
  </si>
  <si>
    <t>DSMKG022</t>
  </si>
  <si>
    <t>DSMKG023</t>
  </si>
  <si>
    <t>DSMKG024</t>
  </si>
  <si>
    <t>DSMKG025</t>
  </si>
  <si>
    <t>DSMKG026</t>
  </si>
  <si>
    <t>DSMKG027</t>
  </si>
  <si>
    <t>DSMKG028</t>
  </si>
  <si>
    <t>DSMKG029</t>
  </si>
  <si>
    <t>DSMKG030</t>
  </si>
  <si>
    <t>DSMKG031</t>
  </si>
  <si>
    <t>DSMKG032</t>
  </si>
  <si>
    <t>DSJGRR29</t>
  </si>
  <si>
    <t>Modificación de reporte de turno</t>
  </si>
  <si>
    <t>Desarrollo de formato de Admisión</t>
  </si>
  <si>
    <t xml:space="preserve">Desarrollo de formato de Prevención </t>
  </si>
  <si>
    <t xml:space="preserve">Desarrollo de formato de Desechamiento </t>
  </si>
  <si>
    <t>Desarrollo de reporte preparación de proyecto</t>
  </si>
  <si>
    <t>Modificar Objetos Java (Servicios y persistencia) para obtención de datos de plantillas</t>
  </si>
  <si>
    <t xml:space="preserve">Modificar tabla "medi_tc_plant_acuerdo_conf" para importación de plantillas </t>
  </si>
  <si>
    <t>Modificar las tablas MEDI_TC_MENU_ROL y MEDI_TC_PANTALLA_ROL para permisos a los roles que podran descargar Plantilla Desechamiento y Preparacion Resolucion</t>
  </si>
  <si>
    <t>Recuperar fechas de SISAI (ultima respuesta y limite respuesta) y agregar los dias requeridos para mostrar en plantilla desechamiento en el Service</t>
  </si>
  <si>
    <t xml:space="preserve">Modificar Servicios para incorporar la plantilla Desechamiento en el Modulo de Generacion de Acuerdos </t>
  </si>
  <si>
    <t xml:space="preserve">Modificar Servisios para la plantilla de Preparacion de Resolucion e incorporarla en el Modulo de Generación de Acuerdos </t>
  </si>
  <si>
    <t>Analizar RFC</t>
  </si>
  <si>
    <t>DSJGRR30</t>
  </si>
  <si>
    <t>DSJGRR31</t>
  </si>
  <si>
    <t>DSJGRR32</t>
  </si>
  <si>
    <t>DSJGRR33</t>
  </si>
  <si>
    <t>DSJGRR34</t>
  </si>
  <si>
    <t>DSJGRR35</t>
  </si>
  <si>
    <t>DSJGRR36</t>
  </si>
  <si>
    <t>DSJGRR37</t>
  </si>
  <si>
    <t>DSJGRR38</t>
  </si>
  <si>
    <t>DSJGRR39</t>
  </si>
  <si>
    <t>DSJGRR40</t>
  </si>
  <si>
    <t>DSJGRR41</t>
  </si>
  <si>
    <t>http://repositoriosdgis.ifai.org.mx/Pagina%20Web/Actividades%20Ricardo%20Olivares%202023/Actividad%20Diciembre%202023/Visualizacion%20de%20sitio%20IP%20de%20prueba.docx</t>
  </si>
  <si>
    <t>Se vizualiza el sitio y se hacen pruebas de funcionalidad</t>
  </si>
  <si>
    <t>Se cominza con la entrega del codigo</t>
  </si>
  <si>
    <t>http://repositoriosdgis.ifai.org.mx/Pagina%20Web/Actividades%20Ricardo%20Olivares%202023/Actividad%20Diciembre%202023/llenado%20de%20orden%20de%20trabajo.docx</t>
  </si>
  <si>
    <t>Se hace el llenado de la OT</t>
  </si>
  <si>
    <t>http://repositoriosdgis.ifai.org.mx/Pagina%20Web/Actividades%20Ricardo%20Olivares%202023/Actividad%20Diciembre%202023/carga%20sitio.docx</t>
  </si>
  <si>
    <t>Se hace la carga de base ded atos y habilitar VH</t>
  </si>
  <si>
    <t>http://repositoriosdgis.ifai.org.mx/Pagina%20Web/Actividades%20Ricardo%20Olivares%202023/Actividad%20Diciembre%202023/carga%20de%20archivo%20por%20ftp.docx</t>
  </si>
  <si>
    <t>Se continua con la carga del siito por ftp</t>
  </si>
  <si>
    <t>Se hace la carga del sitio por FTP</t>
  </si>
  <si>
    <t>SAWERF01</t>
  </si>
  <si>
    <t>SAWERF02</t>
  </si>
  <si>
    <t>SAWERF03</t>
  </si>
  <si>
    <t>SAWERF04</t>
  </si>
  <si>
    <t>SAWERF05</t>
  </si>
  <si>
    <t>SAWERF06</t>
  </si>
  <si>
    <t>SAWERF07</t>
  </si>
  <si>
    <t>SAWERF08</t>
  </si>
  <si>
    <t>SAWERF09</t>
  </si>
  <si>
    <t>SAWERF10</t>
  </si>
  <si>
    <t>SAWERF11</t>
  </si>
  <si>
    <t>SAWERF012</t>
  </si>
  <si>
    <t>SAWERF013</t>
  </si>
  <si>
    <t>SAWERF014</t>
  </si>
  <si>
    <t>SAWERF015</t>
  </si>
  <si>
    <t>SAWERF016</t>
  </si>
  <si>
    <t>SAWERF017</t>
  </si>
  <si>
    <t>SAWERF018</t>
  </si>
  <si>
    <t>SAWERF019</t>
  </si>
  <si>
    <t>SAWERF020</t>
  </si>
  <si>
    <t>SAWERF021</t>
  </si>
  <si>
    <t>SAWERF22</t>
  </si>
  <si>
    <t>SAWERF23</t>
  </si>
  <si>
    <t>SAWERF24</t>
  </si>
  <si>
    <t>SAWERF25</t>
  </si>
  <si>
    <t>SAWERF26</t>
  </si>
  <si>
    <t>Se valida el funcionamiento de los servicios de registro de quejas para datos personales</t>
  </si>
  <si>
    <t>Se valida el funcionamiento de los servicios de respuesta de solicitudes disponibilidad con costo y rpevencion</t>
  </si>
  <si>
    <t>Se valida el funcionamiento de los servicios de descargar de adjuntos para quejas</t>
  </si>
  <si>
    <t>Cambio de urls para endpoints</t>
  </si>
  <si>
    <t>Se cambian las direcciones url para los servicios que consume la app</t>
  </si>
  <si>
    <t>Se valida el funcionamiento de los servicios de regtsitro de estadisticos en buscadores nacionales</t>
  </si>
  <si>
    <t>Se valida el funcionamiento de los servicios de regtsitro de estadisticos en datos de perfil</t>
  </si>
  <si>
    <t>Se valida el funcionamiento de los servicios de regtsitro de borrado de token movil y registro de token</t>
  </si>
  <si>
    <t>Apoyo a liberacion Google Play</t>
  </si>
  <si>
    <t>Se realiza el apoyo para realizar un compilado y configuracion de google play store</t>
  </si>
  <si>
    <t>Liberacion a tiendas y resolucion de incidencias</t>
  </si>
  <si>
    <t>Se realiza el apoyo para realizar un compilados,corregir incidencias registradas por tiendas</t>
  </si>
  <si>
    <t>SPDAEMF017</t>
  </si>
  <si>
    <t>SPDAEMF018</t>
  </si>
  <si>
    <t>SPDAEMF019</t>
  </si>
  <si>
    <t>SPDAEMF020</t>
  </si>
  <si>
    <t>SPDAEMF021</t>
  </si>
  <si>
    <t>SPDAEMF02</t>
  </si>
  <si>
    <t>SPDAEMF023</t>
  </si>
  <si>
    <t>SPDAEMF024</t>
  </si>
  <si>
    <t>SPDAEMF025</t>
  </si>
  <si>
    <t>SPDAEMF026</t>
  </si>
  <si>
    <t>SPDAEMF027</t>
  </si>
  <si>
    <t>SPDAEMF028</t>
  </si>
  <si>
    <t xml:space="preserve">actualizacin avance de proyecto </t>
  </si>
  <si>
    <t xml:space="preserve">actualizacion sitio servicio profecional </t>
  </si>
  <si>
    <t xml:space="preserve">actualizacion micrositio Resoluciones  </t>
  </si>
  <si>
    <t>actualizacion micrositio Buscadores</t>
  </si>
  <si>
    <t>actualizacion pagina web</t>
  </si>
  <si>
    <t xml:space="preserve">actualizacion Parlamento abierto </t>
  </si>
  <si>
    <t>actualizacion servicios profecionales</t>
  </si>
  <si>
    <t>actualizacion revista  PVYS</t>
  </si>
  <si>
    <t xml:space="preserve">actualizacion micrositio criterios </t>
  </si>
  <si>
    <t xml:space="preserve">actualizacion Resoluciones </t>
  </si>
  <si>
    <t xml:space="preserve">actualizacion micrositio abramos mexico </t>
  </si>
  <si>
    <t>actualizacion revista SyT</t>
  </si>
  <si>
    <t xml:space="preserve">Actualizacion sitio cambio de control </t>
  </si>
  <si>
    <t xml:space="preserve">actualizacion estatus de requerimientos </t>
  </si>
  <si>
    <t>actualizacion inventarios de micrositios</t>
  </si>
  <si>
    <t xml:space="preserve">Actualizacion Control Interno </t>
  </si>
  <si>
    <t xml:space="preserve">Actualizacion micrositio criterios del SNT </t>
  </si>
  <si>
    <t xml:space="preserve">actualizacion elemento de control </t>
  </si>
  <si>
    <t xml:space="preserve">actualizacion version de SACP </t>
  </si>
  <si>
    <t xml:space="preserve">actualizacion status de requerimiento </t>
  </si>
  <si>
    <t xml:space="preserve">actualizacion inventario de micrositio </t>
  </si>
  <si>
    <t xml:space="preserve">elementos de control interno asociados </t>
  </si>
  <si>
    <t xml:space="preserve">actualizacion ambiente de control parametros </t>
  </si>
  <si>
    <t xml:space="preserve">actualizacion AC principios basicos </t>
  </si>
  <si>
    <t xml:space="preserve">actualizacion ambiente de control asociados </t>
  </si>
  <si>
    <t xml:space="preserve">actualizacion administracion de riesgos parametros </t>
  </si>
  <si>
    <t xml:space="preserve">actualizacion admin de riesgos principios basicos </t>
  </si>
  <si>
    <t xml:space="preserve">actualizacion admin de riesgo elemento de control interno </t>
  </si>
  <si>
    <t xml:space="preserve">actualizacion de actividad de control parametros </t>
  </si>
  <si>
    <t xml:space="preserve">actualizacion de actividad de control principios basicos </t>
  </si>
  <si>
    <t xml:space="preserve">actualizacion de actividad de control elementos de control internos </t>
  </si>
  <si>
    <t>actualizacion de supervision y mejora continua parametros</t>
  </si>
  <si>
    <t>actualizacion de supervision y mejora continua principios basicos</t>
  </si>
  <si>
    <t xml:space="preserve">actualizacion de supervision y mejora continua de elementos de control interno </t>
  </si>
  <si>
    <t>SAWYLVM182</t>
  </si>
  <si>
    <t>SAWYLVM183</t>
  </si>
  <si>
    <t>SAWYLVM184</t>
  </si>
  <si>
    <t>SAWYLVM185</t>
  </si>
  <si>
    <t>SAWYLVM186</t>
  </si>
  <si>
    <t>SAWYLVM187</t>
  </si>
  <si>
    <t>SAWYLVM188</t>
  </si>
  <si>
    <t>SAWYLVM189</t>
  </si>
  <si>
    <t>SAWYLVM190</t>
  </si>
  <si>
    <t>SAWYLVM191</t>
  </si>
  <si>
    <t>SAWYLVM192</t>
  </si>
  <si>
    <t>SAWYLVM193</t>
  </si>
  <si>
    <t>SAWYLVM194</t>
  </si>
  <si>
    <t>SAWYLVM195</t>
  </si>
  <si>
    <t>SAWYLVM196</t>
  </si>
  <si>
    <t>SAWYLVM197</t>
  </si>
  <si>
    <t>SAWYLVM198</t>
  </si>
  <si>
    <t>SAWYLVM199</t>
  </si>
  <si>
    <t>SAWYLVM200</t>
  </si>
  <si>
    <t>SAWYLVM201</t>
  </si>
  <si>
    <t>SAWYLVM202</t>
  </si>
  <si>
    <t>SAWYLVM203</t>
  </si>
  <si>
    <t>SAWYLVM204</t>
  </si>
  <si>
    <t>SAWYLVM205</t>
  </si>
  <si>
    <t>SAWYLVM206</t>
  </si>
  <si>
    <t>SAWYLVM207</t>
  </si>
  <si>
    <t>SAWYLVM208</t>
  </si>
  <si>
    <t>SAWYLVM209</t>
  </si>
  <si>
    <t>SAWYLVM210</t>
  </si>
  <si>
    <t>SAWYLVM211</t>
  </si>
  <si>
    <t>SAWYLVM212</t>
  </si>
  <si>
    <t>SAWYLVM213</t>
  </si>
  <si>
    <t>SAWYLVM214</t>
  </si>
  <si>
    <t>SAWYLVM215</t>
  </si>
  <si>
    <t>SAWYLVM216</t>
  </si>
  <si>
    <t>SAWYLVM217</t>
  </si>
  <si>
    <t>SAWYLVM218</t>
  </si>
  <si>
    <t>SAWYLVM219</t>
  </si>
  <si>
    <t>SAWYLVM220</t>
  </si>
  <si>
    <t>SAWYLVM221</t>
  </si>
  <si>
    <t>SAWYLVM222</t>
  </si>
  <si>
    <t>SAWYLVM223</t>
  </si>
  <si>
    <t>SAWYLVM224</t>
  </si>
  <si>
    <t>SAWYLVM225</t>
  </si>
  <si>
    <t>SAWYLVM226</t>
  </si>
  <si>
    <t>SAWYLVM227</t>
  </si>
  <si>
    <t>SAWYLVM228</t>
  </si>
  <si>
    <t>SAWYLVM229</t>
  </si>
  <si>
    <t>SAWYLVM230</t>
  </si>
  <si>
    <t>SPDCGF064</t>
  </si>
  <si>
    <t>Pruebas SAST</t>
  </si>
  <si>
    <t>Ejecutar primer ciclo de pruebas SAST</t>
  </si>
  <si>
    <t>https://ifai-my.sharepoint.com/personal/carlos_miranda_inai_org_mx/_layouts/15/onedrive.aspx?ga=1&amp;id=%2Fpersonal%2Fcarlos%5Fmiranda%5Finai%5Forg%5Fmx%2FDocuments%2FProyecto%20Nueva%20Arq%20de%20la%20PNT%20%28Eliminaci%C3%B3n%20de%20Liferay%29%2F9%2E%20Pruebas%2F3%2E%20Seguridad%2FPruebas%2020231110</t>
  </si>
  <si>
    <t>SPDCGF065</t>
  </si>
  <si>
    <t xml:space="preserve">Atender vulnerabilidades SAST módulo - Catálogos </t>
  </si>
  <si>
    <t xml:space="preserve">Modificar código para atender vulnerabilidades del módulo  de Catálogos </t>
  </si>
  <si>
    <t>https://github.com/INAIMexico/pnt-microservicios-catalogos-comunes</t>
  </si>
  <si>
    <t>SPDCGF066</t>
  </si>
  <si>
    <t>Atender vulnerabilidades SAST módulo - Commons</t>
  </si>
  <si>
    <t xml:space="preserve">Modificar código para atender vulnerabilidades del módulo  de Commons </t>
  </si>
  <si>
    <t>https://github.com/INAIMexico/pnt-microservicios-comunes</t>
  </si>
  <si>
    <t>SPDCGF067</t>
  </si>
  <si>
    <t>Atender vulnerabilidades SAST módulo - Buscador inteligente</t>
  </si>
  <si>
    <t xml:space="preserve">Modificar código para atender vulnerabilidades del módulo  de Buscador Inteligente </t>
  </si>
  <si>
    <t>https://github.com/INAIMexico/pnt-microservicios-buscador-inteligente</t>
  </si>
  <si>
    <t>SPDCGF068</t>
  </si>
  <si>
    <t>Atender vulnerabilidades SAST módulo - Datos Abiertos</t>
  </si>
  <si>
    <t xml:space="preserve">Modificar código para atender vulnerabilidades del módulo  de Datos Abiertos </t>
  </si>
  <si>
    <t>https://github.com/INAIMexico/pnt-microservicios-datos-abiertos</t>
  </si>
  <si>
    <t>SPDCGF069</t>
  </si>
  <si>
    <t>Atender vulnerabilidades SAST módulo - Catálogos Federados</t>
  </si>
  <si>
    <t>Modificar código para atender vulnerabilidades del módulo  de Catálogos Federados</t>
  </si>
  <si>
    <t>https://github.com/INAIMexico/pnt-microservicios-federado</t>
  </si>
  <si>
    <t>SPDCGF070</t>
  </si>
  <si>
    <t>Atender vulnerabilidades SAST módulo - Administracion de avisos</t>
  </si>
  <si>
    <t xml:space="preserve">Modificar código para atender vulnerabilidades del módulo  de Administración de avisos </t>
  </si>
  <si>
    <t>https://github.com/INAIMexico/pnt-microservicios-administracion</t>
  </si>
  <si>
    <t>SPDCGF071</t>
  </si>
  <si>
    <t>Atender vulnerabilidades SAST módulo - Configuracion</t>
  </si>
  <si>
    <t xml:space="preserve">Modificar código para atender vulnerabilidades del módulo  de Configuración </t>
  </si>
  <si>
    <t>** compartido en cada uno de los anteriores ( gateway/config-server/eureka)</t>
  </si>
  <si>
    <t>SPDCGF072</t>
  </si>
  <si>
    <t>Atender vulnerabilidades SAST módulo - Usuarios</t>
  </si>
  <si>
    <t xml:space="preserve">Modificar código para atender vulnerabilidades del módulo  de Usuarios </t>
  </si>
  <si>
    <t>https://github.com/INAIMexico/pnt-microservicios-usuarios</t>
  </si>
  <si>
    <t>SPDCGF073</t>
  </si>
  <si>
    <t>Registro de la Queja</t>
  </si>
  <si>
    <t xml:space="preserve">Implementar validaciones para la obligatoriedad de los campos en el registro de la queja </t>
  </si>
  <si>
    <t>SPDCGF074</t>
  </si>
  <si>
    <t>Desarrollo adjuntos de sicom</t>
  </si>
  <si>
    <t>Funcionalidad para poner en la comunicación el nombre del adjunto que se subió en sicom</t>
  </si>
  <si>
    <t>SPDCGF075</t>
  </si>
  <si>
    <t>Desarrollo flujos de audiencia</t>
  </si>
  <si>
    <t>Implementar funcionalidad para agregar el flujo de audiencia</t>
  </si>
  <si>
    <t>SPDCGF076</t>
  </si>
  <si>
    <t>Desarrollo de descarga adjunto de la solicitud</t>
  </si>
  <si>
    <t xml:space="preserve">Funcionalidad para descargar  adjunto de la solicitud </t>
  </si>
  <si>
    <t>SPDCGF077</t>
  </si>
  <si>
    <t>Modificar pantalla de seguimiento</t>
  </si>
  <si>
    <t xml:space="preserve">Modificar pantalla de las notificacioens para que actualice los datos  cuado se realice el tracking </t>
  </si>
  <si>
    <t>SPDCGF078</t>
  </si>
  <si>
    <t>Modificar pantalla para implementar el ordenamiento de mayor a menor en las notificaciones y RIA's</t>
  </si>
  <si>
    <t>SPDCGF079</t>
  </si>
  <si>
    <t>Notificaciones de SICOM</t>
  </si>
  <si>
    <t>Desarrollo para mostrar texto de las notificaciones que se genero en sicom</t>
  </si>
  <si>
    <t>SPDCGF080</t>
  </si>
  <si>
    <t>Desarrollo en cierre de instrucción</t>
  </si>
  <si>
    <t xml:space="preserve">Desarrollo para que en el cierre de instrucción mostrar el texto que se manda desde sigemi </t>
  </si>
  <si>
    <t>SPDCGF081</t>
  </si>
  <si>
    <t>Configuración de jvm para Fonts de reportes en Jasper</t>
  </si>
  <si>
    <t>Implementar configuración para considerar Fonts de tipo Arial para los reportes de Jasper</t>
  </si>
  <si>
    <t xml:space="preserve">Modificar registro de respuesta a  requerimiento de comunicación </t>
  </si>
  <si>
    <t>Modificar generación de acuse de comunicaciones</t>
  </si>
  <si>
    <t>SPDCGF062</t>
  </si>
  <si>
    <t>SPDCGF063</t>
  </si>
  <si>
    <t>Preparación de casos de prueba y validando accesos para inicio de pruebas del módulo de usuarios</t>
  </si>
  <si>
    <t>Se terminan de validar los casos de prueba de testlink para iniciar las pruebas del módulo de usuarios</t>
  </si>
  <si>
    <t>\\vcifs\tercerizado2023\Evidencias Tercerización 2023\Ingeniero de Prueba\Diciembre\Semana 1</t>
  </si>
  <si>
    <t>inicio de pruebas módulo de usuarios</t>
  </si>
  <si>
    <t>Se da inicio a las pruebas de módulo de usuarios</t>
  </si>
  <si>
    <t>\\vcifs\tercerizado2023\Evidencias Tercerización 2023\Ingeniero de Prueba\Diciembre\Semana 2</t>
  </si>
  <si>
    <t>incidencias encontradas en módulo de usuarios</t>
  </si>
  <si>
    <t>Se hace la detección de incidencias durante las pruebas de módulo de usuarios</t>
  </si>
  <si>
    <t>documentación de incidencias encontradas</t>
  </si>
  <si>
    <t>Se hace la documentación de las incidencias encontradas durante las pruebas de módulo de usuarios</t>
  </si>
  <si>
    <t xml:space="preserve">seguimiento del documento de SNT </t>
  </si>
  <si>
    <t>Se hace un nuevo seguimiento al dócumento de criterios de interpretación SNT</t>
  </si>
  <si>
    <t>Validación de la nueva versión del sitio de criterios de Interpretación SNT</t>
  </si>
  <si>
    <t>Se hace una validación de la nueva versión del micrositio de criterios de interpretación SNT</t>
  </si>
  <si>
    <t>Se contninua con la revisión de los casos de prueba y documento de SNT</t>
  </si>
  <si>
    <t>Se continua con la validación y revisión de los casos para las pruebasde la nueva versión de SNT</t>
  </si>
  <si>
    <t>Documentación de nuevos casos de prueba SNT</t>
  </si>
  <si>
    <t>Se registran nuevos casos de la nueva versión de pruebas SNT</t>
  </si>
  <si>
    <t>\\vcifs\tercerizado2023\Evidencias Tercerización 2023\Ingeniero de Prueba\Diciembre\Semana 3</t>
  </si>
  <si>
    <t>Inicio de pruebas del sistema de criterios de interpretación SNT</t>
  </si>
  <si>
    <t>Se inician las pruebas del sistema de criterios de interpretación SNT</t>
  </si>
  <si>
    <t>Ejecución de pruebas de de criterios de interpretación SNT Buscadores</t>
  </si>
  <si>
    <t>Se realiza la ejecución de las pruebas de sitio de Criterios de Interpretación SNT de la parte de Buscadores</t>
  </si>
  <si>
    <t>Se hace la documentación de las pruebas de SNT Buscadores</t>
  </si>
  <si>
    <t>Se termina la validación y se documentan las pruebas del sitio Criterios de interpretación SNT Buscadores</t>
  </si>
  <si>
    <t>Se continuancon las pruebas de Criterios de interpretación SNT</t>
  </si>
  <si>
    <t>Se continua con la realización de las pruebas del sitio Criterios de Interpretación SNT Sitio</t>
  </si>
  <si>
    <t>\\vcifs\tercerizado2023\Evidencias Tercerización 2023\Ingeniero de Prueba\Diciembre\Semana 4</t>
  </si>
  <si>
    <t>Se hace la documentación de las pruebas de SNT</t>
  </si>
  <si>
    <t>Se documentan las pruebas de criterios de interpretación SNT sitio</t>
  </si>
  <si>
    <t xml:space="preserve">Se genera el documento de incidencias y se registran en testlink </t>
  </si>
  <si>
    <t>Se genera el documento de incidencias y se registran en testlink para su revisión con el equipo de desarrollo</t>
  </si>
  <si>
    <t>Usuarios</t>
  </si>
  <si>
    <t>Sistema de criterios de Interpretación SNT</t>
  </si>
  <si>
    <t>SPDMALG19</t>
  </si>
  <si>
    <t>SPDMALG20</t>
  </si>
  <si>
    <t>SPDMALG21</t>
  </si>
  <si>
    <t>SPDMALG22</t>
  </si>
  <si>
    <t>SAWMALG001</t>
  </si>
  <si>
    <t>SAWMALG002</t>
  </si>
  <si>
    <t>SAWMALG003</t>
  </si>
  <si>
    <t>SAWMALG004</t>
  </si>
  <si>
    <t>SAWMALG005</t>
  </si>
  <si>
    <t>SAWMALG006</t>
  </si>
  <si>
    <t>SAWMALG007</t>
  </si>
  <si>
    <t>SAWMALG008</t>
  </si>
  <si>
    <t>SAWMALG009</t>
  </si>
  <si>
    <t>SAWMALG010</t>
  </si>
  <si>
    <t>SAWMALG011</t>
  </si>
  <si>
    <t>Cambio de proyecto</t>
  </si>
  <si>
    <t>Se realizo reunion con el equipo para revisiar el nuevo proyecto, ver como levantarlo</t>
  </si>
  <si>
    <t>Plantilla para expediente</t>
  </si>
  <si>
    <t>Se genero el componente para el expediente</t>
  </si>
  <si>
    <t>Plantilla para resolución</t>
  </si>
  <si>
    <t>Se genero el componente para la resolución</t>
  </si>
  <si>
    <t>Plantilla para Proyectista</t>
  </si>
  <si>
    <t>Se genero el componente para el proyectista</t>
  </si>
  <si>
    <t>Servicio para catalogos</t>
  </si>
  <si>
    <t>Se genero un servicio dummy para la carga de los catalogos</t>
  </si>
  <si>
    <t>Manejo de rutas</t>
  </si>
  <si>
    <t xml:space="preserve">Se realiza un analisis para ver como esta implementado el manejo de las rutas dentro del nuevo sistema </t>
  </si>
  <si>
    <t>Migración de selector</t>
  </si>
  <si>
    <t>Se hace uso del componente existente, para esto se analisa como esta la implementación del mismo para poder hacer uso de el</t>
  </si>
  <si>
    <t>Llamado al servicio para lista de federación</t>
  </si>
  <si>
    <t>Se hace el llamado al servicio existente</t>
  </si>
  <si>
    <t>Servicio para filtrar expedientes</t>
  </si>
  <si>
    <t>Se genera la base del servicio para poder realizar el filtrado de expedientes</t>
  </si>
  <si>
    <t xml:space="preserve">Manejo de roles </t>
  </si>
  <si>
    <t>Se hace la implementación para enviar los parametros necesarios de acuerdo al rol que tenga el usuario en sesion</t>
  </si>
  <si>
    <t>SAIOVP014</t>
  </si>
  <si>
    <t>SAIOVP015</t>
  </si>
  <si>
    <t>SAIOVP016</t>
  </si>
  <si>
    <t>SAIOVP017</t>
  </si>
  <si>
    <t>SAIOVP018</t>
  </si>
  <si>
    <t>SAIOVP019</t>
  </si>
  <si>
    <t>SAIOVP020</t>
  </si>
  <si>
    <t>SAIOVP021</t>
  </si>
  <si>
    <t>SAIOVP022</t>
  </si>
  <si>
    <t>SAIOVP023</t>
  </si>
  <si>
    <t>Se detecto cambio en vista de 'BI.IMPUGNACIONES_VWM_QUEJAS_ESTADISTICAS' por campo de 'ID_STATUS'</t>
  </si>
  <si>
    <t>Se detecto cambio en vista de 'BI.IMPUGNACIONES_VWM_QUEJAS_ESTADISTICAS' ya que el campo de 'ID_STATUS' ya cambio por 'ID_ESTATUS'</t>
  </si>
  <si>
    <t>Se reconstruyerón las consultas del 1er procedimiento de 'OBTENER_MEDIOREGISTRO' de QUEJAS</t>
  </si>
  <si>
    <t>Se trabajó con los ajustes del 1er procedimiento de 'OBTENER_MEDIOREGISTRO', por  campo actualizado</t>
  </si>
  <si>
    <t>Se trabajó con los ajustes del 1er procedimiento de 'OBTENER_MEDIOREGISTRO', con el cambio del campo actualizado en la vista materializada, se compila sin errores</t>
  </si>
  <si>
    <t>Se validó el paquete-procedimiento 'OBTENER_MEDIOREGISTRO' con el bloque anónimo correcto y se tuvo un resultado exitoso con la salida del cursor completo de nuevo</t>
  </si>
  <si>
    <t>Se reconstruyerón las consultas del 2do procedimiento de 'OBTENER_MEDIONOTIFICACION' de QUEJAS</t>
  </si>
  <si>
    <t>Se trabajó con los ajustes del 2do procedimiento de 'OBTENER_MEDIONOTIFICACION', con el cambio del campo</t>
  </si>
  <si>
    <t>Se trabajó con los ajustes del 2do procedimiento de 'OBTENER_MEDIONOTIFICACION', con el cambio del campo actualizado en la vista materializada, se compila sin errores</t>
  </si>
  <si>
    <t>Se validó el paquete-procedimiento 'OBTENER_MEDIONOTIFICACION' con el bloque anónimo correcto y se tuvo un resultado exitoso con la salida del cursor completo de nuevo</t>
  </si>
  <si>
    <t>Se reconstruyerón las consultas del 3er procedimiento de 'OBTENER_TIPOSTATUS' de QUEJAS</t>
  </si>
  <si>
    <t>Se trabajó con los ajustes del 3er procedimiento de 'OBTENER_TIPOSTATUS', con el campo actualizado</t>
  </si>
  <si>
    <t>Se trabajó con los ajustes del 3er procedimiento de 'OBTENER_TIPOSTATUS', con el cambio del campo actualizado en la vista materializada, se compila sin errores</t>
  </si>
  <si>
    <t>Se validó el paquete-procedimiento 'OBTENER_TIPOSTATUS' con el bloque anónimo correcto y se tuvo un resultado exitoso con la salida del cursor completo de nuevo</t>
  </si>
  <si>
    <t>Se reconstruyerón las consultas del 4to procedimiento de 'OBTENER_TIPOMEDIOIMPUGNACION' de QUEJAS</t>
  </si>
  <si>
    <t>Se trabajó con los ajustes del 4to procedimiento de 'OBTENER_TIPOMEDIOIMPUGNACION', por campo actualizado</t>
  </si>
  <si>
    <t>Se trabajó con los ajustes del 4to procedimiento de 'OBTENER_TIPOMEDIOIMPUGNACION', con el cambio del campo actualizado en la vista materializada, se compila sin errores</t>
  </si>
  <si>
    <t>Se validó el paquete-procedimiento 'OBTENER_TIPOMEDIOIMPUGNACION' con el bloque anónimo correcto y se tuvo un resultado exitoso con la salida del cursor completo de nuevo</t>
  </si>
  <si>
    <t>Se reconstruyerón las consultas del 5to procedimiento de 'OBTENER_FG_AMPLIADO' de QUEJAS</t>
  </si>
  <si>
    <t>Se trabajó con los ajustes del 5to procedimiento de 'OBTENER_FG_AMPLIADO', por campo actualizado</t>
  </si>
  <si>
    <t>Se trabajó con los ajustes del 5to procedimiento de 'OBTENER_FG_AMPLIADO', con el cambio del campo actualizado en la vista materializada, se compila sin errores</t>
  </si>
  <si>
    <t>Se validó el paquete-procedimiento 'OBTENER_FG_AMPLIADO' con el bloque anónimo correcto y se tuvo un resultado exitoso con la salida del cursor completo de nuevo</t>
  </si>
  <si>
    <t>Se reconstruyerón las consultas del 6to procedimiento de 'OBTENER_FG_ADMITIDO' de QUEJAS</t>
  </si>
  <si>
    <t>Se trabajó con los ajustes del 6to procedimiento de 'OBTENER_FG_ADMITIDO', por campo actualizado</t>
  </si>
  <si>
    <t>Se trabajó con los ajustes del 6to procedimiento de 'OBTENER_FG_ADMITIDO', con el cambio del campo actualizado en la vista materializada, se compila sin errores</t>
  </si>
  <si>
    <t>Se validó el paquete-procedimiento 'OBTENER_FG_ADMITIDO' con el bloque anónimo correcto y se tuvo un resultado exitoso con la salida del cursor completo de nuevo</t>
  </si>
  <si>
    <t>Se reconstruyerón las consultas del 7mo procedimiento de 'OBTENER_FG_PREVENIDO' de QUEJAS</t>
  </si>
  <si>
    <t>Se trabajó con los ajustes del 7mo procedimiento de 'OBTENER_FG_PREVENIDO', por  campo actualizado</t>
  </si>
  <si>
    <t>Se trabajó con los ajustes del 7mo procedimiento de 'OBTENER_FG_PREVENIDO', con el cambio del campo actualizado en la vista materializada, se compila sin errores</t>
  </si>
  <si>
    <t>Se validó el paquete-procedimiento 'OBTENER_FG_PREVENIDO' con el bloque anónimo correcto y se tuvo un resultado exitoso con la salida del cursor completo de nuevo</t>
  </si>
  <si>
    <t>Se reconstruyerón las consultas del 8vo procedimiento de 'OBTENER_FG_DESECHADO' de QUEJAS</t>
  </si>
  <si>
    <t>Se trabajó con los ajustes del 8vo procedimiento de 'OBTENER_FG_DESECHADO', por campo actualizado</t>
  </si>
  <si>
    <t>Se trabajó con los ajustes del 8vo procedimiento de 'OBTENER_FG_DESECHADO', con el cambio del campo actualizado en la vista materializada, se compila sin errores</t>
  </si>
  <si>
    <t>Se validó el paquete-procedimiento 'OBTENER_FG_DESECHADO' con el bloque anónimo correcto y se tuvo un resultado exitoso con la salida del cursor completo de nuevo</t>
  </si>
  <si>
    <t>Se reconstruyerón las consultas del 9no procedimiento de 'OBTENER_FECHAINTERPOSICION' de QUEJAS</t>
  </si>
  <si>
    <t>Se trabajó con los ajustes del 9no procedimiento de 'OBTENER_FECHAINTERPOSICION', por campo actualizado</t>
  </si>
  <si>
    <t>Se trabajó con los ajustes del 9no procedimiento de 'OBTENER_FECHAINTERPOSICION', con el cambio del campo actualizado en la vista materializada, se compila sin errores</t>
  </si>
  <si>
    <t>Se validó el paquete-procedimiento 'OBTENER_FECHAINTERPOSICION' con el bloque anónimo correcto y se tuvo un resultado exitoso con la salida del cursor completo de nuevo</t>
  </si>
  <si>
    <t>Se reconstruyerón las consultas del 10mo procedimiento de 'OBTENER_FG_RESOLUCION' de QUEJAS</t>
  </si>
  <si>
    <t>Se trabajó con los ajustes del 10mo procedimiento de 'OBTENER_FG_RESOLUCION', por campo actualizado</t>
  </si>
  <si>
    <t>Se trabajó con los ajustes del 10mo procedimiento de 'OBTENER_FG_RESOLUCION', con el cambio del campo actualizado en la vista materializada, se compila sin errores</t>
  </si>
  <si>
    <t>Se validó el paquete-procedimiento 'OBTENER_FG_RESOLUCION' con el bloque anónimo correcto y se tuvo un resultado exitoso con la salida del cursor completo de nuevo</t>
  </si>
  <si>
    <t xml:space="preserve">Se revisó el archivo 'Querys_Estadisiticas_Totales Nuevo' </t>
  </si>
  <si>
    <t>Se revisó el archivo 'Querys_Estadisiticas_Totales Nuevo' proporcionado por Samuel</t>
  </si>
  <si>
    <t>https://ifai-my.sharepoint.com/:w:/r/personal/samuel_partida_inai_org_mx/_layouts/15/Doc.aspx?sourcedoc=%7BA1D90F5F-3565-4282-BD9E-D565696C0BAB%7D&amp;file=Querys_Estadisiticas_Totales_NUEVO_1223NRG.docx&amp;action=default&amp;mobileredirect=true</t>
  </si>
  <si>
    <t>Se dio retroalimentación rapida a Samuel sobre archivo 'Querys_Estadisiticas_Totales Nuevo'</t>
  </si>
  <si>
    <t>Se dio retroalimentación rapida a Samuel sobre cuantos querys se van a trabajar del archivo 'Querys_Estadisiticas_Totales Nuevo'</t>
  </si>
  <si>
    <t>Se revisó el query 1 de 'TOTAL DE SOLICITUDES DE INFORMACIÓN' del archivo 'Querys_Estadisiticas_Totales_Nvo'</t>
  </si>
  <si>
    <t>Se revisó el query 1 de 'TOTAL DE SOLICITUDES DE INFORMACIÓN' del archivo 'Querys_Estadisiticas_Totales Nuevo' de forma general, para verificar si no hay dudas a revisar con Samuel</t>
  </si>
  <si>
    <t>Se revisó el query 1 de 'TOTAL DE RECURSOS DE REVISIÓN INGRESADOS ' del archivo 'Querys_Estadisiticas_Totales_Nvo' de forma general</t>
  </si>
  <si>
    <t>Se revisó el query 1 de 'TOTAL DE RECURSOS DE REVISIÓN INGRESADOS ' del archivo 'Querys_Estadisiticas_Totales_Nuevo' de forma general, para verificar si no hay dudas a revisar con Samuel</t>
  </si>
  <si>
    <t>Se revisó el query 2 de 'TOTAL DE RECURSOS DE REVISIÓN INGRESADOS ' del archivo 'Querys_Estadisiticas_Totales_Nvo' de forma general</t>
  </si>
  <si>
    <t>Se revisó el query 2 de 'TOTAL DE RECURSOS DE REVISIÓN INGRESADOS ' del archivo 'Querys_Estadisiticas_Totales_Nuevo' de forma general, para verificar si no hay dudas a revisar con Samuel</t>
  </si>
  <si>
    <t>Se revisó el query 3 de 'TOTAL DE RECURSOS DE REVISIÓN INGRESADOS ' del archivo 'Querys_Estadisiticas_Totales_Nvo' de forma general</t>
  </si>
  <si>
    <t>Se revisó el query 3 de 'TOTAL DE RECURSOS DE REVISIÓN INGRESADOS ' del archivo 'Querys_Estadisiticas_Totales_Nuevo' de forma general, para verificar si no hay dudas a revisar con Samuel</t>
  </si>
  <si>
    <t>Se revisó el query 1 de 'TOTAL DE RECURSOS DE REVISIÓN GESTIONADOS' del archivo 'Querys_Estadisiticas_Totales_Nvo' de forma general</t>
  </si>
  <si>
    <t>Se revisó el query 1 de 'TOTAL DE RECURSOS DE REVISIÓN GESTIONADOS' del archivo 'Querys_Estadisiticas_Totales_Nuevo' de forma general, para verificar si no hay dudas a revisar con Samuel</t>
  </si>
  <si>
    <t>Se revisó el query 1 de 'TOTAL DE OBLIGACIONES DE TRANSPARENCIA' del archivo 'Querys_Estadisiticas_Totales_Nvo' de forma general</t>
  </si>
  <si>
    <t>Se revisó el query 1 de 'TOTAL DE OBLIGACIONES DE TRANSPARENCIA' del archivo 'Querys_Estadisiticas_Totales_Nuevo' de forma general, para verificar si no hay dudas a revisar con Samuel</t>
  </si>
  <si>
    <t>Se revisó el query 1 de 'TOTAL CONSULTA EN LOS BUSCADORES' del archivo 'Querys_Estadisiticas_Totales_Nvo' de forma general</t>
  </si>
  <si>
    <t>Se revisó el query 1 de 'TOTAL CONSULTA EN LOS BUSCADORES' del archivo 'Querys_Estadisiticas_Totales_Nuevo' de forma general, para verificar si no hay dudas a revisar con Samuel</t>
  </si>
  <si>
    <t>Se revisó el query 2 de 'TOTAL CONSULTA EN LOS BUSCADORES' del archivo 'Querys_Estadisiticas_Totales_Nvo' de forma general</t>
  </si>
  <si>
    <t>Se revisó el query 2 de 'TOTAL CONSULTA EN LOS BUSCADORES' del archivo 'Querys_Estadisiticas_Totales_Nuevo' de forma general, para verificar si no hay dudas a revisar con Samuel</t>
  </si>
  <si>
    <t>Se revisó el query 3 de 'TOTAL CONSULTA EN LOS BUSCADORES' del archivo 'Querys_Estadisiticas_Totales_Nvo' de forma general</t>
  </si>
  <si>
    <t>Se revisó el query 3 de 'TOTAL CONSULTA EN LOS BUSCADORES' del archivo 'Querys_Estadisiticas_Totales_Nuevo' de forma general, para verificar si no hay dudas a revisar con Samuel</t>
  </si>
  <si>
    <t>Se revisó el query 1 de 'TOTAL TEMAS BIG DATA DE LOS REGISTROS DE SOLICITUDES' del archivo 'Querys_Estadisiticas_Totales_Nvo' de forma general</t>
  </si>
  <si>
    <t>Se revisó el query 1 de 'TOTAL TEMAS BIG DATA DE LOS REGISTROS DE SOLICITUDES' del archivo 'Querys_Estadisiticas_Totales_Nuevo' de forma general, para verificar si no hay dudas a revisar con Samuel</t>
  </si>
  <si>
    <t>Se revisó el query 1 de 'TEMAS BIG DATA' del archivo 'Querys_Estadisiticas_Totales_Nvo' de forma general</t>
  </si>
  <si>
    <t>Se revisó el query 1 de 'TEMAS BIG DATA' del archivo 'Querys_Estadisiticas_Totales_Nuevo' de forma general, para verificar si no hay dudas a revisar con Samuel</t>
  </si>
  <si>
    <t>Se revisó el query 1 de 'TOTAL DE SOLICITUDES' del archivo 'Querys_Estadisiticas_Totales_Nvo' de forma general</t>
  </si>
  <si>
    <t>Se revisó el query 1 de 'TOTAL DE SOLICITUDES' del archivo 'Querys_Estadisiticas_Totales_Nuevo' de forma general, para verificar si no hay dudas a revisar con Samuel</t>
  </si>
  <si>
    <t>Se comenzó a trabajar con el query 1 'TOTAL DE SOLICITUDES DE INFORMACIÓN' del archivo 'Querys_Estadisiticas_Totales_Nvo'</t>
  </si>
  <si>
    <t>Se comenzó a trabajar con el query 1 'TOTAL DE SOLICITUDES DE INFORMACIÓN' del archivo 'Querys_Estadisiticas_Totales_Nvo', validando información para analizar forma de mejorar lo</t>
  </si>
  <si>
    <t>Se revisó el Query #1 del archivo IEDEPNT para la Funcionalidad 1 'TOTAL DE SOLICITUDES DE INFORMACIÓN'</t>
  </si>
  <si>
    <t>Se revisó el Query #1 del archivo IEDEPNT para la Funcionalidad 1 'TOTAL DE SOLICITUDES DE INFORMACIÓN', se hicieron las primeras ejecuciones con los parámetros para entender su funcionamiento</t>
  </si>
  <si>
    <t>Se optimizó el Query #1 del archivo IEDEPNT (Funcionalidad 1) para tener una versión mejorada</t>
  </si>
  <si>
    <t>Se optimizó el Query #1 del archivo IEDEPNT (Funcionalidad 1) para tener una versión mejorada en tiempo de respuesta y costo</t>
  </si>
  <si>
    <t>Se actualizó el documento 'Querys_Estadisiticas_Totales_Nvo' con los comentarios sobre el Query 1 de la Funcionalidad 1</t>
  </si>
  <si>
    <t>Se actualizó el documento 'Querys_Estadisiticas_Totales_Nuevo' con los comentarios sobre el Query 1 de la Funcionalidad 1</t>
  </si>
  <si>
    <t>Se revisó el Query #1 del archivo IEDEPNT para la Funcionalidad 2 'TOTAL DE RECURSOS DE REVISIÓN INGRESADOS - Recursos de HCOM E INFOMEX'</t>
  </si>
  <si>
    <t>Se revisó el Query #1 del archivo IEDEPNT para la Funcionalidad 2 'TOTAL DE RECURSOS DE REVISIÓN INGRESADOS - Recursos de HCOM E INFOMEX', se hicieron las primeras ejecuciones con los parámetros para entender su funcionamiento</t>
  </si>
  <si>
    <t>Se optimizó el Query #1 del archivo IEDEPNT (Funcionalidad 2) para tener una versión mejorada</t>
  </si>
  <si>
    <t>Se optimizó el Query #1 del archivo IEDEPNT (Funcionalidad 2) para tener una versión mejorada en tiempo de respuesta y costo</t>
  </si>
  <si>
    <t>Se actualizó el documento 'Querys_Estadisiticas_Totales_Nvo' con los comentarios sobre el Query 1 de la Funcionalidad 2</t>
  </si>
  <si>
    <t>Se actualizó el documento 'Querys_Estadisiticas_Totales_Nuevo' con los comentarios sobre el Query 1 de la Funcionalidad 2</t>
  </si>
  <si>
    <t>Se revisó el Query #2 del archivo IEDEPNT para la Funcionalidad 2 'TOTAL DE RECURSOS DE REVISIÓN INGRESADOS - Obtiene los recursos de revisión interpuestos'</t>
  </si>
  <si>
    <t>Se revisó el Query #2 del archivo IEDEPNT para la Funcionalidad 2 'TOTAL DE RECURSOS DE REVISIÓN INGRESADOS - Obtiene los recursos de revisión interpuestos', se hicieron las primeras ejecuciones con los parámetros para entender su funcionamiento</t>
  </si>
  <si>
    <t>Se optimizó el Query #2 del archivo IEDEPNT (Funcionalidad 2) para tener una versión mejorada</t>
  </si>
  <si>
    <t>Se optimizó el Query #2 del archivo IEDEPNT (Funcionalidad 2) para tener una versión mejorada en tiempo de respuesta y costo</t>
  </si>
  <si>
    <t>Se actualizó el documento 'Querys_Estadisiticas_Totales_Nvo' con los comentarios sobre el Query 2 de la Funcionalidad 2</t>
  </si>
  <si>
    <t>Se actualizó el documento 'Querys_Estadisiticas_Totales_Nuevo' con los comentarios sobre el Query 2 de la Funcionalidad 2</t>
  </si>
  <si>
    <t>Se revisó el Query #3 del archivo IEDEPNT para la Funcionalidad 2 'TOTAL DE RECURSOS DE REVISIÓN INGRESADOS - Obtiene los recursos de revisión gestionados fuera'</t>
  </si>
  <si>
    <t>Se revisó el Query #3 del archivo IEDEPNT para la Funcionalidad 2 'TOTAL DE RECURSOS DE REVISIÓN INGRESADOS - Obtiene los recursos de revisión gestionados fuera', se hicieron las primeras ejecuciones con los parámetros para entender su funcionamiento</t>
  </si>
  <si>
    <t>Se optimizó el Query #3 del archivo IEDEPNT (Funcionalidad 2) para tener una versión mejorada</t>
  </si>
  <si>
    <t>Se optimizó el Query #3 del archivo IEDEPNT (Funcionalidad 2) para tener una versión mejorada en tiempo de respuesta y costo</t>
  </si>
  <si>
    <t>Se actualizó el documento 'Querys_Estadisiticas_Totales_Nvo' con los comentarios sobre el Query 3 de la Funcionalidad 2</t>
  </si>
  <si>
    <t>Se actualizó el documento 'Querys_Estadisiticas_Totales_Nuevo' con los comentarios sobre el Query 3 de la Funcionalidad 2</t>
  </si>
  <si>
    <t>Se revisó el Query #1 del archivo IEDEPNT para la Funcionalidad 3 'TOTAL DE RECURSOS DE REVISIÓN GESTIONADOS'</t>
  </si>
  <si>
    <t>Se revisó el Query #1 del archivo IEDEPNT para la Funcionalidad 3 'TOTAL DE RECURSOS DE REVISIÓN GESTIONADOS', se hicieron las primeras ejecuciones con los parámetros para entender su funcionamiento</t>
  </si>
  <si>
    <t>Se optimizó el Query #1 del archivo IEDEPNT (Funcionalidad 3) para tener una versión mejorada</t>
  </si>
  <si>
    <t>Se optimizó el Query #1 del archivo IEDEPNT (Funcionalidad 3) para tener una versión mejorada en tiempo de respuesta y costo</t>
  </si>
  <si>
    <t>Se actualizó el documento 'Querys_Estadisiticas_Totales_Nvo' con los comentarios sobre el Query 1 de la Funcionalidad 3</t>
  </si>
  <si>
    <t>Se actualizó el documento 'Querys_Estadisiticas_Totales_Nuevo' con los comentarios sobre el Query 1 de la Funcionalidad 3</t>
  </si>
  <si>
    <t>Se revisó el Query #1 del archivo IEDEPNT para la Funcionalidad 4 'TOTAL DE OBLIGACIONES DE TRANSPARENCIA'</t>
  </si>
  <si>
    <t>Se revisó el Query #1 del archivo IEDEPNT para la Funcionalidad 4 'TOTAL DE OBLIGACIONES DE TRANSPARENCIA', se hicieron las primeras ejecuciones con los parámetros para entender su funcionamiento</t>
  </si>
  <si>
    <t>Se optimizó el Query #1 del archivo IEDEPNT (Funcionalidad 4) para tener una versión mejorada</t>
  </si>
  <si>
    <t>Se optimizó el Query #1 del archivo IEDEPNT (Funcionalidad 4) para tener una versión mejorada en tiempo de respuesta y costo</t>
  </si>
  <si>
    <t>Se actualizó el documento 'Querys_Estadisiticas_Totales_Nvo' con los comentarios sobre el Query 1 de la Funcionalidad 4</t>
  </si>
  <si>
    <t>Se actualizó el documento 'Querys_Estadisiticas_Totales_Nuevo' con los comentarios sobre el Query 1 de la Funcionalidad 4</t>
  </si>
  <si>
    <t>Se revisó el Query #1 del archivo IEDEPNT para la Funcionalidad 5 'TOTAL CONSULTA EN LOS BUSCADORES - Buscador Nacional'</t>
  </si>
  <si>
    <t>Se revisó el Query #1 del archivo IEDEPNT para la Funcionalidad 5 'TOTAL CONSULTA EN LOS BUSCADORES - Buscador Nacional', se hicieron las primeras ejecuciones con los parámetros para entender su funcionamiento</t>
  </si>
  <si>
    <t>Se optimizó el Query #1 del archivo IEDEPNT (Funcionalidad 5) para tener una versión mejorada</t>
  </si>
  <si>
    <t>Se optimizó el Query #1 del archivo IEDEPNT (Funcionalidad 5) para tener una versión mejorada en tiempo de respuesta y costo</t>
  </si>
  <si>
    <t>Se actualizó el documento 'Querys_Estadisiticas_Totales_Nvo' con los comentarios sobre el Query 1 de la Funcionalidad 5</t>
  </si>
  <si>
    <t>Se actualizó el documento 'Querys_Estadisiticas_Totales_Nuevo' con los comentarios sobre el Query 1 de la Funcionalidad 5</t>
  </si>
  <si>
    <t>Se revisó el Query #2| del archivo IEDEPNT para la Funcionalidad 5 'TOTAL CONSULTA EN LOS BUSCADORES - Buscadores temáticos'</t>
  </si>
  <si>
    <t>Se revisó el Query #2 del archivo IEDEPNT para la Funcionalidad 5 'TOTAL CONSULTA EN LOS BUSCADORES - Buscadores temáticos', se hicieron las primeras ejecuciones con los parámetros para entender su funcionamiento</t>
  </si>
  <si>
    <t>Se actualizó el documento 'Querys_Estadisiticas_Totales_Nvo' con los comentarios sobre el Query 2 de la Funcionalidad 5</t>
  </si>
  <si>
    <t>Se actualizó el documento 'Querys_Estadisiticas_Totales_Nuevo' con los comentarios sobre el Query 2 de la Funcionalidad 5</t>
  </si>
  <si>
    <t>Se revisó el Query #3| del archivo IEDEPNT para la Funcionalidad 5 'TOTAL CONSULTA EN LOS BUSCADORES - Buscador de Género'</t>
  </si>
  <si>
    <t>Se revisó el Query #3 del archivo IEDEPNT para la Funcionalidad 5 'TOTAL CONSULTA EN LOS BUSCADORES - Buscador de Género', se hicieron las primeras ejecuciones con los parámetros para entender su funcionamiento</t>
  </si>
  <si>
    <t>Se optimizó el Query #3 del archivo IEDEPNT (Funcionalidad 5) para tener una versión mejorada</t>
  </si>
  <si>
    <t>Se optimizó el Query #3 del archivo IEDEPNT (Funcionalidad 5) para tener una versión mejorada en tiempo de respuesta y costo</t>
  </si>
  <si>
    <t>Se creó el nuevo procedimiento 'FUNC5_TOTCONSBUSCADODGENEROQ3'</t>
  </si>
  <si>
    <t>Se creó el nuevo procedimiento 'FUNC5_TOTCONSBUSCADODGENEROQ3' en el paquete 'PACK_SISAI3', con la funcionalidad del Query #2</t>
  </si>
  <si>
    <t>Se verificó campo por campo del query 3 de la Funcionalidad 5, validando el tipo de dato y longitud exactos</t>
  </si>
  <si>
    <t>Se declararon las variables en bloque anónimo con validación exacta de tamaños de tipos de datos, del query 3 de la Funcionalidad 5</t>
  </si>
  <si>
    <t>Se validó el paquete-procedimiento de la funcionalidad 5 - Query # 3 con el bloque anónimo correcto</t>
  </si>
  <si>
    <t xml:space="preserve">Se validó el paquete-procedimiento de la funcionalidad 5 - Query # 3 con el bloque anónimo correcto y se tuvo un resultado exitoso con la salida del cursor completo </t>
  </si>
  <si>
    <t>Se actualizó el documento 'Querys_Estadisiticas_Totales_Nvo' con los comentarios sobre el Query 3 de la Funcionalidad 5</t>
  </si>
  <si>
    <t>Se actualizó el documento 'Querys_Estadisiticas_Totales_Nuevo' con los comentarios sobre el Query 3 de la Funcionalidad 5</t>
  </si>
  <si>
    <t>Se revisó el Query #1| del archivo IEDEPNT para la Funcionalidad 6 'TOTAL TEMAS BIG DATA DE LOS REGISTROS DE SOLICITUDES'</t>
  </si>
  <si>
    <t>Se revisó el Query #1 del archivo IEDEPNT para la Funcionalidad 6 'TOTAL TEMAS BIG DATA DE LOS REGISTROS DE SOLICITUDES', se hicieron las primeras ejecuciones con los parámetros para entender su funcionamiento</t>
  </si>
  <si>
    <t>Se optimizó el Query #1 del archivo IEDEPNT (Funcionalidad 6) para tener una versión mejorada</t>
  </si>
  <si>
    <t>Se optimizó el Query #1 del archivo IEDEPNT (Funcionalidad 6) para tener una versión mejorada en tiempo de respuesta y costo</t>
  </si>
  <si>
    <t>Se creó el nuevo procedimiento 'FUNC6_TOTTEMBIGDATAREGSOLQ1'</t>
  </si>
  <si>
    <t>Se creó el nuevo procedimiento 'FUNC6_TOTTEMBIGDATAREGSOLQ1' en el paquete 'PACK_SISAI3', con la funcionalidad del Query #1</t>
  </si>
  <si>
    <t>Se actualizó el documento 'Querys_Estadisiticas_Totales_Nvo' con los comentarios sobre el Query 1 de la Funcionalidad 6</t>
  </si>
  <si>
    <t>Se actualizó el documento 'Querys_Estadisiticas_Totales_Nuevo' con los comentarios sobre el Query 1 de la Funcionalidad 6</t>
  </si>
  <si>
    <t>Se revisó el Query #1| del archivo IEDEPNT para la Funcionalidad 7 'TEMAS BIG DATA'</t>
  </si>
  <si>
    <t>Se revisó el Query #1 del archivo IEDEPNT para la Funcionalidad 7 'TEMAS BIG DATA', se hicieron las primeras ejecuciones con los parámetros para entender su funcionamiento</t>
  </si>
  <si>
    <t>Se optimizó el Query #1 del archivo IEDEPNT (Funcionalidad 7) para tener una versión mejorada</t>
  </si>
  <si>
    <t>Se optimizó el Query #1 del archivo IEDEPNT (Funcionalidad 7) para tener una versión mejorada en tiempo de respuesta y costo</t>
  </si>
  <si>
    <t>Se creó el nuevo procedimiento 'FUNC7_TEMBIGDATAQ1'</t>
  </si>
  <si>
    <t>Se creó el nuevo procedimiento 'FUNC7_TEMBIGDATAQ1' en el paquete 'PACK_SISAI3', con la funcionalidad del Query #1</t>
  </si>
  <si>
    <t>Se actualizó el documento 'Querys_Estadisiticas_Totales_Nvo' con los comentarios sobre el Query 1 de la Funcionalidad 7</t>
  </si>
  <si>
    <t>Se actualizó el documento 'Querys_Estadisiticas_Totales_Nuevo' con los comentarios sobre el Query 1 de la Funcionalidad 7</t>
  </si>
  <si>
    <t>Se revisó el Query #1| del archivo IEDEPNT para la Funcionalidad 8 'TOTAL DE SOLICITUDES'</t>
  </si>
  <si>
    <t>Se revisó el Query #1 del archivo IEDEPNT para la Funcionalidad 8 'TOTAL DE SOLICITUDES', se hicieron las primeras ejecuciones con los parámetros para entender su funcionamiento</t>
  </si>
  <si>
    <t>Se optimizó el Query #1 del archivo IEDEPNT (Funcionalidad 8) para tener una versión mejorada</t>
  </si>
  <si>
    <t>Se optimizó el Query #1 del archivo IEDEPNT (Funcionalidad 8) para tener una versión mejorada en tiempo de respuesta y costo</t>
  </si>
  <si>
    <t>Se creó el nuevo procedimiento 'FUNC8_TOTSOLICITUDESQ1'</t>
  </si>
  <si>
    <t>Se creó el nuevo procedimiento 'FUNC8_TOTSOLICITUDESQ1' en el paquete 'PACK_SISAI3', con la funcionalidad del Query #1</t>
  </si>
  <si>
    <t>Se actualizó el documento 'Querys_Estadisiticas_Totales_Nvo' con los comentarios sobre el Query 1 de la Funcionalidad 8</t>
  </si>
  <si>
    <t>Se actualizó el documento 'Querys_Estadisiticas_Totales_Nuevo' con los comentarios sobre el Query 1 de la Funcionalidad 8</t>
  </si>
  <si>
    <t>Se revalidaron de forma general las consultas de los queris mejorados</t>
  </si>
  <si>
    <t>Se revalidaron de forma general las consultas de los queris mejorados para determinar si aún había algo mas a mejorar</t>
  </si>
  <si>
    <t>Se actualizaron algunos de los procedimientos con las ultimas mejoras detectadas</t>
  </si>
  <si>
    <t>SSIVHRL533</t>
  </si>
  <si>
    <t>SSIVHRL534</t>
  </si>
  <si>
    <t>SSIVHRL535</t>
  </si>
  <si>
    <t>SSIVHRL536</t>
  </si>
  <si>
    <t>SSIVHRL537</t>
  </si>
  <si>
    <t>SSIVHRL538</t>
  </si>
  <si>
    <t>SSIVHRL539</t>
  </si>
  <si>
    <t>SSIVHRL540</t>
  </si>
  <si>
    <t>SSIVHRL541</t>
  </si>
  <si>
    <t>SSIVHRL542</t>
  </si>
  <si>
    <t>SSIVHRL543</t>
  </si>
  <si>
    <t>SSIVHRL544</t>
  </si>
  <si>
    <t>SSIVHRL545</t>
  </si>
  <si>
    <t>SSIVHRL546</t>
  </si>
  <si>
    <t>SSIVHRL547</t>
  </si>
  <si>
    <t>SSIVHRL548</t>
  </si>
  <si>
    <t>SSIVHRL549</t>
  </si>
  <si>
    <t>SSIVHRL550</t>
  </si>
  <si>
    <t>SSIVHRL551</t>
  </si>
  <si>
    <t>SSIVHRL552</t>
  </si>
  <si>
    <t>SSIVHRL553</t>
  </si>
  <si>
    <t>SSIVHRL554</t>
  </si>
  <si>
    <t>SSIVHRL555</t>
  </si>
  <si>
    <t>SSIVHRL556</t>
  </si>
  <si>
    <t>SSIVHRL557</t>
  </si>
  <si>
    <t>SSIVHRL558</t>
  </si>
  <si>
    <t>SSIVHRL559</t>
  </si>
  <si>
    <t>SSIVHRL560</t>
  </si>
  <si>
    <t>SSIVHRL561</t>
  </si>
  <si>
    <t>SSIVHRL562</t>
  </si>
  <si>
    <t>SSIVHRL563</t>
  </si>
  <si>
    <t>SSIVHRL564</t>
  </si>
  <si>
    <t>SSIVHRL565</t>
  </si>
  <si>
    <t>SSIVHRL566</t>
  </si>
  <si>
    <t>SSIVHRL567</t>
  </si>
  <si>
    <t>SSIVHRL568</t>
  </si>
  <si>
    <t>SSIVHRL569</t>
  </si>
  <si>
    <t>SSIVHRL570</t>
  </si>
  <si>
    <t>SSIVHRL571</t>
  </si>
  <si>
    <t>SSIVHRL572</t>
  </si>
  <si>
    <t>SSIVHRL573</t>
  </si>
  <si>
    <t>SSIVHRL574</t>
  </si>
  <si>
    <t>SSIVHRL575</t>
  </si>
  <si>
    <t>SSIVHRL576</t>
  </si>
  <si>
    <t>SSIVHRL577</t>
  </si>
  <si>
    <t>SSIVHRL578</t>
  </si>
  <si>
    <t>SSIVHRL579</t>
  </si>
  <si>
    <t>SSIVHRL580</t>
  </si>
  <si>
    <t>SSIVHRL581</t>
  </si>
  <si>
    <t>SSIVHRL582</t>
  </si>
  <si>
    <t>SSIVHRL583</t>
  </si>
  <si>
    <t>SSIVHRL584</t>
  </si>
  <si>
    <t>SSIVHRL585</t>
  </si>
  <si>
    <t>SSIVHRL586</t>
  </si>
  <si>
    <t>SSIVHRL587</t>
  </si>
  <si>
    <t>SSIVHRL588</t>
  </si>
  <si>
    <t>SSIVHRL589</t>
  </si>
  <si>
    <t>SSIVHRL590</t>
  </si>
  <si>
    <t>SSIVHRL591</t>
  </si>
  <si>
    <t>SSIVHRL592</t>
  </si>
  <si>
    <t>SSIVHRL593</t>
  </si>
  <si>
    <t>SSIVHRL594</t>
  </si>
  <si>
    <t>SSIVHRL595</t>
  </si>
  <si>
    <t>SSIVHRL596</t>
  </si>
  <si>
    <t>SSIVHRL597</t>
  </si>
  <si>
    <t>SSIVHRL598</t>
  </si>
  <si>
    <t>SSIVHRL599</t>
  </si>
  <si>
    <t>SSIVHRL600</t>
  </si>
  <si>
    <t>SSIVHRL601</t>
  </si>
  <si>
    <t>SSIVHRL602</t>
  </si>
  <si>
    <t>SSIVHRL603</t>
  </si>
  <si>
    <t>SSIVHRL604</t>
  </si>
  <si>
    <t>SSIVHRL605</t>
  </si>
  <si>
    <t>SSIVHRL606</t>
  </si>
  <si>
    <t>SSIVHRL607</t>
  </si>
  <si>
    <t>SSIVHRL608</t>
  </si>
  <si>
    <t>SSIVHRL609</t>
  </si>
  <si>
    <t>SSIVHRL610</t>
  </si>
  <si>
    <t>SSIVHRL611</t>
  </si>
  <si>
    <t>SSIVHRL612</t>
  </si>
  <si>
    <t>SSIVHRL613</t>
  </si>
  <si>
    <t>SSIVHRL614</t>
  </si>
  <si>
    <t>SSIVHRL615</t>
  </si>
  <si>
    <t>SSIVHRL616</t>
  </si>
  <si>
    <t>SSIVHRL617</t>
  </si>
  <si>
    <t>SSIVHRL618</t>
  </si>
  <si>
    <t>SSIVHRL619</t>
  </si>
  <si>
    <t>SSIVHRL620</t>
  </si>
  <si>
    <t>SSIVHRL621</t>
  </si>
  <si>
    <t>SSIVHRL622</t>
  </si>
  <si>
    <t>SSIVHRL623</t>
  </si>
  <si>
    <t>SSIVHRL624</t>
  </si>
  <si>
    <t>SSIVHRL625</t>
  </si>
  <si>
    <t>SSIVHRL626</t>
  </si>
  <si>
    <t>SSIVHRL627</t>
  </si>
  <si>
    <t>SSIVHRL628</t>
  </si>
  <si>
    <t>SSIVHRL629</t>
  </si>
  <si>
    <t>SSIVHRL630</t>
  </si>
  <si>
    <t>SSIVHRL631</t>
  </si>
  <si>
    <t>SSIVHRL632</t>
  </si>
  <si>
    <t>SSIVHRL633</t>
  </si>
  <si>
    <t>SSIVHRL634</t>
  </si>
  <si>
    <t>SSIVHRL635</t>
  </si>
  <si>
    <t>SSIVHRL636</t>
  </si>
  <si>
    <t>SSIVHRL637</t>
  </si>
  <si>
    <t>SSIVHRL638</t>
  </si>
  <si>
    <t>SSIVHRL639</t>
  </si>
  <si>
    <t>SSIVHRL640</t>
  </si>
  <si>
    <t>SSIVHRL641</t>
  </si>
  <si>
    <t>SSIVHRL642</t>
  </si>
  <si>
    <t>SSIVHRL643</t>
  </si>
  <si>
    <t>SSIVHRL644</t>
  </si>
  <si>
    <t>SSIVHRL645</t>
  </si>
  <si>
    <t>SSIVHRL646</t>
  </si>
  <si>
    <t>SSIVHRL647</t>
  </si>
  <si>
    <t>SSIVHRL648</t>
  </si>
  <si>
    <t>SSIVHRL649</t>
  </si>
  <si>
    <t>SSIVHRL650</t>
  </si>
  <si>
    <t>SSIVHRL651</t>
  </si>
  <si>
    <t>SSIVHRL652</t>
  </si>
  <si>
    <t>SSIVHRL653</t>
  </si>
  <si>
    <t>SSIVHRL654</t>
  </si>
  <si>
    <t>SSIVHRL655</t>
  </si>
  <si>
    <t>SSIVHRL656</t>
  </si>
  <si>
    <t>SSIVHRL657</t>
  </si>
  <si>
    <t>SSIVHRL658</t>
  </si>
  <si>
    <t>SSIVHRL659</t>
  </si>
  <si>
    <t>SSIVHRL660</t>
  </si>
  <si>
    <t>SSIVHRL661</t>
  </si>
  <si>
    <t>SSIVHRL662</t>
  </si>
  <si>
    <t>SSIVHRL663</t>
  </si>
  <si>
    <t>SSIVHRL664</t>
  </si>
  <si>
    <t>SSIVHRL665</t>
  </si>
  <si>
    <t>SSIVHRL666</t>
  </si>
  <si>
    <t>SAIPMCJ046</t>
  </si>
  <si>
    <t>SAIPMCJ047</t>
  </si>
  <si>
    <t>SAIPMCJ048</t>
  </si>
  <si>
    <t>SAIPMCJ049</t>
  </si>
  <si>
    <t>Presentación avance semanal del 27 de noviembre al 01 de diciembre 2023</t>
  </si>
  <si>
    <t>SAIPMCJ050</t>
  </si>
  <si>
    <t>SIPRON-PIZARRAS 6</t>
  </si>
  <si>
    <t>SAIPMCJ051</t>
  </si>
  <si>
    <t>SIPRON-PIZARRAS 7</t>
  </si>
  <si>
    <t>SAIPMCJ052</t>
  </si>
  <si>
    <t>SIPRON-PIZARRAS 8</t>
  </si>
  <si>
    <t>SAIPMCJ053</t>
  </si>
  <si>
    <t>SIPRON-PIZARRAS 9</t>
  </si>
  <si>
    <t>SAIPMCJ054</t>
  </si>
  <si>
    <t>SIPRON-PIZARRAS 10</t>
  </si>
  <si>
    <t>SAIPMCJ055</t>
  </si>
  <si>
    <t>SIPRON-PIZARRAS 11</t>
  </si>
  <si>
    <t>SAIPMCJ056</t>
  </si>
  <si>
    <t>SAIPMCJ057</t>
  </si>
  <si>
    <t>Presentación avance semanal del 04 al 08 de diciembre 2023</t>
  </si>
  <si>
    <t>SAIPMCJ058</t>
  </si>
  <si>
    <t>SAIPMCJ059</t>
  </si>
  <si>
    <t>SAIPMCJ060</t>
  </si>
  <si>
    <t>SAIPMCJ061</t>
  </si>
  <si>
    <t>SAIPMCJ062</t>
  </si>
  <si>
    <t>SAIPMCJ063</t>
  </si>
  <si>
    <t>SAIPMCJ064</t>
  </si>
  <si>
    <t>SAIPMCJ065</t>
  </si>
  <si>
    <t>Presentación avance semanal del 11 al 15 de diciembre 2023</t>
  </si>
  <si>
    <t>SAIPMCJ066</t>
  </si>
  <si>
    <t>SAIPMCJ067</t>
  </si>
  <si>
    <t>SAIPMCJ068</t>
  </si>
  <si>
    <t>SAIPMCJ069</t>
  </si>
  <si>
    <t>SAIPMCJ070</t>
  </si>
  <si>
    <t>SAIPMCJ071</t>
  </si>
  <si>
    <t>SAIPMCJ072</t>
  </si>
  <si>
    <t>Presentación avance semanal del 18 al 22 de diciembre 2026</t>
  </si>
  <si>
    <t>SAIPMCJ073</t>
  </si>
  <si>
    <t>SAIPMCJ074</t>
  </si>
  <si>
    <t>SAIPMCJ075</t>
  </si>
  <si>
    <t>SAIPMCJ076</t>
  </si>
  <si>
    <t>Ejecución y registro de incidentes de las pruebas Internas del SPRINT 5</t>
  </si>
  <si>
    <t>Ejecución y registro de incidentes de las pruebas Internas del SPRINT 3</t>
  </si>
  <si>
    <t>Ejecución y resgistro de incidentes de las pruebas Internas del SPRINT 4</t>
  </si>
  <si>
    <t>SAIGDVM14</t>
  </si>
  <si>
    <t>SAIGDVM15</t>
  </si>
  <si>
    <t>SAIGDVM16</t>
  </si>
  <si>
    <t>SPRINT 5</t>
  </si>
  <si>
    <t>3.5.7 Activar flechas para ordenar por abreviatura de integrante</t>
  </si>
  <si>
    <t>3.5.8 Agregar un cuadro que lleve el conteo de las altas, bajas o cambios que se van realizando por el integrante, mismo que pueda ser visualizado tanto por este como por el administrador, uno general y uno individual.</t>
  </si>
  <si>
    <t>3.5.9 Contar con un control que permita habilitar o deshabilitar el formato ABC</t>
  </si>
  <si>
    <t xml:space="preserve">3.5.10 Habilitar botón para que los Enlaces puedan asignar actividades a las UA una vez que éstas ya han sido creadas </t>
  </si>
  <si>
    <t>SPRINT 1 Integración Front y Back</t>
  </si>
  <si>
    <t>SPRINT 2 Integración Front y Back</t>
  </si>
  <si>
    <t>Cobertura de Acividades</t>
  </si>
  <si>
    <t>Cobertura del programa por Region</t>
  </si>
  <si>
    <t>Estatus Cumplimiento</t>
  </si>
  <si>
    <t>Avance por Integrante</t>
  </si>
  <si>
    <t>Cuadro Comparativo</t>
  </si>
  <si>
    <t>SPRINT 3 Integración Front y Back</t>
  </si>
  <si>
    <t>2.5.1 Cambiar nombre de Integrante por Abreviatura de la Entidad Federativa</t>
  </si>
  <si>
    <t>SPRINT 4 Integración Front y Back</t>
  </si>
  <si>
    <t>3.4.4 Activar flechas para ordenar por abreviatura de integrante</t>
  </si>
  <si>
    <t>SPRINT 5 Integración Front y Back</t>
  </si>
  <si>
    <t>SAIJDBR47</t>
  </si>
  <si>
    <t>SAIJDBR48</t>
  </si>
  <si>
    <t>SAIJDBR49</t>
  </si>
  <si>
    <t>SAIJDBR50</t>
  </si>
  <si>
    <t>SAIJDBR51</t>
  </si>
  <si>
    <t>SAIJDBR52</t>
  </si>
  <si>
    <t>SAIJDBR53</t>
  </si>
  <si>
    <t>SAIJDBR54</t>
  </si>
  <si>
    <t>SAIJDBR55</t>
  </si>
  <si>
    <t>SAIJDBR56</t>
  </si>
  <si>
    <t>SAIJDBR57</t>
  </si>
  <si>
    <t>SAIJDBR58</t>
  </si>
  <si>
    <t>SAIJDBR59</t>
  </si>
  <si>
    <t>SAIJDBR60</t>
  </si>
  <si>
    <t>SAIJDBR61</t>
  </si>
  <si>
    <t>SAIJDBR62</t>
  </si>
  <si>
    <t>SAIJDBR63</t>
  </si>
  <si>
    <t>SAIJDBR64</t>
  </si>
  <si>
    <t>SAIJDBR65</t>
  </si>
  <si>
    <t>SAIJDBR66</t>
  </si>
  <si>
    <t>SAIJDBR67</t>
  </si>
  <si>
    <t>SAIJDBR68</t>
  </si>
  <si>
    <t>SAIJDBR69</t>
  </si>
  <si>
    <t>SAIJDBR70</t>
  </si>
  <si>
    <t>SAIJDBR71</t>
  </si>
  <si>
    <t>SAIJDBR72</t>
  </si>
  <si>
    <t>SAIJDBR73</t>
  </si>
  <si>
    <t>SAIJDBR74</t>
  </si>
  <si>
    <t>SAIJDBR75</t>
  </si>
  <si>
    <t>SAIJDBR76</t>
  </si>
  <si>
    <t>SAIJDBR77</t>
  </si>
  <si>
    <t>SAIJDBR78</t>
  </si>
  <si>
    <t>SAIJDBR79</t>
  </si>
  <si>
    <t>SAIJDBR80</t>
  </si>
  <si>
    <t>SAIJDBR81</t>
  </si>
  <si>
    <t>SAIJDBR82</t>
  </si>
  <si>
    <t>SAIJDBR83</t>
  </si>
  <si>
    <t>SAIJDBR84</t>
  </si>
  <si>
    <t>SAIJDBR85</t>
  </si>
  <si>
    <t>SAIJDBR86</t>
  </si>
  <si>
    <t>SAIJDBR87</t>
  </si>
  <si>
    <t>SAIJDBR88</t>
  </si>
  <si>
    <t>SAIJDBR89</t>
  </si>
  <si>
    <t>SAIJDBR90</t>
  </si>
  <si>
    <t>SAIJDBR91</t>
  </si>
  <si>
    <t>SAIJDBR92</t>
  </si>
  <si>
    <t>SAIJDBR93</t>
  </si>
  <si>
    <t>SAIJDBR94</t>
  </si>
  <si>
    <t>SAIJDBR95</t>
  </si>
  <si>
    <t>SAIJDBR96</t>
  </si>
  <si>
    <t>SAIJDBR97</t>
  </si>
  <si>
    <t>SAIJDBR98</t>
  </si>
  <si>
    <t>SAIJDBR99</t>
  </si>
  <si>
    <t>SAIJDBR100</t>
  </si>
  <si>
    <t>SAIJDBR101</t>
  </si>
  <si>
    <t>SAIJDBR102</t>
  </si>
  <si>
    <t>SAIJDBR103</t>
  </si>
  <si>
    <t>SAIJDBR104</t>
  </si>
  <si>
    <t>SAIJDBR105</t>
  </si>
  <si>
    <t>SAIJDBR106</t>
  </si>
  <si>
    <t>SAIJDBR107</t>
  </si>
  <si>
    <t>SAIJDBR108</t>
  </si>
  <si>
    <t>SAIJDBR109</t>
  </si>
  <si>
    <t>SAIJDBR110</t>
  </si>
  <si>
    <t>SAIJDBR111</t>
  </si>
  <si>
    <t>SAIJDBR112</t>
  </si>
  <si>
    <t>SAIJDBR113</t>
  </si>
  <si>
    <t>SAIJDBR114</t>
  </si>
  <si>
    <t>SAIWEBM015</t>
  </si>
  <si>
    <t>SAIWEBM016</t>
  </si>
  <si>
    <t>SAIWEBM017</t>
  </si>
  <si>
    <t>SAIWEBM018</t>
  </si>
  <si>
    <t>SAIWEBM019</t>
  </si>
  <si>
    <t>SAIWEBM020</t>
  </si>
  <si>
    <t>SAIWEBM021</t>
  </si>
  <si>
    <t>SAIWEBM022</t>
  </si>
  <si>
    <t>SAIWEBM023</t>
  </si>
  <si>
    <t>SAIWEBM024</t>
  </si>
  <si>
    <t>SAIWEBM025</t>
  </si>
  <si>
    <t>SAIWEBM026</t>
  </si>
  <si>
    <t>SAIWEBM027</t>
  </si>
  <si>
    <t>SAIWEBM028</t>
  </si>
  <si>
    <t>SAIWEBM029</t>
  </si>
  <si>
    <t>SAIWEBM030</t>
  </si>
  <si>
    <t>SAIWEBM031</t>
  </si>
  <si>
    <t>SAIWEBM032</t>
  </si>
  <si>
    <t>SAIWEBM033</t>
  </si>
  <si>
    <t>SAIWEBM034</t>
  </si>
  <si>
    <t>SAIWEBM035</t>
  </si>
  <si>
    <t>SAIWEBM036</t>
  </si>
  <si>
    <t>SAIWEBM037</t>
  </si>
  <si>
    <t>SAIWEBM038</t>
  </si>
  <si>
    <t>SAIWEBM039</t>
  </si>
  <si>
    <t>SAIWEBM040</t>
  </si>
  <si>
    <t>SAIWEBM041</t>
  </si>
  <si>
    <t>SAIWEBM042</t>
  </si>
  <si>
    <t>SAIWEBM043</t>
  </si>
  <si>
    <t>SAIWEBM044</t>
  </si>
  <si>
    <t>SAIWEBM045</t>
  </si>
  <si>
    <t>SAIWEBM046</t>
  </si>
  <si>
    <t>Análisis de configmap</t>
  </si>
  <si>
    <r>
      <t>Uso de  </t>
    </r>
    <r>
      <rPr>
        <sz val="10"/>
        <color rgb="FF000000"/>
        <rFont val="Segoe UI"/>
        <family val="2"/>
      </rPr>
      <t>Pods para</t>
    </r>
    <r>
      <rPr>
        <sz val="10"/>
        <color rgb="FF222222"/>
        <rFont val="Segoe UI"/>
        <family val="2"/>
      </rPr>
      <t xml:space="preserve"> los ConfigMaps como variables de entorno, argumentos de la linea de comandos o como ficheros de configuración en el volumen</t>
    </r>
  </si>
  <si>
    <t>DSCOCO029</t>
  </si>
  <si>
    <t>Desacoplar la configuración del entorno de la imagen de contenedor, para faciltar su portablidad.</t>
  </si>
  <si>
    <t>DSCOCO030</t>
  </si>
  <si>
    <t>Almacenamiento de  la configuración de otros objetos utilizados</t>
  </si>
  <si>
    <t>DSCOCO031</t>
  </si>
  <si>
    <t>Configuración de  claves con un valor simple y otras claves donde el valor tiene un formato de un fragmento de configuración.</t>
  </si>
  <si>
    <t>DSCOCO032</t>
  </si>
  <si>
    <t> Gestión del componente máster y de los servicios necesarios para ejecutar pods</t>
  </si>
  <si>
    <t>DSCOCO033</t>
  </si>
  <si>
    <t>Análisis de cambio de yaml con configmap</t>
  </si>
  <si>
    <t>DSCOCO034</t>
  </si>
  <si>
    <t>Serialización de datos para archivos de configuración en las herramientas y servicios de automatización  DevOps e infraestructura código (IaC)</t>
  </si>
  <si>
    <t>DSCOCO035</t>
  </si>
  <si>
    <t>Configuración del explorador para ver archivos YAML</t>
  </si>
  <si>
    <t>DSCOCO036</t>
  </si>
  <si>
    <t>Análisis de integración de los servicios con los configmaps</t>
  </si>
  <si>
    <t>DSCOCO037</t>
  </si>
  <si>
    <t>Exportar métricas y transacciones y analizar los datos exportados para obtener información significativa</t>
  </si>
  <si>
    <t>DSCOCO038</t>
  </si>
  <si>
    <t>Configuración de parámetros mediante un ConfigMap</t>
  </si>
  <si>
    <t>DSCOCO039</t>
  </si>
  <si>
    <t>⁠Transformación de archivos yaml a configmap</t>
  </si>
  <si>
    <t>DSCOCO040</t>
  </si>
  <si>
    <t>Recopilar varios archivos del entorno de Directory Server existente como preparación para la migración del entorno</t>
  </si>
  <si>
    <t>DSCOCO041</t>
  </si>
  <si>
    <t>Recopilar los archivos de esquema actualizados y proporcionarlos al contenedor verify-directory-seed durante la migración.</t>
  </si>
  <si>
    <t>DSCOCO042</t>
  </si>
  <si>
    <t>Convertir los datos del entorno existente en un formato que pueda utilizar un contenedor verify-directory-server </t>
  </si>
  <si>
    <t>DSCOCO043</t>
  </si>
  <si>
    <t>Inicio del contenedor de semilla, proporcionando el archivo de configuración YAML al contenedor</t>
  </si>
  <si>
    <t>DSCOCO044</t>
  </si>
  <si>
    <t>Modificación de archivos yaml</t>
  </si>
  <si>
    <t>DSCOCO045</t>
  </si>
  <si>
    <t>Configuraión del fichero yml yaml para permtir al usuario tener una mejor lectura de los datos y escritura. </t>
  </si>
  <si>
    <t>DSCOCO046</t>
  </si>
  <si>
    <t>Transformacón de  traducciones de SQL con archivos YAML de configuración</t>
  </si>
  <si>
    <t>Subir los archivos YAML de configuración al directorio raíz del bucket de Cloud Storage que contiene los archivos de entrada de traducción de SQL</t>
  </si>
  <si>
    <t>Comparación de los efectos de un YAML de configuración en la traducción de  consultsa en SQL de BigQuery</t>
  </si>
  <si>
    <t>DSCOCO047</t>
  </si>
  <si>
    <t>DSCOCO048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</si>
</sst>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8" formatCode="&quot;$&quot;#,##0.00;[Red]\-&quot;$&quot;#,##0.00"/>
    <numFmt numFmtId="44" formatCode="_-&quot;$&quot;* #,##0.00_-;\-&quot;$&quot;* #,##0.00_-;_-&quot;$&quot;* &quot;-&quot;??_-;_-@_-"/>
    <numFmt numFmtId="43" formatCode="_-* #,##0.00_-;\-* #,##0.00_-;_-* &quot;-&quot;??_-;_-@_-"/>
    <numFmt numFmtId="164" formatCode="0.0"/>
    <numFmt numFmtId="165" formatCode="&quot;$&quot;#,##0.0;[Red]\-&quot;$&quot;#,##0.0"/>
    <numFmt numFmtId="166" formatCode="h:mm:ss;@"/>
    <numFmt numFmtId="167" formatCode="[h]:mm:ss;\ @"/>
    <numFmt numFmtId="168" formatCode="d/m/yyyy"/>
    <numFmt numFmtId="169" formatCode="#,##0.0"/>
    <numFmt numFmtId="170" formatCode="d/mm/yyyy"/>
    <numFmt numFmtId="171" formatCode="hh:mm:ss\ AM/PM"/>
    <numFmt numFmtId="172" formatCode="h:mm:ss"/>
  </numFmts>
  <fonts count="12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font>
    <font>
      <b/>
      <sz val="14"/>
      <color rgb="FF000000"/>
      <name val="Calibri"/>
      <family val="2"/>
    </font>
    <font>
      <sz val="11"/>
      <color rgb="FF000000"/>
      <name val="Calibri"/>
      <family val="2"/>
    </font>
    <font>
      <sz val="14"/>
      <color rgb="FF000000"/>
      <name val="Calibri"/>
      <family val="2"/>
    </font>
    <font>
      <sz val="11"/>
      <color rgb="FF000000"/>
      <name val="Calibri"/>
      <family val="2"/>
    </font>
    <font>
      <sz val="11"/>
      <color rgb="FF000000"/>
      <name val="Calibri"/>
      <family val="2"/>
    </font>
    <font>
      <b/>
      <sz val="12"/>
      <color rgb="FFFFFFFF"/>
      <name val="Calibri"/>
      <family val="2"/>
    </font>
    <font>
      <sz val="11"/>
      <color rgb="FF000000"/>
      <name val="Calibri"/>
      <family val="2"/>
    </font>
    <font>
      <sz val="12"/>
      <color rgb="FF000000"/>
      <name val="Calibri"/>
      <family val="2"/>
    </font>
    <font>
      <sz val="11"/>
      <color theme="1"/>
      <name val="Calibri"/>
      <family val="2"/>
    </font>
    <font>
      <b/>
      <sz val="11"/>
      <color theme="1"/>
      <name val="Calibri"/>
      <family val="2"/>
    </font>
    <font>
      <b/>
      <sz val="12"/>
      <color theme="1"/>
      <name val="Calibri"/>
      <family val="2"/>
    </font>
    <font>
      <u/>
      <sz val="11"/>
      <color theme="10"/>
      <name val="Calibri"/>
      <family val="2"/>
    </font>
    <font>
      <b/>
      <sz val="11"/>
      <color theme="1"/>
      <name val="Calibri"/>
      <family val="2"/>
      <scheme val="minor"/>
    </font>
    <font>
      <u/>
      <sz val="11"/>
      <color rgb="FF0563C1"/>
      <name val="Calibri"/>
      <family val="2"/>
    </font>
    <font>
      <b/>
      <sz val="11"/>
      <color rgb="FFFFFFFF"/>
      <name val="Calibri"/>
      <family val="2"/>
    </font>
    <font>
      <sz val="11"/>
      <color rgb="FF222222"/>
      <name val="Calibri"/>
      <family val="2"/>
    </font>
    <font>
      <sz val="11"/>
      <name val="Calibri"/>
      <family val="2"/>
    </font>
    <font>
      <sz val="10"/>
      <color rgb="FF222222"/>
      <name val="Roboto"/>
    </font>
    <font>
      <b/>
      <sz val="14"/>
      <color theme="1"/>
      <name val="Calibri"/>
      <family val="2"/>
    </font>
    <font>
      <b/>
      <sz val="14"/>
      <color theme="0"/>
      <name val="Calibri"/>
      <family val="2"/>
    </font>
    <font>
      <sz val="14"/>
      <color rgb="FF000000"/>
      <name val="Calibri"/>
      <family val="2"/>
      <scheme val="minor"/>
    </font>
    <font>
      <b/>
      <sz val="12"/>
      <color theme="1"/>
      <name val="Calibri"/>
      <family val="2"/>
      <scheme val="minor"/>
    </font>
    <font>
      <sz val="12"/>
      <color rgb="FF000000"/>
      <name val="Calibri"/>
      <family val="2"/>
      <scheme val="minor"/>
    </font>
    <font>
      <sz val="12"/>
      <color theme="1"/>
      <name val="Calibri"/>
      <family val="2"/>
      <scheme val="minor"/>
    </font>
    <font>
      <b/>
      <sz val="11"/>
      <name val="Calibri"/>
      <family val="2"/>
    </font>
    <font>
      <sz val="11"/>
      <color theme="0"/>
      <name val="Calibri"/>
      <family val="2"/>
    </font>
    <font>
      <sz val="11"/>
      <color rgb="FFFF0000"/>
      <name val="Calibri"/>
      <family val="2"/>
    </font>
    <font>
      <sz val="11"/>
      <color rgb="FFFFFF00"/>
      <name val="Calibri"/>
      <family val="2"/>
    </font>
    <font>
      <sz val="11"/>
      <color theme="9"/>
      <name val="Calibri"/>
      <family val="2"/>
    </font>
    <font>
      <sz val="11"/>
      <color rgb="FF000000"/>
      <name val="Calibri"/>
      <family val="2"/>
    </font>
    <font>
      <b/>
      <sz val="11"/>
      <color theme="0"/>
      <name val="Calibri"/>
      <family val="2"/>
    </font>
    <font>
      <sz val="7.5"/>
      <color rgb="FF000000"/>
      <name val="Calibri"/>
      <family val="2"/>
    </font>
    <font>
      <b/>
      <sz val="7.5"/>
      <color rgb="FF000000"/>
      <name val="Calibri"/>
      <family val="2"/>
    </font>
    <font>
      <b/>
      <sz val="12"/>
      <color rgb="FF000000"/>
      <name val="Calibri"/>
      <family val="2"/>
    </font>
    <font>
      <sz val="24"/>
      <color rgb="FF000000"/>
      <name val="Calibri"/>
      <family val="2"/>
    </font>
    <font>
      <b/>
      <u/>
      <sz val="18"/>
      <color rgb="FF000000"/>
      <name val="Calibri"/>
      <family val="2"/>
    </font>
    <font>
      <b/>
      <sz val="12"/>
      <color rgb="FF000000"/>
      <name val="Arial"/>
      <family val="2"/>
    </font>
    <font>
      <sz val="10"/>
      <name val="Arial"/>
      <family val="2"/>
    </font>
    <font>
      <b/>
      <sz val="16"/>
      <color rgb="FF000000"/>
      <name val="Calibri"/>
      <family val="2"/>
    </font>
    <font>
      <sz val="10"/>
      <color rgb="FF000000"/>
      <name val="Calibri"/>
      <family val="2"/>
    </font>
    <font>
      <sz val="9"/>
      <color rgb="FF000000"/>
      <name val="Calibri"/>
      <family val="2"/>
    </font>
    <font>
      <b/>
      <sz val="9"/>
      <color rgb="FF000000"/>
      <name val="Calibri"/>
      <family val="2"/>
    </font>
    <font>
      <sz val="10"/>
      <color theme="1"/>
      <name val="Calibri"/>
      <family val="2"/>
    </font>
    <font>
      <sz val="11"/>
      <color rgb="FF000000"/>
      <name val="Calibri"/>
      <family val="2"/>
    </font>
    <font>
      <sz val="11"/>
      <color rgb="FF000000"/>
      <name val="Calibri"/>
      <family val="2"/>
    </font>
    <font>
      <sz val="11"/>
      <color rgb="FF000000"/>
      <name val="Century Gothic"/>
      <family val="2"/>
    </font>
    <font>
      <b/>
      <sz val="11"/>
      <color rgb="FF000000"/>
      <name val="Century Gothic"/>
      <family val="2"/>
    </font>
    <font>
      <sz val="9"/>
      <color rgb="FF000000"/>
      <name val="Arial"/>
      <family val="2"/>
    </font>
    <font>
      <u/>
      <sz val="11"/>
      <color theme="10"/>
      <name val="Calibri"/>
      <family val="2"/>
      <scheme val="minor"/>
    </font>
    <font>
      <b/>
      <sz val="10"/>
      <color rgb="FF000000"/>
      <name val="Calibri Light"/>
      <family val="2"/>
    </font>
    <font>
      <sz val="8"/>
      <name val="Calibri"/>
      <family val="2"/>
    </font>
    <font>
      <b/>
      <sz val="12"/>
      <color rgb="FFFFFFFF"/>
      <name val="Calibri"/>
      <family val="2"/>
    </font>
    <font>
      <u/>
      <sz val="9"/>
      <color rgb="FF0563C1"/>
      <name val="Arial"/>
      <family val="2"/>
    </font>
    <font>
      <u/>
      <sz val="11"/>
      <color rgb="FF0000FF"/>
      <name val="Calibri"/>
      <family val="2"/>
    </font>
    <font>
      <sz val="11"/>
      <color rgb="FF000000"/>
      <name val="Calibri"/>
      <family val="2"/>
    </font>
    <font>
      <sz val="10"/>
      <color rgb="FFFFFFFF"/>
      <name val="Arial"/>
      <family val="2"/>
    </font>
    <font>
      <sz val="10"/>
      <color rgb="FF000000"/>
      <name val="Arial"/>
      <family val="2"/>
    </font>
    <font>
      <sz val="10"/>
      <color rgb="FF000000"/>
      <name val="Calibri"/>
      <family val="2"/>
      <scheme val="minor"/>
    </font>
    <font>
      <sz val="11"/>
      <color rgb="FF000000"/>
      <name val="Calibri"/>
      <family val="2"/>
    </font>
    <font>
      <sz val="11"/>
      <color rgb="FF000000"/>
      <name val="Calibri"/>
      <family val="2"/>
      <scheme val="minor"/>
    </font>
    <font>
      <sz val="8"/>
      <color theme="1"/>
      <name val="Arial"/>
      <family val="2"/>
    </font>
    <font>
      <sz val="10"/>
      <color rgb="FF000000"/>
      <name val="Calibri"/>
      <family val="2"/>
    </font>
    <font>
      <sz val="11"/>
      <color rgb="FF000000"/>
      <name val="Calibri"/>
      <family val="2"/>
    </font>
    <font>
      <sz val="11"/>
      <color theme="1"/>
      <name val="Calibri"/>
      <family val="2"/>
    </font>
    <font>
      <u/>
      <sz val="11"/>
      <color theme="10"/>
      <name val="Calibri"/>
      <family val="2"/>
    </font>
    <font>
      <sz val="11"/>
      <color rgb="FF000000"/>
      <name val="Calibri"/>
      <family val="2"/>
      <scheme val="minor"/>
    </font>
    <font>
      <sz val="10"/>
      <color theme="1"/>
      <name val="Calibri"/>
      <family val="2"/>
    </font>
    <font>
      <sz val="8"/>
      <color theme="1"/>
      <name val="Calibri"/>
      <family val="2"/>
      <scheme val="minor"/>
    </font>
    <font>
      <sz val="11"/>
      <color theme="10"/>
      <name val="Calibri"/>
      <family val="2"/>
      <scheme val="minor"/>
    </font>
    <font>
      <sz val="10"/>
      <color rgb="FF000000"/>
      <name val="Calibri"/>
      <family val="2"/>
    </font>
    <font>
      <sz val="10"/>
      <color theme="1"/>
      <name val="Calibri"/>
      <family val="2"/>
    </font>
    <font>
      <u/>
      <sz val="11"/>
      <color theme="10"/>
      <name val="Calibri"/>
      <family val="2"/>
    </font>
    <font>
      <sz val="11"/>
      <color theme="10"/>
      <name val="Calibri"/>
      <family val="2"/>
      <scheme val="minor"/>
    </font>
    <font>
      <sz val="11"/>
      <color theme="1"/>
      <name val="Calibri"/>
      <family val="2"/>
      <scheme val="minor"/>
    </font>
    <font>
      <sz val="11"/>
      <color rgb="FF000000"/>
      <name val="Calibri"/>
      <family val="2"/>
    </font>
    <font>
      <sz val="11"/>
      <color rgb="FF000000"/>
      <name val="Calibri"/>
      <family val="2"/>
    </font>
    <font>
      <u/>
      <sz val="11"/>
      <color rgb="FF0563C1"/>
      <name val="Calibri"/>
      <family val="2"/>
    </font>
    <font>
      <sz val="10"/>
      <color rgb="FF000000"/>
      <name val="Calibri"/>
      <family val="2"/>
    </font>
    <font>
      <sz val="10"/>
      <color theme="1"/>
      <name val="Calibri"/>
      <family val="2"/>
    </font>
    <font>
      <u/>
      <sz val="11"/>
      <color theme="10"/>
      <name val="Calibri"/>
      <family val="2"/>
    </font>
    <font>
      <u/>
      <sz val="9"/>
      <color theme="1"/>
      <name val="Calibri"/>
      <family val="2"/>
      <scheme val="minor"/>
    </font>
    <font>
      <sz val="11"/>
      <color rgb="FF000000"/>
      <name val="Calibri"/>
      <family val="2"/>
    </font>
    <font>
      <sz val="11"/>
      <color rgb="FF000000"/>
      <name val="Calibri Light"/>
      <family val="2"/>
    </font>
    <font>
      <sz val="11"/>
      <color theme="7" tint="-0.249977111117893"/>
      <name val="Calibri"/>
      <family val="2"/>
    </font>
    <font>
      <sz val="11"/>
      <color rgb="FF000000"/>
      <name val="Calibri"/>
      <family val="2"/>
    </font>
    <font>
      <sz val="10"/>
      <color rgb="FF000000"/>
      <name val="Calibri"/>
      <family val="2"/>
    </font>
    <font>
      <sz val="10"/>
      <color theme="1"/>
      <name val="Calibri"/>
      <family val="2"/>
    </font>
    <font>
      <i/>
      <sz val="10"/>
      <color rgb="FF000000"/>
      <name val="Calibri"/>
      <family val="2"/>
    </font>
    <font>
      <u/>
      <sz val="11"/>
      <color rgb="FF0000FF"/>
      <name val="Calibri"/>
      <family val="2"/>
    </font>
    <font>
      <sz val="11"/>
      <color rgb="FF000000"/>
      <name val="Calibri"/>
      <family val="2"/>
      <scheme val="minor"/>
    </font>
    <font>
      <u/>
      <sz val="11"/>
      <color theme="10"/>
      <name val="Calibri"/>
      <family val="2"/>
      <scheme val="minor"/>
    </font>
    <font>
      <sz val="11"/>
      <color rgb="FF000000"/>
      <name val="Calibri"/>
    </font>
    <font>
      <sz val="10"/>
      <color rgb="FF000000"/>
      <name val="Calibri"/>
    </font>
    <font>
      <sz val="10"/>
      <color theme="1"/>
      <name val="Calibri"/>
    </font>
    <font>
      <i/>
      <sz val="10"/>
      <color rgb="FF000000"/>
      <name val="Calibri"/>
    </font>
    <font>
      <sz val="12"/>
      <color rgb="FFFFFFFF"/>
      <name val="Calibri"/>
      <family val="2"/>
    </font>
    <font>
      <sz val="11"/>
      <color theme="1"/>
      <name val="Calibri"/>
    </font>
    <font>
      <sz val="10"/>
      <color rgb="FF000000"/>
      <name val="Segoe UI"/>
      <family val="2"/>
    </font>
    <font>
      <sz val="10"/>
      <color rgb="FF222222"/>
      <name val="Segoe UI"/>
      <family val="2"/>
    </font>
  </fonts>
  <fills count="37">
    <fill>
      <patternFill patternType="none"/>
    </fill>
    <fill>
      <patternFill patternType="gray125"/>
    </fill>
    <fill>
      <patternFill patternType="solid">
        <fgColor rgb="FFFFFFFF"/>
        <bgColor rgb="FFFFFFFF"/>
      </patternFill>
    </fill>
    <fill>
      <patternFill patternType="solid">
        <fgColor rgb="FF5B9BD5"/>
        <bgColor rgb="FF5B9BD5"/>
      </patternFill>
    </fill>
    <fill>
      <patternFill patternType="solid">
        <fgColor theme="0"/>
        <bgColor indexed="64"/>
      </patternFill>
    </fill>
    <fill>
      <patternFill patternType="solid">
        <fgColor theme="0"/>
        <bgColor rgb="FFFFFFFF"/>
      </patternFill>
    </fill>
    <fill>
      <patternFill patternType="solid">
        <fgColor rgb="FF002060"/>
        <bgColor rgb="FFFFFFFF"/>
      </patternFill>
    </fill>
    <fill>
      <patternFill patternType="solid">
        <fgColor rgb="FFFFC000"/>
        <bgColor rgb="FF5B9BD5"/>
      </patternFill>
    </fill>
    <fill>
      <patternFill patternType="solid">
        <fgColor rgb="FFA8D08D"/>
        <bgColor rgb="FFA8D08D"/>
      </patternFill>
    </fill>
    <fill>
      <patternFill patternType="solid">
        <fgColor rgb="FFFFFF00"/>
        <bgColor indexed="64"/>
      </patternFill>
    </fill>
    <fill>
      <patternFill patternType="solid">
        <fgColor rgb="FFFFFF00"/>
        <bgColor rgb="FFFFFFFF"/>
      </patternFill>
    </fill>
    <fill>
      <patternFill patternType="solid">
        <fgColor theme="2" tint="-9.9978637043366805E-2"/>
        <bgColor indexed="64"/>
      </patternFill>
    </fill>
    <fill>
      <patternFill patternType="solid">
        <fgColor theme="8" tint="-0.499984740745262"/>
        <bgColor indexed="64"/>
      </patternFill>
    </fill>
    <fill>
      <patternFill patternType="solid">
        <fgColor theme="9" tint="0.39997558519241921"/>
        <bgColor indexed="64"/>
      </patternFill>
    </fill>
    <fill>
      <patternFill patternType="solid">
        <fgColor theme="9"/>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rgb="FF002060"/>
        <bgColor indexed="64"/>
      </patternFill>
    </fill>
    <fill>
      <patternFill patternType="solid">
        <fgColor theme="2"/>
        <bgColor indexed="64"/>
      </patternFill>
    </fill>
    <fill>
      <patternFill patternType="solid">
        <fgColor theme="0"/>
        <bgColor theme="0"/>
      </patternFill>
    </fill>
    <fill>
      <patternFill patternType="solid">
        <fgColor theme="4" tint="-0.249977111117893"/>
        <bgColor indexed="64"/>
      </patternFill>
    </fill>
    <fill>
      <patternFill patternType="solid">
        <fgColor rgb="FFFF0000"/>
        <bgColor indexed="64"/>
      </patternFill>
    </fill>
    <fill>
      <patternFill patternType="solid">
        <fgColor rgb="FF1F3864"/>
        <bgColor indexed="64"/>
      </patternFill>
    </fill>
    <fill>
      <patternFill patternType="solid">
        <fgColor rgb="FFFFFFFF"/>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rgb="FFDDEBF7"/>
        <bgColor indexed="64"/>
      </patternFill>
    </fill>
    <fill>
      <patternFill patternType="solid">
        <fgColor rgb="FF92D050"/>
        <bgColor indexed="64"/>
      </patternFill>
    </fill>
    <fill>
      <patternFill patternType="solid">
        <fgColor rgb="FFFFC000"/>
        <bgColor indexed="64"/>
      </patternFill>
    </fill>
    <fill>
      <patternFill patternType="solid">
        <fgColor rgb="FF00B050"/>
        <bgColor indexed="64"/>
      </patternFill>
    </fill>
  </fills>
  <borders count="98">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3F3F3F"/>
      </left>
      <right style="thin">
        <color rgb="FF3F3F3F"/>
      </right>
      <top style="thin">
        <color rgb="FF3F3F3F"/>
      </top>
      <bottom/>
      <diagonal/>
    </border>
    <border>
      <left style="thin">
        <color rgb="FF3F3F3F"/>
      </left>
      <right style="thin">
        <color rgb="FF3F3F3F"/>
      </right>
      <top/>
      <bottom/>
      <diagonal/>
    </border>
    <border>
      <left style="thin">
        <color rgb="FF3F3F3F"/>
      </left>
      <right style="thin">
        <color rgb="FF3F3F3F"/>
      </right>
      <top/>
      <bottom style="thin">
        <color rgb="FF3F3F3F"/>
      </bottom>
      <diagonal/>
    </border>
    <border>
      <left style="thin">
        <color rgb="FF7030A0"/>
      </left>
      <right style="thin">
        <color rgb="FF7030A0"/>
      </right>
      <top style="thin">
        <color rgb="FF7030A0"/>
      </top>
      <bottom style="thin">
        <color rgb="FF7030A0"/>
      </bottom>
      <diagonal/>
    </border>
    <border>
      <left style="thin">
        <color rgb="FF7030A0"/>
      </left>
      <right/>
      <top style="thin">
        <color rgb="FF7030A0"/>
      </top>
      <bottom style="thin">
        <color rgb="FF7030A0"/>
      </bottom>
      <diagonal/>
    </border>
    <border>
      <left/>
      <right/>
      <top style="thin">
        <color rgb="FF3F3F3F"/>
      </top>
      <bottom/>
      <diagonal/>
    </border>
    <border>
      <left style="thin">
        <color indexed="64"/>
      </left>
      <right style="thin">
        <color indexed="64"/>
      </right>
      <top/>
      <bottom style="thin">
        <color indexed="64"/>
      </bottom>
      <diagonal/>
    </border>
    <border>
      <left style="thin">
        <color rgb="FF000000"/>
      </left>
      <right/>
      <top style="thin">
        <color rgb="FF000000"/>
      </top>
      <bottom/>
      <diagonal/>
    </border>
    <border>
      <left style="thin">
        <color rgb="FF00000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7030A0"/>
      </top>
      <bottom style="thin">
        <color rgb="FF7030A0"/>
      </bottom>
      <diagonal/>
    </border>
    <border>
      <left style="thin">
        <color rgb="FF7030A0"/>
      </left>
      <right style="thin">
        <color rgb="FF7030A0"/>
      </right>
      <top style="thin">
        <color rgb="FF7030A0"/>
      </top>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CCCCCC"/>
      </left>
      <right style="medium">
        <color rgb="FF000000"/>
      </right>
      <top style="medium">
        <color rgb="FF000000"/>
      </top>
      <bottom style="medium">
        <color rgb="FF000000"/>
      </bottom>
      <diagonal/>
    </border>
    <border>
      <left style="thin">
        <color rgb="FF7030A0"/>
      </left>
      <right/>
      <top style="thin">
        <color rgb="FF7030A0"/>
      </top>
      <bottom/>
      <diagonal/>
    </border>
    <border>
      <left style="thin">
        <color rgb="FF7030A0"/>
      </left>
      <right style="thin">
        <color rgb="FF7030A0"/>
      </right>
      <top/>
      <bottom style="thin">
        <color rgb="FF7030A0"/>
      </bottom>
      <diagonal/>
    </border>
    <border>
      <left/>
      <right/>
      <top style="medium">
        <color indexed="64"/>
      </top>
      <bottom style="medium">
        <color indexed="64"/>
      </bottom>
      <diagonal/>
    </border>
    <border>
      <left style="thin">
        <color theme="6"/>
      </left>
      <right style="thin">
        <color theme="6"/>
      </right>
      <top style="thin">
        <color theme="6"/>
      </top>
      <bottom style="thin">
        <color theme="6"/>
      </bottom>
      <diagonal/>
    </border>
    <border>
      <left style="medium">
        <color indexed="64"/>
      </left>
      <right style="medium">
        <color rgb="FF000000"/>
      </right>
      <top style="medium">
        <color indexed="64"/>
      </top>
      <bottom/>
      <diagonal/>
    </border>
    <border>
      <left/>
      <right style="medium">
        <color rgb="FF000000"/>
      </right>
      <top style="medium">
        <color indexed="64"/>
      </top>
      <bottom style="medium">
        <color rgb="FF000000"/>
      </bottom>
      <diagonal/>
    </border>
    <border>
      <left/>
      <right/>
      <top style="medium">
        <color indexed="64"/>
      </top>
      <bottom style="medium">
        <color rgb="FF000000"/>
      </bottom>
      <diagonal/>
    </border>
    <border>
      <left style="medium">
        <color indexed="64"/>
      </left>
      <right style="medium">
        <color indexed="64"/>
      </right>
      <top style="medium">
        <color indexed="64"/>
      </top>
      <bottom/>
      <diagonal/>
    </border>
    <border>
      <left/>
      <right style="medium">
        <color rgb="FF000000"/>
      </right>
      <top style="medium">
        <color rgb="FF000000"/>
      </top>
      <bottom/>
      <diagonal/>
    </border>
    <border>
      <left/>
      <right style="medium">
        <color rgb="FF000000"/>
      </right>
      <top/>
      <bottom style="medium">
        <color rgb="FF000000"/>
      </bottom>
      <diagonal/>
    </border>
    <border>
      <left/>
      <right/>
      <top/>
      <bottom style="medium">
        <color rgb="FF000000"/>
      </bottom>
      <diagonal/>
    </border>
    <border>
      <left style="thin">
        <color indexed="64"/>
      </left>
      <right style="medium">
        <color indexed="64"/>
      </right>
      <top/>
      <bottom style="thin">
        <color indexed="64"/>
      </bottom>
      <diagonal/>
    </border>
    <border>
      <left style="medium">
        <color indexed="64"/>
      </left>
      <right style="medium">
        <color indexed="64"/>
      </right>
      <top style="medium">
        <color rgb="FF000000"/>
      </top>
      <bottom/>
      <diagonal/>
    </border>
    <border>
      <left/>
      <right style="medium">
        <color rgb="FF000000"/>
      </right>
      <top/>
      <bottom/>
      <diagonal/>
    </border>
    <border>
      <left style="medium">
        <color indexed="64"/>
      </left>
      <right style="medium">
        <color indexed="64"/>
      </right>
      <top style="medium">
        <color rgb="FF000000"/>
      </top>
      <bottom style="medium">
        <color indexed="64"/>
      </bottom>
      <diagonal/>
    </border>
    <border>
      <left/>
      <right style="medium">
        <color rgb="FF000000"/>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rgb="FF000000"/>
      </right>
      <top/>
      <bottom style="thin">
        <color rgb="FF000000"/>
      </bottom>
      <diagonal/>
    </border>
    <border>
      <left/>
      <right style="thin">
        <color rgb="FF3F3F3F"/>
      </right>
      <top style="thin">
        <color rgb="FF3F3F3F"/>
      </top>
      <bottom style="thin">
        <color rgb="FF3F3F3F"/>
      </bottom>
      <diagonal/>
    </border>
    <border>
      <left/>
      <right style="thin">
        <color rgb="FF3F3F3F"/>
      </right>
      <top/>
      <bottom style="thin">
        <color rgb="FF3F3F3F"/>
      </bottom>
      <diagonal/>
    </border>
    <border>
      <left style="thin">
        <color rgb="FF7030A0"/>
      </left>
      <right style="thin">
        <color rgb="FF7030A0"/>
      </right>
      <top/>
      <bottom/>
      <diagonal/>
    </border>
    <border>
      <left style="thin">
        <color rgb="FFB1BBCC"/>
      </left>
      <right style="thin">
        <color rgb="FFB1BBCC"/>
      </right>
      <top style="thin">
        <color rgb="FFB1BBCC"/>
      </top>
      <bottom style="thin">
        <color rgb="FFB1BBCC"/>
      </bottom>
      <diagonal/>
    </border>
    <border>
      <left style="thin">
        <color rgb="FF000000"/>
      </left>
      <right style="thin">
        <color rgb="FF000000"/>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style="thin">
        <color rgb="FF000000"/>
      </left>
      <right/>
      <top/>
      <bottom style="thin">
        <color rgb="FF000000"/>
      </bottom>
      <diagonal/>
    </border>
    <border>
      <left style="thin">
        <color rgb="FF000000"/>
      </left>
      <right style="thin">
        <color rgb="FF000000"/>
      </right>
      <top/>
      <bottom style="thick">
        <color rgb="FF000000"/>
      </bottom>
      <diagonal/>
    </border>
    <border>
      <left/>
      <right style="thin">
        <color rgb="FF000000"/>
      </right>
      <top style="thin">
        <color rgb="FF000000"/>
      </top>
      <bottom/>
      <diagonal/>
    </border>
    <border>
      <left/>
      <right/>
      <top/>
      <bottom style="thin">
        <color theme="4" tint="0.39997558519241921"/>
      </bottom>
      <diagonal/>
    </border>
    <border>
      <left/>
      <right/>
      <top style="thin">
        <color theme="4" tint="0.39997558519241921"/>
      </top>
      <bottom/>
      <diagonal/>
    </border>
    <border>
      <left style="thin">
        <color theme="4" tint="-0.249977111117893"/>
      </left>
      <right/>
      <top/>
      <bottom/>
      <diagonal/>
    </border>
    <border>
      <left/>
      <right/>
      <top/>
      <bottom style="thin">
        <color theme="4" tint="-0.249977111117893"/>
      </bottom>
      <diagonal/>
    </border>
    <border>
      <left/>
      <right/>
      <top style="thin">
        <color theme="4"/>
      </top>
      <bottom/>
      <diagonal/>
    </border>
    <border>
      <left/>
      <right/>
      <top/>
      <bottom style="medium">
        <color rgb="FF9BC2E6"/>
      </bottom>
      <diagonal/>
    </border>
    <border>
      <left/>
      <right/>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B1BBCC"/>
      </top>
      <bottom/>
      <diagonal/>
    </border>
  </borders>
  <cellStyleXfs count="57">
    <xf numFmtId="0" fontId="0" fillId="0" borderId="0"/>
    <xf numFmtId="0" fontId="31" fillId="0" borderId="0"/>
    <xf numFmtId="0" fontId="28" fillId="0" borderId="0"/>
    <xf numFmtId="0" fontId="33" fillId="0" borderId="0"/>
    <xf numFmtId="0" fontId="31" fillId="0" borderId="0"/>
    <xf numFmtId="43" fontId="28" fillId="0" borderId="0" applyFont="0" applyFill="0" applyBorder="0" applyAlignment="0" applyProtection="0"/>
    <xf numFmtId="0" fontId="34" fillId="0" borderId="0"/>
    <xf numFmtId="0" fontId="27" fillId="0" borderId="0"/>
    <xf numFmtId="0" fontId="31" fillId="0" borderId="0"/>
    <xf numFmtId="0" fontId="36" fillId="0" borderId="0"/>
    <xf numFmtId="0" fontId="26" fillId="0" borderId="0"/>
    <xf numFmtId="0" fontId="25" fillId="0" borderId="0"/>
    <xf numFmtId="0" fontId="41" fillId="0" borderId="0" applyNumberFormat="0" applyFill="0" applyBorder="0" applyAlignment="0" applyProtection="0"/>
    <xf numFmtId="0" fontId="41" fillId="0" borderId="0" applyNumberForma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24" fillId="0" borderId="0"/>
    <xf numFmtId="0" fontId="24" fillId="0" borderId="0"/>
    <xf numFmtId="0" fontId="67" fillId="0" borderId="0"/>
    <xf numFmtId="0" fontId="67" fillId="0" borderId="0"/>
    <xf numFmtId="0" fontId="78" fillId="0" borderId="0" applyNumberFormat="0" applyFill="0" applyBorder="0" applyAlignment="0" applyProtection="0"/>
    <xf numFmtId="0" fontId="23" fillId="0" borderId="0"/>
    <xf numFmtId="0" fontId="31" fillId="0" borderId="0"/>
    <xf numFmtId="0" fontId="31" fillId="0" borderId="0"/>
    <xf numFmtId="0" fontId="22" fillId="0" borderId="0"/>
    <xf numFmtId="0" fontId="31" fillId="0" borderId="0"/>
    <xf numFmtId="0" fontId="84" fillId="0" borderId="0"/>
    <xf numFmtId="0" fontId="21" fillId="0" borderId="0"/>
    <xf numFmtId="0" fontId="88" fillId="0" borderId="0"/>
    <xf numFmtId="0" fontId="20" fillId="0" borderId="0"/>
    <xf numFmtId="0" fontId="19" fillId="0" borderId="0"/>
    <xf numFmtId="0" fontId="18" fillId="0" borderId="0"/>
    <xf numFmtId="0" fontId="89" fillId="0" borderId="0"/>
    <xf numFmtId="0" fontId="95" fillId="0" borderId="0"/>
    <xf numFmtId="0" fontId="92" fillId="0" borderId="0"/>
    <xf numFmtId="0" fontId="17" fillId="0" borderId="0"/>
    <xf numFmtId="0" fontId="92" fillId="0" borderId="0"/>
    <xf numFmtId="0" fontId="17" fillId="0" borderId="0"/>
    <xf numFmtId="0" fontId="16" fillId="0" borderId="0"/>
    <xf numFmtId="0" fontId="15" fillId="0" borderId="0"/>
    <xf numFmtId="0" fontId="14" fillId="0" borderId="0"/>
    <xf numFmtId="0" fontId="13" fillId="0" borderId="0"/>
    <xf numFmtId="0" fontId="53" fillId="0" borderId="0"/>
    <xf numFmtId="0" fontId="67" fillId="0" borderId="0" applyFont="0"/>
    <xf numFmtId="0" fontId="12" fillId="0" borderId="0"/>
    <xf numFmtId="0" fontId="105" fillId="0" borderId="0"/>
    <xf numFmtId="0" fontId="11" fillId="0" borderId="0"/>
    <xf numFmtId="0" fontId="10" fillId="0" borderId="0"/>
    <xf numFmtId="0" fontId="111" fillId="0" borderId="0"/>
    <xf numFmtId="0" fontId="9" fillId="0" borderId="0"/>
    <xf numFmtId="0" fontId="8" fillId="0" borderId="0"/>
    <xf numFmtId="0" fontId="7" fillId="0" borderId="0"/>
    <xf numFmtId="0" fontId="114" fillId="0" borderId="0"/>
    <xf numFmtId="0" fontId="6" fillId="0" borderId="0"/>
    <xf numFmtId="0" fontId="119" fillId="0" borderId="0"/>
    <xf numFmtId="0" fontId="120" fillId="0" borderId="0" applyNumberFormat="0" applyFill="0" applyBorder="0" applyAlignment="0" applyProtection="0"/>
    <xf numFmtId="0" fontId="5" fillId="0" borderId="0"/>
  </cellStyleXfs>
  <cellXfs count="974">
    <xf numFmtId="0" fontId="0" fillId="0" borderId="0" xfId="0"/>
    <xf numFmtId="0" fontId="28" fillId="0" borderId="0" xfId="2"/>
    <xf numFmtId="4" fontId="28" fillId="0" borderId="0" xfId="2" applyNumberFormat="1"/>
    <xf numFmtId="4" fontId="0" fillId="0" borderId="0" xfId="5" applyNumberFormat="1" applyFont="1"/>
    <xf numFmtId="43" fontId="0" fillId="0" borderId="0" xfId="5" applyFont="1"/>
    <xf numFmtId="0" fontId="0" fillId="0" borderId="2" xfId="0" applyBorder="1"/>
    <xf numFmtId="0" fontId="29" fillId="0" borderId="0" xfId="0" applyFont="1" applyAlignment="1">
      <alignment horizontal="center" vertical="center" wrapText="1"/>
    </xf>
    <xf numFmtId="0" fontId="29" fillId="0" borderId="0" xfId="0" applyFont="1" applyAlignment="1">
      <alignment vertical="center" wrapText="1"/>
    </xf>
    <xf numFmtId="0" fontId="0" fillId="2" borderId="0" xfId="0" applyFill="1" applyAlignment="1">
      <alignment horizontal="center" vertical="center" wrapText="1"/>
    </xf>
    <xf numFmtId="0" fontId="0" fillId="2" borderId="0" xfId="0" applyFill="1" applyAlignment="1">
      <alignment vertical="center" wrapText="1"/>
    </xf>
    <xf numFmtId="0" fontId="0" fillId="0" borderId="0" xfId="0" applyAlignment="1">
      <alignment horizontal="center"/>
    </xf>
    <xf numFmtId="0" fontId="0" fillId="4" borderId="0" xfId="0" applyFill="1"/>
    <xf numFmtId="0" fontId="39" fillId="0" borderId="0" xfId="0" applyFont="1" applyAlignment="1">
      <alignment horizontal="center" vertical="center" wrapText="1"/>
    </xf>
    <xf numFmtId="0" fontId="38" fillId="0" borderId="0" xfId="0" applyFont="1" applyAlignment="1">
      <alignment horizontal="center"/>
    </xf>
    <xf numFmtId="0" fontId="37" fillId="5" borderId="0" xfId="0" applyFont="1" applyFill="1" applyAlignment="1">
      <alignment horizontal="center" vertical="center" wrapText="1"/>
    </xf>
    <xf numFmtId="0" fontId="0" fillId="0" borderId="0" xfId="0" applyAlignment="1">
      <alignment horizontal="left"/>
    </xf>
    <xf numFmtId="14" fontId="0" fillId="0" borderId="0" xfId="0" applyNumberFormat="1"/>
    <xf numFmtId="0" fontId="0" fillId="2" borderId="2" xfId="0" applyFill="1" applyBorder="1" applyAlignment="1">
      <alignment wrapText="1"/>
    </xf>
    <xf numFmtId="0" fontId="0" fillId="2" borderId="0" xfId="0" applyFill="1" applyAlignment="1">
      <alignment horizontal="center" wrapText="1"/>
    </xf>
    <xf numFmtId="0" fontId="35" fillId="3" borderId="18" xfId="0" applyFont="1" applyFill="1" applyBorder="1" applyAlignment="1">
      <alignment horizontal="center" vertical="center" wrapText="1"/>
    </xf>
    <xf numFmtId="0" fontId="35" fillId="7" borderId="18" xfId="0" applyFont="1" applyFill="1" applyBorder="1" applyAlignment="1">
      <alignment horizontal="center" vertical="center" wrapText="1"/>
    </xf>
    <xf numFmtId="0" fontId="40" fillId="3" borderId="18" xfId="0" applyFont="1" applyFill="1" applyBorder="1" applyAlignment="1">
      <alignment horizontal="center" vertical="center" wrapText="1"/>
    </xf>
    <xf numFmtId="0" fontId="0" fillId="0" borderId="0" xfId="0" pivotButton="1"/>
    <xf numFmtId="0" fontId="44" fillId="3" borderId="0" xfId="0" applyFont="1" applyFill="1"/>
    <xf numFmtId="0" fontId="45" fillId="0" borderId="15" xfId="0" applyFont="1" applyBorder="1"/>
    <xf numFmtId="0" fontId="0" fillId="0" borderId="15" xfId="0" applyBorder="1"/>
    <xf numFmtId="0" fontId="47" fillId="0" borderId="15" xfId="0" applyFont="1" applyBorder="1"/>
    <xf numFmtId="0" fontId="31" fillId="0" borderId="15" xfId="0" applyFont="1" applyBorder="1"/>
    <xf numFmtId="0" fontId="31" fillId="0" borderId="1" xfId="0" applyFont="1" applyBorder="1"/>
    <xf numFmtId="0" fontId="0" fillId="0" borderId="1" xfId="0" applyBorder="1"/>
    <xf numFmtId="0" fontId="0" fillId="0" borderId="14" xfId="0" applyBorder="1"/>
    <xf numFmtId="0" fontId="0" fillId="0" borderId="0" xfId="0" applyAlignment="1">
      <alignment horizontal="center" vertical="center" wrapText="1"/>
    </xf>
    <xf numFmtId="0" fontId="30" fillId="4" borderId="0" xfId="8" applyFont="1" applyFill="1" applyAlignment="1">
      <alignment horizontal="left" vertical="center" wrapText="1"/>
    </xf>
    <xf numFmtId="0" fontId="30" fillId="4" borderId="0" xfId="8" applyFont="1" applyFill="1" applyAlignment="1">
      <alignment vertical="center" wrapText="1"/>
    </xf>
    <xf numFmtId="0" fontId="30" fillId="4" borderId="0" xfId="8" applyFont="1" applyFill="1" applyAlignment="1">
      <alignment horizontal="left" vertical="center"/>
    </xf>
    <xf numFmtId="0" fontId="0" fillId="9" borderId="0" xfId="0" applyFill="1"/>
    <xf numFmtId="0" fontId="0" fillId="0" borderId="0" xfId="0" applyAlignment="1">
      <alignment vertical="center" wrapText="1"/>
    </xf>
    <xf numFmtId="0" fontId="29" fillId="0" borderId="0" xfId="0" applyFont="1"/>
    <xf numFmtId="0" fontId="0" fillId="0" borderId="0" xfId="0" pivotButton="1" applyAlignment="1">
      <alignment vertical="center" wrapText="1"/>
    </xf>
    <xf numFmtId="0" fontId="0" fillId="0" borderId="0" xfId="0" pivotButton="1" applyAlignment="1">
      <alignment horizontal="center" vertical="center" wrapText="1"/>
    </xf>
    <xf numFmtId="0" fontId="48" fillId="0" borderId="0" xfId="0" applyFont="1"/>
    <xf numFmtId="0" fontId="32" fillId="2" borderId="7" xfId="1" applyFont="1" applyFill="1" applyBorder="1" applyAlignment="1">
      <alignment wrapText="1"/>
    </xf>
    <xf numFmtId="0" fontId="32" fillId="2" borderId="8" xfId="1" applyFont="1" applyFill="1" applyBorder="1" applyAlignment="1">
      <alignment wrapText="1"/>
    </xf>
    <xf numFmtId="0" fontId="32" fillId="2" borderId="10" xfId="1" applyFont="1" applyFill="1" applyBorder="1" applyAlignment="1">
      <alignment wrapText="1"/>
    </xf>
    <xf numFmtId="0" fontId="32" fillId="4" borderId="0" xfId="2" applyFont="1" applyFill="1" applyAlignment="1">
      <alignment horizontal="center" vertical="center"/>
    </xf>
    <xf numFmtId="0" fontId="32" fillId="2" borderId="9" xfId="1" applyFont="1" applyFill="1" applyBorder="1" applyAlignment="1">
      <alignment vertical="center" wrapText="1"/>
    </xf>
    <xf numFmtId="0" fontId="32" fillId="2" borderId="11" xfId="1" applyFont="1" applyFill="1" applyBorder="1" applyAlignment="1">
      <alignment vertical="center" wrapText="1"/>
    </xf>
    <xf numFmtId="0" fontId="32" fillId="2" borderId="12" xfId="1" applyFont="1" applyFill="1" applyBorder="1" applyAlignment="1">
      <alignment wrapText="1"/>
    </xf>
    <xf numFmtId="0" fontId="50" fillId="0" borderId="6" xfId="2" applyFont="1" applyBorder="1"/>
    <xf numFmtId="0" fontId="32" fillId="2" borderId="5" xfId="1" applyFont="1" applyFill="1" applyBorder="1" applyAlignment="1">
      <alignment vertical="center" wrapText="1"/>
    </xf>
    <xf numFmtId="0" fontId="0" fillId="0" borderId="0" xfId="0" applyAlignment="1">
      <alignment horizontal="left" indent="1"/>
    </xf>
    <xf numFmtId="0" fontId="51" fillId="11" borderId="22" xfId="0" applyFont="1" applyFill="1" applyBorder="1" applyAlignment="1">
      <alignment horizontal="center" wrapText="1"/>
    </xf>
    <xf numFmtId="0" fontId="52" fillId="0" borderId="22" xfId="0" applyFont="1" applyBorder="1" applyAlignment="1">
      <alignment horizontal="center" vertical="center" wrapText="1"/>
    </xf>
    <xf numFmtId="0" fontId="52" fillId="0" borderId="23" xfId="0" applyFont="1" applyBorder="1" applyAlignment="1">
      <alignment horizontal="justify" vertical="center"/>
    </xf>
    <xf numFmtId="0" fontId="52" fillId="0" borderId="22" xfId="0" applyFont="1" applyBorder="1"/>
    <xf numFmtId="44" fontId="0" fillId="0" borderId="0" xfId="14" applyFont="1" applyAlignment="1"/>
    <xf numFmtId="44" fontId="35" fillId="3" borderId="18" xfId="14" applyFont="1" applyFill="1" applyBorder="1" applyAlignment="1">
      <alignment horizontal="center" vertical="center" wrapText="1"/>
    </xf>
    <xf numFmtId="44" fontId="0" fillId="0" borderId="2" xfId="0" applyNumberFormat="1" applyBorder="1"/>
    <xf numFmtId="0" fontId="55" fillId="12" borderId="2" xfId="0" applyFont="1" applyFill="1" applyBorder="1"/>
    <xf numFmtId="0" fontId="0" fillId="0" borderId="2" xfId="0" pivotButton="1" applyBorder="1"/>
    <xf numFmtId="0" fontId="0" fillId="0" borderId="19" xfId="0" applyBorder="1"/>
    <xf numFmtId="0" fontId="42" fillId="13" borderId="2" xfId="0" applyFont="1" applyFill="1" applyBorder="1" applyAlignment="1">
      <alignment horizontal="center"/>
    </xf>
    <xf numFmtId="0" fontId="46" fillId="0" borderId="2" xfId="0" applyFont="1" applyBorder="1" applyAlignment="1">
      <alignment horizontal="left" wrapText="1"/>
    </xf>
    <xf numFmtId="44" fontId="0" fillId="0" borderId="2" xfId="14" applyFont="1" applyBorder="1"/>
    <xf numFmtId="0" fontId="42" fillId="13" borderId="2" xfId="0" applyFont="1" applyFill="1" applyBorder="1" applyAlignment="1">
      <alignment horizontal="center" wrapText="1"/>
    </xf>
    <xf numFmtId="0" fontId="52" fillId="0" borderId="2" xfId="0" applyFont="1" applyBorder="1" applyAlignment="1">
      <alignment horizontal="justify" vertical="center"/>
    </xf>
    <xf numFmtId="0" fontId="29" fillId="0" borderId="2" xfId="0" applyFont="1" applyBorder="1" applyAlignment="1">
      <alignment horizontal="center"/>
    </xf>
    <xf numFmtId="0" fontId="42" fillId="13" borderId="25" xfId="0" applyFont="1" applyFill="1" applyBorder="1" applyAlignment="1">
      <alignment horizontal="center" vertical="center" wrapText="1"/>
    </xf>
    <xf numFmtId="0" fontId="29" fillId="14" borderId="2" xfId="0" applyFont="1" applyFill="1" applyBorder="1" applyAlignment="1">
      <alignment horizontal="center"/>
    </xf>
    <xf numFmtId="0" fontId="54" fillId="15" borderId="2" xfId="0" applyFont="1" applyFill="1" applyBorder="1"/>
    <xf numFmtId="0" fontId="0" fillId="15" borderId="0" xfId="0" applyFill="1"/>
    <xf numFmtId="44" fontId="29" fillId="15" borderId="2" xfId="0" applyNumberFormat="1" applyFont="1" applyFill="1" applyBorder="1"/>
    <xf numFmtId="44" fontId="29" fillId="16" borderId="2" xfId="0" applyNumberFormat="1" applyFont="1" applyFill="1" applyBorder="1"/>
    <xf numFmtId="0" fontId="54" fillId="16" borderId="2" xfId="0" applyFont="1" applyFill="1" applyBorder="1"/>
    <xf numFmtId="0" fontId="54" fillId="16" borderId="2" xfId="0" applyFont="1" applyFill="1" applyBorder="1" applyAlignment="1">
      <alignment horizontal="left" vertical="center"/>
    </xf>
    <xf numFmtId="0" fontId="29" fillId="17" borderId="2" xfId="0" applyFont="1" applyFill="1" applyBorder="1" applyAlignment="1">
      <alignment horizontal="center"/>
    </xf>
    <xf numFmtId="164" fontId="0" fillId="0" borderId="0" xfId="0" applyNumberFormat="1"/>
    <xf numFmtId="8" fontId="46" fillId="0" borderId="2" xfId="0" applyNumberFormat="1" applyFont="1" applyBorder="1" applyAlignment="1">
      <alignment horizontal="center" vertical="center"/>
    </xf>
    <xf numFmtId="0" fontId="46" fillId="0" borderId="2" xfId="0" applyFont="1" applyBorder="1" applyAlignment="1">
      <alignment horizontal="center" vertical="center"/>
    </xf>
    <xf numFmtId="0" fontId="56" fillId="0" borderId="2" xfId="0" applyFont="1" applyBorder="1" applyAlignment="1">
      <alignment horizontal="center" vertical="center"/>
    </xf>
    <xf numFmtId="0" fontId="57" fillId="0" borderId="2" xfId="0" applyFont="1" applyBorder="1" applyAlignment="1">
      <alignment horizontal="center" vertical="center"/>
    </xf>
    <xf numFmtId="0" fontId="58" fillId="0" borderId="2" xfId="0" applyFont="1" applyBorder="1" applyAlignment="1">
      <alignment horizontal="center" vertical="center"/>
    </xf>
    <xf numFmtId="0" fontId="54" fillId="0" borderId="2" xfId="0" applyFont="1" applyBorder="1" applyAlignment="1">
      <alignment horizontal="center"/>
    </xf>
    <xf numFmtId="165" fontId="0" fillId="0" borderId="0" xfId="0" applyNumberFormat="1"/>
    <xf numFmtId="0" fontId="0" fillId="0" borderId="16" xfId="0" applyBorder="1"/>
    <xf numFmtId="0" fontId="0" fillId="18" borderId="2" xfId="0" applyFill="1" applyBorder="1"/>
    <xf numFmtId="0" fontId="0" fillId="18" borderId="25" xfId="0" applyFill="1" applyBorder="1"/>
    <xf numFmtId="0" fontId="60" fillId="13" borderId="2" xfId="0" applyFont="1" applyFill="1" applyBorder="1" applyAlignment="1">
      <alignment horizontal="center"/>
    </xf>
    <xf numFmtId="0" fontId="61" fillId="0" borderId="0" xfId="0" applyFont="1" applyAlignment="1">
      <alignment horizontal="right" vertical="center"/>
    </xf>
    <xf numFmtId="0" fontId="64" fillId="0" borderId="0" xfId="0" applyFont="1" applyAlignment="1">
      <alignment vertical="center"/>
    </xf>
    <xf numFmtId="0" fontId="0" fillId="19" borderId="0" xfId="0" applyFill="1"/>
    <xf numFmtId="0" fontId="63" fillId="0" borderId="0" xfId="0" applyFont="1"/>
    <xf numFmtId="0" fontId="37" fillId="0" borderId="0" xfId="0" applyFont="1"/>
    <xf numFmtId="0" fontId="66" fillId="0" borderId="0" xfId="0" applyFont="1"/>
    <xf numFmtId="0" fontId="37" fillId="0" borderId="0" xfId="0" pivotButton="1" applyFont="1"/>
    <xf numFmtId="0" fontId="0" fillId="0" borderId="0" xfId="0" applyAlignment="1">
      <alignment wrapText="1"/>
    </xf>
    <xf numFmtId="0" fontId="0" fillId="0" borderId="0" xfId="0" applyAlignment="1">
      <alignment horizontal="left" wrapText="1"/>
    </xf>
    <xf numFmtId="0" fontId="37" fillId="4" borderId="29" xfId="0" applyFont="1" applyFill="1" applyBorder="1"/>
    <xf numFmtId="0" fontId="37" fillId="4" borderId="30" xfId="0" applyFont="1" applyFill="1" applyBorder="1"/>
    <xf numFmtId="0" fontId="37" fillId="4" borderId="31" xfId="0" applyFont="1" applyFill="1" applyBorder="1"/>
    <xf numFmtId="0" fontId="37" fillId="4" borderId="0" xfId="0" applyFont="1" applyFill="1"/>
    <xf numFmtId="0" fontId="37" fillId="4" borderId="32" xfId="0" applyFont="1" applyFill="1" applyBorder="1"/>
    <xf numFmtId="0" fontId="37" fillId="4" borderId="33" xfId="0" applyFont="1" applyFill="1" applyBorder="1"/>
    <xf numFmtId="0" fontId="37" fillId="4" borderId="34" xfId="0" applyFont="1" applyFill="1" applyBorder="1"/>
    <xf numFmtId="0" fontId="37" fillId="4" borderId="35" xfId="0" applyFont="1" applyFill="1" applyBorder="1"/>
    <xf numFmtId="0" fontId="37" fillId="0" borderId="0" xfId="0" applyFont="1" applyAlignment="1">
      <alignment wrapText="1"/>
    </xf>
    <xf numFmtId="0" fontId="0" fillId="2" borderId="2" xfId="0" applyFill="1" applyBorder="1" applyAlignment="1">
      <alignment horizontal="center" vertical="center" wrapText="1"/>
    </xf>
    <xf numFmtId="0" fontId="0" fillId="2" borderId="2" xfId="0" applyFill="1" applyBorder="1" applyAlignment="1">
      <alignment horizontal="left" vertical="center" wrapText="1"/>
    </xf>
    <xf numFmtId="0" fontId="0" fillId="0" borderId="13" xfId="0" applyBorder="1" applyAlignment="1">
      <alignment horizontal="center" vertical="center" wrapText="1"/>
    </xf>
    <xf numFmtId="0" fontId="0" fillId="2" borderId="36" xfId="0" applyFill="1" applyBorder="1" applyAlignment="1">
      <alignment horizontal="center" vertical="center" wrapText="1"/>
    </xf>
    <xf numFmtId="0" fontId="0" fillId="2" borderId="36" xfId="0" applyFill="1" applyBorder="1" applyAlignment="1">
      <alignment horizontal="left" vertical="center" wrapText="1"/>
    </xf>
    <xf numFmtId="0" fontId="0" fillId="0" borderId="28" xfId="0" applyBorder="1" applyAlignment="1">
      <alignment horizontal="center" vertical="center" wrapText="1"/>
    </xf>
    <xf numFmtId="44" fontId="0" fillId="0" borderId="0" xfId="14" applyFont="1" applyBorder="1" applyAlignment="1"/>
    <xf numFmtId="0" fontId="44" fillId="8" borderId="26" xfId="0" applyFont="1" applyFill="1" applyBorder="1" applyAlignment="1">
      <alignment horizontal="center" vertical="center" wrapText="1"/>
    </xf>
    <xf numFmtId="0" fontId="29" fillId="0" borderId="0" xfId="0" applyFont="1" applyAlignment="1">
      <alignment horizontal="center"/>
    </xf>
    <xf numFmtId="0" fontId="37" fillId="0" borderId="0" xfId="0" pivotButton="1" applyFont="1" applyAlignment="1">
      <alignment horizontal="center" vertical="center" wrapText="1"/>
    </xf>
    <xf numFmtId="0" fontId="37" fillId="0" borderId="0" xfId="0" pivotButton="1" applyFont="1" applyAlignment="1">
      <alignment vertical="center" wrapText="1"/>
    </xf>
    <xf numFmtId="0" fontId="37" fillId="0" borderId="2" xfId="0" applyFont="1" applyBorder="1" applyAlignment="1">
      <alignment horizontal="center" vertical="center" wrapText="1"/>
    </xf>
    <xf numFmtId="0" fontId="37" fillId="0" borderId="0" xfId="0" applyFont="1" applyAlignment="1">
      <alignment vertical="center" wrapText="1"/>
    </xf>
    <xf numFmtId="0" fontId="51" fillId="4" borderId="0" xfId="1" applyFont="1" applyFill="1"/>
    <xf numFmtId="0" fontId="51" fillId="4" borderId="0" xfId="1" applyFont="1" applyFill="1" applyAlignment="1">
      <alignment horizontal="left" vertical="center"/>
    </xf>
    <xf numFmtId="0" fontId="63" fillId="4" borderId="0" xfId="0" applyFont="1" applyFill="1"/>
    <xf numFmtId="0" fontId="37" fillId="4" borderId="0" xfId="0" applyFont="1" applyFill="1" applyAlignment="1">
      <alignment horizontal="left"/>
    </xf>
    <xf numFmtId="14" fontId="70" fillId="20" borderId="2" xfId="0" applyNumberFormat="1" applyFont="1" applyFill="1" applyBorder="1" applyAlignment="1">
      <alignment horizontal="center" textRotation="90"/>
    </xf>
    <xf numFmtId="0" fontId="70" fillId="20" borderId="2" xfId="0" applyFont="1" applyFill="1" applyBorder="1" applyAlignment="1">
      <alignment horizontal="center" textRotation="90"/>
    </xf>
    <xf numFmtId="0" fontId="71" fillId="20" borderId="13" xfId="0" applyFont="1" applyFill="1" applyBorder="1" applyAlignment="1">
      <alignment horizontal="center" vertical="center"/>
    </xf>
    <xf numFmtId="0" fontId="70" fillId="20" borderId="2" xfId="0" applyFont="1" applyFill="1" applyBorder="1"/>
    <xf numFmtId="0" fontId="69" fillId="0" borderId="0" xfId="0" applyFont="1"/>
    <xf numFmtId="166" fontId="70" fillId="0" borderId="2" xfId="0" applyNumberFormat="1" applyFont="1" applyBorder="1"/>
    <xf numFmtId="0" fontId="70" fillId="20" borderId="0" xfId="0" applyFont="1" applyFill="1"/>
    <xf numFmtId="21" fontId="70" fillId="0" borderId="0" xfId="0" applyNumberFormat="1" applyFont="1"/>
    <xf numFmtId="166" fontId="70" fillId="9" borderId="2" xfId="0" applyNumberFormat="1" applyFont="1" applyFill="1" applyBorder="1"/>
    <xf numFmtId="166" fontId="70" fillId="9" borderId="2" xfId="0" applyNumberFormat="1" applyFont="1" applyFill="1" applyBorder="1" applyAlignment="1">
      <alignment horizontal="center"/>
    </xf>
    <xf numFmtId="166" fontId="70" fillId="20" borderId="2" xfId="0" applyNumberFormat="1" applyFont="1" applyFill="1" applyBorder="1"/>
    <xf numFmtId="166" fontId="70" fillId="0" borderId="2" xfId="0" applyNumberFormat="1" applyFont="1" applyBorder="1" applyAlignment="1">
      <alignment horizontal="center"/>
    </xf>
    <xf numFmtId="0" fontId="71" fillId="21" borderId="2" xfId="0" applyFont="1" applyFill="1" applyBorder="1" applyAlignment="1">
      <alignment horizontal="center"/>
    </xf>
    <xf numFmtId="167" fontId="0" fillId="21" borderId="2" xfId="0" applyNumberFormat="1" applyFill="1" applyBorder="1"/>
    <xf numFmtId="0" fontId="38" fillId="2" borderId="28" xfId="0" applyFont="1" applyFill="1" applyBorder="1" applyAlignment="1">
      <alignment horizontal="left" vertical="center" wrapText="1"/>
    </xf>
    <xf numFmtId="0" fontId="54" fillId="0" borderId="0" xfId="0" applyFont="1"/>
    <xf numFmtId="44" fontId="29" fillId="0" borderId="0" xfId="0" applyNumberFormat="1" applyFont="1"/>
    <xf numFmtId="167" fontId="0" fillId="9" borderId="2" xfId="0" applyNumberFormat="1" applyFill="1" applyBorder="1"/>
    <xf numFmtId="44" fontId="53" fillId="0" borderId="39" xfId="14" applyFont="1" applyBorder="1"/>
    <xf numFmtId="44" fontId="0" fillId="0" borderId="0" xfId="14" applyFont="1" applyFill="1" applyBorder="1" applyAlignment="1"/>
    <xf numFmtId="0" fontId="0" fillId="2" borderId="2" xfId="0" applyFill="1" applyBorder="1" applyAlignment="1" applyProtection="1">
      <alignment horizontal="center" vertical="center" wrapText="1"/>
      <protection locked="0"/>
    </xf>
    <xf numFmtId="0" fontId="0" fillId="2" borderId="36" xfId="0" applyFill="1" applyBorder="1" applyAlignment="1" applyProtection="1">
      <alignment horizontal="center" vertical="center" wrapText="1"/>
      <protection locked="0"/>
    </xf>
    <xf numFmtId="0" fontId="0" fillId="0" borderId="0" xfId="0" pivotButton="1" applyAlignment="1">
      <alignment wrapText="1"/>
    </xf>
    <xf numFmtId="8" fontId="75" fillId="0" borderId="2" xfId="0" applyNumberFormat="1" applyFont="1" applyBorder="1" applyAlignment="1">
      <alignment horizontal="right"/>
    </xf>
    <xf numFmtId="8" fontId="29" fillId="0" borderId="2" xfId="0" applyNumberFormat="1" applyFont="1" applyBorder="1"/>
    <xf numFmtId="0" fontId="76" fillId="0" borderId="2" xfId="0" applyFont="1" applyBorder="1"/>
    <xf numFmtId="0" fontId="29" fillId="22" borderId="2" xfId="0" applyFont="1" applyFill="1" applyBorder="1" applyAlignment="1">
      <alignment horizontal="center" vertical="center"/>
    </xf>
    <xf numFmtId="0" fontId="0" fillId="22" borderId="0" xfId="0" applyFill="1" applyAlignment="1">
      <alignment horizontal="center" vertical="center"/>
    </xf>
    <xf numFmtId="9" fontId="54" fillId="0" borderId="0" xfId="0" applyNumberFormat="1" applyFont="1" applyAlignment="1">
      <alignment horizontal="left"/>
    </xf>
    <xf numFmtId="0" fontId="55" fillId="24" borderId="2" xfId="0" applyFont="1" applyFill="1" applyBorder="1" applyAlignment="1">
      <alignment horizontal="center"/>
    </xf>
    <xf numFmtId="3" fontId="0" fillId="23" borderId="2" xfId="0" applyNumberFormat="1" applyFill="1" applyBorder="1"/>
    <xf numFmtId="3" fontId="0" fillId="0" borderId="2" xfId="0" applyNumberFormat="1" applyBorder="1"/>
    <xf numFmtId="0" fontId="0" fillId="23" borderId="13" xfId="0" applyFill="1" applyBorder="1" applyAlignment="1">
      <alignment horizontal="left"/>
    </xf>
    <xf numFmtId="0" fontId="55" fillId="24" borderId="13" xfId="0" applyFont="1" applyFill="1" applyBorder="1" applyAlignment="1">
      <alignment horizontal="left"/>
    </xf>
    <xf numFmtId="0" fontId="55" fillId="24" borderId="45" xfId="0" applyFont="1" applyFill="1" applyBorder="1" applyAlignment="1">
      <alignment horizontal="center"/>
    </xf>
    <xf numFmtId="0" fontId="55" fillId="24" borderId="46" xfId="0" applyFont="1" applyFill="1" applyBorder="1" applyAlignment="1">
      <alignment horizontal="center"/>
    </xf>
    <xf numFmtId="3" fontId="0" fillId="23" borderId="45" xfId="0" applyNumberFormat="1" applyFill="1" applyBorder="1"/>
    <xf numFmtId="3" fontId="0" fillId="23" borderId="46" xfId="0" applyNumberFormat="1" applyFill="1" applyBorder="1"/>
    <xf numFmtId="3" fontId="0" fillId="0" borderId="45" xfId="0" applyNumberFormat="1" applyBorder="1"/>
    <xf numFmtId="3" fontId="0" fillId="0" borderId="46" xfId="0" applyNumberFormat="1" applyBorder="1"/>
    <xf numFmtId="3" fontId="55" fillId="24" borderId="47" xfId="0" applyNumberFormat="1" applyFont="1" applyFill="1" applyBorder="1"/>
    <xf numFmtId="3" fontId="55" fillId="24" borderId="48" xfId="0" applyNumberFormat="1" applyFont="1" applyFill="1" applyBorder="1"/>
    <xf numFmtId="3" fontId="55" fillId="24" borderId="49" xfId="0" applyNumberFormat="1" applyFont="1" applyFill="1" applyBorder="1"/>
    <xf numFmtId="3" fontId="0" fillId="9" borderId="45" xfId="0" applyNumberFormat="1" applyFill="1" applyBorder="1"/>
    <xf numFmtId="3" fontId="0" fillId="9" borderId="46" xfId="0" applyNumberFormat="1" applyFill="1" applyBorder="1"/>
    <xf numFmtId="3" fontId="0" fillId="23" borderId="51" xfId="0" applyNumberFormat="1" applyFill="1" applyBorder="1"/>
    <xf numFmtId="3" fontId="0" fillId="0" borderId="51" xfId="0" applyNumberFormat="1" applyBorder="1"/>
    <xf numFmtId="3" fontId="55" fillId="24" borderId="52" xfId="0" applyNumberFormat="1" applyFont="1" applyFill="1" applyBorder="1"/>
    <xf numFmtId="0" fontId="0" fillId="0" borderId="14" xfId="0" applyBorder="1" applyProtection="1">
      <protection locked="0"/>
    </xf>
    <xf numFmtId="0" fontId="55" fillId="12" borderId="2" xfId="0" applyFont="1" applyFill="1" applyBorder="1" applyAlignment="1">
      <alignment horizontal="center" wrapText="1"/>
    </xf>
    <xf numFmtId="44" fontId="29" fillId="25" borderId="0" xfId="0" applyNumberFormat="1" applyFont="1" applyFill="1"/>
    <xf numFmtId="0" fontId="29" fillId="0" borderId="34" xfId="0" applyFont="1" applyBorder="1"/>
    <xf numFmtId="0" fontId="0" fillId="0" borderId="34" xfId="0" applyBorder="1"/>
    <xf numFmtId="44" fontId="29" fillId="0" borderId="34" xfId="0" applyNumberFormat="1" applyFont="1" applyBorder="1"/>
    <xf numFmtId="44" fontId="29" fillId="25" borderId="34" xfId="0" applyNumberFormat="1" applyFont="1" applyFill="1" applyBorder="1"/>
    <xf numFmtId="0" fontId="31" fillId="0" borderId="2" xfId="0" applyFont="1" applyBorder="1" applyAlignment="1" applyProtection="1">
      <alignment horizontal="left" vertical="top" wrapText="1"/>
      <protection locked="0"/>
    </xf>
    <xf numFmtId="0" fontId="69" fillId="0" borderId="17" xfId="0" applyFont="1" applyBorder="1" applyAlignment="1" applyProtection="1">
      <alignment horizontal="center" vertical="center" wrapText="1"/>
      <protection locked="0"/>
    </xf>
    <xf numFmtId="0" fontId="77" fillId="0" borderId="0" xfId="0" applyFont="1" applyAlignment="1">
      <alignment horizontal="justify" vertical="center"/>
    </xf>
    <xf numFmtId="0" fontId="77" fillId="0" borderId="0" xfId="0" applyFont="1" applyAlignment="1">
      <alignment horizontal="justify" vertical="center" wrapText="1"/>
    </xf>
    <xf numFmtId="0" fontId="69" fillId="2" borderId="17" xfId="0" applyFont="1" applyFill="1" applyBorder="1" applyAlignment="1" applyProtection="1">
      <alignment horizontal="center" vertical="center" wrapText="1"/>
      <protection locked="0"/>
    </xf>
    <xf numFmtId="0" fontId="0" fillId="0" borderId="2" xfId="0" applyBorder="1" applyAlignment="1" applyProtection="1">
      <alignment horizontal="center" vertical="center"/>
      <protection locked="0"/>
    </xf>
    <xf numFmtId="0" fontId="69" fillId="0" borderId="41" xfId="0" applyFont="1" applyBorder="1" applyAlignment="1" applyProtection="1">
      <alignment horizontal="center" vertical="center" wrapText="1"/>
      <protection locked="0"/>
    </xf>
    <xf numFmtId="0" fontId="43" fillId="0" borderId="36" xfId="0" applyFont="1" applyBorder="1" applyAlignment="1">
      <alignment horizontal="center" vertical="center" wrapText="1"/>
    </xf>
    <xf numFmtId="0" fontId="72" fillId="4" borderId="2" xfId="0" applyFont="1" applyFill="1" applyBorder="1" applyAlignment="1" applyProtection="1">
      <alignment vertical="center" wrapText="1"/>
      <protection locked="0"/>
    </xf>
    <xf numFmtId="0" fontId="69" fillId="2" borderId="15" xfId="0" applyFont="1" applyFill="1" applyBorder="1" applyAlignment="1" applyProtection="1">
      <alignment horizontal="center" vertical="center" wrapText="1"/>
      <protection locked="0"/>
    </xf>
    <xf numFmtId="0" fontId="69" fillId="2" borderId="41" xfId="0" applyFont="1" applyFill="1" applyBorder="1" applyAlignment="1" applyProtection="1">
      <alignment horizontal="center" vertical="center" wrapText="1"/>
      <protection locked="0"/>
    </xf>
    <xf numFmtId="0" fontId="31" fillId="4" borderId="2" xfId="0" applyFont="1" applyFill="1" applyBorder="1" applyAlignment="1" applyProtection="1">
      <alignment horizontal="left" vertical="top" wrapText="1"/>
      <protection locked="0"/>
    </xf>
    <xf numFmtId="0" fontId="69" fillId="2" borderId="15" xfId="0" applyFont="1" applyFill="1" applyBorder="1" applyAlignment="1">
      <alignment horizontal="center" vertical="center" wrapText="1"/>
    </xf>
    <xf numFmtId="0" fontId="72" fillId="26" borderId="15" xfId="0" applyFont="1" applyFill="1" applyBorder="1" applyAlignment="1">
      <alignment vertical="center" wrapText="1"/>
    </xf>
    <xf numFmtId="0" fontId="69" fillId="2" borderId="41" xfId="0" applyFont="1" applyFill="1" applyBorder="1" applyAlignment="1">
      <alignment horizontal="center" vertical="center" wrapText="1"/>
    </xf>
    <xf numFmtId="0" fontId="41" fillId="0" borderId="15" xfId="0" applyFont="1" applyBorder="1" applyAlignment="1">
      <alignment vertical="center"/>
    </xf>
    <xf numFmtId="0" fontId="69" fillId="2" borderId="17" xfId="0" applyFont="1" applyFill="1" applyBorder="1" applyAlignment="1">
      <alignment horizontal="center" vertical="center" wrapText="1"/>
    </xf>
    <xf numFmtId="0" fontId="38" fillId="0" borderId="14" xfId="0" applyFont="1" applyBorder="1"/>
    <xf numFmtId="0" fontId="78" fillId="0" borderId="0" xfId="20" applyBorder="1" applyAlignment="1"/>
    <xf numFmtId="0" fontId="78" fillId="0" borderId="2" xfId="20" applyBorder="1" applyAlignment="1" applyProtection="1">
      <alignment vertical="center"/>
      <protection locked="0"/>
    </xf>
    <xf numFmtId="0" fontId="69" fillId="2" borderId="15" xfId="22" applyFont="1" applyFill="1" applyBorder="1" applyAlignment="1" applyProtection="1">
      <alignment horizontal="center" vertical="center" wrapText="1"/>
      <protection locked="0"/>
    </xf>
    <xf numFmtId="0" fontId="31" fillId="4" borderId="2" xfId="22" applyFill="1" applyBorder="1" applyAlignment="1" applyProtection="1">
      <alignment horizontal="left" vertical="top" wrapText="1"/>
      <protection locked="0"/>
    </xf>
    <xf numFmtId="0" fontId="69" fillId="2" borderId="1" xfId="22" applyFont="1" applyFill="1" applyBorder="1" applyAlignment="1" applyProtection="1">
      <alignment horizontal="center" vertical="center" wrapText="1"/>
      <protection locked="0"/>
    </xf>
    <xf numFmtId="0" fontId="69" fillId="2" borderId="17" xfId="22" applyFont="1" applyFill="1" applyBorder="1" applyAlignment="1" applyProtection="1">
      <alignment horizontal="center" vertical="center" wrapText="1"/>
      <protection locked="0"/>
    </xf>
    <xf numFmtId="0" fontId="0" fillId="0" borderId="14" xfId="22" applyFont="1" applyBorder="1" applyProtection="1">
      <protection locked="0"/>
    </xf>
    <xf numFmtId="0" fontId="69" fillId="2" borderId="15" xfId="25" applyFont="1" applyFill="1" applyBorder="1" applyAlignment="1" applyProtection="1">
      <alignment horizontal="center" vertical="center" wrapText="1"/>
      <protection locked="0"/>
    </xf>
    <xf numFmtId="0" fontId="69" fillId="2" borderId="41" xfId="25" applyFont="1" applyFill="1" applyBorder="1" applyAlignment="1" applyProtection="1">
      <alignment horizontal="center" vertical="center" wrapText="1"/>
      <protection locked="0"/>
    </xf>
    <xf numFmtId="0" fontId="0" fillId="0" borderId="2" xfId="25" applyFont="1" applyBorder="1" applyAlignment="1" applyProtection="1">
      <alignment horizontal="center" vertical="center"/>
      <protection locked="0"/>
    </xf>
    <xf numFmtId="0" fontId="69" fillId="2" borderId="17" xfId="25" applyFont="1" applyFill="1" applyBorder="1" applyAlignment="1" applyProtection="1">
      <alignment horizontal="center" vertical="center" wrapText="1"/>
      <protection locked="0"/>
    </xf>
    <xf numFmtId="0" fontId="72" fillId="4" borderId="2" xfId="25" applyFont="1" applyFill="1" applyBorder="1" applyAlignment="1" applyProtection="1">
      <alignment vertical="center" wrapText="1"/>
      <protection locked="0"/>
    </xf>
    <xf numFmtId="0" fontId="31" fillId="4" borderId="2" xfId="25" applyFill="1" applyBorder="1" applyAlignment="1" applyProtection="1">
      <alignment horizontal="left" vertical="top" wrapText="1"/>
      <protection locked="0"/>
    </xf>
    <xf numFmtId="0" fontId="0" fillId="0" borderId="14" xfId="25" applyFont="1" applyBorder="1" applyProtection="1">
      <protection locked="0"/>
    </xf>
    <xf numFmtId="0" fontId="69" fillId="0" borderId="15" xfId="25" applyFont="1" applyBorder="1" applyAlignment="1" applyProtection="1">
      <alignment horizontal="center" vertical="center" wrapText="1"/>
      <protection locked="0"/>
    </xf>
    <xf numFmtId="0" fontId="81" fillId="0" borderId="0" xfId="0" applyFont="1" applyAlignment="1">
      <alignment horizontal="center" vertical="center" wrapText="1"/>
    </xf>
    <xf numFmtId="44" fontId="79" fillId="0" borderId="0" xfId="14" applyFont="1"/>
    <xf numFmtId="44" fontId="0" fillId="0" borderId="0" xfId="0" applyNumberFormat="1"/>
    <xf numFmtId="44" fontId="0" fillId="0" borderId="36" xfId="14" applyFont="1" applyFill="1" applyBorder="1"/>
    <xf numFmtId="0" fontId="0" fillId="27" borderId="0" xfId="0" applyFill="1"/>
    <xf numFmtId="0" fontId="29" fillId="22" borderId="2" xfId="0" applyFont="1" applyFill="1" applyBorder="1" applyAlignment="1">
      <alignment horizontal="center" vertical="center" wrapText="1"/>
    </xf>
    <xf numFmtId="44" fontId="0" fillId="0" borderId="0" xfId="14" applyFont="1" applyBorder="1"/>
    <xf numFmtId="0" fontId="78" fillId="0" borderId="36" xfId="20" applyBorder="1" applyAlignment="1">
      <alignment horizontal="center" vertical="center" wrapText="1"/>
    </xf>
    <xf numFmtId="0" fontId="82" fillId="0" borderId="0" xfId="0" applyFont="1" applyAlignment="1">
      <alignment vertical="center"/>
    </xf>
    <xf numFmtId="0" fontId="82" fillId="0" borderId="0" xfId="0" applyFont="1"/>
    <xf numFmtId="0" fontId="43" fillId="0" borderId="36" xfId="0" applyFont="1" applyBorder="1" applyAlignment="1">
      <alignment horizontal="left" vertical="center" wrapText="1"/>
    </xf>
    <xf numFmtId="0" fontId="0" fillId="2" borderId="36" xfId="0" applyFill="1" applyBorder="1" applyAlignment="1">
      <alignment wrapText="1"/>
    </xf>
    <xf numFmtId="0" fontId="0" fillId="0" borderId="15" xfId="0" applyBorder="1" applyAlignment="1">
      <alignment horizontal="center" vertical="center"/>
    </xf>
    <xf numFmtId="0" fontId="69" fillId="0" borderId="15" xfId="0" applyFont="1" applyBorder="1" applyAlignment="1">
      <alignment horizontal="center" vertical="center" wrapText="1"/>
    </xf>
    <xf numFmtId="169" fontId="69" fillId="0" borderId="15" xfId="0" applyNumberFormat="1" applyFont="1" applyBorder="1" applyAlignment="1">
      <alignment horizontal="center" vertical="center" wrapText="1"/>
    </xf>
    <xf numFmtId="0" fontId="78" fillId="0" borderId="0" xfId="20"/>
    <xf numFmtId="0" fontId="41" fillId="0" borderId="15" xfId="12" applyBorder="1" applyAlignment="1">
      <alignment vertical="center"/>
    </xf>
    <xf numFmtId="44" fontId="0" fillId="0" borderId="0" xfId="14" applyFont="1" applyFill="1" applyBorder="1" applyAlignment="1">
      <alignment horizontal="right"/>
    </xf>
    <xf numFmtId="44" fontId="0" fillId="0" borderId="0" xfId="14" applyFont="1" applyFill="1" applyBorder="1"/>
    <xf numFmtId="0" fontId="51" fillId="11" borderId="54" xfId="0" applyFont="1" applyFill="1" applyBorder="1" applyAlignment="1">
      <alignment horizontal="center" wrapText="1"/>
    </xf>
    <xf numFmtId="0" fontId="51" fillId="11" borderId="2" xfId="0" applyFont="1" applyFill="1" applyBorder="1" applyAlignment="1">
      <alignment horizontal="center" wrapText="1"/>
    </xf>
    <xf numFmtId="9" fontId="0" fillId="0" borderId="2" xfId="15" applyFont="1" applyBorder="1"/>
    <xf numFmtId="9" fontId="0" fillId="28" borderId="2" xfId="15" applyFont="1" applyFill="1" applyBorder="1"/>
    <xf numFmtId="44" fontId="0" fillId="4" borderId="2" xfId="14" applyFont="1" applyFill="1" applyBorder="1"/>
    <xf numFmtId="0" fontId="37" fillId="4" borderId="0" xfId="0" applyFont="1" applyFill="1" applyAlignment="1">
      <alignment vertical="top" wrapText="1"/>
    </xf>
    <xf numFmtId="0" fontId="37" fillId="4" borderId="28" xfId="0" applyFont="1" applyFill="1" applyBorder="1" applyAlignment="1">
      <alignment vertical="top" wrapText="1"/>
    </xf>
    <xf numFmtId="0" fontId="37" fillId="4" borderId="29" xfId="0" applyFont="1" applyFill="1" applyBorder="1" applyAlignment="1">
      <alignment vertical="top" wrapText="1"/>
    </xf>
    <xf numFmtId="0" fontId="37" fillId="4" borderId="30" xfId="0" applyFont="1" applyFill="1" applyBorder="1" applyAlignment="1">
      <alignment vertical="top" wrapText="1"/>
    </xf>
    <xf numFmtId="0" fontId="37" fillId="4" borderId="31" xfId="0" applyFont="1" applyFill="1" applyBorder="1" applyAlignment="1">
      <alignment vertical="top" wrapText="1"/>
    </xf>
    <xf numFmtId="0" fontId="37" fillId="4" borderId="32" xfId="0" applyFont="1" applyFill="1" applyBorder="1" applyAlignment="1">
      <alignment vertical="top" wrapText="1"/>
    </xf>
    <xf numFmtId="0" fontId="0" fillId="0" borderId="0" xfId="22" applyFont="1" applyProtection="1">
      <protection locked="0"/>
    </xf>
    <xf numFmtId="0" fontId="0" fillId="0" borderId="0" xfId="25" applyFont="1" applyProtection="1">
      <protection locked="0"/>
    </xf>
    <xf numFmtId="0" fontId="0" fillId="0" borderId="0" xfId="0" applyProtection="1">
      <protection locked="0"/>
    </xf>
    <xf numFmtId="0" fontId="31" fillId="0" borderId="0" xfId="0" applyFont="1" applyProtection="1">
      <protection locked="0"/>
    </xf>
    <xf numFmtId="0" fontId="52" fillId="0" borderId="0" xfId="0" applyFont="1" applyAlignment="1">
      <alignment horizontal="justify" vertical="center"/>
    </xf>
    <xf numFmtId="0" fontId="85" fillId="29" borderId="58" xfId="0" applyFont="1" applyFill="1" applyBorder="1" applyAlignment="1">
      <alignment horizontal="center" vertical="center" wrapText="1"/>
    </xf>
    <xf numFmtId="0" fontId="85" fillId="29" borderId="59" xfId="0" applyFont="1" applyFill="1" applyBorder="1" applyAlignment="1">
      <alignment horizontal="center" vertical="center" wrapText="1"/>
    </xf>
    <xf numFmtId="0" fontId="85" fillId="29" borderId="60" xfId="0" applyFont="1" applyFill="1" applyBorder="1" applyAlignment="1">
      <alignment horizontal="center" vertical="center" wrapText="1"/>
    </xf>
    <xf numFmtId="0" fontId="85" fillId="29" borderId="43" xfId="0" applyFont="1" applyFill="1" applyBorder="1" applyAlignment="1">
      <alignment horizontal="center" vertical="center" wrapText="1"/>
    </xf>
    <xf numFmtId="0" fontId="85" fillId="29" borderId="44" xfId="0" applyFont="1" applyFill="1" applyBorder="1" applyAlignment="1">
      <alignment horizontal="center" vertical="center" wrapText="1"/>
    </xf>
    <xf numFmtId="0" fontId="86" fillId="0" borderId="61" xfId="0" applyFont="1" applyBorder="1" applyAlignment="1">
      <alignment vertical="center" wrapText="1"/>
    </xf>
    <xf numFmtId="0" fontId="86" fillId="0" borderId="63" xfId="0" applyFont="1" applyBorder="1" applyAlignment="1">
      <alignment vertical="center" wrapText="1"/>
    </xf>
    <xf numFmtId="0" fontId="86" fillId="0" borderId="64" xfId="0" applyFont="1" applyBorder="1" applyAlignment="1">
      <alignment vertical="center" wrapText="1"/>
    </xf>
    <xf numFmtId="0" fontId="0" fillId="0" borderId="13" xfId="0" applyBorder="1"/>
    <xf numFmtId="0" fontId="0" fillId="0" borderId="25" xfId="0" applyBorder="1"/>
    <xf numFmtId="0" fontId="0" fillId="0" borderId="65" xfId="0" applyBorder="1"/>
    <xf numFmtId="0" fontId="86" fillId="0" borderId="66" xfId="0" applyFont="1" applyBorder="1" applyAlignment="1">
      <alignment vertical="center" wrapText="1"/>
    </xf>
    <xf numFmtId="0" fontId="86" fillId="0" borderId="68" xfId="0" applyFont="1" applyBorder="1" applyAlignment="1">
      <alignment vertical="center" wrapText="1"/>
    </xf>
    <xf numFmtId="0" fontId="86" fillId="0" borderId="69" xfId="0" applyFont="1" applyBorder="1" applyAlignment="1">
      <alignment vertical="center" wrapText="1"/>
    </xf>
    <xf numFmtId="0" fontId="86" fillId="0" borderId="6" xfId="0" applyFont="1" applyBorder="1" applyAlignment="1">
      <alignment vertical="center" wrapText="1"/>
    </xf>
    <xf numFmtId="0" fontId="0" fillId="0" borderId="70" xfId="0" applyBorder="1"/>
    <xf numFmtId="0" fontId="0" fillId="0" borderId="48" xfId="0" applyBorder="1"/>
    <xf numFmtId="0" fontId="0" fillId="0" borderId="71" xfId="0" applyBorder="1"/>
    <xf numFmtId="0" fontId="78" fillId="0" borderId="57" xfId="20" applyFill="1" applyBorder="1" applyAlignment="1" applyProtection="1">
      <alignment horizontal="left" vertical="center" wrapText="1"/>
      <protection locked="0"/>
    </xf>
    <xf numFmtId="44" fontId="0" fillId="0" borderId="2" xfId="14" applyFont="1" applyFill="1" applyBorder="1"/>
    <xf numFmtId="44" fontId="0" fillId="0" borderId="0" xfId="14" applyFont="1"/>
    <xf numFmtId="0" fontId="54" fillId="15" borderId="36" xfId="0" applyFont="1" applyFill="1" applyBorder="1"/>
    <xf numFmtId="44" fontId="29" fillId="15" borderId="36" xfId="0" applyNumberFormat="1" applyFont="1" applyFill="1" applyBorder="1"/>
    <xf numFmtId="0" fontId="0" fillId="15" borderId="2" xfId="0" applyFill="1" applyBorder="1"/>
    <xf numFmtId="44" fontId="0" fillId="4" borderId="2" xfId="0" applyNumberFormat="1" applyFill="1" applyBorder="1"/>
    <xf numFmtId="0" fontId="54" fillId="16" borderId="36" xfId="0" applyFont="1" applyFill="1" applyBorder="1" applyAlignment="1">
      <alignment horizontal="left" vertical="center"/>
    </xf>
    <xf numFmtId="44" fontId="29" fillId="0" borderId="0" xfId="14" applyFont="1"/>
    <xf numFmtId="14" fontId="0" fillId="0" borderId="0" xfId="0" applyNumberFormat="1" applyAlignment="1">
      <alignment horizontal="center" vertical="center" wrapText="1"/>
    </xf>
    <xf numFmtId="14" fontId="29" fillId="31" borderId="0" xfId="0" applyNumberFormat="1" applyFont="1" applyFill="1" applyAlignment="1">
      <alignment horizontal="center" vertical="center" wrapText="1"/>
    </xf>
    <xf numFmtId="14" fontId="0" fillId="0" borderId="0" xfId="0" applyNumberFormat="1" applyAlignment="1">
      <alignment horizontal="center"/>
    </xf>
    <xf numFmtId="14" fontId="37" fillId="0" borderId="0" xfId="0" applyNumberFormat="1" applyFont="1"/>
    <xf numFmtId="14" fontId="63" fillId="0" borderId="0" xfId="0" pivotButton="1" applyNumberFormat="1" applyFont="1" applyAlignment="1">
      <alignment horizontal="center" vertical="center" wrapText="1"/>
    </xf>
    <xf numFmtId="14" fontId="29" fillId="4" borderId="0" xfId="0" applyNumberFormat="1" applyFont="1" applyFill="1"/>
    <xf numFmtId="14" fontId="30" fillId="4" borderId="0" xfId="8" applyNumberFormat="1" applyFont="1" applyFill="1" applyAlignment="1">
      <alignment horizontal="left" vertical="center" wrapText="1"/>
    </xf>
    <xf numFmtId="14" fontId="29" fillId="0" borderId="0" xfId="0" applyNumberFormat="1" applyFont="1"/>
    <xf numFmtId="0" fontId="0" fillId="4" borderId="0" xfId="0" applyFill="1" applyAlignment="1">
      <alignment wrapText="1"/>
    </xf>
    <xf numFmtId="0" fontId="52" fillId="0" borderId="55" xfId="0" applyFont="1" applyBorder="1" applyAlignment="1">
      <alignment horizontal="center" vertical="center" wrapText="1"/>
    </xf>
    <xf numFmtId="2" fontId="0" fillId="0" borderId="0" xfId="0" applyNumberFormat="1"/>
    <xf numFmtId="44" fontId="75" fillId="0" borderId="2" xfId="0" applyNumberFormat="1" applyFont="1" applyBorder="1" applyAlignment="1">
      <alignment horizontal="right"/>
    </xf>
    <xf numFmtId="0" fontId="37" fillId="0" borderId="0" xfId="0" applyFont="1" applyAlignment="1">
      <alignment horizontal="left"/>
    </xf>
    <xf numFmtId="44" fontId="0" fillId="0" borderId="36" xfId="14" applyFont="1" applyBorder="1" applyAlignment="1">
      <alignment horizontal="center" vertical="center"/>
    </xf>
    <xf numFmtId="0" fontId="0" fillId="0" borderId="0" xfId="0" applyAlignment="1">
      <alignment vertical="center"/>
    </xf>
    <xf numFmtId="0" fontId="0" fillId="27" borderId="0" xfId="0" applyFill="1" applyAlignment="1">
      <alignment horizontal="center" vertical="center" wrapText="1"/>
    </xf>
    <xf numFmtId="14" fontId="0" fillId="9" borderId="0" xfId="0" applyNumberFormat="1" applyFill="1" applyAlignment="1">
      <alignment horizontal="center"/>
    </xf>
    <xf numFmtId="0" fontId="105" fillId="2" borderId="2" xfId="0" applyFont="1" applyFill="1" applyBorder="1" applyAlignment="1">
      <alignment horizontal="center" vertical="center" wrapText="1"/>
    </xf>
    <xf numFmtId="0" fontId="105" fillId="2" borderId="2" xfId="0" applyFont="1" applyFill="1" applyBorder="1" applyAlignment="1">
      <alignment horizontal="left" vertical="center" wrapText="1"/>
    </xf>
    <xf numFmtId="0" fontId="106" fillId="0" borderId="2" xfId="0" applyFont="1" applyBorder="1" applyAlignment="1">
      <alignment horizontal="center" vertical="center" wrapText="1"/>
    </xf>
    <xf numFmtId="0" fontId="105" fillId="0" borderId="13" xfId="0" applyFont="1" applyBorder="1" applyAlignment="1">
      <alignment horizontal="center" vertical="center" wrapText="1"/>
    </xf>
    <xf numFmtId="0" fontId="105" fillId="2" borderId="2" xfId="0" applyFont="1" applyFill="1" applyBorder="1" applyAlignment="1">
      <alignment wrapText="1"/>
    </xf>
    <xf numFmtId="0" fontId="105" fillId="2" borderId="36" xfId="0" applyFont="1" applyFill="1" applyBorder="1" applyAlignment="1">
      <alignment horizontal="center" vertical="center" wrapText="1"/>
    </xf>
    <xf numFmtId="0" fontId="105" fillId="2" borderId="36" xfId="0" applyFont="1" applyFill="1" applyBorder="1" applyAlignment="1">
      <alignment horizontal="left" vertical="center" wrapText="1"/>
    </xf>
    <xf numFmtId="0" fontId="106" fillId="0" borderId="36" xfId="0" applyFont="1" applyBorder="1" applyAlignment="1">
      <alignment horizontal="center" vertical="center" wrapText="1"/>
    </xf>
    <xf numFmtId="0" fontId="105" fillId="0" borderId="28" xfId="0" applyFont="1" applyBorder="1" applyAlignment="1">
      <alignment horizontal="center" vertical="center" wrapText="1"/>
    </xf>
    <xf numFmtId="0" fontId="105" fillId="2" borderId="36" xfId="0" applyFont="1" applyFill="1" applyBorder="1" applyAlignment="1">
      <alignment wrapText="1"/>
    </xf>
    <xf numFmtId="0" fontId="105" fillId="2" borderId="0" xfId="0" applyFont="1" applyFill="1" applyAlignment="1">
      <alignment horizontal="center" wrapText="1"/>
    </xf>
    <xf numFmtId="0" fontId="105" fillId="0" borderId="0" xfId="0" applyFont="1"/>
    <xf numFmtId="44" fontId="105" fillId="0" borderId="0" xfId="14" applyFont="1" applyBorder="1" applyAlignment="1"/>
    <xf numFmtId="44" fontId="0" fillId="9" borderId="2" xfId="14" applyFont="1" applyFill="1" applyBorder="1"/>
    <xf numFmtId="44" fontId="0" fillId="4" borderId="36" xfId="14" applyFont="1" applyFill="1" applyBorder="1"/>
    <xf numFmtId="0" fontId="110" fillId="0" borderId="57" xfId="20" applyFont="1" applyFill="1" applyBorder="1" applyAlignment="1" applyProtection="1">
      <alignment horizontal="left" vertical="center" wrapText="1"/>
      <protection locked="0"/>
    </xf>
    <xf numFmtId="44" fontId="39" fillId="32" borderId="85" xfId="14" applyFont="1" applyFill="1" applyBorder="1" applyAlignment="1">
      <alignment horizontal="center" vertical="center" wrapText="1"/>
    </xf>
    <xf numFmtId="44" fontId="39" fillId="4" borderId="85" xfId="14" applyFont="1" applyFill="1" applyBorder="1"/>
    <xf numFmtId="44" fontId="0" fillId="4" borderId="0" xfId="14" applyFont="1" applyFill="1"/>
    <xf numFmtId="44" fontId="39" fillId="32" borderId="86" xfId="0" applyNumberFormat="1" applyFont="1" applyFill="1" applyBorder="1" applyAlignment="1">
      <alignment horizontal="left"/>
    </xf>
    <xf numFmtId="44" fontId="39" fillId="0" borderId="85" xfId="0" applyNumberFormat="1" applyFont="1" applyBorder="1"/>
    <xf numFmtId="44" fontId="39" fillId="32" borderId="86" xfId="0" applyNumberFormat="1" applyFont="1" applyFill="1" applyBorder="1"/>
    <xf numFmtId="0" fontId="29" fillId="4" borderId="0" xfId="0" applyFont="1" applyFill="1"/>
    <xf numFmtId="44" fontId="39" fillId="4" borderId="0" xfId="14" applyFont="1" applyFill="1" applyBorder="1"/>
    <xf numFmtId="0" fontId="0" fillId="4" borderId="87" xfId="0" applyFill="1" applyBorder="1"/>
    <xf numFmtId="44" fontId="0" fillId="4" borderId="0" xfId="0" applyNumberFormat="1" applyFill="1"/>
    <xf numFmtId="0" fontId="0" fillId="4" borderId="88" xfId="0" applyFill="1" applyBorder="1"/>
    <xf numFmtId="44" fontId="0" fillId="4" borderId="88" xfId="0" applyNumberFormat="1" applyFill="1" applyBorder="1"/>
    <xf numFmtId="44" fontId="0" fillId="4" borderId="88" xfId="14" applyFont="1" applyFill="1" applyBorder="1"/>
    <xf numFmtId="8" fontId="29" fillId="0" borderId="0" xfId="0" applyNumberFormat="1" applyFont="1"/>
    <xf numFmtId="14" fontId="0" fillId="4" borderId="0" xfId="0" applyNumberFormat="1" applyFill="1" applyAlignment="1">
      <alignment horizontal="left"/>
    </xf>
    <xf numFmtId="0" fontId="0" fillId="0" borderId="2" xfId="0" applyBorder="1" applyAlignment="1">
      <alignment horizontal="left"/>
    </xf>
    <xf numFmtId="44" fontId="0" fillId="0" borderId="36" xfId="14" applyFont="1" applyBorder="1"/>
    <xf numFmtId="0" fontId="0" fillId="0" borderId="0" xfId="0" applyAlignment="1">
      <alignment horizontal="center" vertical="center"/>
    </xf>
    <xf numFmtId="0" fontId="112" fillId="0" borderId="0" xfId="0" applyFont="1" applyAlignment="1">
      <alignment horizontal="left" vertical="center"/>
    </xf>
    <xf numFmtId="0" fontId="112" fillId="0" borderId="0" xfId="0" applyFont="1" applyAlignment="1">
      <alignment horizontal="center" vertical="center"/>
    </xf>
    <xf numFmtId="0" fontId="0" fillId="0" borderId="2" xfId="0" pivotButton="1" applyBorder="1" applyAlignment="1">
      <alignment horizontal="center" vertical="center"/>
    </xf>
    <xf numFmtId="0" fontId="0" fillId="0" borderId="2" xfId="0" applyBorder="1" applyAlignment="1">
      <alignment horizontal="center" vertical="center" wrapText="1"/>
    </xf>
    <xf numFmtId="0" fontId="29" fillId="33" borderId="90" xfId="0" applyFont="1" applyFill="1" applyBorder="1" applyAlignment="1">
      <alignment horizontal="center" vertical="center" wrapText="1"/>
    </xf>
    <xf numFmtId="0" fontId="31" fillId="30" borderId="0" xfId="0" applyFont="1" applyFill="1" applyAlignment="1">
      <alignment vertical="center"/>
    </xf>
    <xf numFmtId="0" fontId="29" fillId="30" borderId="0" xfId="0" applyFont="1" applyFill="1" applyAlignment="1">
      <alignment vertical="center"/>
    </xf>
    <xf numFmtId="44" fontId="31" fillId="30" borderId="0" xfId="0" applyNumberFormat="1" applyFont="1" applyFill="1" applyAlignment="1">
      <alignment vertical="center"/>
    </xf>
    <xf numFmtId="44" fontId="31" fillId="9" borderId="0" xfId="0" applyNumberFormat="1" applyFont="1" applyFill="1" applyAlignment="1">
      <alignment vertical="center"/>
    </xf>
    <xf numFmtId="44" fontId="31" fillId="30" borderId="91" xfId="0" applyNumberFormat="1" applyFont="1" applyFill="1" applyBorder="1" applyAlignment="1">
      <alignment vertical="center"/>
    </xf>
    <xf numFmtId="44" fontId="31" fillId="9" borderId="91" xfId="0" applyNumberFormat="1" applyFont="1" applyFill="1" applyBorder="1" applyAlignment="1">
      <alignment vertical="center"/>
    </xf>
    <xf numFmtId="0" fontId="29" fillId="4" borderId="0" xfId="0" applyFont="1" applyFill="1" applyAlignment="1">
      <alignment vertical="center"/>
    </xf>
    <xf numFmtId="0" fontId="113" fillId="30" borderId="91" xfId="0" applyFont="1" applyFill="1" applyBorder="1" applyAlignment="1">
      <alignment vertical="center"/>
    </xf>
    <xf numFmtId="44" fontId="29" fillId="9" borderId="0" xfId="0" applyNumberFormat="1" applyFont="1" applyFill="1"/>
    <xf numFmtId="0" fontId="0" fillId="4" borderId="0" xfId="0" applyFill="1" applyAlignment="1">
      <alignment horizontal="center"/>
    </xf>
    <xf numFmtId="0" fontId="51" fillId="4" borderId="0" xfId="1" applyFont="1" applyFill="1" applyAlignment="1">
      <alignment horizontal="left"/>
    </xf>
    <xf numFmtId="0" fontId="51" fillId="4" borderId="0" xfId="1" applyFont="1" applyFill="1" applyAlignment="1">
      <alignment horizontal="center" vertical="center" wrapText="1"/>
    </xf>
    <xf numFmtId="0" fontId="0" fillId="4" borderId="0" xfId="0" applyFill="1" applyAlignment="1">
      <alignment horizontal="center" vertical="center" wrapText="1"/>
    </xf>
    <xf numFmtId="0" fontId="49" fillId="6" borderId="48" xfId="1" applyFont="1" applyFill="1" applyBorder="1" applyAlignment="1">
      <alignment horizontal="center" vertical="center" wrapText="1"/>
    </xf>
    <xf numFmtId="0" fontId="32" fillId="2" borderId="92" xfId="1" applyFont="1" applyFill="1" applyBorder="1" applyAlignment="1">
      <alignment wrapText="1"/>
    </xf>
    <xf numFmtId="0" fontId="32" fillId="2" borderId="93" xfId="1" applyFont="1" applyFill="1" applyBorder="1" applyAlignment="1">
      <alignment wrapText="1"/>
    </xf>
    <xf numFmtId="0" fontId="32" fillId="2" borderId="94" xfId="1" applyFont="1" applyFill="1" applyBorder="1" applyAlignment="1">
      <alignment wrapText="1"/>
    </xf>
    <xf numFmtId="0" fontId="30" fillId="4" borderId="92" xfId="51" applyFont="1" applyFill="1" applyBorder="1" applyAlignment="1">
      <alignment horizontal="center" vertical="center"/>
    </xf>
    <xf numFmtId="0" fontId="32" fillId="2" borderId="93" xfId="1" applyFont="1" applyFill="1" applyBorder="1" applyAlignment="1">
      <alignment horizontal="center" vertical="center" wrapText="1"/>
    </xf>
    <xf numFmtId="0" fontId="32" fillId="2" borderId="25" xfId="1" applyFont="1" applyFill="1" applyBorder="1" applyAlignment="1">
      <alignment horizontal="center" vertical="center"/>
    </xf>
    <xf numFmtId="19" fontId="0" fillId="0" borderId="0" xfId="0" applyNumberFormat="1"/>
    <xf numFmtId="0" fontId="29" fillId="0" borderId="0" xfId="0" applyFont="1" applyAlignment="1">
      <alignment horizontal="right"/>
    </xf>
    <xf numFmtId="14" fontId="0" fillId="34" borderId="0" xfId="0" applyNumberFormat="1" applyFill="1" applyAlignment="1">
      <alignment horizontal="center"/>
    </xf>
    <xf numFmtId="14" fontId="0" fillId="35" borderId="0" xfId="0" applyNumberFormat="1" applyFill="1" applyAlignment="1">
      <alignment horizontal="center"/>
    </xf>
    <xf numFmtId="171" fontId="0" fillId="0" borderId="0" xfId="0" applyNumberFormat="1"/>
    <xf numFmtId="0" fontId="46" fillId="0" borderId="0" xfId="0" applyFont="1" applyAlignment="1">
      <alignment horizontal="left" wrapText="1"/>
    </xf>
    <xf numFmtId="0" fontId="0" fillId="9" borderId="2" xfId="0" applyFill="1" applyBorder="1"/>
    <xf numFmtId="0" fontId="0" fillId="34" borderId="2" xfId="0" applyFill="1" applyBorder="1"/>
    <xf numFmtId="44" fontId="29" fillId="9" borderId="2" xfId="0" applyNumberFormat="1" applyFont="1" applyFill="1" applyBorder="1"/>
    <xf numFmtId="44" fontId="0" fillId="0" borderId="0" xfId="0" applyNumberFormat="1" applyAlignment="1">
      <alignment vertical="center"/>
    </xf>
    <xf numFmtId="0" fontId="72" fillId="10" borderId="17" xfId="0" applyFont="1" applyFill="1" applyBorder="1" applyAlignment="1">
      <alignment horizontal="left" vertical="center" wrapText="1"/>
    </xf>
    <xf numFmtId="0" fontId="72" fillId="10" borderId="17" xfId="54" applyFont="1" applyFill="1" applyBorder="1" applyAlignment="1">
      <alignment horizontal="left" vertical="center" wrapText="1"/>
    </xf>
    <xf numFmtId="0" fontId="72" fillId="10" borderId="74" xfId="0" applyFont="1" applyFill="1" applyBorder="1" applyAlignment="1">
      <alignment horizontal="left" vertical="center" wrapText="1"/>
    </xf>
    <xf numFmtId="9" fontId="0" fillId="0" borderId="0" xfId="0" applyNumberFormat="1"/>
    <xf numFmtId="8" fontId="0" fillId="0" borderId="0" xfId="14" applyNumberFormat="1" applyFont="1"/>
    <xf numFmtId="0" fontId="46" fillId="9" borderId="36" xfId="0" applyFont="1" applyFill="1" applyBorder="1" applyAlignment="1">
      <alignment horizontal="left" vertical="center"/>
    </xf>
    <xf numFmtId="0" fontId="46" fillId="9" borderId="2" xfId="0" applyFont="1" applyFill="1" applyBorder="1" applyAlignment="1">
      <alignment horizontal="left"/>
    </xf>
    <xf numFmtId="0" fontId="54" fillId="9" borderId="36" xfId="0" applyFont="1" applyFill="1" applyBorder="1" applyAlignment="1">
      <alignment horizontal="left" vertical="center"/>
    </xf>
    <xf numFmtId="0" fontId="78" fillId="0" borderId="2" xfId="20" applyFill="1" applyBorder="1" applyAlignment="1">
      <alignment horizontal="center" vertical="center" wrapText="1"/>
    </xf>
    <xf numFmtId="0" fontId="0" fillId="0" borderId="2" xfId="0" applyBorder="1" applyAlignment="1">
      <alignment horizontal="center"/>
    </xf>
    <xf numFmtId="14" fontId="4" fillId="0" borderId="2" xfId="22" applyNumberFormat="1" applyFont="1" applyBorder="1" applyAlignment="1" applyProtection="1">
      <alignment horizontal="center" vertical="center" wrapText="1"/>
      <protection locked="0"/>
    </xf>
    <xf numFmtId="0" fontId="69" fillId="0" borderId="15" xfId="22" applyFont="1" applyBorder="1" applyAlignment="1" applyProtection="1">
      <alignment horizontal="center" vertical="center" wrapText="1"/>
      <protection locked="0"/>
    </xf>
    <xf numFmtId="0" fontId="72" fillId="0" borderId="2" xfId="25" applyFont="1" applyBorder="1" applyAlignment="1" applyProtection="1">
      <alignment vertical="center" wrapText="1"/>
      <protection locked="0"/>
    </xf>
    <xf numFmtId="0" fontId="69" fillId="0" borderId="72" xfId="0" applyFont="1" applyBorder="1" applyAlignment="1" applyProtection="1">
      <alignment vertical="center" wrapText="1"/>
      <protection locked="0"/>
    </xf>
    <xf numFmtId="0" fontId="69" fillId="0" borderId="15" xfId="0" applyFont="1" applyBorder="1" applyAlignment="1" applyProtection="1">
      <alignment horizontal="center" vertical="center" wrapText="1"/>
      <protection locked="0"/>
    </xf>
    <xf numFmtId="0" fontId="69" fillId="0" borderId="41" xfId="25" applyFont="1" applyBorder="1" applyAlignment="1" applyProtection="1">
      <alignment horizontal="center" vertical="center" wrapText="1"/>
      <protection locked="0"/>
    </xf>
    <xf numFmtId="0" fontId="78" fillId="0" borderId="2" xfId="20" applyFill="1" applyBorder="1" applyAlignment="1" applyProtection="1">
      <alignment vertical="center"/>
      <protection locked="0"/>
    </xf>
    <xf numFmtId="0" fontId="0" fillId="0" borderId="2" xfId="0" applyBorder="1" applyAlignment="1">
      <alignment wrapText="1"/>
    </xf>
    <xf numFmtId="0" fontId="0" fillId="0" borderId="0" xfId="0" applyAlignment="1">
      <alignment horizontal="center" wrapText="1"/>
    </xf>
    <xf numFmtId="44" fontId="0" fillId="0" borderId="0" xfId="14" applyFont="1" applyFill="1" applyAlignment="1"/>
    <xf numFmtId="0" fontId="69" fillId="0" borderId="73" xfId="0" applyFont="1" applyBorder="1" applyAlignment="1" applyProtection="1">
      <alignment vertical="center" wrapText="1"/>
      <protection locked="0"/>
    </xf>
    <xf numFmtId="0" fontId="43" fillId="0" borderId="2" xfId="20" applyFont="1" applyFill="1" applyBorder="1" applyAlignment="1" applyProtection="1">
      <alignment vertical="center"/>
      <protection locked="0"/>
    </xf>
    <xf numFmtId="0" fontId="69" fillId="0" borderId="73" xfId="6" applyFont="1" applyBorder="1" applyAlignment="1" applyProtection="1">
      <alignment vertical="center" wrapText="1"/>
      <protection locked="0"/>
    </xf>
    <xf numFmtId="0" fontId="69" fillId="0" borderId="17" xfId="25" applyFont="1" applyBorder="1" applyAlignment="1" applyProtection="1">
      <alignment horizontal="center" vertical="center" wrapText="1"/>
      <protection locked="0"/>
    </xf>
    <xf numFmtId="0" fontId="31" fillId="0" borderId="2" xfId="25" applyBorder="1" applyAlignment="1" applyProtection="1">
      <alignment horizontal="left" vertical="top" wrapText="1"/>
      <protection locked="0"/>
    </xf>
    <xf numFmtId="14" fontId="72" fillId="0" borderId="2" xfId="25" applyNumberFormat="1" applyFont="1" applyBorder="1" applyAlignment="1" applyProtection="1">
      <alignment vertical="center" wrapText="1"/>
      <protection locked="0"/>
    </xf>
    <xf numFmtId="14" fontId="31" fillId="0" borderId="2" xfId="25" applyNumberFormat="1" applyBorder="1" applyAlignment="1" applyProtection="1">
      <alignment horizontal="left" vertical="top" wrapText="1"/>
      <protection locked="0"/>
    </xf>
    <xf numFmtId="0" fontId="72" fillId="0" borderId="2"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7" fillId="0" borderId="2" xfId="0" applyFont="1" applyBorder="1" applyAlignment="1">
      <alignment horizontal="justify" vertical="center"/>
    </xf>
    <xf numFmtId="0" fontId="78" fillId="0" borderId="36" xfId="20" applyFill="1" applyBorder="1" applyAlignment="1">
      <alignment horizontal="center" vertical="center" wrapText="1"/>
    </xf>
    <xf numFmtId="0" fontId="37" fillId="0" borderId="13" xfId="0" applyFont="1" applyBorder="1" applyAlignment="1">
      <alignment horizontal="left" vertical="center" wrapText="1"/>
    </xf>
    <xf numFmtId="44" fontId="37" fillId="0" borderId="0" xfId="14" applyFont="1" applyFill="1" applyBorder="1" applyAlignment="1">
      <alignment horizontal="center" vertical="center" wrapText="1"/>
    </xf>
    <xf numFmtId="0" fontId="37" fillId="0" borderId="0" xfId="0" applyFont="1" applyAlignment="1">
      <alignment horizontal="center" vertical="center" wrapText="1"/>
    </xf>
    <xf numFmtId="0" fontId="87" fillId="0" borderId="2" xfId="0" applyFont="1" applyBorder="1" applyAlignment="1">
      <alignment vertical="center"/>
    </xf>
    <xf numFmtId="0" fontId="87" fillId="0" borderId="2" xfId="0" applyFont="1" applyBorder="1"/>
    <xf numFmtId="0" fontId="69" fillId="0" borderId="2" xfId="0" applyFont="1" applyBorder="1" applyAlignment="1">
      <alignment vertical="center" wrapText="1"/>
    </xf>
    <xf numFmtId="0" fontId="31" fillId="0" borderId="2" xfId="0" applyFont="1" applyBorder="1" applyAlignment="1">
      <alignment vertical="center" wrapText="1"/>
    </xf>
    <xf numFmtId="0" fontId="78" fillId="0" borderId="2" xfId="20" applyFill="1" applyBorder="1" applyAlignment="1"/>
    <xf numFmtId="0" fontId="43" fillId="0" borderId="2" xfId="0" applyFont="1" applyBorder="1" applyAlignment="1">
      <alignment horizontal="center" vertical="center" wrapText="1"/>
    </xf>
    <xf numFmtId="0" fontId="86" fillId="0" borderId="0" xfId="0" applyFont="1"/>
    <xf numFmtId="0" fontId="69" fillId="0" borderId="0" xfId="0" applyFont="1" applyAlignment="1">
      <alignment vertical="center" wrapText="1"/>
    </xf>
    <xf numFmtId="0" fontId="90" fillId="0" borderId="57" xfId="0" applyFont="1" applyBorder="1" applyAlignment="1" applyProtection="1">
      <alignment horizontal="left" vertical="center" wrapText="1"/>
      <protection locked="0"/>
    </xf>
    <xf numFmtId="0" fontId="78" fillId="0" borderId="0" xfId="20" applyFill="1" applyBorder="1" applyAlignment="1"/>
    <xf numFmtId="0" fontId="31" fillId="0" borderId="0" xfId="0" applyFont="1" applyAlignment="1" applyProtection="1">
      <alignment vertical="center"/>
      <protection locked="0"/>
    </xf>
    <xf numFmtId="0" fontId="31" fillId="0" borderId="14" xfId="0" applyFont="1" applyBorder="1" applyProtection="1">
      <protection locked="0"/>
    </xf>
    <xf numFmtId="0" fontId="0" fillId="0" borderId="78" xfId="0" applyBorder="1" applyAlignment="1">
      <alignment vertical="center"/>
    </xf>
    <xf numFmtId="0" fontId="38" fillId="0" borderId="15" xfId="0" applyFont="1" applyBorder="1" applyAlignment="1">
      <alignment horizontal="center" wrapText="1"/>
    </xf>
    <xf numFmtId="0" fontId="38" fillId="0" borderId="15" xfId="0" applyFont="1" applyBorder="1" applyAlignment="1">
      <alignment horizontal="left" wrapText="1"/>
    </xf>
    <xf numFmtId="0" fontId="0" fillId="0" borderId="2" xfId="0" applyBorder="1" applyAlignment="1">
      <alignment horizontal="left" vertical="center" wrapText="1"/>
    </xf>
    <xf numFmtId="0" fontId="69" fillId="0" borderId="15" xfId="32" applyFont="1" applyBorder="1" applyAlignment="1">
      <alignment horizontal="center" vertical="center" wrapText="1"/>
    </xf>
    <xf numFmtId="0" fontId="72" fillId="0" borderId="15" xfId="32" applyFont="1" applyBorder="1" applyAlignment="1">
      <alignment vertical="center" wrapText="1"/>
    </xf>
    <xf numFmtId="168" fontId="69" fillId="0" borderId="17" xfId="32" applyNumberFormat="1" applyFont="1" applyBorder="1" applyAlignment="1">
      <alignment horizontal="center" vertical="center" wrapText="1"/>
    </xf>
    <xf numFmtId="166" fontId="69" fillId="0" borderId="17" xfId="32" applyNumberFormat="1" applyFont="1" applyBorder="1" applyAlignment="1">
      <alignment horizontal="center" vertical="center" wrapText="1"/>
    </xf>
    <xf numFmtId="0" fontId="69" fillId="0" borderId="41" xfId="32" applyFont="1" applyBorder="1" applyAlignment="1">
      <alignment horizontal="center" vertical="center" wrapText="1"/>
    </xf>
    <xf numFmtId="0" fontId="41" fillId="0" borderId="15" xfId="32" applyFont="1" applyBorder="1" applyAlignment="1">
      <alignment vertical="center"/>
    </xf>
    <xf numFmtId="0" fontId="69" fillId="0" borderId="17" xfId="32" applyFont="1" applyBorder="1" applyAlignment="1">
      <alignment horizontal="center" vertical="center" wrapText="1"/>
    </xf>
    <xf numFmtId="0" fontId="98" fillId="0" borderId="15" xfId="32" applyFont="1" applyBorder="1" applyAlignment="1">
      <alignment vertical="center"/>
    </xf>
    <xf numFmtId="0" fontId="31" fillId="0" borderId="15" xfId="32" applyFont="1" applyBorder="1" applyAlignment="1">
      <alignment horizontal="left" vertical="top" wrapText="1"/>
    </xf>
    <xf numFmtId="0" fontId="69" fillId="0" borderId="1" xfId="22" applyFont="1" applyBorder="1" applyAlignment="1" applyProtection="1">
      <alignment horizontal="center" vertical="center" wrapText="1"/>
      <protection locked="0"/>
    </xf>
    <xf numFmtId="0" fontId="72" fillId="0" borderId="2" xfId="22" applyFont="1" applyBorder="1" applyAlignment="1" applyProtection="1">
      <alignment vertical="center" wrapText="1"/>
      <protection locked="0"/>
    </xf>
    <xf numFmtId="0" fontId="31" fillId="0" borderId="2" xfId="22" applyBorder="1" applyAlignment="1" applyProtection="1">
      <alignment horizontal="left" vertical="top" wrapText="1"/>
      <protection locked="0"/>
    </xf>
    <xf numFmtId="0" fontId="72" fillId="0" borderId="41" xfId="0" applyFont="1" applyBorder="1" applyAlignment="1">
      <alignment vertical="center" wrapText="1"/>
    </xf>
    <xf numFmtId="0" fontId="69" fillId="0" borderId="41" xfId="0" applyFont="1" applyBorder="1" applyAlignment="1">
      <alignment horizontal="center" vertical="center" wrapText="1"/>
    </xf>
    <xf numFmtId="0" fontId="69" fillId="0" borderId="17" xfId="0" applyFont="1" applyBorder="1" applyAlignment="1">
      <alignment horizontal="center" vertical="center" wrapText="1"/>
    </xf>
    <xf numFmtId="0" fontId="98" fillId="0" borderId="15" xfId="0" applyFont="1" applyBorder="1" applyAlignment="1">
      <alignment vertical="center"/>
    </xf>
    <xf numFmtId="0" fontId="41" fillId="0" borderId="1" xfId="0" applyFont="1" applyBorder="1" applyAlignment="1">
      <alignment vertical="center"/>
    </xf>
    <xf numFmtId="0" fontId="31" fillId="0" borderId="0" xfId="0" applyFont="1"/>
    <xf numFmtId="0" fontId="69" fillId="0" borderId="18" xfId="0" applyFont="1" applyBorder="1" applyAlignment="1">
      <alignment horizontal="center" vertical="center" wrapText="1"/>
    </xf>
    <xf numFmtId="0" fontId="31" fillId="0" borderId="2" xfId="0" applyFont="1" applyBorder="1"/>
    <xf numFmtId="0" fontId="41" fillId="0" borderId="16" xfId="0" applyFont="1" applyBorder="1" applyAlignment="1">
      <alignment vertical="center"/>
    </xf>
    <xf numFmtId="0" fontId="31" fillId="0" borderId="16" xfId="0" applyFont="1" applyBorder="1" applyAlignment="1">
      <alignment horizontal="left" vertical="top" wrapText="1"/>
    </xf>
    <xf numFmtId="0" fontId="72" fillId="0" borderId="15" xfId="0" applyFont="1" applyBorder="1" applyAlignment="1">
      <alignment vertical="center" wrapText="1"/>
    </xf>
    <xf numFmtId="0" fontId="31" fillId="0" borderId="15" xfId="0" applyFont="1" applyBorder="1" applyAlignment="1">
      <alignment horizontal="left" vertical="top" wrapText="1"/>
    </xf>
    <xf numFmtId="0" fontId="99" fillId="0" borderId="15" xfId="0" applyFont="1" applyBorder="1" applyAlignment="1">
      <alignment horizontal="center" vertical="center" wrapText="1"/>
    </xf>
    <xf numFmtId="0" fontId="100" fillId="0" borderId="15" xfId="0" applyFont="1" applyBorder="1" applyAlignment="1">
      <alignment vertical="center" wrapText="1"/>
    </xf>
    <xf numFmtId="0" fontId="99" fillId="0" borderId="41" xfId="0" applyFont="1" applyBorder="1" applyAlignment="1">
      <alignment horizontal="center" vertical="center" wrapText="1"/>
    </xf>
    <xf numFmtId="0" fontId="101" fillId="0" borderId="15" xfId="0" applyFont="1" applyBorder="1" applyAlignment="1">
      <alignment vertical="center"/>
    </xf>
    <xf numFmtId="0" fontId="99" fillId="0" borderId="17" xfId="0" applyFont="1" applyBorder="1" applyAlignment="1">
      <alignment horizontal="center" vertical="center" wrapText="1"/>
    </xf>
    <xf numFmtId="0" fontId="99" fillId="0" borderId="79" xfId="0" applyFont="1" applyBorder="1" applyAlignment="1">
      <alignment horizontal="center" vertical="center" wrapText="1"/>
    </xf>
    <xf numFmtId="0" fontId="100" fillId="0" borderId="79" xfId="0" applyFont="1" applyBorder="1" applyAlignment="1">
      <alignment vertical="center" wrapText="1"/>
    </xf>
    <xf numFmtId="0" fontId="99" fillId="0" borderId="81" xfId="0" applyFont="1" applyBorder="1" applyAlignment="1">
      <alignment horizontal="center" vertical="center" wrapText="1"/>
    </xf>
    <xf numFmtId="0" fontId="101" fillId="0" borderId="79" xfId="0" applyFont="1" applyBorder="1" applyAlignment="1">
      <alignment vertical="center"/>
    </xf>
    <xf numFmtId="0" fontId="99" fillId="0" borderId="80" xfId="0" applyFont="1" applyBorder="1" applyAlignment="1">
      <alignment horizontal="center" vertical="center" wrapText="1"/>
    </xf>
    <xf numFmtId="0" fontId="99" fillId="0" borderId="16" xfId="0" applyFont="1" applyBorder="1" applyAlignment="1">
      <alignment horizontal="center" vertical="center" wrapText="1"/>
    </xf>
    <xf numFmtId="0" fontId="100" fillId="0" borderId="16" xfId="0" applyFont="1" applyBorder="1" applyAlignment="1">
      <alignment vertical="center" wrapText="1"/>
    </xf>
    <xf numFmtId="0" fontId="99" fillId="0" borderId="82" xfId="0" applyFont="1" applyBorder="1" applyAlignment="1">
      <alignment horizontal="center" vertical="center" wrapText="1"/>
    </xf>
    <xf numFmtId="0" fontId="101" fillId="0" borderId="16" xfId="0" applyFont="1" applyBorder="1" applyAlignment="1">
      <alignment vertical="center"/>
    </xf>
    <xf numFmtId="0" fontId="99" fillId="0" borderId="74" xfId="0" applyFont="1" applyBorder="1" applyAlignment="1">
      <alignment horizontal="center" vertical="center" wrapText="1"/>
    </xf>
    <xf numFmtId="0" fontId="102" fillId="0" borderId="15" xfId="0" applyFont="1" applyBorder="1" applyAlignment="1">
      <alignment vertical="center"/>
    </xf>
    <xf numFmtId="0" fontId="103" fillId="0" borderId="0" xfId="0" applyFont="1"/>
    <xf numFmtId="0" fontId="104" fillId="0" borderId="15" xfId="0" applyFont="1" applyBorder="1" applyAlignment="1">
      <alignment horizontal="left" vertical="top" wrapText="1"/>
    </xf>
    <xf numFmtId="0" fontId="99" fillId="0" borderId="83" xfId="0" applyFont="1" applyBorder="1" applyAlignment="1">
      <alignment horizontal="center" vertical="center" wrapText="1"/>
    </xf>
    <xf numFmtId="0" fontId="104" fillId="0" borderId="79" xfId="0" applyFont="1" applyBorder="1" applyAlignment="1">
      <alignment horizontal="left" vertical="top" wrapText="1"/>
    </xf>
    <xf numFmtId="0" fontId="102" fillId="0" borderId="79" xfId="0" applyFont="1" applyBorder="1" applyAlignment="1">
      <alignment vertical="center"/>
    </xf>
    <xf numFmtId="0" fontId="78" fillId="0" borderId="2" xfId="20" applyFill="1" applyBorder="1" applyAlignment="1">
      <alignment vertical="center" wrapText="1"/>
    </xf>
    <xf numFmtId="44" fontId="86" fillId="0" borderId="2" xfId="14" applyFont="1" applyFill="1" applyBorder="1"/>
    <xf numFmtId="44" fontId="69" fillId="0" borderId="2" xfId="14" applyFont="1" applyFill="1" applyBorder="1" applyAlignment="1" applyProtection="1">
      <alignment horizontal="left" vertical="top" wrapText="1"/>
      <protection locked="0"/>
    </xf>
    <xf numFmtId="0" fontId="90" fillId="0" borderId="57" xfId="41" applyFont="1" applyBorder="1" applyAlignment="1" applyProtection="1">
      <alignment horizontal="left" vertical="center" wrapText="1"/>
      <protection locked="0"/>
    </xf>
    <xf numFmtId="0" fontId="69" fillId="0" borderId="17" xfId="22" applyFont="1" applyBorder="1" applyAlignment="1" applyProtection="1">
      <alignment horizontal="center" vertical="center" wrapText="1"/>
      <protection locked="0"/>
    </xf>
    <xf numFmtId="0" fontId="59" fillId="0" borderId="0" xfId="0" applyFont="1"/>
    <xf numFmtId="44" fontId="59" fillId="0" borderId="0" xfId="14" applyFont="1" applyFill="1" applyAlignment="1"/>
    <xf numFmtId="0" fontId="72" fillId="0" borderId="2" xfId="0" applyFont="1" applyBorder="1" applyAlignment="1" applyProtection="1">
      <alignment vertical="center" wrapText="1"/>
      <protection locked="0"/>
    </xf>
    <xf numFmtId="0" fontId="86" fillId="0" borderId="0" xfId="0" applyFont="1" applyAlignment="1">
      <alignment horizontal="justify" vertical="center"/>
    </xf>
    <xf numFmtId="0" fontId="59" fillId="0" borderId="0" xfId="0" applyFont="1" applyAlignment="1">
      <alignment horizontal="center" wrapText="1"/>
    </xf>
    <xf numFmtId="44" fontId="59" fillId="0" borderId="0" xfId="14" applyFont="1" applyFill="1" applyBorder="1" applyAlignment="1"/>
    <xf numFmtId="0" fontId="86" fillId="0" borderId="2" xfId="0" applyFont="1" applyBorder="1" applyAlignment="1" applyProtection="1">
      <alignment horizontal="left" vertical="top"/>
      <protection locked="0"/>
    </xf>
    <xf numFmtId="0" fontId="86" fillId="0" borderId="0" xfId="0" applyFont="1" applyAlignment="1">
      <alignment vertical="center"/>
    </xf>
    <xf numFmtId="0" fontId="0" fillId="0" borderId="2" xfId="0" applyBorder="1" applyAlignment="1" applyProtection="1">
      <alignment horizontal="left" vertical="center" wrapText="1"/>
      <protection locked="0"/>
    </xf>
    <xf numFmtId="0" fontId="0" fillId="0" borderId="2" xfId="0" applyBorder="1" applyAlignment="1" applyProtection="1">
      <alignment horizontal="center" vertical="center" wrapText="1"/>
      <protection locked="0"/>
    </xf>
    <xf numFmtId="168" fontId="69" fillId="0" borderId="17" xfId="0" applyNumberFormat="1" applyFont="1" applyBorder="1" applyAlignment="1">
      <alignment horizontal="center" vertical="center" wrapText="1"/>
    </xf>
    <xf numFmtId="166" fontId="69" fillId="0" borderId="17" xfId="0" applyNumberFormat="1" applyFont="1" applyBorder="1" applyAlignment="1">
      <alignment horizontal="center" vertical="center" wrapText="1"/>
    </xf>
    <xf numFmtId="0" fontId="69" fillId="0" borderId="1" xfId="0" applyFont="1" applyBorder="1" applyAlignment="1">
      <alignment horizontal="center" vertical="center" wrapText="1"/>
    </xf>
    <xf numFmtId="0" fontId="72" fillId="0" borderId="1" xfId="0" applyFont="1" applyBorder="1" applyAlignment="1">
      <alignment vertical="center" wrapText="1"/>
    </xf>
    <xf numFmtId="166" fontId="69" fillId="0" borderId="84" xfId="0" applyNumberFormat="1" applyFont="1" applyBorder="1" applyAlignment="1">
      <alignment horizontal="center" vertical="center" wrapText="1"/>
    </xf>
    <xf numFmtId="0" fontId="69" fillId="0" borderId="26" xfId="0" applyFont="1" applyBorder="1" applyAlignment="1">
      <alignment horizontal="center" vertical="center" wrapText="1"/>
    </xf>
    <xf numFmtId="0" fontId="69" fillId="0" borderId="84" xfId="0" applyFont="1" applyBorder="1" applyAlignment="1">
      <alignment horizontal="center" vertical="center" wrapText="1"/>
    </xf>
    <xf numFmtId="0" fontId="92" fillId="0" borderId="0" xfId="0" applyFont="1" applyAlignment="1">
      <alignment horizontal="center" wrapText="1"/>
    </xf>
    <xf numFmtId="0" fontId="92" fillId="0" borderId="0" xfId="0" applyFont="1"/>
    <xf numFmtId="44" fontId="92" fillId="0" borderId="0" xfId="14" applyFont="1" applyFill="1" applyBorder="1" applyAlignment="1"/>
    <xf numFmtId="0" fontId="69" fillId="0" borderId="79" xfId="0" applyFont="1" applyBorder="1" applyAlignment="1">
      <alignment horizontal="center" vertical="center" wrapText="1"/>
    </xf>
    <xf numFmtId="0" fontId="72" fillId="0" borderId="79" xfId="0" applyFont="1" applyBorder="1" applyAlignment="1">
      <alignment vertical="center" wrapText="1"/>
    </xf>
    <xf numFmtId="168" fontId="69" fillId="0" borderId="80" xfId="0" applyNumberFormat="1" applyFont="1" applyBorder="1" applyAlignment="1">
      <alignment horizontal="center" vertical="center" wrapText="1"/>
    </xf>
    <xf numFmtId="0" fontId="69" fillId="0" borderId="81" xfId="0" applyFont="1" applyBorder="1" applyAlignment="1">
      <alignment horizontal="center" vertical="center" wrapText="1"/>
    </xf>
    <xf numFmtId="0" fontId="41" fillId="0" borderId="79" xfId="0" applyFont="1" applyBorder="1" applyAlignment="1">
      <alignment vertical="center"/>
    </xf>
    <xf numFmtId="0" fontId="69" fillId="0" borderId="80" xfId="0" applyFont="1" applyBorder="1" applyAlignment="1">
      <alignment horizontal="center" vertical="center" wrapText="1"/>
    </xf>
    <xf numFmtId="0" fontId="69" fillId="0" borderId="16" xfId="0" applyFont="1" applyBorder="1" applyAlignment="1">
      <alignment horizontal="center" vertical="center" wrapText="1"/>
    </xf>
    <xf numFmtId="0" fontId="72" fillId="0" borderId="16" xfId="0" applyFont="1" applyBorder="1" applyAlignment="1">
      <alignment vertical="center" wrapText="1"/>
    </xf>
    <xf numFmtId="168" fontId="69" fillId="0" borderId="74" xfId="0" applyNumberFormat="1" applyFont="1" applyBorder="1" applyAlignment="1">
      <alignment horizontal="center" vertical="center" wrapText="1"/>
    </xf>
    <xf numFmtId="166" fontId="69" fillId="0" borderId="74" xfId="0" applyNumberFormat="1" applyFont="1" applyBorder="1" applyAlignment="1">
      <alignment horizontal="center" vertical="center" wrapText="1"/>
    </xf>
    <xf numFmtId="0" fontId="0" fillId="0" borderId="0" xfId="0" applyAlignment="1" applyProtection="1">
      <alignment horizontal="center"/>
      <protection locked="0"/>
    </xf>
    <xf numFmtId="0" fontId="105" fillId="0" borderId="2" xfId="0" applyFont="1" applyBorder="1" applyAlignment="1">
      <alignment horizontal="left" vertical="center" wrapText="1"/>
    </xf>
    <xf numFmtId="0" fontId="78" fillId="0" borderId="36" xfId="20" applyFill="1" applyBorder="1" applyAlignment="1">
      <alignment horizontal="left" vertical="center" wrapText="1"/>
    </xf>
    <xf numFmtId="0" fontId="78" fillId="0" borderId="2" xfId="20" applyFill="1" applyBorder="1" applyAlignment="1" applyProtection="1">
      <alignment horizontal="left" vertical="center"/>
      <protection locked="0"/>
    </xf>
    <xf numFmtId="0" fontId="78" fillId="0" borderId="0" xfId="20" applyFill="1" applyBorder="1" applyAlignment="1">
      <alignment horizontal="left"/>
    </xf>
    <xf numFmtId="0" fontId="82" fillId="0" borderId="0" xfId="0" applyFont="1" applyAlignment="1">
      <alignment horizontal="left" vertical="center"/>
    </xf>
    <xf numFmtId="0" fontId="82" fillId="0" borderId="0" xfId="0" applyFont="1" applyAlignment="1">
      <alignment horizontal="left"/>
    </xf>
    <xf numFmtId="0" fontId="105" fillId="0" borderId="36" xfId="0" applyFont="1" applyBorder="1" applyAlignment="1">
      <alignment horizontal="left" vertical="center" wrapText="1"/>
    </xf>
    <xf numFmtId="0" fontId="87" fillId="0" borderId="0" xfId="0" applyFont="1"/>
    <xf numFmtId="0" fontId="87" fillId="0" borderId="0" xfId="0" applyFont="1" applyAlignment="1">
      <alignment vertical="center"/>
    </xf>
    <xf numFmtId="0" fontId="72" fillId="0" borderId="2" xfId="25" applyFont="1" applyBorder="1" applyAlignment="1" applyProtection="1">
      <alignment horizontal="center" vertical="center" wrapText="1"/>
      <protection locked="0"/>
    </xf>
    <xf numFmtId="0" fontId="31" fillId="0" borderId="2" xfId="25" applyBorder="1" applyAlignment="1" applyProtection="1">
      <alignment horizontal="center" vertical="top" wrapText="1"/>
      <protection locked="0"/>
    </xf>
    <xf numFmtId="0" fontId="0" fillId="0" borderId="2" xfId="0" applyBorder="1" applyProtection="1">
      <protection locked="0"/>
    </xf>
    <xf numFmtId="0" fontId="31" fillId="0" borderId="2" xfId="22" applyBorder="1" applyAlignment="1" applyProtection="1">
      <alignment horizontal="center" vertical="top" wrapText="1"/>
      <protection locked="0"/>
    </xf>
    <xf numFmtId="0" fontId="59" fillId="0" borderId="0" xfId="0" applyFont="1" applyAlignment="1">
      <alignment wrapText="1"/>
    </xf>
    <xf numFmtId="44" fontId="59" fillId="0" borderId="0" xfId="14" applyFont="1" applyFill="1" applyBorder="1" applyAlignment="1">
      <alignment wrapText="1"/>
    </xf>
    <xf numFmtId="0" fontId="31" fillId="0" borderId="2" xfId="25" applyBorder="1" applyAlignment="1" applyProtection="1">
      <alignment horizontal="center" vertical="center"/>
      <protection locked="0"/>
    </xf>
    <xf numFmtId="0" fontId="105" fillId="0" borderId="2" xfId="25" applyFont="1" applyBorder="1" applyAlignment="1" applyProtection="1">
      <alignment horizontal="center" vertical="center"/>
      <protection locked="0"/>
    </xf>
    <xf numFmtId="0" fontId="69" fillId="0" borderId="15" xfId="45" applyFont="1" applyBorder="1" applyAlignment="1" applyProtection="1">
      <alignment horizontal="center" vertical="center" wrapText="1"/>
      <protection locked="0"/>
    </xf>
    <xf numFmtId="0" fontId="105" fillId="0" borderId="14" xfId="22" applyFont="1" applyBorder="1" applyProtection="1">
      <protection locked="0"/>
    </xf>
    <xf numFmtId="0" fontId="31" fillId="0" borderId="2" xfId="25" applyBorder="1" applyAlignment="1" applyProtection="1">
      <alignment horizontal="left" vertical="center" wrapText="1" indent="1"/>
      <protection locked="0"/>
    </xf>
    <xf numFmtId="0" fontId="107" fillId="0" borderId="15" xfId="0" applyFont="1" applyBorder="1" applyAlignment="1">
      <alignment horizontal="center" vertical="center" wrapText="1"/>
    </xf>
    <xf numFmtId="0" fontId="108" fillId="0" borderId="15" xfId="0" applyFont="1" applyBorder="1" applyAlignment="1">
      <alignment vertical="center" wrapText="1"/>
    </xf>
    <xf numFmtId="0" fontId="107" fillId="0" borderId="41" xfId="0" applyFont="1" applyBorder="1" applyAlignment="1">
      <alignment horizontal="center" vertical="center" wrapText="1"/>
    </xf>
    <xf numFmtId="0" fontId="109" fillId="0" borderId="15" xfId="0" applyFont="1" applyBorder="1" applyAlignment="1">
      <alignment vertical="center"/>
    </xf>
    <xf numFmtId="0" fontId="107" fillId="0" borderId="17" xfId="0" applyFont="1" applyBorder="1" applyAlignment="1">
      <alignment horizontal="center" vertical="center" wrapText="1"/>
    </xf>
    <xf numFmtId="0" fontId="107" fillId="0" borderId="1" xfId="0" applyFont="1" applyBorder="1" applyAlignment="1">
      <alignment horizontal="center" vertical="center" wrapText="1"/>
    </xf>
    <xf numFmtId="0" fontId="107" fillId="0" borderId="26" xfId="0" applyFont="1" applyBorder="1" applyAlignment="1">
      <alignment horizontal="center" vertical="center" wrapText="1"/>
    </xf>
    <xf numFmtId="0" fontId="109" fillId="0" borderId="1" xfId="0" applyFont="1" applyBorder="1" applyAlignment="1">
      <alignment vertical="center"/>
    </xf>
    <xf numFmtId="0" fontId="107" fillId="0" borderId="84" xfId="0" applyFont="1" applyBorder="1" applyAlignment="1">
      <alignment horizontal="center" vertical="center" wrapText="1"/>
    </xf>
    <xf numFmtId="0" fontId="107" fillId="0" borderId="79" xfId="0" applyFont="1" applyBorder="1" applyAlignment="1">
      <alignment horizontal="center" vertical="center" wrapText="1"/>
    </xf>
    <xf numFmtId="0" fontId="108" fillId="0" borderId="79" xfId="0" applyFont="1" applyBorder="1" applyAlignment="1">
      <alignment vertical="center" wrapText="1"/>
    </xf>
    <xf numFmtId="0" fontId="107" fillId="0" borderId="81" xfId="0" applyFont="1" applyBorder="1" applyAlignment="1">
      <alignment horizontal="center" vertical="center" wrapText="1"/>
    </xf>
    <xf numFmtId="0" fontId="109" fillId="0" borderId="79" xfId="0" applyFont="1" applyBorder="1" applyAlignment="1">
      <alignment vertical="center"/>
    </xf>
    <xf numFmtId="0" fontId="107" fillId="0" borderId="80" xfId="0" applyFont="1" applyBorder="1" applyAlignment="1">
      <alignment horizontal="center" vertical="center" wrapText="1"/>
    </xf>
    <xf numFmtId="0" fontId="107" fillId="0" borderId="16" xfId="0" applyFont="1" applyBorder="1" applyAlignment="1">
      <alignment horizontal="center" vertical="center" wrapText="1"/>
    </xf>
    <xf numFmtId="0" fontId="108" fillId="0" borderId="16" xfId="0" applyFont="1" applyBorder="1" applyAlignment="1">
      <alignment vertical="center" wrapText="1"/>
    </xf>
    <xf numFmtId="0" fontId="108" fillId="0" borderId="18" xfId="0" applyFont="1" applyBorder="1" applyAlignment="1">
      <alignment vertical="center" wrapText="1"/>
    </xf>
    <xf numFmtId="14" fontId="89" fillId="0" borderId="0" xfId="22" applyNumberFormat="1" applyFont="1" applyAlignment="1" applyProtection="1">
      <alignment horizontal="center" vertical="center" wrapText="1"/>
      <protection locked="0"/>
    </xf>
    <xf numFmtId="166" fontId="89" fillId="0" borderId="0" xfId="22" applyNumberFormat="1" applyFont="1" applyAlignment="1" applyProtection="1">
      <alignment horizontal="center" vertical="center" wrapText="1"/>
      <protection locked="0"/>
    </xf>
    <xf numFmtId="0" fontId="88" fillId="0" borderId="2" xfId="28" applyBorder="1" applyProtection="1">
      <protection locked="0"/>
    </xf>
    <xf numFmtId="0" fontId="105" fillId="0" borderId="0" xfId="45" applyProtection="1">
      <protection locked="0"/>
    </xf>
    <xf numFmtId="0" fontId="105" fillId="0" borderId="0" xfId="45"/>
    <xf numFmtId="0" fontId="31" fillId="0" borderId="2" xfId="25" applyBorder="1" applyAlignment="1" applyProtection="1">
      <alignment horizontal="left" vertical="top"/>
      <protection locked="0"/>
    </xf>
    <xf numFmtId="0" fontId="31" fillId="0" borderId="2" xfId="22" applyBorder="1" applyAlignment="1" applyProtection="1">
      <alignment horizontal="left" vertical="top"/>
      <protection locked="0"/>
    </xf>
    <xf numFmtId="0" fontId="0" fillId="0" borderId="78" xfId="0" applyBorder="1" applyAlignment="1">
      <alignment vertical="center" wrapText="1"/>
    </xf>
    <xf numFmtId="0" fontId="97" fillId="0" borderId="57" xfId="20" applyFont="1" applyFill="1" applyBorder="1" applyAlignment="1" applyProtection="1">
      <alignment horizontal="left" vertical="center" wrapText="1"/>
      <protection locked="0"/>
    </xf>
    <xf numFmtId="0" fontId="0" fillId="0" borderId="0" xfId="0" applyAlignment="1">
      <alignment horizontal="right" vertical="center" wrapText="1"/>
    </xf>
    <xf numFmtId="0" fontId="69" fillId="0" borderId="41" xfId="22" applyFont="1" applyBorder="1" applyAlignment="1" applyProtection="1">
      <alignment horizontal="center" vertical="center" wrapText="1"/>
      <protection locked="0"/>
    </xf>
    <xf numFmtId="0" fontId="0" fillId="0" borderId="2" xfId="0" applyBorder="1" applyAlignment="1" applyProtection="1">
      <alignment horizontal="left" vertical="top" wrapText="1"/>
      <protection locked="0"/>
    </xf>
    <xf numFmtId="0" fontId="93" fillId="0" borderId="74" xfId="0" applyFont="1" applyBorder="1" applyAlignment="1">
      <alignment horizontal="left" vertical="top" wrapText="1"/>
    </xf>
    <xf numFmtId="0" fontId="92" fillId="0" borderId="15" xfId="0" applyFont="1" applyBorder="1"/>
    <xf numFmtId="0" fontId="91" fillId="0" borderId="17" xfId="0" applyFont="1" applyBorder="1" applyAlignment="1">
      <alignment horizontal="left" vertical="center" wrapText="1"/>
    </xf>
    <xf numFmtId="0" fontId="93" fillId="0" borderId="17" xfId="0" applyFont="1" applyBorder="1" applyAlignment="1">
      <alignment horizontal="right"/>
    </xf>
    <xf numFmtId="0" fontId="93" fillId="0" borderId="17" xfId="0" applyFont="1" applyBorder="1" applyAlignment="1">
      <alignment horizontal="left" vertical="top" wrapText="1"/>
    </xf>
    <xf numFmtId="0" fontId="93" fillId="0" borderId="74" xfId="0" applyFont="1" applyBorder="1" applyAlignment="1">
      <alignment horizontal="right"/>
    </xf>
    <xf numFmtId="0" fontId="93" fillId="0" borderId="74" xfId="0" applyFont="1" applyBorder="1" applyAlignment="1">
      <alignment vertical="top" wrapText="1"/>
    </xf>
    <xf numFmtId="0" fontId="0" fillId="0" borderId="2" xfId="0" applyBorder="1" applyAlignment="1">
      <alignment horizontal="right" vertical="center" wrapText="1"/>
    </xf>
    <xf numFmtId="0" fontId="92" fillId="0" borderId="15" xfId="0" applyFont="1" applyBorder="1" applyAlignment="1">
      <alignment horizontal="right"/>
    </xf>
    <xf numFmtId="0" fontId="91" fillId="0" borderId="15" xfId="0" applyFont="1" applyBorder="1" applyAlignment="1">
      <alignment horizontal="center" vertical="center" wrapText="1"/>
    </xf>
    <xf numFmtId="0" fontId="92" fillId="0" borderId="15" xfId="0" applyFont="1" applyBorder="1" applyAlignment="1">
      <alignment horizontal="center" vertical="center"/>
    </xf>
    <xf numFmtId="0" fontId="111" fillId="0" borderId="2" xfId="0" applyFont="1" applyBorder="1" applyAlignment="1">
      <alignment horizontal="center" vertical="center" wrapText="1"/>
    </xf>
    <xf numFmtId="0" fontId="111" fillId="0" borderId="2" xfId="0" applyFont="1" applyBorder="1" applyAlignment="1">
      <alignment horizontal="left" vertical="center" wrapText="1"/>
    </xf>
    <xf numFmtId="0" fontId="69" fillId="0" borderId="15" xfId="48" applyFont="1" applyBorder="1" applyAlignment="1" applyProtection="1">
      <alignment horizontal="center" vertical="center" wrapText="1"/>
      <protection locked="0"/>
    </xf>
    <xf numFmtId="0" fontId="94" fillId="0" borderId="15" xfId="0" applyFont="1" applyBorder="1" applyAlignment="1">
      <alignment vertical="center"/>
    </xf>
    <xf numFmtId="0" fontId="91" fillId="0" borderId="17" xfId="0" applyFont="1" applyBorder="1" applyAlignment="1">
      <alignment horizontal="center" vertical="center" wrapText="1"/>
    </xf>
    <xf numFmtId="166" fontId="31" fillId="0" borderId="0" xfId="48" applyNumberFormat="1" applyFont="1" applyAlignment="1" applyProtection="1">
      <alignment wrapText="1"/>
      <protection locked="0"/>
    </xf>
    <xf numFmtId="0" fontId="96" fillId="0" borderId="15" xfId="0" applyFont="1" applyBorder="1" applyAlignment="1">
      <alignment horizontal="center" vertical="center" wrapText="1"/>
    </xf>
    <xf numFmtId="0" fontId="92" fillId="0" borderId="15" xfId="0" applyFont="1" applyBorder="1" applyAlignment="1">
      <alignment horizontal="center" vertical="top" wrapText="1"/>
    </xf>
    <xf numFmtId="0" fontId="91" fillId="0" borderId="41" xfId="0" applyFont="1" applyBorder="1" applyAlignment="1">
      <alignment horizontal="center" vertical="center" wrapText="1"/>
    </xf>
    <xf numFmtId="0" fontId="92" fillId="0" borderId="14" xfId="0" applyFont="1" applyBorder="1"/>
    <xf numFmtId="0" fontId="91" fillId="0" borderId="15" xfId="33" applyFont="1" applyBorder="1" applyAlignment="1">
      <alignment horizontal="center" vertical="center" wrapText="1"/>
    </xf>
    <xf numFmtId="0" fontId="92" fillId="0" borderId="15" xfId="33" applyFont="1" applyBorder="1" applyAlignment="1">
      <alignment horizontal="center" vertical="center"/>
    </xf>
    <xf numFmtId="0" fontId="93" fillId="0" borderId="15" xfId="33" applyFont="1" applyBorder="1" applyAlignment="1">
      <alignment horizontal="center" wrapText="1"/>
    </xf>
    <xf numFmtId="0" fontId="93" fillId="0" borderId="17" xfId="33" applyFont="1" applyBorder="1" applyAlignment="1">
      <alignment horizontal="center" vertical="top" wrapText="1"/>
    </xf>
    <xf numFmtId="0" fontId="92" fillId="0" borderId="15" xfId="33" applyFont="1" applyBorder="1"/>
    <xf numFmtId="0" fontId="91" fillId="0" borderId="41" xfId="33" applyFont="1" applyBorder="1" applyAlignment="1">
      <alignment horizontal="center" vertical="center" wrapText="1"/>
    </xf>
    <xf numFmtId="0" fontId="94" fillId="0" borderId="15" xfId="33" applyFont="1" applyBorder="1" applyAlignment="1">
      <alignment vertical="center"/>
    </xf>
    <xf numFmtId="0" fontId="92" fillId="0" borderId="14" xfId="33" applyFont="1" applyBorder="1"/>
    <xf numFmtId="0" fontId="93" fillId="0" borderId="16" xfId="33" applyFont="1" applyBorder="1" applyAlignment="1">
      <alignment horizontal="center" wrapText="1"/>
    </xf>
    <xf numFmtId="0" fontId="93" fillId="0" borderId="74" xfId="33" applyFont="1" applyBorder="1" applyAlignment="1">
      <alignment horizontal="center" vertical="top" wrapText="1"/>
    </xf>
    <xf numFmtId="0" fontId="93" fillId="0" borderId="17" xfId="33" applyFont="1" applyBorder="1" applyAlignment="1">
      <alignment horizontal="center" wrapText="1"/>
    </xf>
    <xf numFmtId="0" fontId="93" fillId="0" borderId="17" xfId="33" applyFont="1" applyBorder="1" applyAlignment="1">
      <alignment horizontal="center"/>
    </xf>
    <xf numFmtId="0" fontId="93" fillId="0" borderId="17" xfId="33" applyFont="1" applyBorder="1" applyAlignment="1">
      <alignment horizontal="right"/>
    </xf>
    <xf numFmtId="0" fontId="93" fillId="0" borderId="17" xfId="33" applyFont="1" applyBorder="1"/>
    <xf numFmtId="0" fontId="93" fillId="0" borderId="75" xfId="33" applyFont="1" applyBorder="1"/>
    <xf numFmtId="0" fontId="93" fillId="0" borderId="74" xfId="33" applyFont="1" applyBorder="1" applyAlignment="1">
      <alignment horizontal="center" wrapText="1"/>
    </xf>
    <xf numFmtId="0" fontId="93" fillId="0" borderId="74" xfId="33" applyFont="1" applyBorder="1" applyAlignment="1">
      <alignment horizontal="center"/>
    </xf>
    <xf numFmtId="0" fontId="93" fillId="0" borderId="74" xfId="33" applyFont="1" applyBorder="1" applyAlignment="1">
      <alignment horizontal="right"/>
    </xf>
    <xf numFmtId="0" fontId="93" fillId="0" borderId="74" xfId="33" applyFont="1" applyBorder="1"/>
    <xf numFmtId="0" fontId="93" fillId="0" borderId="76" xfId="33" applyFont="1" applyBorder="1"/>
    <xf numFmtId="0" fontId="93" fillId="0" borderId="15" xfId="0" applyFont="1" applyBorder="1" applyAlignment="1">
      <alignment horizontal="center" wrapText="1"/>
    </xf>
    <xf numFmtId="0" fontId="93" fillId="0" borderId="17" xfId="0" applyFont="1" applyBorder="1" applyAlignment="1">
      <alignment horizontal="center" vertical="top" wrapText="1"/>
    </xf>
    <xf numFmtId="0" fontId="93" fillId="0" borderId="16" xfId="0" applyFont="1" applyBorder="1" applyAlignment="1">
      <alignment horizontal="center" wrapText="1"/>
    </xf>
    <xf numFmtId="0" fontId="93" fillId="0" borderId="74" xfId="0" applyFont="1" applyBorder="1" applyAlignment="1">
      <alignment horizontal="center" vertical="top" wrapText="1"/>
    </xf>
    <xf numFmtId="0" fontId="93" fillId="0" borderId="17" xfId="0" applyFont="1" applyBorder="1" applyAlignment="1">
      <alignment horizontal="center" wrapText="1"/>
    </xf>
    <xf numFmtId="0" fontId="93" fillId="0" borderId="17" xfId="0" applyFont="1" applyBorder="1" applyAlignment="1">
      <alignment horizontal="center"/>
    </xf>
    <xf numFmtId="0" fontId="93" fillId="0" borderId="17" xfId="0" applyFont="1" applyBorder="1"/>
    <xf numFmtId="0" fontId="93" fillId="0" borderId="75" xfId="0" applyFont="1" applyBorder="1"/>
    <xf numFmtId="0" fontId="93" fillId="0" borderId="74" xfId="0" applyFont="1" applyBorder="1" applyAlignment="1">
      <alignment horizontal="center" wrapText="1"/>
    </xf>
    <xf numFmtId="0" fontId="93" fillId="0" borderId="74" xfId="0" applyFont="1" applyBorder="1" applyAlignment="1">
      <alignment horizontal="center"/>
    </xf>
    <xf numFmtId="0" fontId="93" fillId="0" borderId="74" xfId="0" applyFont="1" applyBorder="1"/>
    <xf numFmtId="0" fontId="93" fillId="0" borderId="76" xfId="0" applyFont="1" applyBorder="1"/>
    <xf numFmtId="0" fontId="96" fillId="0" borderId="15" xfId="33" applyFont="1" applyBorder="1" applyAlignment="1">
      <alignment horizontal="center" vertical="center" wrapText="1"/>
    </xf>
    <xf numFmtId="0" fontId="92" fillId="0" borderId="15" xfId="33" applyFont="1" applyBorder="1" applyAlignment="1">
      <alignment horizontal="center" vertical="top" wrapText="1"/>
    </xf>
    <xf numFmtId="14" fontId="69" fillId="0" borderId="15" xfId="0" applyNumberFormat="1" applyFont="1" applyBorder="1" applyAlignment="1" applyProtection="1">
      <alignment horizontal="center" vertical="center" wrapText="1"/>
      <protection locked="0"/>
    </xf>
    <xf numFmtId="166" fontId="69" fillId="0" borderId="15" xfId="0" applyNumberFormat="1" applyFont="1" applyBorder="1" applyAlignment="1" applyProtection="1">
      <alignment horizontal="center" vertical="center" wrapText="1"/>
      <protection locked="0"/>
    </xf>
    <xf numFmtId="0" fontId="92" fillId="0" borderId="2" xfId="0" applyFont="1" applyBorder="1" applyAlignment="1" applyProtection="1">
      <alignment horizontal="center" vertical="center" wrapText="1"/>
      <protection locked="0"/>
    </xf>
    <xf numFmtId="0" fontId="0" fillId="0" borderId="2" xfId="22" applyFont="1" applyBorder="1" applyAlignment="1" applyProtection="1">
      <alignment horizontal="left" vertical="top" wrapText="1"/>
      <protection locked="0"/>
    </xf>
    <xf numFmtId="0" fontId="0" fillId="0" borderId="2" xfId="22" applyFont="1" applyBorder="1" applyAlignment="1" applyProtection="1">
      <alignment horizontal="left" vertical="center" wrapText="1"/>
      <protection locked="0"/>
    </xf>
    <xf numFmtId="0" fontId="111" fillId="0" borderId="2" xfId="25" applyFont="1" applyBorder="1" applyAlignment="1" applyProtection="1">
      <alignment horizontal="center" vertical="center"/>
      <protection locked="0"/>
    </xf>
    <xf numFmtId="0" fontId="111" fillId="0" borderId="14" xfId="22" applyFont="1" applyBorder="1" applyProtection="1">
      <protection locked="0"/>
    </xf>
    <xf numFmtId="0" fontId="69" fillId="0" borderId="41" xfId="48" applyFont="1" applyBorder="1" applyAlignment="1" applyProtection="1">
      <alignment horizontal="center" vertical="center" wrapText="1"/>
      <protection locked="0"/>
    </xf>
    <xf numFmtId="0" fontId="111" fillId="0" borderId="2" xfId="48" applyBorder="1" applyAlignment="1" applyProtection="1">
      <alignment horizontal="center" vertical="center"/>
      <protection locked="0"/>
    </xf>
    <xf numFmtId="0" fontId="69" fillId="0" borderId="17" xfId="48" applyFont="1" applyBorder="1" applyAlignment="1" applyProtection="1">
      <alignment horizontal="center" vertical="center" wrapText="1"/>
      <protection locked="0"/>
    </xf>
    <xf numFmtId="0" fontId="72" fillId="0" borderId="2" xfId="48" applyFont="1" applyBorder="1" applyAlignment="1" applyProtection="1">
      <alignment horizontal="center" vertical="center" wrapText="1"/>
      <protection locked="0"/>
    </xf>
    <xf numFmtId="0" fontId="72" fillId="0" borderId="13" xfId="48" applyFont="1" applyBorder="1" applyAlignment="1" applyProtection="1">
      <alignment horizontal="center" vertical="center" wrapText="1"/>
      <protection locked="0"/>
    </xf>
    <xf numFmtId="0" fontId="87" fillId="0" borderId="2" xfId="48" applyFont="1" applyBorder="1" applyAlignment="1">
      <alignment vertical="center"/>
    </xf>
    <xf numFmtId="0" fontId="43" fillId="0" borderId="36" xfId="48" applyFont="1" applyBorder="1" applyAlignment="1">
      <alignment horizontal="center" vertical="center" wrapText="1"/>
    </xf>
    <xf numFmtId="0" fontId="111" fillId="0" borderId="14" xfId="48" applyBorder="1" applyProtection="1">
      <protection locked="0"/>
    </xf>
    <xf numFmtId="0" fontId="87" fillId="0" borderId="2" xfId="48" applyFont="1" applyBorder="1"/>
    <xf numFmtId="0" fontId="87" fillId="0" borderId="2" xfId="48" applyFont="1" applyBorder="1" applyAlignment="1">
      <alignment horizontal="justify" vertical="center"/>
    </xf>
    <xf numFmtId="0" fontId="73" fillId="0" borderId="0" xfId="0" applyFont="1" applyAlignment="1">
      <alignment horizontal="center" wrapText="1"/>
    </xf>
    <xf numFmtId="0" fontId="73" fillId="0" borderId="0" xfId="0" applyFont="1"/>
    <xf numFmtId="44" fontId="73" fillId="0" borderId="0" xfId="14" applyFont="1" applyFill="1" applyBorder="1" applyAlignment="1"/>
    <xf numFmtId="0" fontId="69" fillId="0" borderId="1" xfId="0" applyFont="1" applyBorder="1" applyAlignment="1" applyProtection="1">
      <alignment horizontal="center" vertical="center" wrapText="1"/>
      <protection locked="0"/>
    </xf>
    <xf numFmtId="14" fontId="38" fillId="0" borderId="89" xfId="0" applyNumberFormat="1" applyFont="1" applyBorder="1"/>
    <xf numFmtId="0" fontId="0" fillId="0" borderId="14" xfId="0" applyBorder="1" applyAlignment="1" applyProtection="1">
      <alignment horizontal="center" vertical="center"/>
      <protection locked="0"/>
    </xf>
    <xf numFmtId="0" fontId="69" fillId="0" borderId="2" xfId="0" applyFont="1" applyBorder="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89" fillId="0" borderId="2" xfId="0" applyFont="1" applyBorder="1" applyAlignment="1">
      <alignment vertical="top"/>
    </xf>
    <xf numFmtId="0" fontId="0" fillId="0" borderId="14" xfId="0" applyBorder="1" applyAlignment="1" applyProtection="1">
      <alignment horizontal="left" vertical="center"/>
      <protection locked="0"/>
    </xf>
    <xf numFmtId="0" fontId="0" fillId="0" borderId="2" xfId="0" applyBorder="1" applyAlignment="1">
      <alignment horizontal="center" vertical="center"/>
    </xf>
    <xf numFmtId="0" fontId="78" fillId="0" borderId="2" xfId="20" applyFill="1"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05" fillId="0" borderId="0" xfId="45" applyAlignment="1" applyProtection="1">
      <alignment vertical="center"/>
      <protection locked="0"/>
    </xf>
    <xf numFmtId="0" fontId="31" fillId="0" borderId="2" xfId="25" applyBorder="1" applyAlignment="1" applyProtection="1">
      <alignment horizontal="left" vertical="center" wrapText="1"/>
      <protection locked="0"/>
    </xf>
    <xf numFmtId="0" fontId="69" fillId="0" borderId="17" xfId="0" applyFont="1" applyBorder="1" applyAlignment="1">
      <alignment horizontal="left" vertical="center" wrapText="1"/>
    </xf>
    <xf numFmtId="0" fontId="0" fillId="0" borderId="14" xfId="22" applyFont="1" applyBorder="1" applyAlignment="1" applyProtection="1">
      <alignment vertical="center"/>
      <protection locked="0"/>
    </xf>
    <xf numFmtId="0" fontId="0" fillId="0" borderId="2" xfId="0" applyBorder="1" applyAlignment="1">
      <alignment vertical="center" wrapText="1"/>
    </xf>
    <xf numFmtId="44" fontId="0" fillId="0" borderId="0" xfId="14" applyFont="1" applyFill="1" applyBorder="1" applyAlignment="1">
      <alignment vertical="center"/>
    </xf>
    <xf numFmtId="0" fontId="114" fillId="0" borderId="2" xfId="22" applyFont="1" applyBorder="1" applyAlignment="1" applyProtection="1">
      <alignment horizontal="center" vertical="center" wrapText="1"/>
      <protection locked="0"/>
    </xf>
    <xf numFmtId="0" fontId="114" fillId="0" borderId="2" xfId="25" applyFont="1" applyBorder="1" applyAlignment="1" applyProtection="1">
      <alignment horizontal="left" vertical="center" wrapText="1"/>
      <protection locked="0"/>
    </xf>
    <xf numFmtId="0" fontId="114" fillId="0" borderId="2" xfId="0" applyFont="1" applyBorder="1" applyAlignment="1" applyProtection="1">
      <alignment horizontal="center" vertical="center" wrapText="1"/>
      <protection locked="0"/>
    </xf>
    <xf numFmtId="0" fontId="114" fillId="0" borderId="2" xfId="22" applyFont="1" applyBorder="1" applyAlignment="1" applyProtection="1">
      <alignment horizontal="left" vertical="center" wrapText="1"/>
      <protection locked="0"/>
    </xf>
    <xf numFmtId="0" fontId="114" fillId="0" borderId="2" xfId="0" applyFont="1" applyBorder="1" applyAlignment="1" applyProtection="1">
      <alignment horizontal="left" vertical="center" wrapText="1"/>
      <protection locked="0"/>
    </xf>
    <xf numFmtId="0" fontId="69" fillId="0" borderId="2" xfId="52" applyFont="1" applyBorder="1" applyAlignment="1" applyProtection="1">
      <alignment horizontal="center" vertical="center" wrapText="1"/>
      <protection locked="0"/>
    </xf>
    <xf numFmtId="0" fontId="69" fillId="0" borderId="15" xfId="52" applyFont="1" applyBorder="1" applyAlignment="1" applyProtection="1">
      <alignment horizontal="center" vertical="center" wrapText="1"/>
      <protection locked="0"/>
    </xf>
    <xf numFmtId="0" fontId="72" fillId="0" borderId="2" xfId="52" applyFont="1" applyBorder="1" applyAlignment="1" applyProtection="1">
      <alignment vertical="center" wrapText="1"/>
      <protection locked="0"/>
    </xf>
    <xf numFmtId="0" fontId="31" fillId="0" borderId="2" xfId="52" applyFont="1" applyBorder="1" applyAlignment="1" applyProtection="1">
      <alignment horizontal="left" vertical="top" wrapText="1"/>
      <protection locked="0"/>
    </xf>
    <xf numFmtId="164" fontId="69" fillId="0" borderId="15" xfId="52" applyNumberFormat="1" applyFont="1" applyBorder="1" applyAlignment="1" applyProtection="1">
      <alignment horizontal="center" vertical="center" wrapText="1"/>
      <protection locked="0"/>
    </xf>
    <xf numFmtId="0" fontId="69" fillId="0" borderId="41" xfId="52" applyFont="1" applyBorder="1" applyAlignment="1" applyProtection="1">
      <alignment horizontal="center" vertical="center" wrapText="1"/>
      <protection locked="0"/>
    </xf>
    <xf numFmtId="0" fontId="69" fillId="0" borderId="17" xfId="52" applyFont="1" applyBorder="1" applyAlignment="1" applyProtection="1">
      <alignment horizontal="center" vertical="center" wrapText="1"/>
      <protection locked="0"/>
    </xf>
    <xf numFmtId="0" fontId="114" fillId="0" borderId="14" xfId="52" applyBorder="1" applyProtection="1">
      <protection locked="0"/>
    </xf>
    <xf numFmtId="0" fontId="69" fillId="0" borderId="1" xfId="52" applyFont="1" applyBorder="1" applyAlignment="1" applyProtection="1">
      <alignment horizontal="center" vertical="center" wrapText="1"/>
      <protection locked="0"/>
    </xf>
    <xf numFmtId="0" fontId="114" fillId="0" borderId="2" xfId="52" applyBorder="1" applyAlignment="1" applyProtection="1">
      <alignment horizontal="left" vertical="top" wrapText="1"/>
      <protection locked="0"/>
    </xf>
    <xf numFmtId="0" fontId="69" fillId="0" borderId="16" xfId="52" applyFont="1" applyBorder="1" applyAlignment="1" applyProtection="1">
      <alignment horizontal="center" vertical="center" wrapText="1"/>
      <protection locked="0"/>
    </xf>
    <xf numFmtId="0" fontId="115" fillId="0" borderId="15" xfId="0" applyFont="1" applyBorder="1" applyAlignment="1">
      <alignment horizontal="center" vertical="center" wrapText="1"/>
    </xf>
    <xf numFmtId="0" fontId="116" fillId="0" borderId="15" xfId="0" applyFont="1" applyBorder="1" applyAlignment="1">
      <alignment vertical="center" wrapText="1"/>
    </xf>
    <xf numFmtId="0" fontId="114" fillId="0" borderId="15" xfId="0" applyFont="1" applyBorder="1" applyAlignment="1">
      <alignment horizontal="left" vertical="top" wrapText="1"/>
    </xf>
    <xf numFmtId="0" fontId="117" fillId="0" borderId="15" xfId="0" applyFont="1" applyBorder="1" applyAlignment="1">
      <alignment horizontal="center" vertical="center" wrapText="1"/>
    </xf>
    <xf numFmtId="0" fontId="115" fillId="0" borderId="41" xfId="0" applyFont="1" applyBorder="1" applyAlignment="1">
      <alignment horizontal="center" vertical="center" wrapText="1"/>
    </xf>
    <xf numFmtId="0" fontId="118" fillId="0" borderId="0" xfId="0" applyFont="1"/>
    <xf numFmtId="0" fontId="115" fillId="0" borderId="17" xfId="0" applyFont="1" applyBorder="1" applyAlignment="1">
      <alignment horizontal="center" vertical="center" wrapText="1"/>
    </xf>
    <xf numFmtId="0" fontId="114" fillId="0" borderId="14" xfId="0" applyFont="1" applyBorder="1"/>
    <xf numFmtId="0" fontId="115" fillId="0" borderId="15" xfId="54" applyFont="1" applyBorder="1" applyAlignment="1">
      <alignment horizontal="center" vertical="center" wrapText="1"/>
    </xf>
    <xf numFmtId="0" fontId="116" fillId="0" borderId="15" xfId="54" applyFont="1" applyBorder="1" applyAlignment="1">
      <alignment vertical="center" wrapText="1"/>
    </xf>
    <xf numFmtId="0" fontId="114" fillId="0" borderId="15" xfId="54" applyFont="1" applyBorder="1" applyAlignment="1">
      <alignment horizontal="left" vertical="top" wrapText="1"/>
    </xf>
    <xf numFmtId="0" fontId="117" fillId="0" borderId="15" xfId="54" applyFont="1" applyBorder="1" applyAlignment="1">
      <alignment horizontal="center" vertical="center" wrapText="1"/>
    </xf>
    <xf numFmtId="0" fontId="115" fillId="0" borderId="41" xfId="54" applyFont="1" applyBorder="1" applyAlignment="1">
      <alignment horizontal="center" vertical="center" wrapText="1"/>
    </xf>
    <xf numFmtId="0" fontId="120" fillId="0" borderId="49" xfId="55" applyFill="1" applyBorder="1" applyAlignment="1" applyProtection="1">
      <alignment horizontal="left" vertical="center" wrapText="1"/>
      <protection locked="0"/>
    </xf>
    <xf numFmtId="0" fontId="115" fillId="0" borderId="17" xfId="54" applyFont="1" applyBorder="1" applyAlignment="1">
      <alignment horizontal="center" vertical="center" wrapText="1"/>
    </xf>
    <xf numFmtId="0" fontId="114" fillId="0" borderId="14" xfId="54" applyFont="1" applyBorder="1"/>
    <xf numFmtId="21" fontId="38" fillId="0" borderId="15" xfId="0" applyNumberFormat="1" applyFont="1" applyBorder="1" applyAlignment="1">
      <alignment horizontal="center" vertical="center" wrapText="1"/>
    </xf>
    <xf numFmtId="0" fontId="0" fillId="0" borderId="2" xfId="22" applyFont="1" applyBorder="1" applyAlignment="1" applyProtection="1">
      <alignment horizontal="center" vertical="center" wrapText="1"/>
      <protection locked="0"/>
    </xf>
    <xf numFmtId="0" fontId="121" fillId="0" borderId="2" xfId="0" applyFont="1" applyBorder="1" applyAlignment="1" applyProtection="1">
      <alignment horizontal="left" vertical="center" wrapText="1"/>
      <protection locked="0"/>
    </xf>
    <xf numFmtId="0" fontId="74" fillId="0" borderId="0" xfId="0" applyFont="1" applyAlignment="1">
      <alignment horizontal="center" wrapText="1"/>
    </xf>
    <xf numFmtId="0" fontId="74" fillId="0" borderId="0" xfId="0" applyFont="1"/>
    <xf numFmtId="44" fontId="74" fillId="0" borderId="0" xfId="14" applyFont="1" applyFill="1" applyBorder="1" applyAlignment="1"/>
    <xf numFmtId="0" fontId="69" fillId="0" borderId="2" xfId="32" applyFont="1" applyBorder="1" applyAlignment="1">
      <alignment horizontal="center" vertical="center" wrapText="1"/>
    </xf>
    <xf numFmtId="0" fontId="83" fillId="0" borderId="2" xfId="32" applyFont="1" applyBorder="1"/>
    <xf numFmtId="0" fontId="31" fillId="0" borderId="75" xfId="32" applyFont="1" applyBorder="1"/>
    <xf numFmtId="0" fontId="31" fillId="0" borderId="2" xfId="32" applyFont="1" applyBorder="1" applyAlignment="1">
      <alignment horizontal="center" vertical="center"/>
    </xf>
    <xf numFmtId="168" fontId="38" fillId="0" borderId="15" xfId="0" applyNumberFormat="1" applyFont="1" applyBorder="1" applyAlignment="1">
      <alignment horizontal="center" vertical="center" wrapText="1"/>
    </xf>
    <xf numFmtId="0" fontId="78" fillId="0" borderId="15" xfId="0" applyFont="1" applyBorder="1" applyAlignment="1">
      <alignment vertical="center"/>
    </xf>
    <xf numFmtId="0" fontId="38" fillId="0" borderId="17" xfId="0" applyFont="1" applyBorder="1" applyAlignment="1">
      <alignment horizontal="center" wrapText="1"/>
    </xf>
    <xf numFmtId="0" fontId="0" fillId="0" borderId="0" xfId="0" applyAlignment="1" applyProtection="1">
      <alignment horizontal="center" vertical="center"/>
      <protection locked="0"/>
    </xf>
    <xf numFmtId="0" fontId="122" fillId="0" borderId="15" xfId="0" applyFont="1" applyBorder="1" applyAlignment="1">
      <alignment horizontal="center" vertical="center" wrapText="1"/>
    </xf>
    <xf numFmtId="0" fontId="123" fillId="0" borderId="15" xfId="0" applyFont="1" applyBorder="1" applyAlignment="1">
      <alignment vertical="center" wrapText="1"/>
    </xf>
    <xf numFmtId="0" fontId="121" fillId="0" borderId="15" xfId="0" applyFont="1" applyBorder="1" applyAlignment="1">
      <alignment horizontal="left" vertical="top" wrapText="1"/>
    </xf>
    <xf numFmtId="0" fontId="124" fillId="0" borderId="15" xfId="0" applyFont="1" applyBorder="1" applyAlignment="1">
      <alignment horizontal="center" vertical="center" wrapText="1"/>
    </xf>
    <xf numFmtId="0" fontId="122" fillId="0" borderId="41" xfId="0" applyFont="1" applyBorder="1" applyAlignment="1">
      <alignment horizontal="center" vertical="center" wrapText="1"/>
    </xf>
    <xf numFmtId="0" fontId="41" fillId="0" borderId="49" xfId="12" applyFill="1" applyBorder="1" applyAlignment="1" applyProtection="1">
      <alignment horizontal="left" vertical="center" wrapText="1"/>
      <protection locked="0"/>
    </xf>
    <xf numFmtId="0" fontId="122" fillId="0" borderId="17" xfId="0" applyFont="1" applyBorder="1" applyAlignment="1">
      <alignment horizontal="center" vertical="center" wrapText="1"/>
    </xf>
    <xf numFmtId="0" fontId="121" fillId="0" borderId="14" xfId="0" applyFont="1" applyBorder="1"/>
    <xf numFmtId="44" fontId="0" fillId="0" borderId="0" xfId="14" applyFont="1" applyFill="1" applyBorder="1" applyAlignment="1">
      <alignment wrapText="1"/>
    </xf>
    <xf numFmtId="0" fontId="0" fillId="0" borderId="0" xfId="0" applyAlignment="1" applyProtection="1">
      <alignment horizontal="center" vertical="center" wrapText="1"/>
      <protection locked="0"/>
    </xf>
    <xf numFmtId="0" fontId="31" fillId="0" borderId="0" xfId="0" applyFont="1" applyAlignment="1">
      <alignment wrapText="1"/>
    </xf>
    <xf numFmtId="0" fontId="72" fillId="0" borderId="36" xfId="0" applyFont="1" applyBorder="1" applyAlignment="1" applyProtection="1">
      <alignment vertical="center" wrapText="1"/>
      <protection locked="0"/>
    </xf>
    <xf numFmtId="0" fontId="0" fillId="0" borderId="36" xfId="0" applyBorder="1" applyAlignment="1" applyProtection="1">
      <alignment horizontal="left" vertical="top" wrapText="1"/>
      <protection locked="0"/>
    </xf>
    <xf numFmtId="14" fontId="89" fillId="0" borderId="2" xfId="22" applyNumberFormat="1"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0" fillId="0" borderId="2" xfId="0" applyBorder="1" applyAlignment="1" applyProtection="1">
      <alignment horizontal="center"/>
      <protection locked="0"/>
    </xf>
    <xf numFmtId="0" fontId="69" fillId="0" borderId="38" xfId="0" applyFont="1" applyBorder="1" applyAlignment="1" applyProtection="1">
      <alignment horizontal="center" vertical="center" wrapText="1"/>
      <protection locked="0"/>
    </xf>
    <xf numFmtId="0" fontId="29" fillId="0" borderId="2" xfId="0" applyFont="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69" fillId="0" borderId="2" xfId="0" applyFont="1" applyBorder="1" applyAlignment="1">
      <alignment horizontal="center" vertical="center" wrapText="1"/>
    </xf>
    <xf numFmtId="0" fontId="31" fillId="0" borderId="2" xfId="0" applyFont="1" applyBorder="1" applyAlignment="1" applyProtection="1">
      <alignment horizontal="center" vertical="center"/>
      <protection locked="0"/>
    </xf>
    <xf numFmtId="0" fontId="31" fillId="0" borderId="2" xfId="0" applyFont="1" applyBorder="1" applyAlignment="1" applyProtection="1">
      <alignment horizontal="center" vertical="center" wrapText="1"/>
      <protection locked="0"/>
    </xf>
    <xf numFmtId="0" fontId="0" fillId="0" borderId="2" xfId="0" applyBorder="1" applyAlignment="1" applyProtection="1">
      <alignment horizontal="left"/>
      <protection locked="0"/>
    </xf>
    <xf numFmtId="0" fontId="31" fillId="0" borderId="2" xfId="0" applyFont="1" applyBorder="1" applyAlignment="1" applyProtection="1">
      <alignment horizontal="center"/>
      <protection locked="0"/>
    </xf>
    <xf numFmtId="0" fontId="78" fillId="0" borderId="2" xfId="20" applyFill="1" applyBorder="1" applyAlignment="1">
      <alignment vertical="center"/>
    </xf>
    <xf numFmtId="0" fontId="72" fillId="0" borderId="15" xfId="0" applyFont="1" applyBorder="1" applyAlignment="1">
      <alignment horizontal="center" vertical="center" wrapText="1"/>
    </xf>
    <xf numFmtId="172" fontId="38" fillId="0" borderId="15" xfId="0" applyNumberFormat="1" applyFont="1" applyBorder="1" applyAlignment="1">
      <alignment horizontal="center" vertical="center" wrapText="1"/>
    </xf>
    <xf numFmtId="0" fontId="78" fillId="0" borderId="49" xfId="20" applyFill="1" applyBorder="1" applyAlignment="1" applyProtection="1">
      <alignment horizontal="left" vertical="center" wrapText="1"/>
      <protection locked="0"/>
    </xf>
    <xf numFmtId="0" fontId="31" fillId="0" borderId="14" xfId="0" applyFont="1" applyBorder="1"/>
    <xf numFmtId="14" fontId="4" fillId="0" borderId="2" xfId="3" applyNumberFormat="1" applyFont="1" applyBorder="1" applyAlignment="1" applyProtection="1">
      <alignment horizontal="center" vertical="center" wrapText="1"/>
      <protection locked="0"/>
    </xf>
    <xf numFmtId="14" fontId="31" fillId="0" borderId="0" xfId="45" applyNumberFormat="1" applyFont="1" applyAlignment="1" applyProtection="1">
      <alignment horizontal="center" wrapText="1"/>
      <protection locked="0"/>
    </xf>
    <xf numFmtId="14" fontId="31" fillId="0" borderId="0" xfId="48" applyNumberFormat="1" applyFont="1" applyAlignment="1" applyProtection="1">
      <alignment horizontal="center" wrapText="1"/>
      <protection locked="0"/>
    </xf>
    <xf numFmtId="166" fontId="0" fillId="0" borderId="2" xfId="0" applyNumberFormat="1" applyBorder="1" applyAlignment="1" applyProtection="1">
      <alignment horizontal="center" vertical="center" wrapText="1"/>
      <protection locked="0"/>
    </xf>
    <xf numFmtId="14" fontId="32" fillId="0" borderId="0" xfId="0" applyNumberFormat="1" applyFont="1" applyAlignment="1">
      <alignment horizontal="center" vertical="center" wrapText="1"/>
    </xf>
    <xf numFmtId="14" fontId="125" fillId="3" borderId="18" xfId="0" applyNumberFormat="1" applyFont="1" applyFill="1" applyBorder="1" applyAlignment="1">
      <alignment horizontal="center" vertical="center" wrapText="1"/>
    </xf>
    <xf numFmtId="14" fontId="0" fillId="0" borderId="2" xfId="0" applyNumberFormat="1" applyBorder="1" applyAlignment="1" applyProtection="1">
      <alignment horizontal="center" vertical="center" wrapText="1"/>
      <protection locked="0"/>
    </xf>
    <xf numFmtId="14" fontId="0" fillId="0" borderId="0" xfId="0" applyNumberFormat="1" applyAlignment="1" applyProtection="1">
      <alignment horizontal="center" vertical="center" wrapText="1"/>
      <protection locked="0"/>
    </xf>
    <xf numFmtId="14" fontId="0" fillId="0" borderId="2" xfId="0" applyNumberFormat="1" applyBorder="1" applyAlignment="1" applyProtection="1">
      <alignment horizontal="center" vertical="top" wrapText="1"/>
      <protection locked="0"/>
    </xf>
    <xf numFmtId="14" fontId="0" fillId="0" borderId="0" xfId="0" applyNumberFormat="1" applyAlignment="1" applyProtection="1">
      <alignment horizontal="center"/>
      <protection locked="0"/>
    </xf>
    <xf numFmtId="14" fontId="0" fillId="0" borderId="2" xfId="0" applyNumberFormat="1" applyBorder="1" applyAlignment="1" applyProtection="1">
      <alignment horizontal="center"/>
      <protection locked="0"/>
    </xf>
    <xf numFmtId="14" fontId="0" fillId="0" borderId="0" xfId="0" applyNumberFormat="1" applyAlignment="1" applyProtection="1">
      <alignment horizontal="center" wrapText="1"/>
      <protection locked="0"/>
    </xf>
    <xf numFmtId="14" fontId="31" fillId="0" borderId="0" xfId="45" applyNumberFormat="1" applyFont="1" applyAlignment="1" applyProtection="1">
      <alignment horizontal="center"/>
      <protection locked="0"/>
    </xf>
    <xf numFmtId="14" fontId="31" fillId="0" borderId="2" xfId="22" applyNumberFormat="1" applyBorder="1" applyAlignment="1" applyProtection="1">
      <alignment horizontal="center" vertical="center" wrapText="1"/>
      <protection locked="0"/>
    </xf>
    <xf numFmtId="14" fontId="0" fillId="0" borderId="2" xfId="0" applyNumberFormat="1" applyBorder="1" applyAlignment="1">
      <alignment horizontal="center" vertical="center" wrapText="1"/>
    </xf>
    <xf numFmtId="170" fontId="38" fillId="0" borderId="16" xfId="0" applyNumberFormat="1" applyFont="1" applyBorder="1" applyAlignment="1">
      <alignment horizontal="center" wrapText="1"/>
    </xf>
    <xf numFmtId="170" fontId="69" fillId="0" borderId="15" xfId="0" applyNumberFormat="1" applyFont="1" applyBorder="1" applyAlignment="1">
      <alignment horizontal="center" vertical="center" wrapText="1"/>
    </xf>
    <xf numFmtId="170" fontId="38" fillId="0" borderId="15" xfId="33" applyNumberFormat="1" applyFont="1" applyBorder="1" applyAlignment="1">
      <alignment horizontal="center" wrapText="1"/>
    </xf>
    <xf numFmtId="170" fontId="38" fillId="0" borderId="16" xfId="33" applyNumberFormat="1" applyFont="1" applyBorder="1" applyAlignment="1">
      <alignment horizontal="center" wrapText="1"/>
    </xf>
    <xf numFmtId="170" fontId="38" fillId="0" borderId="15" xfId="0" applyNumberFormat="1" applyFont="1" applyBorder="1" applyAlignment="1">
      <alignment horizontal="center" wrapText="1"/>
    </xf>
    <xf numFmtId="170" fontId="69" fillId="0" borderId="15" xfId="33" applyNumberFormat="1" applyFont="1" applyBorder="1" applyAlignment="1">
      <alignment horizontal="center" vertical="center" wrapText="1"/>
    </xf>
    <xf numFmtId="14" fontId="31" fillId="0" borderId="2" xfId="3" applyNumberFormat="1" applyFont="1" applyBorder="1" applyAlignment="1" applyProtection="1">
      <alignment horizontal="center" vertical="center" wrapText="1"/>
      <protection locked="0"/>
    </xf>
    <xf numFmtId="14" fontId="31" fillId="0" borderId="2" xfId="48" applyNumberFormat="1" applyFont="1" applyBorder="1" applyAlignment="1" applyProtection="1">
      <alignment horizontal="center" vertical="center" wrapText="1"/>
      <protection locked="0"/>
    </xf>
    <xf numFmtId="14" fontId="4" fillId="0" borderId="2" xfId="0" applyNumberFormat="1" applyFont="1" applyBorder="1" applyAlignment="1" applyProtection="1">
      <alignment horizontal="center" vertical="center" wrapText="1"/>
      <protection locked="0"/>
    </xf>
    <xf numFmtId="14" fontId="31" fillId="0" borderId="2" xfId="52" applyNumberFormat="1" applyFont="1" applyBorder="1" applyAlignment="1" applyProtection="1">
      <alignment horizontal="center" vertical="center" wrapText="1"/>
      <protection locked="0"/>
    </xf>
    <xf numFmtId="14" fontId="4" fillId="0" borderId="2" xfId="52" applyNumberFormat="1" applyFont="1" applyBorder="1" applyAlignment="1" applyProtection="1">
      <alignment horizontal="center" vertical="center" wrapText="1"/>
      <protection locked="0"/>
    </xf>
    <xf numFmtId="168" fontId="38" fillId="0" borderId="15" xfId="54" applyNumberFormat="1" applyFont="1" applyBorder="1" applyAlignment="1">
      <alignment horizontal="center" vertical="center" wrapText="1"/>
    </xf>
    <xf numFmtId="14" fontId="0" fillId="0" borderId="36" xfId="0" applyNumberFormat="1" applyBorder="1" applyAlignment="1">
      <alignment horizontal="center" vertical="center" wrapText="1"/>
    </xf>
    <xf numFmtId="168" fontId="0" fillId="0" borderId="53" xfId="0" applyNumberFormat="1" applyBorder="1" applyAlignment="1">
      <alignment horizontal="center" vertical="center" wrapText="1"/>
    </xf>
    <xf numFmtId="170" fontId="38" fillId="0" borderId="17" xfId="33" applyNumberFormat="1" applyFont="1" applyBorder="1" applyAlignment="1">
      <alignment horizontal="center" wrapText="1"/>
    </xf>
    <xf numFmtId="170" fontId="38" fillId="0" borderId="74" xfId="33" applyNumberFormat="1" applyFont="1" applyBorder="1" applyAlignment="1">
      <alignment horizontal="center" wrapText="1"/>
    </xf>
    <xf numFmtId="170" fontId="38" fillId="0" borderId="17" xfId="0" applyNumberFormat="1" applyFont="1" applyBorder="1" applyAlignment="1">
      <alignment horizontal="center" wrapText="1"/>
    </xf>
    <xf numFmtId="170" fontId="38" fillId="0" borderId="74" xfId="0" applyNumberFormat="1" applyFont="1" applyBorder="1" applyAlignment="1">
      <alignment horizontal="center" wrapText="1"/>
    </xf>
    <xf numFmtId="166" fontId="0" fillId="0" borderId="0" xfId="0" applyNumberFormat="1" applyAlignment="1" applyProtection="1">
      <alignment horizontal="center" vertical="center" wrapText="1"/>
      <protection locked="0"/>
    </xf>
    <xf numFmtId="166" fontId="0" fillId="0" borderId="0" xfId="0" applyNumberFormat="1" applyAlignment="1" applyProtection="1">
      <alignment horizontal="right" vertical="center" wrapText="1"/>
      <protection locked="0"/>
    </xf>
    <xf numFmtId="0" fontId="121" fillId="2" borderId="2" xfId="0" applyFont="1" applyFill="1" applyBorder="1" applyAlignment="1">
      <alignment horizontal="center" vertical="center" wrapText="1"/>
    </xf>
    <xf numFmtId="0" fontId="121" fillId="2" borderId="2" xfId="25" applyFont="1" applyFill="1" applyBorder="1" applyAlignment="1" applyProtection="1">
      <alignment horizontal="left" vertical="center" wrapText="1"/>
      <protection locked="0"/>
    </xf>
    <xf numFmtId="0" fontId="41" fillId="0" borderId="2" xfId="12" applyFill="1" applyBorder="1" applyAlignment="1" applyProtection="1">
      <alignment vertical="center"/>
      <protection locked="0"/>
    </xf>
    <xf numFmtId="0" fontId="0" fillId="36" borderId="14" xfId="22" applyFont="1" applyFill="1" applyBorder="1" applyProtection="1">
      <protection locked="0"/>
    </xf>
    <xf numFmtId="0" fontId="0" fillId="36" borderId="0" xfId="0" applyFill="1" applyProtection="1">
      <protection locked="0"/>
    </xf>
    <xf numFmtId="0" fontId="69" fillId="36" borderId="17" xfId="0" applyFont="1" applyFill="1" applyBorder="1" applyAlignment="1" applyProtection="1">
      <alignment horizontal="center" vertical="center" wrapText="1"/>
      <protection locked="0"/>
    </xf>
    <xf numFmtId="166" fontId="3" fillId="0" borderId="2" xfId="22" applyNumberFormat="1" applyFont="1" applyBorder="1" applyAlignment="1" applyProtection="1">
      <alignment horizontal="center" vertical="center" wrapText="1"/>
      <protection locked="0"/>
    </xf>
    <xf numFmtId="0" fontId="38" fillId="36" borderId="15" xfId="0" applyFont="1" applyFill="1" applyBorder="1" applyAlignment="1">
      <alignment horizontal="center" wrapText="1"/>
    </xf>
    <xf numFmtId="0" fontId="69" fillId="36" borderId="17" xfId="32" applyFont="1" applyFill="1" applyBorder="1" applyAlignment="1">
      <alignment horizontal="center" vertical="center" wrapText="1"/>
    </xf>
    <xf numFmtId="0" fontId="69" fillId="36" borderId="15" xfId="32" applyFont="1" applyFill="1" applyBorder="1" applyAlignment="1">
      <alignment horizontal="center" vertical="center" wrapText="1"/>
    </xf>
    <xf numFmtId="0" fontId="0" fillId="36" borderId="0" xfId="0" applyFill="1" applyAlignment="1">
      <alignment vertical="center"/>
    </xf>
    <xf numFmtId="0" fontId="69" fillId="36" borderId="17" xfId="0" applyFont="1" applyFill="1" applyBorder="1" applyAlignment="1">
      <alignment horizontal="center" vertical="center" wrapText="1"/>
    </xf>
    <xf numFmtId="166" fontId="3" fillId="0" borderId="0" xfId="22" applyNumberFormat="1" applyFont="1" applyAlignment="1" applyProtection="1">
      <alignment horizontal="center" vertical="center" wrapText="1"/>
      <protection locked="0"/>
    </xf>
    <xf numFmtId="0" fontId="99" fillId="36" borderId="17" xfId="0" applyFont="1" applyFill="1" applyBorder="1" applyAlignment="1">
      <alignment horizontal="center" vertical="center" wrapText="1"/>
    </xf>
    <xf numFmtId="0" fontId="99" fillId="36" borderId="80" xfId="0" applyFont="1" applyFill="1" applyBorder="1" applyAlignment="1">
      <alignment horizontal="center" vertical="center" wrapText="1"/>
    </xf>
    <xf numFmtId="0" fontId="99" fillId="36" borderId="74" xfId="0" applyFont="1" applyFill="1" applyBorder="1" applyAlignment="1">
      <alignment horizontal="center" vertical="center" wrapText="1"/>
    </xf>
    <xf numFmtId="0" fontId="99" fillId="36" borderId="79" xfId="0" applyFont="1" applyFill="1" applyBorder="1" applyAlignment="1">
      <alignment horizontal="center" vertical="center" wrapText="1"/>
    </xf>
    <xf numFmtId="166" fontId="0" fillId="0" borderId="0" xfId="0" applyNumberFormat="1" applyAlignment="1" applyProtection="1">
      <alignment vertical="center" wrapText="1"/>
      <protection locked="0"/>
    </xf>
    <xf numFmtId="166" fontId="0" fillId="0" borderId="2" xfId="0" applyNumberFormat="1" applyBorder="1" applyProtection="1">
      <protection locked="0"/>
    </xf>
    <xf numFmtId="166" fontId="0" fillId="0" borderId="0" xfId="0" applyNumberFormat="1" applyAlignment="1" applyProtection="1">
      <alignment horizontal="center" wrapText="1"/>
      <protection locked="0"/>
    </xf>
    <xf numFmtId="166" fontId="0" fillId="0" borderId="0" xfId="0" applyNumberFormat="1" applyAlignment="1" applyProtection="1">
      <alignment wrapText="1"/>
      <protection locked="0"/>
    </xf>
    <xf numFmtId="166" fontId="0" fillId="0" borderId="0" xfId="0" applyNumberFormat="1" applyProtection="1">
      <protection locked="0"/>
    </xf>
    <xf numFmtId="166" fontId="38" fillId="0" borderId="16" xfId="0" applyNumberFormat="1" applyFont="1" applyBorder="1" applyAlignment="1">
      <alignment horizontal="center" wrapText="1"/>
    </xf>
    <xf numFmtId="166" fontId="69" fillId="0" borderId="15" xfId="0" applyNumberFormat="1" applyFont="1" applyBorder="1" applyAlignment="1">
      <alignment horizontal="center" vertical="center" wrapText="1"/>
    </xf>
    <xf numFmtId="166" fontId="38" fillId="0" borderId="17" xfId="33" applyNumberFormat="1" applyFont="1" applyBorder="1" applyAlignment="1">
      <alignment horizontal="center" wrapText="1"/>
    </xf>
    <xf numFmtId="166" fontId="38" fillId="0" borderId="74" xfId="33" applyNumberFormat="1" applyFont="1" applyBorder="1" applyAlignment="1">
      <alignment horizontal="center" wrapText="1"/>
    </xf>
    <xf numFmtId="166" fontId="38" fillId="0" borderId="74" xfId="0" applyNumberFormat="1" applyFont="1" applyBorder="1" applyAlignment="1">
      <alignment horizontal="center" wrapText="1"/>
    </xf>
    <xf numFmtId="166" fontId="69" fillId="0" borderId="15" xfId="33" applyNumberFormat="1" applyFont="1" applyBorder="1" applyAlignment="1">
      <alignment horizontal="center" vertical="center" wrapText="1"/>
    </xf>
    <xf numFmtId="166" fontId="3" fillId="0" borderId="2" xfId="3" applyNumberFormat="1" applyFont="1" applyBorder="1" applyAlignment="1" applyProtection="1">
      <alignment horizontal="center" vertical="center" wrapText="1"/>
      <protection locked="0"/>
    </xf>
    <xf numFmtId="166" fontId="31" fillId="0" borderId="2" xfId="3" applyNumberFormat="1" applyFont="1" applyBorder="1" applyAlignment="1" applyProtection="1">
      <alignment horizontal="center" vertical="center" wrapText="1"/>
      <protection locked="0"/>
    </xf>
    <xf numFmtId="166" fontId="31" fillId="0" borderId="2" xfId="48" applyNumberFormat="1" applyFont="1" applyBorder="1" applyAlignment="1" applyProtection="1">
      <alignment horizontal="center" vertical="center" wrapText="1"/>
      <protection locked="0"/>
    </xf>
    <xf numFmtId="166" fontId="3" fillId="0" borderId="2" xfId="0" applyNumberFormat="1" applyFont="1" applyBorder="1" applyAlignment="1" applyProtection="1">
      <alignment horizontal="center" vertical="center" wrapText="1"/>
      <protection locked="0"/>
    </xf>
    <xf numFmtId="21" fontId="3" fillId="0" borderId="2" xfId="0" applyNumberFormat="1" applyFont="1" applyBorder="1" applyAlignment="1" applyProtection="1">
      <alignment horizontal="center" vertical="center" wrapText="1"/>
      <protection locked="0"/>
    </xf>
    <xf numFmtId="21" fontId="3" fillId="0" borderId="2" xfId="52" applyNumberFormat="1" applyFont="1" applyBorder="1" applyAlignment="1" applyProtection="1">
      <alignment horizontal="center" vertical="center" wrapText="1"/>
      <protection locked="0"/>
    </xf>
    <xf numFmtId="21" fontId="38" fillId="0" borderId="15" xfId="54" applyNumberFormat="1" applyFont="1" applyBorder="1" applyAlignment="1">
      <alignment horizontal="center" vertical="center" wrapText="1"/>
    </xf>
    <xf numFmtId="166" fontId="0" fillId="0" borderId="2" xfId="0" applyNumberFormat="1" applyBorder="1" applyAlignment="1">
      <alignment horizontal="center" vertical="center" wrapText="1"/>
    </xf>
    <xf numFmtId="166" fontId="0" fillId="0" borderId="36" xfId="0" applyNumberFormat="1" applyBorder="1" applyAlignment="1">
      <alignment horizontal="center" vertical="center" wrapText="1"/>
    </xf>
    <xf numFmtId="166" fontId="0" fillId="0" borderId="53" xfId="0" applyNumberFormat="1" applyBorder="1" applyAlignment="1">
      <alignment vertical="center" wrapText="1"/>
    </xf>
    <xf numFmtId="14" fontId="0" fillId="0" borderId="0" xfId="0" applyNumberFormat="1" applyAlignment="1">
      <alignment vertical="center" wrapText="1"/>
    </xf>
    <xf numFmtId="166" fontId="0" fillId="0" borderId="0" xfId="0" applyNumberFormat="1" applyAlignment="1" applyProtection="1">
      <alignment horizontal="left" vertical="top" wrapText="1"/>
      <protection locked="0"/>
    </xf>
    <xf numFmtId="166" fontId="3" fillId="0" borderId="0" xfId="3" applyNumberFormat="1" applyFont="1" applyAlignment="1" applyProtection="1">
      <alignment horizontal="center" vertical="center" wrapText="1"/>
      <protection locked="0"/>
    </xf>
    <xf numFmtId="166" fontId="31" fillId="0" borderId="0" xfId="3" applyNumberFormat="1" applyFont="1" applyAlignment="1" applyProtection="1">
      <alignment horizontal="center" vertical="center" wrapText="1"/>
      <protection locked="0"/>
    </xf>
    <xf numFmtId="166" fontId="31" fillId="0" borderId="0" xfId="48" applyNumberFormat="1" applyFont="1" applyAlignment="1" applyProtection="1">
      <alignment horizontal="center" vertical="center" wrapText="1"/>
      <protection locked="0"/>
    </xf>
    <xf numFmtId="166" fontId="0" fillId="0" borderId="0" xfId="0" applyNumberFormat="1" applyAlignment="1">
      <alignment vertical="center" wrapText="1"/>
    </xf>
    <xf numFmtId="0" fontId="69" fillId="36" borderId="17" xfId="22" applyFont="1" applyFill="1" applyBorder="1" applyAlignment="1" applyProtection="1">
      <alignment horizontal="center" vertical="center" wrapText="1"/>
      <protection locked="0"/>
    </xf>
    <xf numFmtId="0" fontId="69" fillId="36" borderId="84" xfId="0" applyFont="1" applyFill="1" applyBorder="1" applyAlignment="1">
      <alignment horizontal="center" vertical="center" wrapText="1"/>
    </xf>
    <xf numFmtId="0" fontId="69" fillId="36" borderId="80" xfId="0" applyFont="1" applyFill="1" applyBorder="1" applyAlignment="1">
      <alignment horizontal="center" vertical="center" wrapText="1"/>
    </xf>
    <xf numFmtId="0" fontId="69" fillId="36" borderId="15" xfId="0" applyFont="1" applyFill="1" applyBorder="1" applyAlignment="1">
      <alignment horizontal="center" vertical="center" wrapText="1"/>
    </xf>
    <xf numFmtId="0" fontId="0" fillId="0" borderId="2" xfId="25" applyFont="1" applyBorder="1" applyAlignment="1" applyProtection="1">
      <alignment horizontal="left" vertical="top" wrapText="1"/>
      <protection locked="0"/>
    </xf>
    <xf numFmtId="0" fontId="0" fillId="36" borderId="17" xfId="0" applyFill="1" applyBorder="1" applyAlignment="1" applyProtection="1">
      <alignment horizontal="left" vertical="center" wrapText="1"/>
      <protection locked="0"/>
    </xf>
    <xf numFmtId="0" fontId="69" fillId="36" borderId="17" xfId="0" applyFont="1" applyFill="1" applyBorder="1" applyAlignment="1" applyProtection="1">
      <alignment horizontal="left" vertical="center" wrapText="1"/>
      <protection locked="0"/>
    </xf>
    <xf numFmtId="0" fontId="105" fillId="36" borderId="14" xfId="22" applyFont="1" applyFill="1" applyBorder="1" applyProtection="1">
      <protection locked="0"/>
    </xf>
    <xf numFmtId="0" fontId="107" fillId="36" borderId="17" xfId="0" applyFont="1" applyFill="1" applyBorder="1" applyAlignment="1">
      <alignment horizontal="center" vertical="center" wrapText="1"/>
    </xf>
    <xf numFmtId="0" fontId="107" fillId="36" borderId="84" xfId="0" applyFont="1" applyFill="1" applyBorder="1" applyAlignment="1">
      <alignment horizontal="center" vertical="center" wrapText="1"/>
    </xf>
    <xf numFmtId="0" fontId="107" fillId="36" borderId="80" xfId="0" applyFont="1" applyFill="1" applyBorder="1" applyAlignment="1">
      <alignment horizontal="center" vertical="center" wrapText="1"/>
    </xf>
    <xf numFmtId="0" fontId="107" fillId="36" borderId="15" xfId="0" applyFont="1" applyFill="1" applyBorder="1" applyAlignment="1">
      <alignment horizontal="center" vertical="center" wrapText="1"/>
    </xf>
    <xf numFmtId="14" fontId="0" fillId="36" borderId="0" xfId="0" applyNumberFormat="1" applyFill="1" applyProtection="1">
      <protection locked="0"/>
    </xf>
    <xf numFmtId="0" fontId="105" fillId="36" borderId="0" xfId="45" applyFill="1" applyProtection="1">
      <protection locked="0"/>
    </xf>
    <xf numFmtId="0" fontId="0" fillId="0" borderId="0" xfId="45" applyFont="1" applyProtection="1">
      <protection locked="0"/>
    </xf>
    <xf numFmtId="166" fontId="2" fillId="0" borderId="2" xfId="22" applyNumberFormat="1" applyFont="1" applyBorder="1" applyAlignment="1" applyProtection="1">
      <alignment horizontal="center" vertical="center" wrapText="1"/>
      <protection locked="0"/>
    </xf>
    <xf numFmtId="0" fontId="91" fillId="36" borderId="17" xfId="0" applyFont="1" applyFill="1" applyBorder="1" applyAlignment="1">
      <alignment horizontal="left" vertical="center" wrapText="1"/>
    </xf>
    <xf numFmtId="0" fontId="111" fillId="36" borderId="2" xfId="0" applyFont="1" applyFill="1" applyBorder="1" applyAlignment="1">
      <alignment horizontal="center" vertical="center" wrapText="1"/>
    </xf>
    <xf numFmtId="166" fontId="0" fillId="0" borderId="0" xfId="3" applyNumberFormat="1" applyFont="1" applyAlignment="1" applyProtection="1">
      <alignment horizontal="center" vertical="center" wrapText="1"/>
      <protection locked="0"/>
    </xf>
    <xf numFmtId="0" fontId="91" fillId="36" borderId="17" xfId="0" applyFont="1" applyFill="1" applyBorder="1" applyAlignment="1">
      <alignment horizontal="center" vertical="center" wrapText="1"/>
    </xf>
    <xf numFmtId="0" fontId="91" fillId="36" borderId="17" xfId="33" applyFont="1" applyFill="1" applyBorder="1" applyAlignment="1">
      <alignment horizontal="center" vertical="center" wrapText="1"/>
    </xf>
    <xf numFmtId="0" fontId="69" fillId="36" borderId="17" xfId="25" applyFont="1" applyFill="1" applyBorder="1" applyAlignment="1" applyProtection="1">
      <alignment horizontal="center" vertical="center" wrapText="1"/>
      <protection locked="0"/>
    </xf>
    <xf numFmtId="14" fontId="111" fillId="36" borderId="0" xfId="48" applyNumberFormat="1" applyFill="1" applyProtection="1">
      <protection locked="0"/>
    </xf>
    <xf numFmtId="0" fontId="111" fillId="36" borderId="14" xfId="22" applyFont="1" applyFill="1" applyBorder="1" applyProtection="1">
      <protection locked="0"/>
    </xf>
    <xf numFmtId="0" fontId="69" fillId="36" borderId="17" xfId="48" applyFont="1" applyFill="1" applyBorder="1" applyAlignment="1" applyProtection="1">
      <alignment horizontal="center" vertical="center" wrapText="1"/>
      <protection locked="0"/>
    </xf>
    <xf numFmtId="0" fontId="41" fillId="0" borderId="57" xfId="12" applyFill="1" applyBorder="1" applyAlignment="1" applyProtection="1">
      <alignment horizontal="left" vertical="center" wrapText="1"/>
      <protection locked="0"/>
    </xf>
    <xf numFmtId="14" fontId="1" fillId="0" borderId="2" xfId="0" applyNumberFormat="1" applyFont="1" applyBorder="1" applyAlignment="1" applyProtection="1">
      <alignment horizontal="center" vertical="center" wrapText="1"/>
      <protection locked="0"/>
    </xf>
    <xf numFmtId="0" fontId="72" fillId="4" borderId="2" xfId="0" applyFont="1" applyFill="1" applyBorder="1" applyAlignment="1" applyProtection="1">
      <alignment horizontal="center" vertical="center" wrapText="1"/>
      <protection locked="0"/>
    </xf>
    <xf numFmtId="0" fontId="72" fillId="4" borderId="13" xfId="0" applyFont="1" applyFill="1" applyBorder="1" applyAlignment="1" applyProtection="1">
      <alignment horizontal="center" vertical="center" wrapText="1"/>
      <protection locked="0"/>
    </xf>
    <xf numFmtId="14" fontId="29" fillId="0" borderId="2" xfId="0" applyNumberFormat="1" applyFont="1" applyBorder="1" applyAlignment="1" applyProtection="1">
      <alignment horizontal="center" vertical="center" wrapText="1"/>
      <protection locked="0"/>
    </xf>
    <xf numFmtId="21" fontId="1" fillId="0" borderId="2" xfId="0" applyNumberFormat="1" applyFont="1" applyBorder="1" applyAlignment="1" applyProtection="1">
      <alignment horizontal="center" vertical="center" wrapText="1"/>
      <protection locked="0"/>
    </xf>
    <xf numFmtId="0" fontId="0" fillId="4" borderId="2" xfId="0" applyFill="1" applyBorder="1" applyAlignment="1" applyProtection="1">
      <alignment horizontal="left" vertical="top" wrapText="1"/>
      <protection locked="0"/>
    </xf>
    <xf numFmtId="0" fontId="72" fillId="0" borderId="15" xfId="22" applyFont="1" applyBorder="1" applyAlignment="1">
      <alignment horizontal="center" vertical="center" wrapText="1"/>
    </xf>
    <xf numFmtId="0" fontId="69" fillId="2" borderId="1" xfId="0" applyFont="1" applyFill="1" applyBorder="1" applyAlignment="1" applyProtection="1">
      <alignment horizontal="center" vertical="center" wrapText="1"/>
      <protection locked="0"/>
    </xf>
    <xf numFmtId="0" fontId="72" fillId="4" borderId="95" xfId="0" applyFont="1" applyFill="1" applyBorder="1" applyAlignment="1" applyProtection="1">
      <alignment vertical="center" wrapText="1"/>
      <protection locked="0"/>
    </xf>
    <xf numFmtId="0" fontId="31" fillId="0" borderId="38" xfId="0" applyFont="1" applyBorder="1" applyAlignment="1" applyProtection="1">
      <alignment horizontal="left" vertical="top" wrapText="1"/>
      <protection locked="0"/>
    </xf>
    <xf numFmtId="0" fontId="72" fillId="4" borderId="96" xfId="0" applyFont="1" applyFill="1" applyBorder="1" applyAlignment="1" applyProtection="1">
      <alignment vertical="center" wrapText="1"/>
      <protection locked="0"/>
    </xf>
    <xf numFmtId="0" fontId="87" fillId="30" borderId="97" xfId="0" applyFont="1" applyFill="1" applyBorder="1" applyAlignment="1">
      <alignment vertical="center" wrapText="1"/>
    </xf>
    <xf numFmtId="0" fontId="87" fillId="30" borderId="15" xfId="0" applyFont="1" applyFill="1" applyBorder="1" applyAlignment="1">
      <alignment vertical="center" wrapText="1"/>
    </xf>
    <xf numFmtId="0" fontId="87" fillId="30" borderId="18" xfId="0" applyFont="1" applyFill="1" applyBorder="1" applyAlignment="1">
      <alignment vertical="center" wrapText="1"/>
    </xf>
    <xf numFmtId="0" fontId="87" fillId="30" borderId="16" xfId="0" applyFont="1" applyFill="1" applyBorder="1" applyAlignment="1">
      <alignment vertical="center" wrapText="1"/>
    </xf>
    <xf numFmtId="0" fontId="72" fillId="0" borderId="25" xfId="0" applyFont="1" applyBorder="1" applyAlignment="1" applyProtection="1">
      <alignment vertical="center" wrapText="1"/>
      <protection locked="0"/>
    </xf>
    <xf numFmtId="0" fontId="0" fillId="4" borderId="2" xfId="0" applyFill="1" applyBorder="1" applyAlignment="1" applyProtection="1">
      <alignment horizontal="center" vertical="center" wrapText="1"/>
      <protection locked="0"/>
    </xf>
    <xf numFmtId="0" fontId="69" fillId="2" borderId="2" xfId="0" applyFont="1" applyFill="1" applyBorder="1" applyAlignment="1" applyProtection="1">
      <alignment horizontal="center" vertical="center" wrapText="1"/>
      <protection locked="0"/>
    </xf>
    <xf numFmtId="14" fontId="0" fillId="4" borderId="2" xfId="0" applyNumberFormat="1" applyFill="1" applyBorder="1" applyAlignment="1" applyProtection="1">
      <alignment horizontal="center" vertical="center" wrapText="1"/>
      <protection locked="0"/>
    </xf>
    <xf numFmtId="2" fontId="69" fillId="2" borderId="15" xfId="0" applyNumberFormat="1" applyFont="1" applyFill="1" applyBorder="1" applyAlignment="1" applyProtection="1">
      <alignment horizontal="center" vertical="center" wrapText="1"/>
      <protection locked="0"/>
    </xf>
    <xf numFmtId="0" fontId="31" fillId="0" borderId="0" xfId="0" applyFont="1" applyAlignment="1" applyProtection="1">
      <alignment wrapText="1"/>
      <protection locked="0"/>
    </xf>
    <xf numFmtId="0" fontId="69" fillId="2" borderId="16" xfId="0" applyFont="1" applyFill="1" applyBorder="1" applyAlignment="1" applyProtection="1">
      <alignment horizontal="center" vertical="center" wrapText="1"/>
      <protection locked="0"/>
    </xf>
    <xf numFmtId="21" fontId="1" fillId="4" borderId="2" xfId="0" applyNumberFormat="1" applyFont="1" applyFill="1" applyBorder="1" applyAlignment="1" applyProtection="1">
      <alignment horizontal="center" vertical="center" wrapText="1"/>
      <protection locked="0"/>
    </xf>
    <xf numFmtId="0" fontId="122" fillId="2" borderId="15" xfId="0" applyFont="1" applyFill="1" applyBorder="1" applyAlignment="1">
      <alignment horizontal="center" vertical="center" wrapText="1"/>
    </xf>
    <xf numFmtId="0" fontId="123" fillId="26" borderId="15" xfId="0" applyFont="1" applyFill="1" applyBorder="1" applyAlignment="1">
      <alignment vertical="center" wrapText="1"/>
    </xf>
    <xf numFmtId="0" fontId="121" fillId="26" borderId="15" xfId="0" applyFont="1" applyFill="1" applyBorder="1" applyAlignment="1">
      <alignment horizontal="left" vertical="top" wrapText="1"/>
    </xf>
    <xf numFmtId="168" fontId="126" fillId="0" borderId="15" xfId="0" applyNumberFormat="1" applyFont="1" applyBorder="1" applyAlignment="1">
      <alignment horizontal="center" vertical="center" wrapText="1"/>
    </xf>
    <xf numFmtId="172" fontId="126" fillId="0" borderId="15" xfId="0" applyNumberFormat="1" applyFont="1" applyBorder="1" applyAlignment="1">
      <alignment horizontal="center" vertical="center" wrapText="1"/>
    </xf>
    <xf numFmtId="21" fontId="126" fillId="0" borderId="15" xfId="0" applyNumberFormat="1" applyFont="1" applyBorder="1" applyAlignment="1">
      <alignment horizontal="center" vertical="center" wrapText="1"/>
    </xf>
    <xf numFmtId="0" fontId="124" fillId="2" borderId="15" xfId="0" applyFont="1" applyFill="1" applyBorder="1" applyAlignment="1">
      <alignment horizontal="center" vertical="center" wrapText="1"/>
    </xf>
    <xf numFmtId="0" fontId="122" fillId="2" borderId="41" xfId="0" applyFont="1" applyFill="1" applyBorder="1" applyAlignment="1">
      <alignment horizontal="center" vertical="center" wrapText="1"/>
    </xf>
    <xf numFmtId="0" fontId="41" fillId="0" borderId="49" xfId="12" applyBorder="1" applyAlignment="1" applyProtection="1">
      <alignment horizontal="left" vertical="center" wrapText="1"/>
      <protection locked="0"/>
    </xf>
    <xf numFmtId="0" fontId="122" fillId="2" borderId="17" xfId="0" applyFont="1" applyFill="1" applyBorder="1" applyAlignment="1">
      <alignment horizontal="center" vertical="center" wrapText="1"/>
    </xf>
    <xf numFmtId="0" fontId="31" fillId="4" borderId="2" xfId="0" applyFont="1" applyFill="1" applyBorder="1" applyAlignment="1" applyProtection="1">
      <alignment horizontal="center" vertical="center" wrapText="1"/>
      <protection locked="0"/>
    </xf>
    <xf numFmtId="0" fontId="78" fillId="0" borderId="2" xfId="20" applyBorder="1" applyAlignment="1">
      <alignment vertical="center" wrapText="1"/>
    </xf>
    <xf numFmtId="0" fontId="38" fillId="0" borderId="2" xfId="0" applyFont="1" applyBorder="1" applyAlignment="1">
      <alignment horizontal="center" vertical="center" wrapText="1"/>
    </xf>
    <xf numFmtId="0" fontId="72" fillId="4" borderId="36" xfId="0" applyFont="1" applyFill="1" applyBorder="1" applyAlignment="1" applyProtection="1">
      <alignment vertical="center" wrapText="1"/>
      <protection locked="0"/>
    </xf>
    <xf numFmtId="0" fontId="31" fillId="4" borderId="36" xfId="0" applyFont="1" applyFill="1" applyBorder="1" applyAlignment="1" applyProtection="1">
      <alignment horizontal="left" vertical="top" wrapText="1"/>
      <protection locked="0"/>
    </xf>
    <xf numFmtId="0" fontId="69" fillId="2" borderId="26" xfId="0" applyFont="1" applyFill="1" applyBorder="1" applyAlignment="1" applyProtection="1">
      <alignment horizontal="center" vertical="center" wrapText="1"/>
      <protection locked="0"/>
    </xf>
    <xf numFmtId="0" fontId="78" fillId="0" borderId="2" xfId="20" applyBorder="1" applyAlignment="1" applyProtection="1">
      <alignment horizontal="center" vertical="center"/>
      <protection locked="0"/>
    </xf>
    <xf numFmtId="0" fontId="69" fillId="2" borderId="38" xfId="0" applyFont="1" applyFill="1" applyBorder="1" applyAlignment="1" applyProtection="1">
      <alignment horizontal="center" vertical="center" wrapText="1"/>
      <protection locked="0"/>
    </xf>
    <xf numFmtId="0" fontId="31" fillId="4" borderId="2" xfId="0" applyFont="1" applyFill="1" applyBorder="1" applyAlignment="1" applyProtection="1">
      <alignment horizontal="left" vertical="center" wrapText="1"/>
      <protection locked="0"/>
    </xf>
    <xf numFmtId="0" fontId="0" fillId="0" borderId="19" xfId="0" applyBorder="1" applyAlignment="1" applyProtection="1">
      <alignment horizontal="center" vertical="center"/>
      <protection locked="0"/>
    </xf>
    <xf numFmtId="14" fontId="38" fillId="0" borderId="2" xfId="0" applyNumberFormat="1" applyFont="1" applyBorder="1"/>
    <xf numFmtId="0" fontId="30" fillId="4" borderId="7" xfId="2" applyFont="1" applyFill="1" applyBorder="1" applyAlignment="1">
      <alignment horizontal="center" vertical="center"/>
    </xf>
    <xf numFmtId="0" fontId="30" fillId="4" borderId="8" xfId="2" applyFont="1" applyFill="1" applyBorder="1" applyAlignment="1">
      <alignment horizontal="center" vertical="center"/>
    </xf>
    <xf numFmtId="0" fontId="30" fillId="4" borderId="9" xfId="2" applyFont="1" applyFill="1" applyBorder="1" applyAlignment="1">
      <alignment horizontal="center" vertical="center"/>
    </xf>
    <xf numFmtId="0" fontId="32" fillId="2" borderId="10" xfId="1" applyFont="1" applyFill="1" applyBorder="1" applyAlignment="1">
      <alignment horizontal="center" vertical="center"/>
    </xf>
    <xf numFmtId="0" fontId="32" fillId="2" borderId="0" xfId="1" applyFont="1" applyFill="1" applyAlignment="1">
      <alignment horizontal="center" vertical="center"/>
    </xf>
    <xf numFmtId="0" fontId="32" fillId="2" borderId="11" xfId="1" applyFont="1" applyFill="1" applyBorder="1" applyAlignment="1">
      <alignment horizontal="center" vertical="center"/>
    </xf>
    <xf numFmtId="0" fontId="32" fillId="2" borderId="12" xfId="1" applyFont="1" applyFill="1" applyBorder="1" applyAlignment="1">
      <alignment horizontal="center" vertical="center"/>
    </xf>
    <xf numFmtId="0" fontId="32" fillId="2" borderId="6" xfId="1" applyFont="1" applyFill="1" applyBorder="1" applyAlignment="1">
      <alignment horizontal="center" vertical="center"/>
    </xf>
    <xf numFmtId="0" fontId="32" fillId="2" borderId="5" xfId="1" applyFont="1" applyFill="1" applyBorder="1" applyAlignment="1">
      <alignment horizontal="center" vertical="center"/>
    </xf>
    <xf numFmtId="0" fontId="49" fillId="6" borderId="3" xfId="1" applyFont="1" applyFill="1" applyBorder="1" applyAlignment="1">
      <alignment horizontal="center" vertical="center" wrapText="1"/>
    </xf>
    <xf numFmtId="0" fontId="49" fillId="6" borderId="56" xfId="1" applyFont="1" applyFill="1" applyBorder="1" applyAlignment="1">
      <alignment horizontal="center" vertical="center" wrapText="1"/>
    </xf>
    <xf numFmtId="0" fontId="49" fillId="6" borderId="4" xfId="1" applyFont="1" applyFill="1" applyBorder="1" applyAlignment="1">
      <alignment horizontal="center" vertical="center" wrapText="1"/>
    </xf>
    <xf numFmtId="0" fontId="49" fillId="6" borderId="28" xfId="1" applyFont="1" applyFill="1" applyBorder="1" applyAlignment="1">
      <alignment horizontal="center" vertical="center" wrapText="1"/>
    </xf>
    <xf numFmtId="0" fontId="49" fillId="6" borderId="29" xfId="1" applyFont="1" applyFill="1" applyBorder="1" applyAlignment="1">
      <alignment horizontal="center" vertical="center" wrapText="1"/>
    </xf>
    <xf numFmtId="0" fontId="49" fillId="6" borderId="30" xfId="1" applyFont="1" applyFill="1" applyBorder="1" applyAlignment="1">
      <alignment horizontal="center" vertical="center" wrapText="1"/>
    </xf>
    <xf numFmtId="0" fontId="0" fillId="0" borderId="31" xfId="0" applyBorder="1" applyAlignment="1">
      <alignment horizontal="center" wrapText="1"/>
    </xf>
    <xf numFmtId="0" fontId="0" fillId="0" borderId="0" xfId="0" applyAlignment="1">
      <alignment horizontal="center" wrapText="1"/>
    </xf>
    <xf numFmtId="0" fontId="0" fillId="0" borderId="32" xfId="0" applyBorder="1" applyAlignment="1">
      <alignment horizontal="center" wrapText="1"/>
    </xf>
    <xf numFmtId="0" fontId="0" fillId="0" borderId="33" xfId="0" applyBorder="1" applyAlignment="1">
      <alignment horizontal="center" wrapText="1"/>
    </xf>
    <xf numFmtId="0" fontId="0" fillId="0" borderId="34" xfId="0" applyBorder="1" applyAlignment="1">
      <alignment horizontal="center" wrapText="1"/>
    </xf>
    <xf numFmtId="0" fontId="0" fillId="0" borderId="35" xfId="0" applyBorder="1" applyAlignment="1">
      <alignment horizontal="center" wrapText="1"/>
    </xf>
    <xf numFmtId="0" fontId="30" fillId="4" borderId="28" xfId="2" applyFont="1" applyFill="1" applyBorder="1" applyAlignment="1">
      <alignment horizontal="center" vertical="center"/>
    </xf>
    <xf numFmtId="0" fontId="30" fillId="4" borderId="29" xfId="2" applyFont="1" applyFill="1" applyBorder="1" applyAlignment="1">
      <alignment horizontal="center" vertical="center"/>
    </xf>
    <xf numFmtId="0" fontId="30" fillId="4" borderId="30" xfId="2" applyFont="1" applyFill="1" applyBorder="1" applyAlignment="1">
      <alignment horizontal="center" vertical="center"/>
    </xf>
    <xf numFmtId="0" fontId="32" fillId="4" borderId="31" xfId="2" applyFont="1" applyFill="1" applyBorder="1" applyAlignment="1">
      <alignment horizontal="center" vertical="center"/>
    </xf>
    <xf numFmtId="0" fontId="32" fillId="4" borderId="0" xfId="2" applyFont="1" applyFill="1" applyAlignment="1">
      <alignment horizontal="center" vertical="center"/>
    </xf>
    <xf numFmtId="0" fontId="32" fillId="4" borderId="32" xfId="2" applyFont="1" applyFill="1" applyBorder="1" applyAlignment="1">
      <alignment horizontal="center" vertical="center"/>
    </xf>
    <xf numFmtId="0" fontId="32" fillId="2" borderId="33" xfId="1" applyFont="1" applyFill="1" applyBorder="1" applyAlignment="1">
      <alignment horizontal="center" vertical="center"/>
    </xf>
    <xf numFmtId="0" fontId="32" fillId="2" borderId="34" xfId="1" applyFont="1" applyFill="1" applyBorder="1" applyAlignment="1">
      <alignment horizontal="center" vertical="center"/>
    </xf>
    <xf numFmtId="0" fontId="32" fillId="2" borderId="35" xfId="1" applyFont="1" applyFill="1" applyBorder="1" applyAlignment="1">
      <alignment horizontal="center" vertical="center"/>
    </xf>
    <xf numFmtId="0" fontId="30" fillId="0" borderId="0" xfId="0" applyFont="1" applyAlignment="1">
      <alignment horizontal="center" vertical="center" wrapText="1"/>
    </xf>
    <xf numFmtId="0" fontId="0" fillId="0" borderId="0" xfId="0"/>
    <xf numFmtId="0" fontId="60" fillId="24" borderId="0" xfId="0" applyFont="1" applyFill="1" applyAlignment="1">
      <alignment horizontal="center" wrapText="1"/>
    </xf>
    <xf numFmtId="0" fontId="60" fillId="24" borderId="0" xfId="0" applyFont="1" applyFill="1" applyAlignment="1">
      <alignment horizontal="center" vertical="center" wrapText="1"/>
    </xf>
    <xf numFmtId="0" fontId="60" fillId="24" borderId="34" xfId="0" applyFont="1" applyFill="1" applyBorder="1" applyAlignment="1">
      <alignment horizontal="center" vertical="center" wrapText="1"/>
    </xf>
    <xf numFmtId="0" fontId="60" fillId="24" borderId="42" xfId="0" applyFont="1" applyFill="1" applyBorder="1" applyAlignment="1">
      <alignment horizontal="center"/>
    </xf>
    <xf numFmtId="0" fontId="60" fillId="24" borderId="44" xfId="0" applyFont="1" applyFill="1" applyBorder="1" applyAlignment="1">
      <alignment horizontal="center"/>
    </xf>
    <xf numFmtId="0" fontId="60" fillId="24" borderId="43" xfId="0" applyFont="1" applyFill="1" applyBorder="1" applyAlignment="1">
      <alignment horizontal="center"/>
    </xf>
    <xf numFmtId="0" fontId="60" fillId="24" borderId="50" xfId="0" applyFont="1" applyFill="1" applyBorder="1" applyAlignment="1">
      <alignment horizontal="center" wrapText="1"/>
    </xf>
    <xf numFmtId="0" fontId="60" fillId="24" borderId="51" xfId="0" applyFont="1" applyFill="1" applyBorder="1" applyAlignment="1">
      <alignment horizontal="center" wrapText="1"/>
    </xf>
    <xf numFmtId="0" fontId="42" fillId="13" borderId="2" xfId="0" applyFont="1" applyFill="1" applyBorder="1" applyAlignment="1">
      <alignment horizontal="center" vertical="center"/>
    </xf>
    <xf numFmtId="0" fontId="29" fillId="17" borderId="2" xfId="0" applyFont="1" applyFill="1" applyBorder="1" applyAlignment="1">
      <alignment horizontal="center" vertical="center"/>
    </xf>
    <xf numFmtId="6" fontId="29" fillId="0" borderId="2" xfId="0" applyNumberFormat="1" applyFont="1" applyBorder="1" applyAlignment="1">
      <alignment horizontal="center" vertical="center"/>
    </xf>
    <xf numFmtId="0" fontId="29" fillId="0" borderId="2" xfId="0" applyFont="1" applyBorder="1" applyAlignment="1">
      <alignment horizontal="center"/>
    </xf>
    <xf numFmtId="2" fontId="0" fillId="0" borderId="36" xfId="15" applyNumberFormat="1" applyFont="1" applyBorder="1" applyAlignment="1">
      <alignment horizontal="center" vertical="center"/>
    </xf>
    <xf numFmtId="2" fontId="0" fillId="0" borderId="25" xfId="15" applyNumberFormat="1" applyFont="1" applyBorder="1" applyAlignment="1">
      <alignment horizontal="center" vertical="center"/>
    </xf>
    <xf numFmtId="44" fontId="0" fillId="0" borderId="2" xfId="14" applyFont="1" applyBorder="1" applyAlignment="1">
      <alignment horizontal="center" vertical="center"/>
    </xf>
    <xf numFmtId="0" fontId="42" fillId="13" borderId="36" xfId="0" applyFont="1" applyFill="1" applyBorder="1" applyAlignment="1">
      <alignment horizontal="center" vertical="center"/>
    </xf>
    <xf numFmtId="0" fontId="42" fillId="13" borderId="25" xfId="0" applyFont="1" applyFill="1" applyBorder="1" applyAlignment="1">
      <alignment horizontal="center" vertical="center"/>
    </xf>
    <xf numFmtId="2" fontId="0" fillId="0" borderId="2" xfId="15" applyNumberFormat="1" applyFont="1" applyBorder="1" applyAlignment="1">
      <alignment horizontal="center" vertical="center"/>
    </xf>
    <xf numFmtId="44" fontId="39" fillId="32" borderId="0" xfId="14" applyFont="1" applyFill="1" applyBorder="1" applyAlignment="1">
      <alignment horizontal="center" vertical="center" wrapText="1"/>
    </xf>
    <xf numFmtId="44" fontId="39" fillId="32" borderId="0" xfId="14" applyFont="1" applyFill="1" applyBorder="1" applyAlignment="1">
      <alignment horizontal="center" vertical="center"/>
    </xf>
    <xf numFmtId="0" fontId="64" fillId="0" borderId="0" xfId="0" applyFont="1" applyAlignment="1">
      <alignment horizontal="left" vertical="center"/>
    </xf>
    <xf numFmtId="0" fontId="29" fillId="0" borderId="0" xfId="0" applyFont="1" applyAlignment="1">
      <alignment horizontal="center"/>
    </xf>
    <xf numFmtId="0" fontId="68" fillId="0" borderId="0" xfId="0" applyFont="1" applyAlignment="1">
      <alignment horizontal="center" wrapText="1"/>
    </xf>
    <xf numFmtId="0" fontId="30" fillId="0" borderId="0" xfId="0" applyFont="1" applyAlignment="1">
      <alignment horizontal="center"/>
    </xf>
    <xf numFmtId="0" fontId="63" fillId="0" borderId="0" xfId="0" applyFont="1" applyAlignment="1">
      <alignment horizontal="center" wrapText="1"/>
    </xf>
    <xf numFmtId="0" fontId="65" fillId="0" borderId="0" xfId="0" applyFont="1" applyAlignment="1">
      <alignment horizontal="center"/>
    </xf>
    <xf numFmtId="0" fontId="63" fillId="4" borderId="28" xfId="0" applyFont="1" applyFill="1" applyBorder="1" applyAlignment="1">
      <alignment horizontal="center"/>
    </xf>
    <xf numFmtId="0" fontId="63" fillId="4" borderId="29" xfId="0" applyFont="1" applyFill="1" applyBorder="1" applyAlignment="1">
      <alignment horizontal="center"/>
    </xf>
    <xf numFmtId="0" fontId="63" fillId="4" borderId="30" xfId="0" applyFont="1" applyFill="1" applyBorder="1" applyAlignment="1">
      <alignment horizontal="center"/>
    </xf>
    <xf numFmtId="0" fontId="37" fillId="4" borderId="31" xfId="0" applyFont="1" applyFill="1" applyBorder="1" applyAlignment="1">
      <alignment horizontal="center"/>
    </xf>
    <xf numFmtId="0" fontId="37" fillId="4" borderId="0" xfId="0" applyFont="1" applyFill="1" applyAlignment="1">
      <alignment horizontal="center"/>
    </xf>
    <xf numFmtId="0" fontId="37" fillId="4" borderId="32" xfId="0" applyFont="1" applyFill="1" applyBorder="1" applyAlignment="1">
      <alignment horizontal="center"/>
    </xf>
    <xf numFmtId="0" fontId="37" fillId="0" borderId="0" xfId="0" applyFont="1" applyAlignment="1">
      <alignment horizontal="left" wrapText="1"/>
    </xf>
    <xf numFmtId="0" fontId="37" fillId="0" borderId="0" xfId="0" applyFont="1" applyAlignment="1">
      <alignment horizontal="left" vertical="center" wrapText="1"/>
    </xf>
    <xf numFmtId="0" fontId="63" fillId="0" borderId="0" xfId="0" applyFont="1" applyAlignment="1">
      <alignment horizontal="left" wrapText="1"/>
    </xf>
    <xf numFmtId="0" fontId="37" fillId="4" borderId="31" xfId="0" applyFont="1" applyFill="1" applyBorder="1" applyAlignment="1">
      <alignment horizontal="center" vertical="center"/>
    </xf>
    <xf numFmtId="0" fontId="37" fillId="4" borderId="0" xfId="0" applyFont="1" applyFill="1" applyAlignment="1">
      <alignment horizontal="center" vertical="center"/>
    </xf>
    <xf numFmtId="0" fontId="37" fillId="4" borderId="32" xfId="0" applyFont="1" applyFill="1" applyBorder="1" applyAlignment="1">
      <alignment horizontal="center" vertical="center"/>
    </xf>
    <xf numFmtId="0" fontId="77" fillId="0" borderId="0" xfId="0" applyFont="1" applyAlignment="1">
      <alignment horizontal="justify" vertical="center" wrapText="1"/>
    </xf>
    <xf numFmtId="0" fontId="86" fillId="0" borderId="62" xfId="0" applyFont="1" applyBorder="1" applyAlignment="1">
      <alignment vertical="center" wrapText="1"/>
    </xf>
    <xf numFmtId="0" fontId="86" fillId="0" borderId="67" xfId="0" applyFont="1" applyBorder="1" applyAlignment="1">
      <alignment vertical="center" wrapText="1"/>
    </xf>
    <xf numFmtId="0" fontId="86" fillId="0" borderId="63" xfId="0" applyFont="1" applyBorder="1" applyAlignment="1">
      <alignment vertical="center" wrapText="1"/>
    </xf>
    <xf numFmtId="0" fontId="86" fillId="0" borderId="69" xfId="0" applyFont="1" applyBorder="1" applyAlignment="1">
      <alignment vertical="center" wrapText="1"/>
    </xf>
    <xf numFmtId="0" fontId="44" fillId="8" borderId="19" xfId="0" applyFont="1" applyFill="1" applyBorder="1" applyAlignment="1">
      <alignment horizontal="center" vertical="center" wrapText="1"/>
    </xf>
    <xf numFmtId="0" fontId="46" fillId="0" borderId="20" xfId="0" applyFont="1" applyBorder="1"/>
    <xf numFmtId="0" fontId="46" fillId="0" borderId="21" xfId="0" applyFont="1" applyBorder="1"/>
    <xf numFmtId="0" fontId="44" fillId="8" borderId="1" xfId="0" applyFont="1" applyFill="1" applyBorder="1" applyAlignment="1">
      <alignment horizontal="center" vertical="center"/>
    </xf>
    <xf numFmtId="0" fontId="46" fillId="0" borderId="18" xfId="0" applyFont="1" applyBorder="1"/>
    <xf numFmtId="0" fontId="46" fillId="0" borderId="16" xfId="0" applyFont="1" applyBorder="1"/>
    <xf numFmtId="0" fontId="44" fillId="8" borderId="1" xfId="0" applyFont="1" applyFill="1" applyBorder="1" applyAlignment="1">
      <alignment horizontal="center" vertical="center" wrapText="1"/>
    </xf>
    <xf numFmtId="0" fontId="44" fillId="8" borderId="27" xfId="0" applyFont="1" applyFill="1" applyBorder="1" applyAlignment="1">
      <alignment horizontal="center" vertical="center" wrapText="1"/>
    </xf>
    <xf numFmtId="0" fontId="46" fillId="0" borderId="27" xfId="0" applyFont="1" applyBorder="1"/>
    <xf numFmtId="0" fontId="52" fillId="0" borderId="22" xfId="0" applyFont="1" applyBorder="1" applyAlignment="1">
      <alignment horizontal="center" vertical="center" wrapText="1"/>
    </xf>
    <xf numFmtId="0" fontId="55" fillId="12" borderId="24" xfId="0" applyFont="1" applyFill="1" applyBorder="1" applyAlignment="1">
      <alignment horizontal="center" vertical="center"/>
    </xf>
    <xf numFmtId="0" fontId="55" fillId="12" borderId="0" xfId="0" applyFont="1" applyFill="1" applyAlignment="1">
      <alignment horizontal="center" vertical="center"/>
    </xf>
    <xf numFmtId="0" fontId="52" fillId="0" borderId="40" xfId="0" applyFont="1" applyBorder="1" applyAlignment="1">
      <alignment horizontal="center" vertical="center" wrapText="1"/>
    </xf>
    <xf numFmtId="0" fontId="52" fillId="0" borderId="77" xfId="0" applyFont="1" applyBorder="1" applyAlignment="1">
      <alignment horizontal="center" vertical="center" wrapText="1"/>
    </xf>
    <xf numFmtId="0" fontId="52" fillId="0" borderId="55" xfId="0" applyFont="1" applyBorder="1" applyAlignment="1">
      <alignment horizontal="center" vertical="center" wrapText="1"/>
    </xf>
    <xf numFmtId="0" fontId="29" fillId="33" borderId="0" xfId="0" applyFont="1" applyFill="1" applyAlignment="1">
      <alignment horizontal="center" vertical="center" wrapText="1"/>
    </xf>
    <xf numFmtId="0" fontId="0" fillId="9" borderId="0" xfId="0" applyFill="1" applyAlignment="1">
      <alignment horizontal="center" wrapText="1"/>
    </xf>
    <xf numFmtId="0" fontId="30" fillId="4" borderId="28" xfId="51" applyFont="1" applyFill="1" applyBorder="1" applyAlignment="1">
      <alignment horizontal="center" vertical="center"/>
    </xf>
    <xf numFmtId="0" fontId="30" fillId="4" borderId="29" xfId="51" applyFont="1" applyFill="1" applyBorder="1" applyAlignment="1">
      <alignment horizontal="center" vertical="center"/>
    </xf>
    <xf numFmtId="0" fontId="30" fillId="4" borderId="30" xfId="51" applyFont="1" applyFill="1" applyBorder="1" applyAlignment="1">
      <alignment horizontal="center" vertical="center"/>
    </xf>
    <xf numFmtId="0" fontId="37" fillId="2" borderId="31" xfId="1" applyFont="1" applyFill="1" applyBorder="1" applyAlignment="1">
      <alignment horizontal="center" vertical="center" wrapText="1"/>
    </xf>
    <xf numFmtId="0" fontId="37" fillId="2" borderId="0" xfId="1" applyFont="1" applyFill="1" applyAlignment="1">
      <alignment horizontal="center" vertical="center" wrapText="1"/>
    </xf>
    <xf numFmtId="0" fontId="37" fillId="2" borderId="32" xfId="1" applyFont="1" applyFill="1" applyBorder="1" applyAlignment="1">
      <alignment horizontal="center" vertical="center" wrapText="1"/>
    </xf>
    <xf numFmtId="0" fontId="32" fillId="2" borderId="31" xfId="1" applyFont="1" applyFill="1" applyBorder="1" applyAlignment="1">
      <alignment horizontal="center" wrapText="1"/>
    </xf>
    <xf numFmtId="0" fontId="32" fillId="2" borderId="0" xfId="1" applyFont="1" applyFill="1" applyAlignment="1">
      <alignment horizontal="center" wrapText="1"/>
    </xf>
    <xf numFmtId="0" fontId="32" fillId="2" borderId="32" xfId="1" applyFont="1" applyFill="1" applyBorder="1" applyAlignment="1">
      <alignment horizontal="center" wrapText="1"/>
    </xf>
    <xf numFmtId="0" fontId="32" fillId="2" borderId="33" xfId="1" applyFont="1" applyFill="1" applyBorder="1" applyAlignment="1">
      <alignment horizontal="center" wrapText="1"/>
    </xf>
    <xf numFmtId="0" fontId="32" fillId="2" borderId="34" xfId="1" applyFont="1" applyFill="1" applyBorder="1" applyAlignment="1">
      <alignment horizontal="center" wrapText="1"/>
    </xf>
    <xf numFmtId="0" fontId="32" fillId="2" borderId="35" xfId="1" applyFont="1" applyFill="1" applyBorder="1" applyAlignment="1">
      <alignment horizontal="center" wrapText="1"/>
    </xf>
    <xf numFmtId="0" fontId="68" fillId="4" borderId="0" xfId="0" applyFont="1" applyFill="1" applyAlignment="1">
      <alignment horizontal="left"/>
    </xf>
    <xf numFmtId="0" fontId="37" fillId="4" borderId="0" xfId="0" applyFont="1" applyFill="1" applyAlignment="1">
      <alignment horizontal="left"/>
    </xf>
    <xf numFmtId="14" fontId="69" fillId="20" borderId="13" xfId="0" applyNumberFormat="1" applyFont="1" applyFill="1" applyBorder="1" applyAlignment="1">
      <alignment horizontal="center"/>
    </xf>
    <xf numFmtId="14" fontId="69" fillId="20" borderId="37" xfId="0" applyNumberFormat="1" applyFont="1" applyFill="1" applyBorder="1" applyAlignment="1">
      <alignment horizontal="center"/>
    </xf>
    <xf numFmtId="14" fontId="69" fillId="20" borderId="38" xfId="0" applyNumberFormat="1" applyFont="1" applyFill="1" applyBorder="1" applyAlignment="1">
      <alignment horizontal="center"/>
    </xf>
    <xf numFmtId="14" fontId="69" fillId="20" borderId="2" xfId="0" applyNumberFormat="1" applyFont="1" applyFill="1" applyBorder="1" applyAlignment="1">
      <alignment horizontal="center"/>
    </xf>
    <xf numFmtId="0" fontId="69" fillId="20" borderId="2" xfId="0" applyFont="1" applyFill="1" applyBorder="1" applyAlignment="1">
      <alignment horizontal="center"/>
    </xf>
    <xf numFmtId="0" fontId="0" fillId="0" borderId="0" xfId="0" applyNumberFormat="1"/>
    <xf numFmtId="0" fontId="0" fillId="0" borderId="0" xfId="0" applyNumberFormat="1" applyAlignment="1">
      <alignment vertical="center" wrapText="1"/>
    </xf>
    <xf numFmtId="0" fontId="37" fillId="0" borderId="0" xfId="0" pivotButton="1" applyFont="1" applyBorder="1" applyAlignment="1">
      <alignment horizontal="center" vertical="center" wrapText="1"/>
    </xf>
    <xf numFmtId="0" fontId="37" fillId="0" borderId="0" xfId="0" applyNumberFormat="1" applyFont="1" applyAlignment="1">
      <alignment vertical="center" wrapText="1"/>
    </xf>
    <xf numFmtId="0" fontId="0" fillId="0" borderId="2" xfId="0" applyNumberFormat="1" applyBorder="1"/>
    <xf numFmtId="0" fontId="55" fillId="12" borderId="2" xfId="0" applyNumberFormat="1" applyFont="1" applyFill="1" applyBorder="1"/>
    <xf numFmtId="14" fontId="0" fillId="0" borderId="0" xfId="0" applyNumberFormat="1" applyFill="1" applyAlignment="1">
      <alignment horizontal="center"/>
    </xf>
    <xf numFmtId="0" fontId="0" fillId="0" borderId="0" xfId="0" applyFill="1"/>
  </cellXfs>
  <cellStyles count="57">
    <cellStyle name="Hipervínculo" xfId="12" builtinId="8"/>
    <cellStyle name="Hipervínculo 2" xfId="13" xr:uid="{00000000-0005-0000-0000-000001000000}"/>
    <cellStyle name="Hipervínculo 3" xfId="20" xr:uid="{00000000-0005-0000-0000-000002000000}"/>
    <cellStyle name="Hipervínculo 4" xfId="55" xr:uid="{BB7CAE95-A477-41DB-A564-C04A94E2480D}"/>
    <cellStyle name="Millares 2" xfId="5" xr:uid="{00000000-0005-0000-0000-000003000000}"/>
    <cellStyle name="Moneda" xfId="14" builtinId="4"/>
    <cellStyle name="Normal" xfId="0" builtinId="0"/>
    <cellStyle name="Normal 10" xfId="28" xr:uid="{00000000-0005-0000-0000-000006000000}"/>
    <cellStyle name="Normal 11" xfId="32" xr:uid="{00000000-0005-0000-0000-000007000000}"/>
    <cellStyle name="Normal 12" xfId="33" xr:uid="{00000000-0005-0000-0000-000008000000}"/>
    <cellStyle name="Normal 13" xfId="34" xr:uid="{00000000-0005-0000-0000-000009000000}"/>
    <cellStyle name="Normal 14" xfId="17" xr:uid="{00000000-0005-0000-0000-00000A000000}"/>
    <cellStyle name="Normal 15" xfId="41" xr:uid="{578FF138-EB87-4EC8-8852-D8BE7D4028CF}"/>
    <cellStyle name="Normal 16" xfId="45" xr:uid="{2E5DA1F0-0271-4FE6-8337-0AEF7BC8AD38}"/>
    <cellStyle name="Normal 17" xfId="48" xr:uid="{8B0B3CB1-8AC5-4BC7-88FE-AAB74D330551}"/>
    <cellStyle name="Normal 18" xfId="52" xr:uid="{B6326303-BDBD-4CD1-85C3-8B75348D9FD1}"/>
    <cellStyle name="Normal 19" xfId="54" xr:uid="{81823B96-2F33-474F-8946-DC1ADB02F9F7}"/>
    <cellStyle name="Normal 2" xfId="1" xr:uid="{00000000-0005-0000-0000-00000B000000}"/>
    <cellStyle name="Normal 2 2" xfId="8" xr:uid="{00000000-0005-0000-0000-00000C000000}"/>
    <cellStyle name="Normal 2 3" xfId="18" xr:uid="{00000000-0005-0000-0000-00000D000000}"/>
    <cellStyle name="Normal 3" xfId="2" xr:uid="{00000000-0005-0000-0000-00000E000000}"/>
    <cellStyle name="Normal 3 10" xfId="30" xr:uid="{00000000-0005-0000-0000-00000F000000}"/>
    <cellStyle name="Normal 3 11" xfId="31" xr:uid="{00000000-0005-0000-0000-000010000000}"/>
    <cellStyle name="Normal 3 12" xfId="35" xr:uid="{00000000-0005-0000-0000-000011000000}"/>
    <cellStyle name="Normal 3 13" xfId="38" xr:uid="{A492E791-322A-4C4E-B20D-209BEE0962AC}"/>
    <cellStyle name="Normal 3 14" xfId="39" xr:uid="{8EBF5946-AF37-413A-9B8F-9154E342A195}"/>
    <cellStyle name="Normal 3 15" xfId="40" xr:uid="{8ED86F27-6F63-42B6-A487-0CCC2655D645}"/>
    <cellStyle name="Normal 3 16" xfId="43" xr:uid="{040AB5C1-766F-4612-9A93-57F017E007A2}"/>
    <cellStyle name="Normal 3 17" xfId="44" xr:uid="{1B04122E-7303-46A1-9508-66B1DECDE336}"/>
    <cellStyle name="Normal 3 18" xfId="46" xr:uid="{7C318A87-AED1-4BDD-8234-81362D27153F}"/>
    <cellStyle name="Normal 3 19" xfId="47" xr:uid="{7F446B43-5749-4E28-A5F9-0E9476067A8A}"/>
    <cellStyle name="Normal 3 2" xfId="4" xr:uid="{00000000-0005-0000-0000-000012000000}"/>
    <cellStyle name="Normal 3 2 2" xfId="37" xr:uid="{00000000-0005-0000-0000-000013000000}"/>
    <cellStyle name="Normal 3 20" xfId="49" xr:uid="{8D789086-44F2-4579-AEF2-4EFCC6757A0F}"/>
    <cellStyle name="Normal 3 21" xfId="50" xr:uid="{557B66D6-8DF2-4297-A5FC-8C6603E2A284}"/>
    <cellStyle name="Normal 3 22" xfId="51" xr:uid="{C163072E-EA1D-4B96-BD63-68CCEFFA1290}"/>
    <cellStyle name="Normal 3 23" xfId="53" xr:uid="{F7649D7D-3ACC-47A0-AC36-23D2904C8DAD}"/>
    <cellStyle name="Normal 3 24" xfId="56" xr:uid="{EC72A1A5-E933-496B-813E-6D284206AF34}"/>
    <cellStyle name="Normal 3 3" xfId="7" xr:uid="{00000000-0005-0000-0000-000014000000}"/>
    <cellStyle name="Normal 3 4" xfId="10" xr:uid="{00000000-0005-0000-0000-000015000000}"/>
    <cellStyle name="Normal 3 5" xfId="11" xr:uid="{00000000-0005-0000-0000-000016000000}"/>
    <cellStyle name="Normal 3 6" xfId="21" xr:uid="{00000000-0005-0000-0000-000017000000}"/>
    <cellStyle name="Normal 3 7" xfId="24" xr:uid="{00000000-0005-0000-0000-000018000000}"/>
    <cellStyle name="Normal 3 8" xfId="27" xr:uid="{00000000-0005-0000-0000-000019000000}"/>
    <cellStyle name="Normal 3 9" xfId="29" xr:uid="{00000000-0005-0000-0000-00001A000000}"/>
    <cellStyle name="Normal 4" xfId="3" xr:uid="{00000000-0005-0000-0000-00001B000000}"/>
    <cellStyle name="Normal 4 2" xfId="22" xr:uid="{00000000-0005-0000-0000-00001C000000}"/>
    <cellStyle name="Normal 5" xfId="6" xr:uid="{00000000-0005-0000-0000-00001D000000}"/>
    <cellStyle name="Normal 5 2" xfId="36" xr:uid="{00000000-0005-0000-0000-00001E000000}"/>
    <cellStyle name="Normal 5 3" xfId="42" xr:uid="{9A17FD9C-6E21-4024-965C-D322EC5C153F}"/>
    <cellStyle name="Normal 6" xfId="9" xr:uid="{00000000-0005-0000-0000-00001F000000}"/>
    <cellStyle name="Normal 7" xfId="16" xr:uid="{00000000-0005-0000-0000-000020000000}"/>
    <cellStyle name="Normal 7 2" xfId="25" xr:uid="{00000000-0005-0000-0000-000021000000}"/>
    <cellStyle name="Normal 8" xfId="23" xr:uid="{00000000-0005-0000-0000-000022000000}"/>
    <cellStyle name="Normal 9" xfId="26" xr:uid="{00000000-0005-0000-0000-000023000000}"/>
    <cellStyle name="Normal 9 2" xfId="19" xr:uid="{00000000-0005-0000-0000-000024000000}"/>
    <cellStyle name="Porcentaje" xfId="15" builtinId="5"/>
  </cellStyles>
  <dxfs count="1796">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right/>
        <top/>
        <bottom/>
        <horizontal/>
      </border>
    </dxf>
    <dxf>
      <alignment horizontal="left" readingOrder="0"/>
    </dxf>
    <dxf>
      <border>
        <left/>
        <bottom/>
      </border>
    </dxf>
    <dxf>
      <border>
        <left/>
        <bottom/>
      </border>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val="0"/>
      </font>
    </dxf>
    <dxf>
      <font>
        <b/>
      </font>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19" formatCode="dd/mm/yyyy"/>
    </dxf>
    <dxf>
      <numFmt numFmtId="19" formatCode="dd/mm/yyyy"/>
    </dxf>
    <dxf>
      <alignment wrapText="1"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vertical="center"/>
    </dxf>
    <dxf>
      <alignment horizontal="center"/>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horizontal="center"/>
    </dxf>
    <dxf>
      <numFmt numFmtId="171" formatCode="hh:mm:ss\ AM/PM"/>
    </dxf>
    <dxf>
      <numFmt numFmtId="171" formatCode="hh:mm:ss\ AM/PM"/>
    </dxf>
    <dxf>
      <numFmt numFmtId="171" formatCode="hh:mm:ss\ AM/PM"/>
    </dxf>
    <dxf>
      <numFmt numFmtId="19" formatCode="dd/mm/yyyy"/>
    </dxf>
    <dxf>
      <numFmt numFmtId="19" formatCode="dd/mm/yyyy"/>
    </dxf>
    <dxf>
      <numFmt numFmtId="19" formatCode="dd/mm/yyyy"/>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8" tint="-0.249977111117893"/>
        </patternFill>
      </fill>
    </dxf>
    <dxf>
      <fill>
        <patternFill patternType="solid">
          <bgColor theme="8" tint="-0.249977111117893"/>
        </patternFill>
      </fill>
    </dxf>
    <dxf>
      <fill>
        <patternFill patternType="solid">
          <bgColor theme="8" tint="-0.249977111117893"/>
        </patternFill>
      </fill>
    </dxf>
    <dxf>
      <fill>
        <patternFill>
          <bgColor theme="8" tint="-0.499984740745262"/>
        </patternFill>
      </fill>
    </dxf>
    <dxf>
      <fill>
        <patternFill>
          <bgColor theme="8" tint="-0.499984740745262"/>
        </patternFill>
      </fill>
    </dxf>
    <dxf>
      <fill>
        <patternFill>
          <bgColor theme="8" tint="-0.499984740745262"/>
        </patternFill>
      </fill>
    </dxf>
    <dxf>
      <font>
        <color theme="0"/>
      </font>
    </dxf>
    <dxf>
      <font>
        <color theme="0"/>
      </font>
    </dxf>
    <dxf>
      <font>
        <color theme="0"/>
      </font>
    </dxf>
    <dxf>
      <alignment horizontal="center" readingOrder="0"/>
    </dxf>
    <dxf>
      <alignment horizontal="center" readingOrder="0"/>
    </dxf>
    <dxf>
      <alignment wrapText="1" readingOrder="0"/>
    </dxf>
    <dxf>
      <alignment vertical="center" readingOrder="0"/>
    </dxf>
    <dxf>
      <alignment vertical="center" readingOrder="0"/>
    </dxf>
    <dxf>
      <alignment wrapText="1" readingOrder="0"/>
    </dxf>
    <dxf>
      <alignment wrapText="1" readingOrder="0"/>
    </dxf>
    <dxf>
      <alignment wrapText="0" readingOrder="0"/>
    </dxf>
    <dxf>
      <alignment wrapText="0" readingOrder="0"/>
    </dxf>
    <dxf>
      <alignment wrapText="1" readingOrder="0"/>
    </dxf>
    <dxf>
      <alignment wrapText="1" readingOrder="0"/>
    </dxf>
    <dxf>
      <font>
        <sz val="12"/>
      </font>
    </dxf>
    <dxf>
      <font>
        <sz val="12"/>
      </font>
    </dxf>
    <dxf>
      <font>
        <sz val="12"/>
      </font>
    </dxf>
    <dxf>
      <font>
        <sz val="12"/>
      </font>
    </dxf>
    <dxf>
      <alignment wrapText="1"/>
    </dxf>
    <dxf>
      <alignment horizontal="center"/>
    </dxf>
    <dxf>
      <alignment vertical="center"/>
    </dxf>
    <dxf>
      <numFmt numFmtId="34" formatCode="_-&quot;$&quot;* #,##0.00_-;\-&quot;$&quot;* #,##0.00_-;_-&quot;$&quot;*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8" tint="-0.249977111117893"/>
        </patternFill>
      </fill>
    </dxf>
    <dxf>
      <fill>
        <patternFill patternType="solid">
          <bgColor theme="8" tint="-0.249977111117893"/>
        </patternFill>
      </fill>
    </dxf>
    <dxf>
      <fill>
        <patternFill patternType="solid">
          <bgColor theme="8" tint="-0.249977111117893"/>
        </patternFill>
      </fill>
    </dxf>
    <dxf>
      <fill>
        <patternFill>
          <bgColor theme="8" tint="-0.499984740745262"/>
        </patternFill>
      </fill>
    </dxf>
    <dxf>
      <fill>
        <patternFill>
          <bgColor theme="8" tint="-0.499984740745262"/>
        </patternFill>
      </fill>
    </dxf>
    <dxf>
      <fill>
        <patternFill>
          <bgColor theme="8" tint="-0.499984740745262"/>
        </patternFill>
      </fill>
    </dxf>
    <dxf>
      <font>
        <color theme="0"/>
      </font>
    </dxf>
    <dxf>
      <font>
        <color theme="0"/>
      </font>
    </dxf>
    <dxf>
      <font>
        <color theme="0"/>
      </font>
    </dxf>
    <dxf>
      <alignment horizontal="center" readingOrder="0"/>
    </dxf>
    <dxf>
      <alignment wrapText="1" readingOrder="0"/>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fill>
        <patternFill>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right/>
        <top/>
        <bottom/>
        <horizontal/>
      </border>
    </dxf>
    <dxf>
      <alignment horizontal="left" readingOrder="0"/>
    </dxf>
    <dxf>
      <border>
        <left/>
        <bottom/>
      </border>
    </dxf>
    <dxf>
      <border>
        <left/>
        <bottom/>
      </border>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val="0"/>
      </font>
    </dxf>
    <dxf>
      <font>
        <b/>
      </font>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19" formatCode="dd/mm/yyyy"/>
    </dxf>
    <dxf>
      <numFmt numFmtId="19" formatCode="dd/mm/yyyy"/>
    </dxf>
    <dxf>
      <alignment wrapText="1"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vertical="center"/>
    </dxf>
    <dxf>
      <alignment horizontal="center"/>
    </dxf>
    <dxf>
      <alignment wrapText="1"/>
    </dxf>
    <dxf>
      <alignment wrapText="1"/>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right/>
        <top/>
        <bottom/>
        <horizontal/>
      </border>
    </dxf>
    <dxf>
      <alignment horizontal="left" readingOrder="0"/>
    </dxf>
    <dxf>
      <border>
        <left/>
        <bottom/>
      </border>
    </dxf>
    <dxf>
      <border>
        <left/>
        <bottom/>
      </border>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val="0"/>
      </font>
    </dxf>
    <dxf>
      <font>
        <b/>
      </font>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19" formatCode="dd/mm/yyyy"/>
    </dxf>
    <dxf>
      <numFmt numFmtId="19" formatCode="dd/mm/yyyy"/>
    </dxf>
    <dxf>
      <alignment wrapText="1"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vertical="center"/>
    </dxf>
    <dxf>
      <alignment horizontal="center"/>
    </dxf>
    <dxf>
      <alignment wrapText="1"/>
    </dxf>
    <dxf>
      <alignment wrapText="1"/>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numFmt numFmtId="171" formatCode="hh:mm:ss\ AM/PM"/>
    </dxf>
    <dxf>
      <numFmt numFmtId="171" formatCode="hh:mm:ss\ AM/PM"/>
    </dxf>
    <dxf>
      <numFmt numFmtId="171" formatCode="hh:mm:ss\ AM/PM"/>
    </dxf>
    <dxf>
      <alignment horizont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4" formatCode="_-&quot;$&quot;* #,##0.00_-;\-&quot;$&quot;* #,##0.00_-;_-&quot;$&quot;* &quot;-&quot;??_-;_-@_-"/>
    </dxf>
    <dxf>
      <font>
        <b val="0"/>
        <i val="0"/>
        <strike val="0"/>
        <condense val="0"/>
        <extend val="0"/>
        <outline val="0"/>
        <shadow val="0"/>
        <u val="none"/>
        <vertAlign val="baseline"/>
        <sz val="11"/>
        <color rgb="FF000000"/>
        <name val="Calibri"/>
        <family val="2"/>
        <scheme val="none"/>
      </font>
    </dxf>
    <dxf>
      <font>
        <b val="0"/>
        <i val="0"/>
        <strike val="0"/>
        <condense val="0"/>
        <extend val="0"/>
        <outline val="0"/>
        <shadow val="0"/>
        <u val="none"/>
        <vertAlign val="baseline"/>
        <sz val="11"/>
        <color rgb="FF000000"/>
        <name val="Calibri"/>
        <family val="2"/>
        <scheme val="none"/>
      </font>
    </dxf>
    <dxf>
      <font>
        <b val="0"/>
        <i val="0"/>
        <strike val="0"/>
        <condense val="0"/>
        <extend val="0"/>
        <outline val="0"/>
        <shadow val="0"/>
        <u val="none"/>
        <vertAlign val="baseline"/>
        <sz val="11"/>
        <color rgb="FF000000"/>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Light"/>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Light"/>
        <family val="2"/>
        <scheme val="none"/>
      </font>
      <alignment horizontal="left" vertical="center" textRotation="0" wrapText="0" indent="0" justifyLastLine="0" shrinkToFit="0" readingOrder="0"/>
    </dxf>
    <dxf>
      <font>
        <b/>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alignment wrapText="1"/>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numFmt numFmtId="19" formatCode="dd/mm/yyyy"/>
    </dxf>
    <dxf>
      <numFmt numFmtId="19" formatCode="dd/mm/yyyy"/>
    </dxf>
    <dxf>
      <numFmt numFmtId="19" formatCode="dd/mm/yyyy"/>
    </dxf>
    <dxf>
      <font>
        <sz val="12"/>
      </font>
    </dxf>
    <dxf>
      <font>
        <sz val="12"/>
      </font>
    </dxf>
    <dxf>
      <font>
        <sz val="12"/>
      </font>
    </dxf>
    <dxf>
      <font>
        <sz val="12"/>
      </font>
    </dxf>
    <dxf>
      <alignment wrapText="1" readingOrder="0"/>
    </dxf>
    <dxf>
      <alignment wrapText="1" readingOrder="0"/>
    </dxf>
    <dxf>
      <alignment wrapText="0" readingOrder="0"/>
    </dxf>
    <dxf>
      <alignment wrapText="0" readingOrder="0"/>
    </dxf>
    <dxf>
      <alignment wrapText="1" readingOrder="0"/>
    </dxf>
    <dxf>
      <alignment wrapText="1" readingOrder="0"/>
    </dxf>
    <dxf>
      <alignment vertical="center" readingOrder="0"/>
    </dxf>
    <dxf>
      <alignment vertical="center" readingOrder="0"/>
    </dxf>
    <dxf>
      <alignment wrapText="1" readingOrder="0"/>
    </dxf>
    <dxf>
      <alignment horizontal="center" readingOrder="0"/>
    </dxf>
    <dxf>
      <alignment horizontal="center" readingOrder="0"/>
    </dxf>
    <dxf>
      <font>
        <color theme="0"/>
      </font>
    </dxf>
    <dxf>
      <font>
        <color theme="0"/>
      </font>
    </dxf>
    <dxf>
      <font>
        <color theme="0"/>
      </font>
    </dxf>
    <dxf>
      <fill>
        <patternFill>
          <bgColor theme="8" tint="-0.499984740745262"/>
        </patternFill>
      </fill>
    </dxf>
    <dxf>
      <fill>
        <patternFill>
          <bgColor theme="8" tint="-0.499984740745262"/>
        </patternFill>
      </fill>
    </dxf>
    <dxf>
      <fill>
        <patternFill>
          <bgColor theme="8" tint="-0.499984740745262"/>
        </patternFill>
      </fill>
    </dxf>
    <dxf>
      <fill>
        <patternFill patternType="solid">
          <bgColor theme="8" tint="-0.249977111117893"/>
        </patternFill>
      </fill>
    </dxf>
    <dxf>
      <fill>
        <patternFill patternType="solid">
          <bgColor theme="8" tint="-0.249977111117893"/>
        </patternFill>
      </fill>
    </dxf>
    <dxf>
      <fill>
        <patternFill patternType="solid">
          <bgColor theme="8" tint="-0.249977111117893"/>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4" formatCode="_-&quot;$&quot;* #,##0.00_-;\-&quot;$&quot;* #,##0.00_-;_-&quot;$&quot;* &quot;-&quot;??_-;_-@_-"/>
    </dxf>
    <dxf>
      <alignment vertical="center"/>
    </dxf>
    <dxf>
      <alignment horizontal="center"/>
    </dxf>
    <dxf>
      <alignment wrapText="1"/>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alignment wrapText="1" readingOrder="0"/>
    </dxf>
    <dxf>
      <alignment horizontal="center" readingOrder="0"/>
    </dxf>
    <dxf>
      <font>
        <color theme="0"/>
      </font>
    </dxf>
    <dxf>
      <font>
        <color theme="0"/>
      </font>
    </dxf>
    <dxf>
      <font>
        <color theme="0"/>
      </font>
    </dxf>
    <dxf>
      <fill>
        <patternFill>
          <bgColor theme="8" tint="-0.499984740745262"/>
        </patternFill>
      </fill>
    </dxf>
    <dxf>
      <fill>
        <patternFill>
          <bgColor theme="8" tint="-0.499984740745262"/>
        </patternFill>
      </fill>
    </dxf>
    <dxf>
      <fill>
        <patternFill>
          <bgColor theme="8" tint="-0.499984740745262"/>
        </patternFill>
      </fill>
    </dxf>
    <dxf>
      <fill>
        <patternFill patternType="solid">
          <bgColor theme="8" tint="-0.249977111117893"/>
        </patternFill>
      </fill>
    </dxf>
    <dxf>
      <fill>
        <patternFill patternType="solid">
          <bgColor theme="8" tint="-0.249977111117893"/>
        </patternFill>
      </fill>
    </dxf>
    <dxf>
      <fill>
        <patternFill patternType="solid">
          <bgColor theme="8" tint="-0.249977111117893"/>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bgColor auto="1"/>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34" formatCode="_-&quot;$&quot;* #,##0.00_-;\-&quot;$&quot;* #,##0.00_-;_-&quot;$&quot;*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0" formatCode="General"/>
      <fill>
        <patternFill patternType="solid">
          <fgColor rgb="FFFFFFFF"/>
          <bgColor rgb="FFFFFFFF"/>
        </patternFill>
      </fill>
      <alignment horizontal="center" vertical="bottom" textRotation="0" wrapText="1" indent="0" justifyLastLine="0" shrinkToFit="0" readingOrder="0"/>
    </dxf>
    <dxf>
      <font>
        <b val="0"/>
        <i val="0"/>
        <strike val="0"/>
        <condense val="0"/>
        <extend val="0"/>
        <outline val="0"/>
        <shadow val="0"/>
        <u val="none"/>
        <vertAlign val="baseline"/>
        <sz val="11"/>
        <color rgb="FF000000"/>
        <name val="Calibri"/>
        <scheme val="none"/>
      </font>
      <fill>
        <patternFill patternType="solid">
          <fgColor rgb="FFFFFFFF"/>
          <bgColor rgb="FFFFFFFF"/>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numFmt numFmtId="0" formatCode="Genera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numFmt numFmtId="0" formatCode="Genera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ertAlign val="baseline"/>
        <sz val="11"/>
        <color rgb="FF0563C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fill>
        <patternFill patternType="solid">
          <fgColor rgb="FFFFFFFF"/>
          <bgColor rgb="FFFFFFFF"/>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Calibri"/>
        <family val="2"/>
        <scheme val="none"/>
      </font>
      <numFmt numFmtId="166" formatCode="h:mm:ss;@"/>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Calibri"/>
        <family val="2"/>
        <scheme val="none"/>
      </font>
      <numFmt numFmtId="19" formatCode="dd/mm/yyyy"/>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rgb="FF000000"/>
        <name val="Calibri"/>
        <family val="2"/>
        <scheme val="none"/>
      </font>
      <numFmt numFmtId="166" formatCode="h:mm:ss;@"/>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rgb="FF000000"/>
        <name val="Calibri"/>
        <family val="2"/>
        <scheme val="none"/>
      </font>
      <numFmt numFmtId="19" formatCode="dd/mm/yyyy"/>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rgb="FF000000"/>
        <name val="Calibri"/>
        <scheme val="none"/>
      </font>
      <fill>
        <patternFill patternType="solid">
          <fgColor rgb="FFFFFFFF"/>
          <bgColor rgb="FFFFFFFF"/>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fill>
        <patternFill patternType="solid">
          <fgColor rgb="FFFFFFFF"/>
          <bgColor rgb="FFFFFFFF"/>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000000"/>
        </top>
      </border>
    </dxf>
    <dxf>
      <font>
        <b/>
        <i val="0"/>
        <strike val="0"/>
        <condense val="0"/>
        <extend val="0"/>
        <outline val="0"/>
        <shadow val="0"/>
        <u val="none"/>
        <vertAlign val="baseline"/>
        <sz val="12"/>
        <color rgb="FFFFFFFF"/>
        <name val="Calibri"/>
        <scheme val="none"/>
      </font>
      <fill>
        <patternFill patternType="solid">
          <fgColor rgb="FF5B9BD5"/>
          <bgColor rgb="FF5B9BD5"/>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dxf>
    <dxf>
      <alignment wrapText="1"/>
    </dxf>
    <dxf>
      <alignment horizontal="center"/>
    </dxf>
    <dxf>
      <alignment vertical="center"/>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1" readingOrder="0"/>
    </dxf>
    <dxf>
      <numFmt numFmtId="19" formatCode="dd/mm/yyyy"/>
    </dxf>
    <dxf>
      <numFmt numFmtId="19" formatCode="dd/mm/yyyy"/>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font>
        <b/>
      </font>
    </dxf>
    <dxf>
      <font>
        <b val="0"/>
      </font>
    </dxf>
    <dxf>
      <font>
        <b/>
      </font>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border>
        <left/>
        <bottom/>
      </border>
    </dxf>
    <dxf>
      <border>
        <left/>
        <bottom/>
      </border>
    </dxf>
    <dxf>
      <alignment horizontal="left" readingOrder="0"/>
    </dxf>
    <dxf>
      <border>
        <left/>
        <right/>
        <top/>
        <bottom/>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[Solo para Reportes Detallado Ene - Ago.xlsx]HorasXPerfil!TablaDinámica1</c:name>
    <c:fmtId val="0"/>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MX"/>
              <a:t>Horas por</a:t>
            </a:r>
            <a:r>
              <a:rPr lang="es-MX" baseline="0"/>
              <a:t> perfil</a:t>
            </a:r>
            <a:endParaRPr lang="es-MX"/>
          </a:p>
        </c:rich>
      </c:tx>
      <c:layout>
        <c:manualLayout>
          <c:xMode val="edge"/>
          <c:yMode val="edge"/>
          <c:x val="0.44018889913494297"/>
          <c:y val="7.203266258384369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autoTitleDeleted val="0"/>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8274509138085416"/>
          <c:y val="0.25041229221347333"/>
          <c:w val="0.42432344265931771"/>
          <c:h val="0.64218832020997374"/>
        </c:manualLayout>
      </c:layout>
      <c:barChart>
        <c:barDir val="bar"/>
        <c:grouping val="clustered"/>
        <c:varyColors val="0"/>
        <c:ser>
          <c:idx val="0"/>
          <c:order val="0"/>
          <c:tx>
            <c:strRef>
              <c:f>HorasXPerfil!$B$5</c:f>
              <c:strCache>
                <c:ptCount val="1"/>
                <c:pt idx="0">
                  <c:v>Servicios por perfil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HorasXPerfil!$A$6:$A$7</c:f>
              <c:strCache>
                <c:ptCount val="1"/>
                <c:pt idx="0">
                  <c:v>(en blanco)</c:v>
                </c:pt>
              </c:strCache>
            </c:strRef>
          </c:cat>
          <c:val>
            <c:numRef>
              <c:f>HorasXPerfil!$B$6:$B$7</c:f>
              <c:numCache>
                <c:formatCode>General</c:formatCode>
                <c:ptCount val="1"/>
              </c:numCache>
            </c:numRef>
          </c:val>
          <c:extLst>
            <c:ext xmlns:c16="http://schemas.microsoft.com/office/drawing/2014/chart" uri="{C3380CC4-5D6E-409C-BE32-E72D297353CC}">
              <c16:uniqueId val="{00000000-E48C-47D1-96CB-60EC9E97762E}"/>
            </c:ext>
          </c:extLst>
        </c:ser>
        <c:ser>
          <c:idx val="1"/>
          <c:order val="1"/>
          <c:tx>
            <c:strRef>
              <c:f>HorasXPerfil!$C$5</c:f>
              <c:strCache>
                <c:ptCount val="1"/>
                <c:pt idx="0">
                  <c:v>Horas por perfil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HorasXPerfil!$A$6:$A$7</c:f>
              <c:strCache>
                <c:ptCount val="1"/>
                <c:pt idx="0">
                  <c:v>(en blanco)</c:v>
                </c:pt>
              </c:strCache>
            </c:strRef>
          </c:cat>
          <c:val>
            <c:numRef>
              <c:f>HorasXPerfil!$C$6:$C$7</c:f>
              <c:numCache>
                <c:formatCode>General</c:formatCode>
                <c:ptCount val="1"/>
              </c:numCache>
            </c:numRef>
          </c:val>
          <c:extLst>
            <c:ext xmlns:c16="http://schemas.microsoft.com/office/drawing/2014/chart" uri="{C3380CC4-5D6E-409C-BE32-E72D297353CC}">
              <c16:uniqueId val="{00000001-E48C-47D1-96CB-60EC9E97762E}"/>
            </c:ext>
          </c:extLst>
        </c:ser>
        <c:dLbls>
          <c:showLegendKey val="0"/>
          <c:showVal val="0"/>
          <c:showCatName val="0"/>
          <c:showSerName val="0"/>
          <c:showPercent val="0"/>
          <c:showBubbleSize val="0"/>
        </c:dLbls>
        <c:gapWidth val="115"/>
        <c:overlap val="-20"/>
        <c:axId val="173485088"/>
        <c:axId val="173486336"/>
      </c:barChart>
      <c:catAx>
        <c:axId val="1734850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73486336"/>
        <c:crosses val="autoZero"/>
        <c:auto val="1"/>
        <c:lblAlgn val="ctr"/>
        <c:lblOffset val="100"/>
        <c:noMultiLvlLbl val="0"/>
      </c:catAx>
      <c:valAx>
        <c:axId val="1734863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73485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[Solo para Reportes Detallado Ene - Ago.xlsx]Servicios!TablaDinámica9</c:name>
    <c:fmtId val="7"/>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Clasificación de Servicios Ejecutados</a:t>
            </a:r>
            <a:r>
              <a:rPr lang="en-US" baseline="0"/>
              <a:t> a Aplicaciones</a:t>
            </a:r>
            <a:endParaRPr lang="en-U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MX"/>
        </a:p>
      </c:txPr>
    </c:title>
    <c:autoTitleDeleted val="0"/>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0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0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0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0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0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0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0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0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0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0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barChart>
        <c:barDir val="bar"/>
        <c:grouping val="clustered"/>
        <c:varyColors val="0"/>
        <c:ser>
          <c:idx val="0"/>
          <c:order val="0"/>
          <c:tx>
            <c:strRef>
              <c:f>Servicios!$B$5</c:f>
              <c:strCache>
                <c:ptCount val="1"/>
                <c:pt idx="0">
                  <c:v># Servicios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1-2779-46F8-B1FF-FA8F20B15924}"/>
              </c:ext>
            </c:extLst>
          </c:dPt>
          <c:dPt>
            <c:idx val="1"/>
            <c:invertIfNegative val="0"/>
            <c:bubble3D val="0"/>
            <c:extLst>
              <c:ext xmlns:c16="http://schemas.microsoft.com/office/drawing/2014/chart" uri="{C3380CC4-5D6E-409C-BE32-E72D297353CC}">
                <c16:uniqueId val="{00000003-2779-46F8-B1FF-FA8F20B15924}"/>
              </c:ext>
            </c:extLst>
          </c:dPt>
          <c:dPt>
            <c:idx val="2"/>
            <c:invertIfNegative val="0"/>
            <c:bubble3D val="0"/>
            <c:extLst>
              <c:ext xmlns:c16="http://schemas.microsoft.com/office/drawing/2014/chart" uri="{C3380CC4-5D6E-409C-BE32-E72D297353CC}">
                <c16:uniqueId val="{00000005-2779-46F8-B1FF-FA8F20B15924}"/>
              </c:ext>
            </c:extLst>
          </c:dPt>
          <c:dPt>
            <c:idx val="3"/>
            <c:invertIfNegative val="0"/>
            <c:bubble3D val="0"/>
            <c:extLst>
              <c:ext xmlns:c16="http://schemas.microsoft.com/office/drawing/2014/chart" uri="{C3380CC4-5D6E-409C-BE32-E72D297353CC}">
                <c16:uniqueId val="{00000007-2779-46F8-B1FF-FA8F20B15924}"/>
              </c:ext>
            </c:extLst>
          </c:dPt>
          <c:dPt>
            <c:idx val="4"/>
            <c:invertIfNegative val="0"/>
            <c:bubble3D val="0"/>
            <c:extLst>
              <c:ext xmlns:c16="http://schemas.microsoft.com/office/drawing/2014/chart" uri="{C3380CC4-5D6E-409C-BE32-E72D297353CC}">
                <c16:uniqueId val="{00000009-2779-46F8-B1FF-FA8F20B15924}"/>
              </c:ext>
            </c:extLst>
          </c:dPt>
          <c:dPt>
            <c:idx val="5"/>
            <c:invertIfNegative val="0"/>
            <c:bubble3D val="0"/>
            <c:extLst>
              <c:ext xmlns:c16="http://schemas.microsoft.com/office/drawing/2014/chart" uri="{C3380CC4-5D6E-409C-BE32-E72D297353CC}">
                <c16:uniqueId val="{0000000B-2779-46F8-B1FF-FA8F20B15924}"/>
              </c:ext>
            </c:extLst>
          </c:dPt>
          <c:dPt>
            <c:idx val="6"/>
            <c:invertIfNegative val="0"/>
            <c:bubble3D val="0"/>
            <c:extLst>
              <c:ext xmlns:c16="http://schemas.microsoft.com/office/drawing/2014/chart" uri="{C3380CC4-5D6E-409C-BE32-E72D297353CC}">
                <c16:uniqueId val="{0000000D-2779-46F8-B1FF-FA8F20B15924}"/>
              </c:ext>
            </c:extLst>
          </c:dPt>
          <c:dPt>
            <c:idx val="7"/>
            <c:invertIfNegative val="0"/>
            <c:bubble3D val="0"/>
            <c:extLst>
              <c:ext xmlns:c16="http://schemas.microsoft.com/office/drawing/2014/chart" uri="{C3380CC4-5D6E-409C-BE32-E72D297353CC}">
                <c16:uniqueId val="{0000000F-2779-46F8-B1FF-FA8F20B15924}"/>
              </c:ext>
            </c:extLst>
          </c:dPt>
          <c:dPt>
            <c:idx val="8"/>
            <c:invertIfNegative val="0"/>
            <c:bubble3D val="0"/>
            <c:extLst>
              <c:ext xmlns:c16="http://schemas.microsoft.com/office/drawing/2014/chart" uri="{C3380CC4-5D6E-409C-BE32-E72D297353CC}">
                <c16:uniqueId val="{00000011-2779-46F8-B1FF-FA8F20B15924}"/>
              </c:ext>
            </c:extLst>
          </c:dPt>
          <c:dPt>
            <c:idx val="9"/>
            <c:invertIfNegative val="0"/>
            <c:bubble3D val="0"/>
            <c:extLst>
              <c:ext xmlns:c16="http://schemas.microsoft.com/office/drawing/2014/chart" uri="{C3380CC4-5D6E-409C-BE32-E72D297353CC}">
                <c16:uniqueId val="{00000013-2779-46F8-B1FF-FA8F20B15924}"/>
              </c:ext>
            </c:extLst>
          </c:dPt>
          <c:dPt>
            <c:idx val="10"/>
            <c:invertIfNegative val="0"/>
            <c:bubble3D val="0"/>
            <c:extLst>
              <c:ext xmlns:c16="http://schemas.microsoft.com/office/drawing/2014/chart" uri="{C3380CC4-5D6E-409C-BE32-E72D297353CC}">
                <c16:uniqueId val="{00000015-2779-46F8-B1FF-FA8F20B15924}"/>
              </c:ext>
            </c:extLst>
          </c:dPt>
          <c:dPt>
            <c:idx val="11"/>
            <c:invertIfNegative val="0"/>
            <c:bubble3D val="0"/>
            <c:extLst>
              <c:ext xmlns:c16="http://schemas.microsoft.com/office/drawing/2014/chart" uri="{C3380CC4-5D6E-409C-BE32-E72D297353CC}">
                <c16:uniqueId val="{00000017-2779-46F8-B1FF-FA8F20B15924}"/>
              </c:ext>
            </c:extLst>
          </c:dPt>
          <c:dPt>
            <c:idx val="12"/>
            <c:invertIfNegative val="0"/>
            <c:bubble3D val="0"/>
            <c:extLst>
              <c:ext xmlns:c16="http://schemas.microsoft.com/office/drawing/2014/chart" uri="{C3380CC4-5D6E-409C-BE32-E72D297353CC}">
                <c16:uniqueId val="{00000019-2779-46F8-B1FF-FA8F20B15924}"/>
              </c:ext>
            </c:extLst>
          </c:dPt>
          <c:dPt>
            <c:idx val="13"/>
            <c:invertIfNegative val="0"/>
            <c:bubble3D val="0"/>
            <c:extLst>
              <c:ext xmlns:c16="http://schemas.microsoft.com/office/drawing/2014/chart" uri="{C3380CC4-5D6E-409C-BE32-E72D297353CC}">
                <c16:uniqueId val="{0000001B-2779-46F8-B1FF-FA8F20B15924}"/>
              </c:ext>
            </c:extLst>
          </c:dPt>
          <c:dPt>
            <c:idx val="14"/>
            <c:invertIfNegative val="0"/>
            <c:bubble3D val="0"/>
            <c:extLst>
              <c:ext xmlns:c16="http://schemas.microsoft.com/office/drawing/2014/chart" uri="{C3380CC4-5D6E-409C-BE32-E72D297353CC}">
                <c16:uniqueId val="{0000001D-2779-46F8-B1FF-FA8F20B15924}"/>
              </c:ext>
            </c:extLst>
          </c:dPt>
          <c:dPt>
            <c:idx val="15"/>
            <c:invertIfNegative val="0"/>
            <c:bubble3D val="0"/>
            <c:extLst>
              <c:ext xmlns:c16="http://schemas.microsoft.com/office/drawing/2014/chart" uri="{C3380CC4-5D6E-409C-BE32-E72D297353CC}">
                <c16:uniqueId val="{0000001F-2779-46F8-B1FF-FA8F20B15924}"/>
              </c:ext>
            </c:extLst>
          </c:dPt>
          <c:dPt>
            <c:idx val="16"/>
            <c:invertIfNegative val="0"/>
            <c:bubble3D val="0"/>
            <c:extLst>
              <c:ext xmlns:c16="http://schemas.microsoft.com/office/drawing/2014/chart" uri="{C3380CC4-5D6E-409C-BE32-E72D297353CC}">
                <c16:uniqueId val="{00000021-35A1-44BE-8544-B8970795017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Servicios!$A$6:$A$13</c:f>
              <c:strCache>
                <c:ptCount val="7"/>
                <c:pt idx="0">
                  <c:v>PNT</c:v>
                </c:pt>
                <c:pt idx="1">
                  <c:v>PIZARRAS</c:v>
                </c:pt>
                <c:pt idx="2">
                  <c:v>APP MOVIL</c:v>
                </c:pt>
                <c:pt idx="3">
                  <c:v>Soportes</c:v>
                </c:pt>
                <c:pt idx="4">
                  <c:v>SIGEMI-SICOM</c:v>
                </c:pt>
                <c:pt idx="5">
                  <c:v>Buscador</c:v>
                </c:pt>
                <c:pt idx="6">
                  <c:v>Buscador Inteligente</c:v>
                </c:pt>
              </c:strCache>
            </c:strRef>
          </c:cat>
          <c:val>
            <c:numRef>
              <c:f>Servicios!$B$6:$B$13</c:f>
              <c:numCache>
                <c:formatCode>General</c:formatCode>
                <c:ptCount val="7"/>
                <c:pt idx="0">
                  <c:v>15</c:v>
                </c:pt>
                <c:pt idx="1">
                  <c:v>20</c:v>
                </c:pt>
                <c:pt idx="2">
                  <c:v>36</c:v>
                </c:pt>
                <c:pt idx="3">
                  <c:v>53</c:v>
                </c:pt>
                <c:pt idx="4">
                  <c:v>20</c:v>
                </c:pt>
                <c:pt idx="5">
                  <c:v>25</c:v>
                </c:pt>
                <c:pt idx="6">
                  <c:v>32</c:v>
                </c:pt>
              </c:numCache>
            </c:numRef>
          </c:val>
          <c:extLst>
            <c:ext xmlns:c16="http://schemas.microsoft.com/office/drawing/2014/chart" uri="{C3380CC4-5D6E-409C-BE32-E72D297353CC}">
              <c16:uniqueId val="{00000000-1B46-4FCB-8BD6-7C81B5945315}"/>
            </c:ext>
          </c:extLst>
        </c:ser>
        <c:ser>
          <c:idx val="1"/>
          <c:order val="1"/>
          <c:tx>
            <c:strRef>
              <c:f>Servicios!$C$5</c:f>
              <c:strCache>
                <c:ptCount val="1"/>
                <c:pt idx="0">
                  <c:v>Horas Consumidas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21-2779-46F8-B1FF-FA8F20B15924}"/>
              </c:ext>
            </c:extLst>
          </c:dPt>
          <c:dPt>
            <c:idx val="1"/>
            <c:invertIfNegative val="0"/>
            <c:bubble3D val="0"/>
            <c:extLst>
              <c:ext xmlns:c16="http://schemas.microsoft.com/office/drawing/2014/chart" uri="{C3380CC4-5D6E-409C-BE32-E72D297353CC}">
                <c16:uniqueId val="{00000023-2779-46F8-B1FF-FA8F20B15924}"/>
              </c:ext>
            </c:extLst>
          </c:dPt>
          <c:dPt>
            <c:idx val="2"/>
            <c:invertIfNegative val="0"/>
            <c:bubble3D val="0"/>
            <c:extLst>
              <c:ext xmlns:c16="http://schemas.microsoft.com/office/drawing/2014/chart" uri="{C3380CC4-5D6E-409C-BE32-E72D297353CC}">
                <c16:uniqueId val="{00000025-2779-46F8-B1FF-FA8F20B15924}"/>
              </c:ext>
            </c:extLst>
          </c:dPt>
          <c:dPt>
            <c:idx val="3"/>
            <c:invertIfNegative val="0"/>
            <c:bubble3D val="0"/>
            <c:extLst>
              <c:ext xmlns:c16="http://schemas.microsoft.com/office/drawing/2014/chart" uri="{C3380CC4-5D6E-409C-BE32-E72D297353CC}">
                <c16:uniqueId val="{00000027-2779-46F8-B1FF-FA8F20B15924}"/>
              </c:ext>
            </c:extLst>
          </c:dPt>
          <c:dPt>
            <c:idx val="4"/>
            <c:invertIfNegative val="0"/>
            <c:bubble3D val="0"/>
            <c:extLst>
              <c:ext xmlns:c16="http://schemas.microsoft.com/office/drawing/2014/chart" uri="{C3380CC4-5D6E-409C-BE32-E72D297353CC}">
                <c16:uniqueId val="{00000029-2779-46F8-B1FF-FA8F20B15924}"/>
              </c:ext>
            </c:extLst>
          </c:dPt>
          <c:dPt>
            <c:idx val="5"/>
            <c:invertIfNegative val="0"/>
            <c:bubble3D val="0"/>
            <c:extLst>
              <c:ext xmlns:c16="http://schemas.microsoft.com/office/drawing/2014/chart" uri="{C3380CC4-5D6E-409C-BE32-E72D297353CC}">
                <c16:uniqueId val="{0000002B-2779-46F8-B1FF-FA8F20B15924}"/>
              </c:ext>
            </c:extLst>
          </c:dPt>
          <c:dPt>
            <c:idx val="6"/>
            <c:invertIfNegative val="0"/>
            <c:bubble3D val="0"/>
            <c:extLst>
              <c:ext xmlns:c16="http://schemas.microsoft.com/office/drawing/2014/chart" uri="{C3380CC4-5D6E-409C-BE32-E72D297353CC}">
                <c16:uniqueId val="{0000002D-2779-46F8-B1FF-FA8F20B15924}"/>
              </c:ext>
            </c:extLst>
          </c:dPt>
          <c:dPt>
            <c:idx val="7"/>
            <c:invertIfNegative val="0"/>
            <c:bubble3D val="0"/>
            <c:extLst>
              <c:ext xmlns:c16="http://schemas.microsoft.com/office/drawing/2014/chart" uri="{C3380CC4-5D6E-409C-BE32-E72D297353CC}">
                <c16:uniqueId val="{0000002F-2779-46F8-B1FF-FA8F20B15924}"/>
              </c:ext>
            </c:extLst>
          </c:dPt>
          <c:dPt>
            <c:idx val="8"/>
            <c:invertIfNegative val="0"/>
            <c:bubble3D val="0"/>
            <c:extLst>
              <c:ext xmlns:c16="http://schemas.microsoft.com/office/drawing/2014/chart" uri="{C3380CC4-5D6E-409C-BE32-E72D297353CC}">
                <c16:uniqueId val="{00000031-2779-46F8-B1FF-FA8F20B15924}"/>
              </c:ext>
            </c:extLst>
          </c:dPt>
          <c:dPt>
            <c:idx val="9"/>
            <c:invertIfNegative val="0"/>
            <c:bubble3D val="0"/>
            <c:extLst>
              <c:ext xmlns:c16="http://schemas.microsoft.com/office/drawing/2014/chart" uri="{C3380CC4-5D6E-409C-BE32-E72D297353CC}">
                <c16:uniqueId val="{00000033-2779-46F8-B1FF-FA8F20B15924}"/>
              </c:ext>
            </c:extLst>
          </c:dPt>
          <c:dPt>
            <c:idx val="10"/>
            <c:invertIfNegative val="0"/>
            <c:bubble3D val="0"/>
            <c:extLst>
              <c:ext xmlns:c16="http://schemas.microsoft.com/office/drawing/2014/chart" uri="{C3380CC4-5D6E-409C-BE32-E72D297353CC}">
                <c16:uniqueId val="{00000035-2779-46F8-B1FF-FA8F20B15924}"/>
              </c:ext>
            </c:extLst>
          </c:dPt>
          <c:dPt>
            <c:idx val="11"/>
            <c:invertIfNegative val="0"/>
            <c:bubble3D val="0"/>
            <c:extLst>
              <c:ext xmlns:c16="http://schemas.microsoft.com/office/drawing/2014/chart" uri="{C3380CC4-5D6E-409C-BE32-E72D297353CC}">
                <c16:uniqueId val="{00000037-2779-46F8-B1FF-FA8F20B15924}"/>
              </c:ext>
            </c:extLst>
          </c:dPt>
          <c:dPt>
            <c:idx val="12"/>
            <c:invertIfNegative val="0"/>
            <c:bubble3D val="0"/>
            <c:extLst>
              <c:ext xmlns:c16="http://schemas.microsoft.com/office/drawing/2014/chart" uri="{C3380CC4-5D6E-409C-BE32-E72D297353CC}">
                <c16:uniqueId val="{00000039-2779-46F8-B1FF-FA8F20B15924}"/>
              </c:ext>
            </c:extLst>
          </c:dPt>
          <c:dPt>
            <c:idx val="13"/>
            <c:invertIfNegative val="0"/>
            <c:bubble3D val="0"/>
            <c:extLst>
              <c:ext xmlns:c16="http://schemas.microsoft.com/office/drawing/2014/chart" uri="{C3380CC4-5D6E-409C-BE32-E72D297353CC}">
                <c16:uniqueId val="{0000003B-2779-46F8-B1FF-FA8F20B15924}"/>
              </c:ext>
            </c:extLst>
          </c:dPt>
          <c:dPt>
            <c:idx val="14"/>
            <c:invertIfNegative val="0"/>
            <c:bubble3D val="0"/>
            <c:extLst>
              <c:ext xmlns:c16="http://schemas.microsoft.com/office/drawing/2014/chart" uri="{C3380CC4-5D6E-409C-BE32-E72D297353CC}">
                <c16:uniqueId val="{0000003D-2779-46F8-B1FF-FA8F20B15924}"/>
              </c:ext>
            </c:extLst>
          </c:dPt>
          <c:dPt>
            <c:idx val="15"/>
            <c:invertIfNegative val="0"/>
            <c:bubble3D val="0"/>
            <c:extLst>
              <c:ext xmlns:c16="http://schemas.microsoft.com/office/drawing/2014/chart" uri="{C3380CC4-5D6E-409C-BE32-E72D297353CC}">
                <c16:uniqueId val="{0000003F-2779-46F8-B1FF-FA8F20B15924}"/>
              </c:ext>
            </c:extLst>
          </c:dPt>
          <c:dPt>
            <c:idx val="16"/>
            <c:invertIfNegative val="0"/>
            <c:bubble3D val="0"/>
            <c:extLst>
              <c:ext xmlns:c16="http://schemas.microsoft.com/office/drawing/2014/chart" uri="{C3380CC4-5D6E-409C-BE32-E72D297353CC}">
                <c16:uniqueId val="{00000043-35A1-44BE-8544-B89707950170}"/>
              </c:ext>
            </c:extLst>
          </c:dPt>
          <c:cat>
            <c:strRef>
              <c:f>Servicios!$A$6:$A$13</c:f>
              <c:strCache>
                <c:ptCount val="7"/>
                <c:pt idx="0">
                  <c:v>PNT</c:v>
                </c:pt>
                <c:pt idx="1">
                  <c:v>PIZARRAS</c:v>
                </c:pt>
                <c:pt idx="2">
                  <c:v>APP MOVIL</c:v>
                </c:pt>
                <c:pt idx="3">
                  <c:v>Soportes</c:v>
                </c:pt>
                <c:pt idx="4">
                  <c:v>SIGEMI-SICOM</c:v>
                </c:pt>
                <c:pt idx="5">
                  <c:v>Buscador</c:v>
                </c:pt>
                <c:pt idx="6">
                  <c:v>Buscador Inteligente</c:v>
                </c:pt>
              </c:strCache>
            </c:strRef>
          </c:cat>
          <c:val>
            <c:numRef>
              <c:f>Servicios!$C$6:$C$13</c:f>
              <c:numCache>
                <c:formatCode>General</c:formatCode>
                <c:ptCount val="7"/>
                <c:pt idx="0">
                  <c:v>120</c:v>
                </c:pt>
                <c:pt idx="1">
                  <c:v>119</c:v>
                </c:pt>
                <c:pt idx="2">
                  <c:v>120</c:v>
                </c:pt>
                <c:pt idx="3">
                  <c:v>160</c:v>
                </c:pt>
                <c:pt idx="4">
                  <c:v>160</c:v>
                </c:pt>
                <c:pt idx="5">
                  <c:v>136</c:v>
                </c:pt>
                <c:pt idx="6">
                  <c:v>245</c:v>
                </c:pt>
              </c:numCache>
            </c:numRef>
          </c:val>
          <c:extLst>
            <c:ext xmlns:c16="http://schemas.microsoft.com/office/drawing/2014/chart" uri="{C3380CC4-5D6E-409C-BE32-E72D297353CC}">
              <c16:uniqueId val="{00000001-1B46-4FCB-8BD6-7C81B5945315}"/>
            </c:ext>
          </c:extLst>
        </c:ser>
        <c:dLbls>
          <c:showLegendKey val="0"/>
          <c:showVal val="0"/>
          <c:showCatName val="0"/>
          <c:showSerName val="0"/>
          <c:showPercent val="0"/>
          <c:showBubbleSize val="0"/>
        </c:dLbls>
        <c:gapWidth val="100"/>
        <c:axId val="1544570176"/>
        <c:axId val="1544559360"/>
      </c:barChart>
      <c:valAx>
        <c:axId val="1544559360"/>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crossAx val="1544570176"/>
        <c:crosses val="autoZero"/>
        <c:crossBetween val="between"/>
      </c:valAx>
      <c:catAx>
        <c:axId val="1544570176"/>
        <c:scaling>
          <c:orientation val="minMax"/>
        </c:scaling>
        <c:delete val="0"/>
        <c:axPos val="l"/>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crossAx val="154455936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[Solo para Reportes Detallado Ene - Ago.xlsx]HorasXárea!TablaDinámica1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Distribución</a:t>
            </a:r>
            <a:r>
              <a:rPr lang="es-MX" baseline="0"/>
              <a:t> de horas por área</a:t>
            </a:r>
            <a:endParaRPr lang="es-MX"/>
          </a:p>
        </c:rich>
      </c:tx>
      <c:layout>
        <c:manualLayout>
          <c:xMode val="edge"/>
          <c:yMode val="edge"/>
          <c:x val="0.38479659285363843"/>
          <c:y val="5.72112030300009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pivotFmt>
      <c:pivotFmt>
        <c:idx val="57"/>
        <c:spPr>
          <a:solidFill>
            <a:schemeClr val="accent1"/>
          </a:solidFill>
          <a:ln>
            <a:noFill/>
          </a:ln>
          <a:effectLst/>
        </c:spPr>
        <c:marker>
          <c:symbol val="none"/>
        </c:marker>
      </c:pivotFmt>
      <c:pivotFmt>
        <c:idx val="58"/>
        <c:spPr>
          <a:solidFill>
            <a:schemeClr val="accent1"/>
          </a:solidFill>
          <a:ln>
            <a:noFill/>
          </a:ln>
          <a:effectLst/>
        </c:spPr>
        <c:marker>
          <c:symbol val="none"/>
        </c:marker>
      </c:pivotFmt>
      <c:pivotFmt>
        <c:idx val="59"/>
        <c:spPr>
          <a:solidFill>
            <a:schemeClr val="accent1"/>
          </a:solidFill>
          <a:ln>
            <a:noFill/>
          </a:ln>
          <a:effectLst/>
        </c:spPr>
        <c:marker>
          <c:symbol val="none"/>
        </c:marker>
      </c:pivotFmt>
      <c:pivotFmt>
        <c:idx val="60"/>
        <c:spPr>
          <a:solidFill>
            <a:schemeClr val="accent1"/>
          </a:solidFill>
          <a:ln>
            <a:noFill/>
          </a:ln>
          <a:effectLst/>
        </c:spPr>
        <c:marker>
          <c:symbol val="none"/>
        </c:marker>
      </c:pivotFmt>
      <c:pivotFmt>
        <c:idx val="61"/>
        <c:spPr>
          <a:solidFill>
            <a:schemeClr val="accent1"/>
          </a:solidFill>
          <a:ln>
            <a:noFill/>
          </a:ln>
          <a:effectLst/>
        </c:spPr>
        <c:marker>
          <c:symbol val="none"/>
        </c:marker>
      </c:pivotFmt>
      <c:pivotFmt>
        <c:idx val="62"/>
        <c:spPr>
          <a:solidFill>
            <a:schemeClr val="accent1"/>
          </a:solidFill>
          <a:ln>
            <a:noFill/>
          </a:ln>
          <a:effectLst/>
        </c:spPr>
        <c:marker>
          <c:symbol val="none"/>
        </c:marker>
      </c:pivotFmt>
      <c:pivotFmt>
        <c:idx val="63"/>
        <c:spPr>
          <a:solidFill>
            <a:schemeClr val="accent1"/>
          </a:solidFill>
          <a:ln>
            <a:noFill/>
          </a:ln>
          <a:effectLst/>
        </c:spPr>
        <c:marker>
          <c:symbol val="none"/>
        </c:marker>
      </c:pivotFmt>
      <c:pivotFmt>
        <c:idx val="64"/>
        <c:spPr>
          <a:solidFill>
            <a:schemeClr val="accent1"/>
          </a:solidFill>
          <a:ln>
            <a:noFill/>
          </a:ln>
          <a:effectLst/>
        </c:spPr>
        <c:marker>
          <c:symbol val="none"/>
        </c:marker>
      </c:pivotFmt>
      <c:pivotFmt>
        <c:idx val="65"/>
        <c:spPr>
          <a:solidFill>
            <a:schemeClr val="accent1"/>
          </a:solidFill>
          <a:ln>
            <a:noFill/>
          </a:ln>
          <a:effectLst/>
        </c:spPr>
        <c:marker>
          <c:symbol val="none"/>
        </c:marker>
      </c:pivotFmt>
      <c:pivotFmt>
        <c:idx val="66"/>
        <c:spPr>
          <a:solidFill>
            <a:schemeClr val="accent1"/>
          </a:solidFill>
          <a:ln>
            <a:noFill/>
          </a:ln>
          <a:effectLst/>
        </c:spPr>
        <c:marker>
          <c:symbol val="none"/>
        </c:marker>
      </c:pivotFmt>
      <c:pivotFmt>
        <c:idx val="67"/>
        <c:spPr>
          <a:solidFill>
            <a:schemeClr val="accent1"/>
          </a:solidFill>
          <a:ln>
            <a:noFill/>
          </a:ln>
          <a:effectLst/>
        </c:spPr>
        <c:marker>
          <c:symbol val="none"/>
        </c:marker>
      </c:pivotFmt>
      <c:pivotFmt>
        <c:idx val="68"/>
        <c:spPr>
          <a:solidFill>
            <a:schemeClr val="accent1"/>
          </a:solidFill>
          <a:ln>
            <a:noFill/>
          </a:ln>
          <a:effectLst/>
        </c:spPr>
        <c:marker>
          <c:symbol val="none"/>
        </c:marker>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7745042899709215E-2"/>
          <c:y val="0.19261204691185757"/>
          <c:w val="0.74244935949597324"/>
          <c:h val="0.48699591348549792"/>
        </c:manualLayout>
      </c:layout>
      <c:barChart>
        <c:barDir val="col"/>
        <c:grouping val="stacked"/>
        <c:varyColors val="0"/>
        <c:ser>
          <c:idx val="0"/>
          <c:order val="0"/>
          <c:tx>
            <c:strRef>
              <c:f>HorasXárea!$B$4:$B$5</c:f>
              <c:strCache>
                <c:ptCount val="1"/>
                <c:pt idx="0">
                  <c:v>SAI</c:v>
                </c:pt>
              </c:strCache>
            </c:strRef>
          </c:tx>
          <c:spPr>
            <a:solidFill>
              <a:schemeClr val="accent1"/>
            </a:solidFill>
            <a:ln>
              <a:noFill/>
            </a:ln>
            <a:effectLst/>
          </c:spPr>
          <c:invertIfNegative val="0"/>
          <c:cat>
            <c:strRef>
              <c:f>HorasXárea!$A$6:$A$14</c:f>
              <c:strCache>
                <c:ptCount val="8"/>
                <c:pt idx="0">
                  <c:v>Yara Luz Villalana Morales</c:v>
                </c:pt>
                <c:pt idx="1">
                  <c:v>Felix Omar Sotelo Flores</c:v>
                </c:pt>
                <c:pt idx="2">
                  <c:v>Angel Eustacio Medina Ferretiz</c:v>
                </c:pt>
                <c:pt idx="3">
                  <c:v>Gabriela Itzel Medrano Carrasco</c:v>
                </c:pt>
                <c:pt idx="4">
                  <c:v>Noé Domínguez Aldana</c:v>
                </c:pt>
                <c:pt idx="5">
                  <c:v>Rubén Adrián Vázquez Calzada</c:v>
                </c:pt>
                <c:pt idx="6">
                  <c:v>Stephany Gabriela Juarez Sanchez</c:v>
                </c:pt>
                <c:pt idx="7">
                  <c:v>Juan Gabriel Romero Ramirez</c:v>
                </c:pt>
              </c:strCache>
            </c:strRef>
          </c:cat>
          <c:val>
            <c:numRef>
              <c:f>HorasXárea!$B$6:$B$14</c:f>
              <c:numCache>
                <c:formatCode>General</c:formatCode>
                <c:ptCount val="8"/>
                <c:pt idx="3">
                  <c:v>40</c:v>
                </c:pt>
                <c:pt idx="5">
                  <c:v>160</c:v>
                </c:pt>
                <c:pt idx="6">
                  <c:v>79</c:v>
                </c:pt>
              </c:numCache>
            </c:numRef>
          </c:val>
          <c:extLst>
            <c:ext xmlns:c16="http://schemas.microsoft.com/office/drawing/2014/chart" uri="{C3380CC4-5D6E-409C-BE32-E72D297353CC}">
              <c16:uniqueId val="{00000000-1BE6-4DFE-B467-BEA8F57E76E6}"/>
            </c:ext>
          </c:extLst>
        </c:ser>
        <c:ser>
          <c:idx val="1"/>
          <c:order val="1"/>
          <c:tx>
            <c:strRef>
              <c:f>HorasXárea!$C$4:$C$5</c:f>
              <c:strCache>
                <c:ptCount val="1"/>
                <c:pt idx="0">
                  <c:v>SAW</c:v>
                </c:pt>
              </c:strCache>
            </c:strRef>
          </c:tx>
          <c:spPr>
            <a:solidFill>
              <a:schemeClr val="accent2"/>
            </a:solidFill>
            <a:ln>
              <a:noFill/>
            </a:ln>
            <a:effectLst/>
          </c:spPr>
          <c:invertIfNegative val="0"/>
          <c:cat>
            <c:strRef>
              <c:f>HorasXárea!$A$6:$A$14</c:f>
              <c:strCache>
                <c:ptCount val="8"/>
                <c:pt idx="0">
                  <c:v>Yara Luz Villalana Morales</c:v>
                </c:pt>
                <c:pt idx="1">
                  <c:v>Felix Omar Sotelo Flores</c:v>
                </c:pt>
                <c:pt idx="2">
                  <c:v>Angel Eustacio Medina Ferretiz</c:v>
                </c:pt>
                <c:pt idx="3">
                  <c:v>Gabriela Itzel Medrano Carrasco</c:v>
                </c:pt>
                <c:pt idx="4">
                  <c:v>Noé Domínguez Aldana</c:v>
                </c:pt>
                <c:pt idx="5">
                  <c:v>Rubén Adrián Vázquez Calzada</c:v>
                </c:pt>
                <c:pt idx="6">
                  <c:v>Stephany Gabriela Juarez Sanchez</c:v>
                </c:pt>
                <c:pt idx="7">
                  <c:v>Juan Gabriel Romero Ramirez</c:v>
                </c:pt>
              </c:strCache>
            </c:strRef>
          </c:cat>
          <c:val>
            <c:numRef>
              <c:f>HorasXárea!$C$6:$C$14</c:f>
              <c:numCache>
                <c:formatCode>General</c:formatCode>
                <c:ptCount val="8"/>
                <c:pt idx="0">
                  <c:v>160</c:v>
                </c:pt>
              </c:numCache>
            </c:numRef>
          </c:val>
          <c:extLst>
            <c:ext xmlns:c16="http://schemas.microsoft.com/office/drawing/2014/chart" uri="{C3380CC4-5D6E-409C-BE32-E72D297353CC}">
              <c16:uniqueId val="{00000001-CF7C-48F3-BF3E-3B37DFF8CAB4}"/>
            </c:ext>
          </c:extLst>
        </c:ser>
        <c:ser>
          <c:idx val="2"/>
          <c:order val="2"/>
          <c:tx>
            <c:strRef>
              <c:f>HorasXárea!$D$4:$D$5</c:f>
              <c:strCache>
                <c:ptCount val="1"/>
                <c:pt idx="0">
                  <c:v>DS</c:v>
                </c:pt>
              </c:strCache>
            </c:strRef>
          </c:tx>
          <c:spPr>
            <a:solidFill>
              <a:schemeClr val="accent3"/>
            </a:solidFill>
            <a:ln>
              <a:noFill/>
            </a:ln>
            <a:effectLst/>
          </c:spPr>
          <c:invertIfNegative val="0"/>
          <c:cat>
            <c:strRef>
              <c:f>HorasXárea!$A$6:$A$14</c:f>
              <c:strCache>
                <c:ptCount val="8"/>
                <c:pt idx="0">
                  <c:v>Yara Luz Villalana Morales</c:v>
                </c:pt>
                <c:pt idx="1">
                  <c:v>Felix Omar Sotelo Flores</c:v>
                </c:pt>
                <c:pt idx="2">
                  <c:v>Angel Eustacio Medina Ferretiz</c:v>
                </c:pt>
                <c:pt idx="3">
                  <c:v>Gabriela Itzel Medrano Carrasco</c:v>
                </c:pt>
                <c:pt idx="4">
                  <c:v>Noé Domínguez Aldana</c:v>
                </c:pt>
                <c:pt idx="5">
                  <c:v>Rubén Adrián Vázquez Calzada</c:v>
                </c:pt>
                <c:pt idx="6">
                  <c:v>Stephany Gabriela Juarez Sanchez</c:v>
                </c:pt>
                <c:pt idx="7">
                  <c:v>Juan Gabriel Romero Ramirez</c:v>
                </c:pt>
              </c:strCache>
            </c:strRef>
          </c:cat>
          <c:val>
            <c:numRef>
              <c:f>HorasXárea!$D$6:$D$14</c:f>
              <c:numCache>
                <c:formatCode>General</c:formatCode>
                <c:ptCount val="8"/>
                <c:pt idx="1">
                  <c:v>131</c:v>
                </c:pt>
                <c:pt idx="7">
                  <c:v>114</c:v>
                </c:pt>
              </c:numCache>
            </c:numRef>
          </c:val>
          <c:extLst>
            <c:ext xmlns:c16="http://schemas.microsoft.com/office/drawing/2014/chart" uri="{C3380CC4-5D6E-409C-BE32-E72D297353CC}">
              <c16:uniqueId val="{00000002-CF7C-48F3-BF3E-3B37DFF8CAB4}"/>
            </c:ext>
          </c:extLst>
        </c:ser>
        <c:ser>
          <c:idx val="3"/>
          <c:order val="3"/>
          <c:tx>
            <c:strRef>
              <c:f>HorasXárea!$E$4:$E$5</c:f>
              <c:strCache>
                <c:ptCount val="1"/>
                <c:pt idx="0">
                  <c:v>SPD</c:v>
                </c:pt>
              </c:strCache>
            </c:strRef>
          </c:tx>
          <c:spPr>
            <a:solidFill>
              <a:schemeClr val="accent4"/>
            </a:solidFill>
            <a:ln>
              <a:noFill/>
            </a:ln>
            <a:effectLst/>
          </c:spPr>
          <c:invertIfNegative val="0"/>
          <c:cat>
            <c:strRef>
              <c:f>HorasXárea!$A$6:$A$14</c:f>
              <c:strCache>
                <c:ptCount val="8"/>
                <c:pt idx="0">
                  <c:v>Yara Luz Villalana Morales</c:v>
                </c:pt>
                <c:pt idx="1">
                  <c:v>Felix Omar Sotelo Flores</c:v>
                </c:pt>
                <c:pt idx="2">
                  <c:v>Angel Eustacio Medina Ferretiz</c:v>
                </c:pt>
                <c:pt idx="3">
                  <c:v>Gabriela Itzel Medrano Carrasco</c:v>
                </c:pt>
                <c:pt idx="4">
                  <c:v>Noé Domínguez Aldana</c:v>
                </c:pt>
                <c:pt idx="5">
                  <c:v>Rubén Adrián Vázquez Calzada</c:v>
                </c:pt>
                <c:pt idx="6">
                  <c:v>Stephany Gabriela Juarez Sanchez</c:v>
                </c:pt>
                <c:pt idx="7">
                  <c:v>Juan Gabriel Romero Ramirez</c:v>
                </c:pt>
              </c:strCache>
            </c:strRef>
          </c:cat>
          <c:val>
            <c:numRef>
              <c:f>HorasXárea!$E$6:$E$14</c:f>
              <c:numCache>
                <c:formatCode>General</c:formatCode>
                <c:ptCount val="8"/>
                <c:pt idx="2">
                  <c:v>120</c:v>
                </c:pt>
                <c:pt idx="3">
                  <c:v>120</c:v>
                </c:pt>
                <c:pt idx="4">
                  <c:v>136</c:v>
                </c:pt>
              </c:numCache>
            </c:numRef>
          </c:val>
          <c:extLst>
            <c:ext xmlns:c16="http://schemas.microsoft.com/office/drawing/2014/chart" uri="{C3380CC4-5D6E-409C-BE32-E72D297353CC}">
              <c16:uniqueId val="{00000001-84A0-4279-A3BE-037ABBA18FDA}"/>
            </c:ext>
          </c:extLst>
        </c:ser>
        <c:dLbls>
          <c:showLegendKey val="0"/>
          <c:showVal val="0"/>
          <c:showCatName val="0"/>
          <c:showSerName val="0"/>
          <c:showPercent val="0"/>
          <c:showBubbleSize val="0"/>
        </c:dLbls>
        <c:gapWidth val="55"/>
        <c:overlap val="100"/>
        <c:axId val="2031694047"/>
        <c:axId val="2031693215"/>
      </c:barChart>
      <c:catAx>
        <c:axId val="20316940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031693215"/>
        <c:crosses val="autoZero"/>
        <c:auto val="1"/>
        <c:lblAlgn val="ctr"/>
        <c:lblOffset val="100"/>
        <c:noMultiLvlLbl val="0"/>
      </c:catAx>
      <c:valAx>
        <c:axId val="20316932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0316940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[Solo para Reportes Detallado Ene - Ago.xlsx]REP_EJE_INAI!TablaDinámica6</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200"/>
              <a:t>CLASIFICACIÓN</a:t>
            </a:r>
            <a:r>
              <a:rPr lang="es-MX" sz="1200" baseline="0"/>
              <a:t> DE SERVICIOS EJECUTADOS A APLICACIONES</a:t>
            </a:r>
            <a:endParaRPr lang="es-MX" sz="1200"/>
          </a:p>
        </c:rich>
      </c:tx>
      <c:overlay val="0"/>
      <c:spPr>
        <a:noFill/>
        <a:ln>
          <a:noFill/>
        </a:ln>
        <a:effectLst/>
      </c:sp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25400">
            <a:solidFill>
              <a:schemeClr val="lt1"/>
            </a:solidFill>
          </a:ln>
          <a:effectLst/>
          <a:sp3d contourW="25400">
            <a:contourClr>
              <a:schemeClr val="lt1"/>
            </a:contourClr>
          </a:sp3d>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F84994D3-D3E6-4D14-80C4-0E02F795BFA1}" type="PERCENTAGE">
                  <a:rPr lang="en-US"/>
                  <a:pPr>
                    <a:defRPr sz="900" b="0" i="0" u="none" strike="noStrike" kern="1200" baseline="0">
                      <a:solidFill>
                        <a:schemeClr val="tx1">
                          <a:lumMod val="75000"/>
                          <a:lumOff val="25000"/>
                        </a:schemeClr>
                      </a:solidFill>
                      <a:latin typeface="+mn-lt"/>
                      <a:ea typeface="+mn-ea"/>
                      <a:cs typeface="+mn-cs"/>
                    </a:defRPr>
                  </a:pPr>
                  <a:t>[PORCENTAJE]</a:t>
                </a:fld>
                <a:endParaRPr lang="es-MX"/>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Lst>
        </c:dLbl>
      </c:pivotFmt>
      <c:pivotFmt>
        <c:idx val="33"/>
        <c:spPr>
          <a:solidFill>
            <a:schemeClr val="accent2">
              <a:lumMod val="80000"/>
              <a:lumOff val="20000"/>
            </a:schemeClr>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34"/>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1"/>
          <c:showBubbleSize val="0"/>
          <c:extLst>
            <c:ext xmlns:c15="http://schemas.microsoft.com/office/drawing/2012/chart" uri="{CE6537A1-D6FC-4f65-9D91-7224C49458BB}"/>
          </c:extLst>
        </c:dLbl>
      </c:pivotFmt>
      <c:pivotFmt>
        <c:idx val="35"/>
        <c:spPr>
          <a:solidFill>
            <a:schemeClr val="accent2"/>
          </a:solidFill>
          <a:ln w="19050">
            <a:solidFill>
              <a:schemeClr val="lt1"/>
            </a:solidFill>
          </a:ln>
          <a:effectLst/>
        </c:spPr>
      </c:pivotFmt>
      <c:pivotFmt>
        <c:idx val="36"/>
        <c:spPr>
          <a:solidFill>
            <a:schemeClr val="accent3"/>
          </a:solidFill>
          <a:ln w="19050">
            <a:solidFill>
              <a:schemeClr val="lt1"/>
            </a:solidFill>
          </a:ln>
          <a:effectLst/>
        </c:spPr>
      </c:pivotFmt>
      <c:pivotFmt>
        <c:idx val="37"/>
        <c:spPr>
          <a:solidFill>
            <a:schemeClr val="accent4"/>
          </a:solidFill>
          <a:ln w="19050">
            <a:solidFill>
              <a:schemeClr val="lt1"/>
            </a:solidFill>
          </a:ln>
          <a:effectLst/>
        </c:spPr>
      </c:pivotFmt>
      <c:pivotFmt>
        <c:idx val="38"/>
        <c:spPr>
          <a:solidFill>
            <a:schemeClr val="accent5"/>
          </a:solidFill>
          <a:ln w="19050">
            <a:solidFill>
              <a:schemeClr val="lt1"/>
            </a:solidFill>
          </a:ln>
          <a:effectLst/>
        </c:spPr>
      </c:pivotFmt>
      <c:pivotFmt>
        <c:idx val="39"/>
        <c:spPr>
          <a:solidFill>
            <a:schemeClr val="accent6"/>
          </a:solidFill>
          <a:ln w="19050">
            <a:solidFill>
              <a:schemeClr val="lt1"/>
            </a:solidFill>
          </a:ln>
          <a:effectLst/>
        </c:spPr>
      </c:pivotFmt>
      <c:pivotFmt>
        <c:idx val="40"/>
        <c:spPr>
          <a:solidFill>
            <a:schemeClr val="accent1">
              <a:lumMod val="60000"/>
            </a:schemeClr>
          </a:solidFill>
          <a:ln w="19050">
            <a:solidFill>
              <a:schemeClr val="lt1"/>
            </a:solidFill>
          </a:ln>
          <a:effectLst/>
        </c:spPr>
      </c:pivotFmt>
      <c:pivotFmt>
        <c:idx val="41"/>
        <c:spPr>
          <a:solidFill>
            <a:schemeClr val="accent2">
              <a:lumMod val="60000"/>
            </a:schemeClr>
          </a:solidFill>
          <a:ln w="19050">
            <a:solidFill>
              <a:schemeClr val="lt1"/>
            </a:solidFill>
          </a:ln>
          <a:effectLst/>
        </c:spPr>
      </c:pivotFmt>
      <c:pivotFmt>
        <c:idx val="42"/>
        <c:spPr>
          <a:solidFill>
            <a:schemeClr val="accent3">
              <a:lumMod val="60000"/>
            </a:schemeClr>
          </a:solidFill>
          <a:ln w="19050">
            <a:solidFill>
              <a:schemeClr val="lt1"/>
            </a:solidFill>
          </a:ln>
          <a:effectLst/>
        </c:spPr>
      </c:pivotFmt>
      <c:pivotFmt>
        <c:idx val="43"/>
        <c:spPr>
          <a:solidFill>
            <a:schemeClr val="accent4">
              <a:lumMod val="60000"/>
            </a:schemeClr>
          </a:solidFill>
          <a:ln w="19050">
            <a:solidFill>
              <a:schemeClr val="lt1"/>
            </a:solidFill>
          </a:ln>
          <a:effectLst/>
        </c:spPr>
      </c:pivotFmt>
      <c:pivotFmt>
        <c:idx val="44"/>
        <c:spPr>
          <a:solidFill>
            <a:schemeClr val="accent5">
              <a:lumMod val="60000"/>
            </a:schemeClr>
          </a:solidFill>
          <a:ln w="19050">
            <a:solidFill>
              <a:schemeClr val="lt1"/>
            </a:solidFill>
          </a:ln>
          <a:effectLst/>
        </c:spPr>
      </c:pivotFmt>
      <c:pivotFmt>
        <c:idx val="45"/>
        <c:spPr>
          <a:solidFill>
            <a:schemeClr val="accent6">
              <a:lumMod val="60000"/>
            </a:schemeClr>
          </a:solidFill>
          <a:ln w="19050">
            <a:solidFill>
              <a:schemeClr val="lt1"/>
            </a:solidFill>
          </a:ln>
          <a:effectLst/>
        </c:spPr>
      </c:pivotFmt>
      <c:pivotFmt>
        <c:idx val="46"/>
        <c:spPr>
          <a:solidFill>
            <a:schemeClr val="accent1">
              <a:lumMod val="80000"/>
              <a:lumOff val="20000"/>
            </a:schemeClr>
          </a:solidFill>
          <a:ln w="19050">
            <a:solidFill>
              <a:schemeClr val="lt1"/>
            </a:solidFill>
          </a:ln>
          <a:effectLst/>
        </c:spPr>
      </c:pivotFmt>
      <c:pivotFmt>
        <c:idx val="47"/>
        <c:marker>
          <c:symbol val="none"/>
        </c:marker>
        <c:dLbl>
          <c:idx val="0"/>
          <c:delete val="1"/>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2"/>
          </a:solidFill>
          <a:ln w="19050">
            <a:solidFill>
              <a:schemeClr val="lt1"/>
            </a:solidFill>
          </a:ln>
          <a:effectLst/>
        </c:spPr>
      </c:pivotFmt>
      <c:pivotFmt>
        <c:idx val="50"/>
        <c:spPr>
          <a:solidFill>
            <a:schemeClr val="accent3"/>
          </a:solidFill>
          <a:ln w="19050">
            <a:solidFill>
              <a:schemeClr val="lt1"/>
            </a:solidFill>
          </a:ln>
          <a:effectLst/>
        </c:spPr>
      </c:pivotFmt>
      <c:pivotFmt>
        <c:idx val="51"/>
        <c:spPr>
          <a:solidFill>
            <a:schemeClr val="accent4"/>
          </a:solidFill>
          <a:ln w="19050">
            <a:solidFill>
              <a:schemeClr val="lt1"/>
            </a:solidFill>
          </a:ln>
          <a:effectLst/>
        </c:spPr>
      </c:pivotFmt>
      <c:pivotFmt>
        <c:idx val="52"/>
        <c:spPr>
          <a:solidFill>
            <a:schemeClr val="accent5"/>
          </a:solidFill>
          <a:ln w="19050">
            <a:solidFill>
              <a:schemeClr val="lt1"/>
            </a:solidFill>
          </a:ln>
          <a:effectLst/>
        </c:spPr>
      </c:pivotFmt>
      <c:pivotFmt>
        <c:idx val="53"/>
        <c:spPr>
          <a:solidFill>
            <a:schemeClr val="accent6"/>
          </a:solidFill>
          <a:ln w="19050">
            <a:solidFill>
              <a:schemeClr val="lt1"/>
            </a:solidFill>
          </a:ln>
          <a:effectLst/>
        </c:spPr>
      </c:pivotFmt>
      <c:pivotFmt>
        <c:idx val="54"/>
        <c:spPr>
          <a:solidFill>
            <a:schemeClr val="accent1">
              <a:lumMod val="60000"/>
            </a:schemeClr>
          </a:solidFill>
          <a:ln w="19050">
            <a:solidFill>
              <a:schemeClr val="lt1"/>
            </a:solidFill>
          </a:ln>
          <a:effectLst/>
        </c:spPr>
      </c:pivotFmt>
      <c:pivotFmt>
        <c:idx val="55"/>
        <c:spPr>
          <a:solidFill>
            <a:schemeClr val="accent2">
              <a:lumMod val="60000"/>
            </a:schemeClr>
          </a:solidFill>
          <a:ln w="19050">
            <a:solidFill>
              <a:schemeClr val="lt1"/>
            </a:solidFill>
          </a:ln>
          <a:effectLst/>
        </c:spPr>
      </c:pivotFmt>
      <c:pivotFmt>
        <c:idx val="56"/>
        <c:spPr>
          <a:solidFill>
            <a:schemeClr val="accent3">
              <a:lumMod val="60000"/>
            </a:schemeClr>
          </a:solidFill>
          <a:ln w="19050">
            <a:solidFill>
              <a:schemeClr val="lt1"/>
            </a:solidFill>
          </a:ln>
          <a:effectLst/>
        </c:spPr>
      </c:pivotFmt>
      <c:pivotFmt>
        <c:idx val="57"/>
        <c:spPr>
          <a:solidFill>
            <a:schemeClr val="accent4">
              <a:lumMod val="60000"/>
            </a:schemeClr>
          </a:solidFill>
          <a:ln w="19050">
            <a:solidFill>
              <a:schemeClr val="lt1"/>
            </a:solidFill>
          </a:ln>
          <a:effectLst/>
        </c:spPr>
      </c:pivotFmt>
      <c:pivotFmt>
        <c:idx val="58"/>
        <c:spPr>
          <a:solidFill>
            <a:schemeClr val="accent5">
              <a:lumMod val="60000"/>
            </a:schemeClr>
          </a:solidFill>
          <a:ln w="19050">
            <a:solidFill>
              <a:schemeClr val="lt1"/>
            </a:solidFill>
          </a:ln>
          <a:effectLst/>
        </c:spPr>
      </c:pivotFmt>
      <c:pivotFmt>
        <c:idx val="59"/>
        <c:spPr>
          <a:solidFill>
            <a:schemeClr val="accent6">
              <a:lumMod val="60000"/>
            </a:schemeClr>
          </a:solidFill>
          <a:ln w="19050">
            <a:solidFill>
              <a:schemeClr val="lt1"/>
            </a:solidFill>
          </a:ln>
          <a:effectLst/>
        </c:spPr>
      </c:pivotFmt>
      <c:pivotFmt>
        <c:idx val="60"/>
        <c:spPr>
          <a:solidFill>
            <a:schemeClr val="accent1">
              <a:lumMod val="80000"/>
              <a:lumOff val="20000"/>
            </a:schemeClr>
          </a:solidFill>
          <a:ln w="19050">
            <a:solidFill>
              <a:schemeClr val="lt1"/>
            </a:solidFill>
          </a:ln>
          <a:effectLst/>
        </c:spPr>
      </c:pivotFmt>
      <c:pivotFmt>
        <c:idx val="61"/>
        <c:spPr>
          <a:solidFill>
            <a:schemeClr val="accent2">
              <a:lumMod val="80000"/>
              <a:lumOff val="20000"/>
            </a:schemeClr>
          </a:solidFill>
          <a:ln w="19050">
            <a:solidFill>
              <a:schemeClr val="lt1"/>
            </a:solidFill>
          </a:ln>
          <a:effectLst/>
        </c:spPr>
      </c:pivotFmt>
    </c:pivotFmts>
    <c:plotArea>
      <c:layout>
        <c:manualLayout>
          <c:layoutTarget val="inner"/>
          <c:xMode val="edge"/>
          <c:yMode val="edge"/>
          <c:x val="0.2112730897391728"/>
          <c:y val="0.35827557104632907"/>
          <c:w val="0.32971208211026115"/>
          <c:h val="0.54620977254013114"/>
        </c:manualLayout>
      </c:layout>
      <c:pieChart>
        <c:varyColors val="1"/>
        <c:ser>
          <c:idx val="0"/>
          <c:order val="0"/>
          <c:tx>
            <c:strRef>
              <c:f>REP_EJE_INAI!$C$79</c:f>
              <c:strCache>
                <c:ptCount val="1"/>
                <c:pt idx="0">
                  <c:v># Servicios</c:v>
                </c:pt>
              </c:strCache>
            </c:strRef>
          </c:tx>
          <c:dPt>
            <c:idx val="0"/>
            <c:bubble3D val="0"/>
            <c:extLst>
              <c:ext xmlns:c16="http://schemas.microsoft.com/office/drawing/2014/chart" uri="{C3380CC4-5D6E-409C-BE32-E72D297353CC}">
                <c16:uniqueId val="{00000002-842A-47D4-98A4-738FB915CFA8}"/>
              </c:ext>
            </c:extLst>
          </c:dPt>
          <c:dPt>
            <c:idx val="1"/>
            <c:bubble3D val="0"/>
            <c:extLst>
              <c:ext xmlns:c16="http://schemas.microsoft.com/office/drawing/2014/chart" uri="{C3380CC4-5D6E-409C-BE32-E72D297353CC}">
                <c16:uniqueId val="{00000003-842A-47D4-98A4-738FB915CFA8}"/>
              </c:ext>
            </c:extLst>
          </c:dPt>
          <c:dPt>
            <c:idx val="2"/>
            <c:bubble3D val="0"/>
            <c:extLst>
              <c:ext xmlns:c16="http://schemas.microsoft.com/office/drawing/2014/chart" uri="{C3380CC4-5D6E-409C-BE32-E72D297353CC}">
                <c16:uniqueId val="{00000005-F358-4B3D-98BE-65368F6FD828}"/>
              </c:ext>
            </c:extLst>
          </c:dPt>
          <c:dPt>
            <c:idx val="3"/>
            <c:bubble3D val="0"/>
            <c:extLst>
              <c:ext xmlns:c16="http://schemas.microsoft.com/office/drawing/2014/chart" uri="{C3380CC4-5D6E-409C-BE32-E72D297353CC}">
                <c16:uniqueId val="{00000007-F358-4B3D-98BE-65368F6FD828}"/>
              </c:ext>
            </c:extLst>
          </c:dPt>
          <c:dPt>
            <c:idx val="4"/>
            <c:bubble3D val="0"/>
            <c:extLst>
              <c:ext xmlns:c16="http://schemas.microsoft.com/office/drawing/2014/chart" uri="{C3380CC4-5D6E-409C-BE32-E72D297353CC}">
                <c16:uniqueId val="{00000009-F358-4B3D-98BE-65368F6FD828}"/>
              </c:ext>
            </c:extLst>
          </c:dPt>
          <c:dPt>
            <c:idx val="5"/>
            <c:bubble3D val="0"/>
            <c:extLst>
              <c:ext xmlns:c16="http://schemas.microsoft.com/office/drawing/2014/chart" uri="{C3380CC4-5D6E-409C-BE32-E72D297353CC}">
                <c16:uniqueId val="{0000000B-F358-4B3D-98BE-65368F6FD828}"/>
              </c:ext>
            </c:extLst>
          </c:dPt>
          <c:dPt>
            <c:idx val="6"/>
            <c:bubble3D val="0"/>
            <c:extLst>
              <c:ext xmlns:c16="http://schemas.microsoft.com/office/drawing/2014/chart" uri="{C3380CC4-5D6E-409C-BE32-E72D297353CC}">
                <c16:uniqueId val="{0000000D-F358-4B3D-98BE-65368F6FD828}"/>
              </c:ext>
            </c:extLst>
          </c:dPt>
          <c:dPt>
            <c:idx val="7"/>
            <c:bubble3D val="0"/>
            <c:extLst>
              <c:ext xmlns:c16="http://schemas.microsoft.com/office/drawing/2014/chart" uri="{C3380CC4-5D6E-409C-BE32-E72D297353CC}">
                <c16:uniqueId val="{0000000F-F358-4B3D-98BE-65368F6FD828}"/>
              </c:ext>
            </c:extLst>
          </c:dPt>
          <c:dPt>
            <c:idx val="8"/>
            <c:bubble3D val="0"/>
            <c:extLst>
              <c:ext xmlns:c16="http://schemas.microsoft.com/office/drawing/2014/chart" uri="{C3380CC4-5D6E-409C-BE32-E72D297353CC}">
                <c16:uniqueId val="{00000011-F358-4B3D-98BE-65368F6FD828}"/>
              </c:ext>
            </c:extLst>
          </c:dPt>
          <c:dPt>
            <c:idx val="9"/>
            <c:bubble3D val="0"/>
            <c:extLst>
              <c:ext xmlns:c16="http://schemas.microsoft.com/office/drawing/2014/chart" uri="{C3380CC4-5D6E-409C-BE32-E72D297353CC}">
                <c16:uniqueId val="{00000013-F358-4B3D-98BE-65368F6FD828}"/>
              </c:ext>
            </c:extLst>
          </c:dPt>
          <c:dPt>
            <c:idx val="10"/>
            <c:bubble3D val="0"/>
            <c:extLst>
              <c:ext xmlns:c16="http://schemas.microsoft.com/office/drawing/2014/chart" uri="{C3380CC4-5D6E-409C-BE32-E72D297353CC}">
                <c16:uniqueId val="{00000015-F358-4B3D-98BE-65368F6FD828}"/>
              </c:ext>
            </c:extLst>
          </c:dPt>
          <c:dPt>
            <c:idx val="11"/>
            <c:bubble3D val="0"/>
            <c:extLst>
              <c:ext xmlns:c16="http://schemas.microsoft.com/office/drawing/2014/chart" uri="{C3380CC4-5D6E-409C-BE32-E72D297353CC}">
                <c16:uniqueId val="{00000017-F358-4B3D-98BE-65368F6FD828}"/>
              </c:ext>
            </c:extLst>
          </c:dPt>
          <c:dPt>
            <c:idx val="12"/>
            <c:bubble3D val="0"/>
            <c:extLst>
              <c:ext xmlns:c16="http://schemas.microsoft.com/office/drawing/2014/chart" uri="{C3380CC4-5D6E-409C-BE32-E72D297353CC}">
                <c16:uniqueId val="{00000019-F358-4B3D-98BE-65368F6FD828}"/>
              </c:ext>
            </c:extLst>
          </c:dPt>
          <c:dPt>
            <c:idx val="13"/>
            <c:bubble3D val="0"/>
            <c:extLst>
              <c:ext xmlns:c16="http://schemas.microsoft.com/office/drawing/2014/chart" uri="{C3380CC4-5D6E-409C-BE32-E72D297353CC}">
                <c16:uniqueId val="{0000001B-F358-4B3D-98BE-65368F6FD828}"/>
              </c:ext>
            </c:extLst>
          </c:dPt>
          <c:dPt>
            <c:idx val="14"/>
            <c:bubble3D val="0"/>
            <c:extLst>
              <c:ext xmlns:c16="http://schemas.microsoft.com/office/drawing/2014/chart" uri="{C3380CC4-5D6E-409C-BE32-E72D297353CC}">
                <c16:uniqueId val="{0000001C-1857-46D2-A968-0E528359ABB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1"/>
            <c:showBubbleSize val="0"/>
            <c:showLeaderLines val="1"/>
            <c:extLst>
              <c:ext xmlns:c15="http://schemas.microsoft.com/office/drawing/2012/chart" uri="{CE6537A1-D6FC-4f65-9D91-7224C49458BB}"/>
            </c:extLst>
          </c:dLbls>
          <c:cat>
            <c:strRef>
              <c:f>REP_EJE_INAI!$B$80:$B$81</c:f>
              <c:strCache>
                <c:ptCount val="1"/>
                <c:pt idx="0">
                  <c:v>(en blanco)</c:v>
                </c:pt>
              </c:strCache>
            </c:strRef>
          </c:cat>
          <c:val>
            <c:numRef>
              <c:f>REP_EJE_INAI!$C$80:$C$81</c:f>
              <c:numCache>
                <c:formatCode>General</c:formatCode>
                <c:ptCount val="1"/>
              </c:numCache>
            </c:numRef>
          </c:val>
          <c:extLst>
            <c:ext xmlns:c16="http://schemas.microsoft.com/office/drawing/2014/chart" uri="{C3380CC4-5D6E-409C-BE32-E72D297353CC}">
              <c16:uniqueId val="{00000000-842A-47D4-98A4-738FB915CFA8}"/>
            </c:ext>
          </c:extLst>
        </c:ser>
        <c:ser>
          <c:idx val="1"/>
          <c:order val="1"/>
          <c:tx>
            <c:strRef>
              <c:f>REP_EJE_INAI!$D$79</c:f>
              <c:strCache>
                <c:ptCount val="1"/>
                <c:pt idx="0">
                  <c:v>Horas consumidas</c:v>
                </c:pt>
              </c:strCache>
            </c:strRef>
          </c:tx>
          <c:dPt>
            <c:idx val="0"/>
            <c:bubble3D val="0"/>
            <c:extLst>
              <c:ext xmlns:c16="http://schemas.microsoft.com/office/drawing/2014/chart" uri="{C3380CC4-5D6E-409C-BE32-E72D297353CC}">
                <c16:uniqueId val="{00000005-F870-4FF3-B7D5-DFCA06C47EA4}"/>
              </c:ext>
            </c:extLst>
          </c:dPt>
          <c:dPt>
            <c:idx val="1"/>
            <c:bubble3D val="0"/>
            <c:extLst>
              <c:ext xmlns:c16="http://schemas.microsoft.com/office/drawing/2014/chart" uri="{C3380CC4-5D6E-409C-BE32-E72D297353CC}">
                <c16:uniqueId val="{00000007-F870-4FF3-B7D5-DFCA06C47EA4}"/>
              </c:ext>
            </c:extLst>
          </c:dPt>
          <c:dPt>
            <c:idx val="2"/>
            <c:bubble3D val="0"/>
            <c:extLst>
              <c:ext xmlns:c16="http://schemas.microsoft.com/office/drawing/2014/chart" uri="{C3380CC4-5D6E-409C-BE32-E72D297353CC}">
                <c16:uniqueId val="{00000021-F358-4B3D-98BE-65368F6FD828}"/>
              </c:ext>
            </c:extLst>
          </c:dPt>
          <c:dPt>
            <c:idx val="3"/>
            <c:bubble3D val="0"/>
            <c:extLst>
              <c:ext xmlns:c16="http://schemas.microsoft.com/office/drawing/2014/chart" uri="{C3380CC4-5D6E-409C-BE32-E72D297353CC}">
                <c16:uniqueId val="{00000023-F358-4B3D-98BE-65368F6FD828}"/>
              </c:ext>
            </c:extLst>
          </c:dPt>
          <c:dPt>
            <c:idx val="4"/>
            <c:bubble3D val="0"/>
            <c:extLst>
              <c:ext xmlns:c16="http://schemas.microsoft.com/office/drawing/2014/chart" uri="{C3380CC4-5D6E-409C-BE32-E72D297353CC}">
                <c16:uniqueId val="{00000025-F358-4B3D-98BE-65368F6FD828}"/>
              </c:ext>
            </c:extLst>
          </c:dPt>
          <c:dPt>
            <c:idx val="5"/>
            <c:bubble3D val="0"/>
            <c:extLst>
              <c:ext xmlns:c16="http://schemas.microsoft.com/office/drawing/2014/chart" uri="{C3380CC4-5D6E-409C-BE32-E72D297353CC}">
                <c16:uniqueId val="{00000027-F358-4B3D-98BE-65368F6FD828}"/>
              </c:ext>
            </c:extLst>
          </c:dPt>
          <c:dPt>
            <c:idx val="6"/>
            <c:bubble3D val="0"/>
            <c:extLst>
              <c:ext xmlns:c16="http://schemas.microsoft.com/office/drawing/2014/chart" uri="{C3380CC4-5D6E-409C-BE32-E72D297353CC}">
                <c16:uniqueId val="{00000029-F358-4B3D-98BE-65368F6FD828}"/>
              </c:ext>
            </c:extLst>
          </c:dPt>
          <c:dPt>
            <c:idx val="7"/>
            <c:bubble3D val="0"/>
            <c:extLst>
              <c:ext xmlns:c16="http://schemas.microsoft.com/office/drawing/2014/chart" uri="{C3380CC4-5D6E-409C-BE32-E72D297353CC}">
                <c16:uniqueId val="{0000002B-F358-4B3D-98BE-65368F6FD828}"/>
              </c:ext>
            </c:extLst>
          </c:dPt>
          <c:dPt>
            <c:idx val="8"/>
            <c:bubble3D val="0"/>
            <c:extLst>
              <c:ext xmlns:c16="http://schemas.microsoft.com/office/drawing/2014/chart" uri="{C3380CC4-5D6E-409C-BE32-E72D297353CC}">
                <c16:uniqueId val="{0000002D-F358-4B3D-98BE-65368F6FD828}"/>
              </c:ext>
            </c:extLst>
          </c:dPt>
          <c:dPt>
            <c:idx val="9"/>
            <c:bubble3D val="0"/>
            <c:extLst>
              <c:ext xmlns:c16="http://schemas.microsoft.com/office/drawing/2014/chart" uri="{C3380CC4-5D6E-409C-BE32-E72D297353CC}">
                <c16:uniqueId val="{0000002F-F358-4B3D-98BE-65368F6FD828}"/>
              </c:ext>
            </c:extLst>
          </c:dPt>
          <c:dPt>
            <c:idx val="10"/>
            <c:bubble3D val="0"/>
            <c:extLst>
              <c:ext xmlns:c16="http://schemas.microsoft.com/office/drawing/2014/chart" uri="{C3380CC4-5D6E-409C-BE32-E72D297353CC}">
                <c16:uniqueId val="{00000031-F358-4B3D-98BE-65368F6FD828}"/>
              </c:ext>
            </c:extLst>
          </c:dPt>
          <c:dPt>
            <c:idx val="11"/>
            <c:bubble3D val="0"/>
            <c:extLst>
              <c:ext xmlns:c16="http://schemas.microsoft.com/office/drawing/2014/chart" uri="{C3380CC4-5D6E-409C-BE32-E72D297353CC}">
                <c16:uniqueId val="{00000033-F358-4B3D-98BE-65368F6FD828}"/>
              </c:ext>
            </c:extLst>
          </c:dPt>
          <c:dPt>
            <c:idx val="12"/>
            <c:bubble3D val="0"/>
            <c:extLst>
              <c:ext xmlns:c16="http://schemas.microsoft.com/office/drawing/2014/chart" uri="{C3380CC4-5D6E-409C-BE32-E72D297353CC}">
                <c16:uniqueId val="{00000035-F358-4B3D-98BE-65368F6FD828}"/>
              </c:ext>
            </c:extLst>
          </c:dPt>
          <c:dPt>
            <c:idx val="13"/>
            <c:bubble3D val="0"/>
            <c:extLst>
              <c:ext xmlns:c16="http://schemas.microsoft.com/office/drawing/2014/chart" uri="{C3380CC4-5D6E-409C-BE32-E72D297353CC}">
                <c16:uniqueId val="{00000037-F358-4B3D-98BE-65368F6FD828}"/>
              </c:ext>
            </c:extLst>
          </c:dPt>
          <c:dPt>
            <c:idx val="14"/>
            <c:bubble3D val="0"/>
            <c:extLst>
              <c:ext xmlns:c16="http://schemas.microsoft.com/office/drawing/2014/chart" uri="{C3380CC4-5D6E-409C-BE32-E72D297353CC}">
                <c16:uniqueId val="{00000039-1857-46D2-A968-0E528359ABBA}"/>
              </c:ext>
            </c:extLst>
          </c:dPt>
          <c:cat>
            <c:strRef>
              <c:f>REP_EJE_INAI!$B$80:$B$81</c:f>
              <c:strCache>
                <c:ptCount val="1"/>
                <c:pt idx="0">
                  <c:v>(en blanco)</c:v>
                </c:pt>
              </c:strCache>
            </c:strRef>
          </c:cat>
          <c:val>
            <c:numRef>
              <c:f>REP_EJE_INAI!$D$80:$D$81</c:f>
              <c:numCache>
                <c:formatCode>General</c:formatCode>
                <c:ptCount val="1"/>
              </c:numCache>
            </c:numRef>
          </c:val>
          <c:extLst>
            <c:ext xmlns:c16="http://schemas.microsoft.com/office/drawing/2014/chart" uri="{C3380CC4-5D6E-409C-BE32-E72D297353CC}">
              <c16:uniqueId val="{00000001-842A-47D4-98A4-738FB915CFA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[Solo para Reportes Detallado Ene - Ago.xlsx]REP_EJE_INAI!TablaDinámica1</c:name>
    <c:fmtId val="1"/>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MX" baseline="0"/>
              <a:t> Horas por perfil </a:t>
            </a:r>
            <a:endParaRPr lang="es-MX"/>
          </a:p>
        </c:rich>
      </c:tx>
      <c:layout>
        <c:manualLayout>
          <c:xMode val="edge"/>
          <c:yMode val="edge"/>
          <c:x val="0.50202077865266836"/>
          <c:y val="6.27734033245844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autoTitleDeleted val="0"/>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8373468941382327"/>
          <c:y val="0.23652340332458444"/>
          <c:w val="0.31305139982502189"/>
          <c:h val="0.65607720909886269"/>
        </c:manualLayout>
      </c:layout>
      <c:barChart>
        <c:barDir val="bar"/>
        <c:grouping val="clustered"/>
        <c:varyColors val="0"/>
        <c:ser>
          <c:idx val="0"/>
          <c:order val="0"/>
          <c:tx>
            <c:strRef>
              <c:f>REP_EJE_INAI!$C$110</c:f>
              <c:strCache>
                <c:ptCount val="1"/>
                <c:pt idx="0">
                  <c:v>Servicios por perfil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REP_EJE_INAI!$B$111:$B$112</c:f>
              <c:strCache>
                <c:ptCount val="1"/>
                <c:pt idx="0">
                  <c:v>(en blanco)</c:v>
                </c:pt>
              </c:strCache>
            </c:strRef>
          </c:cat>
          <c:val>
            <c:numRef>
              <c:f>REP_EJE_INAI!$C$111:$C$112</c:f>
              <c:numCache>
                <c:formatCode>General</c:formatCode>
                <c:ptCount val="1"/>
              </c:numCache>
            </c:numRef>
          </c:val>
          <c:extLst>
            <c:ext xmlns:c16="http://schemas.microsoft.com/office/drawing/2014/chart" uri="{C3380CC4-5D6E-409C-BE32-E72D297353CC}">
              <c16:uniqueId val="{00000000-E19F-44A7-91B5-8AAA894E4F13}"/>
            </c:ext>
          </c:extLst>
        </c:ser>
        <c:ser>
          <c:idx val="1"/>
          <c:order val="1"/>
          <c:tx>
            <c:strRef>
              <c:f>REP_EJE_INAI!$D$110</c:f>
              <c:strCache>
                <c:ptCount val="1"/>
                <c:pt idx="0">
                  <c:v>Horas por perfil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REP_EJE_INAI!$B$111:$B$112</c:f>
              <c:strCache>
                <c:ptCount val="1"/>
                <c:pt idx="0">
                  <c:v>(en blanco)</c:v>
                </c:pt>
              </c:strCache>
            </c:strRef>
          </c:cat>
          <c:val>
            <c:numRef>
              <c:f>REP_EJE_INAI!$D$111:$D$112</c:f>
              <c:numCache>
                <c:formatCode>General</c:formatCode>
                <c:ptCount val="1"/>
              </c:numCache>
            </c:numRef>
          </c:val>
          <c:extLst>
            <c:ext xmlns:c16="http://schemas.microsoft.com/office/drawing/2014/chart" uri="{C3380CC4-5D6E-409C-BE32-E72D297353CC}">
              <c16:uniqueId val="{00000001-E19F-44A7-91B5-8AAA894E4F13}"/>
            </c:ext>
          </c:extLst>
        </c:ser>
        <c:dLbls>
          <c:showLegendKey val="0"/>
          <c:showVal val="0"/>
          <c:showCatName val="0"/>
          <c:showSerName val="0"/>
          <c:showPercent val="0"/>
          <c:showBubbleSize val="0"/>
        </c:dLbls>
        <c:gapWidth val="115"/>
        <c:overlap val="-20"/>
        <c:axId val="1234678624"/>
        <c:axId val="1234674464"/>
      </c:barChart>
      <c:catAx>
        <c:axId val="1234678624"/>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234674464"/>
        <c:crosses val="autoZero"/>
        <c:auto val="1"/>
        <c:lblAlgn val="ctr"/>
        <c:lblOffset val="100"/>
        <c:noMultiLvlLbl val="0"/>
      </c:catAx>
      <c:valAx>
        <c:axId val="12346744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2346786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png"/><Relationship Id="rId4"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5.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oneCellAnchor>
    <xdr:from>
      <xdr:col>0</xdr:col>
      <xdr:colOff>83344</xdr:colOff>
      <xdr:row>1</xdr:row>
      <xdr:rowOff>23812</xdr:rowOff>
    </xdr:from>
    <xdr:ext cx="1400175" cy="742950"/>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3344" y="214312"/>
          <a:ext cx="1400175" cy="742950"/>
        </a:xfrm>
        <a:prstGeom prst="rect">
          <a:avLst/>
        </a:prstGeom>
        <a:noFill/>
      </xdr:spPr>
    </xdr:pic>
    <xdr:clientData fLocksWithSheet="0"/>
  </xdr:oneCellAnchor>
  <xdr:oneCellAnchor>
    <xdr:from>
      <xdr:col>13</xdr:col>
      <xdr:colOff>238125</xdr:colOff>
      <xdr:row>0</xdr:row>
      <xdr:rowOff>0</xdr:rowOff>
    </xdr:from>
    <xdr:ext cx="1152525" cy="981075"/>
    <xdr:pic>
      <xdr:nvPicPr>
        <xdr:cNvPr id="3" name="image1.jpg" descr="cid:image001.jpg@01D09D3B.383C4690"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19690292" y="0"/>
          <a:ext cx="1152525" cy="9810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1174377</xdr:colOff>
      <xdr:row>0</xdr:row>
      <xdr:rowOff>0</xdr:rowOff>
    </xdr:from>
    <xdr:ext cx="1163917" cy="790575"/>
    <xdr:pic>
      <xdr:nvPicPr>
        <xdr:cNvPr id="2" name="image1.jpg" descr="cid:image001.jpg@01D09D3B.383C4690"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049495" y="0"/>
          <a:ext cx="1163917" cy="790575"/>
        </a:xfrm>
        <a:prstGeom prst="rect">
          <a:avLst/>
        </a:prstGeom>
        <a:noFill/>
      </xdr:spPr>
    </xdr:pic>
    <xdr:clientData fLocksWithSheet="0"/>
  </xdr:oneCellAnchor>
  <xdr:oneCellAnchor>
    <xdr:from>
      <xdr:col>0</xdr:col>
      <xdr:colOff>0</xdr:colOff>
      <xdr:row>0</xdr:row>
      <xdr:rowOff>0</xdr:rowOff>
    </xdr:from>
    <xdr:ext cx="2000250" cy="723900"/>
    <xdr:pic>
      <xdr:nvPicPr>
        <xdr:cNvPr id="3" name="image2.png" title="Imagen">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xfrm>
          <a:off x="0" y="0"/>
          <a:ext cx="2000250" cy="7239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3</xdr:col>
      <xdr:colOff>482203</xdr:colOff>
      <xdr:row>0</xdr:row>
      <xdr:rowOff>92869</xdr:rowOff>
    </xdr:from>
    <xdr:to>
      <xdr:col>13</xdr:col>
      <xdr:colOff>47625</xdr:colOff>
      <xdr:row>14</xdr:row>
      <xdr:rowOff>169069</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20411</xdr:colOff>
      <xdr:row>1</xdr:row>
      <xdr:rowOff>2721</xdr:rowOff>
    </xdr:from>
    <xdr:to>
      <xdr:col>11</xdr:col>
      <xdr:colOff>408215</xdr:colOff>
      <xdr:row>21</xdr:row>
      <xdr:rowOff>176893</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192087</xdr:colOff>
      <xdr:row>1</xdr:row>
      <xdr:rowOff>15875</xdr:rowOff>
    </xdr:from>
    <xdr:to>
      <xdr:col>14</xdr:col>
      <xdr:colOff>215900</xdr:colOff>
      <xdr:row>16</xdr:row>
      <xdr:rowOff>161925</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0</xdr:col>
      <xdr:colOff>219075</xdr:colOff>
      <xdr:row>3</xdr:row>
      <xdr:rowOff>142875</xdr:rowOff>
    </xdr:from>
    <xdr:ext cx="1400175" cy="742950"/>
    <xdr:pic>
      <xdr:nvPicPr>
        <xdr:cNvPr id="2" name="image2.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219075" y="142875"/>
          <a:ext cx="1400175" cy="7429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219075</xdr:colOff>
      <xdr:row>3</xdr:row>
      <xdr:rowOff>142875</xdr:rowOff>
    </xdr:from>
    <xdr:ext cx="1400175" cy="742950"/>
    <xdr:pic>
      <xdr:nvPicPr>
        <xdr:cNvPr id="2" name="image2.pn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219075" y="714375"/>
          <a:ext cx="1400175" cy="742950"/>
        </a:xfrm>
        <a:prstGeom prst="rect">
          <a:avLst/>
        </a:prstGeom>
        <a:noFill/>
      </xdr:spPr>
    </xdr:pic>
    <xdr:clientData fLocksWithSheet="0"/>
  </xdr:oneCellAnchor>
  <xdr:twoCellAnchor>
    <xdr:from>
      <xdr:col>0</xdr:col>
      <xdr:colOff>114300</xdr:colOff>
      <xdr:row>11</xdr:row>
      <xdr:rowOff>57150</xdr:rowOff>
    </xdr:from>
    <xdr:to>
      <xdr:col>4</xdr:col>
      <xdr:colOff>695325</xdr:colOff>
      <xdr:row>11</xdr:row>
      <xdr:rowOff>57150</xdr:rowOff>
    </xdr:to>
    <xdr:cxnSp macro="">
      <xdr:nvCxnSpPr>
        <xdr:cNvPr id="4" name="Conector recto 3">
          <a:extLst>
            <a:ext uri="{FF2B5EF4-FFF2-40B4-BE49-F238E27FC236}">
              <a16:creationId xmlns:a16="http://schemas.microsoft.com/office/drawing/2014/main" id="{00000000-0008-0000-0900-000004000000}"/>
            </a:ext>
          </a:extLst>
        </xdr:cNvPr>
        <xdr:cNvCxnSpPr>
          <a:cxnSpLocks/>
        </xdr:cNvCxnSpPr>
      </xdr:nvCxnSpPr>
      <xdr:spPr>
        <a:xfrm flipV="1">
          <a:off x="114300" y="2162175"/>
          <a:ext cx="7467600" cy="0"/>
        </a:xfrm>
        <a:prstGeom prst="line">
          <a:avLst/>
        </a:prstGeom>
        <a:ln w="19050">
          <a:solidFill>
            <a:schemeClr val="tx2"/>
          </a:solidFill>
        </a:ln>
        <a:effectLst>
          <a:outerShdw blurRad="50800" dist="38100" dir="2700000" algn="tl"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696514</xdr:colOff>
      <xdr:row>97</xdr:row>
      <xdr:rowOff>116681</xdr:rowOff>
    </xdr:from>
    <xdr:to>
      <xdr:col>3</xdr:col>
      <xdr:colOff>825498</xdr:colOff>
      <xdr:row>100</xdr:row>
      <xdr:rowOff>2423582</xdr:rowOff>
    </xdr:to>
    <xdr:graphicFrame macro="">
      <xdr:nvGraphicFramePr>
        <xdr:cNvPr id="7" name="Gráfico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37042</xdr:colOff>
      <xdr:row>114</xdr:row>
      <xdr:rowOff>14816</xdr:rowOff>
    </xdr:from>
    <xdr:to>
      <xdr:col>4</xdr:col>
      <xdr:colOff>243418</xdr:colOff>
      <xdr:row>128</xdr:row>
      <xdr:rowOff>91016</xdr:rowOff>
    </xdr:to>
    <xdr:graphicFrame macro="">
      <xdr:nvGraphicFramePr>
        <xdr:cNvPr id="5" name="Gráfico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254000</xdr:colOff>
          <xdr:row>154</xdr:row>
          <xdr:rowOff>21166</xdr:rowOff>
        </xdr:from>
        <xdr:to>
          <xdr:col>2</xdr:col>
          <xdr:colOff>670630</xdr:colOff>
          <xdr:row>161</xdr:row>
          <xdr:rowOff>108305</xdr:rowOff>
        </xdr:to>
        <xdr:pic>
          <xdr:nvPicPr>
            <xdr:cNvPr id="10" name="Imagen 9">
              <a:extLst>
                <a:ext uri="{FF2B5EF4-FFF2-40B4-BE49-F238E27FC236}">
                  <a16:creationId xmlns:a16="http://schemas.microsoft.com/office/drawing/2014/main" id="{00000000-0008-0000-0900-00000A000000}"/>
                </a:ext>
              </a:extLst>
            </xdr:cNvPr>
            <xdr:cNvPicPr>
              <a:picLocks noChangeAspect="1" noChangeArrowheads="1"/>
              <a:extLst>
                <a:ext uri="{84589F7E-364E-4C9E-8A38-B11213B215E9}">
                  <a14:cameraTool cellRange="#REF!" spid="_x0000_s17047"/>
                </a:ext>
              </a:extLst>
            </xdr:cNvPicPr>
          </xdr:nvPicPr>
          <xdr:blipFill>
            <a:blip xmlns:r="http://schemas.openxmlformats.org/officeDocument/2006/relationships" r:embed="rId4"/>
            <a:srcRect/>
            <a:stretch>
              <a:fillRect/>
            </a:stretch>
          </xdr:blipFill>
          <xdr:spPr bwMode="auto">
            <a:xfrm>
              <a:off x="254000" y="34043055"/>
              <a:ext cx="2814108" cy="1519412"/>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8</xdr:col>
      <xdr:colOff>371930</xdr:colOff>
      <xdr:row>1</xdr:row>
      <xdr:rowOff>100918</xdr:rowOff>
    </xdr:from>
    <xdr:ext cx="1662338" cy="742950"/>
    <xdr:pic>
      <xdr:nvPicPr>
        <xdr:cNvPr id="2" name="image2.png" title="Imagen">
          <a:extLst>
            <a:ext uri="{FF2B5EF4-FFF2-40B4-BE49-F238E27FC236}">
              <a16:creationId xmlns:a16="http://schemas.microsoft.com/office/drawing/2014/main" id="{E9330753-EFE3-4053-8EC8-D536B5EFD820}"/>
            </a:ext>
          </a:extLst>
        </xdr:cNvPr>
        <xdr:cNvPicPr preferRelativeResize="0"/>
      </xdr:nvPicPr>
      <xdr:blipFill>
        <a:blip xmlns:r="http://schemas.openxmlformats.org/officeDocument/2006/relationships" r:embed="rId1" cstate="print"/>
        <a:stretch>
          <a:fillRect/>
        </a:stretch>
      </xdr:blipFill>
      <xdr:spPr>
        <a:xfrm>
          <a:off x="12954001" y="282347"/>
          <a:ext cx="1662338" cy="7429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83344</xdr:colOff>
      <xdr:row>1</xdr:row>
      <xdr:rowOff>23812</xdr:rowOff>
    </xdr:from>
    <xdr:ext cx="1400175" cy="742950"/>
    <xdr:pic>
      <xdr:nvPicPr>
        <xdr:cNvPr id="2" name="image2.png" title="Imagen">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83344" y="214312"/>
          <a:ext cx="1400175" cy="742950"/>
        </a:xfrm>
        <a:prstGeom prst="rect">
          <a:avLst/>
        </a:prstGeom>
        <a:noFill/>
      </xdr:spPr>
    </xdr:pic>
    <xdr:clientData fLocksWithSheet="0"/>
  </xdr:oneCellAnchor>
  <xdr:twoCellAnchor editAs="oneCell">
    <xdr:from>
      <xdr:col>1</xdr:col>
      <xdr:colOff>1809749</xdr:colOff>
      <xdr:row>0</xdr:row>
      <xdr:rowOff>180976</xdr:rowOff>
    </xdr:from>
    <xdr:to>
      <xdr:col>4</xdr:col>
      <xdr:colOff>350308</xdr:colOff>
      <xdr:row>4</xdr:row>
      <xdr:rowOff>173832</xdr:rowOff>
    </xdr:to>
    <xdr:pic>
      <xdr:nvPicPr>
        <xdr:cNvPr id="3" name="Imagen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19299" y="180976"/>
          <a:ext cx="1457326" cy="821531"/>
        </a:xfrm>
        <a:prstGeom prst="rect">
          <a:avLst/>
        </a:prstGeom>
      </xdr:spPr>
    </xdr:pic>
    <xdr:clientData/>
  </xdr:twoCellAnchor>
  <xdr:oneCellAnchor>
    <xdr:from>
      <xdr:col>43</xdr:col>
      <xdr:colOff>151342</xdr:colOff>
      <xdr:row>1</xdr:row>
      <xdr:rowOff>51858</xdr:rowOff>
    </xdr:from>
    <xdr:ext cx="1152525" cy="981075"/>
    <xdr:pic>
      <xdr:nvPicPr>
        <xdr:cNvPr id="4" name="image1.jpg" descr="cid:image001.jpg@01D09D3B.383C4690" title="Imagen">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3" cstate="print"/>
        <a:stretch>
          <a:fillRect/>
        </a:stretch>
      </xdr:blipFill>
      <xdr:spPr>
        <a:xfrm>
          <a:off x="12544425" y="242358"/>
          <a:ext cx="1152525" cy="9810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nancy.flores\Documents\NANCY%20FLORES\VISUAL%20SOURCE\Septiembre\REP%20CARLOS%20ESQUIV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SMS\2016\09-Septiembre\SLA%20-%20MS%20-%20%20Septiembre2016%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aloma.delcampo\Documents\INAI%202020\Facturaci&#243;n%20INAI%202020\02%20FEBRERO\ND-DDS_ReporteMensual_Febrero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lle"/>
      <sheetName val="xApp"/>
      <sheetName val="HorasxIng."/>
      <sheetName val="HorasxServ."/>
      <sheetName val="Hoja4"/>
      <sheetName val="Factor"/>
      <sheetName val="Verificacion 8 horas"/>
      <sheetName val="Instrucciones de Llenado"/>
      <sheetName val="Catálogos"/>
      <sheetName val="Hoja1"/>
    </sheetNames>
    <sheetDataSet>
      <sheetData sheetId="0"/>
      <sheetData sheetId="1"/>
      <sheetData sheetId="2"/>
      <sheetData sheetId="3"/>
      <sheetData sheetId="4"/>
      <sheetData sheetId="5"/>
      <sheetData sheetId="6"/>
      <sheetData sheetId="7"/>
      <sheetData sheetId="8">
        <row r="2">
          <cell r="C2" t="str">
            <v>En prcceso</v>
          </cell>
        </row>
        <row r="3">
          <cell r="C3" t="str">
            <v>Terminado</v>
          </cell>
        </row>
      </sheetData>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álogos"/>
      <sheetName val="Impresión"/>
      <sheetName val="Detalle"/>
      <sheetName val="SLA Mesa"/>
      <sheetName val="INCIDENTES"/>
      <sheetName val="SLA"/>
    </sheetNames>
    <sheetDataSet>
      <sheetData sheetId="0">
        <row r="2">
          <cell r="B2" t="str">
            <v>Administración_de_Incidentes</v>
          </cell>
        </row>
        <row r="3">
          <cell r="B3" t="str">
            <v>Problemas</v>
          </cell>
        </row>
        <row r="4">
          <cell r="B4" t="str">
            <v>Cambios</v>
          </cell>
        </row>
        <row r="5">
          <cell r="B5" t="str">
            <v>Niveles_de_Servicio_Configuraciones</v>
          </cell>
        </row>
        <row r="6">
          <cell r="B6" t="str">
            <v>No_Facturable</v>
          </cell>
        </row>
        <row r="7">
          <cell r="B7" t="str">
            <v>Sin_Catálogo</v>
          </cell>
        </row>
        <row r="8">
          <cell r="B8" t="str">
            <v>Soporte a equipo de comunicaciones</v>
          </cell>
        </row>
        <row r="9">
          <cell r="B9" t="str">
            <v>Administración</v>
          </cell>
        </row>
        <row r="10">
          <cell r="B10" t="str">
            <v>Configuración</v>
          </cell>
        </row>
        <row r="11">
          <cell r="B11" t="str">
            <v>Wireless</v>
          </cell>
        </row>
        <row r="12">
          <cell r="B12" t="str">
            <v>Atención de Incidencias</v>
          </cell>
        </row>
        <row r="13">
          <cell r="B13" t="str">
            <v>Respaldo</v>
          </cell>
        </row>
        <row r="14">
          <cell r="B14" t="str">
            <v>Restauración</v>
          </cell>
        </row>
        <row r="15">
          <cell r="B15" t="str">
            <v>Respaldo_y_restauración</v>
          </cell>
        </row>
        <row r="16">
          <cell r="B16" t="str">
            <v>Antivirus_antispam_antimalware</v>
          </cell>
        </row>
        <row r="17">
          <cell r="B17" t="str">
            <v>Correo_electrónico</v>
          </cell>
        </row>
        <row r="18">
          <cell r="B18" t="str">
            <v>Directorio_DNS_y_file_servers</v>
          </cell>
        </row>
      </sheetData>
      <sheetData sheetId="1" refreshError="1"/>
      <sheetData sheetId="2" refreshError="1"/>
      <sheetData sheetId="3">
        <row r="20">
          <cell r="E20" t="str">
            <v>CANT</v>
          </cell>
        </row>
      </sheetData>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entrado"/>
      <sheetName val="MC"/>
      <sheetName val="ALV"/>
      <sheetName val="MAV"/>
      <sheetName val="PCC"/>
      <sheetName val="RDM"/>
      <sheetName val="EHPS"/>
      <sheetName val="LFAM"/>
      <sheetName val="Valores"/>
      <sheetName val="tabla dinamica"/>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los Alberto Miranda Juárez" refreshedDate="45211.756152083333" createdVersion="7" refreshedVersion="7" minRefreshableVersion="3" recordCount="8" xr:uid="{24E0A35C-2DDD-4515-8B7A-B6B497ECF481}">
  <cacheSource type="worksheet">
    <worksheetSource name="Tabla2"/>
  </cacheSource>
  <cacheFields count="6">
    <cacheField name="Proyecto " numFmtId="0">
      <sharedItems/>
    </cacheField>
    <cacheField name="Recurso" numFmtId="0">
      <sharedItems count="7">
        <s v="Director del Proyecto"/>
        <s v="Analista de Procesos"/>
        <s v="Ingeniero de software (JAVA)"/>
        <s v="Ingeniero de software (Business Intelligence)"/>
        <s v="Ingeniero de pruebas"/>
        <s v="Ingeniero de software (Micrositios)"/>
        <s v="Ingeniero de software (Android)"/>
      </sharedItems>
    </cacheField>
    <cacheField name="Horas estimadas" numFmtId="0">
      <sharedItems containsSemiMixedTypes="0" containsString="0" containsNumber="1" containsInteger="1" minValue="82" maxValue="476"/>
    </cacheField>
    <cacheField name="Costo por hora" numFmtId="44">
      <sharedItems containsSemiMixedTypes="0" containsString="0" containsNumber="1" containsInteger="1" minValue="450" maxValue="800"/>
    </cacheField>
    <cacheField name="Costo" numFmtId="44">
      <sharedItems containsSemiMixedTypes="0" containsString="0" containsNumber="1" containsInteger="1" minValue="49200" maxValue="333200"/>
    </cacheField>
    <cacheField name="Costo con IVA" numFmtId="44">
      <sharedItems containsSemiMixedTypes="0" containsString="0" containsNumber="1" minValue="57071.999999999993" maxValue="38651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los Miranda Juarez" refreshedDate="45302.425771643517" createdVersion="6" refreshedVersion="8" minRefreshableVersion="3" recordCount="5093" xr:uid="{00000000-000A-0000-FFFF-FFFF28000000}">
  <cacheSource type="worksheet">
    <worksheetSource name="Tabla1"/>
  </cacheSource>
  <cacheFields count="27">
    <cacheField name="Servicio" numFmtId="0">
      <sharedItems containsBlank="1" count="11">
        <s v="Desarrollo"/>
        <s v="Análisis de requerimientos"/>
        <s v="Soporte a aplicativos"/>
        <s v="Diseño"/>
        <s v="Mantenimiento"/>
        <s v="QA/QC"/>
        <m/>
        <s v="Analisis" u="1"/>
        <s v="Documentación" u="1"/>
        <s v="Soporte, mantenimiento y desarrollo de aplicaciones" u="1"/>
        <s v="Base de Datos" u="1"/>
      </sharedItems>
    </cacheField>
    <cacheField name="Tipo de Requerimiento" numFmtId="0">
      <sharedItems containsBlank="1" count="19">
        <s v="Analisis de Requerimientos"/>
        <s v="Construcción"/>
        <s v="Adaptativos"/>
        <s v="Diseño detallado"/>
        <s v="Evolutivos"/>
        <s v="Pruebas integrales"/>
        <s v="Mesa de Servicio "/>
        <s v="Correctivos urgentes"/>
        <s v="Correctivos "/>
        <s v="Informativos"/>
        <s v="Análisis de Requerimientos"/>
        <s v="Pruebas unitarias "/>
        <m/>
        <s v="Mesa de Servicio" u="1"/>
        <s v="Desarrollo" u="1"/>
        <s v="Diseño" u="1"/>
        <s v="Tunning" u="1"/>
        <s v="Seguimiento a atención del servicio" u="1"/>
        <s v="Analisis" u="1"/>
      </sharedItems>
    </cacheField>
    <cacheField name="Subdirección" numFmtId="0">
      <sharedItems containsBlank="1" count="8">
        <s v="SAI"/>
        <s v="SSI"/>
        <s v="SAW"/>
        <s v="DS"/>
        <s v="SPD"/>
        <s v="SCI"/>
        <m/>
        <s v="SST" u="1"/>
      </sharedItems>
    </cacheField>
    <cacheField name="Departamento" numFmtId="0">
      <sharedItems containsNonDate="0" containsBlank="1" count="6">
        <m/>
        <s v="N/A" u="1"/>
        <s v="DDS / Rafael" u="1"/>
        <s v="NA" u="1"/>
        <s v="DDS" u="1"/>
        <s v="Rafael" u="1"/>
      </sharedItems>
    </cacheField>
    <cacheField name="Sistema" numFmtId="0">
      <sharedItems containsBlank="1" count="214">
        <s v="PIZARRAS 4"/>
        <s v="PNT"/>
        <s v="PIZARRAS"/>
        <s v="SISAI"/>
        <s v="CEVINAI"/>
        <s v="PRODATOS"/>
        <s v="Soportes"/>
        <s v="SIGEMI-SICOM"/>
        <s v="Plataforma PNT"/>
        <s v="APP MOVIL"/>
        <s v="BUSCADORES"/>
        <s v="IMPUGNACIONES"/>
        <s v="Pizarras "/>
        <s v="Buscador"/>
        <s v="Buscador Inteligente"/>
        <s v="Buscador de género"/>
        <s v="Reingeniería liferay"/>
        <s v="Modulo de Usuarios"/>
        <s v="Micrositios"/>
        <s v="Inventarios"/>
        <s v="Portal de Firma Electrónica"/>
        <s v="Servicio Profesional"/>
        <s v="GAP"/>
        <s v="Encuentro XXV"/>
        <s v="Criterios de Interpretación SNT"/>
        <s v="MICROSITIO CRITERIOS DE ACEPTACION DE LA SNT"/>
        <s v="SIPRON-PIZARRAS 5"/>
        <s v="Jurisdiccional"/>
        <s v="SIPRON - PIZARRAS 5"/>
        <s v="Usuarios"/>
        <s v="Sistema de criterios de Interpretación SNT"/>
        <s v="SIPRON-PIZARRAS 6"/>
        <s v="SIPRON-PIZARRAS 7"/>
        <s v="SIPRON-PIZARRAS 8"/>
        <s v="SIPRON-PIZARRAS 9"/>
        <s v="SIPRON-PIZARRAS 10"/>
        <s v="SIPRON-PIZARRAS 11"/>
        <m/>
        <s v="Verificación de hechos del INAI" u="1"/>
        <s v="Gestión Documental" u="1"/>
        <s v="INFOMEX GUANAJUATO" u="1"/>
        <s v="COVID-19" u="1"/>
        <s v="FIRMA ELECTRONICA" u="1"/>
        <s v="Empoderamiento Mujeres" u="1"/>
        <s v="Módulo de Usuarios" u="1"/>
        <s v="Paridad de Género y Transparencia" u="1"/>
        <s v="INFOMEX QUINTANA ROO" u="1"/>
        <s v="INFOMEX GUERRERO" u="1"/>
        <s v="Sociedad y Transparencia " u="1"/>
        <s v="INFOMEX OAXACA" u="1"/>
        <s v="Sitio encuestas" u="1"/>
        <s v="Oservaciones Sitio ICIC" u="1"/>
        <s v="Firma Electrónica" u="1"/>
        <s v="INFOMEX NUEVO LEÓN" u="1"/>
        <s v="Reingenieria de Resoluciones  " u="1"/>
        <s v="Empoderamiento de las Mujeres a través de los derechos de acceso a la información y protección de datos personales" u="1"/>
        <s v="PIT 2021" u="1"/>
        <s v="Informes INAI" u="1"/>
        <s v="PROSEDE 2021" u="1"/>
        <s v="Sistema de Votaciones" u="1"/>
        <s v="Comité Técnico INE" u="1"/>
        <s v="SIPOT" u="1"/>
        <s v="REA" u="1"/>
        <s v="INFOMEX TLAXCALA" u="1"/>
        <s v="Marco Internacional de Competencias de Protección de Datos Personales para Estudiantes" u="1"/>
        <s v="Corpus Iuris" u="1"/>
        <s v="INFOMEX MICHOACÁN" u="1"/>
        <s v="SISAI 2.0" u="1"/>
        <s v="Derechos Humanos" u="1"/>
        <s v="INFOMEX VERACRUZ" u="1"/>
        <s v="Varios" u="1"/>
        <s v="INFOMEX SLP" u="1"/>
        <s v="Sociedad más justa" u="1"/>
        <s v="1er Concurso Nacional de Periodismo" u="1"/>
        <s v="ABRAMOS MEXICO " u="1"/>
        <s v="Acciones en América Latina: COVID 19" u="1"/>
        <s v="SACP" u="1"/>
        <s v="Buscador de Padrón de Beneficiarios " u="1"/>
        <s v="Sitio ICIC" u="1"/>
        <s v="INFOMEXPUEBLA" u="1"/>
        <s v="Sitio EIPDP" u="1"/>
        <s v="INFOMEX BAJA CALIFORNIA" u="1"/>
        <s v="Día Internacional PDP 2020" u="1"/>
        <s v="La gestión documental y la memoria archivística en tiempos del Covid-19" u="1"/>
        <s v="HCOM" u="1"/>
        <s v="SISAI 2" u="1"/>
        <s v="Votaciones" u="1"/>
        <s v="Micrositio Conferencias COVID" u="1"/>
        <s v="Alta Curricular" u="1"/>
        <s v="AGDA" u="1"/>
        <s v="SISAI2" u="1"/>
        <s v="Pleno Niños 2021" u="1"/>
        <s v="INFOMEX PUEBLA " u="1"/>
        <s v="Sitio de la Oficina de Proyectos" u="1"/>
        <s v="Información relevante" u="1"/>
        <s v="BUSCADOR DE TEXTOS" u="1"/>
        <s v="INFOMEX YUCATÁN" u="1"/>
        <s v="Datos Abiertos" u="1"/>
        <s v="INFOMEX COAHUILA" u="1"/>
        <s v="Capacitación SIPOT" u="1"/>
        <s v="COVID-19 Transparencia Proactiva" u="1"/>
        <s v="Pagina web Resoluciones" u="1"/>
        <s v="Semana Nacional de Transparencia 2020" u="1"/>
        <s v="Sitio Gobieno Abierto" u="1"/>
        <s v="WordPress" u="1"/>
        <s v="INFOMEX AGUASCALIENTES" u="1"/>
        <s v="Microservicios " u="1"/>
        <s v="Clic" u="1"/>
        <s v="Sitio Comite de etica" u="1"/>
        <s v="Hackaton" u="1"/>
        <s v="Resoluciones" u="1"/>
        <s v="SISPD" u="1"/>
        <s v="INFOMEX MICHOACAN" u="1"/>
        <s v="Pleno Niños" u="1"/>
        <s v="SISITUR" u="1"/>
        <s v="SIGEMI - SICOM" u="1"/>
        <s v="DATACON 2021" u="1"/>
        <s v="PDP 2020" u="1"/>
        <s v="Transparencia Inteligente" u="1"/>
        <s v="INFOMEX BASE" u="1"/>
        <s v="Sitio Revista sociedad y transparencia" u="1"/>
        <s v="Nueva Encuesta 2021" u="1"/>
        <s v="Sitio Juegos Infantiles" u="1"/>
        <s v="INFOMEX NAYARIT" u="1"/>
        <s v="INFOMEX NL" u="1"/>
        <s v="MGD-RTA" u="1"/>
        <s v="III Cumbre Nacional de Gobierno Abierto" u="1"/>
        <s v="Pro Datos" u="1"/>
        <s v="Microservicios_x000a_Consultas" u="1"/>
        <s v="Microservicios Consultas" u="1"/>
        <s v="Buscador Nacional" u="1"/>
        <s v="DMX" u="1"/>
        <s v="PNT APP" u="1"/>
        <s v="SNT" u="1"/>
        <s v="FIRMAS DIGITALES" u="1"/>
        <s v="Sitio Observatorio" u="1"/>
        <s v="Oficina de Proyectos" u="1"/>
        <s v="Infomex SMS" u="1"/>
        <s v="Búscador Nacional" u="1"/>
        <s v="Sitio Protai" u="1"/>
        <s v="Sitio de Juegos" u="1"/>
        <s v="Buscador de Resoluciones " u="1"/>
        <s v="Comisiones Abiertas API" u="1"/>
        <s v="Encuesta Diagnóstica 2020" u="1"/>
        <s v="Presupuesto anual asignado" u="1"/>
        <s v="Micrositio Comite de etica" u="1"/>
        <s v="Infomex" u="1"/>
        <s v="El INAI es de Todas y Todos" u="1"/>
        <s v="INFOMEX CAMPECHE" u="1"/>
        <s v="Eventos" u="1"/>
        <s v="Sitio CBPR" u="1"/>
        <s v="Infraestructura" u="1"/>
        <s v="INFOMEX MORELOS" u="1"/>
        <s v="Criterios de Interpretación" u="1"/>
        <s v="Día Internacional de Protección de Datos Personales 2021" u="1"/>
        <s v="Encuesta 2021" u="1"/>
        <s v="Comisiones Abiertas" u="1"/>
        <s v="INFOMEX TAMAULIPAS" u="1"/>
        <s v="INFOMEX COLIMA" u="1"/>
        <s v="API INAI - SESNA" u="1"/>
        <s v="Sitio Gobierno abierto" u="1"/>
        <s v="DECLARANET" u="1"/>
        <s v="Funcionarios Sancionados " u="1"/>
        <s v="Acción Beijing" u="1"/>
        <s v="PIT 2020" u="1"/>
        <s v="GPA México 2021" u="1"/>
        <s v="INFOMEX FEDERAL " u="1"/>
        <s v="INFOMEX JALISCO" u="1"/>
        <s v="Flujos" u="1"/>
        <s v="Sitio de avisos PNT" u="1"/>
        <s v="GAP Público" u="1"/>
        <s v="INFOMEX CHIHUAHUA" u="1"/>
        <s v="PROSEDE 2022" u="1"/>
        <s v="INFOMEX HIDALGO" u="1"/>
        <s v="INFOMEX QUERETARO" u="1"/>
        <s v="PFyM" u="1"/>
        <s v="Contrataciones Abiertas" u="1"/>
        <s v="INFOMEX CHIAPAS" u="1"/>
        <s v="EIPDP" u="1"/>
        <s v="PDP 2021" u="1"/>
        <s v="INFOMEX FEDERAL" u="1"/>
        <s v="PIT 2019" u="1"/>
        <s v="DeclaraINAI" u="1"/>
        <s v="INFOMEX ZACATECAS" u="1"/>
        <s v="INFOMEX BCN" u="1"/>
        <s v="Microservicios_x000a_Observatorio" u="1"/>
        <s v="Microservicios Observatorio" u="1"/>
        <s v="INFOMEX QUERÉTARO" u="1"/>
        <s v="Armonización en materia de archivos" u="1"/>
        <s v="Sitio Principal INAI" u="1"/>
        <s v="RTA" u="1"/>
        <s v="DeclaraINE" u="1"/>
        <s v="GASTOS" u="1"/>
        <s v="INFOMEX TABASCO" u="1"/>
        <s v="INFOMEX DURANGO" u="1"/>
        <s v="OPENTEXT" u="1"/>
        <s v="PRECEDENTES" u="1"/>
        <s v="Micrositio Gobierno Abierto" u="1"/>
        <s v="Documentacion" u="1"/>
        <s v="Gobierno Abierto" u="1"/>
        <s v="INFOMEX BCS" u="1"/>
        <s v="BD Oracle" u="1"/>
        <s v="HCOM " u="1"/>
        <s v="INFOMEX PUEBLA" u="1"/>
        <s v="Sitio IPDP" u="1"/>
        <s v="Consulta Pública" u="1"/>
        <s v="Portal Web" u="1"/>
        <s v="Microservicios_x000a_Repositorio" u="1"/>
        <s v="Microservicios Repositorio" u="1"/>
        <s v="Plataforma de Transparencia y Apertura en Infraestructura" u="1"/>
        <s v="Microservicios_x000a_Habeas y Consultas" u="1"/>
        <s v="SIGEMI" u="1"/>
        <s v="INFOMEX COAHUILA " u="1"/>
        <s v="Plan DAI" u="1"/>
      </sharedItems>
    </cacheField>
    <cacheField name="Clasificación / Fase" numFmtId="0">
      <sharedItems containsBlank="1" count="15">
        <s v="Contrucción"/>
        <s v="Construcción"/>
        <s v="Análisis"/>
        <s v="Configuración"/>
        <s v="Diseño"/>
        <s v="Pruebas"/>
        <s v="Mesa de Servicio"/>
        <s v="Cierre"/>
        <s v="Mesa de Servicio "/>
        <s v="Estimación"/>
        <m/>
        <s v="Desarrollo" u="1"/>
        <s v="Seguimiento a atención del servicio" u="1"/>
        <s v="Analisis" u="1"/>
        <s v="Documentación" u="1"/>
      </sharedItems>
    </cacheField>
    <cacheField name="# Ticket" numFmtId="0">
      <sharedItems containsBlank="1" containsMixedTypes="1" containsNumber="1" containsInteger="1" minValue="1" maxValue="200" count="1636">
        <m/>
        <s v="N/A"/>
        <s v="NDPRO023001"/>
        <s v="NDPRO023002"/>
        <s v="NA"/>
        <s v="NDPRO023003"/>
        <s v="NDPRO023004"/>
        <s v="DSJGRR01"/>
        <s v="DSJGRR02"/>
        <s v="DSJGRR03"/>
        <s v="DSJGRR04"/>
        <s v="DSJGRR05"/>
        <s v="DSJGRR06"/>
        <s v="DSJGRR07"/>
        <s v="DSJGRR08"/>
        <s v="DSJGRR09"/>
        <s v="DSJGRR10"/>
        <s v="DSJGRR11"/>
        <s v="DSJGRR12"/>
        <s v="DSJGRR13"/>
        <s v="DSFOSF01"/>
        <s v="DSFOSF02"/>
        <s v="DSFOSF03"/>
        <s v="DSFOSF04"/>
        <s v="DSFOSF05"/>
        <s v="DSFOSF06"/>
        <s v="DSCOCO001"/>
        <s v="DSCOCO002"/>
        <s v="DSCOCO003"/>
        <s v="DSCOCO004"/>
        <s v="DSCOCO005"/>
        <s v="DSCOCO006"/>
        <s v="DSCOCO007"/>
        <s v="DSCOCO008"/>
        <s v="DSCOCO009"/>
        <s v="SPDCGF01"/>
        <s v="SPDCGF02"/>
        <s v="SPDCGF03"/>
        <s v="SPDCGF04"/>
        <s v="SPDCGF05"/>
        <s v="SPDCGF06"/>
        <s v="SPDCGF07"/>
        <s v="SPDCGF08"/>
        <s v="SPDCGF09"/>
        <s v="SPDCGF10"/>
        <s v="SPDCGF11"/>
        <s v="SPDCGF12"/>
        <s v="SPDCGF13"/>
        <s v="SPDCGF14"/>
        <s v="SPDCGF15"/>
        <s v="SPDCGF16"/>
        <s v="SPDCGF17"/>
        <s v="SPDCGF18"/>
        <s v="SPDCGF19"/>
        <s v="SPDCGF20"/>
        <s v="SPDCGF21"/>
        <s v="SAWYLVM01"/>
        <s v="SAWYLVM02"/>
        <s v="SAWYLVM03"/>
        <s v="SAWYLVM04"/>
        <s v="SAWYLVM05"/>
        <s v="SAWYLVM06"/>
        <s v="SAWYLVM07"/>
        <s v="SAWYLVM08"/>
        <s v="SAWYLVM09"/>
        <s v="SAWYLVM10"/>
        <s v="SAWYLVM11"/>
        <s v="SAWYLVM12"/>
        <s v="SAWYLVM13"/>
        <s v="SAWYLVM14"/>
        <s v="SAWYLVM15"/>
        <s v="SAWYLVM16"/>
        <s v="SAWYLVM17"/>
        <s v="SAWYLVM18"/>
        <s v="SAWYLVM19"/>
        <s v="SAWYLVM20"/>
        <s v="SAWYLVM21"/>
        <s v="SAWYLVM22"/>
        <s v="SAWYLVM23"/>
        <s v="SAWYLVM24"/>
        <s v="SAWYLVM25"/>
        <s v="SAWYLVM26"/>
        <s v="SAWYLVM27"/>
        <s v="SAWYLVM28"/>
        <s v="SAWYLVM29"/>
        <s v="SAWYLVM30"/>
        <s v="SAWYLVM31"/>
        <s v="SAWYLVM32"/>
        <s v="SAWYLVM33"/>
        <s v="SAWYLVM34"/>
        <s v="SAWYLVM35"/>
        <s v="SAWYLVM36"/>
        <s v="SAWYLVM37"/>
        <s v="SAWYLVM38"/>
        <s v="SAWYLVM39"/>
        <s v="SAWYLVM40"/>
        <s v="SAWYLVM41"/>
        <s v="SAWYLVM42"/>
        <s v="SAWYLVM43"/>
        <s v="SAWYLVM44"/>
        <s v="SAWYLVM45"/>
        <s v="SAWYLVM46"/>
        <s v="SAWYLVM47"/>
        <s v="SAWYLVM48"/>
        <s v="SAWYLVM49"/>
        <s v="SAWYLVM50"/>
        <s v="SAWYLVM51"/>
        <s v="SAWYLVM52"/>
        <s v="SAWYLVM53"/>
        <s v="SAWYLVM54"/>
        <s v="SAWYLVM55"/>
        <s v="SAWYLVM56"/>
        <s v="SAWYLVM57"/>
        <s v="SAWYLVM58"/>
        <s v="SAWYLVM59"/>
        <s v="SAWYLVM60"/>
        <s v="SAWYLVM61"/>
        <s v="CSTMALG001"/>
        <s v="CSTMALG002"/>
        <s v="CSTMALG003"/>
        <s v="CSTMALG004"/>
        <s v="CSTMALG005"/>
        <s v="CSTMALG006"/>
        <s v="CSTMALG007"/>
        <s v="CSTMALG008"/>
        <s v="CSTMALG009"/>
        <s v="CSTMALG010"/>
        <s v="CSTMALG011"/>
        <s v="CSTMALG012"/>
        <s v="CSTMALG013"/>
        <s v="CSTMALG014"/>
        <s v="CSTMALG015"/>
        <s v="CSTMALG016"/>
        <s v="CSTMALG017"/>
        <s v="CSTMALG018"/>
        <s v="CSTMALG019"/>
        <s v="CSTMALG020"/>
        <s v="CSTMALG021"/>
        <s v="CSTMALG022"/>
        <s v="CSTMALG023"/>
        <s v="CSTMALG024"/>
        <s v="CSTMALG025"/>
        <s v="CSTMALG026"/>
        <s v="CSTMALG027"/>
        <s v="CSTMALG028"/>
        <s v="CSTMALG029"/>
        <s v="CSTMALG030"/>
        <s v="CSTMALG031"/>
        <s v="CSTMALG032"/>
        <s v="CSTMALG033"/>
        <s v="CSTMALG034"/>
        <s v="CSTMALG035"/>
        <s v="CSTMALG036"/>
        <s v="CSTMALG037"/>
        <s v="CSTMALG038"/>
        <s v="CSTMALG039"/>
        <s v="SSIVHRL01"/>
        <s v="SSIVHRL02"/>
        <s v="SSIVHRL03"/>
        <s v="SSIVHRL04"/>
        <s v="SSIVHRL05"/>
        <s v="SSIVHRL06"/>
        <s v="SSIVHRL07"/>
        <s v="SSIVHRL08"/>
        <s v="SSIVHRL09"/>
        <s v="SSIVHRL10"/>
        <s v="SSIVHRL11"/>
        <s v="SSIVHRL12"/>
        <s v="SSIVHRL13"/>
        <s v="SSIVHRL14"/>
        <s v="SSIVHRL15"/>
        <s v="SSIVHRL16"/>
        <s v="SSIVHRL17"/>
        <s v="SSIVHRL18"/>
        <s v="SSIVHRL19"/>
        <s v="SSIVHRL20"/>
        <s v="SSIVHRL21"/>
        <s v="SSIVHRL22"/>
        <s v="SSIVHRL23"/>
        <s v="SSIVHRL24"/>
        <s v="SSIVHRL25"/>
        <s v="SSIVHRL26"/>
        <s v="SSIVHRL27"/>
        <s v="SSIVHRL28"/>
        <s v="SSIVHRL29"/>
        <s v="SSIVHRL30"/>
        <s v="SSIVHRL31"/>
        <s v="SSIVHRL32"/>
        <s v="SSIVHRL33"/>
        <s v="SSIVHRL34"/>
        <s v="SSIVHRL35"/>
        <s v="SSIVHRL36"/>
        <s v="SSIVHRL37"/>
        <s v="SSIVHRL38"/>
        <s v="SSIVHRL39"/>
        <s v="SSIVHRL40"/>
        <s v="SSIVHRL41"/>
        <s v="SSIVHRL42"/>
        <s v="SSIVHRL43"/>
        <s v="SSIVHRL44"/>
        <s v="SSIVHRL45"/>
        <s v="SSIVHRL46"/>
        <s v="SSIVHRL47"/>
        <s v="SSIVHRL48"/>
        <s v="SSIVHRL49"/>
        <s v="SSIVHRL50"/>
        <s v="SSIVHRL51"/>
        <s v="SSIVHRL52"/>
        <s v="SSIVHRL53"/>
        <s v="SSIVHRL54"/>
        <s v="SSIVHRL55"/>
        <s v="SSIVHRL56"/>
        <s v="SSIVHRL57"/>
        <s v="SSIVHRL58"/>
        <s v="SSIVHRL59"/>
        <s v="SSIVHRL60"/>
        <s v="SSIVHRL61"/>
        <s v="SSIVHRL62"/>
        <s v="SSIVHRL63"/>
        <s v="SSIVHRL64"/>
        <s v="SSIVHRL65"/>
        <s v="SSIVHRL66"/>
        <s v="SSIVHRL67"/>
        <s v="SSIVHRL68"/>
        <s v="SSIVHRL69"/>
        <s v="SSIVHRL70"/>
        <s v="SSIVHRL71"/>
        <s v="SSIVHRL72"/>
        <s v="SSIVHRL73"/>
        <s v="SSIVHRL74"/>
        <s v="SSIVHRL75"/>
        <s v="SSIVHRL76"/>
        <s v="SSIVHRL77"/>
        <s v="SSIVHRL78"/>
        <s v="SSIVHRL79"/>
        <s v="SSIVHRL80"/>
        <s v="SSIVHRL81"/>
        <s v="SSIVHRL82"/>
        <s v="SSIVHRL83"/>
        <s v="SSIVHRL84"/>
        <s v="SSIVHRL85"/>
        <s v="SSIVHRL86"/>
        <s v="SSIVHRL87"/>
        <s v="SSIVHRL88"/>
        <s v="SSIVHRL89"/>
        <s v="SSIVHRL90"/>
        <s v="SSIVHRL91"/>
        <s v="SSIVHRL92"/>
        <s v="SSIVHRL93"/>
        <s v="SSIVHRL94"/>
        <s v="SSIVHRL95"/>
        <s v="SSIVHRL96"/>
        <s v="SSIVHRL97"/>
        <s v="SSIVHRL98"/>
        <s v="SSIVHRL99"/>
        <s v="SSIVHRL100"/>
        <s v="SSIVHRL101"/>
        <s v="SSIVHRL102"/>
        <s v="SSIVHRL103"/>
        <s v="SSIVHRL104"/>
        <s v="SSIVHRL105"/>
        <s v="SSIVHRL106"/>
        <s v="SSIVHRL107"/>
        <s v="SSIVHRL108"/>
        <s v="SSIVHRL109"/>
        <s v="SSIVHRL110"/>
        <s v="SSIVHRL111"/>
        <s v="SSIVHRL112"/>
        <s v="SSIVHRL113"/>
        <s v="SSIVHRL114"/>
        <s v="SSIVHRL115"/>
        <s v="SSIVHRL116"/>
        <s v="SSIVHRL117"/>
        <s v="SSIVHRL118"/>
        <s v="SSIVHRL119"/>
        <s v="SSIVHRL120"/>
        <s v="SSIVHRL121"/>
        <s v="SSIVHRL122"/>
        <s v="SSIVHRL123"/>
        <s v="SSIVHRL124"/>
        <s v="SSIVHRL125"/>
        <s v="SSIVHRL126"/>
        <s v="SSIVHRL127"/>
        <s v="SSIVHRL128"/>
        <s v="SSIVHRL129"/>
        <s v="SSIVHRL130"/>
        <s v="SSIVHRL131"/>
        <s v="SSIVHRL132"/>
        <s v="SSIVHRL133"/>
        <s v="SSIVHRL134"/>
        <s v="SSIVHRL135"/>
        <s v="SSIVHRL136"/>
        <s v="SSIVHRL137"/>
        <s v="SSIVHRL138"/>
        <s v="SSIVHRL139"/>
        <s v="SSIVHRL140"/>
        <s v="SSIVHRL141"/>
        <s v="SSIVHRL142"/>
        <s v="SSIVHRL143"/>
        <s v="SSIVHRL144"/>
        <s v="SSIVHRL145"/>
        <s v="SSIVHRL146"/>
        <s v="SSIVHRL147"/>
        <s v="SSIVHRL148"/>
        <s v="SSIVHRL149"/>
        <s v="SSIVHRL150"/>
        <s v="SSIVHRL151"/>
        <s v="SSIVHRL152"/>
        <s v="SSIVHRL153"/>
        <s v="SSIVHRL154"/>
        <s v="SSIVHRL155"/>
        <s v="SSIVHRL156"/>
        <s v="SSIVHRL157"/>
        <s v="SSIVHRL158"/>
        <s v="SSIVHRL159"/>
        <s v="SSIVHRL160"/>
        <s v="SSIVHRL161"/>
        <s v="SSIVHRL162"/>
        <s v="SSIVHRL163"/>
        <s v="SSIVHRL164"/>
        <s v="SSIVHRL165"/>
        <s v="SSIVHRL166"/>
        <s v="SSIVHRL167"/>
        <s v="SSIVHRL168"/>
        <s v="SSIVHRL169"/>
        <s v="SSIVHRL170"/>
        <s v="SSIVHRL171"/>
        <s v="SSIVHRL172"/>
        <s v="SSIVHRL173"/>
        <s v="SSIVHRL174"/>
        <s v="SSIVHRL175"/>
        <s v="SSIVHRL176"/>
        <s v="SSIVHRL177"/>
        <s v="SSIVHRL178"/>
        <s v="SSIVHRL179"/>
        <s v="SSIVHRL180"/>
        <s v="SSIVHRL181"/>
        <s v="SSIVHRL182"/>
        <s v="SSIVHRL183"/>
        <s v="SSIVHRL184"/>
        <s v="SSIVHRL185"/>
        <s v="SSIVHRL186"/>
        <s v="SSIVHRL187"/>
        <s v="SSIVHRL188"/>
        <s v="SSIVHRL189"/>
        <s v="SSIVHRL190"/>
        <s v="SSIVHRL191"/>
        <s v="SSIVHRL192"/>
        <s v="SSIVHRL193"/>
        <s v="SSIVHRL194"/>
        <s v="SSIVHRL195"/>
        <s v="SSIVHRL196"/>
        <s v="DSJGRR14"/>
        <s v="DSJGRR15"/>
        <s v="DSJGRR16"/>
        <s v="DSJGRR17"/>
        <s v="DSJGRR18"/>
        <s v="DSJGRR19"/>
        <s v="DSJGRR20"/>
        <s v="DSFOSF07"/>
        <s v="DSFOSF08"/>
        <s v="DSFOSF09"/>
        <s v="DSFOSF10"/>
        <s v="DSFOSF11"/>
        <s v="DSFOSF12"/>
        <s v="DSFOSF13"/>
        <s v="SPDCGF22"/>
        <s v="SPDCGF23"/>
        <s v="SPDCGF24"/>
        <s v="SPDCGF25"/>
        <s v="SPDCGF26"/>
        <s v="SPDCGF27"/>
        <s v="SPDCGF28"/>
        <s v="SPDCGF29"/>
        <s v="SPDCGF30"/>
        <s v="SPDCGF31"/>
        <s v="SPDCGF32"/>
        <s v="SPDCGF33"/>
        <s v="SPDCGF34"/>
        <s v="SPDCGF35"/>
        <s v="SPDCGF36"/>
        <s v="SPDCGF37"/>
        <s v="SPDCGF38"/>
        <s v="SPDCGF39"/>
        <s v="SPDCGF40"/>
        <s v="SPDCGF41"/>
        <s v="SPDCGF42"/>
        <s v="SPDCGF43"/>
        <s v="SPDOVP01"/>
        <s v="SPDOVP02"/>
        <s v="SPDOVP03"/>
        <s v="SPDOVP04"/>
        <s v="SPDOVP05"/>
        <s v="SPDOVP06"/>
        <s v="SPDOVP07"/>
        <s v="SPDOVP08"/>
        <s v="SPDOVP09"/>
        <s v="SPDOVP10"/>
        <s v="SPDOVP11"/>
        <s v="SPDOVP12"/>
        <s v="SPDOVP13"/>
        <s v="SSIVHRL197"/>
        <s v="SSIVHRL198"/>
        <s v="SSIVHRL199"/>
        <s v="SSIVHRL200"/>
        <s v="SSIVHRL201"/>
        <s v="SSIVHRL202"/>
        <s v="SSIVHRL203"/>
        <s v="SSIVHRL204"/>
        <s v="SSIVHRL205"/>
        <s v="SSIVHRL206"/>
        <s v="SSIVHRL207"/>
        <s v="SSIVHRL208"/>
        <s v="SSIVHRL209"/>
        <s v="SSIVHRL210"/>
        <s v="SSIVHRL211"/>
        <s v="SSIVHRL212"/>
        <s v="SSIVHRL213"/>
        <s v="SSIVHRL214"/>
        <s v="SSIVHRL215"/>
        <s v="SSIVHRL216"/>
        <s v="SSIVHRL217"/>
        <s v="SSIVHRL218"/>
        <s v="SSIVHRL219"/>
        <s v="SSIVHRL220"/>
        <s v="SSIVHRL221"/>
        <s v="SSIVHRL222"/>
        <s v="SSIVHRL223"/>
        <s v="SSIVHRL224"/>
        <s v="SSIVHRL225"/>
        <s v="SSIVHRL226"/>
        <s v="SSIVHRL227"/>
        <s v="SSIVHRL228"/>
        <s v="SSIVHRL229"/>
        <s v="SSIVHRL230"/>
        <s v="SSIVHRL231"/>
        <s v="SSIVHRL232"/>
        <s v="SSIVHRL233"/>
        <s v="SSIVHRL234"/>
        <s v="SSIVHRL235"/>
        <s v="SSIVHRL236"/>
        <s v="SSIVHRL237"/>
        <s v="SSIVHRL238"/>
        <s v="SSIVHRL239"/>
        <s v="SSIVHRL240"/>
        <s v="SSIVHRL241"/>
        <s v="SSIVHRL242"/>
        <s v="SSIVHRL243"/>
        <s v="SSIVHRL244"/>
        <s v="SSIVHRL245"/>
        <s v="SSIVHRL246"/>
        <s v="SSIVHRL247"/>
        <s v="SSIVHRL248"/>
        <s v="SSIVHRL249"/>
        <s v="SSIVHRL250"/>
        <s v="SSIVHRL251"/>
        <s v="SSIVHRL252"/>
        <s v="SSIVHRL253"/>
        <s v="SSIVHRL254"/>
        <s v="SSIVHRL255"/>
        <s v="SSIVHRL256"/>
        <s v="SSIVHRL257"/>
        <s v="SSIVHRL258"/>
        <s v="SSIVHRL259"/>
        <s v="SSIVHRL260"/>
        <s v="SSIVHRL261"/>
        <s v="SSIVHRL262"/>
        <s v="SSIVHRL263"/>
        <s v="SSIVHRL264"/>
        <s v="SSIVHRL265"/>
        <s v="SSIVHRL266"/>
        <s v="SSIVHRL267"/>
        <s v="SSIVHRL268"/>
        <s v="SSIVHRL269"/>
        <s v="SSIVHRL270"/>
        <s v="SSIVHRL271"/>
        <s v="SSIVHRL272"/>
        <s v="SSIVHRL273"/>
        <s v="SSIVHRL274"/>
        <s v="SSIVHRL275"/>
        <s v="SSIVHRL276"/>
        <s v="SSIVHRL277"/>
        <s v="SSIVHRL278"/>
        <s v="SSIVHRL279"/>
        <s v="SSIVHRL280"/>
        <s v="SSIVHRL281"/>
        <s v="SSIVHRL282"/>
        <s v="SSIVHRL283"/>
        <s v="SSIVHRL284"/>
        <s v="SSIVHRL285"/>
        <s v="SSIVHRL286"/>
        <s v="SSIVHRL287"/>
        <s v="SSIVHRL288"/>
        <s v="SSIVHRL289"/>
        <s v="SSIVHRL290"/>
        <s v="SSIVHRL291"/>
        <s v="SSIVHRL292"/>
        <s v="SSIVHRL293"/>
        <s v="SSIVHRL294"/>
        <s v="SSIVHRL295"/>
        <s v="SSIVHRL296"/>
        <s v="SSIVHRL297"/>
        <s v="SSIVHRL298"/>
        <s v="SSIVHRL299"/>
        <s v="SSIVHRL300"/>
        <s v="SSIVHRL301"/>
        <s v="SSIVHRL302"/>
        <s v="SSIVHRL303"/>
        <s v="SSIVHRL304"/>
        <s v="SSIVHRL305"/>
        <s v="SSIVHRL306"/>
        <s v="SSIVHRL307"/>
        <s v="SSIVHRL308"/>
        <s v="SSIVHRL309"/>
        <s v="SSIVHRL310"/>
        <s v="SSIVHRL311"/>
        <s v="SSIVHRL312"/>
        <s v="SSIVHRL313"/>
        <s v="SSIVHRL314"/>
        <s v="SSIVHRL315"/>
        <s v="SSIVHRL316"/>
        <s v="SSIVHRL317"/>
        <s v="SSIVHRL318"/>
        <s v="SSIVHRL319"/>
        <s v="SSIVHRL320"/>
        <s v="SSIVHRL321"/>
        <s v="SSIVHRL322"/>
        <s v="SSIVHRL323"/>
        <s v="SSIVHRL324"/>
        <s v="SSIVHRL325"/>
        <s v="SSIVHRL326"/>
        <s v="SSIVHRL327"/>
        <s v="SSIVHRL328"/>
        <s v="SSIVHRL329"/>
        <s v="SSIVHRL330"/>
        <s v="SSIVHRL331"/>
        <s v="SAWYLVM62"/>
        <s v="SAWYLVM63"/>
        <s v="SAWYLVM64"/>
        <s v="SAWYLVM65"/>
        <s v="SAWYLVM66"/>
        <s v="SAWYLVM67"/>
        <s v="SAWYLVM68"/>
        <s v="SAWYLVM69"/>
        <s v="SAWYLVM70"/>
        <s v="SAWYLVM71"/>
        <s v="SAWYLVM72"/>
        <s v="SAWYLVM73"/>
        <s v="SAWYLVM74"/>
        <s v="SAWYLVM75"/>
        <s v="SAWYLVM76"/>
        <s v="SAWYLVM77"/>
        <s v="SAWYLVM78"/>
        <s v="SAWYLVM79"/>
        <s v="SAWYLVM80"/>
        <s v="SAWYLVM81"/>
        <s v="SAWYLVM82"/>
        <s v="SAWYLVM83"/>
        <s v="SAWYLVM84"/>
        <s v="SAWYLVM85"/>
        <s v="SAWYLVM86"/>
        <s v="SAWYLVM87"/>
        <s v="SAWYLVM88"/>
        <s v="SAWYLVM89"/>
        <s v="SAWYLVM90"/>
        <s v="SAWYLVM91"/>
        <s v="SAWYLVM92"/>
        <s v="SAWYLVM93"/>
        <s v="SAWYLVM94"/>
        <s v="SAWYLVM95"/>
        <s v="SAWYLVM96"/>
        <s v="SAWYLVM97"/>
        <s v="SAWYLVM98"/>
        <s v="SAWYLVM99"/>
        <s v="SAWYLVM100"/>
        <s v="SAWYLVM101"/>
        <s v="SAWYLVM102"/>
        <s v="SAWYLVM103"/>
        <s v="SAWYLVM104"/>
        <s v="SAWYLVM105"/>
        <s v="SAWYLVM106"/>
        <s v="SAWYLVM107"/>
        <s v="SAWYLVM108"/>
        <s v="SAWYLVM109"/>
        <s v="SAWYLVM110"/>
        <s v="SAWYLVM111"/>
        <s v="SAWYLVM112"/>
        <s v="SAWYLVM113"/>
        <s v="SAWYLVM114"/>
        <s v="SAWYLVM115"/>
        <s v="SAWYLVM116"/>
        <s v="SAWYLVM117"/>
        <s v="SAWYLVM118"/>
        <s v="SAWYLVM119"/>
        <s v="SAWYLVM120"/>
        <s v="SAWYLVM121"/>
        <s v="SAWYLVM122"/>
        <s v="SAWYLVM123"/>
        <s v="SAWYLVM124"/>
        <s v="SAWYLVM125"/>
        <s v="SAWYLVM126"/>
        <s v="SAWYLVM127"/>
        <s v="SAWYLVM128"/>
        <s v="SAWYLVM129"/>
        <s v="SAWYLVM130"/>
        <s v="SAWYLVM131"/>
        <s v="SAWYLVM132"/>
        <s v="SAWYLVM133"/>
        <s v="SAWYLVM134"/>
        <s v="DSCOCO010"/>
        <s v="DSCOCO011"/>
        <s v="DSCOCO012"/>
        <s v="DSCOCO013"/>
        <s v="DSCOCO014"/>
        <s v="DSCOCO015"/>
        <s v="DSCOCO016"/>
        <s v="DSCOCO017"/>
        <s v="DSCOCO018"/>
        <s v="CSTMALG040"/>
        <s v="CSTMALG041"/>
        <s v="CSTMALG042"/>
        <s v="CSTMALG043"/>
        <s v="CSTMALG044"/>
        <s v="CSTMALG045"/>
        <s v="CSTMALG046"/>
        <s v="CSTMALG047"/>
        <s v="CSTMALG048"/>
        <s v="CSTMALG049"/>
        <s v="CSTMALG050"/>
        <s v="CSTMALG051"/>
        <s v="CSTMALG052"/>
        <s v="CSTMALG053"/>
        <s v="CSTMALG054"/>
        <s v="CSTMALG055"/>
        <s v="CSTMALG056"/>
        <s v="CSTMALG057"/>
        <s v="CSTMALG058"/>
        <s v="CSTMALG059"/>
        <s v="CSTMALG060"/>
        <s v="CSTMALG061"/>
        <s v="CSTMALG062"/>
        <s v="CSTMALG063"/>
        <s v="CSTMALG064"/>
        <s v="CSTMALG065"/>
        <s v="CSTMALG066"/>
        <s v="CSTMALG067"/>
        <s v="CSTMALG068"/>
        <s v="CSTMALG069"/>
        <s v="CSTMALG070"/>
        <s v="CSTMALG071"/>
        <s v="SAWERF01"/>
        <s v="SAWERF02"/>
        <s v="SAWERF03"/>
        <s v="SAWERF04"/>
        <s v="SAWERF05"/>
        <s v="SAWERF06"/>
        <s v="SAWERF07"/>
        <s v="SAWERF08"/>
        <s v="SAWERF09"/>
        <s v="SAWERF10"/>
        <s v="SAWERF11"/>
        <s v="SAINRO01"/>
        <s v="SAINRO02"/>
        <s v="SAINRO03"/>
        <s v="SAINRO04"/>
        <s v="SAINRO05"/>
        <s v="SAINRO06"/>
        <s v="SAINRO07"/>
        <s v="SAINRO08"/>
        <s v="SAINRO09"/>
        <s v="SAINRO10"/>
        <s v="SAINRO11"/>
        <s v="SAINRO12"/>
        <s v="SAINRO13"/>
        <s v="SAINRO14"/>
        <s v="SAINRO15"/>
        <s v="SAINRO16"/>
        <s v="SAINRO17"/>
        <s v="SAIGDVM01"/>
        <s v="SAIGDVM02"/>
        <s v="SAIGDVM03"/>
        <s v="SAIGDVM04"/>
        <s v="SAIPMCJ01"/>
        <s v="SAIPMCJ02"/>
        <s v="SAIPMCJ03"/>
        <s v="SAIPMCJ04"/>
        <s v="SAIPMCJ05"/>
        <s v="SAIPMCJ06"/>
        <s v="SAIPMCJ07"/>
        <s v="SAIPMCJ08"/>
        <s v="SAIPMCJ09"/>
        <s v="SAIPMCJ10"/>
        <s v="SAIPMCJ11"/>
        <s v="SAIPMCJ12"/>
        <s v="SAIPMCJ13"/>
        <s v="DSJGRR21"/>
        <s v="DSJGRR22"/>
        <s v="DSJGRR23"/>
        <s v="DSJGRR24"/>
        <s v="DSJGRR25"/>
        <s v="DSJGRR26"/>
        <s v="DSJGRR27"/>
        <s v="DSJGRR28"/>
        <s v="DSFOSF14"/>
        <s v="DSFOSF15"/>
        <s v="DSFOSF16"/>
        <s v="DSFOSF17"/>
        <s v="DSFOSF18"/>
        <s v="DSMKG001"/>
        <s v="DSMKG002"/>
        <s v="DSMKG003"/>
        <s v="DSMKG004"/>
        <s v="DSMKG005"/>
        <s v="DSMKG006"/>
        <s v="DSMKG007"/>
        <s v="DSMKG008"/>
        <s v="DSMKG009"/>
        <s v="DSMKG010"/>
        <s v="DSMKG011"/>
        <s v="DSMKG012"/>
        <s v="DSMKG013"/>
        <s v="DSMKG014"/>
        <s v="DSMKG015"/>
        <s v="DSMKG016"/>
        <s v="DSMKG017"/>
        <s v="DSMKG018"/>
        <s v="DSMKG019"/>
        <s v="DSMKG020"/>
        <s v="DSVJCC001"/>
        <s v="DSVJCC002"/>
        <s v="DSVJCC003"/>
        <s v="DSVJCC004"/>
        <s v="DSVJCC005"/>
        <s v="DSVJCC006"/>
        <s v="SSIOVP014"/>
        <s v="SSIOVP017"/>
        <s v="SSIOVP018"/>
        <s v="SSIOVP019"/>
        <s v="SAIOVP001"/>
        <s v="SAIOVP002"/>
        <s v="SAIOVP003"/>
        <s v="SAIOVP004"/>
        <s v="SAIOVP005"/>
        <s v="SAIOVP006"/>
        <s v="SAIOVP007"/>
        <s v="SAIOVP008"/>
        <s v="SAIOVP009"/>
        <s v="SAIOVP010"/>
        <s v="SAIOVP011"/>
        <s v="SAIOVP012"/>
        <s v="SAIOVP013"/>
        <s v="SPDCGF044"/>
        <s v="SPDCGF045"/>
        <s v="SPDCGF046"/>
        <s v="SPDCGF047"/>
        <s v="SPDCGF048"/>
        <s v="SPDCGF049"/>
        <s v="SPDCGF050"/>
        <s v="SPDCGF051"/>
        <s v="SPDCGF052"/>
        <s v="SPDCGF053"/>
        <s v="SPDCGF054"/>
        <s v="SPDCGF055"/>
        <s v="SPDCGF056"/>
        <s v="SPDCGF057"/>
        <s v="SPDCGF058"/>
        <s v="SPDCGF059"/>
        <s v="SPDCGF060"/>
        <s v="SPDCGF061"/>
        <s v="SAWYLVM135"/>
        <s v="SAWYLVM136"/>
        <s v="SAWYLVM137"/>
        <s v="SAWYLVM138"/>
        <s v="SAWYLVM139"/>
        <s v="SAWYLVM140"/>
        <s v="SAWYLVM141"/>
        <s v="SAWYLVM142"/>
        <s v="SAWYLVM143"/>
        <s v="SAWYLVM144"/>
        <s v="SAWYLVM145"/>
        <s v="SAWYLVM146"/>
        <s v="SAWYLVM147"/>
        <s v="SAWYLVM148"/>
        <s v="SAWYLVM149"/>
        <s v="SAWYLVM150"/>
        <s v="SAWYLVM151"/>
        <s v="SAWYLVM152"/>
        <s v="SAWYLVM153"/>
        <s v="SAWYLVM154"/>
        <s v="SAWYLVM155"/>
        <s v="SAWYLVM156"/>
        <s v="SAWYLVM157"/>
        <s v="SAWYLVM158"/>
        <s v="SAWYLVM159"/>
        <s v="SAWYLVM160"/>
        <s v="SAWYLVM161"/>
        <s v="SAWYLVM162"/>
        <s v="SAWYLVM163"/>
        <s v="SAWYLVM164"/>
        <s v="SAWYLVM165"/>
        <s v="SAWYLVM166"/>
        <s v="SAWYLVM167"/>
        <s v="SAWYLVM168"/>
        <s v="SAWYLVM169"/>
        <s v="SAWYLVM170"/>
        <s v="SAWYLVM171"/>
        <s v="SAWYLVM172"/>
        <s v="SAWYLVM173"/>
        <s v="SAWYLVM174"/>
        <s v="SAWYLVM175"/>
        <s v="SAWYLVM176"/>
        <s v="SAWYLVM177"/>
        <s v="SAWYLVM178"/>
        <s v="SAWYLVM179"/>
        <s v="SAWYLVM180"/>
        <s v="SAWYLVM181"/>
        <s v="SAWERF012"/>
        <s v="SAWERF013"/>
        <s v="SAWERF014"/>
        <s v="SAWERF015"/>
        <s v="SAWERF016"/>
        <s v="SAWERF017"/>
        <s v="SAWERF018"/>
        <s v="SAWERF019"/>
        <s v="SAWERF020"/>
        <s v="SAWERF021"/>
        <s v="SPDAEMF001"/>
        <s v="SPDAEMF002"/>
        <s v="SPDAEMF003"/>
        <s v="SPDAEMF004"/>
        <s v="SPDAEMF005"/>
        <s v="SPDAEMF006"/>
        <s v="SPDAEMF007"/>
        <s v="SPDAEMF008"/>
        <s v="SPDAEMF009"/>
        <s v="SPDAEMF010"/>
        <s v="SPDAEMF011"/>
        <s v="SPDAEMF012"/>
        <s v="SPDAEMF013"/>
        <s v="SPDAEMF014"/>
        <s v="SPDAEMF015"/>
        <s v="SPDAEMF016"/>
        <s v="SPDMALG01"/>
        <s v="SPDMALG02"/>
        <s v="SPDMALG03"/>
        <s v="SPDMALG04"/>
        <s v="SPDMALG05"/>
        <s v="SPDMALG06"/>
        <s v="SPDMALG07"/>
        <s v="SPDMALG08"/>
        <s v="SAIMALG01"/>
        <s v="SPDMALG09"/>
        <s v="SPDMALG10"/>
        <s v="SPDMALG11"/>
        <s v="SPDMALG12"/>
        <s v="SAIMALG02"/>
        <s v="SAIMALG03"/>
        <s v="SAIMALG104"/>
        <s v="SAIMALG05"/>
        <s v="SAIMALG06"/>
        <s v="SPDMALG13"/>
        <s v="SPDMALG14"/>
        <s v="SPDMALG15"/>
        <s v="SPDMALG16"/>
        <s v="SPDMALG17"/>
        <s v="SPDMALG18"/>
        <s v="SAIPMCJ014"/>
        <s v="SAIPMCJ015"/>
        <s v="SAIPMCJ016"/>
        <s v="SAIPMCJ017"/>
        <s v="SAIPMCJ018"/>
        <s v="SAIPMCJ019"/>
        <s v="SAIPMCJ020"/>
        <s v="SAIPMCJ021"/>
        <s v="SAIPMCJ022"/>
        <s v="SAIPMCJ023"/>
        <s v="SAIPMCJ024"/>
        <s v="SAIPMCJ025"/>
        <s v="SAIPMCJ026"/>
        <s v="SAIPMCJ027"/>
        <s v="SAIPMCJ028"/>
        <s v="SAIPMCJ029"/>
        <s v="SAIPMCJ030"/>
        <s v="SAIPMCJ031"/>
        <s v="SAIPMCJ032"/>
        <s v="SAIPMCJ033"/>
        <s v="SAIPMCJ034"/>
        <s v="SAIPMCJ035"/>
        <s v="SAIPMCJ036"/>
        <s v="SAIPMCJ037"/>
        <s v="SAIPMCJ038"/>
        <s v="SAIPMCJ039"/>
        <s v="SAIPMCJ040"/>
        <s v="SAIPMCJ041"/>
        <s v="SAIPMCJ042"/>
        <s v="SAIPMCJ043"/>
        <s v="SAIPMCJ044"/>
        <s v="SAIPMCJ045"/>
        <s v="SAISGJS001"/>
        <s v="SAISGJS002"/>
        <s v="SAISGJS003"/>
        <s v="SAISGJS004"/>
        <s v="SAISGJS005"/>
        <s v="SAISGJS006"/>
        <s v="SAISGJS007"/>
        <s v="SAISGJS008"/>
        <s v="SAISGJS009"/>
        <s v="SAISGJS010"/>
        <s v="SAISGJS011"/>
        <s v="SAISGJS012"/>
        <s v="SAISGJS013"/>
        <s v="SSIVHRL332"/>
        <s v="SSIVHRL333"/>
        <s v="SSIVHRL334"/>
        <s v="SSIVHRL335"/>
        <s v="SSIVHRL336"/>
        <s v="SSIVHRL337"/>
        <s v="SSIVHRL338"/>
        <s v="SSIVHRL339"/>
        <s v="SSIVHRL340"/>
        <s v="SSIVHRL341"/>
        <s v="SSIVHRL342"/>
        <s v="SSIVHRL343"/>
        <s v="SSIVHRL344"/>
        <s v="SSIVHRL345"/>
        <s v="SSIVHRL346"/>
        <s v="SSIVHRL347"/>
        <s v="SSIVHRL348"/>
        <s v="SSIVHRL349"/>
        <s v="SSIVHRL350"/>
        <s v="SSIVHRL351"/>
        <s v="SSIVHRL352"/>
        <s v="SSIVHRL353"/>
        <s v="SSIVHRL354"/>
        <s v="SSIVHRL355"/>
        <s v="SSIVHRL356"/>
        <s v="SSIVHRL357"/>
        <s v="SSIVHRL358"/>
        <s v="SSIVHRL359"/>
        <s v="SSIVHRL360"/>
        <s v="SSIVHRL361"/>
        <s v="SSIVHRL362"/>
        <s v="SSIVHRL363"/>
        <s v="SSIVHRL364"/>
        <s v="SSIVHRL365"/>
        <s v="SSIVHRL366"/>
        <s v="SSIVHRL367"/>
        <s v="SSIVHRL368"/>
        <s v="SSIVHRL369"/>
        <s v="SSIVHRL370"/>
        <s v="SSIVHRL371"/>
        <s v="SSIVHRL372"/>
        <s v="SSIVHRL373"/>
        <s v="SSIVHRL374"/>
        <s v="SSIVHRL375"/>
        <s v="SSIVHRL376"/>
        <s v="SSIVHRL377"/>
        <s v="SSIVHRL378"/>
        <s v="SSIVHRL379"/>
        <s v="SSIVHRL380"/>
        <s v="SSIVHRL381"/>
        <s v="SSIVHRL382"/>
        <s v="SSIVHRL383"/>
        <s v="SSIVHRL384"/>
        <s v="SSIVHRL385"/>
        <s v="SSIVHRL386"/>
        <s v="SSIVHRL387"/>
        <s v="SSIVHRL388"/>
        <s v="SSIVHRL389"/>
        <s v="SSIVHRL390"/>
        <s v="SSIVHRL391"/>
        <s v="SSIVHRL392"/>
        <s v="SSIVHRL393"/>
        <s v="SSIVHRL394"/>
        <s v="SSIVHRL395"/>
        <s v="SSIVHRL396"/>
        <s v="SSIVHRL397"/>
        <s v="SSIVHRL398"/>
        <s v="SSIVHRL399"/>
        <s v="SSIVHRL400"/>
        <s v="SSIVHRL401"/>
        <s v="SSIVHRL402"/>
        <s v="SSIVHRL403"/>
        <s v="SSIVHRL404"/>
        <s v="SSIVHRL405"/>
        <s v="SSIVHRL406"/>
        <s v="SSIVHRL407"/>
        <s v="SSIVHRL408"/>
        <s v="SSIVHRL409"/>
        <s v="SSIVHRL410"/>
        <s v="SSIVHRL411"/>
        <s v="SSIVHRL412"/>
        <s v="SSIVHRL413"/>
        <s v="SSIVHRL414"/>
        <s v="SSIVHRL415"/>
        <s v="SSIVHRL416"/>
        <s v="SSIVHRL417"/>
        <s v="SSIVHRL418"/>
        <s v="SSIVHRL419"/>
        <s v="SSIVHRL420"/>
        <s v="SSIVHRL421"/>
        <s v="SSIVHRL422"/>
        <s v="SSIVHRL423"/>
        <s v="SSIVHRL424"/>
        <s v="SSIVHRL425"/>
        <s v="SSIVHRL426"/>
        <s v="SSIVHRL427"/>
        <s v="SSIVHRL428"/>
        <s v="SSIVHRL429"/>
        <s v="SSIVHRL430"/>
        <s v="SSIVHRL431"/>
        <s v="SSIVHRL432"/>
        <s v="SSIVHRL433"/>
        <s v="SSIVHRL434"/>
        <s v="SSIVHRL435"/>
        <s v="SSIVHRL436"/>
        <s v="SSIVHRL437"/>
        <s v="SSIVHRL438"/>
        <s v="SSIVHRL439"/>
        <s v="SSIVHRL440"/>
        <s v="SSIVHRL441"/>
        <s v="SSIVHRL442"/>
        <s v="SSIVHRL443"/>
        <s v="SSIVHRL444"/>
        <s v="SSIVHRL445"/>
        <s v="SSIVHRL446"/>
        <s v="SSIVHRL447"/>
        <s v="SSIVHRL448"/>
        <s v="SSIVHRL449"/>
        <s v="SSIVHRL450"/>
        <s v="SSIVHRL451"/>
        <s v="SSIVHRL452"/>
        <s v="SSIVHRL453"/>
        <s v="SSIVHRL454"/>
        <s v="SSIVHRL455"/>
        <s v="SSIVHRL456"/>
        <s v="SSIVHRL457"/>
        <s v="SSIVHRL458"/>
        <s v="SSIVHRL459"/>
        <s v="SSIVHRL460"/>
        <s v="SSIVHRL461"/>
        <s v="SSIVHRL462"/>
        <s v="SSIVHRL463"/>
        <s v="SSIVHRL464"/>
        <s v="SSIVHRL465"/>
        <s v="SSIVHRL466"/>
        <s v="SSIVHRL467"/>
        <s v="SSIVHRL468"/>
        <s v="SSIVHRL469"/>
        <s v="SSIVHRL470"/>
        <s v="SSIVHRL471"/>
        <s v="SSIVHRL472"/>
        <s v="SSIVHRL473"/>
        <s v="SSIVHRL474"/>
        <s v="SSIVHRL475"/>
        <s v="SSIVHRL476"/>
        <s v="SSIVHRL477"/>
        <s v="SSIVHRL478"/>
        <s v="SSIVHRL479"/>
        <s v="SSIVHRL480"/>
        <s v="SSIVHRL481"/>
        <s v="SSIVHRL482"/>
        <s v="SSIVHRL483"/>
        <s v="SSIVHRL484"/>
        <s v="SSIVHRL485"/>
        <s v="SSIVHRL486"/>
        <s v="SSIVHRL487"/>
        <s v="SSIVHRL488"/>
        <s v="SSIVHRL489"/>
        <s v="SSIVHRL490"/>
        <s v="SSIVHRL491"/>
        <s v="SSIVHRL492"/>
        <s v="SSIVHRL493"/>
        <s v="SSIVHRL494"/>
        <s v="SSIVHRL495"/>
        <s v="SSIVHRL496"/>
        <s v="SSIVHRL497"/>
        <s v="SSIVHRL498"/>
        <s v="SSIVHRL499"/>
        <s v="SSIVHRL500"/>
        <s v="SSIVHRL501"/>
        <s v="SSIVHRL502"/>
        <s v="SSIVHRL503"/>
        <s v="SSIVHRL504"/>
        <s v="SSIVHRL505"/>
        <s v="SSIVHRL506"/>
        <s v="SSIVHRL507"/>
        <s v="SSIVHRL508"/>
        <s v="SSIVHRL509"/>
        <s v="SSIVHRL510"/>
        <s v="SSIVHRL511"/>
        <s v="SSIVHRL512"/>
        <s v="SSIVHRL513"/>
        <s v="SSIVHRL514"/>
        <s v="SSIVHRL515"/>
        <s v="SSIVHRL516"/>
        <s v="SSIVHRL517"/>
        <s v="SSIVHRL518"/>
        <s v="SSIVHRL519"/>
        <s v="SSIVHRL520"/>
        <s v="SSIVHRL521"/>
        <s v="SSIVHRL522"/>
        <s v="SSIVHRL523"/>
        <s v="SSIVHRL524"/>
        <s v="SSIVHRL525"/>
        <s v="SSIVHRL526"/>
        <s v="SSIVHRL527"/>
        <s v="SSIVHRL528"/>
        <s v="SSIVHRL529"/>
        <s v="SSIVHRL530"/>
        <s v="SSIVHRL531"/>
        <s v="SSIVHRL532"/>
        <s v="DSCOCO019"/>
        <s v="DSCOCO020"/>
        <s v="DSCOCO021"/>
        <s v="DSCOCO022"/>
        <s v="DSCOCO023"/>
        <s v="DSCOCO024"/>
        <s v="DSCOCO025"/>
        <s v="DSCOCO026"/>
        <s v="DSCOCO027"/>
        <s v="DSCOCO028"/>
        <s v="SAIJDBR01"/>
        <s v="SAIJDBR02"/>
        <s v="SAIJDBR03"/>
        <s v="SAIJDBR04"/>
        <s v="SAIJDBR05"/>
        <s v="SAIJDBR06"/>
        <s v="SAIJDBR07"/>
        <s v="SAIJDBR08"/>
        <s v="SAIJDBR09"/>
        <s v="SAIJDBR10"/>
        <s v="SAIJDBR11"/>
        <s v="SAIJDBR12"/>
        <s v="SAIJDBR13"/>
        <s v="SAIJDBR14"/>
        <s v="SAIJDBR15"/>
        <s v="SAIJDBR16"/>
        <s v="SAIJDBR17"/>
        <s v="SAIJDBR18"/>
        <s v="SAIJDBR19"/>
        <s v="SAIJDBR20"/>
        <s v="SAIJDBR21"/>
        <s v="SAIJDBR22"/>
        <s v="SAIJDBR23"/>
        <s v="SAIJDBR24"/>
        <s v="SAIJDBR25"/>
        <s v="SAIJDBR26"/>
        <s v="SAIJDBR27"/>
        <s v="SAIJDBR28"/>
        <s v="SAIJDBR29"/>
        <s v="SAIJDBR30"/>
        <s v="SAIJDBR31"/>
        <s v="SAIJDBR32"/>
        <s v="SAIJDBR33"/>
        <s v="SAIJDBR34"/>
        <s v="SAIJDBR35"/>
        <s v="SAIJDBR36"/>
        <s v="SAIJDBR37"/>
        <s v="SAIJDBR38"/>
        <s v="SAIJDBR39"/>
        <s v="SAIJDBR40"/>
        <s v="SAIJDBR41"/>
        <s v="SAIJDBR42"/>
        <s v="SAIJDBR43"/>
        <s v="SAIJDBR44"/>
        <s v="SAIJDBR45"/>
        <s v="SAIJDBR46"/>
        <s v="SAIMAN001"/>
        <s v="SAIMAN002"/>
        <s v="SAIMAN003"/>
        <s v="SAIMAN004"/>
        <s v="SAIMAN005"/>
        <s v="SAIMAN006"/>
        <s v="SAIMAN007"/>
        <s v="SAIMAN008"/>
        <s v="SAIMAN009"/>
        <s v="SAIMAN010"/>
        <s v="SAIMAN011"/>
        <s v="SAIMAN012"/>
        <s v="SAIMAN013"/>
        <s v="SAIMAN014"/>
        <s v="SAIGDVM05"/>
        <s v="SAIGDVM06"/>
        <s v="SAIGDVM07"/>
        <s v="SAIGDVM08"/>
        <s v="SAIGDVM09"/>
        <s v="SAIGDVM10"/>
        <s v="SAIGDVM11"/>
        <s v="SAIGDVM12"/>
        <s v="SAIGDVM13"/>
        <s v="DSVJCC007"/>
        <s v="DSVJCC008"/>
        <s v="DSVJCC009"/>
        <s v="DSVJCC010"/>
        <s v="DSVJCC011"/>
        <s v="DSMKG021"/>
        <s v="DSMKG022"/>
        <s v="DSMKG023"/>
        <s v="DSMKG024"/>
        <s v="DSMKG025"/>
        <s v="DSMKG026"/>
        <s v="DSMKG027"/>
        <s v="DSMKG028"/>
        <s v="DSMKG029"/>
        <s v="DSMKG030"/>
        <s v="DSMKG031"/>
        <s v="DSMKG032"/>
        <s v="DSJGRR29"/>
        <s v="DSJGRR30"/>
        <s v="DSJGRR31"/>
        <s v="DSJGRR32"/>
        <s v="DSJGRR33"/>
        <s v="DSJGRR34"/>
        <s v="DSJGRR35"/>
        <s v="DSJGRR36"/>
        <s v="DSJGRR37"/>
        <s v="DSJGRR38"/>
        <s v="DSJGRR39"/>
        <s v="DSJGRR40"/>
        <s v="DSJGRR41"/>
        <s v="SAWERF22"/>
        <s v="SAWERF23"/>
        <s v="SAWERF24"/>
        <s v="SAWERF25"/>
        <s v="SAWERF26"/>
        <s v="SPDAEMF017"/>
        <s v="SPDAEMF018"/>
        <s v="SPDAEMF019"/>
        <s v="SPDAEMF020"/>
        <s v="SPDAEMF021"/>
        <s v="SPDAEMF02"/>
        <s v="SPDAEMF023"/>
        <s v="SPDAEMF024"/>
        <s v="SPDAEMF025"/>
        <s v="SPDAEMF026"/>
        <s v="SPDAEMF027"/>
        <s v="SPDAEMF028"/>
        <s v="SAWYLVM182"/>
        <s v="SAWYLVM183"/>
        <s v="SAWYLVM184"/>
        <s v="SAWYLVM185"/>
        <s v="SAWYLVM186"/>
        <s v="SAWYLVM187"/>
        <s v="SAWYLVM188"/>
        <s v="SAWYLVM189"/>
        <s v="SAWYLVM190"/>
        <s v="SAWYLVM191"/>
        <s v="SAWYLVM192"/>
        <s v="SAWYLVM193"/>
        <s v="SAWYLVM194"/>
        <s v="SAWYLVM195"/>
        <s v="SAWYLVM196"/>
        <s v="SAWYLVM197"/>
        <s v="SAWYLVM198"/>
        <s v="SAWYLVM199"/>
        <s v="SAWYLVM200"/>
        <s v="SAWYLVM201"/>
        <s v="SAWYLVM202"/>
        <s v="SAWYLVM203"/>
        <s v="SAWYLVM204"/>
        <s v="SAWYLVM205"/>
        <s v="SAWYLVM206"/>
        <s v="SAWYLVM207"/>
        <s v="SAWYLVM208"/>
        <s v="SAWYLVM209"/>
        <s v="SAWYLVM210"/>
        <s v="SAWYLVM211"/>
        <s v="SAWYLVM212"/>
        <s v="SAWYLVM213"/>
        <s v="SAWYLVM214"/>
        <s v="SAWYLVM215"/>
        <s v="SAWYLVM216"/>
        <s v="SAWYLVM217"/>
        <s v="SAWYLVM218"/>
        <s v="SAWYLVM219"/>
        <s v="SAWYLVM220"/>
        <s v="SAWYLVM221"/>
        <s v="SAWYLVM222"/>
        <s v="SAWYLVM223"/>
        <s v="SAWYLVM224"/>
        <s v="SAWYLVM225"/>
        <s v="SAWYLVM226"/>
        <s v="SAWYLVM227"/>
        <s v="SAWYLVM228"/>
        <s v="SAWYLVM229"/>
        <s v="SAWYLVM230"/>
        <s v="SPDCGF062"/>
        <s v="SPDCGF063"/>
        <s v="SPDCGF064"/>
        <s v="SPDCGF065"/>
        <s v="SPDCGF066"/>
        <s v="SPDCGF067"/>
        <s v="SPDCGF068"/>
        <s v="SPDCGF069"/>
        <s v="SPDCGF070"/>
        <s v="SPDCGF071"/>
        <s v="SPDCGF072"/>
        <s v="SPDCGF073"/>
        <s v="SPDCGF074"/>
        <s v="SPDCGF075"/>
        <s v="SPDCGF076"/>
        <s v="SPDCGF077"/>
        <s v="SPDCGF078"/>
        <s v="SPDCGF079"/>
        <s v="SPDCGF080"/>
        <s v="SPDCGF081"/>
        <s v="SPDMALG19"/>
        <s v="SPDMALG20"/>
        <s v="SPDMALG21"/>
        <s v="SPDMALG22"/>
        <s v="SAWMALG001"/>
        <s v="SAWMALG002"/>
        <s v="SAWMALG003"/>
        <s v="SAWMALG004"/>
        <s v="SAWMALG005"/>
        <s v="SAWMALG006"/>
        <s v="SAWMALG007"/>
        <s v="SAWMALG008"/>
        <s v="SAWMALG009"/>
        <s v="SAWMALG010"/>
        <s v="SAWMALG011"/>
        <s v="SAIOVP014"/>
        <s v="SAIOVP015"/>
        <s v="SAIOVP016"/>
        <s v="SAIOVP017"/>
        <s v="SAIOVP018"/>
        <s v="SAIOVP019"/>
        <s v="SAIOVP020"/>
        <s v="SAIOVP021"/>
        <s v="SAIOVP022"/>
        <s v="SAIOVP023"/>
        <s v="SSIVHRL533"/>
        <s v="SSIVHRL534"/>
        <s v="SSIVHRL535"/>
        <s v="SSIVHRL536"/>
        <s v="SSIVHRL537"/>
        <s v="SSIVHRL538"/>
        <s v="SSIVHRL539"/>
        <s v="SSIVHRL540"/>
        <s v="SSIVHRL541"/>
        <s v="SSIVHRL542"/>
        <s v="SSIVHRL543"/>
        <s v="SSIVHRL544"/>
        <s v="SSIVHRL545"/>
        <s v="SSIVHRL546"/>
        <s v="SSIVHRL547"/>
        <s v="SSIVHRL548"/>
        <s v="SSIVHRL549"/>
        <s v="SSIVHRL550"/>
        <s v="SSIVHRL551"/>
        <s v="SSIVHRL552"/>
        <s v="SSIVHRL553"/>
        <s v="SSIVHRL554"/>
        <s v="SSIVHRL555"/>
        <s v="SSIVHRL556"/>
        <s v="SSIVHRL557"/>
        <s v="SSIVHRL558"/>
        <s v="SSIVHRL559"/>
        <s v="SSIVHRL560"/>
        <s v="SSIVHRL561"/>
        <s v="SSIVHRL562"/>
        <s v="SSIVHRL563"/>
        <s v="SSIVHRL564"/>
        <s v="SSIVHRL565"/>
        <s v="SSIVHRL566"/>
        <s v="SSIVHRL567"/>
        <s v="SSIVHRL568"/>
        <s v="SSIVHRL569"/>
        <s v="SSIVHRL570"/>
        <s v="SSIVHRL571"/>
        <s v="SSIVHRL572"/>
        <s v="SSIVHRL573"/>
        <s v="SSIVHRL574"/>
        <s v="SSIVHRL575"/>
        <s v="SSIVHRL576"/>
        <s v="SSIVHRL577"/>
        <s v="SSIVHRL578"/>
        <s v="SSIVHRL579"/>
        <s v="SSIVHRL580"/>
        <s v="SSIVHRL581"/>
        <s v="SSIVHRL582"/>
        <s v="SSIVHRL583"/>
        <s v="SSIVHRL584"/>
        <s v="SSIVHRL585"/>
        <s v="SSIVHRL586"/>
        <s v="SSIVHRL587"/>
        <s v="SSIVHRL588"/>
        <s v="SSIVHRL589"/>
        <s v="SSIVHRL590"/>
        <s v="SSIVHRL591"/>
        <s v="SSIVHRL592"/>
        <s v="SSIVHRL593"/>
        <s v="SSIVHRL594"/>
        <s v="SSIVHRL595"/>
        <s v="SSIVHRL596"/>
        <s v="SSIVHRL597"/>
        <s v="SSIVHRL598"/>
        <s v="SSIVHRL599"/>
        <s v="SSIVHRL600"/>
        <s v="SSIVHRL601"/>
        <s v="SSIVHRL602"/>
        <s v="SSIVHRL603"/>
        <s v="SSIVHRL604"/>
        <s v="SSIVHRL605"/>
        <s v="SSIVHRL606"/>
        <s v="SSIVHRL607"/>
        <s v="SSIVHRL608"/>
        <s v="SSIVHRL609"/>
        <s v="SSIVHRL610"/>
        <s v="SSIVHRL611"/>
        <s v="SSIVHRL612"/>
        <s v="SSIVHRL613"/>
        <s v="SSIVHRL614"/>
        <s v="SSIVHRL615"/>
        <s v="SSIVHRL616"/>
        <s v="SSIVHRL617"/>
        <s v="SSIVHRL618"/>
        <s v="SSIVHRL619"/>
        <s v="SSIVHRL620"/>
        <s v="SSIVHRL621"/>
        <s v="SSIVHRL622"/>
        <s v="SSIVHRL623"/>
        <s v="SSIVHRL624"/>
        <s v="SSIVHRL625"/>
        <s v="SSIVHRL626"/>
        <s v="SSIVHRL627"/>
        <s v="SSIVHRL628"/>
        <s v="SSIVHRL629"/>
        <s v="SSIVHRL630"/>
        <s v="SSIVHRL631"/>
        <s v="SSIVHRL632"/>
        <s v="SSIVHRL633"/>
        <s v="SSIVHRL634"/>
        <s v="SSIVHRL635"/>
        <s v="SSIVHRL636"/>
        <s v="SSIVHRL637"/>
        <s v="SSIVHRL638"/>
        <s v="SSIVHRL639"/>
        <s v="SSIVHRL640"/>
        <s v="SSIVHRL641"/>
        <s v="SSIVHRL642"/>
        <s v="SSIVHRL643"/>
        <s v="SSIVHRL644"/>
        <s v="SSIVHRL645"/>
        <s v="SSIVHRL646"/>
        <s v="SSIVHRL647"/>
        <s v="SSIVHRL648"/>
        <s v="SSIVHRL649"/>
        <s v="SSIVHRL650"/>
        <s v="SSIVHRL651"/>
        <s v="SSIVHRL652"/>
        <s v="SSIVHRL653"/>
        <s v="SSIVHRL654"/>
        <s v="SSIVHRL655"/>
        <s v="SSIVHRL656"/>
        <s v="SSIVHRL657"/>
        <s v="SSIVHRL658"/>
        <s v="SSIVHRL659"/>
        <s v="SSIVHRL660"/>
        <s v="SSIVHRL661"/>
        <s v="SSIVHRL662"/>
        <s v="SSIVHRL663"/>
        <s v="SSIVHRL664"/>
        <s v="SSIVHRL665"/>
        <s v="SSIVHRL666"/>
        <s v="SAIPMCJ046"/>
        <s v="SAIPMCJ047"/>
        <s v="SAIPMCJ048"/>
        <s v="SAIPMCJ049"/>
        <s v="SAIPMCJ050"/>
        <s v="SAIPMCJ051"/>
        <s v="SAIPMCJ052"/>
        <s v="SAIPMCJ053"/>
        <s v="SAIPMCJ054"/>
        <s v="SAIPMCJ055"/>
        <s v="SAIPMCJ056"/>
        <s v="SAIPMCJ057"/>
        <s v="SAIPMCJ058"/>
        <s v="SAIPMCJ059"/>
        <s v="SAIPMCJ060"/>
        <s v="SAIPMCJ061"/>
        <s v="SAIPMCJ062"/>
        <s v="SAIPMCJ063"/>
        <s v="SAIPMCJ064"/>
        <s v="SAIPMCJ065"/>
        <s v="SAIPMCJ066"/>
        <s v="SAIPMCJ067"/>
        <s v="SAIPMCJ068"/>
        <s v="SAIPMCJ069"/>
        <s v="SAIPMCJ070"/>
        <s v="SAIPMCJ071"/>
        <s v="SAIPMCJ072"/>
        <s v="SAIPMCJ073"/>
        <s v="SAIPMCJ074"/>
        <s v="SAIPMCJ075"/>
        <s v="SAIPMCJ076"/>
        <s v="SAIGDVM14"/>
        <s v="SAIGDVM15"/>
        <s v="SAIGDVM16"/>
        <s v="SAIJDBR47"/>
        <s v="SAIJDBR48"/>
        <s v="SAIJDBR49"/>
        <s v="SAIJDBR50"/>
        <s v="SAIJDBR51"/>
        <s v="SAIJDBR52"/>
        <s v="SAIJDBR53"/>
        <s v="SAIJDBR54"/>
        <s v="SAIJDBR55"/>
        <s v="SAIJDBR56"/>
        <s v="SAIJDBR57"/>
        <s v="SAIJDBR58"/>
        <s v="SAIJDBR59"/>
        <s v="SAIJDBR60"/>
        <s v="SAIJDBR61"/>
        <s v="SAIJDBR62"/>
        <s v="SAIJDBR63"/>
        <s v="SAIJDBR64"/>
        <s v="SAIJDBR65"/>
        <s v="SAIJDBR66"/>
        <s v="SAIJDBR67"/>
        <s v="SAIJDBR68"/>
        <s v="SAIJDBR69"/>
        <s v="SAIJDBR70"/>
        <s v="SAIJDBR71"/>
        <s v="SAIJDBR72"/>
        <s v="SAIJDBR73"/>
        <s v="SAIJDBR74"/>
        <s v="SAIJDBR75"/>
        <s v="SAIJDBR76"/>
        <s v="SAIJDBR77"/>
        <s v="SAIJDBR78"/>
        <s v="SAIJDBR79"/>
        <s v="SAIJDBR80"/>
        <s v="SAIJDBR81"/>
        <s v="SAIJDBR82"/>
        <s v="SAIJDBR83"/>
        <s v="SAIJDBR84"/>
        <s v="SAIJDBR85"/>
        <s v="SAIJDBR86"/>
        <s v="SAIJDBR87"/>
        <s v="SAIJDBR88"/>
        <s v="SAIJDBR89"/>
        <s v="SAIJDBR90"/>
        <s v="SAIJDBR91"/>
        <s v="SAIJDBR92"/>
        <s v="SAIJDBR93"/>
        <s v="SAIJDBR94"/>
        <s v="SAIJDBR95"/>
        <s v="SAIJDBR96"/>
        <s v="SAIJDBR97"/>
        <s v="SAIJDBR98"/>
        <s v="SAIJDBR99"/>
        <s v="SAIJDBR100"/>
        <s v="SAIJDBR101"/>
        <s v="SAIJDBR102"/>
        <s v="SAIJDBR103"/>
        <s v="SAIJDBR104"/>
        <s v="SAIJDBR105"/>
        <s v="SAIJDBR106"/>
        <s v="SAIJDBR107"/>
        <s v="SAIJDBR108"/>
        <s v="SAIJDBR109"/>
        <s v="SAIJDBR110"/>
        <s v="SAIJDBR111"/>
        <s v="SAIJDBR112"/>
        <s v="SAIJDBR113"/>
        <s v="SAIJDBR114"/>
        <s v="SAIWEBM015"/>
        <s v="SAIWEBM016"/>
        <s v="SAIWEBM017"/>
        <s v="SAIWEBM018"/>
        <s v="SAIWEBM019"/>
        <s v="SAIWEBM020"/>
        <s v="SAIWEBM021"/>
        <s v="SAIWEBM022"/>
        <s v="SAIWEBM023"/>
        <s v="SAIWEBM024"/>
        <s v="SAIWEBM025"/>
        <s v="SAIWEBM026"/>
        <s v="SAIWEBM027"/>
        <s v="SAIWEBM028"/>
        <s v="SAIWEBM029"/>
        <s v="SAIWEBM030"/>
        <s v="SAIWEBM031"/>
        <s v="SAIWEBM032"/>
        <s v="SAIWEBM033"/>
        <s v="SAIWEBM034"/>
        <s v="SAIWEBM035"/>
        <s v="SAIWEBM036"/>
        <s v="SAIWEBM037"/>
        <s v="SAIWEBM038"/>
        <s v="SAIWEBM039"/>
        <s v="SAIWEBM040"/>
        <s v="SAIWEBM041"/>
        <s v="SAIWEBM042"/>
        <s v="SAIWEBM043"/>
        <s v="SAIWEBM044"/>
        <s v="SAIWEBM045"/>
        <s v="SAIWEBM046"/>
        <s v="DSCOCO029"/>
        <s v="DSCOCO030"/>
        <s v="DSCOCO031"/>
        <s v="DSCOCO032"/>
        <s v="DSCOCO033"/>
        <s v="DSCOCO034"/>
        <s v="DSCOCO035"/>
        <s v="DSCOCO036"/>
        <s v="DSCOCO037"/>
        <s v="DSCOCO038"/>
        <s v="DSCOCO039"/>
        <s v="DSCOCO040"/>
        <s v="DSCOCO041"/>
        <s v="DSCOCO042"/>
        <s v="DSCOCO043"/>
        <s v="DSCOCO044"/>
        <s v="DSCOCO045"/>
        <s v="DSCOCO046"/>
        <s v="DSCOCO047"/>
        <s v="DSCOCO048"/>
        <n v="1" u="1"/>
        <n v="177" u="1"/>
        <n v="178" u="1"/>
        <n v="146" u="1"/>
        <n v="179" u="1"/>
        <n v="147" u="1"/>
        <n v="180" u="1"/>
        <n v="148" u="1"/>
        <n v="197" u="1"/>
        <n v="181" u="1"/>
        <n v="183" u="1"/>
        <n v="200" u="1"/>
        <n v="137" u="1"/>
        <n v="5" u="1"/>
        <n v="4" u="1"/>
        <n v="2" u="1"/>
      </sharedItems>
    </cacheField>
    <cacheField name="Nombre del Servicio / Tarea / Requerimiento" numFmtId="0">
      <sharedItems containsBlank="1" count="3878">
        <s v="Template para Integrantes Línea de Acción"/>
        <s v="Template para Unidades Administrativas"/>
        <s v="Modificación en Templates de Líneas Estrategicas y Líneas de Acción "/>
        <s v="Template Relacionar Areas administrativas"/>
        <s v="Construcción del Service para Integrantes Línea de Acción"/>
        <s v="Conexión del componente para Integrantes Línea de Acción"/>
        <s v="Ajustes en código de Servicio de usuarios "/>
        <s v="Desarrollo de Menus y su Logica"/>
        <s v="Desarrollo de Roles y su Logica"/>
        <s v="Desarrollo Catalogos"/>
        <s v="Revisión de Seguimientos"/>
        <s v="Revisión de Formato ABC"/>
        <s v="Desarrollo Actividades"/>
        <s v="Desarrollo Actividades y su Logica"/>
        <s v="Implementación Catalogos para Seguimiento"/>
        <s v="Desarrollo las botoneras para Actividades y seguimiento"/>
        <s v="Implementación de los serivicios para botoneras y agregado dentro de la pantalla de Actividades"/>
        <s v="Template Configuración Tiempo Respuesta"/>
        <s v="Template Asociar Líneas Acción"/>
        <s v="Conexión al back end del componente de Seguimiento"/>
        <s v="Ajuste de roles en catalogo de Usuarios, mostrando Integrantes para SNT y UA para Integrantes"/>
        <s v="Entrega del componente de Seguimientos con sus altas, bajas, consultas"/>
        <s v="Desarrollo y flujos completos para el componente, servicios, maquetado"/>
        <s v="Servicios de menus, enrutamientos, etc"/>
        <s v="Update de componente"/>
        <s v="Creación desarrollo y flujos para el componente"/>
        <s v="Soporte a servicios"/>
        <s v="Construcción, Mantenimiento, Desarrollo"/>
        <s v="Ambiente de Desarrollo SISAI "/>
        <s v="Servicio - Modificar Turnado Solicitud"/>
        <s v="Servicio-Modificar Respuesta Solicitud"/>
        <s v="Servicio - Sustituir Respuesta"/>
        <s v="Servicios - Bitacora y Servicios Nuevos"/>
        <s v="Ambiente de Desarrollo Pizarras "/>
        <s v="Servicio - Consulta de Seguimientos"/>
        <s v="Servicio - Alta de Seguimientos"/>
        <s v="Servicio - Baja de seguimientos"/>
        <s v="Servicios -Botonera de Seguimientos"/>
        <s v="Servicio - Carga de Actividades ABC"/>
        <s v="OPTIMIZAR FUNCIONALIDAD "/>
        <s v="Desarrollo"/>
        <s v="Revision Contadores INAI"/>
        <s v="Atención de brechas de vulnerabilidad"/>
        <s v="Analisis de requerimientos"/>
        <s v="Diseño y maquetado del módulo de Información Inteligente."/>
        <s v="Crear pantalla de login"/>
        <s v="Incorporar servicios de login"/>
        <s v="Crear pantalla de registro"/>
        <s v="Configuracion Google Firebase, projecto y aplicativos externos"/>
        <s v="Incorporacion Login Facebook"/>
        <s v="Incorporacion Login Google"/>
        <s v="Incorporacion Login Twitter"/>
        <s v="Incorporacion Login Apple"/>
        <s v="Agregar excepciones para falta de emial en redes sociales y configuracion interceptor "/>
        <s v="Crear pantalla de Home"/>
        <s v="Crear card para pantalla home"/>
        <s v="Generar listados de menus en home"/>
        <s v="Generar componente de carga "/>
        <s v="Crear pantalla de buscador Mis Solicitudes"/>
        <s v="Crear selector de Organo garante"/>
        <s v="Crear selector de sujeto obligado"/>
        <s v="Crear listado de Mis solicitudes"/>
        <s v="Generar vista detalle de mis solicitudes"/>
        <s v="Generar vista historial de mis solicitudes"/>
        <s v="Generar vista Crear Solicitud de Informacion Publica"/>
        <s v="Modificar archivos nativos para integracion de plugins para seleccionar archivos"/>
        <s v="Generar listado de notificaciones para el detalle de mis solicitudes"/>
        <s v="Generar vista Crear Solicitud de Datos Personales"/>
        <s v="DESARROLLO PLANTILLAS POWER BI"/>
        <s v="Servicios de Seguimiento de Actividades"/>
        <s v="Módulo de Actividades ABC"/>
        <s v="Atención de Hallazgos de Seguridad de Buscadores"/>
        <s v="Atención de incidencias"/>
        <s v="Prueba y revisión de inicidencias"/>
        <s v="Seguimiento incidencias pizarrras"/>
        <s v="Análisis de la reingeniería del proyecto de quejas"/>
        <s v="Estudio StoreProcedure"/>
        <s v="Se inicia el proyecto nuevo de quejas "/>
        <s v="Mapeo de clases para servicio guardado quejas"/>
        <s v="Mapeo de catálogos de quejas"/>
        <s v="Creación de servicios, Daos"/>
        <s v="Diseño de servicios "/>
        <s v="Implementación servicio guardar quejas"/>
        <s v="Corrección de bug en producción"/>
        <s v="Se revisa con SICOM servicio actual"/>
        <s v="Guía e implmentacion de error en producción"/>
        <s v="Doumentacion "/>
        <s v="Elaboración de HTML módulo de Información Inteligente."/>
        <s v="Cambio en la maqueta"/>
        <s v="Ajustes finales en codigo fuente para liberación del aplicativo"/>
        <s v="Cierre de proyecto y adecuaciones productivas"/>
        <s v="Buscador"/>
        <s v="Reunión de trabajo"/>
        <s v="Capacitación Redux"/>
        <s v="Acceso a repositorio"/>
        <s v="Maquetado"/>
        <s v="Diseño carrusel principal"/>
        <s v="Diseño carrusel secundario"/>
        <s v="Aplicación de diseño Redux"/>
        <s v="Modificación de tarjetas"/>
        <s v="Correctivos"/>
        <s v="Tarjeta SISAI, Tarjeta SICOM"/>
        <s v="Tarjeta SIPOT"/>
        <s v="Incorporar servicios para generar una solicitud de informacion publica"/>
        <s v="Incorporar servicios para generar una solicitud de informacion de datos personales"/>
        <s v="Validaciones para generar una solicitud de informacion "/>
        <s v="Creacion de pantalla de descarga de acuses"/>
        <s v="Integrar cuerpo de peticiones para alta de solicitudes"/>
        <s v="Creacion de pantalla para cambio de datos de cuenta"/>
        <s v="Correccion de problemas de conectividad"/>
        <s v="Integracion de servicios para cambiar datos"/>
        <s v="Integracion de servicio para recuperar datos de cuenta"/>
        <s v="Integracion de servicios para cambiar contraseña"/>
        <s v="Creacion de pantalla para cambiar contraseña"/>
        <s v="Agregar opciones de domicilio a recurrente disponibilidad"/>
        <s v="Integrar calculo de costos para recurrente disponibilidad"/>
        <s v="Validaciones para entrega de informacion"/>
        <s v="Integrar servicio para responder recurrente disponibilidad"/>
        <s v="Integrar servicio para responder recurrente prevencion"/>
        <s v="Creacion pantalla buscador mis quejas"/>
        <s v="Creacion pantalla detalle de mis quejas"/>
        <s v="Integrar push notifications"/>
        <s v="Integrar buscador nacional solicitudes"/>
        <s v="Integrar buscador nacional quejas"/>
        <s v="Integrar buscador nacional obligaciones"/>
        <s v="PDF Buscador nacional obligaciones"/>
        <s v="PDF Buscador nacional solicitudes"/>
        <s v="Integrar estadisticos en buscadores"/>
        <s v="Integrar descarga de archivos adjuntos en buscadores"/>
        <s v="Configuracion de perfil"/>
        <s v="Pruebas de servicios"/>
        <s v="Registro de usuarios"/>
        <s v="Revision de pantallas de la app"/>
        <s v="Registro de usuarios pnt v3"/>
        <s v="Registro con redes sociales"/>
        <s v="Recuperar contraseña"/>
        <s v="Atención de requerimientos"/>
        <s v="Generar clase para cifrar AES"/>
        <s v="Generar clase para decifrar AES"/>
        <s v="Creacion de pantalla para alta de quejas"/>
        <s v="Creacion de pantalla para listar folios generados"/>
        <s v="Incorporar servicios para configuracion de perfil sisai"/>
        <s v="Cambios de mensajes catch de excepciones en peticiones http"/>
        <s v="Validacion permisos vpn"/>
        <s v="Revision de servicios y pantallas"/>
        <s v="Obtener json cifrado para registro de solicitudes de informacion publica y datos personales"/>
        <s v="Modificar servicios de registro de solicitudes de informacion publica y datos personales"/>
        <s v="Incorporar servicios para descargar acuse de solicitud"/>
        <s v="Seguimiento de mis quejas"/>
        <s v="Observaciones Seguimientos"/>
        <s v="Servicio Guardar Queja"/>
        <s v="Servicio Consultar Mis Quejas"/>
        <s v="Servicio Consultar Medio de Impugnacion"/>
        <s v="Servicio consultar notificaciones"/>
        <s v="Servicio Consultar Archivo"/>
        <s v="Daily"/>
        <s v="Correctivos "/>
        <s v="Desarrollo Especiales"/>
        <s v="Graficos especiales"/>
        <s v="Descargas"/>
        <s v="Tabla, paginador"/>
        <s v="Graficas de Tendencias"/>
        <s v="Tarjetas solicitudes, quejas e información, Carruseles"/>
        <s v="Funcionalidad div 60.40"/>
        <s v="Optimización de código"/>
        <s v="Performance código"/>
        <s v="Finalización de componentes"/>
        <s v="Requerimientos para reportes estadísticos"/>
        <s v="Incidencia producción "/>
        <s v="Servicio updateStatus "/>
        <s v="Servicio guarda documento respuesta notificación "/>
        <s v="Servicio respuesta notificación "/>
        <s v="Prueba guardado de quejas "/>
        <s v="Servicio de respuesta solicitud "/>
        <s v="Incidencia producción  "/>
        <s v="Implementar servicio del registro de estadístico en todo el buscador"/>
        <s v="Maquetado formulario"/>
        <s v="Maquetado grid"/>
        <s v="Maquetado funcionalidad"/>
        <s v="Maquetado pantalla"/>
        <s v="Registro quejas"/>
        <s v="Pantallas para seguimiento de mis quejas"/>
        <s v="Cambios de url para nuevos servicios de modulousuarios"/>
        <s v="Mis quejas"/>
        <s v="Correcciones de app"/>
        <s v="Incorporar servicios para descargar adjuntos"/>
        <s v="Buscador mis solicitudes"/>
        <s v="Notificaciones de Mis quejas"/>
        <s v="Cominucacion de Mis quejas"/>
        <s v="SAIMEX"/>
        <s v="Atención a observaciones"/>
        <s v="Se instalo el software Forticlient"/>
        <s v="Se configura la VPN para conectarme al INAI"/>
        <s v="Se revisa el Diccionario de Datos del SISAI"/>
        <s v="Se revisa el Diagrama E-R del SISAI"/>
        <s v="Se instala el software Toad for Oracle"/>
        <s v="Se configura la conexión para la base de datos de producción"/>
        <s v="Se accede a carpeta de SharePoint de SISAI"/>
        <s v="Se revisa el archivo 'Querys SISAI'"/>
        <s v="Se revisa el archivo 'Relación de querys de la PNT a mejorar'"/>
        <s v="Se solicito el acceso a la base de datos para desarrollo"/>
        <s v="Se valida conexión a basa de datos de desarrollo"/>
        <s v="Se revisa documento 'Querys Ponencia Sisai'"/>
        <s v="Análisis de componentes de Cubernetes"/>
        <s v="Configuración VPN al INAI"/>
        <s v="Se reviso acceso a los diferentes servidores"/>
        <s v="Actualizacion de SO"/>
        <s v="Instalacion de software de pre requisitos"/>
        <s v="Configuracion de pre-requisitos"/>
        <s v="Configuracion de operator node"/>
        <s v="Configuracion de usuario"/>
        <s v="Se configuro el SSH passworless login"/>
        <s v="Pruebas Servicios Internos"/>
        <s v="Servicios Externos"/>
        <s v="Servicios Externos / Pruebas Servicios Internos"/>
        <s v="Pruebas y Correcciones de Servicios Internos "/>
        <s v="Conexión de servicio para guardado de queja"/>
        <s v="Pruebas de servicios internos"/>
        <s v="Agregar usuario de Oracle a Sudo"/>
        <s v="Eliminar root para acceso por ssh"/>
        <s v="Instalar  repositorio OLCNE"/>
        <s v="Configurar Chrony"/>
        <s v="Deshabilitar firewall"/>
        <s v="Habilitar modulos de kernel que necesita k8s"/>
        <s v="Configurar worker nodes"/>
        <s v="Instalar olcne-agent y olcne-utils"/>
        <s v="Instalar y configurar  HAProxy"/>
        <s v="Crear X.509 Certificates para nodos de Kubernetes"/>
        <s v="Configurar  de X.509 Certificates para el servicio de  externalIPs Kubernetes"/>
        <s v="Crear ambiente usando los  Certificates"/>
        <s v="Crear cluster de kubernetes"/>
        <s v="Configurar Kubernetes Pod Network"/>
        <s v="Verificar  funcionamiento de kubernetes"/>
        <s v="Sesión para Revisar Sistema SISAI con subdirector"/>
        <s v="Sesión para revisar detalle de tablas que componen al SISAI"/>
        <s v="Analisis de las tablas del SISAN que se revisaron el sesiones"/>
        <s v="Se analiza 1er consulta del Archivo Querys Ponencia, se valida en herramienta"/>
        <s v="Se analiza 2da consulta del Archivo Querys Ponencia, se valida en herramienta"/>
        <s v="Se analiza 3er consulta del Archivo Querys Ponencia, se valida en herramienta"/>
        <s v="Se analiza 4ta consulta del Archivo Querys Ponencia, se valida en herramienta"/>
        <s v="Se analiza 5ta consulta del Archivo Querys Ponencia, se valida en herramienta"/>
        <s v="Se analiza 6ta consulta del Archivo Querys Ponencia, se valida en herramienta"/>
        <s v="Se analiza 7ma consulta del Archivo Querys Ponencia, se valida en herramienta"/>
        <s v="Se analiza 8va consulta del Archivo Querys Ponencia, se valida en herramienta"/>
        <s v="Se analiza 9na consulta del Archivo Querys Ponencia, se valida en herramienta"/>
        <s v="Se revisan herramienta Toad For Oracle para poder utilizar el 'Auto Optimize SQL'"/>
        <s v="Se solicita apoyo del DBA para crear tabla en Desarrollo para validar si el Auto Optimizador SQL funciona"/>
        <s v="Se solicita apoyo del DBA para otorgar permisos de escritura en usuario NREYES"/>
        <s v="Se valida y comprueba que funciona la herramienta de Optimizador de SQL para Desarrollo"/>
        <s v="Se solicita apoyo del DBA para crear tabla en producción para validar si el Auto Optimizador SQL funciona"/>
        <s v="Se solicita apoyo del DBA para otorgar permisos de escritura en usuario NREYES_RO Temporalmente"/>
        <s v="Se valida y comprueba que funciona la herramienta de Auto Optimizador de SQL para Producción"/>
        <s v="Se afinaron detalles de mejoras de Querys Ponencia"/>
        <s v="Se finalizó documento  'Querys Ponencia' con mis mejoras"/>
        <s v="Se solicitaron permisos para cargar archivos a la ruta del sharepoint"/>
        <s v="Se agregó archivo 'Querys Ponencia_MejoraNReyes' a ruta"/>
        <s v="Sesión con subdirector para revisar pasos siguientes"/>
        <s v="Se revisó la estructura del nuevo paquete del SISAI, de los procedimientos y parametros"/>
        <s v="Se revisó funcionalidad del 1er query del archivo y valida en la aplicación"/>
        <s v="Se analizó el 1er Query de SISAI '1._x0009_Funcionalidad del dashboard de Mis Solicitudes'"/>
        <s v="Se trabajó para optimizar el 1er Query de SISAI"/>
        <s v="Se revisó la tabla 'sisai.sisai_tr_solicitud_general' columna 'id_usuario_solicitud'"/>
        <s v="Se intentó crear 1ra versión del paquete con usuario NREYES y marcó error"/>
        <s v="Se solicitó apoyo para poder ingresar a mi correo de ND"/>
        <s v="Se solicitó apoyo a base de datos via correo, para privilegios a usuario NREYES en Desarrollo"/>
        <s v="Se revisó archivo 'CC_TIPO-ticket7105__12072023', para solicitar crear paquete en BD"/>
        <s v="Se revisó correo para verificar nuevo usuario SISAI"/>
        <s v="Se configuró y validó conexión a través del Toad for Oracle"/>
        <s v="Se trabajó con el Header del Nuevo Paquete"/>
        <s v="Se trabajó con el Body del Nuevo Paquete"/>
        <s v="Se trabajó con el 1er Procedimiento 'FUNC1_DASHBOARDMISSOLICITUDES'"/>
        <s v="Se confirmó el valor de la constante para el parametro 'IdEstatus'"/>
        <s v="Se validó resultado del 1er Procedimiento del paquete, con bloque anonimo"/>
        <s v="Se analizó el 2do Query del SISAI '2. Funcionalidad bandera de folio a recurso de revisión'"/>
        <s v="Se modificó el 1er procedimiento 'FUNC1_DASHBOARDMISSOLICITUDES' a SQL dinámico"/>
        <s v="Se realizaron pruebas para  manejar el Query dinámico en el 1er Procedimiento del paquete"/>
        <s v="Se comprobó salida del query dinámico con bloque anónimo SYS_REFCURSOR"/>
        <s v="Se verificó campo por campo del query dinámico de la Funcionalidad 1"/>
        <s v="Se declararon las variables en bloque anónimo, del query de la Funcionalidad 1"/>
        <s v="Se actualizaron las condiciones del query dinámico para detectar errores y se regresó a la mínima expresión de la consulta"/>
        <s v="Se detectó error del procedimiento en las fechas dinámicas"/>
        <s v="Se validó el paquete-procedimiento de la funcionalidad # 1 y se tuvo un resultado exitoso"/>
        <s v="Se revisó el 3er query, se ejecutaron diversas consultas y pruebas con distintos parámetros"/>
        <s v="Se detectaron dudas en Query de Funcionalidad 3, no se sabe si se tiene que armar un query completo o ir validando paso a paso en los diversos queries"/>
        <s v="Se actualizó el documento 'Query SISAI' con las dudas sobre el Query 3"/>
        <s v="Se revisó el 5to query, se hicieron las primeras ejecuciones con los parámetros"/>
        <s v="Se optimizó el 5to query para tener una versión mejorada"/>
        <s v="Se creó el nuevo procedimiento 'FUNC5_EXPORTARSOLICITUDES' en el paquete 'PACK_SISAI2'"/>
        <s v="Se verificó campo por campo del query de la Funcionalidad 5"/>
        <s v="Se declararon las variables en bloque anónimo, del query de la Funcionalidad 5"/>
        <s v="Se validó el paquete-procedimiento de la funcionalidad # 5 con el bloque anónimo correcto"/>
        <s v="Se actualizo el documento 'Query SISAI' con los comentarios sobre el Query 5"/>
        <s v="Se revisó el 6to query, se hicieron las primeras ejecuciones con los parámetros"/>
        <s v="Se optimizó el 6to query para tener una mejor versión"/>
        <s v="Se creó nuevo procedimiento 'FUNC6_DASHBRDRECEPCIONSOLICIT_UT' en el paquete 'PACK_SISAI2'"/>
        <s v="Se verificó campo por campo del query de la Funcionalidad 6"/>
        <s v="Se declararon las variables en bloque anónimo, del query de la Funcionalidad 6"/>
        <s v="Se validó el paquete-procedimiento de la funcionalidad # 6 con el bloque anónimo correcto, se tuvo un resultado exitoso con la salida del cursor completo"/>
        <s v="Se actualizó el documento 'Query SISAI' con los comentarios sobre el Query 6"/>
        <s v="Se revisó el 7mo query, se hicieron las primeras ejecuciones con los parámetros para entender su funcionamiento"/>
        <s v="Se detectaron inconsistencias en Query de Funcionalidad 7"/>
        <s v="Se actualizó el documento 'Query SISAI' con las dudas sobre el Query 7"/>
        <s v="Se revisó el 8vo query que 'permite la exportación de las solicitudes de la UT a formato excel'"/>
        <s v="Se detectaron inconsistencias en Query de Funcionalidad 8"/>
        <s v="Se actualizó el documento 'Query SISAI' con las dudas sobre el Query 8"/>
        <s v="Se revisó el 9no query que 'obtiene todas las respuestas posibles a aplicar por parte de la UT'"/>
        <s v="Se detectaron inconsistencias en Query de Funcionalidad 9"/>
        <s v="Se actualizó el documento 'Query SISAI' con las dudas sobre el Query 9"/>
        <s v="Se revisó el 10mo query que 'obtiene el dashboard en la recepción de solicitudes GI de la UT'"/>
        <s v="Se detectaron inconsistencias en Query de Funcionalidad 10"/>
        <s v="Se actualizó el documento 'Query SISAI' con las dudas sobre el Query 10"/>
        <s v="Se revisó el 11vo query que 'permite el turnado de un folio a unidades administrativas'"/>
        <s v="Se detectaron inconsistencias en Query de Funcionalidad 11"/>
        <s v="Se actualizó el documento 'Query SISAI' con las dudas sobre el Query 11"/>
        <s v="Se revisó el 12vo query que 'obtiene el dashboard con los folios y subfolios pendientes de respuestas de las unidades administrativas'"/>
        <s v="Se detectaron inconsistencias en Query de Funcionalidad 12"/>
        <s v="Se actualizó el documento 'Query SISAI' con las dudas sobre el Query 12"/>
        <s v="Se revisó el 13vo query que 'obtiene el seguimiento de un subfolio de la unidad administrativa'"/>
        <s v="Se detectaron inconsistencias en Query de Funcionalidad 13"/>
        <s v="Se actualizó el documento 'Query SISAI' con las dudas sobre el Query 13"/>
        <s v="Se revisó el 14vo query que 'obtiene los movimientos de un subfolio turnado a la unidad administrativa'"/>
        <s v="Se detectaron inconsistencias en Query de Funcionalidad 14"/>
        <s v="Se actualizó el documento 'Query SISAI' con las dudas sobre el Query 14"/>
        <s v="Se revisó el 15vo query que 'obtiene el dashboard de las solicitudes asignadas por la unidad de transparencia'"/>
        <s v="Se detectaron inconsistencias en Query de Funcionalidad 15"/>
        <s v="Se actualizó el documento 'Query SISAI' con las dudas sobre el Query 15"/>
        <s v="Se revisó el 16vo query que 'obtener la integración de respuestas de todos los subfolios por la unidad de transparencia'"/>
        <s v="Se detectaron inconsistencias en Query de Funcionalidad 16"/>
        <s v="Se actualizó el documento 'Query SISAI' con las dudas sobre el Query 16"/>
        <s v="Se solicitó sesión con Subdirector "/>
        <s v="Se tuvo sesión con Samuel y se aclararon todas las dudas"/>
        <s v="Se actualizó paquete de funcionalidad 1"/>
        <s v="Se validó nuevamente funcionalidad 1 de forma correcta y se muestra en bloque anónimo"/>
        <s v="Se actualizó paquete de funcionalidad 5"/>
        <s v="Se validó nuevamente la salida del query de funcionalidad 5 de forma correcta"/>
        <s v="Se creó el nuevo procedimiento 'FUNC3DETSOLDASH_SOLICDEPEN_Q1' en el paquete 'PACK_SISAI2'"/>
        <s v="Se validó el paquete-procedimiento de la funcionalidad # 3 - Query 1 con el bloque anónimo correcto"/>
        <s v="Se creó el nuevo procedimiento 'FUNC3DETSOLDASH_ADJUNTXSOLIC_Q2' en el paquete 'PACK_SISAI2'"/>
        <s v="Se validó el paquete-procedimiento de la funcionalidad # 3 - Query 2 con el bloque anónimo correcto"/>
        <s v="Se creó el nuevo procedimiento 'FUNC3DETSOLDASH_RESPXSOLDEP_Q3' en el paquete 'PACK_SISAI2'"/>
        <s v="Se validó el paquete-procedimiento de la funcionalidad # 3 - Query 3 con el bloque anónimo correcto"/>
        <s v="Se creó el nuevo procedimiento 'FUNC3DETSOLDASH_ADJXIDRESP_Q4' en el paquete 'PACK_SISAI2'"/>
        <s v="Se validó el paquete-procedimiento de la funcionalidad # 3 - Query 4 con el bloque anónimo correcto"/>
        <s v="Se creó el nuevo procedimiento 'FUNC3DETSOLDASH_COMPETXRESP_Q6' en el paquete 'PACK_SISAI2'"/>
        <s v="Se validó el paquete-procedimiento de la funcionalidad # 3 - Query 6 con el bloque anónimo correcto"/>
        <s v="Se actualizó paquete de funcionalidad 6"/>
        <s v="Se validó nuevamente la salida del query de funcionalidad 6"/>
        <s v="Se solicitó apoyo por medio de un correo, para BD de Desarrollo "/>
        <s v="Se creó el nuevo procedimiento 'FUNC3DETSOLDASH_NOTIFDISPONIBXRESP_QF3Q5' en el paquete 'PACK_SISAI2'"/>
        <s v="Se revisó campo por campo de la tabla 'SISAI_TR_NOTIF_DISPONIB' "/>
        <s v="Se validó el paquete-procedimiento de la funcionalidad # 3 - Query 5 con el bloque anónimo correcto"/>
        <s v="Se optimiza en herramienta el Query de la funcionlidad 3 con todos sus subqueries"/>
        <s v="Se optimiza en la herramienta el Query de la funcionlidad 5"/>
        <s v="Se optimiza en la herramienta el Query de la funcionlidad 6"/>
        <s v="Analisis de actualizacion de OLCNE a 1.7"/>
        <s v="Sesion con desarrolladores"/>
        <s v="Preparacion de &quot;demo&quot;"/>
        <s v="Generacion de documentacion"/>
        <s v="Analisis de instalacion de nuevos ambientes (PNT)"/>
        <s v="Analisis de uso de herramienta para publicacion de servicio en k8s"/>
        <s v="Actualizacion de Jenkins"/>
        <s v="Instalacion de plugins(modulos) Jenkins"/>
        <s v="Configuracion de pipeline y prereq"/>
        <s v="Se revisó el Query 1 de la Funcionalidad 7,  se encontro reutilización"/>
        <s v="Se actualizó documento Querys SISAI con el detalle del Query 1 - Funcionalidad 7"/>
        <s v="Se revisó el Query 2 de la Funcionalidad 7, se encontro reutilización"/>
        <s v="Se actualizó documento Querys SISAI con el detalle del Query 2 - Funcionalidad 7"/>
        <s v="Se creó el nuevo procedimiento 'FUNC7DETSOLDASHUTGI_ADJUNTOXIDSOLINT_QF7Q3' en el paquete 'PACK_SISAI2'"/>
        <s v="Se validó campo por campo de la tabla 'SISAI_TR_ADJUNTOS' para validación en bloque anonimo"/>
        <s v="Se validó el paquete-procedimiento de la funcionalidad # 7 - Query 3 con el bloque anónimo correcto"/>
        <s v="Se creó el nuevo procedimiento 'FUNC7DETSOLDASHUTGI_SOLGIXSOLDEPEN_QF7Q4' en el paquete 'PACK_SISAI2'"/>
        <s v="Se validó campo por campo de la tabla 'SISAI_TR_GI_SOLICITUDES' para validación en bloque anonimo"/>
        <s v="Se validó el paquete-procedimiento de la funcionalidad # 7 - Query 4 con el bloque anónimo correcto"/>
        <s v="Se revisó el Query 5 de la Funcionalidad 7, se encontro reutilización"/>
        <s v="Se actualizó documento Querys SISAI con el detalle encontrado en el Query 5 - Funcionalidad 7"/>
        <s v="Se creó el nuevo procedimiento 'FUNC7DETSOLDASHUTGI_SOLESTADISTICO_QF7Q6' en el paquete 'PACK_SISAI2'"/>
        <s v="Se validó campo por campo de la tabla 'SISAI_TR_SOLICITUD_ESTADISTICO' para la validación en bloque anonimo"/>
        <s v="Se validó el paquete-procedimiento de la funcionalidad # 7 - Query 6 con el bloque anónimo correcto"/>
        <s v="Se creó el nuevo procedimiento 'FUNC7DETSOLDASHUTGI_SOLXACCESIBILIDAD_QF7Q7' en el paquete 'PACK_SISAI2'"/>
        <s v="Se validó campo por campo de la tabla 'SISAI_TR_SOLICITUD_X_ACCESIBIL' para la validación en bloque anonimo"/>
        <s v="Se validó el paquete-procedimiento de la funcionalidad # 7 - Query 7 con el bloque anónimo correcto"/>
        <s v="Se revisó el Query 8 de la Funcionalidad 7, se encontro reutilización"/>
        <s v="Se actualizó documento Querys SISAI con el detalle encontrado en el Query 8 - Funcionalidad 7"/>
        <s v="Se revisó el Query 9 de la Funcionalidad 7, se encontro reutilización"/>
        <s v="Se actualizó documento Querys SISAI con el detalle encontrado en el Query 9 - Funcionalidad 7"/>
        <s v="Se revisó el Query 10 de la Funcionalidad 7, se encontro reutilización"/>
        <s v="Se actualizó documento Querys SISAI con el detalle encontrado en el Query 10 - Funcionalidad 7"/>
        <s v="Se creó el nuevo procedimiento 'FUNC7DETSOLDASHUTGI_SOLDATOPERSON_QF7Q11' en el paquete 'PACK_SISAI2'"/>
        <s v="Se validó campo por campo de la tabla 'SISAI_TR_SOLICITUD_DATOS_PERSO' para validación en bloque anonimo"/>
        <s v="Se validó el paquete-procedimiento de la funcionalidad # 7 - Query 11 con el bloque anónimo correcto"/>
        <s v="Se creó el nuevo procedimiento 'FUNC7DETSOLDASHUTGI_ESTADISTXOCUPA_QF7Q12' en el paquete 'PACK_SISAI2'"/>
        <s v="Se validó campo por campo de la tabla 'SISAI_TR_ESTADISTICO_X_OCUP' para validación en bloque anonimo"/>
        <s v="Se validó el paquete-procedimiento de la funcionalidad # 7 - Query 12 con el bloque anónimo correcto"/>
        <s v="Se creó el nuevo procedimiento 'FUNC7DETSOLDASHUTGI_ACCESIBILIDAD_QF7Q13' en el paquete 'PACK_SISAI2'"/>
        <s v="Se validó campo por campo de la tabla 'SISAI_TC_ACCESIBILIDAD' para validación en bloque anonimo"/>
        <s v="Se validó el paquete-procedimiento de la funcionalidad # 7 - Query 13 con el bloque anónimo correcto"/>
        <s v="Se creó el nuevo procedimiento 'FUNC7DETSOLDASHUTGI_LEYEXIDRESP_QF7Q14' en el paquete 'PACK_SISAI2'"/>
        <s v="Se validó campo por campo de las tablas 'SISAI_TR_LEY_CLASIFICACION' y 'SISAI_TC_LEYES' para validación en bloque anonimo"/>
        <s v="Se validó el paquete-procedimiento de la funcionalidad # 7 - Query 14 con el bloque anónimo correcto"/>
        <s v="Se actualizó documento Querys SISAI con los nombres de los procedimientos de los Querys de Funcionalidad 7, que no se reutilizaban"/>
        <s v="Se optimizarón en la herramienta Auto Optimice de Toad los Querys todos losquerys de la funcionlidad 7"/>
        <s v="Se creó el nuevo procedimiento 'FUNC8EXPSOLICITUDUT_FORMEXCEL_QF8' en el paquete 'PACK_SISAI2'"/>
        <s v="Se pasó el procedimiento a query dinamico"/>
        <s v="Se validó campo por campo del query 8 para validación en bloque anonimo"/>
        <s v="Se validó el paquete-procedimiento de la funcionalidad # 8 con el bloque anónimo correcto"/>
        <s v="Se creó el nuevo procedimiento 'FUNC9RESPUESTASPOSIBL_UT_QF9' en el paquete 'PACK_SISAI2'"/>
        <s v="Se validó campo por campo de la tabla 'SISAI_TR_RESPUESTA'"/>
        <s v="Se validó el paquete-procedimiento de la funcionalidad # 9 con el bloque anónimo correcto"/>
        <s v="Se actualizó documento Querys SISAI con los procedimientos recien creados sobre el Query de Funcionalidad 9, que no se reutilizaban"/>
        <s v="Se creó el nuevo procedimiento 'FUNC10DASHBOARDRECEPSOLICI_GIUT_QF10' en el paquete 'PACK_SISAI2'"/>
        <s v="Se validó campo por campo del select del query de la funcionalidad 10"/>
        <s v="Se validó el paquete-procedimiento de la funcionalidad # 10 con el bloque anónimo correcto"/>
        <s v="Se actualizó documento Querys SISAI con los procedimientos recien creados sobre el Query de Funcionalidad 10, que no se reutilizaban"/>
        <s v="Se creó el nuevo procedimiento 'FUNC11TURNAFOLIOUNIAD_SOLIXSOLDEPEN_QF11Q1' en el paquete 'PACK_SISAI2'"/>
        <s v="Se validó campo por campo de la tabla 'SISAI_TR_GI_SOLICITUDES'"/>
        <s v="Se validó el paquete-procedimiento del query 1 de la funcionalidad # 11 con el bloque anónimo correcto"/>
        <s v="Se actualizó documento Querys SISAI con los procedimientos recien creados sobre el Query 1 de la Funcionalidad 11, que no se reutilizaban"/>
        <s v="Se creó el nuevo procedimiento 'FUNC11TURNAFOLIOUNIAD_CONFIGPLAZOSO_QF11Q2' en el paquete 'PACK_SISAI2'"/>
        <s v="Se validó campo por campo de la tabla 'SISAI_TW_CONFIG_PROCESO' "/>
        <s v="Se validó el paquete-procedimiento del query 2 de la funcionalidad # 11 con el bloque anónimo correcto"/>
        <s v="Se actualizó documento Querys SISAI con los procedimientos recien creados sobre el Query 2 de la Funcionalidad 11, que no se reutilizaban"/>
        <s v="Se creó el nuevo procedimiento 'FUNC11TURNAFOLIOUNIAD_CONFIPROCXORGGTE_QF11Q3' en el paquete 'PACK_SISAI2'"/>
        <s v="Se validó el paquete-procedimiento del query 3 de la funcionalidad # 11 con el bloque anónimo correcto"/>
        <s v="Se actualizó documento Querys SISAI con los procedimientos recien creados sobre el Query 3 de la Funcionalidad 11, que no se reutilizaban"/>
        <s v="Se revisó el Query 4 de la Funcionalidad 11, se encontro reutilización ('FUNC7DETSOLDASHUTGI_SOLGIXSOLDEPEN_QF7Q4')"/>
        <s v="Se actualizó documento Querys SISAI con el detalle encontrado en el Query 4 - Funcionalidad 11"/>
        <s v="Se creó el nuevo procedimiento 'FUNC12DASHBOARDFOLIOPENDRPTAUNIADM_QF12Q1' en el paquete 'PACK_SISAI2'"/>
        <s v="Se validó campo por campo del query 1 de la funcionalidad 12 "/>
        <s v="Se validó el paquete-procedimiento del query 1 de la funcionalidad # 12 con el bloque anónimo correcto "/>
        <s v="Se actualizó documento Querys SISAI con los procedimientos recien creados sobre el Query 1 de la Funcionalidad 12, que no se reutilizaban"/>
        <s v="Se creó el nuevo procedimiento 'FUNC12DASHBOARDFOLIOPENDRPTASEFOLCOMTRANSPA_QF12Q2' en el paquete 'PACK_SISAI2', con el query 2 de la 12va funcionalidad"/>
        <s v="Se validó campo por campo de la tabla 'SISAI_TR_GI_SEGUIMIENTO'"/>
        <s v="Se validó el paquete-procedimiento del query 2 de la funcionalidad # 12 con el bloque anónimo correcto"/>
        <s v="Se actualizó documento Querys SISAI con los procedimientos recien creados sobre el Query 2 de la Funcionalidad 12, que no se reutilizaban"/>
        <s v="Se creó el nuevo procedimiento 'FUNC12DASHBOARDFOLIOPENDRPTASNOTERMIDIATRANS_QF12Q3' en el paquete 'PACK_SISAI2', con el query 3 de la 12va funcionalidad"/>
        <s v="Se validó campo por campo de las tablas 'sisai_tr_calendario_master y sisai_tr_calendario_so', del query 3"/>
        <s v="Se validó el paquete-procedimiento del query 3 de la funcionalidad # 12 con el bloque anónimo correcto"/>
        <s v="Se actualizó documento Querys SISAI con los procedimientos recien creados sobre el Query 3 de la Funcionalidad 12, que no se reutilizaban"/>
        <s v="Se creó el nuevo procedimiento 'FUNC12DASHBOARDFOLIOPENDRPTASLTADIAINHABIL_QF12Q4' en el paquete 'PACK_SISAI2', con el query 4 de la 12va funcionalidad"/>
        <s v="Se validó campo por campo de las tablas del query 4"/>
        <s v="Se validó el paquete-procedimiento del query 4 de la funcionalidad # 12 con el bloque anónimo correcto"/>
        <s v="Se actualizó documento Querys SISAI con los procedimientos recien creados sobre el Query 4 de la Funcionalidad 12, que no se reutilizaban"/>
        <s v="Se revisó el Query 1 de la Funcionalidad 13, se encontro reutilización ('FUNC7DETSOLDASHUTGI_SOLGIXSOLDEPEN_QF7Q4')"/>
        <s v="Se actualizó documento Querys SISAI con el detalle encontrado en el Query 1 - Funcionalidad 13"/>
        <s v="Se revisó el Query 2 de la Funcionalidad 13, se encontro reutilización ('FUNC12DASHBOARDFOLIOPENDRPTASEFOLCOMTRANSPA_QF12Q2')"/>
        <s v="Se actualizó documento Querys SISAI con el detalle encontrado en el Query 2 - Funcionalidad 13"/>
        <s v="Se creó el nuevo procedimiento 'FUNC13OBTSEGUISUBFOUNIADXFLUJOSEGSUBFL_QF13Q3' en el paquete 'PACK_SISAI2', con el query 3 de la 13va funcionalidad "/>
        <s v="Se validó campo por campo de la tabla 'SISAI_TR_ADJUNTOS' "/>
        <s v="Se validó el paquete-procedimiento del query 3 de la funcionalidad # 13 con el bloque anónimo correcto"/>
        <s v="Se actualizó documento Querys SISAI con los procedimientos recien creados sobre el Query 3 de la Funcionalidad 13, que no se reutilizaban"/>
        <s v="Se revisó el Query 1 de la Funcionalidad 14, se encontro reutilización ('FUNC11TURNAFOLIOUNIAD_SOLIXSOLDEPEN_QF11Q1')"/>
        <s v="Se actualizó documento Querys SISAI con el detalle encontrado en el Query 1 - Funcionalidad 14"/>
        <s v="Se revisó el Query 2 de la Funcionalidad 14, se encontro reutilización ('FUNC12DASHBOARDFOLIOPENDRPTASEFOLCOMTRANSPA_QF12Q2')"/>
        <s v="Se actualizó documento Querys SISAI con el detalle encontrado en el Query 2 - Funcionalidad 14"/>
        <s v="Se revisó el Query 3 de la Funcionalidad 14, se encontro reutilización ('FUNC13OBTSEGUISUBFOUNIADXFLUJOSEGSUBFL_QF13Q3')"/>
        <s v="Se actualizó documento Querys SISAI con el detalle encontrado en el Query 3 - Funcionalidad 14"/>
        <s v="Se creó el nuevo procedimiento 'FUNC15DASHSOLASIGUT_SOLPENDXCONTUA_QF15Q1' en el paquete 'PACK_SISAI2', con el query 1 de la 15va funcionalidad "/>
        <s v="Se validó campo por campo de las tablas del 1er query de la funcionalidad 15"/>
        <s v="Se validó el paquete-procedimiento del query 1 de la funcionalidad # 15 con el bloque anónimo correcto"/>
        <s v="Se actualizó documento Querys SISAI con los procedimientos recien creados sobre el Query 1 de la Funcionalidad 15, que no se reutilizaban"/>
        <s v="Se revisó el Query 2 de la Funcionalidad 15 se encontro reutilización ('FUNC7DETSOLDASHUTGI_SOLGIXSOLDEPEN_QF7Q4')"/>
        <s v="Se actualizó documento Querys SISAI con el detalle encontrado en el Query 2 - Funcionalidad 15"/>
        <s v="Se revisó el Query 3 de la Funcionalidad 15,  se encontro reutilización ('FUNC12DASHBOARDFOLIOPENDRPTASNOTERMIDIATRANS_QF12Q3'')"/>
        <s v="Se actualizó documento Querys SISAI con el detalle encontrado en el Query 3 - Funcionalidad 15"/>
        <s v="Se revisó el Query 4 de la Funcionalidad 15, se encontro reutilización ('FUNC12DASHBOARDFOLIOPENDRPTASLTADIAINHABIL_QF12Q4')"/>
        <s v="Se actualizó documento Querys SISAI con el detalle encontrado en el Query 4 - Funcionalidad 15"/>
        <s v="Se revisó el Query 1 de la Funcionalidad 16, se encontro reutilización ('FUNC7DETSOLDASHUTGI_SOLGIXSOLDEPEN_QF7Q4')"/>
        <s v="Se actualizó documento Querys SISAI con el detalle encontrado en el Query 1 - Funcionalidad 16"/>
        <s v="Se revisó el Query 2 de la Funcionalidad 16, se encontro reutilización ('FUNC12DASHBOARDFOLIOPENDRPTASEFOLCOMTRANSPA_QF12Q2')"/>
        <s v="Se actualizó documento Querys SISAI con el detalle encontrado en el Query 2 - Funcionalidad 16"/>
        <s v="Se revisó el Query 3 de la Funcionalidad 16, se encontro reutilización ('FUNC11TURNAFOLIOUNIAD_SOLIXSOLDEPEN_QF11Q1')"/>
        <s v="Se revisó el query 1 de la 15va funcionalidad, se aplican mejoras a query para ejecusión más limpia con un costo menor"/>
        <s v="Se revisó el query 1 de la 15va funcionalidad, se analizan alternativas"/>
        <s v="Se actualizó procedimiento 'FUNC15DASHSOLASIGUT_SOLPENDXCONTUA_QF15Q1'"/>
        <s v="Se repasó el query 1 de la Funcionalidad 3 para optimizarlo con ayuda de la herramienta Toad"/>
        <s v="Si se encuentra mejora, se actualiza query mejorado en procedimiento 'FUNC3DETSOLDASH_SOLICDEPEN_QF3Q1'"/>
        <s v="Se repasó el query 2 de la Funcionalidad 3 para optimizarlo con ayuda de la herramienta Toad"/>
        <s v="Si se encuentra mejora, se actualiza query mejorado en procedimiento 'FUNC3DETSOLDASH_ADJUNTXSOLIC_QF3Q2'"/>
        <s v="Se repasó el query 3 de la Funcionalidad 3 para optimizarlo con ayuda de la herramienta Toad"/>
        <s v="Si se encuentra mejora, se actualiza query mejorado en procedimiento 'FUNC3DETSOLDASH_RESPUXSOLICDEP_QF3Q3'"/>
        <s v="Se repasó el query 4 de la Funcionalidad 3 para optimizarlo con ayuda de la herramienta"/>
        <s v="Si se encuentra mejora, se actualiza query mejorado en procedimiento 'FUNC3DETSOLDASH_ADJUNTOXIDRESP_QF3Q4'"/>
        <s v="Se repasó el query 5 de la Funcionalidad 3 para optimizarlo con ayuda de la herramienta"/>
        <s v="Si se encuentra mejora, se actualiza query mejorado en procedimiento 'FUNC3DETSOLDASH_NOTIFDISPONIBXRESP_QF3Q5'"/>
        <s v="Se repasó el query 6 de la Funcionalidad 3 para optimizarlo con ayuda de la herramienta"/>
        <s v="Si se encuentra mejora, se actualiza query mejorado en procedimiento 'FUNC3DETSOLDASH_COMPETENXRESP_QF3Q6'"/>
        <s v="Se repasó el query 3 de la Funcionalidad 7 para optimizarlo con ayuda de la herramienta"/>
        <s v="Si se encuentra mejora, se actualiza query mejorado en procedimiento 'FUNC7DETSOLDASHUTGI_ADJUNTOXIDSOLINT_QF7Q3'"/>
        <s v="Se repasó el query 4 de la Funcionalidad 7 para optimizarlo con ayuda de la herramienta"/>
        <s v="Si se encuentra mejora, se actualiza query mejorado en procedimiento 'FUNC7DETSOLDASHUTGI_SOLGIXSOLDEPEN_QF7Q4'"/>
        <s v="Se repasó el query 6 de la Funcionalidad 7 para optimizarlo con ayuda de la herramienta"/>
        <s v="Si se encuentra mejora, se actualiza query mejorado en procedimiento 'FUNC7DETSOLDASHUTGI_SOLESTADISTICO_QF7Q6'"/>
        <s v="Se repasó el query 7 de la Funcionalidad 7 para optimizarlo con ayuda de la herramienta"/>
        <s v="Si se encuentra mejora, se actualiza query mejorado en procedimiento 'FUNC7DETSOLDASHUTGI_SOLXACCESIBILIDAD_QF7Q7'"/>
        <s v="Se repasó el query 11 de la Funcionalidad 7 para optimizarlo con ayuda de la herramienta"/>
        <s v="Si se encuentra mejora, se actualiza query mejorado en procedimiento 'FUNC7DETSOLDASHUTGI_SOLDATPERSOXSOLDEP_QF7Q11'"/>
        <s v="Se repasó el query 12 de la Funcionalidad 7 para optimizarlo con ayuda de la herramienta"/>
        <s v="Si se encuentra mejora, se actualiza query mejorado en procedimiento 'FUNC7DETSOLDASHUTGI_ESTADISTOCUPXIDSOL_QF7Q12'"/>
        <s v="Se repasó el query 13 de la Funcionalidad 7 para optimizarlo con ayuda de la herramienta Toad"/>
        <s v="Si se encuentra mejora, se actualiza query mejorado en procedimiento 'FUNC7DETSOLDASHUTGI_ACCESIBILIDAD_QF7Q13'"/>
        <s v="Se repasó el query 14 de la Funcionalidad 7 para optimizarlo con ayuda de la herramienta"/>
        <s v="Si se encuentra mejora, se actualiza query mejorado en procedimiento 'FUNC7DETSOLDASHUTGI_LEYEIDRESP_QF7Q14'"/>
        <s v="Se repasó el query 1 de la Funcionalidad 9 para optimizarlo con ayuda de la herramienta"/>
        <s v="Si se encuentra mejora, se actualiza query mejorado en procedimiento 'FUNC9RESPUESTASPOSIBL_UT_QF9'"/>
        <s v="Se repasó el query 1 de la Funcionalidad 11 para optimizarlo con ayuda de la herramienta"/>
        <s v="Si se encuentra mejora, se actualiza query mejorado en procedimiento 'FUNC11TURNAFOLIOUNIAD_SOLIXSOLDEPEN_QF11Q1'"/>
        <s v="Se repasó el query 2 de la Funcionalidad 11 para optimizarlo con ayuda de la herramienta"/>
        <s v="Si se encuentra mejora, se actualiza query mejorado en procedimiento 'FUNC11TURNAFOLIOUNIAD_CONFIGPLAZOSO_QF11Q2'"/>
        <s v="Se repasó el query 3 de la Funcionalidad 11 para optimizarlo con ayuda de la herramienta Toad"/>
        <s v="Si se encuentra mejora, se actualiza query mejorado en procedimiento 'FUNC11TURNAFOLIOUNIAD_CONFIPROCXORGGTE_QF11Q3'"/>
        <s v="Se repasó el query 2 de la Funcionalidad 12 para optimizarlo con ayuda de la herramienta Toad"/>
        <s v="Si se encuentra mejora, se actualiza query mejorado en procedimiento 'FUNC12DASHBOARDFOLIOPENDRPTASEFOLCOMTRANSPA_QF12Q2'"/>
        <s v="Se repasó el query 3 de la Funcionalidad 12 para optimizarlo con ayuda de la herramienta"/>
        <s v="Si se encuentra mejora, se actualiza query mejorado en procedimiento 'FUNC12DASHBOARDFOLIOPENDRPTASNOTERMIDIATRANS_QF12Q3'"/>
        <s v="Se repasó el query 4 de la Funcionalidad 12 para optimizarlo con ayuda de la herramienta"/>
        <s v="Si se encuentra mejora, se actualiza query mejorado en procedimiento 'FUNC12DASHBOARDFOLIOPENDRPTASLTADIAINHABIL_QF12Q4'"/>
        <s v="Se repasó el query 3 de la Funcionalidad 13 para optimizarlo con ayuda de la herramienta"/>
        <s v="Si se encuentra mejora, se actualiza query mejorado en procedimiento 'FUNC13SEGUISUBFOLIOUAADJUNTCFLUJOSEGUISUFL_QF13Q3'"/>
        <s v="Se tuvó platica con Samuel para comentarle todo lo trabajado sobre los Querys Sisay"/>
        <s v="Se tuvó platica con Samuel para verificar los pasos siguientes"/>
        <s v="Se revisó documento compartido por Samuel"/>
        <s v="Se comenzó a llenar el documento 'PRO-AA-NN-P29-Reporte de Actividades'"/>
        <s v="Se detalló el contenido del reporte en el documento 'PRO-AA-NN-P29-Reporte de Actividades'"/>
        <s v="Se documentó el Query 1 de la Funcionalidad 1 en el documento 'PRO-AA-NN-P29-Reporte de Actividades'"/>
        <s v="Se documentó que para la Funcionalidad 2 no se registró query porque se mejorará desde el aplicativo"/>
        <s v="Se documentó el Query 1 de la Funcionalidad 3 en el documento 'PRO-AA-NN-P29-Reporte de Actividades'"/>
        <s v="Se documentó el Query 2 de la Funcionalidad 3 en el documento 'PRO-AA-NN-P29-Reporte de Actividades'"/>
        <s v="Se documentó el Query 3 de la Funcionalidad 3 en el documento 'PRO-AA-NN-P29-Reporte de Actividades'"/>
        <s v="Se documentó el Query 4 de la Funcionalidad 3 en el documento 'PRO-AA-NN-P29-Reporte de Actividades'"/>
        <s v="Se documentó el Query 5 de la Funcionalidad 3 en el documento 'PRO-AA-NN-P29-Reporte de Actividades'"/>
        <s v="Se documentó el Query 6 de la Funcionalidad 3 en el documento 'PRO-AA-NN-P29-Reporte de Actividades'"/>
        <s v="Se documentó que para la Funcionalidad 4 no se registró query porque ya lo estan desarrollando"/>
        <s v="Se documentó el Query 1 de la Funcionalidad 5 en el documento 'PRO-AA-NN-P29-Reporte de Actividades'"/>
        <s v="Se documentó el Query 1 de la Funcionalidad 6 en el documento 'PRO-AA-NN-P29-Reporte de Actividades'"/>
        <s v="Se documentó que para el Query 1 de la Funcionalidad 7 se reutilzá  procedimiento "/>
        <s v="Se documentó que para el Query 2 de la Funcionalidad 7 se reutilzá procedimiento "/>
        <s v="Se documentó el Query 3 de la Funcionalidad 7 en el documento 'PRO-AA-NN-P29-Reporte de Actividades'"/>
        <s v="Se documentó el Query 4 de la Funcionalidad 7 en el documento 'PRO-AA-NN-P29-Reporte de Actividades'"/>
        <s v="Se documentó que para el Query 5 de la Funcionalidad 7 se reutilzá el procedimiento "/>
        <s v="Se documentó el Query 6 de la Funcionalidad 7 en el documento 'PRO-AA-NN-P29-Reporte de Actividades'"/>
        <s v="Se documentó el Query 7 de la Funcionalidad 7 en el documento 'PRO-AA-NN-P29-Reporte de Actividades'"/>
        <s v="Se documentó que para el Query 8 de la Funcionalidad 7 se reutilzá el procedimiento "/>
        <s v="Se documentó que para el Query 9 de la Funcionalidad 7 se reutilzá el procedimiento"/>
        <s v="Se documentó que para el Query 10 de la Funcionalidad 7 se reutilzá el procedimiento"/>
        <s v="Se documentó el Query 11 de la Funcionalidad 7 en el documento 'PRO-AA-NN-P29-Reporte de Actividades'"/>
        <s v="Se documentó el Query 12 de la Funcionalidad 7 en el documento 'PRO-AA-NN-P29-Reporte de Actividades'"/>
        <s v="Se documentó el Query 13 de la Funcionalidad 7 en el documento 'PRO-AA-NN-P29-Reporte de Actividades'"/>
        <s v="Se documentó el Query 14 de la Funcionalidad 7 en el documento 'PRO-AA-NN-P29-Reporte de Actividades'"/>
        <s v="Se documentó el Query 1 de la Funcionalidad 8 en el documento 'PRO-AA-NN-P29-Reporte de Actividades'"/>
        <s v="Se documentó el Query 1 de la Funcionalidad 9 en el documento 'PRO-AA-NN-P29-Reporte de Actividades'"/>
        <s v="Se documentó el Query 1 de la Funcionalidad 10 en el documento 'PRO-AA-NN-P29-Reporte de Actividades'"/>
        <s v="Se documentó el Query 1 de la Funcionalidad 11 en el documento 'PRO-AA-NN-P29-Reporte de Actividades'"/>
        <s v="Se documentó el Query 2 de la Funcionalidad 11 en el documento 'PRO-AA-NN-P29-Reporte de Actividades'"/>
        <s v="Se documentó el Query 3 de la Funcionalidad 11 en el documento 'PRO-AA-NN-P29-Reporte de Actividades'"/>
        <s v="Se documentó que para el Query 4 de la Funcionalidad 11 se reutilzá el procedimiento"/>
        <s v="Se documentó el Query 1 de la Funcionalidad 12 en el documento 'PRO-AA-NN-P29-Reporte de Actividades'"/>
        <s v="Se documentó el Query 2 de la Funcionalidad 12 en el documento 'PRO-AA-NN-P29-Reporte de Actividades'"/>
        <s v="Se documentó el Query 3 de la Funcionalidad 12 en el documento 'PRO-AA-NN-P29-Reporte de Actividades'"/>
        <s v="Se documentó el Query 4 de la Funcionalidad 12 en el documento 'PRO-AA-NN-P29-Reporte de Actividades'"/>
        <s v="Se documentó que para el Query 1 de la Funcionalidad 13 se reutilzá el procedimiento"/>
        <s v="Se documentó que para el Query 2 de la Funcionalidad 13 se reutilzá el procedimiento"/>
        <s v="Se documentó el Query 3 de la Funcionalidad 13 en el documento 'PRO-AA-NN-P29-Reporte de Actividades'"/>
        <s v="Se documentó que para el Query 1 de la Funcionalidad 14 se reutilzá el procedimiento"/>
        <s v="Se documentó que para el Query 2 de la Funcionalidad 14 se reutilzá el procedimiento"/>
        <s v="Se documentó que para el Query 3 de la Funcionalidad 14 se reutilzá el procedimiento"/>
        <s v="Se documentó el Query 1 de la Funcionalidad 15 en el documento 'PRO-AA-NN-P29-Reporte de Actividades'"/>
        <s v="Se documentó que para el Query 2 de la Funcionalidad 15 se reutilzá el procedimiento"/>
        <s v="Se documentó que para el Query 3 de la Funcionalidad 15 se reutilzá el procedimiento"/>
        <s v="Se documentó que para el Query 4 de la Funcionalidad 15 se reutilzá el procedimiento"/>
        <s v="Se documentó que para el Query 1 de la Funcionalidad 16 se reutilzá el procedimiento"/>
        <s v="Se documentó que para el Query 2 de la Funcionalidad 16 se reutilzá el procedimiento "/>
        <s v="Se documentó que para el Query 3 de la Funcionalidad 16 se reutilzá el procedimiento"/>
        <s v="Se revisa documentación sobre Simple Oracle Document Access (SODA)"/>
        <s v="Se revisarón los ultimos detalles en lo documentado del Query 1 de la Funcionalidad 1"/>
        <s v="Se revisarón los ultimos detalles en lo documentado de los Querys del 1 al 3 de la Funcionalidad 3"/>
        <s v="Se revisarón los ultimos detalles en lo documentado de los Querys del 4 al 6 de la Funcionalidad 3"/>
        <s v="Se revisarón los ultimos detalles en lo documentado del Query 1 de la Funcionalidad 5"/>
        <s v="Se revisarón los ultimos detalles en lo documentado del Query 1 de la Funcionalidad 6"/>
        <s v="Se revisarón los ultimos detalles en lo documentado de los Querys del 1 al 3 de la Funcionalidad 7"/>
        <s v="Se revisarón los ultimos detalles en lo documentado de los Querys del 4 al 6 de la Funcionalidad 7"/>
        <s v="Se revisarón los ultimos detalles en lo documentado de los Querys del 7 al 9 de la Funcionalidad 7"/>
        <s v="Se revisarón los ultimos detalles en lo documentado de los Querys del 10 al 14 de la Funcionalidad 7"/>
        <s v="Se revisarón los ultimos detalles en lo documentado de los Query 1 de la Funcionalidad 8"/>
        <s v="Se revisarón los ultimos detalles en lo documentado de los Query 1 de la Funcionalidad 9"/>
        <s v="Se revisarón los ultimos detalles en lo documentado de los Query 1 de la Funcionalidad 10"/>
        <s v="Se revisarón los ultimos detalles en lo documentado de los Querys 1 y 2 de la Funcionalidad 11"/>
        <s v="Se revisarón los ultimos detalles en lo documentado de los Querys 3 y 4 de la Funcionalidad 11"/>
        <s v="Se revisarón los ultimos detalles en lo documentado de los Querys 1 y 2 de la Funcionalidad 12"/>
        <s v="Se revisarón los ultimos detalles en lo documentado de los Querys 3 y 4 de la Funcionalidad 12"/>
        <s v="Se revisarón los ultimos detalles en lo documentado de los Querys del 1 al 3 de la Funcionalidad 13"/>
        <s v="Se revisarón los ultimos detalles en lo documentado de los Querys del 1 al 3 de la Funcionalidad 14"/>
        <s v="Se revisarón los ultimos detalles en lo documentado de los Querys 1 y 2 de la Funcionalidad 15"/>
        <s v="Se revisarón los ultimos detalles en lo documentado de los Querys 3 y 4 de la Funcionalidad 15"/>
        <s v="Se revisarón los ultimos detalles en lo documentado de los Querys del 1 al 3 de la Funcionalidad 16"/>
        <s v="Se revisó documentación '1. Overview of SODA' de liga compartida"/>
        <s v="Se revisó documentación '1.1 Overview of SODA Documents' de liga compartida"/>
        <s v="Se revisó documentación '1.2 Overview of SODA Document Collections' de liga compartida "/>
        <s v="Se revisó documentación '1.3 Default Naming of a Collection Table' de liga compartida"/>
        <s v="Se revisó documentación '1.4 A View of Your SODA Collections' de liga compartida"/>
        <s v="Se revisó documentación '1.5 Monitoring SODA Operation Performance' de liga compartida"/>
        <s v="Se revisó documentación '2 Overview of SODA Filter Specifications (QBEs)' de liga compartida"/>
        <s v="Se revisó documentación '2.1 Sample JSON Documents' de liga compartida"/>
        <s v="Se revisó documentación '2.2 Overview of Paths in SODA QBEs' de liga compartida"/>
        <s v="Se revisó documentación '2.3 Overview of QBE Comparison Operators' de liga compartida"/>
        <s v="Se revisó documentación '2.4 Overview of QBE Operator $not' de liga compartida"/>
        <s v="Se revisó documentación '2.5 Overview of QBE Item-Method Operators' de liga compartida"/>
        <s v="Se revisó documentación '2.6 Overview of QBE Logical Combining Operators' de liga compartida"/>
        <s v="Se revisó documentación '2.7 Overview of Nested Conditions in QBEs' de liga compartida"/>
        <s v="Se revisó documentación '2.8 Overview of QBE Operator $id' de liga compartida"/>
        <s v="Se revisó documentación '2.9 Overview of QBE Operator $orderby' de liga compartida"/>
        <s v="Se revisó documentación '2.10 Overview of QBE Spatial Operators' de liga compartida"/>
        <s v="Se revisó documentación '2.11 Overview of QBE Operator $contains' de liga compartida"/>
        <s v="Se revisó documentación '2.12 Overview of QBE Operator $textContains' de liga compartida"/>
        <s v="Se revisó documentación '6 SODA Index Specifications (Reference)' de liga compartida"/>
        <s v="Se revisó documentación '7 SODA Collection Metadata Components (Reference)' de liga compartida"/>
        <s v="Se revisó documentación '7.1 Default Collection Metadata' de liga compartida"/>
        <s v="Se revisó documentación '7.2 Schema' de liga compartida"/>
        <s v="Se revisó documentación '7.3 Table or View' de liga compartida"/>
        <s v="Se revisó documentación '7.4 Key Column Name' de liga compartida"/>
        <s v="Se revisó documentación '7.5 Key Column Type' de liga compartida"/>
        <s v="Se revisó documentación '7.6 Key Column Max Length' de liga compartida"/>
        <s v="Reporte Volumetría Pronadatos"/>
        <s v="Análisis pérdida de documentos"/>
        <s v="Manuales de auditoria de OpenText"/>
        <s v="Servicio crearUsuario"/>
        <s v="Servicio consulta usuarios"/>
        <s v="Modificacón de los grids en los formularios de consulta"/>
        <s v="Servicio para obtener los datos del usuario en sesión "/>
        <s v="Servicio de consulta de usuario"/>
        <s v="Servicio de consulta de bitácora"/>
        <s v="Servicio de creación de bitácora"/>
        <s v="Prubas del módulo de bistácora"/>
        <s v="En la pantalla de mantenimiento agregar combos de los datos del usuario"/>
        <s v="Se prueban los servicios de la pantalla de mantenimiento "/>
        <s v="Se cambia el ordenamiento de las opciones del usuario"/>
        <s v="Cambio en las etiquetas de las pantallas del  módulo de usuarios"/>
        <s v="Generar el componente de front end en cargas masivas"/>
        <s v="Generar el componente de front end para peticiones cargas masivas"/>
        <s v="Generar componente de selección de sujetos obligados en front-end"/>
        <s v="Generar pantalla de estatus para front-end para cargas maisvas"/>
        <s v="Generar pantalla de listado para front-end para cargas masivas"/>
        <s v="Generar listado de busqueda en pantalla de detalle de cargas masivas por órgano Garante y Sujeto Obligado"/>
        <s v="Instalacion y configuracion de SonarQube"/>
        <s v="Configuracion de PODMAN"/>
        <s v="instalacion de plugin de Jenkins"/>
        <s v="Configuracion de SonarQube en Jenkins"/>
        <s v="Configuracion de Maven en Jenkins"/>
        <s v="Actualizacion de OLCNE"/>
        <s v="Instalacion y configuracion de agente de Jenkins"/>
        <s v="Pantalla de estadisiticos sin login"/>
        <s v="Pantalla de estadisticos por usuario"/>
        <s v="Pantalla de estadisticos por Organo garante "/>
        <s v="Pantalla de estadisticos por Sujeto Obligado"/>
        <s v="Modificar pantalla de avisos en login"/>
        <s v="Analisis y diseño de la tabla de avisos"/>
        <s v="Diseño de la pantalla "/>
        <s v="Análisis y diseño  módulo de avisos"/>
        <s v="Mapeo base de dato"/>
        <s v="Servicio alta de avisos"/>
        <s v="Validaciones para alta de avisos"/>
        <s v="Servicio de actualización de avisos"/>
        <s v="Servicio de consulta de avisos"/>
        <s v="Servicio de eliminación de avisos"/>
        <s v="Servicio de eliminación de las url de avisos"/>
        <s v="Configuración para los docker y docker compose"/>
        <s v="Envío de la orden de trabajo de ServicioProfesional para su análisis"/>
        <s v="análisis de la orden de trabajo ServicioProfesional"/>
        <s v="Análisis sobre instalación de paqueterías en MobaExterm"/>
        <s v="Envío de correos y revisión de documentación del proceso de calidad y manual de procedimientos"/>
        <s v="Análisis sobre comandos linux en MobaExterm"/>
        <s v="Seguimiento de la orden de trabajo ServicioProfesional"/>
        <s v="Instalación de paquetería de la orden de trabajo ServicioProfesional"/>
        <s v="Resolución de dudas con la orden de trabajo ServicioProfesional"/>
        <s v="Instalación completa del ambiente ServicioProfesional"/>
        <s v="Instalación de MySql"/>
        <s v="levantamiento de Base de datos ServicioProfesional"/>
        <s v="Detalles sobre la versión dela base de datos ServicioProfesional"/>
        <s v="Envío de correo con la orden de trabajo sobre Levantar un Servicio Front"/>
        <s v="Solicitud a equipo de desarrollo la URL faltante para poder crear el ambiente con los servicios de QA"/>
        <s v="Instalación de Visual Studio"/>
        <s v="Solicitud de credenciales para ingresar a los repositorios SVN"/>
        <s v="Instalación de angular "/>
        <s v="Resolución de temas sobre la instalación de Angular"/>
        <s v="instalación de tortoise para descarga de repositorio de archivos"/>
        <s v="Alta de usuario para poder ingresar a los repositorios de archivos FRONT"/>
        <s v="Descarga e instalación de repositorios de archivos FRONT a traves de tortoise"/>
        <s v="Resolución de temas de la petición de URL al equipo de desarrollo"/>
        <s v="instalación completa del sitio web FRONT"/>
        <s v="Captura de evidencias de ejecución de la instalación del FRONT"/>
        <s v="Resolución de incidencia sobre la versión de la base de datos de ServicioProfesional"/>
        <s v="Ejecución completa del sitio ServicioProfesional"/>
        <s v="Captura de evidencias completas sobre la instalación de ServicioProfesional"/>
        <s v="Documentación de observaciones e incidencias sobre la instalacipon de ServicioProfesional"/>
        <s v="Documentación completa de la orden de trabajo de la instalación del FRONT"/>
        <s v="Envío de documentación del sitio de inventarios DGPVS y SNT  para su revisión"/>
        <s v="Análisis de la documentación del sitio web de inventarios DGPVS y SNT "/>
        <s v="Instalación y revisión del sitio de inventarios DGPVS y SNT "/>
        <s v="Documentación de funcionamiento del sitio de inventarios DGPVS y SNT "/>
        <s v="Alta de usuario y contraseña de mantis para generar las incidencias encontradas "/>
        <s v="Análisis sobre el uso de mantis y como generar incidencias "/>
        <s v="Registro de observaciones durante la revisión del sitio  de inventarios DGPVS y SNT"/>
        <s v="Observaciones en el documento de  inventarios DGPVS y SNT"/>
        <s v="Observaciones en la instalación del sitio y funcionamiento de InventariosDGPVS y SNT"/>
        <s v="Registro de documento de evaluación mensual y documentación para levantar incidencias "/>
        <s v="Se revisó documentación '7.7 Key Column Assignment Method'"/>
        <s v="Se revisó documentación '7.8 Key Column Path'"/>
        <s v="Se revisó documentación '7.9 Key Column Sequence Name'"/>
        <s v="Se revisó documentación '7.10 Content Column Name'"/>
        <s v="Se revisó documentación '7.11 Content Column Type'"/>
        <s v="Se revisó documentación '7.12 Content Column Format'"/>
        <s v="Se revisó documentación '7.13 Content Column Max Length'"/>
        <s v="Se revisó documentación '7.14 Content Column JSON Validation'"/>
        <s v="Se revisó documentación '7.15 Content Column SecureFiles LOB Compression'"/>
        <s v="Se revisó documentación '7.16 Content Column SecureFiles LOB Cache'"/>
        <s v="Se revisó documentación '7.17 Content Column SecureFiles LOB Encryption'"/>
        <s v="Se revisó documentación '7.18 Version Column Name'"/>
        <s v="Se revisó documentación '7.19 Version Column Generation Method'"/>
        <s v="Se revisó documentación '7.20 Last-Modified Time Stamp Column Name'"/>
        <s v="Se revisó documentación '7.21 Last-Modified Column Index Name'"/>
        <s v="Se revisó documentación '7.22 Creation Time Stamp Column Name'"/>
        <s v="Se revisó documentación '7.23 Media Type Column Name'"/>
        <s v="Se revisó documentación '7.24 Read Only'"/>
        <s v="Se revisó documentación '3 Overview of SODA Indexing'"/>
        <s v="Se revisó documentación '5 SODA Filter Specifications (Reference)'"/>
        <s v="Se revisó documentación '5.1 Composite Filters (Reference)'"/>
        <s v="Se revisó documentación '5.1.1 Orderby Clause Sorts Selected Objects'"/>
        <s v="Se revisó documentación '5.2 Filter Conditions (Reference)'"/>
        <s v="Se revisó documentación '5.2.1 Scalar-Equality Clause (Reference)'"/>
        <s v="Se revisó documentación '5.2.2 Field-Condition Clause (Reference)'"/>
        <s v="Se revisó documentación '5.2.2.1 Comparison Clause (Reference)'"/>
        <s v="Se revisó documentación '5.2.2.2 Not Clause (Reference)'"/>
        <s v="Se revisó documentación '5.2.2.3 Item-Method Clause (Reference)'"/>
        <s v="Se revisó documentación '5.2.2.4 ISO 8601 Date, Time, and Duration Support'"/>
        <s v="Se revisó documentación '5.2.3 Logical Combining Clause (Reference)'"/>
        <s v="Se revisó documentación '5.2.3.1 Omitting $and'"/>
        <s v="Se revisó documentación '5.2.4 Nested-Condition Clause (Reference)'"/>
        <s v="Se revisó documentación '5.2.5 ID Clause (Reference)'"/>
        <s v="Se revisó documentación '5.2.6 Text-Contains Clause (Reference)'"/>
        <s v="Se revisó documentación '5.2.7 Special-Criterion Clause (Reference)'"/>
        <s v="Se revisó documentación '5.2.7.1 Spatial Clause (Reference)'"/>
        <s v="Se revisó documentación '5.2.7.2 Contains Clause (Reference)'"/>
        <s v="Se revisó documentación '8 SODA Drivers'"/>
        <s v="Se revisó documentación '9 SODA Feature Support'"/>
        <s v="Se revisó documentación '10 SODA Guidelines and Restrictions'"/>
        <s v="Se revisó información de 'MongoDB : todo sobre la base de datos NoSQL orientada a documentos'"/>
        <s v="Se visualizó video de 'MongoDB in 5 minutes with Eliot Horowitz' "/>
        <s v="Se visualizó video de 'How do NoSQL database work? Simply Explained!'"/>
        <s v="Se visualizó video de 'Hystory of Data Bases' de portales de internet'"/>
        <s v="Se revisó información de 'BASES DE DATOS NO ESTRUCTURADAS - MONGODB'"/>
        <s v="Se revisó información de 'Descripción MongoDB'"/>
        <s v="Se revisó información de 'Alternativas a Mongo DB'"/>
        <s v="Se revisó información de 'Descarga de Mongo DB'"/>
        <s v="Se revisó información de 'MongoDB en Consola'"/>
        <s v="Se revisó información de 'MONGODB'"/>
        <s v="Se revisó información de 'Algunos comandos MongoDB'"/>
        <s v="Se revisó información de 'MongoDB Compass'"/>
        <s v="Se revisó información de 'Bases de datos y colecciones'"/>
        <s v="Se revisó el archivo 'Querys_Estadisiticas_Totales' "/>
        <s v="Se dio retroalimentación rapida a Samuel sobre archivo 'Querys_Estadisiticas_Totales'"/>
        <s v="Se revisó el archivo 'Final Ficha estadística 2023'"/>
        <s v="Se dio retroalimentación rapida a Samuel sobre archivo 'Final Ficha estadística 2023'"/>
        <s v="Se revisó el query 1 de 'TOTAL DE SOLICITUDES DE INFORMACIÓN' del archivo 'Querys_Estadisiticas_Totales'"/>
        <s v="Se revisó el query 1 de 'TOTAL DE RECURSOS DE REVISIÓN INGRESADOS ' del archivo 'Querys_Estadisiticas_Totales' de forma general"/>
        <s v="Se revisó el query 2 de 'TOTAL DE RECURSOS DE REVISIÓN INGRESADOS ' del archivo 'Querys_Estadisiticas_Totales' de forma general"/>
        <s v="Se revisó el query 3 de 'TOTAL DE RECURSOS DE REVISIÓN INGRESADOS ' del archivo 'Querys_Estadisiticas_Totales' de forma general"/>
        <s v="Se revisó el query 1 de 'TOTAL DE RECURSOS DE REVISIÓN GESTIONADOS' del archivo 'Querys_Estadisiticas_Totales' de forma general"/>
        <s v="Se revisó el query 1 de 'TOTAL DE OBLIGACIONES DE TRANSPARENCIA' del archivo 'Querys_Estadisiticas_Totales' de forma general"/>
        <s v="Se revisó el query 1 de 'TOTAL CONSULTA EN LOS BUSCADORES' del archivo 'Querys_Estadisiticas_Totales' de forma general"/>
        <s v="Se revisó el query 2 de 'TOTAL CONSULTA EN LOS BUSCADORES' del archivo 'Querys_Estadisiticas_Totales' de forma general"/>
        <s v="Se revisó el query 1 de 'En la Plataforma Nacional de Transparencia, las obligaciones más consultadas por los ciudadanos' del archivo 'Final Ficha estadística 2023' de forma general"/>
        <s v="Se revisó el query 1 de 'Términos más utilizados en el Buscador Nacional' del archivo 'Final Ficha estadística 2023' de forma general"/>
        <s v="Se revisó el query 1 de 'Los temas más consultados en la PNT de Sujetos Obligados Federales' del archivo 'Final Ficha estadística 2023' de forma general"/>
        <s v="Se revisó el query 1 de 'Sujetos Obligados federales con más obligaciones cargadas' del archivo 'Final Ficha estadística 2023' de forma general"/>
        <s v="Se revisó el query 1 de 'Sujetos Obligados federales con más solicitudes de información' del archivo 'Final Ficha estadística 2023' de forma general"/>
        <s v="Se revisó el query 1 de 'Sujetos Obligados federales con más recursos de revisión' del archivo 'Final Ficha estadística 2023' de forma general"/>
        <s v="Se revisó el query 1 de 'Total de consultas realizadas a los buscadores temáticos' del archivo 'Final Ficha estadística 2023' de forma general"/>
        <s v="Se revisó el query 2 de 'Total de consultas realizadas a los buscadores temáticos' del archivo 'Final Ficha estadística 2023' de forma general"/>
        <s v="Se revisó el query 1 de 'Consulta a los módulos de la PNT en el buscador Nacional' del archivo 'Final Ficha estadística 2023' de forma general"/>
        <s v="Se comenzó a trabajar con el query 1 'TOTAL DE SOLICITUDES DE INFORMACIÓN' del archivo 'Querys_Estadisiticas_Totales'"/>
        <s v="Se trabajó con el Header del Nuevo Paquete 'SISAI.PACK_SISAI3'"/>
        <s v="Se trabajó con el Body del Nuevo Paquete 'SISAI.PACK_SISAI3'"/>
        <s v="Se revisó el Query #1 del archivo FFE23 para la Funcionalidad 1, se hicieron las primeras ejecuciones con los parámetros para entender su funcionamiento"/>
        <s v="Se optimizó el Query #1 del archivo FFE23 (Funcionalidad 1) "/>
        <s v="Se creó el nuevo procedimiento 'FUNC1_PLATANACTRANSPAOBLICONSULTQ1' en el paquete 'PACK_SISAI3'"/>
        <s v="Se verificó campo por campo del query 1 de la Funcionalidad 1"/>
        <s v="Se declararon las variables en bloque anónimo con validación exacta de tamaños de tipos de datos, del query 1 de la Funcionalidad 1"/>
        <s v="Se validó el paquete-procedimiento de la funcionalidad 1 - Query # 1 con el bloque anónimo correcto y se tuvo un resultado exitoso"/>
        <s v="Se actualizó el documento 'Final Ficha estadística 2023' con los comentarios sobre el Query 1 de la Funcionalidad 1"/>
        <s v="Se revisó el Query #1 del archivo FFE23 para la Funcionalidad 2, se hicieron las primeras ejecuciones con los parámetros para entender su funcionamiento"/>
        <s v="Se optimizó el Query #1 del archivo FFE23 (Funcionalidad 2) para tener una versión mejorada"/>
        <s v="Se creó el nuevo procedimiento 'FUNC2_TERMASUTILBUSCNAC' en el paquete 'PACK_SISAI3'"/>
        <s v="Se verificó campo por campo del query 1 de la Funcionalidad 2"/>
        <s v="Se declararon las variables en bloque anónimo con validación exacta de tamaños de tipos de datos, del query 1 de la Funcionalidad 2"/>
        <s v="Se validó el paquete-procedimiento de la funcionalidad 2 - Query # 1 con el bloque anónimo correcto y se tuvo un resultado exitoso"/>
        <s v="Se actualizó el documento 'Final Ficha estadística 2023' con los comentarios sobre el Query 1 de la Funcionalidad 2"/>
        <s v="Se revisó el Query #1 del archivo FFE23 para la Funcionalidad 3, se hicieron las primeras ejecuciones con los parámetros para entender su funcionamiento"/>
        <s v="Se optimizó el Query #1 del archivo FFE23 (Funcionalidad 3) para tener una versión mejorada "/>
        <s v="Se creó el nuevo procedimiento 'FUNC3_TEMASCONSULPNTSUJOBLIFED' en el paquete 'PACK_SISAI3'"/>
        <s v="Se verificó campo por campo del query 1 de la Funcionalidad 3"/>
        <s v="Se declararon las variables en bloque anónimo con validación exacta de tamaños de tipos de datos, del query 1 de la Funcionalidad 3"/>
        <s v="Se validó el paquete-procedimiento de la funcionalidad 3 - Query # 1 con el bloque anónimo correcto y se tuvo un resultado exitoso"/>
        <s v="Se actualizó el documento 'Final Ficha estadística 2023' con los comentarios sobre el Query 1 de la Funcionalidad 3"/>
        <s v="Se revisó el Query #1 del archivo FFE23 para la Funcionalidad 4, se hicieron las primeras ejecuciones con los parámetros para entender su funcionamiento"/>
        <s v="Se optimizó el Query #1 del archivo FFE23 (Funcionalidad 4) para tener una versión mejorada "/>
        <s v="Se creó el nuevo procedimiento 'FUNC4_SUJOBLIFEDEMASOBLICARGA' en el paquete 'PACK_SISAI3'"/>
        <s v="Se verificó campo por campo del query 1 de la Funcionalidad 4, validando el tipo de dato y longitud exactos"/>
        <s v="Se declararon las variables en bloque anónimo con validación exacta de tamaños de tipos de datos, del query 1 de la Funcionalidad 4"/>
        <s v="Se validó el paquete-procedimiento de la funcionalidad 4 - Query # 1 con el bloque anónimo correcto y se tuvo un resultado exitoso"/>
        <s v="Se actualizó el documento 'Final Ficha estadística 2023' con los comentarios sobre el Query 1 de la Funcionalidad 4"/>
        <s v="Se revisó el Query #1 del archivo FFE23 para la Funcionalidad 5, se hicieron las primeras ejecuciones con los parámetros para entender su funcionamiento"/>
        <s v="Se optimizó el Query #1 del archivo FFE23 (Funcionalidad 5) para tener una versión mejorada"/>
        <s v="Se creó el nuevo procedimiento 'FUNC5_SUJOBLIFEDMASSOLICINFO' en el paquete 'PACK_SISAI3', con la funcionalidad del Query #1"/>
        <s v="Se verificó campo por campo del query 1 de la Funcionalidad 5, validando el tipo de dato y longitud exactos"/>
        <s v="Se declararon las variables en bloque anónimo con validación exacta de tamaños de tipos de datos, del query 1 de la Funcionalidad 5"/>
        <s v="Se validó el paquete-procedimiento de la funcionalidad 5 - Query # 1 con el bloque anónimo correcto y se tuvo un resultado exitoso"/>
        <s v="Se actualizó el documento 'Final Ficha estadística 2023' con los comentarios sobre el Query 1 de la Funcionalidad 5"/>
        <s v="Se revisó el Query #1 del archivo FFE23 para la Funcionalidad 6 'Sujetos Obligados federales con más recursos de revisión'"/>
        <s v="Se optimizó el Query #1 del archivo FFE23 (Funcionalidad 6) para tener una versión mejorada"/>
        <s v="Se creó el nuevo procedimiento 'FUNC6_SUJOBLIFEDMASRECREVI'"/>
        <s v="Se verificó campo por campo del query 1 de la Funcionalidad 6, validando el tipo de dato y longitud exactos"/>
        <s v="Se declararon las variables en bloque anónimo con validación exacta de tamaños de tipos de datos, del query 1 de la Funcionalidad 6"/>
        <s v="Se validó el paquete-procedimiento de la funcionalidad 6 - Query # 1 con el bloque anónimo correcto"/>
        <s v="Se actualizó el documento 'Final Ficha estadística 2023' con los comentarios sobre el Q1 de la Func 6"/>
        <s v="Se revisó el Query #1 del archivo FFE23 para la Funcionalidad 7 'Total de consultas realizadas a los buscadores temáticos'"/>
        <s v="Se optimizó el Query #1 del archivo FFE23 (Funcionalidad 7) para tener una versión mejorada"/>
        <s v="Se creó el nuevo procedimiento 'FUNC7_TOTCONSREABUSCATEMAQ1'"/>
        <s v="Se verificó campo por campo del query 1 de la Funcionalidad 7, validando el tipo de dato y longitud exactos"/>
        <s v="Se declararon las variables en bloque anónimo con validación exacta de tamaños de tipos de datos, del query 1 de la Funcionalidad 7"/>
        <s v="Se validó el paquete-procedimiento de la funcionalidad 7 - Query # 1 con el bloque anónimo correcto"/>
        <s v="Se actualizó el documento 'Final Ficha estadística 2023' con los comentarios sobre el Query 1 de la Funcionalidad 7"/>
        <s v="Se revisó el Query #2 del archivo FFE23 para la Funcionalidad 7 'Total de consultas realizadas a los buscadores temáticos'"/>
        <s v="Se optimizó el Query #2 del archivo FFE23 (Funcionalidad 7) para tener una versión mejorada"/>
        <s v="Se creó el nuevo procedimiento 'FUNC7_TOTCONSREABUSCATEMAQ2'"/>
        <s v="Se verificó campo por campo del query 2 de la Funcionalidad 7, validando el tipo de dato y longitud exactos"/>
        <s v="Se declararon las variables en bloque anónimo con validación exacta de tamaños de tipos de datos, del query 2 de la Funcionalidad 7"/>
        <s v="Se validó el paquete-procedimiento de la funcionalidad 7 - Query # 2 con el bloque anónimo correcto"/>
        <s v="Se actualizó el documento 'Final Ficha estadística 2023' con los comentarios sobre el Query 2 de la Funcionalidad 7"/>
        <s v="Se revisó el Query #1 del archivo FFE23 para la Funcionalidad 8 'Consulta a los módulos de la PNT en el buscador Nacional'"/>
        <s v="Se creó el nuevo procedimiento 'FUNC8_CONSMODPNTBUSCNACQ1' en el paquete 'PACK_SISAI3', con la funcionalidad del Query #1"/>
        <s v="Se creó el nuevo procedimiento 'FUNC8_CONSMODPNTBUSCNACQ1'"/>
        <s v="Se verificó campo por campo del query 1 de la Funcionalidad 8, validando el tipo de dato y longitud exactos"/>
        <s v="Se declararon las variables en bloque anónimo con validación exacta de tamaños de tipos de datos, del query 1 de la Funcionalidad 8"/>
        <s v="Se validó el paquete-procedimiento de la funcionalidad 8 - Query # 1 con el bloque anónimo correcto"/>
        <s v="Se actualizó el documento 'Final Ficha estadística 2023' con los comentarios sobre el Query 1 de la Funcionalidad 8"/>
        <s v="Se revisó el Query #1 del archivo IEDEPNI para la Funcionalidad 1 'TOTAL DE SOLICITUDES DE INFORMACIÓN'"/>
        <s v="Se optimizó el Query #1 del archivo IEDEPNI (Funcionalidad 1) para tener una versión mejorada"/>
        <s v="Se creó el nuevo procedimiento 'FUNC1_TOTSOLDEINFOQ1'"/>
        <s v="Se verificó campo por campo del query 1 de la Funcionalidad 1, validando el tipo de dato y longitud exactos"/>
        <s v="Se tuvó sesión con Samuel para revisar las herramientas de tuneo que se utilizan"/>
        <s v="Se validó el paquete-procedimiento de la funcionalidad 1 - Query # 1 con el bloque anónimo correcto"/>
        <s v="Se actualizó el documento 'Querys_Estadisiticas_Totales' con los comentarios sobre el Query 1 de la Funcionalidad 1"/>
        <s v="Se revisó el Query #1 del archivo IEDEPNI para la Funcionalidad 2 'TOTAL DE RECURSOS DE REVISIÓN INGRESADOS - Recursos de HCOM E INFOMEX'"/>
        <s v="Se optimizó el Query #1 del archivo IEDEPNI (Funcionalidad 2) para tener una versión mejorada"/>
        <s v="Se creó el nuevo procedimiento 'FUNC2_TOTRRIHCOMEINFOMEXQ1'"/>
        <s v="Se verificó campo por campo del query 1 de la Funcionalidad 2, validando el tipo de dato y longitud exactos"/>
        <s v="Se validó el paquete-procedimiento de la funcionalidad 2 - Query # 1 con el bloque anónimo correcto"/>
        <s v="Se actualizó el documento 'Querys_Estadisiticas_Totales' con los comentarios sobre el Query 1 de la Funcionalidad 2"/>
        <s v="Se revisó el Query #2 del archivo IEDEPNI para la Funcionalidad 2 'TOTAL DE RECURSOS DE REVISIÓN INGRESADOS - Obtiene los recursos de revisión interpuestos'"/>
        <s v="Se optimizó el Query #2 del archivo IEDEPNI (Funcionalidad 2) para tener una versión mejorada"/>
        <s v="Se creó el nuevo procedimiento 'FUNC2_TOTRRIOBTRECREVINTERPUQ2'"/>
        <s v="Se verificó campo por campo del query 2 de la Funcionalidad 2, validando el tipo de dato y longitud exactos"/>
        <s v="Se declararon las variables en bloque anónimo con validación exacta de tamaños de tipos de datos, del query 2 de la Funcionalidad 2"/>
        <s v="Se validó el paquete-procedimiento de la funcionalidad 2 - Query # 2 con el bloque anónimo correcto"/>
        <s v="Se actualizó el documento 'Querys_Estadisiticas_Totales' con los comentarios sobre el Query 2 de la Funcionalidad 2"/>
        <s v="Se revisó el Query #3 del archivo IEDEPNI para la Funcionalidad 2 'TOTAL DE RECURSOS DE REVISIÓN INGRESADOS - Obtiene los recursos de revisión gestionados fuera'"/>
        <s v="Se optimizó el Query #3 del archivo IEDEPNI (Funcionalidad 2) para tener una versión mejorada"/>
        <s v="Se creó el nuevo procedimiento 'FUNC2_TOTRRIOBTRECREVGESTFUEQ3'"/>
        <s v="Se verificó campo por campo del query 3 de la Funcionalidad 2, validando el tipo de dato y longitud exactos"/>
        <s v="Se declararon las variables en bloque anónimo con validación exacta de tamaños de tipos de datos, del query 3 de la Funcionalidad 2"/>
        <s v="Se validó el paquete-procedimiento de la funcionalidad 2 - Query # 3 con el bloque anónimo correcto"/>
        <s v="Se actualizó el documento 'Querys_Estadisiticas_Totales' con los comentarios sobre el Query 3 de la Funcionalidad 2"/>
        <s v="Se revisó el Query #1 del archivo IEDEPNI para la Funcionalidad 3 'TOTAL DE RECURSOS DE REVISIÓN GESTIONADOS'"/>
        <s v="Se optimizó el Query #1 del archivo IEDEPNI (Funcionalidad 3) para tener una versión mejorada"/>
        <s v="Se creó el nuevo procedimiento 'FUNC3_TOTRECREVGESTIOQ1'"/>
        <s v="Se verificó campo por campo del query 1 de la Funcionalidad 3, validando el tipo de dato y longitud exactos"/>
        <s v="Se validó el paquete-procedimiento de la funcionalidad 3 - Query # 1 con el bloque anónimo correcto"/>
        <s v="Se actualizó el documento 'Querys_Estadisiticas_Totales' con los comentarios sobre el Query 1 de la Funcionalidad 3"/>
        <s v="Se revisó el Query #1 del archivo IEDEPNI para la Funcionalidad 4 'TOTAL DE OBLIGACIONES DE TRANSPARENCIA'"/>
        <s v="Se optimizó el Query #1 del archivo IEDEPNI (Funcionalidad 4) para tener una versión mejorada"/>
        <s v="Se creó el nuevo procedimiento 'FUNC4_TOTOBLTRANSPAQ1'"/>
        <s v="Se validó el paquete-procedimiento de la funcionalidad 4 - Query # 1 con el bloque anónimo correcto"/>
        <s v="Se actualizó el documento 'Querys_Estadisiticas_Totales' con los comentarios sobre el Query 1 de la Funcionalidad 4"/>
        <s v="Se revisó el Query #1 del archivo IEDEPNI para la Funcionalidad 5 'TOTAL CONSULTA EN LOS BUSCADORES - Buscador Nacional'"/>
        <s v="Se optimizó el Query #1 del archivo IEDEPNI (Funcionalidad 5) para tener una versión mejorada"/>
        <s v="Se creó el nuevo procedimiento 'FUNC5_TOTCONSBUSCADONACQ1'"/>
        <s v="Se validó el paquete-procedimiento de la funcionalidad 5 - Query # 1 con el bloque anónimo correcto"/>
        <s v="Se actualizó el documento 'Querys_Estadisiticas_Totales' con los comentarios sobre el Query 1 de la Funcionalidad 5"/>
        <s v="Se revisó el Query #2| del archivo IEDEPNI para la Funcionalidad 5 'TOTAL CONSULTA EN LOS BUSCADORES - Buscadores temáticos'"/>
        <s v="Se optimizó el Query #2 del archivo IEDEPNI (Funcionalidad 5) para tener una versión mejorada"/>
        <s v="Se creó el nuevo procedimiento 'FUNC5_TOTCONSBUSCADOTEMATICOQ2'"/>
        <s v="Se verificó campo por campo del query 2 de la Funcionalidad 5, validando el tipo de dato y longitud exactos"/>
        <s v="Se declararon las variables en bloque anónimo con validación exacta de tamaños de tipos de datos, del query 2 de la Funcionalidad 5"/>
        <s v="Se validó el paquete-procedimiento de la funcionalidad 5 - Query # 2 con el bloque anónimo correcto"/>
        <s v="Análisis de los requerimientos para el proyecto de estadisticos"/>
        <s v="Análisis de los procesos en base de datos"/>
        <s v="Análisis de respuesta para los servicios de backend"/>
        <s v="Mapeo de las entidades de los catálogos de base de datos en Java"/>
        <s v="Mapeo de las entidades para los objetos de solicitudes de base de datos"/>
        <s v="Desarrollo del metódos para consumir el proceso para la graficas de solicitudes"/>
        <s v="Desarrollo de los servicios para los catálogos de solicitudes"/>
        <s v="Desarrollo de los servicios para los catálogos de quejas"/>
        <s v="Desarrollo de los metódos genericos para consumir los procesos almacenados"/>
        <s v="Desarrollo de los servicios para exponer los datos de las gráficas de solicitudes"/>
        <s v="Mapeo de las entidades para los objetos de quejas de base de datos"/>
        <s v="Desarrollo de los metódos para consumir el proceso para las graficas de quejas"/>
        <s v="Desarrollo de funcionalidad para registrar la ultima respuesta de una solicitud a la bitacora de una queja"/>
        <s v="Desarrollo para registrar en bitacora la creación del acuse de registro de queja"/>
        <s v="Desarrollo para llamar a los subreportes que generan el acuse de queja"/>
        <s v="Desarrollo para registrar RIA's"/>
        <s v="Desarrollo para generar acuse de registro de RIA"/>
        <s v="Desarrollo para registrar respuesta a notificaciones"/>
        <s v="Desarrollo para generar acuse de registro de notificaciones"/>
        <s v="Desarrollo para listar comunicaciones"/>
        <s v="Desarrollo para registrar respuesta a  requerimiento de comunicación "/>
        <s v="Desarrollo para generar acuse de comunicaciones"/>
        <s v="Introducción al proyecto"/>
        <s v="Integracion de librería de consistencia"/>
        <s v="Servicio para hashes"/>
        <s v="Servicio para pkcs7"/>
        <s v="Subir archivos para firma unilateral"/>
        <s v="Registrar firma electronica pkcs7"/>
        <s v="Subir archivos para firma multilateral fin firma asociada"/>
        <s v="Subir archivos para firma"/>
        <s v="Descarga hoja de evidencias"/>
        <s v="Descarga documento firmado"/>
        <s v="Descarga bloque firmado"/>
        <s v="cancelar Documento"/>
        <s v="Se pulierón los procedimientos del documento IEDEPNI"/>
        <s v="Se revisó de nuevo el Query #1 del archivo IEDEPNI para la Funcionalidad 1, para aplicar posibles mejoras"/>
        <s v="Se revalidó el procedimiento 'FUNC1_TOTSOLDEINFOQ1'"/>
        <s v="Se revisó de nuevo el Query #1 del archivo IEDEPNI para la Funcionalidad 2, para aplicar posibles mejoras"/>
        <s v="Se revalidó el procedimiento 'FUNC2_TOTRRIHCOMEINFOMEXQ1'"/>
        <s v="Se revisó de nuevo el Query #2 del archivo IEDEPNI para la Funcionalidad 2, para aplicar posibles mejoras"/>
        <s v="Se revalidó el procedimiento 'FUNC2_TOTRRIOBTRECREVINTERPUQ2'"/>
        <s v="Se revisó de nuevo el Query #3 del archivo IEDEPNI para la Funcionalidad 2, para aplicar posibles mejoras"/>
        <s v="Se revalidó el procedimiento 'FUNC2_TOTRRIOBTRECREVGESTFUEQ3'"/>
        <s v="Se revisó de nuevo el Query #1 del archivo IEDEPNI para la Funcionalidad 3, para aplicar posibles mejoras"/>
        <s v="Se revalidó el procedimiento 'FUNC3_TOTRECREVGESTIOQ1' "/>
        <s v="Se revisó de nuevo el Query #1 del archivo IEDEPNI para la Funcionalidad 4, para aplicar posibles mejoras"/>
        <s v="Se revalidó el procedimiento 'FUNC4_TOTOBLTRANSPAQ1'"/>
        <s v="Se revisó de nuevo el Query #1 del archivo IEDEPNI para la Funcionalidad 5, para aplicar posibles mejoras"/>
        <s v="Se revalidó el procedimiento 'FUNC5_TOTCONSBUSCADONACQ1'"/>
        <s v="Se revisó de nuevo el Query #2| del archivo IEDEPNI para la Funcionalidad 5, para aplicar posibles mejoras"/>
        <s v="Se revalidó el procedimiento 'FUNC5_TOTCONSBUSCADOTEMATICOQ2'"/>
        <s v="Se afinó el documento 'Final Ficha estadística 2023' con todos los detalles trabajados"/>
        <s v="Se compartio el documento FFE23 a lider de TI"/>
        <s v="Se afinó el documento 'Querys_Estadisiticas_Totales' con todos los detalles trabajados"/>
        <s v="Se compartio el documento IEDEPNI a lider de TI"/>
        <s v="Se tocó base con Samuel para el proximo requerimiento"/>
        <s v="Se tuvo sesion con Annel para conocer el proximo requerimiento"/>
        <s v="Se revisarón las 2 vistas materializadas proporcionadas"/>
        <s v="Se consultó con Samuel sobre los proximos entregables"/>
        <s v="Se tuvo sesion con Samuel para revisar la estructura de las vistas materializadas"/>
        <s v="Se tuvo sesión con Samuel y el equipo para conocer el alcance del requerimiento"/>
        <s v="Se tomó nota del como se deben poner los nombres de los procedimientos"/>
        <s v="Se tomó pantalla de la maqueta de procedimientos inicial"/>
        <s v="Se validó conexión con el usuario BI"/>
        <s v="Se definio el total de procedimientos y sus nombres"/>
        <s v="Se creó paquete de la BD 'BI.PACK_SOLICITUDES_ESTADISTICAS'"/>
        <s v="Se creó el esqueleto de los 15 procedimientos indentificados inicialmente con los parametros de entrada de los IDs de la vista materializada"/>
        <s v="Se creó el contenido del procedimiento #1 OBTENER_TIPO_SOLICITUD con la consulta que va a retornar el total por el Tipo de Solicitud"/>
        <s v="Se compiló paquete con la primer versión del 1er procedimiento"/>
        <s v="Se declararón las variables en bloque anónimo del query del procdimiento OBTENER_TIPO_SOLICITUD"/>
        <s v="Se validó el paquete-procedimiento 'OBTENER_TIPO_SOLICITUD' con el bloque anónimo correcto"/>
        <s v="Se tuvo sesión con equipo para mostrar avances del paquete y procedimientos creados"/>
        <s v="Se concluyó que seran un total de 12 procedimientos"/>
        <s v="Se validó el acceso al video de sesión pasada del viernes 13"/>
        <s v="Se compartió con el DBA un error en el explain plan"/>
        <s v="Se tuvo sesión con equipo y se explicaron algunos cambios a considerar"/>
        <s v="Se tuvo sesión con Samuel y con equipo para nuevos cambios a considerar, cambio para que ahora los parametros reciban mas de 1 valor"/>
        <s v="Se revisó un ejemplo proporcionado por Annel para entender el funcionamiento de los objetos del tipo TAB"/>
        <s v="Se consultó mas información sobre el funcionamiento de los objetos TAB para entender el como se declaran"/>
        <s v="Se trabajó en declarar los objetos de tipo TAB en el 1er procedimiento"/>
        <s v="Se revisaron los errores encontrados y se identifico que el problema es porque hace falta crearlos en la BD como objetos de tipo TIPE y como Colecciones -"/>
        <s v="Se crearon todos los objetos del tipo TYPE y Collection Type"/>
        <s v="Se tocó base con Antonio para validar los nombres de los nuevos objetos"/>
        <s v="Se tuvo sesión para revisar los avances"/>
        <s v="Se actualizó el procedimiento para manejar objetos del tipo TAB"/>
        <s v="Se trabajó en el procedimiento 'OBTENER_TIPO_SOLICITUD'"/>
        <s v="Se validó el paquete-procedimiento 'OBTENER_TIPO_SOLICITUD' con el bloque anónimo"/>
        <s v="Se revisó a detalle para identificar los posibles errores"/>
        <s v="Se identificó problema con la inicialización de las variables TAB"/>
        <s v="Se actualizó bloque anonimo con la forma correcta de inicializar la variable"/>
        <s v="Se logró validar de forma exitosa el procedimiento con el 1er parametro de tipo TAB"/>
        <s v="Se tuvo sesión con Samuel para revisar los avances hasta el momento"/>
        <s v="Se actualizó procedimiento 'OBTENER_TIPO_SOLICITUD'"/>
        <s v="Se identificaron los errores en el procedimiento 'OBTENER_TIPO_SOLICITUD'"/>
        <s v="Se ajustó el procedimiento 'OBTENER_TIPO_SOLICITUD' con estas recientes mejoras identificaras"/>
        <s v="Se le confirmó al equipo que ya esta listo el 1er procedimiento 'OBTENER_TIPO_SOLICITUD'"/>
        <s v="Se estimaron tiempos de la contrucción de todos los procedimientos nuevos con las variables del tipo TAB"/>
        <s v="Se construyó la consulta para tratar el 2do procedimiento OBTENER_DERECHO_DP"/>
        <s v="Se validó información que retorna la consulta sea la correcta"/>
        <s v="Se trabajó en el 2do procedimiento 'OBTENER_DERECHO_DP'"/>
        <s v="Se validó el paquete-procedimiento 'OBTENER_DERECHO_DP' con el bloque anónimo correcto"/>
        <s v="Se le informó al equipo que ya esta este 2do procedimiento para que lo revisen"/>
        <s v="Se construyó la consulta para tratar el 3er procedimiento OBTENER_MEDIO_ENTRADA"/>
        <s v="Se validó la información que retorna la consulta sea la correcta"/>
        <s v="Se trabajó en el 3er procedimiento 'OBTENER_MEDIO_ENTRADA' con sus respectivas variables TAB"/>
        <s v="Se validó el paquete-procedimiento 'OBTENER_MEDIO_ENTRADA' con el bloque anónimo correcto"/>
        <s v="Se le informó al equipo que ya esta este 3er procedimiento para que lo revisen"/>
        <s v="Se construyó la consulta para tratar el 4to procedimiento OBTENER_MODALIDAD_ENTREGA"/>
        <s v="Se trabajó en el 4to procedimiento 'OBTENER_MODALIDAD_ENTREGA' con sus respectivas variables TAB"/>
        <s v="Se validó el paquete-procedimiento 'OBTENER_MODALIDAD_ENTREGA' con el bloque anónimo correcto"/>
        <s v="Se le informó al equipo que ya esta este 4to procedimiento para que lo revisen"/>
        <s v="Se construyó la consulta para tratar el 5to procedimiento OBTENER_RECIBO_NOTIFICACION"/>
        <s v="Se trabajó en el 5to procedimiento 'OBTENER_RECIBO_NOTIFICACION' con sus respectivas variables TAB"/>
        <s v="Se validó el paquete-procedimiento 'OBTENER_RECIBO_NOTIFICACION' con el bloque anónimo correcto"/>
        <s v="Se le informó al equipo que ya esta este 5to procedimiento para que lo revisen"/>
        <s v="Se tuvo platica con Antonio para aplicar mejoras a la forma de validar los objetos TAB"/>
        <s v="Se solicitaron cambios en las consultas que contienen los diversos procedimientos"/>
        <s v="Se hicieron pruebas de paquete de prueba de Antonio para validar las mejoras"/>
        <s v="Se aplicaron mejoras propuestas al 5to procedimiento"/>
        <s v="Se construyó la consulta para tratar el 6to procedimiento OBTENER_FG_PRORROGA"/>
        <s v="Se trabajó en el 6to procedimiento 'OBTENER_FG_PRORROGA' con sus respectivas variables TAB"/>
        <s v="Se validó el paquete-procedimiento 'OBTENER_FG_PRORROGA' con el bloque anónimo correcto"/>
        <s v="Se le informó al equipo que ya esta este 6to procedimiento para que lo revisen"/>
        <s v="Se construyó la consulta para tratar el 7mo procedimiento OBTENER_FG_PREVENCION"/>
        <s v="Se trabajó en el 7mo procedimiento 'OBTENER_FG_PREVENCION' con sus respectivas variables TAB"/>
        <s v="Se validó el paquete-procedimiento 'OBTENER_FG_PREVENCION' con el bloque anónimo correcto"/>
        <s v="Se le informó al equipo que ya esta este 7mo procedimiento para que lo revisen"/>
        <s v="Se construyó la consulta para tratar el 8vo procedimiento OBTENER_FG_DISPONIBILIDAD"/>
        <s v="Se trabajó en el 8vo procedimiento 'OBTENER_FG_DISPONIBILIDAD' con sus respectivas variables TAB"/>
        <s v="Se validó el paquete-procedimiento 'OBTENER_FG_DISPONIBILIDAD' con el bloque anónimo correcto"/>
        <s v="Se le informó al equipo que ya esta este 8vo procedimiento para que lo revisen"/>
        <s v="Se construyó la consulta para tratar el 9no procedimiento OBTENER_ULTIMA_RESPUESTA"/>
        <s v="Se trabajó en el 9no procedimiento 'OBTENER_ULTIMA_RESPUESTA' con sus respectivas variables TAB"/>
        <s v="Se validó el paquete-procedimiento 'OBTENER_ULTIMA_RESPUESTA' con el bloque anónimo correcto"/>
        <s v="Se le informó al equipo que ya esta este 9no procedimiento para que lo revisen"/>
        <s v="Se construyó la consulta para tratar el 10mo procedimiento OBTENER_SOLICITUDESXDIA"/>
        <s v="Se trabajó en el 10mo procedimiento 'OBTENER_SOLICITUDESXDIA' con sus respectivas variables TAB"/>
        <s v="Se validó el paquete-procedimiento 'OBTENER_SOLICITUDESXDIA' con el bloque anónimo correcto"/>
        <s v="Se le informó al equipo que ya esta este 10mo procedimiento para que lo revisen"/>
        <s v="Se construyó la consulta para tratar el 11vo procedimiento OBTENER_ESTATUS"/>
        <s v="Se trabajó en el 11vo procedimiento 'OBTENER_ESTATUS' con sus respectivas variables TAB"/>
        <s v="Se validó el paquete-procedimiento 'OBTENER_ESTATUS' con el bloque anónimo correcto"/>
        <s v="Se le informó al equipo que ya esta este 11vo procedimiento para que lo revisen"/>
        <s v="Se toco base con Samuel para definir el catalogo de Tematicas"/>
        <s v="Se construyó la consulta para tratar el 12vo procedimiento OBTENER_TEMATICA"/>
        <s v="Se trabajó en el 12vo procedimiento 'OBTENER_TEMATICA' con sus respectivas variables TAB"/>
        <s v="Se validó el paquete-procedimiento 'OBTENER_TEMATICA' con el bloque anónimo correcto"/>
        <s v="Se le informó al equipo que ya esta este 12vo procedimiento para que lo revisen"/>
        <s v="Se revisaron las consultas de los procedimientos creados para aplicar mejora de subquerys"/>
        <s v="Se aplicó mejora solicitada en todos los procedimientos"/>
        <s v="Se tuvo sesión con equipo para nuevos cambios en procedimientos creados"/>
        <s v="Se recolectó 1er cambio para modificar los parametros de salida del cursor"/>
        <s v="Se recolectó 2do cambio para unificar las etiquetas de todos los querys a retornar"/>
        <s v="Se recolectó 3er cambio para incluir el ID en los procedimientos de las Banderas"/>
        <s v="Se trabajó agregando el 1er cambio a todos los procedimientos"/>
        <s v="Se trabajó agregando el 2do cambio a todos los procedimientos"/>
        <s v="Se trabajó agregando el 3er cambio a todos los procedimientos"/>
        <s v="Se validó nuevamente que todos los procedimientos se puedan invocar a través del bloque anónimo correcto"/>
        <s v="Instalacion y configuracion de Helm"/>
        <s v="Instalacion y configuracion de Traefik"/>
        <s v="instalacion y configuracion de MetalLb"/>
        <s v="Instalacion y configuracion de ArgoCD"/>
        <s v="Instalacion y configuracion de Trivy"/>
        <s v="Configuracion de Dependency Check"/>
        <s v="Configuracion de gradle en jenkins"/>
        <s v="creacion de pipeline CI"/>
        <s v="creacion de pipeline CD"/>
        <s v="Documentación de incidencias"/>
        <s v="Registros de incidencias en Mantis"/>
        <s v="Cierre parcial de pruebas de ejecución del sistema de Inventarios"/>
        <s v="Se realiza la nueva vesión del micrositio de ServicioProfesional"/>
        <s v="Envío y revisión de OT GAP"/>
        <s v="Seguimiento de ejecución de la OT servicioProfesional"/>
        <s v="Se continua con la ejecución de ServicioProfesional"/>
        <s v="Solicitud de base de datos para las pruebas de ServicioProfesional"/>
        <s v="Entrega de base de datos para ServicioProfesional"/>
        <s v="Ejecución completa de la OT ServicioProfesional con detalles de conexión"/>
        <s v="Se completa de manera correcta la OT de ServicioProfesional"/>
        <s v="Se envía la OT Encuentro XXV"/>
        <s v="Se documenta la evidencia de la OT ServicioProfesional"/>
        <s v="Se ejecuta la OT Encuentro XXV"/>
        <s v="Se envía el correo de liberación de pruebas de la OT ServicioProfesional"/>
        <s v="Resolución de insidencias encontradas sobre la OT del módulo de Inventarios"/>
        <s v="Se da seguimiento a la OT del micrositio del RFC del proyecto Criterios de Interpretación"/>
        <s v="Se continua con el análisis del documento de Criterios de Interpretación SNT"/>
        <s v="Alta de usuario en TestLink para creación de casos de prueba"/>
        <s v="Seguimiento del documento de Criterios de Interpretación SNT para obtener casos de prueba"/>
        <s v="Documentación de casos de pruebas en TestLink del documento Criterios de Interpretación SNT"/>
        <s v="Se tiene una sesión sobre la función del módulo de usuarios en el proyecto Cristerios de Interpretación SNT"/>
        <s v="Registro de casos de prueba en TestLink de RFC Criterios de Interpretación SNT"/>
        <s v="Análisis de la documentación del módulo de usuarios"/>
        <s v="Se completa la carga de Casos de prueba en Testlink de RFC Criterios de interpretación SNT"/>
        <s v="Alta de nueva carpeta en testlink para el módulo de usuarios"/>
        <s v="Se da seguimiento al documento del módulo de usuarios para generar los casos de prueba"/>
        <s v="Análisis y documentación de casos de prueba sobre el módulo de usuarios "/>
        <s v="Revisión y análisis de RFC"/>
        <s v="Explicación tecnologías, ambientes y configuraciones del proyecto"/>
        <s v="Revisión de los catálogos de BD"/>
        <s v="Construcción de la base de datos"/>
        <s v="BackEnd  Laravel"/>
        <s v="Modulo tipos de expediente"/>
        <s v="Modulo de Rubros"/>
        <s v="Modulo de Años"/>
        <s v="Modulo de Épocas"/>
        <s v="Modulo de Tipos de criterio"/>
        <s v="Modulo de Entidad Federativa"/>
        <s v="Reunion de levantamiento con cliente, explicación y entendimiento  del RFC"/>
        <s v="Diseño de los Casos de Prueba"/>
        <s v="Enregables fase de Inicio y Planeación"/>
        <s v="Reunión KickOff"/>
        <s v="DEMO PIZARRAS4"/>
        <s v="Monitoreo y control fase de análisis"/>
        <s v="Servicio para obtener invocacion de certificado"/>
        <s v="Corrección de firma, en canvas"/>
        <s v="Corrección de fecha "/>
        <s v="Corrección RFC"/>
        <s v="Sesión de inducción"/>
        <s v="Analisis de codigo"/>
        <s v="Sesion de entendimiento"/>
        <s v="Analisis de actividades"/>
        <s v="Revisión de actividades"/>
        <s v="Revisión de modulos"/>
        <s v="Rediseño de tabla-migracion de componentes"/>
        <s v="Ajuste de estilos"/>
        <s v="Nueva ruta"/>
        <s v="Se agrega barra de navegacion"/>
        <s v="Migración de componentes"/>
        <s v="Ajuste de datos de acuerdo a los componentes"/>
        <s v="Refactor servicios"/>
        <s v="Cambio de los servicios de solicitudes "/>
        <s v="Cambio de los servicios de resoluciones"/>
        <s v="Desarrollo de servicio para consultar el top de sujetos obligados en solicitudes"/>
        <s v="Desarrollo de servicio para consultar el top de sujetos obligados en quejas"/>
        <s v="Desarrollo de servicio para consultar el top de comisionados que hacen resoluciones"/>
        <s v="Cambio en el mapeo de solicitudes para obtener la descripción"/>
        <s v="Cambio en el mapeo de quejas para obtener la descripción"/>
        <s v="Cambio en el mapeo de resoluciones para obtener la descripción"/>
        <s v="Desarrollo del servicio para agrupar los totales de INFOMEX "/>
        <s v="Desarrollo de mis quejas saimex"/>
        <s v="Desarrollo de registro queja saimex"/>
        <s v="Desarrollo de descarga adjunto para queja saimex"/>
        <s v="Desarrollo de descarga acuse saimex"/>
        <s v="Desarrollo de historico de respuesta saimex"/>
        <s v="Configuración de jasper reports para subreportes"/>
        <s v="Configuración de tipo de letras para reportes"/>
        <s v="Configuración de jvm para reportes"/>
        <s v="Adecuaciones a nivel de front end para el consumo de servicios de saimex para quejas"/>
        <s v="Adecuación de estilos en front end para presentar la información de las quejas en saimex"/>
        <s v="Se desarrolla modulo de materias"/>
        <s v="Se desarrolla modulo de organismo garante"/>
        <s v="Se desarrolla modulo de criterios principales"/>
        <s v="Se desarrolla modulo de informacion"/>
        <s v="Se desarrolla modulo decarga de csv"/>
        <s v="Se comienza con los estilos para el sitio"/>
        <s v="Actualizacion de versiones Flutter y plugins"/>
        <s v="Actualizacion de direcciones de servicios"/>
        <s v="Validacion de funcionamiento de servicios"/>
        <s v="Reunion seguimiento de errores"/>
        <s v="Revision FB login"/>
        <s v="Validacion de responsive y correccion de estilos"/>
        <s v="Revision twitter login"/>
        <s v="Generar documento de guia para login Facebook y Twitter"/>
        <s v="Revision de problemas flutter 3.16"/>
        <s v="Actualizar y correccion de errores api 33 Android"/>
        <s v="Análisis y registro de casos de prueba del documento &quot;módulo de Usuarios&quot;"/>
        <s v="Casos de prueba Módulo de usuarios a la carpeta de testlink "/>
        <s v="Casos de prueba Módulo Roles de usuarios"/>
        <s v="Casos de prueba roles del Módulo de usuarios en Testlink"/>
        <s v="Sesiones solicitudes masivas"/>
        <s v="Casos de prueba de los roles de usuarios"/>
        <s v="Casos de prueba de los roles de usuarios en testlink"/>
        <s v="Incidencias del Modulo de inventarios"/>
        <s v="Carga de casos de prueba de roles de usuario"/>
        <s v="Nuevos casos de prueba del módulo de usuarios"/>
        <s v="Casos de prueba nuevos  usuarios"/>
        <s v="Correo para pruebas de sistema de inventarios versión 2"/>
        <s v="Ejecución de pruebas de la nueva versión del sistema de inventarios"/>
        <s v="Ejecución de las pruebas del sistema de inventarios version 2"/>
        <s v="Documentación de evidencias después de las pruebas del sistema de inventarios"/>
        <s v="Incidencias detectadas durante la ejecución de las pruebas de inventarios"/>
        <s v="Liberación parcial de pruebas sistema de inventarios"/>
        <s v="Nuevo análsis a los casos de prueba del módulo de usuarios"/>
        <s v="Prueba mediante matríz de roles para módulo de usuarios"/>
        <s v="Generación de pasos para casos de prueba en testlink"/>
        <s v="Ingreso a sitios para realizar las pruebas "/>
        <s v="Documento de asignación de pruebas para el módulo de usuarios"/>
        <s v="Casos de prueba previos al inicio de las pruebas del módulo de usuarios"/>
        <s v="Seguimiento y análisis a los casos de prueba previos al inicio de las pruebas del módulo de usuarios"/>
        <s v="Monitoreo y control fase de Construcción"/>
        <s v="Informe General"/>
        <s v="Tablero"/>
        <s v="Cobertura General"/>
        <s v="Cobertura del Programa por LA"/>
        <s v="Cobertura de Actividades por Eje"/>
        <s v="Cobertura de Actividades"/>
        <s v="Cobertura del programa por región"/>
        <s v="Estatus cumpimiento"/>
        <s v="Evidencias"/>
        <s v="Actividades sin avance"/>
        <s v="Avance por integrante"/>
        <s v="Cuadro comparativo"/>
        <s v="Menú pizarras"/>
        <s v="Se expuso duda de procedimiento &quot;OBTENER_SOLICITUDESXDIA&quot;"/>
        <s v="Se revisó estructura de tabla de Quejas"/>
        <s v="Se nos solicitó mejora en los procedimientos de banderas de Solicitudes"/>
        <s v="Se comenzó a trabajar en las consultas para mantener los 2 registros en todos los escenarios"/>
        <s v="Se hicieron más pruebas sobre las consultas para el mantener ambos registros para las banderas"/>
        <s v="Se hicieron más pruebas para determinar si con subqueries es posible resolver el tema de banderas"/>
        <s v="Se concluye que con las pruebas realizadas no es posible resolver de mantener 2 registros"/>
        <s v="Se modifico el procedimiento 'OBTENER_FG_PRORROGA' para dejar solamente 2 registros"/>
        <s v="Se tuvo sesión con Samuel para revisar la estructura de la tabla de Quejas"/>
        <s v="Se valida que tenga acceso desde usuario BI a las tablas de catalogos"/>
        <s v="Se definió el total de procedimientos"/>
        <s v="Se trabajó en declarar los objetos de tipo TAB"/>
        <s v="Se creó paquete de la BD 'BI.PACK_QUEJAS_ESTADISTICAS'"/>
        <s v="Se creó el esqueleto de los 9 procedimientos identificados"/>
        <s v="Se construyó la consulta para tratar el 1er procedimiento 'OBTENER_ENTIDADFEDERATIVA' "/>
        <s v="Se validó que la información que retorna la consulta sea la correcta "/>
        <s v="Se trabajó en el 1er procedimiento 'OBTENER_ENTIDADFEDERATIVA'"/>
        <s v="Se validó el paquete-procedimiento 'OBTENER_ENTIDADFEDERATIVA' con el bloque anónimo correcto"/>
        <s v="Se tuvo sesión rapida con Samuel y Antonio para aclarar dudas sobre el 1er procedimiento"/>
        <s v="Se actualizo el 1er procedimiento por el nombre correcto"/>
        <s v="Se validó el paquete-procedimiento 'OBTENER_MEDIOREGISTRO' con el bloque anónimo correcto"/>
        <s v="Se le informó al equipo que ya esta esté 1er procedimiento para que lo revisen"/>
        <s v="Se construyó la consulta para tratar el 2do procedimiento 'OBTENER_MEDIONOTIFICACION' "/>
        <s v="Se validó que la información que retorna la consulta con los distintos parametros sea la correcta"/>
        <s v="Se trabajó en el 2do procedimiento 'OBTENER_MEDIONOTIFICACION', se compila sin errores"/>
        <s v="Se validó el paquete-procedimiento 'OBTENER_MEDIONOTIFICACION' con el bloque anónimo correcto"/>
        <s v="Se le informó al equipo que ya esta esté 2do procedimiento"/>
        <s v="Se expuso duda sobre el 3er procedimiento"/>
        <s v="Se construyó la consulta para tratar el 3er procedimiento 'OBTENER_TIPOSTATUS' "/>
        <s v="Se trabajó en el 3er procedimiento 'OBTENER_TIPOSTATUS'"/>
        <s v="Se validó el paquete-procedimiento 'OBTENER_TIPOSTATUS' con el bloque anónimo correcto"/>
        <s v="Se le informó al equipo que ya esta esté 3er procedimiento"/>
        <s v="Se construyó la consulta para tratar el 4to procedimiento 'OBTENER_TIPOMEDIOIMPUGNACION' "/>
        <s v="Se validó que la información que retorna la consulta"/>
        <s v="Se validó el paquete-procedimiento 'OBTENER_TIPOMEDIOIMPUGNACION' con el bloque anónimo correcto"/>
        <s v="Se le informó al equipo que ya esta esté 4to procedimiento para que lo revisen"/>
        <s v="Se construyó la consulta para tratar el 5to procedimiento 'OBTENER_FG_AMPLIADO'"/>
        <s v="Se validó que la información que retorna la consulta con los distintos parametros sea la correcta "/>
        <s v="Se trabajó en el 5to procedimiento 'OBTENER_FG_AMPLIADO'"/>
        <s v="Se validó el paquete-procedimiento 'OBTENER_FG_AMPLIADO' con el bloque anónimo correcto"/>
        <s v="Se le informó al equipo que ya esta esté 5to procedimiento para que lo revisen"/>
        <s v="Se construyó la consulta para tratar el 6to procedimiento 'OBTENER_FG_ADMITIDO'"/>
        <s v="Se trabajó en el 6to procedimiento 'OBTENER_FG_ADMITIDO'"/>
        <s v="Se validó el paquete-procedimiento 'OBTENER_FG_ADMITIDO' con el bloque anónimo correcto"/>
        <s v="Se le informó al equipo que ya esta esté 6to procedimiento para que lo revisen"/>
        <s v="Se construyó la consulta para tratar el 7mo procedimiento 'OBTENER_FG_PREVENIDO'"/>
        <s v="Se trabajó en el 7mo procedimiento 'OBTENER_FG_PREVENIDO'"/>
        <s v="Se validó el paquete-procedimiento 'OBTENER_FG_PREVENIDO' con el bloque anónimo correcto"/>
        <s v="Se le informó al equipo que ya esta esté 7mo procedimiento para que lo revisen"/>
        <s v="Se construyó la consulta para tratar el 8vo procedimiento 'OBTENER_FG_DESECHADO' "/>
        <s v="Se trabajó en el 8vo procedimiento 'OBTENER_FG_DESECHADO'"/>
        <s v="Se validó el paquete-procedimiento 'OBTENER_FG_DESECHADO' con el bloque anónimo correcto"/>
        <s v="Se le informó al equipo que ya esta esté 8vo procedimiento para que lo revisen"/>
        <s v="Se construyó la consulta para tratar el 9no procedimiento 'OBTENER_FECHAINTERPOSICION' "/>
        <s v="Se trabajó en el 9no procedimiento 'OBTENER_FECHAINTERPOSICION' "/>
        <s v="Se validó el paquete-procedimiento 'OBTENER_FECHAINTERPOSICION' con el bloque anónimo correcto"/>
        <s v="Se comparten nuevas tablas de los Catalogos a considerar para considerar en los Procedimiento"/>
        <s v="Se actualizo nuevo catálogo en procedimiento 'OBTENER_MEDIOREGISTRO' de Quejas "/>
        <s v="Se actualizo nuevo catálogo en procedimiento 'OBTENER_MEDIONOTIFICACION' de Quejas "/>
        <s v="Se actualizo nuevo catálogo en procedimiento 'OBTENER_TIPOMEDIOIMPUGNACION' de Quejas "/>
        <s v="Se le informó al equipo que ya estan las actualizaciones de los 3 procedimientos de Quejas"/>
        <s v="Se revisó estructura de tabla de Resoluciones 'BI.IMPUGNACIONES_VWM_RESOLUCIONES_ESTADISTICAS' "/>
        <s v="Se tuvo sesión con Samuel para revisar la estructura de la tabla de Resoluciones"/>
        <s v="Se trabajó en declarar los objetos de tipo TAB en el 1er procedimiento "/>
        <s v="Se creó paquete de la BD 'BI.PACK_RESOLUCIONES_ESTADISTICAS'"/>
        <s v="Se creó el esqueleto de los 7 procedimientos identificados de la tabla 'IMPUGNACIONES_VWM_RESOLUCIONES_ESTADISTICAS'"/>
        <s v="Se construyó la consulta para tratar el 1er procedimiento 'OBTENER_MEDIOREGISTRO' "/>
        <s v="Se trabajó en el 1er procedimiento 'OBTENER_MEDIOREGISTRO'"/>
        <s v="Se construyó la consulta para tratar el 2do procedimiento 'OBTENER_MEDIONOTIFICACION'"/>
        <s v="Se trabajó en el 2do procedimiento 'OBTENER_MEDIONOTIFICACION'"/>
        <s v="Se validó el paquete-procedimiento 'OBTENER_MEDIONOTIFICACION'"/>
        <s v="Se construyó la consulta para tratar el 3er procedimiento 'OBTENER_TIPOMEDIO'"/>
        <s v="Se trabajó en el 3er procedimiento 'OBTENER_TIPOMEDIO'"/>
        <s v="Se validó el paquete-procedimiento 'OBTENER_TIPOMEDIO' con el bloque anónimo correcto"/>
        <s v="Se le informó al equipo que ya esta esté 3er procedimiento para que lo revisen"/>
        <s v="Se construyó la consulta para tratar el 4to procedimiento 'OBTENER_FGTIENEINSTRUCCION' "/>
        <s v="Se trabajó en el 4to procedimiento 'OBTENER_FGTIENEINSTRUCCION'"/>
        <s v="Se validó el paquete-procedimiento 'OBTENER_FGTIENEINSTRUCCION' con el bloque anónimo correcto"/>
        <s v="Se construyó la consulta para tratar el 5to procedimiento 'OBTENER_SENTIDORESOLUCION' "/>
        <s v="Se trabajó en el 5to procedimiento 'OBTENER_SENTIDORESOLUCION'"/>
        <s v="Se validó el paquete-procedimiento 'OBTENER_SENTIDORESOLUCION' con el bloque anónimo correcto"/>
        <s v="Se construyó la consulta para tratar el 6to procedimiento 'OBTENER_FECHANOTIFICACIONRESOLUCION' "/>
        <s v="Se trabajó en el 6to procedimiento 'OBTENER_FECHANOTIFICACIONRESOLUCION'"/>
        <s v="Se validó el paquete-procedimiento 'OBTENER_FECHANOTIFICACIONRESOLUCION' con el bloque anónimo correcto y se tuvo un resultado exitoso con la salida del cursor completo "/>
        <s v="Se comentó que se tienen que agrerar 2 nuevos procedimientos en los paquetes de Solicitudes y Quejas "/>
        <s v="Se construyó la consulta para tratar el 13vo procedimiento 'OBTENER_FG_QUEJA' de SOLICITUDES "/>
        <s v="Se trabajó en el 13vo procedimiento 'OBTENER_FG_QUEJA'"/>
        <s v="Se validó el paquete-procedimiento 'OBTENER_FG_QUEJA' con el bloque anónimo correcto"/>
        <s v="Se le informó al equipo que ya esta esté 13vo procedimiento para que lo revisen"/>
        <s v="Se construyó la consulta para tratar el 10mo procedimiento 'OBTENER_FG_RESOLUCION' de QUEJAS "/>
        <s v="Se trabajó en el 10mo procedimiento 'OBTENER_FG_RESOLUCION'"/>
        <s v="Se validó el paquete-procedimiento 'OBTENER_FG_RESOLUCION' con el bloque anónimo correcto"/>
        <s v="Se nos compartió cambio en 3 tablas de los procesos con campo 'FECHA_ACTUALIZACION'"/>
        <s v="Se confirmo que No habría cambios a aplicar por esta fecha recientemente agregada"/>
        <s v="Se trabajo en la solución de manejar 2 registros siempre en el caso de los procedimientos de las banderas "/>
        <s v="Se creo el algoritmo como tipo prueba de escritorio para diseñar la solución"/>
        <s v="Se define logica de consultas para el diseño de la solución"/>
        <s v="Se continua definiendo logica interna de solución"/>
        <s v="Se integran todas las consultas en el paquete como solución"/>
        <s v="Se trataron los errores encontrados"/>
        <s v="Se le informó al equipo que ya esta este procedimiento de banderas 'OBTENER_FG_PRORROGA' para que lo revisen"/>
        <s v="Se comenta que falto procedimiento de COMISIONADOS para las Resoluciones"/>
        <s v="Se construyó la consulta para tratar el 7mo procedimiento 'OBTENER_COMISIONADO' de RESOLUCIONES"/>
        <s v="Se trabajó en el 7mo procedimiento 'OBTENER_COMISIONADO'"/>
        <s v="Se validó el paquete-procedimiento 'OBTENER_COMISIONADO' con el bloque anónimo correcto"/>
        <s v="Se construyeron las distintas consultas para tratar el 7mo procedimiento de banderas 'OBTENER_FG_PREVENCION'"/>
        <s v="Se validó que la información que retorna de las distintas consultas con los distintos parametros sea la correcta "/>
        <s v="Se trabajó con los ajustes del 7mo procedimiento de banderas 'OBTENER_FG_PREVENCION'"/>
        <s v="Se le informó al equipo que ya estan los ajustes para el 7mo procedimiento de banderas 'OBTENER_FG_PREVENCION',para que lo revisen"/>
        <s v="Se construyeron las distintas consultas para tratar el 8vo procedimiento de banderas 'OBTENER_FG_DISPONIBILIDAD'"/>
        <s v="Se trabajó con los ajustes del 8vo procedimiento de banderas 'OBTENER_FG_DISPONIBILIDAD'"/>
        <s v="Se le informó al equipo que ya estan los ajustes para el 8vo procedimiento de banderas 'OBTENER_FG_DISPONIBILIDAD',para que lo revisen"/>
        <s v="Se construyeron las distintas consultas para tratar el 13vo procedimiento de banderas 'OBTENER_FG_QUEJA'"/>
        <s v="Se validó que la información que retorna de las distintas consultas con los distintos parametros sea la correcta - "/>
        <s v="Se trabajó con los ajustes del 13vo procedimiento de banderas 'OBTENER_FG_QUEJA'"/>
        <s v="Se construyeron las distintas consultas para tratar el 5to procedimiento de banderas 'OBTENER_FG_AMPLIADO'"/>
        <s v="Se trabajó con los ajustes del 5to procedimiento de banderas 'OBTENER_FG_AMPLIADO'"/>
        <s v="Se le informó al equipo que ya estan los ajustes para el 5to procedimiento de banderas 'OBTENER_FG_AMPLIADO',para que lo revisen"/>
        <s v="Se construyeron las distintas consultas para tratar el 6to procedimiento de banderas 'OBTENER_FG_ADMITIDO'"/>
        <s v="Se trabajó con los ajustes del 6to procedimiento de banderas 'OBTENER_FG_ADMITIDO'"/>
        <s v="Se construyerón las distintas consultas para tratar el 7mo procedimiento de banderas 'OBTENER_FG_PREVENIDO' de QUEJAS"/>
        <s v="Se trabajó con los ajustes del 7mo procedimiento de banderas 'OBTENER_FG_PREVENIDO'"/>
        <s v="Se le informó al equipo que ya estan los ajustes para el 7mo procedimiento de banderas 'OBTENER_FG_PREVENIDO',para que lo revisen"/>
        <s v="Se construyeron las distintas consultas para tratar el 8vo procedimiento de banderas 'OBTENER_FG_DESECHADO'"/>
        <s v="Se validó que la información que retorna de las distintas consultas con los distintos parametros sea la correcta"/>
        <s v="Se trabajó con los ajustes del 8vo procedimiento de banderas 'OBTENER_FG_DESECHADO'"/>
        <s v="Se construyeron las distintas consultas para tratar el 4to procedimiento de banderas 'OBTENER_FGTIENEINSTRUCCION' de QUEJAS"/>
        <s v="Se trabajó con los ajustes del 4to procedimiento de banderas 'OBTENER_FGTIENEINSTRUCCION'"/>
        <s v="Se le informó al equipo que ya estan los ajustes para el 4to procedimiento de banderas 'OBTENER_FGTIENEINSTRUCCION',para que lo revisen"/>
        <s v="Se le proporciono bloque anónimo para ejecutar procedimientos de bandera a equipo"/>
        <s v="Se detecto cambio en vista de 'BI.SISAI_VWM_SOLICITUDES_ESTADISTICAS' ya que el campo de 'ID_ULTIMA_RESPUESTA' ya cambio por 'ID_TIPO_RESPUESTA' "/>
        <s v="Se reconstruyeron las consultas del 1er procedimiento de 'OBTENER_TIPO_SOLICITUD' de SOLICITUDES "/>
        <s v="Se trabajó con los ajustes del 1er procedimiento de 'OBTENER_TIPO_SOLICITUD', con el cambio del campo actualizado"/>
        <s v="Se reconstruyeron las consultas del 2do procedimiento de 'OBTENER_DERECHO_DP' de SOLICITUDES "/>
        <s v="Se trabajó con los ajustes del 2do procedimiento de 'OBTENER_DERECHO_DP', con el cambio del campo actualizado"/>
        <s v="Se reconstruyeron las consultas del 3er procedimiento de 'OBTENER_MEDIO_ENTRADA' de SOLICITUDES "/>
        <s v="Se trabajó con los ajustes del 3er procedimiento de 'OBTENER_MEDIO_ENTRADA', con el cambio del campo actualizado"/>
        <s v="Se reconstruyeron las consultas del 4to procedimiento de 'OBTENER_MODALIDAD_ENTREGA' de SOLICITUDES "/>
        <s v="Se trabajó con los ajustes del 4to procedimiento de 'OBTENER_MODALIDAD_ENTREGA', con el cambio del campo actualizado"/>
        <s v="Se reconstruyeron las consultas del 5to procedimiento de 'OBTENER_RECIBO_NOTIFICACION' de SOLICITUDES "/>
        <s v="Se trabajó con los ajustes del 5to procedimiento de 'OBTENER_RECIBO_NOTIFICACION', con el cambio del campo actualizado"/>
        <s v="Se validó el paquete-procedimiento 'OBTENER_RECIBO_NOTIFICACION' con el bloque anónimo correcto "/>
        <s v="Se reconstruyeron las consultas del 6to procedimiento de 'OBTENER_FG_PRORROGA' de SOLICITUDES "/>
        <s v="Se trabajó con los ajustes del 6to procedimiento de 'OBTENER_FG_PRORROGA', con el cambio del campo actualizado"/>
        <s v="Se reconstruyeron las consultas del 7mo procedimiento de 'OBTENER_FG_PREVENCION' de SOLICITUDES "/>
        <s v="Se reconstruyeron las consultas del 8vo procedimiento de 'OBTENER_FG_DISPONIBILIDAD' de SOLICITUDES "/>
        <s v="Se trabajó con los ajustes del 8vo procedimiento de 'OBTENER_FG_DISPONIBILIDAD', con el cambio del campo actualizado"/>
        <s v="Se validó el paquete-procedimiento 'OBTENER_FG_DISPONIBILIDAD' con el bloque anónimo correcto y se tuvo un resultado exitoso"/>
        <s v="Se reconstruyeron las consultas del 9no procedimiento de 'OBTENER_ULTIMA_RESPUESTA' de SOLICITUDES "/>
        <s v="Se trabajó con los ajustes del 9no procedimiento de 'OBTENER_ULTIMA_RESPUESTA', con el cambio del campo actualizado"/>
        <s v="Se reconstruyeron las consultas del 10mo procedimiento de 'OBTENER_SOLICITUDESXDIA' de SOLICITUDES "/>
        <s v="Se trabajó con los ajustes del 10mo procedimiento de 'OBTENER_SOLICITUDESXDIA', con el cambio del campo actualizado"/>
        <s v="Se reconstruyeron las consultas del 11vo procedimiento de 'OBTENER_ESTATUS' de SOLICITUDES "/>
        <s v="Se trabajó con los ajustes del 11vo procedimiento de 'OBTENER_ESTATUS', con el cambio del campo actualizado"/>
        <s v="Se trabajó con los ajustes del 12vo procedimiento de 'OBTENER_TEMATICA', con el cambio del campo actualizado"/>
        <s v="Se validó el paquete-procedimiento 'OBTENER_TEMATICA' con el bloque anónimo correcto y se tuvo un resultado exitoso "/>
        <s v="Se reconstruyeron las consultas del 13vo procedimiento de 'OBTENER_FG_QUEJA' de SOLICITUDES "/>
        <s v="Se trabajó con los ajustes del 13vo procedimiento de 'OBTENER_FG_QUEJA', con el cambio del campo actualizado"/>
        <s v="Se validó el paquete-procedimiento 'OBTENER_FG_QUEJA' con el bloque anónimo correcto y se tuvo un resultado exitoso"/>
        <s v="Sesion Despliegue Microservicios"/>
        <s v="Sesion aclaracion de dudas de implementacion de insfraestructura en k8s"/>
        <s v="Sesion Continuación Despliegue Microservicio"/>
        <s v="Analisis de github y gitlab"/>
        <s v="Analisis del pipleline CD"/>
        <s v="Configuracion de argocd"/>
        <s v="Analisis de docker-compose"/>
        <s v="SPRINT 1"/>
        <s v="SPRINT 3"/>
        <s v="SPRINT 4"/>
        <s v="Ejecución de pruebas SPRINT 1"/>
        <s v="Ejecución de pruebas SPRINT 2"/>
        <s v="Se cominza con la entrega del codigo"/>
        <s v="Cambio de urls para endpoints"/>
        <s v="Apoyo a liberacion Google Play"/>
        <s v="Liberacion a tiendas y resolucion de incidencias"/>
        <s v="Pruebas SAST"/>
        <s v="Atender vulnerabilidades SAST módulo - Catálogos "/>
        <s v="Atender vulnerabilidades SAST módulo - Commons"/>
        <s v="Atender vulnerabilidades SAST módulo - Buscador inteligente"/>
        <s v="Atender vulnerabilidades SAST módulo - Datos Abiertos"/>
        <s v="Atender vulnerabilidades SAST módulo - Catálogos Federados"/>
        <s v="Atender vulnerabilidades SAST módulo - Administracion de avisos"/>
        <s v="Atender vulnerabilidades SAST módulo - Configuracion"/>
        <s v="Atender vulnerabilidades SAST módulo - Usuarios"/>
        <s v="Registro de la Queja"/>
        <s v="Desarrollo adjuntos de sicom"/>
        <s v="Desarrollo flujos de audiencia"/>
        <s v="Desarrollo de descarga adjunto de la solicitud"/>
        <s v="Modificar pantalla de seguimiento"/>
        <s v="Notificaciones de SICOM"/>
        <s v="Desarrollo en cierre de instrucción"/>
        <s v="Configuración de jvm para Fonts de reportes en Jasper"/>
        <s v="Modificar registro de respuesta a  requerimiento de comunicación "/>
        <s v="Modificar generación de acuse de comunicaciones"/>
        <s v="Preparación de casos de prueba y validando accesos para inicio de pruebas del módulo de usuarios"/>
        <s v="inicio de pruebas módulo de usuarios"/>
        <s v="incidencias encontradas en módulo de usuarios"/>
        <s v="documentación de incidencias encontradas"/>
        <s v="seguimiento del documento de SNT "/>
        <s v="Validación de la nueva versión del sitio de criterios de Interpretación SNT"/>
        <s v="Se contninua con la revisión de los casos de prueba y documento de SNT"/>
        <s v="Documentación de nuevos casos de prueba SNT"/>
        <s v="Inicio de pruebas del sistema de criterios de interpretación SNT"/>
        <s v="Ejecución de pruebas de de criterios de interpretación SNT Buscadores"/>
        <s v="Se hace la documentación de las pruebas de SNT Buscadores"/>
        <s v="Se continuancon las pruebas de Criterios de interpretación SNT"/>
        <s v="Se hace la documentación de las pruebas de SNT"/>
        <s v="Se genera el documento de incidencias y se registran en testlink "/>
        <s v="Cambio de proyecto"/>
        <s v="Plantilla para expediente"/>
        <s v="Plantilla para resolución"/>
        <s v="Plantilla para Proyectista"/>
        <s v="Servicio para catalogos"/>
        <s v="Manejo de rutas"/>
        <s v="Migración de selector"/>
        <s v="Llamado al servicio para lista de federación"/>
        <s v="Servicio para filtrar expedientes"/>
        <s v="Manejo de roles "/>
        <s v="Se detecto cambio en vista de 'BI.IMPUGNACIONES_VWM_QUEJAS_ESTADISTICAS' por campo de 'ID_STATUS'"/>
        <s v="Se reconstruyerón las consultas del 1er procedimiento de 'OBTENER_MEDIOREGISTRO' de QUEJAS"/>
        <s v="Se trabajó con los ajustes del 1er procedimiento de 'OBTENER_MEDIOREGISTRO', por  campo actualizado"/>
        <s v="Se reconstruyerón las consultas del 2do procedimiento de 'OBTENER_MEDIONOTIFICACION' de QUEJAS"/>
        <s v="Se trabajó con los ajustes del 2do procedimiento de 'OBTENER_MEDIONOTIFICACION', con el cambio del campo"/>
        <s v="Se reconstruyerón las consultas del 3er procedimiento de 'OBTENER_TIPOSTATUS' de QUEJAS"/>
        <s v="Se trabajó con los ajustes del 3er procedimiento de 'OBTENER_TIPOSTATUS', con el campo actualizado"/>
        <s v="Se reconstruyerón las consultas del 4to procedimiento de 'OBTENER_TIPOMEDIOIMPUGNACION' de QUEJAS"/>
        <s v="Se trabajó con los ajustes del 4to procedimiento de 'OBTENER_TIPOMEDIOIMPUGNACION', por campo actualizado"/>
        <s v="Se reconstruyerón las consultas del 5to procedimiento de 'OBTENER_FG_AMPLIADO' de QUEJAS"/>
        <s v="Se trabajó con los ajustes del 5to procedimiento de 'OBTENER_FG_AMPLIADO', por campo actualizado"/>
        <s v="Se reconstruyerón las consultas del 6to procedimiento de 'OBTENER_FG_ADMITIDO' de QUEJAS"/>
        <s v="Se trabajó con los ajustes del 6to procedimiento de 'OBTENER_FG_ADMITIDO', por campo actualizado"/>
        <s v="Se reconstruyerón las consultas del 7mo procedimiento de 'OBTENER_FG_PREVENIDO' de QUEJAS"/>
        <s v="Se trabajó con los ajustes del 7mo procedimiento de 'OBTENER_FG_PREVENIDO', por  campo actualizado"/>
        <s v="Se reconstruyerón las consultas del 8vo procedimiento de 'OBTENER_FG_DESECHADO' de QUEJAS"/>
        <s v="Se trabajó con los ajustes del 8vo procedimiento de 'OBTENER_FG_DESECHADO', por campo actualizado"/>
        <s v="Se reconstruyerón las consultas del 9no procedimiento de 'OBTENER_FECHAINTERPOSICION' de QUEJAS"/>
        <s v="Se trabajó con los ajustes del 9no procedimiento de 'OBTENER_FECHAINTERPOSICION', por campo actualizado"/>
        <s v="Se reconstruyerón las consultas del 10mo procedimiento de 'OBTENER_FG_RESOLUCION' de QUEJAS"/>
        <s v="Se trabajó con los ajustes del 10mo procedimiento de 'OBTENER_FG_RESOLUCION', por campo actualizado"/>
        <s v="Se revisó el archivo 'Querys_Estadisiticas_Totales Nuevo' "/>
        <s v="Se dio retroalimentación rapida a Samuel sobre archivo 'Querys_Estadisiticas_Totales Nuevo'"/>
        <s v="Se revisó el query 1 de 'TOTAL DE SOLICITUDES DE INFORMACIÓN' del archivo 'Querys_Estadisiticas_Totales_Nvo'"/>
        <s v="Se revisó el query 1 de 'TOTAL DE RECURSOS DE REVISIÓN INGRESADOS ' del archivo 'Querys_Estadisiticas_Totales_Nvo' de forma general"/>
        <s v="Se revisó el query 2 de 'TOTAL DE RECURSOS DE REVISIÓN INGRESADOS ' del archivo 'Querys_Estadisiticas_Totales_Nvo' de forma general"/>
        <s v="Se revisó el query 3 de 'TOTAL DE RECURSOS DE REVISIÓN INGRESADOS ' del archivo 'Querys_Estadisiticas_Totales_Nvo' de forma general"/>
        <s v="Se revisó el query 1 de 'TOTAL DE RECURSOS DE REVISIÓN GESTIONADOS' del archivo 'Querys_Estadisiticas_Totales_Nvo' de forma general"/>
        <s v="Se revisó el query 1 de 'TOTAL DE OBLIGACIONES DE TRANSPARENCIA' del archivo 'Querys_Estadisiticas_Totales_Nvo' de forma general"/>
        <s v="Se revisó el query 1 de 'TOTAL CONSULTA EN LOS BUSCADORES' del archivo 'Querys_Estadisiticas_Totales_Nvo' de forma general"/>
        <s v="Se revisó el query 2 de 'TOTAL CONSULTA EN LOS BUSCADORES' del archivo 'Querys_Estadisiticas_Totales_Nvo' de forma general"/>
        <s v="Se revisó el query 3 de 'TOTAL CONSULTA EN LOS BUSCADORES' del archivo 'Querys_Estadisiticas_Totales_Nvo' de forma general"/>
        <s v="Se revisó el query 1 de 'TOTAL TEMAS BIG DATA DE LOS REGISTROS DE SOLICITUDES' del archivo 'Querys_Estadisiticas_Totales_Nvo' de forma general"/>
        <s v="Se revisó el query 1 de 'TEMAS BIG DATA' del archivo 'Querys_Estadisiticas_Totales_Nvo' de forma general"/>
        <s v="Se revisó el query 1 de 'TOTAL DE SOLICITUDES' del archivo 'Querys_Estadisiticas_Totales_Nvo' de forma general"/>
        <s v="Se comenzó a trabajar con el query 1 'TOTAL DE SOLICITUDES DE INFORMACIÓN' del archivo 'Querys_Estadisiticas_Totales_Nvo'"/>
        <s v="Se revisó el Query #1 del archivo IEDEPNT para la Funcionalidad 1 'TOTAL DE SOLICITUDES DE INFORMACIÓN'"/>
        <s v="Se optimizó el Query #1 del archivo IEDEPNT (Funcionalidad 1) para tener una versión mejorada"/>
        <s v="Se actualizó el documento 'Querys_Estadisiticas_Totales_Nvo' con los comentarios sobre el Query 1 de la Funcionalidad 1"/>
        <s v="Se revisó el Query #1 del archivo IEDEPNT para la Funcionalidad 2 'TOTAL DE RECURSOS DE REVISIÓN INGRESADOS - Recursos de HCOM E INFOMEX'"/>
        <s v="Se optimizó el Query #1 del archivo IEDEPNT (Funcionalidad 2) para tener una versión mejorada"/>
        <s v="Se actualizó el documento 'Querys_Estadisiticas_Totales_Nvo' con los comentarios sobre el Query 1 de la Funcionalidad 2"/>
        <s v="Se revisó el Query #2 del archivo IEDEPNT para la Funcionalidad 2 'TOTAL DE RECURSOS DE REVISIÓN INGRESADOS - Obtiene los recursos de revisión interpuestos'"/>
        <s v="Se optimizó el Query #2 del archivo IEDEPNT (Funcionalidad 2) para tener una versión mejorada"/>
        <s v="Se actualizó el documento 'Querys_Estadisiticas_Totales_Nvo' con los comentarios sobre el Query 2 de la Funcionalidad 2"/>
        <s v="Se revisó el Query #3 del archivo IEDEPNT para la Funcionalidad 2 'TOTAL DE RECURSOS DE REVISIÓN INGRESADOS - Obtiene los recursos de revisión gestionados fuera'"/>
        <s v="Se optimizó el Query #3 del archivo IEDEPNT (Funcionalidad 2) para tener una versión mejorada"/>
        <s v="Se actualizó el documento 'Querys_Estadisiticas_Totales_Nvo' con los comentarios sobre el Query 3 de la Funcionalidad 2"/>
        <s v="Se revisó el Query #1 del archivo IEDEPNT para la Funcionalidad 3 'TOTAL DE RECURSOS DE REVISIÓN GESTIONADOS'"/>
        <s v="Se optimizó el Query #1 del archivo IEDEPNT (Funcionalidad 3) para tener una versión mejorada"/>
        <s v="Se actualizó el documento 'Querys_Estadisiticas_Totales_Nvo' con los comentarios sobre el Query 1 de la Funcionalidad 3"/>
        <s v="Se revisó el Query #1 del archivo IEDEPNT para la Funcionalidad 4 'TOTAL DE OBLIGACIONES DE TRANSPARENCIA'"/>
        <s v="Se optimizó el Query #1 del archivo IEDEPNT (Funcionalidad 4) para tener una versión mejorada"/>
        <s v="Se actualizó el documento 'Querys_Estadisiticas_Totales_Nvo' con los comentarios sobre el Query 1 de la Funcionalidad 4"/>
        <s v="Se revisó el Query #1 del archivo IEDEPNT para la Funcionalidad 5 'TOTAL CONSULTA EN LOS BUSCADORES - Buscador Nacional'"/>
        <s v="Se optimizó el Query #1 del archivo IEDEPNT (Funcionalidad 5) para tener una versión mejorada"/>
        <s v="Se actualizó el documento 'Querys_Estadisiticas_Totales_Nvo' con los comentarios sobre el Query 1 de la Funcionalidad 5"/>
        <s v="Se revisó el Query #2| del archivo IEDEPNT para la Funcionalidad 5 'TOTAL CONSULTA EN LOS BUSCADORES - Buscadores temáticos'"/>
        <s v="Se actualizó el documento 'Querys_Estadisiticas_Totales_Nvo' con los comentarios sobre el Query 2 de la Funcionalidad 5"/>
        <s v="Se revisó el Query #3| del archivo IEDEPNT para la Funcionalidad 5 'TOTAL CONSULTA EN LOS BUSCADORES - Buscador de Género'"/>
        <s v="Se optimizó el Query #3 del archivo IEDEPNT (Funcionalidad 5) para tener una versión mejorada"/>
        <s v="Se creó el nuevo procedimiento 'FUNC5_TOTCONSBUSCADODGENEROQ3'"/>
        <s v="Se verificó campo por campo del query 3 de la Funcionalidad 5, validando el tipo de dato y longitud exactos"/>
        <s v="Se declararon las variables en bloque anónimo con validación exacta de tamaños de tipos de datos, del query 3 de la Funcionalidad 5"/>
        <s v="Se validó el paquete-procedimiento de la funcionalidad 5 - Query # 3 con el bloque anónimo correcto"/>
        <s v="Se actualizó el documento 'Querys_Estadisiticas_Totales_Nvo' con los comentarios sobre el Query 3 de la Funcionalidad 5"/>
        <s v="Se revisó el Query #1| del archivo IEDEPNT para la Funcionalidad 6 'TOTAL TEMAS BIG DATA DE LOS REGISTROS DE SOLICITUDES'"/>
        <s v="Se optimizó el Query #1 del archivo IEDEPNT (Funcionalidad 6) para tener una versión mejorada"/>
        <s v="Se creó el nuevo procedimiento 'FUNC6_TOTTEMBIGDATAREGSOLQ1'"/>
        <s v="Se actualizó el documento 'Querys_Estadisiticas_Totales_Nvo' con los comentarios sobre el Query 1 de la Funcionalidad 6"/>
        <s v="Se revisó el Query #1| del archivo IEDEPNT para la Funcionalidad 7 'TEMAS BIG DATA'"/>
        <s v="Se optimizó el Query #1 del archivo IEDEPNT (Funcionalidad 7) para tener una versión mejorada"/>
        <s v="Se creó el nuevo procedimiento 'FUNC7_TEMBIGDATAQ1'"/>
        <s v="Se actualizó el documento 'Querys_Estadisiticas_Totales_Nvo' con los comentarios sobre el Query 1 de la Funcionalidad 7"/>
        <s v="Se revisó el Query #1| del archivo IEDEPNT para la Funcionalidad 8 'TOTAL DE SOLICITUDES'"/>
        <s v="Se optimizó el Query #1 del archivo IEDEPNT (Funcionalidad 8) para tener una versión mejorada"/>
        <s v="Se creó el nuevo procedimiento 'FUNC8_TOTSOLICITUDESQ1'"/>
        <s v="Se actualizó el documento 'Querys_Estadisiticas_Totales_Nvo' con los comentarios sobre el Query 1 de la Funcionalidad 8"/>
        <s v="Se revalidaron de forma general las consultas de los queris mejorados"/>
        <s v="Se actualizaron algunos de los procedimientos con las ultimas mejoras detectadas"/>
        <s v="SPRINT 5"/>
        <s v="SPRINT 1 Integración Front y Back"/>
        <s v="SPRINT 2 Integración Front y Back"/>
        <s v="SPRINT 3 Integración Front y Back"/>
        <s v="SPRINT 4 Integración Front y Back"/>
        <s v="SPRINT 5 Integración Front y Back"/>
        <m/>
        <s v="RE: Fecha límite de atención SIPOT" u="1"/>
        <s v="Modificación mockups asignacion integrante-unidad Objetivo Pizarras 4" u="1"/>
        <s v="GI-Seguimiento Solicitudes asignadas a Unidades Administrativas" u="1"/>
        <s v="Marco Internacional de Competencias de Protección de Datos Personales para Estudiantes" u="1"/>
        <s v="RE: ATENTA PETICIÓN PARA BAJA EN LOS SISTEMAS - INAI/SAI/DGOAEEF/421/2020 " u="1"/>
        <s v="SUSTITUCIÓN DE ARCHIVO ADJUNTO Y CAMBIO DE MODALIDAD" u="1"/>
        <s v="Análisis y Programación" u="1"/>
        <s v="RE: RRA 09133/20  Cambio de medio de notificación en PNT" u="1"/>
        <s v="Empoderamiento Mujeres" u="1"/>
        <s v="Buscador tematico de servidores publicos sancionados" u="1"/>
        <s v="Assesment de catálogo Etiquetado" u="1"/>
        <s v="RV: SOLCIITUD DE APOYO RRD 0792/20" u="1"/>
        <s v="RE: Cambio de correo RRA 04402/20" u="1"/>
        <s v="RE: Oficios de suspensión de días inhábiles" u="1"/>
        <s v="Assesment para descarga asíncrona y multiproceso - SISAI" u="1"/>
        <s v="RE: Segunda solicitud Chiapas" u="1"/>
        <s v="RESPALDO SEMANAL BD" u="1"/>
        <s v="RE: query por tipo de solicitud" u="1"/>
        <s v="RV: OAXACA URGENTE: Ajuste de plazos por COVID-19,SISMO 23 y PS en Infomex al 27 agosto" u="1"/>
        <s v="Problemas para exportar solicitud" u="1"/>
        <s v="RE: suprimir recursos que duplique manualmente" u="1"/>
        <s v="Assesment volumen de datos SIPOT" u="1"/>
        <s v="Generación de ambiente de desarrollo, e instalación de Base de datos local" u="1"/>
        <s v="ACTUALIZAR FECHA " u="1"/>
        <s v="Reunion Presentación Mockups" u="1"/>
        <s v="RV: Apoyo" u="1"/>
        <s v="RE: ALTA EXPEDIENTE BIS (SE ESTÁ GENERANDO EL TURNO)" u="1"/>
        <s v="RV: Oficio DGTI cambio de nuevo plazo en HCOM" u="1"/>
        <s v="RE: Oaxaca URGENTE: Ajuste de plazos de vencimiento de por COVID-19 en Infomex  29 junio" u="1"/>
        <s v="Mascara de contraseña" u="1"/>
        <s v="Análisis de incidencia " u="1"/>
        <s v="Se implementa descarga de archivos para adjuntos" u="1"/>
        <s v="Modificar vistas de usuario final para presentar la información" u="1"/>
        <s v="Eliminacion de Cierre" u="1"/>
        <s v="RE: Acuerdos de Sujetos Obligados enviados a COTAI días inhábiles agosto 2020" u="1"/>
        <s v="RE: Solicitud de cancelación de requerimientos en HCOM" u="1"/>
        <s v="Assesment unidades muestrales SIPOT" u="1"/>
        <s v="RV: =?ANSI_X3.4-1968?Q?RRA_03098/20_Notificaci=3Fn_Acuerdo_de_Admisi=3Fn?=" u="1"/>
        <s v="RV: URGENTE OAXACA: Ajuste de plazos por COVID-19, SISMO 23 y PROGRAMAS SOCIALES en Infomex del 11 de Agosto." u="1"/>
        <s v="RE: NUEVO TUT_CIMAV_24.01.2020" u="1"/>
        <s v="RV: URGENTE OAXACA: Ajuste de plazos por COVID-19, SISMO 23 y PROGRAMAS SOCIALES en Infomex del 12 de Agosto." u="1"/>
        <s v="RE: cambio contraseña INAI LOTENAL" u="1"/>
        <s v="RE: cambio de TUT CONSAR" u="1"/>
        <s v="RE: Oaxaca Urgente: Query para alta de nuevo usuario en Plataforma" u="1"/>
        <s v="ELIMINACIÓN DE CIERRE DE INSTRUCCIÓN" u="1"/>
        <s v="RE: apoyo con discrepancia ente reportes de BD" u="1"/>
        <s v="RE: apoyo con query" u="1"/>
        <s v="Problemas para generar solicitud manual" u="1"/>
        <s v="Generación de certificado" u="1"/>
        <s v="RE: Eliminar recurso doble " u="1"/>
        <s v="RV: Solicitud de respaldo de base de datos" u="1"/>
        <s v="Desarrollar modulo de alta linea estrategica" u="1"/>
        <s v="Actualiza calendario" u="1"/>
        <s v="Assesment análisis de datos - SISAI, SIGEMI-SICOM" u="1"/>
        <s v="CAMBIO DE CONFIGURACIÓN" u="1"/>
        <s v="Realizar funcionalidad de filtros" u="1"/>
        <s v="ELIMINAR SUBFOLIO" u="1"/>
        <s v="RE: cambio de fecha al día siguiente" u="1"/>
        <s v="RV: Solicitud" u="1"/>
        <s v="RE: Cambio Certificado INAPESCA F1" u="1"/>
        <s v="Día Internacional PDP 2020" u="1"/>
        <s v="RV: Reunión en ZOOM 4 DE JUNIO 9:30 AM" u="1"/>
        <s v="RV: Oaxaca Urgente: Reasignación de plazos por 4ta ampliaciación-  Datos Personales 30Junio" u="1"/>
        <s v="Validación de cargas en SIPOT" u="1"/>
        <s v="RE: cambio de certificado Fondo CIESAS" u="1"/>
        <s v="RV: Ampliación de plazo para prevención" u="1"/>
        <s v="Se solicita cambio en el número de expediente caso 5001900" u="1"/>
        <s v="RV: Ampliación de término para prevención" u="1"/>
        <s v="RV: Cambio en fecha de vencimiento" u="1"/>
        <s v="Respaldo de BD Oaxaca Semanal  22 DE ABRIL 2021" u="1"/>
        <s v="RV: OAXACA URGENTE: Ajuste de plazos cuenta Sujeto Obligado por COVID-19 número R.R.A.I 0244/2020/SICOM" u="1"/>
        <s v="Crear Módulo CRUD de Glosario" u="1"/>
        <s v="RV: SIGEMI: Cambio de Nombre " u="1"/>
        <s v="PNT APP FASE 2" u="1"/>
        <s v="Assesment OCR - SISAI" u="1"/>
        <s v="RE: Renovación de certificado_26/08/20_FGR" u="1"/>
        <s v="RV: problemas con solicitud" u="1"/>
        <s v="ELIMINAR SUBFOLIOS" u="1"/>
        <s v="RV: Cambio de recurrente en recurso " u="1"/>
        <s v="Desarrollar modulo de alta linea-accion-estrategica " u="1"/>
        <s v="RE: Actualización TUT SO indirectos SHCP" u="1"/>
        <s v="RV: Se solicita eliminación del requerimiento con folio IFAI-REQ-000295-2020-CC" u="1"/>
        <s v="RE: Incidencia en PNT - RRA 07799/20" u="1"/>
        <s v="RV: solicitud de apoyo" u="1"/>
        <s v="SNT" u="1"/>
        <s v="Row-expand" u="1"/>
        <s v="RV: OAXACA URGENTE: Ajuste  de plazos por COVID-19,SISMO 23 y PROGRAMAS SOCIALES  en Infomex 10 de julio" u="1"/>
        <s v="RV: OAXACA URGENTE: Ajuste  de plazos por COVID-19,SISMO 23 y PROGRAMAS SOCIALES  en Infomex 20 de julio" u="1"/>
        <s v="RE: OAXACA URGENTE: Ajuste de plazos en procedimientos de cumplimiento SICOM" u="1"/>
        <s v="RE: RESPALDO SEMANAL  NL  26 DE OCTUBRE 2020" u="1"/>
        <s v="Identificar solicitud" u="1"/>
        <s v="RE: Error en la pagina infomexbc" u="1"/>
        <s v="RE: Cambio de certificado PEDIATRIA" u="1"/>
        <s v="RE: Regreso de pasos en PNT" u="1"/>
        <s v="Eliminar solicitud" u="1"/>
        <s v="RE: RENOVACIÓN.CER_20.01.2020_BANCOMEXT" u="1"/>
        <s v="Rediseño de la pantalla inicial de app" u="1"/>
        <s v="Assesment SICOM" u="1"/>
        <s v="Realizar modulo de institución de procedencia" u="1"/>
        <s v="RV: OAXACA URGENTE: Ajuste  de plazos por COVID-19,SISMO 23 y PROGRAMAS SOCIALES  en Infomex 21 de julio" u="1"/>
        <s v="Testado de datos y Sustitución de archivo" u="1"/>
        <s v="Realizar correcciones derivadas de las pruebas Implemtación del diseño de la solución (4 ó 1 servicio)" u="1"/>
        <s v="RV: OAXACA URGENTE: Reasignación de plazos Solicitudes Acceso y Datos por 6ta ampliación  03 Agosto" u="1"/>
        <s v="RE: Respaldo de BD Tlaxcala Semanal 3 DE AGOSTO  2020" u="1"/>
        <s v="RE: Oaxaca URGENTE: Ajuste de plazos de vencimiento por COVID-19 del 26-05-2020" u="1"/>
        <s v="RV: URGENTE OAXACA: Ajuste de plazos por COVID-19, SISMO 23 y PROGRAMAS SOCIALES en Infomex del 7, 8 y 9  de Agosto." u="1"/>
        <s v="Pruebas unitarias y corrección de registro de nivel en rol" u="1"/>
        <s v="Re: cambio de sentido  RRA 01642/20" u="1"/>
        <s v="ELIMINAR REQUERIMIENTO" u="1"/>
        <s v="RE: AMPLIACIÓN DE TERMINO PARA CUMPLMIENTO " u="1"/>
        <s v="Creacion de usuaario" u="1"/>
        <s v="Mejoras en código de Catalogo Areas administrativas, Relacion Rutas Implementación" u="1"/>
        <s v="Respaldo de BD Oaxaca Semanal  5 DE ABRIL 2021" u="1"/>
        <s v="Se le informó al equipo que ya estan los ajustes para el 10mo procedimiento de banderas 'OBTENER_FG_PREVENIDO'" u="1"/>
        <s v="RE: Retroceso de Paso en PNT - RRA 15047/19" u="1"/>
        <s v="RV: Oaxaca Urgente: Reasignación de plazos INFOMEX continuidad de suspensión al 18 de enero 2021" u="1"/>
        <s v="Soportes" u="1"/>
        <s v="Desarrollar modulo de alta de objetivos" u="1"/>
        <s v="RE: URGENTE OAXACA: Ajuste de plazos por COVID-19, SISMO 23 y PROGRAMAS SOCIALES en Infomex del 30  de Julio" u="1"/>
        <s v="RE: Apoyo para dar cumplimiento al Acuerdo de Pleno del 27 de mayo" u="1"/>
        <s v="RE: Oaxaca Urgente: Recuperación de contraseña Infomex Oaxaca Admin" u="1"/>
        <s v="Assestment desarrollo certificados estancados" u="1"/>
        <s v="RE: Solicitud de apoyo RRD 00922/20 ISSSTE" u="1"/>
        <s v="Assesment análisis de datos - SIPOT" u="1"/>
        <s v="RV: Eliminación Subfoilo" u="1"/>
        <s v="RE: Solicitud de Datos" u="1"/>
        <s v="Assesment descarga de archivos -SISAI, SIGEMI-SICOM" u="1"/>
        <s v="RE: Pregunta sobre solicitudes manuales" u="1"/>
        <s v="Esquema de flujo de Declaración patrimonial" u="1"/>
        <s v="Sección 14" u="1"/>
        <s v="DeclaraINAI" u="1"/>
        <s v="RV: OAXACA URGENTE: Ajuste  de plazos por COVID-19,SISMO 23 y PROGRAMAS SOCIALES  en Infomex 15 de julio" u="1"/>
        <s v="RE: nuevos SO" u="1"/>
        <s v="RE: Alta de .cer" u="1"/>
        <s v="CORRECCIÓN DE ARCHIVOS" u="1"/>
        <s v="Assestment desarrollo alta de servicios para visualización" u="1"/>
        <s v="RV: ALTA EXPEDIENTE SEXTUS" u="1"/>
        <s v="Generación de certificados" u="1"/>
        <s v="Modificacion modelos de datos" u="1"/>
        <s v="RV: OAXACA URGENTE: Ajuste de plazos por COVID-19,SISMO 23, PROGRAMAS Y ADJUDICACIONES en Infomex al 08 al 10 octubre" u="1"/>
        <s v="Falla semáforos" u="1"/>
        <s v="RE: Solicitud de regreso de pasos RRA 01507/20" u="1"/>
        <s v="RE: Reporte URGENTE" u="1"/>
        <s v="RE: Apoyo con consulta a BD" u="1"/>
        <s v="RE: NUEVO TUT_05/06/20_BANXICO" u="1"/>
        <s v="Componente Sustituir Respuesta Asignar" u="1"/>
        <s v="RV: Reconducción de acceso a datos" u="1"/>
        <s v="Analisis general requerimiento front" u="1"/>
        <s v="Eliminar prevención" u="1"/>
        <s v="Analizar documentos de análisis" u="1"/>
        <s v="RV: ALTA TRES CARPETAS BIS" u="1"/>
        <s v="RE: cambio de Certificado ININ" u="1"/>
        <s v="RESPALDO  BD" u="1"/>
        <s v="RE: Certificado .CER y Cédula de Unidad de Transparencia INSABI" u="1"/>
        <s v="Seguimiento a configuracion propuesta en la junta con rehdat para jboss" u="1"/>
        <s v="RE: Cambio de medio de notificación" u="1"/>
        <s v="RE: Incidencia en PNT - RRA 16014/19" u="1"/>
        <s v="Respaldo de BD Oaxaca Semanal  19 DE ABRIL 2021" u="1"/>
        <s v="RE: RRA 03344/20, SOLICITUD  para regresar pasos a “Admitir/Prevenir&quot;." u="1"/>
        <s v="RE: Oaxaca Urgente: Infomex con Server Error in '/' Application Acuse de Información parcial" u="1"/>
        <s v="Revisión Incidencia" u="1"/>
        <s v="III Cumbre Nacional de Gobierno Abierto" u="1"/>
        <s v="Alta de dependencia-Generación de certificados" u="1"/>
        <s v="RE: APOYO PARA MODIFICAR RRA 8650/20" u="1"/>
        <s v="Inicio de sesion con Google" u="1"/>
        <s v="RV: OAXACA URGENTE: Ajuste  de plazos por COVID-19,SISMO 23 y PROGRAMAS SOCIALES  en Infomex 09 de julio" u="1"/>
        <s v="RV: Se remite solicitud para modificar fecha de vencimiento en HCOM" u="1"/>
        <s v="Se corrige problema en state para perfil" u="1"/>
        <s v="Solucion a validacion global, se cambio el scope de una variable de funcion a global" u="1"/>
        <s v="Introducción a Pizarras" u="1"/>
        <s v="Eliminar formato de pago" u="1"/>
        <s v="ACTUALIZAR CERTIFICADO" u="1"/>
        <s v="Ajustes sitio Gobierno Abierto" u="1"/>
        <s v="RV: Solicito regresar paso PNT" u="1"/>
        <s v="Maquetarel componente de las cards , pagina principal" u="1"/>
        <s v="Correccion de login con Google" u="1"/>
        <s v="RV: Se solicita apoyo a efecto de cambiar medio de notificación de la recurrente en la PNT" u="1"/>
        <s v="Se cambian colores de campos deshabilitados en perfil&gt;estaditicos" u="1"/>
        <s v="RE: Oaxaca Urgente: Reasignación de plazos SICOM 4ta ampliación  suspensión al 30 de junio" u="1"/>
        <s v="MAQUETAR LOS COMPONENTES DE LA PANTALLA PRINCIPAL" u="1"/>
        <s v="RE: Solicitud de ajuste al SISCOM de la PNT" u="1"/>
        <s v="RV: NUEVO TUT_02.04.20_FOCIR" u="1"/>
        <s v="RV: OAXACA URGENTE: Ajuste de plazos por COVID-19,SISMO 23, PROGRAMAS Y ADJUDICACIONES en Infomex 03 septiembre" u="1"/>
        <s v="RE: Cancelación folio 003021-IFAI-2020" u="1"/>
        <s v="Mosntar la encuesta al server de desarrollo" u="1"/>
        <s v="RESPALDOS DE BD INFOMEX ALOJADOS EN INAI " u="1"/>
        <s v="CAMBIO DE CERTIFICADOS " u="1"/>
        <s v="RE: CAMBIO CERTIFICADO MEJOROEDU" u="1"/>
        <s v="RE: RRD 01058/20 Se solicita apoyo en la PNT " u="1"/>
        <s v="RE: Oaxaca URGENTE: Búsqueda de información de Solicitante en SISAI" u="1"/>
        <s v="RE: Cancelación de información de requerimientos en HCOM" u="1"/>
        <s v="RV: Solicitud de modificación de fecha de vencimiento en HCOM" u="1"/>
        <s v="RE:  Paso atrás en PNT." u="1"/>
        <s v="RE: Oaxaca Urgente: Ajuste de plazos del sujeto obligado IOCIFED" u="1"/>
        <s v="GI - Respuesta Solicitudes Asignadas" u="1"/>
        <s v="Detalle historial quejas" u="1"/>
        <s v="RESPALDO SEMANAL GUERRERO 8 DE JUNIO DE 2020" u="1"/>
        <s v="RE: Apoyo scripts" u="1"/>
        <s v="Desarrollo de sitio Observatorio" u="1"/>
        <s v="RE: Certificado INSABI" u="1"/>
        <s v="Revision de componentes construidos" u="1"/>
        <s v="RE: ELIMINAR RECURSOS" u="1"/>
        <s v="RE: cambio de TUT  indirecto CONANP- valle de bravo" u="1"/>
        <s v="RV: URGENTE OAXACA: Ajuste de plazos por COVID-19, SISMO 23 y PROGRAMAS SOCIALES en Infomex del 28 de Julio" u="1"/>
        <s v="RV: URGENTE OAXACA: Ajuste de plazos por COVID-19, SISMO 23 y PROGRAMAS SOCIALES en Infomex al 04 de agosto" u="1"/>
        <s v="RV: Ampliación de suspensión de plazos PEMEX" u="1"/>
        <s v="Generar scripts" u="1"/>
        <s v="RV: Solicitud de ajuste de fechas SICOM" u="1"/>
        <s v="Hackaton" u="1"/>
        <s v="Assesment OCR - SIPOT" u="1"/>
        <s v="RE: Apoyo Infomex" u="1"/>
        <s v="RE: correo para INAI regresar paso RR/296/20" u="1"/>
        <s v="RE: Cambio de medio de notificación RRA 03087/20 " u="1"/>
        <s v="RE: OAXACA URGENTE: Ajuste de plazos en Infomex al 10 de diciembre" u="1"/>
        <s v="Diseño Mockups" u="1"/>
        <s v="RE: OAXACA URGENTE: Ajuste de plazos en Infomex al 07 de diciembre y Monte de Piedad" u="1"/>
        <s v="RE: solicitud de cambio de medio de comunicación RRA 10520/20" u="1"/>
        <s v="Junta de modulos de Usuarios y especificación de mapa de actividades y continuacion de revisión de configuracion de querys personalizados" u="1"/>
        <s v="RE: OAXACA URGENTE: Ajuste de plazos por COVID-19,SISMO 23, PROGRAMAS Y ADJUDICACIONES en Infomex al 15, 16 y 17 octubre" u="1"/>
        <s v="RE: Regreso de paso" u="1"/>
        <s v="Assestment producción certificados estancados" u="1"/>
        <s v="RE: URGENTE CAMBIO DE FOLIO 1362/20" u="1"/>
        <s v="RE: RENOVACIÓN DE CERTIFICADO CNI" u="1"/>
        <s v="Actualización del módulo de migración de usuarios para agregar las conjugación de roles" u="1"/>
        <s v="RE: Retroceso de paso en PNT - RRA 00953/20" u="1"/>
        <s v="Flujo recuperar contraseña" u="1"/>
        <s v="Realizar correcciones derivadas de las pruebas de integración de Custom Queries" u="1"/>
        <s v="Se validó el paquete-procedimiento 'OBTENER_FG_PREVENIDO' con el bloque anónimo correcto y se tuvo un resultado exitoso" u="1"/>
        <s v="Activa pagos" u="1"/>
        <s v="RESPALDO SEMANAL  NL  1 de Marzo de 2021" u="1"/>
        <s v="RV: URGENTE OAXACA: Ajuste de plazos por COVID-19, SISMO 23, PROGRAMAS SOCIALES, LICITACIÓN  EN Infomex con fecha 14  de Septiembre." u="1"/>
        <s v="Problemas para visualizar archivo adjunto" u="1"/>
        <s v="RV:  envio link de suspension de terminos de chiapas del 6 de mayo al 31 de mayo" u="1"/>
        <s v="RE: Días inhabiles , no operan correctamente en INFOMEX SLP" u="1"/>
        <s v="RV: Oaxaca Urgente: Reasignación de plazos SICOM 7ma ampliación de  suspensión de plazos al 18 de agosto" u="1"/>
        <s v="RE: actualización TUT´s INAH" u="1"/>
        <s v="RE: OAXACA URGENTE: Ajuste de plazos en Infomex al 15 de diciembre" u="1"/>
        <s v="Filtros mis solicitudes" u="1"/>
        <s v="ACTUALIZAR RECURRENTE" u="1"/>
        <s v="pruebas de Integración de validaciones de direcion de Datos de la Pareja (Declaración patrimonial) en Declaranet" u="1"/>
        <s v="RV: Apoyo con solicitud" u="1"/>
        <s v="RE: Solicitud de Regreso de Paso" u="1"/>
        <s v="Assesment descarga de archivos - SISAI" u="1"/>
        <s v="RE: Cambio en el medio de notificación RRA 9610/20" u="1"/>
        <s v="RE: Solicitud de apoyo PNT" u="1"/>
        <s v="RV: Solicitud de Apoyo PNT " u="1"/>
        <s v="Correcciones al generar pdf de obligaciones" u="1"/>
        <s v="RE: Solicitud de regreso de actividad." u="1"/>
        <s v="Analisis del aplicativo, codigo fuente y flujo de datos" u="1"/>
        <s v="Agregar respuesta" u="1"/>
        <s v="RE: Oaxaca URGENTE: Búsqueda de información de Solicitante en SISAI-" u="1"/>
        <s v="RE: CAMBIO DE CORREO " u="1"/>
        <s v="Desarrollo de sitio de juegos" u="1"/>
        <s v="Plan DAI" u="1"/>
        <s v="RV: soporte" u="1"/>
        <s v="RE: regreso del recurso de revision IP_PNT_470_2019-B" u="1"/>
        <s v="RE: solicitud de cambio de medio de notificación RRA 01747/20" u="1"/>
        <s v="Agregar respuesta " u="1"/>
        <s v="RE: CAMBIO CERTIFICADO PRODECON" u="1"/>
        <s v="RE: Se solicita apoyo en la PNT" u="1"/>
        <s v="RV: Inge Rafa le pido este favor gracias. solicito se agregue el nombre del sujeto obligado en el recurso de revisión con el folio que se describe en el cuerpo de este correo." u="1"/>
        <s v="RE: Solicito su apoyo" u="1"/>
        <s v="RE: REGRESO DE PASO en SIGEMI" u="1"/>
        <s v="RE: URGENTE" u="1"/>
        <s v="ELIMINAR COMUNICADO " u="1"/>
        <s v="Assesment producción inspección de salidas del software" u="1"/>
        <s v="GI-Promedio de Solicitudes Atendidas por Mes y Tiempo de Respuesta" u="1"/>
        <s v="RE: Respaldo de BD Nuevo León Semanal 31 DE AGOSTO  2020" u="1"/>
        <s v="RE: Problemas para el acceso a la HCOM. Hospital Gea González." u="1"/>
        <s v="RE: Incidencia registrada en HCOM" u="1"/>
        <s v="RE: Retroceso RR-0059/2020" u="1"/>
        <s v="RE: Cambio de término para prevención" u="1"/>
        <s v="RE: Cambio de correo electrónico del RRA  02432/20" u="1"/>
        <s v="Ajuste de Fechas" u="1"/>
        <s v="Assesment desarrollo verificación de errores" u="1"/>
        <s v="RV: Folios para ajuste de Fechas por COVID-19 Noviembre 2020" u="1"/>
        <s v="RE: Respaldo de BD Nuevo León Semanal 3 DE AGOSTO  2020" u="1"/>
        <s v="Assesment desarrollo base para el sistema archive" u="1"/>
        <s v="Respaldo de BD Oaxaca Semanal 15 DE JUNIO 2020" u="1"/>
        <s v="Elementos de seguridad en la app" u="1"/>
        <s v="Assesment diccionarios de datos - SIGEMI-SICOM" u="1"/>
        <s v="RE: ATENTA PETICION SUSPENSION DE PLAZOS - NOTIFICACIONES  SRE-AMEXCID" u="1"/>
        <s v="Realizar modulo de Consultas" u="1"/>
        <s v="Comité Técnico INE" u="1"/>
        <s v="RV: solicitud de apoyo  para eliminar un turnado y el año de la nomenclatura en vez del año 2020 aparece 2019" u="1"/>
        <s v="RE: Apoyo SQL" u="1"/>
        <s v="RESPALDO SEMANAL  TLAXCALA 16 de Marzo de 2021" u="1"/>
        <s v="Se le informó al equipo que ya estan los ajustes para el 13vo procedimiento de banderas 'OBTENER_FG_QUEJA', para que lo revisen" u="1"/>
        <s v="RE: Problemas Infomex" u="1"/>
        <s v="Assesment datos mínimos - SISAI" u="1"/>
        <s v="Creación de cuenta por Facebook" u="1"/>
        <s v="RE: RENOVACIÓN .CER_11.05.20_CNSNS" u="1"/>
        <s v="RE: CAMBIO DE DATOS EN EL SIGEMI DEL RRD 0081/20" u="1"/>
        <s v="RV: cambio de fecha al di hábil siguiente" u="1"/>
        <s v="Correccion revision y solicitar permisos de almacenamiento" u="1"/>
        <s v="Implemtación del diseño de la solución (4 ó 1 servicio)" u="1"/>
        <s v="RE: INFOMEX" u="1"/>
        <s v="Atencion a soportes" u="1"/>
        <s v="RE: SOLICITUD DE ALTA EN LOS SISTEMAS DE UN SUJETOS OBLIGADOS NUEVO  (64402) -ATENTO RECORDATORIO-" u="1"/>
        <s v="Analisis de datos" u="1"/>
        <s v="RE: Problemas Infomex " u="1"/>
        <s v="RV: Cambio de fecha de entrada del recurso RRD 0385/20 " u="1"/>
        <s v="Integración de nuevos campos en la seccion de Datos generales (Declaracion patrimonial) en Declaranet" u="1"/>
        <s v="RV: APOYO PARA CAMBIO DE FOLIO DE SOLCIITUD  DEL RRA-RCRD 2376/20" u="1"/>
        <s v="RE: RESPALDO SEMANAL  TLAXCALA 9 de Noviembre DE 2020" u="1"/>
        <s v="RV: Corrección de número de folio recurso RRA 00297/20" u="1"/>
        <s v="Formulario Registro" u="1"/>
        <s v="Desarrollo de seccion Marco conceptual - principios" u="1"/>
        <s v="RV: Solicitud de acuses " u="1"/>
        <s v="Pruebas unitarias de generación de Token" u="1"/>
        <s v="Desechar solicitudes" u="1"/>
        <s v="RE: Oaxaca Urgente: Ajuste de plazos de vencimiento solicitudes julio" u="1"/>
        <s v="Cambio de modalidad" u="1"/>
        <s v="RESPALDO SEMANAL  NL  12 de abril de 2021" u="1"/>
        <s v="RE: actualización CER. indirecto MANAEROCONUAGUA" u="1"/>
        <s v="RV: ALTA EXPEDIENTE BIS RDA 2486/13 Y ACUMULADOS" u="1"/>
        <s v="EIPDP" u="1"/>
        <s v="RE: Creación de certificados" u="1"/>
        <s v="Mejoras en código de Catalogo Usuarios, Integrantes, Ejes " u="1"/>
        <s v="RESPALDO SEMANAL GUERRERO  16 de Marzo de 2021" u="1"/>
        <s v="Realizar maqueta de página web" u="1"/>
        <s v="RE: Solicitar número de solicitudes por PNT e Infomex Colima" u="1"/>
        <s v="Assesment descarga de archivos" u="1"/>
        <s v="Resolver incidentes reportados por usuarios y QA" u="1"/>
        <s v="RE: por favor retroceder el proceso de notificación" u="1"/>
        <s v="BAJA DE SUJETO OBLIGADO " u="1"/>
        <s v="Reporte de errores de OpenText" u="1"/>
        <s v="RE: RRA 7783/20 Cambio de medio de notificación en PNT" u="1"/>
        <s v="RE: Solicitud de prorrogar días" u="1"/>
        <s v="Assesment desarrollo verificación de comunicación local" u="1"/>
        <s v="RE: Regreso de pasos RRA 9722/20" u="1"/>
        <s v="RESPALDO SEMANAL  NL  22 de abril de 2021" u="1"/>
        <s v="Atenta solicitud SIGEMI" u="1"/>
        <s v="componenete aceptar" u="1"/>
        <s v="RE: Retroceso de Pasos PNT" u="1"/>
        <s v="RE: solicitud de regreso de actividad a admitir/prevenir" u="1"/>
        <s v="RE: urge cambio .CER CONAMED" u="1"/>
        <s v="Assesment desarrollo pre-requisitos" u="1"/>
        <s v="Modificación mockups asignacion integrante-unidad Pizarras 4" u="1"/>
        <s v="RE: cambio de Titular INDEP ANTES SAE" u="1"/>
        <s v="MIGRACION CEVINAI" u="1"/>
        <s v="RESPALDO SEMANAL  NL  8 de Marzo de 2021" u="1"/>
        <s v="RE: INF00238 actualización TUT SO indirecto CONAGUA" u="1"/>
        <s v="RE: script" u="1"/>
        <s v="REA" u="1"/>
        <s v="Apoyo " u="1"/>
        <s v="RV: Acuerdo de ampliación de la vigencia de las medidas y acciones temporales (COVID-19)" u="1"/>
        <s v="RE: cambio de Titular ISSFAM" u="1"/>
        <s v="Sección 13" u="1"/>
        <s v="MIGRACION CEVINAI " u="1"/>
        <s v="Realizar pruebas de modulos y subir a servidr de desarrollo" u="1"/>
        <s v="Assesment desarrollo Instalación de archive server" u="1"/>
        <s v="Actualización de datos " u="1"/>
        <s v="RE: Incidencia en PNT - RRD 01221/20" u="1"/>
        <s v="Servicio de autentificación en SIPOT (Analisis de Solucion Tecnica)" u="1"/>
        <s v="RE: RRA 02133/20" u="1"/>
        <s v="Diseño y/o desarrollo de solución tecnologica " u="1"/>
        <s v="RE: Solicitud de regreso de actividad RRA 06000/20" u="1"/>
        <s v="Realizar pruebas de montaje" u="1"/>
        <s v="Desarrollar modulo de consulta de objetivos" u="1"/>
        <s v="Se solicita apoyo a DBA para otorgar acceso a tablas, para el usuario de BI " u="1"/>
        <s v="RE: Se solicita apoyo para generación de recibo -URGENTE-" u="1"/>
        <s v="RE: alta TUT SO indirecto SHCP-FONMETRO" u="1"/>
        <s v="RE: RESPALDO SEMANAL  NL  19 DE OCTUBRE 2020" u="1"/>
        <s v="RE: Regreso de pasos RRA 07467/20 y RRA 07762/20" u="1"/>
        <s v="RE: Incidencia RRD 00669-20 " u="1"/>
        <s v="Cambio de icono default de la aplicaciòn (recent apps tray)" u="1"/>
        <s v="RE: Cambio de Titular MORENA" u="1"/>
        <s v="RE: Respaldo de BD Oaxaca Semanal 13 de JULIO  2020" u="1"/>
        <s v="Assesment producción inicialización del sistema" u="1"/>
        <s v="Ejecutar OT en server de pruebas" u="1"/>
        <s v="SUSTITUIR ARCHIVO Y CAMBIO DE TIPO DE SOLICITUD" u="1"/>
        <s v="Integración de nuevos campos en la seccion de Datos de la Pareja (Declaracion patrimonial) en Declaranet" u="1"/>
        <s v="RE: Respaldo de BD Oaxaca Semanal 27 de JULIO  2020" u="1"/>
        <s v="Actualización de certificado " u="1"/>
        <s v="Incorporacion de servicios para estadisticos y compartir busquedas (Buscador de oblgaciones)" u="1"/>
        <s v="Atención a soportes " u="1"/>
        <s v="RV: ACUERDO DE AMPLIACIÓN RR-994/2019" u="1"/>
        <s v="RV: Atención Urgente inconsistencia en la PNT sobre medios de impugnación y cumplimiento de resoluciones de Pemex y sus EPS´s- Reporte 2" u="1"/>
        <s v="Atención a ticket " u="1"/>
        <s v="RE: Apoyo asignación certificado" u="1"/>
        <s v="Testado de datos y archivo" u="1"/>
        <s v="Transferencia de Conocimiento SAP" u="1"/>
        <s v="QUITAR DUPLICADO" u="1"/>
        <s v="Buscador tematico de contratos" u="1"/>
        <s v="Agregar aviso" u="1"/>
        <s v="RV: SOLICITUD para la eliminación de actuación en la PNT." u="1"/>
        <s v="RE: Solicitudes COVID-19" u="1"/>
        <s v="RE: Actualización certificados INEEl" u="1"/>
        <s v="Atención a tickets" u="1"/>
        <s v="Assesment producción traslado de herramientas" u="1"/>
        <s v="RE: RENOVACIÓN .CER_16.10.20_FIDEICOMISO BANJERCITO" u="1"/>
        <s v="RE: Solicitud de eliminación de la herramienta de comunicación del recurso de revisión RDA 0257/16" u="1"/>
        <s v="Crear nueva seccion municipios abiertos" u="1"/>
        <s v="RE: RESPALDO SEMANAL  NL 3 de Noviembre 2020" u="1"/>
        <s v="GENERACIÓN Y ACTUALIZACIÓN EN HCOM DE CERTIFICADOS" u="1"/>
        <s v="RV: RV: PROBLEMAS CON SIGEMI" u="1"/>
        <s v="Ajuste de valor " u="1"/>
        <s v="RE: CAMBIO CERTIFICADO PRONAVIBE" u="1"/>
        <s v="ACTUALIZAR SUJETO OBLIGADO" u="1"/>
        <s v="Entrega final" u="1"/>
        <s v="RE: RESPALDO SEMANAL  NL 9 de Noviembre 2020" u="1"/>
        <s v="Conteo de solicitudes" u="1"/>
        <s v="RE: RENOVACIÓN .CER_26.05.20_COLMEX" u="1"/>
        <s v="Componente : respuesta-solicitante" u="1"/>
        <s v="RE: Solicitud de cambio de medio de notificación" u="1"/>
        <s v="RE: RESPALDO SEMANAL  NL  28 DE DICIEMBRE 2020" u="1"/>
        <s v="RE: solicitud de apoyo para suprimir recurso cargados manualmente, así como los de la SCJN." u="1"/>
        <s v="RE: SOLICITUD DE CANCELACIÓN DE TURNADO DE  LA SIGUIENTE LISTA " u="1"/>
        <s v="RE: Certificado y contraseña INAI" u="1"/>
        <s v="Recuperar Contaseña" u="1"/>
        <s v="RV: OAXACA URGENTE: Ajuste de plazos en Resoluciones y Cumplimientos Septiembre" u="1"/>
        <s v="RE: Retroceso de pasos URGENTE " u="1"/>
        <s v="1er Concurso Nacional de Periodismo" u="1"/>
        <s v="RESPALDO SEMANAL  TLAXCALA 15 DE JUNIO DE 2020" u="1"/>
        <s v="Sección 27" u="1"/>
        <s v="RE: Solicitud de regreso de actividad RRA 03925/20" u="1"/>
        <s v="RE: renovación de certificado fideicomisos SHCP." u="1"/>
        <s v="Revisión de impacto de cambio de calendarios por SO" u="1"/>
        <s v="RE: SOLICITUD DE APOYO PARA MODIFICAR MEDIO DE NOTIFICACIÓN." u="1"/>
        <s v="Flujo registrar cuenta" u="1"/>
        <s v="Transparencia Inteligente" u="1"/>
        <s v="Actualizacion ambiente local" u="1"/>
        <s v="ALTA SUJETO OBLIGADO" u="1"/>
        <s v="RV: Oaxaca Urgente: Reasignación de Plazos por 2da ampliación de suspensión Infomex SAI y SDP 2da Parte" u="1"/>
        <s v="RE: cambio de TUT BIENESTAR" u="1"/>
        <s v="RV: Turno RRD 01159/20" u="1"/>
        <s v="Componente reutilizabe: Datos Estadísticos" u="1"/>
        <s v="RV: RESPALDO SEMANAL  TLAXCALA 17 DE AGOSTO  DE 2020" u="1"/>
        <s v="Ajustes al combo" u="1"/>
        <s v="Realizar modulo de niveles" u="1"/>
        <s v="Se desarrolla el modulo de Rubros" u="1"/>
        <s v="RE: Se solicita apoyo respecto del RRA 13433/20" u="1"/>
        <s v="RE: SOLICITUD DE APOYO PARA MODIFICAR LA FECHA DE INTERPOSICIÓN." u="1"/>
        <s v="RE: Acuerdos de Sujetos Obligados enviados a COTAI días inhábiles diciembre 2020" u="1"/>
        <s v="RE: Proyecto para solicitar la eliminación en HCOM del primer requerimiento de necesidades de capacitación" u="1"/>
        <s v="Reinicio de usuario" u="1"/>
        <s v="Atención a soportes" u="1"/>
        <s v="RE: Error en scrip 1 y 2 del anexo 2 guía." u="1"/>
        <s v="RV: Respaldo de BD Oaxaca Semanal  26 de Octubre  2020" u="1"/>
        <s v="Avance ajuste mockups Ejes, Lineas Estrategicas Pizarras" u="1"/>
        <s v="RE: Apoyo para regresar los pasos de la PNT" u="1"/>
        <s v="RV: Renovación de certificado_24/08/20_FGR" u="1"/>
        <s v="RE: Retroceso de paso en PNT - RRA 03355/20 y RRA 03405/20" u="1"/>
        <s v="RE: Seguimiento caso ampliación para prevención" u="1"/>
        <s v="BAJA DE SUJETO OBLIGADO" u="1"/>
        <s v="Oficio INAI/SE/043/2020" u="1"/>
        <s v="Se le informó al equipo que ya estan los ajustes para el 6to procedimiento de banderas 'OBTENER_FG_ADMITIDO',para que lo revisen" u="1"/>
        <s v="RV: Oaxaca URGENTE: Ajuste de plazos de vencimiento de por COVID-19 en Infomex RR00001620" u="1"/>
        <s v="RE: Retroceso en PNT RRA 01026-20" u="1"/>
        <s v="RE: cambio de TUT CNSF" u="1"/>
        <s v="Assesment para descarga asíncrona y multiproceso - SIGEMI-SICOM" u="1"/>
        <s v="RV: OAXACA URGENTE: Ajuste de plazos por COVID-19,SISMO 23, PROGRAMAS Y ADJUDICACIONES en Infomex al 29 agosto" u="1"/>
        <s v="RE: cambio de Titular SEPOMEX" u="1"/>
        <s v="RE: RENOVACIÓN .CER_28.04.20_CIBNOR" u="1"/>
        <s v="RE: Incidencia en PNT - RRA 08913/20" u="1"/>
        <s v="RE: URGENTE: Solicitud de ajuste al SISCOM de la PNT" u="1"/>
        <s v="RE: Cancelación de actividad en la PNT" u="1"/>
        <s v="REVISIÓN DE DATOS" u="1"/>
        <s v="RV: Oaxaca Urgente: Reasignación de Plazos por ampliación de suspensión Infomex SAI y SDP 2Parte" u="1"/>
        <s v="Error en SPD" u="1"/>
        <s v="Aplicar respuesta" u="1"/>
        <s v="RE: NUEVO TUT_27.04.20_API TUXPAN" u="1"/>
        <s v="Assesment datos  SISAI" u="1"/>
        <s v="RE: NUEVO TUT_15/10/20_ESSA" u="1"/>
        <s v="RV: SE REMITEN ACUERDOS DE TURNO EN CUMPLIMIENTO AL ACUERDO ACT-PUB/14/07/2020.06." u="1"/>
        <s v="RE: Aclaración RRA 05294/20" u="1"/>
        <s v="RV: Cambio de medio de notificación." u="1"/>
        <s v="Testar datos personales- Cambio de modalidad" u="1"/>
        <s v="CAMBIO DE MODALIDAD Y ELIMINAR  RESPUESTA" u="1"/>
        <s v="RV: Cambio de fechas de término a solicitudes" u="1"/>
        <s v="Error en OpenText" u="1"/>
        <s v="Se reconstruyeron las consultas del 12vo procedimiento de 'OBTENER_TEMATICA' de SOLICITUDES " u="1"/>
        <s v="Analisis documentacion pizarras" u="1"/>
        <s v="Avance Actividades Lineas Accion" u="1"/>
        <s v="RE: NUEVO TUT_21.12.20_INFONAVIT" u="1"/>
        <s v="RE: Accesos a sistemas INAI" u="1"/>
        <s v="RE: RRA-RCRD 1864/20 Se solicita apoyo PNT" u="1"/>
        <s v="Cambios en el buscador Directorio" u="1"/>
        <s v="Corrección de incidencias" u="1"/>
        <s v="Aplicar respuestas" u="1"/>
        <s v="RE: OAXACA URGENTE: Ajuste de plazos por COVID-19,SISMO 23 y PS en Infomex del 18 -21 de agosto" u="1"/>
        <s v="Generación de certificados-Alta de usuarios" u="1"/>
        <s v="RE: OAXACA URGENTE: Ajuste de plazos por COVID-19,SISMO 23, PROGRAMAS Y ADJUDICACIONES en Infomex 07 septiembre" u="1"/>
        <s v="Implementar Query de Manejo de Roles en Portlet Usuarios" u="1"/>
        <s v="RV: Solicito cambio de fechas del folio" u="1"/>
        <s v="RE: Corrección del correo electrónico del recurrente" u="1"/>
        <s v="RE: ACTUALIZACIÓN DE MEDIO DE NOTIFICACIÓN RRD 1534/20" u="1"/>
        <s v="Crear usuario y Generar Certificado" u="1"/>
        <s v="RV: Respaldo de BD Oaxaca Semanal  05 de Octubre  2020" u="1"/>
        <s v="RV: SIGEMI: Corrección de número de folio" u="1"/>
        <s v="RE: Acuerdos de Sujetos Obligados enviados a COTAI días inhábiles octubre 2020" u="1"/>
        <s v="Validaciones de conectividad a internet" u="1"/>
        <s v="Construcción de Modulo de Ejes" u="1"/>
        <s v="Desarrollo de ajustes al micrositios de comité de etica" u="1"/>
        <s v="RE: eliminación de requerimiento " u="1"/>
        <s v="Renombrar números de expedientes " u="1"/>
        <s v="RV: SOLCITUD DE APOYO PARA CARGAR DOMICILIO DE RECURSO MANUAL" u="1"/>
        <s v="RE: regreso de actividad del RRD 1623/19" u="1"/>
        <s v="quitar como obligatorio el campo de adjunto para el registro de una solicitud de Datos personales" u="1"/>
        <s v="RESPALDO SEMANAL GUERRERO 22 de Marzo de 2021" u="1"/>
        <s v="RV: solciitud de apoyo" u="1"/>
        <s v="RE: RENOVACIÓN CERTIFICADO_21/01/21_CNH y FIDEICOMISO CNH" u="1"/>
        <s v="Assestment desarrollo verficación de certificados expirados" u="1"/>
        <s v="RE: actualización TUT SO indirecto CONAGUA" u="1"/>
        <s v="Pantalla de RIA para quejas en app móvil_x000a_" u="1"/>
        <s v="RE: OAXACA URGENTE: Ajuste de plazos por COVID-19,SISMO 23, PROGRAMAS Y ADJUDICACIONES en Infomex del 20 al 25 octubre" u="1"/>
        <s v="Exportar solicitud" u="1"/>
        <s v="RE: Cambiar medio de notificación en la PNT " u="1"/>
        <s v="RE: NUEVO TUT_15/07/20_ESSA" u="1"/>
        <s v="RE: No aparece opción al determinar el tipo de respuesta." u="1"/>
        <s v="RE: Cambio de Titular PRD" u="1"/>
        <s v="Contestar quejas de federacion" u="1"/>
        <s v="REGRESO DE PASOS" u="1"/>
        <s v="RE: SIGEMI: Cambio de sujeto Obligado" u="1"/>
        <s v="Busqueda para incorporacion de certificados para tienda play store" u="1"/>
        <s v="RE: Error Infomex 11 de junio de 2020" u="1"/>
        <s v="RE: Propuesta de solicitud para modificar fechas de vencimiento en HCOM" u="1"/>
        <s v="REPORTE" u="1"/>
        <s v="RE: Incidencia en PNT - RRA 15305/19" u="1"/>
        <s v="Reinicio de Contraseña" u="1"/>
        <s v="Analisis y tuneo de sistema operativo de Jboss" u="1"/>
        <s v="RE: Credenciales INIFED" u="1"/>
        <s v="RV: solicitud de dejar insubsistente cierre de instrucción del RRA 8591/20" u="1"/>
        <s v="UT - Regisgro de pagos realizados" u="1"/>
        <s v="Cambios en proceso de cambiar contraseña" u="1"/>
        <s v="RE: Solicitud de cancelación de cierre RRA 4230/20" u="1"/>
        <s v="RV: Solicitud de respaldo base de datos" u="1"/>
        <s v="Cambio en visualizacion del texto a buscar, se resalta la palabra buscada" u="1"/>
        <s v="RESPALDO SEMANAL  TLAXCALA 8 de Marzo de 2021" u="1"/>
        <s v="RE: RESPALDO SEMANAL  TLAXCALA 17 de Noviembre DE 2020" u="1"/>
        <s v="Costruccion de la base de datos" u="1"/>
        <s v="Actualizar datos" u="1"/>
        <s v="RE: incidencia" u="1"/>
        <s v="RESPALDO SEMANAL  NL  22 de Marzo de 2021" u="1"/>
        <s v="RE: renovación de Certificado SEDATU" u="1"/>
        <s v="RE: Cambio de certificado INR" u="1"/>
        <s v="RV: Cambio de fechas de término de Folios" u="1"/>
        <s v="RE: certificado para Fondo a cargo de INSUS" u="1"/>
        <s v="Eventos" u="1"/>
        <s v="RV: solicitud de revision de fechas del SICOM-SIGEMI" u="1"/>
        <s v="Mejoras en código de Catalogo Líneas de Acción" u="1"/>
        <s v="agregar boton de descarga depresentaciones PPTX" u="1"/>
        <s v="RV: Regreso de turnos" u="1"/>
        <s v="Assestment desarrollo inspección de activación de servcios" u="1"/>
        <s v="Actualizar fecha limite" u="1"/>
        <s v="GI- Recepción Solicitudes para Comité de Transparencia" u="1"/>
        <s v="RE: NUEVO TUT_26.05.20_IFT" u="1"/>
        <s v="Desarrollar modulo de consulta de roles" u="1"/>
        <s v="Creación de Service para Roles, Usuarios, Integrantes, Ejes, Objetivos, Rutas Implementación y Areas administrativas" u="1"/>
        <s v="RE: MUY URGENTE! Cambio de nombre de recurrente en turno y PNT " u="1"/>
        <s v="Componente: Mi-Historial" u="1"/>
        <s v="Correccion error en perfil de usuario" u="1"/>
        <s v="CARGA DE ARCHIVO" u="1"/>
        <s v="RV: solicitud de apoyo " u="1"/>
        <s v="Se trabajó con los ajustes del 7mo procedimiento de 'OBTENER_FG_PREVENCION', con el cambio del campo actualizado" u="1"/>
        <s v="RE: recurso doble en el tablero" u="1"/>
        <s v="RE: RESPALDO SEMANAL GUERRERO 5 DE OCTUBRE 2020" u="1"/>
        <s v="RV: Ajuste de fecha por Acuerdo de Sujetos Obligados enviados a COTAI por contingencia sanitaria COVID-19" u="1"/>
        <s v="RESPALDO SEMANAL GUERRERO  8 de Marzo de 2021" u="1"/>
        <s v="Assesment etiquetado - SIPOT" u="1"/>
        <s v="CAMBIO A BIS" u="1"/>
        <s v="RESPALDO SEMANAL  TLAXCALA 29 de Marzo de 2021" u="1"/>
        <s v="Integración de nuevos campos en la seccion de Datos Experiencia Laboral (Declaracion patrimonial) en Declaranet" u="1"/>
        <s v="Oficina de Proyectos" u="1"/>
        <s v="Se solicita cambio de expediente caso 5001927" u="1"/>
        <s v="Encuesta Diagnóstica 2020" u="1"/>
        <s v="RE: Ampliación de término" u="1"/>
        <s v="Sección 12" u="1"/>
        <s v="Error en IFAI- PRODATOS" u="1"/>
        <s v="RE: INFOMEX COMITÉ SECRETARÍA DE INFRAESTRUCTURA VIAL " u="1"/>
        <s v="RE: INF00258 Actualización TUT SO indirecto SHCP" u="1"/>
        <s v="Analisis de logs de base de datos para mejoras en tiempo de carga" u="1"/>
        <s v="RE: renovación de Certificado PF" u="1"/>
        <s v="Eliminar Requerimiento " u="1"/>
        <s v="RE: APOYO CON QUERY PARA ESTADISTICA INFOMEX" u="1"/>
        <s v="GENERACIÓN DE CERTIFICADO Y CAMBIO DE TUT" u="1"/>
        <s v="RV: ajuste de fechas por contingencia" u="1"/>
        <s v="RV: Regreso de paso de admisión en la PNT" u="1"/>
        <s v="RESPALDO " u="1"/>
        <s v="GI- Respuesta Solicitudes-Asignadas por Unidad de Transparencia" u="1"/>
        <s v="RE: Solicitud de corrección RRA 13411/20." u="1"/>
        <s v="Registro de Denuncias" u="1"/>
        <s v="Sustitución de archivo adjunto " u="1"/>
        <s v="RV: OAXACA URGENTE: Solicitud Respaldo Actualizado BDD Infomex" u="1"/>
        <s v="RE: Se solicita eliminación de respuesta de RRA 04298/20" u="1"/>
        <s v="Aseguramiento de conexión a la PNT" u="1"/>
        <s v="Assesment producción busqueda especifica para fallos" u="1"/>
        <s v="RE: Modificación al plazo de cumplimiento - RRA 14374/19 " u="1"/>
        <s v="Validaciones de organos garantes en historial" u="1"/>
        <s v="RE: RRD 01603/20 IMSS Se solicita apoyo en la PNT" u="1"/>
        <s v="RV: OAXACA URGENTE: Ajuste de plazos por COVID-19,SISMO 23, PROGRAMAS Y ADJUDICACIONES en Infomex del 29 octubre al 02 noviembre" u="1"/>
        <s v="RV: Acuerdo IDAIPQROO" u="1"/>
        <s v="RV: Modificación de fechas" u="1"/>
        <s v="Comienzo de esarrollo del backend en laravel" u="1"/>
        <s v="Migracion a Flutter 2" u="1"/>
        <s v="Inicio de sesion, mensajes de error" u="1"/>
        <s v="RE: cambio de fecha al día hábil siguiente." u="1"/>
        <s v="ACTUALIZAR ESTATUS" u="1"/>
        <s v="RE: alta TUT SO indirecto SEDATU-FOMEUR" u="1"/>
        <s v="Se actualiza URL" u="1"/>
        <s v="ELIMINAR CERTIFICADO " u="1"/>
        <s v="Complemento configuracion para descargar archivos" u="1"/>
        <s v="RE: Oaxaca Urgente: Respaldo actualizado al 01 de julio de la Base de Datos Infomex" u="1"/>
        <s v="Actualizar datos de SO" u="1"/>
        <s v="Notificación de Ticket #PNT003426" u="1"/>
        <s v="RE: RECURSO DUPLICADO EN PNT" u="1"/>
        <s v="ajustes al menu de sitio" u="1"/>
        <s v="Research plugins de redes sociales" u="1"/>
        <s v="Assesment conectores de extracción de datos - SISAI" u="1"/>
        <s v="RE: Retroceso de paso en PNT - RRA 03492/20 y RRA 03722/20" u="1"/>
        <s v="Assesment datos mínimos - SIGEMI-SICOM" u="1"/>
        <s v="Correcion de servicio busqueda de usuarios por unidad Admin_x000a_" u="1"/>
        <s v="Se le informó al equipo que ya esta esté 9no procedimiento para que lo revisen" u="1"/>
        <s v="RE: Solicitud de ejecución de consultas" u="1"/>
        <s v="RE: Solicitud datos" u="1"/>
        <s v="RV: SOLICITUD  para regresar pasos a “Admitir/Prevenir&quot;." u="1"/>
        <s v="RE: CONTRASEÑA HCOM (SNCTA) -ATENTO RECORDATORIO-" u="1"/>
        <s v="RV: Solicitud PNT" u="1"/>
        <s v="RV: Oaxaca URGENTE: Ajuste de plazos de vencimiento por COVID-19 del 01 y 02 junio 2020" u="1"/>
        <s v="AJUSTE DE FECHA" u="1"/>
        <s v="RE: SOLICITUD DE SCRIPT DE INFOMEX VERSION 2.5" u="1"/>
        <s v="RE: MODIFICAR SOLICITUD DE ACCESO A LA INFORMACIÓN EN INFOMEX 1117100089820" u="1"/>
        <s v="RE: CAMBIO CERTIFICADO CICESE" u="1"/>
        <s v="RV: Ampliación de Plazo Ayuntamiento de Colima" u="1"/>
        <s v="RE: Definición del proceso de importación " u="1"/>
        <s v="RE: cambio de TUT CSAEGRO" u="1"/>
        <s v="RV: SE SOLICITA APOYO REGRESAR PASO PNT RRA 15736/19 " u="1"/>
        <s v="Archivos de la OT" u="1"/>
        <s v="RE: renovación de certificado " u="1"/>
        <s v="RE: ALTA EXPEDIENTE RRA 2784/16-BIS" u="1"/>
        <s v="Reunion con cliente para didas y comentarios del RFC" u="1"/>
        <s v="RV: ASUNTO: OAXACA URGENTE: Ajuste de plazos cuenta Sujeto Obligado por COVID-19 número R.R.A.I 0236/2020/SICOM y  número R.R.A.I 0238/2020/SICOM" u="1"/>
        <s v="ACTUALIZAR CERTIFICADO " u="1"/>
        <s v="RESPALDO SEMANAL GUERRERO 22 DE JUNIO DE 2020" u="1"/>
        <s v="RE: Respaldo de BD Oaxaca Semanal 14 DE SEPTIEMBRE  2020" u="1"/>
        <s v="Corrección de estatus" u="1"/>
        <s v="Assesment Limpieza de datos" u="1"/>
        <s v="RE: Modificación correo electrónico RR-108/2020" u="1"/>
        <s v="RE: Respaldo de BD Tlaxcala Semanal 7 de Septiembre  2020" u="1"/>
        <s v="AJUSTE DE TURNO " u="1"/>
        <s v="RV: RRA 4524/20 SEDENA Se solicita apoyo en la PNT" u="1"/>
        <s v="RE: Respaldo de BD Oaxaca Semanal 28 DE SEPTIEMBRE  2020" u="1"/>
        <s v="Generar base de datos y tablas para el proyecto" u="1"/>
        <s v="Desarrollar modulo de alta Ejes" u="1"/>
        <s v="RE: NUEVO TUT_16.06.20_FONATUR TREN MAYA" u="1"/>
        <s v="RE: Respaldo de BD Nuevo León Semanal 13 de JULIO  2020" u="1"/>
        <s v="Alta Curricular" u="1"/>
        <s v="Agregada notificacion local para ios" u="1"/>
        <s v="Avance mockups Roles, Usuarios Pizarras" u="1"/>
        <s v="Assesment etiquetado" u="1"/>
        <s v="Assesment diccionarios de datos - SISAI" u="1"/>
        <s v="RV: Modificación Fecha de Vencimiento" u="1"/>
        <s v="RE: NUEVO TUT_15.10.20_AGROASEMEX" u="1"/>
        <s v="RE: Respaldo de BD Nuevo León Semanal 27 de JULIO  2020" u="1"/>
        <s v="RE: Eliminar Sub-folio" u="1"/>
        <s v="RV: RV: Oaxaca Urgente: Reasignación de fechas de entrada por suspensión de plazos Servicios de Salud Oax" u="1"/>
        <s v="RESPALDO SEMANAL  TLAXCALA 8 DE JUNIO DE 2021" u="1"/>
        <s v="RE: Cambio de certificado NOTIMEX" u="1"/>
        <s v="RE: Cumplimientos no visualizados en la PNT al 28 de mayo 2020" u="1"/>
        <s v="RE: Envío Firma Electrónica " u="1"/>
        <s v="RE: Solicitud soporte" u="1"/>
        <s v="RE: SUPRIMIR RECURSO" u="1"/>
        <s v="Realizar modulo de ajustes web" u="1"/>
        <s v="RE: OAXACA URGENTE: Ajuste de plazos en Infomex al 02 de diciembre" u="1"/>
        <s v="RE: Respaldo de BD Tlaxcala Semanal 6 de JULIO  2020" u="1"/>
        <s v="RE: Se solicita apoyo con la PNT" u="1"/>
        <s v="RV: URGENTE: SOLICITUD DE BAJA DE REQUIERMIENTO HCOM" u="1"/>
        <s v="RV: Solicitud de Apoyo en PNT" u="1"/>
        <s v="RE: Incidencia PNT." u="1"/>
        <s v="Abrir detalle de solicitud de datos personales al llegar push notifications" u="1"/>
        <s v="Renombrar dependencia" u="1"/>
        <s v="Verificación de hechos del INAI" u="1"/>
        <s v="Asignación de abogado PPD" u="1"/>
        <s v="Corrección en Template de Líneas de Acción" u="1"/>
        <s v="Crear Tarea programada" u="1"/>
        <s v="Subir cambios a servidor y configurar server de desarrollo paramod_rewrite" u="1"/>
        <s v="Baja de Dependencia" u="1"/>
        <s v="RE: Cambio de Titular S.O.a cargo del INDEP" u="1"/>
        <s v="RV: Folios 3er Acuerdo de la COTAI por el cual se prorrogan las medidas y acciones de este Organismo por COVID-19, al 31 de mayo de 2020" u="1"/>
        <s v="RESPALDO SEMANAL  NL  15 de Febrero de 2021" u="1"/>
        <s v="RV: RRA 01737/20 SOLICITUD DE APOYO" u="1"/>
        <s v="RE: SO de prueba" u="1"/>
        <s v="RE: Incidencia en PNT - RRD 0275/20" u="1"/>
        <s v="Integracion de Service Builder Token (Sql), Integración de Consulta para validar usuario token existente" u="1"/>
        <s v="Integracion de campo homoclave en captura de Declaración de Conflicto de intereses" u="1"/>
        <s v="RV: Oaxaca URGENTE: Ajuste de plazos de vencimiento por COVID-19 hasta el 10-05-2020" u="1"/>
        <s v="Buscador tematico de tramites" u="1"/>
        <s v="RV: Modificación de plazos Folios" u="1"/>
        <s v="Assesment desarrollo listener" u="1"/>
        <s v="RE: RESPALDO SEMANAL GUERRERO 12 DE OCTUBRE 2020" u="1"/>
        <s v="GENERACIÓN Y CAMBIO DE CERTIFICADO" u="1"/>
        <s v="Creada pantalla de mantenimiento" u="1"/>
        <s v="GENERACIÓN DE CERTIFICADO Y ACTUALIZACIÓN " u="1"/>
        <s v="RE: Cambio de Titular INEEL" u="1"/>
        <s v="RE: RESPALDO SEMANAL GUERRERO 26 DE OCTUBRE 2020" u="1"/>
        <s v="Sociedad más justa" u="1"/>
        <s v="RE: NUEVO CERTIFICADO_ JFCA" u="1"/>
        <s v="-&gt; Se agrego Firebase Analytics a la app" u="1"/>
        <s v="Gobierno Abierto" u="1"/>
        <s v="AJUSTE DE PLAZO " u="1"/>
        <s v="Respaldo de BD Oaxaca Semanal  12 DE ABRIL 2021" u="1"/>
        <s v="RE: Incidencia: RRD 00508/20" u="1"/>
        <s v="Enlazar modulos de ajustes web y busqueda avanzada" u="1"/>
        <s v="Assestment tratamiento de la información - SISAI" u="1"/>
        <s v="Pleno Niños 2021" u="1"/>
        <s v="RE: problemas para ingresar a sistema hcom" u="1"/>
        <s v="RV: SOLCITUD DE APOYO " u="1"/>
        <s v="Generación de script" u="1"/>
        <s v="RE: CAMBIO CERTIFICADO CONAFOR" u="1"/>
        <s v="RE: Incidencia en PNT - RRA 01303/20" u="1"/>
        <s v="RE: RRD 0521/19 Regreso de paso." u="1"/>
        <s v="Esquema concomatpsh" u="1"/>
        <s v="Componente reutilizabe: domicilio" u="1"/>
        <s v="RV: Folios con sujeto obligado no asociado" u="1"/>
        <s v="RV: Oaxaca Urgente : Activar validación de respuestas por reasignación de plazo Infomex" u="1"/>
        <s v="Componente Sustituir Respuesta Sustituir" u="1"/>
        <s v="Compartir quejas y solicitudes en redes" u="1"/>
        <s v="RESPALDO SEMANAL GUERRERO  " u="1"/>
        <s v="RESPALDO DE BD" u="1"/>
        <s v="Cambios en campos indigenas" u="1"/>
        <s v="Modificado push notifications" u="1"/>
        <s v="Ejecucion de Pruebas unitarias de usuarios y correciones de hallazgos encontrados" u="1"/>
        <s v="Construccion vista para resultados busqueda Directorio" u="1"/>
        <s v="Se desarrolla el modulo de Palabras clave" u="1"/>
        <s v="Votaciones" u="1"/>
        <s v="Realizar ajusts al sitio" u="1"/>
        <s v="Cambio mensajes de error en Excepciones de toda la app" u="1"/>
        <s v="DATACON 2021" u="1"/>
        <s v="RE: Adelantar pasos en la PNT" u="1"/>
        <s v="RE: Solicitud de regreso de actividad RRA 04160/20" u="1"/>
        <s v="Modificar Formulario de Registro" u="1"/>
        <s v="Acciones en América Latina: COVID 19" u="1"/>
        <s v="RV: atención oficio" u="1"/>
        <s v="RE: Cambio Titular HGM liceaga" u="1"/>
        <s v="RV: SIGEMI-SICOM Zacatecas" u="1"/>
        <s v="GI-Reporte solcitudes resuestas por Comité" u="1"/>
        <s v="Ambientar el equipo de computo" u="1"/>
        <s v="RV: Solicitud de ajuste en fechas de vencimiento de plazos de HCOM " u="1"/>
        <s v="RE: apoyo con scripts Infomex" u="1"/>
        <s v="RE: cambio de Titular AEM" u="1"/>
        <s v="RV: Recordatorio-Plazos y términos en la Herramienta de Comunicación del IMJUVE" u="1"/>
        <s v="GENERAR CERTIFICADOS" u="1"/>
        <s v="RE: ELIMINAR RECURSO PNT" u="1"/>
        <s v="RE: Oaxaca Urgente: Reasignación de plazos SICOM 9na ampliación de  suspensión de plazos al 19 de octubre" u="1"/>
        <s v="RE: RECURSO SEXTUPLICADO en PNT." u="1"/>
        <s v="RV: CAMBIO DE FECHA AL DÍA HÁBIL SIGUIENTE" u="1"/>
        <s v="Correcciones en pantallas de recurrente prevencion y prevencion parcial" u="1"/>
        <s v="-&gt; Buscador nacional quejas, Hint text Folio en buscador nacional de quejas" u="1"/>
        <s v="Revisión de Modelado para persistencia de Bitacora" u="1"/>
        <s v="Modificación de vistas materializadas" u="1"/>
        <s v="revisión de incidencias " u="1"/>
        <s v="Subir propuesta con laravel y mysql  a sevidor de desarrollo " u="1"/>
        <s v="RE: ALCANCE A LA PETICIÓN DE LIBERACIÓN DE RECURSOS DE REVISIÓN A TRAVÉS DE LA PNT" u="1"/>
        <s v="Contrataciones Abiertas" u="1"/>
        <s v="RE: APOYO PARA ADJUNTAR ARCHIVOS DE DATOS ABIERTOS AL INFOMEXBCS" u="1"/>
        <s v="Assesment desarrollo generación de evidencias" u="1"/>
        <s v="Assesment descarga de archivos -SIPOT" u="1"/>
        <s v="Carga y actualizacon de nuevo catalogo" u="1"/>
        <s v="AJUSTE DE PLAZOS " u="1"/>
        <s v="Servicio consulta histórico " u="1"/>
        <s v="Componente : mis quejas" u="1"/>
        <s v="RV: CORRECCIÓN turno RRD 664-20" u="1"/>
        <s v="RV: apoyo para ingresar un domicilio a PNT" u="1"/>
        <s v="Revisión de flujo de declaración de Intereses, Integracion de campo homoclave en captura de Declaración de Conflicto de intereses" u="1"/>
        <s v="RE: SOLICITUD DE BAJA DE REQUERIMIENTO" u="1"/>
        <s v="Se construyeron las distintas consultas para tratar el 10mo procedimiento de banderas 'OBTENER_FG_PREVENIDO'" u="1"/>
        <s v="RV: Apoyo PNT RRD 0263/20" u="1"/>
        <s v="Mejoras varias al codigo" u="1"/>
        <s v="Se solicita cambio de expediente caso 5001901" u="1"/>
        <s v="RV: Modificación de Plazos Poder Ejecutivo" u="1"/>
        <s v="Correccion boton detalle" u="1"/>
        <s v="RE: Se solicita eliminación de comunicado enviado por HCOM" u="1"/>
        <s v="Solución de Incidencias" u="1"/>
        <s v="RE: SOLCITIUD DE APOYO PARA MOFICIAR" u="1"/>
        <s v="RE: solicitudes y recursos de revisión pendientes" u="1"/>
        <s v="RV: Notificación de ajuste a calendario" u="1"/>
        <s v="RE: NUEVO TUT_INEGI_04.02.2020" u="1"/>
        <s v="RE: regreso de pasos RRD 0526/20" u="1"/>
        <s v="RV: Oaxaca Urgente: Reasignación de plazos SICOM continuidad de suspensión al 14 de diciembre" u="1"/>
        <s v="RE: Respaldo de BD Oaxaca Semanal 7 DE SEPTIEMBRE  2020" u="1"/>
        <s v="RE: Oaxaca Urgente: Reasignación de plazos SICOM continuidad de suspensión al 18 de enero 2021" u="1"/>
        <s v="COVID-19" u="1"/>
        <s v="RE: ACUERDOS MODIFICADOS DEL 19 AL 20 DE FEBRERO LA CRE " u="1"/>
        <s v="Desarrollo e implementación de Buscador" u="1"/>
        <s v="RE: ALTA DOS EXPEDIENTES BIS" u="1"/>
        <s v="RESPALDO" u="1"/>
        <s v="RE: SOPORTE EN HCOM" u="1"/>
        <s v="RE: Eliminar paso en PNT" u="1"/>
        <s v="RESPALDO SEMANAL  TLAXCALA 22 de Febrero de 2021" u="1"/>
        <s v="RE: Cambio de SO RRA 1470-20" u="1"/>
        <s v="RV: OAXACA URGENTE: Error en ajuste de plazos cuenta Sujeto Obligado por COVID-19 número R.R.A.I 0231/2020/SICOM" u="1"/>
        <s v="Re: RV: OAXACA URGENTE: Ajuste de plazos en procedimientos de cumplimiento y resoluciones SICOM-Octubre parte 2" u="1"/>
        <s v="CORRECCIÓN DE DATOS" u="1"/>
        <s v="RE: actualizar correo electrónico" u="1"/>
        <s v="RE: Aclaración " u="1"/>
        <s v="RE: RENOVACIÓN .CER_27.08.20_CNH" u="1"/>
        <s v="RE: " u="1"/>
        <s v="RE: Correcciones en la matrix" u="1"/>
        <s v="Avance mockups segumiento de actividades" u="1"/>
        <s v="validacion de cambios de integracion de Homoclave en generación de .pdf Declaración de Conflicto de intereses" u="1"/>
        <s v="Implementación de ambiente de trabajo de Consulta Publica (Declaranet)" u="1"/>
        <s v="RV: Liga de suspension del ITAIP-Chiapas" u="1"/>
        <s v="Assesment diccionarios de datos - SIPOT" u="1"/>
        <s v="RE: Apoyo con notificación de admisión " u="1"/>
        <s v="RV: Nueva consulta" u="1"/>
        <s v="Testar datos personales-Sustitución de archivo adjunto" u="1"/>
        <s v="RV: Acuerdos de Sujetos Obligados enviados a COTAI días inhábiles julio 2020" u="1"/>
        <s v="RE: certificado MORENA " u="1"/>
        <s v="Assesment desarrollo establecimiento para la base de datos" u="1"/>
        <s v="RE: RESPALDO SEMANAL  NL  7 DE DICIEMBRE 2020" u="1"/>
        <s v="Borrar usuario" u="1"/>
        <s v="RV: Impresión de pantalla " u="1"/>
        <s v="RV: Acuerdos de Sujetos Obligados enviados a COTAI días inhábiles julio 2021" u="1"/>
        <s v="Habilitación de infraestructura" u="1"/>
        <s v="RE: Adelantar pasos en la PNT." u="1"/>
        <s v="RV: SIGEMI - Cambio de sujeto Obligado " u="1"/>
        <s v="RV: Ampliación del Plazo Solicitudes Poder Ejecutivo Segundo Período Covid-19" u="1"/>
        <s v="RV: RECURSO 16399/19" u="1"/>
        <s v="RE: Eliminación de folios" u="1"/>
        <s v="RE: Consulta datos al 13 de abril" u="1"/>
        <s v="RE: solicitud de regreso de actividad RRA 03950/20" u="1"/>
        <s v="RV: SOLICITUD DE CORRECIÓN EN PNT ASUNTOS PEMEX" u="1"/>
        <s v="RE: cambio de fecha al día hábil PREVIO" u="1"/>
        <s v="Acción Beijing" u="1"/>
        <s v="RE: Apoyo con Script" u="1"/>
        <s v="Eliminación de Turno" u="1"/>
        <s v="RE: CAMBIO DE DATOS EN EL SIGEMI DEL RRD 0032/20" u="1"/>
        <s v="Respaldo de BD " u="1"/>
        <s v="Alta de usuarios" u="1"/>
        <s v="RV: mover comité en infomex" u="1"/>
        <s v="Adjuntar archivo" u="1"/>
        <s v="Reunión Diaria de Seguimiento Pizarras etapa 4" u="1"/>
        <s v="Acuerdos de Sujetos Obligados enviados a COTAI días inhábiles agosto 2020" u="1"/>
        <s v="Assestment tratamiento de la información - SIGEMI-SICOM" u="1"/>
        <s v="RE: cambio de Certificado CEAV" u="1"/>
        <s v="Tramite de accesos" u="1"/>
        <s v="Consulta de datos de usuario" u="1"/>
        <s v="RE: Cambio de Certificado INPER" u="1"/>
        <s v="Registro a través de redes sociales" u="1"/>
        <s v="RE: SOLICITUD DE REGRESO ACTIVIDAD" u="1"/>
        <s v="RV: SOLICITUD DE REGRESO DE PASO RRA 6284/19 " u="1"/>
        <s v="RE: Cambio de Titular FIDEICOMISOS INEEL" u="1"/>
        <s v="revisión de incidencias" u="1"/>
        <s v="RV: Corrección de correo electrónico." u="1"/>
        <s v="RV: URGENTE CUMPLIMIENTO DEL ACUERDO DE PLENO (INSABI)" u="1"/>
        <s v="RE: Actualización TUT SO indirectos SAT" u="1"/>
        <s v="RE: ALTA EXPEDIENTE BIS RDA 5354-15-SEPTIMUS" u="1"/>
        <s v="Sesion para mostrar ya todo terminado" u="1"/>
        <s v="RE: renovación de certificados SCT." u="1"/>
        <s v="RE: PASO ATRAS" u="1"/>
        <s v="RV: OAXACA URGENTE: Ajuste de plazos en Infomex al 26 de noviembre" u="1"/>
        <s v="Verificar instalación en ambient de QA" u="1"/>
        <s v="RE: CAMBIO CERTIFICADO SEPOMEX" u="1"/>
        <s v="RV: Reporte" u="1"/>
        <s v="RE: alta nuevo SO" u="1"/>
        <s v="RE: Actualización TUT SO indirectos SCT" u="1"/>
        <s v="Incidencia PRODATOS Calendario" u="1"/>
        <s v="RE: Renovación de certificado_24/08/20_Fondos FIRA" u="1"/>
        <s v="Buscador de oblgaciones" u="1"/>
        <s v="Problemas en Infomex" u="1"/>
        <s v="Configuración de multiples conexiones a BD" u="1"/>
        <s v="RE: NUEVO TUT_31/03/20_FIDEICOMISO FOCIR 06578" u="1"/>
        <s v="RE: INCIDENCIA RESPECTO A VENCIMIENTOS EN SICOM DE PREVENCIÓN Y REDAPTACIÓN SOCIAL" u="1"/>
        <s v="RE: Solicitud de apoyo, suprimir recurso SCJN" u="1"/>
        <s v="RE: RENOVACIÓN .CER_03.11.20_ECHASA" u="1"/>
        <s v="RESPALDO SEMANAL GUERRERO 15 DE JUNIO DE 2020" u="1"/>
        <s v="Assesment producción busqueda de salidas del software" u="1"/>
        <s v="RV: URGENTE ALTA EXPEDIENTE BIS" u="1"/>
        <s v="Trabajo de recuperacion " u="1"/>
        <s v="CAMBIO DE CONTRASEÑA Y CERTIFICADO " u="1"/>
        <s v="RV: SOLICITUD DE APOYO PARA ANULAR UNA ACCIÓN DE TURNADO." u="1"/>
        <s v="RV: Oaxaca Urgente: Problema de SISAI-SICOM no aparece el botón de queja de las solicitudes que se encuentran vencidas" u="1"/>
        <s v="RECONDUCCION" u="1"/>
        <s v="RE: Apoyo para recuperar estadísticas de los sistemas Infomex hospedados en el INAI" u="1"/>
        <s v="RV: Acuerdos de Sujetos Obligados enviados a COTAI días inhábiles noviembre 2020" u="1"/>
        <s v="RE: CAPACITACIÓN INFOMEX 19 y 20 Oct" u="1"/>
        <s v="RE: Cambio de Password Titular de la Unidad de Transparencia de la FND" u="1"/>
        <s v="ACTUALIZAR FECHA" u="1"/>
        <s v="Mejoras en código de Catalogo Objetivos, Líneas Estrategicas" u="1"/>
        <s v="Se realiza componente para comunicación INFOMEX " u="1"/>
        <s v="Analisis BD seguimiento actividades" u="1"/>
        <s v="RE: Apoyo SIGEMI-SICOM" u="1"/>
        <s v="RE: cambio de certificado ISSSTE" u="1"/>
        <s v="Modificar Respuestas Transferencia" u="1"/>
        <s v="RV: Oaxaca Urgente: Reasignación de Plazos SICOM por ampliación hasta el 30 de abril" u="1"/>
        <s v="REPORTE DE SOLICITUDES 17022020" u="1"/>
        <s v="Pleno Niños" u="1"/>
        <s v="RV: Acuerdos de Sujetos Obligados enviados a COTAI días inhábiles junio 2020" u="1"/>
        <s v="Desarrollar modulo de consulta linea estrategica" u="1"/>
        <s v="RV: MUY URGENTE APOYO PNT RRD-RCRA 00913/20 URGENTE!" u="1"/>
        <s v="Assesment etiquetado - SIGEMI-SICOM" u="1"/>
        <s v="RE: Solicitud de apoyo para cambiar registro en la PNT de correo electrónico" u="1"/>
        <s v="agregar Horarios" u="1"/>
        <s v="REASIGNACIÓN DE SOLICITUDES" u="1"/>
        <s v="Maquetar y definir la informacion de tutoriales" u="1"/>
        <s v="comonente rechazar" u="1"/>
        <s v="ELIMINAR CIERRE DE INSTRUCCIÓN" u="1"/>
        <s v="Ajustes al menu del micrositio de gobierno abierto" u="1"/>
        <s v="RE: Incidencia en PNT - RRA 01079/20" u="1"/>
        <s v="RE: Regreso de pasos RRD 1511/20" u="1"/>
        <s v="Ejecutar OT" u="1"/>
        <s v="Testar datos personales" u="1"/>
        <s v="RE: RENOVACIÓN .CER_27.08.20_CONOCER" u="1"/>
        <s v="RV: Solicitar modificación de fechas" u="1"/>
        <s v="GENERACIÓN DE CERTIFICADO Y ACTUALIZACIÓN EN HCOM " u="1"/>
        <s v="RE: Actualización TUT Fideicomiso CNSF" u="1"/>
        <s v="RE: NUEVO TUT_26/03/20_FIDEICOMISOS FOCIR" u="1"/>
        <s v="Capacitación PPD y PISAN" u="1"/>
        <s v="PFyM" u="1"/>
        <s v="Búsqueda de información de arquitectura PRODATOS" u="1"/>
        <s v="RE: Incidencia en PNT - RRA 13304/19" u="1"/>
        <s v="RV: incidencia y regreso de pasos RRA 8932/20" u="1"/>
        <s v="RESPALDO SEMANAL  NL 1 DE JUNIO DE 2020" u="1"/>
        <s v="Cambios en pantalla de inicio y home" u="1"/>
        <s v="RE: regreso de actividad a admitir /prevenir" u="1"/>
        <s v="RESPALDO SEMANAL  NL 8 DE JUNIO DE 2020" u="1"/>
        <s v="RE: solicitar el cambio de medio de notificación RRA 2540/20" u="1"/>
        <s v="Sustitución de archivo adjunto y testado de datos " u="1"/>
        <s v="RV: Respaldo de BD Oaxaca Semanal  17 de Noviembre  2020" u="1"/>
        <s v="RV: Solicitud de respaldo de base de datos INFOMEX" u="1"/>
        <s v="Crear diagrama de gantt con tiempos aproximados de desarrollo" u="1"/>
        <s v="Exportar sitio para mistar a servidor productivo" u="1"/>
        <s v="RE: Apoyo" u="1"/>
        <s v="RE: Oficio DGTI cambio de nuevo plazo en HCOM" u="1"/>
        <s v="RE: Procedimiento para realizar cambio del Titular de la Unidad de Transparencia." u="1"/>
        <s v="Desarrollo de seccion Marco Normativo - institucional" u="1"/>
        <s v="RE:  Apoyo Hcom consulta IFAI-CTN-000019-2020" u="1"/>
        <s v="RE: solicitud de cambio de notificación RRD 0304/20" u="1"/>
        <s v="Cambio en descarga de archivos" u="1"/>
        <s v="RE: Se solicita la renovación del certificado para acceso a la HCOM " u="1"/>
        <s v="RE: Incidencia en PNT - RRA 2290/20" u="1"/>
        <s v="RE: URGENTE OAXACA: Ajuste de plazos por COVID-19, SISMO 23 y PROGRAMAS SOCIALES en Infomex del 10 de Agosto." u="1"/>
        <s v="Assesment desarrollo funcionamiento de la base de datos" u="1"/>
        <s v="componente historico" u="1"/>
        <s v="RE: OAXACA URGENTE: Ajuste de plazos por COVID-19,SISMO 23 y PROGRAMAS SOCIALES en Infomex 22 de julio" u="1"/>
        <s v="Assesment etiquetado - SISAI, SIGEMI-SICOM" u="1"/>
        <s v="RV: Urgente OAXACA: Cancelación de Número de expediente R.R.A.I 0046/2020/PFRGC" u="1"/>
        <s v="Correccion de integracion con Facebook" u="1"/>
        <s v="Documentación de proyectos" u="1"/>
        <s v="RE: Apoyo en la solicitud 01004620" u="1"/>
        <s v="COVID-19 Transparencia Proactiva" u="1"/>
        <s v="RE: Solicitud de cambio de formatos de acuerdos y siglas de recursos datos personales " u="1"/>
        <s v="RV: Cambio de medio de notificación RRA 10207/20" u="1"/>
        <s v="RE: apoyo técnico" u="1"/>
        <s v="RE: PASO ATRAS " u="1"/>
        <s v="Assesment SISAI" u="1"/>
        <s v="RE: SOLICITUD" u="1"/>
        <s v="ACTUALIZAR ACUSES" u="1"/>
        <s v="RE: Cambio de certificado INMUJERES" u="1"/>
        <s v="RE: CAMBIO CERTIFICADO ININ" u="1"/>
        <s v="Revisión Efirma SAT" u="1"/>
        <s v="-&gt; Se habilita push notification para quejas" u="1"/>
        <s v="TESTADO DE DATOS PERSONALES Y SUSTITUCIÓN DE ARCHIVO ADJUNTO" u="1"/>
        <s v="RE: Cambio en Fecha de vencimiento" u="1"/>
        <s v="Sustituir archivo adjunto " u="1"/>
        <s v="RE: RESPALDO SEMANAL  TLAXCALA 5 DE OCTUBRE DE 2020" u="1"/>
        <s v="RE: Solicitud de corrección de envíos en la PNT" u="1"/>
        <s v="Cambio de modalidad  " u="1"/>
        <s v="RE: Solicitud de ampliación de plazo para solicitud de acceso INFOMEX" u="1"/>
        <s v="RESPALDO SEMANAL  TLAXCALA 12  de abril de 2021" u="1"/>
        <s v="RE: CAMBIO DE DATOS EN LA PNT" u="1"/>
        <s v="Revisión usuario SAP" u="1"/>
        <s v="RE: Regreso de actividad " u="1"/>
        <s v="RENOVAR CERTIFICADO" u="1"/>
        <s v="RE: Cambio de medio denotificación" u="1"/>
        <s v="RE: SOLICITUD DE PASO ATRÁS" u="1"/>
        <s v="RE: Se solicita apoyo a efecto de cambiar medio de notificación del recurrente en la PNT" u="1"/>
        <s v="Actualizar datos en RRA 12285 Y 12286" u="1"/>
        <s v="RE: REROCESO DE PASOS  PNT" u="1"/>
        <s v="-&gt; Boton de ayuda para buscador de quejas y buscador de solicitudes" u="1"/>
        <s v="RE: SOLICITUD DE APOYO" u="1"/>
        <s v="Mensaje de app no actualizada" u="1"/>
        <s v="RE: Migrar archivos Infomex." u="1"/>
        <s v="RV: Corrección de número de folio del RRA 3631/20" u="1"/>
        <s v="RE: OAXACA URGENTE: Ajuste de plazos en procedimientos de cumplimiento SICOM-Octubre" u="1"/>
        <s v="Creación de Wireframes de vista principal, busqueda avanzada y resultados" u="1"/>
        <s v="RV: ALTA EXPEDIENTE BIS " u="1"/>
        <s v="RE: Actualización TUT SO indirectos CULTURA" u="1"/>
        <s v="RE: Solicito ayuda" u="1"/>
        <s v="Assesment Ontología" u="1"/>
        <s v="Revision de dynamic Query para integrar servicio de roles por orden jerárquico Migracion de Usuarios" u="1"/>
        <s v="Assesment descompresión de archivos - SIGEMI-SICOM" u="1"/>
        <s v="RE: Notificacion de Claves CPC SNA" u="1"/>
        <s v="RE: Respaldo de BD Oaxaca Semanal  14 DE DICIEMBRE  2020" u="1"/>
        <s v="GENERACIÓN DE CERTIFICADO Y CAMBIO DE TUT " u="1"/>
        <s v="RE: Respaldo de BD Nuevo León Semanal 20 de JULIO  2020" u="1"/>
        <s v="Realizar modificaciones de limites de datos en catálogos" u="1"/>
        <s v="Revision de proceso historico en declaracion de patrimonial" u="1"/>
        <s v="Assesment almacenamiento de la información" u="1"/>
        <s v="RESPALDO SEMANAL GUERRERO  12  de abril de 2021" u="1"/>
        <s v="RE: Cambio de correo RRA 07502/20" u="1"/>
        <s v="RE: SOLICITUD PARA REGRESAR PASO PNT RRA 9291/20" u="1"/>
        <s v="RE: Respaldo de BD Guerrero Semanal 7 de Septiembre  2020" u="1"/>
        <s v="RE: Incidencias en PNT" u="1"/>
        <s v="RV: Eliminación de folio IFAI-REQ-000612-2020" u="1"/>
        <s v="RV: Oaxaca Urgente: Aviso de Entrada Infomex por 6ta ampliación a suspensión de plazos" u="1"/>
        <s v="RV: Solicitud de cambio en fechas de Folios NL por Covid-19" u="1"/>
        <s v="Revisión de datos de recursos " u="1"/>
        <s v="RV: Solicitud " u="1"/>
        <s v="RE: cambio de TUT SIAP." u="1"/>
        <s v="Scroll de color en pantallas de app" u="1"/>
        <s v="CORRECCIÓN DE INCIDENCIA " u="1"/>
        <s v="Colocar enlaces faltantes y revisar la imagen del header" u="1"/>
        <s v="RE: Retroceso de paso en PNT - RRA 00522/20 " u="1"/>
        <s v="RE: Cambio Certificado CMM" u="1"/>
        <s v="RE: Completo duda" u="1"/>
        <s v="Descarga de archivos para quejas" u="1"/>
        <s v="Se modifica modelo de respuesta de pago y vista solicitud recurrente" u="1"/>
        <s v="Generación de Certificados " u="1"/>
        <s v="RE: Regreso de actividad y cancelación de actividad" u="1"/>
        <s v="RE: Retroceso de paso" u="1"/>
        <s v="RV: SOLICITO NUEVAMENTE CAMBIO DE FECHA DEL RRA 3165/20" u="1"/>
        <s v="RV: Baja de Sistemas 10201" u="1"/>
        <s v="RV: Oaxaca URGENTE: Ajuste de plazos de vencimiento de por COVID-19 en Infomex  Solicitudes" u="1"/>
        <s v="RV: Solicitudes y Recursos de Revisión pendientes Lotenal" u="1"/>
        <s v="Integración de Service Builder Token (Sql)" u="1"/>
        <s v="Componente: tabla historial" u="1"/>
        <s v="RESPALDO SEMANAL  NL  19 de abril de 2021" u="1"/>
        <s v="Incidencia infomex" u="1"/>
        <s v="RE: ALTA TRES CARPETAS BIS" u="1"/>
        <s v="RE: Incidencia en PNT - RRA 01511/20" u="1"/>
        <s v="Actualizar plazos" u="1"/>
        <s v="Encuesta 2021" u="1"/>
        <s v="RV: Soporte Urgente" u="1"/>
        <s v="RE: Solicitud para cambio de fecha de término Solicitudes" u="1"/>
        <s v="Enlazar modulos de busqueda general" u="1"/>
        <s v="RE: Actualización TUT SO indirectos SEGOB" u="1"/>
        <s v="Testado de datos-Sustitución de archivo adjunto" u="1"/>
        <s v="RV: Liga de suspensión del ITAIP-Chiapas" u="1"/>
        <s v="RE: RENOVACIÓN.CER_30.01.2020_COFECE" u="1"/>
        <s v="RV: cambio de en campos de folio a recurso" u="1"/>
        <s v="Cambios visuales de la app" u="1"/>
        <s v="RE: Retroceso de paso en PNT - RRD 00680/20" u="1"/>
        <s v="GENERACIÓN DE CERTIFICADO,ACTUALIZACIÓN EN HCOM Y CAMBIO DE TUT" u="1"/>
        <s v="Snack bar para datos personales y local notification" u="1"/>
        <s v="RV: REGRESO DE ACTIVIDAD" u="1"/>
        <s v="Agregados content-type para respuesta de quejass, respuesta de quejas para SAIMEX" u="1"/>
        <s v="integracion de servicio búsqueda de usuarios por unidad Admin _x000a_" u="1"/>
        <s v="Integracion Firebase, app FB y twitter" u="1"/>
        <s v="Implementación de ambiente de trabajo de Porlets (SISAI)" u="1"/>
        <s v="RV: Regreso de pasos." u="1"/>
        <s v="Desarrollar modulo de actualizacion linea estrategica" u="1"/>
        <s v="Capacitación usuarios DGPDS" u="1"/>
        <s v="RV: Consulta hora de interposición del recurso de revisión RRA 01144/20" u="1"/>
        <s v="Eliminar ampliación " u="1"/>
        <s v="Pruebas para liberar a producción " u="1"/>
        <s v="Reesctructura de json para solicitud de datos personales" u="1"/>
        <s v="Se le informó al equipo que ya esta esté 1er procedimiento" u="1"/>
        <s v="PIZARRAS 2" u="1"/>
        <s v="RE: OAXACA URGENTE: Ajuste de plazos por COVID-19,SISMO 23, PROGRAMAS Y ADJUDICACIONES en Infomex del 26 al 28 octubre" u="1"/>
        <s v="RV: Solicitar cambio de fechas de término." u="1"/>
        <s v="RE: Gestión PNT RRD 0299/19 BIS" u="1"/>
        <s v="RE: Cambio de Contraseña en HCOM" u="1"/>
        <s v="RE: OAXACA URGENTE: Ajuste de plazos por COVID-19,SISMO 23 y PROGRAMAS SOCIALES en Infomex 23 y 24 de julio" u="1"/>
        <s v="Assesment formatos presentes - SISAI" u="1"/>
        <s v="RE: Estadísticas de las solicitudes de Información y de recursos de Revisión de la entidad federativa de Nuevo León" u="1"/>
        <s v="RE: RETROCESO DE PASOS" u="1"/>
        <s v="RV: Regreso de pasos" u="1"/>
        <s v="RE: Atenta solicitud para SIGEMI" u="1"/>
        <s v="Se agrega endpoint para medios de reproduccion" u="1"/>
        <s v="RE: Of. 168 Se informa designación de Titular de la Unidad de Transparencia de Conasami." u="1"/>
        <s v="RE: Creación de Certificado MC" u="1"/>
        <s v="Solucion descarga de archivos para buscador en quejas SICOM" u="1"/>
        <s v="Implementar visualizar pdf  de notificaciones en quejas" u="1"/>
        <s v="Generar catálogos del sistema" u="1"/>
        <s v="ELIMINAR AMPLIACION" u="1"/>
        <s v="Desarrollar desde cero una encuesta" u="1"/>
        <s v="Realizar funcionalidad de busqueda avanzada" u="1"/>
        <s v="Assesment herramienta para descarga - SIGEMI-SICOM" u="1"/>
        <s v="RE: RESPALDO SEMANAL  NL 5 DE OCTUBRE 2020" u="1"/>
        <s v="RV: Solicitud de cambio en fechas de Folios de solicitudes poder ejecutivo NL por Covid19" u="1"/>
        <s v="RE: Solicitud de modificación de fecha de vencimiento en HCOM" u="1"/>
        <s v="Respaldo de BD Oaxaca Semanal 1 DE JUNIO 2020" u="1"/>
        <s v="Se solicita ajuste en nomenclatura (año) en sistema IFAI-PRODATOS" u="1"/>
        <s v="RV: OAXACA URGENTE: Ajuste de plazos por COVID-19,SISMO 23, PROGRAMAS Y ADJUDICACIONES en Infomex 15 septiembre" u="1"/>
        <s v="RE: SIGEMI - Eliminación de Registro" u="1"/>
        <s v="RV: Oaxaca URGENTE: Ajuste de plazos de vencimiento por COVID-19 del 13-05-2020" u="1"/>
        <s v="Creación de componentes, reutilizables por secciones" u="1"/>
        <s v="RE: Consulta sobre Infomex" u="1"/>
        <s v="RV: SOLICITUD DE MODIFICACIÓN AL FOLIO DEL RECURSO RRD 047/20" u="1"/>
        <s v="RV: PNT (Sigemi) Ajuste de plazos RRA 14374/19" u="1"/>
        <s v="Adecuar vista final en la sección de filtros de acuerdo a las modificaciones de las consultas" u="1"/>
        <s v="RE: ELIMINACION DE RECURSO" u="1"/>
        <s v="RE: Respaldo de BD Oaxaca Semanal 31 DE AGOSTO  2020" u="1"/>
        <s v="RE: URGENTE OAXACA: Ajuste de plazos por COVID-19, SISMO 23 y PROGRAMAS SOCIALES en Infomex del 27 de Julio" u="1"/>
        <s v="Recuperar acuse" u="1"/>
        <s v="RE: OAXACA URGENTE: Ajuste de plazos por COVID-19,SISMO 23, PROGRAMAS Y ADJUDICACIONES en Infomex al 31 agosto" u="1"/>
        <s v="RV: ALTA EXPEDIENTE BIS" u="1"/>
        <s v="RE: Cambio de certificado INALI" u="1"/>
        <s v="RV: Oaxaca Urgente: Reasignación de plazos por suspensión TSJ" u="1"/>
        <s v="Ambientación frontend Pizarras 4" u="1"/>
        <s v="TESTADO DE DATOS Y SUSTITUIR ARCHIVO" u="1"/>
        <s v="Agregar secciones al sitio de Gobierno abierto" u="1"/>
        <s v="RE: CAMBIO DE FECHA AL DIA HÁBIL SIGUIENTE" u="1"/>
        <s v="ELIMINAR AMPLIACIÓN" u="1"/>
        <s v="RV: Oaxaca Urgente: Reasignación de Plazos por cese de suspensión HNO" u="1"/>
        <s v="RE: Revisar Plan de Trabajo del Proyecto MAM-20-04-Extracción de información de las recursos de revisión y resoluciones de los sistemas INFOMEX" u="1"/>
        <s v="TESTADO DE DATOS Y SUSTITUIR ARCHIVO " u="1"/>
        <s v="validación de cambios de integración de Homoclave en Declaración de Conflicto de intereses" u="1"/>
        <s v="RE: cambio de certificado SESNA" u="1"/>
        <s v="RE: Oaxaca Urgente: Regreso de pasos SICOM R.R.A.I 0040/2019" u="1"/>
        <s v="cuando se actualiza el perfil redirigir a la pantalla principal una vez que ya se contesto la solicitud" u="1"/>
        <s v="RE: Solicitud de regreso de actividad RRA 10115/20" u="1"/>
        <s v="RE: Recurso RRA 11592/20" u="1"/>
        <s v="ACTUALIZACION DE USUARIO" u="1"/>
        <s v="Cambios en pantalla principal" u="1"/>
        <s v="RV: Modificación de medio de notificación RRD 1959/19" u="1"/>
        <s v="RE: Retroceder pasos en PNT" u="1"/>
        <s v="RE: Oaxaca Urgente: Estatus de la revisión a Prórroga" u="1"/>
        <s v="Replicar sitio desde cero" u="1"/>
        <s v="RE: Respaldo de BD Guerrero Semanal 10 DE AGOSTO  2020" u="1"/>
        <s v="Correccion a perfil estaditicos" u="1"/>
        <s v="Assesment formatos presentes - SIPOT" u="1"/>
        <s v="Revisión de elementos faltantes para la Integración de declaración de Intereses" u="1"/>
        <s v="RE: Respaldo de BD Guerrero Semanal 31 DE AGOSTO  2020" u="1"/>
        <s v="RV: Ejecución de consultas" u="1"/>
        <s v="RV: Acuerdos de turno 18 DE SEPTIEMBRE" u="1"/>
        <s v="RV: Regreso de Paso RRA 04593/20" u="1"/>
        <s v="Desarrollar la pàgina de glosario" u="1"/>
        <s v="Generación de Scripts" u="1"/>
        <s v="RE: Solicitud de apoyo para cambio del medio de notificación en la PNT, en el RRA 04059/20 vs CFE" u="1"/>
        <s v="REGRESO DE PASOS EN SIGEMI - PUEBLA" u="1"/>
        <s v="RE: 20201009 - InformaiónOGsEstatales.xlsx" u="1"/>
        <s v="RE: CAMBIO DE SUJETO OBLICADO RRA 9595/20 Y RRA 9594/20" u="1"/>
        <s v="Problemas para visualizar opentext" u="1"/>
        <s v="Actualización de catalogo" u="1"/>
        <s v="RV: RRD 1236/20" u="1"/>
        <s v="Crear modulo de paises" u="1"/>
        <s v="RV: Soporte SIGEMI - Folios de solicitud" u="1"/>
        <s v="Buscador tematico de padron de beneficiarios" u="1"/>
        <s v="RV: Cambio de fechas de interposición de recursos de revisión en PNT" u="1"/>
        <s v="RE: Soporte" u="1"/>
        <s v="AGREGAR RESPUESTA Y ARCHIVO" u="1"/>
        <s v="Realizar modulo de país" u="1"/>
        <s v="RE:  INF00482 ACTUALIZACIÓN DE CERTIFICADO 60304- SINAC    (HCOM)" u="1"/>
        <s v="RE: alta TUT SO indirecto SE" u="1"/>
        <s v="RE: solicitud de regreso de pasos PNT" u="1"/>
        <s v="RV: Oaxaca Urgente: Reasignación de plazos 01183920" u="1"/>
        <s v="RE: Respaldo de BD Guerrero Semanal 24 DE AGOSTO  2020" u="1"/>
        <s v="Alta de usuario" u="1"/>
        <s v="Respaldo de BD PUEBLA" u="1"/>
        <s v="RV: Regreso de Paso PNT RRA 02533/20" u="1"/>
        <s v="ALTA DE SUJETO OBLIGADO,GENERACIÓN DE CERTIFICADO Y ASIGNACIÓN EN HCOM " u="1"/>
        <s v="Corpus Iuris" u="1"/>
        <s v="RE: apoyo con Query Recurso de revisión." u="1"/>
        <s v="Flujo actualizar datos" u="1"/>
        <s v="Ajustes a el sitio de encuesta" u="1"/>
        <s v="Desarrollo de seccion Acciones realizadas - informes" u="1"/>
        <s v="RE: Estadística: tema de las solicitudes" u="1"/>
        <s v="RV: Solicitud de corrección de fechas en la PNT " u="1"/>
        <s v="RV: Incidencia en PNT - RRA 00268/20 " u="1"/>
        <s v="RE: Respaldo de BD Guerrero Semanal 20 de JULIO  2020" u="1"/>
        <s v="RE: Actualización de .cer" u="1"/>
        <s v="RE: Oaxaca Urgente: Solicitud sin sujeto obligado 01093720" u="1"/>
        <s v="Abrir listado de solicitud de informacion publica al llegar push notifications" u="1"/>
        <s v="Sustitución de archivo adjunto" u="1"/>
        <s v="RV: Se solicita apoyo para cancelar notificación " u="1"/>
        <s v="Infomex SMS" u="1"/>
        <s v="RV: Corrección de registro RRA 8449/20 " u="1"/>
        <s v="RE: agregar archivo RRA 02420/20" u="1"/>
        <s v="RV: certificados OCUBBJG" u="1"/>
        <s v="RE: Oaxaca Urgente: Cambio de Acuse xml para DAI y DP" u="1"/>
        <s v="RESPALDO SEMANAL  TLAXCALA 2 de Febrero de 2021" u="1"/>
        <s v="Correccion en navegacion para despues de responder quejas" u="1"/>
        <s v="Flujo actualizar contraseña" u="1"/>
        <s v="RE: RESPALDO SEMANAL GUERRERO 19 DE OCTUBRE 2020" u="1"/>
        <s v="RV: Oaxaca Urgente: Reasignación de plazos por 4ta ampliaciación- Acceso a la información 30Junio" u="1"/>
        <s v="RV: Oaxaca URGENTE: Ajuste de plazos de vencimiento por COVID-19 del 27-05-2020" u="1"/>
        <s v="Assestment tratamiento de la información - SISAI, SIGEMI-SICOM" u="1"/>
        <s v="-&gt; Perfi, Quitar placeholder telefono" u="1"/>
        <s v="RE: cambio de TUT SECTUR" u="1"/>
        <s v="RE: Respaldo de BD Guerrero Semanal 13 de JULIO  2020" u="1"/>
        <s v="BAJA SUJETO OBLIGADO" u="1"/>
        <s v="RV: Oaxaca URGENTE: Ajuste de plazos de vencimiento por COVID-19 del 29 mayo, 14 y 15 junio 2020" u="1"/>
        <s v="Alta-Baja de dependencias" u="1"/>
        <s v="-&gt; Se agregan textos de ayuda de el CAS" u="1"/>
        <s v="Desbloqueo de Contraseña CBOCANEGRA, solicitado por Cristina Bocanegra" u="1"/>
        <s v="RE: Oaxaca Altamente Urgente: Modificación en plazo del Recurso de Revisión Infomex" u="1"/>
        <s v="RE: Nuevo Sujeto Obligado" u="1"/>
        <s v="Componente: Historial, " u="1"/>
        <s v="Assestment tratamiento de la información - SIPOT" u="1"/>
        <s v="RV: ATENTA PETICIÓN DE BAJA EN LOS SISTEMAS" u="1"/>
        <s v="Modificar Respuestas" u="1"/>
        <s v="Assesment volumen de datos SISAI" u="1"/>
        <s v="RE: actualizar correo electrónico en el recurso RRA 01865/20" u="1"/>
        <s v="Modificacion validaciones" u="1"/>
        <s v="Ajustes del modulo de Acuses" u="1"/>
        <s v="Modificaciones y busgs reportados " u="1"/>
        <s v="RV: Oaxaca URGENTE: Ajuste de plazos de vencimiento de por COVID-19 en Infomex -Solicitudes" u="1"/>
        <s v="Assesment datos mínimos" u="1"/>
        <s v="Configuración proyecto java local de pizarras " u="1"/>
        <s v="RE: MODIFICACION DE PLAZOS POR DIAS INHABILES" u="1"/>
        <s v="RV: Respaldo de BD Oaxaca Semanal 30 de Noviembre  2020" u="1"/>
        <s v="RESPALDO SEMANAL GUERRERO  2 de Febrero de 2021" u="1"/>
        <s v="Ajustes de menu al sitio" u="1"/>
        <s v="RE: Respaldo de BD Guerrero Semanal 27 de JULIO  2020" u="1"/>
        <s v="RE: Se solicita apoyo a efecto de cambiar correo electrónico de notificación del recurrente en la PNT" u="1"/>
        <s v="RE: Regresar actividad en la PNT" u="1"/>
        <s v="Buscador tematico (Formularios de busqueda)" u="1"/>
        <s v="Habilitar el ver password para el registro de usuario y login" u="1"/>
        <s v="RV: Oaxaca Urgente: Ajuste de plazos de vencimiento de solicitudes por COVID-19 julio 05" u="1"/>
        <s v="Realización de pruebas unitarias de generación del Token" u="1"/>
        <s v="RV: OAXACA URGENTE: Ajuste de plazos por COVID-19,SISMO 23, PROGRAMAS Y ADJUDICACIONES en Infomex al 06 octubre" u="1"/>
        <s v="RE: UNAM- HCOM (CERTIFICADO-LISTO)" u="1"/>
        <s v="RV: Se solicita apoyo" u="1"/>
        <s v="Realizar modulo de ejercicios" u="1"/>
        <s v="RE: Acuerdo de ampliación de la vigencia de las medidas y acciones temporales (COVID-19)" u="1"/>
        <s v="Buscador tematico de sueldos" u="1"/>
        <s v="RE: Nuevo SO de la COTAINL" u="1"/>
        <s v="Realizar ajustes a sitio" u="1"/>
        <s v="CAMBIO DE EXPEDIENTE" u="1"/>
        <s v="Inicio pizarras 4" u="1"/>
        <s v="Junta de módulos de Usuarios y revision de actividades no integradas en el plan de trabajo, integración de configuracion de para integrar querys personalizados en Modulo de usuarios" u="1"/>
        <s v="RE: solicitud de regreso de actividad a admisión por desahogo RRD 00754/20" u="1"/>
        <s v="Pro Datos" u="1"/>
        <s v="TESTADO DE DATOS " u="1"/>
        <s v="Realizar modulo de institución de pertenencia" u="1"/>
        <s v="Assestment desarrollo actualización de certificados" u="1"/>
        <s v="RE: CAMBIO CERTIFICADO CONEVAL" u="1"/>
        <s v="RE: Regreso de pasos RRA 04802/20" u="1"/>
        <s v="Creación de cuenta por Google" u="1"/>
        <s v="Se trabajó en el 4to procedimiento 'OBTENER_TIPOMEDIOIMPUGNACION'" u="1"/>
        <s v="RESPALDO SEMANAL  NL  29 de Marzo de 2021" u="1"/>
        <s v="Análisis de SISAI 2" u="1"/>
        <s v="RV: Se solicita apoyo para la actualización del Tablero de Medios de Impugnación en la PNT - Unidad de Transparencia del CENACE" u="1"/>
        <s v="Se implementa descarga de archivos para quejas" u="1"/>
        <s v="RE: Soprte" u="1"/>
        <s v="- Marco del container para la lista de Sujetos Obligados" u="1"/>
        <s v="RE: CAMBIO DE FECHA DE INTERPOSICIÓN" u="1"/>
        <s v="Assestment producción alta de servicios para visualización" u="1"/>
        <s v="Carga de días ináhbiles" u="1"/>
        <s v="RE: RESPALDO SEMANAL GUERRERO 30 de noviembre 2020" u="1"/>
        <s v="GENERACIÓN Y CAMBIO DE TUT" u="1"/>
        <s v="RE: Solicitud de ejecución de consulta" u="1"/>
        <s v="Limpiar SO al seleccionar un organo garante diferente" u="1"/>
        <s v="RE: SOLICITUD para la eliminación de actuación en la PNT." u="1"/>
        <s v="Cambio navegacion al crear queja y se corrige file null" u="1"/>
        <s v="RE: Solicito ayuda técnica infomex Encuesta INEGI" u="1"/>
        <s v="Actualizar aviso" u="1"/>
        <s v="Crear modulo de niveles y temas" u="1"/>
        <s v="Identificar acuse" u="1"/>
        <s v="RE: RRD 1881/19 Se solicita apoyo PNT" u="1"/>
        <s v="RE: Solicitud corrección medio notificación en PNT" u="1"/>
        <s v="RV: Solicitud de modificación de datos en PNT." u="1"/>
        <s v="RV: Regreso de pasos RRA 4942/20" u="1"/>
        <s v="RV: Oaxaca Urgente: Reasignación de fechas de entrada por suspensión de plazos Servicios de Salud Oax" u="1"/>
        <s v="RV: Oaxaca URGENTE: Reasignación de plazos y acuses del Sujeto obligado UNISTMO" u="1"/>
        <s v="Assesment descarga de archivos - SIGEMI-SICOM" u="1"/>
        <s v="Recuperación de contraseña" u="1"/>
        <s v="RE:  Alta TUT SO indirecto SE- FIMIBIENESTAR" u="1"/>
        <s v="Cambios en buscador de obilgaciones" u="1"/>
        <s v="RV: Solicitud de apoyo para Corrección de registro RRA 8449/20 " u="1"/>
        <s v="Revisión del flujo de declaracion de patrimonio y corrección de hallazgo al momento de FUP" u="1"/>
        <s v="RV: OAXACA URGENTE: Ajuste de plazos en Infomex al 17 de noviembre" u="1"/>
        <s v="Integración de nuevos campos en la seccion de Datos Curriculares (Declaración patrimonial) en Declaranet" u="1"/>
        <s v="Eliminar Cuenta" u="1"/>
        <s v="RV: OAXACA URGENTE: Ajuste de plazos en Infomex al 18 de noviembre" u="1"/>
        <s v="RE: OAXACA URGENTE: Ajuste de plazos en Resoluciones y Cumplimientos Septiembre" u="1"/>
        <s v="Actualización a soportes" u="1"/>
        <s v="RE: Cambio de correo electrónico." u="1"/>
        <s v="Actualización de Fecha" u="1"/>
        <s v="RESPALDO DE BD INFOMEX PUEBLA" u="1"/>
        <s v="RE: Solicitud Atorada" u="1"/>
        <s v="RV: URGENTE ALTA EXPEDIENTE RRA 6693/19-BIS " u="1"/>
        <s v="Assesment unidades muestrales - SIPOT" u="1"/>
        <s v="RV: Acuerdos de Sujetos Obligados enviados a COTAI" u="1"/>
        <s v="Orden de Día" u="1"/>
        <s v="Sustitución de archivo adjunto y testar datos" u="1"/>
        <s v="RE: RENOVACIÓN CERTIFICADO_24/11/18_FIDEICOMISO CNH" u="1"/>
        <s v="Capacitación SIPOT" u="1"/>
        <s v="RE: RESPALDO SEMANAL  NL  12 DE OCTUBRE 2020" u="1"/>
        <s v="Reunion Avances Pizarras" u="1"/>
        <s v="RV: Solicitud de apoyo - regresión de pasos" u="1"/>
        <s v="Pruebas" u="1"/>
        <s v="RE: Incidencia en PNT - RRA 02490/20" u="1"/>
        <s v="Obtener informacion de las tablas de SIPOT" u="1"/>
        <s v="RV: SIGEMI: Regreso de paso " u="1"/>
        <s v="RE: Respaldo de BD Nuevo León Semanal 6 de JULIO  2020" u="1"/>
        <s v="RE: Apoyo PNT RRD 0044/20" u="1"/>
        <s v="RE: Regreso de actividad en la PNT." u="1"/>
        <s v="Assesment PNT" u="1"/>
        <s v="RE: CAMBIO DE FECHA A DÍA HÁBIL SIGUIENTE" u="1"/>
        <s v="RE: Habilitar el cierre de instrucción." u="1"/>
        <s v="RE: RENOVACIÓN .CER_20.01.21_CENTRO GEO" u="1"/>
        <s v="AGREGAR AVISO " u="1"/>
        <s v="RE: Se solicita se regresen los pasos en la PNT. " u="1"/>
        <s v="Transferencia de conocimiento para el login en PNT utilizando reyes sociales tomando como base la implementación actual._x000a_Integración de Service para obtener Rol jerárquico" u="1"/>
        <s v="Maquetar y definir la estructura parsa mostrar la informacion de glosario" u="1"/>
        <s v="Respaldo de BD Oaxaca Semanal  16 de Marzo 2021" u="1"/>
        <s v="Asesoria del funcionamiento del módulo de creación de acuses" u="1"/>
        <s v="RV: solicitud urgente retrotraer o remitir el turno del RRD 232 AL COMISIONADO FJAL" u="1"/>
        <s v="RE: Reporte de Falla de plataforma HCOM" u="1"/>
        <s v="RE: eliminación de comunicado" u="1"/>
        <s v="-&gt; Se habilita push notification para avisos" u="1"/>
        <s v="ACTUALIZAR CERTIFICADOS" u="1"/>
        <s v="Actualización de query" u="1"/>
        <s v="Ejecutar Migración" u="1"/>
        <s v="Análisis proceso pizarras 4" u="1"/>
        <s v="RE: Retroceso de paso en PNT - RRA 4359/20" u="1"/>
        <s v="RV: Suspensión de plazos por contingencia y configuración en Infomex y PNT" u="1"/>
        <s v="RE: SE REMITEN ACUERDOS DE TURNO EN CUMPLIMIENTO AL ACUERDO ACT-PUB/14/07/2020.06." u="1"/>
        <s v="RE: Cambio de medio de notificación." u="1"/>
        <s v="Desarrollo firma electronica" u="1"/>
        <s v="Analisis Pizarras" u="1"/>
        <s v="Assestment producción actualización de certificados" u="1"/>
        <s v="GENERAR CERTIFICADO " u="1"/>
        <s v="Revisión certificados " u="1"/>
        <s v="RV: ALTA EXPEDIENTE RDA 0791/12-TER" u="1"/>
        <s v="Se le informó al equipo que ya estan los ajustes para el 8vo procedimiento de banderas 'OBTENER_FG_DESECHADO',para que lo revisen" u="1"/>
        <s v="Notificacion de finalizacion de solicitudes" u="1"/>
        <s v="RE: Actualización TUT SO indirectos SSPC" u="1"/>
        <s v="RE: solcitud de respaldo" u="1"/>
        <s v="Assestment desarrollo Alta de motor de busqueda" u="1"/>
        <s v="RV: Solicitud de Borrado" u="1"/>
        <s v="RE: RESPALDO SEMANAL  TLAXCALA 14 DE DICIEMBRE DE 2020" u="1"/>
        <s v="Pruebas y correciones" u="1"/>
        <s v="RE: Actualización de asunto en la PNT " u="1"/>
        <s v="RV: Regreso de registro PNT" u="1"/>
        <s v="- Dar nuevo estilo a los botones de login con redes sociales" u="1"/>
        <s v="Creación proyecto angular" u="1"/>
        <s v="RE: CAMBIO CERTIFICADO INDETEC" u="1"/>
        <s v="Avance mockups Roles, Usuarios Pizarras 4" u="1"/>
        <s v="Request: payload" u="1"/>
        <s v="RE: buen dia solicitud de apoyo para configurar ventana emergente o aviso en infomex" u="1"/>
        <s v="SEGUIMIENTO INFOMEX TABASCO" u="1"/>
        <s v="RV: FwdUrgente OaxacReasignación de plazos INFOMEX 9na ampliación de suspensión de plazos al 19 de octubre" u="1"/>
        <s v="Migrar sitio con cambios" u="1"/>
        <s v="RE: Respaldo de BD Oaxaca Semanal 3 DE AGOSTO  2020" u="1"/>
        <s v="RE: solciitud de apoyo" u="1"/>
        <s v="Desarrollar modulo de consulta linea-accion-estrategica " u="1"/>
        <s v="RE: Oaxaca URGENTE: Ajuste de plazos de vencimiento por COVID-19 del 05 junio 2020" u="1"/>
        <s v="RV: solicitud  para ajustar los plazos de los recursos de revisión del SIGEMI-SICOM" u="1"/>
        <s v="RV: INFOMEX. Se solicita corrección de nombre de archivo" u="1"/>
        <s v="RE: Regreso de paso RRD 01582/20" u="1"/>
        <s v="RE: Se solicita regreso de paso" u="1"/>
        <s v="RE: Paso atrás PNT" u="1"/>
        <s v="RV: OAXACA URGENTE: Ajuste de plazos por COVID-19,SISMO 23, PROGRAMAS Y ADJUDICACIONES en Infomex al 21 septiembre" u="1"/>
        <s v="Assesment producción establecimiento para la base de datos" u="1"/>
        <s v="Desarrollo de seccion Marco conceptual - reglas de integridad" u="1"/>
        <s v="RV: Oaxaca URGENTE: Ajuste de plazos de vencimiento por COVID-19 del 18-05-2020" u="1"/>
        <s v="Desarrollar modulo de actualizacion Ejes" u="1"/>
        <s v="RE: atencion oficio" u="1"/>
        <s v="RE: NUEVO TUT_05/10/20_INFOTEC" u="1"/>
        <s v="RE: eliminar recurso URGENTE" u="1"/>
        <s v="Orden de Trabajo" u="1"/>
        <s v="RE: NUEVO TUT_LICONSA_18.02.20" u="1"/>
        <s v="Generar certificado" u="1"/>
        <s v="RV: ARCO bc" u="1"/>
        <s v="RE: RESPALDO SEMANAL  TLAXCALA 19 DE OCTUBRE DE 2020" u="1"/>
        <s v="Assesment procesos y procedimientos Modelado y arquitectura" u="1"/>
        <s v="En la pantalla de perfil bajar las opciones de Sexo y Tipo de persona" u="1"/>
        <s v="Crear modulo de ejercicios" u="1"/>
        <s v="REPORTE " u="1"/>
        <s v="Crear Módulo CRUD de temas " u="1"/>
        <s v="Analisis de documentación técnica _x000a_ACMB-F01-V2 micrositios y anexos 3 y 4" u="1"/>
        <s v="URL agregadas en constantes y se hace referencia en las peticiones http" u="1"/>
        <s v="RV: Acuerdos de Sujetos Obligados enviados a COTAI días inhábiles septiembre 2020" u="1"/>
        <s v="RE: Reporte de Solicitudes" u="1"/>
        <s v="RE: Cambio de medio de notificación RRD 00791/20" u="1"/>
        <s v="Validaciones y pdf para visualizar archivos de la respuesta de las quejas" u="1"/>
        <s v="RE: Solicitud Apoyo para consulta" u="1"/>
        <s v="RE: NUEVO TUT_25.03.20_FOCIR" u="1"/>
        <s v="Sección 9" u="1"/>
        <s v="Se implementa url_launch para quejas saimex" u="1"/>
        <s v="RV: OAXACA URGENTE: Ajuste de plazos por COVID-19,SISMO 23, PROGRAMAS Y ADJUDICACIONES en Infomex al 02 septiembre" u="1"/>
        <s v="RE: apoyo " u="1"/>
        <s v="RE: Cambio de fechas de término de Folios" u="1"/>
        <s v="RV: OAXACA URGENTE: Ajuste de plazos por COVID-19,SISMO 23, PROGRAMAS Y ADJUDICACIONES en Infomex al 22 septiembre" u="1"/>
        <s v="Modificar Respuestas Recepcion Soporte" u="1"/>
        <s v="RE: Cambio de certificado PSIQUIATRIA" u="1"/>
        <s v="RE: Cambio de Certificado Fideicomiso COLPOS" u="1"/>
        <s v="RE: solicitud de  colaboracion modificacion de querys" u="1"/>
        <s v="Reunion Avance actividades Pizarras 4" u="1"/>
        <s v="Cambio en navegacion al iniciar app, registrar e iniciar sesion" u="1"/>
        <s v="RE: Cambio de correo para realizar notificaciones en el RRD 1133/20 IMSS." u="1"/>
        <s v="Desbloqueo de Contraseña CBOCANEGRA, solicitado por Claudia Domínguez" u="1"/>
        <s v="Implementación de ambiente de trabajo de Operaciones (Declaranet)" u="1"/>
        <s v="Consulta de  datos" u="1"/>
        <s v="RV: Corrección de acuse y fechas de acuse" u="1"/>
        <s v="El INAI es de Todas y Todos" u="1"/>
        <s v="RE: Cambio de correo electrónico" u="1"/>
        <s v="RV: SOLICITUD DE APOYO PARA INCORPORAR ACUERDO AL RECURSO RRA 6917" u="1"/>
        <s v="RE: CAMBIO CERTIFICADO INNNMVS" u="1"/>
        <s v="RE: Datos del Titular de la Unidad de Transparencia..." u="1"/>
        <s v="-&gt; Cambiar mensajes de error, Error de comunicación inténtelo mas tarde" u="1"/>
        <s v="RE: OAXACA URGENTE: Ajuste de plazos por COVID-19,SISMO 23 y PS en Infomex del 22 al 24 agosto" u="1"/>
        <s v="Cambio de Iconos Android y iOS" u="1"/>
        <s v="Modificación mockups línea acción, Objetivos Pizarras 4" u="1"/>
        <s v="RE: Ampliación de término para generar prevención" u="1"/>
        <s v="RE: Cambiar medio de notificación a PNT " u="1"/>
        <s v="RE: Cambio de medio de notificación  RRA 04472/20" u="1"/>
        <s v="Assesment datos  SIPOT" u="1"/>
        <s v="RE: Solicitud de cambio de plazo" u="1"/>
        <s v="RE: Solicitud de información estadística de INFOMEX" u="1"/>
        <s v="Vacaciones" u="1"/>
        <s v="RE: RENOVACIÓN.CER_04.02.2020_CIMAT" u="1"/>
        <s v="RV: OAXACA URGENTE: Ajuste de plazos por COVID-19,SISMO 23, PROGRAMAS Y ADJUDICACIONES en Infomex al 12,13,y 14 octubre" u="1"/>
        <s v="Desarrollo de seccion Marco conceptual - valores" u="1"/>
        <s v="Assesment desarrollo inicialización del sistema" u="1"/>
        <s v="RV: OAXACA URGENTE: Ajuste de plazos SICOM por tema COVID-19 Agosto" u="1"/>
        <s v="Se cambia el buscar por colonia con base a estado y municipio a listar colonias por CP" u="1"/>
        <s v="Desarrollo de acordeon y footer" u="1"/>
        <s v="Testado de datos y cambio de archivo" u="1"/>
        <s v="Agregadas nuevas validaciones referentes a saimex" u="1"/>
        <s v="Mejoras al modulo de consulta de resoluciones " u="1"/>
        <s v="RESPALDO SEMANAL  TLAXCALA 1 de Marzo de 2021" u="1"/>
        <s v="RE: : DUPLICIDAD DE RECURSO EN PNT." u="1"/>
        <s v="RE: Borrado de comunicado incorrecto" u="1"/>
        <s v="RE: Incidencias en PNT " u="1"/>
        <s v="RE: ALTA EXPEDIENTE  RRA 7168/19- BIS" u="1"/>
        <s v="TESTADO DE DATOS Y SUSTITUCION DE ARCHIVO" u="1"/>
        <s v="ELIMINAR FOLIOS" u="1"/>
        <s v="RE: Soporte en HCOM- API VERACRUZ" u="1"/>
        <s v="CAMBIO DE TUT" u="1"/>
        <s v="Agregar avisos" u="1"/>
        <s v="RE: cambio de medio de notificación RRD 00506/20" u="1"/>
        <s v="Assesment desarrollo traslado de herramientas" u="1"/>
        <s v="RE: RESPALDO SEMANAL  TLAXCALA 28 DE DICIEMBRE DE 2020" u="1"/>
        <s v="RE: Acuerdo IDAIPQROO" u="1"/>
        <s v="RE: Respaldo de BD Guerrero Semanal 6 de JULIO  2020" u="1"/>
        <s v="CAMBIO DE TUT Y ACTUALIZACIÓN DE CERTIFICADOS" u="1"/>
        <s v="RV: OAXACA URGENTE: Ajuste de plazos por COVID-19 número R.R.A.I 0231/2020/SICOM" u="1"/>
        <s v="RE: SIGEMI: Eliminar registro de la bandeja de turnado" u="1"/>
        <s v="Ajustes al micrositio de comite de etica" u="1"/>
        <s v="RV: INCIDENCIA EN EL TURNADO, Corrección de fecha RRD 0194/20" u="1"/>
        <s v="Creacion de vista inicial y para buscador Directorio" u="1"/>
        <s v="RV: Actualización de términos" u="1"/>
        <s v="Assesment datos  SIGEMI-SICOM" u="1"/>
        <s v="RE: Eliminación de requerimiento IFAI-REQ-000705-2020" u="1"/>
        <s v="RE: Corte de Soilicitudes" u="1"/>
        <s v="RE: Cambio Titular LOTENAL" u="1"/>
        <s v="Avance mockups Ejes, Lineas Estrategicas Pizarras" u="1"/>
        <s v="Respaldo de BD Oaxaca Semanal 8 DE JUNIO 2020" u="1"/>
        <s v="RV: Modificación de medio de notificación" u="1"/>
        <s v="RE: Modificación de contraseña de Herramienta de Comunicación" u="1"/>
        <s v="Desarrollo de componente Drag and Drop para el modulo de acuses en INAI" u="1"/>
        <s v="REVISIÓN DE CAMPOS " u="1"/>
        <s v="RV: SUSPENSIÓN DE PLAZOS Y TÉRMINOS" u="1"/>
        <s v="RE: Actualización medio notificación RRA 6500/20, solicitud folio 1613100013820 PROFEPA" u="1"/>
        <s v="RE: INF00462 Actualización TUT SO indirecto CNPSS" u="1"/>
        <s v="Habilitar inicio de sesion con apple ID" u="1"/>
        <s v="RE: .cer del Partido Verde." u="1"/>
        <s v="RE: RESPALDO SEMANAL GUERRERO 3 de noviembre 2020" u="1"/>
        <s v="Semana Nacional de Transparencia 2020" u="1"/>
        <s v="Assesment formatos presentes" u="1"/>
        <s v="RESPALDO SEMANAL GUERRERO  1 de Marzo de 2021" u="1"/>
        <s v="RE: SOLICITUD  para regresar pasos a “Admitir/Prevenir&quot;." u="1"/>
        <s v="RE: Solicitud PNT" u="1"/>
        <s v="RV: CAMBIO DE FECHA ACUERDOS " u="1"/>
        <s v="RV: Eliminación de turno de recurso y recurso mismo" u="1"/>
        <s v="RE: Cambio de medio de notificación en PNT RRA 08923/20" u="1"/>
        <s v="RE: Solicitud de regreso de pasos en PNT." u="1"/>
        <s v="RE: SOLICITUD PARA ELIMINAR DESAHOGO DEL RIA EN EL RECURSO RRA 6799/20" u="1"/>
        <s v="Desarrollar modulo de consulta Ejes" u="1"/>
        <s v="RE: Regreso de actividad admitir/prevenir" u="1"/>
        <s v="Integración de Script para normalizacion de Tablas bitacora" u="1"/>
        <s v="RE: Solicitud de regresar pasos en PNT." u="1"/>
        <s v="RV: Eliminar Requerimiento de Información." u="1"/>
        <s v="RV: Oaxaca URGENTE: Ajuste de plazos de vencimiento por COVID-19 del 12-05-2020" u="1"/>
        <s v="RV: Cumplimiento RRA 16049/19 y RRA 0986/20" u="1"/>
        <s v="Crear Table estados financieros" u="1"/>
        <s v="Maquetacion de formulario de búsqueda para el sitio de observatorio" u="1"/>
        <s v="Realizar ajustes al sitio protai" u="1"/>
        <s v="CAMBIOS TUT" u="1"/>
        <s v="RE: Eliminación de comunicado enviado por INAI" u="1"/>
        <s v="RE: Retroceso de pasos " u="1"/>
        <s v="RE: RENOVACIÓN .CER_26.04.20_FONDO IFT" u="1"/>
        <s v="RV: Oaxaca URGENTE: Ajuste de plazos de vencimiento por COVID-19 fecha 05-05-2020" u="1"/>
        <s v="Cambio en adjuntar archivos" u="1"/>
        <s v="RV: CORRECCIOON  ALTA EXPEDIENTE BIS RRA 7704/18-BIS" u="1"/>
        <s v="RE: Respaldo de BD Nuevo León Semanal 14 de Septiembre  2020" u="1"/>
        <s v="Componente: Mi-perfil" u="1"/>
        <s v="RE: Solicitud de apoyo para RRD 01553/20 en la PNT" u="1"/>
        <s v="Componente; Mi-perfil" u="1"/>
        <s v="Assesment desarrollo comprobación de salud para la base de datos" u="1"/>
        <s v="Diseño pantallas para buscador de oblgaciones" u="1"/>
        <s v="RE: Cambio de fecha de entrada. RRA 1906/20 " u="1"/>
        <s v="Obtener capturas Iphone" u="1"/>
        <s v="RE: RENOVACIÓN .CER_26.05.20_COLSAN" u="1"/>
        <s v="Cambios al generar pdf de obligaciones" u="1"/>
        <s v="GENERACIÓN DE CERTIFICADO Y ACTUALIZACIÓN EN HCOM" u="1"/>
        <s v="Carga de datos del usuario" u="1"/>
        <s v="URGENTE OAXACA: Ajuste de plazos por COVID-19, SISMO 23 y PROGRAMAS SOCIALES en Infomex del 06 de agosto" u="1"/>
        <s v="RE: Respaldo de BD Nuevo León Semanal 28 de Septiembre  2020" u="1"/>
        <s v="RE: Campos usados en buscador" u="1"/>
        <s v="Solucion null exception, al entrar en notificaciones sin uuid" u="1"/>
        <s v="Cambios en pantalla de inicio" u="1"/>
        <s v="Cambios en pantallas de solicitudes de informacion y datos personales" u="1"/>
        <s v="Desarrollar modulo de actualización linea-accion-estrategica " u="1"/>
        <s v="RE: RRD 0030/20 Se solicita apoyo PNT" u="1"/>
        <s v="Assesment producción funcionamiento de la base de datos" u="1"/>
        <s v="RV: acuerdo correcto" u="1"/>
        <s v="RE: Incidencia en PNT - RRA 07115/20" u="1"/>
        <s v="RV: SIGEMI:cambio de Nombre y numero de Folio  Ticket #PNT003434" u="1"/>
        <s v="RE: Solicitud de apoyo en PNT" u="1"/>
        <s v="RE: Oaxaca Urgente: Ajuste Infomex fechas de vencimiento" u="1"/>
        <s v="RE: CAMBIO DE FECHA" u="1"/>
        <s v="Componente:Domicilio-U, Mi-historial, perifl" u="1"/>
        <s v="Ambientación back end Pizarras" u="1"/>
        <s v="Se desarrolla el modulo de Calve cde control" u="1"/>
        <s v="seguimiento solicitudes" u="1"/>
        <s v="RV: Oaxaca Urgente: Cambio de Contraseña Infomex" u="1"/>
        <s v="Captcha en registrar cuenta" u="1"/>
        <s v="Implementación de Servicios para Login" u="1"/>
        <s v="RV: Apoyo con subfolio" u="1"/>
        <s v="localizar acuse" u="1"/>
        <s v="Assesment datos mínimos - SIPOT" u="1"/>
        <s v="RE: SOLICITUD DE APOYO PARA MODIFICACIÓN EXPEDIENTES ELECTRONICOS" u="1"/>
        <s v="Búsqueda de documentos firmados con FIEL" u="1"/>
        <s v="Carga de pagos" u="1"/>
        <s v="Día Internacional de Protección de Datos Personales 2021" u="1"/>
        <s v="RE: Folios 3er Acuerdo de la COTAI por el cual se prorrogan las medidas y acciones de este Organismo por COVID-19, al 31 de mayo de 2020" u="1"/>
        <s v="ACTUALIZAR CONTRASEÑA" u="1"/>
        <s v="DeclaraINE" u="1"/>
        <s v="RV: Acuerdos de Sujetos Obligados enviados a COTAI días inhábiles agosto 2020" u="1"/>
        <s v="Buscador tematico de presupuesto anual" u="1"/>
        <s v="RE: SOLICITUD DE QUERY" u="1"/>
        <s v="RE: Cancelación de actividad" u="1"/>
        <s v="TESTAR DATOS Y SUSTITUIR ARCHIVO" u="1"/>
        <s v="Servicios para Comisiones abiertas" u="1"/>
        <s v="Analisis script base de datos proporcionado por el INAI" u="1"/>
        <s v="Reunión para la revision de requerimeintos del sitio de Conferencias Covid" u="1"/>
        <s v="RV: Reenvío de liga de acceso" u="1"/>
        <s v="RE: PASO ATRÁS" u="1"/>
        <s v="RV: MATRIX RRA Y RRD CORTE 25 DE MAYO" u="1"/>
        <s v="RE: Actualizar correo electrónico RRD 0349/20" u="1"/>
        <s v="RE: INFOMEX de ITAIP-Tabasco" u="1"/>
        <s v="RE: Reporte de solicitudes BC" u="1"/>
        <s v="RE: URGENTE OAXACA: Ajuste de plazos por COVID-19, SISMO 23, PROGRAMAS SOCIALES, LICITACIÓN en Infomex del 08, 09, 10,11,12 Y 13 de Septiembre." u="1"/>
        <s v="Assesment producción verificación de errores" u="1"/>
        <s v="RE: cambio de Titular CONAFE" u="1"/>
        <s v="RE: RESPALDO SEMANAL  TLAXCALA 23 de Noviembre DE 2020" u="1"/>
        <s v="Agregados metodos para aceptacion de pago de medio de reproduccion" u="1"/>
        <s v="RE: SOLICITUD_ RRD 0288/20 Se solicita apoyo PNT" u="1"/>
        <s v="RE: RESPALDO SEMANAL  NL  14 DE DICIEMBRE 2020" u="1"/>
        <s v="Assesment producción base para el sistema archive" u="1"/>
        <s v="RE: RESPALDO SEMANAL  TLAXCALA 3 de Noviembre DE 2020" u="1"/>
        <s v="RE: Solicitud de modificación de Plazos SIGUEMI-SICOM de la PNT" u="1"/>
        <s v="Ajuste de plazos" u="1"/>
        <s v="Assesment desarrollo busqueda de servicios" u="1"/>
        <s v="RE: RENOVACIÓN .CER_21.10.20_COMESA" u="1"/>
        <s v="Avance Template Pagina Principal" u="1"/>
        <s v="RESPALDO SEMANAL  TLAXCALA 1 DE JUNIO DE 2021" u="1"/>
        <s v="Ajustar plazos" u="1"/>
        <s v="Se trabajó con los ajustes del 10mo procedimiento de banderas 'OBTENER_FG_PREVENIDO'" u="1"/>
        <s v="RE: Urgente! cambio TUT CONAMED " u="1"/>
        <s v="Modificaciones en vista de consutas, se agregó nombre de sujeto obligado en CRUD. " u="1"/>
        <s v="Componente Sustituir Respuesta" u="1"/>
        <s v="RE: URGENTE!!!  importancia Alta cambio TUT SHCP" u="1"/>
        <s v="RE: Solicitud de cambio del medio de notificación del RRD 01613/20" u="1"/>
        <s v="RE: reporte especial" u="1"/>
        <s v="CONSULTA DE DATOS" u="1"/>
        <s v="RE: Solicitud de Apoyo en PNT " u="1"/>
        <s v="Assesment descarga de archivos - SIPOT" u="1"/>
        <s v="RE: Cancelación de actividades" u="1"/>
        <s v="RE: RESPALDO SEMANAL GUERRERO 14 DE DICIEMBRE 2020" u="1"/>
        <s v="ELIMINAR RIA" u="1"/>
        <s v="CAMBIO DE NOMBRE " u="1"/>
        <s v="Assestment producción verficación de certificados expirados" u="1"/>
        <s v="RE: Solicitud de cambio de nombre de recurrente en Recurso de Revisión" u="1"/>
        <s v="RE: RESPALDO SEMANAL GUERRERO 28 DE DICIEMBRE 2020" u="1"/>
        <s v="Actualización de la solicitud 5002015" u="1"/>
        <s v="CAMBIO DE CONTRASEÑA" u="1"/>
        <s v="Realización de integracion de cambios y pruebas _x000a_Integrales y pase de conocimiento" u="1"/>
        <s v="Paridad de Género y Transparencia" u="1"/>
        <s v="RE: RENOVACIÓN .CER_13.02.20_FIFOMI" u="1"/>
        <s v="RE: renovación de Certificado SENEAM" u="1"/>
        <s v="RE: SOLICITUD_ RRD 00338/20 UNAM OMGF_ Se solicita apoyo PNT" u="1"/>
        <s v="Analizar los documentos proporcionados por el INAI" u="1"/>
        <s v="RE: Cambio de Titular INSUS " u="1"/>
        <s v="CAMBIO DE TITULAR" u="1"/>
        <s v="RE: Soloicitud de Reporte de Solicitudes" u="1"/>
        <s v="Se desarrolla el modulo de tipos de expediente" u="1"/>
        <s v="RE: OAXACA Urgente: Ajuste de plazos de solicitudes y acuses faltantes de julio" u="1"/>
        <s v="GI-Recepcion Solicitudes Gestion Interna" u="1"/>
        <s v="Verificación de procesos y flujo de pizarras 4" u="1"/>
        <s v="Desarrollo de componente Arbol de opciones del menu Usuarios en INAI" u="1"/>
        <s v="Desarrollo de seccion Acciones realizadas - programas" u="1"/>
        <s v="RE: cambio de correo electrónico del RRA 01877/20" u="1"/>
        <s v="RE: Solicitud de apoyo." u="1"/>
        <s v="RE: CAMBIO DE FECHA AL DÍA HÁBIL SIGUIENTE" u="1"/>
        <s v="RE: OAXACA URGENTE: Ajuste de plazos SICOM procedimientos de cumplimiento y resoluciones  al 20 octubre" u="1"/>
        <s v="Buscador tematico de servicios" u="1"/>
        <s v="RE: RESPALDO SEMANAL  NL 30 de Noviembre 2020" u="1"/>
        <s v="RE: RENOVACIÓN .CER_21.10.20_FIT" u="1"/>
        <s v="Respaldo de BD Oaxaca Semanal  15 de Febrero 2021" u="1"/>
        <s v="ACTUALIZACIÓN DE CERTIFICADOS" u="1"/>
        <s v="Assesment producción pre-requisitos" u="1"/>
        <s v="RE: cambio de Titular MEJOROEDU ANTES INEE" u="1"/>
        <s v="Análisis " u="1"/>
        <s v="RV: Respaldo de BD Oaxaca Semanal  12 de Octubre  2020" u="1"/>
        <s v="RV: Respaldo de BD Oaxaca Semanal  19 de Octubre  2020" u="1"/>
        <s v="RE: ALTA USUARIO SEGALMEX" u="1"/>
        <s v="Conexión de End Point de Líneas de Acción con el Back End" u="1"/>
        <s v="Ajustes a el modulo de eventos" u="1"/>
        <s v="RV: RV: Oaxaca Urgente: Liberación de los tipos de respuestas  A, E, y H" u="1"/>
        <s v="Assesment producción Instalación de archive server" u="1"/>
        <s v="RE: Respaldo de BD Tlaxcala Semanal 10 DE AGOSTO  2020" u="1"/>
        <s v="RE: Incidencia en PNT - RRA 00595/20" u="1"/>
        <s v="RE: SIGEMI CUMPLIMIENTO RRA 16049/19" u="1"/>
        <s v="RE: Notificación de ajuste a calendario" u="1"/>
        <s v="RE: Apoyo Infocoahuila" u="1"/>
        <s v="Crear módulo de institución de procedencia" u="1"/>
        <s v="Problemas en Informex" u="1"/>
        <s v="RESPALDO SEMANAL  TLAXCALA 15 de Febrero de 2021" u="1"/>
        <s v="Assestment producción inspección de activación de servcios" u="1"/>
        <s v="RE: RESPALDO SEMANAL GUERRERO 17 de noviembre 2020" u="1"/>
        <s v="RE: Incidencia en PNT - RRA 02501/20" u="1"/>
        <s v="RV: Cambio de medio de notificación" u="1"/>
        <s v="Turnado de solicitudes" u="1"/>
        <s v="RE: Incidencias en PNT." u="1"/>
        <s v="Assesment herramienta para descarga de solicitudes" u="1"/>
        <s v="RE: Incidencia en PNT - RRA 07315/20" u="1"/>
        <s v="Assesment desarrollo comprobación de salud del sistema" u="1"/>
        <s v="RE: Respaldo de BD Tlaxcala Semanal 31 DE AGOSTO  2020" u="1"/>
        <s v="-&gt; Se agregan textos de ayuda de perfil y agregado mensaje de validacion" u="1"/>
        <s v="RV: URGENTE OAXACA: Ajuste de plazos por COVID-19, SISMO 23 y PROGRAMAS SOCIALES en Infomex del 30 y 31 de Julio" u="1"/>
        <s v="Alta dependencia" u="1"/>
        <s v="Bajas de SO" u="1"/>
        <s v="RE: Retroceder paso en PNT" u="1"/>
        <s v="RE: cambio de fecha AL DÍA ANTERIOR" u="1"/>
        <s v="Cambio en adjuntar de archivos" u="1"/>
        <s v="RE: Certificado no Válido o Vencido HCOM (alcance)" u="1"/>
        <s v="Assesment desarrollo busqueda especifica para fallos" u="1"/>
        <s v="RE: Adelantar pasos en la " u="1"/>
        <s v="Respaldo de BD Oaxaca Semanal  1 de Marzo 2021" u="1"/>
        <s v="MOVIMIENTO 9 DE MARZO" u="1"/>
        <s v="RE: cambio de TUT SEMARNAT" u="1"/>
        <s v="Desarrollo de seccion Marco Normativo - nacional" u="1"/>
        <s v="RE: RENOVACIÓN.CER_27.01.2020_FIDENA" u="1"/>
        <s v="RE: Respaldo de BD Tlaxcala Semanal 24 DE AGOSTO  2020" u="1"/>
        <s v="RE: Paso atrás " u="1"/>
        <s v="Componente : semaforo" u="1"/>
        <s v="GI-Reporte solicitudes resueltas por comité en plazos de atención gestióln interna" u="1"/>
        <s v="Seguimiento a atención del servicio" u="1"/>
        <s v="ANALISIS DE REQUERIMIENTO" u="1"/>
        <s v="RE: Acuerdos de Sujetos Obligados enviados a COTAI días inhábiles julio 2020" u="1"/>
        <s v="RE: RRA 306 CAMBIO DE SUJETO OBLIGADO" u="1"/>
        <s v="RE: Solicitud de ingreso a la Herramienta de Comunicación." u="1"/>
        <s v="RE: Impresión de pantalla " u="1"/>
        <s v="RV: OAXACA URGENTE: Ajuste  de plazos por COVID-19,SISMO 23 y PROGRAMAS SOCIALES en Infomex" u="1"/>
        <s v="RV: OAXACA URGENTE: Ajuste de plazos por COVID-19, SISMO 23 y PROGRAMAS SOCIALES en Infomex" u="1"/>
        <s v="RE: Cambio de medio de notificación  RRA 09082/20" u="1"/>
        <s v="RE: Solicitud de cambio." u="1"/>
        <s v="Realizar funcionalidad de busqueda general" u="1"/>
        <s v="RE: renovación de SO indirecto SE" u="1"/>
        <s v="Criterios de Interpretación" u="1"/>
        <s v="Assesment volumen de datos" u="1"/>
        <s v="RE: RENOVACIÓN.CER_14.02.20_BIRMEX" u="1"/>
        <s v="RE: RRA 12804/20 (SEP), se solicita apoyo PNT" u="1"/>
        <s v="Assesment analítica avanzada" u="1"/>
        <s v="RV: Eliminar actividad en SICOM" u="1"/>
        <s v="AJUSTE DE  PLAZOS" u="1"/>
        <s v="RV: Reinicio de Consecutivos  de recursos de revisión" u="1"/>
        <s v="RE: cambio de medio de notificación " u="1"/>
        <s v="Assesment unidades muestrales" u="1"/>
        <s v="RE: cambio TUT y CER SEGOB" u="1"/>
        <s v="RE: Alta Titular de la unidad de transparencia (INAI)" u="1"/>
        <s v="Agregar clave valor a la respuesta de Custom SQL para la obtención de Usuarios por Rol y la Roles por jerarquía" u="1"/>
        <s v="Assesment descompresión de archivos - SISAI" u="1"/>
        <s v="RE: RESPALDO SEMANAL  NL 23 de Noviembre 2020" u="1"/>
        <s v="Derechos Humanos" u="1"/>
        <s v="Problemas con RIA" u="1"/>
        <s v="RV: Oaxaca Urgente: Reasignación de plazos SICOM 6ta ampliación  suspensión al 03 de agosto" u="1"/>
        <s v="La gestión documental y la memoria archivística en tiempos del Covid-19" u="1"/>
        <s v="RE: NUEVO TUT_09.12.20_CNDH" u="1"/>
        <s v="RE: Nuevo Acuerdo Prorroga" u="1"/>
        <s v="RE: Solicitud de cambio de contraseñas HCOM_SRE" u="1"/>
        <s v="Mejoras en código de Catalogo Menu, Login, Roles" u="1"/>
        <s v="Apoyo a usuarios" u="1"/>
        <s v="RESPALDO SEMANAL GUERRERO 22 de Febrero de 2021" u="1"/>
        <s v="RE: Corte de solicitudes por SO" u="1"/>
        <s v="UT-Recepcion Solicitudes Comité Transparencia" u="1"/>
        <s v="Integración de validaciones de direcion de Datos de la Pareja (Declaracion patrimonial) en Declaranet" u="1"/>
        <s v="RE: Cambio de Logo COTAI en INFOMEX" u="1"/>
        <s v="Agregado arrows para navegacion detalle solicitud" u="1"/>
        <s v="RV: cambio de sujeto obligado." u="1"/>
        <s v="RE: NUEVO TUT_27.01.2020_FIDEICOMISO CIMAV" u="1"/>
        <s v="RE: Paso atrás en PNT." u="1"/>
        <s v="Componente Sustituir Respuesta Contestar" u="1"/>
        <s v="RV: Regreso de paso" u="1"/>
        <s v="Desarrollo de el Home" u="1"/>
        <s v="Revision para HTTP Interceptors" u="1"/>
        <s v="RV: REINICIO CONSECUTIVOS SIGEMI" u="1"/>
        <s v="RE: Regreso de pasos RRD 0836/20" u="1"/>
        <s v="Assesment para descarga asíncrona y multiproceso - SIPOT" u="1"/>
        <s v="RV: Actualización de montos en sistema infomex." u="1"/>
        <s v="Cambio en solicitud para token, se pide 5 veces el token antes de mostrar error" u="1"/>
        <s v="Assesment diccionarios de datos" u="1"/>
        <s v="RE: URGENTE CUMPLIMIENTO DEL ACUERDO DE PLENO (INSABI)" u="1"/>
        <s v="Desarrollo de seccion Marco Normativo - internacional" u="1"/>
        <s v="GPA México 2021" u="1"/>
        <s v="Modificar consultas para mostrar información de acuerdo a los filtros seleccionados" u="1"/>
        <s v="Módulo Aviso de privacidad" u="1"/>
        <s v="RV: Estadísticas del municipio de Puebla" u="1"/>
        <s v="RV: Oaxaca URGENTE: Ajuste de plazos de vencimiento por COVID-19 fecha 07-05-2020" u="1"/>
        <s v="RE: Regreso de pasos RRA 11267/20" u="1"/>
        <s v="RE: Respaldo de BD Oaxaca Semanal 20 de JULIO  2020" u="1"/>
        <s v="RE: OAXACA URGENTE: Ajuste de plazos en Infomex al 25 de noviembre" u="1"/>
        <s v="Agregar Verificacion &quot;No soy un robot&quot;" u="1"/>
        <s v="Assesment de Etiquetado" u="1"/>
        <s v="Analisis y tuneo de configuracion de Jboss" u="1"/>
        <s v="RV: Solicitud de regreso de paso" u="1"/>
        <s v="Assesment entrenamiento de modelos" u="1"/>
        <s v="RE: INCIDENCIA EN PNT - RRD 00538/20" u="1"/>
        <s v="RE: reporte" u="1"/>
        <s v="Actualización de TUT" u="1"/>
        <s v="RE: Cambio de medio de notificación RRD 01286/20 " u="1"/>
        <s v="SISAI 2" u="1"/>
        <s v="RE: URGENTE SOLICITUD DE CORRECIÓN EN PNT ASUNTOS PEMEX" u="1"/>
        <s v="Assesment SIPOT" u="1"/>
        <s v="RE: NOTIFICACIÓN RRA 07822/20 vs SAT" u="1"/>
        <s v="CAMBIO DE TUT Y GENERACIÓN DE CERTIFICADO" u="1"/>
        <s v="RV: regreso del recurso de revision IP_PNT_470_2019-B" u="1"/>
        <s v="RE: RESPALDO SEMANAL GUERRERO 23 de noviembre 2020" u="1"/>
        <s v="Assesment datos  disponibles" u="1"/>
        <s v="RE: INCIDENCIA EN PNT - RRA 11915-20" u="1"/>
        <s v="DESTURNADO" u="1"/>
        <s v="Configuracion de procesos" u="1"/>
        <s v="RE: NUEVO TUT_08/06/20_INFOTEC" u="1"/>
        <s v="RV: Oaxaca URGENTE: Ajuste de plazos de vencimiento de por COVID-19 en Recurso Infomex" u="1"/>
        <s v="Se desarrolla el modulo de Años" u="1"/>
        <s v="RE: NUEVO TUT_27.11.20_API SALINA ALTAMIRA" u="1"/>
        <s v="Revisión y ajuste de REPORTES CIDE" u="1"/>
        <s v="Desarrollo seccion estadisticas" u="1"/>
        <s v="Análisis de requerimiento " u="1"/>
        <s v="RE: solicitud para suprimir recurso" u="1"/>
        <s v="Desarrollar modulo de alta de roles" u="1"/>
        <s v="Cambio de modalidad-Sustitución de archivo adjunto" u="1"/>
        <s v="AJUSTE DE FECHA " u="1"/>
        <s v="RV: Ampliación fecha de término" u="1"/>
        <s v="Modificar Respuestas Contestar" u="1"/>
        <s v="RV: DETALLE DEL SIGEMI APARECE OTRO SUJETO OBLIGADO EN EL RECURSO DE REVISION ESTAN POR ADMITIR" u="1"/>
        <s v="RE: Acuerdos de Sujetos Obligados enviados a COTAI días inhábiles noviembre 2020" u="1"/>
        <s v="Realizar modul de consultas" u="1"/>
        <s v="RV: Folio no permite prevenir" u="1"/>
        <s v="RE: cambio de medio de comunicación RRA 04375/20" u="1"/>
        <s v="RE: Respaldo de BD Tlaxcala Semanal 20 de JULIO  2020" u="1"/>
        <s v="RE: Solicitud de cambio de medio de notificación en PNT" u="1"/>
        <s v="Correccion login apple id" u="1"/>
        <s v="RE: renovación de certificado SENASICA" u="1"/>
        <s v="RE: Cambio certificado INMEGEN" u="1"/>
        <s v="RE: Oaxaca URGENTE: Ajuste de plazos de vencimiento de por COVID-19 en Infomex RR00001720 y RR00001520" u="1"/>
        <s v="RV: URGENTE OAXACA: Ajuste de plazos por COVID-19, SISMO 23 y PROGRAMAS SOCIALES en Infomex del 31 de julio al 05 de agosto" u="1"/>
        <s v="RV: Solicito actualización de fechas" u="1"/>
        <s v="RE: RENOVACIÓN .CER_10.11.20_CONUEE" u="1"/>
        <s v="RE: alta TUT SO indirecto SCT-AFAC" u="1"/>
        <s v="Transferencia del conocimiento" u="1"/>
        <s v="Pruebas en Infomex" u="1"/>
        <s v="Assesment herramienta para descarga - SISAI" u="1"/>
        <s v="RV: Regreso de paso RRA 9224/20" u="1"/>
        <s v="RE: Incidencia en la Plataforma Nacional de Transparencia" u="1"/>
        <s v="RE: Acuerdos de Sujetos Obligados enviados a COTAI días inhábiles junio 2020" u="1"/>
        <s v="Renombra expediente" u="1"/>
        <s v="RE: ALTA EXPEDIENTE RDA 2491/13 PONENCIA OMGF" u="1"/>
        <s v="Actualización OpenData al 31 de diciembre 2020" u="1"/>
        <s v="RE: Apoyo PNT RRD 0233/20" u="1"/>
        <s v="Actualización OpenData al 31 de diciembre 2030" u="1"/>
        <s v="RE: Respaldo de BD Tlaxcala Semanal 13 de JULIO  2020" u="1"/>
        <s v="RV: SE REMITEN ACUERDOS DE TURNO DE SUJETOS OBLIGADOS NO ESENCIALES CON FECHA 18 DE SEPTIEMBRE." u="1"/>
        <s v="Reingenieria de Resoluciones  " u="1"/>
        <s v="Solucionara la funcionalidad de los sliders" u="1"/>
        <s v="RE: RENOVACIÓN .CER_12.08.20_FIDEICOMISO CIATEJ" u="1"/>
        <s v="RE: importancia Alta cambio TUT SECTUR" u="1"/>
        <s v="RV: ALTA EXPEDIENTE RRA 2411/19-BIS" u="1"/>
        <s v="CAMBIO DE SO " u="1"/>
        <s v="Revision de los catalogos" u="1"/>
        <s v="Assesment de extracción de datos -SIPOT" u="1"/>
        <s v="Revisión de resultados " u="1"/>
        <s v="RE: cambio de TUT SSPC" u="1"/>
        <s v="UT-Respuesta de Solicitudes" u="1"/>
        <s v="RE: CAMBIO DE MEDIO DE NOTIFICACIÓN-URGENTE" u="1"/>
        <s v="Infraestructura" u="1"/>
        <s v="RE: RESPALDO SEMANAL GUERRERO 9 de noviembre 2020" u="1"/>
        <s v="Assesment conectores de extracción de datos - SIPOT" u="1"/>
        <s v="RE: RESPALDO SEMANAL  NL 17 de Noviembre 2020" u="1"/>
        <s v="RE: renovación de .cer SEMAR" u="1"/>
        <s v="Feedback de tiendas (play store)" u="1"/>
        <s v="RE: solicitud de apoyo RRD 245" u="1"/>
        <s v="Crear módulo de institución de pertenencia" u="1"/>
        <s v="RE: Solicitud de respaldo de base de datos INFOMEX" u="1"/>
        <s v="Actualización OpenData al 31 de diciembre 2031" u="1"/>
        <s v="RE: Respaldo de BD Tlaxcala Semanal 27 de JULIO  2020" u="1"/>
        <s v="RV: Oficio DGTI cambio de plazo en HCOM" u="1"/>
        <s v="Correccion feedback de tiendas (play store)" u="1"/>
        <s v="CANCELAR RECURSO" u="1"/>
        <s v="RE: RESPALDO SEMANAL GUERRERO 7 DE DICIEMBRE 2020" u="1"/>
        <s v="Assesment SIGEI" u="1"/>
        <s v="RV: APOYO RECURSO DUPLICADO PNT" u="1"/>
        <s v="Sustitución de archivo adjunto-Cambio de modalidad" u="1"/>
        <s v="RE: Solicitud de apoyo para RRA-RCRD 05884/20" u="1"/>
        <s v="Respaldo de BD Oaxaca Semanal  29 de Marzo 2021" u="1"/>
        <s v="Analisis y diseño del API" u="1"/>
        <s v="RV: Modificar plazos" u="1"/>
        <s v="Análisis" u="1"/>
        <s v="RE: CAMBIO CERTIFICADO CEAV" u="1"/>
        <s v="Creación de cuenta por Twitter" u="1"/>
        <s v="Actualización OpenData al 31 de diciembre 2032" u="1"/>
        <s v="Row-expanse" u="1"/>
        <s v="-&gt; Cambios en navegacion de pantallas de inicio" u="1"/>
        <s v="Correccion notificacion cuando app esta cerrada" u="1"/>
        <s v="RE: Oaxaca Urgente: Infomex cambio de Acuse xml en Solicitud DP" u="1"/>
        <s v="Orientación a usuarios" u="1"/>
        <s v="REVISAR CONFIGURACION" u="1"/>
        <s v="TESTAR DATOS " u="1"/>
        <s v="Cambio en mostrar PDF, se abre app externa del telefono para mostrar el pdf." u="1"/>
        <s v="RESPALDO SEMANAL  TLAXCALA 11 de Enero de 2020" u="1"/>
        <s v="Correccion modelo solicitud arcop y campo de adjunto no obligatorio para datos personales" u="1"/>
        <s v="Componente: perfil" u="1"/>
        <s v="RV: ALTA EXPEDIENTE RRA 2061/19 Bis " u="1"/>
        <s v="Obtener archivos desde buscador nacional" u="1"/>
        <s v="RV: Error RE: Oaxaca URGENTE: Ajuste de plazos de vencimiento por COVID-19 del 05 junio 2020" u="1"/>
        <s v="RE: Consulta a base de datos" u="1"/>
        <s v="RE: Respaldo de BD Guerrero Semanal 21 de Septiembre  2020" u="1"/>
        <s v="RE: Respaldo de BD Tlaxcala Semanal 21 de Septiembre  2020" u="1"/>
        <s v="RE: RENOVACIÓN .CER_15.07.20_FIDEICOMISOS CIO" u="1"/>
        <s v="Captcha en recuperar contraseña" u="1"/>
        <s v="RE: Cambio de medio de notificación RRA 4007/20 " u="1"/>
        <s v="RE: INF00494  Certificados Fideicomisos ISSFAM" u="1"/>
        <s v="RE: Regreso a la actividad de admitir/prevenir RRA 11705/20" u="1"/>
        <s v="RE: RRD 0086/20 SE SOLICITA APOYO PNT" u="1"/>
        <s v="Actualización OpenData al 31 de diciembre 2023" u="1"/>
        <s v="SACP" u="1"/>
        <s v="Agregar municipios a mapa" u="1"/>
        <s v="CAPACITACIÓN" u="1"/>
        <s v="Ajustes de los links del sitio" u="1"/>
        <s v="RE: Regreso de pasos RRA 06432/20" u="1"/>
        <s v="Implementación de ambiente de trabajo de Declaranet Captura)" u="1"/>
        <s v="Inicio de sesion con Facebook" u="1"/>
        <s v="RE: Query" u="1"/>
        <s v="-Agregar un placeholder con la leyenda &quot;Buscar institución o seleccione una o varias&quot; en el menú que despliega los sujetos obligados del page de Registro de solicitudes de información pública" u="1"/>
        <s v="Feedback de tiendas (app store)" u="1"/>
        <s v="RE: Respaldo de BD Guerrero Semanal 14 de Septiembre  2020" u="1"/>
        <s v="RE: Respaldo de BD Tlaxcala Semanal 14 de Septiembre  2020" u="1"/>
        <s v="Assesment desarrollo verificación de comunicación a internet" u="1"/>
        <s v="Integración de validaciones (Inicial, Anual,Conclusión)para la persistencia de Conflicto de intereses en Declaranet" u="1"/>
        <s v="RE: Respaldo de BD Guerrero Semanal 3 DE AGOSTO  2020" u="1"/>
        <s v="RE: PROBLEMA: Oaxaca Urgente: Reasignación de plazos SICOM 8va ampliación de  suspensión de plazos al 01 de octubre" u="1"/>
        <s v="RE: Consulta RRD 01506/20" u="1"/>
        <s v="Captcha en login" u="1"/>
        <s v="RE: Respaldo de BD Nuevo León Semanal 21 de Septiembre  2020" u="1"/>
        <s v="RESPALDO SEMANAL GUERRERO  11 de Enero de 2020" u="1"/>
        <s v="CAMBIO DE SUJETO OBLIGADO " u="1"/>
        <s v="RE: Regreso de actividad." u="1"/>
        <s v="RE: cambio certificado ECOSUR F1" u="1"/>
        <s v="RV: Soporte caso 2" u="1"/>
        <s v="RE: Solicitud " u="1"/>
        <s v="MODIFICACION SO " u="1"/>
        <s v="Desarrollo angular" u="1"/>
        <s v="RV: Solicitud de ampliación de término para prevención" u="1"/>
        <s v="APLICAR DIA INHABIL" u="1"/>
        <s v="Alta queja SAIMEX" u="1"/>
        <s v="Actualización OpenData al 31 de diciembre 2024" u="1"/>
        <s v="RESPALDO SEMANAL  TLAXCALA 22 DE JUNIO DE 2020" u="1"/>
        <s v="En Proceso" u="1"/>
        <s v="AJUSTE DE PLAZO" u="1"/>
        <s v="RV: Acuerdos de Sujetos Obligados enviados a COTAI días inhábiles diciembre 2020" u="1"/>
        <s v="Assesment OCR" u="1"/>
        <s v="- Boton de ayuda para el registro de las solicitudes de informacion publica" u="1"/>
        <s v="UT - Recibo de pago manual" u="1"/>
        <s v="Historial" u="1"/>
        <s v="RE: Seguimiento al oficio INAI/SAI/DGEAPCTA/0020/2020 " u="1"/>
        <s v="Eliminar respuesta" u="1"/>
        <s v="QUITAR DUPLICADO " u="1"/>
        <s v="RE: Respaldo de BD Guerrero Semanal 28 de Septiembre  2020" u="1"/>
        <s v="RE: Respaldo de BD Tlaxcala Semanal 28 de Septiembre  2020" u="1"/>
        <s v="RE: OAXACA Urgente: Ajuste de plazos de solicitudes y acuses faltantes de marzo" u="1"/>
        <s v="Assesment Documentación" u="1"/>
        <s v="UT - Recepción de Solicitudes" u="1"/>
        <s v="RE: SOLICITO NUEVAMENTE CAMBIO DE FECHA DEL RRA 3165/20" u="1"/>
        <s v="RE: RENOVACIÓN .CER_11.09.20_ECHASA" u="1"/>
        <s v="Correccion de integracion con Twitter" u="1"/>
        <s v="Crear metodos para obtener resultados" u="1"/>
        <s v="RE: Ayuda para cargar Resolución sin notificar admisión" u="1"/>
        <s v="RV: URGENTE OAXACA: Ajuste de plazos por COVID-19, SISMO 23 y PROGRAMAS SOCIALES en Infomex del 28 y 29 de Julio" u="1"/>
        <s v="RV: SIGEMI - Colocar numero de folio." u="1"/>
        <s v="RE: Soporte Urgente" u="1"/>
        <s v="RE: Se solicita apoyo a efecto de cambiar medio de notificación de un recurrente en la PNT." u="1"/>
        <s v="RE: Liga de suspensión del ITAIP-Chiapas" u="1"/>
        <s v="RESPALDO SEMANAL GUERRERO 29 de Marzo de 2021" u="1"/>
        <s v="RE: RESPALDO SEMANAL  TLAXCALA 12 DE OCTUBRE DE 2020" u="1"/>
        <s v="Actualización OpenData al 31 de diciembre 2025" u="1"/>
        <s v="RE: URGENTE Cambio de nombre recurrente" u="1"/>
        <s v="RE: Regreso de actividad" u="1"/>
        <s v="RE: RENOVACIÓN.CER_093.01.2020_ESSA" u="1"/>
        <s v="RV: SOLICITUD PARA ATENDER MODIFICACIÓN RRA 15564/19" u="1"/>
        <s v="RE: Regreso de pasos." u="1"/>
        <s v="RTA" u="1"/>
        <s v="Analisis de incidencia" u="1"/>
        <s v="RE: renovación de certificado CONANP" u="1"/>
        <s v="Correcciones en buscador de obilgaciones" u="1"/>
        <s v="RE: Cambio Titular TELECOMM" u="1"/>
        <s v="RV: Regreso de pasos RRA 8767/20" u="1"/>
        <s v="RE: Certificado CPC SESNA" u="1"/>
        <s v="RE: Eliminar cierre de instrucción" u="1"/>
        <s v="RV: Periodo inhábil para el Poder Ejecutivo del Estado por Contingencia Sanitaria Covid-19" u="1"/>
        <s v="Proceso de Migración API" u="1"/>
        <s v="Generar accesos de usuario" u="1"/>
        <s v="Adaptar visualizacion de PDF para leer los archivos adjuntos de quejas para SAIMEX e INAI" u="1"/>
        <s v="RV: SOLICITUD DE REGRESO DE PASO RRA 6277/19 Y RRD-RCRA 0797/19 " u="1"/>
        <s v="Persistir la informacion en el esquema de comisiones abiertas" u="1"/>
        <s v="RE: Cambio de medio de notificación RRD 01266/20 " u="1"/>
        <s v="RE: Regreso de pasos" u="1"/>
        <s v="RE: URGENTE Cambio de número de folio RRD 1379/20" u="1"/>
        <s v="Se cambia validacion para solicitudes datos personales" u="1"/>
        <s v="Proceso de Migración SISAI" u="1"/>
        <s v="Actualización OpenData al 31 de diciembre 2026" u="1"/>
        <s v="Peticiones para token movil" u="1"/>
        <s v="RV: Dudas en cuanto al cambio de plazos en infomex." u="1"/>
        <s v="Testar datos y Sustituir archivo adjunto " u="1"/>
        <s v="RE: RENOVACIÓN CERTIFICADO_18/12/20_FONDO CENTRO GEO" u="1"/>
        <s v="RESPALDO SEMANAL GUERRERO 15 de Febrero de 2021" u="1"/>
        <s v="RE: alta TUT SO indirecto MANAEROCONUAGUA" u="1"/>
        <s v="RE: Actualización de certificado " u="1"/>
        <s v="Textos de ayuda para recurrentes" u="1"/>
        <s v="Revisión a incidencia en ampliación" u="1"/>
        <s v="RE: Solicitud de cambio en fechas de Folios de solicitudes poder ejecutivo NL por Covid19" u="1"/>
        <s v="RE: Oaxaca Urgente: Reasignación de plazos SICOM 10ma ampliación de  suspensión de plazos al 03 de noviembre" u="1"/>
        <s v="RV: Acuerdos de Sujetos Obligados enviados a COTAI días inhábiles octubre 2020" u="1"/>
        <s v="Se genera el pdf en buscador nacional" u="1"/>
        <s v="RV: OAXACA URGENTE: Ajuste de plazos por COVID-19,SISMO 23, PROGRAMAS Y ADJUDICACIONES en Infomex 17 septiembre" u="1"/>
        <s v="Avance mockups línea acción, Objetivos Pizarras 4" u="1"/>
        <s v="Adecuaciones para pantalla de descarga e recibo de pago" u="1"/>
        <s v="CORRECCIÓN DE INCIDENCIA" u="1"/>
        <s v="RE: RENOVACIÓN .CER_28.07.20_FIDEICOMISOS COLSAN" u="1"/>
        <s v="RV: OAXACA URGENTE: Ajuste de plazos por COVID-19,SISMO 23, PROGRAMAS Y ADJUDICACIONES en Infomex al septiembre" u="1"/>
        <s v="Assesment unidades muestrales - SISAI" u="1"/>
        <s v="Gestión Documental" u="1"/>
        <s v="Assesment producción listener" u="1"/>
        <s v="Respaldo de BD Oaxaca Semanal  11 de Enero  2020" u="1"/>
        <s v="RE: PNT (Sigemi) Ajuste de plazos RRA 14374/19" u="1"/>
        <s v="Se implementa descarga de archivos para respuesta de recurrentes" u="1"/>
        <s v="Se eliminaron atributos sobrantes para Acuerdo" u="1"/>
        <s v="RE: ALTA EXPEDIENTE BIS" u="1"/>
        <s v="RE: DATOS PARA SOLICITAR CAMBIO DE NOTIFICACIÓN." u="1"/>
        <s v="Empoderamiento de las Mujeres a través de los derechos de acceso a la información y protección de datos personales" u="1"/>
        <s v="RE: cambio de medio de notificación RRA 1765/20" u="1"/>
        <s v="Actualización OpenData al 31 de diciembre 2027" u="1"/>
        <s v="RE: Recurso de Revisión RRA 09872/20, requerimiento de información adicional " u="1"/>
        <s v="Revision de integracion de login para redes" u="1"/>
        <s v="Avance mockups Login Pizarras" u="1"/>
        <s v="Error Open Text" u="1"/>
        <s v="RV: Solicitud de actualización de archivo de recurso de revisión" u="1"/>
        <s v="Assesment conectores de extracción de datos" u="1"/>
        <s v="Respaldo de BD Oaxaca Semanal  2 de Febrero 2021" u="1"/>
        <s v="RV: Regreso de paso de cierre de instrucción " u="1"/>
        <s v="Cerrar solicitudes " u="1"/>
        <s v="RV: SIGEMI: Cambio de Sujeto Obligado" u="1"/>
        <s v="RE: Respaldo de BD Oaxaca Semanal 21 DE SEPTIEMBRE  2020" u="1"/>
        <s v="PIT 2020" u="1"/>
        <s v="RE: cambio de certificado CONAPRED" u="1"/>
        <s v="RE: CAMBIO DE CERTIFICADO FIDEICOMISO CIDESI" u="1"/>
        <s v="RE: Incidencia para acceder a HCOM" u="1"/>
        <s v="RE: Número de solicitudes" u="1"/>
        <s v="RE: Solicitud de ajuste en SIGEMI- SICOM - Durango " u="1"/>
        <s v="BAJA SO " u="1"/>
        <s v="RV: Revisión de término de prevención" u="1"/>
        <s v="TESTAR DATOS Y CAMBIO DE TIPO DE SOLICITUD " u="1"/>
        <s v="Ajustes para las nuevas Elecciones" u="1"/>
        <s v="RESPALDO SEMANAL  TLAXCALA 22 de Marzo de 2021" u="1"/>
        <s v="RV: Presentaciones del curso sobre cómo elaborar carpetas estadísticas" u="1"/>
        <s v="Reunion Continuación revisión Mockups" u="1"/>
        <s v="RV: Oaxaca URGENTE: Ajuste de plazos de vencimiento por COVID-19 del 09 y 10 junio 2020" u="1"/>
        <s v="RV: Incidencia" u="1"/>
        <s v="Assesment descompresión de archivos - SIPOT" u="1"/>
        <s v="ACTUALIZA FECHA " u="1"/>
        <s v="RE: RENOVACIÓN .CER_24.06.20_FONDO CICY" u="1"/>
        <s v="RE: Cambio de medio de notificación RRA 10812/20" u="1"/>
        <s v="RE: Ejecución de consultas" u="1"/>
        <s v="RE: Acuerdos de turno 18 DE SEPTIEMBRE" u="1"/>
        <s v="ALTA DE SUJETO OBLIGADO" u="1"/>
        <s v="TESTADO DE DATOS Y SUSTITUCIÓN DE ARCHIVO ADJUNTO " u="1"/>
        <s v="RE: apoyo en la contestación de la solicitud 00030220" u="1"/>
        <s v="RE: RENOVACIÓN .CER_12.08.20_FIDEICOMISO COLEF" u="1"/>
        <s v="DESHABILITAR REGISTRO DE SOLICITUDES" u="1"/>
        <s v="RE: Respaldo de BD Oaxaca Semanal  7 DE DICIEMBRE  2020" u="1"/>
        <s v="Entrenamiento de modelos" u="1"/>
        <s v="RE: renovación de Certificado IPN" u="1"/>
        <s v="RE: requerimiento" u="1"/>
        <s v="RE: Incidencia en PNT - RRA 04829/20" u="1"/>
        <s v="RV: Solicitud de apoyo SIGEMI/SICOM" u="1"/>
        <s v="RV: Oaxaca URGENTE: Ajuste de plazos de vencimiento por COVID-19 del 25-05-2020" u="1"/>
        <s v="Modificar PDF de registro" u="1"/>
        <s v="Assesment para descarga asíncrona y multiproceso" u="1"/>
        <s v="PIT 2021" u="1"/>
        <s v="RE: NUEVO TUT_20.01.21_API TUXPAN" u="1"/>
        <s v="SUSTITUIR ARCHIVO" u="1"/>
        <s v="Ambientación front end Pizarras" u="1"/>
        <s v="RE: requerimiento " u="1"/>
        <s v="Notificación de Tickets" u="1"/>
        <s v="RV: Oaxaca Urgente: Liberación de los tipos de respuestas  A, E, y H" u="1"/>
        <s v="RE: RESPALDO SEMANAL  TLAXCALA 7 DE DICIEMBRE DE 2020" u="1"/>
        <s v="RESPALDO SEMANAL TLAXCALA" u="1"/>
        <s v="RE: RESPALDO SEMANAL  TLAXCALA 26 DE OCTUBRE DE 2020" u="1"/>
        <s v="CAMBIO DE CONTRASEÑAS" u="1"/>
        <s v="RV: OAXACA URGENTE: Ajuste de plazos SICOM por tema COVID-19 al 18 de Agosto" u="1"/>
        <s v="Pruebas unitarias migración de usuarios para agregar las conjugación de roles" u="1"/>
        <s v="RE: Apoyo PNT RRA-RCRD 01984/20" u="1"/>
        <s v="CORRECCIÓN DE ACUERDO DE TURNO " u="1"/>
        <s v="Assesment producción generación de evidencias" u="1"/>
        <s v="RE: Convenio de cooperación para la operación del Programa de Educación a Distancia" u="1"/>
        <s v="RV: Apoyo con plazos para otorgar respuesta, ampliación INAI." u="1"/>
        <s v="RE: Error en la gestión del recurso RRA 00072/20" u="1"/>
        <s v="RE: renovación de certificados SADER" u="1"/>
        <s v="RV: solicitud de reiniciado de los recurso del  SIGEMI SICOM" u="1"/>
        <s v="RE: URGENTE " u="1"/>
        <s v="Solicitud de Baja de usuarios en PRODATOS" u="1"/>
        <s v="Actualización OpenData al 31 de diciembre 2019" u="1"/>
        <s v="RV: SOLCIITUD PARA RETROTRAER" u="1"/>
        <s v="Preparacion Ambiente de trabajo" u="1"/>
        <s v="Eliminar última respuesta" u="1"/>
        <s v="RV: OAXACA URGENTE: Ajuste de plazos por COVID-19,SISMO 23, PROGRAMAS Y ADJUDICACIONES en Infomex al 02-al 07 octubre" u="1"/>
        <s v="Ajustes al sitio" u="1"/>
        <s v="generar vista y consultas para filtrar información" u="1"/>
        <s v="Regreso de pasos " u="1"/>
        <s v="RE: Regreso y cancelación de actividad" u="1"/>
        <s v="RE: Urgente Oaxaca: Reasignación de plazos INFOMEX continuidad de suspensión al 23 de noviembre" u="1"/>
        <s v="RE: REGRESO DE PASOS RRA 02732/20" u="1"/>
        <s v="RE: Corrección de nombres de archivos  adjuntos" u="1"/>
        <s v="RV: INFOMEX COMITÉ SECRETARÍA DE INFRAESTRUCTURA VIAL " u="1"/>
        <s v="RE: URGENTE!! Actualización TUT SO indirecto PR" u="1"/>
        <s v="RESPALDO SEMANAL  TLAXCALA 22 de abril de 2021" u="1"/>
        <s v="Assesment descompresión de archivos" u="1"/>
        <s v="RE: RENOVACIÓN .CER_09.10.20_FIDEICOMISOS CIATEQ" u="1"/>
        <s v="RESPALDO SEMANAL  NL 22 DE JUNIO DE 2020" u="1"/>
        <s v="Correccion descarga PDF" u="1"/>
        <s v="Correccion de integracion con Firebase" u="1"/>
        <s v="Actualizar datos " u="1"/>
        <s v="PNT Cuentas de usuarios" u="1"/>
        <s v="Alta de usuarios en Producción y Calidad" u="1"/>
        <s v="RE: Corrección de fecha de turno del RRD 01464/20" u="1"/>
        <s v="Assesment desarrollo inspección de salidas del software" u="1"/>
        <s v="RV: Modificación al plazo de cumplimiento - RRA 14374/19 " u="1"/>
        <s v="Testado de datos" u="1"/>
        <s v="RE: Consulta de solicitudes" u="1"/>
        <s v="RV: ALTA EXPEDIENTE BIS RRA 795/17 URGENTE" u="1"/>
        <s v="Descarga del proyecto y la BD" u="1"/>
        <s v="Desarrollo e implementación de linea de tiempo" u="1"/>
        <s v="Eliminar última respuesta " u="1"/>
        <s v="Revisión de incidencia" u="1"/>
        <s v="Assesment Accesos, permisos y roles" u="1"/>
        <s v="RE: Reporte Solicitudes" u="1"/>
        <s v="CEVINAI" u="1"/>
        <s v="RV: Fwd:" u="1"/>
        <s v="Capacitación Mesa" u="1"/>
        <s v="RE: Cambio de certificado CONADE" u="1"/>
        <s v="-Modificar el icono de la flecha &lt;- que esta en la parte superiror izquierda del page de Registro de solicitudes, por algún otro de siga &quot;OK&quot; o una palomita." u="1"/>
        <s v="RE: Cambio de certificado COLBACH" u="1"/>
        <s v="Obtener información de las tablas del esquema Concomatp" u="1"/>
        <s v="Crear EDT para proyecto de consultas " u="1"/>
        <s v="RE: Incidencia en PNT - RRA 8835/19" u="1"/>
        <s v="RESPALDO SEMANAL GUERRERO  22 de abril de 2021" u="1"/>
        <s v="Cambio de dirección o adscripción" u="1"/>
        <s v="RV: Fecha de inicio de plazos" u="1"/>
        <s v="CARGA DE ARCHIVO " u="1"/>
        <s v="RESPALDO SEMANAL  TLAXCALA 19 de abril de 2021" u="1"/>
        <s v="CAMBIO DE CERTIFICADO" u="1"/>
        <s v="RE: CAMBIO DE CONTRASEÑA HCOM  (STCDHCU)" u="1"/>
        <s v="Assesment herramienta para descarga - SIPOT" u="1"/>
        <s v="RE: Respaldo de BD Oaxaca Semanal 10 DE AGOSTO  2020" u="1"/>
        <s v="RE: RENOVACIÓN .CER_04.08.20_PEMEX FERTILIZANTES" u="1"/>
        <s v="RE: RENOVACIÓN .CER_06.08.20_PEMEX FERTILIZANTES" u="1"/>
        <s v="RE: Respaldo de BD Oaxaca Semanal 24 DE AGOSTO  2020" u="1"/>
        <s v="RE: solicitud de cancelación" u="1"/>
        <s v="RESPALDO SEMANAL  NL 15 DE JUNIO DE 2020" u="1"/>
        <s v="RE: Se solicita apoyo a efecto de cambiar medio de notificación del recurrente en la PNT respecto al RRA 06359/20 vs API MAZATLÁN " u="1"/>
        <s v="GI - Recepción Solicitudes" u="1"/>
        <s v="-&gt; Mensajes de validacion de folio en buscador nacional" u="1"/>
        <s v="CAMBIO DE CERTIFICADO " u="1"/>
        <s v="Assesment producción comprobación de salud para la base de datos" u="1"/>
        <s v="OPTIMIZAR FUNCIONALIDAD CEVINAI " u="1"/>
        <s v="ACTUALIZACION DE CERTIFICADO" u="1"/>
        <s v="Integracion de validacion de expiración del Token en servicios" u="1"/>
        <s v="Informes INAI" u="1"/>
        <s v="RE: Solicitud de apoyo para cambio del medio de notificación en la PNT, en el RRA-RCRD 05884/20  vs PEMEX" u="1"/>
        <s v="RE: Regreso de actividad del RRD 00699/20" u="1"/>
        <s v="Eliminado valor default en idFormatoAcceso para solicitudes publicas" u="1"/>
        <s v="RE: SAIP" u="1"/>
        <s v="ACTUALIZACION DE DATOS" u="1"/>
        <s v="Busqueda mis solicitudes, mis quejas" u="1"/>
        <s v="RESPALDO SEMANAL  TLAXCALA 5 de abril de 2021" u="1"/>
        <s v="SISPD 2" u="1"/>
        <s v="RE: Cambio de turno RRD 0153/20" u="1"/>
        <s v="RE: Problemas con solicitud 01186520 en INFOMEX Michoacán" u="1"/>
        <s v="RESPALDO SEMANAL GUERRERO  19 de abril de 2021" u="1"/>
        <s v="Hacer Home de CBPR " u="1"/>
        <s v="Assesment de extracción de datos -SISAI, SIGEMI-SICOM" u="1"/>
        <s v="Habilitar pagos" u="1"/>
        <s v="RE: Solicitud de regreso de pasos RRA 05361/20" u="1"/>
        <s v="Soporte a SIGEMI" u="1"/>
        <s v="RE: solicitud de cambio de medio de comunicación RRD 00424/20" u="1"/>
        <s v="RV: Cancelación de pasos en la PNT" u="1"/>
        <s v="RE: SIGEMI: cambio de Medio de notificación " u="1"/>
        <s v="RV: Regreso de paso en PNT" u="1"/>
        <s v="Re: CAMBIO DE FECHA AL DÍA HABIL SIGUIENTE" u="1"/>
        <s v="Revision de parametros de base de datos(oracle parameters)" u="1"/>
        <s v="RE: URGENTE......RV: Incidencia en PNT - RRA 07709/20 " u="1"/>
        <s v="RE: cambio de TUT CULTURA" u="1"/>
        <s v="RE: Oaxaca Urgente: Reasignación de plazos SICOM continuidad de suspensión al 23 de noviembre" u="1"/>
        <s v="Depuracion para encontrar error al iniciar sesion con FB" u="1"/>
        <s v="RE: Caso" u="1"/>
        <s v="Desarrollo y correcciones" u="1"/>
        <s v="RE: RENOVACIÓN .CER_03.07.20_FIDEICOMISO CIDETEQ" u="1"/>
        <s v="Agregar campo resumen en base de datos y vistas de consultas" u="1"/>
        <s v="RE: OAXACA URGENTE: Ajuste de plazos en Infomex al 13 de noviembre" u="1"/>
        <s v="RV: Turno RRD 1164/20" u="1"/>
        <s v="RV: Incidencia PNT." u="1"/>
        <s v="RV: apoyo para que pueda visualizarse un returno" u="1"/>
        <s v="Atención a usuarios " u="1"/>
        <s v="RV: Oficios de días inhábiles " u="1"/>
        <s v="RESPALDO SEMANAL GUERRERO  5 de abril de 2021" u="1"/>
        <s v="RV: Respaldo de BD Oaxaca Semanal  03 de Noviembre  2020" u="1"/>
        <s v="RE: documentos de turno a modificar" u="1"/>
        <s v="RV: Anexar número de folio en la PNT" u="1"/>
        <s v="RV: Respaldo de BD Oaxaca Semanal  09 de Noviembre  2020" u="1"/>
        <s v="RE: favor de elimiar los recursos de revision con los folios siguientes" u="1"/>
        <s v="RE: SOLICITUD DE MODIFICACIÓN DE ESTATUS EN INFOMEX" u="1"/>
        <s v="RE: CAMBIO CERTIFICADO CIDESI" u="1"/>
        <s v="RE: ELIMINAR DE LA BANDEJA DE TURNO" u="1"/>
        <s v="RE: ELIMINAR RECURSO" u="1"/>
        <s v="Configuración de Servidores y Servicios" u="1"/>
        <s v="RV: SIGEMI- Cambio de Fecha en admisión " u="1"/>
        <s v="Respaldo de BD Oaxaca Semanal 22 DE JUNIO 2020" u="1"/>
        <s v="Correccion validacion en page quejas" u="1"/>
        <s v="RV: Actualización de SO en VUT" u="1"/>
        <s v="Adecuaciones tema de notificiones" u="1"/>
        <s v="RE: Cambio de Certificado S.O. a cargo del INDEP" u="1"/>
        <s v="ELIMINAR RECIBO DE PAGO " u="1"/>
        <s v="Respaldo de BD Oaxaca Semanal  8 de Marzo 2021" u="1"/>
        <s v="Correcicon al desinstalar app android no elimina los datos" u="1"/>
        <s v="Assestment tratamiento de la información" u="1"/>
        <s v="Generar modulos de roles de usuarios" u="1"/>
        <s v="RE: Respaldo de BD Oaxaca Semanal  28 DE DICIEMBRE  2020" u="1"/>
        <s v="Carga de contenido" u="1"/>
        <s v="RV: Eliminar recurso que se cargó incorrectamente" u="1"/>
        <s v="RV: SE SOLICITA CORRECIÓN AL EXPEDIENTE RRA 8076" u="1"/>
        <s v="RE: Acuerdos de Sujetos Obligados enviados a COTAI" u="1"/>
        <s v="Cambio de fechas" u="1"/>
        <s v="Correccion sistema de archivos Android 11" u="1"/>
        <s v="RV: Oaxaca URGENTE: Ajuste de plazos de vencimiento de por COVID-19 en Infomex  23 junio" u="1"/>
        <s v="RESPALDO SEMANAL NUEVO LEÓN" u="1"/>
        <s v="Componente:Domicilio-U" u="1"/>
        <s v="Crear las validaciones para la modificación de usuarios" u="1"/>
        <s v="Analisis proceso pizarras" u="1"/>
        <s v="Pruebas para quejas saimex" u="1"/>
        <s v="RESPALDO SEMANAL  NL  2 de Febrero de 2021" u="1"/>
        <s v="Implementación de manual de Instalacion para ambiente de Declaranet desarrollo" u="1"/>
        <s v="Generación de reportes" u="1"/>
        <s v="RV: Solicitud de apoyo para generar información para el Censo Nacional de Transparencia, Acceso a la Información Pública y Protección de Datos Personales Estatal 2020" u="1"/>
        <s v="RV: corrección de fechas y turnos " u="1"/>
        <s v="SCRIPT" u="1"/>
        <s v="RE: Tabla PSI y sus referencias" u="1"/>
        <s v="Revision y análisis de RFC" u="1"/>
        <s v="RE: Pendiente Urgente Oaxaca: Reasignación de plazos INFOMEX 10ma ampliación de suspensión de plazos al 03 de noviembre" u="1"/>
        <s v="RESPALDO SEMANAL  NL 22 de Febrero de 2021" u="1"/>
        <s v="RV: Oaxaca Urgente: Reasignación de Plazos por 2da ampliación de suspensión Infomex SAI y SDP" u="1"/>
        <s v="RE: actualización TUT SO indirecto SRE urgente" u="1"/>
        <s v="RE: Ayuda con PNT" u="1"/>
        <s v="Servicio externo mis quejas " u="1"/>
        <s v="RV: CERTIFICADO   SINAPICID INAH (60310)" u="1"/>
        <s v="RV: Incidencia en PNT - RRA 03397/20" u="1"/>
        <s v="RE: Regresar pasos RR.PNT/047/2020" u="1"/>
        <s v="RE: Habilitar el paso de cierre de instrucción en la PNT" u="1"/>
        <s v="Atención  a soportes " u="1"/>
        <s v="Cambio de texto de resolucion" u="1"/>
        <s v="Integración de validación para la carga de Rol de Administrador general en migración de usuarios" u="1"/>
        <s v="RE: Apoyo PNT RRD 00658/20" u="1"/>
        <s v="Portal Web" u="1"/>
        <s v="RE: cambio de certificado INACIPE" u="1"/>
        <s v="RV: RRA 5320/19" u="1"/>
        <s v="Problemas para aplicar respuesta" u="1"/>
        <s v="Realizar ajutes y colocar contenido" u="1"/>
        <s v="Contestar quejas de saimex" u="1"/>
        <s v="RE: RENOVACIÓN .CER_14.04.20_CNDH" u="1"/>
        <s v="Desbloqueo de usuario" u="1"/>
        <s v="SCRIPT " u="1"/>
        <s v="RE: RENOVACIÓN .CER_15.04.20_CNDH" u="1"/>
        <s v="RE: cambio TUT y CER INDAABIN" u="1"/>
        <s v="RV: Oaxaca Urgente: Reasignación de Plazos por ampliación de suspensión Infomex SAI y SDP" u="1"/>
        <s v="RV: regreso de pasos RRA 03512/20" u="1"/>
        <s v="Revisión de casos faltantes en SAP CRM" u="1"/>
        <s v="RE: RESPALDO SEMANAL  TLAXCALA 30 de Noviembre DE 2020" u="1"/>
        <s v="RV: Respaldo de BD Oaxaca Semanal 23 de Noviembre  2020" u="1"/>
        <s v="RV: cambio de fecha de entrada en el turno." u="1"/>
        <s v="RE: Respaldo de BD Nuevo León Semanal 7 de Septiembre  2020" u="1"/>
        <s v="RE: FAVOR DE REGRESAR LOS EXPEDIENTES A LA BANDEJA DE TURNADO  DEL SICOM" u="1"/>
        <s v="Reinicio de contraseña CBOCANEGRA, solicitado por Claudia Domínguez" u="1"/>
        <s v="RE: Regreso de actividad RRA 06785/20" u="1"/>
        <s v="RE: URGENTE ATENCIÓN PRO FAVOR" u="1"/>
        <s v="Adaptar respuesta en /registrarRespuestaSolicitante" u="1"/>
        <s v="RE: Respaldo de BD Oaxaca Semanal 6 de JULIO  2020" u="1"/>
        <s v="RE: ALTA EXPEDIENTE RDA 0791/12-TER" u="1"/>
        <s v="RE: Cambio certificado FND" u="1"/>
        <s v="RESPALDO SEMANAL  NL  5 de abril de 2021" u="1"/>
        <s v="RV: Cambio de fecha de entrada. RRA 1736/20" u="1"/>
        <s v="RE: Cambio de domicilio del RRD 00441/20" u="1"/>
        <s v="RE: NUEVO TUT_05.08.20_API VALLARTA" u="1"/>
        <s v="PIT 2019" u="1"/>
        <s v="RE: Oaxaca Urgente: Ajuste de fechas de vencimiento de Servicios de Salud" u="1"/>
        <s v="RE: Cambio de SIGLAS en los sistemas para el S.O. &quot;CDI&quot;" u="1"/>
        <s v="Detalle queja SAIMEX" u="1"/>
        <s v="RE: Cambio de Certificado para H-COM (SGM)" u="1"/>
        <s v="Depuracion y rastreo de datos para implementar push notifications" u="1"/>
        <s v="RE: INF00459 Actualización TUT SO indirecto CONSAR" u="1"/>
        <s v="Alta de Dependencia" u="1"/>
        <s v="RE: Cambio de correo RRA 08102/20" u="1"/>
        <s v="PDP 2020" u="1"/>
        <s v="RE: RENOVACIÓN.CER_19.03.20_API VERACRUZ" u="1"/>
        <s v="Seguimiento a folios" u="1"/>
        <s v="Construccion vista para resultados busqueda Sueldos" u="1"/>
        <s v="RE: Respaldo de BD Nuevo León Semanal 10 DE AGOSTO  2020" u="1"/>
        <s v="RE: Acuerdos de Sujetos Obligados enviados a COTAI días " u="1"/>
        <s v="Cambio buscador de obligaciones" u="1"/>
        <s v="RE: RRA 10332/20" u="1"/>
        <s v="Revision de Reportes PRODATOS" u="1"/>
        <s v="Alinear botón" u="1"/>
        <s v="RE: Clave Departamentos Padres" u="1"/>
        <s v="Validacion al marcar aceptaCondiciones en datos estadisticos" u="1"/>
        <s v="RE: cambio de medio de notificación RRA 01937/20" u="1"/>
        <s v="AJUSTE DE SEMAFORO  Y FECHA" u="1"/>
        <s v="Respaldo de BD Oaxaca Semanal  22 de Febrero 2021" u="1"/>
        <s v="RE: Respaldo de BD Nuevo León Semanal 24 DE AGOSTO  2020" u="1"/>
        <s v="ACTUALIZAR CORREO" u="1"/>
        <s v="Error en la navegacion al registrar usuario" u="1"/>
        <s v="RV: Solicitud ID Infomex para alta en PNT" u="1"/>
        <s v="ACTUALIZACIÓN DE CERTIFICADO" u="1"/>
        <s v="RE: INF00268 Certificado Fondo CEAV" u="1"/>
        <s v="RESPALDO SEMANAL  NL  16 de Marzo de 2021" u="1"/>
        <s v="TESTAR DATOS" u="1"/>
        <s v="Solicitud de modificación de datos en PNT." u="1"/>
        <s v="RE: RENOVACIÓN .CER_28.04.20_FIDEICOMISO CIBNOR" u="1"/>
        <s v="Actualización de datos" u="1"/>
        <s v="RE: Apoyo script Infomex" u="1"/>
        <s v="Inicio de sesion con Twitter" u="1"/>
        <s v="Construcción de script " u="1"/>
        <s v="PDP 2021" u="1"/>
        <s v="RV: Regreso de pasos RRA 5296/20" u="1"/>
        <s v="V: Día Inhábil por Contingencia climatológica en NL" u="1"/>
        <s v="CORRECCIÓN DE RUTAS DE ARCHIVOS" u="1"/>
        <s v="RV: Oaxaca URGENTE: Ajuste de plazos de vencimiento de por COVID-19 en Infomex RR00002620, RR00002820 y RR00003020" u="1"/>
        <s v="RE: Solicitud de Id" u="1"/>
        <s v="Desarrollo de propuesta de micrositio" u="1"/>
        <s v="RV: Apoyo Notificaciones PNT!!!" u="1"/>
        <s v="RE: URGENTE APOYO,  RRA 9601/20  APOYO PARA MODIFICACIONES EN EL EXPEDIENTE ELECTRÓNICO." u="1"/>
        <s v="ACTUALIZAR FECHAS" u="1"/>
        <s v="RE: Actualización TUT SO indirectos SEP universidades" u="1"/>
        <s v="RV: Incidencia RRD 00703/20 (DUPLICIDAD EN LA INTERPOSICIÓN DE UN RECURSO EN LA HERREMIENTA)" u="1"/>
        <s v="RE: Cambio de certificado INECC" u="1"/>
        <s v="RE: INF01819 Generar accesos HCOM para fondos y fideicomisos IMSS" u="1"/>
        <s v="ACTUALIZAR FECHAS " u="1"/>
        <s v="RE: Solicitud de cambio medio para recibir notificaciones." u="1"/>
        <s v="Assesment de extracción de datos SIPOT" u="1"/>
        <s v="Crear modulo de login y roles de usuarios (recursos, menú y usuarios)" u="1"/>
        <s v="Cambio de icono default de la aplicaciòn (launcher)" u="1"/>
        <s v="Plataforma de Transparencia y Apertura en Infraestructura" u="1"/>
        <s v="Assesment unidades muestrales SISAI" u="1"/>
        <s v="RV: Cambio de correo RRA 08342/20" u="1"/>
        <s v="RV: Oaxaca Urgente: Modificación de plazos SICOM 2da ampliación  suspensión" u="1"/>
        <s v="Ajustes a sitio" u="1"/>
        <s v="Assesment general busqueda de salidas del software" u="1"/>
        <s v="Ambientacion INAI PNT" u="1"/>
        <s v="Generar script" u="1"/>
        <s v="RE: Retroceso de paso en PNT - RRA 02630/20" u="1"/>
        <s v="RV: Día Inhábil por Contingencia climatológica en NL" u="1"/>
        <s v="Problemas con el reporte" u="1"/>
        <s v="Eliminar solicitudes" u="1"/>
        <s v="GENERAR Y ACTUALIZAR CERTIFICADO" u="1"/>
        <s v="RE: Solicitud de regreso de actividad" u="1"/>
        <s v="CAMBIO DE CONTRASEÑA " u="1"/>
        <s v="Revisión de documentación" u="1"/>
        <s v="Desarrollo de componente calendarios" u="1"/>
        <s v="Comonente: respuesta" u="1"/>
        <s v="Assesment etiquetado - SISAI" u="1"/>
        <s v="RE: SOLCIITDU DE APOYO PARA CAMBIO DE FECHA DE INTERPOSICIÓN DE LOS RECURSOS." u="1"/>
        <s v="RV: RCURSO RRA 0665/20" u="1"/>
        <s v="RE: Apoyo para obtener información" u="1"/>
        <s v="WordPress" u="1"/>
        <s v="RE: Eliminación de folio" u="1"/>
        <s v="RV: Cambio de nombre del recurrente RRD 0101/20" u="1"/>
        <s v="Modificar Respuestas Solicitud" u="1"/>
        <s v="RE: Oaxaca URGENTE: Ajuste de plazos de vencimiento por COVID-19 del 17  junio 2020 parte 2" u="1"/>
        <s v="RE: NUEVO TUT_16.10.20_API ENSENADA" u="1"/>
        <s v="Análisis de docuemtnos para dar de alta los sitios" u="1"/>
        <s v="Entregar documentación, proyecto y recursos del proyecto Pizarras." u="1"/>
        <s v="Preparar Ambiente Local " u="1"/>
        <s v="Pruebas para quejas" u="1"/>
        <s v="RV: SIGEMI Cambio de Nombre del Recurrente" u="1"/>
        <s v="RE: Folio 0610100171320." u="1"/>
        <s v="RV: URGENTE OAXACA: Ajuste de plazos por COVID-19, SISMO 23 y PROGRAMAS SOCIALES en Infomex del 14 al 18 de agosto" u="1"/>
        <s v="RV: Se solicita respaldo de base de datos" u="1"/>
        <s v="RE: NUEVO TUT_16.04.20_API VALLARTA" u="1"/>
        <s v="RE: Corrección PNT RRD 0015/20" u="1"/>
        <s v="Desarrollar modulo de actualizacion de objetivos" u="1"/>
        <s v="RE: SOLCITUD DE CAMBIO DE FECHA AL DÍA HABIL SIGUIENTE" u="1"/>
        <s v="CORREGIR INCIDENCIA" u="1"/>
        <s v="RE: ACCESO A HERRAMIENTA DE COMUNICACION" u="1"/>
        <s v="RE: Cambio de medio de notificación RRA 01531/20 y RRD 01536/20 " u="1"/>
        <s v="RV: OAXACA URGENTE: Ajuste de plazos por COVID-19,SISMO 23, PROGRAMAS Y ADJUDICACIONES en Infomex 05 y 06 septiembre" u="1"/>
        <s v="UT-Recepcion Solictudes Subenlace" u="1"/>
        <s v="RV: ALTA EXPEDIENTE BIS RDA 5354-15-SEPTIMUS" u="1"/>
        <s v="-&gt; Se resalta la palabra buscada en el buscador nacional" u="1"/>
        <s v="Re: Problemas acuse solicitud 00677620" u="1"/>
        <s v="Proceso de entrega" u="1"/>
        <s v="RE: Oaxaca Urgente: Error Cálculo de prórroga a partir de la fecha de presentación Infomex" u="1"/>
        <s v="Pruebas  y ajuste tarea programada " u="1"/>
        <s v="RE: cambio de TUT SAT" u="1"/>
        <s v="RE: RENOVACIÓN.CER_11.02.20_FONATUR INF" u="1"/>
        <s v="RE: Actualización .cer " u="1"/>
        <s v="RV: SOLICITUD DE APOYO RRA 762/20" u="1"/>
        <s v="RESPALDO SEMANAL  NL  11 de Enero 2020" u="1"/>
        <s v="Clic" u="1"/>
        <s v="RE: Datos" u="1"/>
        <s v="Assesement Etiquetado y modelado" u="1"/>
        <s v="RE: Regreso de Paso PNT RRD 01582." u="1"/>
        <s v="RV: CAMBIO DE Fecha DE INTERPOSICIÓN Y ACUERDO DE TURNO" u="1"/>
        <s v="RE: OAXACA URGENTE: Ajuste de plazos por COVID-19 número R.R.A.I 0231/2020/SICOM" u="1"/>
        <s v="RE: Corrección de fecha recurso. " u="1"/>
        <s v="Estimacion" u="1"/>
        <s v="RE: apoyo 00299520" u="1"/>
        <s v="Avance mockups Ejes, líneas estratégicas Pizarras 4" u="1"/>
        <s v="RE: Actualización de términos" u="1"/>
        <s v="RE: Creación certificado PRI" u="1"/>
        <s v="RV: Oaxaca Urgente: Modificación de plazos SICOM 3da ampliación  suspensión al 07 de junio" u="1"/>
        <s v="RV: Regresos de pasos " u="1"/>
        <s v="Adaptar objeto Acuerdo segun la respuesta del Endpoint" u="1"/>
        <s v="RV: Oaxaca URGENTE: Ajuste de plazos de vencimiento por tema COVID-19 al 04-05-2020" u="1"/>
        <s v="Correccion al mostrar PDF adjunto" u="1"/>
        <s v="Descargar archivos adjuntos en solicitudes y quejas, descargar archivos multiples saimex y enviar estadisticos en buscador" u="1"/>
        <s v="RE: Falla en sistema INFOMEX San Luis Potosí." u="1"/>
        <s v="Armonización en materia de archivos" u="1"/>
        <s v="RE: Actualización TUT SO indirectos SEP" u="1"/>
        <s v="Implementación de Servicios para Líneas de Acción" u="1"/>
        <s v="Enlazar funcionalidad de filtros cons vista web" u="1"/>
        <s v="RV: Oaxaca Urgente: Reasignación de Plazos por 3ra ampliación de suspensión Infomex SAI y SDP 07Junio" u="1"/>
        <s v="RE: RRA 8180/20 MODIFICACIÓN EN PNT" u="1"/>
        <s v="RE: Apoyo Interposición Recursos." u="1"/>
        <s v="Configuracion de horarios" u="1"/>
        <s v="Integración de Método genérico para validar expiracion de token (en caso de aplicar)" u="1"/>
        <s v="RE: CAMBIO DE MEDIO DE COMUNICACIÓN RRA 15427/19" u="1"/>
        <s v="Problemas para dar respuesta" u="1"/>
        <s v="RE: renovación de certificados SEMARNAT" u="1"/>
        <s v="RE: Incidencia en PNT - RRA 15572/19" u="1"/>
        <s v="RV: Cambio de término de folios" u="1"/>
        <s v="Assesment unidades muestrales SIGEMI-SICOM" u="1"/>
        <s v="Respaldo de BD Oaxaca Semanal  22 de Marzo 2021" u="1"/>
        <s v="RV: Oaxaca Urgente: Reasignación de plazos INFOMEX 7ma ampliación de  suspensión de plazos al 18 de agosto" u="1"/>
        <s v="Cambio de archivo" u="1"/>
        <s v="Módulo Sala de Prensa" u="1"/>
        <s v="RE: Cambio Titular INCICH" u="1"/>
        <s v="Desarrollar modulo de actualización de roles" u="1"/>
        <s v="RE: Actualización del certificado del Titular de la Unidad de Transparencia del SPR" u="1"/>
        <s v="Se implementa descarga de archivos para acuses" u="1"/>
        <s v="RV: Oaxaca URGENTE: Ajuste de plazos de vencimiento de por COVID-19 en Infomex RR00003220" u="1"/>
        <s v="Eliminar subproceso " u="1"/>
        <s v="RE: Cambo de fecha" u="1"/>
        <s v="PROSEDE 2021" u="1"/>
        <s v="Vistas Materializadas" u="1"/>
        <s v="RE: Deshacer proceso de informe de cumplimiento" u="1"/>
        <s v="RV: CAMBIO DE MEDIO DE NOTIFICACIÓN RRA 747/20" u="1"/>
        <s v="RV: Apoyo SIGEMI-SICOM" u="1"/>
        <s v="RE: Cumplimiento RRA 16049/19 y RRA 0986/20" u="1"/>
        <s v="CAMBIO DE TUT " u="1"/>
        <s v="RV: SOLICITUD DE APOYO RRA 3630/20" u="1"/>
        <s v="RE: SIGEMI: Regreso de Paso" u="1"/>
        <s v="RESPALDO SEMANAL GUERRERO 1 DE JUNIO DE 2020" u="1"/>
        <s v="ATENCIÓN A INCIDENCIAS " u="1"/>
        <s v="RE: REPORTE DE SOLICITUDES MANUALES" u="1"/>
        <s v="GI-Reporte Solicitudes Atendidas por Unidad Administrativa" u="1"/>
        <s v="RV: NUEVO TUT_20.01.21_API TOPOLOBAMPO" u="1"/>
        <s v="RE: Oaxaca Urgente: Ajuste de solicitudes con prórroga por error del proceso" u="1"/>
        <s v="GAP Público" u="1"/>
        <s v="RE: Cambio de contraseña Hcom _ SRE" u="1"/>
        <s v="RV: Se solicita generación de alta en los sistemas que administra el INAI, del nuevo sujeto obligado OCUBBJG" u="1"/>
        <s v="RV: OAXACA URGENTE: Ajuste de plazos por COVID-19,SISMO 23 y PS en Infomex al 25 agosto" u="1"/>
        <s v="Desarrollar modulo de envio de correo electronico" u="1"/>
        <s v="Actualización o creación de Token (Usuario y password)" u="1"/>
        <s v="RE: Cambio certificados HCOM" u="1"/>
      </sharedItems>
    </cacheField>
    <cacheField name="Descripción" numFmtId="0">
      <sharedItems containsBlank="1" count="8000" longText="1">
        <s v="Se modifico y mejor el componente de Integrantes Línea de Acción"/>
        <s v="Se modifico y mejor el componente de Unidades Administrativas"/>
        <s v="Se modificaron y mejoraron las pantallas de  Líneas Estrategicas y Líneas de Acción ya que sus campos eran incorrectos"/>
        <s v="Se ha creado el template inicial para la pantalla de Areas administrativas de Implementación para el menú de Catálogos"/>
        <s v="Ajuste y consumo del Servicio del back end para conectar con el template de Líneas de Acción"/>
        <s v="Se han conectado los servicios obtenidos del back end al Componente de Líneas de Acción"/>
        <s v="Se mejoro la conexión con el back end desde usuario, de manera que los datos se traen de mejor forma"/>
        <s v="Se han conectado con los end points del back end para la consulta de Menú dinamico en base los diferentes perfiles"/>
        <s v="Se han hecho ajustes al componente de Usuarios para la opción de validar por Perfil el acceso a UA o Integrantes"/>
        <s v="Se han realizado ajustes a los Catalogos de Integrantes y Usuarios"/>
        <s v="Se ha dado revisión con el equipo para la logica de Formato Seguimientos"/>
        <s v="Se ha dado revisión con el equipo para la logica de Formato ABC"/>
        <s v="Se han conectado los componentes para la pantalla de Actividades con el BackEnd para consulta y busqueda"/>
        <s v="Se han conectado los componentes para la pantalla de Actividades con el BackEnd para Alta y Baja"/>
        <s v="Se han creado los servicios para la pantalla de Seguimiento para realizar las consultas, bajas, altas"/>
        <s v="Se han creadoel componente necesario para las botoneras de Estatus de Actividades"/>
        <s v="Se han conectado con los end points del back end para el componente de las botoneras, así como implementación en el componente de Actividades"/>
        <s v="Se ha creado el template inicial para la pantalla de  Configuración Tiempo Respuesta para el menú de Flujos"/>
        <s v="Se ha creado el template inicial para la pantalla de Asociar Líneas Acción para el menú de Flujos"/>
        <s v="Se ha conectado y consumido los servicios para Seguimiento, en altas, bajas y consulta"/>
        <s v="Se realizaron correcciones en el Catalogo de Usuarios debido a que se mostraban incorrectamente los campos de Integrantes y UA dependiendo el perfil firmado"/>
        <s v="Se termino de conectar y testear el componente de Seguimientos con back end"/>
        <s v="Modificar Respuestas"/>
        <s v="Modificar Respuestas Contestar"/>
        <s v="Modificar Respuestas Solicitud"/>
        <s v="Modificar Respuestas Recepcion Soporte"/>
        <s v="Modificar Respuestas Transferencia"/>
        <s v="Agregar configuraciones de pago para el componente administración de pagos (muchas reglas de negocio)"/>
        <s v="Modificacion de componente modificar-respuestas solicitud aceptar"/>
        <s v="Modificacion de componente modificar-respuestas solicitud contestar"/>
        <s v="Componente Sustituir Respuesta"/>
        <s v="Componente Sustituir Respuesta Asignar"/>
        <s v="Componente Sustituir Respuesta Sustituir"/>
        <s v="Componente Sustituir Respuesta Contestar"/>
        <s v="Soporte a servicios, menus, diversos componentes"/>
        <s v="Desarrollo del front-end de pizarras"/>
        <s v="Descarga de codigo SISAI Back y configuracion de servidores para ambiente de desarrollo"/>
        <s v="Servicio de modifiacion de turnado de solicitudes en para consumo de PNT - Nuevo"/>
        <s v="Servicio de modifiacion de respuesta de solicitudes en para consumo de PNT - Nuevo"/>
        <s v="Servicio para la sustitución de respuestas, para consumo en PNT - Nuevo"/>
        <s v="Adecuación de bitácoras de soporte para nuevas funcionalidades registradas"/>
        <s v="Descarga de código pizarras Back y análisis de ambiente para desarrollo "/>
        <s v="Mapeo y construcción de servicio de consultas para el módulo de seguimiento"/>
        <s v="Servicio para el alta seguimientos"/>
        <s v="Servicio para la baja de seguimientos"/>
        <s v="Servicios de actualizar, cancelar, enviar y rechazar para el módulo de seguimiento"/>
        <s v="Servicio para realizar la carga de actividades ABC del módulo de actividades"/>
        <s v="Realizar consultas "/>
        <s v="Carga de formatos "/>
        <s v="Control de cambio "/>
        <s v="Revisiones de planes "/>
        <s v="Planeacion carga de archivos "/>
        <s v="Accesos en pagina web "/>
        <s v="Ensayo reportaje"/>
        <s v="Caja de herramientas"/>
        <s v="Parlamento abierto "/>
        <s v="promocion y vinculacion"/>
        <s v="Parlamento abierto 2022"/>
        <s v="avances informes institucionales "/>
        <s v="Rediseño de submenu de pagina web "/>
        <s v="Consultas envio de usuarios"/>
        <s v="Paginas web "/>
        <s v="Desarrollo del sitio"/>
        <s v="Desarrollo e implementación de las soluciones a los hallazgos de vulnerabilidad de la PNT SIGEMI"/>
        <s v="Desarrollo e implementación de las soluciones a los hallazgos de vulnerabilidad de la PNT SISAI"/>
        <s v="Desarrollo e implementación de las soluciones a los hallazgos de vulnerabilidad de la PNT Modulo de Usuarios"/>
        <s v="Desarrollo e implementación de las soluciones a los hallazgos de vulnerabilidad de la PNT SIPOT"/>
        <s v="Implementación funcionalidad descarga obligaciones de transparencia (datos abiertos)"/>
        <s v="Pruebas servicios externos y mejoras validaciones descarga archivos"/>
        <s v=" Se agrega validación (solo solicitante) a iconos actualizar y cambiar datos(componente sidebar)."/>
        <s v="Se refactoriza la carga de datos para los catálogos de estado o federación en pantallas modulo administración"/>
        <s v="Desarrollo modal avisos (home) y refactorización importaciones en el sharedModule. Asi como la creación de archivo de barril para los componentes."/>
        <s v="Se agregan validaciones y roles a rutas aplicación SISAIV3 para los roles  PNT- USUARIO DE RECURSOS FINANCIEROS  y  PNT- DIRECCION GENERAL DE ENLACE. Se hace análisis y estimación de tiempos para la atención de incidencias detectadas en las pruebas de seguridad de código estático."/>
        <s v="Se implementa bandera activa a items del menú del aplicativo PNT V3 y se agregan validaciones con los distintos roles del aplicativo"/>
        <s v="Se agregan validaciones a iconos sidebar y se ajusta redirección datos abiertos"/>
        <s v="Se refactorizan request que incluyen la palabra password en jsp del portlet"/>
        <s v="Se cambian los console.log por console.error en controladores y servicios  portlet administración"/>
        <s v="Se quita código comentado y se cambia la manera de comentar en los archivos jsp"/>
        <s v="Pruebas y actualización angularjs en portlet administración"/>
        <s v="Atención de posibles vulnerabilidades de seguridad en portlet administración"/>
        <s v="Revision de Numeración erronea en casos y ajuste en contadores"/>
        <s v="Access Specifier Manipulation"/>
        <s v="Insecure Randomness"/>
        <s v="Key Management: Hardcoded Encryption Key"/>
        <s v="Log Forging"/>
        <s v="Null Dereference"/>
        <s v="Password Management: Password in Configuration File"/>
        <s v="Path Manipulation"/>
        <s v="Portability Flaw: Locale Dependent Comparison"/>
        <s v="Privacy Violation: Heap Inspection"/>
        <s v="Race Condition: Singleton Member Field"/>
        <s v="Unreleased Resource: Streams"/>
        <s v="Weak Encryption: Insecure Mode of Operation"/>
        <s v="Build Misconfiguration: External Maven Dependency Repository"/>
        <s v="Code Correctness: Byte Array to String Conversion"/>
        <s v="Code Correctness: Class Does Not Implement equals"/>
        <s v="Code Correctness: Comparison of Boxed Primitive Types"/>
        <s v="Code Correctness: Constructor Invokes Overridable Function"/>
        <s v="Modificar paidload que genera Liferay para leer Id que trae el token"/>
        <s v="Agregar funcionalidad para generar token con el Id usuario autenticado en Liferay"/>
        <s v="Programar mecanismo de descifrado de token"/>
        <s v="Integración con mecanismo del token del service builder con el back end"/>
        <s v="Servicios Back Solicitudes"/>
        <s v="Servicios Back Unidad de Transparencia"/>
        <s v="Servicios Back Gestión Interna"/>
        <s v="Actualizacion CEVINAI "/>
        <s v="Micrositio Certamen "/>
        <s v="PROSEDE "/>
        <s v="Migracion de Informacion Resoluciones "/>
        <s v="Carga a micrositio Premio Innovacion "/>
        <s v="Project Micrositios "/>
        <s v="Revision de micrositios "/>
        <s v="Contenido Certamen "/>
        <s v="Actualizacion Unidad de Transparencia "/>
        <s v="Actualizacion Comité de Transparencia "/>
        <s v="Credenciales Prosede "/>
        <s v="Actualizacion de Usuarios SNT "/>
        <s v="Modificacion en Certamen "/>
        <s v="Actualizacion Micrositio del CIT23 "/>
        <s v="Banco de Practicas "/>
        <s v="Micrositio Contratacion Abierta "/>
        <s v="Modificacion Certamen 2023 "/>
        <s v="Analisis y revisión de la guía de remediación de SICOM"/>
        <s v="Se han trabajado y actualizado todos los módulos a petición de los clientes del sistema SIPRON I"/>
        <s v="Se han trabajado y actualizado todos los módulos a petición de los clientes del sistema SIPRON, nos dijeron que trabajaramos Sábado, Domingo y Lunes(Puente), y que sería remunerado con dias extras"/>
        <s v="Se han trabajado y actualizado todos los módulos a petición de los clientes del sistema SIPRON II"/>
        <s v="Se han trabajado y actualizado todos los módulos a petición de los clientes del sistema SIPRON III"/>
        <s v="Se han trabajado y actualizado todos los módulos a petición de los clientes del sistema SIPRON IV"/>
        <s v="Se han trabajado y actualizado todos los módulos a petición de los clientes del sistema SIPRON V"/>
        <s v="Elaboración de propuesta de 3 pantallas de entrada, creación del icono de información inteligente, diseño de pantalla de estadisticas y tendencias, elaboración de pantalla de solicitudes con reacomodo de 5 filtros."/>
        <s v="Elaboración de propuestade la pantalla con carrusel, acomodo de elementos en la pantalla de solicitudes y 2 propuestas de acomodo de solicitudes, propuesta de navegación de 42 temas y sus subtemas, propuesta de 3 iconos para los tema, elaboración y diseño de 3 pantallas de gráficas de los temas más consultados, propuesta de la colocación de datos duros con texto y gráfica circular."/>
        <s v="Propuesta y acomodo de 39 iconos para temas, cambio y propuesta de la sección de temas relacionados ordenados por probabilidad y análisis, propuesta de hoja de la solicitud a la hora de bajar el archivo en PDF, diseño de la propuesta de la vista de los Subtemas, cambio de propuesta para la pantalla de tendencias con 2 opciones: lo mas preguntado y lo más consultado, propuesta de 3 imágenes para gráficas de tendencias."/>
        <s v="Atención a cambios de las propuestas, ajustes de vistas, colores de gráficas y contornos, elaboración de archivos en ptt y pdf para su visto bueno, separación de elementos para la elaboración del HTML."/>
        <s v="Ajuste de contadores de Solicitud de Proteccion de Derechos,_x000a_Ajuste a casos de Solicitud de Proteccion de Derechos en la corrección de números de expediente"/>
        <s v="Se migra pantalla de login"/>
        <s v="Incorporar servicios de login"/>
        <s v="Se migra pantalla de registro"/>
        <s v="Se recuperar he integran keys para login con redes"/>
        <s v="Se incorpora login de Facebook y se obtienen token de pnt"/>
        <s v="Se incorpora login de Google y se obtienen token de pnt"/>
        <s v="Se incorpora login de Twitter y se obtienen token de pnt"/>
        <s v="Se incorpora login de Apple y se obtienen token de pnt"/>
        <s v="Agregar excepciones para falta de emial en redes sociales y configuracion interceptor "/>
        <s v="Se crea pantalla de home utilizando tabbar"/>
        <s v="Se crea el componente Card para utilizar en los menus de Home y se agrega animacion"/>
        <s v="Se crean listados que sirven como menu en Home"/>
        <s v="Se crea dialogo para mostrar durante la carga de una peticion u operacion"/>
        <s v="Se crea el formulario para Mis Solicitudes"/>
        <s v="Crear selector de sujeto obligado"/>
        <s v="Se genera el listado para los resultados de busqueda de mis solicitudes"/>
        <s v="Se genera vista detalle de mis solicitudes"/>
        <s v="Dentro la vista detalle de mis solicitudes, se agrega la vista para ver el historial de una solicitud"/>
        <s v="Se crea selector multiple para sujetos obligados"/>
        <s v="Eleccion de widget, maquetado del primer paso de formulairo y generacion de validaciones"/>
        <s v="Maquetado de formulario para crear solicitudes"/>
        <s v="Modificar archivos nativos para integracion de plugins para seleccionar archivos"/>
        <s v="Generar listado de notificaciones para el detalle de mis solicitudes"/>
        <s v="Se genera la pantalla de prevencion para el detalle de mis solicitudes"/>
        <s v="Se genera la pantalla de disponibilidad para el detalle de mis solicitudes"/>
        <s v="Se genera la pantalla de quejas para el detalle de mis solicitudes"/>
        <s v="Se genera la pantalla de prevencion parcial/prevencion para el detalle de mis solicitudes"/>
        <s v="Se complementan validaciones para crear solicitud"/>
        <s v="Se generan modelos y servicios faltantes para crear solicitud de informacion publica"/>
        <s v="Se tuvo uns sesión para revisar los reportes de pizarras que se tenían. De igual forma se tomó nota de los cambios que se requerían. Se comenzó a realizar la migración de base de datos."/>
        <s v="Se continuó con la migración a la nueva base de datos y se detectaron algunos campos faltantes."/>
        <s v="Se continuó con la migración a la nueva base de datos y se comenzaron a realizar pruebas de funcionalidad."/>
        <s v="Se concluyó con la migración a la base de datos y se complementó la tabla de entidades con la información del usuario- Se realizaron pruebas de funcionalidad."/>
        <s v="Se realizaron algunas pruebas funcionales además de que se realizaron pruebas de publicación de los reportes."/>
        <s v="Se realizaron los servicios correspondientes al módulo de Seguimiento de Actividades"/>
        <s v="Se realiza el Back de las pantallas de módulo de activdidades ABC, alta, baja, cambios y carga."/>
        <s v="Se terminan las funionalidades faltantes del sistema de Pizarras para presentar al usuario."/>
        <s v="Corrección de incidentes de seguridad, se arreglan hallazgos de vulnerabilidades de seguridad del sistema Buscador General"/>
        <s v="Se da soporte y mantenimiento de las incidencias reportadas por el área usuaria."/>
        <s v="Se da soporte y mantenimiento de las incidencias reportadas por el área usuaria en la capacitación."/>
        <s v="Se trabajan en las incidencias de pizarras. Consulta de actividades ABC, ordenamiento de tabla de actividades, incidencia de consulta de actividades"/>
        <s v="Se trabajan en las incidencias reportadas por el usuario y se vuelve a generar versión de pruebas "/>
        <s v="Se detecta la inicidencia de que se permite la creación de usuarios con el mismo correo y se detectan varios casos en la base"/>
        <s v="Se realiza la corrección y las restricciones en el back para la creación de usuarios"/>
        <s v="Se estudia la documentación proporcionada para la reingeniería del proceoso de quejas"/>
        <s v="Se hace el estudio del store procedure que forma parte del guardado de quejas actual"/>
        <s v="Se descarga el proecto nuevo de quejas y se realizan las conexiones y puebas necesarias para empezar el desarrllo del sistema. Se idetifican los servicios y las tablas necesarias dentro del servicio de guardado de queja"/>
        <s v="Se inicia el mapeo de las clases para iniciar a implmentar el servicio"/>
        <s v="Se realiza el mapeo de catalogos para ws guardado de queja"/>
        <s v="Se realiza el diseño de servicios y repositorios para todos los catalogos y entidades mapeadas"/>
        <s v="Se realiza el diseño de arquitectura para la unifiación de excepciones y validaciones dentro del proyecto"/>
        <s v="Se trabaja en el servicio de guardado de quejas"/>
        <s v="Se realiza la corrección del tamaño de caracteres dentro de los comentarios para actividades, seguimientos y actividades abc"/>
        <s v="Se trabaja con SICOM para mayor conexto del servicio y se resuelven dudas para la creación del nuevo servicio"/>
        <s v="Se da acompañamiento a Adrían para levantar el ambiente de pizarras y se atiende error de fecha de creación en actividades"/>
        <s v="Se realiza diagrama de flujo de lo que se realiza en el servicio de guardar quejas"/>
        <s v="Investigacion para crearla mejor opciónde un  carousel con css y html"/>
        <s v="Maquetado html  pantalla carousel"/>
        <s v="Maquetado css  pantalla carousel"/>
        <s v="Creacion de carousel con mas de una fila de iconos"/>
        <s v="Maquetado html segunda pantalla carousel"/>
        <s v="Maquetado css segunda pantalla carousel"/>
        <s v="Creacion de carousel con una fila de iconos"/>
        <s v="Investigacion de como crear barra lateral solo con html y css"/>
        <s v="Creacion de barra lateral y tabla colapsables"/>
        <s v="Creacion de pantalla  html y css para las 3 graficas"/>
        <s v="Reunión de revisión del HTML"/>
        <s v="Eloboración de paquete y envío de entregable"/>
        <s v="Elaboración de cambios en la maqueta, revisión de maqueta y envío de la maqueta final."/>
        <s v="Incidencia de consulta de actividades-Consulta de Seguimientos "/>
        <s v="Consulta de Actividades ABC, En catálogos líneas de acción se puede poner la numeración y agregar múltiples líneas"/>
        <s v="Ordenamiento de tabla de Actividades-ordenamiento de tabla de seguimientos"/>
        <s v="Generación de filtros en cascada en la parte de búsqueda, y en la creación de nuevo."/>
        <s v="Programación de modulos : Integrantes lineas de accion, Implementaciòn actividades, seguimiento actividades, Formato ABC, Catalogo lineas de accion"/>
        <s v="Reunión, acuerdos y revisión de las tecnologias que se utilizarán  para el desarrollo del Buscador"/>
        <s v="Recepción de  maquetado e inicio del análisis del Buscador"/>
        <s v="Inicio investigacion de la tecnologia Redux con Ngrx"/>
        <s v="Reunión para trabajar con el equipo y banderazo para iniciar con el análisis del desarrollo del Buscador"/>
        <s v="Inicio de capacitación tecnología Redux"/>
        <s v="Validación grupal de accesos al repositorio"/>
        <s v="Maquetado del carrusel principal"/>
        <s v="Conexión con servicios sin aplicar redux para el carrusel princiapal, se mantiene en suspenso el uso del ngrx"/>
        <s v="Diseño de carrousel secundario y analisis de la tarjeta SISAI de la aplicación, daily"/>
        <s v="Implementación del del patrón de diseño Redux, a cards"/>
        <s v="Análisis de los códigos propuestos para la aplicación del patron redux, en equipo y por separado"/>
        <s v="Conexión de un servicio,  sin Redux, para la modificación de las tarjetas como deben mostrarse ya con datos reales"/>
        <s v="Avances en tarjeta probabilidad de analisis, cambios en pagina de resultados"/>
        <s v="Cambios en temas-page, preparacion para subida de graficos, actualizacion de tarjeta SISAI y caruseles"/>
        <s v="Corrección de errores, y cambios solicitados a tarjeta SISAI"/>
        <s v="Cambio en efectos, filtros, input-search, efectos y reducers, tarjeta SISAI"/>
        <s v="Modificaciónes finales, de la tarjeta SISAI, creación de la tarjeta SICOM"/>
        <s v="Finalizacion de la tarjeta SICOM, Avances tarjeta SIPOT"/>
        <s v="Finalizacion tarjeta SIPOT"/>
        <s v="Se analiza y construye la peticion oara generar la solicitud de informacion"/>
        <s v="Se integra nuevo servicio para recuperar datos estadisticos del usuario, relevantes para el alta de solicitud"/>
        <s v="Se agregan validaciones de campos visibles y no visibles de acuerdo a las selecciones del usuario"/>
        <s v="Se crea nueva pantalla donde se podran descargar los acuses generados por una solicitud "/>
        <s v="El cuerpo de las peticiones se adapta a los campos escencialmente requeridos en la app movil, aplica para informacion publica y datos personales"/>
        <s v="Se crea una pantalla para cambiar los datos personales del usuario de cuenta [Controller, model, binding, screen]"/>
        <s v="Se destino tiempo para corregitr problemas de conectividad a la vpn"/>
        <s v="Se agrega el servicio para poder cambiar datos relativos al usuario [Model, request, response]"/>
        <s v="Se agrega el servicio para poder recuperar datos relativos al usuario y colocarlos en el formulario"/>
        <s v="Se agrega el servicio para poder cambiar contraseña deñ usuario [Model, request, response]"/>
        <s v="Se crea una pantalla para cambiar contraseña [Controller, model, binding, screen]"/>
        <s v="Se agregan opciones de envio a domicilio al recurrente de disponibilidad, se agrega listado de paises"/>
        <s v="Se agregan opciones de envio a domicilio al recurrente de disponibilidad, se agrega listado de municipios"/>
        <s v="Se agregan opciones de envio a domicilio al recurrente de disponibilidad, se agrega listado de colonias"/>
        <s v="Se agregan opciones de envio a domicilio al recurrente de disponibilidad, se agrega busqueda de domicilio via codigo postal"/>
        <s v="Se agrega el calco de costo del medio de reproduccion usando su respectivo servicio y el domicilio proporcionado"/>
        <s v="Se verifican validaciones para entrega nacional e internacional, asi tambien las relacionadas con los costos"/>
        <s v="Se genera la peticion y respuesta para responder al recurrente disponibildiad"/>
        <s v="Se genera la peticion para responder al recurrente prevencion, se hace busqueda en el codigo prexistente para rescatar el cuerpo de la peticion"/>
        <s v="Se crea la pantalla de buscador de mis quejas"/>
        <s v="Se crea la pantalla del detalle de mis quejas, lista el resultado de la busqueda"/>
        <s v="Se integra libreria y permisos para escuchar push notifications desde FCM"/>
        <s v="Se integra la reaccion de recibir notificaciones y se dirige las pantallas correspondiente existentes"/>
        <s v="Se crean patanllas faltantes para notificacion de finaliazacion de solicitud"/>
        <s v="Se integra servicio para buscar solicitudes publicas"/>
        <s v="Se crea vista de buscador de solicitudes publicas y sus validaciones"/>
        <s v="Se crea vista del listado de solicitudes publicas y servicio para compartir solicitud"/>
        <s v="Se crea vista de buscador de quejas y sus validaciones"/>
        <s v="Se integra servicio para buscar quejas"/>
        <s v="Se crea vista de buscador de obligaciones y sus validaciones"/>
        <s v="Se crea vista de catalogo para seleccionar Obligaciones disponibles del organo garante"/>
        <s v="Se integra servicio para buscar obligaciones"/>
        <s v="Se crea vista del listado de obligaciones"/>
        <s v="Se crea el item de cada resultado de buscador de acuerdo a la respuesta en forma de Map"/>
        <s v="Creacion de logica para obtener la informaciona mostrar correctamente en cada item"/>
        <s v="Se crea el pdf descargable del resultado del buscador"/>
        <s v="Se agregan las peticiones a servicios de estadistico para los 3 buscadores"/>
        <s v="Se agregan los servicios para descargar archivos adjuntos para solicitudes y quejas, se agrega libreria"/>
        <s v="Se crea vista para configurar datos del perfil"/>
        <s v="Se realizan pruebas a los servicios de buscadores y a los cuerpos de peticion"/>
        <s v="Se crea vista para datos de perfil personales de persona fisica"/>
        <s v="Se crea vista para datos de perfil personales de persona moral"/>
        <s v="Se crea vista para datos de direccion"/>
        <s v="Se crea vista para datos de estadisticos"/>
        <s v="Se crean peticiones para registrar nuevos usuarios"/>
        <s v="Se verifica la funcionalidad general de las pantallas existentes de la app"/>
        <s v="Se agregan validaciones de campos para registro de usuariois"/>
        <s v="Se crea nueva pantalla de registro para migrar el uso de liferay"/>
        <s v="Se agrega peticion para registrar nuevos usuarios"/>
        <s v="Se incorpora el registro con facebook, se recupera informacion publica de la cuenta"/>
        <s v="Se incorpora el registro con google, se recupera informacion publica de la cuenta"/>
        <s v="Se incorpora el registro con twitter, se recupera informacion publica de la cuenta"/>
        <s v="Se crean peticiones e interfaz para los botones de redes sociales"/>
        <s v="Se crea formulario y peticiones para recuperar contraseña con los servicios actuales"/>
        <s v="Se crea formulario y peticiones para recuperar contraseña con los servicios de pnt v3"/>
        <s v="Se atenendieron las remediacións correspondientes con: Null Dereference"/>
        <s v="Se atenendieron las remediacións correspondientes con: Password Management: Hardcoded Password"/>
        <s v="Se atenendieron las remediacións correspondientes con: Password Management: Password in Configuration File"/>
        <s v="Se atenendieron las remediacións correspondientes con: Portability Flaw: Locale Dependent Comparison y Path Manipulation"/>
        <s v="Se atenendieron las remediacións correspondientes con: Race Condition: Singleton Member Field"/>
        <s v="Se atenendieron las remediacións correspondientes con: Unreleased Resource: Streams"/>
        <s v="Se atenendieron las remediacións correspondientes con: Dead Code: Unused Field"/>
        <s v="Se atenendieron las remediacións correspondientes con: Code Correctness: Constructor Invokes Overridable Function"/>
        <s v="Se atenendieron las remediacións correspondientes con: Code Correctness: Dead Code: Unused Field"/>
        <s v="Se atenendieron las remediacións correspondientes con: Code Correctness: Dead Code: Unused Method"/>
        <s v="Se atenendieron las remediacións correspondientes con: Code Correctness: J2EE Bad Practices: Leftover Debug Code"/>
        <s v="Se atenendieron las remediacións correspondientes con: Missing Check against Null"/>
        <s v="Se atenendieron las remediacións correspondientes con: Missing Check for Null Parameter"/>
        <s v="Se atenendieron las remediacións correspondientes con: Object Model Violation: Erroneous clone() Method"/>
        <s v="Se atenendieron las remediacións correspondientes con: Object Model Violation: Just one of equals() and hashCode() Defined"/>
        <s v="Se atenendieron las remediacións correspondientes con: Password Management: Password in Comment"/>
        <s v="Se atenendieron las remediacións correspondientes con: Poor Error Handling: Empty Catch Block"/>
        <s v="Se atenendieron las remediacións correspondientes con: Overly Broad Catch"/>
        <s v="Se atenendieron las remediacións correspondientes con: Poor Error Handling: Overly Broad Catch"/>
        <s v="Se atenendieron las remediacións correspondientes con el levantamiento y revisión del proyecto de pizarras"/>
        <s v="Se ambiento y tramitaron permisos para levantar el proyecto de manera local"/>
        <s v="Modificacion servicio profecional "/>
        <s v="Actualizacion Reportes "/>
        <s v="Avance de proyectos  "/>
        <s v="Pruebas CEVINAI "/>
        <s v="Rediseño de URL "/>
        <s v="Reunion semanal "/>
        <s v="Concurso Historieta Infantil 2023 "/>
        <s v=" Fechas de Platica Informativa "/>
        <s v="Actualizacion micrositio CC-INAI "/>
        <s v="Minutas CEVINAI "/>
        <s v="Servicio profesional "/>
        <s v="Actualizacion solicitud de Informacion"/>
        <s v="Validacion pagina web Registro de eventos "/>
        <s v="Micrositio de Promocion y Vinculacion con la sociedad "/>
        <s v="Reunion CEVINAI "/>
        <s v="Actualizacion micrositio Pleno infantil 2023 "/>
        <s v="Actualizacion micrositio Planeacion "/>
        <s v="pruebas concurso nacional de cuento juvenil 2023 "/>
        <s v="Actualizacion elementos graficos"/>
        <s v="Actualizacion de avance de proyectos "/>
        <s v="Actualizacion micrositio cuentos "/>
        <s v="Actualizacion liga You tube "/>
        <s v="Actualizacion del Micrositio pleno Infantil "/>
        <s v="Modificacion PROSEDE "/>
        <s v="Inicio  Concurso Nacional Universitario 2023"/>
        <s v="seguimiento Concurso Nacional de Spot de Radio "/>
        <s v="Monitoreo EIPDP "/>
        <s v="Pruebas Micrositio Trabajo Universitario "/>
        <s v="Actualizacion Banco de Practica "/>
        <s v="Registro de evento Pagina web &quot;Guia de apoyo&quot;"/>
        <s v="Reunion Sitio de Informes "/>
        <s v="actializacion micrositio trabajo Universitario "/>
        <s v="Actualizaciones micrositio Informes de Labores "/>
        <s v="Solicitudes de Usuarios Pleno niños "/>
        <s v="Cambios micrositio Informes de Labores "/>
        <s v="Seguimuento de proyecto CEVINAI "/>
        <s v="carga de Insumos Banco de Practica "/>
        <s v="Reunion Actualizacion de actividades"/>
        <s v="Reunion Sitios Consultas "/>
        <s v="Reunioln Avance de Proyectos "/>
        <s v="Reunion Revision de Anexo "/>
        <s v="Actualizacion micrositio Identidad segura "/>
        <s v="Modificacion Banco de Practica "/>
        <s v="Actualizacion informacion grafica "/>
        <s v="Validacion Banco de Practica "/>
        <s v="Actualizacion Certamen de Innovacion en Transparencia 2023"/>
        <s v="Solicitudes de Usuarios Pleno "/>
        <s v="Actualizacion concurso nacional de periodismo "/>
        <s v="Reunion avance de proyectos "/>
        <s v="Actualizacion proyectos "/>
        <s v="desarrollo validar acceso a endpoints monitor"/>
        <s v="desarrollo validar acceso a endpoints servicios reportes"/>
        <s v="desarrollo rateLimit en commands solicitudes "/>
        <s v="desarrollo obtener token en clases commands portlet Federado"/>
        <s v="desarrollo ventana modal al superar el límite de peticiones permitidas"/>
        <s v="Ambientación y descarga proyecto Buscador Inteligente"/>
        <s v="Asignación de tiempos, actividades y analisis estructura de carpetas y configuración del proyecto"/>
        <s v="Desarrollo pantalla resultados,desarrollo componente filtro entidad e institución"/>
        <s v="Desarrollo maqueta sección resultados y componente filtros año y rango de fechas"/>
        <s v="Implementación del patrón NGRX para persistir y modificar el request que se envía a la petición http que regresa los resultados"/>
        <s v="Creación interfaces, actions y reducers"/>
        <s v="Creación servicios y effects NGRX,para obtener los datos del back "/>
        <s v="Uso de actions y reducers en componente filtros Temas,subtemas,entidad y sujetos obligados"/>
        <s v="Implementación de checkbox y envío de datos de acuerdo al filtro seleccionado en filtros Temas,subtemas,entidad y sujetos obligados"/>
        <s v="Implementación validaciones para mostrar los filtros de acuerdo a la colección seleccionada "/>
        <s v="Desarrollo filtros para la colección Quejas"/>
        <s v="Desarrollo componente filtros seleccionados"/>
        <s v="Implementación actions y reducers para los filtros de la colección SICOM"/>
        <s v="Mejora en las interfaces y actualización de las mismas,nueva funcionalidad filtros colección SISAI"/>
        <s v="Implementación validaciones para los filtros seleccionados y los filtros no se rendericen una vez que navegas entre páginas."/>
        <s v="Implementación y desarrollo de los filtros para la colección SIPOT, así como el desarrollo del componente tiempo solo por mes y año"/>
        <s v="Mejoras y refactorización de algunos metodos de los componentes filtro"/>
        <s v="Desarrollo de lógica para agrupamiento de información de Solicitudes"/>
        <s v="Modificación de servicio para descarga de Solicitudes y Recursos"/>
        <s v="Desarrollo de lógica para recuperación de información de Solicitudes"/>
        <s v="Desarrollo de lógica para agrupamiento de información de Recursos"/>
        <s v="Desarrollo de lógica para recuperación de información de Recursos"/>
        <s v="Desarrollo de servicios de para buscar textos en contenido de archivos"/>
        <s v="Creación de microservicio para estadístico de SIPOT, SISAI, SICOM"/>
        <s v="Mejoras filtro obligaciones de transparencia"/>
        <s v="Refactorización tablas en  sección detalle cards información pública "/>
        <s v="Tablas responsive en cards y mejoras diseño y responsive a carruseles "/>
        <s v="Validación reset cards al cambiar entre colecciones seleccionadas y filtros seleccionados"/>
        <s v="Implementación skeleton component en filtros y card al estar cargando la información"/>
        <s v="Desarrollo de filtros solicitudes,quejas y obligaciones de transparencia en pagina tendencias."/>
        <s v="Implementación función que permite reconocer el dominio actual de la aplicación para acotar la funcionalidad a solo buscador de género"/>
        <s v="Implementación validaciones en componentes y reducers para buscador de género"/>
        <s v="Ajustes estilos en componente buscador de género "/>
        <s v="Implementación CAVINAI e integra2 en la aplicación"/>
        <s v="Modificación del componente footer y temáticos para la implementación del icono de género"/>
        <s v="Homologación componente home y pruebas funcionalidad en toda la aplicación con los distintos dominios"/>
        <s v="Desarrollo de funcionalidad para filtrar subtemas con base a la integridad referencial de BD"/>
        <s v="Se atenendieron las remediacións correspondientes con: Poor Style: Confusing Naming"/>
        <s v="Se atenendieron las remediacións correspondientes con: Poor Style: Non-final Public Static Field"/>
        <s v="se modificó parte del formato ABC pizarras"/>
        <s v="Se continuó con la modificación de los servicios de guardado para formato ABC"/>
        <s v="Se continuó con la modificación de los servicios de edición para formato ABC"/>
        <s v="Se atenendieron las remediacións correspondientes con: Poor Logging Practice: Multiple Loggers"/>
        <s v="Se atenendieron las remediacións correspondientes con: Poor Logging Practice: Use of a System Output Stream"/>
        <s v="Se atenendieron las remediacións correspondientes con: System Information Leak: Overly Broad SQL Logging"/>
        <s v="atencion de requerimiento abc"/>
        <s v="se revisó flujo de carga de actividades ABC"/>
        <s v="Modificar y dar seguimiento a las actividades en pizarras"/>
        <s v="se modifico parte de la carga de actividades abc"/>
        <s v="atención de requrimiento descritop para edicion de actividades pizarras"/>
        <s v="Se atenendieron las remediacións correspondientes con seguimiento de actividades en formatos en pizarras"/>
        <s v="Se atenendieron las remediacións correspondientes con seguimiento de actividades en pizarras"/>
        <s v="Se atenendieron las remediacións correspondientes con: Poor Style: Value Never Read"/>
        <s v="Analisis de la clase preexistente en java para encontrar sus similares en dart"/>
        <s v="Adaptar logica de cifrado a la logica interna de la app en flutter"/>
        <s v="Se crea metodo para decifrar el texto anterior en base64"/>
        <s v="Correccion en las llaves de cifrado para obtener los mismo resultados en cada decifrado (Investigacion de metodos similares)"/>
        <s v="Se crea estructura base para el alta de quejas"/>
        <s v="Se incorporan widgets necesarios para capturar la queja"/>
        <s v="Se agrega stepper y division de pasos"/>
        <s v="Se agregan validaciones. campos y peticiones"/>
        <s v="Se incorpora servicio para precarga de datos de la queja"/>
        <s v="Se incorpora servicio para alta de queja"/>
        <s v="Pantalla de prouesta para listar los folios generados a partir del registro de solicitudes"/>
        <s v="Se genera clase, peticion y campos para listar los datos personales de perfil"/>
        <s v="Se genera clase, peticion y campos para listar los datos personales de direccion"/>
        <s v="Se cambian mensajes de alerta cuando no hay conexion y se incorporan excepciones personalizadas de acuerdo al codigo http devuelto"/>
        <s v="Se genera clase, peticion y campos para listar los datos personales de estadisticos"/>
        <s v="Se realizan pruebas para validar el funcionamiento de la vpn y el cliente forticlient"/>
        <s v="Se genera clase, peticion y campos para guardar los datos personales de perfil"/>
        <s v="Se genera clase, peticion y campos para guardar los datos direccion de perfil"/>
        <s v="Se realizan pruebas para validar el funcionamiento de la vpn y el cliente forticlient, las pruebas se realizan en diferentes equipos"/>
        <s v="Se realia sesion de apoyo para correccion del problema de conexion del cliente en equipo mac"/>
        <s v="Revision de servicios registro de solicitante y recuperar contraseña. [Respuestas y peticiones]"/>
        <s v="Revision de servicios alta de quejas. [Respuestas y peticiones]"/>
        <s v="Revision de servicios configuracion de cuenta. [Respuestas y peticiones]"/>
        <s v="Se integra servicio para registrar estadisticos [modelo, peticion y respuesta]"/>
        <s v="Revision de pantalla para listar acuses generados por solicitud"/>
        <s v="Se integra servicio para registrar estadisticos, se recuperan los datos almacenados y se colocan en los exixtentyes en pantalla"/>
        <s v="Se integra servicio para registrar direecion [modelo, peticion y respuesta]"/>
        <s v="Se integra servicio para registrar direccion, se recuperan los datos almacenados y se colocan en los exixtentyes en pantalla"/>
        <s v="Se incorporan llamadas de funcion para obtener el cuerpo de peticion cifrada para poder incluirla en las nuevas peticiones"/>
        <s v="Se modifcan las peticiones http para poder adaptarse a la nueva manera de enviar el cuerpo json cifrado y elarchivo adjunto multipart "/>
        <s v="Se agrega servicio para obtener el archivo adjunto alojado externo y se agrega funcionalidad para abrirlo con el navegador nativo del dispositivo [modelo, peticion y respuesta]"/>
        <s v="Se verifica funcionalida y existencia de diversos servicios utilizados en la app v3"/>
        <s v="Correccion de las pantallas de resultados de busqueda de mis quejas y detalle de mis quejas, se corrigen los campos visualizados y diseño de pantalla"/>
        <s v="Se incorpora servicio para poder listar las notificaciones en el detalle de mis quejas"/>
        <s v="Se realizan las observaciones del módulo de seguimientos, alta y edición de seguimientos"/>
        <s v="Se realizan las observaciones del módulo de seguimientos, cambio de estatus y visualización de seguimiento"/>
        <s v="Se realizan las observaciones del módulo de seguimientos,busqueda y tabla de resultados"/>
        <s v="Servicio para consultar a detalle una queja guardada, se obtiene información y archivos"/>
        <s v="Servicio para consultar las notificaciones relacionadas a una queja"/>
        <s v="Servicio para consultar las notificaciones relacionadas a una queja."/>
        <s v="Servicio para la consulta de documentos y archivos. Se cambia tipo base64 a multipart"/>
        <s v="Daily de avances"/>
        <s v="Corrección boton respuesta SISAI, Corrección carrusel principal busqueda, datos adicionales e info adicional e Sisai"/>
        <s v="Desarrollo de componentes especiales para la card SIPOT"/>
        <s v="Estudio y pruebas para graficas de burbuja, con librerias externas o en su caso canvas"/>
        <s v="Cambio para las descargas desde sisai y sicom"/>
        <s v="Creación de componente especial de tabla con paginador que se puede o no cargar en las cards de información, reestructuración de datos para lograr comportamiento"/>
        <s v="Pruebas con componentes existenetes para el desarrollo de las graficas de tendencia"/>
        <s v="El equipo concluyo que no se ajustan a las nececidades los componentes existentes y que el desarrollo de los mismos tiene que ser con CANVAS"/>
        <s v="Análisis y estudio para la creación con Canvas de componentes de graficas estadisticas"/>
        <s v="Desarrollo de grafica circular con Canvas "/>
        <s v="Desarrollo de grafica piramidal con Canvas"/>
        <s v="Desarrollo de grafica de tendencias con Canvas"/>
        <s v="realizar las correcciones necesarias para la gráfica circular, también implementé algunas mejoras adicionales para mejorar su visualización y usabilidad. Por ejemplo, añadí interactividad a la gráfica mediante la inclusión de efectos de animación al pasar el cursor sobre las diferentes secciones de la misma."/>
        <s v="realizar las correcciones necesarias para la gráfica piramidal, también implementé algunas mejoras adicionales para mejorar su visualización y usabilidad. Por ejemplo, añadí interactividad a la gráfica mediante la inclusión de efectos de animación al pasar el cursor sobre las diferentes secciones de la misma."/>
        <s v="realizar las correcciones necesarias para la gráfica tendencias, también implementé algunas mejoras adicionales para mejorar su visualización y usabilidad. Por ejemplo, añadí interactividad a la gráfica mediante la inclusión de efectos de animación al pasar el cursor sobre las diferentes secciones de la misma."/>
        <s v="ajustes a los diseños de las cards, quejas, solicitudes e informacion, carruseles asi como la implementacion de diversas funcionalidades solicitadas por el usuario."/>
        <s v="Creacion de funcionalidad de div 60% a 40% para las coindcidencias en archivos, en todas las cards"/>
        <s v="Optimización de código, eliminación de logs, y repeticiones en solicitudes de información al servidor"/>
        <s v="Pruebas del código propuesto para la optimización y la mejor maera de solicitar información al servidor, se evita las multiples consultas al servidor, mejorando el performance de la aplicación"/>
        <s v="Revisión y pruebas finales de todos los cambios solicitados por el cliente"/>
        <s v="Requerimientos de los id de reportes estadísticos"/>
        <s v="Pruebas de diseño para la solucion de envíos de reportes estadísticos, creación de servicios e imlementación 1/30"/>
        <s v="Pruebas de diseño para la solucion de envíos de reportes estadísticos, creación de servicios e imlementación 9/30"/>
        <s v="Pruebas de diseño para la solucion de envíos de reportes estadísticos, creación de servicios e imlementación 20/30"/>
        <s v="Campos de Perfil "/>
        <s v="actualizacin Concurso Nacional Universitario 2023"/>
        <s v="modificacion Identidad segura "/>
        <s v="Guia de apoyo envios "/>
        <s v="alta usuarios banco de practicas "/>
        <s v="Prosede actualizacion "/>
        <s v="Arcualizacion de archivos "/>
        <s v="modificacion calendario "/>
        <s v="Visualizacion del sitio Guia de apoyo "/>
        <s v="Solicitud de integracion Procede "/>
        <s v="actualizacion PROCEDE "/>
        <s v="Retiro de ventana emergente "/>
        <s v="actualizacion de reportes "/>
        <s v="Recuperacin de usuarios "/>
        <s v="Pagina web carga de documentacion "/>
        <s v="Alta  de usuarios Ensayo Reportaje "/>
        <s v="Reunion semanal de avances "/>
        <s v="Presentacion Odoo "/>
        <s v="revision de minutas "/>
        <s v="Mdificacion micrositio Planeacion "/>
        <s v="Modificacion micrositio Identidad segura "/>
        <s v="Pruebas Osticket "/>
        <s v="Error ligas "/>
        <s v="Mofimicacion Pleno niños "/>
        <s v="Actualizacion Revista "/>
        <s v="Actualizacion Gobierno abierto "/>
        <s v="reunion de avances "/>
        <s v="actualizacion Planeacion "/>
        <s v="Actualizacion Pagina Web "/>
        <s v="Actualizacion Informes 2023 "/>
        <s v="actualizacioin Revista "/>
        <s v="modificaion usuarios Pagina Web "/>
        <s v="Actualizacion directorio RTA "/>
        <s v="acatualizacion de padron de SO "/>
        <s v="Actualizacion comité de etica "/>
        <s v="Actualizacion del sitio SEDE "/>
        <s v="carga de archivos pagina web "/>
        <s v="carga de imágenes PROMOCION Y VINCULACION "/>
        <s v="Recuperacion de usuarios "/>
        <s v="actualizacion PROSEDE "/>
        <s v="Actualizacion Pleno niños "/>
        <s v="Se tuvieron sesiones para validar las observaciones de los usuarios sobre los reportes. También se estuvieron realizando algunos de los ajustes solicitados."/>
        <s v="Se mantuvieron sesiones para revisar los cambios realizados. De igual forma se estuvieron validando las diferentes formas de mostrar las gráficas."/>
        <s v="Se realizaron lkos cambios faltantes y se agregaron los diferentes filtros en un menú para facilitar su acceso a los usuarios."/>
        <s v="Se crea componente manteniendo el diseño actual de los temáticos para el buscador de género"/>
        <s v="Mejoras a componente descripción en cards"/>
        <s v="Mejoras cards y sección archivos de la respuesta"/>
        <s v="Se agrega funcionalidad para poder descargar y mostrar correctamente los archivos de la respuesta y la solicitud "/>
        <s v="Mejoras para que el input de búsqueda principal sea responsive en móviles"/>
        <s v="Se agrega funcionalidad para sombrear palabras que coinciden con la busque del usuario"/>
        <s v="Implementación de palabras (clave) en el resaltado de las coincidencias"/>
        <s v="Mejoras en responsive Input de búsqueda "/>
        <s v="Agrupación de temas y subtemas repetidos en los carousel, así como mejoras en iconos next y prev"/>
        <s v="Mejoras en responsive sección archivos"/>
        <s v="Se quita el id de género para que la búsqueda sea sobre todo el universo de información, y se quita funcionalidad infinito al carousel de temas"/>
        <s v="Se quita el loading para la inserción de estadísticos y se hace la implementación de estadísticos usando ngrx"/>
        <s v="Mejoras función filtro tipo respuesta"/>
        <s v="Mejoras componente loading "/>
        <s v="Mejoras generales buscador de género y pruebas "/>
        <s v="Mejoras servicio que actualiza y obtiene los sujetos obligados, para recuperar e insertar la fecha actualización"/>
        <s v="Implementación campos fecha registro y fecha actualización en vistas sujetos obligados (módulos federado)"/>
        <s v="Implementación servicio para el llenado de las gráficas de acuerdo a la colección seleccionada y mejoras de código"/>
        <s v="Implementación campo dtFechaLimiteRegistroMi a query del servicio actualizar datos solicitud (modulo soportes)"/>
        <s v="Pruebas e implementación campo en la vista jsp"/>
        <s v="Se hacen ajustes, validaciones y pruebas para integrar dos nuevos roles al portlet de soportes y que estos puedan ver el soporte de modificar datos solicitud"/>
        <s v="Implementación columna folio parent y correo electrónico en soporte modificar fechas solicitud"/>
        <s v="Pruebas y despliegue en desarrollo con todas las modificaciones para validar el correcto funcionamiento"/>
        <s v="Mejoras servicio actualizar y modificar datos solicitud"/>
        <s v="Revisión y ajustes de los componentes de Federados"/>
        <s v="Se realiza servicio de consulta de archivos para la descarga de acuses de impugnaciones "/>
        <s v="Se realiza revisión y corrección de incidencia productiva. Carga de rutas de implementación a  Actividades ABC"/>
        <s v="Se realiza el servicio de actualización de estatus para las notificaciones "/>
        <s v="Se realiza el servicio interno de guardado de documentos para el módulo de notificaciones "/>
        <s v="Se realiza servicio de respuesta de notificacion de recurrentes "/>
        <s v="Se prueban campos de envío a sp de guardado de quejas "/>
        <s v="Se realiza el servicio de respuesta de solicitud "/>
        <s v="Se trabaja en el agregado de campos en la comparativa de actividades de ruta de implementación y actividades abc "/>
        <s v="Corrección de reglas de negocio para carga de actividades abc y agregado. "/>
        <s v="Actualizacion de micrositio DDHIG "/>
        <s v="Actualizacion del micrositio Comité de Etica "/>
        <s v="Modificacion de estilos"/>
        <s v="Actualizacioion micrositio Innovacion y buena practica "/>
        <s v="Planeacion carga de metodologia "/>
        <s v="Actualizacion sitio Derechos humanos "/>
        <s v="Cambio de estilos promocion "/>
        <s v="Recuperacion de contraseñas "/>
        <s v="actualizacion avance de proyecto "/>
        <s v="actualizacion micrositio Innovacion y buena practica "/>
        <s v="revision micrositio "/>
        <s v="actualizacion micrositio oficina de control "/>
        <s v="carga de documentacion "/>
        <s v="reporte prosede "/>
        <s v="Liga de registros "/>
        <s v="platica informativa certamen "/>
        <s v="actualizacion servisio profecional "/>
        <s v="actualizacion sistemas de citas "/>
        <s v="actualizacion pleno infantil 2023"/>
        <s v="modificacion procede inai "/>
        <s v="actualizacion servicio profecional "/>
        <s v="apollo a falla de concurso de periodismo "/>
        <s v="actualizacion apartado unidad de transparencia "/>
        <s v="actualizacion micrositio comité de etica "/>
        <s v="actualizacion banco de practicas "/>
        <s v="actualizacion micrositio SEDE- INAI "/>
        <s v="actualizacin avance de proyectos "/>
        <s v="actualizacion servicio profesional "/>
        <s v="actualizacion formato de comisiones "/>
        <s v="actualizacion certamen "/>
        <s v="revision pleno niños "/>
        <s v="Se estuvieron realizando los cambios solicitados en el informe- Asimismo se estuvieron realizando pruebas para validar la funcionalidad del reporte."/>
        <s v="Se continuaron realizando los cambios, se crearon escenarios de pruebas y automatización de la publicación de reportes. Además, se estuvieron haciendo cambios de conectividad de la base de datos."/>
        <s v="Se mostraron los reportes publicados además de concluir pruebas de mostrar la ultima fecha de actualización de los reportes."/>
        <s v="Implementar servicio del registro de estadístico en todo el buscador"/>
        <s v=" Maquetado de formulario de búsqueda de &quot;Mis quejas&quot;"/>
        <s v="Maquetado de grid de listado de quejas"/>
        <s v="Maquetado de funcionalidad de &quot;expando row&quot; para el detalle de quejas"/>
        <s v="Maquetado de la pantalla de seguimiento de la queja"/>
        <s v="Maquetado de la pantalla para prevenir una queja"/>
        <s v="Maquetado de la pantalla para admitir una queja"/>
        <s v="Maquetado de la pantalla para admitir y cerrar una queja"/>
        <s v="Se integra servicio para registrar quejas [modelo, peticion y respuesta]"/>
        <s v="Se da seguimiento y pruebas al error presentado al generar una nueva queja de una solicitud valida"/>
        <s v="Se incorpora servicio para seguimiento de mis quejas (listado, detalle e historial)"/>
        <s v="Se inica el cambio de servicios para pantallas del sisai, tambien se verifican peticiones y respuestas de los servicios"/>
        <s v="Cambio de servicios para pantallas de quejas y buscadores nacionales, tambien se verifican peticiones y respuestas de los servicios"/>
        <s v="Cambio de servicios para pantallas de buscador obligaciones"/>
        <s v="Cambio de servicios para pantallas de buscador quejas"/>
        <s v="Cambio de servicios para pantallas de buscador solicitudes"/>
        <s v="Se ocultan servicios nuevos de usuarios y se reemplazan por sus similares de liferay"/>
        <s v="Correcciones visuales como cambios de colores, conteos de caracteres y presentacion de widgets"/>
        <s v="Se agrega a peticon de solicitud de informacion publica segmento para el medio de notificacion"/>
        <s v="Correcciones visuales como cambios de colores y listado de acuses y SO, correccion al modelo de responder recurrentes"/>
        <s v="Se realiza un cambio al selector multiple de instutuciones, se seleccionan SO de diversos OG"/>
        <s v="Se agregan peticiones faltantes para descargar archivos adjuntos"/>
        <s v="Correcciones visuales como cambios de diseño en cards de acuses, se agrega boton para regresar a inicio en acuses, se agregan campos faltantes al servicio de registrar estadisticos y cambios de formato en detalles de resultados de solicitud e historial"/>
        <s v="Se cambia servicio para mostrar en selector de estados cuando se trate de una direccion"/>
        <s v="Cambios en el servicio de registrar y elimiinar token movil, cambios visuales en la app y se realiza research para problema con falsos resultados de busqueda en mis solicitudes"/>
        <s v="Se realizan ajustes para detalle de quejas, como la incorporacion de notificaciones e historial de quejas"/>
        <s v="Se realiza research para corregir error con las peticiones internas y actualizar el token en posible expiracion"/>
        <s v="Se integra servicio para descarga de adjuntos de queja"/>
        <s v="Se integra servicio para adjuntar archivo a la respuesta de &quot;Prevenciosn&quot; en quejas"/>
        <s v="Se integra servicio para responder la notificcacion de mis quejas"/>
        <s v="Se integra servicio para adjuntar archivo a la respuesta de &quot;Comunicacion&quot; RIA en quejas "/>
        <s v="Se integra servicio para responder la Comunicacion RIA de mis quejas"/>
        <s v="Se realizan pruebas para responder RIA"/>
        <s v="Se realizan pruebas para responder notificaciones"/>
        <s v="Se actualizan url para servicios que apunten a liferay para reemplazarlos por nuevos"/>
        <s v="Se incorpora abrir acuse de registro de la queja en navegador externo"/>
        <s v="Se cambia widget para renderizar html en notificacion de quejas"/>
        <s v="Se corrige problema al crear solicitud de datos personales con una cuenta recien creada"/>
        <s v="Se corrige problema al crear solicitud de datos personales al crear una portabilidad de datos"/>
        <s v="Se incorporan servicios de saimex para alta de quejas, repuesta de quejas y adjuntos"/>
        <s v="Se realzian ajustes visuales a la app, cambiar orden de botones de menu, cambios de texto y cambio de botones"/>
        <s v="Se realzian ajustes visuales a la app, agregar funcionalidad para retroceder en stepper, agregado texto de ayuda en card de mis quejas"/>
        <s v="Se realzian ajustes visuales a la app y se verifica funcionamiento de estadisticos"/>
        <s v="Se realzian ajustes visuales a la app, se cambian colores en snackbar y elementos de app"/>
        <s v="Se realzian ajustes visuales a la app, se agrega snackbar de validaciones en wizard y se agregan validaciones faltantes a forms"/>
        <s v="Se realzian ajustes visuales a la app, se cambian url de redes sociales"/>
        <s v="Se hace revision de plugins de redes sociales pra el registro y autentificacion"/>
        <s v="actualización gobierno abierto "/>
        <s v="Actualización enlace pleno infantil 2023 "/>
        <s v="Actualización de avance de proyectos "/>
        <s v="Alta usuarios premio PDP "/>
        <s v="actualización pleno niños "/>
        <s v="actualización micrositio planeación "/>
        <s v="carga publica "/>
        <s v="Revisión de accesos "/>
        <s v="Modificación sitio DGPVS"/>
        <s v="actualización pagina web "/>
        <s v="actualización micrositio comité de ética"/>
        <s v="actualización micrositio del CIT23"/>
        <s v=" actualización fechas pleno niños "/>
        <s v="actualización avance de proyecto "/>
        <s v="actualización carga publica "/>
        <s v="actualización consultivo "/>
        <s v="actualización eventos "/>
        <s v="Carga ECOS ICIC "/>
        <s v="carga de archivo ICIC "/>
        <s v="Actualización consultas "/>
        <s v="Actualización micrositio certamen"/>
        <s v="Actualización micrositio "/>
        <s v="Actividades ODOO "/>
        <s v="Actualización ICIC "/>
        <s v="Actualización micrositio consejo consultivo."/>
        <s v="Actualización micrositio consultas "/>
        <s v="actualización EIPDP "/>
        <s v="Actualización sitio consultas "/>
        <s v="actualización servicio profesional "/>
        <s v="Actualización micrositio certamen "/>
        <s v="apoyo en pagina web "/>
        <s v="actualización micrositio gobierno abierto "/>
        <s v="Actualización sitio Resoluciones "/>
        <s v="Se instalo el software Forticlient para poder configurar la VPN para conectarme a la red del INAI"/>
        <s v="Se configura la VPN para conectarse a los servidores del INAI, de acuerdo a la información proporcionada el subdirector y se valida la conexión"/>
        <s v="Se revisa el Diccionario de Datos del SISAI con todas las tablas que se manejan"/>
        <s v="Se revisa el Diagrama Entidad-Relación de las tablas del SISAI, para entender la relación de las tablas del sistema"/>
        <s v="Se instala el software Toad for Oracle para poder conectarnos a la base de datos"/>
        <s v="Se configura la conexión para la base de datos de producción para el servidor 172.20.36.91 y se valida la conexión"/>
        <s v="Se valida acceso a carpeta de SharePoint que contienen algunos queris del SISAI y se descargan los documentos"/>
        <s v="Se revisa el archivo 'Querys SISAI' para conocer las 16 consultas que se podrían mejorar u optimizar"/>
        <s v="Se revisa el archivo 'Relación de querys de la PNT a mejorar' con la relación de los querys del SISAI que son prioritarios"/>
        <s v="Se solicito el acceso y el usuario para conectarnos a la base de datos para el ambiente de desarrollo, para lectura y escritura"/>
        <s v="Se valida conexión a basa de datos de desarrollo desde el Toad"/>
        <s v="Se revisa documento 'Querys Ponencia Sisai' para ir comprobando el tipo de consultas que se pueden ir mejorando y para irse familiarizando con las tablas"/>
        <s v="Implementación servicio consulta roles"/>
        <s v="Desarrollo agregar, actualizar y eliminar rol"/>
        <s v="Implementación validación extensiones instaladas en el navegador"/>
        <s v="Implementación y desarrollo para validar extensiones instaladas y agregar header a las peticiones http"/>
        <s v="Implementación servicio consulta usuarios "/>
        <s v="Se agrega funcionalidad para cargar catálogos de acuerdo al usuario logeado"/>
        <s v="Se crea pantalla editar usuario"/>
        <s v="Desarrollo función para convertir archivo tipo application/octet-stream a Excel"/>
        <s v="Implementación servicio y funcionalidad botones agregar y editar"/>
        <s v="Maquetación pantalla registro usuarios internos"/>
        <s v="Maquetación pantalla editar contraseña usuarios internos y columnas dinámicas tabla"/>
        <s v="Implementación servicio master módulo usuarios"/>
        <s v="Implementación servicio registro usuario y actualizar contraseña"/>
        <s v="Implementación lógica catálogos de acuerdo al rol seleccionado y pruebas flujos desarrollados"/>
        <s v="Validación flujos registro y consulta usuario, versionado en SVN"/>
        <s v="Desarrollo pantalla Editar Sujeto Obligado"/>
        <s v="Implementación tabla para el listado de sujetos obligados"/>
        <s v="Implementación botón eliminar múltiples sujetos obligados"/>
        <s v="Implementación carga catálogos por rol"/>
        <s v="Desarrollo pantalla consulta usuarios"/>
        <s v="Pruebas y mejoras para validar las extensiones instaladas en el navegador"/>
        <s v="Investigación ofuscado y minificado de código "/>
        <s v="Pruebas de servicios"/>
        <s v="Implementación modal roles del usuario"/>
        <s v=" Implementación servicio descarga de usuarios"/>
        <s v="Implementación servicio consultar sujetos obligados"/>
        <s v="Pruebas redirect home PNT,mejoras servicio inicio sesión de la app"/>
        <s v="Maquetación pantalla editar usuarios internos"/>
        <s v="Implementación servicio consulta usuarios internos"/>
        <s v="Implementación validaciones formulario"/>
        <s v="Implementación lógica catálogos de acuerdo al rol seleccionado"/>
        <s v="Validaciones catálogos registro usuario"/>
        <s v="Desarrollo pantalla Agregar Sujeto Obligado"/>
        <s v="Implementación servicios agregar y editar sujeto obligado"/>
        <s v="Implementación servicio listar sujetos obligados y limpiar formularios"/>
        <s v="Pruebas y validación (maxlength,minlength,email,pattern teléfono,campos requeridos, implementación alertas, modales de confirmación y acción correcta o fallida en pantallas)"/>
        <s v="Analisis de los diferetes componentes del cluster"/>
        <s v="Se configura la VPN para conectarse a los servidores del INAI, de acuardo a la información proporcionada el subdirector, se valida la conexión con cada uno"/>
        <s v="Se reviso que se tenga acceso y salida de internet de los diferentes servidores"/>
        <s v="Ya con los accesos, se actualizo el SO, ultimo nivel de actualizaciones"/>
        <s v="Se instaló algunas herraientas a utilizar"/>
        <s v="Se quito swap y otras configuraciones necesarias"/>
        <s v="Se dejo a puesto el operator node, es donde todo se va configurar"/>
        <s v="Se agrego el usuario de Oracle en los 7 servidores"/>
        <s v="passwordless login del operator node a todos los demas servidores"/>
        <s v="Se trabaja en el servicio interno de consulta de detalle de queja por idMedioImpugnacion"/>
        <s v="Se trabaja en el servicio interno de obtener notificaciones por idMedio impugnacion"/>
        <s v="Se trabaja en el servicio interno de acutalizacion de estatus de notificacion"/>
        <s v="Se trabaja en el servicio interno de respuesta de solicitud RIA"/>
        <s v="Se trabaja en el servicio interno de consulta de historico"/>
        <s v="Se trabaja en el servicio interno de notificacion recurrente"/>
        <s v="Se realizan pruebas y correcciones para los serivicios internos de guardado de queja"/>
        <s v="Se realizan pruebas y correcciones para los serivicios internos guardado de queja y consultar mis quejas"/>
        <s v="Se realizan los servicios externos para listar quejas y obtener el detalle de la queja."/>
        <s v="Se realiza servicio externo para la consulta de detalle medio impugnacion y listado de notificaciones"/>
        <s v="Se realiza servicio externo para actualizar estatus y response notificacion recurrent. Se realizan prueba sy correcciones a servicios internos"/>
        <s v="Se realiza servicio externo de consulta de historico. Se realizan pruebas y correcciones al serivicio interno consuta Historico"/>
        <s v="Se realiza prueba y correcciones al servicio solitudRia"/>
        <s v="Se realiza prueba y correcciones al servicio getNotificacionRecurrent"/>
        <s v="Se realiza prueba y correcciones al servicio de consulta de documentos"/>
        <s v="Se realiza conexión de servicio del guardado de queja"/>
        <s v="Pruebas de servicios internos notifiacion recurrente o obtener documento"/>
        <s v="Desarrollo pantalla Unidades Administrativas"/>
        <s v="Desarrollo e implementación servicios Back"/>
        <s v="Desarrollo pantalla Agregar Unidades administrativas"/>
        <s v="Desarrollo pantalla Editar Unidades administrativas"/>
        <s v="Desarrollo e implementación servicios agregar y editar  unidades administrativas,mapeo respuestas"/>
        <s v="Desarrollo de tabla para el listado de sujetos obligados"/>
        <s v="Validación para ocultar o mostrar la pantalla de unidades administrativas de acuerdo al rol de usuario"/>
        <s v="Implementación servicio eliminar múltiples unidades administrativas"/>
        <s v="Desarrollo pantalla sub enlaces dashboard"/>
        <s v="Desarrollo servicio listar sub enlaces  y funcionalidad limpiar formulario"/>
        <s v="Desarrollo pantalla agregar sub enlaces"/>
        <s v="Desarrollo pantalla editar sub enlaces"/>
        <s v="Implementación servicios agregar, editar  sub enlaces y mapeo respuestas"/>
        <s v="Implementación tabla para el listado de sub enlaces"/>
        <s v="Validación para ocultar o mostrar la tabla  de sub enlaces"/>
        <s v="Implementación botón eliminar múltiples sub enlaces"/>
        <s v="Microservicios para envíar correo por la modificación de password."/>
        <s v="Microservicios para “Olvide mi contraseña”"/>
        <s v="Microservicios para desactivar cuenta"/>
        <s v="Desarrollar pantalla para actualizar datos de usuarios externos"/>
        <s v="Servicio para reactivar cuentas de usuarios "/>
        <s v="Desarrollar pantalla de aviso de reactivación de cuenta"/>
        <s v="Desarrollo de servicios rest para funcionalidades específicas de los catálogos federados 1ra parte"/>
        <s v="Desarrollo de servicios rest para funcionalidades específicas de los catálogos federados 2da parte"/>
        <s v="Busqueda expediente Resoluciones "/>
        <s v="Actualizacion Requerimiento de aplicaciones web "/>
        <s v="Actualizacion pagina INAI "/>
        <s v="actualizacion de inventario de micrositios"/>
        <s v="Actualizacion de micrositio MIPYMES"/>
        <s v="Carga de responsables de Resoluciones "/>
        <s v="Busqueda de ID Resoluciones"/>
        <s v="Actualizacion de fechas de micrositios"/>
        <s v="Actualizacion busqueda de Resoluciones "/>
        <s v="Apoyo a formulario de Registros"/>
        <s v="Monitoreo de PNT 1"/>
        <s v="Monitoreo de PNT 2"/>
        <s v="Monitoreo de PNT 3"/>
        <s v="Monitoreo de PNT 4"/>
        <s v="Monitoreo de PNT 5"/>
        <s v="Monitoreo de PNT 6"/>
        <s v="Monitoreo de PNT 7"/>
        <s v="Monitoreo de PNT 8"/>
        <s v="Monitoreo de PNT 9"/>
        <s v="Monitoreo de PNT 10"/>
        <s v="Monitoreo de PNT 11"/>
        <s v="Se agregó el usuario Oracle para que pueda tener acceso root y sea el unico que se pueda logear en el sistema operativo"/>
        <s v="Se quitó el usuario root para que pueda loquearse por ssh, por temas de seguridad"/>
        <s v="Se habilitó el repositorio de OLCNE 1.6 y se deshabilitó las versiones anteriores"/>
        <s v="Se configuró Chrony  para temas de NTP"/>
        <s v="Se deshabilitó  calico de pod networking para su uso"/>
        <s v="Se habiltó bridge y netfilter como parte del prerquisito"/>
        <s v="Se configuró Worker nodes ya que lleva una configuracion diferentes al ser los que  corren los conetenedores"/>
        <s v="Se instaló olcne-agent y olcne-utils en cada nodo del cluster, desde el operator node cuando se manda a habilitar o configurar algun modulo de kubernetes, utiliza el agente de cada nodo para hacer la instalacion en los nodos necesarios."/>
        <s v="Se instaló y se configuró HAProxy, los control plane se registran como backend y como frontend los worker node que se van a estar conectando por puerto 6443, tambien se habilito las estadisticas en el puerto 9000"/>
        <s v="Se crearon certificados necesarios para la correcta comunicación entre control plane y worker nodes"/>
        <s v="Se configuraron certificados para poder utilizar la IP externa para los diferentes contenedores"/>
        <s v="Se creó el cluster usando los certificadores creados en el punto anterior"/>
        <s v="Creacion del modulo de k8s"/>
        <s v="Creacion del modulo de calico"/>
        <s v="Creación de todos los pods correctamente"/>
        <s v="Sesión para Revisar Sistema SISAI con subdirector, para conocer el detalle del sistema y como se componen las diversas plataformas"/>
        <s v="Sesión para Profundizar en las tablas del SISAI con director y explicación a detalle de cada objeto"/>
        <s v="Analisis de las tablas para familiarizarce con las necesidades o consultas que se pueden solicitar"/>
        <s v="Se analiza consulta 'Solicitudes por Entidad Federativa - EXCEL' del Archivo Querys Ponencia, se valida en herramienta y propone mejora"/>
        <s v="Se analiza consulta 'Solicitudes por Sujeto Obligado y Entidad Federativa' del Archivo Querys Ponencia, se valida en herramienta y propone mejora"/>
        <s v="Se analiza consulta 'Solicitudes por Entidad Federativa y tipo (acceso - datos personales)' del Archivo Querys Ponencia, se valida en herramienta y propone mejora"/>
        <s v="Se analiza consulta 'Solicitudes totales por tipo (acceso - datos personales) - EXCEL' del Archivo Querys Ponencia, se valida en herramienta y propone mejora"/>
        <s v="Se analiza consulta 'Solicitudes totales por tipo y Entidad Federativa (acceso - datos personales)' del Archivo Querys Ponencia, se valida en herramienta y propone mejora"/>
        <s v="Se analiza consulta 'Solicitudes de datos personales por tipo de derecho' del Archivo Querys Ponencia, se valida en herramienta y propone mejora"/>
        <s v="Se analiza consulta 'Temática de las solicitudes por Entidad federativa y Sujeto obligado' del Archivo Querys Ponencia, se valida en herramienta y propone mejora"/>
        <s v="Se analiza consulta 'Solicitudes app móvil EXCEL' del Archivo Querys Ponencia, se valida en herramienta y propone mejora"/>
        <s v="Se analiza consulta 'Solicitudes de Portabilidad ' del Archivo Querys Ponencia, se valida en herramienta y propone mejora"/>
        <s v="Se revisan configuraciones en herramienta Toad For Oracle para poder utilizar el 'Auto Optimize SQL'"/>
        <s v="Se solicita apoyo del DBA para crear tabla &quot;NREYES&quot;.&quot;QUEST_SL_EXPLAIN1&quot; en el ambiente de Desarrollo para validar si el Auto Optimizador SQL funciona"/>
        <s v="Se solicita apoyo del DBA para otorgar permisos de escritura en usuario NREYES  para validar si el Auto Optimizador SQL funciona"/>
        <s v="Se valida y comprueba que funciona la herramienta de Auto Optimizador de SQL para el ambiente de Desarrollo"/>
        <s v="Se solicita apoyo del DBA para crear tabla &quot;NREYES_RO&quot;.&quot;QUEST_SL_EXPLAIN2&quot; en el ambiente de producción para validar si el Auto Optimizador SQL funciona"/>
        <s v="Se solicita apoyo del DBA para otorgar permisos de escritura en usuario NREYES_RO Temporalmente, para validar si el Auto Optimizador SQL funciona"/>
        <s v="Se valida y comprueba que funciona la herramienta de Auto Optimizador de SQL para el ambiente de Producción"/>
        <s v="Se completaron ultimos detalles de mejoras de Querys Ponencia con apoyo de la herramienta 'Auto Optimice SQL'"/>
        <s v="Se completó el documento de Word 'Querys Ponencia' con el query de mi mejora + la mejora propuesta por la herramienta con bajo costo"/>
        <s v="Se solicitaron permisos para cargar archivos a la ruta del sharepoint"/>
        <s v="Se agregó mi archivo 'Querys Ponencia_MejoraNReyes' con mejoras al sharepoint con los 9 querys y mejoras"/>
        <s v="Se tuvó sesión con el subdirector para comentar pasos siguientes sobre nuevas mejoras al SISAI"/>
        <s v="Se revisó con subdirector la estructura que tendra el paquete del SISAI y como se iran agregando los procedimientos, asi como los parametros"/>
        <s v="Se revisó funcionalidad del 1er query del archivo 'Query SISAI' con una navegación en el aplicativo con el subdirector"/>
        <s v="Se analizó el 1er Query de SISAI '1.Funcionalidad que obtiene el dashboard de Mis Solicitudes del solicitante' y se detectó un tema con el parametro 'idUsuario' ya que debe ser obligatorio"/>
        <s v="Se trabajó para optimizar el 1er Query de SISAI, de la funcionalidad del dashboard de Mis Solicitudes"/>
        <s v="Se revisó a detalle del query1, la tabla 'sisai.sisai_tr_solicitud_general' con la columna 'id_usuario_solicitud' y se propuso creación de INDICE"/>
        <s v="Se intentó crear 1ra versión del paquete y no se tenian los privilegios con mi usuario NREYES en el ambiente de Desarrollo, se le reportó a subdirector"/>
        <s v="Se solicitó apoyo para poder ingresar a mi correo de ND para solicitar peticiones de la Base de Datos"/>
        <s v="Se envió correo a base de datos para que se otorgen los privilegios de escritura en BD para usuario NREYES en el ambiente de Desarrollo"/>
        <s v="Al continuar sin poder crear objetos de BD en Desarrollo, se informó que para crearlo se tendría que solicitar a través del archivo 'CC_TIPO-ticket7105__12072023', se revisó archivo"/>
        <s v="Se proporcionó el usuario SISAI para finalmente poder crear objetos en Desarrollo"/>
        <s v="Se configuró y validó la conexión a través del Toad for Oracle con nuevo usuario SISAI"/>
        <s v="Se trabajó con el Header del Nuevo Paquete 'SISAI.PACK_SISAI2' y se crea con el usuario SISAI"/>
        <s v="Se trabajó con el Body del Nuevo Paquete 'SISAI.PACK_SISAI2' y se crea con el usuario SISAI"/>
        <s v="Se trabajó con el 1er Procedimiento 'FUNC1_DASHBOARDMISSOLICITUDES' y se implimentó SQL Dinamico para condiciones del parametro 'IdEstatus'"/>
        <s v="Se confirmó con Samuel el valor de la constante para el parametro 'IdEstatus', ya que esto es importante para las condiciones en el 1er procedimiento"/>
        <s v="Se validó resultado del 1er Procedimiento dentro del paquete, con una salida en un bloque anonimo para visualizar resultados"/>
        <s v="Se analizó el 2do Query del SISAI '2. Funcionalidad que obtiene la bandera para identificar si un folio es candidato a recurso de revisión.' y este se comenta con subdirección para que lo revisen a profundidad"/>
        <s v="Se modificó el 1er procedimiento 'FUNC1_DASHBOARDMISSOLICITUDES' para convertirlo a SQL dinámico por el tipo de parámetros que se manejan"/>
        <s v="Se realizaron pruebas de las variantes que representa el manejar el Query dinámico en el 1er Procedimiento del paquete"/>
        <s v="Se comprobó salida del query dinámico con bloque anónimo con variable SYS_REFCURSOR y se detectarón errores"/>
        <s v="Se verificó campo por campo del query dinámico de la Funcionalidad 1, para validar el tipo de dato y longitud exactos"/>
        <s v="Se declararon las variables en bloque anónimo con validación exacta de tamaños de tipos de datos, del query de la Funcionalidad 1"/>
        <s v="Se actualizaron las condiciones del query dinámico para detectar errores y se regresó a la mínima expresión de la consulta, para ir validando cada parámetro"/>
        <s v="Se detectó error del procedimiento en las fechas dinámicas por un carácter adicional y se corrigió"/>
        <s v="Se validó el paquete-procedimiento de la funcionalidad # 1 y se tuvo un resultado exitoso con la salida del cursor completo con diversos parámetros"/>
        <s v="Se revisó el 3er query que 'obtiene el detalle de una solicitud en el dashboard del solicitante', se ejecutaron diversas consultas y pruebas con distintos parámetros"/>
        <s v="Se detectaron inconsistencias en Query de Funcionalidad 3, ya que son varios queries pequeños, no se sabe si se tiene que armar un query completo o ir validando paso a paso en los diversos queries"/>
        <s v="Se actualizó el documento 'Query SISAI' con las dudas sobre el Query 3 para revisarlas con Subdirector la próxima semana"/>
        <s v="Se revisó el 5to query para 'exportar las solicitudes del solicitante', se hicieron las primeras ejecuciones con los parámetros para entender su funcionamiento"/>
        <s v="Se optimizó el 5to query para tener una versión mejorada en tiempo de respuesta y costo"/>
        <s v="Se creó el nuevo procedimiento 'FUNC5_EXPORTARSOLICITUDES' en el paquete 'PACK_SISAI2', con la funcionalidad del 5to Query"/>
        <s v="Se verificó campo por campo del query de la Funcionalidad 5, validando el tipo de dato y longitud exactos"/>
        <s v="Se declararon las variables en bloque anónimo con validación exacta de tamaños de tipos de datos, del query de la Funcionalidad 5"/>
        <s v="Se validó el paquete-procedimiento de la funcionalidad # 5 con el bloque anónimo correcto y se tuvo un resultado exitoso con la salida del cursor completo con el único parámetro vID_SOLICITUDDEPENDENCIA"/>
        <s v="Se actualizó el documento 'Query SISAI' con los comentarios sobre el Query 5, por el parámetro de una lista de valores de los id´s para revisarlas con Subdirector la próxima semana, se tendría que aplicar SQL dinámico para resolverlo"/>
        <s v="Se revisó el 6to query para 'obtención del dashboard en la recepción de solicitudes UT', se hicieron las primeras ejecuciones con los parámetros para entender su funcionamiento"/>
        <s v="Se optimizó el 6to query para tener una mejor versión con mejor tiempo de respuesta y costo"/>
        <s v="Se creó nuevo procedimiento 'FUNC6_DASHBRDRECEPCIONSOLICIT_UT' en el paquete 'PACK_SISAI2', con la funcionalidad del 6to Query"/>
        <s v="Se verificó campo por campo del query de la Funcionalidad 6, validando el tipo de dato y longitud exactos"/>
        <s v="Se declararon las variables en bloque anónimo con validación exacta de tamaños de tipos de datos, del query de la Funcionalidad 6"/>
        <s v="Se validó el paquete-procedimiento de la funcionalidad # 6 con el bloque anónimo correcto y se tuvo un resultado exitoso con la salida del cursor completo con los parámetros detectados (FolioSolicitud, EstatusAsignacion y fecha_oficial_recepcion)"/>
        <s v="Se actualizó el documento 'Query SISAI' con los comentarios sobre el Query 6, ya que trae 2 parámetros que no se tiene la certeza si se manejaran o no y si serian obligatorios o no, para revisar lo con Subdirector la próxima semana"/>
        <s v="Se revisó el 7mo query que 'obtiene el detalle de una solicitud en el dashboard de la UT y GI', se hicieron las primeras ejecuciones con los parámetros para entender su funcionamiento"/>
        <s v="Se detectaron inconsistencias en Query de Funcionalidad 7, ya que son varios queries pequeños, no se sabe si se tiene que armar un query completo o ir validando paso a paso en los diversos queries"/>
        <s v="Se actualizó el documento 'Query SISAI' con las dudas sobre el Query 7 para revisarlas con Subdirector esta semana"/>
        <s v="Se revisó el 8vo query que 'permite la exportación de las solicitudes de la UT a formato excel', se hicieron las primeras ejecuciones con los parámetros para entender su funcionamiento"/>
        <s v="Se detectaron inconsistencias en Query de Funcionalidad 8, por parametro de Lista que no se sabe cómo se va a ingresar"/>
        <s v="Se actualizó el documento 'Query SISAI' con las dudas sobre el Query 8 para revisarlas con Subdirector esta semana"/>
        <s v="Se revisó el 9no query que 'obtiene todas las respuestas posibles a aplicar por parte de la UT', se hicieron las primeras ejecuciones con los parámetros para entender su funcionamiento"/>
        <s v="Se detectaron inconsistencias en Query de Funcionalidad 9, por único parámetro y al ser un query pequeño"/>
        <s v="Se actualizó el documento 'Query SISAI' con las dudas sobre el Query 9 para revisarlas con Subdirector esta semana"/>
        <s v="Se revisó el 10mo query que 'obtiene el dashboard en la recepción de solicitudes GI de la UT', se hicieron las primeras ejecuciones con los parámetros para entender su funcionamiento"/>
        <s v="Se detectaron inconsistencias en Query de Funcionalidad 10, por parámetros que no se sabe si son obligatorios y para aclarar parámetros de Estatus Respuesta que manda el aplicativo"/>
        <s v="Se actualizó el documento 'Query SISAI' con las dudas sobre el Query 10 para revisarlas con Subdirector esta semana"/>
        <s v="Se revisó el 11vo query que 'permite el turnado de un folio a unidades administrativas', se hicieron las primeras ejecuciones con los parámetros para entender su funcionamiento"/>
        <s v="Se detectaron inconsistencias en Query de Funcionalidad 11, ya que son varios queries pequeños, no se sabe si se tiene que armar un query completo o ir validando paso a paso en los diversos queries"/>
        <s v="Se actualizó el documento 'Query SISAI' con las dudas sobre el Query 11 para revisarlas con Subdirector esta semana"/>
        <s v="Se revisó el 12vo query que 'obtiene el dashboard con los folios y subfolios pendientes de respuestas de las unidades administrativas', se hicieron las primeras ejecuciones con los parámetros para entender su funcionamiento"/>
        <s v="Se detectaron inconsistencias en Query de Funcionalidad 12, ya que son varios queries y no se sabe el manejo de algunos parámetros"/>
        <s v="Se actualizó el documento 'Query SISAI' con las dudas sobre el Query 12 para revisarlas con Subdirector esta semana"/>
        <s v="Se revisó el 13vo query que 'obtiene el seguimiento de un subfolio de la unidad administrativa', se hicieron las primeras ejecuciones con los parámetros para entender su funcionamiento"/>
        <s v="Se detectaron inconsistencias en Query de Funcionalidad 13, ya que son algunos queries pequeños con parámetros aparentemente obligatorios"/>
        <s v="Se actualizó el documento 'Query SISAI' con las dudas sobre el Query 13 para revisarlas con Subdirector esta semana"/>
        <s v="Se revisó el 14vo query que 'obtiene los movimientos de un subfolio turnado a la unidad administrativa', se hicieron las primeras ejecuciones con los parámetros para entender su funcionamiento"/>
        <s v="Se detectaron inconsistencias en Query de Funcionalidad 14, ya que son algunos queries pequeños con parámetros aparentemente obligatorios"/>
        <s v="Se actualizó el documento 'Query SISAI' con las dudas sobre el Query 14 para revisarlas con Subdirector esta semana"/>
        <s v="Se revisó el 15vo query que 'obtiene el dashboard de las solicitudes asignadas por la unidad de transparencia', se hicieron las primeras ejecuciones con los parámetros para entender su funcionamiento"/>
        <s v="Se detectaron inconsistencias en Query de Funcionalidad 15, ya que el query tiene parámetros aparentemente obligatorios y Estatus de Respuesta que se deben poner fijos"/>
        <s v="Se actualizó el documento 'Query SISAI' con las dudas sobre el Query 15 para revisarlas con Subdirector esta semana"/>
        <s v="Se revisó el 16vo query que 'obtener la integración de respuestas de todos los subfolios por la unidad de transparencia', se hicieron las primeras ejecuciones con los parámetros para entender su funcionamiento"/>
        <s v="Se detectaron inconsistencias en Query de Funcionalidad 16, ya que son algunos queries pequeños con parámetros aparentemente obligatorios"/>
        <s v="Se actualizó el documento 'Query SISAI' con las dudas sobre el Query 16 para revisarlas con Subdirector esta semana"/>
        <s v="Se solicitó sesión con Subdirector para revisar las dudas de las consultas SISAI"/>
        <s v="Se tuvo sesión con Samuel y se aclararon todas las dudas de los querys para seguir trabajando y avanzando"/>
        <s v="Se actualizó paquete de funcionalidad 1 para condición dinámica de 't2.ds_solicitud like'"/>
        <s v="Se validó nuevamente funcionalidad 1 de forma correcta y se muestra en bloque anónimo el campo 'ds_solicitud' para comprobar que si funcione la condición"/>
        <s v="Se actualizó paquete de funcionalidad 5 para pasarlo a query dinámico y de esa forma manejar el parámetro como lista de los Ids"/>
        <s v="Se validó nuevamente la salida del query de funcionalidad 5 de forma correcta al ingresar un filtro con valores enlistados, separados por comas"/>
        <s v="Se creó el nuevo procedimiento 'FUNC3DETSOLDASH_SOLICDEPEN_Q1' en el paquete 'PACK_SISAI2', con la 3ra funcionalidad y el 1ro de los queries pequeños que obtiene las solicitudes de dependencia"/>
        <s v="Se validó el paquete-procedimiento de la funcionalidad # 3 - Query 1 con el bloque anónimo correcto y se tuvo un resultado exitoso con la salida del cursor completo con el único parámetro"/>
        <s v="Se creó el nuevo procedimiento 'FUNC3DETSOLDASH_ADJUNTXSOLIC_Q2' en el paquete 'PACK_SISAI2', con la 3ra funcionalidad y el 2do de los queries pequeños que obtiene los adjuntos por solicitud general"/>
        <s v="Se validó el paquete-procedimiento de la funcionalidad # 3 - Query 2 con el bloque anónimo correcto y se tuvo un resultado exitoso con la salida del cursor completo con el único parámetro"/>
        <s v="Se creó el nuevo procedimiento 'FUNC3DETSOLDASH_RESPXSOLDEP_Q3' en el paquete 'PACK_SISAI2', con la 3ra funcionalidad y el 3ero de los queries pequeños que obtiene las respuestas por solicitud dependencia"/>
        <s v="Se validó el paquete-procedimiento de la funcionalidad # 3 - Query 3 con el bloque anónimo correcto y se tuvo un resultado exitoso con la salida del cursor completo con el único parámetro"/>
        <s v="Se creó el nuevo procedimiento 'FUNC3DETSOLDASH_ADJXIDRESP_Q4' en el paquete 'PACK_SISAI2', con la 3ra funcionalidad y el 4to de los queries pequeños que obtiene los adjuntos por id respuesta"/>
        <s v="Se validó el paquete-procedimiento de la funcionalidad # 3 - Query 4 con el bloque anónimo correcto y se tuvo un resultado exitoso con la salida del cursor completo con el único parámetro"/>
        <s v="Se creó el nuevo procedimiento 'FUNC3DETSOLDASH_COMPETXRESP_Q6' en el paquete 'PACK_SISAI2', con la 3ra funcionalidad y el 6to de los queries pequeños que obtiene la competencia por respuesta"/>
        <s v="Se validó el paquete-procedimiento de la funcionalidad # 3 - Query 6 con el bloque anónimo correcto y se tuvo un resultado exitoso con la salida del cursor completo con el único parámetro"/>
        <s v="Se actualizó paquete de funcionalidad 6 con las ultimas indicaciones de que parámetros van obligatorios u opcionales"/>
        <s v="Se validó nuevamente la salida del query de funcionalidad 6 de forma correcta al ingresar los filtros"/>
        <s v="Se solicitó apoyo para que se modifique la tabla del plan de ayuda de la BD de Desarrollo (&quot;SISAI&quot;.&quot;QUEST_SL_TEMP_EXPLAIN1&quot;.&quot;OBJECT_NAME&quot;)"/>
        <s v="Se creó el nuevo procedimiento 'FUNC3DETSOLDASH_NOTIFDISPONIBXRESP_QF3Q5' en el paquete 'PACK_SISAI2', con la 3ra funcionalidad y el 5to de los queries pequeños que obtiene la notificación disponibilidad por respuesta"/>
        <s v="Se revisó campo por campo de la tabla 'SISAI_TR_NOTIF_DISPONIB' para identificar los tipos de datos y tamaño para validación en bloque anonimo"/>
        <s v="Se validó el paquete-procedimiento de la funcionalidad # 3 - Query 5 con el bloque anónimo correcto y se tuvo un resultado exitoso con la salida del cursor completo con el único parámetro"/>
        <s v="Se optimiza en la herramienta Auto Optimice de Toad el Query de la funcionlidad 3 con todos los subqueries del 1 al 6"/>
        <s v="Se optimiza en la herramienta Auto Optimice de Toad el Query de la funcionlidad 5"/>
        <s v="Se optimiza en la herramienta Auto Optimice de Toad el Query de la funcionlidad 6"/>
        <s v="Desarrollo pantalla detalle queja dividida en secciones (Maquetación)"/>
        <s v="Desarrollo sección datos y detalle de la queja (Maquetación)"/>
        <s v="Desarrollo sección respuestas de la queja (Maquetación)"/>
        <s v="Desarrollo sección lote de sujetos obligados para la creación de más de 33 solicitudes"/>
        <s v="Desarrollo componente tabs y componente picklist (Maquetación)"/>
        <s v="Refactorización código existente del formulario acceso a la información"/>
        <s v="Desarrollo componente modal ayuda (como hacer un lote de solicitudes)"/>
        <s v="Desarrollo sección notificaciones de la queja (Maquetación)"/>
        <s v="Se hace mejoras componente picklist formulario acceso a la información"/>
        <s v="Desarrollo tabla cargas masivas de solicitudes"/>
        <s v="Reestructuración de botón login y sidebar"/>
        <s v="Se reestructura barra búsqueda"/>
        <s v="Se agrega icono cargas masivas a dashboard solicitante"/>
        <s v="Implementación componente lista sujetos obligados formulario acceso a la información"/>
        <s v="Mapeo interfaces e implementación servicios carga masiva"/>
        <s v="Ajustes css componente sidebar y main container"/>
        <s v="Ajustes estilos y posición a componente sidebar"/>
        <s v="Implementación iconos en header y mejoras al icono de la hamburguesa"/>
        <s v="Mejoras y reestructuración componente header"/>
        <s v="Se ajustan estilos al main container y al componente header asi como a la imagen de fondo del header"/>
        <s v="Creación módulos avisos, estadísticas y Maquetación pantallas avisos"/>
        <s v="Maquetación pantallas estadísticas"/>
        <s v="Desarrollo componente mapa interactivo de los estados del país, se crea pantalla con graficas estadísticas por órgano"/>
        <s v="Implementación y pruebas de graficas apexhcart, integración servicio mis cargas masivas "/>
        <s v="Mejoras header pnt frontend Angular"/>
        <s v="Mejoras iconos header  y se agregan imágenes pnt y transparencia al header"/>
        <s v="Implementación servicios pantalla consulta mis cargas masivas"/>
        <s v="Implementación servicios pantalla detalle carga masiva"/>
        <s v="Rediseño detalle de solicitud en el expando row"/>
        <s v="Se agrega logica para la descarga de adjuntos en el detalle de la solicitud ya que al cambiar el rediseño la logica cambio"/>
        <s v="Implementación pantalla seguimiento y consumo servicios descarga archivos"/>
        <s v="   Desarrollar funcionalidad para editar Sector."/>
        <s v="   Desarrollar grid de Sectores."/>
        <s v="   Desarrollar funcionalidad para eliminación de Sectores"/>
        <s v="   Desarrollar pantalla para agregar clasificación."/>
        <s v="   Desarrollar pantalla modal con funcionalidad de edición de Clasificaciones para agregar y editar SubClasificaciones"/>
        <s v="   Desarrollar grid de Clasificaciones"/>
        <s v="   Desarrollar funcionalidad para eliminación de Clasificaciones"/>
        <s v="Desarrollar servicios rest para datos abiertos de solicitudes y quejas"/>
        <s v="Desarrollar servicios rest para datos abiertos de obligaciones de transparencia"/>
        <s v="servicio para recuperación de usuarios, en base a texto (busqueda)"/>
        <s v="servicio para alta de usuarios"/>
        <s v="servicio para edición de usuarios"/>
        <s v="servicio para cambio de contraseña"/>
        <s v="servicio para activar/desactivar usuario"/>
        <s v="Se analizo la actualizacion de OLCNE a 1.7, pero el repositorio no estaba disponible"/>
        <s v="Se tuvo una sesion con los desarrolladores para enseñar lo que se hizo"/>
        <s v="Durante la sesion se pidio que se haga un demo de como seria ya usando el K8s, junto con lo que ya tienen"/>
        <s v="Documentacion de faltante junto con el caso de uso"/>
        <s v="Se esta analizando la instalacion/configuracion de otros ambientes mas grandes"/>
        <s v="Se analizo la mejor herramienta para exponer los servicios de k8s (NodePort, Custom Image)"/>
        <s v="Se actualizo Jenkins, es un herramienta que constantemente tiene actualizaciones"/>
        <s v="Para poder usar ciertos pipelines es necesario instalar el modulo correspondiente"/>
        <s v="Configuracion de pipline y prerequisitos de SO y otro plugins"/>
        <s v="Se revisó el Query 1 de la Funcionalidad 7, para obtener la solicitud dependencia y se encontro reutilización ('FUNC3DETSOLDASH_SOLICDEPEN_QF3Q1')"/>
        <s v="Se actualizó documento Querys SISAI con el detalle encontrado en el Query 1 - Funcionalidad 7"/>
        <s v="Se revisó el Query 2 de la Funcionalidad 7, para obtener adjuntos por solicitud general  y se encontro reutilización ('FUNC3DETSOLDASH_ADJUNTXSOLIC_QF3Q2')"/>
        <s v="Se actualizó documento Querys SISAI con el detalle encontrado en el Query 2 - Funcionalidad 7"/>
        <s v="Se creó el nuevo procedimiento 'FUNC7DETSOLDASHUTGI_ADJUNTOXIDSOLINT_QF7Q3' en el paquete 'PACK_SISAI2', con la 7ma funcionalidad y el 3er de los queries pequeños que obtiene los adjuntos por id solitud gestion interna"/>
        <s v="Se validó campo por campo de la tabla 'SISAI_TR_ADJUNTOS' para identificar los tipos de datos y tamaño para validación en bloque anonimo"/>
        <s v="Se validó el paquete-procedimiento de la funcionalidad # 7 - Query 3 con el bloque anónimo correcto y se tuvo un resultado exitoso con la salida del cursor completo con el único parámetro"/>
        <s v="Se creó el nuevo procedimiento 'FUNC7DETSOLDASHUTGI_SOLGIXSOLDEPEN_QF7Q4' en el paquete 'PACK_SISAI2', con la 7ma funcionalidad y el 4to de los queries pequeños que obtiene las solicitudes de gestión interna por solicitud dependencia"/>
        <s v="Se validó campo por campo de la tabla 'SISAI_TR_GI_SOLICITUDES' para identificar los tipos de datos y tamaño para validación en bloque anonimo"/>
        <s v="Se validó el paquete-procedimiento de la funcionalidad # 7 - Query 4 con el bloque anónimo correcto y se tuvo un resultado exitoso con la salida del cursor completo con el único parámetro"/>
        <s v="Se revisó el Query 5 de la Funcionalidad 7, para obtener respuestas por solicitud dependencia y se encontro reutilización ('FUNC3DETSOLDASH_RESPUXSOLICDEP_QF3Q3')"/>
        <s v="Se actualizó documento Querys SISAI con el detalle encontrado en el Query 5 - Funcionalidad 7"/>
        <s v="Se creó el nuevo procedimiento 'FUNC7DETSOLDASHUTGI_SOLESTADISTICO_QF7Q6' en el paquete 'PACK_SISAI2', con la 7ma funcionalidad y el 6to de los queries pequeños que obtiene la lista solicitud estadístico por solicitud general"/>
        <s v="Se validó campo por campo de la tabla 'SISAI_TR_SOLICITUD_ESTADISTICO' para identificar los tipos de datos y tamaño para validación en bloque anonimo"/>
        <s v="Se validó el paquete-procedimiento de la funcionalidad # 7 - Query 6 con el bloque anónimo correcto y se tuvo un resultado exitoso con la salida del cursor completo con el único parámetro"/>
        <s v="Se creó el nuevo procedimiento 'FUNC7DETSOLDASHUTGI_SOLXACCESIBILIDAD_QF7Q7' en el paquete 'PACK_SISAI2', con la 7ma funcionalidad y el 7mo de los queries pequeños que obtiene la lista de solicitud de accesibilidad por solicitud general"/>
        <s v="Se validó campo por campo de la tabla 'SISAI_TR_SOLICITUD_X_ACCESIBIL' para identificar los tipos de datos y tamaño para validación en bloque anonimo"/>
        <s v="Se validó el paquete-procedimiento de la funcionalidad # 7 - Query 7 con el bloque anónimo correcto y se tuvo un resultado exitoso con la salida del cursor completo con el único parámetro"/>
        <s v="Se revisó el Query 8 de la Funcionalidad 7, para obtener adjunto de la ut por id respuesta y se encontro reutilización ('FUNC3DETSOLDASH_ADJUNTOXIDRESP_QF3Q4')"/>
        <s v="Se actualizó documento Querys SISAI con el detalle encontrado en el Query 8 - Funcionalidad 7"/>
        <s v="Se revisó el Query 9 de la Funcionalidad 7, para obtener la notificación disponibilidad por respuesta de notoria incompetencia y se encontro reutilización ('FUNC3DETSOLDASH_NOTIFDISPONIBXRESP_QF3Q5')"/>
        <s v="Se actualizó documento Querys SISAI con el detalle encontrado en el Query 9 - Funcionalidad 7"/>
        <s v="Se revisó el Query 10 de la Funcionalidad 7, para obtener competencia por sujeto obligado si una solicitud fue canalizada y se encontro reutilización ('FUNC3DETSOLDASH_COMPETENXRESP_QF3Q6')"/>
        <s v="Se actualizó documento Querys SISAI con el detalle encontrado en el Query 10 - Funcionalidad 7"/>
        <s v="Se creó el nuevo procedimiento 'FUNC7DETSOLDASHUTGI_SOLDATOPERSON_QF7Q11' en el paquete 'PACK_SISAI2', con la 7ma funcionalidad y el 11vo de los queries pequeños que obtiene la solicitud datos perso por solicitud dependencia cuando es una solicitud ARCOP"/>
        <s v="Se validó campo por campo de la tabla 'SISAI_TR_SOLICITUD_DATOS_PERSO' para identificar los tipos de datos y tamaño para validación en bloque anonimo"/>
        <s v="Se validó el paquete-procedimiento de la funcionalidad # 7 - Query 11 con el bloque anónimo correcto y se tuvo un resultado exitoso con la salida del cursor completo con el único parámetro"/>
        <s v="Se creó el nuevo procedimiento 'FUNC7DETSOLDASHUTGI_ESTADISTXOCUPA_QF7Q12' en el paquete 'PACK_SISAI2', con la 7ma funcionalidad y el 12vo de los queries pequeños que obtiene el estadístico ocupación por id solicitud estadística"/>
        <s v="Se validó campo por campo de la tabla 'SISAI_TR_ESTADISTICO_X_OCUP' para identificar los tipos de datos y tamaño para validación en bloque anonimo"/>
        <s v="Se validó el paquete-procedimiento de la funcionalidad # 7 - Query 12 con el bloque anónimo correcto y se tuvo un resultado exitoso con la salida del cursor completo con el único parámetro"/>
        <s v="Se creó el nuevo procedimiento 'FUNC7DETSOLDASHUTGI_ACCESIBILIDAD_QF7Q13' en el paquete 'PACK_SISAI2', con la 7ma funcionalidad y el 13vo de los queries pequeños que obtiene el estadístico ocupación por id solicitud estadística"/>
        <s v="Se validó campo por campo de la tabla 'SISAI_TC_ACCESIBILIDAD' para identificar los tipos de datos y tamaño para validación en bloque anonimo"/>
        <s v="Se validó el paquete-procedimiento de la funcionalidad # 7 - Query 13 con el bloque anónimo correcto y se tuvo un resultado exitoso con la salida del cursor completo con el único parámetro"/>
        <s v="Se creó el nuevo procedimiento 'FUNC7DETSOLDASHUTGI_LEYEXIDRESP_QF7Q14' en el paquete 'PACK_SISAI2', con la 7ma funcionalidad y el 14to de los queries pequeños que obtiene leyes por id respuesta"/>
        <s v="Se validó campo por campo de las tablas 'SISAI_TR_LEY_CLASIFICACION' y 'SISAI_TC_LEYES' para identificar los tipos de datos y tamaño para validación en bloque anonimo"/>
        <s v="Se validó el paquete-procedimiento de la funcionalidad # 7 - Query 14 con el bloque anónimo correcto y se tuvo un resultado exitoso con la salida del cursor completo con el único parámetro"/>
        <s v="Se actualizó documento Querys SISAI con los nombres de los procedimientos recien creados sobre los Querys de Funcionalidad 7, que no se reutilizaban"/>
        <s v="Se optimizó en la herramienta Auto Optimice de Toad los Querys de la funcionlidad 7 con todos los subqueries del 1 al 14, sin contemplar los reutilizados"/>
        <s v="Se creó el nuevo procedimiento 'FUNC8EXPSOLICITUDUT_FORMEXCEL_QF8' en el paquete 'PACK_SISAI2', con la 8va funcionalidad que que permite la exportación de las solicitudes de la UT a formato excel"/>
        <s v="Se pasó el procedimiento a query dinamico para poder manejar el parametro de la lista del campo ID_SOLICITUDDEPENDENCIA"/>
        <s v="Se validó campo por campo del query 8 para identificar los tipos de datos y tamaño para validación en bloque anonimo"/>
        <s v="Se validó el paquete-procedimiento de la funcionalidad # 8 con el bloque anónimo correcto y se tuvo un resultado exitoso con la salida del cursor completo con el único parámetro"/>
        <s v="Se creó el nuevo procedimiento 'FUNC9RESPUESTASPOSIBL_UT_QF9' en el paquete 'PACK_SISAI2', con la 9na funcionalidad que obtiene todas las respuestas posibles a aplicar por parte de la UT"/>
        <s v="Se validó campo por campo de la tabla 'SISAI_TR_RESPUESTA' para identificar los tipos de datos y tamaño para validación en bloque anonimo"/>
        <s v="Se validó el paquete-procedimiento de la funcionalidad # 9 con el bloque anónimo correcto y se tuvo un resultado exitoso con la salida del cursor completo con el único parámetro"/>
        <s v="Se actualizó documento Querys SISAI con los nombres de los procedimientos recien creados sobre el Query de Funcionalidad 9, que no se reutilizaban"/>
        <s v="Se creó el nuevo procedimiento 'FUNC10DASHBOARDRECEPSOLICI_GIUT_QF10' en el paquete 'PACK_SISAI2', con la 10ma funcionalidad que obtiene el dashboard en la recepción de solicitudes GI de la UT"/>
        <s v="Se validó campo por campo del select del query de la funcionalidad 10 para identificar los tipos de datos y tamaño para validación en bloque anonimo"/>
        <s v="Se validó el paquete-procedimiento de la funcionalidad # 10 con el bloque anónimo correcto y se tuvo un resultado exitoso con la salida del cursor completo con distintos parámetros"/>
        <s v="Se actualizó documento Querys SISAI con los nombres de los procedimientos recien creados sobre el Query de Funcionalidad 10, que no se reutilizaban"/>
        <s v="Se creó el nuevo procedimiento 'FUNC11TURNAFOLIOUNIAD_SOLIXSOLDEPEN_QF11Q1' en el paquete 'PACK_SISAI2', con el query 1 de la 11va funcionalidad que obtiene las solicitudes por solicitud dependencia para la generación de subfolios"/>
        <s v="Se validó el paquete-procedimiento del query 1 de la funcionalidad # 11 con el bloque anónimo correcto y se tuvo un resultado exitoso con la salida del cursor completo con sus distintos parámetros"/>
        <s v="Se actualizó documento Querys SISAI con los nombres de los procedimientos recien creados sobre el Query 1 de la Funcionalidad 11, que no se reutilizaban"/>
        <s v="Se creó el nuevo procedimiento 'FUNC11TURNAFOLIOUNIAD_CONFIGPLAZOSO_QF11Q2' en el paquete 'PACK_SISAI2', con el query 2 de la 11va funcionalidad que obtiene la configuración de plazos a nivel de sujeto obligado"/>
        <s v="Se validó campo por campo de la tabla 'SISAI_TW_CONFIG_PROCESO' para identificar los tipos de datos y tamaño para validación en bloque anonimo"/>
        <s v="Se validó el paquete-procedimiento del query 2 de la funcionalidad # 11 con el bloque anónimo correcto y se tuvo un resultado exitoso con la salida del cursor completo con el único parámetro"/>
        <s v="Se actualizó documento Querys SISAI con los nombres de los procedimientos recien creados sobre el Query 2 de la Funcionalidad 11, que no se reutilizaban"/>
        <s v="Se creó el nuevo procedimiento 'FUNC11TURNAFOLIOUNIAD_CONFIPROCXORGGTE_QF11Q3' en el paquete 'PACK_SISAI2', con el query 3 de la 11va funcionalidad que obtiene la configuración de procesos por organismo garante"/>
        <s v="Se validó el paquete-procedimiento del query 3 de la funcionalidad # 11 con el bloque anónimo correcto y se tuvo un resultado exitoso con la salida del cursor completo con varios parámetros"/>
        <s v="Se actualizó documento Querys SISAI con los nombres de los procedimientos recien creados sobre el Query 3 de la Funcionalidad 11, que no se reutilizaban"/>
        <s v="Se revisó el Query 4 de la Funcionalidad 11, para obtener solicitudes Gestion interna por solicitud dependencia para generar subfolios y se encontro reutilización ('FUNC7DETSOLDASHUTGI_SOLGIXSOLDEPEN_QF7Q4')"/>
        <s v="Se actualizó documento Querys SISAI con el detalle encontrado en el Query 4 - Funcionalidad 11"/>
        <s v="Se creó el nuevo procedimiento 'FUNC12DASHBOARDFOLIOPENDRPTAUNIADM_QF12Q1' en el paquete 'PACK_SISAI2', con el query 1 de la 12va funcionalidad que obtiene el dashboard con los folios y subfolios pendientes de respuestas de las unidades administrativas"/>
        <s v="Se validó campo por campo del query 1 de la funcionalidad 12 para identificar los tipos de datos y tamaño para validación en bloque anonimo"/>
        <s v="Se validó el paquete-procedimiento del query 1 de la funcionalidad # 12 con el bloque anónimo correcto y se tuvo un resultado exitoso con la salida del cursor completo con varios parametros"/>
        <s v="Se actualizó documento Querys SISAI con los nombres de los procedimientos recien creados sobre el Query 1 de la Funcionalidad 12, que no se reutilizaban"/>
        <s v="Se creó el nuevo procedimiento 'FUNC12DASHBOARDFOLIOPENDRPTASEFOLCOMTRANSPA_QF12Q2' en el paquete 'PACK_SISAI2', con el query 2 de la 12va funcionalidad que se obtiene el seguimiento por cada folio para identificar si pasó por comité de transparencia"/>
        <s v="Se validó campo por campo de la tabla 'SISAI_TR_GI_SEGUIMIENTO' para identificar los tipos de datos y tamaño para validación en bloque anonimo"/>
        <s v="Se validó el paquete-procedimiento del query 2 de la funcionalidad # 12 con el bloque anónimo correcto y se tuvo un resultado exitoso con la salida del cursor completo con el único parámetro"/>
        <s v="Se actualizó documento Querys SISAI con los nombres de los procedimientos recien creados sobre el Query 2 de la Funcionalidad 12, que no se reutilizaban"/>
        <s v="Se creó el nuevo procedimiento 'FUNC12DASHBOARDFOLIOPENDRPTASNOTERMIDIATRANS_QF12Q3' en el paquete 'PACK_SISAI2', con el query 3 de la 12va funcionalidad que se ontiene la información si es que considera sábados el so o el og"/>
        <s v="Se validó campo por campo de las tablas 'sisai_tr_calendario_master y sisai_tr_calendario_so', del query 3, para identificar los tipos de datos y tamaño para validación en bloque anonimo"/>
        <s v="Se validó el paquete-procedimiento del query 3 de la funcionalidad # 12 con el bloque anónimo correcto y se tuvo un resultado exitoso con la salida del cursor completo con varios parámetros"/>
        <s v="Se actualizó documento Querys SISAI con los nombres de los procedimientos recien creados sobre el Query 3 de la Funcionalidad 12, que no se reutilizaban"/>
        <s v="Se creó el nuevo procedimiento 'FUNC12DASHBOARDFOLIOPENDRPTASLTADIAINHABIL_QF12Q4' en el paquete 'PACK_SISAI2', con el query 4 de la 12va funcionalidad que se obtiene la lista de días inhábiles por so o por og"/>
        <s v="Se validó campo por campo de las tablas del query 4, para identificar los tipos de datos y tamaño para validación en bloque anonimo"/>
        <s v="Se validó el paquete-procedimiento del query 4 de la funcionalidad # 12 con el bloque anónimo correcto y se tuvo un resultado exitoso con la salida del cursor completo con un único parámetro"/>
        <s v="Se actualizó documento Querys SISAI con los nombres de los procedimientos recien creados sobre el Query 4 de la Funcionalidad 12, que no se reutilizaban"/>
        <s v="Se revisó el Query 1 de la Funcionalidad 13, para obtener las solicitudes en gestión interna por solicitud dependencia y se encontro reutilización ('FUNC7DETSOLDASHUTGI_SOLGIXSOLDEPEN_QF7Q4')"/>
        <s v="Se actualizó documento Querys SISAI con el detalle encontrado en el Query 1 - Funcionalidad 13"/>
        <s v="Se revisó el Query 2 de la Funcionalidad 13, para obtener el seguimiento de cada subfolio de gestión interna y se encontro reutilización ('FUNC12DASHBOARDFOLIOPENDRPTASEFOLCOMTRANSPA_QF12Q2')"/>
        <s v="Se actualizó documento Querys SISAI con el detalle encontrado en el Query 2 - Funcionalidad 13"/>
        <s v="Se creó el nuevo procedimiento 'FUNC13OBTSEGUISUBFOUNIADXFLUJOSEGSUBFL_QF13Q3' en el paquete 'PACK_SISAI2', con el query 3 de la 13va funcionalidad que se obtiene los adjuntos de cada flujo del seguimiento del subfolio"/>
        <s v="Se validó el paquete-procedimiento del query 3 de la funcionalidad # 13 con el bloque anónimo correcto y se tuvo un resultado exitoso con la salida del cursor completo con un único parámetro"/>
        <s v="Se actualizó documento Querys SISAI con los nombres de los procedimientos recien creados sobre el Query 3 de la Funcionalidad 13, que no se reutilizaban"/>
        <s v="Se revisó el Query 1 de la Funcionalidad 14, para obtener solicitudes gestión interna por id y se encontro reutilización ('FUNC11TURNAFOLIOUNIAD_SOLIXSOLDEPEN_QF11Q1')"/>
        <s v="Se actualizó documento Querys SISAI con el detalle encontrado en el Query 1 - Funcionalidad 14"/>
        <s v="Se revisó el Query 2 de la Funcionalidad 14, para el seguimiento gestión interna por solicitud GI y se encontro reutilización ('FUNC12DASHBOARDFOLIOPENDRPTASEFOLCOMTRANSPA_QF12Q2')"/>
        <s v="Se actualizó documento Querys SISAI con el detalle encontrado en el Query 2 - Funcionalidad 14"/>
        <s v="Se revisó el Query 3 de la Funcionalidad 14, para obtener adjuntos por seguimiento de gestión interna y se encontro reutilización ('FUNC13OBTSEGUISUBFOUNIADXFLUJOSEGSUBFL_QF13Q3')"/>
        <s v="Se actualizó documento Querys SISAI con el detalle encontrado en el Query 3 - Funcionalidad 14"/>
        <s v="Se creó el nuevo procedimiento 'FUNC15DASHSOLASIGUT_SOLPENDXCONTUA_QF15Q1' en el paquete 'PACK_SISAI2', con el query 1 de la 15va funcionalidad que se obtiene solicitudes pendientes por contestar de la UA"/>
        <s v="Se validó campo por campo de las tablas del 1er query de la funcionalidad 15, para identificar los tipos de datos y tamaño para validación en bloque anonimo"/>
        <s v="Se validó el paquete-procedimiento del query 1 de la funcionalidad # 15 con el bloque anónimo correcto y se tuvo un resultado exitoso con la salida del cursor completo con varios parámetros"/>
        <s v="Se actualizó documento Querys SISAI con los nombres de los procedimientos recien creados sobre el Query 1 de la Funcionalidad 15, que no se reutilizaban"/>
        <s v="Se revisó el Query 2 de la Funcionalidad 15, para obtener las solicitudes gestión interna por solicitud dependencia y se encontro reutilización ('FUNC7DETSOLDASHUTGI_SOLGIXSOLDEPEN_QF7Q4')"/>
        <s v="Se actualizó documento Querys SISAI con el detalle encontrado en el Query 2 - Funcionalidad 15"/>
        <s v="Se revisó el Query 3 de la Funcionalidad 15, para obtener la información si es que considera sábados el so o el og y se encontro reutilización ('FUNC12DASHBOARDFOLIOPENDRPTASNOTERMIDIATRANS_QF12Q3'')"/>
        <s v="Se actualizó documento Querys SISAI con el detalle encontrado en el Query 3 - Funcionalidad 15"/>
        <s v="Se revisó el Query 4 de la Funcionalidad 15, para obtener  la lista de días inhábiles por so o por og y se encontro reutilización ('FUNC12DASHBOARDFOLIOPENDRPTASLTADIAINHABIL_QF12Q4')"/>
        <s v="Se actualizó documento Querys SISAI con el detalle encontrado en el Query 4 - Funcionalidad 15"/>
        <s v="Se revisó el Query 1 de la Funcionalidad 16, para obtener las solicitudes gestión interna por solicitud dependencia y se encontro reutilización ('FUNC7DETSOLDASHUTGI_SOLGIXSOLDEPEN_QF7Q4')"/>
        <s v="Se actualizó documento Querys SISAI con el detalle encontrado en el Query 1 - Funcionalidad 16"/>
        <s v="Se revisó el Query 2 de la Funcionalidad 16, para obtener el seguimiento de cada subfolio en gestión interna por solicitud GI y se encontro reutilización ('FUNC12DASHBOARDFOLIOPENDRPTASEFOLCOMTRANSPA_QF12Q2')"/>
        <s v="Se actualizó documento Querys SISAI con el detalle encontrado en el Query 2 - Funcionalidad 16"/>
        <s v="Se revisó el Query 3 de la Funcionalidad 16, para obtener los adjuntos por subfolio de seguimiento y se encontro reutilización ('FUNC11TURNAFOLIOUNIAD_SOLIXSOLDEPEN_QF11Q1')"/>
        <s v="Se revisó el query 1 de la 15va funcionalidad, se aplican mejoras a query para ejecusión más limpia con un costo menor"/>
        <s v="Se revisó el query 1 de la 15va funcionalidad, se analizan alternativas de optimización en la herramienta"/>
        <s v="Se actualizó procedimiento 'FUNC15DASHSOLASIGUT_SOLPENDXCONTUA_QF15Q1' con el query 1 de la fucionalidad 15 mejorado y optimizado"/>
        <s v="Se repasó el query 1 de la Funcionalidad 3 para optimizarlo con ayuda de la herramienta Toad"/>
        <s v="Si se encuentra mejora a menor costo, se actualiza query mejorado en procedimiento 'FUNC3DETSOLDASH_SOLICDEPEN_QF3Q1' de la Funcionalidad 3 "/>
        <s v="Se repasó el query 2 de la Funcionalidad 3 para optimizarlo con ayuda de la herramienta Toad"/>
        <s v="Si se encuentra mejora a menor costo, se actualiza query mejorado en procedimiento 'FUNC3DETSOLDASH_ADJUNTXSOLIC_QF3Q2' de la Funcionalidad 3"/>
        <s v="Se repasó el query 3 de la Funcionalidad 3 para optimizarlo con ayuda de la herramienta Toad"/>
        <s v="Si se encuentra mejora a menor costo, se actualiza query mejorado en procedimiento 'FUNC3DETSOLDASH_RESPUXSOLICDEP_QF3Q3' de la Funcionalidad 3"/>
        <s v="Se repasó el query 4 de la Funcionalidad 3 para optimizarlo con ayuda de la herramienta Toad"/>
        <s v="Si se encuentra mejora a menor costo, se actualiza query mejorado en procedimiento 'FUNC3DETSOLDASH_ADJUNTOXIDRESP_QF3Q4' de la Funcionalidad 3"/>
        <s v="Se repasó el query 5 de la Funcionalidad 3 para optimizarlo con ayuda de la herramienta Toad"/>
        <s v="Si se encuentra mejora a menor costo, se actualiza query mejorado en procedimiento 'FUNC3DETSOLDASH_NOTIFDISPONIBXRESP_QF3Q5' de la Funcionalidad 3"/>
        <s v="Se repasó el query 6 de la Funcionalidad 3 para optimizarlo con ayuda de la herramienta Toad"/>
        <s v="Si se encuentra mejora a menor costo, se actualiza query mejorado en procedimiento 'FUNC3DETSOLDASH_COMPETENXRESP_QF3Q6' de la Funcionalidad 3"/>
        <s v="Se repasó el query 3 de la Funcionalidad 7 para optimizarlo con ayuda de la herramienta Toad"/>
        <s v="Si se encuentra mejora a menor costo, se actualiza query mejorado en procedimiento 'FUNC7DETSOLDASHUTGI_ADJUNTOXIDSOLINT_QF7Q3' de la Funcionalidad 7"/>
        <s v="Se repasó el query 4 de la Funcionalidad 7 para optimizarlo con ayuda de la herramienta Toad"/>
        <s v="Si se encuentra mejora a menor costo, se actualiza query mejorado en procedimiento 'FUNC7DETSOLDASHUTGI_SOLGIXSOLDEPEN_QF7Q4' de la Funcionalidad 7"/>
        <s v="Se repasó el query 6 de la Funcionalidad 7 para optimizarlo con ayuda de la herramienta Toad"/>
        <s v="Si se encuentra mejora a menor costo, se actualiza query mejorado en procedimiento 'FUNC7DETSOLDASHUTGI_SOLESTADISTICO_QF7Q6' de la Funcionalidad 7"/>
        <s v="Se repasó el query 7 de la Funcionalidad 7 para optimizarlo con ayuda de la herramienta Toad"/>
        <s v="Si se encuentra mejora a menor costo, se actualiza query mejorado en procedimiento 'FUNC7DETSOLDASHUTGI_SOLXACCESIBILIDAD_QF7Q7' de la Funcionalidad 7"/>
        <s v="Se repasó el query 11 de la Funcionalidad 7 para optimizarlo con ayuda de la herramienta Toad"/>
        <s v="Si se encuentra mejora a menor costo, se actualiza query mejorado en procedimiento 'FUNC7DETSOLDASHUTGI_SOLDATPERSOXSOLDEP_QF7Q11' de la Funcionalidad 7"/>
        <s v="Se repasó el query 12 de la Funcionalidad 7 para optimizarlo con ayuda de la herramienta Toad"/>
        <s v="Si se encuentra mejora a menor costo, se actualiza query mejorado en procedimiento 'FUNC7DETSOLDASHUTGI_ESTADISTOCUPXIDSOL_QF7Q12' de la Funcionalidad 7"/>
        <s v="Se repasó el query 13 de la Funcionalidad 7 para optimizarlo con ayuda de la herramienta Toad"/>
        <s v="Si se encuentra mejora a menor costo, se actualiza query mejorado en procedimiento 'FUNC7DETSOLDASHUTGI_ACCESIBILIDAD_QF7Q13' de la Funcionalidad 7"/>
        <s v="Se repasó el query 14 de la Funcionalidad 7 para optimizarlo con ayuda de la herramienta Toad"/>
        <s v="Si se encuentra mejora a menor costo, se actualiza query mejorado en procedimiento 'FUNC7DETSOLDASHUTGI_LEYEIDRESP_QF7Q14' de la Funcionalidad 7"/>
        <s v="Se repasó el query 1 de la Funcionalidad 9 para optimizarlo con ayuda de la herramienta Toad"/>
        <s v="Si se encuentra mejora a menor costo, se actualiza query mejorado en procedimiento 'FUNC9RESPUESTASPOSIBL_UT_QF9' de la Funcionalidad 9"/>
        <s v="Se repasó el query 1 de la Funcionalidad 11 para optimizarlo con ayuda de la herramienta Toad"/>
        <s v="Si se encuentra mejora a menor costo, se actualiza query mejorado en procedimiento 'FUNC11TURNAFOLIOUNIAD_SOLIXSOLDEPEN_QF11Q1' de la Funcionalidad 11"/>
        <s v="Se repasó el query 2 de la Funcionalidad 11 para optimizarlo con ayuda de la herramienta Toad"/>
        <s v="Si se encuentra mejora a menor costo, se actualiza query mejorado en procedimiento 'FUNC11TURNAFOLIOUNIAD_CONFIGPLAZOSO_QF11Q2' de la Funcionalidad 11"/>
        <s v="Se repasó el query 3 de la Funcionalidad 11 para optimizarlo con ayuda de la herramienta Toad"/>
        <s v="Si se encuentra mejora a menor costo, se actualiza query mejorado en procedimiento 'FUNC11TURNAFOLIOUNIAD_CONFIPROCXORGGTE_QF11Q3' de la Funcionalidad 11"/>
        <s v="Se repasó el query 2 de la Funcionalidad 12 para optimizarlo con ayuda de la herramienta Toad"/>
        <s v="Si se encuentra mejora a menor costo, se actualiza query mejorado en procedimiento 'FUNC12DASHBOARDFOLIOPENDRPTASEFOLCOMTRANSPA_QF12Q2' de la Funcionalidad 12"/>
        <s v="Se repasó el query 3 de la Funcionalidad 12 para optimizarlo con ayuda de la herramienta Toad"/>
        <s v="Si se encuentra mejora a menor costo, se actualiza query mejorado en procedimiento 'FUNC12DASHBOARDFOLIOPENDRPTASNOTERMIDIATRANS_QF12Q3' de la Funcionalidad 12"/>
        <s v="Se repasó el query 4 de la Funcionalidad 12 para optimizarlo con ayuda de la herramienta Toad"/>
        <s v="Si se encuentra mejora a menor costo, se actualiza query mejorado en procedimiento 'FUNC12DASHBOARDFOLIOPENDRPTASLTADIAINHABIL_QF12Q4' de la Funcionalidad 12"/>
        <s v="Se repasó el query 3 de la Funcionalidad 13 para optimizarlo con ayuda de la herramienta Toad"/>
        <s v="Si se encuentra mejora a menor costo, se actualiza query mejorado en procedimiento 'FUNC13SEGUISUBFOLIOUAADJUNTCFLUJOSEGUISUFL_QF13Q3' de la Funcionalidad 13"/>
        <s v="Se tuvó platica con Samuel para comentarle todo lo trabajado sobre los Querys Sisay, se realizaron un total de 28 procedimientos y se validaron las ejecuciones en bloques anonimos, para visualizar la información que devuelve el proceso"/>
        <s v="Se tuvó platica con Samuel para verificar los pasos siguientes, sobre los querys del Sigemi"/>
        <s v="Se revisó documento compartido por Samuel para documentar los procedimientos creados"/>
        <s v="Se comenzó a llenar el documento 'PRO-AA-NN-P29-Reporte de Actividades' con el Antecedente, Objetivo del Documento e Información del Proyecto"/>
        <s v="Se detalló el contenido del reporte en el documento 'PRO-AA-NN-P29-Reporte de Actividades' y se nombró el paquete 'SISAI.PACK_SISAI2' creado"/>
        <s v="Se documentó el Query 1 de la Funcionalidad 1 en el documento 'PRO-AA-NN-P29-Reporte de Actividades' con el procedimiento FUNC1DASHBOARDMISSOLICITUDES_QF1"/>
        <s v="Se documentó que para la Funcionalidad 2 no se registró query porque se mejorará desde el aplicativo"/>
        <s v="Se documentó el Query 1 de la Funcionalidad 3 en el documento 'PRO-AA-NN-P29-Reporte de Actividades' con el procedimiento FUNC3DETSOLDASH_SOLICDEPEN_QF3Q1"/>
        <s v="Se documentó el Query 2 de la Funcionalidad 3 en el documento 'PRO-AA-NN-P29-Reporte de Actividades' con el procedimiento FUNC3DETSOLDASH_ADJUNTXSOLIC_QF3Q2"/>
        <s v="Se documentó el Query 3 de la Funcionalidad 3 en el documento 'PRO-AA-NN-P29-Reporte de Actividades' con el procedimiento FUNC3DETSOLDASH_RESPUXSOLICDEP_QF3Q3"/>
        <s v="Se documentó el Query 4 de la Funcionalidad 3 en el documento 'PRO-AA-NN-P29-Reporte de Actividades' con el procedimiento FUNC3DETSOLDASH_ADJUNTOXIDRESP_QF3Q4"/>
        <s v="Se documentó el Query 5 de la Funcionalidad 3 en el documento 'PRO-AA-NN-P29-Reporte de Actividades' con el procedimiento FUNC3DETSOLDASH_NOTIFDISPONIBXRESP_QF3Q5"/>
        <s v="Se documentó el Query 6 de la Funcionalidad 3 en el documento 'PRO-AA-NN-P29-Reporte de Actividades' con el procedimiento FUNC3DETSOLDASH_COMPETENXRESP_QF3Q6"/>
        <s v="Se documentó que para la Funcionalidad 4 no se registró query porque ya lo estan desarrollando"/>
        <s v="Se documentó el Query 1 de la Funcionalidad 5 en el documento 'PRO-AA-NN-P29-Reporte de Actividades' con el procedimiento FUNC5EXPORTARSOLICITUDES_QF5"/>
        <s v="Se documentó el Query 1 de la Funcionalidad 6 en el documento 'PRO-AA-NN-P29-Reporte de Actividades' con el procedimiento FUNC6DASHBOARDRECSOLICIT_UT_QF6"/>
        <s v="Se documentó que para el Query 1 de la Funcionalidad 7 se reutilzá el procedimiento FUNC3DETSOLDASH_SOLICDEPEN_QF3Q1, en el documento 'PRO-AA-NN-P29-Reporte de Actividades'"/>
        <s v="Se documentó que para el Query 2 de la Funcionalidad 7 se reutilzá el procedimiento FUNC3DETSOLDASH_ADJUNTXSOLIC_QF3Q2, en el documento 'PRO-AA-NN-P29-Reporte de Actividades'"/>
        <s v="Se documentó el Query 3 de la Funcionalidad 7 en el documento 'PRO-AA-NN-P29-Reporte de Actividades' con el procedimiento FUNC7DETSOLDASHUTGI_ADJUNTOXIDSOLINT_QF7Q3"/>
        <s v="Se documentó el Query 4 de la Funcionalidad 7 en el documento 'PRO-AA-NN-P29-Reporte de Actividades' con el procedimiento FUNC7DETSOLDASHUTGI_SOLGIXSOLDEPEN_QF7Q4"/>
        <s v="Se documentó que para el Query 5 de la Funcionalidad 7 se reutilzá el procedimiento FUNC3DETSOLDASH_RESPUXSOLICDEP_QF3Q3, en el documento 'PRO-AA-NN-P29-Reporte de Actividades'"/>
        <s v="Se documentó el Query 6 de la Funcionalidad 7 en el documento 'PRO-AA-NN-P29-Reporte de Actividades' con el procedimiento FUNC7DETSOLDASHUTGI_SOLESTADISTICO_QF7Q6"/>
        <s v="Se documentó el Query 7 de la Funcionalidad 7 en el documento 'PRO-AA-NN-P29-Reporte de Actividades' con el procedimiento FUNC7DETSOLDASHUTGI_SOLXACCESIBILIDAD_QF7Q7"/>
        <s v="Se documentó que para el Query 8 de la Funcionalidad 7 se reutilzá el procedimiento FUNC3DETSOLDASH_ADJUNTOXIDRESP_QF3Q4, en el documento 'PRO-AA-NN-P29-Reporte de Actividades'"/>
        <s v="Se documentó que para el Query 9 de la Funcionalidad 7 se reutilzá el procedimiento FUNC3DETSOLDASH_NOTIFDISPONIBXRESP_QF3Q5, en el documento 'PRO-AA-NN-P29-Reporte de Actividades'"/>
        <s v="Se documentó que para el Query 10 de la Funcionalidad 7 se reutilzá el procedimiento FUNC3DETSOLDASH_COMPETENXRESP_QF3Q6, en el documento 'PRO-AA-NN-P29-Reporte de Actividades'"/>
        <s v="Se documentó el Query 11 de la Funcionalidad 7 en el documento 'PRO-AA-NN-P29-Reporte de Actividades' con el procedimiento FUNC7DETSOLDASHUTGI_SOLDATPERSOXSOLDEP_QF7Q11"/>
        <s v="Se documentó el Query 12 de la Funcionalidad 7 en el documento 'PRO-AA-NN-P29-Reporte de Actividades' con el procedimiento FUNC7DETSOLDASHUTGI_ESTADISTOCUPXIDSOL_QF7Q12"/>
        <s v="Se documentó el Query 13 de la Funcionalidad 7 en el documento 'PRO-AA-NN-P29-Reporte de Actividades' con el procedimiento FUNC7DETSOLDASHUTGI_ACCESIBILIDAD_QF7Q13"/>
        <s v="Se documentó el Query 14 de la Funcionalidad 7 en el documento 'PRO-AA-NN-P29-Reporte de Actividades' con el procedimiento FUNC7DETSOLDASHUTGI_LEYEIDRESP_QF7Q14"/>
        <s v="Se documentó el Query 1 de la Funcionalidad 8 en el documento 'PRO-AA-NN-P29-Reporte de Actividades' con el procedimiento FUNC8EXPORTARSOLICITUDUTEXCEL_QF8"/>
        <s v="Se documentó el Query 1 de la Funcionalidad 9 en el documento 'PRO-AA-NN-P29-Reporte de Actividades' con el procedimiento FUNC9RESPUESTASPOSIBL_UT_QF9"/>
        <s v="Se documentó el Query 1 de la Funcionalidad 10 en el documento 'PRO-AA-NN-P29-Reporte de Actividades' con el procedimiento FUNC10DASHBOARDRECEPSOLICI_GIUT_QF10"/>
        <s v="Se documentó el Query 1 de la Funcionalidad 11 en el documento 'PRO-AA-NN-P29-Reporte de Actividades' con el procedimiento FUNC11TURNAFOLIOUNIAD_SOLIXSOLDEPEN_QF11Q1"/>
        <s v="Se documentó el Query 2 de la Funcionalidad 11 en el documento 'PRO-AA-NN-P29-Reporte de Actividades' con el procedimiento FUNC11TURNAFOLIOUNIAD_CONFIGPLAZOSO_QF11Q2"/>
        <s v="Se documentó el Query 3 de la Funcionalidad 11 en el documento 'PRO-AA-NN-P29-Reporte de Actividades' con el procedimiento FUNC11TURNAFOLIOUNIAD_CONFIPROCXORGGTE_QF11Q3"/>
        <s v="Se documentó que para el Query 4 de la Funcionalidad 11 se reutilzá el procedimiento FUNC7DETSOLDASHUTGI_SOLGIXSOLDEPEN_QF7Q4, en el documento 'PRO-AA-NN-P29-Reporte de Actividades'"/>
        <s v="Se documentó el Query 1 de la Funcionalidad 12 en el documento 'PRO-AA-NN-P29-Reporte de Actividades' con el procedimiento FUNC12DASHBOARDFOLIOPENDRPTAUNIADM_QF12Q1"/>
        <s v="Se documentó el Query 2 de la Funcionalidad 12 en el documento 'PRO-AA-NN-P29-Reporte de Actividades' con el procedimiento FUNC12DASHBOARDFOLIOPENDRPTASEFOLCOMTRANSPA_QF12Q2"/>
        <s v="Se documentó el Query 3 de la Funcionalidad 12 en el documento 'PRO-AA-NN-P29-Reporte de Actividades' con el procedimiento FUNC12DASHBOARDFOLIOPENDRPTASNOTERMIDIATRANS_QF12Q3"/>
        <s v="Se documentó el Query 4 de la Funcionalidad 12 en el documento 'PRO-AA-NN-P29-Reporte de Actividades' con el procedimiento FUNC12DASHBOARDFOLIOPENDRPTASLTADIAINHABIL_QF12Q4"/>
        <s v="Se documentó que para el Query 1 de la Funcionalidad 13 se reutilzá el procedimiento FUNC7DETSOLDASHUTGI_SOLGIXSOLDEPEN_QF7Q4, en el documento 'PRO-AA-NN-P29-Reporte de Actividades'"/>
        <s v="Se documentó que para el Query 2 de la Funcionalidad 13 se reutilzá el procedimiento FUNC12DASHBOARDFOLIOPENDRPTASEFOLCOMTRANSPA_QF12Q2, en el documento 'PRO-AA-NN-P29-Reporte de Actividades'"/>
        <s v="Se documentó el Query 3 de la Funcionalidad 13 en el documento 'PRO-AA-NN-P29-Reporte de Actividades' con el procedimiento FUNC13SEGUISUBFOLIOUAADJUNTCFLUJOSEGUISUFL_QF13Q3"/>
        <s v="Se documentó que para el Query 1 de la Funcionalidad 14 se reutilzá el procedimiento FUNC11TURNAFOLIOUNIAD_SOLIXSOLDEPEN_QF11Q1, en el documento 'PRO-AA-NN-P29-Reporte de Actividades'"/>
        <s v="Se documentó que para el Query 2 de la Funcionalidad 14 se reutilzá el procedimiento FUNC12DASHBOARDFOLIOPENDRPTASEFOLCOMTRANSPA_QF12Q2, en el documento 'PRO-AA-NN-P29-Reporte de Actividades'"/>
        <s v="Se documentó que para el Query 3 de la Funcionalidad 14 se reutilzá el procedimiento FUNC11TURNAFOLIOUNIAD_SOLIXSOLDEPEN_QF11Q1, en el documento 'PRO-AA-NN-P29-Reporte de Actividades'"/>
        <s v="Se documentó el Query 1 de la Funcionalidad 15 en el documento 'PRO-AA-NN-P29-Reporte de Actividades' con el procedimiento FUNC15DASHSOLASIGXUTSOLPENXCONTUA_QF15Q1"/>
        <s v="Se documentó que para el Query 2 de la Funcionalidad 15 se reutilzá el procedimiento FUNC7DETSOLDASHUTGI_SOLGIXSOLDEPEN_QF7Q4, en el documento 'PRO-AA-NN-P29-Reporte de Actividades'"/>
        <s v="Se documentó que para el Query 3 de la Funcionalidad 15 se reutilzá el procedimiento FUNC12DASHBOARDFOLIOPENDRPTASNOTERMIDIATRANS_QF12Q3, en el documento 'PRO-AA-NN-P29-Reporte de Actividades'"/>
        <s v="Se documentó que para el Query 4 de la Funcionalidad 15 se reutilzá el procedimiento FUNC12DASHBOARDFOLIOPENDRPTASLTADIAINHABIL_QF12Q4’, en el documento 'PRO-AA-NN-P29-Reporte de Actividades'"/>
        <s v="Se documentó que para el Query 1 de la Funcionalidad 16 se reutilzá el procedimiento FUNC7DETSOLDASHUTGI_SOLGIXSOLDEPEN_QF7Q4, en el documento 'PRO-AA-NN-P29-Reporte de Actividades'"/>
        <s v="Se documentó que para el Query 2 de la Funcionalidad 16 se reutilzá el procedimiento FUNC12DASHBOARDFOLIOPENDRPTASEFOLCOMTRANSPA_QF12Q2, en el documento 'PRO-AA-NN-P29-Reporte de Actividades'"/>
        <s v="Se documentó que para el Query 3 de la Funcionalidad 16 se reutilzá el procedimiento FUNC11TURNAFOLIOUNIAD_SOLIXSOLDEPEN_QF11Q1’, en el documento 'PRO-AA-NN-P29-Reporte de Actividades'"/>
        <s v="Se revisa documentación sobre Simple Oracle Document Access (SODA)"/>
        <s v="Se revisarón los ultimos detalles en lo documentado del Query 1 de la Funcionalidad 1 en el documento 'PRO-AA-NN-P29-Reporte de Actividades'"/>
        <s v="Se revisarón los ultimos detalles en lo documentado de los Querys del 1 al 3 de la Funcionalidad 3 en el documento 'PRO-AA-NN-P29-Reporte de Actividades'"/>
        <s v="Se revisarón los ultimos detalles en lo documentado de los Querys del 4 al 6 de la Funcionalidad 3 en el documento 'PRO-AA-NN-P29-Reporte de Actividades'"/>
        <s v="Se revisarón los ultimos detalles en lo documentado del Query 1 de la Funcionalidad 5 en el documento 'PRO-AA-NN-P29-Reporte de Actividades'"/>
        <s v="Se revisarón los ultimos detalles en lo documentado del Query 1 de la Funcionalidad 6 en el documento 'PRO-AA-NN-P29-Reporte de Actividades'"/>
        <s v="Se revisarón los ultimos detalles en lo documentado de los Querys del 1 al 3 de la Funcionalidad 7 en el documento 'PRO-AA-NN-P29-Reporte de Actividades'"/>
        <s v="Se revisarón los ultimos detalles en lo documentado de los Querys del 4 al 6 de la Funcionalidad 7 en el documento 'PRO-AA-NN-P29-Reporte de Actividades'"/>
        <s v="Se revisarón los ultimos detalles en lo documentado de los Querys del 7 al 9 de la Funcionalidad 7 en el documento 'PRO-AA-NN-P29-Reporte de Actividades'"/>
        <s v="Se revisarón los ultimos detalles en lo documentado de los Querys del 10 al 14 de la Funcionalidad 7 en el documento 'PRO-AA-NN-P29-Reporte de Actividades'"/>
        <s v="Se revisarón los ultimos detalles en lo documentado de los Query 1 de la Funcionalidad 8 en el documento 'PRO-AA-NN-P29-Reporte de Actividades'"/>
        <s v="Se revisarón los ultimos detalles en lo documentado de los Query 1 de la Funcionalidad 9 en el documento 'PRO-AA-NN-P29-Reporte de Actividades'"/>
        <s v="Se revisarón los ultimos detalles en lo documentado de los Query 1 de la Funcionalidad 10 en el documento 'PRO-AA-NN-P29-Reporte de Actividades'"/>
        <s v="Se revisarón los ultimos detalles en lo documentado de los Querys 1 y 2 de la Funcionalidad 11 en el documento 'PRO-AA-NN-P29-Reporte de Actividades'"/>
        <s v="Se revisarón los ultimos detalles en lo documentado de los Querys 3 y 4 de la Funcionalidad 11 en el documento 'PRO-AA-NN-P29-Reporte de Actividades'"/>
        <s v="Se revisarón los ultimos detalles en lo documentado de los Querys 1 y 2 de la Funcionalidad 12 en el documento 'PRO-AA-NN-P29-Reporte de Actividades'"/>
        <s v="Se revisarón los ultimos detalles en lo documentado de los Querys 3 y 4 de la Funcionalidad 12 en el documento 'PRO-AA-NN-P29-Reporte de Actividades'"/>
        <s v="Se revisarón los ultimos detalles en lo documentado de los Querys del 1 al 3 de la Funcionalidad 13 en el documento 'PRO-AA-NN-P29-Reporte de Actividades'"/>
        <s v="Se revisarón los ultimos detalles en lo documentado de los Querys del 1 al 3 de la Funcionalidad 14 en el documento 'PRO-AA-NN-P29-Reporte de Actividades'"/>
        <s v="Se revisarón los ultimos detalles en lo documentado de los Querys 1 y 2 de la Funcionalidad 15 en el documento 'PRO-AA-NN-P29-Reporte de Actividades'"/>
        <s v="Se revisarón los ultimos detalles en lo documentado de los Querys 3 y 4 de la Funcionalidad 15 en el documento 'PRO-AA-NN-P29-Reporte de Actividades'"/>
        <s v="Se revisarón los ultimos detalles en lo documentado de los Querys del 1 al 3 de la Funcionalidad 16 en el documento 'PRO-AA-NN-P29-Reporte de Actividades'"/>
        <s v="Se revisó documentación '1. Overview of SODA' de liga compartida de Simple Oracle Document Access (SODA)"/>
        <s v="Se revisó documentación '1.1 Overview of SODA Documents' de liga compartida de Simple Oracle Document Access (SODA)"/>
        <s v="Se revisó documentación '1.2 Overview of SODA Document Collections' de liga compartida de Simple Oracle Document Access (SODA)"/>
        <s v="Se revisó documentación '1.3 Default Naming of a Collection Table' de liga compartida de Simple Oracle Document Access (SODA)"/>
        <s v="Se revisó documentación '1.4 A View of Your SODA Collections' de liga compartida de Simple Oracle Document Access (SODA)"/>
        <s v="Se revisó documentación '1.5 Monitoring SODA Operation Performance' de liga compartida de Simple Oracle Document Access (SODA)"/>
        <s v="Se revisó documentación '2 Overview of SODA Filter Specifications (QBEs)' de liga compartida de Simple Oracle Document Access (SODA)"/>
        <s v="Se revisó documentación '2.1 Sample JSON Documents' de liga compartida de Simple Oracle Document Access (SODA)"/>
        <s v="Se revisó documentación '2.2 Overview of Paths in SODA QBEs' de liga compartida de Simple Oracle Document Access (SODA)"/>
        <s v="Se revisó documentación '2.3 Overview of QBE Comparison Operators' de liga compartida de Simple Oracle Document Access (SODA)"/>
        <s v="Se revisó documentación '2.4 Overview of QBE Operator $not' de liga compartida de Simple Oracle Document Access (SODA)"/>
        <s v="Se revisó documentación '2.5 Overview of QBE Item-Method Operators' de liga compartida de Simple Oracle Document Access (SODA)"/>
        <s v="Se revisó documentación '2.6 Overview of QBE Logical Combining Operators' de liga compartida de Simple Oracle Document Access (SODA)"/>
        <s v="Se revisó documentación '2.7 Overview of Nested Conditions in QBEs' de liga compartida de Simple Oracle Document Access (SODA)"/>
        <s v="Se revisó documentación '2.8 Overview of QBE Operator $id' de liga compartida de Simple Oracle Document Access (SODA)"/>
        <s v="Se revisó documentación '2.9 Overview of QBE Operator $orderby' de liga compartida de Simple Oracle Document Access (SODA)"/>
        <s v="Se revisó documentación '2.10 Overview of QBE Spatial Operators' de liga compartida de Simple Oracle Document Access (SODA)"/>
        <s v="Se revisó documentación '2.11 Overview of QBE Operator $contains' de liga compartida de Simple Oracle Document Access (SODA)"/>
        <s v="Se revisó documentación '2.12 Overview of QBE Operator $textContains' de liga compartida de Simple Oracle Document Access (SODA)"/>
        <s v="Se revisó documentación '6 SODA Index Specifications (Reference)' de liga compartida de Simple Oracle Document Access (SODA)"/>
        <s v="Se revisó documentación '7 SODA Collection Metadata Components (Reference)' de liga compartida de Simple Oracle Document Access (SODA)"/>
        <s v="Se revisó documentación '7.1 Default Collection Metadata' de liga compartida de Simple Oracle Document Access (SODA)"/>
        <s v="Se revisó documentación '7.2 Schema' de liga compartida de Simple Oracle Document Access (SODA)"/>
        <s v="Se revisó documentación '7.3 Table or View' de liga compartida de Simple Oracle Document Access (SODA)"/>
        <s v="Se revisó documentación '7.4 Key Column Name' de liga compartida de Simple Oracle Document Access (SODA)"/>
        <s v="Se revisó documentación '7.5 Key Column Type' de liga compartida de Simple Oracle Document Access (SODA)"/>
        <s v="Se revisó documentación '7.6 Key Column Max Length' de liga compartida de Simple Oracle Document Access (SODA)"/>
        <s v="Reporte Volumetría INAI Prodatos"/>
        <s v="Análisis pérdida de documentos de casos Denuncias Sistema INAI PRODATOS"/>
        <s v="Busqueda de Manuales de auditoria de OpenText por solicitud del subdirector de SAI"/>
        <s v="Actualizacion micrositio Certamen "/>
        <s v="Actualizacion micrositio control interno"/>
        <s v="Actualizacion de pestañas de ganadores"/>
        <s v="Actualizacion portal "/>
        <s v="Actualizacion de micrositio Revista Sociedad y tranparencia "/>
        <s v="Actualizacion Revista Sociedad y Transparencia"/>
        <s v="Falla tecnica en el registro de concurso"/>
        <s v="Actualizaciones IP`S"/>
        <s v="Actualizacion gobierno abierto y transparencia "/>
        <s v="Actualizacion plataforma "/>
        <s v="Actualizacion micrositio de expedientes clasificados "/>
        <s v="Actualizacion de Certamen de Innovacion y Transparencia "/>
        <s v="Presentacion Modulo de envio masivo "/>
        <s v="Reunion SACP "/>
        <s v="Incidencias SACP  "/>
        <s v="Se genera la funcionalidad para limpiar el correo y contraseña del usuario a registrar."/>
        <s v="Se modifica la consulta de usuarios para que no se muestre la columna de roles"/>
        <s v="Se modifica los estilos de los botones para homologar el tema del sistema"/>
        <s v="Se modifca las pantallas de los formularios de consulta para que sean en dos columnas y sean responsivos"/>
        <s v="Se modifican los servicios par abtener los datos del usuario en sesión"/>
        <s v="Se modifica la consulta del campo de usuario, para que se busque en los campos de nombre, correo, etc"/>
        <s v="Se modifica la consulta de los registros de bitácora agregando los campos obligatorios"/>
        <s v="Se modifica el servicio para el registro de la bitácora"/>
        <s v="Se realizan las pruebas para alta y consulta de los servicios de bitácora"/>
        <s v="Se crean los servicios para consultar y modificar los datos del usuario"/>
        <s v="Se prueban los servicios de alta, baja, modificación y consulta en la pantalla de mantenimiento de usuarios"/>
        <s v="Se modifica la consulta de las opciones del usuario"/>
        <s v="Se modifican las etiquetas para las pantallas del módulo de usuario"/>
        <s v="Se genera el componente de formulario que permite seleccionar todos sujetos obligados"/>
        <s v="Se genera el componente de formulario que permite cosntruir el request para multiples sujetos obligados"/>
        <s v="Se genera el componente de formulario que permite seleccionar multiples sujetos obligados"/>
        <s v="Se genera la pantalla para presentar cifras asociadas a la carga masiva"/>
        <s v="Se genera la pantalla para presentar el grid con las cargas masivas asociadas"/>
        <s v="Se genera el grid con flitros de órgano garante y sujeto obligado."/>
        <s v="Análisis y diseño de pantalla para consultar notificaciones"/>
        <s v="Desarrollo de FRONT para consultar notificaciones"/>
        <s v="Desarrollo de logica para recibir servicios del back de notificaciones"/>
        <s v="Desarrollo de pantalla Mis Quejas, analisis y diseño de reglas de negocio"/>
        <s v="Desarrollo de pantalla Mis Quejas, revisión de código y validación de reglas de negocio"/>
        <s v="Desarrollo de pantalla Mis Quejas, programación de funcionalidad de pantalla"/>
        <s v="Desarrollo de pantalla Mis Quejas, programación de funcionalidad de botones"/>
        <s v="Desarrollo de pantalla Mis Quejas, revisión de código y validación de tanda de reglas de negocio"/>
        <s v="Desarrollo de pantalla Mis Quejas, programación de funcionalidad de pantalla de las siguientes reglas de negocio"/>
        <s v="Desarrollo de pantalla Mis Quejas, revisión, validaciones y correcciones"/>
        <s v="Ajustes al servicio de almacenamiento de queja para obtener archivo de SISAI"/>
        <s v="Adecuaciones a la programación de la nueva arquitectura para navegación de la PNT"/>
        <s v="Prueba de concepto para funcionalidad con programación reactiva"/>
        <s v="Análisis y diseño de servicios de pantalla para consultar notificaciones"/>
        <s v="Desarrollo de servicios del back de notificaciones"/>
        <s v="Desarrollo de servicios Mis Quejas, analisis y diseño de reglas de negocio"/>
        <s v="Desarrollo de servicios  Mis Quejas, programación de funcionalidad"/>
        <s v="Análisis y diseño de servicios para programación reactiva PNT"/>
        <s v="Desarrollo de servicios para prueba reactiva"/>
        <s v="Se instalo y configuro sonarqube para el CI/CD"/>
        <s v="Se termino de configurar PODMAN y se levanto el servicio de local registry"/>
        <s v="Se actualizo ya que es un herramienta que constantemente tiene actualizaciones y siempre hay que mantenerlo en la ultima version"/>
        <s v="Al igual los plugins contstantemente piden actualizar, y lo mas recomendado es actualizarlos"/>
        <s v="Se configuro jenkins en tools para que sepa donde esta el sonarcube scanner para que lo podamos utilizar en los pipelines"/>
        <s v="Se configuro maven en jenkins para la compilacion de java en los pipelines"/>
        <s v="Se actualizo OLCNE a la version 1.7 lo cual viene con k8s 1.26.6"/>
        <s v="Se actualizo todos los nodos a la ultima version que trae consigo el ultimo kernel"/>
        <s v="Instalacion y configuracion de agente de jenkins para el consumo de jobs."/>
        <s v="Integración de la  la pantalla que permite visualizar datos estadisticos generales de la PNT, dandola de alta como módulo en el proyecto de front, aasi como construir el sisteama de rutas y de seguridad"/>
        <s v="Análisis y diseño para la integración de la liberia de graficado, para poder ser reactiva y responsiva"/>
        <s v="Desarrollo 12 gráficas de la pantalla de estaditicos generales "/>
        <s v="Desarrollo de la pantalla que permite visualizar datos estadisticos de cada usuario"/>
        <s v="Integración de la  la pantalla que permite visualizar sdatos estadisticos por cada organo garante de la PNT, dandola de alta como módulo en el proyecto de front, aasi como construir el sisteama de rutas y de seguridad"/>
        <s v="Desarrollo de la pantalla que permite visualizar datos estadisticos por cada organo garante, integrando las graficas y su movimiento"/>
        <s v="Integración de la  la pantalla que permite visualizar datos estadisticos por cada sujeto obligado, dandola de alta como módulo en el proyecto de front, aasi como construir el sisteama de rutas y de seguridad"/>
        <s v="Desarrollo de la pantalla que permite visualizar datos estadisticos por cada sujeto obligado"/>
        <s v="Se cambia la responsividad de la pantalla para presentar los avisos en la pantalla de login"/>
        <s v="Análisis y diseño de la tabla de avisos para que permita registrar los 3 tipos de avisos a los distintos roles que contempla la PNT"/>
        <s v="Diseño de pantalla para registrar los 3 distintos tipos de avisos por los distintos roles que contempla la PNT"/>
        <s v="Análisis  de los requerimientos para construir los servicios backend del módulo de avisos"/>
        <s v="Diseño de los requerimientos para construir los servicios backend del módulo de avisos"/>
        <s v="Se generar las clases entidades para el mapeo de las tablas en base de datos"/>
        <s v="Se construye los servicios restfull para el registro de avisos"/>
        <s v="Se gregan las validaciones para la alta y modificación de avisos"/>
        <s v="Se construye los servicios restfull y sea gregan las validaciones para la actualización de avisos"/>
        <s v="Se construye los servicios restfull y sea gregan las validaciones para la consulta de avisos"/>
        <s v="Se construye los servicios restfull y sea gregan las validaciones para la eliminación de avisos"/>
        <s v="Se construye los servicios restfull  para la eliminación de las url de avisos"/>
        <s v="Se hace la configuración para la alta del microservicio avisos en el sevidor de eureka y api gatway, se hacen las configuracion para el docker y docker compose"/>
        <s v="actualizacion pagina consejo consultivo "/>
        <s v="actualizacion cierre registro  "/>
        <s v="actualizacion acceso de usuarios"/>
        <s v="actualizacion control interno "/>
        <s v="actualizacion micrositio institucional "/>
        <s v="actualizacion revista"/>
        <s v="actualizacion SACP "/>
        <s v="actualizacion SNT "/>
        <s v="actualizacion ensayo reportaje "/>
        <s v="actualizacion CLIC "/>
        <s v="actualizacion sociedad y transparencia "/>
        <s v="actualizacion micrositio control interno "/>
        <s v="actualizacion sitio "/>
        <s v="actualizacion parlamento abierto "/>
        <s v="actualizacion consejo consultivo "/>
        <s v="actualizacion miembros pleno "/>
        <s v="actualizacion miembros adherentes "/>
        <s v="actualizacion observador "/>
        <s v="actualizacion socios de cooperacion"/>
        <s v="actualizacion sitio consejo "/>
        <s v="actualizacion sitio consejo consultivo "/>
        <s v="actualizacion consulta curricular"/>
        <s v="actualizacion carga GAyT "/>
        <s v="actualizacion CIT "/>
        <s v="actualizacin ensayo reportaje "/>
        <s v="actualizacion miembros pleno RTA"/>
        <s v="actualizacion miembros adherentes RTA"/>
        <s v="actualizacion observador RTA"/>
        <s v="actualizacion socios de cooperacion RTA"/>
        <s v="actualizacion comite de etica "/>
        <s v="Actualizacion de aplicaciones web "/>
        <s v="Correo con el contenido de la orden de trabajo con la cual se trabajará"/>
        <s v="Se hace el análisis de la OT para realiza su ejecución"/>
        <s v="Se hace la busqueda de manuales, tutoriales y documentación en general para apredizaje de su funcionamiento"/>
        <s v="Documentación sobre los formatos utilizados durante las pruebas y documentación con el proceso de pruebas y como se llevan a cabo"/>
        <s v="Se da seguimiento de la orden de trabajo en el proceso de pruebas"/>
        <s v="se hace la instalación de las paqueterías de la OT para su funcionamiento"/>
        <s v="Se resuelven todas las dudas y pendientes sobre la OT analizada"/>
        <s v="descarga e instalación de herramienta para su utilización durante las pruebas"/>
        <s v="Se da de alta la base de datos para el seguimiento de la OT"/>
        <s v="Se detectó un tema sobre las versiones de las bases de datos"/>
        <s v="seguimiento de la solicitud hecha al equipo de desarrollo para obtener la url faltante en las pruebas"/>
        <s v="Se hace la solicitud para dar de alta el usuario miguel.lopez para accesar a los repositorios SVN"/>
        <s v="Se encontró tema sobre la instalación de angular y estos ya fueron resueltos"/>
        <s v="Se da de alta el usuario miguel.lopez para poder ingresar a los repositorios del archivo FRONT"/>
        <s v="Se hizo el envío de la URL faltante de la solicitud realizada al equipo de desarrollo para poder continuar con las pruebas"/>
        <s v="Registro de evidencias en su formato correspondiente"/>
        <s v="Resolución de la versión de la base de datos ServicioProfesional con la versión correcta de la misma"/>
        <s v="Se hace la ejecución completa del sitio ServicioProfesional con toda su paquetería y su ejecución en portal"/>
        <s v="Registro de evidencias e incidencias sobre los temas encontrados durante su ejecución"/>
        <s v="Creación de usuario para registro de incidencias "/>
        <s v="busqueda de manuales, tutoriales sobre el uso de mantis para realizar el registro de incidencias"/>
        <s v="incidencias encontradas en el funcionamiento y uso del sistema de Inventarios"/>
        <s v="Registro de las actividades realizadas durante el mes para su "/>
        <s v="Se revisó documentación '7.7 Key Column Assignment Method' de liga compartida de Simple Oracle Document Access (SODA)"/>
        <s v="Se revisó documentación '7.8 Key Column Path' de liga compartida de Simple Oracle Document Access (SODA)"/>
        <s v="Se revisó documentación '7.9 Key Column Sequence Name' de liga compartida de Simple Oracle Document Access (SODA)"/>
        <s v="Se revisó documentación '7.10 Content Column Name' de liga compartida de Simple Oracle Document Access (SODA)"/>
        <s v="Se revisó documentación '7.11 Content Column Type' de liga compartida de Simple Oracle Document Access (SODA)"/>
        <s v="Se revisó documentación '7.12 Content Column Format' de liga compartida de Simple Oracle Document Access (SODA)"/>
        <s v="Se revisó documentación '7.13 Content Column Max Length' de liga compartida de Simple Oracle Document Access (SODA)"/>
        <s v="Se revisó documentación '7.14 Content Column JSON Validation' de liga compartida de Simple Oracle Document Access (SODA)"/>
        <s v="Se revisó documentación '7.15 Content Column SecureFiles LOB Compression' de liga compartida de Simple Oracle Document Access (SODA)"/>
        <s v="Se revisó documentación '7.16 Content Column SecureFiles LOB Cache' de liga compartida de Simple Oracle Document Access (SODA)"/>
        <s v="Se revisó documentación '7.17 Content Column SecureFiles LOB Encryption' de liga compartida de Simple Oracle Document Access (SODA)"/>
        <s v="Se revisó documentación '7.18 Version Column Name' de liga compartida de Simple Oracle Document Access (SODA)"/>
        <s v="Se revisó documentación '7.19 Version Column Generation Method' de liga compartida de Simple Oracle Document Access (SODA)"/>
        <s v="Se revisó documentación '7.20 Last-Modified Time Stamp Column Name' de liga compartida de Simple Oracle Document Access (SODA)"/>
        <s v="Se revisó documentación '7.21 Last-Modified Column Index Name' de liga compartida de Simple Oracle Document Access (SODA)"/>
        <s v="Se revisó documentación '7.22 Creation Time Stamp Column Name' de liga compartida de Simple Oracle Document Access (SODA)"/>
        <s v="Se revisó documentación '7.23 Media Type Column Name' de liga compartida de Simple Oracle Document Access (SODA)"/>
        <s v="Se revisó documentación '7.24 Read Only' de liga compartida de Simple Oracle Document Access (SODA)"/>
        <s v="Se revisó documentación '3 Overview of SODA Indexing' de liga compartida de Simple Oracle Document Access (SODA)"/>
        <s v="Se revisó documentación '5 SODA Filter Specifications (Reference)' de liga compartida de Simple Oracle Document Access (SODA)"/>
        <s v="Se revisó documentación '5.1 Composite Filters (Reference)' de liga compartida de Simple Oracle Document Access (SODA)"/>
        <s v="Se revisó documentación '5.1.1 Orderby Clause Sorts Selected Objects' de liga compartida de Simple Oracle Document Access (SODA)"/>
        <s v="Se revisó documentación '5.2 Filter Conditions (Reference)' de liga compartida de Simple Oracle Document Access (SODA)"/>
        <s v="Se revisó documentación '5.2.1 Scalar-Equality Clause (Reference)' de liga compartida de Simple Oracle Document Access (SODA)"/>
        <s v="Se revisó documentación '5.2.2 Field-Condition Clause (Reference)' de liga compartida de Simple Oracle Document Access (SODA)"/>
        <s v="Se revisó documentación '5.2.2.1 Comparison Clause (Reference)' de liga compartida de Simple Oracle Document Access (SODA)"/>
        <s v="Se revisó documentación '5.2.2.2 Not Clause (Reference)' de liga compartida de Simple Oracle Document Access (SODA)"/>
        <s v="Se revisó documentación '5.2.2.3 Item-Method Clause (Reference)' de liga compartida de Simple Oracle Document Access (SODA)"/>
        <s v="Se revisó documentación '5.2.2.4 ISO 8601 Date, Time, and Duration Support' de liga compartida de Simple Oracle Document Access (SODA)"/>
        <s v="Se revisó documentación '5.2.3 Logical Combining Clause (Reference)' de liga compartida de Simple Oracle Document Access (SODA)"/>
        <s v="Se revisó documentación '5.2.3.1 Omitting $and' de liga compartida de Simple Oracle Document Access (SODA)"/>
        <s v="Se revisó documentación '5.2.4 Nested-Condition Clause (Reference)' de liga compartida de Simple Oracle Document Access (SODA)"/>
        <s v="Se revisó documentación '5.2.5 ID Clause (Reference)' de liga compartida de Simple Oracle Document Access (SODA)"/>
        <s v="Se revisó documentación '5.2.6 Text-Contains Clause (Reference)' de liga compartida de Simple Oracle Document Access (SODA)"/>
        <s v="Se revisó documentación '5.2.7 Special-Criterion Clause (Reference)' de liga compartida de Simple Oracle Document Access (SODA)"/>
        <s v="Se revisó documentación '5.2.7.1 Spatial Clause (Reference)' de liga compartida de Simple Oracle Document Access (SODA)"/>
        <s v="Se revisó documentación '5.2.7.2 Contains Clause (Reference)' de liga compartida de Simple Oracle Document Access (SODA)"/>
        <s v="Se revisó documentación '8 SODA Drivers' de liga compartida de Simple Oracle Document Access (SODA)"/>
        <s v="Se revisó documentación '9 SODA Feature Support' de liga compartida de Simple Oracle Document Access (SODA)"/>
        <s v="Se revisó documentación '10 SODA Guidelines and Restrictions' de liga compartida de Simple Oracle Document Access (SODA)"/>
        <s v="Se revisó información de 'MongoDB : todo sobre la base de datos NoSQL orientada a documentos' en portales de internet"/>
        <s v="Se visualizó video de 'MongoDB in 5 minutes with Eliot Horowitz' de portales de internet "/>
        <s v="Se visualizó video de 'How do NoSQL database work? Simply Explained!' de portales de internet "/>
        <s v="Se visualizó video de 'Hystory of Data Bases' de portales de internet' de portales de internet  "/>
        <s v="Se revisó información de 'BASES DE DATOS NO ESTRUCTURADAS - MONGODB' en portales de internet"/>
        <s v="Se revisó información de 'Descripción MongoDB' en portales de internet"/>
        <s v="Se revisó información de 'Alternativas a Mongo DB' en portales de internet"/>
        <s v="Se revisó información de 'Descarga de Mongo DB' en portales de internet"/>
        <s v="Se revisó información de 'MongoDB en Consola' en portales de internet"/>
        <s v="Se revisó información de 'MONGODB' en portales de internet"/>
        <s v="Se revisó información de 'Algunos comandos MongoDB' en portales de internet"/>
        <s v="Se revisó información de 'MongoDB Compass' en portales de internet"/>
        <s v="Se revisó información de 'Bases de datos y colecciones' en portales de internet"/>
        <s v="Se revisó el archivo 'Querys_Estadisiticas_Totales' proporcionado por Samuel"/>
        <s v="Se dio retroalimentación rapida a Samuel sobre cuantos querys se van a trabajar del archivo 'Querys_Estadisiticas_Totales'"/>
        <s v="Se revisó el archivo 'Final Ficha estadística 2023' proporcionado por Samuel"/>
        <s v="Se dio retroalimentación rapida a Samuel sobre cuantos querys se van a trabajar del archivo 'Final Ficha estadística 2023'"/>
        <s v="Se revisó el query 1 de 'TOTAL DE SOLICITUDES DE INFORMACIÓN' del archivo 'Querys_Estadisiticas_Totales' de forma general, para verificar si no hay dudas a revisar con Samuel"/>
        <s v="Se revisó el query 1 de 'TOTAL DE RECURSOS DE REVISIÓN INGRESADOS ' del archivo 'Querys_Estadisiticas_Totales' de forma general, para verificar si no hay dudas a revisar con Samuel"/>
        <s v="Se revisó el query 2 de 'TOTAL DE RECURSOS DE REVISIÓN INGRESADOS ' del archivo 'Querys_Estadisiticas_Totales' de forma general, para verificar si no hay dudas a revisar con Samuel"/>
        <s v="Se revisó el query 3 de 'TOTAL DE RECURSOS DE REVISIÓN INGRESADOS ' del archivo 'Querys_Estadisiticas_Totales' de forma general, para verificar si no hay dudas a revisar con Samuel"/>
        <s v="Se revisó el query 1 de 'TOTAL DE RECURSOS DE REVISIÓN GESTIONADOS' del archivo 'Querys_Estadisiticas_Totales' de forma general, para verificar si no hay dudas a revisar con Samuel"/>
        <s v="Se revisó el query 1 de 'TOTAL DE OBLIGACIONES DE TRANSPARENCIA' del archivo 'Querys_Estadisiticas_Totales' de forma general, para verificar si no hay dudas a revisar con Samuel"/>
        <s v="Se revisó el query 1 de 'TOTAL CONSULTA EN LOS BUSCADORES' del archivo 'Querys_Estadisiticas_Totales' de forma general, para verificar si no hay dudas a revisar con Samuel"/>
        <s v="Se revisó el query 2 de 'TOTAL CONSULTA EN LOS BUSCADORES' del archivo 'Querys_Estadisiticas_Totales' de forma general, para verificar si no hay dudas a revisar con Samuel"/>
        <s v="Se revisó el query 1 de 'En la Plataforma Nacional de Transparencia, las obligaciones más consultadas por los ciudadanos' del archivo 'Final Ficha estadística 2023' de forma general, para verificar si no hay dudas a revisar con Samuel"/>
        <s v="Se revisó el query 1 de 'Términos más utilizados en el Buscador Nacional' del archivo 'Final Ficha estadística 2023' de forma general, para verificar si no hay dudas a revisar con Samuel"/>
        <s v="Se revisó el query 1 de 'Los temas más consultados en la PNT de Sujetos Obligados Federales' del archivo 'Final Ficha estadística 2023' de forma general, para verificar si no hay dudas a revisar con Samuel"/>
        <s v="Se revisó el query 1 de 'Sujetos Obligados federales con más obligaciones cargadas' del archivo 'Final Ficha estadística 2023' de forma general, para verificar si no hay dudas a revisar con Samuel"/>
        <s v="Se revisó el query 1 de 'Sujetos Obligados federales con más solicitudes de información' del archivo 'Final Ficha estadística 2023' de forma general, para verificar si no hay dudas a revisar con Samuel"/>
        <s v="Se revisó el query 1 de 'Sujetos Obligados federales con más recursos de revisión' del archivo 'Final Ficha estadística 2023' de forma general, para verificar si no hay dudas a revisar con Samuel"/>
        <s v="Se revisó el query 1 de 'Total de consultas realizadas a los buscadores temáticos' del archivo 'Final Ficha estadística 2023' de forma general, para verificar si no hay dudas a revisar con Samuel"/>
        <s v="Se revisó el query 2 de 'Total de consultas realizadas a los buscadores temáticos' del archivo 'Final Ficha estadística 2023' de forma general, para verificar si no hay dudas a revisar con Samuel"/>
        <s v="Se revisó el query 1 de 'Consulta a los módulos de la PNT en el buscador Nacional' del archivo 'Final Ficha estadística 2023' de forma general, para verificar si no hay dudas a revisar con Samuel"/>
        <s v="Se comenzó a trabajar con el query 1 'TOTAL DE SOLICITUDES DE INFORMACIÓN' del archivo 'Querys_Estadisiticas_Totales', validando información para analizar forma de mejorar lo"/>
        <s v="Se trabajó con el Header del Nuevo Paquete 'SISAI.PACK_SISAI3' y se crea con el usuario SIAI"/>
        <s v="Se trabajó con el Body del Nuevo Paquete 'SISAI.PACK_SISAI3' y se crea con el usuario SISAI"/>
        <s v="Se revisó el Query #1 del archivo FFE23 para la Funcionalidad 1 'En la Plataforma Nacional de Transparencia, las obligaciones más consultadas por los ciudadanos', se hicieron las primeras ejecuciones con los parámetros para entender su funcionamiento"/>
        <s v="Se optimizó el Query #1 del archivo FFE23 (Funcionalidad 1) para tener una versión mejorada en tiempo de respuesta y costo"/>
        <s v="Se creó el nuevo procedimiento 'FUNC1_PLATANACTRANSPAOBLICONSULTQ1' en el paquete 'PACK_SISAI3', con la funcionalidad del Query #1"/>
        <s v="Se verificó campo por campo del query 1 de la Funcionalidad 1, validando el tipo de dato y longitud exactos"/>
        <s v="Se declararon las variables en bloque anónimo con validación exacta de tamaños de tipos de datos, del query 1 de la Funcionalidad 1"/>
        <s v="Se validó el paquete-procedimiento de la funcionalidad 1 - Query # 1 con el bloque anónimo correcto y se tuvo un resultado exitoso con la salida del cursor completo "/>
        <s v="Se actualizó el documento 'Final Ficha estadística 2023' con los comentarios sobre el Query 1 de la Funcionalidad 1"/>
        <s v="Se revisó el Query #1 del archivo FFE23 para la Funcionalidad 2 'Términos más utilizados en el Buscador Nacional', se hicieron las primeras ejecuciones con los parámetros para entender su funcionamiento"/>
        <s v="Se optimizó el Query #1 del archivo FFE23 (Funcionalidad 2) para tener una versión mejorada en tiempo de respuesta y costo"/>
        <s v="Se creó el nuevo procedimiento 'FUNC2_TERMASUTILBUSCNAC' en el paquete 'PACK_SISAI3', con la funcionalidad del Query #1"/>
        <s v="Se verificó campo por campo del query 1 de la Funcionalidad 2, validando el tipo de dato y longitud exactos"/>
        <s v="Se declararon las variables en bloque anónimo con validación exacta de tamaños de tipos de datos, del query 1 de la Funcionalidad 2"/>
        <s v="Se validó el paquete-procedimiento de la funcionalidad 2 - Query # 1 con el bloque anónimo correcto y se tuvo un resultado exitoso con la salida del cursor completo "/>
        <s v="Se actualizó el documento 'Final Ficha estadística 2023' con los comentarios sobre el Query 1 de la Funcionalidad 2"/>
        <s v="Se revisó el Query #1 del archivo FFE23 para la Funcionalidad 3 'Los temas más consultados en la PNT de Sujetos Obligados Federales', se hicieron las primeras ejecuciones con los parámetros para entender su funcionamiento"/>
        <s v="Se optimizó el Query #1 del archivo FFE23 (Funcionalidad 3) para tener una versión mejorada en tiempo de respuesta y costo"/>
        <s v="Se creó el nuevo procedimiento 'FUNC3_TEMASCONSULPNTSUJOBLIFED' en el paquete 'PACK_SISAI3', con la funcionalidad del Query #1"/>
        <s v="Se verificó campo por campo del query 1 de la Funcionalidad 3, validando el tipo de dato y longitud exactos"/>
        <s v="Se declararon las variables en bloque anónimo con validación exacta de tamaños de tipos de datos, del query 1 de la Funcionalidad 3"/>
        <s v="Se validó el paquete-procedimiento de la funcionalidad 3 - Query # 1 con el bloque anónimo correcto y se tuvo un resultado exitoso con la salida del cursor completo "/>
        <s v="Se actualizó el documento 'Final Ficha estadística 2023' con los comentarios sobre el Query 1 de la Funcionalidad 3"/>
        <s v="Se revisó el Query #1 del archivo FFE23 para la Funcionalidad 4 'Sujetos Obligados federales con más obligaciones cargadas', se hicieron las primeras ejecuciones con los parámetros para entender su funcionamiento"/>
        <s v="Se optimizó el Query #1 del archivo FFE23 (Funcionalidad 4) para tener una versión mejorada en tiempo de respuesta y costo"/>
        <s v="Se creó el nuevo procedimiento 'FUNC4_SUJOBLIFEDEMASOBLICARGA' en el paquete 'PACK_SISAI3', con la funcionalidad del Query #1"/>
        <s v="Se verificó campo por campo del query 1 de la Funcionalidad 4, validando el tipo de dato y longitud exactos"/>
        <s v="Se declararon las variables en bloque anónimo con validación exacta de tamaños de tipos de datos, del query 1 de la Funcionalidad 4"/>
        <s v="Se validó el paquete-procedimiento de la funcionalidad 4 - Query # 1 con el bloque anónimo correcto y se tuvo un resultado exitoso con la salida del cursor completo "/>
        <s v="Se actualizó el documento 'Final Ficha estadística 2023' con los comentarios sobre el Query 1 de la Funcionalidad 4"/>
        <s v="Se revisó el Query #1 del archivo FFE23 para la Funcionalidad 5 'Sujetos Obligados federales con más solicitudes de información', se hicieron las primeras ejecuciones con los parámetros para entender su funcionamiento"/>
        <s v="Se optimizó el Query #1 del archivo FFE23 (Funcionalidad 5) para tener una versión mejorada en tiempo de respuesta y costo"/>
        <s v="Se creó el nuevo procedimiento 'FUNC5_SUJOBLIFEDMASSOLICINFO' en el paquete 'PACK_SISAI3', con la funcionalidad del Query #1"/>
        <s v="Se verificó campo por campo del query 1 de la Funcionalidad 5, validando el tipo de dato y longitud exactos"/>
        <s v="Se declararon las variables en bloque anónimo con validación exacta de tamaños de tipos de datos, del query 1 de la Funcionalidad 5"/>
        <s v="Se validó el paquete-procedimiento de la funcionalidad 5 - Query # 1 con el bloque anónimo correcto y se tuvo un resultado exitoso con la salida del cursor completo "/>
        <s v="Se actualizó el documento 'Final Ficha estadística 2023' con los comentarios sobre el Query 1 de la Funcionalidad 5"/>
        <s v="Se revisó el Query #1 del archivo FFE23 para la Funcionalidad 6 'Sujetos Obligados federales con más recursos de revisión', se hicieron las primeras ejecuciones con los parámetros para entender su funcionamiento"/>
        <s v="Se optimizó el Query #1 del archivo FFE23 (Funcionalidad 6) para tener una versión mejorada en tiempo de respuesta y costo"/>
        <s v="Se creó el nuevo procedimiento 'FUNC6_SUJOBLIFEDMASRECREVI' en el paquete 'PACK_SISAI3', con la funcionalidad del Query #1"/>
        <s v="Se verificó campo por campo del query 1 de la Funcionalidad 6, validando el tipo de dato y longitud exactos"/>
        <s v="Se declararon las variables en bloque anónimo con validación exacta de tamaños de tipos de datos, del query 1 de la Funcionalidad 6"/>
        <s v="Se validó el paquete-procedimiento de la funcionalidad 6 - Query # 1 con el bloque anónimo correcto y se tuvo un resultado exitoso con la salida del cursor completo "/>
        <s v="Se actualizó el documento 'Final Ficha estadística 2023' con los comentarios sobre el Query 1 de la Funcionalidad 6"/>
        <s v="Se revisó el Query #1 del archivo FFE23 para la Funcionalidad 7 'Total de consultas realizadas a los buscadores temáticos', se hicieron las primeras ejecuciones con los parámetros para entender su funcionamiento"/>
        <s v="Se optimizó el Query #1 del archivo FFE23 (Funcionalidad 7) para tener una versión mejorada en tiempo de respuesta y costo"/>
        <s v="Se creó el nuevo procedimiento 'FUNC7_TOTCONSREABUSCATEMAQ1' en el paquete 'PACK_SISAI3', con la funcionalidad del Query #1"/>
        <s v="Se verificó campo por campo del query 1 de la Funcionalidad 7, validando el tipo de dato y longitud exactos"/>
        <s v="Se declararon las variables en bloque anónimo con validación exacta de tamaños de tipos de datos, del query 1 de la Funcionalidad 7"/>
        <s v="Se validó el paquete-procedimiento de la funcionalidad 7 - Query # 1 con el bloque anónimo correcto y se tuvo un resultado exitoso con la salida del cursor completo "/>
        <s v="Se actualizó el documento 'Final Ficha estadística 2023' con los comentarios sobre el Query 1 de la Funcionalidad 7"/>
        <s v="Se revisó el Query #2 del archivo FFE23 para la Funcionalidad 7 'Total de consultas realizadas a los buscadores temáticos', se hicieron las primeras ejecuciones con los parámetros para entender su funcionamiento"/>
        <s v="Se optimizó el Query #2 del archivo FFE23 (Funcionalidad 7) para tener una versión mejorada en tiempo de respuesta y costo"/>
        <s v="Se creó el nuevo procedimiento 'FUNC7_TOTCONSREABUSCATEMAQ2' en el paquete 'PACK_SISAI3', con la funcionalidad del Query #2"/>
        <s v="Se verificó campo por campo del query 2 de la Funcionalidad 7, validando el tipo de dato y longitud exactos"/>
        <s v="Se declararon las variables en bloque anónimo con validación exacta de tamaños de tipos de datos, del query 2 de la Funcionalidad 7"/>
        <s v="Se validó el paquete-procedimiento de la funcionalidad 7 - Query # 2 con el bloque anónimo correcto y se tuvo un resultado exitoso con la salida del cursor completo "/>
        <s v="Se actualizó el documento 'Final Ficha estadística 2023' con los comentarios sobre el Query 2 de la Funcionalidad 7"/>
        <s v="Se revisó el Query #1 del archivo FFE23 para la Funcionalidad 8 'Consulta a los módulos de la PNT en el buscador Nacional', se hicieron las primeras ejecuciones con los parámetros para entender su funcionamiento"/>
        <s v="Se optimizó el Query #1 del archivo FFE23 (Funcionalidad 8) para tener una versión mejorada en tiempo de respuesta y costo"/>
        <s v="Se creó el nuevo procedimiento 'FUNC8_CONSMODPNTBUSCNACQ1' en el paquete 'PACK_SISAI3', con la funcionalidad del Query #1"/>
        <s v="Se verificó campo por campo del query 1 de la Funcionalidad 8, validando el tipo de dato y longitud exactos"/>
        <s v="Se declararon las variables en bloque anónimo con validación exacta de tamaños de tipos de datos, del query 1 de la Funcionalidad 8"/>
        <s v="Se validó el paquete-procedimiento de la funcionalidad 8 - Query # 1 con el bloque anónimo correcto y se tuvo un resultado exitoso con la salida del cursor completo "/>
        <s v="Se actualizó el documento 'Final Ficha estadística 2023' con los comentarios sobre el Query 1 de la Funcionalidad 8"/>
        <s v="Se revisó el Query #1 del archivo IEDEPNI para la Funcionalidad 1 'TOTAL DE SOLICITUDES DE INFORMACIÓN', se hicieron las primeras ejecuciones con los parámetros para entender su funcionamiento"/>
        <s v="Se optimizó el Query #1 del archivo IEDEPNI (Funcionalidad 1) para tener una versión mejorada en tiempo de respuesta y costo"/>
        <s v="Se creó el nuevo procedimiento 'FUNC1_TOTSOLDEINFOQ1' en el paquete 'PACK_SISAI3', con la funcionalidad del Query #1"/>
        <s v="Se tuvó sesión con Samuel para revisar las herramientas de tuneo que se utilizan y el proceso que llevo para optimizar los queries que he trabajado"/>
        <s v="Se actualizó el documento 'Querys_Estadisiticas_Totales' con los comentarios sobre el Query 1 de la Funcionalidad 1"/>
        <s v="Se revisó el Query #1 del archivo IEDEPNI para la Funcionalidad 2 'TOTAL DE RECURSOS DE REVISIÓN INGRESADOS - Recursos de HCOM E INFOMEX', se hicieron las primeras ejecuciones con los parámetros para entender su funcionamiento"/>
        <s v="Se optimizó el Query #1 del archivo IEDEPNI (Funcionalidad 2) para tener una versión mejorada en tiempo de respuesta y costo"/>
        <s v="Se creó el nuevo procedimiento 'FUNC2_TOTRRIHCOMEINFOMEXQ1' en el paquete 'PACK_SISAI3', con la funcionalidad del Query #1"/>
        <s v="Se actualizó el documento 'Querys_Estadisiticas_Totales' con los comentarios sobre el Query 1 de la Funcionalidad 2"/>
        <s v="Se revisó el Query #2 del archivo IEDEPNI para la Funcionalidad 2 'TOTAL DE RECURSOS DE REVISIÓN INGRESADOS - Obtiene los recursos de revisión interpuestos', se hicieron las primeras ejecuciones con los parámetros para entender su funcionamiento"/>
        <s v="Se optimizó el Query #2 del archivo IEDEPNI (Funcionalidad 2) para tener una versión mejorada en tiempo de respuesta y costo"/>
        <s v="Se creó el nuevo procedimiento 'FUNC2_TOTRRIOBTRECREVINTERPUQ2' en el paquete 'PACK_SISAI3', con la funcionalidad del Query #2"/>
        <s v="Se verificó campo por campo del query 2 de la Funcionalidad 2, validando el tipo de dato y longitud exactos"/>
        <s v="Se declararon las variables en bloque anónimo con validación exacta de tamaños de tipos de datos, del query 2 de la Funcionalidad 2"/>
        <s v="Se validó el paquete-procedimiento de la funcionalidad 2 - Query # 2 con el bloque anónimo correcto y se tuvo un resultado exitoso con la salida del cursor completo "/>
        <s v="Se actualizó el documento 'Querys_Estadisiticas_Totales' con los comentarios sobre el Query 2 de la Funcionalidad 2"/>
        <s v="Se revisó el Query #3 del archivo IEDEPNI para la Funcionalidad 2 'TOTAL DE RECURSOS DE REVISIÓN INGRESADOS - Obtiene los recursos de revisión gestionados fuera', se hicieron las primeras ejecuciones con los parámetros para entender su funcionamiento"/>
        <s v="Se optimizó el Query #3 del archivo IEDEPNI (Funcionalidad 2) para tener una versión mejorada en tiempo de respuesta y costo"/>
        <s v="Se creó el nuevo procedimiento 'FUNC2_TOTRRIOBTRECREVGESTFUEQ3' en el paquete 'PACK_SISAI3', con la funcionalidad del Query #3"/>
        <s v="Se verificó campo por campo del query 3 de la Funcionalidad 2, validando el tipo de dato y longitud exactos"/>
        <s v="Se declararon las variables en bloque anónimo con validación exacta de tamaños de tipos de datos, del query 3 de la Funcionalidad 2"/>
        <s v="Se validó el paquete-procedimiento de la funcionalidad 2 - Query # 3 con el bloque anónimo correcto y se tuvo un resultado exitoso con la salida del cursor completo "/>
        <s v="Se actualizó el documento 'Querys_Estadisiticas_Totales' con los comentarios sobre el Query 3 de la Funcionalidad 2"/>
        <s v="Se revisó el Query #1 del archivo IEDEPNI para la Funcionalidad 3 'TOTAL DE RECURSOS DE REVISIÓN GESTIONADOS', se hicieron las primeras ejecuciones con los parámetros para entender su funcionamiento"/>
        <s v="Se optimizó el Query #1 del archivo IEDEPNI (Funcionalidad 3) para tener una versión mejorada en tiempo de respuesta y costo"/>
        <s v="Se creó el nuevo procedimiento 'FUNC3_TOTRECREVGESTIOQ1' en el paquete 'PACK_SISAI3', con la funcionalidad del Query #1"/>
        <s v="Se actualizó el documento 'Querys_Estadisiticas_Totales' con los comentarios sobre el Query 1 de la Funcionalidad 3"/>
        <s v="Se revisó el Query #1 del archivo IEDEPNI para la Funcionalidad 4 'TOTAL DE OBLIGACIONES DE TRANSPARENCIA', se hicieron las primeras ejecuciones con los parámetros para entender su funcionamiento"/>
        <s v="Se optimizó el Query #1 del archivo IEDEPNI (Funcionalidad 4) para tener una versión mejorada en tiempo de respuesta y costo"/>
        <s v="Se creó el nuevo procedimiento 'FUNC4_TOTOBLTRANSPAQ1' en el paquete 'PACK_SISAI3', con la funcionalidad del Query #1"/>
        <s v="Se actualizó el documento 'Querys_Estadisiticas_Totales' con los comentarios sobre el Query 1 de la Funcionalidad 4"/>
        <s v="Se revisó el Query #1 del archivo IEDEPNI para la Funcionalidad 5 'TOTAL CONSULTA EN LOS BUSCADORES - Buscador Nacional', se hicieron las primeras ejecuciones con los parámetros para entender su funcionamiento"/>
        <s v="Se optimizó el Query #1 del archivo IEDEPNI (Funcionalidad 5) para tener una versión mejorada en tiempo de respuesta y costo"/>
        <s v="Se creó el nuevo procedimiento 'FUNC5_TOTCONSBUSCADONACQ1' en el paquete 'PACK_SISAI3', con la funcionalidad del Query #1"/>
        <s v="Se actualizó el documento 'Querys_Estadisiticas_Totales' con los comentarios sobre el Query 1 de la Funcionalidad 5"/>
        <s v="Se revisó el Query #2 del archivo IEDEPNI para la Funcionalidad 5 'TOTAL CONSULTA EN LOS BUSCADORES - Buscadores temáticos', se hicieron las primeras ejecuciones con los parámetros para entender su funcionamiento"/>
        <s v="Se optimizó el Query #2 del archivo IEDEPNI (Funcionalidad 5) para tener una versión mejorada en tiempo de respuesta y costo"/>
        <s v="Se creó el nuevo procedimiento 'FUNC5_TOTCONSBUSCADOTEMATICOQ2' en el paquete 'PACK_SISAI3', con la funcionalidad del Query #2"/>
        <s v="Se verificó campo por campo del query 2 de la Funcionalidad 5, validando el tipo de dato y longitud exactos"/>
        <s v="Se declararon las variables en bloque anónimo con validación exacta de tamaños de tipos de datos, del query 2 de la Funcionalidad 5"/>
        <s v="Se validó el paquete-procedimiento de la funcionalidad 5 - Query # 2 con el bloque anónimo correcto y se tuvo un resultado exitoso con la salida del cursor completo "/>
        <s v="Pantalla para estadísticas de solicitudes"/>
        <s v="Pantalla para estadísticas de quejas"/>
        <s v="Pantalla para estadísticas de resoluciones"/>
        <s v="Modificar pantallas para implementar combos de selección múltiple"/>
        <s v="Pantalla para estadísticas por usuario/solicitudes"/>
        <s v="Pantalla para estadísticas por usuario/quejas"/>
        <s v="Pantalla para estadísticas por usuario/resoluciones"/>
        <s v="Back para estadísticas de solicitudes"/>
        <s v="Back para estadísticas de quejas"/>
        <s v="Back para estadísticas de resoluciones"/>
        <s v="Backs para implementar combos de selección múltiple"/>
        <s v="Back para estadísticas por usuario/solicitudes"/>
        <s v="Back para estadísticas por usuario/quejas"/>
        <s v="Back para estadísticas por usuario/resoluciones"/>
        <s v="Analizar los requerimientos para el proyecto de estadisticos"/>
        <s v="Analizar la obtención de los resultados de los procesos de base de datos"/>
        <s v="Analizar la respuesta de los servicios que consumen los procesos de la base de datos"/>
        <s v="Mapear las tablas de los catálogos de la base de datos en el proyecto de estadisticos"/>
        <s v="Mapear las tablas de los objetos de solicitudes de base de datos para invocar los procesos almacenados."/>
        <s v="Desarrollo e implementación de los metódos para la invocación del proceso para obtener la graficas de solicitudes"/>
        <s v="Desarrollar los servicios para mostrar los catálogos de las solicitudes"/>
        <s v="Desarrollar los servicios para mostrar los catálogos de las quejas"/>
        <s v="Desarrollar los metódos genericos para consumir los procesos almacenados para generar las gráficas de solicitudes"/>
        <s v="Desarrollo e implementación de los servicios para exponer los resultados de los procesos almacenados para generar las gráficas"/>
        <s v="Mapear las tablas de los objetos de quejas de base de datos para invocar los procesos almacenados."/>
        <s v="Desarrollo e implementación de los metódos para la invocación del proceso para obtener la graficas de quejas"/>
        <s v="Codificar la funcionalidad para consultar la ultima respuesta de una solicitud de información en SISAI y registrar su referencia en el sistema de SIGEMI"/>
        <s v="Codificar la funionalidad para registrar en la bitacora de registro de documentos de una queja, la generación del acuse de recepción de una queja"/>
        <s v="Corrección de incidencia que no permitia consumir algunos subreportes que se requieren para generar acuses de registro de quejas"/>
        <s v="Codificación del requerimiento para registrar uno o más RIA's  asociados a una queja"/>
        <s v="Codificar la funcionalidad para generar acuses de respuesta a RIA's"/>
        <s v="Registro de las respuestas de las notificaciones enviadas por un organo garante y respondidas por un solicitante"/>
        <s v="Codificar la funcionalidad para generar acuses de respuesta a notificaciones"/>
        <s v="Modifiación de servicio rest para registrar los requerimientos de comunicación por parte del organismo garante"/>
        <s v="Desarrollo del servicio que permite registrar los requerimientos de comunicación responidos por el solicitante"/>
        <s v="Desarrollo del servicio que permite generar el acuse de registro de &quot;comunicación&quot;"/>
        <s v="Explicación del proyecto, tecnologias a utilizar y lectura de documentación"/>
        <s v="Se realiza el analisis y la implementación de la librería necesaria para poder realizar la verificacion de consistencia"/>
        <s v="Se realiza utileria para generar hashes de acuerdo al certificado "/>
        <s v="Se realiza utileria para generar pkcs7 de acuerdo al certificado "/>
        <s v="Implementación del servicio para Subir archivos para firma unilateral"/>
        <s v="Implementación del servicio para Registrar firma electronica pkcs7"/>
        <s v="Se implementa servicio para Subir archivos para firma multilateral fin firma asociada"/>
        <s v="Se implementa servicio para Subir archivos para firma"/>
        <s v="Implementación de servicio para registrar firma electronica pkcs7"/>
        <s v="Implementacion de servicio para descarga hoja de evidencias"/>
        <s v="Implementacion de servicio para descarga documento firmado"/>
        <s v="Implementacion de servicio para descarga bloque firmado"/>
        <s v="Implementación de servicio para cancelar documentos"/>
        <s v="Se pulierón todos los procedimientos del documento IEDEPNI"/>
        <s v="Se revisó de nuevo el Query #1 del archivo IEDEPNI para la Funcionalidad 1 'TOTAL DE SOLICITUDES DE INFORMACIÓN' para aplicar posibles mejoras"/>
        <s v="Se revalidó el procedimiento 'FUNC1_TOTSOLDEINFOQ1' del paquete 'PACK_SISAI3' para afinar detalles finales"/>
        <s v="Se revisó de nuevo el Query #1 del archivo IEDEPNI para la Funcionalidad 2 'TOTAL DE RECURSOS DE REVISIÓN INGRESADOS - Recursos de HCOM E INFOMEX' para aplicar posibles mejoras"/>
        <s v="Se revalidó el procedimiento 'FUNC2_TOTRRIHCOMEINFOMEXQ1' en el paquete 'PACK_SISAI3' para afinar detalles finales"/>
        <s v="Se revisó de nuevo el Query #2 del archivo IEDEPNI para la Funcionalidad 2 'TOTAL DE RECURSOS DE REVISIÓN INGRESADOS - Obtiene los recursos de revisión interpuestos' para aplicar posibles mejoras"/>
        <s v="Se revalidó el procedimiento 'FUNC2_TOTRRIOBTRECREVINTERPUQ2' en el paquete 'PACK_SISAI3' para afinar detalles finales"/>
        <s v="Se revisó de nuevo el Query #3 del archivo IEDEPNI para la Funcionalidad 2 'TOTAL DE RECURSOS DE REVISIÓN INGRESADOS - Obtiene los recursos de revisión gestionados fuera' para aplicar posibles mejoras"/>
        <s v="Se revalidó el procedimiento 'FUNC2_TOTRRIOBTRECREVGESTFUEQ3' en el paquete 'PACK_SISAI3' para afinar detalles finales"/>
        <s v="Se revisó de nuevo el Query #1 del archivo IEDEPNI para la Funcionalidad 3 'TOTAL DE RECURSOS DE REVISIÓN GESTIONADOS' para aplicar posibles mejoras"/>
        <s v="Se revalidó el procedimiento 'FUNC3_TOTRECREVGESTIOQ1' en el paquete 'PACK_SISAI3' para afinar detalles finales"/>
        <s v="Se revisó de nuevo el Query #1 del archivo IEDEPNI para la Funcionalidad 4 'TOTAL DE OBLIGACIONES DE TRANSPARENCIA' para aplicar posibles mejoras"/>
        <s v="Se revalidó el procedimiento 'FUNC4_TOTOBLTRANSPAQ1' en el paquete 'PACK_SISAI3' para afinar detalles finales"/>
        <s v="Se revisó de nuevo el Query #1 del archivo IEDEPNI para la Funcionalidad 5 'TOTAL CONSULTA EN LOS BUSCADORES - Buscador Nacional' para aplicar posibles mejoras"/>
        <s v="Se revalidó el procedimiento 'FUNC5_TOTCONSBUSCADONACQ1' en el paquete 'PACK_SISAI3' para afinar detalles finales"/>
        <s v="Se revisó de nuevo el Query #2| del archivo IEDEPNI para la Funcionalidad 5 'TOTAL CONSULTA EN LOS BUSCADORES - Buscadores temáticos' para aplicar posibles mejoras"/>
        <s v="Se revalidó el procedimiento 'FUNC5_TOTCONSBUSCADOTEMATICOQ2' en el paquete 'PACK_SISAI3' para afinar detalles finales"/>
        <s v="Se afinó el documento 'Final Ficha estadística 2023' con todos los detalles trabajados"/>
        <s v="Se compartio el documento FFE23 a lider de TI con el detalle de todo lo trabajo"/>
        <s v="Se afinó el documento 'Querys_Estadisiticas_Totales' con todos los detalles trabajados"/>
        <s v="Se compartio el documento IEDEPNI a lider de TI con el detalle de todo lo trabajo"/>
        <s v="Se tocó base con Samuel para el proximo requerimiento"/>
        <s v="Se tuvo sesion con Annel para conocer el proximo requerimiento"/>
        <s v="Se revisarón las 2 vistas materializadas proporcionadas por Annel para entender el funcionamiento de estas"/>
        <s v="Se consultó con Samuel cuales serian los proximos entregables para el tema de los Dashboards que van a requerir los procedimientos"/>
        <s v="Se tuvo sesion con Samuel para revisar la estructura de las tablas 'BI_VWM_SOLICITUDES_ESTADISTICAS' y 'BI_VWM_SOLICITUDES_ESTADISTICAS_DETALLE'"/>
        <s v="Se tuvo sesión con Samuel y el equipo para conocer el alcance del requerimiento y lo que tengo que comenzar a desarrollar, los entregables a trabajar"/>
        <s v="Se tomó nota del como se deben poner los nombres de los procedimientos, así como las variables de entrada y salida"/>
        <s v="Se tomó pantalla de la maqueta de procedimientos inicial que es con la cual se validara el total de los procedimientos"/>
        <s v="Se validó conexión con el usuario BI y se comprueba que si tenga acceso a las vistas del requerimiento"/>
        <s v="Se definio el total de procedimientos y se le da un nombre a cada uno para comenzar a desarrollar el paquete"/>
        <s v="Se creó paquete de la BD 'BI.PACK_SOLICITUDES_ESTADISTICAS' de forma general con su header y su body"/>
        <s v="Se creó el esqueleto de los 15 procedimientos indentificados inicialmente con los parametros de entrada de los IDs de la tabla 'BI_VWM_SOLICITUDES_ESTADISTICAS_DETALLE' y con su respectivo parametro de cursor para la salida"/>
        <s v="Se creó el contenido del procedimiento #1 OBTENER_TIPO_SOLICITUD con la consulta que va a retornar el total por el Tipo de Solicitud de la tabla 'BI_VWM_SOLICITUDES_ESTADISTICAS_DETALLE' con la relación de su respectivo Catalogo para obtener su descripción"/>
        <s v="Se compiló paquete con la primer versión del 1er procedimiento y se valida que no tenga errores"/>
        <s v="Se declararón las variables en bloque anónimo con validación exacta de tamaños de tipos de datos, del query del procdimiento OBTENER_TIPO_SOLICITUD"/>
        <s v="Se validó el paquete-procedimiento 'OBTENER_TIPO_SOLICITUD' con el bloque anónimo correcto y se tuvo un resultado exitoso con la salida del cursor completo "/>
        <s v="Se tuvo sesión con equipo para mostrar avances del paquete y procedimientos creados y para aclarar dudas para continuar avanzando"/>
        <s v="Se concluyó que seran un total de 12 procedimientos y se le comparten al equipo los nombres de los procedimientos"/>
        <s v="Se validó el acceso al video de sesión pasada del viernes 13 para poder visualizar y aclarar cualquier duda"/>
        <s v="Se compartió con el DBA un error en el explain plan que se obtiene al validar el costo de las consultas"/>
        <s v="Se tuvo sesión con equipo solo con Horacio y Antonio y se explicaron algunos cambios a considerar"/>
        <s v="Se tuvo sesión con Samuel y con equipo para nuevos cambios a considerar, se nos compartio que los cambios para la construcción de los procedimientos ya que ahora los parametros de entrada deben recibir mas de 1 valor"/>
        <s v="Se revisó un ejemplo proporcionado por Annel para entender el funcionamiento de los objetos del tipo TAB"/>
        <s v="Se consultó mas detalle sobre el funcionamiento de los objetos TAB para entender el como se declaran"/>
        <s v="Se trabajó en declarar los objetos de tipo TAB en el 1er procedimiento"/>
        <s v="Se revisaron los errores encontrados y se identifico que el problema es porque hace falta crearlos en la BD como objetos de tipo TIPE y como Colecciones -"/>
        <s v="Se crearon todos los objetos del tipo TYPE y Collection Type para poder consumirlos en c/u de los procedimientos"/>
        <s v="Se tocó base con Antonio para validar los nombres de los nuevos objetos y se ajustan algunos de ellos"/>
        <s v="Se tuvo sesión con Samuel y Horacio para revisar los avances hasta el momento"/>
        <s v="Se actualizó el procedimiento para manejar todos los nuevos objetos del tipo TAB"/>
        <s v="Se trabajó en el procedimiento 'OBTENER_TIPO_SOLICITUD' para lograr que funcione con un 1er parametro de tipo TAB declarado"/>
        <s v="Se validó el paquete-procedimiento 'OBTENER_TIPO_SOLICITUD' con el bloque anónimo pero se encuentran errores en la salida del cursor"/>
        <s v="Se revisó a detalle para identificar los posibles errores y encontrar la solución"/>
        <s v="Se identificó problema con la inicialización de las variables TAB al validar con el bloque anonimo"/>
        <s v="Se actualizó bloque anonimo con la forma correcta de inicializar la variable e irle dando los valores que tendra la colección"/>
        <s v="Se logró validar de forma exitosa el procedimiento con el 1er parametro de tipo TAB 'TAB_ENTIDADFEDERATIVA'"/>
        <s v="Se tuvo sesión con Samuel para revisar los avances hasta el momento"/>
        <s v="Se actualizó procedimiento 'OBTENER_TIPO_SOLICITUD' con todas las variables de tipo TAB"/>
        <s v="Se validó el paquete-procedimiento 'OBTENER_TIPO_SOLICITUD' con el bloque anónimo pero se encuentran nuevos errores en la salida del cursor"/>
        <s v="Se identificaron los errores en el procedimiento 'OBTENER_TIPO_SOLICITUD' ya que hay variables del tipo TAB que no se consideraran y esas se tienen que tratar distinto"/>
        <s v="Se ajustó el procedimiento 'OBTENER_TIPO_SOLICITUD' con estas recientes mejoras identificaras y se compila paquete sin errores"/>
        <s v="Se validó el paquete-procedimiento 'OBTENER_TIPO_SOLICITUD' con el bloque anónimo y se comprueba salida con informacion correcta del cursor"/>
        <s v="Se le confirmó al equipo que ya esta listo el 1er procedimiento 'OBTENER_TIPO_SOLICITUD' para comenzar a consumirlo con el aplicativo"/>
        <s v="Se estimaron tiempos de la contrucción de todos los procedimientos nuevos que se deben terminar de construir con las variables del tipo TAB y con sus respectivas validaciones y casos especiales"/>
        <s v="Se construyó la consulta para tratae el 2do procedimiento OBTENER_DERECHO_DP"/>
        <s v="Se validó que la información que retorna la consulta con los distintos parametros sea la correcta"/>
        <s v="Se trabajó en el 2do procedimiento 'OBTENER_DERECHO_DP' con sus respectivas variables TAB y con su consulta previamente validada, se compila sin errores"/>
        <s v="Se validó el paquete-procedimiento 'OBTENER_DERECHO_DP' con el bloque anónimo correcto y se tuvo un resultado exitoso con la salida del cursor completo"/>
        <s v="Se le informó al equipo que ya esta este 2do procedimiento para que lo revisen y consuman desde el aplicativo"/>
        <s v="Se construyó la consulta para tratar el 3er procedimiento OBTENER_MEDIO_ENTRADA"/>
        <s v="Se trabajó en el 3er procedimiento 'OBTENER_MEDIO_ENTRADA' con sus respectivas variables TAB y con su consulta previamente validada, se compila sin errores"/>
        <s v="Se validó el paquete-procedimiento 'OBTENER_MEDIO_ENTRADA' con el bloque anónimo correcto y se tuvo un resultado exitoso con la salida del cursor completo"/>
        <s v="Se le informó al equipo que ya esta este 3er procedimiento para que lo revisen y consuman desde el aplicativo"/>
        <s v="Se construyó la consulta para tratar el 4to procedimiento OBTENER_MODALIDAD_ENTREGA"/>
        <s v="Se trabajó en el 4to procedimiento 'OBTENER_MODALIDAD_ENTREGA' con sus respectivas variables TAB y con su consulta previamente validada, se compila sin errores"/>
        <s v="Se validó el paquete-procedimiento 'OBTENER_MODALIDAD_ENTREGA' con el bloque anónimo correcto y se tuvo un resultado exitoso con la salida del cursor completo"/>
        <s v="Se le informó al equipo que ya esta este 4to procedimiento para que lo revisen y consuman desde el aplicativo"/>
        <s v="Se construyó la consulta para tratar el 5to procedimiento OBTENER_RECIBO_NOTIFICACION"/>
        <s v="Se trabajó en el 5to procedimiento 'OBTENER_RECIBO_NOTIFICACION' con sus respectivas variables TAB y con su consulta previamente validada, se compila sin errores"/>
        <s v="Se validó el paquete-procedimiento 'OBTENER_RECIBO_NOTIFICACION' con el bloque anónimo correcto y se tuvo un resultado exitoso con la salida del cursor completo"/>
        <s v="Se le informó al equipo que ya esta este 5to procedimiento para que lo revisen y consuman desde el aplicativo"/>
        <s v="Se tuvo platica con Antonio para aplicar mejoras a la forma de validar los objetos TAB y contruir los querys dinamicos"/>
        <s v="Se solicitaron cambios en las consultas que contienen los diversos procedimientos para manejarlos como subquerys"/>
        <s v="Se hicieron pruebas de paquete de prueba de Antonio para validar que las mejoras propuestas si retornan información correcta"/>
        <s v="Se aplicaron mejoras propuestas al 5to procedimiento y se valida que la información resultante sea correcta"/>
        <s v="Se construyó la consulta para tratar el 6to procedimiento OBTENER_FG_PRORROGA"/>
        <s v="Se trabajó en el 6to procedimiento 'OBTENER_FG_PRORROGA' con sus respectivas variables TAB y con su consulta previamente validada, se compila sin errores"/>
        <s v="Se validó el paquete-procedimiento 'OBTENER_FG_PRORROGA' con el bloque anónimo correcto y se tuvo un resultado exitoso con la salida del cursor completo"/>
        <s v="Se le informó al equipo que ya esta este 6to procedimiento para que lo revisen y consuman desde el aplicativo"/>
        <s v="Se construyó la consulta para tratar el 7mo procedimiento OBTENER_FG_PREVENCION"/>
        <s v="Se trabajó en el 7mo procedimiento 'OBTENER_FG_PREVENCION' con sus respectivas variables TAB y con su consulta previamente validada, se compila sin errores"/>
        <s v="Se validó el paquete-procedimiento 'OBTENER_FG_PREVENCION' con el bloque anónimo correcto y se tuvo un resultado exitoso con la salida del cursor completo"/>
        <s v="Se le informó al equipo que ya esta este 7mo procedimiento para que lo revisen y consuman desde el aplicativo"/>
        <s v="Se construyó la consulta para tratar el 8vo procedimiento OBTENER_FG_DISPONIBILIDAD"/>
        <s v="Se trabajó en el 8vo procedimiento 'OBTENER_FG_DISPONIBILIDAD' con sus respectivas variables TAB y con su consulta previamente validada, se compila sin errores"/>
        <s v="Se validó el paquete-procedimiento 'OBTENER_FG_DISPONIBILIDAD' con el bloque anónimo correcto y se tuvo un resultado exitoso con la salida del cursor completo"/>
        <s v="Se le informó al equipo que ya esta este 8vo procedimiento para que lo revisen y consuman desde el aplicativo"/>
        <s v="Se construyó la consulta para tratar el 9no procedimiento OBTENER_ULTIMA_RESPUESTA"/>
        <s v="Se trabajó en el 9no procedimiento 'OBTENER_ULTIMA_RESPUESTA' con sus respectivas variables TAB y con su consulta previamente validada, se compila sin errores"/>
        <s v="Se validó el paquete-procedimiento 'OBTENER_ULTIMA_RESPUESTA' con el bloque anónimo correcto y se tuvo un resultado exitoso con la salida del cursor completo"/>
        <s v="Se le informó al equipo que ya esta este 9no procedimiento para que lo revisen y consuman desde el aplicativo"/>
        <s v="Se construyó la consulta para tratar el 10mo procedimiento OBTENER_SOLICITUDESXDIA"/>
        <s v="Se trabajó en el 10mo procedimiento 'OBTENER_SOLICITUDESXDIA' con sus respectivas variables TAB y con su consulta previamente validada, se compila sin errores"/>
        <s v="Se validó el paquete-procedimiento 'OBTENER_SOLICITUDESXDIA' con el bloque anónimo correcto y se tuvo un resultado exitoso con la salida del cursor completo"/>
        <s v="Se le informó al equipo que ya esta este 10mo procedimiento para que lo revisen y consuman desde el aplicativo"/>
        <s v="Se construyó la consulta para tratar el 11vo procedimiento OBTENER_ESTATUS"/>
        <s v="Se trabajó en el 11vo procedimiento 'OBTENER_ESTATUS' con sus respectivas variables TAB y con su consulta previamente validada, se compila sin errores"/>
        <s v="Se validó el paquete-procedimiento 'OBTENER_ESTATUS' con el bloque anónimo correcto y se tuvo un resultado exitoso con la salida del cursor completo"/>
        <s v="Se le informó al equipo que ya esta este 11vo procedimiento para que lo revisen y consuman desde el aplicativo"/>
        <s v="Se toco base con Samuel para definir el catalogo de Tematicas, me aclaro el punto y segui avanzando sin problema"/>
        <s v="Se construyó la consulta para tratar el 12vo procedimiento OBTENER_TEMATICA"/>
        <s v="Se trabajó en el 12vo procedimiento 'OBTENER_TEMATICA' con sus respectivas variables TAB y con su consulta previamente validada, se compila sin errores"/>
        <s v="Se validó el paquete-procedimiento 'OBTENER_TEMATICA' con el bloque anónimo correcto y se tuvo un resultado exitoso con la salida del cursor completo"/>
        <s v="Se le informó al equipo que ya esta este 12vo procedimiento para que lo revisen y consuman desde el aplicativo"/>
        <s v="Se revisaron las consultas de los procedimientos creados para aplicar mejora de subquerys en las consultas que si aplique"/>
        <s v="Se aplicó mejora solicitada en todos los procedimientos para no considerar las banderas como parametros"/>
        <s v="Se tuvo sesión con equipo para nuevos cambios en procedimientos creados"/>
        <s v="Se recolectó 1er cambio para modificar los parametros de salida del cursor por el generito 'P_C_RESULTADO'"/>
        <s v="Se recolectó 2do cambio para unificar las etiquetas de todos los querys a retornar en el cursor, por ID....NOMBRE....TOTAL"/>
        <s v="Se recolectó 3er cambio para incluir el ID en los procedimientos de las Banderas"/>
        <s v="Se trabajó agregando el 1er cambio a todos los procedimientos y se compiló paquete para comprobar que no hay errores"/>
        <s v="Se trabajó agregando el 2do cambio a todos los procedimientos y se compiló paquete para comprobar que no hay errores"/>
        <s v="Se trabajó agregando el 3er cambio a todos los procedimientos y se compiló paquete para comprobar que no hay errores"/>
        <s v="Se validó nuevamente que todos los procedimientos se puedan invocar a través del bloque anónimo correcto y se tenga resultado exitoso con la salida del cursor completo"/>
        <s v="Actualizacion seccion ponente  "/>
        <s v="actualizacion RTA cooperacion "/>
        <s v="actualizacion micrositio RTA observador "/>
        <s v="actualizacion RTA consejo directivo"/>
        <s v="Actualizacion micrositio SNT "/>
        <s v="actualizacion de avance de proyecto "/>
        <s v="actualizacion repositorio "/>
        <s v="actualizacion micrositio "/>
        <s v="actualizacion RTA encuentros "/>
        <s v="actualizacion paginas web "/>
        <s v="actaulizacion micrositio Repositorio"/>
        <s v="actualizacion  Proyecto micrositio "/>
        <s v="actualizacion sitios"/>
        <s v="actualizacion contraeña GAP "/>
        <s v="actualizacion pagina web carga "/>
        <s v="actualizacion micrositios "/>
        <s v="actualizacion contenido INAI "/>
        <s v="actualizacion de inventario micrositio "/>
        <s v="Ajustes sitio RTA "/>
        <s v="Insumos micrositio Criterios del SNT"/>
        <s v="actualizacion cambio de control "/>
        <s v="actualizacion consejo directivo "/>
        <s v="actualizacion contraseña GAP "/>
        <s v="actualizaciones estautus de peticiones "/>
        <s v="actualizacion inventarios micrositios "/>
        <s v="actualizacion resoluciones "/>
        <s v="Actualizacion de estatus de peticiones "/>
        <s v="Reunion Control Interno "/>
        <s v="Actualizacion micrositio RTA consejo directivo "/>
        <s v="actualizacion de inventarios de micrositio"/>
        <s v="modificacion pagina DGPVS"/>
        <s v="actualizacion micrositio sede "/>
        <s v="Insumos graficos micrositio criterios "/>
        <s v="actualizacion criterios SNT "/>
        <s v="actualizacion cc "/>
        <s v="actualizacion micrositio RTA "/>
        <s v="actualizacion de paginas web "/>
        <s v="Actualizacionpagina web "/>
        <s v="ajuste sitio RTA "/>
        <s v="actualizaciones micrositios "/>
        <s v="Actualizacion CIT evaluacion "/>
        <s v="actualizacioncontraseña GAP "/>
        <s v="Se instalo y configuro la herramienta helm que es un manejador de paquetes para k8s"/>
        <s v="Se instalo y configuro el controller ingress traefik para poder controlar todos las salidas de k8s"/>
        <s v="Se instalo el modulo de MetalLb para poder utilizar loadbalancer con ip interna, que a su vez esta ligado traefik"/>
        <s v="Se instalo y configuro ArgoCD para poder hacer el deployment en automatico del las imagenes a k8s una vez que cambia el manifest."/>
        <s v="Se instalo y configuro trivy para escaneo de la imagen que crea podman"/>
        <s v="Se instalo y configuro dependency check top owasp 10 para escanear cualquer vulnerabilidad en cuanto a OWASP"/>
        <s v="Se configuro gradle en jenkins para que se pueda usar para compilar los proyectos de java"/>
        <s v="Se creo el archivo Jenkinsfile que es el que contiene todo el pipleline de CI, este reside en mi github personal, es donde se hizo las pruebas"/>
        <s v="Se creo el archivo Jenkinsfile que es el que contiene todo el pipleline de CD, este reside en mi github personal, es donde se hizo las pruebas"/>
        <s v="Documentación de incidencias de inventarios"/>
        <s v="Se genera la incidencia en mantis una vez con las evidencias de las pruebas"/>
        <s v="Se envía el correo del cierre parcial de la ejecución del sistema de Inventarios"/>
        <s v="Se revisa la versión dos de ServicioProfesional con los cambios realizados en la OT"/>
        <s v="Se recibe correo de nueva OT para su revisión y ejecución llamada GAP"/>
        <s v="Se realiza la ejecución de la OT servicioProfesional"/>
        <s v="Se continua con ejecuta la OT de ServicioProfesional"/>
        <s v="Se da seguimiento a la solicitud al equipo de base de datos de su apoyo para obtener la base de datos de ServicioProfesional"/>
        <s v="El equipo de base de datos entrega la base para continuar con las pruebas de ServicioProfesional"/>
        <s v="Se termina de ejecutar la OT ServicioProfesional con detalles en la conexión"/>
        <s v="Se resuelven los detalles de la OT ServicioProfesional y se completa la ejecución"/>
        <s v="Se recibe correo con la nueva OT llamada Encuentro XXV"/>
        <s v="Se termina la OT ServicioProfesional y se documenta la evidencia"/>
        <s v="Se ejecuta y documenta la OT Encuentro XXV"/>
        <s v="Se envía correo a las personas correspondientes sobre la OT documentada de ServicioProfesional"/>
        <s v="Se dio seguimiento a las insidencias encontradas en la ejecución de la OT del Módulo de Inventarios"/>
        <s v="Se hace el análisis de la documentación del micrositio de Criterios de Interpretación del SNT"/>
        <s v="Se continua con el análsis del documento de Criterios de Interpretación SNT para obtener los casos de prueba"/>
        <s v="Se da de alta el usuario en TestLink para creación de casos de prueba sobre el documento Criterios de Interpretación SNT"/>
        <s v="Análisis de documento SNT para documentación de casos de prueba "/>
        <s v="Se genera en Testlink el espacio de pruebas y se generan los casos de pruebas de Criterios de Interpretación SNT"/>
        <s v="Se hace una sesión con el equipo de desarrollo sobre el funcionamiento del modulo de usuarios y los roles que se estarán manejando"/>
        <s v="Se generan los casos de prueba en Testlink sobre el proyecto RFC Criterios de Interpretación SNT"/>
        <s v="Se hace el análisis del video y documento obtenidos para el módulo de usuarios SNT"/>
        <s v="Se terminan de documentar los casos de prueba de RFC Criterios de Interpretación SNT"/>
        <s v="Se da de alta una nueva carpeta en testlink para la documentación de casos de prueba del módulo de usuarios sobre el proyecto SNT"/>
        <s v="Se da seguimiento y a su vez se van documentando los casos de prueba del modulo de usuarios sobre el proyecto Criterios de Interpretación SNT"/>
        <s v="Se generan los casos de prueba mediante la documentación del módulo de usuarios"/>
        <s v="Se reviso el documento del RFC con la solicitud del requerimiento para el Micrositio del INAI"/>
        <s v="Explicación  de tecnologías a utilizar en el desarrollo del proyecto"/>
        <s v="Revisión de los catálogos para estructurar la base de datos"/>
        <s v="Desarrollo de los  scripts para la base de datos"/>
        <s v="Desarrollo del backend en Laravel"/>
        <s v="Desarrollo del primer modulo de Tipos de expediente"/>
        <s v="Desarrollo del modulo de Administración"/>
        <s v="Desarrollo del modulo de Años"/>
        <s v="Desarrollo del modulo de Épocas"/>
        <s v="Desarrollo del modulo de tipos de criterios"/>
        <s v="Desarrollo del modulo de Entidad Federativa"/>
        <s v="Sesión de levantamiento de información con el cliente, llenado de documento de Análisis, matriz de requerimientos y mockups Requerimientos 1.1,1.2,1.3"/>
        <s v="Sesión de levantamiento de información con el cliente, llenado de documento de Análisis, matriz de requerimientos y mockups Requerimientos 1.4,1.5,1.6"/>
        <s v="Sesión de levantamiento de información con el cliente, llenado de documento de Análisis, matriz de requerimientos y mockups Requerimientos 1.7,1.8,2.4.1"/>
        <s v="Sesión de levantamiento de información con el cliente, llenado de documento de Análisis, matriz de requerimientos y mockups Requerimientos 2.4.2, 2.5.1"/>
        <s v="Sesión de levantamiento de información con el cliente, llenado de documento de Análisis, matriz de requerimientos y mockups Requerimientos 3.1.1,3.2.16, 3.3.9, 3.5.10"/>
        <s v="Sesión de levantamiento de información con el cliente, llenado de documento de Análisis, matriz de requerimientos y mockups Requerimientos 3.2.1, 3.3.7,3.2.2"/>
        <s v="Sesión de levantamiento de información con el cliente, llenado de documento de Análisis, matriz de requerimientos y mockups Requerimientos 3.2.3,3.2.4,3.3.8"/>
        <s v="Sesión de levantamiento de información con el cliente, llenado de documento de Análisis, matriz de requerimientos y mockups Requerimientos 3.2.5,3.2.6,3.2.7"/>
        <s v="Sesión de levantamiento de información con el cliente, llenado de documento de Análisis, matriz de requerimientos y mockups Requerimientos 3.2.8,3.2.9, 3.3.5,3.5.5"/>
        <s v="Sesión de levantamiento de información con el cliente, llenado de documento de Análisis, matriz de requerimientos y mockups Requerimientos 3.2.10,3.3.6,3.5.6"/>
        <s v="Sesión de levantamiento de información con el cliente, llenado de documento de Análisis, matriz de requerimientos y mockups Requerimientos 3.2.11,3.3.1, 3.5.1"/>
        <s v="Sesión de levantamiento de información con el cliente, llenado de documento de Análisis, matriz de requerimientos y mockups Requerimientos 3.2.12,3.3.2,3.5.2"/>
        <s v="Sesión de levantamiento de información con el cliente, llenado de documento de Análisis, matriz de requerimientos y mockups Requerimientos 3.2.13,3.3.3,3.4.2,3.4.3,3.5.3"/>
        <s v="Sesión de levantamiento de información con el cliente, llenado de documento de Análisis, matriz de requerimientos y mockups Requerimientos 3.2.14,3.3.4,3.5.4"/>
        <s v="Sesión de levantamiento de información con el cliente, llenado de documento de Análisis, matriz de requerimientos y mockups Requerimientos 3.2.15, 3.5.7"/>
        <s v="Sesión de levantamiento de información con el cliente, llenado de documento de Análisis, matriz de requerimientos y mockups Requerimientos 3.4.1,3.4.4,3.4.5,3.5.9,3.5.8,1,2,2.1,2.2,2.3,2.4"/>
        <s v="Sesión de levantamiento de información con el cliente, llenado de documento de Análisis, matriz de requerimientos y mockups Requerimientos 2.5,3,3.1,3.2,3.3,3.4,3.5,4,4.1,4.2"/>
        <s v="Revisión de los casos de uso ( Documento de Análisis) para elaboración del Diseño de los Casos de Prueba (Plan de pruebas), Requerimientos: 1.1,1.2,1.3,1.4,1.5,1.6,1.7,1.8,2.4.1,2.4.2,2.5.1"/>
        <s v="Revisión de los casos de uso ( Documento de Análisis) para elaboración del Diseño de los Casos de Prueba (Plan de pruebas), Requerimientos: 3.1.1, 3.2.16,3.3.9,3.5.10,3.2.1,3.3.7,3.2.2,3.2.3,3.2.4,3.3.8,3.2.5,3.2.6,3.2.7,3.2.8,3.2.9,3.3.5,3.5.5,3.2.10,3.3.6,3.5.6"/>
        <s v="Revisión de los casos de uso ( Documento de Análisis) para elaboración del Diseño de los Casos de Prueba (Plan de pruebas), Requerimientos: 3.2.11,3.3.1,3.5.1,3.2.12,3.3.2,3.5.2,3.2.13,3.3.3,3.4.2,3.4.3,3.5.3,3.2.14,3.3.4,3.5.4,3.2.15,3.5.7,3.4.1,3.4.4,3.4.5,3.5.9,3.5.8,1,2"/>
        <s v="Revisión de los casos de uso ( Documento de Análisis) para elaboración del Diseño de los Casos de Prueba (Plan de pruebas), Requerimientos: 2.1,2.2,2.3,2.4,2.5,3,3.1,3.2,3.3,3.4,3.5,4,4.1,4.2"/>
        <s v="Listado de Documentos_x000a_Plan de Alcance_x000a_Plan de Trabajo_x000a_Plan de Comunicaciones_x000a_Plan de Riesgos"/>
        <s v="Reunión de KickOff con el equipo interno y externo del proyecto"/>
        <s v="Cronograma"/>
        <s v="El usuario mostró el funcionamiento del aplicativo version 4, el cual será al quese le aplicaran las mejoras"/>
        <s v="Monitoreo y control de las sesiones de levantamiento de información del 09 al 13 de octubre 2024"/>
        <s v="Monitoreo y control de las sesiones de levantamiento de información del 09 al 13 de octubre 2025"/>
        <s v="Monitoreo y control de las sesiones de levantamiento de información del 09 al 13 de octubre 2026"/>
        <s v="Monitoreo y control de las sesiones de levantamiento de información del 09 al 13 de octubre 2027"/>
        <s v="Monitoreo y control de las sesiones de levantamiento de información del 16 al 20 de octubre 2024"/>
        <s v="Pantalla para responder notificaciones"/>
        <s v="Pantalla Descarga de archivos"/>
        <s v="Ajustes FRONT para SAIMEX"/>
        <s v="Desarrollar pantalla para estadísticas por usuario/resoluciones"/>
        <s v="Implementar funcionalidad para las estadísticas por usuario (redireccionamiento)"/>
        <s v="Modificar header del buscador inteligente con la nueva versión"/>
        <s v="Implementar estadística de lo mas PREGUNTADO del buscador inteligente"/>
        <s v="Implementar estadística de lo mas CONSULTADO del buscador inteligente"/>
        <s v="Desarrollo de servicios Back de respuesta a notificaciones"/>
        <s v="Desarrollo de servicios back para descarga de archivos"/>
        <s v="Desarrollo de servicios back para integrar SAIMEX a la PNT"/>
        <s v="Desarrollar servicios para generación de estadísticas "/>
        <s v="Modificar servicios back para integrarlos con el FRONT del Buscador Inteligente"/>
        <s v="Modificar el diseño de los temas de los datos detalle del registro"/>
        <s v="Diseñar listado de los OG en el apartado de los filtros por campo orden"/>
        <s v="Modificar servicios de busqueda en servidores SOLR"/>
        <s v="Modificar servicios del buscador general para omitir subtemas"/>
        <s v="Modificar registros &quot;Sin Temática&quot; para omitirlos"/>
        <s v="Modificar filtro de area de resultados"/>
        <s v="En servicio compartir en redes sociales, integrar servicio de X"/>
        <s v="Modificar frame de solicitudes,quejas y obligaciones. "/>
        <s v="Modificar etiquetas Entidad por Estado ó Federación ."/>
        <s v="Modificar etiquetas: Folio por Folio de la solicitud / Descripción de la solicitud por Descripción de la solicitude información / Tipo de solicitud por Tipo de solicitud de información /etc"/>
        <s v="Modificar servicio de fecha de notificacion de admisión al SO"/>
        <s v="Modificar servicio de fecha de envío"/>
        <s v="Modificar input parte superior para buscar por tema"/>
        <s v="Modificar sección de tutoriales"/>
        <s v="Modificar servicio de ordenamiento por conteo en los filtros considerando el total de registros encontrados "/>
        <s v="Modificar servicio de Obligaciones de transparencia cuando se buscar por un tema desde el carrusel"/>
        <s v="Implementar listado completo de subtemas por cada tema"/>
        <s v="Desarrollar servicios para obtener porcentaje de predicción por IA para solicitudes y respuestas en el buscador"/>
        <s v="Desarrollar front para desplegar porcentaje de prediccón por IA para solicitudes y respuestas en el buscador"/>
        <s v="Validación y adecuaciones front y back de acuerdo a observaciones de la DS"/>
        <s v="Implementar y ejecutar herramientas SAST y SCA definidas en el nuevo  proceso SSDLC en el código de la Nueva Arquitectura de la PNT "/>
        <s v="Implementar adecuaciones al código fuente para atender hallazgos del módulo - Catálogos"/>
        <s v="Implementar adecuaciones al código fuente para atender hallazgos del módulo - Commons"/>
        <s v="Implementar adecuaciones al código fuente para atender hallazgos del módulo - Buscador inteligente"/>
        <s v="Implementar adecuaciones al código fuente para atender hallazgos del módulo - Datos Abiertos"/>
        <s v="Implementar adecuaciones al código fuente para atender hallazgos del módulo - Federado"/>
        <s v="Se implementa servicio para obtener la información de un certificado a partir de un base64"/>
        <s v="Se corrige la implementación de la captura de firma"/>
        <s v="Se maneja el error de fecha en el home de la pagina"/>
        <s v="Se remueven validadores para RFC en la vista del perfil de usuario"/>
        <s v="Inducción para el proyecto de jurisdiccional"/>
        <s v="Clonación de proyecto y analisis de codigo"/>
        <s v="Reunion con el equipo para revisar los putos/tareas a trabajar"/>
        <s v="Se realiza un listado de actividades junto con estimaciones, para poder trabajarlas"/>
        <s v="Reunion con el equipo para revisar las actividades"/>
        <s v="Se revisan los modulos dentro del sistema para poder comenzar a implementar cambios"/>
        <s v="Se rediseña la tabla para el modulo de administrador, se ajustan componentes para usar los de primeNG"/>
        <s v="Se ajustan estilos para la tabla, así como para el nav bar aplciarles un selected cuando la navegación apunte al menu"/>
        <s v="Se agrega una nueva ruta al proyecto para poder navegar y así remover el dialog"/>
        <s v="Se agrega una nueva barra de navegación para poder hacer back al location"/>
        <s v="Se migran componentes de la vista de detalle de contrato"/>
        <s v="Se realiza una reestructuración de servicios y manejo de datos de acuerdo a los nuevos componentes"/>
        <s v="Se refactoriza implementación de servicios"/>
        <s v="Cambio en los servicios de solicitudes para que la consulta se por medio de criteria query y no por procesos de base de datos"/>
        <s v="Cambio en los servicios de resoluciones para que la consulta se por medio de criteria query y no por procesos de base de datos"/>
        <s v="Se desarrolla el servicio para obtener el top de sujetos obligados que reciben más solicitudes"/>
        <s v="Se desarrolla el servicio para obtener el top de sujetos obligados que reciben más quejas"/>
        <s v="Se desarrolla el servicio para obtener el top de comisionados que hacen resoluciones"/>
        <s v="Cambio en el mapeo de entidades para obtener la descripción de las solicitudes sin hacer join a tablas externas"/>
        <s v="Cambio en el mapeo de entidades para obtener la descripción de las quejas sin hacer join a tablas externas"/>
        <s v="Cambio en el mapeo de entidades para obtener la descripción de las resoluciones  sin hacer join a tablas externas"/>
        <s v="Desarrollo del servicio para agrupar los totales de INFOMEX ."/>
        <s v="Funcionalidad para  consulta de mis quejas"/>
        <s v="Funcionalidad para registrar quejas"/>
        <s v="Funcionalidad para gestionar acuses"/>
        <s v="Desarrollo para consultar el tracking del avance de la queja"/>
        <s v="Configuración a nivel de sistema operativo para poder invocar subreportes"/>
        <s v="Configuración a nivel de sistema operativo para poder consumir los tipos de letra del sistema operativo"/>
        <s v="Configuración a nivel de jvm  para poder consumir los tipos de letra "/>
        <s v="Desarrollo de servicios angular para consumir front-end en el menu de detalle"/>
        <s v="Desarrollo de servicios angular para consumir front-end en el menu de mis quejas"/>
        <s v="Actualización micrositio SNT "/>
        <s v="Actualización sitio cambio de control "/>
        <s v="Actualización Armonizacion "/>
        <s v="Actualización RTA "/>
        <s v="Actualización prosede "/>
        <s v="Actualización carga de usuarios "/>
        <s v="Actualización subsistema de evaluacion "/>
        <s v="Actualización de administracion deriesgos "/>
        <s v="Actualización de supervision de mejora continua "/>
        <s v="Actualización ambiente de control parametros "/>
        <s v="Actualización ambiente de control principios basicos "/>
        <s v="Actualuzacion elementos de control interno asociado "/>
        <s v="Actualización administracion de riesgos "/>
        <s v="Actualización parametros riesgos "/>
        <s v="Actualización principios basicos riesgos "/>
        <s v="Actualización elementos de control riesgos "/>
        <s v="Actualización de actividades de control "/>
        <s v="Actualización de parametros de control "/>
        <s v="Actualización de principios basicos de control "/>
        <s v="Actualización de elementos de control interno "/>
        <s v="Actualización de informacion de comunicación "/>
        <s v="Actualización de parametro de informacion y comuicacion "/>
        <s v="Actualización principios basicos de informacion y comunicación "/>
        <s v="Actualización informacin y comuicacion de elementos de control inteno "/>
        <s v="actualizacin de supervision y mejora continua"/>
        <s v="Actualización de elementos de control interno y supervisioin de mejora continua "/>
        <s v="Actualización parlamento abierto "/>
        <s v="Actualización revision de usuario "/>
        <s v="Actualización de servicio profesional "/>
        <s v="Actualización de vance de proyecto "/>
        <s v="Actualización micrositio criterios del SNT "/>
        <s v="Actualización pagina DGPVS"/>
        <s v="actualizacin servicio profecional"/>
        <s v="Actualización inventario micrositio "/>
        <s v="Actualización micrositio criterios "/>
        <s v="Actualización control interno "/>
        <s v="Actualización sitio servicio profecional "/>
        <s v="Actualización de avance de proyecto "/>
        <s v="Se desarrolla modulo de materias"/>
        <s v="desarrollo del modulo de Organismo garante"/>
        <s v="desarrollo del modulo de Secciones de tipos de criterios"/>
        <s v="desarrollo del modulo de Informacion"/>
        <s v="desarrollo del modulo de carga de csv"/>
        <s v="Se comprueba la vizualizacon y funcionalidad del buscador de resoluciones"/>
        <s v="se realizan los estilos para el buscador de resoluciones"/>
        <s v="se realiza funcionalidad de filtros de busqueda laterales"/>
        <s v="Se agrega funcionalidad de busqueda por ajax para clave de control"/>
        <s v="Se agrega funcionalidad de botones de descarga"/>
        <s v="Se actualizo version de flutter, plugins y se atienden incidencias surgidas de esto"/>
        <s v="Se actualizaron las url de servicios para la app"/>
        <s v="Se valida el funcionamiento de todos los servicios de la app y se depuran errores"/>
        <s v="Se toma reunion para da seguimiento a los errores detectados en los servicios y depurar "/>
        <s v="Se hace research para obtener datos necesarios para el alta de nueva app de fb para login"/>
        <s v="Se valiada en diferentes tamaños y se corrige segun sea necesario"/>
        <s v="Se hace research para obtener datos necesarios para el alta de nueva app de twitter para login"/>
        <s v="Se valida el funcionamiento de los servicios de buscador de obligaciones"/>
        <s v="Se genera un documento de guia que detalla las acciones a llevar para crear una cuenta y configurarla en Meta developers (facebook) y Twitter developers"/>
        <s v="Se realiza una sesion de review para implementar flutter 3.16 en la app"/>
        <s v="Se actualiza version de android y se solventan errores nativos dentro de la aplicacion"/>
        <s v="Análisis del documento de &quot;modulo de usuarios&quot; para obtener casos de prueba previos a su ejecución"/>
        <s v="Se registran los casos de roles de usuarios en la carpeta de testlink "/>
        <s v="Análisis de todos los casos de prueba de roles de usuario"/>
        <s v="Se hace el registro de los casos de roles del módulo de usuarios en Testlink"/>
        <s v="Se hace un sesión con el equipo de desarrollo sobre el módulo de solicitudes masivas"/>
        <s v="Se hace el registro completo de los casos de pruebas del documento del módulo de usuarios"/>
        <s v="Se continua con el análisis del documento de Modulo de usuarios para obtener casos de prueba previos a su ejecucicón"/>
        <s v="Se termina de registrar en testlink los casos de prueba del documento de modulo de usuarios"/>
        <s v="Se da seguimiento de un correo del equipo de desarrollo sobre las incidencias registradas en mantis sobre el módulo de inventarios"/>
        <s v="Se termina el registro de casos de prueba de roles de usuario en la plataforma de testlink para su ejecución"/>
        <s v="Se generan nuevos casos de prueba a traves de un documento nuevo sobre el módulo de usuarios"/>
        <s v="Se continua con el registro en testlink los nuevos casos del módulo de usuarios "/>
        <s v="Se da seguimiento al correo de la nueva versión del sistema de inventarios para pruebas"/>
        <s v="Se realizan las pruebas de la nueva versión del sistema de inventarios"/>
        <s v="Se terminan de realizar las pruebas de la versión dos del sistema de inventarios"/>
        <s v="Se documentan las evidencias del sistema de inventarios una vez finalizadas las pruebas"/>
        <s v="Se documentan las incidencias encontradas durantelas pruebas de la nueva versión del sistema de inventarios"/>
        <s v="Se documenta y se genera el correo para la liberación parcial de pruebas de "/>
        <s v="Se analiza nueva documentación para casos de prueba del módulo de usuarios"/>
        <s v="Se agregan los pasos para los casos del módulo de usuarios para realizar las pruebas"/>
        <s v="Se agregan más pasos a los casos de prueba con base en la documentación entregada por parte del equipo de desarrollo"/>
        <s v="Se da seguimiento a los enlaces entregados por parte de desarrollo para acceso al sitio del módulo de usuarios previo a las pruebas"/>
        <s v="Se revisa el documento de asignación de pruebas para el módulo de usuarios y se validan los casos asignados"/>
        <s v="Se terminan de revisar los casos de prueba previos al inicio de la ejecución de las pruebas del módulo de usuarios"/>
        <s v="Toma de avance diario y actualización de cronograma"/>
        <s v="Revisión y actualización de Plan de riesgos"/>
        <s v="Generación de Presentación semanal de estatus del proyecto"/>
        <s v="Presentación avance semanal del 01 al 03 de noviembre 2023"/>
        <s v="Presentación avance semanal del 06 al 10 de noviembre 2023"/>
        <s v="Presentación avance semanal del 13 al 17 de noviembre 2023"/>
        <s v="Presentación avance semanal del 20 al 24 de noviembre 2026"/>
        <s v="Desarrollo y reordenamiento del informe general. Se elimina mapas y se segmentan g´raficas y tablas. Se ajustan filtros los cuales se aplicarán en todos los informes."/>
        <s v="Desarrollo de informes que muyestren un resumen general de todos los integrantes del SNT para los porgramas elegido. Se realizan 5 gráficos para esta solución."/>
        <s v="Se realiza un mapa de calor con base en la cobertura de las líneas de acción que ha cumplido el integraante. "/>
        <s v="Se genera una tabla con el total de lineas de acción elegiles y el porcentaje de la cobertura. Contiene una gráfica de barras y una tabla informativa. De igual forma, se agregan los filtros estándar solicitados."/>
        <s v="Se genera un par de tablas que contienen la información sobre las líneas de acción elegibles y la cobertura que se realizó por cada uno de los integrantes (OGL y Federación)"/>
        <s v="Se desarrolla un informe que contiene las actividades realizadas por los inegrantes. Dichas actividades se han separado por semestre."/>
        <s v="Se implementa un reporte con las actividades que se realizaron por cada una de las regiones que se encuentran actualmente en el SNT."/>
        <s v="Se generan un informe con la representación gráfica de las activaciones que se realizaron por parte de los integrantes del SNT."/>
        <s v="Muestra el listado de líneas de acción por cada uno de los integrantes. En este listado contiene un apartado donde muestra las evidencias por medio de un hipervinculo el cuál puede ser consultado por el usuario."/>
        <s v="Muestra una gráfica que contiene el número de actividades que no han sido atendidas por diferentes situaciones imprevistas."/>
        <s v="Se muestra la gráfica con el total de activaciones por estatus de cumplimiento. Así como la segmentación por integrante y eje."/>
        <s v="Muestra dos cuadros comparativos en donde se visualizan los integrantes del SNT y su presupuesto. "/>
        <s v="Se realiza un diseño con un menú el cual contiene acceso a todos los informes de pizarras. De igual forma, permite seleccionar el programa del cual puede consultar la información."/>
        <s v="Se expuso duda de procedimiento &quot;OBTENER_SOLICITUDESXDIA&quot; ya que al no tener el campo para el NOMBRE no se sabe que manejar, se dejó solo el dato del TOTAL"/>
        <s v="Se modificó la estructura de tabla de Quejas 'BI_IMPUGNACIONES_VWM_QUEJAS_ESTADISTICAS' "/>
        <s v="Se nos solicitó que, para los procedimientos de Solicitudes, deben devolver 2 registros, independientemente de que tenga o no datos"/>
        <s v="Se comenzó a trabajar en las consultas del 1er procedimiento de Solicitudes para ver opción de mantener los 2 registros en todos los escenarios"/>
        <s v="Se hicieron más pruebas sobre las consultas del procedimiento OBTENER_FG_PRORROGA para evaluar si con algunos UNIONS se puede respetar el mantener ambos registros "/>
        <s v="Se hicieron más pruebas para determinar si con subqueries es posible resolver el tema de los 2 registros en todo caso"/>
        <s v="Se concluye que con las pruebas realizadas no es posible resolver la situación ya que con el Union solo le pegas 1 registro siempre, pero eso generara que se tengan en ocasiones 3 registros en ocasiones, lo cual es incorrecto"/>
        <s v="Se modifico el procedimiento 'OBTENER_FG_PRORROGA' para dejar solamente 2 registros, aunque solo funcionara cuando el registro de un tipo traia 1 registro solamente, no es solución completa"/>
        <s v="Se tuvo sesión con en Subdirector para revisar la estructura de la tabla de Quejas y analizar el número de procedimientos "/>
        <s v="Se valida que tenga acceso desde usuario BI a las tablas de catalogos como ''FEDERADO.FEDERADO_TC_ENTIDADFEDERATIVA'' "/>
        <s v="Se definió el total de procedimientos y se le da un nombre a cada uno para comenzar a desarrollar el paquete "/>
        <s v="Se creó paquete de la BD 'BI.PACK_QUEJAS_ESTADISTICAS' de forma general con su header y su body "/>
        <s v="Se creó el esqueleto de los 9 procedimientos identificados inicialmente con los parametros de entrada de los IDs de la tabla 'BI_IMPUGNACIONES_VWM_QUEJAS_ESTADISTICAS' y con su respectivo parametro de cursor para la salida "/>
        <s v="Se construyó la consulta para tratar el 1er procedimiento 'OBTENER_ENTIDADFEDERATIVA' "/>
        <s v="Se validó que la información que retorna la consulta con los distintos parametros sea la correcta "/>
        <s v="Se trabajó en el 1er procedimiento 'OBTENER_ENTIDADFEDERATIVA' con sus respectivas variables TAB y con su consulta previamente validada, se compila sin errores"/>
        <s v="Se validó el paquete-procedimiento 'OBTENER_ENTIDADFEDERATIVA' con el bloque anónimo correcto y se tuvo un resultado exitoso con la salida del cursor completo "/>
        <s v="Se tuvo sesión rapida con personal del INAI para aclarar dudas sobre el 1er procedimiento de tabla de Quejas"/>
        <s v="Se actualizo el 1er procedimiento por el nombre correcto 'BI.PACK_QUEJAS_ESTADISTICAS.OBTENER_MEDIOREGISTRO' "/>
        <s v="Se validó el paquete-procedimiento 'OBTENER_MEDIOREGISTRO' con el bloque anónimo correcto y se tuvo un resultado exitoso con la salida del cursor completo"/>
        <s v="Se le explicó al equipo que ya esta esté 1er procedimiento para que lo revisen y consuman desde el aplicativo "/>
        <s v="Se construyó la consulta para tratar el 2do procedimiento 'OBTENER_MEDIONOTIFICACION' "/>
        <s v="Se trabajó en el 2do procedimiento 'OBTENER_MEDIONOTIFICACION' con sus respectivas variables TAB y con su consulta previamente validada, se compila sin errores"/>
        <s v="Se validó el paquete-procedimiento 'OBTENER_MEDIONOTIFICACION' con el bloque anónimo correcto y se tuvo un resultado exitoso con la salida del cursor completo "/>
        <s v="Se le explicó al equipo que ya esta esté 2do procedimiento para que lo revisen y consuman desde el aplicativo "/>
        <s v="Se expuso duda sobre el 3er procedimiento ya que hay que considerar los ID_STATUS mas usados, los 9 más usados ya que tomo esa validación de la tabla 'IMPUGNACIONES.MEDI_TR_MEDIO_IMPUGNACION' "/>
        <s v="Se construyó la consulta para tratar el 3er procedimiento 'OBTENER_TIPOSTATUS' "/>
        <s v="Se trabajó en el 3er procedimiento 'OBTENER_TIPOSTATUS' con sus respectivas variables TAB y con su consulta previamente validada, se compila sin errores "/>
        <s v="Se validó el paquete-procedimiento 'OBTENER_TIPOSTATUS' con el bloque anónimo correcto y se tuvo un resultado exitoso con la salida del cursor completo "/>
        <s v="Se le explicó al equipo que ya esta esté 3er procedimiento para que lo revisen y consuman desde el aplicativo"/>
        <s v="Se construyó la consulta para tratar el 4to procedimiento 'OBTENER_TIPOMEDIOIMPUGNACION' "/>
        <s v="Se validó el paquete-procedimiento 'OBTENER_TIPOMEDIOIMPUGNACION' con el bloque anónimo correcto y se tuvo un resultado exitoso con la salida del cursor completo "/>
        <s v="Se le explicó al equipo que ya esta esté 4to procedimiento para que lo revisen y consuman desde el aplicativo "/>
        <s v="Se construyó la consulta para tratar el 5to procedimiento 'OBTENER_FG_AMPLIADO'"/>
        <s v="Se trabajó en el 5to procedimiento 'OBTENER_FG_AMPLIADO' con sus respectivas variables TAB y con su consulta previamente validada, se compila sin errores"/>
        <s v="Se validó el paquete-procedimiento 'OBTENER_FG_AMPLIADO' con el bloque anónimo correcto y se tuvo un resultado exitoso con la salida del cursor completo "/>
        <s v="Se le esplicó al equipo que ya esta esté 5to procedimiento para que lo revisen y consuman desde el aplicativo "/>
        <s v="Se construyó la consulta para tratar el 6to procedimiento 'OBTENER_FG_ADMITIDO'"/>
        <s v="Se trabajó en el 6to procedimiento 'OBTENER_FG_ADMITIDO' con sus respectivas variables TAB y con su consulta previamente validada, se compila sin errores "/>
        <s v="Se validó el paquete-procedimiento 'OBTENER_FG_ADMITIDO' con el bloque anónimo correcto y se tuvo un resultado exitoso con la salida del cursor completo "/>
        <s v="Se le explicó al equipo que ya esta esté 6to procedimiento para que lo revisen y consuman desde el aplicativo"/>
        <s v="Se construyó la consulta para tratar el 7mo procedimiento 'OBTENER_FG_PREVENIDO'"/>
        <s v="Se trabajó en el 7mo procedimiento 'OBTENER_FG_PREVENIDO' con sus respectivas variables TAB y con su consulta previamente validada, se compila sin errores "/>
        <s v="Se validó el paquete-procedimiento 'OBTENER_FG_PREVENIDO' con el bloque anónimo correcto y se tuvo un resultado exitoso con la salida del cursor completo "/>
        <s v="Se le explicó al equipo que ya esta esté 7mo procedimiento para que lo revisen y consuman desde el aplicativo"/>
        <s v="Se construyó la consulta para tratar el 8vo procedimiento 'OBTENER_FG_DESECHADO' "/>
        <s v="Se trabajó en el 8vo procedimiento 'OBTENER_FG_DESECHADO' con sus respectivas variables TAB y con su consulta previamente validada, se compila sin errores"/>
        <s v="Se validó el paquete-procedimiento 'OBTENER_FG_DESECHADO' con el bloque anónimo correcto y se tuvo un resultado exitoso con la salida del cursor completo "/>
        <s v="Se le explicó al equipo que ya esta esté 8vo procedimiento para que lo revisen y consuman desde el aplicativo "/>
        <s v="Se construyó la consulta para tratar el 9no procedimiento 'OBTENER_FECHAINTERPOSICION' "/>
        <s v="Se trabajó en el 9no procedimiento 'OBTENER_FECHAINTERPOSICION' con sus respectivas variables TAB y con su consulta previamente validada, se compila sin errores "/>
        <s v="Se validó el paquete-procedimiento 'OBTENER_FECHAINTERPOSICION' con el bloque anónimo correcto y se tuvo un resultado exitoso con la salida del cursor completo"/>
        <s v="Se comparten nuevas tablas de los Catalogos a considerar para considerar en los Procedimiento"/>
        <s v="Se actualizo nuevo catálogo en procedimiento 'OBTENER_MEDIOREGISTRO' de Quejas "/>
        <s v="Se actualizo nuevo catálogo en procedimiento 'OBTENER_MEDIONOTIFICACION' de Quejas "/>
        <s v="Se actualizo nuevo catálogo en procedimiento 'OBTENER_TIPOMEDIOIMPUGNACION' de Quejas "/>
        <s v="Se le explicó al equipo que ya estan las actualizaciones de los 3 procedimientos de Quejas para que lo revisen y consuman desde el aplicativo"/>
        <s v="Se revisó estructura de tabla de Resoluciones 'BI.IMPUGNACIONES_VWM_RESOLUCIONES_ESTADISTICAS' "/>
        <s v="Se tuvo sesión con Subdirector para revisar la estructura de la tabla de Resoluciones y analizar el número de procedimientos "/>
        <s v="Se trabajó en declarar los objetos de tipo TAB en el 1er procedimiento "/>
        <s v="Se creó paquete de la BD 'BI.PACK_RESOLUCIONES_ESTADISTICAS' de forma general con su header y su body"/>
        <s v="Se creó el esqueleto de los 7 procedimientos identificados inicialmente con los parametros de entrada de los IDs de la tabla 'IMPUGNACIONES_VWM_RESOLUCIONES_ESTADISTICAS' y con su respectivo parametro de cursor para la salida "/>
        <s v="Se construyó la consulta para tratar el 1er procedimiento 'OBTENER_MEDIOREGISTRO' "/>
        <s v="Se trabajó en el 1er procedimiento 'OBTENER_MEDIOREGISTRO' con sus respectivas variables TAB y con su consulta previamente validada, se compila sin errores "/>
        <s v="Se validó el paquete-procedimiento 'OBTENER_MEDIOREGISTRO' con el bloque anónimo correcto y se tuvo un resultado exitoso con la salida del cursor completo "/>
        <s v="Se construyó la consulta para tratar el 2do procedimiento 'OBTENER_MEDIONOTIFICACION'"/>
        <s v="Se le explicó al equipo que ya esta este 2do procedimiento para que lo revisen y consuman desde el aplicativo"/>
        <s v="Se construyó la consulta para tratar el 3er procedimiento 'OBTENER_TIPOMEDIO'"/>
        <s v="Se trabajó en el 3er procedimiento 'OBTENER_TIPOMEDIO' con sus respectivas variables TAB y con su consulta previamente validada, se compila sin errores "/>
        <s v="Se validó el paquete-procedimiento 'OBTENER_TIPOMEDIO' con el bloque anónimo correcto y se tuvo un resultado exitoso con la salida del cursor completo"/>
        <s v="Se le explicó al equipo que ya esta esté 3er procedimiento para que lo revisen y consuman desde el aplicativo "/>
        <s v="Se construyó la consulta para tratar el 4to procedimiento 'OBTENER_FGTIENEINSTRUCCION' "/>
        <s v="Se trabajó en el 4to procedimiento 'OBTENER_FGTIENEINSTRUCCION' con sus respectivas variables TAB y con su consulta previamente validada, se compila sin errores "/>
        <s v="Se validó el paquete-procedimiento 'OBTENER_FGTIENEINSTRUCCION' con el bloque anónimo correcto y se tuvo un resultado exitoso con la salida del cursor completo "/>
        <s v="Se construyó la consulta para tratar el 5to procedimiento 'OBTENER_SENTIDORESOLUCION' "/>
        <s v="Se trabajó en el 5to procedimiento 'OBTENER_SENTIDORESOLUCION' con sus respectivas variables TAB y con su consulta previamente validada, se compila sin errores "/>
        <s v="Se validó el paquete-procedimiento 'OBTENER_SENTIDORESOLUCION' con el bloque anónimo correcto y se tuvo un resultado exitoso con la salida del cursor completo "/>
        <s v="Se le explicó al equipo que ya esta esté 5to procedimiento para que lo revisen y consuman desde el aplicativo "/>
        <s v="Se construyó la consulta para tratar el 6to procedimiento 'OBTENER_FECHANOTIFICACIONRESOLUCION' "/>
        <s v="Se trabajó en el 6to procedimiento 'OBTENER_FECHANOTIFICACIONRESOLUCION' con sus respectivas variables TAB y con su consulta previamente validada, se compila sin errores"/>
        <s v="Se validó el paquete-procedimiento 'OBTENER_FECHANOTIFICACIONRESOLUCION' con el bloque anónimo correcto y se tuvo un resultado exitoso con la salida del cursor completo "/>
        <s v="Se le explicó al equipo que ya esta esté 6to procedimiento para que lo revisen y consuman desde el aplicativo "/>
        <s v="Se comentó que se tienen que agrerar 2 nuevos procedimientos en los paquetes de Solicitudes y Quejas "/>
        <s v="Se construyó la consulta para tratar el 13vo procedimiento 'OBTENER_FG_QUEJA' de SOLICITUDES "/>
        <s v="Se trabajó en el 13vo procedimiento 'OBTENER_FG_QUEJA' con sus respectivas variables TAB y con su consulta previamente validada, se compila sin errores"/>
        <s v="Se validó el paquete-procedimiento 'OBTENER_FG_QUEJA' con el bloque anónimo correcto y se tuvo un resultado exitoso con la salida del cursor completo "/>
        <s v="Se le explicó al equipo que ya esta esté 13vo procedimiento para que lo revisen y consuman desde el aplicativo "/>
        <s v="Se construyó la consulta para tratar el 10mo procedimiento 'OBTENER_FG_RESOLUCION' de QUEJAS "/>
        <s v="Se trabajó en el 10mo procedimiento 'OBTENER_FG_RESOLUCION' con sus respectivas variables TAB y con su consulta previamente validada, se compila sin errores "/>
        <s v="Se validó el paquete-procedimiento 'OBTENER_FG_RESOLUCION' con el bloque anónimo correcto y se tuvo un resultado exitoso con la salida del cursor completo"/>
        <s v="Se nos compartió que en las 3 tablas de los procesos ya se tiene el campo 'FECHA_ACTUALIZACION', se preguntó si tendría algún cambio para aplicar a los procedimientos o no "/>
        <s v="Se confirmo que No habría cambios a aplicar por esta fecha recientemente agregada de 'FECHA_ACTUALIZACION' "/>
        <s v="Se trabajo en la solución de manejar 2 registros siempre en el caso de los procedimientos de las banderas "/>
        <s v="Se creo el algoritmo como tipo prueba de escritorio para diseñar la solución de los casos condicionales de como ira componiéndose la solución "/>
        <s v="Se define que una primer consulta determinara si la consulta trae 0, 1 o 2 registros, dependiendo del resultado de esta primer consulta se tendra una consulta resultante "/>
        <s v="Se define que, si el resultado fue 2, se tendra una consulta completa con la seguridad que esa información siempre tendra ambos estatus (0 y 1) y siempre se mostraran 2 valores "/>
        <s v="Se define que, si el resultado fue 1, se maneja otra consulta para determinar el valor de la BANDERA que puede ser a su vez 0 o 1, y dependiendo de cada uno de esos valores se tendra finalmente una consulta que retorna 1 solo valor con la bandera en cuestión con su respectivo UNION del registro faltante con total de 0 y viceversa "/>
        <s v="Se define si el resultado fue 0 se tendra consulta por defecto que es una unión de 2 consultas con total igual a 0 "/>
        <s v="Se integran todas las consultas en el paquete y se va tratando cuando sea sql dinamico con valores de TAB o con retorno de valor en variable dependiendo de que se va a evaluar o retornar "/>
        <s v="Se trataron los errores que se encuentran para poder compilar el paquete de forma correcta "/>
        <s v="Se le explicó al equipo que ya esta este procedimiento de banderas 'OBTENER_FG_PRORROGA' para que lo revisen y consuman desde el aplicativo "/>
        <s v="Se comenta que falto procedimiento de COMISIONADOS para las Resoluciones"/>
        <s v="Se construyó la consulta para tratar el 7mo procedimiento 'OBTENER_COMISIONADO' de RESOLUCIONES "/>
        <s v="Se trabajó en el 7mo procedimiento 'OBTENER_COMISIONADO' con sus respectivas variables TAB y con su consulta previamente validada, se compila sin erro"/>
        <s v="Se validó el paquete-procedimiento 'OBTENER_COMISIONADO' con el bloque anónimo correcto y se tuvo un resultado exitoso con la salida del cursor completo "/>
        <s v="Se le explicó al equipo que ya esta esté 7mo procedimiento para que lo revisen y consuman desde el aplicación "/>
        <s v="Se construyeron las distintas consultas para tratar el 7mo procedimiento de banderas 'OBTENER_FG_PREVENCION' de SOLICITUDES, para tratar los condicionales "/>
        <s v="Se validó que la información que retorna de las distintas consultas con los distintos parametros sea la correcta "/>
        <s v="Se trabajó con los ajustes del 7mo procedimiento de banderas 'OBTENER_FG_PREVENCION', con las consultas necesarias de las condicionantes previamente validadas, se compila sin errores "/>
        <s v="Se validó el paquete-procedimiento 'OBTENER_FG_PREVENCION' con el bloque anónimo correcto y se tuvo un resultado exitoso con la salida del cursor completo "/>
        <s v="Se le explicó al equipo que ya estan los ajustes para el 7mo procedimiento de banderas 'OBTENER_FG_PREVENCION',para que lo revisen y consuman desde el aplicativo "/>
        <s v="Se construyeron las distintas consultas para tratar el 8vo procedimiento de banderas 'OBTENER_FG_DISPONIBILIDAD' de SOLICITUDES, para tratar los condicionales "/>
        <s v="Se trabajó con los ajustes del 8vo procedimiento de banderas 'OBTENER_FG_DISPONIBILIDAD', con las consultas necesarias de las condicionantes previamente validadas, se compila sin errores "/>
        <s v="Se validó el paquete-procedimiento 'OBTENER_FG_DISPONIBILIDAD' con el bloque anónimo correcto y se tuvo un resultado exitoso con la salida del cursor completo "/>
        <s v="Se le explicó al equipo que ya estan los ajustes para el 8vo procedimiento de banderas 'OBTENER_FG_DISPONIBILIDAD',para que lo revisen y consuman desde el aplicativo"/>
        <s v="Se construyeron las distintas consultas para tratar el 13vo procedimiento de banderas 'OBTENER_FG_QUEJA' de SOLICITUDES, para tratar los condicionales "/>
        <s v="Se validó que la información que retorna de las distintas consultas con los distintos parametros sea la correcta - "/>
        <s v="Se trabajó con los ajustes del 13vo procedimiento de banderas 'OBTENER_FG_QUEJA', con las consultas necesarias de las condicionantes previamente validadas, se compila sin errores"/>
        <s v="Se construyeron las distintas consultas para tratar el 5to procedimiento de banderas 'OBTENER_FG_AMPLIADO' de QUEJAS, para tratar los condicionales "/>
        <s v="Se trabajó con los ajustes del 5to procedimiento de banderas 'OBTENER_FG_AMPLIADO', con las consultas necesarias de las condicionantes previamente validadas, se compila sin errores"/>
        <s v="Se le explicó al equipo que ya estan los ajustes para el 5to procedimiento de banderas 'OBTENER_FG_AMPLIADO',para que lo revisen y consuman desde el aplicativo "/>
        <s v="Se construyeron las distintas consultas para tratar el 6to procedimiento de banderas 'OBTENER_FG_ADMITIDO' de QUEJAS, para tratar los condicionales"/>
        <s v="Se trabajó con los ajustes del 6to procedimiento de banderas 'OBTENER_FG_ADMITIDO', con las consultas necesarias de las condicionantes previamente validadas, se compila sin errores "/>
        <s v="Se construyerón las distintas consultas para tratar el 7mo procedimiento de banderas 'OBTENER_FG_PREVENIDO' de QUEJAS, para tratar los condicionales"/>
        <s v="Se trabajó con los ajustes del 7mo procedimiento de banderas 'OBTENER_FG_PREVENIDO', con las consultas necesarias de las condicionantes previamente validadas, se compila sin errores "/>
        <s v="Se le explicó al equipo que ya estan los ajustes para el 7mo procedimiento de banderas 'OBTENER_FG_PREVENIDO',para que lo revisen y consuman desde el aplicativo "/>
        <s v="Se construyeron las distintas consultas para tratar el 8vo procedimiento de banderas 'OBTENER_FG_DESECHADO' de QUEJAS, para tratar los condicionales "/>
        <s v="Se trabajó con los ajustes del 8vo procedimiento de banderas 'OBTENER_FG_DESECHADO', con las consultas necesarias de las condicionantes previamente validadas, se compila sin errores "/>
        <s v="Se construyeron las distintas consultas para tratar el 4to procedimiento de banderas 'OBTENER_FGTIENEINSTRUCCION' de RESOLUCIONES, para tratar los condicionales "/>
        <s v="Se trabajó con los ajustes del 4to procedimiento de banderas 'OBTENER_FGTIENEINSTRUCCION', con las consultas necesarias de las condicionantes previamente validadas, se compila sin errores "/>
        <s v="Se le explicó al equipo que ya estan los ajustes para el 4to procedimiento de banderas 'OBTENER_FGTIENEINSTRUCCION',para que lo revisen y consuman desde el aplicativo "/>
        <s v="Se le proporciono bloque anónimo para ejecutar procedimientos de bandera a equipo para que puedan validar los cambios aplicados "/>
        <s v="Se detecto cambio en vista de 'BI.SISAI_VWM_SOLICITUDES_ESTADISTICAS' ya que el campo de 'ID_ULTIMA_RESPUESTA' ya cambio por 'ID_TIPO_RESPUESTA' "/>
        <s v="Se reconstruyeron las consultas del 1er procedimiento de 'OBTENER_TIPO_SOLICITUD' de SOLICITUDES "/>
        <s v="Se trabajó con los ajustes del 1er procedimiento de 'OBTENER_TIPO_SOLICITUD', con el cambio del campo actualizado en la vista materializada, se compila sin errores "/>
        <s v="Se validó el paquete-procedimiento 'OBTENER_TIPO_SOLICITUD' con el bloque anónimo correcto y se tuvo un resultado exitoso con la salida del cursor completo de nuevo "/>
        <s v="Se reconstruyeron las consultas del 2do procedimiento de 'OBTENER_DERECHO_DP' de SOLICITUDES "/>
        <s v="Se trabajó con los ajustes del 2do procedimiento de 'OBTENER_DERECHO_DP', con el cambio del campo actualizado en la vista materializada, se compila sin errores "/>
        <s v="Se validó el paquete-procedimiento 'OBTENER_DERECHO_DP' con el bloque anónimo correcto y se tuvo un resultado exitoso con la salida del cursor completo de nuevo "/>
        <s v="Se reconstruyeron las consultas del 3er procedimiento de 'OBTENER_MEDIO_ENTRADA' de SOLICITUDES "/>
        <s v="Se trabajó con los ajustes del 3er procedimiento de 'OBTENER_MEDIO_ENTRADA', con el cambio del campo actualizado en la vista materializada, se compila sin errores "/>
        <s v="Se validó el paquete-procedimiento 'OBTENER_MEDIO_ENTRADA' con el bloque anónimo correcto y se tuvo un resultado exitoso con la salida del cursor completo de nuevo "/>
        <s v="Se reconstruyeron las consultas del 4to procedimiento de 'OBTENER_MODALIDAD_ENTREGA' de SOLICITUDES "/>
        <s v="Se trabajó con los ajustes del 4to procedimiento de 'OBTENER_MODALIDAD_ENTREGA', con el cambio del campo actualizado en la vista materializada, se compila sin errores "/>
        <s v="Se validó el paquete-procedimiento 'OBTENER_MODALIDAD_ENTREGA' con el bloque anónimo correcto y se tuvo un resultado exitoso con la salida del cursor completo de nuevo "/>
        <s v="Se reconstruyeron las consultas del 5to procedimiento de 'OBTENER_RECIBO_NOTIFICACION' de SOLICITUDES "/>
        <s v="Se trabajó con los ajustes del 5to procedimiento de 'OBTENER_RECIBO_NOTIFICACION', con el cambio del campo actualizado en la vista materializada, se compila sin errores "/>
        <s v="Se validó el paquete-procedimiento 'OBTENER_RECIBO_NOTIFICACION' con el bloque anónimo correcto y se tuvo un resultado exitoso con la salida del cursor completo de nuevo "/>
        <s v="Se reconstruyeron las consultas del 6to procedimiento de 'OBTENER_FG_PRORROGA' de SOLICITUDES "/>
        <s v="Se trabajó con los ajustes del 6to procedimiento de 'OBTENER_FG_PRORROGA', con el cambio del campo actualizado en la vista materializada, se compila sin errores "/>
        <s v="Se validó el paquete-procedimiento 'OBTENER_FG_PRORROGA' con el bloque anónimo correcto y se tuvo un resultado exitoso con la salida del cursor completo de nuevo "/>
        <s v="Se reconstruyeron las consultas del 7mo procedimiento de 'OBTENER_FG_PREVENCION' de SOLICITUDES "/>
        <s v="Se validó el paquete-procedimiento 'OBTENER_FG_PREVENCION' con el bloque anónimo correcto y se tuvo un resultado exitoso con la salida del cursor completo de nuevo "/>
        <s v="Se reconstruyeron las consultas del 8vo procedimiento de 'OBTENER_FG_DISPONIBILIDAD' de SOLICITUDES "/>
        <s v="Se trabajó con los ajustes del 8vo procedimiento de 'OBTENER_FG_DISPONIBILIDAD', con el cambio del campo actualizado en la vista materializada, se compila sin errores "/>
        <s v="Se validó el paquete-procedimiento 'OBTENER_FG_DISPONIBILIDAD' con el bloque anónimo correcto y se tuvo un resultado exitoso con la salida del cursor completo de nuevo "/>
        <s v="Se reconstruyeron las consultas del 9no procedimiento de 'OBTENER_ULTIMA_RESPUESTA' de SOLICITUDES "/>
        <s v="Se trabajó con los ajustes del 9no procedimiento de 'OBTENER_ULTIMA_RESPUESTA', con el cambio del campo actualizado en la vista materializada, se compila sin errores "/>
        <s v="Se reconstruyeron las consultas del 10mo procedimiento de 'OBTENER_SOLICITUDESXDIA' de SOLICITUDES "/>
        <s v="Se trabajó con los ajustes del 10mo procedimiento de 'OBTENER_SOLICITUDESXDIA', con el cambio del campo actualizado en la vista materializada, se compila sin errores "/>
        <s v="Se validó el paquete-procedimiento 'OBTENER_SOLICITUDESXDIA' con el bloque anónimo correcto y se tuvo un resultado exitoso con la salida del cursor completo de nuevo "/>
        <s v="Se reconstruyeron las consultas del 11vo procedimiento de 'OBTENER_ESTATUS' de SOLICITUDES "/>
        <s v="Se trabajó con los ajustes del 11vo procedimiento de 'OBTENER_ESTATUS', con el cambio del campo actualizado en la vista materializada, se compila sin errores "/>
        <s v="Se validó el paquete-procedimiento 'OBTENER_ESTATUS' con el bloque anónimo correcto y se tuvo un resultado exitoso con la salida del cursor completo de nuevo"/>
        <s v="Se trabajó con los ajustes del 12vo procedimiento de 'OBTENER_TEMATICA', con el cambio del campo actualizado en la vista materializada, se compila sin errores "/>
        <s v="Se validó el paquete-procedimiento 'OBTENER_TEMATICA' con el bloque anónimo correcto y se tuvo un resultado exitoso con la salida del cursor completo de nuevo "/>
        <s v="Se reconstruyeron las consultas del 13vo procedimiento de 'OBTENER_FG_QUEJA' de SOLICITUDES "/>
        <s v="Se trabajó con los ajustes del 13vo procedimiento de 'OBTENER_FG_QUEJA', con el cambio del campo actualizado en la vista materializada, se compila sin errores "/>
        <s v="Se validó el paquete-procedimiento 'OBTENER_FG_QUEJA' con el bloque anónimo correcto y se tuvo un resultado exitoso con la salida del cursor completo de nuevo "/>
        <s v="Configuración inicial de los pipeline para los servicios existentes"/>
        <s v="Implementación junto con el equipo de infraestructura de los k8s"/>
        <s v="Continuación configuración de  los pipeline para los servicios que ya se tienen"/>
        <s v="Uso de herramientas para ajustes a pipelines"/>
        <s v="Analisis de gitlab y github para el uso de sub carpetas, resolviendose por medio de sparse checkout"/>
        <s v="Configuración del pipleline de CD para actualizarlo con el &quot;git push&quot;"/>
        <s v="Se configuró argocd para soportar el monitoreo de subcarpeta de github"/>
        <s v="Finalización de pipelines y configuración de dependencias para trabajar de forma nativa con k8s"/>
        <s v="1.1 Agregar pantalla de inicio que dirijan al SIPRON y a Pizarras de Avance de cada uno de los programas."/>
        <s v="1.2 Material de apoyo"/>
        <s v="1.3 Estructura de Programas"/>
        <s v="1.4 Nombre del rol"/>
        <s v="1.5 Cobertura"/>
        <s v="1.6 Funcionalidad de Pestaña &quot;Pizarras&quot; (Valorar visibilidad en 2023)- Inhabilitar en Rol Enlace y UA"/>
        <s v="1.7 Menu "/>
        <s v="1.8 Generar un nuevo menú denominado “blog”"/>
        <s v="2.4.1 Integrar mensajería instantánea (Alerta de mensajes no leídos)"/>
        <s v="2.4.2 esignación de programa por enlace (PROTAI-PRONADATOS, o en su caso, AMBOS)"/>
        <s v="3.1.1.Habilitar campos en Apartado &quot;Nuevo&quot; para la asignación de Líneas de Enlace a UA"/>
        <s v="3.2.1Integrar en los 3 roles, en todas las pantallas, el filtro de Numeración "/>
        <s v="3.2.2 Eliminar filtros de Estrategia"/>
        <s v="3.2.3 Agregar histórico de Estatus actividad"/>
        <s v="3.2.4 Pop-ups que describan la acción a realizar en Formulario de Alta de Actividades"/>
        <s v="3.2.5 Comentarios individuales en cada campo"/>
        <s v="3.2.6 Corregir incidencia en campo &quot;Presupuesto&quot;; no funciona la opción &quot;No Incluido&quot;"/>
        <s v="3.2.7 Agregar campo abierto donde se reporte la cantidad erogada para la actividad"/>
        <s v="3.2.8 Corregir incidencia de datos en los filtros; al aceptar la información, no se guarda correctamente lo seleccionado en combos de filtros."/>
        <s v="3.2.9 Agregar filtros de elección múltiple en los combos, es decir, que se puedan elegir uno o más opciones mediante casillas de verificación."/>
        <s v="3.2.10 Crear nuevo filtro &quot;Región&quot; (Sólo en el rol de Administrador)"/>
        <s v="3.2.11 Crear módulo o botón que permita descargar los reportes en datos abiertos (.csv) en todos los roles de usuarios"/>
        <s v="3.2.12 Modificar opciones de Estatus de &quot;Revisión Integrante y Validado Integrante&quot; a &quot;Revisión Enlace y Validado Enlace&quot;"/>
        <s v="3.2.13 Mensaje al SNT de Alerta de inicio y final de Proceso"/>
        <s v="3.2.14 Nueva columna de fecha y hora de carga; visualización de tabla inicial con actividades más recientes cargadas"/>
        <s v="3.2.15 Activar flechas para ordenar por abreviatura de integrante."/>
        <s v="3.2.16 Habilitar botón para que los Enlaces puedan asignar actividades a las UA una vez que éstas ya han sido creadas"/>
        <s v="3.3.1 Crear módulo o botón que permita descargar los reportes en datos abiertos (.csv) en todos los roles de usuario"/>
        <s v="3.3.2 Modificar opciones de Estatus de &quot;Revisión Integrante y Validado Integrante&quot; a &quot;Revisión Enlace y Validado Enlace&quot;"/>
        <s v="3.3.3 Mensaje al SNT de Alerta de inicio y final de Proceso"/>
        <s v="3.3.4 Nueva columna de fecha y hora de carga; visualización de tabla inicial con actividades más recientes cargadas"/>
        <s v="3.3.5 Agregar filtros de opción múltiple en los combos, es decir, que se puedan elegir más de una opción"/>
        <s v="3.3.6 Crear nuevo filtro &quot;Región&quot; solo para el rol de Administrador"/>
        <s v="3.3.7 Integrar en los 3 roles, en todas las pantallas, el filtro de Numeración para elegir actividad en el formulario"/>
        <s v="3.3.8 Pop-ups que describan la acción a realizar en Formulario de Seguimiento de Actividades"/>
        <s v="3.3.9 Habilitar botón para que los Enlaces puedan asignar actividades a las UA una vez que éstas ya han sido creadas "/>
        <s v="3.4.1 Funcionalidad total del apartado “Configuración de Procesos del SNT” en Rol de Enlace, así como la semaforización conforme al calendario configurado."/>
        <s v="3.4.2 Envío automático de correo electrónico para el inicio y fin de carga en los procesos correspondientes (Ruta de Implementación, Seguimiento y Formato ABC)"/>
        <s v="3.4.3 Mensaje de Alerta de inicio de Proceso"/>
        <s v="3.4.5 Funcionamiento de la apertura y cierre de Procesos en el Sistema para administrador"/>
        <s v="3.5.1 Crear módulo o botón que permita descargar los reportes en datos abiertos (.csv) en todos los roles de usuario"/>
        <s v="3.5.2 Modificar opciones de Estatus de &quot;Revisión Integrante y Validado Integrante&quot; a &quot;Revisión Enlace y Validado Enlace&quot;"/>
        <s v="3.5.3 Mensaje de Alerta de inicio de Proceso"/>
        <s v="3.5.4 Nueva columna de fecha y hora de carga; visualización de tabla inicial con actividades más recientes cargadas"/>
        <s v="3.5.5 Agregar filtros de opción múltiple en los combos, es decir, que se puedan elegir más de una opción"/>
        <s v="3.5.6 Crear nuevo filtro &quot;Región&quot;"/>
        <s v="Se verifico el ambiente de pruebas y se inició con la ejecución de las pruebas Internas del SPRINT 1  (1.1)"/>
        <s v="Ejecución y registro de incidentes de las pruebas Internas del SPRINT 1  (1.1)"/>
        <s v="Ejecución y resgistro de incidentes de las pruebas Internas del SPRINT 1  (1.2)"/>
        <s v="Ejecución y resgistro de incidentes de las pruebas Internas del SPRINT 1  (1.3)"/>
        <s v="Ejecución y registro de las pruebas Internas del SPRINT 1  (1.4)"/>
        <s v="Ejecución y registro de las pruebas Internas del SPRINT 1  (1.5)"/>
        <s v="Ejecución y registro de las pruebas Internas del SPRINT 1  (1.6)"/>
        <s v="Ejecución y registro de las pruebas Internas del SPRINT 1  (1.7)"/>
        <s v="Ejecución y registro de las pruebas Internas del SPRINT 1  (1.8)"/>
        <s v="Ejecución y registro de las pruebas Internas del SPRINT 2 (MODULO DE PIZARRAS 5)"/>
        <s v="Implementar adecuaciones al código fuente para atender hallazgos del módulo - SISAI"/>
        <s v="Implementar adecuaciones al código fuente para atender hallazgos del módulo - SIGEMI"/>
        <s v="Implementar adecuaciones al código fuente para atender hallazgos del módulo - Modulo de Usuarios"/>
        <s v="Implementar adecuaciones al código fuente para atender hallazgos del módulo - Modulo de Reportes"/>
        <s v="Implementar adecuaciones al código fuente para atender hallazgos del módulo - Modulo de Soportes"/>
        <s v="Analisis de Requerimiento STP"/>
        <s v="Modificar los objetos java y de base de datos para incluir la información de email de destinatario, mensaje enviado y nombre de los adjuntos"/>
        <s v="Ajustar los manejadores de persistencia tanto para registrar como para recuperar la formación nueva"/>
        <s v="Ajustar el motor de los acuses para imprimir la información nueva en caso de existir, tanto desde el módulo de consulta de acuses como en caliente al momento de ejecutar un proceso"/>
        <s v="Recuperar durante el proceso de Comunicado de cumplimiento al recurrente y enviarlo al motor de acuses"/>
        <s v="Recuperar durante el proceso de Comunicado de cumplimiento al sujeto obligado y enviarlo al motor de acuses"/>
        <s v="Realizar validación en proceso para informa al usuario que la notificación no se puede hacer ya que el medio de notificación estar fuera de la PNT"/>
        <s v="Integrar servicios para permitir visualizar el mensaje de Vista tal como le llega al recurrente."/>
        <s v="Desarrollar la consulta de base de datos para el reporte"/>
        <s v="Desarrollar el script de base de datos para dar los permisos de acceso al módulo de reportes al personal de la DGCR"/>
        <s v="Integrar el nuevo reporte la vista y el controlador del módulo de reportes"/>
        <s v="Integrar servicios para que las respuestas de los cumplimientos de los sujetos obligados se puedan consultar en una vista pública."/>
        <s v="Analizar RFC"/>
        <s v="Modificación de reporte de turno"/>
        <s v="Desarrollo de formato de Admisión"/>
        <s v="Desarrollo de formato de Prevención "/>
        <s v="Desarrollo de formato de Desechamiento "/>
        <s v="Desarrollo de reporte preparación de proyecto"/>
        <s v="Modificar Objetos Java (Servicios y persistencia) para obtención de datos de plantillas"/>
        <s v="Modificar tabla &quot;medi_tc_plant_acuerdo_conf&quot; para importación de plantillas "/>
        <s v="Modificar las tablas MEDI_TC_MENU_ROL y MEDI_TC_PANTALLA_ROL para permisos a los roles que podran descargar Plantilla Desechamiento y Preparacion Resolucion"/>
        <s v="Recuperar fechas de SISAI (ultima respuesta y limite respuesta) y agregar los dias requeridos para mostrar en plantilla desechamiento en el Service"/>
        <s v="Modificar Servicios para incorporar la plantilla Desechamiento en el Modulo de Generacion de Acuerdos "/>
        <s v="Modificar Servisios para la plantilla de Preparacion de Resolucion e incorporarla en el Modulo de Generación de Acuerdos "/>
        <s v="Se hace la carga del sitio por FTP"/>
        <s v="Se continua con la carga del siito por ftp"/>
        <s v="Se hace la carga de base ded atos y habilitar VH"/>
        <s v="Se hace el llenado de la OT"/>
        <s v="Se vizualiza el sitio y se hacen pruebas de funcionalidad"/>
        <s v="Se valida el funcionamiento de los servicios de registro de quejas para datos personales"/>
        <s v="Se valida el funcionamiento de los servicios de respuesta de solicitudes disponibilidad con costo y rpevencion"/>
        <s v="Se valida el funcionamiento de los servicios de descargar de adjuntos para quejas"/>
        <s v="Se cambian las direcciones url para los servicios que consume la app"/>
        <s v="Se valida el funcionamiento de los servicios de regtsitro de estadisticos en buscadores nacionales"/>
        <s v="Se valida el funcionamiento de los servicios de regtsitro de estadisticos en datos de perfil"/>
        <s v="Se valida el funcionamiento de los servicios de regtsitro de borrado de token movil y registro de token"/>
        <s v="Se realiza el apoyo para realizar un compilado y configuracion de google play store"/>
        <s v="Se realiza el apoyo para realizar un compilados,corregir incidencias registradas por tiendas"/>
        <s v="actualizacin avance de proyecto "/>
        <s v="actualizacion sitio servicio profecional "/>
        <s v="actualizacion micrositio Resoluciones  "/>
        <s v="actualizacion micrositio Buscadores"/>
        <s v="actualizacion pagina web"/>
        <s v="actualizacion servicios profecionales"/>
        <s v="actualizacion revista  PVYS"/>
        <s v="actualizacion micrositio criterios "/>
        <s v="actualizacion micrositio abramos mexico "/>
        <s v="actualizacion revista SyT"/>
        <s v="Actualizacion sitio cambio de control "/>
        <s v="actualizacion estatus de requerimientos "/>
        <s v="actualizacion inventarios de micrositios"/>
        <s v="Actualizacion micrositio criterios del SNT "/>
        <s v="actualizacion elemento de control "/>
        <s v="actualizacion version de SACP "/>
        <s v="actualizacion status de requerimiento "/>
        <s v="actualizacion inventario de micrositio "/>
        <s v="elementos de control interno asociados "/>
        <s v="actualizacion ambiente de control parametros "/>
        <s v="actualizacion AC principios basicos "/>
        <s v="actualizacion ambiente de control asociados "/>
        <s v="actualizacion administracion de riesgos parametros "/>
        <s v="actualizacion admin de riesgos principios basicos "/>
        <s v="actualizacion admin de riesgo elemento de control interno "/>
        <s v="actualizacion de actividad de control parametros "/>
        <s v="actualizacion de actividad de control principios basicos "/>
        <s v="actualizacion de actividad de control elementos de control internos "/>
        <s v="actualizacion de supervision y mejora continua parametros"/>
        <s v="actualizacion de supervision y mejora continua principios basicos"/>
        <s v="actualizacion de supervision y mejora continua de elementos de control interno "/>
        <s v="Ejecutar primer ciclo de pruebas SAST"/>
        <s v="Modificar código para atender vulnerabilidades del módulo  de Catálogos "/>
        <s v="Modificar código para atender vulnerabilidades del módulo  de Commons "/>
        <s v="Modificar código para atender vulnerabilidades del módulo  de Buscador Inteligente "/>
        <s v="Modificar código para atender vulnerabilidades del módulo  de Datos Abiertos "/>
        <s v="Modificar código para atender vulnerabilidades del módulo  de Catálogos Federados"/>
        <s v="Modificar código para atender vulnerabilidades del módulo  de Administración de avisos "/>
        <s v="Modificar código para atender vulnerabilidades del módulo  de Configuración "/>
        <s v="Modificar código para atender vulnerabilidades del módulo  de Usuarios "/>
        <s v="Implementar validaciones para la obligatoriedad de los campos en el registro de la queja "/>
        <s v="Funcionalidad para poner en la comunicación el nombre del adjunto que se subió en sicom"/>
        <s v="Implementar funcionalidad para agregar el flujo de audiencia"/>
        <s v="Funcionalidad para descargar  adjunto de la solicitud "/>
        <s v="Modificar pantalla de las notificacioens para que actualice los datos  cuado se realice el tracking "/>
        <s v="Modificar pantalla para implementar el ordenamiento de mayor a menor en las notificaciones y RIA's"/>
        <s v="Desarrollo para mostrar texto de las notificaciones que se genero en sicom"/>
        <s v="Desarrollo para que en el cierre de instrucción mostrar el texto que se manda desde sigemi "/>
        <s v="Implementar configuración para considerar Fonts de tipo Arial para los reportes de Jasper"/>
        <s v="Se terminan de validar los casos de prueba de testlink para iniciar las pruebas del módulo de usuarios"/>
        <s v="Se da inicio a las pruebas de módulo de usuarios"/>
        <s v="Se hace la detección de incidencias durante las pruebas de módulo de usuarios"/>
        <s v="Se hace la documentación de las incidencias encontradas durante las pruebas de módulo de usuarios"/>
        <s v="Se hace un nuevo seguimiento al dócumento de criterios de interpretación SNT"/>
        <s v="Se hace una validación de la nueva versión del micrositio de criterios de interpretación SNT"/>
        <s v="Se continua con la validación y revisión de los casos para las pruebasde la nueva versión de SNT"/>
        <s v="Se registran nuevos casos de la nueva versión de pruebas SNT"/>
        <s v="Se inician las pruebas del sistema de criterios de interpretación SNT"/>
        <s v="Se realiza la ejecución de las pruebas de sitio de Criterios de Interpretación SNT de la parte de Buscadores"/>
        <s v="Se termina la validación y se documentan las pruebas del sitio Criterios de interpretación SNT Buscadores"/>
        <s v="Se continua con la realización de las pruebas del sitio Criterios de Interpretación SNT Sitio"/>
        <s v="Se documentan las pruebas de criterios de interpretación SNT sitio"/>
        <s v="Se genera el documento de incidencias y se registran en testlink para su revisión con el equipo de desarrollo"/>
        <s v="Se realizo reunion con el equipo para revisiar el nuevo proyecto, ver como levantarlo"/>
        <s v="Se genero el componente para el expediente"/>
        <s v="Se genero el componente para la resolución"/>
        <s v="Se genero el componente para el proyectista"/>
        <s v="Se genero un servicio dummy para la carga de los catalogos"/>
        <s v="Se realiza un analisis para ver como esta implementado el manejo de las rutas dentro del nuevo sistema "/>
        <s v="Se hace uso del componente existente, para esto se analisa como esta la implementación del mismo para poder hacer uso de el"/>
        <s v="Se hace el llamado al servicio existente"/>
        <s v="Se genera la base del servicio para poder realizar el filtrado de expedientes"/>
        <s v="Se hace la implementación para enviar los parametros necesarios de acuerdo al rol que tenga el usuario en sesion"/>
        <s v="Se detecto cambio en vista de 'BI.IMPUGNACIONES_VWM_QUEJAS_ESTADISTICAS' ya que el campo de 'ID_STATUS' ya cambio por 'ID_ESTATUS'"/>
        <s v="Se reconstruyerón las consultas del 1er procedimiento de 'OBTENER_MEDIOREGISTRO' de QUEJAS"/>
        <s v="Se trabajó con los ajustes del 1er procedimiento de 'OBTENER_MEDIOREGISTRO', con el cambio del campo actualizado en la vista materializada, se compila sin errores"/>
        <s v="Se validó el paquete-procedimiento 'OBTENER_MEDIOREGISTRO' con el bloque anónimo correcto y se tuvo un resultado exitoso con la salida del cursor completo de nuevo"/>
        <s v="Se reconstruyerón las consultas del 2do procedimiento de 'OBTENER_MEDIONOTIFICACION' de QUEJAS"/>
        <s v="Se trabajó con los ajustes del 2do procedimiento de 'OBTENER_MEDIONOTIFICACION', con el cambio del campo actualizado en la vista materializada, se compila sin errores"/>
        <s v="Se validó el paquete-procedimiento 'OBTENER_MEDIONOTIFICACION' con el bloque anónimo correcto y se tuvo un resultado exitoso con la salida del cursor completo de nuevo"/>
        <s v="Se reconstruyerón las consultas del 3er procedimiento de 'OBTENER_TIPOSTATUS' de QUEJAS"/>
        <s v="Se trabajó con los ajustes del 3er procedimiento de 'OBTENER_TIPOSTATUS', con el cambio del campo actualizado en la vista materializada, se compila sin errores"/>
        <s v="Se validó el paquete-procedimiento 'OBTENER_TIPOSTATUS' con el bloque anónimo correcto y se tuvo un resultado exitoso con la salida del cursor completo de nuevo"/>
        <s v="Se reconstruyerón las consultas del 4to procedimiento de 'OBTENER_TIPOMEDIOIMPUGNACION' de QUEJAS"/>
        <s v="Se trabajó con los ajustes del 4to procedimiento de 'OBTENER_TIPOMEDIOIMPUGNACION', con el cambio del campo actualizado en la vista materializada, se compila sin errores"/>
        <s v="Se validó el paquete-procedimiento 'OBTENER_TIPOMEDIOIMPUGNACION' con el bloque anónimo correcto y se tuvo un resultado exitoso con la salida del cursor completo de nuevo"/>
        <s v="Se reconstruyerón las consultas del 5to procedimiento de 'OBTENER_FG_AMPLIADO' de QUEJAS"/>
        <s v="Se trabajó con los ajustes del 5to procedimiento de 'OBTENER_FG_AMPLIADO', con el cambio del campo actualizado en la vista materializada, se compila sin errores"/>
        <s v="Se validó el paquete-procedimiento 'OBTENER_FG_AMPLIADO' con el bloque anónimo correcto y se tuvo un resultado exitoso con la salida del cursor completo de nuevo"/>
        <s v="Se reconstruyerón las consultas del 6to procedimiento de 'OBTENER_FG_ADMITIDO' de QUEJAS"/>
        <s v="Se trabajó con los ajustes del 6to procedimiento de 'OBTENER_FG_ADMITIDO', con el cambio del campo actualizado en la vista materializada, se compila sin errores"/>
        <s v="Se validó el paquete-procedimiento 'OBTENER_FG_ADMITIDO' con el bloque anónimo correcto y se tuvo un resultado exitoso con la salida del cursor completo de nuevo"/>
        <s v="Se reconstruyerón las consultas del 7mo procedimiento de 'OBTENER_FG_PREVENIDO' de QUEJAS"/>
        <s v="Se trabajó con los ajustes del 7mo procedimiento de 'OBTENER_FG_PREVENIDO', con el cambio del campo actualizado en la vista materializada, se compila sin errores"/>
        <s v="Se validó el paquete-procedimiento 'OBTENER_FG_PREVENIDO' con el bloque anónimo correcto y se tuvo un resultado exitoso con la salida del cursor completo de nuevo"/>
        <s v="Se reconstruyerón las consultas del 8vo procedimiento de 'OBTENER_FG_DESECHADO' de QUEJAS"/>
        <s v="Se trabajó con los ajustes del 8vo procedimiento de 'OBTENER_FG_DESECHADO', con el cambio del campo actualizado en la vista materializada, se compila sin errores"/>
        <s v="Se validó el paquete-procedimiento 'OBTENER_FG_DESECHADO' con el bloque anónimo correcto y se tuvo un resultado exitoso con la salida del cursor completo de nuevo"/>
        <s v="Se reconstruyerón las consultas del 9no procedimiento de 'OBTENER_FECHAINTERPOSICION' de QUEJAS"/>
        <s v="Se trabajó con los ajustes del 9no procedimiento de 'OBTENER_FECHAINTERPOSICION', con el cambio del campo actualizado en la vista materializada, se compila sin errores"/>
        <s v="Se validó el paquete-procedimiento 'OBTENER_FECHAINTERPOSICION' con el bloque anónimo correcto y se tuvo un resultado exitoso con la salida del cursor completo de nuevo"/>
        <s v="Se reconstruyerón las consultas del 10mo procedimiento de 'OBTENER_FG_RESOLUCION' de QUEJAS"/>
        <s v="Se trabajó con los ajustes del 10mo procedimiento de 'OBTENER_FG_RESOLUCION', con el cambio del campo actualizado en la vista materializada, se compila sin errores"/>
        <s v="Se validó el paquete-procedimiento 'OBTENER_FG_RESOLUCION' con el bloque anónimo correcto y se tuvo un resultado exitoso con la salida del cursor completo de nuevo"/>
        <s v="Se revisó el archivo 'Querys_Estadisiticas_Totales Nuevo' proporcionado por Samuel"/>
        <s v="Se dio retroalimentación rapida a Samuel sobre cuantos querys se van a trabajar del archivo 'Querys_Estadisiticas_Totales Nuevo'"/>
        <s v="Se revisó el query 1 de 'TOTAL DE SOLICITUDES DE INFORMACIÓN' del archivo 'Querys_Estadisiticas_Totales Nuevo' de forma general, para verificar si no hay dudas a revisar con Samuel"/>
        <s v="Se revisó el query 1 de 'TOTAL DE RECURSOS DE REVISIÓN INGRESADOS ' del archivo 'Querys_Estadisiticas_Totales_Nuevo' de forma general, para verificar si no hay dudas a revisar con Samuel"/>
        <s v="Se revisó el query 2 de 'TOTAL DE RECURSOS DE REVISIÓN INGRESADOS ' del archivo 'Querys_Estadisiticas_Totales_Nuevo' de forma general, para verificar si no hay dudas a revisar con Samuel"/>
        <s v="Se revisó el query 3 de 'TOTAL DE RECURSOS DE REVISIÓN INGRESADOS ' del archivo 'Querys_Estadisiticas_Totales_Nuevo' de forma general, para verificar si no hay dudas a revisar con Samuel"/>
        <s v="Se revisó el query 1 de 'TOTAL DE RECURSOS DE REVISIÓN GESTIONADOS' del archivo 'Querys_Estadisiticas_Totales_Nuevo' de forma general, para verificar si no hay dudas a revisar con Samuel"/>
        <s v="Se revisó el query 1 de 'TOTAL DE OBLIGACIONES DE TRANSPARENCIA' del archivo 'Querys_Estadisiticas_Totales_Nuevo' de forma general, para verificar si no hay dudas a revisar con Samuel"/>
        <s v="Se revisó el query 1 de 'TOTAL CONSULTA EN LOS BUSCADORES' del archivo 'Querys_Estadisiticas_Totales_Nuevo' de forma general, para verificar si no hay dudas a revisar con Samuel"/>
        <s v="Se revisó el query 2 de 'TOTAL CONSULTA EN LOS BUSCADORES' del archivo 'Querys_Estadisiticas_Totales_Nuevo' de forma general, para verificar si no hay dudas a revisar con Samuel"/>
        <s v="Se revisó el query 3 de 'TOTAL CONSULTA EN LOS BUSCADORES' del archivo 'Querys_Estadisiticas_Totales_Nuevo' de forma general, para verificar si no hay dudas a revisar con Samuel"/>
        <s v="Se revisó el query 1 de 'TOTAL TEMAS BIG DATA DE LOS REGISTROS DE SOLICITUDES' del archivo 'Querys_Estadisiticas_Totales_Nuevo' de forma general, para verificar si no hay dudas a revisar con Samuel"/>
        <s v="Se revisó el query 1 de 'TEMAS BIG DATA' del archivo 'Querys_Estadisiticas_Totales_Nuevo' de forma general, para verificar si no hay dudas a revisar con Samuel"/>
        <s v="Se revisó el query 1 de 'TOTAL DE SOLICITUDES' del archivo 'Querys_Estadisiticas_Totales_Nuevo' de forma general, para verificar si no hay dudas a revisar con Samuel"/>
        <s v="Se comenzó a trabajar con el query 1 'TOTAL DE SOLICITUDES DE INFORMACIÓN' del archivo 'Querys_Estadisiticas_Totales_Nvo', validando información para analizar forma de mejorar lo"/>
        <s v="Se revisó el Query #1 del archivo IEDEPNT para la Funcionalidad 1 'TOTAL DE SOLICITUDES DE INFORMACIÓN', se hicieron las primeras ejecuciones con los parámetros para entender su funcionamiento"/>
        <s v="Se optimizó el Query #1 del archivo IEDEPNT (Funcionalidad 1) para tener una versión mejorada en tiempo de respuesta y costo"/>
        <s v="Se actualizó el documento 'Querys_Estadisiticas_Totales_Nuevo' con los comentarios sobre el Query 1 de la Funcionalidad 1"/>
        <s v="Se revisó el Query #1 del archivo IEDEPNT para la Funcionalidad 2 'TOTAL DE RECURSOS DE REVISIÓN INGRESADOS - Recursos de HCOM E INFOMEX', se hicieron las primeras ejecuciones con los parámetros para entender su funcionamiento"/>
        <s v="Se optimizó el Query #1 del archivo IEDEPNT (Funcionalidad 2) para tener una versión mejorada en tiempo de respuesta y costo"/>
        <s v="Se actualizó el documento 'Querys_Estadisiticas_Totales_Nuevo' con los comentarios sobre el Query 1 de la Funcionalidad 2"/>
        <s v="Se revisó el Query #2 del archivo IEDEPNT para la Funcionalidad 2 'TOTAL DE RECURSOS DE REVISIÓN INGRESADOS - Obtiene los recursos de revisión interpuestos', se hicieron las primeras ejecuciones con los parámetros para entender su funcionamiento"/>
        <s v="Se optimizó el Query #2 del archivo IEDEPNT (Funcionalidad 2) para tener una versión mejorada en tiempo de respuesta y costo"/>
        <s v="Se actualizó el documento 'Querys_Estadisiticas_Totales_Nuevo' con los comentarios sobre el Query 2 de la Funcionalidad 2"/>
        <s v="Se revisó el Query #3 del archivo IEDEPNT para la Funcionalidad 2 'TOTAL DE RECURSOS DE REVISIÓN INGRESADOS - Obtiene los recursos de revisión gestionados fuera', se hicieron las primeras ejecuciones con los parámetros para entender su funcionamiento"/>
        <s v="Se optimizó el Query #3 del archivo IEDEPNT (Funcionalidad 2) para tener una versión mejorada en tiempo de respuesta y costo"/>
        <s v="Se actualizó el documento 'Querys_Estadisiticas_Totales_Nuevo' con los comentarios sobre el Query 3 de la Funcionalidad 2"/>
        <s v="Se revisó el Query #1 del archivo IEDEPNT para la Funcionalidad 3 'TOTAL DE RECURSOS DE REVISIÓN GESTIONADOS', se hicieron las primeras ejecuciones con los parámetros para entender su funcionamiento"/>
        <s v="Se optimizó el Query #1 del archivo IEDEPNT (Funcionalidad 3) para tener una versión mejorada en tiempo de respuesta y costo"/>
        <s v="Se actualizó el documento 'Querys_Estadisiticas_Totales_Nuevo' con los comentarios sobre el Query 1 de la Funcionalidad 3"/>
        <s v="Se revisó el Query #1 del archivo IEDEPNT para la Funcionalidad 4 'TOTAL DE OBLIGACIONES DE TRANSPARENCIA', se hicieron las primeras ejecuciones con los parámetros para entender su funcionamiento"/>
        <s v="Se optimizó el Query #1 del archivo IEDEPNT (Funcionalidad 4) para tener una versión mejorada en tiempo de respuesta y costo"/>
        <s v="Se actualizó el documento 'Querys_Estadisiticas_Totales_Nuevo' con los comentarios sobre el Query 1 de la Funcionalidad 4"/>
        <s v="Se revisó el Query #1 del archivo IEDEPNT para la Funcionalidad 5 'TOTAL CONSULTA EN LOS BUSCADORES - Buscador Nacional', se hicieron las primeras ejecuciones con los parámetros para entender su funcionamiento"/>
        <s v="Se optimizó el Query #1 del archivo IEDEPNT (Funcionalidad 5) para tener una versión mejorada en tiempo de respuesta y costo"/>
        <s v="Se actualizó el documento 'Querys_Estadisiticas_Totales_Nuevo' con los comentarios sobre el Query 1 de la Funcionalidad 5"/>
        <s v="Se revisó el Query #2 del archivo IEDEPNT para la Funcionalidad 5 'TOTAL CONSULTA EN LOS BUSCADORES - Buscadores temáticos', se hicieron las primeras ejecuciones con los parámetros para entender su funcionamiento"/>
        <s v="Se actualizó el documento 'Querys_Estadisiticas_Totales_Nuevo' con los comentarios sobre el Query 2 de la Funcionalidad 5"/>
        <s v="Se revisó el Query #3 del archivo IEDEPNT para la Funcionalidad 5 'TOTAL CONSULTA EN LOS BUSCADORES - Buscador de Género', se hicieron las primeras ejecuciones con los parámetros para entender su funcionamiento"/>
        <s v="Se optimizó el Query #3 del archivo IEDEPNT (Funcionalidad 5) para tener una versión mejorada en tiempo de respuesta y costo"/>
        <s v="Se creó el nuevo procedimiento 'FUNC5_TOTCONSBUSCADODGENEROQ3' en el paquete 'PACK_SISAI3', con la funcionalidad del Query #2"/>
        <s v="Se verificó campo por campo del query 3 de la Funcionalidad 5, validando el tipo de dato y longitud exactos"/>
        <s v="Se declararon las variables en bloque anónimo con validación exacta de tamaños de tipos de datos, del query 3 de la Funcionalidad 5"/>
        <s v="Se validó el paquete-procedimiento de la funcionalidad 5 - Query # 3 con el bloque anónimo correcto y se tuvo un resultado exitoso con la salida del cursor completo "/>
        <s v="Se actualizó el documento 'Querys_Estadisiticas_Totales_Nuevo' con los comentarios sobre el Query 3 de la Funcionalidad 5"/>
        <s v="Se revisó el Query #1 del archivo IEDEPNT para la Funcionalidad 6 'TOTAL TEMAS BIG DATA DE LOS REGISTROS DE SOLICITUDES', se hicieron las primeras ejecuciones con los parámetros para entender su funcionamiento"/>
        <s v="Se optimizó el Query #1 del archivo IEDEPNT (Funcionalidad 6) para tener una versión mejorada en tiempo de respuesta y costo"/>
        <s v="Se creó el nuevo procedimiento 'FUNC6_TOTTEMBIGDATAREGSOLQ1' en el paquete 'PACK_SISAI3', con la funcionalidad del Query #1"/>
        <s v="Se actualizó el documento 'Querys_Estadisiticas_Totales_Nuevo' con los comentarios sobre el Query 1 de la Funcionalidad 6"/>
        <s v="Se revisó el Query #1 del archivo IEDEPNT para la Funcionalidad 7 'TEMAS BIG DATA', se hicieron las primeras ejecuciones con los parámetros para entender su funcionamiento"/>
        <s v="Se optimizó el Query #1 del archivo IEDEPNT (Funcionalidad 7) para tener una versión mejorada en tiempo de respuesta y costo"/>
        <s v="Se creó el nuevo procedimiento 'FUNC7_TEMBIGDATAQ1' en el paquete 'PACK_SISAI3', con la funcionalidad del Query #1"/>
        <s v="Se actualizó el documento 'Querys_Estadisiticas_Totales_Nuevo' con los comentarios sobre el Query 1 de la Funcionalidad 7"/>
        <s v="Se revisó el Query #1 del archivo IEDEPNT para la Funcionalidad 8 'TOTAL DE SOLICITUDES', se hicieron las primeras ejecuciones con los parámetros para entender su funcionamiento"/>
        <s v="Se optimizó el Query #1 del archivo IEDEPNT (Funcionalidad 8) para tener una versión mejorada en tiempo de respuesta y costo"/>
        <s v="Se creó el nuevo procedimiento 'FUNC8_TOTSOLICITUDESQ1' en el paquete 'PACK_SISAI3', con la funcionalidad del Query #1"/>
        <s v="Se actualizó el documento 'Querys_Estadisiticas_Totales_Nuevo' con los comentarios sobre el Query 1 de la Funcionalidad 8"/>
        <s v="Se revalidaron de forma general las consultas de los queris mejorados para determinar si aún había algo mas a mejorar"/>
        <s v="Se actualizaron algunos de los procedimientos con las ultimas mejoras detectadas"/>
        <s v="Presentación avance semanal del 27 de noviembre al 01 de diciembre 2023"/>
        <s v="Presentación avance semanal del 04 al 08 de diciembre 2023"/>
        <s v="Presentación avance semanal del 11 al 15 de diciembre 2023"/>
        <s v="Presentación avance semanal del 18 al 22 de diciembre 2026"/>
        <s v="Ejecución y registro de incidentes de las pruebas Internas del SPRINT 5"/>
        <s v="Ejecución y registro de incidentes de las pruebas Internas del SPRINT 3"/>
        <s v="Ejecución y resgistro de incidentes de las pruebas Internas del SPRINT 4"/>
        <s v="3.5.7 Activar flechas para ordenar por abreviatura de integrante"/>
        <s v="3.5.8 Agregar un cuadro que lleve el conteo de las altas, bajas o cambios que se van realizando por el integrante, mismo que pueda ser visualizado tanto por este como por el administrador, uno general y uno individual."/>
        <s v="3.5.9 Contar con un control que permita habilitar o deshabilitar el formato ABC"/>
        <s v="3.5.10 Habilitar botón para que los Enlaces puedan asignar actividades a las UA una vez que éstas ya han sido creadas "/>
        <s v="Informe General"/>
        <s v="Tablero"/>
        <s v="Cobertura General"/>
        <s v="Cobertura del Programa por LA"/>
        <s v="Cobertura de Actividades por Eje"/>
        <s v="Cobertura de Acividades"/>
        <s v="Cobertura del programa por Region"/>
        <s v="Estatus Cumplimiento"/>
        <s v="Evidencias"/>
        <s v="Actividades sin avance"/>
        <s v="Avance por Integrante"/>
        <s v="Cuadro Comparativo"/>
        <s v="2.5.1 Cambiar nombre de Integrante por Abreviatura de la Entidad Federativa"/>
        <s v="3.4.4 Activar flechas para ordenar por abreviatura de integrante"/>
        <s v="Análisis de configmap"/>
        <s v="Uso de  Pods para los ConfigMaps como variables de entorno, argumentos de la linea de comandos o como ficheros de configuración en el volumen"/>
        <s v="Desacoplar la configuración del entorno de la imagen de contenedor, para faciltar su portablidad."/>
        <s v="Almacenamiento de  la configuración de otros objetos utilizados"/>
        <s v="Configuración de  claves con un valor simple y otras claves donde el valor tiene un formato de un fragmento de configuración."/>
        <s v=" Gestión del componente máster y de los servicios necesarios para ejecutar pods"/>
        <s v="Análisis de cambio de yaml con configmap"/>
        <s v="Serialización de datos para archivos de configuración en las herramientas y servicios de automatización  DevOps e infraestructura código (IaC)"/>
        <s v="Configuración del explorador para ver archivos YAML"/>
        <s v="Análisis de integración de los servicios con los configmaps"/>
        <s v="Exportar métricas y transacciones y analizar los datos exportados para obtener información significativa"/>
        <s v="Configuración de parámetros mediante un ConfigMap"/>
        <s v="⁠Transformación de archivos yaml a configmap"/>
        <s v="Recopilar varios archivos del entorno de Directory Server existente como preparación para la migración del entorno"/>
        <s v="Recopilar los archivos de esquema actualizados y proporcionarlos al contenedor verify-directory-seed durante la migración."/>
        <s v="Convertir los datos del entorno existente en un formato que pueda utilizar un contenedor verify-directory-server "/>
        <s v="Inicio del contenedor de semilla, proporcionando el archivo de configuración YAML al contenedor"/>
        <s v="Modificación de archivos yaml"/>
        <s v="Configuraión del fichero yml yaml para permtir al usuario tener una mejor lectura de los datos y escritura. "/>
        <s v="Transformacón de  traducciones de SQL con archivos YAML de configuración"/>
        <s v="Subir los archivos YAML de configuración al directorio raíz del bucket de Cloud Storage que contiene los archivos de entrada de traducción de SQL"/>
        <s v="Comparación de los efectos de un YAML de configuración en la traducción de  consultsa en SQL de BigQuery"/>
        <m/>
        <s v="Corrección en constancias" u="1"/>
        <s v="_x000a_Notificación de seguimiento  [  MA1703202007 ]  _x000a_ _x000a_ _x000a_Estimado(a):                     Laura Mónica Segovia Tellez_x000a_ _x000a_Le informamos que su ticket correspondiente a:_x000a_               _x000a_Solicito su amable apoyo, a fin de regresar el paso del cierre de instrucción del RRA 01997/20 ya que por la suspensión de plazos de la Secretaría de Economía el recurso todavía está en tiempo de realizar alegatos_x000a__x000a_ _x000a_Aplicación:                  SIGEMI_x000a_Tipo de Soporte:         Eliminación de cierre de instrucción_x000a_Observaciones:            _x000a_ _x000a_Su petición fue atendida_x000a_ _x000a_" u="1"/>
        <s v="Instalación Campus Civil para ejecutar instalador" u="1"/>
        <s v="Unificación de datos etiquetados" u="1"/>
        <s v="Definición y evaluación de herramienta automatizada para etiquetado" u="1"/>
        <s v="Buenas tardes Martha, tu petición fue atendida, favor de validar _x000a__x000a_Saludos _x000a__x000a_Marina Adame Velasco_x000a__x000a_Notificación de seguimiento  [  MA1006202010 ]  _x000a__x000a_Aplicación:                  INFOMEX NUEVO LEÓN_x000a_Tipo de Soporte:         AJUSTE DE PLAZOS   _x000a_Estatus:                               Concluido_x000a__x000a_" u="1"/>
        <s v="Implementar adecuaciones al código fuente para atender hallazgos del módulo - Configuracion" u="1"/>
        <s v="_x000a_Notificación de seguimiento  [  MA1510202001 ]  _x000a_ _x000a_ _x000a_Estimado(a):                     Alma Lizbeth Peguero Rivera_x000a_ _x000a_Le informamos que su ticket correspondiente a:_x000a_               _x000a_Por medio de presente, solicito de la manera más atenta, su apoyo para retroceder los pasos en el sistema SIGEMI-SICOM en la PNT del siguiente asunto RRA 10113/20 FJALL , hasta la actividad “Registrar información de la sesión del pleno”; sin más por el momento, quedo en espera de sus comentarios._x000a__x000a_ _x000a_Aplicación:                  SIGEMI_x000a_Tipo de Soporte:         REGRESO DE PASOS  _x000a_Observaciones:            _x000a_ _x000a_Su petición fue atendida_x000a_ _x000a_" u="1"/>
        <s v="Notificación de seguimiento  [  MA1112202005 ]  _x000a_  _x000a_Estimado(a):                     Martha Rubí Zaragoza Mora_x000a_  _x000a_Le informamos que su ticket correspondiente a:_x000a_               _x000a_El presente correo es para pedir su amable apoyo para el ajuste de términos de los folios debido al Acuerdo que enviaron los siguientes Sujetos Obligados a la COTAI por el cual se amplían la fecha del 01 al 18 de diciembre de 2020 y contando también el 2do periodo vacacional del 21 de diciembre 2020 al 5 de Enero 2021; debiéndose considerar los días comprendidos dentro de dicho periodo como inhábiles para evitar la propagación del coronavirus COVID-19._x000a_ _x000a_Aplicación:                  INFOMEX NUEVO LEÓN   _x000a_Tipo de Soporte:         AJUSTE DE PLAZOS    _x000a_Observaciones:            _x000a_ _x000a_Su petición fue atendida_x000a_   _x000a_            Favor de validar._x000a_ _x000a_Estatus:                               Concluido._x000a_" u="1"/>
        <s v="_x000a_Notificación de seguimiento  [  MA3009202009 ]  _x000a_ _x000a_ _x000a_Estimado(a):                     Karen Nayelli Muñiz Rebolledo_x000a_ _x000a_Le informamos que su ticket correspondiente a:_x000a_               _x000a_ _x000a_Solicito su apoyo para que me ayuden a regresar los pasos en el recurso RRD 01142/20 vs IMSS, a efecto de que el asunto se tenga por no presentado._x000a__x000a_ _x000a_Aplicación:                  SIGEMI_x000a_Tipo de Soporte:         REGRESO DE PASOS  _x000a_Observaciones:            _x000a_ _x000a_Su petición fue atendida_x000a_ _x000a_" u="1"/>
        <s v="Se aplica testado de datos al folio: 3670000007120,  36700000013720, 3670000036120 ,  36700000036520 , 3670000038620 , 36700000038820 y 3670000040320 " u="1"/>
        <s v="Evaluación y diseño para grafo de conocimiento particular - jerarquiías, sinónimos, etc." u="1"/>
        <s v="SOLICITUDES REGISTRADAS POR INFOMEX Y PNT EN PERIODO DE TIEMPO SOLICITADO " u="1"/>
        <s v="Funcionalidad de votos particulares/disidentes. " u="1"/>
        <s v="Transferencia de herramientas al servidor de destino" u="1"/>
        <s v="Notificación de seguimiento  [  MA0907202005 ]  _x000a_ _x000a_ _x000a_Estimado(a):                     Edgar Michel Loaeza Martínez_x000a_ _x000a_Le informamos que su ticket correspondiente a:_x000a_               _x000a_Por medio del presente solicito su valioso apoyo a efecto de dar de alta los certificados de Titular de la Unidad de Transparencia de los sujetos obligados que se enlistan a continuación y que pertenecen al Servicio de Administración Tributaria_x000a__x000a_ _x000a_Aplicación:                  HCOM_x000a_Tipo de Soporte:         CAMBIO DE TUT  ( 2 )_x000a_Observaciones:            _x000a_ _x000a_Su petición fue atendida_x000a_" u="1"/>
        <s v="Notificación de seguimiento  [  MA2402202201 ]_x000a__x000a_Estimado(a):                Alondra Jiménez Hernández_x000a__x000a_ _x000a_ Le informamos que su ticket correspondiente a:_x000a_               _x000a_Debido al cambio de Titular de la Unidad de Transparencia de NACIONAL FINANCIERA S.N.C., I.B.D. (NAFIN) anexo los registros actualizados de los certificados para que sean actualizados y se habilite el acceso en la Herramienta de Comunicación de cada uno. _x000a_ _x000a_Aplicación:                  HCOM_x000a_Tipo de Soporte:         CAMBIO DE TUT  (11)  _x000a_Observaciones:            _x000a_ _x000a_Su petición fue atendida_x000a_" u="1"/>
        <s v="Se apoyo en la elaboración de notas aclaratorias sobre las problemáticas en la gestión de información para la migración al SISAI de las entidades de Ciudad de México y Estado de México" u="1"/>
        <s v="Lista de datos catalogo integrante (Administrador) " u="1"/>
        <s v="Se aplica el testado de datos de la solicitud: 0002700021020" u="1"/>
        <s v="Se orienta usuario para exportar solicitud: 0673800005120." u="1"/>
        <s v="Notificación de seguimiento  [  MA24062020-02 ]  _x000a_ _x000a_ _x000a_Estimado(a):                     Alondra Jiménez Hernández_x000a_ _x000a_Le informamos que su ticket correspondiente a:_x000a_               _x000a_ _x000a_Anexo el registro actualizado del certificado del Titular de la Unidad de Transparencia del Fondo de Investigación Científica y Desarrollo Tecnológico del Centro de Investigación Científica de Yucatán, A.C., sujeto obligado indirecto de CICY, para su renovación en la Herramienta de Comunicación. _x000a__x000a_ _x000a_Aplicación:                  HCOM_x000a_Tipo de Soporte:         CAMBIO DE CERTIFICADO  _x000a_Observaciones:            _x000a_ _x000a_Su petición fue atendida_x000a_ _x000a_" u="1"/>
        <s v="Se  testan los datos del folio: 0064101903521" u="1"/>
        <s v="Se  testan los datos del folio: 0000700211621" u="1"/>
        <s v="Creación de los Request para las respuestas de todas las secciones" u="1"/>
        <s v="Notificación de seguimiento  [  MA1905202110 ]  _x000a_ _x000a_ _x000a_Estimado(a):                     Jatziry Jiménez Cruz_x000a_ _x000a_ _x000a_Le informamos que su ticket correspondiente a:_x000a_               _x000a_Por este medio solicito su amable apoyo para realizar la modificación en la Herramienta de Comunicación del .cer del Tribunal Federal de Conciliación y Arbitraje, toda vez que el anterior .cer caducó. _x000a_ _x000a_Aplicación:                  HCOM_x000a_Tipo de Soporte:         CAMBIO TUT   _x000a_Observaciones:            _x000a_ _x000a_" u="1"/>
        <s v="Se retoma la tarea para la automatización del proceso de generación de registros Inserts del Excel (SISAI_catalogos_TareaXEdos.xlsx)" u="1"/>
        <s v="Se descarga el proecto nuevo de quejas y se realizan las conexiones y rpuebas necesarias para empezar el desarrllo del sistema. Se idetifican los servicios y las tablas necesarias dentro del servicio de guardado de queja" u="1"/>
        <s v="Se aplica eliminación de formato de pago: 0064101859721" u="1"/>
        <s v="Se sustituye archivo del folio 0064100571721" u="1"/>
        <s v="Permisos administrativos a Erwin Bautista" u="1"/>
        <s v="Notificación de seguimiento  [  MA1202202010 ]  _x000a_ _x000a_ _x000a_Estimado(a):                     Pedro Esquivel _x000a_ _x000a_Le informamos que su ticket correspondiente a:_x000a_               _x000a_ _x000a_Anexo el registro actualizado del certificado del Titular de la Unidad de Enlace del  “Servicio Postal Mexicano” Lo Anterior a fin de que sus accesos sean habilitados en los otros sistemas que administra este Instituto (HCOM).  CAMBIO DE TITULAR, en cuanto se reciba la atención en HCOM se realizará la actualización de los demás sistemas correspondientes._x000a__x000a_ _x000a_Aplicación:                  HCOM_x000a_Tipo de Soporte:         CAMBIO DE TITULAR   _x000a_Observaciones:            _x000a_ _x000a_Su petición fue atendida_x000a_" u="1"/>
        <s v="_x000a_Notificación de seguimiento  [  MA0411202008 ]  _x000a_ _x000a_ _x000a_Estimado(a):                     ALMA LIZBETH PEGUERO_x000a_ _x000a_ _x000a_Le informamos que su ticket correspondiente a:_x000a_               _x000a_solicito de su valioso apoyo para la eliminación del siguiente recurso RRA 03273/20, debido a que se encuentra doble en la PNT, para trabajar en mi paso, quedo atenta, sin más por el momento._x000a__x000a__x000a_Aplicación:                  SIGEMI_x000a_Tipo de Soporte:         CANCELAR DUPLICADO    _x000a_Observaciones:            _x000a_ _x000a_Su petición fue atendida_x000a_ _x000a_" u="1"/>
        <s v="_x000a_Notificación de seguimiento  [  MA2809202006 ]  _x000a_ _x000a_ _x000a_Estimado(a):                     Rosalinda Coria Mosqueda_x000a_ _x000a_Le informamos que su ticket correspondiente a:_x000a_               _x000a__x000a_Agradeceré su apoyo para regresar el recurso RRD 00457/20 a la actividad de preparación del proyecto, toda vez que se trata de un returno asignado a la Comisionada Blanca Lilia Ibarra Cadena._x000a__x000a_ _x000a_Aplicación:                  SIGEMI_x000a_Tipo de Soporte:         REGRESO DE PASOS  _x000a_Observaciones:            _x000a_ _x000a_Su petición fue atendida_x000a_ _x000a_" u="1"/>
        <s v="Se testan los datos  del folio: 0064101367421" u="1"/>
        <s v="_x000a_Buenas tardes Guillermo, envío la información generada con los scripts _x000a__x000a_Saludos _x000a__x000a_Marina Adame _x000a__x000a_Notificación de seguimiento  [  MA0912202005 ]  _x000a_  _x000a_Aplicación:                  INFOMEX BCN_x000a_Tipo de Soporte:         CONSULTA DE DATOS    _x000a_" u="1"/>
        <s v="_x000a_Notificación de seguimiento  [  MA0902202113 ]  _x000a_ _x000a_ _x000a_Estimado(a):                     Pedro Esquivel Martínez_x000a_ _x000a_ _x000a_Le informamos que su ticket correspondiente a:_x000a_               _x000a_Anexo el registro actualizado del certificado del Titular de la Unidad de Enlace del  “Centro Nacional de Metrología” Lo anterior a fin de que sus accesos sean habilitados en los otros sistemas que administra este Instituto (HCOM).  Cambio de Titular, no omito señalar que en cuanto se reciba la atención en HCOM se realizará la actualización de los demás sistemas correspondientes._x000a_ _x000a_Aplicación:                  HCOM_x000a_Tipo de Soporte:         CAMBIO TUT   _x000a_" u="1"/>
        <s v="Se crea un objeto generico que servira de base para exporar información de las solicitudes a excel" u="1"/>
        <s v="Generación de formato solicitud  para servidores aplicativo " u="1"/>
        <s v="Se aplica eliminación de formato de pago: 22103000107419." u="1"/>
        <s v="Maquetación y funcionalida de busqueda y muestra de resultados de pantalla" u="1"/>
        <s v="Notificación de seguimiento  [  MA2206202110 ]_x000a__x000a_Estimado(a):                Moisés Guzmán Arias_x000a__x000a_ _x000a_ Le informamos que su ticket correspondiente a:_x000a_               _x000a_se modifique el nombre del recurso de revisión interpuesto en infomex con número de recurso RR00004221 el cual tiene un apostrofe mal colocado _x000a_ _x000a_ _x000a_Actualmente el archivo tiene el nombre:   Se interpone Recurso de Revisio´n.pdf_x000a_Debe llamarse: Se interpone Recurso de Revision.pdf_x000a__x000a_ _x000a_Aplicación:                  INFOMEX PUEBLA_x000a_Tipo de Soporte:         ACTUALIZAR NOMBRE DE ARCHIVO  _x000a_Observaciones:            _x000a_ _x000a_Su petición fue atendida_x000a_" u="1"/>
        <s v="Realización de búsqueda para fallos posibles sobre disponibilidad de información SISAI" u="1"/>
        <s v="Notificación de seguimiento  [  MA2202202108 ]  _x000a_ _x000a_ _x000a_Estimado(a):                     ALAN GARCÍA_x000a_  _x000a_Le informamos que su ticket correspondiente a:_x000a_               _x000a_RESPALDO SEMANAL DE LA BASE DE DATOS INFOMEX_x000a_ _x000a_Aplicación:                  INFOMEX TLAXCALA_x000a_Tipo de Soporte:         RESPALDO   _x000a_Observaciones:            _x000a_ _x000a_Su petición fue atendida, se subió el respaldo de su base de datos de esta semana…_x000a__x000a__x000a_http://documentos.inai.org.mx/tmp/infomex_tlaxcala_backup_2021-02-22_0800.bak_x000a__x000a_" u="1"/>
        <s v="Se elimina la respuesta del folio: 2210300026121" u="1"/>
        <s v="Buenas tardes Esmeralda, te comento que revise los scripts de las solicitudes y me coinciden los números, lo unico diferente es que puse las fechas cerradas sin hora, anexo mi evidencia, te envío también la consulta solicitada …_x000a_ _x000a_ _x000a_ select distinct p.folio, d.nombre as SUJETO_OBLIGADO, cc.nombre TIPO_SOLICITUD, p.fechainicio _x000a_ from PROCESO P _x000a_ join psi on p.guidproceso = psi.guidproceso_x000a_ JOIN PDSI ON Psi.Cd7643056 = PDSI.GUIDLLAVE_x000a_ JOIN DEPARTAMENTO D ON PDSI.IDELEMENTOCATALOGO = D.GUIDDEPARTAMENTO_x000a_ join psi psi2 on p.guidproceso = psi2.guidproceso_x000a_ join campoconfigurable cc on psi2.C090e33d7 =cc.guidvalor _x000a_ WHERE p.FechaInicio between '20190101' and '20191231'_x000a_ order by p.fechainicio,p.folio_x000a_ _x000a_ Saludos _x000a_ _x000a_ Marina Adame Velasco_x000a_ _x000a_ Notificación de seguimiento [ MA2201202010 ] _x000a_ _x000a_ Aplicación: INFOMEX Veracruz_x000a_ Tipo de Soporte: Revisión de scripts _x000a_ Estatus: Concluido." u="1"/>
        <s v="Notificación de seguimiento  [  MA0203202002 ]  _x000a_ _x000a_ _x000a_Estimado(a):                     Pedro Esquivel Martínez_x000a_ _x000a_Le informamos que su ticket correspondiente a:_x000a_               _x000a_Anexo el registro actualizado del certificado del Titular de la Unidad de Enlace del  “CONSEJO NACIONAL DE FOMENTO EDUCATIVO” Lo Anterior a fin de que sus accesos sean habilitados en los otros sistemas que administra este Instituto (HCOM).  CAMBIO DE TITULAR, en cuanto se reciba la atención en HCOM se realizará la actualización de los demás sistemas correspondientes._x000a__x000a_ _x000a_Aplicación:                  HCOM_x000a_Tipo de Soporte:         CAMBIO DE TITULAR   _x000a_Observaciones:            _x000a_ _x000a_Su petición fue atendida_x000a_" u="1"/>
        <s v="Notificación de seguimiento  [  MA1806202001 ]  _x000a_ _x000a_ _x000a_Estimado(a):                     Lizbeth Adriana Cabrera Ortega_x000a_ _x000a_Le informamos que su ticket correspondiente a:_x000a_               _x000a__x000a_Pido tu apoyo ya que ingresó duplicado en PNT el recurso de revisión citado a continuación._x000a__x000a_17/06/2020 17/06/2020 15:45 PM Benito Bodoque Bodoque PROFECO 1031500019520 Acceso a la Información PNT Ver detalle_x000a__x000a_17/06/2020 17/06/2020 15:45 PM Benito Bodoque Bodoque PROFECO 1031500019520 Acceso a la Información PNT Ver detalle_x000a__x000a_ _x000a_Aplicación:                  SIGEMI_x000a_Tipo de Soporte:         CANCELAR RECURSO DUPLICADO  _x000a_Observaciones:            _x000a_ _x000a_Su petición fue atendida_x000a_ _x000a_" u="1"/>
        <s v="Se generó certificado para usuario de dependencia PES" u="1"/>
        <s v="Desarrollo de la funcionalidad para implementar la capacidad para crear referencias bancarias por sector en la administración de pagos" u="1"/>
        <s v="Se recupera el acuse de la solicitud: 0064100704120." u="1"/>
        <s v="_x000a_Notificación de seguimiento  [  MA2505202002 ]  _x000a_ _x000a_ _x000a_Estimado(a):                     JUAN PEDRO RAMIREZ FLORES_x000a_ _x000a_Le informamos que su ticket correspondiente a:_x000a_               _x000a_Por un error involuntario no se capturó el nombre del recurrente en el recurso de revisión número RRAIP-641/2020, mismo que se encuentra en el estatus de espera de turnado; por lo cual solicito su asistencia para agregar en el campo de &quot;nombre del recurrente&quot; el siguiente: César Zacanini._x000a__x000a_ _x000a_Aplicación:                  SIGEMI_x000a_Tipo de Soporte:         ACTUALIZACIÓN DE DATOS  _x000a_Observaciones:            _x000a_ _x000a_Su petición fue atendida_x000a_ _x000a__x000a_" u="1"/>
        <s v="Actualización de procesos, plantillas, reportes de portafolios, programas y proyectos de la PMO" u="1"/>
        <s v="Se aplica el cambio de modalidad a la solicitud: 0064100117020 " u="1"/>
        <s v="_x000a_Notificación de seguimiento  [  MA1803202111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1º al 31 de marzo 2021; debiéndose considerar los días comprendidos dentro de dicho periodo como inhábiles para evitar la propagación del coronavirus COVID-19._x000a_ _x000a_Aplicación:                  INFOMEX NUEVO LEON _x000a_Tipo de Soporte:         AJUSTE DE PLAZOS   _x000a_Observaciones:            _x000a_ _x000a_Su petición fue atendida_x000a_ _x000a_" u="1"/>
        <s v="Se  testan los datos del folio: 0064101800521" u="1"/>
        <s v="Se aplica testado de datos al folio:   0673800358020" u="1"/>
        <s v="Reunión para revisión del componente tabla historial y modal, asignación de 2 nuevos componentes, y correccion de detalles en tabla historial" u="1"/>
        <s v="Notificación de seguimiento  [  MA0906202109 ]_x000a__x000a_Estimado(a):                Verónica Velázquez Hernández_x000a__x000a_ _x000a_ Le informamos que su ticket correspondiente a:_x000a_               _x000a_Te escribo el presente para solicitarte ayuda en la eliminación de los requerimientos realizados a través de la Herramienta con números IFAI-REQ-002904-2021 y IFAI-REQ-002905-2021 realizados al Fondo de ayuda, asistencia y reparación integral (CEAV F1) y al Fondo de la Financiera Rural (FND F1) respectivamente. Lo anterior debido a que se notificó la información de forma errónea. _x000a__x000a_ _x000a_Aplicación:                  HCOM_x000a_Tipo de Soporte:         ELIMINAR REQUERIMIENTO (2)  _x000a_Observaciones:            _x000a_ _x000a_Su petición fue atendida_x000a_" u="1"/>
        <s v="_x000a_Notificación de seguimiento  [  MA2602202001 ]  _x000a_ _x000a_ _x000a_Estimado(a):                     Ariadna Sánchez Guadarrama_x000a_ _x000a_Le informamos que su ticket correspondiente a:_x000a_               _x000a_Buenas noches, solicito su amable intervención toda vez que el recurso de revisión identificado con el número RRD 0015/20 se encuentra duplicado en la Plataforma Nacional de Transparencia, tal y como se muestra a continuación…_x000a__x000a_ _x000a_Aplicación:                  SIGEMI_x000a_Tipo de Soporte:         Eliminar duplicado  _x000a_Observaciones:            _x000a_ _x000a_Su petición fue atendida_x000a_ _x000a_" u="1"/>
        <s v="Notificación de seguimiento  [  MA2307202005 ]  _x000a_ _x000a_ _x000a_Estimado(a):                     Pedro Esquivel Martínez_x000a_ _x000a_Le informamos que su ticket correspondiente a:_x000a_               _x000a_Anexo el registro actualizado del certificado del Titular de la Unidad de Enlace del  “CASA DE MONEDA DE MÉXICO”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_x000a_Tipo de Soporte:         CAMBIO DE CERTIFICADO _x000a_Observaciones:            _x000a_ _x000a_Su petición fue atendida_x000a_ _x000a_" u="1"/>
        <s v="Notificación de seguimiento  [  MA2408202101 ]_x000a__x000a_Estimado(a):                Pedro Esquivel Martínez_x000a__x000a_ _x000a_ Le informamos que su ticket correspondiente a:_x000a_               _x000a_por este medio Anexo el registro actualizado del certificado del Titular de la Unidad de Enlace de la “Agencia Espacial Mexicana”.  Lo Anterior a fin de que sus accesos sean habilitados en los otros sistemas que administra este Instituto (HCOM).  CAMBIO DE  TITULAR, en cuanto se reciba la atención en HCOM se realizará la actualización de los demás sistemas correspondientes._x000a_ _x000a_Aplicación:                  HCOM_x000a_Tipo de Soporte:         CAMBIO DE TUT  _x000a_Observaciones:            _x000a_ _x000a_Su petición fue atendida_x000a_ _x000a_" u="1"/>
        <s v="Notificación de seguimiento  [  MA2906202006 ]  _x000a_ _x000a_ _x000a_Estimado(a):                     Sergio Rafael Cortés Alpizar_x000a_ _x000a_Le informamos que su ticket correspondiente a:_x000a_               _x000a_Buen día, por medio del presente solicito su apoyo para que se cambie el medio de notificación a domicilio físico y se anexe el mismo en la Plataforma Nacional de Transparencia del recurso de revisión:_x000a_ _x000a_RRA 4356/20 vs Administración Portuaria Integral de Mazatlán, S.A. de C.V._x000a_ _x000a_Lo anterior se debe a que lo solicito en su recurso de revisión._x000a_ _x000a_ _x000a_Aplicación:                  SIGEMI_x000a_Tipo de Soporte:         cambio de medio y domicilio  _x000a_Observaciones:            _x000a_ _x000a_Su petición fue atendida_x000a_ _x000a_" u="1"/>
        <s v="Buenas tardes Moisés, te comento que si esta la fecha que modificaste, sin embargo tu proceso tiene una validación de 3 días, que hace que cierre automáticamente ese paso, voy a solicitar un respaldo de tu base para ver hay manera que quitar la validación, en cuanto termine de revisar te escribo._x000a__x000a_Saludos _x000a__x000a_Marina Adame Velasco_x000a__x000a_Notificación de seguimiento  [  MA2207202006 ]  _x000a__x000a_Aplicación:                  INFOMEX PUEBLA _x000a_Tipo de Soporte:         Revisión de plazos    _x000a_Estatus:                               Concluido._x000a_" u="1"/>
        <s v="Notificación de seguimiento  [  MA0109202001 ]  _x000a_ _x000a_ _x000a_Estimado(a):                     Pedro Esquivel Martínez_x000a_ _x000a_Le informamos que su ticket correspondiente a:_x000a_               _x000a_por este medio Anexo el registro actualizado del certificado del Titular de la Unidad de Enlace del  “Fideicomiso Centro de Ingeniería y Desarrollo Industrial No. 135826-8”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_x000a_Tipo de Soporte:         CAMBIO DE CERTIFICADO  _x000a_Observaciones:            _x000a_ _x000a_Su petición fue atendida_x000a_ _x000a__x000a_" u="1"/>
        <s v="Filtro integrante en vista previa del lado del administrador servicio java" u="1"/>
        <s v="Gneración de etiquetado para tabla SIPOT" u="1"/>
        <s v="Pruebas Quintana Roo" u="1"/>
        <s v="Notificación de seguimiento [ MA1601202005 ] _x000a_  _x000a_  _x000a_ Estimado(a): Lizbeth Adriana Cabrera Ortega_x000a_  _x000a_ Le informamos que su ticket correspondiente a:_x000a_  _x000a_ Solicito de tu valioso apoyo a fin de poder hacer una modificación a los expedientes electrónicos correspondientes a los recursos de datos personales RRD 54 AL RRD 64 todos del año 2020._x000a_  _x000a_ Deberá constar como fecha de interposición la del 8 DE ENERO DE 2020, pues es la fecha límite de interposición del recurso de revisión._x000a_ _x000a_ Asimismo, deberán subirse los Acuerdos de turno a cada carpeta electrónica, razón por la cual, me permito enviarte para mayor celeridad, dichos acuerdos._x000a_  _x000a_ _x000a_  _x000a_ Aplicación: SIGEMI_x000a_ Tipo de Soporte: ACTUALIZACIÓN DE FECHAS DE INTERPOSICIÓN Y REEMPLAZO DE ARCHIVOS" u="1"/>
        <s v="Notificación de seguimiento  [  MA1201202114 ]  _x000a_ _x000a_ _x000a_Estimado(a):                     Pedro Esquivel Martínez_x000a_ _x000a_ _x000a_Le informamos que su ticket correspondiente a:_x000a_               _x000a_Inclusive de ser posible sean asignados de igual manera en HCOM_x000a_ _x000a_Aplicación:                  HCOM_x000a_Tipo de Soporte:         ACTUALIZACIÓN DE CERTIFICADOS ( 3)   _x000a_" u="1"/>
        <s v="Notificación de seguimiento  [  MA0408202001 ]  _x000a_ _x000a_ _x000a_Estimado(a):                     Tiara Gethsemanni Miranda Fuentes_x000a_ _x000a_Le informamos que su ticket correspondiente a:_x000a_               _x000a_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_x000a_ _x000a_RRA 06375/20_x000a_ _x000a__x000a_ _x000a_Aplicación:                  SIGEMI_x000a_Tipo de Soporte:         REGRESO DE PASOS  _x000a_Observaciones:            _x000a_ _x000a_Su petición fue atendida_x000a_" u="1"/>
        <s v="Notificación de seguimiento  [  MA1206202004 ]  _x000a_ _x000a_ _x000a_Estimado(a):                     Tiara Gethsemanni Miranda Fuentes_x000a_ _x000a_Le informamos que su ticket correspondiente a:_x000a_               _x000a_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_x000a_ _x000a_RRA 03331/20_x000a_ _x000a__x000a_ _x000a_Aplicación:                  SIGEMI_x000a_Tipo de Soporte:         REGRESO DE PASOS  _x000a_Observaciones:            _x000a_ _x000a_Su petición fue atendida_x000a_" u="1"/>
        <s v="Notificación de seguimiento  [  MA1409202006 ]  _x000a_ _x000a_ _x000a_Estimado(a):                     Alma Lizbeth Peguero Rivera_x000a_ _x000a_Le informamos que su ticket correspondiente a:_x000a_               _x000a__x000a_Por medio de presente, solicito de la manera más atenta, su apoyo para retroceder los pasos en el sistema SIGEMI-SICOM en la PNT de los siguientes asuntos RRA 05229/20 OMGF y RRA 06952 JRV hasta la actividad “Registrar información de la sesión del pleno”; sin más por el momento, quedo en espera de sus comentarios._x000a_ _x000a__x000a_ _x000a_Aplicación:                  SIGEMI_x000a_Tipo de Soporte:         REGRESO DE PASOS  (2)_x000a_Observaciones:            _x000a_ _x000a_Su petición fue atendida_x000a_" u="1"/>
        <s v="Se cambia el tipo de solicitud del folio: 0064101735821" u="1"/>
        <s v="_x000a_Notificación de seguimiento  [  MA0406202002 ]  _x000a_ _x000a_ _x000a_Estimado(a):                     Edgar Michel Loaeza Martínez_x000a_ _x000a_Le informamos que su ticket correspondiente a:_x000a_               _x000a_Por medio del presente solicito su valioso apoyo a efecto de realizar la renovación del certificado de Titular de la Unidad de Transparencia del “Fideicomiso para la asistencia legal de los miembros de la junta de gobierno y servidores públicos de la Comisión Nacional de Seguros y Fianzas.”_x000a_ _x000a_Aplicación:                  HCOM_x000a_Tipo de Soporte:         cambio TUT  _x000a_Observaciones:            _x000a_ _x000a_Su petición fue atendida_x000a_ _x000a_" u="1"/>
        <s v="_x000a_Notificación de seguimiento  [  MA0407202205 ]_x000a__x000a_Estimado(a):               Abraham Obed Gallardo González_x000a__x000a_ Le informamos que su ticket correspondiente a:_x000a__x000a__x000a_CAMBIO DE TITULAR. En cuanto se reciba la atención en HCOM se realizará la actualización de los demás sistemas correspondientes._x000a__x000a_Aplicación:                  HCOM_x000a_Tipo de Soporte:         CAMBIO DE TUT _x000a_Observaciones:            _x000a_ _x000a_Su petición fue atendida, la contraseña del usuario es hcom2022" u="1"/>
        <s v="Se cambió el nombre de la dependecia Fideicomiso a Favor de los Hijos del Personal Adscrito al Estado Mayor Presidencial" u="1"/>
        <s v="Automatización del proceso de generación de registros Inserts del Excel (SISAI_catalogos_TareaXEdos.xlsx) _x000a_Validación del contenido proporcionado en el EXCEL vs lo contenido en la Base de Datos._x000a_Al no haber recibido observaciones en la entrega del pasado 26 de febrero, Para control general se cierra este ticket." u="1"/>
        <s v="_x000a_Notificación de seguimiento  [  MA2509202008 ]  _x000a_ _x000a_ _x000a_Estimado(a):                     Ana Paula Vásquez Galván_x000a_ _x000a_Le informamos que su ticket correspondiente a:_x000a_               _x000a_ _x000a_Buenas tardes, por medio del presente solicitamos su amable apoyo en regresar el paso en la Plataforma Nacional de Transparencia, a efecto de poder volver a cargar la versión final de la resolución RRA 9291/20, en razón de que se cargó una errónea._x000a_ _x000a_Aplicación:                  SIGEMI_x000a_Tipo de Soporte:         REGRESO DE PASOS  _x000a_Observaciones:            _x000a_ _x000a_Su petición fue atendida_x000a_ _x000a_" u="1"/>
        <s v="Notificación de seguimiento  [  MA1305202002 ]  _x000a_ _x000a_ _x000a_Estimado(a):                     PEDRO ESQUIVEL MARTÍNEZ_x000a_ _x000a_Le informamos que su ticket correspondiente a:_x000a_               _x000a_Anexo el registro actualizado del certificado del Titular de la Unidad de Enlace del  “Comisión Ejecutiva de Atención a Víctimas” Lo Anterior a fin de que sus accesos sean habilitados en los otros sistemas que administra este Instituto (HCOM).  CAMBIO DE CERTIFICADO, en cuanto se reciba la atención en HCOM se realizará la actualización de los demás sistemas correspondientes._x000a_ _x000a_Aplicación:                  HCOM  _x000a_Tipo de Soporte:         CAMBIO DE CERTIFICADO  _x000a_Observaciones:            _x000a_ _x000a_Su petición fue atendida_x000a_ _x000a_" u="1"/>
        <s v="Notificación de seguimiento  [  MA1802202011 ]  _x000a_ _x000a_ _x000a_Estimado(a):                     Pedro Esquivel Martínez_x000a_ _x000a_Le informamos que su ticket correspondiente a:_x000a_               _x000a_Anexo el registro actualizado del certificado del Titular de la Unidad de Enlace del  “INSTITUTO NACIONAL DE REHABILITACIÓN”.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_x000a_Tipo de Soporte:         RENOVACIÓN DE CERTIFICADO   _x000a_Observaciones:            _x000a_ _x000a_Su petición fue atendida_x000a_ _x000a_" u="1"/>
        <s v="Notificación de seguimiento  [  MA2503202107 ]  _x000a_ _x000a_ _x000a_Estimado(a):                     Pedro Esquivel Martínez_x000a_ _x000a_ _x000a_Le informamos que su ticket correspondiente a:_x000a_               _x000a_Anexo el registro actualizado del certificado del Titular de la Unidad de Enlace del  “Instituto Mexicano de la Juventud”. Lo anterior a fin de que sus accesos sean habilitados en los otros sistemas que administra este Instituto (HCOM).  Cambio de Titular, no omito señalar que en cuanto se reciba la atención en HCOM se realizará la actualización de los demás sistemas correspondientes._x000a_ _x000a_Aplicación:                  HCOM_x000a_Tipo de Soporte:         CAMBIO TUT   _x000a_Observaciones:            _x000a_ _x000a_Su petición fue atendida_x000a_ _x000a_" u="1"/>
        <s v="Se testan los datos  del folio: 0064101338421" u="1"/>
        <s v="Analisis, diseño, desarrollo y pruebas unitarias del servicio de interoperabilidad con sigemi-sicom para la descarga de documentos" u="1"/>
        <s v="Entrenamiento de modelo universal encoder" u="1"/>
        <s v="Generación de ambiente de desarrollo, e instalación de Base de datos local" u="1"/>
        <s v="Se aplica eliminación de última respuesta: 0002700042520." u="1"/>
        <s v="Generar certificado para SOs obligados COLMICH" u="1"/>
        <s v="Hola Berenice, ya se subió el respaldo de su base de datos de esta semana…_x000a__x000a__x000a_http://documentos.inai.org.mx/tmp/infomexOAX_backup_2020-11-30_0800.bak_x000a__x000a_NOTA: El respaldo estará disponible una semana  _x000a_ _x000a_ _x000a_Saludos_x000a__x000a_                                                                                                                                                                            _x000a_Marina Adame Velasco_x000a_ _x000a_                                                                                                                                                                                                             _x000a_" u="1"/>
        <s v="Script migración base de datos Campus Público" u="1"/>
        <s v="Se testan los datos de la solicitud con folio: 0064101515821" u="1"/>
        <s v="Se aplica testado de datos al folio: 0064100180020." u="1"/>
        <s v="Análisis de incidencia en solicitudes generadas con folio incorrecto, depencia CJF clave 3200 y reinició de consecutivo" u="1"/>
        <s v="Notificación de seguimiento  [  MA0402202106 ]  _x000a_ _x000a_ _x000a_Estimado(a):                     Julia Yuridia Pacheco Hernández_x000a_ _x000a_ Le informamos que su ticket correspondiente a:_x000a_               _x000a_me comunico para solicitar su apoyo para el borrado, a la brevedad posible, de una comunicación incorrecta realizada en la Herramienta de Comunicación._x000a_ _x000a_El folio del comunicado es: 000701-IFAI-2021-0000001-20210203_x000a_ _x000a_Aplicación:                  HCOM_x000a_Tipo de Soporte:         ELIMINAR COMUNICADO    _x000a_" u="1"/>
        <s v="Notificación de seguimiento  [  MA1210202004 ]  _x000a_ _x000a_ _x000a_Estimado(a):                     Luis Herrera Leos_x000a_ _x000a_Le informamos que su ticket correspondiente a:_x000a_               _x000a_Nuevamente, solicitó su apoyo para modificar el correo electrónico (como medio de notificación) en el recurso RRA 09605/20 AGROASEMEX, toda vez que en la PNT aparece el correo carlos.quintero@ciestaam.edu.mx; sin embargo, el particular señaló el siguiente: carlosqntro@gmail.com_x000a__x000a_Lo anterior, toda vez que de la revisión a la PNT aún no se realiza el cambio solicitado. _x000a_ _x000a_Aplicación:                  SIGEMI_x000a_Tipo de Soporte:         CAMBIO DE MEDIO   _x000a_Observaciones:            _x000a_ _x000a_Su petición fue atendida_x000a_" u="1"/>
        <s v="Se aplica eliminación de respuesta al folio: 0000900467219." u="1"/>
        <s v="_x000a_Buenas tardes Berenice, tu petición fue atendida, favor de validar _x000a__x000a_Saludos _x000a__x000a_Marina Adame Velasco_x000a__x000a_Notificación de seguimiento  [  MA1305202001 ]  _x000a__x000a_Aplicación:                  INFOMEX OAXACA_x000a_Tipo de Soporte:         Ajuste de plazos    _x000a_Estatus:                               Concluido._x000a_" u="1"/>
        <s v="_x000a_Buenas tardes Berenice, tu petición fue atendida, favor de validar _x000a__x000a_Saludos _x000a__x000a_Marina Adame Velasco_x000a__x000a_Notificación de seguimiento  [  MA2409202013 ]  _x000a__x000a_Aplicación:                  INFOMEX OAXACA_x000a_Tipo de Soporte:         AJUSTE DE PLAZOS    _x000a_Estatus:                               Concluido._x000a_" u="1"/>
        <s v="Buenas tardes Guillermo, tu petición fue atendida, favor de validar _x000a__x000a_Saludos _x000a__x000a_Marina Adame Velasco_x000a__x000a_Notificación de seguimiento  [  MA1105202005 ]  _x000a__x000a_Aplicación:                  INFOMEX BCN_x000a_Tipo de Soporte:         REPORTES SOLICITADOS   _x000a_Estatus:                               Concluido._x000a__x000a_" u="1"/>
        <s v="Creación de los filtros para la búsqueda de solicitudes" u="1"/>
        <s v="CAMBIOS DE FECHAS" u="1"/>
        <s v="Notificación de seguimiento  [  MA1201202108 ]  _x000a_ _x000a_ _x000a_Estimado(a):                     Francisco Javier Lira Pérez_x000a_ _x000a_ _x000a_Le informamos que su ticket correspondiente a:_x000a_               _x000a_Buenos días, nos pueden apoyar para mover el “Comité de Transparencia de Instituto Municipal para el Desarrollo Cultural de San Nicolás de los Garza, Nuevo León ” debajo del su respectiva unidad de transparencia de “Instituto Municipal para el Desarrollo Cultural de San Nicolás de los Garza, Nuevo León ” en infomex, ya que creemos por eso no muestra “comité que recibe la solicitud”, al querer responder una solicitud._x000a__x000a_ _x000a_Aplicación:                  INFOMEX NL_x000a_Tipo de Soporte:         CAMBIO DE NIVEL DE DEPARTAMENTO  _x000a_Observaciones:            _x000a_ _x000a_Su petición fue atendida_x000a_" u="1"/>
        <s v="Se sustituye archivo adjunto del folio: 0064100456021" u="1"/>
        <s v="Notificación de seguimiento  [  MA1702202006 ]  _x000a_  _x000a_Estimado(a):                     Sergio Rafael Cortés Alpizar_x000a_ _x000a_Le informamos que su ticket correspondiente a:_x000a_               _x000a_Buen día, por medio del presente solicito su apoyo para que se cambie el medio de notificación a correo electrónico y se incluya el correo de la recurrente en la Plataforma Nacional de Transparencia del recurso de revisión:_x000a_ _x000a_RRD 0187/20 vs ISSSTE_x000a_ _x000a_El correo es: peque200305@hotmail.com._x000a_ _x000a_Ya que lo solicitó la recurrente a través de un alcance a su recurso de revisión._x000a__x000a_ _x000a_Aplicación:                  SIGEMI_x000a_Tipo de Soporte:         Cambio de medio y actualización de correo _x000a_Observaciones:            _x000a_ _x000a_" u="1"/>
        <s v="Notificación de seguimiento  [  MA1902202003 ]  _x000a_ _x000a_ _x000a_Estimado(a):                     Luis Javier Mendoza Rueda_x000a_ _x000a_Le informamos que su ticket correspondiente a:_x000a_               _x000a_Por un error se notificó como admisión el acuerdo del recurso de revisión identificado bajo la clave INFOCDMX/RR.IP.0344/2020, con número de folio 0417000321819._x000a__x000a_En virtud de lo anterior, se precisa que el paso en que actualmente se encuentra en recurso de revisión es preparación del proyecto, y se requiere se regrese al paso de ADMITIR/PREVENIR/DESECHAR. con el fin de realizar una prevención _x000a_ _x000a_ _x000a_Aplicación:                  SIGEMI_x000a_Tipo de Soporte:         REGRESO DE PASOS  _x000a_Observaciones:            _x000a_ _x000a_" u="1"/>
        <s v="Se apoya al usuario con solicitud Manual 6440000006820 (UNAM)" u="1"/>
        <s v="Estimacion backend pizarras 4" u="1"/>
        <s v="Se aplica eliminación de respuesta al folio: 0912000001620." u="1"/>
        <s v="Se contunuo con l maquetacion de el fimrulario y con la funcionalidad de los calendarios" u="1"/>
        <s v="_x000a_Notificación de seguimiento  [  MA1111202001 ]  _x000a_ _x000a_ _x000a_Estimado(a):                     Alondra Jiménez _x000a_ _x000a_ _x000a_Le informamos que su ticket correspondiente a:_x000a_               _x000a_Anexo el registro actualizado del certificado del Titular de la Unidad de Transparencia de la Comisión Nacional para el Uso Eficiente de la Energía, para su renovación en la Herramienta de Comunicación. _x000a_ _x000a_Aplicación:                  HCOM_x000a_Tipo de Soporte:         CAMBIO DE CERTIFICADO _x000a_Observaciones:            _x000a_ _x000a_Su petición fue atendida_x000a_" u="1"/>
        <s v="Notificación de seguimiento  [  MA1504202112 ]  _x000a_ _x000a_ _x000a_Estimado(a):                     JUAN PEDRO RAMIREZ FLORES_x000a_ _x000a_ _x000a_Le informamos que su ticket correspondiente a:_x000a_               _x000a_respecto a los recursos de revisión RRAIP-464/2021 y RRAIP-465/2021, se realicen las modificaciones pertinentes respecto a la captura del correo electrónico de la parte recurrente, toda vez que por un error involuntario, se capturó un correo electrónico diverso al correcto._x000a_Correo electrónico capturado: ciab.leon@yahoo.com.mx _x000a_Correo electrónico correcto: ciab.leon@yahoo.com_x000a_ _x000a_Aplicación:                  SIGEMI_x000a_Tipo de Soporte:         ACTUALIZAR CORREO   _x000a_Observaciones:            _x000a_ _x000a_Su petición fue atendida_x000a_" u="1"/>
        <s v="Notificación de seguimiento  [  MA2708202106 ]_x000a__x000a_Estimado(a):                Pedro Esquivel Martínez_x000a__x000a_ _x000a_ Le informamos que su ticket correspondiente a:_x000a_               _x000a_ por este medio Anexo el registro actualizado del certificado del Titular de la Unidad de Enlace de la “INSTITUTO PARA DEVOLVER AL PUEBLO LO ROBADO”.  Lo Anterior a fin de que sus accesos sean habilitados en los otros sistemas que administra este Instituto (HCOM).  CAMBIO DE  TITULAR, en cuanto se reciba la atención en HCOM se realizará la actualización de los demás sistemas correspondientes._x000a_ _x000a_Aplicación:                  HCOM_x000a_Tipo de Soporte:         CAMBIO DE TUT   _x000a_Observaciones:            _x000a_ _x000a_Su petición fue atendida_x000a_" u="1"/>
        <s v="Se testan los datos de la solicitud con folio: 0064101526821" u="1"/>
        <s v="Buenos días, les informo que el respaldo de su base de datos de esta semana ya está en el repositorio…   _x000a__x000a__x000a_http://documentos.inai.org.mx/tmp/infomexNL_backup_2021-06-21_0800.bak_x000a__x000a__x000a_ _x000a_Saludos Cordiales_x000a_ _x000a_Marina Adame Velasco       _x000a__x000a__x000a_Notificación de seguimiento  [  MA2106202102 ]_x000a_ _x000a_Aplicación:                  INFOMEX NUEVO LEÓN _x000a_Tipo de Soporte:         RESPALDO DE BD  _x000a__x000a_Estatus:                               Concluido_x000a__x000a_" u="1"/>
        <s v="Se testan los datos y sustituye archivo adjunto  del folio: 1816400161721 " u="1"/>
        <s v="Notificación de seguimiento  [  MA0907202001 ]  _x000a_ _x000a_ _x000a_Estimado(a):                     Betzabé Flores Terán_x000a_ _x000a_ _x000a_Le informamos que su ticket correspondiente a:_x000a_               _x000a_Solicito de su apoyo para actualizar en la Herramienta de Comunicación los certificados de los sujetos obligados de la base que se adjunta, ya que estos han vencido._x000a_ _x000a_ _x000a_Aplicación:                  HCOM   _x000a_Tipo de Soporte:         cambio de TUT   ( 10 )_x000a_" u="1"/>
        <s v="Notificación de seguimiento  [  MA1506202006 ]  _x000a_ _x000a_ _x000a_Estimado(a):                     Moisés Guzmán Arias_x000a_ _x000a_Le informamos que su ticket correspondiente a:_x000a_               _x000a__x000a_1. SICOM (Plataforma Nacional de Transparencia_x000a_En este caso se llevó a cabo la adecuación  del calendario el día 19 de marzo a las 16:05 hrs., en este caso les quiero pedir su apoyo para que se lleve a cabo la adecuación de las fechas de todos los recursos de revisión que se encuentran en proceso de sustanciación (incluyendo la modificación del envío de alegatos y manifestaciones) y procesos de cumplimiento y cuyos términos contemplen los días 17/03/2020 al 17/04/2020, en nuestro caso se deberán adecuar los términos de recursos que incluso hayan tenido actuaciones hasta  el día 19 de marzo a las 14:10hrs. Ya que la modificación del calendario de empezó a hacer el 19 de marzo y así paulatinamente hasta hoy que se aplicó para extender el periodo hasta el 30 de junio de 2020, se debe tomar en cuenta que el periodo de suspensión abarca desde el 16 de marzo de 2020 al 30 de junio de 2020_x000a__x000a__x000a_ _x000a_Aplicación:                  SIGEMI_x000a_Tipo de Soporte:         REVISIÓN DE PLAZOS  _x000a_Observaciones:            _x000a_ _x000a_Su petición fue atendida, se realizó la búsqueda de los fechas en los diferentes procesos,cumplimientos,sustanciación,alegatos, requerimientos y fechas limite de votación, tomando de referencia el 16 de marzo, solo se localizaron fechas limite de votación, mismas que adjunto, con la nueva fecha, para tu validación y proceder con la actualización._x000a__x000a_Quedamos atentos _x000a_" u="1"/>
        <s v="Se  testan los datos del folio: 0064101905521" u="1"/>
        <s v="Estimado José Manuel, te petición fue atendida, favor de validar_x000a__x000a_Saludos_x000a__x000a_Marina Adame_x000a__x000a__x000a_Notificación de seguimiento  [  MA0505202103 ]  _x000a_ _x000a_Aplicación:                  INFOMEX QUERÉTARO_x000a_" u="1"/>
        <s v="Se  testan los datos del folio: 0064101915521" u="1"/>
        <s v="Análisis de incidencia en solicitudes generadas con folio incorrecto, depencia INEGI clave 40100 y reinició de consecutivo" u="1"/>
        <s v="Se aplica eliminación de ultima respuesta al folio: 0001100056220." u="1"/>
        <s v="Notificación de seguimiento  [  MA1902202006 ]  _x000a_ _x000a_ _x000a_Estimado(a):                     Moisés Guzmán Arias_x000a_ _x000a_Le informamos que su ticket correspondiente a:_x000a_               _x000a_se modifique la fecha de cumplimiento a petición e instrucción de la Coordinación Jurídica por ampliación para el cumplimiento del recurso_x000a_ _x000a_RR-643/2019 Nueva fecha para cumplimiento 20  de febrero de 2020 y activarla para que pueda ser vista desde la bandeja de entrada del sujeto obligado ya que en la ampliación solicitada anteriormente no tomaron en cuenta los 3 días que tiene el sujeto obligado para poder enviar el informe y derivado de ello me están pidiendo que nuevamente se ajuste_x000a_ _x000a_Aplicación:                  SIGEMI_x000a_Tipo de Soporte:         AMPLIAR FECHA DE CUMPLIMIENTO   _x000a_Observaciones:            _x000a_ _x000a_Su petición fue atendida_x000a_ _x000a__x000a_" u="1"/>
        <s v="Se aplica testado de datos al folio:  0673800359120" u="1"/>
        <s v="Se cambia el tipo de solicitud del folio: 04111000009321" u="1"/>
        <s v="Adecuación request y creación de métodos para envió del tipo de formato seleccionado en datos abiertos" u="1"/>
        <s v="Generación de la orden de servicio" u="1"/>
        <s v="Se aplica testado de datos al folio: 0064103291020" u="1"/>
        <s v="Se envía seguimiento de la solicitud del folio: 1611100015419." u="1"/>
        <s v="Respaldar curso PNT-Secretaría de Acceso 1 de la plataforma anterior y restaurar en plataforma actual " u="1"/>
        <s v="Respaldar curso PNT-Secretaría de Acceso 2 de la plataforma anterior y restaurar en plataforma actual " u="1"/>
        <s v="Respaldar curso PNT-Secretaría de Acceso 3 de la plataforma anterior y restaurar en plataforma actual " u="1"/>
        <s v="Respaldar curso PNT-Secretaría de Acceso 4 de la plataforma anterior y restaurar en plataforma actual " u="1"/>
        <s v="Respaldar curso PNT-Secretaría de Acceso 5 de la plataforma anterior y restaurar en plataforma actual " u="1"/>
        <s v="Respaldar curso PNT-Secretaría de Acceso 6 de la plataforma anterior y restaurar en plataforma actual " u="1"/>
        <s v="Respaldar curso PNT-Secretaría de Acceso 7 de la plataforma anterior y restaurar en plataforma actual " u="1"/>
        <s v="Respaldar curso PNT-Secretaría de Acceso 8 de la plataforma anterior y restaurar en plataforma actual " u="1"/>
        <s v="Respaldar curso PNT-Secretaría de Acceso 9 de la plataforma anterior y restaurar en plataforma actual " u="1"/>
        <s v="Carga Masiva de Audios de Resolución." u="1"/>
        <s v="ALTA DEL SUJETO OBLIGADO RPS" u="1"/>
        <s v="Notificación de seguimiento  [  MA1403202202 ]_x000a__x000a_Estimado(a):                Lizbeth Adriana Cabrera Ortega_x000a__x000a_ _x000a_ Le informamos que su ticket correspondiente a:_x000a_               _x000a_la generación UN EXPEDIENTE BIS del recurso de revisión posteriormente citado._x000a_ _x000a_Asimismo, te comento que NO DEBERÁ CAMBIAR el sujeto obligado, ni el Comisionado correspondiente. _x000a_ _x000a_ DICE                                        DEBE DECIR                         SUJETO OBLIGADO           PONENTE_x000a_RRA 3449/22 RRA 12604/19-BIS SEDATU FJAL_x000a_ _x000a_No omito comentarte que el número de expediente que deberá seguir en el consecutivo por turnar en PNT debe ser el RRA 3449/22_x000a_ _x000a_Aplicación:                  SICOM_x000a_Tipo de Soporte:         CAMBIO A BIS  _x000a_Observaciones:            _x000a_ _x000a_Su petición fue atendida_x000a_ _x000a_" u="1"/>
        <s v="Notificación de seguimiento  [  MA1409202005 ]  _x000a_ _x000a_ _x000a_Estimado(a):                     Alma Lizbeth Peguero Rivera_x000a_ _x000a_Le informamos que su ticket correspondiente a:_x000a_               _x000a_Por medio de presente, solicito de la manera más atenta, su apoyo para retroceder los pasos en el sistema SIGEMI-SICOM en la PNT de los siguientes asuntos RRA 07690/20 BLIC, RRA 06905 BLIC , hasta la actividad “Registrar información de la sesión del pleno”, y en el siguiente recurso RRA 05304 OMGF solicitó eliminar uno de los registros ya que aparece doble el la PNT; sin más por el momento, quedo en espera de sus comentarios._x000a__x000a_ _x000a_Aplicación:                  SIGEMI_x000a_Tipo de Soporte:         REGRESO DE PASOS  (2) QUITAR DUPLICADO (1)_x000a_Observaciones:            _x000a_ _x000a_Su petición fue atendida_x000a_ _x000a_" u="1"/>
        <s v="Se aplica eliminación de formato de pago: 1127900001018" u="1"/>
        <s v="Se aplica el testado de datos de la solicitud: 0064100000120." u="1"/>
        <s v="Se sustituye archivo adjunto del folio: 1816800001020." u="1"/>
        <s v="Optimización de los tiempos de descarga de muestras SIPOT" u="1"/>
        <s v="Generar certificado para SOs obligado Fideicomiso DIF-Bosques de las Lomas" u="1"/>
        <s v="Nueva sección Infografías con permisos administrativos a Erwin Bautista" u="1"/>
        <s v="Se sustituye archivo adjunto del folio: 1816900001020." u="1"/>
        <s v="Desarrollo de pantalla Mis Quejas, revisión de código y validación de tanda de reglas de negocio continuación" u="1"/>
        <s v="Meeting explicación migración" u="1"/>
        <s v="COLSAN-FIDEICOMISO FONDO DE AHORRO DEL PERSONAL DE MANDOS MEDIOS Y SUPERIORES DEL COLEGIO DE SAN LUIS A.C. N° 030057-3Se realiza la baja en el sistema del  SO " u="1"/>
        <s v="Se aplica testado de datos personales: 0064100379320." u="1"/>
        <s v=" Notificación de seguimiento  [  MA2001202110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_x000a__x000a_ _x000a_Aplicación:                  INFOMEX NUEVO LEÓN_x000a_Tipo de Soporte:         AJUSTE DE PLAZOS   _x000a_" u="1"/>
        <s v="_x000a_Notificación de seguimiento  [  MA2510202105 ]_x000a__x000a_Estimado(a):                Pedro Esquivel Martínez_x000a__x000a_ _x000a_ Le informamos que su ticket correspondiente a:_x000a_               _x000a_por este medio Anexo el registro actualizado del certificado del Titular de la Unidad de Enlace de la “INSTITUTO NACIONAL PARA LA EDUCACIÓN DE LOS ADULTOS”.  Lo Anterior a fin de que sus accesos sean habilitados en los otros sistemas que administra este Instituto (HCOM).  CAMBIO DE  TITULAR, en cuanto se reciba la atención en HCOM se realizará la actualización de los demás sistemas correspondientes._x000a__x000a__x000a_ _x000a_Aplicación:                  HCOM          _x000a_Tipo de Soporte:         CAMBIO DE TUT   _x000a_Observaciones:            _x000a_ _x000a_Su petición fue atendida_x000a_ _x000a_" u="1"/>
        <s v="Notificación de seguimiento  [  MA2903202102 ]  _x000a_ _x000a_ _x000a_Estimado(a):                     BERENICE HERNÁNDEZ SUMANO_x000a_  _x000a_Le informamos que su ticket correspondiente a:_x000a_               _x000a_RESPALDO SEMANAL DE LA BASE DE DATOS INFOMEX_x000a_ _x000a_Aplicación:                  INFOMEX OAXACA_x000a_Tipo de Soporte:         RESPALDO   _x000a_Observaciones:            _x000a_ _x000a_Su petición fue atendida, se subió el respaldo de su base de datos de esta semana…_x000a__x000a__x000a_http://documentos.inai.org.mx/tmp/infomexOAX_backup_2021-03-29_0800.bak_x000a__x000a_" u="1"/>
        <s v="Instalación y pruebas de funcionalidad de campus Civil 2.1" u="1"/>
        <s v="Implementación de ReCaptcha para el login" u="1"/>
        <s v="Buscador de Google visible para todo mundo" u="1"/>
        <s v="Se hacen pruebas para solicitudes creadas " u="1"/>
        <s v="Actualización de infografía" u="1"/>
        <s v="funcionalidad para calcular fechas límite de respuestas, calculo de semaforos y plazos para respuesta por parte del solicitante" u="1"/>
        <s v="_x000a_Notificación de seguimiento  [  MA2909202003 ]  _x000a_ _x000a_ _x000a_Estimado(a):                     Laura Mónica Segovia Tellez_x000a_ _x000a_Le informamos que su ticket correspondiente a:_x000a_               _x000a_Sea cambiado el medio de notificación  del particular del recurso de revisión RRA 04472/20, ya que el domicilio no tiene los elementos suficientes para ser notificado por esto se pide el cambio a correo electrónico_x000a_El correo es el siguiente: Sanchezzz.022020@outlook.com_x000a__x000a__x000a_ _x000a_Aplicación:                  SIGEMI_x000a_Tipo de Soporte:         CAMBIO DE MEDIO   _x000a_Observaciones:            _x000a_ _x000a_Su petición fue atendida_x000a_" u="1"/>
        <s v="Notificación de seguimiento  [  MA1203202012 ]  _x000a_ _x000a_ _x000a_Estimado(a):                     Lizbeth Adriana Cabrera Ortega_x000a_ _x000a_Le informamos que su ticket correspondiente a:_x000a_               _x000a_COMO ACOREDAMOS PREVIAMENTE, LAS FALLAS GENERADAS POR EL SISTEMA O POR LA OMISIÓN EN LAS MODIFICACIONES SOLICITADAS DEL CAMBIO DE FECHA, SERÍAN ATENDIDAS POR USTEDES, EN EL CASO DE LOS TURNOS._x000a__x000a_COMO PUEDES VERIFICAR SE SOLICITÓ EL CAMBIO DE FECHA DE INTERPOSICIÓN, PREVIAMENTE A GENERARSE EL TURNO, USTEDES ICLUSO EXPONEN HABERLO ATENDIDO Y PERSÉ, EL ACUERDO SE GENERÓ CON LA FECHA DEL DÍA PREVIO SIN EL CAMBIO QUE SE HABÍA SOLICITADO._x000a__x000a_ _x000a_Aplicación:                  SIGEMI_x000a_Tipo de Soporte:         ACTUALIZACIÓN DE ACUERDOS ( 18)   _x000a_Observaciones:            _x000a_ _x000a_Su petición fue atendida_x000a_" u="1"/>
        <s v="Se aplica testado de datos al folio:  0064100440021" u="1"/>
        <s v="Modificaciones recepción solicitudes" u="1"/>
        <s v="Desarrollo de pantalla de listado de folios pagados y detalle" u="1"/>
        <s v="Definición y evaluación de herramienta para el tratamiento de la información" u="1"/>
        <s v="Realizar funcionalidad de filtros" u="1"/>
        <s v="Presentación de funcionalidad aplicación pnt" u="1"/>
        <s v="Notificación de seguimiento  [  MA0402202202 ]_x000a__x000a_Estimado(a):                Lizbeth Adriana Cabrera Ortega_x000a__x000a_ _x000a_ Le informamos que su ticket correspondiente a:_x000a_               _x000a_Con el gusto de saludarles me permito solicitar tu valioso apoyo respecto de la generación UN EXPEDIENTE BIS del recurso de revisión posteriormente citado._x000a_ _x000a_Asimismo, te comento que NO DEBERÁ CAMBIAR el sujeto obligado, ni el Comisionado correspondiente. _x000a_ _x000a_ DICE                                        DEBE DECIR                         SUJETO OBLIGADO           PONENTE_x000a_RRD 285/22 RRD 01631/20-BIS CONAMED JRV_x000a_ _x000a_No omito comentarte que el número de expediente que deberá seguir en el consecutivo por turnar en PNT debe ser el RRD 285/22_x000a__x000a_ _x000a_Aplicación:                  SICOM/SIGEMI_x000a_Tipo de Soporte:         CAMBIO A BIS  _x000a_Observaciones:            _x000a_ _x000a_Su petición fue atendida_x000a_" u="1"/>
        <s v="Se cambia el tipo de solicitud del folio: 0000600190621" u="1"/>
        <s v="Se aplica testado de datos al folio:  0002700344520" u="1"/>
        <s v="Se aplica eliminación de formato de pago: 1219000002820." u="1"/>
        <s v="Páginas e imagenes restantes" u="1"/>
        <s v="Servicio para restablecer contraseña" u="1"/>
        <s v="Se aplica testado de datos al folio: 0064103374120" u="1"/>
        <s v="Se procede a instalar las tecnologias a ocupar en el desarrollo y preparar el ambiente de trabajo" u="1"/>
        <s v="Se corrige incidencia en solicitud registrada en INFOMEX" u="1"/>
        <s v="Apoyo en las consultas y validación de la información generada con las bases de datos en custodia (casos de diversos estados)_x000a_Se genera un nuevo .csv con la información de adjuntos Url Origen / Url Destino esto de Ciudad de México año 2019 con el complemento del FOLIO para la extracción vía ftp. _x000a_Se inicia la extracción de archivos." u="1"/>
        <s v="Ajuste flujo seguimiento de actualizar respuesta queja" u="1"/>
        <s v="Sesion de avances pizarras 4" u="1"/>
        <s v="Se aplica eliminación de formato de pago: 0001200240221" u="1"/>
        <s v="Se aplica eliminación de formato de pago: 0001600220221" u="1"/>
        <s v="Se sustituye archivo del folio 011000031921" u="1"/>
        <s v="Se cambia el tipo de solicitud del folio: 0001100188521" u="1"/>
        <s v="Despliegue de las diez Resoluciones  " u="1"/>
        <s v="_x000a_Notificación de seguimiento  [  MA1606202009 ]  _x000a_ _x000a_ _x000a_Estimado(a):                     Sergio Rafael Cortés Alpizar_x000a_ _x000a_Le informamos que su ticket correspondiente a:_x000a_               _x000a_Por medio del presente, solicito el regreso de actividad a &quot;Preparación del Proyecto de Resolución&quot; y se elimine el desechamiento para volverlo a mandar del siguiente recurso de revisión:_x000a__x000a_RRA 3026/20 vs Aeropuerto Internacional de la Ciudad de México S.A. de C.V._x000a__x000a_Lo anterior se debe a que se anexo un archivo mal y se enviara de nuevo el cierre correcto._x000a__x000a__x000a_ _x000a_Aplicación:                  SIGEMI_x000a_Tipo de Soporte:         REGRESO DE PASOS  _x000a_Observaciones:            _x000a_ _x000a_Su petición fue atendida_x000a_ _x000a__x000a_" u="1"/>
        <s v="Marcadores en mapa" u="1"/>
        <s v="Se aplica eliminación de última respuesta de la solicitud: 0063700078220." u="1"/>
        <s v="Desarrollo de pantalla Mis Quejas, programación de funcionalidad continuación" u="1"/>
        <s v="Se  testan los datos del folio: 0064101917521" u="1"/>
        <s v="Plugin tabla con fechas en orden descendiente" u="1"/>
        <s v="Se aplica testado de datos al folio:  0000700045821 " u="1"/>
        <s v="Descargar archivos correspondientes a la OT y modificarlos " u="1"/>
        <s v="Notificación de seguimiento [ MA2301202002 ] _x000a_  _x000a_  _x000a_ Estimado(a): Lizbeth Adriana Cabrera Ortega_x000a_  _x000a_ Le informamos que su ticket correspondiente a:_x000a_  _x000a_ Agradezco de tu atención para cambiar al día hábil siguiente la fecha de interposición de los recursos citados a continuación:_x000a_ _x000a_ DEBE DECIR_x000a_ _x000a_ 22 DE ENERO_x000a_ _x000a_  _x000a_ Aplicación: SIGEMI_x000a_ Tipo de Soporte: Actualización de fecha de interposición" u="1"/>
        <s v="Generación de script de diccionarios de subtemas SIPOT" u="1"/>
        <s v="Se sustituye el archivo adjunto de la solicitud con folio 0063700407021" u="1"/>
        <s v="_x000a_Notificación de seguimiento  [  MA0511202002 ]  _x000a_ _x000a_ _x000a_Estimado(a):                     BERENICE HERNÁNDEZ _x000a_ _x000a_ _x000a_Le informamos que su ticket correspondiente a:_x000a_               _x000a_liberar las respuestas siguiente en el sistema Infomex Oaxaca. _x000a_• A. La solicitud corresponde a otra dependencia (3 días)_x000a_• E. Información gubernamental (5 días)_x000a_• H. Prevención (5 días)_x000a_Ya que me reportan que no son visibles, puesto que validan días hábiles que por el período de suspensión a algunos sujetos obligados les empiezan a correr a partir de hoy. Requiero que estén disponibles durante el día de hoy y hasta el día 11 de noviembre._x000a_ _x000a_Aplicación:                  INFOMEX OAXACA_x000a_Tipo de Soporte:         CAMBIO DE CONFIGURACIÓN _x000a_Observaciones:            _x000a_ _x000a_Su petición fue atendida_x000a_ _x000a_  _x000a_" u="1"/>
        <s v="Cambios área usuaria" u="1"/>
        <s v="Se testan los datos de la solicitud con folio: 0064101643321" u="1"/>
        <s v="Se sustituye archivo adjunto del folio: 0064100739620." u="1"/>
        <s v="_x000a_Notificación de seguimiento  [  MA2509202005 ]  _x000a_ _x000a_ _x000a_Estimado(a):                     Rosalinda Coria Mosqueda_x000a_ _x000a_Le informamos que su ticket correspondiente a:_x000a_               _x000a__x000a_Solicito su apoyo para regresar al paso de admitir/prevenir el recurso RRA 9095/20, en virtud de que seleccione admisión debiendo ser PREVENCIÓN._x000a__x000a__x000a_ _x000a_Aplicación:                  SIGEMI_x000a_Tipo de Soporte:         REGRESO DE PASOS  _x000a_Observaciones:            _x000a_ _x000a_Su petición fue atendida_x000a_ _x000a__x000a_" u="1"/>
        <s v="Se agregan las variables 'denominación o razón social' y 'tipo de derecho' en la administración de acuses" u="1"/>
        <s v="Se mapea y adapta una nueva pantalla desde las notificaciones de quejas" u="1"/>
        <s v="Se sustituye archivo adjunto  del folio:  0064100666821" u="1"/>
        <s v="Servicio de reportes por plazo de atencion , consulta  para la obtencion de informacion." u="1"/>
        <s v="Se aplica testado de datos al folio:  0002700361720" u="1"/>
        <s v=" _x000a_Buenas tardes Martha, tu petición fue atendida, favor de validar _x000a__x000a_Saludos _x000a__x000a_Marina Adame Velasco_x000a__x000a_Notificación de seguimiento  [  MA1106202005 ]  _x000a__x000a_Aplicación:                  INFOMEX NUEVO LEÓN _x000a_Tipo de Soporte:         Corrección de nombre de archivo adjunto   _x000a_Estatus:                               Concluido._x000a_" u="1"/>
        <s v="Crear y mapear la entidades de base de datos." u="1"/>
        <s v="Se aplica el cambio de modalidad para el folio: 0001100628619." u="1"/>
        <s v="Se cambia el tipo de solicitud del folio: 0001200359321" u="1"/>
        <s v=" _x000a_Notificación de seguimiento  [  MA1903202004 ]  _x000a_ _x000a_ _x000a_Estimado(a):                     JUAN PEDRO RAMIREZ FLORES_x000a_ _x000a_Le informamos que su ticket correspondiente a:_x000a_               _x000a_solicito se realicen los cambios necesarios  para que los números de recursos queden en su forma correcta Te envío relación de como deberían de quedar los recursos dentro de la misma plataforma._x000a__x000a_ _x000a_Aplicación:                  SIGEMI_x000a_Tipo de Soporte:         AJUSTE DE NÚMEROS DE FOLIOS  _x000a_Observaciones:            _x000a_ _x000a_Su petición fue atendida_x000a_ _x000a__x000a_" u="1"/>
        <s v="_x000a_Notificación de seguimiento  [  MA2311202004 ]  _x000a_ _x000a_ _x000a_Estimado(a):                     Iván Emmanuel Sánchez Morales_x000a_ _x000a_ _x000a_Le informamos que su ticket correspondiente a:_x000a_               _x000a_se regrese el paso de “notificación de admisión”, respecto del recurso de revisión RRD 01582/20 del Instituto Mexicano del Seguro Social. Lo anterior, para estar en condiciones de notificar la prevención correspondiente a través del paso respectivo._x000a__x000a_En virtud de lo señalado, hago de tu conocimiento que por un error involuntario, se gestionó el paso de admisión en vez del paso de prevención._x000a__x000a_En este sentido, te informo que el sujeto obligado ya fue notificado del error involuntario._x000a_ _x000a_Aplicación:                  SIGEMI_x000a_Tipo de Soporte:         REGRESO DE PASOS    _x000a_Observaciones:            _x000a_ _x000a_Su petición fue atendida_x000a_ _x000a_" u="1"/>
        <s v="Prueba uno de unificación de tablas SIPOT y SIPOT DETALLE" u="1"/>
        <s v="Atención de incidencias reportadas por QA" u="1"/>
        <s v="Se sustituye el archivo de la solicitud con  folio 0000600243021" u="1"/>
        <s v="Se sustituye archivo del folio 0064100567821" u="1"/>
        <s v="Se  testan los datos del folio:  0673800065121" u="1"/>
        <s v="Creacón de plantilla dinamica de respuestas, asi como el desarrollo de 6 componentes reutilizables llamados secciones" u="1"/>
        <s v=" Buenas tardes Martha, tu petición fue atendida, favor de validar _x000a__x000a_Saludos _x000a__x000a_Marina Adame Velasco_x000a__x000a_Notificación de seguimiento  [  MA0806202002 ]  _x000a__x000a_Aplicación:                  INFOMEX NUEVO LEÓN_x000a_Tipo de Soporte:         AJUSTE DE PLAZOS   _x000a_Estatus:                               Concluido._x000a_ _x000a__x000a_" u="1"/>
        <s v=" Buenas tardes Martha, tu petición fue atendida, favor de validar _x000a__x000a_Saludos _x000a__x000a_Marina Adame Velasco_x000a__x000a_Notificación de seguimiento  [  MA0806202007 ]  _x000a__x000a_Aplicación:                  INFOMEX NUEVO LEÓN_x000a_Tipo de Soporte:         AJUSTE DE PLAZOS   _x000a_Estatus:                               Concluido._x000a_ _x000a__x000a_" u="1"/>
        <s v="Se sustituye archivo adjunto  del folio: 0064101306021" u="1"/>
        <s v="Se aplica eliminación de formato de pago manual: 0001200538719." u="1"/>
        <s v="desarrollo para la obtencion de plazos en el acuse información desde la base de datos - setter del domicilio, folio interno cuando el solicitante o usuario que realiza la solicitud tiene perfil del CAS." u="1"/>
        <s v="Revisión de Candidatas a Recurso " u="1"/>
        <s v="El  IMSS reporta problemas para aplicar respuestas." u="1"/>
        <s v="Se orienta a los usuarios para la dependencia: SECRETARÍA DE HACIENDA Y CRÉDITO PÚBLICO (SHCP)" u="1"/>
        <s v="Rediseño de la pantalla inicial de app" u="1"/>
        <s v="Se aplica eliminación de formato de pago al folio: 0063700543619." u="1"/>
        <s v="Se realiza la baja en el sistema del  SO PRUEBA DE MONITOREO PNT 2016" u="1"/>
        <s v="Creación de servicios para update/save de información en la base de datos." u="1"/>
        <s v="Se aplica testado de datos personales: 0000700059320." u="1"/>
        <s v="Notificación de seguimiento  [  MA2309202004 ]  _x000a_ _x000a_ _x000a_Estimado(a):                     Sandra Robles Carrasco_x000a_ _x000a_Le informamos que su ticket correspondiente a:_x000a_               _x000a_En relación con el recurso de revisión RRD 00588/20 (FGR), solicito de su invaluable apoyo para que en la PNT se habilite como medio para oír y recibir notificaciones del recurrente el domicilio físico ubicado en: calle Prado Norte, número 135, piso 3, colonia Lomas de Chapultepec III Sección, Alcaldía Miguel Hidalgo, código postal 11000, Ciudad de México._x000a_ _x000a_Lo anterior, con el propósito de notificar al particular las actuaciones dictadas en el referido recurso de revisión pues, a través su escrito recursal (página 1) que se adjunta al presente, señaló a su domicilio físico como medio para oír y recibir notificaciones tal y como se desprende a continuación…_x000a_ _x000a_Aplicación:                  SIGEMI_x000a_Tipo de Soporte:         Cambio de medio y actualización de domicilio   _x000a_Observaciones:            _x000a_ _x000a_Su petición fue atendida_x000a_" u="1"/>
        <s v="Implementación validaciones y redireccionamiento dashboard solicitante" u="1"/>
        <s v="Se sustituye archivo adjunto  del folio: 1117100063821" u="1"/>
        <s v="Hola Moisés, envío los acuses que se localizaron, me indican que el otro no existe, puedes generarlo con la opción prueba de acuses, captura el folio y en archivo escribe recibo.xml_x000a__x000a_Saludos _x000a__x000a_Marina_x000a_" u="1"/>
        <s v="Realizar correcciones derivadas de las pruebas Implemtación del diseño de la solución (4 ó 1 servicio)" u="1"/>
        <s v="Notificación de seguimiento [ MA2901202002 ] _x000a_  _x000a_  _x000a_ Estimado(a): Oscar Graciano Aranda Leonel_x000a_  _x000a_ Le informamos que su ticket correspondiente a:_x000a_  _x000a_ Mediante el presente solicitó de su apoyo a efecto de que en el PNT se realicen los siguientes cambios:_x000a_ _x000a_ - Respecto del recurso de revisión RRA 16394/19 interpuesto en contra de la CFE, en la pestaña “Información del Recurrente”, se registre el siguiente correo electrónico: ximpatricia@outlook.com y en la pestaña “Información del medio de impugnación” se cambie el medio de notificación a CORREO ELECTRONICO._x000a_ _x000a_ Lo anterior a efecto de poder realizar las notificaciones respectivas._x000a_ _x000a_  _x000a_ Aplicación: SIGEMI_x000a_ Tipo de Soporte: CAMBIO DE MEDIO Y CORREO" u="1"/>
        <s v="Se  testan los datos de la solicitud con folio 1857200142021_x000a_ _x000a_" u="1"/>
        <s v="Se aplica testado de datos personales: 0000700057420 " u="1"/>
        <s v="Se orienta al usuario de UE para poder dar respuesta al solicitante." u="1"/>
        <s v="Maquetación y preparado del componente mis quejas" u="1"/>
        <s v="Diagnosticar, medir y ajustar del rendimiento de la base de datos" u="1"/>
        <s v="Revisar la informacion que se muestra en el front del  aplicativo comisiones abiertas, validar información en el esquema de base de datos" u="1"/>
        <s v="Generación de script para la descarga de muestra útil de tablas SISAI, SIGEMI-SICOM" u="1"/>
        <s v="Validación de información" u="1"/>
        <s v="_x000a_Buenas tardes Hugo, tu petición fue atendida, adjunto script, favor de validar, en caso de que requieran algun otro dato estoy a sus ordenes _x000a__x000a_Saludos _x000a__x000a_Marina Adame Velasco_x000a__x000a_Notificación de seguimiento  [  MA3009202007 ]  _x000a__x000a_Aplicación:                  INFOMEX CHIAPAS_x000a_Tipo de Soporte:         SCRIPT   _x000a_Estatus:                               Concluido._x000a__x000a_" u="1"/>
        <s v="Se sustituye archivo adjunto  del folio: 0064100332121" u="1"/>
        <s v="Pruebas unitarias y corrección de registro de nivel en rol" u="1"/>
        <s v="Se habilita a la nueva dependencia, así como el certificado solicitado: Fideicomiso Programa de becas SEP-UNAM-Fundación UNAM." u="1"/>
        <s v="Crear certificado para usuarios del Sujeto Obligado CONADE" u="1"/>
        <s v="Se aplica testado de datos al folio: 0064100545920." u="1"/>
        <s v="El acceso de VPN se tramitó en 3 días." u="1"/>
        <s v="Se corrige el endpoint encargado de crear el login con Twitter" u="1"/>
        <s v="Analisis de Administración " u="1"/>
        <s v=" _x000a_Hola Berenice, ya se subió el respaldo de su base de datos de esta semana…_x000a__x000a__x000a_http://documentos.inai.org.mx/tmp/infomexOAX_backup_2020-12_07_0800.bak_x000a__x000a_ _x000a_NOTA: El respaldo estará disponible una semana  _x000a_ _x000a_ _x000a_Saludos_x000a_ _x000a_                                                                                                                                                                            _x000a_Marina Adame Velasco_x000a_" u="1"/>
        <s v=" _x000a_Hola Berenice, ya se subió el respaldo de su base de datos de esta semana…_x000a__x000a__x000a_http://documentos.inai.org.mx/tmp/infomexOAX_backup_2020-12_14_0800.bak_x000a__x000a_ _x000a_NOTA: El respaldo estará disponible una semana  _x000a_ _x000a_ _x000a_Saludos_x000a_ _x000a_                                                                                                                                                                            _x000a_Marina Adame Velasco_x000a_" u="1"/>
        <s v=" _x000a_Hola Berenice, ya se subió el respaldo de su base de datos de esta semana…_x000a__x000a__x000a_http://documentos.inai.org.mx/tmp/infomexOAX_backup_2020-12_28_0800.bak_x000a__x000a_ _x000a_NOTA: El respaldo estará disponible una semana  _x000a_ _x000a_ _x000a_Saludos_x000a_ _x000a_                                                                                                                                                                            _x000a_Marina Adame Velasco_x000a_" u="1"/>
        <s v="Se aplica la respuesta de manera manual a la solicitud con folio: 0637000002520." u="1"/>
        <s v="Desarrollo y validación del Webservice para la creacion de avisos " u="1"/>
        <s v="Componente catalogo integrante (flujo de implementación servicio rest y respuesta) (Administrador) " u="1"/>
        <s v="Notificación de seguimiento  [  MA1407202202 ]_x000a__x000a__x000a_Estimado(a):               Edgar Michel Loaeza Martínez_x000a_ Le informamos que su ticket correspondiente a:_x000a__x000a_Por medio del presente solicito su valioso apoyo a efecto de realizar cambio del Titular de la Unidad de Transparencia de la Agencia Nacional de Aduanas de México (ANAM) con número de clave 06052, lo anterior, en virtud de que, ya cuentan con su propia Unidad de Transparencia._x000a__x000a_Para tal efecto, anexo al presente el certificado correspondiente, cédula de registro y nombramiento, lo anterior, a fin de que sus accesos sean habilitados en los sistemas que administra este Instituto (HCOM).  _x000a__x000a_Aplicación:                  HCOM_x000a_Tipo de Soporte:        CAMBIO DE TUT    _x000a_Observaciones:            _x000a_ _x000a_Su petición fue atendida._x000a__x000a_" u="1"/>
        <s v="Notificación de seguimiento [ MA1601202004 ] _x000a_  _x000a_  _x000a_ Estimado(a): Lizbeth Adriana Cabrera Ortega_x000a_  _x000a_ Le informamos que su ticket correspondiente a:_x000a_  _x000a_ Solicito de tu valioso apoyo a fin de que sea modificado el expediente electrónico del recurso RRA 16399/19 a fin de que la fecha de interposición sea _x000a_  _x000a_ 19 DE DICIEMBRE DE 2019._x000a_  _x000a_ Lo anterior ya que entró en su último día para la interposición del recurso en un horario inhábil._x000a_  _x000a_ Asimismo, te remito el acuerdo correspondiente en el cual ya consta la fecha del 19 de diciembre de 2019 para que sea adjuntado en el exp. Electrónico._x000a_  _x000a_ _x000a_  _x000a_ Aplicación: SIGEMI_x000a_ Tipo de Soporte: ACTUALIZACIÓN DE FECHA DE INTERPOSICIÓN Y REEMPLAZO DE ARCHIVO" u="1"/>
        <s v="Notificación de seguimiento  [  MA1303202005 ]  _x000a_ _x000a_ _x000a_Estimado(a):                     Tiara Gethsemanni Miranda Fuentes_x000a_ _x000a_Le informamos que su ticket correspondiente a:_x000a_               _x000a_Al momento de dar trámite a al Recurso de Revisión que se enlista a continuación, en el sistema SIGEMI-SICOM en la PNT, este me aparece activo varias veces, se encuentra repetido el siguiente paso “Registrar información de la sesión del pleno, por lo que solicito de la manera más atenta, eliminar uno de estos pasos y dejar solo una vez los siguientes pasos “Registrar información de la sesión del pleno” y dejar el paso de “Notificar por otro Medio”. Sin más por el momento, quedo en espera de tus comentarios._x000a_ _x000a_RRA 01842/20_x000a__x000a_ _x000a_Aplicación:                  SIGEMI_x000a_Tipo de Soporte:         Corrección de incidencia   _x000a_Observaciones:            _x000a_ _x000a_Su petición fue atendida_x000a_ _x000a_" u="1"/>
        <s v="Se orienta a usuario respecto al incidente presentado a PEMEX y que afectaron solicitudes de Información así como los consecutivos." u="1"/>
        <s v="Respaldo BD campus público" u="1"/>
        <s v="Se  testan los datos de la solicitud y modalidad con folio 1816400119721_x000a_ _x000a_" u="1"/>
        <s v="Buenas tardes Memo, tu petición fue atendida, favor de validar _x000a__x000a_Saludos _x000a__x000a_Marina Adame Velasco_x000a__x000a_Notificación de seguimiento  [  MA2905202006 ]  _x000a__x000a_Aplicación:                  INFOMEX BCN _x000a_Tipo de Soporte:         AJUSTE DE PLAZOS    _x000a_Estatus:                               Concluido._x000a__x000a_" u="1"/>
        <s v="Analisis de Solicitudes. " u="1"/>
        <s v="Se sustituye archivo adjunto del folio: 1816400023521" u="1"/>
        <s v="Modificación mockups línea acción, Objetivos Pizarras 4 de acuerdo con la junta de análisis procesó pizarras 4" u="1"/>
        <s v="Se cambia el tipo de solicitud del folio: 0063700158121" u="1"/>
        <s v="Script BD declaración inicial Maria Reyes" u="1"/>
        <s v="Pantalla principal de los avisos de la pnt." u="1"/>
        <s v="Se corrigió asignacion de DIRECCIÓN del SO FUERZA POR MÉXICO" u="1"/>
        <s v="Reunion de proyectos de datos personales " u="1"/>
        <s v="Carga de avisos de privacidad" u="1"/>
        <s v="Creación del modal para mostrar el seguimiento de la solicitud" u="1"/>
        <s v="WordPress - Sección Micrositios" u="1"/>
        <s v="Se aplica desechamiento para: 0002700438019." u="1"/>
        <s v="Se agregan url de servicio faltante y se corrige problema con un Bad certificate en las peticiones de android" u="1"/>
        <s v="Esquema de flujo de Declaración patrimonial" u="1"/>
        <s v="Definición de flujos para infraestructura " u="1"/>
        <s v="Se cambia el tipo de solicitud del folio: 0001200277121 " u="1"/>
        <s v="Desarrollo de logica para recibir servicios del back de notificaciones continuación" u="1"/>
        <s v="Se cambia el tipo de solicitud del folio: 00641003335420" u="1"/>
        <s v="agregar horarios del modulo administracion" u="1"/>
        <s v="Se elimina la respuesta del folio: 0001200403020" u="1"/>
        <s v="Se aplica cambio de modalidad de la solicitud:0064100503620 ." u="1"/>
        <s v="Se realizaron modificaciones solicitadas y corrección a bugs reportados de funcionalidades pasadas" u="1"/>
        <s v="Sesión presentación y explicación de la PNT. _x000a_Recorrido levantamiento solicitud." u="1"/>
        <s v="Investigación de folios" u="1"/>
        <s v="Notificación de seguimiento  [  MA2104202002 ]  _x000a_ _x000a_ _x000a_Estimado(a):                     Martha Rubí Zaragoza Mora_x000a_ _x000a_Le informamos que su ticket correspondiente a:_x000a_               _x000a_AJUSTE DE PLAZOS REQUERIDOS _x000a__x000a_ _x000a_Aplicación:                  INFOMEX NUEVO LEÓN_x000a_Tipo de Soporte:         AJUSTE DE PLAZOS   _x000a_Observaciones:            _x000a_ _x000a_Su petición fue atendida_x000a_ _x000a_ _x000a_            Favor de validar._x000a_ _x000a_Estatus:                               Concluido._x000a__x000a_" u="1"/>
        <s v="Se hace transferencia de conocimiento." u="1"/>
        <s v="Se aplica testado de datos al folio:  1816400059421" u="1"/>
        <s v="Notificación de seguimiento  [  MA1910202001 ]  _x000a_ _x000a_ _x000a_Estimado(a):                     Lizbeth Adriana Cabrera Ortega_x000a_ _x000a_Le informamos que su ticket correspondiente a:_x000a_               _x000a_Eliminar espacio en folio BIS RRA 4739/18-BIS_x000a__x000a_ _x000a_Aplicación:                  SIGEMI_x000a_Tipo de Soporte:         AJUSTE DE FOLIO   _x000a_Observaciones:            _x000a_ _x000a_Su petición fue atendida_x000a_" u="1"/>
        <s v="Notificación de seguimiento  [  MA1906202002 ]  _x000a_ _x000a_ _x000a_Estimado(a):                     Sergio Rafael Cortés Alpizar _x000a__x000a_Le informamos que su ticket correspondiente a:_x000a_               _x000a_Por medio del presente, solicito el regreso de actividad a &quot; Admitir / Prevenir / Desechar&quot; del siguiente recurso de revisión:_x000a__x000a_RRA 5656/20 vs CRE_x000a__x000a_Lo anterior se debe a que se anexo un archivo mal y se enviara de nuevo el acuerdo correcto._x000a__x000a_ _x000a_Aplicación:                  SIGEMI_x000a_Tipo de Soporte:         REGRESO DE PASOS  _x000a_Observaciones:            _x000a_ _x000a_Su petición fue atendida_x000a_ _x000a__x000a_ _x000a_" u="1"/>
        <s v="Pruebas con casos base" u="1"/>
        <s v="Se sustituye archivo adjunto de los folios enviados por la oficina de presidencia" u="1"/>
        <s v="Generación de certificados" u="1"/>
        <s v="Se revisó el acceso de usuario de CAS" u="1"/>
        <s v="Se hacen los cambios necesarios tras detectar el los esquemas nuevos en aquiles. Se validan casos encontrados en aquiles." u="1"/>
        <s v="Notificación de seguimiento  [  MA1007202003 ]  _x000a_ _x000a_ _x000a_Estimado(a):                     Betzabé Flores Terán_x000a_ _x000a_ _x000a_Le informamos que su ticket correspondiente a:_x000a_               _x000a_Solicito de su apoyo para actualizar en la Herramienta de Comunicación los certificados de los sujetos obligados de la base que se adjunta, ya que estos han vencido._x000a_ _x000a_ _x000a_Aplicación:                  HCOM   _x000a_Tipo de Soporte:         cambio de TUT   ( 13 )_x000a_" u="1"/>
        <s v="Se aplica testado de datos al folio: 1816400079220." u="1"/>
        <s v="se implementa un mount para la descarga de archivos masivos de SISAI, así como registros de prueba en base de datos, para que pase el proceso PL, el cual recupera toda la información de la solicitud, la respuesta, archivos adjuntos, fechas limites, en un archivo dedicado para la explotación de la información" u="1"/>
        <s v="Validación de información " u="1"/>
        <s v="_x000a_Notificación de seguimiento  [  MA0206202002 ]  _x000a_ _x000a_ _x000a_Estimado(a):                     Adriana Elizabeth Hernández García_x000a_ _x000a_Le informamos que su ticket correspondiente a:_x000a_               _x000a_Por medio del presente te solicito, si no existe inconveniente, el retroceso de paso del expediente relacionado con la resolución RRA 00953/20 al paso denominado “Registro de la Resolución Firmada” en la (PNT), ello a efecto de cargar el archivo correcto. _x000a_ _x000a_Aplicación:                  SIGEMI_x000a_Tipo de Soporte:         REGRESO DE PASOS  _x000a_Observaciones:            _x000a_ _x000a_Su petición fue atendida_x000a_ _x000a__x000a_" u="1"/>
        <s v="Se aplica testado de datos al folio: 011000009121" u="1"/>
        <s v="Validación de acceso a la información sobre los JSON compartidos para SISAI " u="1"/>
        <s v="Se aplica testado de datos personales: 0064100411920." u="1"/>
        <s v="Buenas tardes Horacio, el motivo del correo es contar con la evidencia de la capacitación impartida a los Estados, durante los días 19 y 20 de Octubre, referente al tema de ejecución de scripts para consultas estadísticas_x000a__x000a__x000a_Saludos _x000a__x000a_Marina Adame Velasco_x000a__x000a_Notificación de seguimiento  [  MA1910202016 ]  _x000a__x000a_Aplicación:                  INFOMEX BASE_x000a_Tipo de Soporte:         CAPACITACIÓN   _x000a_Estatus:                               Concluido._x000a__x000a_" u="1"/>
        <s v="Generación de script para la descarga de muestra útil de tablas SIPOT y SIPOT DETALLE" u="1"/>
        <s v="Se realizó un análisis de los requeriemientos de el sitio protai, y se preparo un ambien te pruebas en ambiente local para realizar el montaje , aun no se cuenta con el respaldo del sitio" u="1"/>
        <s v="Evalución y diseño de scripts de etiquetado" u="1"/>
        <s v="Se sustituye archivo adjunto del folio: 0064100739220." u="1"/>
        <s v="Notificación de seguimiento  [  MA2001202109 ]  _x000a_ _x000a_ _x000a_Estimado(a):                     Martha Rubí Zaragoza Mora_x000a_ _x000a_ _x000a_Le informamos que su ticket correspondiente a:_x000a_               _x000a_El presente correo es para pedir su amable apoyo para el ajuste de términos del folio debido al Acuerdo que enviaron los siguientes Sujetos Obligados a la COTAI el 2do periodo vacacional que corresponde del 21 de diciembre de 2020 al 05 de enero 2021; debiéndose considerar los días comprendidos como inhábiles. _x000a__x000a_ _x000a_Aplicación:                  INFOMEX NUEVO LEÓN_x000a_Tipo de Soporte:         AJUSTE DE PLAZOS   _x000a_" u="1"/>
        <s v="Notificación de seguimiento  [  MA2610202002 ]  _x000a__x000a_ _x000a__x000a_ _x000a__x000a_Estimado(a):                     Adriana Elizabeth Hernández Garcia_x000a__x000a_ _x000a__x000a_Le informamos que su ticket correspondiente a:_x000a__x000a_               _x000a__x000a_Por medio del presente te comento que en el paso denominado Registro de la Resolución Firmada relativo al recurso RRD 00538-20 aparece duplicado el paso._x000a__x000a_Al respecto, te solicito, si para ello no existe inconveniente, se elimine uno de los dos registros para estar en condición de cargar las fechas y continuar la notificación de la resolución._x000a__x000a_ _x000a__x000a_Aplicación:                  SIGEMI_x000a__x000a_Tipo de Soporte:         Quitar duplicado _x000a__x000a_Observaciones:            _x000a__x000a_ _x000a__x000a_Su petición fue atendida_x000a__x000a_ " u="1"/>
        <s v="Se aplica sustitución de archivo de la solicitud: 0064103677319" u="1"/>
        <s v="Se aplica testado de datos al folio:  0064100099621" u="1"/>
        <s v="Analisis general requerimiento front" u="1"/>
        <s v="Testado de datos y sustituir archivo adjunto  del folio:  1816700003221" u="1"/>
        <s v="Estimación nuevo sitio" u="1"/>
        <s v="Se sustituye archivo adjunto  del folio: 0001200128521" u="1"/>
        <s v="Ejecución de OT 4 Campus Garantes" u="1"/>
        <s v="Notificación de seguimiento  [  MA1711202202 ]_x000a__x000a_Estimado(a):                Edgar Michel Loaeza Martínez_x000a__x000a__x000a_ Le informamos que su ticket correspondiente a:_x000a__x000a__x000a_Estimados solicito su apoyo para que dicho certificado sea sustituido en el sistema Hcom._x000a__x000a_Para tal efecto adjunto base de datos y certificado que amablemente me generaron e hicieron llegar._x000a__x000a_Clave_x0009_Dependencia/entidad_x0009_Titular de la unidad de transparencia actual_x000a_16152_x0009_CONANP- Fideicomiso de administración, inversión y pago número 013 ANP Valle de Bravo_x0009_LILIANA LIZÁRRAGA MORALES_x000a__x000a_ _x000a__x000a_Aplicación:                 HCOM_x000a_Tipo de Soporte         ACTUALIZACIÓN DE CERTIFICADO  _x000a_" u="1"/>
        <s v="Cambio área usuaria" u="1"/>
        <s v="Buenas tardes a todos, adjunto a este correo, los scripts con las modificaciones que se definieron y que son las siguientes:_x000a__x000a_Quitar la referencia al archivo de respuesta de la solicitud_x000a_Quitar la referencia a la ruta del archivo de respuesta de la solicitud_x000a_Agregar el campo acto recurrido_x000a__x000a_Cualquier observación estoy a sus ordenes_x000a__x000a_Saludos_x000a__x000a_Marina Adame_x000a__x000a_" u="1"/>
        <s v="Desarrollo del servicio para la eliminacion de un usuario " u="1"/>
        <s v="Se  testan los datos del folio y se sustituye archivo: 0064101670821" u="1"/>
        <s v="_x000a_Notificación de seguimiento  [  MA1301202106 ]  _x000a_ _x000a_ _x000a_Estimado(a):                     Martha Rubí Zaragoza Mora_x000a_ _x000a_ _x000a_Le informamos que su ticket correspondiente a:_x000a_               _x000a_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_x000a_ _x000a_Aplicación:                  INFOMEX NL_x000a_Tipo de Soporte:         AJUSTE DE PLAZOS _x000a_" u="1"/>
        <s v="Se aplica testado de datos personales: 0064100361120." u="1"/>
        <s v="Estimado Moisés_x000a__x000a_Su petición fue atendida…_x000a_ _x000a_  _x000a_            Favor de validar._x000a_ _x000a_Estatus:                               Concluido._x000a__x000a__x000a_Notificación de seguimiento  [  MA0505202106 ]  _x000a_Aplicación:                  INFOMEX PUEBLA_x000a_Tipo de Soporte:         CORRECCIÓN DE ASIGNACIÓN   _x000a_" u="1"/>
        <s v="Notificación de seguimiento  [  MA0203202009 ]  _x000a_ _x000a_ _x000a_Estimado(a):                     Rafael González García_x000a_ _x000a_Le informamos que su ticket correspondiente a:_x000a_               _x000a_BAJA DEL SUJETO OBLIGADO CONADE-Fideicomiso para la infraestructura deportiva_x000a_ _x000a_Aplicación:                  HCOM_x000a_Tipo de Soporte:         BAJA DE SUJETO OBLIGADO   _x000a_Observaciones:            _x000a_ _x000a_Su petición fue atendida conforme a lo descrito al oficio anexo_x000a__x000a_ _x000a_            Favor de validar._x000a_ _x000a_Estatus:                               Concluido._x000a__x000a_" u="1"/>
        <s v="Notificación de seguimiento [ MA2701202002 ] _x000a_  _x000a_  _x000a_ Estimado(a): Lizbeth Adriana Cabrera Ortega_x000a_  _x000a_ Le informamos que su ticket correspondiente a:_x000a_  _x000a_ Solicito de su valioso apoyo a fin de modificar la fecha de interposición al día hábil siguiente:_x000a_ _x000a_ DEBE DECIR 24 DE ENERO._x000a_ _x000a_  _x000a_ Aplicación: SIGEMI_x000a_ Tipo de Soporte: Actualización de fecha de interposición _x000a_ Observaciones: _x000a_  _x000a_ Su petición fue atendida" u="1"/>
        <s v="Notificación de seguimiento [ MA3101202005 ] _x000a_  _x000a_  _x000a_ Estimado(a): Lizbeth Adriana Cabrera Ortega_x000a_  _x000a_ Le informamos que su ticket correspondiente a:_x000a_  _x000a_ SOLCIITO DE SU VALIOSO APOYO PARA CAMBIAR LA FECHA AL DÍA HÁBIL SIGUIENTE_x000a_ _x000a_ DEBE DECIR EL PRIMERO 29 DE ENERO Y 28 DE ENERO EL SEGUNDO Y TERCERO._x000a_ _x000a_ _x000a_  _x000a_ Aplicación: SIGEMI_x000a_ Tipo de Soporte: cambio de fecha _x000a_ Observaciones: _x000a_  _x000a_ Su petición fue atendida" u="1"/>
        <s v="_x000a_Notificación de seguimiento  [  MA1906202003 ]  _x000a_ _x000a_ _x000a_Estimado(a):                     Tiara Gethsemanni Miranda Fuentes_x000a_ _x000a_Le informamos que su ticket correspondiente a:_x000a_               _x000a_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_x000a_ _x000a_RRD 00 678/20_x000a_ _x000a_Aplicación:                  SIGEMI_x000a_Tipo de Soporte:         REGRESO DE PASOS  _x000a_Observaciones:            _x000a_ _x000a_Su petición fue atendida_x000a_ _x000a__x000a_" u="1"/>
        <s v="Notificación de seguimiento  [  MA1303202008 ]  Debe decir MA1303202010_x000a_ _x000a_ _x000a_Estimado(a):                     Luis Javier Mendoza Rueda_x000a_ _x000a_Le informamos que su ticket correspondiente a:_x000a_               _x000a_se solicita eliminar el correo sabinocervantes@yahoo.com.mx ya que este no corresponde a dicha solicitud _x000a_ _x000a_Aplicación:                  SIGEMI_x000a_Tipo de Soporte:         CAMBIO DE CORREO _x000a_Observaciones:            _x000a_ _x000a_Su petición fue atendida_x000a_" u="1"/>
        <s v="Desarrollo del Reporte Estatus, aregando los filtros de periodo de tiempo en el back para los servicios." u="1"/>
        <s v="Configuracion del respnse al consumir el token y devolver estatus 401" u="1"/>
        <s v="Incorporacion de plugin para inicio de sesion con Google" u="1"/>
        <s v="Implementación de Clusterización en 6 Servidores Pre-Productivos Solar" u="1"/>
        <s v="Desarrollo de la funcionalidad para presentar el detalle de los registros para obligaciones" u="1"/>
        <s v="Se cambia el texto que se muestra cuando no existen resultados en buscador de obligaciones" u="1"/>
        <s v="Analisis de reporte de Bitacora de servicios de soporte " u="1"/>
        <s v="Notificación de seguimiento  [  MA2809202009 ]  _x000a_ _x000a_ _x000a_Estimado(a):                     Laura Mónica Segovia Tellez_x000a_ _x000a_Le informamos que su ticket correspondiente a:_x000a_               _x000a_Te comento que notifique el RRA 7702/20, el cuales un acuerdo de ampliación, la plataforma se tardó en responder y me marco error, en el histórico de acuses aparece el del particular, pero no el del Sujeto Obligado y en el tablero ya marca la ampliación._x000a__x000a_Cabe señalar que el recurso el día de hoy es su día 40._x000a__x000a__x000a_ _x000a_Aplicación:                  SIGEMI_x000a_Tipo de Soporte:         revisión de actividad   _x000a_Observaciones:            _x000a_ _x000a_Te comento que se generaron 2 acuses relacionados con la actividad de ampliación_x000a__x000a_" u="1"/>
        <s v="Incorporacion de plugin para inicio de sesion con Twitter" u="1"/>
        <s v="Notificación de seguimiento  [  MA1304202103 ]  _x000a_ _x000a_ _x000a_Estimado(a):                     Betzabé Flores Terán_x000a_ _x000a_ _x000a_Le informamos que su ticket correspondiente a:_x000a_               _x000a_realizar la modificación en la herramienta de comunicación del .cer que se adjunta, toda vez que hubo un cambio en el Titular de la Unidad de Transparencia._x000a_ _x000a_Aplicación:                  HCOM_x000a_Tipo de Soporte:         CAMBIO TUT   _x000a_Observaciones:            _x000a_ _x000a_Su petición fue atendida_x000a_" u="1"/>
        <s v="Se testan los datos de la solicitud con folio: 0064101435321" u="1"/>
        <s v="Notificación de seguimiento  [  MA1801202102 ]  _x000a_ _x000a_ _x000a_Estimado(a):                     BERENICE HERNÁNDEZ SUMANO_x000a_  _x000a_Le informamos que su ticket correspondiente a:_x000a_               _x000a_RESPALDO SEMANAL DE LA BASE DE DATOS INFOMEX_x000a_ _x000a_Aplicación:                  INFOMEX OAXACA_x000a_Tipo de Soporte:         RESPALDO   _x000a_Observaciones:            _x000a_ _x000a_Su petición fue atendida, se subió el respaldo de su base de datos de esta semana…_x000a__x000a__x000a_http://documentos.inai.org.mx/tmp/infomexOAX_backup_2021-01-18_0800.bak_x000a__x000a__x000a_" u="1"/>
        <s v="Se sustituye archivo adjunto  del folio:  0673800027021" u="1"/>
        <s v="Respaldar Curso 5 de PA-ENEDA  de la plataforma anterior y restaurar en plataforma actual " u="1"/>
        <s v="Se aplica sustitución de archivo de la solicitud: 0002700016820" u="1"/>
        <s v="Definición de herramienta para correcta lectura de formatos" u="1"/>
        <s v="Notificación de seguimiento  [  MA0403202003 ]  _x000a_ _x000a_ _x000a_Estimado(a):                     Rosalinda Coria Mosqueda_x000a_ _x000a_Le informamos que su ticket correspondiente a:_x000a_               _x000a__x000a_Agradeceré su apoyo para regresar el recurso RRD 0264/20 en contra del INFONAVIT, a la actividad de admitir/prevenir, toda vez que se adjuntó un archivo diferente._x000a__x000a__x000a_ _x000a_Aplicación:                  SIGEMI_x000a_Tipo de Soporte:         REGRESO DE PASOS  _x000a_Observaciones:            _x000a_ _x000a_Su petición fue atendida_x000a_" u="1"/>
        <s v="Se sustituye archivo adjunto  del folio:  1816400025621" u="1"/>
        <s v="Atención de las incidencias reportadas por el equipo de calidad y desarrollo del módulo de unidad de transparencia" u="1"/>
        <s v="Modificar login y agregar nuevo modal" u="1"/>
        <s v="funcionalidad opciones avanzadas " u="1"/>
        <s v="Se sustituye archivo del folio 0001200127321" u="1"/>
        <s v="Notificación de seguimiento  [  MA0308202113 ]_x000a__x000a_Estimado(a):                Pedro Esquivel Martínez_x000a__x000a_ _x000a_ Le informamos que su ticket correspondiente a:_x000a_               _x000a_por este medio Anexo el registro actualizado del certificado del Titular de la Unidad de Enlace de la “TALLERES GRÁFICOS DE MÉXICO”.  Lo Anterior a fin de que sus accesos sean habilitados en los otros sistemas que administra este Instituto (HCOM).  CAMBIO DE  TITULAR, en cuanto se reciba la atención en HCOM se realizará la actualización de los demás sistemas correspondientes._x000a__x000a_ _x000a_Aplicación:                  HCOM_x000a_Tipo de Soporte:         CAMBIO DE TUT  _x000a_" u="1"/>
        <s v="Despliegue de archivos binarios de Resolución almacenados en BD." u="1"/>
        <s v="Del proceso que se ejecutó para los estados de Aguascalientes (347) y Quintana Roo (222) concluyó sin recuperar ningún adjuntos adicional a los recuperados en la ejecución original. _x000a_Continúa el análisis por entidad en consulta directa (Ingreso al sitio, consulta por folio y validación del adjunto)  para tratar de ubicar el método de identificación de adjuntos y proceder con la recuperación de faltantes de los estados con menor numero de faltantes donde no se localizaron un total de ( 3,825 ) adjuntos. " u="1"/>
        <s v="Notificación de seguimiento  [  MA2105202108 ]  _x000a_ _x000a_ _x000a_Estimado(a):                     Pedro Esquivel Martínez_x000a_ _x000a_ _x000a_Le informamos que su ticket correspondiente a:_x000a_               _x000a_actualización del certificado, al haber un cambio de Titular del siguiente cuadro descriptivo; inclusive actualizando los datos del sujeto obligado alopezm@institutomora.edu.mx en el HCOM._x000a_ _x000a_Aplicación:                  HCOM_x000a_Tipo de Soporte:         CAMBIO TUT   (2)_x000a_Observaciones:            _x000a_ _x000a_Su petición fue atendida_x000a_" u="1"/>
        <s v="Se aplica eliminación de respuesta al folio: 0001600508619" u="1"/>
        <s v="Se testan datos y sustituye el archivo adjunto de la solicitud con folio  0064102186321_x000a__x000a_" u="1"/>
        <s v="Se localizan datos de la solicitud: 0422000015319." u="1"/>
        <s v="Se aplica testado de datos al folio: 0000700108020." u="1"/>
        <s v="Reportan problemas con el proceso de semáforos para desechar solicitudes" u="1"/>
        <s v="Notificación de seguimiento [ MA2301202003 ] _x000a_  _x000a_  _x000a_ Estimado(a): Marco Antonio Pereyra Rodríguez_x000a_  _x000a_ Le informamos que su ticket correspondiente a:_x000a_  _x000a_ Sirva el presente para enviarte un cordial saludo, al mismo tiempo hago de tu conocimiento que el día de ayer por la tarde se envió un requerimiento a los Sujetos Obligados de esta Dirección General de Enlace, pero el sistema no arrojaba el acuse correspondiente y se volvía a habilitar el botón de envío. Fue en el tercer intento donde ya se pudo obtener el acuse. Sin embargo, me he percatado que el requerimiento se envió más de una vez. _x000a_ _x000a_ En virtud de lo anterior, solicito de manera atenta y respetuosa tu apoyo para dar de baja de la Herramienta de Comunicación los siguientes requerimientos:_x000a_ _x000a_ • IFAI-REQ-000184-2020_x000a_ • IFAI-REQ-000185-2020_x000a_ _x000a_  _x000a_ Aplicación: HCOM_x000a_ Tipo de Soporte: ELIMINAR REQUERIMIENTOS _x000a_ Observaciones: _x000a_  _x000a_ Su petición fue atendida_x000a_  _x000a_ _x000a_  _x000a_  Favor de validar._x000a_  _x000a_ Estatus: Concluido." u="1"/>
        <s v="Implementación cálculos por medio reproducción seleccionado" u="1"/>
        <s v="Se generan 2 certificados para las dependencias con claves: 07151,07152." u="1"/>
        <s v="Baja de Sujeto Obligado &quot;Agencia de Servicios a la Comercialización y Desarrollo de Mercados Agropecuarios”, con número de clave 08100." u="1"/>
        <s v="Se  testan los datos del folio: 3670000018021  " u="1"/>
        <s v="cambio de modalidad solicitud 0064103117720" u="1"/>
        <s v="Se cambian colores de campos deshabilitados en perfil&gt;estaditicos" u="1"/>
        <s v="Notificación de seguimiento  [  MA1810202201 ]_x000a__x000a_Estimado(a):                Lizbeth Adriana Cabrera Ortega_x000a_ _x000a_ Le informamos que su ticket correspondiente a:_x000a_ _x000a_generación UN EXPEDIENTE BIS del recurso de revisión posteriormente citado._x000a_ _x000a_Asimismo, te comento que NO DEBERÁ CAMBIAR el sujeto obligado, ni el Comisionado correspondiente. _x000a_ _x000a_ DICE                                        DEBE DECIR                         SUJETO OBLIGADO           PONENTE_x000a__x000a_RRA 17053/22_x0009_RRA 09464/20-BIS_x0009_SEDENA_x0009_AAM_x000a_ _x000a_No omito comentarte que el número de expediente que deberá seguir en el consecutivo por turnar en PNT debe ser el RRA 17053/22_x000a__x000a_ _x000a_Aplicación:                 SICOM_x000a_Tipo de Soporte        CAMBIO A EXPEDIENTE BIS" u="1"/>
        <s v="Pruebas Aplicación PNT " u="1"/>
        <s v="Se sustituye archivo adjunto  del folio:  0673800027521" u="1"/>
        <s v="Se habilita el acceso para dos usuarios: Ana Laura Gómez  y Luis David Trinidad Hernández en prodatos" u="1"/>
        <s v="Notificación de seguimiento  [  MA1702202010 ]  _x000a_ _x000a_ _x000a_Estimado(a):                     Berenice Hernández Sumano_x000a_ _x000a_Le informamos que su ticket correspondiente a:_x000a_               _x000a_Buena tarde Marina y Horacio, no recibí el correo adjunto dónde me informaron que los diagramas enviados no empataban con la configuración de producción._x000a__x000a_Confirmo a través de este medio que se ejecute en ambiente productivo el cambio compartido en la consulta SQL para afectación del plazo en el paso contestación SO proceso Recurso de Revisión, con el fin de homologar los sistemas Infomex y SICOM. _x000a__x000a_-- Actualiza 1 registro _x000a_UPDATE PROCESOTIPOPASO SET TIEMPOVERDEAMARILLO = 4, TIEMPOAMARILLOROJO = 7, _x000a_TIEMPOALERTA = 3, TIEMPOCADUCIDAD = 7,GUIDCALENDARIO = 'b293d09f-bed2-4bdd-a04b-dfee9e968ef9'_x000a_WHERE GUIDPROCESOTIPOPASO = '20160811-1322-2500-1630-a6d0c5ccf923'_x000a__x000a_ _x000a_Aplicación:                  INFOMEX OAXACA_x000a_" u="1"/>
        <s v="Desarrollo de frontend" u="1"/>
        <s v="Notificación de seguimiento  [  MA0712202002 ]  _x000a_  _x000a_Estimado(a):                     Berenice Hernández Sumano_x000a_  _x000a_Le informamos que su ticket correspondiente a:_x000a_               _x000a_adjunto el documento con los folios que requieren corrección de la fecha de caducidad por el error reportado en el cálculo de prórroga. Atendiendo la recomendación que me hicieron llegar para no modificar la configuración del proceso._x000a_ _x000a_Aplicación:                  INFOMEX OAXACA_x000a_Tipo de Soporte:         AJUSTE DE PLAZOS _x000a_Observaciones:            _x000a_ _x000a_Su petición fue atendida_x000a_" u="1"/>
        <s v="Notificación de seguimiento  [  MA1308202104 ]_x000a__x000a_Estimado(a):                Edgar Michel Loaeza Martínez_x000a__x000a_ _x000a_ Le informamos que su ticket correspondiente a:_x000a_               _x000a_Estimados Solicito su apoyo para reestablecer la contraseña del sistema hcom._x000a__x000a_Al respecto el sujeto obligado informa que no tienen acceso al sistema después de que la reestablecieron y no ha recibido correo alguno que indique cual es la nueva._x000a_ _x000a_Aplicación:                  HCOM_x000a_Tipo de Soporte:         CAMBIO DE CONTRASEÑA  _x000a_Observaciones:            _x000a_ _x000a_Su petición fue atendida_x000a_" u="1"/>
        <s v="Notificación de seguimiento  [  MA1709202008 ]  _x000a_ _x000a_ _x000a_Estimado(a):                     Rosalinda Coria Mosqueda_x000a_ _x000a_Le informamos que su ticket correspondiente a:_x000a_               _x000a_Agradeceré su apoyo para regresar a la actividad de admitir/desechar el recurso RRA 8755/20, pues es un asunto de SEMARNAT, y en los meses anteriores se había notificado una admisión, pero están suspendidos los plazos para ese Sujeto Obligado_x000a_ _x000a_Aplicación:                  SIGEMI_x000a_Tipo de Soporte:         REGRESO DE PASOS  _x000a_Observaciones:            _x000a_ _x000a_Su petición fue atendida_x000a_" u="1"/>
        <s v="Notificación de seguimiento  [  MA2004202108 ]  _x000a_ _x000a_ Estimado(a):                     Martha Rubí Zaragoza Mora_x000a_  _x000a_Le informamos que su ticket correspondiente a:_x000a_               _x000a_El presente correo es para pedir su amable apoyo para el ajuste de términos de los folios debido al primer periodo vacacional del año 2021 que envió el sujeto obligado con su acuerdo y se configuro el calendario correspondiente…_x000a_ _x000a_Aplicación:                  INFOMEX NUEVO LEÓN_x000a_Tipo de Soporte:         AJUSTE DE PLAZO    _x000a_Observaciones:            _x000a_ _x000a_Su petición fue atendida_x000a_" u="1"/>
        <s v="Generar certificado para SOs obligados SEDENA" u="1"/>
        <s v="Creación de tablero principal y su paginación para la opción de “Solicitudes pendientes”" u="1"/>
        <s v="Se aplica eliminación de ultima respuesta al folio: 0001200028920." u="1"/>
        <s v="Notificación de seguimiento  [  MA0704202108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12 de abril al 14 de junio 2021; debiéndose considerar los días comprendidos dentro de dicho periodo como inhábiles para evitar la propagación del coronavirus COVID-19._x000a_ _x000a_Aplicación:                  INFOMEX NUEVO LEÓN_x000a_Tipo de Soporte:         AJUSTE DE PLAZOS   _x000a_" u="1"/>
        <s v="Integrantes del SNT" u="1"/>
        <s v="Analisis de Gestión Interna " u="1"/>
        <s v="Notificación de seguimiento  [  MA1711202004 ]  _x000a_ _x000a_ _x000a_Estimado(a):                     Berenice Hernández Sumano_x000a_ _x000a_ _x000a_Le informamos que su ticket correspondiente a:_x000a_               _x000a_Por este medio solicito el cambio de los acuses utilizados para generar el comprobante de solicitud de Acceso a la Información y Datos Personales en el sistema Infomex Oaxaca. adjunto a este correo encontrará el formato .xml de cada uno ellos._x000a__x000a_ _x000a_Aplicación:                  INFOMEX OAXACA_x000a_Tipo de Soporte:         CAMBIO DE FORMATOS XML  _x000a_Observaciones:            _x000a_ _x000a_Su petición fue atendida_x000a_" u="1"/>
        <s v="Notificación de seguimiento  [  MA2805202003 ]  _x000a_ _x000a_ _x000a_Estimado(a):                     Karen Nayelli Muñiz Rebolledo_x000a_ _x000a_Le informamos que su ticket correspondiente a:_x000a_               _x000a_Solicito su apoyo para que me ayuden a regresar los pasos en los siguientes recursos, a efecto de subir de nueva cuenta las versiones finales :_x000a__x000a_RRA 01353/20 vs IMSS_x000a_RRA 01953/20 vs CRE_x000a_RRA 01963/20 vs CRE_x000a_RRA 02103/20 vs CRE_x000a_RRA 02213/20 Y ACUM vs CRE_x000a__x000a_ _x000a_Aplicación:                  SIGEMI_x000a_Tipo de Soporte:         REGRESO DE PASOS (5) _x000a_Observaciones:            _x000a_ _x000a_Su petición fue atendida_x000a_" u="1"/>
        <s v="Modificar las vistas materializadas para que consulten las nuevas tablas del esquema postges" u="1"/>
        <s v="Se cambia el tipo de solicitud del folio: 0063700361521" u="1"/>
        <s v="Se  testan los datos del folio: 0320000423621" u="1"/>
        <s v="_x000a_Notificación de seguimiento  [  MA2603202102 ]  _x000a_ _x000a_ _x000a_Estimado(a):                     Edgar Michel Loaeza Martínez_x000a_ _x000a_ _x000a_Le informamos que su ticket correspondiente a:_x000a_               _x000a_Para tal efecto, anexo al presente el nuevos certificado; lo anterior, a fin de que sus accesos sean habilitados en los sistemas que administra este Instituto._x000a__x000a_DEPENDENCIA/ENTIDAD CLAVE DE SUJETO OBLIGADO TITULAR DE UNIDAD DE TRANSPARENCIA CERTIFICADO ACTUAL CORREO ELECTRÓNICO_x000a_Fid. 122.- BENJAMÍN HILL TRABAJADORES F.F.C.C. SONORA-BAJA CALIFORNIA 09003 _x000a_María del Rocio Bello Castillo 09003.Maria.Bello.Castillo. maria.bello@sct.gob.mx_x000a__x000a__x000a_ _x000a_Aplicación:                  HCOM_x000a_Tipo de Soporte:         CAMBIO TUT   _x000a_" u="1"/>
        <s v="Se aplica testado de datos al folio: 0064102874120" u="1"/>
        <s v="Se genero certificado para SENADO" u="1"/>
        <s v="Se elimina la respuesta del folio: 1026500024421" u="1"/>
        <s v="Se aplica eliminación de formato de pago: 0410000000221" u="1"/>
        <s v="Se testan los datos de la solicitud con folio: 0064101439321" u="1"/>
        <s v="Buenos días Martha, tu petición fue atendida, favor de validar _x000a__x000a_Saludos _x000a__x000a_Marina Adame Velasco_x000a__x000a_Notificación de seguimiento  [  MA1504202004 ]  _x000a__x000a_Aplicación:                  INFOMEX NUEVO LEÓN_x000a_Tipo de Soporte:         CAMBIO DE PLAZO    _x000a_Estatus:                               Concluido._x000a__x000a_" u="1"/>
        <s v="Se consultan datos de la solicitud 0064101467121" u="1"/>
        <s v="Se agregan validaciones al momento de genear busqueda" u="1"/>
        <s v="Notificación de seguimiento  [  MA2708202004 ]  _x000a_ _x000a_ _x000a_Estimado(a):                     Sergio Rafael Cortés Alpizar_x000a_ _x000a_Le informamos que su ticket correspondiente a:_x000a_               _x000a_Por medio del presente, solicito se regrese la actividad a &quot;Preparación del Proyecto de Resolución&quot;  del siguiente recurso de revisión:_x000a__x000a_RRA 7876/20 vs Comisión Reguladora de Energía_x000a__x000a_Lo anterior se debe a que se va a corregir el proyecto de resolución y se volverá a enviar._x000a__x000a_ _x000a_Aplicación:                  SIGEMI_x000a_Tipo de Soporte:         REGRESO DE PASOS  _x000a_Observaciones:            _x000a_ _x000a_Su petición fue atendida_x000a_" u="1"/>
        <s v="Se  testan los datos del folio:  0064101344021" u="1"/>
        <s v="Se cambia el tipo de solicitud del folio: 0063500045921" u="1"/>
        <s v="Entidad catalogo integrante lado publico " u="1"/>
        <s v="Generar certificados para indirectos SEDENA" u="1"/>
        <s v="Notificación de seguimiento  [  MA3003202006 ]  _x000a_ _x000a_ _x000a_Estimado(a):        Hiriam Eduardo Pérez Vidal             _x000a_ _x000a_Le informamos que su ticket correspondiente a:_x000a_               _x000a_Ssolicito su apoyo para realizar cambio de Sujeto Obligado y Número de Folio en el INFOCDMX/RR.IP.1365/2020:_x000a__x000a__x000a__x000a_SUJETO OBLIGADO:_x000a__x000a_Error: Secretaría del Medio Ambiente_x000a__x000a_Corrección: CONGRESO DE LA CIUDAD DE MÉXICO._x000a__x000a__x000a__x000a_NÚMERO DE FOLIO:_x000a__x000a_Error: 0112000047120_x000a__x000a_Corrección: 5003000040520_x000a__x000a__x000a_ _x000a_Aplicación:                  SIGEMI_x000a_Tipo de Soporte:         Corrección de datos   _x000a_Observaciones:            _x000a_ _x000a_Su petición  Ticket #PNT003434  fue atendida_x000a_ _x000a_ _x000a_            Favor de validar._x000a_ _x000a_Estatus:                               Concluido._x000a__x000a_" u="1"/>
        <s v="Notificación de seguimiento  [  MA1706202010 ]  _x000a_ _x000a_ _x000a_Estimado(a):                     Laura Mónica Segovia Téllez_x000a_ _x000a_Le informamos que su ticket correspondiente a:_x000a_               _x000a_Solicito su amable apoyo a fin de que sea cambiado el medio de notificación de domicilio físico a correo electrónico, ya que inicialmente el particular en la interposición del recurso proporcionó un correo electrónico y este también corresponde a la comunicación inicial._x000a__x000a_El correo es grlidia@hotmail.com _x000a_ _x000a_Aplicación:                  SIGEMI_x000a_Tipo de Soporte:         CAMBIO DE MEDIO Y CORREO   _x000a_Observaciones:            _x000a_ _x000a_Su petición fue atendida_x000a_" u="1"/>
        <s v="Se testan  5 solicitudes del SO CFE" u="1"/>
        <s v="Se aplica RIAS a solicitudes: _x000a_0612100047919,0612100048019,0612100048119,0612100048219." u="1"/>
        <s v="Evaluación y diseño de scprits para muestreo de etiquetas" u="1"/>
        <s v="Modificación de servicos para la consulta de usuarios" u="1"/>
        <s v="Ambientación para campus Organismos Garantes versión 3.7.3" u="1"/>
        <s v="_x000a_Buenas tardes Gilberto, adjunto scripts de lo que entendí te solicitan, favor de validar _x000a__x000a_Saludos _x000a__x000a_Marina Adame Velasco_x000a__x000a_Notificación de seguimiento  [  MA2107202006 ]  _x000a__x000a_Aplicación:                  INFOMEX Guanajuato_x000a_Tipo de Soporte:         Scripts   _x000a_Estatus:                               Concluido._x000a__x000a_" u="1"/>
        <s v="_x000a_Notificación de seguimiento  [  MA1103202116 ]  _x000a_ _x000a_ _x000a_Estimado(a):                     Pedro Esquivel Martínez_x000a_ _x000a_ _x000a_Le informamos que su ticket correspondiente a:_x000a_               _x000a_Aplicar día inhabil en Fideicomiso del sistema de protección social en salud para aplicarle el dia inhabil 15 lunes _x000a_clave presupuestal 12103 _x000a_ _x000a_Aplicación:                  INFOMEX FEDERAL _x000a_Tipo de Soporte:         aplicar dia inhabil    _x000a_Observaciones:            _x000a_ _x000a_Su petición fue atendida_x000a_" u="1"/>
        <s v="Notificación de seguimiento  [  MA2802202001 ]  _x000a_ _x000a_ _x000a_Estimado(a):                     Tiara Gethsemanni Miranda Fuentes_x000a_ _x000a_Le informamos que su ticket correspondiente a:_x000a_               _x000a_Por medio de presente, solicito de la manera más atenta, su apoyo para retroceder los pasos en el sistema SIGEMI-SICOM en la PNT del asunto que se enlista a continuación; hasta la actividad “Registrar información de la sesión del pleno”; sin más por el momento, quedo en espera de sus comentarios._x000a_ _x000a_ _x000a_•             RRD 0070/20_x000a__x000a_ _x000a_Aplicación:                  SIGEMI_x000a_Tipo de Soporte:         REGRESO DE PASOS  _x000a_Observaciones:            _x000a_ _x000a_Su petición fue atendida_x000a_" u="1"/>
        <s v="Refactorización detalle solicitud (row expandible)" u="1"/>
        <s v="Se agrega el metodo para eliminar un archivo preexistente antes de descargar uno nuevo" u="1"/>
        <s v="analisis y funcionalidad de los sectores " u="1"/>
        <s v="Se aplica eliminación de formato de pago al folio: 0495000051219" u="1"/>
        <s v="Integración del front-end y back-end para la carga de pagos " u="1"/>
        <s v="Ejecutar el proceso de migracion nuevamente y realizar ajuste al volumen de datos que migra" u="1"/>
        <s v="Ejecución de OT 2 Campus Garantes" u="1"/>
        <s v="Se aplica el testado de datos de la solicitud: 0000700022620" u="1"/>
        <s v="Se aplica eliminación de formato de pago: 0002000124021" u="1"/>
        <s v="Se sustituye archivo adjunto  y se testan datos del folio: 1816400025521" u="1"/>
        <s v="Se cambia el tipo de solicitud del folio: 0933800012421" u="1"/>
        <s v="Se sustituye archivo adjunto del folio:0064102856720" u="1"/>
        <s v="Buenas tardes Doris, te comento que no tenemos un script para cambios masivos, sin embargo si hemos realizado cambios a las fechas de semáforos que son los que comentas que no se han estado modificando, así como la fecha de inicio de la solicitud, te envío los scripts utilizados…_x000a__x000a__x000a_UPDATE PROCESO SET FECHAINICIOCONTEO= CONVERT(DATETIME,'2020-04-20 09:00:00.000',102), FECHAINICIO= CONVERT(DATETIME,'2020-04-20 09:00:00.000',102) WHERE FOLIO ='00131120';_x000a__x000a__x000a__x000a_UPDATE PASO SET FECHAINICIOREAL= CONVERT(DATETIME,'2020-04-20 09:00:00.000',102), FECHAINICIO= CONVERT(DATETIME,'2020-04-20 09:00:00.000',102), FECHACADUCIDAD = CONVERT(DATETIME,'2020-04-28 09:00:00.000',102), FECHAAMARILLOROJO = CONVERT(DATETIME,'2020-04-28 09:00:00.000',102),FECHAVERDEAMARILLO = CONVERT(DATETIME,'2020-04-24 09:00:00.000',102) where GUIDPROCESO= ( SELECT GUIDPROCESO FROM PROCESO WHERE FOLIO ='00131120');_x000a__x000a__x000a_Saludos _x000a__x000a_Marina Adame Velasco_x000a__x000a_Notificación de seguimiento  [  MA3006202004 ]  _x000a__x000a_Aplicación:                  INFOMEX TABASCO_x000a_Tipo de Soporte:         Scripts _x000a_Estatus:                               Concluido._x000a_" u="1"/>
        <s v="Actualizar fecha limite de la solicitud 2800100013121" u="1"/>
        <s v="_x000a_Notificación de seguimiento  [  MA1603202103 ]  _x000a_ _x000a_ _x000a_Estimado(a):                     Martha Rubí Zaragoza Mora_x000a_ _x000a_ _x000a_Le informamos que su ticket correspondiente a:_x000a_               _x000a_El presente correo es para pedir su amable apoyo para el ajuste de términos de los folios debido a un error del sujeto obligado al momento de capturar los folios_x000a_ _x000a_Aplicación:                  INFOMEX NUEVO LEÒN_x000a_Tipo de Soporte:         AJUSTE DE PLAZOS   _x000a_Observaciones:            _x000a_ _x000a_Su petición fue atendida_x000a_" u="1"/>
        <s v="Correción flujo completo detalle queja saimex_x000a_Request Response detalle quejas saimex nueva estructura" u="1"/>
        <s v="Aumento de tiempo en expiración de token para Veracruz" u="1"/>
        <s v="Se sustituye archivo adjunto del folio: 0064100740520." u="1"/>
        <s v="Se aplica eliminación de formato de pago: 0002000284020" u="1"/>
        <s v="Revision de componentes construidos" u="1"/>
        <s v="Buenos días César, tu petición fue atendida, favor de validar _x000a__x000a_Saludos _x000a__x000a_Marina Adame Velasco_x000a__x000a_Notificación de seguimiento  [  MA1906202004 ]  _x000a__x000a_Aplicación:                  INFOMEX BCS_x000a__x000a_Tipo de Soporte:         SCRIPT   _x000a_Estatus:                               Concluido._x000a_" u="1"/>
        <s v="_x000a_Notificación de seguimiento  [  MA2110202007 ]  _x000a_ _x000a_ _x000a_Estimado(a):                     Lizbeth Adriana Cabrera Ortega_x000a_ _x000a_Le informamos que su ticket correspondiente a:_x000a_               _x000a_Pido de tu amable apoyo para modificar el folio del RRD 1362/20_x000a__x000a_DICE   0120000102820_x000a__x000a_DEBE DECIR 0120000108820_x000a__x000a__x000a_ _x000a_Aplicación:                  SIGEMI_x000a_Tipo de Soporte:         CAMBIO DE SOLICITUD  _x000a_Observaciones:            _x000a_ _x000a_Su petición fue atendida_x000a_" u="1"/>
        <s v="Se generó certificado para usuario de dependencia indirectos de SENER" u="1"/>
        <s v="Se elimina la respuesta del folio:  1222000033921" u="1"/>
        <s v="Notificación de seguimiento  [  MA2703202001 ]  _x000a_ _x000a_ _x000a_Estimado(a):                     Lizbeth Adriana Cabrera Ortega_x000a_ _x000a_Le informamos que su ticket correspondiente a:_x000a_               _x000a__x000a_Solicito su valioso apoyo a fin de suprimir de la bandeja de turno los recursos cargados manualmente._x000a__x000a__x000a_23/03/2020 23/03/2020 13:51 PM GUILLERMO DE LA TORRE RODRIGUEZ IMSS 0064100380720 Protección de Datos Personales Manual Ver detalle_x000a__x000a_19/03/2020 23/03/2020 12:33 PM Ma. De La Luz Delgadillo Velázquez IMSS 0064100755920 Acceso a la Información Manual Ver detalle_x000a__x000a__x000a_ _x000a_Aplicación:                  SIGEMI_x000a_Tipo de Soporte:         SUPRIMIR RECURSOS   _x000a_Observaciones:            _x000a_ _x000a_Su petición fue atendida_x000a_" u="1"/>
        <s v="Notificación de seguimiento  [  MA3003202101 ]  _x000a_ _x000a_ _x000a_Estimado(a):                     CESAR ALVA_x000a_ _x000a_ _x000a_Le informamos que su ticket correspondiente a:_x000a_               _x000a_solicitar tu apoyo, ya que en un Recurso de Revisión que se registró manualmente, se equivocaron en el folio de la solicitud y la terminaron con 20 en lugar de terminarla con 21, por lo que, quisiera pedirte si pudieras ayudarme para cambiar ese número, te dejo los datos:_x000a_ _x000a_No. De Expediente: 0115/2021_x000a_Folio equivocado: 0195720 y el folio correcto debería ser: 0195721_x000a_ _x000a_Aplicación:                  SIGEMI/SICOM_x000a_Tipo de Soporte:         CORRECCION FOLIO SOLICITUD   _x000a_Observaciones:            _x000a_ _x000a_Su petición fue atendida_x000a_" u="1"/>
        <s v="Se aplica testado de datos al folio: 0700200001020." u="1"/>
        <s v="Se cambia el tipo de solicitud del folio: 0933800012621" u="1"/>
        <s v="Respaldar Curso 3 de PA-ENEDA  de la plataforma anterior y restaurar en plataforma actual " u="1"/>
        <s v="Creación de listener y Verificar el buen funcionamiento de la base de datos" u="1"/>
        <s v="Prueba de concepto para funcionalidad con programación reactiva continuación" u="1"/>
        <s v="Buenas tardes Moisés, te comento que se realizó el ajuste de las referencias existentes del archivo mencionado, que son las tablas históricas, puedes checar si  ya lo vez correcto?_x000a__x000a_Me quedo atenta_x000a__x000a_Saludos _x000a__x000a_Marina Adame_x000a__x000a_Notificación de seguimiento  [  MA0411202003 ]_x000a_Sistema  [  INFOMEX PUEBLA  ]_x000a__x000a_" u="1"/>
        <s v="Modificación módulo de administración para obtención de sentido del nuevo catalogo." u="1"/>
        <s v="Modificación del módulo de consulta para la obtención del sentido del nuevo catalogo." u="1"/>
        <s v="Notificación de seguimiento  [  MA1003202009  ]  _x000a_ _x000a_ _x000a_Estimado(a):                     Pedro Esquivel Martínez_x000a_ _x000a_Le informamos que su ticket correspondiente a:_x000a_               _x000a_Anexo el registro actualizado del certificado del Titular de la Unidad de Enlace del  “INSTITUTO DE SEGURIDAD Y SERVICIOS SOCIALES DE LOS TRABAJADORES DEL ESTADO” Lo Anterior a fin de que sus accesos sean habilitados en los otros sistemas que administra este Instituto (HCOM).  CAMBIO DE CERTIFICADO, en cuanto se reciba la atención en HCOM se realizará la actualización de los demás sistemas correspondientes._x000a_ _x000a_Aplicación:                  HCOM_x000a_Tipo de Soporte:         CAMBIO DE CERTIFICADO  _x000a_Observaciones:            _x000a_ _x000a_Su petición fue atendida_x000a_" u="1"/>
        <s v="Se actualizaron valores de Turno " u="1"/>
        <s v="Se cambia el tipo de solicitud del folio: 0933800012821" u="1"/>
        <s v="Código del Recibo de Pago" u="1"/>
        <s v="Se sustituye archivo adjunto  del folio:  1816400125621" u="1"/>
        <s v="_x000a_Notificación de seguimiento  [  MA1507202004 ]  _x000a_ _x000a_ _x000a_Estimado(a):                     Hugo Montero Saldaña_x000a_ _x000a_Le informamos que su ticket correspondiente a:_x000a_               _x000a_En relación con el recurso de revisión RRA 06744/20 vs INSTITUTO MEXICANO DEL SEGURO SOCIAL el recurrente señaló como medio de notificación a través de correo electrónico. Sin embargo, en la Plataforma Nacional de Transparencia se tiene por señalado como medio de notificación el Sistema de Gestión de Medios de Impugnación; por lo que se solicita su valioso apoyo a efecto de que en la Plataforma Nacional de Transparencia (PNT) se cambie el medio de notificación del recurrente a su correo electrónico carrillo_jose1@outlook.com (señalado en el escrito de su recurso), a efecto de que pueda recibir las notificaciones correspondientes._x000a__x000a_ _x000a_Aplicación:                  SIGEMI_x000a_Tipo de Soporte:         cambio de medio y actualización de correo   _x000a_Observaciones:            _x000a_ _x000a_Su petición fue atendida_x000a__x000a_" u="1"/>
        <s v="REPORTE DE SOLICITUDES REGISTRADAS" u="1"/>
        <s v="Se cambia el tipo de solicitud del folio: 0063700040921 y 0063700041321" u="1"/>
        <s v="Se  testan los datos del folio: 0064101759521" u="1"/>
        <s v="Estimado Sergio, se reactivó tu usuario, la contraseña es hcom2022, se anexa certificado._x000a__x000a_Favor de validar_x000a__x000a_Saludos_x000a__x000a_Marina Adame_x000a__x000a__x000a__x000a_Notificación de seguimiento  [  MA1904202202 ]_x000a__x000a_Aplicación:                  HCOM_x000a_Tipo de Soporte:         GENERAR CERTIFICADO Y ACTUALIZAR DATOS DE ACCESO   _x000a_ _x000a_Estatus:                               Concluido_x000a__x000a__x000a_" u="1"/>
        <s v="Notificación de seguimiento  [  MA1805202003 ]  _x000a_ _x000a_ _x000a_Estimado(a):                     Lizbeth Adriana Cabrera Ortega_x000a_ _x000a_Le informamos que su ticket correspondiente a:_x000a_               _x000a_Solicito tu valioso apoyo a fin de atender la petición de la ponencia, ya que se trata de un recurso que ingresó vía INFOMEX el día 20 de marzo a las 16:31 horas. _x000a__x000a_Sin embargo, el documento de turno fue generado por la herramienta con fecha 22 de marzo como muestro con copia de pantalla._x000a__x000a_Pido de ser posible se hagan los ajustes relativos en la herramienta y se suba el documento de turno._x000a__x000a_ _x000a_Aplicación:                  SIGEMI_x000a_Tipo de Soporte:         ACTUALIZACIÓN DE ARCHIVO Y FECHA DE INTERPOSICIÓN  _x000a_Observaciones:            _x000a_ _x000a_Su petición fue atendida_x000a_" u="1"/>
        <s v="Se cambian la navegacion de pantallas de inicio, la ruta anterior no estara dfisponible al iniciar sesion" u="1"/>
        <s v="Se cambia el tipo de solicitud del folio: 0064101813021 " u="1"/>
        <s v="Buenas tardes Moisés, tu petición fue atendida, favor de validar _x000a_ _x000a_ Saludos _x000a_ _x000a_ Marina Adame Velasco_x000a_ _x000a_ Notificación de seguimiento [ MA3101202004 ] _x000a_ _x000a_ Aplicación: INFOMEX PUEBLA _x000a_ Tipo de Soporte: Corrección de PLAZOS _x000a_ Estatus: Concluido." u="1"/>
        <s v="Se añade lib de documentacion compodoc, se añade funcionalidad a rol buscar, y rol eliminar" u="1"/>
        <s v="Notificación de seguimiento  [  MA1208202119 ]_x000a__x000a_Estimado(a):                Betzabé Flores Terán_x000a__x000a_ _x000a_ Le informamos que su ticket correspondiente a:_x000a_               _x000a_Solicito de su apoyo para actualizar la contraseña  de acceso a la herramienta del siguiente SO toda vez que no recuerda la contraseña, no omito comentar que el .cer se actualizo el año pasado._x000a__x000a_Clave SIGLAS CERTIFICADOACTUAL VALIDACIÓN CONTRASEÑA_x000a_60206 SNTTFJFA GiselldelSocorroContrerasHerrera.cer Certificado Válido hcom2021_x000a__x000a_ _x000a_Aplicación:                  HCOM_x000a_Tipo de Soporte:         ACTUALIZAR CONTRASEÑA  _x000a_" u="1"/>
        <s v="_x000a_Buenas tardes Martha, tu petición fue atendida, favor de validar _x000a__x000a_Saludos _x000a__x000a_Marina Adame Velasco_x000a__x000a_Notificación de seguimiento  [  MA1008202010 ]  _x000a__x000a_Aplicación:                  INFOMEX NUEVO LEÓN_x000a_Tipo de Soporte:         AJUSTE DE PLAZOS   _x000a_Estatus:                               Concluido._x000a_" u="1"/>
        <s v="_x000a_Buenas tardes Martha, tu petición fue atendida, favor de validar _x000a__x000a_Saludos _x000a__x000a_Marina Adame Velasco_x000a__x000a_Notificación de seguimiento  [  MA1405202001 ]  _x000a__x000a_Aplicación:                  INFOMEX NUEVO LEÓN _x000a_Tipo de Soporte:         AJUSTE DE PLAZO   _x000a_Estatus:                               Concluido._x000a_" u="1"/>
        <s v="_x000a_Buenas tardes Martha, tu petición fue atendida, favor de validar _x000a__x000a_Saludos _x000a__x000a_Marina Adame Velasco_x000a__x000a_Notificación de seguimiento  [  MA2704202008 ]  _x000a__x000a_Aplicación:                  INFOMEX NUEVO LEÓN_x000a_Tipo de Soporte:         AJUSTE DE PLAZOS   _x000a_Estatus:                               Concluido._x000a_" u="1"/>
        <s v="Notificación de seguimiento  [  MA2809202008 ]  _x000a_ _x000a_ _x000a_Estimado(a):                     Alan Apolinar Razo Morales_x000a_ _x000a_Le informamos que su ticket correspondiente a:_x000a_               _x000a_En relación con el recurso de revisión RRA-RCRD 05884/20  vs PEMEX, se observa en la Plataforma Nacional de Transparencia que, el recurrente señaló al “Personalmente o a través de su representante, en el domicilio del organismo garante de la entidad” como medio de notificación. _x000a__x000a_Así, en el entendido que tal forma de notificación está sujeta a la realización de un acto futuro e incierto, y toda vez que la diligencia de la prevención sólo surtirá sus efectos jurídicos a partir de la notificación a la parte recurrente, con fundamento en el artículo 98, fracción IV, de Ley General de Protección de Datos Personales en Posesión de Sujetos Obligados, es necesario que ésta practique teniéndose como medio de la parte recurrente para oír y recibir notificaciones en los estrados de este Instituto._x000a__x000a_En ese sentido, solicito de su apoyo para que en la PNT se actualice el medio de notificación a la parte recurrente, a saber, los estrados de este Instituto. Ello con el propósito de notificar el acuerdo de prevención respectivo del 25 de septiembre de 2020._x000a_ _x000a_Aplicación:                  SIGEMI_x000a_Tipo de Soporte:         CAMBIO DE MEDIO   _x000a_" u="1"/>
        <s v="Instalación en ambiente preproductivo" u="1"/>
        <s v="Notificación de seguimiento [ MA1001202001 ] _x000a_  _x000a_  _x000a_ Estimado(a): Sandra Robles Carrasco_x000a_  _x000a_ Le informamos que su ticket correspondiente a:_x000a_  _x000a_ En relación con el recurso de revisión RRD 1881/19 (IMSS), solicito de su invaluable apoyo para que en la PNT se incorpore como parte del recurso de revisión el mensaje de correo electrónico adjunto al presente, así como sus anexos._x000a_  _x000a_ Lo anterior, ya que a través del correo de referencia y que fue enviado a la cuenta recursoderevision@inai.org.mx, el recurrente remitió a este Instituto un alcance a su escrito recursal, mismo con el que se debe correr traslado al sujeto obligado al momento de notificarle el acuerdo de admisión._x000a_  _x000a_  _x000a_ Aplicación: SIGEMI_x000a_ Tipo de Soporte: CAMBIO DE CORREO" u="1"/>
        <s v="Junta de modulos de Usuarios y especificación de mapa de actividades y continuacion de revisión de configuracion de querys personalizados" u="1"/>
        <s v="Se aplica testado de datos al folio:  0002700040921" u="1"/>
        <s v="Se sustituye archivo adjunto y se testan los datos del folio:  1816700000821" u="1"/>
        <s v="Atención de requerimientos DGCR, desarrollo de objetos java, vistas, integraciones y servicios, controladores y todas las configuraciones de código para implementar las especificaciones del requerimiento" u="1"/>
        <s v="Notificación de seguimiento  [  MA2004202004 ]  _x000a_ _x000a_ _x000a_Estimado(a):                     Lizbeth Adriana Cabrera Ortega_x000a_ _x000a_Le informamos que su ticket correspondiente a:_x000a_               _x000a_Me permito enviar la incidencia detectada por la Ponencia del Comisionado Guerra, quien en la consulta de recurso advierte que fue interpuesto en la HERRAMIENTA, de manera duplicada un recurso de revisión que impugna el mismo folio de solicitud._x000a__x000a_Asimismo, al revisar es posible desprender que ambos recursos que obran en la PNT guardan identidad de PARTES, FOLIOS, SO y existen segundos de diferencia._x000a_" u="1"/>
        <s v="Se elimina la respuesta del folio: 0110000041621 " u="1"/>
        <s v="Se cambia el tipo de solicitud del folio:0001200413821 y 0001200413921" u="1"/>
        <s v="Notificación de seguimiento  [  MA2508202004 ]  _x000a_ _x000a_ _x000a_Estimado(a):                     Ana Paulina González González_x000a_ _x000a_Le informamos que su ticket correspondiente a:_x000a_               _x000a__x000a_Podrían apoyarme con el regreso del paso en el RRA 05358/20 en contra de SEDATU, para poder notificar el Acuerdo de cierre de instrucción, por favor?_x000a_ _x000a_Se notificó un Acuerdo erróneo y por eso se solicita el regreso del paso._x000a_ _x000a_ _x000a_Aplicación:                  SIGEMI_x000a_Tipo de Soporte:         ELIMINAR CIERRE DE INSTRUCCIÓN   _x000a_Observaciones:            _x000a_ _x000a_Su petición fue atendida_x000a_ _x000a__x000a_ _x000a_" u="1"/>
        <s v="Se sustituye archivo adjunto  del folio:  0210000099521" u="1"/>
        <s v="Notificación de seguimiento  [  MA2408202006 ]  _x000a_ _x000a_ _x000a_Estimado(a):                     Lizbeth Adriana Cabrera Ortega_x000a_ _x000a_Le informamos que su ticket correspondiente a:_x000a_               _x000a_Pido de tu apoyo a fin de que en el recurso RRA 8650/20 obre como fecha de interposición el 18 de agosto por ser el último día de plazo para interponer el recurso de revisión._x000a_ _x000a_A razón de lo anterior deberá adicionarse el acuerdo que se remite adjunto a este correo, el cual ya tiene la fecha de 18 de agosto._x000a_ _x000a_Con respecto al medio de notificación, deberá ser modificado y decir CORREO ELECTRÓNICO _x000a_ _x000a_gwashington1920@gmail.com_x000a_ _x000a__x000a_ _x000a_Aplicación:                  SIGEMI_x000a_Tipo de Soporte:         ACTUALIZACIÓN DE FECHA DE INTERPOSICIÓN Y MEDIO   _x000a_Observaciones:            _x000a_ _x000a_Su petición fue atendida_x000a_" u="1"/>
        <s v="Se sustituye archivo adjunto y se testan los datos del folio:  1816900000821" u="1"/>
        <s v="Se aplica el testado de datos de la solicitud: 1117100231419" u="1"/>
        <s v="Análisis y atención a incidencias presentadas en solicitudes migradas en SISAI - FEDERAL" u="1"/>
        <s v="Notificación de seguimiento  [  MA2604202102 ]  _x000a_ _x000a_ _x000a_Estimado(a):                     YARENNI ADAME_x000a_  _x000a_Le informamos que su ticket correspondiente a:_x000a_               _x000a_RESPALDO SEMANAL DE LA BASE DE DATOS INFOMEX_x000a_ _x000a_Aplicación:                  INFOMEX GUERRERO_x000a_Tipo de Soporte:         RESPALDO   _x000a_Observaciones:            _x000a_ _x000a_Su petición fue atendida, se subió el respaldo de su base de datos de esta semana…_x000a__x000a_http://documentos.inai.org.mx/tmp/infomexGUERRERO_backup_2021-04-26_0800.bak_x000a__x000a_NOTA: El respaldo estará disponible una semana  _x000a__x000a_  _x000a_" u="1"/>
        <s v="Buenas tardes Álvaro, disculpa que apenas responda a tu correo, anexo script modificado, de las solicitudes en proceso estoy revisando aún, entiendo que las que necesitas son las que no han tenido una respuesta, me ayudas a  validar por favor _x000a__x000a_Saludos _x000a__x000a_Marina Adame Velasco_x000a__x000a_Notificación de seguimiento  [  MA0109202006 ]  _x000a__x000a_Aplicación:                  INFOMEX NAYARIT_x000a_Tipo de Soporte:         SCRIPT   _x000a_Estatus:                               Concluido._x000a_" u="1"/>
        <s v="Validación de acceso a la información sobre los JSON compartidos para SICOM" u="1"/>
        <s v="Respaldar Curso 8  de la plataforma anterior y restaurar en plataforma actual " u="1"/>
        <s v="Notificación de seguimiento  [  MA0107202008 ]  _x000a_ _x000a_ _x000a_Estimado(a):                     Rosalinda Coria Mosqueda_x000a_ _x000a_Le informamos que su ticket correspondiente a:_x000a_               _x000a__x000a_Agradeceré su apoyo para modificar el medio de comunicación: A través del Sistema de Gestión de Medios de Impugnación de la PNT. _x000a_Los recursos RRA 6000/20 y RRA 06365/20._x000a_ _x000a__x000a_ _x000a_Aplicación:                  SIGEMI_x000a_Tipo de Soporte:         CAMBIO DE MEDIO   _x000a_Observaciones:            _x000a_ _x000a_Su petición fue atendida_x000a__x000a_" u="1"/>
        <s v="Corrección liga informes de labores 2010" u="1"/>
        <s v="Se aplica el cambio de modalidad para el folio: 0064100040820" u="1"/>
        <s v="Se aplica el testado de datos de la solicitud: 0064100158720." u="1"/>
        <s v="Realizar correcciones derivadas de las pruebas de integración de Custom Queries" u="1"/>
        <s v="Prueba del script de reconocimiento de caracteres dentro de SIGEMI-SICOM" u="1"/>
        <s v="Se aplica eliminación de formato de pago manual: 0001600008320" u="1"/>
        <s v="Notificación de seguimiento  [  MA3105202202 ]_x000a__x000a_Estimado(a):                Jatziry Jiménez Cruz_x000a__x000a__x000a_ Le informamos que su ticket correspondiente a:_x000a__x000a_Solicito su apoyo para realizar la actualización en la Herramienta de comunicación del .cer que se adjunta, toda vez que dicho certificado se actualizó por vencimiento._x000a__x000a_ _x000a_Aplicación:                  HCOM_x000a_Tipo de Soporte:        CAMBIO DE CERTIFICADO  _x000a_Observaciones:            _x000a_ _x000a_Su petición fue atendida._x000a_" u="1"/>
        <s v="Se aplica testado de datos al folio:  0064100053721" u="1"/>
        <s v="Se aplica testado de datos al folio: 0000700080120." u="1"/>
        <s v="Se cambió el tipo de solicitud del folio:  0064101094321" u="1"/>
        <s v="Respaldar Curso 8 de Miscelánea INAI  de la plataforma anterior y restaurar en plataforma actual " u="1"/>
        <s v="Se generaron los scripts para obtener los datos relacionados con los campos definidos de PRECEDENTES" u="1"/>
        <s v="Se aplica el testado de datos de la solicitud: 0000700362919." u="1"/>
        <s v="Se  testan los datos del folio: 0000700180121" u="1"/>
        <s v="Se  testan los datos del folio: 0064101906021" u="1"/>
        <s v="Se realizarón ajustes al sitio acorde al diseño compartido" u="1"/>
        <s v="_x000a_Notificación de seguimiento  [  MA1302202004 ]  _x000a_ _x000a_ _x000a_Estimado(a):                     Lizbeth Adriana Cabrera Ortega_x000a_ _x000a_Le informamos que su ticket correspondiente a:_x000a_               _x000a_Me permito solicitar su valioso apoyo a fin de que el recurso RRA 01144/20 interpuesto en la PNT el día 29/01/2020 a las 19:42 PM, permanezca con la fecha del 29 de enero como fecha de interposición._x000a__x000a_Lo anterior atiene al hecho de que fue presentado en el último día para la interposición del RECURSO y, la herramienta hizo el cambio en automático al día hábil siguiente a las 9:00 a. m._x000a__x000a_Agradezco de antemano su apoyo y no soy omisa en comentar que remito el acuerdo de turno anexo,  con la fecha modificada al día hábil previo.._x000a__x000a_ _x000a_Aplicación:                  SIGEMI_x000a_Tipo de Soporte:         Actualización de fecha y archivo  _x000a_Observaciones:            _x000a_ _x000a_Su petición fue atendida_x000a_ _x000a__x000a_ _x000a_            Favor de validar._x000a_ _x000a_Estatus:                               Concluido._x000a_" u="1"/>
        <s v="OT´s para estados que viven en INAI" u="1"/>
        <s v="Se aplica testado de datos al folios: 1816400082820  así como el archivo adjunto." u="1"/>
        <s v="Cambios solicitados a componente mi-historial" u="1"/>
        <s v="Se aplica testado de datos al folio: 1816400015421" u="1"/>
        <s v="Se cambia el tipo de solicitud del folio: 0063700816120" u="1"/>
        <s v="Se testan los datos y se sustituye el archivo de la solicitud con folio: 0064101394521" u="1"/>
        <s v="Se localiza el acuse: 0064102988819." u="1"/>
        <s v="Se aplica eliminación de formato de pago: 1113100054519." u="1"/>
        <s v="Se testan los datos  del folio:0064101375221" u="1"/>
        <s v="Actualización de cartel" u="1"/>
        <s v="Se elmina la respuesta del folio:  1613100016821" u="1"/>
        <s v="Se agrega la mascara para visualizar la contraseña ademas de un componente de ayuda para la seguridad del password que ingresa el usuario " u="1"/>
        <s v="Actualización y pruebas de funcionalidad de campus Público 2.2" u="1"/>
        <s v="componente que tiene como objetivo mostrar cards y efectos de over" u="1"/>
        <s v="estatus pasos" u="1"/>
        <s v="Se elimina la respuesta del folio: 2510100011121" u="1"/>
        <s v="Notificación de seguimiento  [  MA0803202111 ]  _x000a_ _x000a_ _x000a_Estimado(a):                     FRANCISCO LIRA_x000a_  _x000a_Le informamos que su ticket correspondiente a:_x000a_               _x000a_RESPALDO SEMANAL DE LA BASE DE DATOS INFOMEX_x000a_ _x000a_Aplicación:                  INFOMEX NUEVO LEÓN_x000a_Tipo de Soporte:         RESPALDO   _x000a_Observaciones:            _x000a_ _x000a_Su petición fue atendida, se subió el respaldo de su base de datos de esta semana…_x000a_http://documentos.inai.org.mx/tmp/infomexNL_backup_2021-03-08_0800.bak_x000a_NOTA: El respaldo estará disponible una semana  _x000a_  _x000a_            Favor de validar._x000a_ _x000a_Estatus:                               Concluido._x000a__x000a_" u="1"/>
        <s v="Pruebas Durango" u="1"/>
        <s v="Buenos días Martha, tu petición fue atendida, favor de validar _x000a__x000a_Saludos _x000a__x000a_Marina Adame Velasco_x000a__x000a_Notificación de seguimiento  [  MA1009202001 ]  _x000a__x000a_Aplicación:                  INFOMEX NUEVO LEÓN_x000a_Tipo de Soporte:         AJUSTE DE PLAZOS    _x000a_Estatus:                               Concluido._x000a__x000a_" u="1"/>
        <s v="Identificacion de filtro tipo date picker, fecha de sesion " u="1"/>
        <s v="Notificación de seguimiento  [  MA2901202111 ]  _x000a_ _x000a_ _x000a_Estimado(a):                     ALEJANDRA TEJEDA_x000a_ _x000a_ _x000a_Le informamos que su ticket correspondiente a:_x000a_               _x000a_REPORTE SEMANAL DE SOLICITUDES DE INFORMACIÓN, CORTE 29 DE ENERO 2021 A LAS 14:00_x000a_ _x000a_Aplicación:                  INFOMEX BCN_x000a_Tipo de Soporte:         REPORTE   _x000a_Observaciones:            _x000a_ _x000a_Su petición fue atendida_x000a_ _x000a_" u="1"/>
        <s v="Se  sustituye el archivo adjunto de la solicitud con folio : 1816400199121" u="1"/>
        <s v="Alta de usuarios:_x000a_Hugo Enrique Núñez Montes  = HNUNEZ_x000a_Enrique Rugerio Calihua =  ERUGERIO" u="1"/>
        <s v="pruebas de Integración de validaciones de direcion de Datos de la Pareja (Declaración patrimonial) en Declaranet" u="1"/>
        <s v=" _x000a_Buenas tardes Martha, tu petición fue atendida, favor de validar _x000a__x000a_Saludos _x000a__x000a_Marina Adame Velasco_x000a__x000a_Notificación de seguimiento  [  MA2110202005 ]  _x000a__x000a_Aplicación:                  INFOMEX NL_x000a_Tipo de Soporte:         AJUSTE DE PLAZOS    _x000a_Estatus:                               Concluido._x000a__x000a_" u="1"/>
        <s v="Desarrollo para la integración de la funcionalidad del detalle de RIA para las  solicitudes de información de SISAI para SAIMEX " u="1"/>
        <s v="Realizar modulos de niveles" u="1"/>
        <s v="_x000a_Notificación de seguimiento  [  MA1507202009 ]  _x000a_ _x000a_ _x000a_Estimado(a):                     Berenice Hernández Sumano_x000a_ _x000a_Le informamos que su ticket correspondiente a:_x000a_               _x000a_ajuste de SICOM, adjunto el archivo con los procesos que requieren afectarse: Cumplimientos y Admisiones_x000a__x000a_ _x000a_Aplicación:                  SIGEMI_x000a_Tipo de Soporte:         AJUSTE DE PLAZOS   _x000a_Observaciones:            _x000a_ _x000a_Su petición fue atendida, se realizó el ajuste en las fechas de cumplimiento y fechas limite de votación_x000a_ _x000a_ _x000a_" u="1"/>
        <s v="Incidencia File Upload y liberación a producción" u="1"/>
        <s v="Notificación de seguimiento  [  MA0203202005 ]  _x000a_ _x000a_ _x000a_Estimado(a):                     Tiara Gethsemanni Miranda Fuentes_x000a_ _x000a_Le informamos que su ticket correspondiente a:_x000a_               _x000a_Al momento de dar trámite a al Recurso de Revisión que se enlista a continuación, en el sistema SIGEMI-SICOM en la PNT, este me aparece activo varias veces, se encuentra repetido el siguiente paso “Registrar información de la sesión del pleno, por lo que solicito de la manera más atenta, eliminar uno de estos pasos y dejar solo una vez los siguientes pasos “Registrar información de la sesión del pleno” y dejar el paso de “Notificar por otro Medio”. Sin más por el momento, quedo en espera de tus comentarios._x000a_ _x000a_RRD 00327/20_x000a__x000a_ _x000a_Aplicación:                  SIGEMI_x000a_Tipo de Soporte:         Corrección de incidencia   _x000a_Observaciones:            _x000a_ _x000a_Su petición fue atendida_x000a_" u="1"/>
        <s v="Se actualiza el procedimiento para descargar archivos del buscador nacional" u="1"/>
        <s v="Análisis de incidencias reportadas, asesorías  y soporte aplicativo durante la CUARTA semana del mes de MAYO de 2020 en los Sistemas infomex Estados" u="1"/>
        <s v="Notificación de seguimiento  [  MA2404202001 ]  _x000a_ _x000a_ _x000a_Estimado(a):                     Guillermo Alvarado Montañez_x000a_ _x000a_Le informamos que su ticket correspondiente a:_x000a_               _x000a_Ya modifiqué el calendario, por favor trata de localizar los casos que se vean afectados para su reasignación de fechas._x000a__x000a_ _x000a_Aplicación:                  SIGEMI_x000a_Tipo de Soporte:         CONSULTA DE DATOS  _x000a_Observaciones:            _x000a_ _x000a_Su petición fue atendida, adjunto resultados encontrados, quedamos atentos _x000a__x000a_ _x000a_            Favor de validar._x000a_ _x000a_Estatus:                               Concluido._x000a_" u="1"/>
        <s v="Notificación de seguimiento [ MA1701202002 ] _x000a_  _x000a_  _x000a_ Estimado(a): Sandra Robles Carrasco_x000a_  _x000a_ Le informamos que su ticket correspondiente a:_x000a_  _x000a_ En relación con el recurso de revisión RRD 0086/20 (IMSS), solicito de su invaluable apoyo para que en la PNT se habilite como medio para oír y recibir notificaciones de la recurrente la opción de domicilio físico (calle Fray Fernando de Landa, número 284, colonia Quintas del Marqués, Santiago de Querétaro, Querétaro, código postal 76047)._x000a_ _x000a_  _x000a_ Aplicación: SIGEMI_x000a_ Tipo de Soporte: ACTUALIZACION DE DOMICILIO" u="1"/>
        <s v="Se aplica el testado de datos de la solicitud: 1117100004420" u="1"/>
        <s v="Problemas para dar respuesta al folio: 2210000276619." u="1"/>
        <s v="Notificación de seguimiento  [  MA3004202001 ]  _x000a_ _x000a_ _x000a_Estimado(a):                     HUGO GOVI_x000a_ _x000a_Le informamos que su ticket correspondiente a:_x000a_               _x000a_AJUSTE DE PLAZOS DE CUMPLIMIENTO Y FECHAS LIMITE DE VOTACIÓN_x000a_ _x000a_Aplicación:                  SIGEMI_x000a_Tipo de Soporte:         AJUSTE DE PLAZOS   _x000a_Observaciones:            _x000a_ _x000a_Su petición fue atendida_x000a_ _x000a__x000a_ _x000a_            Favor de validar._x000a_ _x000a_Estatus:                               Concluido._x000a_" u="1"/>
        <s v="Sección COVID - Corrección menú móvil" u="1"/>
        <s v="Se aplica testado de datos al folio:  1816400030721" u="1"/>
        <s v="Notificación de seguimiento  [  MA1406202103 ]_x000a__x000a_Estimado(a):                Alejandra Tejeda_x000a__x000a_ _x000a_ Le informamos que su ticket correspondiente a:_x000a_               _x000a_reporte de solicitudes 2021 con el dato de nombre del solicitante y correo electrónico_x000a_ _x000a_Aplicación:                  INFOMEX BCN_x000a_Tipo de Soporte:         REPORTE DE SOLICITUDES  _x000a_Observaciones:            _x000a_ _x000a_Su petición fue atendida, se anexa reporte_x000a_" u="1"/>
        <s v="Notificación de seguimiento  [  MA0103202113 ]  _x000a_ _x000a_ _x000a_Estimado(a):                     ALONDRA JIMENEZ HERNANDEZ _x000a_ _x000a_ _x000a_Le informamos que su ticket correspondiente a:_x000a_               _x000a_Anexo el registro renovado del certificado del Titular de la Unidad de Transparencia de la Centro de Investigación en Materiales Avanzados, S.C. para que su acceso sea habilitado en la Herramienta de Comunicación. _x000a_ _x000a_Aplicación:                  HCOM_x000a_Tipo de Soporte:         CAMBIO TUT   _x000a_Observaciones:            _x000a_ _x000a_Su petición fue atendida, se realizó el ajuste al titular correcto, con los datos enviados para la renovación de su acceso_x000a_ _x000a_  _x000a_            Favor de validar._x000a_ _x000a_Estatus:                               Concluido._x000a__x000a_" u="1"/>
        <s v="Se  testan los datos del folio: 0064100434021" u="1"/>
        <s v="Se cambia el tipo de solicitud del folio: 0063700218521" u="1"/>
        <s v="Cambios e incidencias en producción" u="1"/>
        <s v="Notificación de seguimiento  [  MA0204202002 ]  _x000a_ _x000a_ _x000a_Estimado(a):                     Rafael González García_x000a_ _x000a_Le informamos que su ticket correspondiente a:_x000a_               _x000a_actualizar la fecha de interposición (oficial) de los recursos que se muestran en el correo_x000a__x000a_ _x000a_Aplicación:                  SIGEMI_x000a_Tipo de Soporte:         Actualizar fecha interposición  _x000a_Observaciones:            _x000a_ _x000a_Su petición fue atendida, te comento que en los json generadas, no había referencia de la fecha de interposición_x000a_ _x000a_ _x000a__x000a_             Favor de validar._x000a_ _x000a_Estatus:                               Concluido._x000a_" u="1"/>
        <s v="Se  testan los datos del folio: 0000700181121" u="1"/>
        <s v="Diagnóstico y Definición de herramienta óptima para reconocimiento de información disponible dentro de los archivos  descargables" u="1"/>
        <s v="Buenas tardes Yarenni, revise los casos que comentas y el seguimiento se ve correcto, lo que podemos hacer es que modifiquemos el plazo por medio de la base a la fecha a la que debió cambiar, si tienes la fecha pasamela para realizar la corrección_x000a__x000a_Quedo atenta_x000a__x000a_Saludos _x000a__x000a_Marina Adame Velasco_x000a_" u="1"/>
        <s v="Soportes de Infomex federal " u="1"/>
        <s v="Notificación de seguimiento  [  MA2106202201 ]_x000a__x000a_Estimado(a):                Abraham Obed Gallardo González_x000a__x000a_ _x000a_ Le informamos que su ticket correspondiente a:_x000a__x000a_, solicito tu amable apoyo para actualizar el certificado de la nueva TUT de la Unidad de Transparencia de CONAPRED, ya que el personal de la misma manifiesta que no le ha sido posible entrar con el certificado señalado en el Excel que se adjunta._x000a__x000a__x000a_ _x000a_Aplicación:                  HCOM_x000a_Tipo de Soporte:         CAMBIO DE CERTIFICADO_x000a_Observaciones:            _x000a_ _x000a_Su petición fue atendida._x000a_" u="1"/>
        <s v="Configuración variables de entorno,alias a rutas de importación, creación carpetas raiz " u="1"/>
        <s v="Implementación del borrado de Resoluciones Públicas por Tema." u="1"/>
        <s v="Desarrollo de adecuaciones para consumo de servicios en SAIMEX" u="1"/>
        <s v="Descargar pdf de buscador de quejas y folios_x000a_Bug al dar detalle de la solicitud con la opción que aparece una vez que se registra la solicitud_x000a_Agregar timeout en los modal de carga (peticiones get)" u="1"/>
        <s v="Se aplica testado de datos al folio:  0064100070921" u="1"/>
        <s v="Se genera certificado para usuario del SO SINDICATO NACIONAL INDEPENDIENTE DE TRABAJADORES DE LA SECRETARIA DE BIENESTAR" u="1"/>
        <s v="Pizarras por años lado administrador (Análisis)" u="1"/>
        <s v="Se sustituye archivo adjunto del folio: 0064100740120." u="1"/>
        <s v="Creación de un componente reutilizable de datos estadísticos" u="1"/>
        <s v="Se agrega un boton de ayuda " u="1"/>
        <s v="_x000a_Notificación de seguimiento  [  MA0603202007 ]  _x000a_ _x000a_ _x000a_Estimado(a):                     Moisés Guzmán Arias_x000a_ _x000a_Le informamos que su ticket correspondiente a:_x000a_               _x000a_el regreso, de la Preparación del Proyecto de Resolución._x000a__x000a_ _x000a_Aplicación:                  SIGEMI_x000a_Tipo de Soporte:         REGRESO DE PASOS  _x000a_Observaciones:            _x000a_ _x000a_Su petición fue atendida_x000a_" u="1"/>
        <s v="Se sustituye archivo adjunto del folio: 0673800072120 ." u="1"/>
        <s v="Notificación de seguimiento  [  MA1208202002 ]  _x000a_ _x000a_ _x000a_Estimado(a):                     Lizbeth Adriana Cabrera Ortega_x000a_ _x000a_Le informamos que su ticket correspondiente a:_x000a_               _x000a_que en el expediente electrónico del RRA 08076/20 conste como fecha de interposición oficial el 5 de agosto, ello inclusive en el acuerdo de turno, el cual para dar celeridad te envío para que sea adjuntado._x000a__x000a_ _x000a_Aplicación:                  SIGEMI_x000a_Tipo de Soporte:         ACTUALIZACIÓN DE FECHA Y ARCHIVO  _x000a_Observaciones:            _x000a_ _x000a_Su petición fue atendida_x000a_ _x000a_ _x000a_ _x000a_            Favor de validar._x000a_ _x000a_Estatus:                               Concluido._x000a_" u="1"/>
        <s v="Se  testan los datos de la solicitud con folio 0064101267521_x000a_ _x000a_" u="1"/>
        <s v="_x000a_Notificación de seguimiento  [  MA3003202002 ]  _x000a_ _x000a_ _x000a_Estimado(a):                     Alondra Jiménez Hernández_x000a_ _x000a_Le informamos que su ticket correspondiente a:_x000a_               _x000a_Anexo el registro actualizado del certificado del nuevo Titular de la Unidad de Transparencia del Fondo de Capitalización e Inversión del Sector Rural (FOCIR) para que su acceso sea habilitado en la Herramienta de Comunicación. _x000a__x000a_ _x000a_Aplicación:                  HCOM   _x000a_Tipo de Soporte:         CAMBIO DE TUT   _x000a_Observaciones:            _x000a_ _x000a_Su petición fue atendida_x000a_ _x000a__x000a_ _x000a_            Favor de validar._x000a_ _x000a_Estatus:                               Concluido._x000a_" u="1"/>
        <s v="Se sustituye archivo adjunto del folio: 0064100741520." u="1"/>
        <s v="ACTUALIZAR SUJETO OBLIGADO RPS" u="1"/>
        <s v="Se aplica eliminación de formato de pago: 0064102747820" u="1"/>
        <s v="configuracion de procesos del modulo administracion" u="1"/>
        <s v="Se  sustituye el archivo adjunto de la solicitud con folio : 1117100063921" u="1"/>
        <s v="_x000a_Notificación de seguimiento  [  MA2711202001 ]  _x000a_ _x000a_ _x000a_Estimado(a):                     Oswaldo Santillán Cortés_x000a_ _x000a_ _x000a_Le informamos que su ticket correspondiente a:_x000a_               _x000a_regrese el paso en el SIGEMI, respecto del expediente RRD 1793/20._x000a_ _x000a_ _x000a_Aplicación:                  SIGEMI_x000a_Tipo de Soporte:         REGRESO DE PASOS    _x000a_Observaciones:            _x000a_ _x000a_Su petición fue atendida_x000a_" u="1"/>
        <s v="Se aplica eliminación de formato de pago: 0063700276721" u="1"/>
        <s v="Notificación de seguimiento  [  MA2704202105 ]  _x000a_  _x000a_Estimado(a):                     Moisés Guzmán Arias_x000a_  _x000a_Le informamos que su ticket correspondiente a:_x000a_               _x000a_ampliar el término para prevenirlo al 3 de mayo de 2021_x000a_ _x000a_00769220  estableciendo el término al día 03/05/2021 (03 de mayo de 2021) (intercultural-Puebla)_x000a_01092320  estableciendo el término al día 03/05/2021 (03 de mayo de 2021) (intercultural-Puebla _x000a__x000a_Aplicación:                  INFOMEX PUEBLA_x000a_Tipo de Soporte:         AJUSTE DE PLAZO   _x000a_Observaciones:            _x000a_ _x000a_Su petición fue atendida_x000a_  _x000a_            Favor de validar._x000a_ Estatus:                               Concluido._x000a_" u="1"/>
        <s v="Crear certificado para usuario del Sujeto Obligado Sindicato Nacional de Trabajadores de la Secretaría de Economía" u="1"/>
        <s v="Ambientación para campus Público versión 3.7.3" u="1"/>
        <s v="Notificación de seguimiento  [  MA2502202201]_x000a__x000a_Estimado(a):                Edgar Michel Loaeza Martínez_x000a__x000a_ _x000a_ Le informamos que su ticket correspondiente a:_x000a_               _x000a_Solicito su apoyo para poder dar de alta los certificados en el sistema Hcom, de los siguientes sujetos obligados indirectos de la Comisión Nacional Bancaria y de Valores_x000a__x000a_ _x000a_Aplicación:                  HCOM_x000a_Tipo de Soporte:         CAMBIO DE TUT ( 3)   _x000a_Observaciones:            _x000a_ _x000a_Su petición fue atendida_x000a_ _x000a_" u="1"/>
        <s v="Respaldar Curso 1 de PA-ENEDA  de la plataforma anterior y restaurar en plataforma actual " u="1"/>
        <s v="Modificación al componente del desglose del ejercicio del presupuesto para la integracion del modo responsivo." u="1"/>
        <s v="creacion del controller para la edicion y creacion de avisos." u="1"/>
        <s v="Se realizó la preparación del ambiente y usuarios  para la capacitación de usuarios y se estuvo esperando en la cita y no se presentaron" u="1"/>
        <s v="_x000a_Notificación de seguimiento  [  MA0602202005 ]  _x000a_ _x000a_ _x000a_Estimado(a):                     Laura Mónica Segovia Tellez_x000a_ _x000a_Le informamos que su ticket correspondiente a:_x000a_               _x000a_Solicito su amable apoyo para que sea cambiado el medio de notificación de domicilio físico al correo electrónico sessanday@gmail.com del recurso de revisión RRA 01077/20 en contra de la Secretaría de la Defensa Nacional, ya que la particular solicitó el cambio el día de ayer por la tarde. _x000a__x000a_Esto con el fin de que se le notifique los acuerdos correspondientes tanto a la Secretaría de la Defensa como al particular._x000a__x000a_ _x000a_Aplicación:                  SIGEMI_x000a_Tipo de Soporte:         cambio de medio   _x000a_" u="1"/>
        <s v="Se cambia el tipo de solicitud del folio: 0001200230721" u="1"/>
        <s v="Se  testan los datos del folio: 0064101515521" u="1"/>
        <s v="Notificación de seguimiento  [  MA2704202107 ]  _x000a_  _x000a_Estimado(a):                     Alondra Jiménez Hernández_x000a_  _x000a_Le informamos que su ticket correspondiente a:_x000a_               _x000a_Anexo el registro actualizado del certificado del Titular de la Unidad de Transparencia de CIDETEQ  para su renovación en la HCOM.  _x000a_ _x000a_Aplicación:                  HCOM_x000a_Tipo de Soporte:         RENOVACION DE CERTIFICADO   _x000a_Observaciones:            _x000a_ _x000a_Su petición fue atendida_x000a_ _x000a_  _x000a_            Favor de validar._x000a_ _x000a_Estatus:                               Concluido._x000a_" u="1"/>
        <s v="Notificación de seguimiento [ MA2701202010 ] _x000a_  _x000a_  _x000a_ Estimado(a): Lizbeth Adriana Cabrera Ortega_x000a_  _x000a_ Le informamos que su ticket correspondiente a:_x000a_  _x000a_ No PUEDO VISUALIZAR EL RDA 0791/12-TER DE LA COMISIONADA BLIC EN LA BANDEJA DE ENVÍO ENTRADA Y ACUERDO _x000a_  _x000a_ Aplicación: SIGEMI_x000a_ Tipo de Soporte: REGRESO DE PASOS _x000a_ Observaciones: _x000a_  _x000a_ Su petición fue atendida" u="1"/>
        <s v="Notificación de seguimiento  [  MA2008202106 ]_x000a__x000a_Estimado(a):                Francisco Javier Lira Pérez_x000a__x000a_ _x000a_ Le informamos que su ticket correspondiente a:_x000a_ _x000a_A fin de solicitar en el RR/4839/2021, el cambio de sujeto obligado ya que erróneamente se dirigió a la Secretaría General de Gobierno (DGC), cuando el correcto es a la Secretaría de Seguridad Pública (DGC)._x000a__x000a_ _x000a_Aplicación:                  SIGEMI_x000a_Tipo de Soporte:         CAMBIO DE SO   _x000a_Observaciones:            _x000a_ _x000a_Su petición fue atendida_x000a_ _x000a_" u="1"/>
        <s v="Notificación de seguimiento  [  MA2701202113 ]  _x000a_ _x000a_ _x000a_Estimado(a):                     Edgar Michel Loaeza Martínez_x000a_ _x000a_ _x000a_Le informamos que su ticket correspondiente a:_x000a_               _x000a_Por medio del presente solicito su valioso apoyo a efecto de realizar el cambio de Titular de la Unidad de Transparencia del sujeto obligado denominado Comisión Nacional del Agua en hcom._x000a_ _x000a_Aplicación:                  HCOM_x000a_Tipo de Soporte:         CAMBIO TUT   _x000a_Observaciones:            _x000a_ _x000a_Su petición fue atendida_x000a_ _x000a_" u="1"/>
        <s v="Notificación de seguimiento [ MA2701202011 ] _x000a_  _x000a_  _x000a_ Estimado(a): Lizbeth Adriana Cabrera Ortega_x000a_  _x000a_ Le informamos que su ticket correspondiente a:_x000a_  _x000a_ Solcito tu valioso apoyo a fin de modificar la fecha de interposición al día hábil siguiente:_x000a_ _x000a_ DEBE DECIR 27 de enero _x000a_ _x000a_ _x000a_  _x000a_ Aplicación: SIGEMI_x000a_ Tipo de Soporte: Actualización de fechas _x000a_ Observaciones: _x000a_  _x000a_ Su petición fue atendida" u="1"/>
        <s v="Integración de funciones de descarga de información - SIPOT" u="1"/>
        <s v="Se desbloquea la cuenta CBOCANEGRA" u="1"/>
        <s v="Se aplica testado de datos al folio: 0000700089220" u="1"/>
        <s v="Actualización y pruebas de funcionalidad de campus Organismos Garantes 3.7.3" u="1"/>
        <s v="Notificación de seguimiento  [  MA0405202102 ]  _x000a_ _x000a_ Estimado(a):                     Edwin Robles Hernández_x000a_  _x000a_Le informamos que su ticket correspondiente a:_x000a_               _x000a_Por este medio solicito de su valioso apoyo para poder aplicar las afectaciones a las fechas de vencimiento y la eliminación de los acuses respectivos de las solicitudes señaladas en el archivo adjunto. Toda vez que el Consejo General aprobará mediante Acuerdo ACDO/CG/IAIP/021/2020._x000a_ _x000a_Aplicación:                  INFOMEX OAXACA_x000a_Tipo de Soporte:         AJUSTE DE PLAZOS   _x000a_Observaciones:            _x000a_ _x000a_Su petición fue atendida_x000a_  _x000a_            Favor de validar._x000a_ _x000a_Estatus:                               Concluido._x000a_" u="1"/>
        <s v="Problemas en producción" u="1"/>
        <s v="Notificación de seguimiento  [  MA1204202105 ]  _x000a_ _x000a_ _x000a_Estimado(a):                     Alondra Jiménez Hernández_x000a_ _x000a_ _x000a_Le informamos que su ticket correspondiente a:_x000a_               _x000a_Anexo el registro actualizado del certificado del Titular de la Unidad de Transparencia de la Instituto Potosino de Investigación Científica y Tecnológica, A.C.  para su renovación en la HCOM.  _x000a_ _x000a_Aplicación:                  HCOM_x000a_Tipo de Soporte:         RENOVACIÓN DE CERTIFICADO   _x000a_Observaciones:            _x000a_ _x000a_Su petición fue atendida_x000a_ _x000a_" u="1"/>
        <s v="Notificación de seguimiento  [  MA2105202002 ]  _x000a_ _x000a_ _x000a_Estimado(a):                     Edgar Michel Loaeza Martínez_x000a_ _x000a_Le informamos que su ticket correspondiente a:_x000a_               _x000a_Por medio del presente solicito su valioso apoyo a efecto de realizar el cambio de certificado del Titular de la Unidad de Transparencia de la Secretaría de Desarrollo Agrario, Territorial y Urbano._x000a_ _x000a_Aplicación:                  HCOM_x000a_Tipo de Soporte:         CAMBIO DE CERTIFICADO  _x000a_Observaciones:            _x000a_ _x000a_Su petición fue atendida_x000a_ _x000a_" u="1"/>
        <s v="Cambio de TUT de NAFIN y sus Fideicomisos " u="1"/>
        <s v="Se ajustan los plazos de la dependencia de PETROLEOS MEXICANOS." u="1"/>
        <s v="Se aplica el cambio de modalidad a la solicitud: 0411100009920." u="1"/>
        <s v="Se cambia el tipo de solicitud del folio: 0933800009521" u="1"/>
        <s v="Generación de plan para la solución modelos predictivos, métodos estadísticos, Machine Learning y técnicas de atomzatización de procesos" u="1"/>
        <s v="Se actualizan datos del SO Organismo Coordinador de las Universidades para el Bienestar Benito Juárez García" u="1"/>
        <s v="Se atiende petición, favor de validar_x000a__x000a_ _x000a_Saludos_x000a_ _x000a_Marina Adame Velasco_x000a__x000a_Notificación de seguimiento  [  MA1011202201_SICOM ]_x000a_" u="1"/>
        <s v="Se aplica el testado de datos de la solicitud: 1410000000220." u="1"/>
        <s v="Notificación de seguimiento  [  MA2502202003 ]  _x000a_ _x000a_ _x000a_Estimado(a):                     Lizbeth Adriana Cabrera Ortega_x000a_ _x000a_Le informamos que su ticket correspondiente a:_x000a_               _x000a_SOLICITO DE TU VALIOSO APOYO A FIN DE SUPRIMIR LOS SIGUIENTES RECURSOS DE LA BANDEJA DE TURNO, PUES LOS CARGUE DUPLICADOS DE FORMA MANUAL._x000a__x000a_GRACIAS DE ANTEMANO_x000a__x000a_21/02/2020 24/02/2020 19:46 PM Zulema Mosri RAN 0063700009620 Acceso a la Información Manual Ver detalle_x000a__x000a_17/02/2020 17/02/2020 13:32 PM Gabriela Omaña Luna UAM 6430000055519 Acceso a la Información Manual Ver detalle_x000a__x000a__x000a__x000a_ _x000a_Aplicación:                  SIGEMI_x000a_Tipo de Soporte:         Suprimir recursos de la bandeja de turno  _x000a_" u="1"/>
        <s v="Notificación de seguimiento  [  MA1211202003 ]  _x000a_  _x000a_Estimado(a):                     MARTHA RUBI ZARAGOZA  MORA_x000a_  _x000a_Le informamos que su ticket correspondiente a:_x000a_               _x000a_El siguiente folio: 014021020 esta incorrecto y vence hoy. Lo enviaron con error de dedo, por lo que solicitamos que se pueda modificar con la nueva fecha de vencimiento en la tabla siguiente está el correcto_x000a_ _x000a_Aplicación:                  INFOMEX NUEVO LEÓN_x000a_Tipo de Soporte:         AJUSTE DE PLAZOS    _x000a_Observaciones:            _x000a_ _x000a_Su petición fue atendida_x000a_ _x000a_" u="1"/>
        <s v="Notificación de seguimiento  [  MA2505202006 ]  _x000a_ _x000a_ _x000a_Estimado(a):                     Adriana Elizabeth Hernández Garcia_x000a_ _x000a_Le informamos que su ticket correspondiente a:_x000a_               _x000a_Por medio del presente te solicito, si no existe inconveniente, el retroceso de paso en la PNT del expediente relacionado con la resolución RRA 04359/20 al denominado “Registro Información de la sesión del Pleno”._x000a__x000a_ _x000a_Aplicación:                  SIGEMI_x000a_Tipo de Soporte:         REGRESO DE PASOS  _x000a_Observaciones:            _x000a_ _x000a_Su petición fue atendida_x000a_ _x000a_" u="1"/>
        <s v="Notificación de seguimiento  [  MA2402202111 ]  _x000a_ _x000a_ _x000a_Estimado(a):                     ALEJANDRA TEJEDA_x000a_ _x000a_ _x000a_Le informamos que su ticket correspondiente a:_x000a_               _x000a_reportes de solicitudes de 2018 y 2019 que contenga el dato de tipo de solicitudes (información pública y datos personales), para poder atender una solicitud presentada ante este Órgano Garante._x000a__x000a_ _x000a_Aplicación:                  INFOMEX BCN_x000a_Tipo de Soporte:         REPORTE   _x000a_" u="1"/>
        <s v="_x000a_Notificación de seguimiento  [  MA1405202101 ]  _x000a_ _x000a_ _x000a_Estimado(a):                     Luis Alberto Cholula Abarca_x000a_ _x000a_ _x000a_Le informamos que su ticket correspondiente a:_x000a_               _x000a_…un retroceso de pasos hasta la actividad de Registro de la Resolución Firmada, en el recurso RRA 1433/21 BLIC, del Pleno 20 de abril, en virtud de que en el resolutivo SEXTO se ordena la traducción a la lengua maya yucateco, por lo tanto, primero se debe traducir la resolución, antes de notificar._x000a_ _x000a_Aplicación:                  SIGEMI_x000a_Tipo de Soporte:         REGRESO DE PASOS   _x000a_Observaciones:            _x000a_ _x000a_Su petición fue atendida_x000a_ _x000a_  _x000a_            Favor de validar._x000a_ _x000a_Estatus:                               Concluido._x000a_" u="1"/>
        <s v="Se aplica el cambio de modalidad para el folio: 0064103596319, 0064103596819." u="1"/>
        <s v="Se consultan datos de la solicitud 0001700151021" u="1"/>
        <s v="_x000a_Notificación de seguimiento  [  MA0908202101 ]_x000a__x000a_Estimado(a):                José Manuel Flores Robles_x000a__x000a_ _x000a_ Le informamos que su ticket correspondiente a:_x000a_               _x000a_La información solicitada es la siguiente:_x000a__x000a_- Base de datos sobre solicitudes de información y derechos ARCO de 1° de enero al 04 de agosto de 2021 (contiene folio, sujeto obligado, fecha/hora, tipo de solicitud y el texto de lo que se solicita). _x000a_- Base de datos de solicitudes de información de 1° de enero al 04 de agosto de 2021 en relación con COVID-19 (búsqueda de palabras pandemia, coronavirus, COVID19, COVID-19 y SARS-CoV-2). Incluye folio, sujeto obligado, fecha/hora y el texto de lo que se solicita._x000a__x000a_ _x000a_Aplicación:                  INFOMEX QUERÉTARO_x000a_Tipo de Soporte:         CONSULTA DE DATOS   _x000a_Observaciones:            _x000a_ _x000a_Su petición fue atendida_x000a_" u="1"/>
        <s v="Notificación de seguimiento  [  MA0302202102 ]  _x000a_ _x000a_ _x000a_Estimado(a):                     Berenice Hernández Sumano_x000a_ _x000a_ _x000a_Le informamos que su ticket correspondiente a:_x000a_               _x000a_solicito la afectación en base de datos de la fecha de caducidad de las solicitudes_x000a__x000a_ _x000a_Aplicación:                  INFOMEX OAXACA_x000a_Tipo de Soporte:         AJUSTE DE PLAZOS    _x000a_Observaciones:            _x000a_ _x000a_Su petición fue atendida_x000a_ _x000a_" u="1"/>
        <s v="Notificación de seguimiento  [  MA2109202007 ]  _x000a_ _x000a_ _x000a_Estimado(a):                     Lizbeth Adriana Cabrera Ortega_x000a_ _x000a_Le informamos que su ticket correspondiente a:_x000a_               _x000a_ajustar las fechas de los dos recursos solicitados por la Ponencia. _x000a__x000a__x000a_Aplicación:                  SIGEMI_x000a_Tipo de Soporte:         ACTUALIZACIÓN DE FECHA DE INTERPOSICIÓN  _x000a_Observaciones:            _x000a_ _x000a_Su petición fue atendida_x000a_ _x000a_" u="1"/>
        <s v="Notificación de seguimiento [ MA2801202007 ] _x000a_  _x000a_  _x000a_ Estimado(a): Leticia Pérez Calderón_x000a_  _x000a_ Le informamos que su ticket correspondiente a:_x000a_  _x000a_ Atentamente solicito tu apoyo a fin de regresar al paso de evaluación de cumplimiento el recurso de revisión RRD 0521/19._x000a_ _x000a_  _x000a_ Aplicación: SIGEMI_x000a_ Tipo de Soporte: REGRESO DE PASOS _x000a_ Observaciones: _x000a_  _x000a_ Su petición fue atendida_x000a_  _x000a_ _x000a_  _x000a_  Favor de validar._x000a_  _x000a_ Estatus: Concluido." u="1"/>
        <s v="Notificación de seguimiento  [  MA2703202002 ]  _x000a_ _x000a_ _x000a_Estimado(a):                     Alondra Jiménez Hernández_x000a_ _x000a_Le informamos que su ticket correspondiente a:_x000a_               _x000a_Se solicita la actualización de los certificados, por motivo del cambio de Titular de la Unidad de Transparencia, de los siguientes sujetos obligados indirectos que son responsabilidad de la Unidad de Transparencia de FOCIR. Esto para que sean actualizados y se habilite el acceso en la Herramienta de Comunicación de cada uno. Al respecto comento que la Unidad de Transparencia está operando con los certificados genéricos que crea el INAI. Aplicación:                  HCOM_x000a_Tipo de Soporte:         CAMBIO DE TUT   ( 6 ) _x000a_Observaciones:            _x000a_ _x000a_Su petición fue atendida_x000a_ _x000a__x000a_ _x000a_            Favor de validar._x000a_ _x000a_Estatus:                               Concluido._x000a__x000a_" u="1"/>
        <s v="Se elmina la respuesta del folio: 0000400105021." u="1"/>
        <s v="Buenas tardes Berenice, tu petición fue atendida, favor de validar_x000a_ _x000a_Saludos_x000a_ _x000a_Marina Adame Velasco_x000a_ _x000a_Notificación de seguimiento  [  MA2710202006 ]  _x000a_ _x000a_Aplicación:                  INFOMEX OAXACA_x000a_Tipo de Soporte:         AJUSTE DE PLAZOS    _x000a_Estatus:                               Concluido._x000a_" u="1"/>
        <s v="Buenas tardes Berenice, tu petición fue atendida, favor de validar _x000a__x000a_Saludos _x000a__x000a_Marina Adame Velasco_x000a__x000a_Notificación de seguimiento  [  MA2602202007 ]  _x000a__x000a_Aplicación:                  INFOMEX OAXACA_x000a_Tipo de Soporte:         Corrección de PLAZO   _x000a_Estatus:                               Concluido._x000a_" u="1"/>
        <s v="Notificación de seguimiento  [  MA0405202105 ]  _x000a_ _x000a_ _x000a_Estimado(a):                     David Calderón González_x000a_ _x000a_ _x000a_Le informamos que su ticket correspondiente a:_x000a_               _x000a_El motivo del presente es para solicitar tu apoyo para activar la opción F en tipo de respuesta de la solicitud con folio 00306121 al sujeto obligado Instituto Electoral de Michoacán._x000a_ _x000a_Aplicación:                  INFOMEX MICHOACAN_x000a_Tipo de Soporte:         ELIMINAR RESPUESTA   _x000a_Observaciones:            _x000a_ _x000a_Su petición fue atendida_x000a_ _x000a_  _x000a_            Favor de validar._x000a_ _x000a_Estatus:                               Concluido._x000a_" u="1"/>
        <s v="Actualizaciones urgentes" u="1"/>
        <s v="Notificación de seguimiento  [  MA2403202115 ]  _x000a_ _x000a_ _x000a_Estimado(a):                     Martha Rubí Zaragoza Mora_x000a_ _x000a_ _x000a_Le informamos que su ticket correspondiente a:_x000a_               _x000a_El presente correo es para pedir su amable apoyo para el ajuste de términos de los folios debido al primer periodo vacacional del año 2021 que envió el sujeto obligado con su acuerdo y se configuro el calendario correspondiente_x000a_ _x000a_Aplicación:                  INFOMEX NUEVO LEÓN_x000a_Tipo de Soporte:         AJUSTE DE PLAZO    _x000a_Observaciones:            _x000a_ _x000a_Su petición fue atendida_x000a_ _x000a_" u="1"/>
        <s v="Se desarrollò la pàgina de Reglas de integridad dentro del sitio de comite de etica, agregando la informaciòn compartida con base en el diseño compartido" u="1"/>
        <s v="Revisión en móviles y scroll en tablas" u="1"/>
        <s v="Se cambia el tipo de solicitud del folio: 0933800009721" u="1"/>
        <s v="Se aplica testado de datos al folio:  0064100067521" u="1"/>
        <s v="Se  elimina ultima respuesta  del folio:  0912000023721" u="1"/>
        <s v="Solicitud de cambio  iconos de idiomas (se analizó que los iconos estaban dañados)" u="1"/>
        <s v="Se cambio el ajuste de texto del pdf, la fuente de texto se modifica a una que soporte unicode y se realizan cambios en el formato de colores del pdf" u="1"/>
        <s v="Revisión y análisis del módulo configuracion de procesos " u="1"/>
        <s v="Notificación de seguimiento [ MA3001202004 ] _x000a_  _x000a_  _x000a_ Estimado(a): Eva María Guadalupe Palomares Amador_x000a_  _x000a_ Le informamos que su ticket correspondiente a:_x000a_  _x000a_ El motivo del presente correo es para solicitar amablemente el regreso del registro de “evaluación del cumplimiento” en la PNT del recurso RRA 7709/19, para estar en posibilidad de efectuarlo correctamente._x000a_ _x000a_  _x000a_ Aplicación: SIGEMI_x000a_ Tipo de Soporte: REGRESO DE PASOS _x000a_ Observaciones: _x000a_  _x000a_ Su petición fue atendida_x000a_  _x000a_ _x000a_  _x000a_  Favor de validar._x000a_  _x000a_ Estatus: Concluido." u="1"/>
        <s v="Notificación de seguimiento  [  MA0405202109 ]  _x000a_ _x000a_ _x000a_Estimado(a):                     Edgar Michel Loaeza Martínez_x000a_ _x000a_ _x000a_Le informamos que su ticket correspondiente a:_x000a_               _x000a_Por medio del presente solicito su valioso apoyo a efecto de realizar el cambio de Titular de la Unidad de Transparencia del Instituto Nacional de Bellas Artes y Literatura._x000a_ _x000a_Para tal efecto, anexo al presente el nuevo certificado del Titular, lo anterior, a fin de que sus accesos sean habilitados en los sistemas que administra este Instituto (INFOMEX y HCOM).  _x000a_ _x000a_Aplicación:                  HCOM_x000a_Tipo de Soporte:         CAMBIO TUT   _x000a_Observaciones:            _x000a_ _x000a_Su petición fue atendida_x000a_ _x000a_  _x000a_            Favor de validar._x000a_ _x000a_Estatus:                               Concluido._x000a_" u="1"/>
        <s v="Se aplica testado de datos al folio:  0064100067721" u="1"/>
        <s v="Análisis de incidencia en Sujeto Obligado duplicado " u="1"/>
        <s v="Se sustituye el archivo adjunto de la solicitud con folio 1114100138919" u="1"/>
        <s v="Desarrollo de servicios para prueba reactiva continuación" u="1"/>
        <s v="Buenas tardes Isaac, tu petición fue atendida, favor de validar _x000a__x000a_Saludos _x000a__x000a_Marina Adame Velasco_x000a__x000a_Notificación de seguimiento  [  MA1108202004 ]  _x000a__x000a_Aplicación:                  INFOMEX OAXACA _x000a_Tipo de Soporte:         AJUSTE DE PLAZOS   _x000a_Estatus:                               Concluido._x000a_" u="1"/>
        <s v="Buenas tardes Isaac, tu petición fue atendida, favor de validar _x000a__x000a_Saludos _x000a__x000a_Marina Adame Velasco_x000a__x000a_Notificación de seguimiento  [  MA1208202006 ]  _x000a__x000a_Aplicación:                  INFOMEX OAXACA_x000a_Tipo de Soporte:         AJUSTE DE PLAZOS    _x000a_Estatus:                               Concluido._x000a_" u="1"/>
        <s v="Buenas tardes Isaac, tu petición fue atendida, favor de validar _x000a__x000a_Saludos _x000a__x000a_Marina Adame Velasco_x000a__x000a_Notificación de seguimiento  [  MA1709202004 ]  _x000a__x000a_Aplicación:                  INFOMEX OAXACA_x000a_Tipo de Soporte:         AJUSTE DE PLAZOS    _x000a_Estatus:                               Concluido._x000a_" u="1"/>
        <s v="Cambio de archivo del folio:  1410000087621" u="1"/>
        <s v="Respaldar Curso 6 de Miscelánea INAI  de la plataforma anterior y restaurar en plataforma actual " u="1"/>
        <s v="Se cambia el tipo de solicitud del folio: 0933800009921" u="1"/>
        <s v="Se testan los datos de la solicitud con folio 0064101503821" u="1"/>
        <s v="Creación de cuenta y configuración de admimnistración Obligaciones de Transparencia" u="1"/>
        <s v="Actualizacion sitio consultas " u="1"/>
        <s v="Instalación Campus Civil en ambiente productivo" u="1"/>
        <s v="Instalación y configuración de plugin para look and feel campus Civil" u="1"/>
        <s v="Notificación de seguimiento  [  MA0303202101 ]  _x000a_ _x000a_ _x000a_Estimado(a):                     ALEJANDRA TEJEDA_x000a_ _x000a_ _x000a_Le informamos que su ticket correspondiente a:_x000a_               _x000a_reportes de solicitudes de 2018 y 2019 que contenga el dato de si se entregó respuesta o no, para poder atender una solicitud presentada ante este Órgano Garante._x000a__x000a_ _x000a_Aplicación:                  INFOMEX BCN_x000a_Tipo de Soporte:         REPORTE   _x000a_Observaciones:            _x000a_ _x000a_Su petición fue atendida_x000a_ _x000a_" u="1"/>
        <s v="_x000a_Notificación de seguimiento  [  MA0406202004 ]  _x000a_ _x000a_ _x000a_Estimado(a):                     Pedro Esquivel Martínez_x000a_ _x000a_Le informamos que su ticket correspondiente a:_x000a_               _x000a_sustitución del certificado para MC_x000a_" u="1"/>
        <s v="Se aplica el testado de datos de la solicitud: 0110000003020 así como el archivo adjunto." u="1"/>
        <s v="Revisión de problemas de los servicios de quejas" u="1"/>
        <s v="Notificación de seguimiento  [  MA1409202009 ]  _x000a_ _x000a_ _x000a_Estimado(a):                     Lizbeth Adriana Cabrera Ortega_x000a_ _x000a_Le informamos que su ticket correspondiente a:_x000a_               _x000a_Pido de tu amable apoyo a fin de modificar la fecha de interposición del recurso indicado en el asunto al 7 de septiembre de 2020._x000a_ _x000a_Asimismo pido si me hacen favor, adicionar el acuerdo de turno modificado según la solicitud de la ponencia._x000a_ _x000a_Aplicación:                  SIGEMI_x000a_Tipo de Soporte:         cambio de fecha de interposición y actualización de acuerdo de turno   _x000a_Observaciones:            _x000a_ _x000a_Su petición fue atendida_x000a_ _x000a_" u="1"/>
        <s v="Notificación de seguimiento  [  MA2010202003 ]  _x000a_ _x000a_ _x000a_Estimado(a):                     Alma Lizbeth Peguero Rivera_x000a_ _x000a_Le informamos que su ticket correspondiente a:_x000a_               _x000a_Por medio de presente, solicito de la manera más atenta, su apoyo para retroceder los pasos en el sistema SIGEMI-SICOM en la PNT del siguiente asunto RRA 08540/20 BLIC , hasta la actividad “Registrar información de la sesión del pleno”; sin más por el momento, quedo en espera de sus comentarios._x000a__x000a_ _x000a_Aplicación:                  SIGEMI_x000a_Tipo de Soporte:         REGRESO DE PASOS  _x000a_Observaciones:            _x000a_ _x000a_Su petición fue atendida_x000a_ _x000a_" u="1"/>
        <s v="Se  testan los datos del folio: 0064100882621" u="1"/>
        <s v="Notificación de seguimiento  [  MA1203202110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1º al 31 de marzo 2021 y contando también el periodo vacacional de semana santa; debiéndose considerar los días comprendidos dentro de dicho periodo como inhábiles para evitar la propagación del coronavirus COVID-19._x000a_ _x000a_Aplicación:                  INFOMEX NUEVO LEON_x000a_Tipo de Soporte:         AJUSTE  DE PLAZO   _x000a_Observaciones:            _x000a_ _x000a_Su petición fue atendida_x000a_ _x000a_  _x000a_            Favor de validar._x000a_" u="1"/>
        <s v="Notificación de seguimiento  [  MA1102202007 ]_x000a__x000a_ _x000a_Estimado(a):                     Sergio Rafael Cortés Alpizar_x000a_ _x000a_Le informamos que su ticket correspondiente a:_x000a_               _x000a_Por este medio solicito se elimine el paso de Cierre de instrucción en la PNT y se vuelva habilitar el mismo para volverlo a generar, el recurso es:_x000a_ _x000a_RRA 14731/19 vs SEGOB_x000a__x000a_ _x000a_Aplicación:                  SIGEMI_x000a_Tipo de Soporte:         Eliminar cierre  _x000a_Observaciones:            _x000a_ _x000a_Su petición fue atendida_x000a_ _x000a_" u="1"/>
        <s v="Notificación de seguimiento  [  MA210220203 ]  _x000a_ _x000a_ _x000a_Estimado(a):                     Alondra Jiménez Hernández_x000a_ _x000a_Le informamos que su ticket correspondiente a:_x000a_               _x000a_Anexo el registro actualizado del certificado del nuevo Titular de la Unidad de Transparencia de LICONSA, para que se habilite su acceso en la Herramienta de Comunicación. _x000a_ _x000a__x000a_ _x000a_Aplicación:                  HCOM   _x000a_Tipo de Soporte:         CAMBIO DE TUT  _x000a_Observaciones:            _x000a_ _x000a_Su petición fue atendida_x000a_ _x000a_" u="1"/>
        <s v="Análisis de microservicios" u="1"/>
        <s v="Se testan los datos de la solicitud con folio: 1816400162121" u="1"/>
        <s v="Definición de herramienta para descarga automatizada de solicitudes" u="1"/>
        <s v="Se sustituye archivo adjunto del folio: 1816400017921" u="1"/>
        <s v="El usuario del área de Verificación, realiza el mismo reporte del error de fechas del calendario. Se realizó el ajuste de todos los casos de Denuncia en cuanto a las fechas calculadas erróneamente. Se le envió el listado al usuario para que confirmara si se debían cambiar documentos del expediente electrónico, confirmando que se queden igual." u="1"/>
        <s v="Se  testan los datos del folio:0063700303521" u="1"/>
        <s v="Se elmina la respuesta del folio:  0001600051721" u="1"/>
        <s v="Se habilita la opción de pagos para el Sujeto Obligado Corredor Interoceánico del Istmo de Tehuantepec" u="1"/>
        <s v="Buenas tardes Guillermo, tu petición fue atendida, favor de validar _x000a__x000a_Saludos _x000a__x000a_Marina Adame Velasco_x000a__x000a_Notificación de seguimiento  [  MA0107202001 ]  _x000a__x000a_Aplicación:                  INFOMEX BCN_x000a_Tipo de Soporte:         AJUSTE DE PLAZOS   _x000a_Estatus:                               Concluido._x000a_" u="1"/>
        <s v="Buenas tardes Guillermo, tu petición fue atendida, favor de validar _x000a__x000a_Saludos _x000a__x000a_Marina Adame Velasco_x000a__x000a_Notificación de seguimiento  [  MA0505202005 ]  _x000a__x000a_Aplicación:                  INFOMEX BCN_x000a_Tipo de Soporte:         AJUSTE DE PLAZOS   _x000a_Estatus:                               Concluido._x000a_" u="1"/>
        <s v="Buenas tardes Guillermo, tu petición fue atendida, favor de validar _x000a__x000a_Saludos _x000a__x000a_Marina Adame Velasco_x000a__x000a_Notificación de seguimiento  [  MA2206202006 ]  _x000a__x000a_Aplicación:                  INFOMEX BCN_x000a_Tipo de Soporte:         Ajuste de plazos   _x000a_Estatus:                               Concluido._x000a_" u="1"/>
        <s v="Buenas tardes Guillermo, tu petición fue atendida, favor de validar _x000a__x000a_Saludos _x000a__x000a_Marina Adame Velasco_x000a__x000a_Notificación de seguimiento  [  MA2505202014 ]  _x000a__x000a_Aplicación:                  INFOMEX BCN_x000a_Tipo de Soporte:         AJUSTE DE PLAZOS   _x000a_Estatus:                               Concluido._x000a_" u="1"/>
        <s v="Buenas tardes Guillermo, tu petición fue atendida, favor de validar _x000a__x000a_Saludos _x000a__x000a_Marina Adame Velasco_x000a__x000a_Notificación de seguimiento  [  MA2907202010 ]  _x000a__x000a_Aplicación:                  INFOMEX BCN_x000a_Tipo de Soporte:         Ajuste de plazos   _x000a_Estatus:                               Concluido._x000a_" u="1"/>
        <s v="Revisión y análisis documentación proporcionada: ejemplos ECU" u="1"/>
        <s v="Notificación de seguimiento  [  MA1108202103 ]_x000a__x000a_Estimado(a):                Pedro Esquivel Martínez_x000a__x000a_ _x000a_ Le informamos que su ticket correspondiente a:_x000a_               _x000a_la actualización del acceso al HCOM de acuerdo al cuadro siguiente:_x000a__x000a_No Clave Presupuestal Fideicomiso_x000a_  Siglas_x000a_  TITULAR DE LA U.T._x000a_  NOMBRE DEL CERTIFICADO A GENERAR Contraseña INFOMEX y HCOM_x000a_1 00638 Fondo de ayuda, asistencia y reparación integral CEAV F1 Marcela Soto Alarcón 00638. Marcela Soto Alarcón  _x000a_SISI00638_x000a_ _x000a_HCOM00638_x000a__x000a_ _x000a_Aplicación:                  HCOM_x000a_Tipo de Soporte:         CAMBIO DE TUT   _x000a_Observaciones:            _x000a_ _x000a_Su petición fue atendida_x000a_ _x000a_" u="1"/>
        <s v="Notificación de seguimiento  [  MA1203202010 ]  _x000a_ _x000a_ _x000a_Estimado(a):                     Mariana Aguila Jimenez_x000a_ _x000a_Le informamos que su ticket correspondiente a:_x000a_               _x000a_Por este medio requiero de tu valioso apoyo a efecto de que en relación al recurso de revisión RRA 01294-20 , puedas regresar los pasos en la Plataforma Nacional de Transparencia en la parte donde aún no se ha SUBIDO LA VERSIÓN FINAL O EL PROYECTO FINAL, derivado a que dicho asunto se bajó en la sesión del día de ayer. _x000a_ _x000a_Aplicación:                  SIGEMI_x000a_Tipo de Soporte:         REGRESO DE PASOS  _x000a_Observaciones:            _x000a_ _x000a_Su petición fue atendida_x000a_ _x000a_" u="1"/>
        <s v="Notificación de seguimiento  [  MA1709202006 ]  _x000a_ _x000a_ _x000a_Estimado(a):                     Sergio Rafael Cortés Alpizar_x000a_ _x000a_Le informamos que su ticket correspondiente a:_x000a_               _x000a_Por medio del presente, solicito se regrese la actividad a &quot;Preparación del Proyecto de Resolución&quot;  y se elimine el archivo de desechamiento del siguiente recurso de revisión:_x000a__x000a_RRA 2721/20 vs Registro Agrario Nacional_x000a__x000a_Lo anterior se debe a que se va a corregir el proyecto de desechamiento y se volverá a enviar._x000a__x000a_ _x000a_Aplicación:                  SIGEMI_x000a_Tipo de Soporte:         REGRESO DE PASOS  _x000a_Observaciones:            _x000a_ _x000a_Su petición fue atendida_x000a_ _x000a_" u="1"/>
        <s v="Notificación de seguimiento  [  MA1908202007 ]  _x000a_ _x000a_ _x000a_Estimado(a):                     Sergio Rafael Cortés Alpizar_x000a_ _x000a_Le informamos que su ticket correspondiente a:_x000a_               _x000a_Por medio del presente, solicito el regreso de actividad a &quot; Admitir / Prevenir / Desechar&quot; y se eliminen la notificación de prevención del siguiente recurso de revisión:_x000a_ _x000a_RRA 8436/20 vs INSABI_x000a_ _x000a_Lo anterior se debe a que por un error involuntario se anexo un archivo mal y se enviara de nuevo el acuerdo correcto._x000a_ _x000a_Aplicación:                  SIGEMI_x000a_Tipo de Soporte:         REGRESO DE PASOS  _x000a_Observaciones:            _x000a_ _x000a_Su petición fue atendida_x000a_ _x000a_" u="1"/>
        <s v="Notificación de seguimiento  [  MA2506202002 ]  _x000a_ _x000a_ _x000a_Estimado(a):                     Omar Antonio Méndez Mendoza_x000a_ _x000a_Le informamos que su ticket correspondiente a:_x000a_               _x000a_Por instrucciones del Dr. Luis Felipe Nava Gomar, Director General de Enlace con los Poderes Legislativo y Judicial, me permito solicitar su valioso apoyo, a efecto de realizar modificaciones sobre las fechas de vencimiento de algunos requerimientos realizados mediante HCOM, de conformidad con los siguientes datos:_x000a__x000a_ _x000a_Aplicación:                  HCOM_x000a_Tipo de Soporte:         ACTUALIZAR PLAZO   _x000a_Observaciones:            _x000a_ _x000a_Su petición fue atendida_x000a_ _x000a_" u="1"/>
        <s v="Se aplica el testado de datos de la solicitud: 0064100289220." u="1"/>
        <s v="Se sustituye archivo adjunto  del folio:  011000053521 " u="1"/>
        <s v="Generación de script de etiquetado automatizado SIPOT" u="1"/>
        <s v="Implemtación del diseño de la solución (4 ó 1 servicio)" u="1"/>
        <s v="Se envia respuesta e historial de la solicitud: 0001600323920" u="1"/>
        <s v="Notificación de seguimiento  [  MA2904202003 ]  _x000a_ _x000a_ _x000a_Estimado(a):                     Edgar Michel Loaeza Martínez_x000a_ _x000a_Le informamos que su ticket correspondiente a:_x000a_               _x000a_Por medio del presente solicito su valioso apoyo a efecto de realizar el cambio de certificado del Titular de la Unidad de Transparencia de la Comisión Nacional de Seguros y Fianzas._x000a_ _x000a_ _x000a_Aplicación:                  HCOM_x000a_Tipo de Soporte:         CAMBIO DE CERTIFICADO   _x000a_Observaciones:            _x000a_ _x000a_Su petición fue atendida_x000a_ _x000a_" u="1"/>
        <s v="Notificación de seguimiento  [  MA1205202117 ]  _x000a_ _x000a_ _x000a_Estimado(a):                     Pedro Esquivel Martínez_x000a_ _x000a_ _x000a_Le informamos que su ticket correspondiente a:_x000a_               _x000a_Por este medio Anexo el registro actualizado del certificado para la actualización correspondiente para el Sujeto Obligado: “Fondo de la Financiera Rural”.  Lo Anterior a fin de que sus accesos sean habilitados en los otros sistemas que administra este Instituto (HCOM). _x000a__x000a_ _x000a_Clave Presupuestal    Sujeto Obligado Titular de la unidad de transparencia    CERTIFICADO A GENERAR    Contraseña   _x000a_06566  _x000a_Fondo de la Financiera Rural Carlos Gerardo Pedraza Balboa 06566.Carlos Gerardo Pedraza Balboa HCOM:_x000a_HCOM06566 _x000a_ _x000a_INFOMEX_x000a_SIS06566 _x000a_ _x000a_ _x000a_Aplicación:                  HCOM_x000a_Tipo de Soporte:         RENOVAR CERTIFICADO   _x000a_Observaciones:            _x000a_ _x000a_Su petición fue atendida_x000a_ _x000a_  _x000a_            Favor de validar._x000a_ _x000a_Estatus:                               Concluido._x000a__x000a_" u="1"/>
        <s v="Versión de sistemas operativos" u="1"/>
        <s v="Notificación de seguimiento  [  MA1205202116 ]  _x000a_ _x000a_ _x000a_Estimado(a):                     Edwin Robles Hernández_x000a_ _x000a_ _x000a_Le informamos que su ticket correspondiente a:_x000a_               _x000a_Por este medio solicito de su valioso apoyo para poder aplicar las afectaciones a las fechas de vencimiento y la eliminación de los acuses respectivos de las solicitudes señaladas en el archivo adjunto. Toda vez que el Consejo General aprobará mediante Acuerdo ACDO/CG/IAIP/021/2020._x000a__x000a_ _x000a_Aplicación:                  INFOMEX OAXACA_x000a_Tipo de Soporte:         AJUSTE DE PLAZOS   _x000a_Observaciones:            _x000a_ _x000a_Su petición fue atendida_x000a_ _x000a_  _x000a_            Favor de validar._x000a_ _x000a_Estatus:                               Concluido._x000a_" u="1"/>
        <s v="Notificación de seguimiento  [  MA1901202102 ]  _x000a_ _x000a_ _x000a_Estimado(a):                     ALEJANDRA TEJEDA OCHOA_x000a_ _x000a_ _x000a_Le informamos que su ticket correspondiente a:_x000a_               _x000a_en seguimiento al reporte de solicitudes 2020 me comentan si hay oportunidad que se incluya el correo electrónico de los solicitantes ya que anteriormente se recibida con ese dato_x000a_ _x000a_Aplicación:                  INFOMEX BCN_x000a_Tipo de Soporte:         REPORTE   _x000a_Observaciones:            _x000a_ _x000a_Su petición fue atendida, te envio los totales de solicitudes 2020 y 2021 con correo incluido, en un rato te envio las que fueron respondidas_x000a_ _x000a_  _x000a_            Favor de validar._x000a_ _x000a_Estatus:                               Concluido._x000a_" u="1"/>
        <s v="_x000a_Notificación de seguimiento  [  MA0508202008 ]  _x000a_ _x000a_ _x000a_Estimado(a):                     Rosalinda Coria Mosqueda_x000a_ _x000a_Le informamos que su ticket correspondiente a:_x000a_               _x000a_Regresar a la actividad de (preparación del proyecto de resolución) de los siguientes recursos._x000a__x000a_RRA 6515/20_x000a_RRA 6445/20_x000a_RRA 6160/20_x000a_RRA 6020/20_x000a_RRA 6310/20_x000a_RRA 6650/20_x000a__x000a__x000a_ _x000a_Aplicación:                  SIGEMI_x000a_Tipo de Soporte:         REGRESO DE PASOS ( 6 ) _x000a_" u="1"/>
        <s v="Se cambia el tipo de solicitud del folio: 0001200284221" u="1"/>
        <s v="Semblanza y agenda 2020" u="1"/>
        <s v="Se aplica sustitución de archivo adjunto: 0064100175320." u="1"/>
        <s v="Se aplicó el cambio de modalidad así como la sustitución de archivo adjunto de la solicitud: 0002700017020." u="1"/>
        <s v="Notificación de seguimiento  [  MA3008202201 ]_x000a__x000a_Estimado(a):                Edgar Michel Loaeza Martínez_x000a__x000a_ Le informamos que su ticket correspondiente a:_x000a_               _x000a_crear el certificado de la Procuraduría Federal de Protección al Ambiente, en razón de que el certificado de la actúa TUT se encuentra vencido._x000a__x000a_Para tal efecto, anexo base de datos, lo anterior, a fin de que sus certificado sea creado y habilitado._x000a__x000a_Clave_x0009_Sujeto obligado_x0009_Titular de la Unidad de Transparencia_x000a_16131_x0009_Procuraduría Federal de Protección al Ambiente_x0009_Lic. Elvira del Carmen Yañez Oropeza_x000a__x000a__x000a_ _x000a_Aplicación:                  HCOM_x000a_Tipo de Soporte:         GENERAR Y ACTUALIZAR CERTIFICADO_x000a_Observaciones:            _x000a_ _x000a_Su petición fue atendida" u="1"/>
        <s v="Análisis del caso CDMX donde se observa el nombre del archivo dentro del campo URL y su corrección." u="1"/>
        <s v="Ajustes al servicio de almacenamiento de queja para obtener archivo de SISAI continuación" u="1"/>
        <s v="Se aplica testado de datos al folio:  0064103290220" u="1"/>
        <s v="Se sustituye archivo del folio 011000041821" u="1"/>
        <s v="Notificación de seguimiento  [  MA1402202201 ]_x000a__x000a_Estimado(a):                Claudia Marbella Collí Peña_x000a__x000a_ _x000a_ Le informamos que su ticket correspondiente a:_x000a_               _x000a_Esperando te encuentres bien, solicito tu apoyo para regresar el paso de ampliación de paso en la PNT, correspondiente al RRA 13756/21, toda vez que por un error involuntario no se adjuntó el acuerdo de ampliación._x000a_ _x000a_Aplicación:                  SICOM_x000a_Tipo de Soporte:         ELIMINAR AMPLIACIÓN  _x000a_Observaciones:            _x000a_ _x000a_Su petición fue atendida_x000a_ _x000a_" u="1"/>
        <s v="Se testan datos y se sustituye archivo del folio: 0064102351121" u="1"/>
        <s v="Se corrigen detalles de los webservices y se realizan pruebas con la base de datos." u="1"/>
        <s v="Se testan datos del folio: 0002700151521" u="1"/>
        <s v="Se realiza la carga de archivo mediante control " u="1"/>
        <s v="Se procede con la automatización del proceso para la generación de registros Inserts del Excel  Tarea_estatus_Estados.xlsx (32 Hojas de procesamiento)" u="1"/>
        <s v="Notificación de seguimiento  [  MA3011202002 ]  _x000a_  _x000a_Estimado(a):                     Lizbeth Adriana Cabrera Ortega_x000a_  _x000a_Le informamos que su ticket correspondiente a:_x000a_               _x000a_incorporar el archivo correcto al recurso RRA 13411/20._x000a_ _x000a_Aplicación:                  SIGEMI _x000a_Tipo de Soporte:         ACTUALIZACIÓN DE ARCHIVOS    _x000a_Observaciones:            _x000a_ _x000a_Su petición fue atendida_x000a_   _x000a_" u="1"/>
        <s v="Integración de nuevos campos en la seccion de Datos generales (Declaracion patrimonial) en Declaranet" u="1"/>
        <s v="Se aplica eliminación de última respuesta al folio: 1222300007520." u="1"/>
        <s v="Notificación de seguimiento  [  MA2711202004 ]  _x000a_ _x000a_ _x000a_Estimado(a):                     Lizbeth Adriana Cabrera Ortega_x000a_ _x000a_ _x000a_Le informamos que su ticket correspondiente a:_x000a_               _x000a_generación UN EXPEDIENTE del recurso de revisión posteriormente citado._x000a_ _x000a_Asimismo, te comento que NO DEBERÁ CAMBIAR el sujeto obligado, ni el Comisionado correspondiente. _x000a_ _x000a_ DICE                                        DEBE DECIR                         SUJETO OBLIGADO           PONENTE_x000a_RRA 13450/20 RRA 0737/19-BIS  NAFIN RMC_x000a_ _x000a_No omito comentarte que el número de expediente que deberá seguir en el consecutivo por turnar en PNT debe ser el RRA 13450/20_x000a_ _x000a_Aplicación:                  SIGEMI_x000a_Tipo de Soporte:         CAMBIO A BIS_x000a_Observaciones:            _x000a_ _x000a_Su petición fue atendida_x000a_ _x000a_  _x000a_            Favor de validar._x000a_ _x000a_Estatus:                               Concluido._x000a_" u="1"/>
        <s v="Notificación de seguimiento  [  MA2602202011 ]  _x000a_ _x000a_ _x000a_Estimado(a):                     Pedro Esquivel Martínez_x000a_ _x000a_Le informamos que su ticket correspondiente a:_x000a_               _x000a_Anexo el registro actualizado del certificado del Titular de la Unidad de Enlace del  “Instituto Nacional de Pediatría”.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_x000a_Tipo de Soporte:         RENOVACIÓN DE CERTIFICADO   _x000a_Observaciones:            _x000a_ _x000a_Su petición fue atendida_x000a_ _x000a_" u="1"/>
        <s v="Se ajustaron y reemplazaron algnos links del sitio " u="1"/>
        <s v="Se aplica testado de datos al folio: 011000015421" u="1"/>
        <s v="Pruebas unitarias de generación de Token" u="1"/>
        <s v="Análisis y generación de scripts para datos de recursos en infomex Estados" u="1"/>
        <s v="Diagnóstico y Definición de herramienta para la descompresión óptima para evaluación de archivos" u="1"/>
        <s v="Componente catalogo integrante lado publico " u="1"/>
        <s v="Se sustituye el archivo adjunto de la solicitud con folio 0063700406421" u="1"/>
        <s v="Notificación de seguimiento [ MA3101202003 ] _x000a_  _x000a_  _x000a_ Estimado(a): Pedro Esquivel Martínez_x000a_  _x000a_ Le informamos que su ticket correspondiente a:_x000a_  _x000a_ Anexo el registro actualizado del certificado del Titular de la Unidad de Enlace del “NOTIMEX”. Lo anterior a fin de que sus accesos sean habilitados en los otros sistemas que administra este Instituto (HCOM). CAMBIO DE TITULAR, en cuanto se reciba la atención en HCOM se realizará la actualización de los demás sistemas correspondientes._x000a_ _x000a_  _x000a_ Aplicación: HCOM_x000a_ Tipo de Soporte: CAMBIO DE TUT _x000a_ Observaciones: _x000a_  _x000a_ Su petición fue atendida_x000a_  _x000a_ _x000a_  _x000a_  Favor de validar._x000a_  _x000a_ Estatus: Concluido." u="1"/>
        <s v="Creación de formulario &quot;Registro de propuestas&quot;" u="1"/>
        <s v="Configuración de tuneo" u="1"/>
        <s v="Login twitter completo" u="1"/>
        <s v="Se testan datos del folio: 0000700256421 " u="1"/>
        <s v="Notificación de seguimiento  [  MA0303202103 ]  _x000a_ _x000a_ _x000a_Estimado(a):                     ALEJANDRA TEJED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1º al 26 de marzo 2021 y contando también el periodo vacacional de semana santa; debiéndose considerar los días comprendidos dentro de dicho periodo como inhábiles para evitar la propagación del coronavirus COVID-19._x000a__x000a_ _x000a_Aplicación:                  INFOMEX NUEVO LEÓN_x000a_Tipo de Soporte:         AJUSTE DE PLAZOS    _x000a_" u="1"/>
        <s v="Integración de los servicios del API con los servicios del front end. Desarrollo de validaciones en el api y en el front end" u="1"/>
        <s v="Notificación de seguimiento  [  MA0209202101 ]_x000a_ _x000a_Estimado(a):                Edgar Michel Loaeza Martínez_x000a_ _x000a_ _x000a_ Le informamos que su ticket correspondiente a:_x000a_ _x000a_               _x000a_Por medio del presente solicito su valioso apoyo a efecto de realizar el cambio de Titular de la Unidad de Transparencia de la Secretaría General del Consejo Nacional de Población (CONAPO)._x000a_ _x000a_Para tal efecto, anexo al presente el certificado, cédula de registro y nombramiento, lo anterior, a fin de que sus accesos sean habilitados en los sistemas que administra este Instituto (INFOMEX y HCOM).  _x000a_ _x000a_ _x000a_ _x000a_Aplicación:                  HCOM_x000a_Tipo de Soporte:         CAMBIO DE TUT_x000a_Observaciones:            _x000a_ _x000a_Su petición fue atendida_x000a_ _x000a_" u="1"/>
        <s v="Notificación de seguimiento  [  MA1603202110 ]  _x000a_ _x000a_ _x000a_Estimado(a):                     ALAN GARCÍA_x000a_  _x000a_Le informamos que su ticket correspondiente a:_x000a_               _x000a_RESPALDO SEMANAL DE LA BASE DE DATOS INFOMEX_x000a_ _x000a_Aplicación:                  INFOMEX TLAXCALA_x000a_Tipo de Soporte:         RESPALDO   _x000a_" u="1"/>
        <s v="Notificación de seguimiento  [  MA2203202114 ]  _x000a_ _x000a_ _x000a_Estimado(a):                     ALAN GARCÍA_x000a_  _x000a_Le informamos que su ticket correspondiente a:_x000a_               _x000a_RESPALDO SEMANAL DE LA BASE DE DATOS INFOMEX_x000a_ _x000a_Aplicación:                  INFOMEX TLAXCALA_x000a_Tipo de Soporte:         RESPALDO   _x000a_" u="1"/>
        <s v="prueba de SISAI 2, con los Organismos Garantes " u="1"/>
        <s v="Revisión CDMX acceso anónimo" u="1"/>
        <s v="Se generaron 6 certificados para la dependencias: 06572,06573,06574,06575,06576,06577." u="1"/>
        <s v="Notificación de seguimiento  [  MA1510202002 ]  _x000a_ _x000a_ _x000a_Estimado(a):                     HUGO GOVI_x000a_ _x000a_Le informamos que su ticket correspondiente a:_x000a_               _x000a_solicito se agregue el nombre del sujeto obligado en el recurso de revisión con el folio que se describe en el cuerpo de este correo_x000a_ _x000a_SUJETO OBLIGADO: Instituto de Elecciones y Participación Ciudadana_x000a_FOLIO: 00154020_x000a_ID INFOMEX:_x000a_20160427-1251-0400-9010-94fe90b705b0_x000a__x000a_ _x000a_Aplicación:                  SIGEMI_x000a_Tipo de Soporte:         Corrección en datos de solicitud  _x000a_Observaciones:            _x000a_ _x000a_Su petición fue atendida_x000a_ _x000a_" u="1"/>
        <s v="Se procede con la actualización de la automatización del proceso para la generación de registros Inserts del Excel (SISAI_catalogos_TareaXEdos.xlsx)" u="1"/>
        <s v="Se aplica el testado de datos de las solicitudes: 0673800011020 y 0673800011120." u="1"/>
        <s v="Notificación de seguimiento  [  MA1111202201 ]_x000a_Estimado(a):                Alondra Jiménez Hernández_x000a_ Le informamos que su ticket correspondiente a:_x000a_Debido al cambio de responsable de transparencia del responsable de transparencia, les pido sea generado un certificado genérico a nombre del TUT y que con el mismo sea habilitado en la HCOM. Los datos son los siguientes:_x000a_Clave_x0009_Sujeto obligado_x0009_Siglas HCOM_x0009_Nombre del Titular de la Unidad de Transparencia_x0009_Correo electrónico_x0009_Contraseña_x000a_09179_x0009_Administración del Sistema Portuario Nacional Manzanillo, S.A. de C.V._x0009_ASIPONA MANZANILLO_x0009_Alfonso Gil Medina_x0009_amedina@puertomanzanillo.com.mx_x000a_Ver archivo adjunto_x000a__x000a_Aplicación:                 HCOM_x000a_Tipo de Soporte        GENERACIÓN DE CERTIFICADO Y CAMBIO DE TUT " u="1"/>
        <s v="Notificación de seguimiento  [  MA1102202104 ]  _x000a_ _x000a_ _x000a_Estimado(a):                  Martha Rubí Zaragoza Mora   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2 al 28 febrero de 2021; debiéndose considerar los días comprendidos dentro de dicho periodo como inhábiles para evitar la propagación del coronavirus COVID-19._x000a_ _x000a_Aplicación:                  INFOMEX NUEVO LEÓN_x000a_Tipo de Soporte:         AJUSTE DE PLAZOS   _x000a_" u="1"/>
        <s v="Se aplica eliminación de última respuesta de la solicitud: 1621100129320" u="1"/>
        <s v="Se  testan los datos del folio: 0210000070221, 0210000070321 y 0210000070421" u="1"/>
        <s v="Se sustituye archivo adjunto  del folio: 0002700160521 " u="1"/>
        <s v="Resolver incidentes reportados por usuarios y QA" u="1"/>
        <s v="Generación de script de unificación de tablas SISAI, SIGEMI-SICOM" u="1"/>
        <s v="se generan el servicio de auth que controlara la sesion, y el GUARD que controlara el acceso a las rutas de la aplicación solicitando siempre tener una sesion activa" u="1"/>
        <s v="Se realizó el cambio de a cuerdo a tu petición." u="1"/>
        <s v="Se elimina la respuesta del folio: 00006000146521" u="1"/>
        <s v="Se modifican los datos en solicitud  0063700381821" u="1"/>
        <s v="Publicación de Resoluciones en materia de Protección de Datos Personales derivadas de la LGPDPPSO (sector público)" u="1"/>
        <s v="Notificación de seguimiento [ MA0801202005 ] _x000a_  _x000a_  _x000a_ Estimado(a): Pedro Esquivel Martínez_x000a_  _x000a_ Le informamos que su ticket correspondiente a:_x000a_  _x000a_ Anexo el registro actualizado del certificado del Titular de la Unidad de Enlace del “INSTITUTO NACIONAL DE PERINATOLOGÍA.”. Lo anterior a fin de que sus accesos sean habilitados en los otros sistemas que administra este Instituto (HCOM). CAMBIO DE CERTIFICADO, en cuanto se reciba la atención en HCOM se realizará la actualización de los demás sistemas correspondientes._x000a_ _x000a_ _x000a_  _x000a_ Aplicación: HCOM_x000a_ Tipo de Soporte: Actualizacion de certificado _x000a_ Observaciones: _x000a_  _x000a_ Su petición fue atendida" u="1"/>
        <s v="Desarrollo e implementación de las soluciones a los hallazgos de vulnerabilidad de la PNT" u="1"/>
        <s v="Se cambia el tipo de solicitud del folio: 0063500159221" u="1"/>
        <s v="Notificación de seguimiento  [  MA1910202007 ]  _x000a_ _x000a_ _x000a_Estimado(a):                     Alma Lizbeth Peguero Rivera_x000a_ _x000a_Le informamos que su ticket correspondiente a:_x000a_               _x000a_Por medio de la presente, solicito de la manera más atenta, su apoyo para retroceder los pasos en el sistema SIGEMI-SICOM en la PNT de los siguientes asuntos RRD 02642/20 JRV, hasta la actividad “Registrar información de la sesión del pleno”, sin más por el momento, quedo en espera de sus comentarios._x000a__x000a_ _x000a_Aplicación:                  SIGEMI_x000a_Tipo de Soporte:         REGRESO DE PASOS  _x000a_Observaciones:            _x000a_ _x000a_Su petición fue atendida_x000a_ _x000a_" u="1"/>
        <s v="Notificación de seguimiento [ MA2801202006 ] _x000a_  _x000a_  _x000a_ Estimado(a): Tiara Gethsemanni Miranda Fuentes_x000a_  _x000a_ Le informamos que su ticket correspondiente a:_x000a_  _x000a_ Por medio de presente, solicito de la manera más atenta, su apoyo para retroceder los pasos en el sistema SIGEMI-SICOM en la PNT del asunto que se enlista a continuación; hasta la actividad “Registrar información de la sesión del pleno”; sin más por el momento, quedo en espera de sus comentarios._x000a_  _x000a_  _x000a_ • RRA 15415/19_x000a_ _x000a_  _x000a_ Aplicación: SIGEMI_x000a_ Tipo de Soporte: REGRESO DE PASOS _x000a_ Observaciones: _x000a_  _x000a_ Su petición fue atendida_x000a_  _x000a_ _x000a_  _x000a_  Favor de validar._x000a_  _x000a_ Estatus: Concluido." u="1"/>
        <s v="Notificación de seguimiento [ MA2901202001 ] _x000a_  _x000a_  _x000a_ Estimado(a): Luis Alberto Velázquez Olvera_x000a_  _x000a_ Le informamos que su ticket correspondiente a:_x000a_  _x000a_ Por medio del presente, solicito de la forma más atenta que, respecto del RRA 16306/19 sea regresado al paso “cierre de insturcción” toda vez que se notificó en el SIGEMI de manera incorrecta._x000a_  _x000a_ En razón de ello es que se requiere que se regrese el paso, a efecto de una pronta notificación con el archivo correcto._x000a_  _x000a_ Quedo en espera de su, siempre tan pronta, respuesta._x000a_  _x000a_ Aplicación: SIGEMI_x000a_ Tipo de Soporte: Elimina Cierre de Instrucción _x000a_ Observaciones: _x000a_  _x000a_ Su petición fue atendida_x000a_  _x000a_  _x000a_  Favor de validar._x000a_  _x000a_ Estatus: Concluido." u="1"/>
        <s v="Se sustituye archivo adjunto  del folio:  0064100860721" u="1"/>
        <s v="Notificación de seguimiento  [  MA0607202004 ]  _x000a_ _x000a_ _x000a_Estimado(a):                     Berenice Hernández Sumano_x000a_ _x000a_Le informamos que su ticket correspondiente a:_x000a_               _x000a_Buen día chic@s, por este medio solicito la afectación en base de datos de la fecha de caducidad para la entrega de Alegatos y Manifestaciones del Recurso de Revisión presentado en el SICOM_x000a_ _x000a_Aplicación:                  SIGEMI_x000a_Tipo de Soporte:         Actualización de fecha aplicación  _x000a_Observaciones:            _x000a_ _x000a_Su petición fue atendida, se realizó el cambio de fecha de aplicación de envío de alegatos _x000a_ _x000a_" u="1"/>
        <s v="Se elimina la ultima respuesta del folio 0130000024721 " u="1"/>
        <s v="Continúa el Apoyo en consultas y validación de la información generada con las bases de datos en custodia (casos de diversos estados) en lo referente principalmente a documentación adjunta._x000a_Se sigue apoyando en la recuperación de adjuntos de CDMX vía el aplicativo proporcionado por Luis Fernando." u="1"/>
        <s v="Generación de script para el tratamiento de la información" u="1"/>
        <s v="Actualización y pruebas de funcionalidad de campus Organismos Garantes 2.2" u="1"/>
        <s v="Problema de carga en servidor" u="1"/>
        <s v="Notificación de seguimiento  [  MA1405202104 ]  _x000a_ Estimado(a):                     Lizbeth Adriana Cabrera Ortega_x000a_ Le informamos que su ticket correspondiente a:_x000a_Me puedes apoyar en modificar la fecha de interposición del recurso por haber entrado en su último día para la interposición._x000a_Dice 4 de mayo_x000a_Debe decir 3 de mayo_x000a_Asimismo, podemos actualizar la fecha en el acuerdo de turno._x000a_ _x000a_Aplicación:                  SIGEMI_x000a_Tipo de Soporte:         ACTUALIZACIÓN DE FECHA INTERPOSICION Y TURNO  _x000a_Observaciones:            _x000a_ Su petición fue atendida_x000a_" u="1"/>
        <s v="Se corrige query que obtiene solicitudes en soporte de reemplazo de archivos. Se corrige renombrado de archivo al momento de ser reemplazado" u="1"/>
        <s v="Desarrollo de servicio de cambio de contraseña" u="1"/>
        <s v="_x000a_Notificación de seguimiento  [  MA0412202005 ]  _x000a_ _x000a_ _x000a_Estimado(a):                     Guadalupe Oropeza Torres_x000a_ _x000a_ Le informamos que su ticket correspondiente a:_x000a_               _x000a_En relación con el recurso de revisión RRA 10939/20 vs JFCA, se observa que el recurrente señaló un domicilio físico como medio para oír y recibir notificaciones, sin embargo, la dirección está incompleta lo cual implica una imposibilidad material, de manera que, en términos del artículo 150 de la Ley Federal de Transparencia y Acceso a la Información Pública, las notificaciones se realizarán en los estrados de este Instituto. _x000a__x000a_En ese sentido, solicito su valioso apoyo para que en la Plataforma Nacional de Transparencia se actualice el medio de notificación que eligió el recurrente, a saber, por los estrados de este Instituto. Ello con el propósito de notificar los acuerdos que se emitan en relación con el referido recurso de revisión._x000a_ _x000a_ _x000a_Aplicación:                  SIGEMI_x000a_Tipo de Soporte:         CAMBIO DE MEDIO _x000a_Observaciones:            _x000a_ _x000a_Su petición fue atendida_x000a_" u="1"/>
        <s v="Notificación de seguimiento  [  MA1604202101 ]  _x000a_ _x000a_ _x000a_Estimado(a):                     Pedro Esquivel Martínez_x000a_ _x000a_ _x000a_Le informamos que su ticket correspondiente a:_x000a_               _x000a_Anexo el registro actualizado del certificado del Titular de la Unidad de Enlace de la “Pronósticos para la Asistencia Pública”  en proceso de cambio a Lotería Nacional antes Pronósticos para la Asistencia Pública. Lo anterior a fin de que sus accesos sean habilitados en los otros sistemas que administra este Instituto (HCOM).  _x000a__x000a_ _x000a_Aplicación:                  HCOM_x000a_Tipo de Soporte:         CAMBIO TUT   _x000a_Observaciones:            _x000a_ _x000a_Su petición fue atendida_x000a_ _x000a_" u="1"/>
        <s v="Notificación de seguimiento  [  MA3007202002 ]  _x000a_ _x000a_ _x000a_Estimado(a):                     Tiara Gethsemanni Miranda Fuentes_x000a_ _x000a_Le informamos que su ticket correspondiente a:_x000a_               _x000a__x000a_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_x000a_ _x000a_RRA 06701/20_x000a_ _x000a_ _x000a_Aplicación:                  SIGEMI_x000a_Tipo de Soporte:         REGRESO DE PASOS  _x000a_Observaciones:            _x000a_ _x000a_Su petición fue atendida_x000a_ _x000a_" u="1"/>
        <s v="Notificación de seguimiento  [  MA2608202201 ]_x000a__x000a_Estimado(a):               Alondra Jiménez Hernández_x000a__x000a_ Le informamos que su ticket correspondiente a:_x000a_eliminar el comunicado 002529-IFAI-2022- que por un error involuntario se envió a un sujeto incorrecto_x000a__x000a_Aplicación:                  HCOM_x000a_Tipo de Soporte:        ELIMINAR REQUERIMIENTO_x000a_" u="1"/>
        <s v="Se aplica testado de datos al folio:  0002700357020" u="1"/>
        <s v="Se aplica cambio de modalidad de la solicitud EN 9 FOLIOS" u="1"/>
        <s v="Desarrollo de servicios Mis Quejas, programación de funcionalidad continuación" u="1"/>
        <s v="Actualización y pruebas de funcionalidad de campus Organismos Garantes 3.2" u="1"/>
        <s v="Revisión de entrega" u="1"/>
        <s v="Implementación componente toolbar search" u="1"/>
        <s v="Se  testan los datos de la solicitud con folio 0064100892621_x000a_" u="1"/>
        <s v="Notificación de seguimiento [ MA2701202009 ] _x000a_  _x000a_  _x000a_ Estimado(a): Sergio Rafael Cortés Alpizar_x000a_  _x000a_ Le informamos que su ticket correspondiente a:_x000a_  _x000a_ Por este medio solicito su apoyo para que se cancele o borre la actividad de “Acceso a información clasificada” que viene en la opción 9 de notificación de audiencia en la Plataforma Nacional del Transparencia del siguiente recurso de revisión:_x000a_ _x000a_ RRA 14883/19 vs INE_x000a_ _x000a_ Lo anterior se debe a que se anexo una acuerdo erróneo y se va a volver a enviar el archivo correcto._x000a_ _x000a_ _x000a_  _x000a_ Aplicación: SIGEMI_x000a_ Tipo de Soporte: cancelar actividad en historico_x000a_ Observaciones: _x000a_  _x000a_ Su petición fue atendida" u="1"/>
        <s v="Notificación de seguimiento  [  MA2906202003 ]  _x000a_ _x000a_ _x000a_Estimado(a):                     Edgar Michel Loaeza Martínez_x000a_ _x000a_Le informamos que su ticket correspondiente a:_x000a_               _x000a_Por medio del presente solicito su valioso apoyo a efecto de dar de alta los certificados de Titular de la Unidad de Transparencia de los siguientes sujetos obligados:_x000a__x000a_Coordinación Nacional Antisecuestro_x000a_Fondo de Desastres Naturales (FONDEN)_x000a_Fondo para la Prevención de Desastres Naturales (FOPREDEN)_x000a__x000a_Para tal efecto, anexo al presente los certificados, lo anterior, a fin de que sus accesos sean habilitados en los sistemas que administra este Instituto (HCOM).  _x000a_ _x000a_Aplicación:                  HCOM_x000a_Tipo de Soporte:         Cambio de TUT ( 3 )  _x000a_Observaciones:            _x000a_ _x000a_Su petición fue atendida_x000a_ _x000a_" u="1"/>
        <s v="_x000a_Notificación de seguimiento  [  MA2101202105 ]  _x000a_ _x000a_ _x000a_Estimado(a):                     Alejandra Tejeda_x000a_ _x000a_ _x000a_Le informamos que su ticket correspondiente a:_x000a_               _x000a_Rectificación de suspensión de plazos de un Sujeto obligado, específicamente Congreso del Estado de Baja California, dicho cambio modificaría las fechas de vencimiento de las solicitudes, las mismas se enlistan a continuación…_x000a_ _x000a_Aplicación:                  INFOMEX BCN_x000a_Tipo de Soporte:         AJUSTE DE PLAZOS    _x000a_" u="1"/>
        <s v="Ambientación para campus Organismos Garantes versión 2.2" u="1"/>
        <s v="Se  testan los datos del folio: 0000700093121" u="1"/>
        <s v="Se elimina la respuesta del folio: 0001100178121" u="1"/>
        <s v="Se aplica testado de datos al folio:  0064102725020" u="1"/>
        <s v="_x000a_Notificación de seguimiento  [  MA0503202001 ]  _x000a_ _x000a_ _x000a_Estimado(a):                     Laura Mónica Segovia Téllez_x000a_ _x000a_Le informamos que su ticket correspondiente a:_x000a_               _x000a__x000a_Solcito su amable apoyo a fin de que sea regresado el paso a preparación del proyecto del RRA 01507/20 ya que se adjuntó mal un documentos_x000a__x000a__x000a_ _x000a_Aplicación:                  SIGEMI_x000a_Tipo de Soporte:         REGRESO DE PASOS  _x000a_Observaciones:            _x000a_ _x000a_Su petición fue atendida_x000a_" u="1"/>
        <s v="Accesos banners en el home" u="1"/>
        <s v="Se  testan los datos del folio: 0064101362521" u="1"/>
        <s v="Ambientación para campus Organismos Garantes versión 2.7" u="1"/>
        <s v="Revisar dias inhabiles aplicados" u="1"/>
        <s v="Se cambia el tipo de solicitud del folio: 0673800058121" u="1"/>
        <s v="Actualización y pruebas de funcionalidad de campus Iniciativa Privada  2.7" u="1"/>
        <s v=" Notificación de seguimiento  [  MA2610202005 ]  _x000a__x000a_ _x000a__x000a_ _x000a__x000a_Estimado(a):                     Laura Mónica Segovia Tellez_x000a__x000a_ _x000a__x000a_Le informamos que su ticket correspondiente a:_x000a__x000a_               _x000a__x000a_Solicito su amable apoyo para que sea cambiado el medio de notificación del RRA 10207/20, de domicilio físico a correo electrónico, drjfroman@hotmail.com ya que el domicilio proporcionado no cumple con los elementos para ser notificado por ese medio_x000a__x000a_ _x000a__x000a_Aplicación:                  SIGEMI_x000a__x000a_Tipo de Soporte:         ACTUALIZACIÓN DE MEDIO Y CORREO   _x000a__x000a_Observaciones:            _x000a__x000a_ _x000a__x000a_Su petición fue atendida" u="1"/>
        <s v="Preparación y Apertura: Instalacion del grupo impulsory elaboracion y aprobacion de los primeros insumos " u="1"/>
        <s v="Respaldar Curso 4  de la plataforma anterior y restaurar en plataforma actual " u="1"/>
        <s v="Nuevo mapa para Follow the Money" u="1"/>
        <s v="Se rediseño el sitio de encuesta 2021 y se realizarón ajustes solicitados" u="1"/>
        <s v="Modificación de métodos y desarrollo de funcionalidades" u="1"/>
        <s v="Buenas noches Jorge, gusto en saludarte, te adjunto script para que revises el seguimiento de la solicitud y puedas hacer el regreso de pasos por base de datos, el actual lo cambias a 14 y el que vas a activar a estatus 13 en las tablas paso y pasoresponsable_x000a__x000a_Cualquier duda estoy a tus ordenes_x000a__x000a_Saludos _x000a__x000a_Marina _x000a_" u="1"/>
        <s v="Notificación de seguimiento  [  MA1710202204 ]_x000a__x000a_Estimado(a):                Edgar Michel Loaeza Martínez_x000a_ _x000a_ Le informamos que su ticket correspondiente a:_x000a_ _x000a_Por medio del presente solicito su valioso apoyo a efecto de realizar la renovación de Certificado de la Titular de la Unidad de Transparencia de la _x000a_Universidad Pedagógica Nacional, lo anterior, en virtud de que, el certificado actual se encuentra vencido._x000a__x000a_Para tal efecto, anexo al presente el certificado correspondiente, lo anterior, a fin de que sus accesos sean habilitados en los sistemas que administra este Instituto (HCOM).  _x000a_ _x000a_Aplicación:                HCOM_x000a_Tipo de Soporte        ACTUALIZACIÓN DE CERTIFICADO _x000a_Observaciones:            _x000a_ _x000a_Su petición fue atendida._x000a_ " u="1"/>
        <s v="Se sustituye archivo adjunto  del folio: 0064101040321" u="1"/>
        <s v="Se cambia la modalidad en la solicitud con folio: 0063500210821 y 0063500210921" u="1"/>
        <s v="Notificación de seguimiento  [  MA3006202006 ]  _x000a_ _x000a_ _x000a_Estimado(a):                     Pedro Esquivel Martínez_x000a_ _x000a_Le informamos que su ticket correspondiente a:_x000a_               _x000a_cambio de certificado en HCOM, en relación al siguiente: (se adjunta certificado)_x000a__x000a_ _x000a_" u="1"/>
        <s v="Notificación de seguimiento [ MA2701202008 ] _x000a_  _x000a_  _x000a_ Estimado(a): Tania Lizeth Valderrama Lumpaque_x000a_  _x000a_ Le informamos que su ticket correspondiente a:_x000a_  _x000a_ Por medio del presente, solicito su atenta colaboración a fin de que, con relación al recurso RRA 00063/20 sea regresado al paso “Preparación de Proyecto de Resolución”. Lo anterior, dado que el proyecto que se adjuntá al paso señalado hace referencias al recurso RRD 0063/20. _x000a_ _x000a_ En razón de ello es que se requiere que se regrese el paso, a efecto de subir la versión final del proyecto de resolución correspondiente. _x000a_ _x000a_ _x000a_  _x000a_ Aplicación: SIGEMI_x000a_ Tipo de Soporte: REGRESO DE PASOS _x000a_ Observaciones: _x000a_  _x000a_ Su petición fue atendida" u="1"/>
        <s v="Actualización de comisionados" u="1"/>
        <s v="Se sustituye el archivo adjunto de la solicitud con folio 0064101778621" u="1"/>
        <s v="Respaldar Curso 4 de Miscelánea INAI  de la plataforma anterior y restaurar en plataforma actual " u="1"/>
        <s v="Realizar pruebas de modulos y subir a servidr de desarrollo" u="1"/>
        <s v="Desarrollo servicio de zipkin" u="1"/>
        <s v="Se cambia el tipo de solicitud del folio: 0064101488621" u="1"/>
        <s v="Desarrollo de pantalla Mis Quejas, revisión de código y validación de la segunda tanda de reglas de negocio" u="1"/>
        <s v="_x000a_Notificación de seguimiento  [  MA1703202010 ]  _x000a_ _x000a_ _x000a_Estimado(a):                     Laura Mónica Segovia Tellez_x000a_ _x000a_Le informamos que su ticket correspondiente a:_x000a_               _x000a_que sea cambiado el correo electrónico del particular con el recurso de revisión RRD 00506/20 ya que en su archivo adjunto especifica otro correo._x000a_ _x000a_Aplicación:                  SIGEMI_x000a_Tipo de Soporte:         CAMBIO DE CORREO   _x000a_Observaciones:            _x000a_ _x000a_Su petición fue atendida_x000a__x000a_" u="1"/>
        <s v="Notificación de seguimiento  [  MA1506202009 ]  _x000a_ _x000a_ _x000a_Estimado(a):                     Adriana Elizabeth Hernández García_x000a_ _x000a_Le informamos que su ticket correspondiente a:_x000a_               _x000a_Por medio del presente te comento que al validar el paso denominado Registro de la Resolución Firmada relativo al recurso: _x000a__x000a_RRA 02511/20_x000a_RRA 02561/20_x000a_RRD 00355/20_x000a__x000a_la PNT se queda pasmada y NO APARECEN las ventanas donde se registran las fechas de firma de los comisionados; de tal manera que queda en blanco.  _x000a_Al respecto, te solicito se realicen las gestiones necesarias a efecto de que se pueda validar el paso referido y estar en condición de continuar con el proceso de notificación de la resolución._x000a__x000a__x000a_ _x000a_Aplicación:                  SIGEMI_x000a_Tipo de Soporte:         Corregir incidencia ( 3 )  _x000a_Observaciones:            _x000a_ _x000a_Su petición fue atendida_x000a_ _x000a_" u="1"/>
        <s v="Buenas tardes Moisés, tu petición fue atendida, favor de validar _x000a__x000a__x000a_http://documentos.inai.org.mx/tmp/infomexPuebla_backup_2020-10-16_0948.bak_x000a__x000a__x000a__x000a_Saludos _x000a__x000a_Marina Adame Velasco_x000a__x000a_Notificación de seguimiento  [  MA1610202004 ]  _x000a__x000a_Aplicación:                  INFOMEX PUEBLA _x000a_Tipo de Soporte:         ENVIO DE RESPALDO BD   _x000a_Estatus:                               Concluido._x000a__x000a_" u="1"/>
        <s v="Se  testan los datos del folio: 0064100317021" u="1"/>
        <s v="_x000a_Notificación de seguimiento  [  MA0803202109 ]  _x000a_ _x000a_ _x000a_Estimado(a):                     BERENICE HERNÁNDEZ SUMANO_x000a_  _x000a_Le informamos que su ticket correspondiente a:_x000a_               _x000a_RESPALDO SEMANAL DE LA BASE DE DATOS INFOMEX_x000a_ _x000a_Aplicación:                  INFOMEX OAXACA_x000a_Tipo de Soporte:         RESPALDO   _x000a_Observaciones:            _x000a_ _x000a_Su petición fue atendida, se subió el respaldo de su base de datos de esta semana…_x000a__x000a__x000a_http://documentos.inai.org.mx/tmp/infomexOAX_backup_2021-03-08_0800.bak_x000a__x000a__x000a_NOTA: El respaldo estará disponible una semana  _x000a__x000a_  _x000a_            Favor de validar._x000a_ _x000a_Estatus:                               Concluido._x000a__x000a_" u="1"/>
        <s v="Se consulta información del folio asociado al recurso RRA 8181/21." u="1"/>
        <s v="_x000a_Buenas tardes Moisés, tu petición fue atendida, favor de validar _x000a__x000a_Saludos _x000a__x000a_Marina Adame Velasco_x000a__x000a_Notificación de seguimiento  [  MA0508202006 ]  _x000a__x000a_Aplicación:                  INFOMEX PUEBLA _x000a_Tipo de Soporte:         Ajuste de fechas   _x000a_Estatus:                               Concluido._x000a__x000a_" u="1"/>
        <s v="_x000a_Buenas tardes Moisés, tu petición fue atendida, favor de validar _x000a__x000a_Saludos _x000a__x000a_Marina Adame Velasco_x000a__x000a_Notificación de seguimiento  [  MA2409202007 ]  _x000a__x000a_Aplicación:                  INFOMEX PUEBLA _x000a_Tipo de Soporte:         Ajuste de fechas   _x000a_Estatus:                               Concluido._x000a__x000a_" u="1"/>
        <s v="WordPress - Íconos de idioma" u="1"/>
        <s v="Se orienta al usuario para seguimiento de folio: 0002700438919." u="1"/>
        <s v="Se cambia el tipo de solicitud del folio: 3210000008721" u="1"/>
        <s v="Notificación de seguimiento  [  MA1111202012 ]  _x000a_ _x000a_ Estimado(a):                     GUILLERMO DELGADO_x000a_ _x000a_ Le informamos que su ticket correspondiente a:_x000a_               _x000a_si pudiéramos cambiar la fecha a la del 2017, o que pasa que el SO lo ve como ruido en sus pendientes, y esa en su tiempo creo que no fue atendida_x000a_ _x000a_Aplicación:                  INFOMEX BCN_x000a_Tipo de Soporte:         CAMBIO DE STATUS_x000a_Observaciones:            _x000a_ _x000a_Su petición fue atendida_x000a_ _x000a_" u="1"/>
        <s v="Se  testan los datos del folio: 0064101373521" u="1"/>
        <s v="Se sustituye archivo adjunto  del folio:  011000044421" u="1"/>
        <s v="solicitud, análisis e implementación de responses en JSON" u="1"/>
        <s v="Servicio de autentificación en SIPOT (Analisis de Solucion Tecnica)" u="1"/>
        <s v="Se Construccion json de pruebas y modelo para resultados busqueda servidores publicos sancionados" u="1"/>
        <s v="Se cambia el tipo de solicitud del folio: 0001200314621." u="1"/>
        <s v="Se construyeron las distintas consultas para tratar el 4to procedimiento de banderas 'OBTENER_FGTIENEINSTRUCCION' de QUEJAS, para tratar los condicionales " u="1"/>
        <s v="Ajuste de sesión con twitter en ios" u="1"/>
        <s v="Se  testan los datos del folio: 0064100866621" u="1"/>
        <s v="Se aplica eliminación de formato de pago manual: 0063700096820." u="1"/>
        <s v="Se aplica testado de datos al folio: 1816400079120." u="1"/>
        <s v="Se generaron 6 certificados " u="1"/>
        <s v="Notificación de seguimiento  [  MA2912202002 ]  _x000a_ _x000a_ _x000a_Estimado(a):                     Alma Lizbeth Peguero Rivera_x000a_ _x000a_ _x000a_Le informamos que su ticket correspondiente a:_x000a_               _x000a_solicito su valioso apoyo para la eliminar el siguiente recurso RRA 13550/20 AAM, ya que se encuentra cuádruple en la PNT para poder trabajar mi actividad_x000a_ _x000a_Aplicación:                  SIGEMI_x000a_Tipo de Soporte:         QUITAR DUPLICADO    _x000a_Observaciones:            _x000a_ _x000a_Su petición fue atendida_x000a_ _x000a_" u="1"/>
        <s v="Notificación de seguimiento  [  MA2605202001 ]  _x000a_ _x000a_ _x000a_Estimado(a):                     Berenice Hernández Sumano_x000a_ _x000a_Le informamos que su ticket correspondiente a:_x000a_               _x000a_Estimados compañeros, por este medio solicito su apoyo para poder aplicar un recorrido a la fecha límite de entrega de Información Relacionada con el Cumplimiento y la fecha límite de entrega de Alegatos y manifestaciones, de los recursos señalados en el archivo adjunto._x000a__x000a_Asimismo solicito pueda liberarse la actividad de cumplimiento en el perfil de los sujetos obligados ya que desde SICOM esta actividad se cierra cuando vence el plazo de 10 días y la actividad de entrega de Alegatos vence en un plazo de 7 días._x000a__x000a_ _x000a_Aplicación:                  SIGEMI_x000a_Tipo de Soporte:         ACTUALIZACIÓN FECHAS ENVIO DE ALEGATOS   _x000a_Observaciones:            _x000a_ _x000a_Su petición fue atendida, se realizó la actualización de fechas en las fechas limite de entrega de Alegatos _x000a_" u="1"/>
        <s v="Buenas tardes Guillermo, tu petición fue atendida, favor de validar _x000a__x000a_Saludos _x000a__x000a_Marina Adame Velasco_x000a__x000a_Notificación de seguimiento  [  MA0206202004 ]  _x000a__x000a_Aplicación:                  INFOMEX BCN_x000a_Tipo de Soporte:         REPORTES   _x000a_Estatus:                               Concluido._x000a__x000a__x000a_" u="1"/>
        <s v="Buenas tardes Guillermo, tu petición fue atendida, favor de validar _x000a__x000a_Saludos _x000a__x000a_Marina Adame Velasco_x000a__x000a_Notificación de seguimiento  [  MA3108202003 ]  _x000a__x000a_Aplicación:                  INFOMEX BCN_x000a_Tipo de Soporte:         REPORTES   _x000a_Estatus:                               Concluido._x000a__x000a__x000a_" u="1"/>
        <s v="Se aplica testado de datos al folio: 0002700091220" u="1"/>
        <s v="Corrección de íconode compartir de comunicados en home" u="1"/>
        <s v="Se sustituye archivo adjunto del folio: 0064100619220." u="1"/>
        <s v="Eliminacion de audios de resoluciones publicas " u="1"/>
        <s v="Implementación de los componentes para descargar Acuses." u="1"/>
        <s v="Se  testan los datos del folio: 1816400148221" u="1"/>
        <s v="Se  testan los datos del folio: 0064101663021" u="1"/>
        <s v="Notificación de seguimiento  [  MA0908202109 ]_x000a__x000a_Estimado(a):                Rafael González García_x000a__x000a_ _x000a_ Le informamos que su ticket correspondiente a:_x000a_               _x000a_Solicito atentamente la información que obra en el Infomex NL de las solicitudes 00041221 y 00299921. Esto derivado una análisis que solicitó la ponencia del Comisionado Guerra. _x000a__x000a__x000a_ _x000a_Aplicación:                  INFOMEX NL_x000a_Tipo de Soporte:         CONSULTA DE  DATOS  _x000a_Observaciones:            _x000a_ _x000a_Su petición fue atendida, cualquier dato adicional favor de indicar _x000a_ _x000a_" u="1"/>
        <s v="Notificación de seguimiento  [  MA1602202114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2 al 28 febrero de 2021 y para el municipio de China NL su acuerdo amplia del 16 de febrero al 15 de marzo; debiéndose considerar los días comprendidos dentro de dicho periodo como inhábiles para evitar la propagación del coronavirus COVID-19._x000a_ _x000a_Aplicación:                  INFOMEX FEDERAL _x000a_Tipo de Soporte:         AJUSTE DE PLAZOS   _x000a_Observaciones:            _x000a_ _x000a_Su petición fue atendida_x000a_ _x000a_" u="1"/>
        <s v="Notificación de seguimiento  [  MA3003202201 ]_x000a__x000a_Estimado(a):                Abraham Obed Gallardo González _x000a__x000a__x000a_ Le informamos que su ticket correspondiente a:_x000a_               _x000a_Con el gusto de saludarles y en espera de que todo marche bien, por este medio Anexo el registro actualizado del certificado del Titular de la Unidad de Enlace del sujeto obligado denominado Seguridad Alimentaria Mexicana.  _x000a__x000a_Lo Anterior, a fin de que sus accesos sean habilitados en los sistemas que administra este Instituto (HCOM).  CAMBIO DE TITULAR. En cuanto se reciba la atención en HCOM se realizará la actualización de los demás sistemas correspondientes._x000a_ _x000a_Aplicación:                  HCOM_x000a_Tipo de Soporte:         CAMBIO DE TUT   _x000a_Observaciones:            _x000a_ _x000a_Su petición fue atendida_x000a_ _x000a_" u="1"/>
        <s v="Se  testan los datos de la solicitud con folio 0000600067521" u="1"/>
        <s v="Notificación de seguimiento  [  MA1512202002 ]  _x000a_ _x000a_ _x000a_Estimado(a):                     Alma Lizbeth Peguero Rivera_x000a_ _x000a_ _x000a_Le informamos que su ticket correspondiente a:_x000a_               _x000a_retroceder los pasos en el sistema SIGEMI-SICOM en la PNT del siguiente asunto RRA 11570/20 del Pleno del día 09-12-20, hasta la actividad “Registrar información de la sesión del pleno”_x000a__x000a__x000a_Aplicación:                  IMPUGNACIONES_x000a_Tipo de Soporte:         REGRESO DE PASOS    _x000a_Observaciones:            _x000a_ _x000a_Su petición fue atendida_x000a_ _x000a_" u="1"/>
        <s v="Se  testan los datos del folio: 0064101344521" u="1"/>
        <s v="Se aplica el cambio de modalidad para el folio: 0001100628119." u="1"/>
        <s v="Se realiza el desarrollo de la nueva funcionalidad del sistema para la firma electrónica de documentos de resolución por medio de los servicios proporcionados por el sistema FELINAI, entre estas actividades están, construcción de tablas de base de datos, así como su llenado correspondiente, construcción de objetos java para mapear los datos de las tablas, construcción de vistas y controladores además de la construcción de las interfaces y servicios correspondientes al proceso" u="1"/>
        <s v="Corrección de incidencia en semáforo de solicitud 0001200213921 " u="1"/>
        <s v="Se genera y habilita el certificado del usuario: Yicel Flor Miranda Venegas." u="1"/>
        <s v="Se  testan los datos del folio de la solicitud 0063700307721 " u="1"/>
        <s v="Ocultar acceso a Leyes Locales" u="1"/>
        <s v="Se cambia el tipo de solicitud del folio: 0064100551121" u="1"/>
        <s v="Notificación de seguimiento  [  MA1005202202 ]_x000a__x000a_Estimado(a):                Ricardo González Cano_x000a__x000a_ _x000a_ Le informamos que su ticket correspondiente a:_x000a__x000a__x000a_Solicito su apoyo para realizar la actualización en la herramienta de comunicación del .cer que se adjunta, derivado del cambio del titular de la Unidad de Transparencia._x000a__x000a__x000a_ _x000a_Aplicación:                  HCOM_x000a_Tipo de Soporte:         CAMBIO DE TUT     _x000a_Observaciones:            _x000a_ _x000a_Su petición fue atendida, la contraseña es hcom2022_x000a_" u="1"/>
        <s v="Notificación de seguimiento  [  MA0103202103 ]  _x000a_ _x000a_ _x000a_Estimado(a):                     YARENNI ADAME_x000a_  _x000a_Le informamos que su ticket correspondiente a:_x000a_               _x000a_RESPALDO SEMANAL DE LA BASE DE DATOS INFOMEX_x000a_ _x000a_Aplicación:                  INFOMEX GUERRERO_x000a_Tipo de Soporte:         RESPALDO   _x000a_Observaciones:            _x000a_ _x000a_Su petición fue atendida, se subió el respaldo de su base de datos de esta semana…_x000a__x000a__x000a_http://documentos.inai.org.mx/tmp/infomexGUERRERO_backup_2021-03-01_0800.bak_x000a__x000a__x000a_NOTA: El respaldo estará disponible una semana  _x000a__x000a_  _x000a_            Favor de validar._x000a_ _x000a_Estatus:                               Concluido._x000a__x000a_Saludos_x000a__x000a_Marina Adame_x000a_" u="1"/>
        <s v="Se ajusta la fecha limite de varias solicitudes" u="1"/>
        <s v="Creación de cuenta y configuración de admimnistración Comisionada NJRV" u="1"/>
        <s v="Instalación ambiente local - Continuación" u="1"/>
        <s v="Header y grecas en 2019" u="1"/>
        <s v="Generación de scripts para descarga de información cruda por batches" u="1"/>
        <s v="Notificación de seguimiento  [  MA1509202002 ]  _x000a_ _x000a_ _x000a_Estimado(a):                     Alma Lizbeth Peguero Rivera_x000a_ _x000a_Le informamos que su ticket correspondiente a:_x000a_               _x000a_Por medio de presente, solicito de la manera más atenta, su apoyo para eliminar los siguientes recursos RRD 01045  y RRA 08549 ya que se encuentra doble en  la PNT; sin más por el momento, quedo en espera de sus comentarios._x000a__x000a_ _x000a_Aplicación:                  SIGEMI_x000a_Tipo de Soporte:         ELIMINAR DUPLICADOS ( 2 )  _x000a_Observaciones:            _x000a_ _x000a_Su petición fue atendida_x000a_ _x000a_" u="1"/>
        <s v="Notificación de seguimiento  [  MA3011202006 ]  _x000a_  _x000a_Estimado(a):                     Sergio Rafael Cortés Alpizar_x000a_  _x000a_Le informamos que su ticket correspondiente a:_x000a_               _x000a_Por medio del presente, solicito el regreso de actividad a &quot; Admitir / Prevenir / Desechar&quot; y se eliminen la notificación de prevención del siguiente recurso de revisión:_x000a_ _x000a_RRA 13121/20 vs PRESIDENCIA_x000a_ _x000a_Lo anterior se debe a que por un error involuntario se anexo un archivo mal y se enviara de nuevo el acuerdo correcto, ya las partes están enteradas._x000a_ _x000a_Aplicación:                  SIGEMI_x000a_Tipo de Soporte:         REGRESO DE PASOS    _x000a_Observaciones:            _x000a_ _x000a_Su petición fue atendida_x000a_   _x000a_" u="1"/>
        <s v="Creación de sección COVID-19" u="1"/>
        <s v="Estimada Alejandra, adjunto reporte solicitado_x000a__x000a_Saludos _x000a__x000a_Marina Adame _x000a__x000a_" u="1"/>
        <s v="Servicio para cambiar contraseña, sin token" u="1"/>
        <s v="Definición de herramienta para la descompresión óptima para evaluación de archivos" u="1"/>
        <s v="Se localiza el acuse: 6012800002419" u="1"/>
        <s v="Buenas tardes Isaac, tu petición fue atendida, favor de validar _x000a__x000a_Saludos _x000a__x000a_Marina Adame Velasco_x000a__x000a_Notificación de seguimiento  [  MA1208202005 ]  _x000a__x000a_Aplicación:                  INFOMEX OAXACA_x000a_Tipo de Soporte:         AJUSTE DE PLAZOS    _x000a_Estatus:                               Concluido._x000a__x000a_" u="1"/>
        <s v="Buenas tardes Isaac, tu petición fue atendida, favor de validar _x000a__x000a_Saludos _x000a__x000a_Marina Adame Velasco_x000a__x000a_Notificación de seguimiento  [  MA1509202007 ]  _x000a__x000a_Aplicación:                  INFOMEX OAXACA_x000a_Tipo de Soporte:         AJUSTE DE PLAZOS    _x000a_Estatus:                               Concluido._x000a__x000a_" u="1"/>
        <s v="Continúa el análisis de procesos y generación de la automatización de inserción de registros. (Excel SISAI_catalogos.xls  y Tarea_estatus_Estados.xlsx)" u="1"/>
        <s v="Se aplica la después de manera manual a la solicitud: 1123300000120." u="1"/>
        <s v="Estimada Alejandra, adjunto el reporte solicitado _x000a__x000a_Saludos_x000a__x000a_Marina Adame_x000a__x000a_Notificación de seguimiento  [  MA1305202111 ]  _x000a_Aplicación:                  INFOMEX BCN_x000a_" u="1"/>
        <s v="Estimada Alejandra, anexo el reporte solicitado _x000a__x000a_Saludos _x000a__x000a_Marina Adame _x000a__x000a__x000a_Notificación de seguimiento  [  MA1808202108 ]_x000a__x000a_Aplicación:                  INFOMEX BCN_x000a_" u="1"/>
        <s v="Se sustituye archivo adjunto del folio: 0064102816120" u="1"/>
        <s v="Terminar diapositiva 20 (se agrega un componente de autocomplete)_x000a_Validar header de administración para que dependiendo del rol aparezca o no la opción de &quot;Adminstración&quot;_x000a_Se agrega un componente de autocomplete registrar/editar grupo_x000a_Se valida el formulario de grupo en registrar/editar grupo" u="1"/>
        <s v="Se aplica el testado de datos de la solicitud: 0000700007420." u="1"/>
        <s v="Notificación de seguimiento  [  MA2505202201 ]_x000a__x000a_Estimado(a):                Edgar Michel Loaeza Martínez_x000a__x000a_ _x000a_ Le informamos que su ticket correspondiente a:_x000a__x000a_Por medio del presente solicito su valioso apoyo a efecto de realizar la renovación de Certificado de la Titular de la Unidad de Transparencia de la Secretaría de Desarrollo Agrario Territorial y Urbano, lo anterior, en virtud de que, el certificado actual se encuentra vencido._x000a__x000a__x000a__x000a_ _x000a_Aplicación:                  HCOM_x000a_Tipo de Soporte:         ACTUALIZACIÓN DE CERTIFICADO     _x000a_Observaciones:            _x000a_ _x000a_Su petición fue atendida_x000a_ _x000a_" u="1"/>
        <s v="Notificación de seguimiento  [  MA0103202110 ]  _x000a_ _x000a_ _x000a_Estimado(a):                      Alondra Jiménez Hernández_x000a_ _x000a_ _x000a_Le informamos que su ticket correspondiente a:_x000a_               _x000a_Anexo el registro actualizado del certificado del nuevo Titular de la Unidad de Transparencia del BIRMEX para que su acceso sea habilitado en la Herramienta de Comunicación. _x000a__x000a_ _x000a_Aplicación:                  HCOM_x000a_Tipo de Soporte:         CAMBIO TUT   _x000a_Observaciones:            _x000a_" u="1"/>
        <s v="Se aplica testado de datos al folio:0064100837120." u="1"/>
        <s v="Implementación de la búsqueda y despliegue de Resoluciones Privadas por Tema para su borrado y/o modificación." u="1"/>
        <s v="Implementación de la búsqueda y despliegue de Resoluciones Públicas por Tema para su borrado y/o modificación." u="1"/>
        <s v="Notificación de seguimiento  [  MA3011202007 ]  _x000a_ _x000a_ _x000a_Estimado(a):                     Berenice Hernández Sumano_x000a_ _x000a_ _x000a_Le informamos que su ticket correspondiente a:_x000a_               _x000a_solicito la afectación en base de datos de la fecha de caducidad de las solicitudes_x000a_ _x000a_Aplicación:                  INFOMEX OAXACA_x000a_Tipo de Soporte:         AJUSTE DE PLAZOS   _x000a_Observaciones:            _x000a_ _x000a_Su petición fue atendida_x000a_ _x000a_" u="1"/>
        <s v="Notificación de seguimiento  [  MA0909202201 ]_x000a__x000a_Estimado(a):                Ricardo González Cano_x000a__x000a__x000a_ Le informamos que su ticket correspondiente a:_x000a__x000a__x000a_               _x000a_En seguimiento a los correos previos, solicito su valioso apoyo para asignar en la Herramienta de Comunicación los  certificados que adjunto al presente, para tal efecto, proporciono a continuación los datos de los sujetos obligados en cuestión:_x000a_ _x000a_Clave Única_x0009_Sujeto Obligado_x0009_Nombre_x0009_Correo electrónico_x0009_Contraseña Hcom_x000a_60263_x0009_Sindicato Independiente de Trabajadores Académicos de Oaxaca, SITAC-OAX_x0009_Liliana Kaly Gómez Ramírez_x0009_grupositac039@gmail.com_x000a_ hcom2022_x000a_60299_x0009_Sindicato Nacional de Trabajadores de la Industria Láctea, Alimenticia, Similares y Conexos de la República Mexicana_x0009_Priscilla Ahuja de la Riva_x0009_sindilac@hotmail.com_x000a_hcom2022_x000a_60227_x0009_Sindicato Único de Trabajadores de la Productora Nacional de Biológicos Veterinarios_x0009_Rafael Hilario Velázquez García_x0009_sindicato@pronabive.gob.mx_x000a_hcom2022_x000a_ _x000a__x000a_Aplicación:                  HCOM_x000a_Tipo de Soporte:        2 ACTUALIZACIONES DE CERTIFICADO  Y  1 CAMBIO DE TUT " u="1"/>
        <s v="Selección de identificadores de prueba" u="1"/>
        <s v="Se sustituye archivo adjunto y se testan los datos del folio:  0064103319820" u="1"/>
        <s v="Se sustituye archivo adjunto del folio: 0673800020821, 0673800020921, 0673800021021, 0673800021121, 0673800021221, 0673800021321, 0673800021421, 0673800021521" u="1"/>
        <s v="Reunión y revision requerimientos MGD-RTA y AGDA" u="1"/>
        <s v="Notificación de seguimiento  [  MA1604202106 ]  _x000a_ _x000a_ _x000a_Estimado(a):                     Moisés Guzmán Arias_x000a_  _x000a_Le informamos que su ticket correspondiente a: ampliar el término para prevenirlos _x000a__x000a_00167521 estableciendo el término al día 19/04/2021 (19 de abril de 2021) (Economía)_x000a_00901920 estableciendo el término al día 19/04/2021 (19 de abril de 2021) (Economía)_x000a_00522521 estableciendo el término al día 19/04/2021 (19 de abril de 2021) (Economía)_x000a_             _x000a_ _x000a_Aplicación:                  INFOMEX PUEBLA_x000a_Tipo de Soporte:         AJUSTE DE PLAZO   _x000a_Observaciones:            _x000a_ _x000a_Su petición fue atendida_x000a_ _x000a_" u="1"/>
        <s v="Creación de formulario de registro" u="1"/>
        <s v="Configuración del ambiente de desarrollo para las vistas" u="1"/>
        <s v="Buenas tardes Guillermo, tu petición fue atendida, favor de validar _x000a__x000a_Saludos _x000a__x000a_Marina Adame Velasco_x000a__x000a_Notificación de seguimiento  [  MA0405202005 ]  _x000a__x000a_Aplicación:                  INFOMEX BCN_x000a_Tipo de Soporte:         AJUSTE DE PLAZOS   _x000a_Estatus:                               Concluido._x000a__x000a_" u="1"/>
        <s v="Buenas tardes Guillermo, tu petición fue atendida, favor de validar _x000a__x000a_Saludos _x000a__x000a_Marina Adame Velasco_x000a__x000a_Notificación de seguimiento  [  MA0907202003 ]  _x000a__x000a_Aplicación:                  INFOMEX BCN_x000a_Tipo de Soporte:         AJUSTE DE PLAZO    _x000a_Estatus:                               Concluido._x000a__x000a_" u="1"/>
        <s v="Buenas tardes Guillermo, tu petición fue atendida, favor de validar _x000a__x000a_Saludos _x000a__x000a_Marina Adame Velasco_x000a__x000a_Notificación de seguimiento  [  MA0907202006 ]  _x000a__x000a_Aplicación:                  INFOMEX BCN_x000a_Tipo de Soporte:         AJUSTE DE PLAZOS   _x000a_Estatus:                               Concluido._x000a__x000a_" u="1"/>
        <s v="Buenas tardes Guillermo, tu petición fue atendida, favor de validar _x000a__x000a_Saludos _x000a__x000a_Marina Adame Velasco_x000a__x000a_Notificación de seguimiento  [  MA2307202003 ]  _x000a__x000a_Aplicación:                  INFOMEX BCN_x000a_Tipo de Soporte:         Ajuste de plazos   _x000a_Estatus:                               Concluido._x000a__x000a_" u="1"/>
        <s v="Buenas tardes Guillermo, tu petición fue atendida, favor de validar _x000a__x000a_Saludos _x000a__x000a_Marina Adame Velasco_x000a__x000a_Notificación de seguimiento  [  MA2906202002 ]  _x000a__x000a_Aplicación:                  INFOMEX BCN_x000a_Tipo de Soporte:         Ajuste de plazos   _x000a_Estatus:                               Concluido._x000a__x000a_" u="1"/>
        <s v="Revisión de archivos JSON  " u="1"/>
        <s v="Se testan los datos  del folio: 0064101340521" u="1"/>
        <s v="Se sustituye archivo adjunto  del folio: 0064101356021" u="1"/>
        <s v="Notificación de seguimiento  [  MA2903202201 ]_x000a__x000a_Estimado(a):                Edgar Michel Loaeza Martínez_x000a__x000a_ _x000a_ Le informamos que su ticket correspondiente a:_x000a_               _x000a_adjunto el cuadro donde se encuentra la contraseña, y adjunto el certificado correspondiente._x000a__x000a__x000a_ _x000a_Aplicación:                  HCOM_x000a_Tipo de Soporte:         ACTUALIZACIÓN DE CERTIFICADO Y CONTRASEÑA  _x000a_Observaciones:            _x000a_ _x000a_Su petición fue atendida_x000a_ _x000a_" u="1"/>
        <s v="Cambios área usuaria - ligas" u="1"/>
        <s v="Se actualiza la dependencia en catálogo de pagos: clave: 28001, Guardia Nacional." u="1"/>
        <s v="Feedback de tiendas/pruebas en dispositivos IPhone (app store)" u="1"/>
        <s v="Se aplica sustitución de archivo de la solicitud: 0673800008020." u="1"/>
        <s v="Creación clases service y dao para catalogo estado o federación" u="1"/>
        <s v="Se genera certificado para: Mónica Leticia Mendoza." u="1"/>
        <s v="Se sustituye archivo adjunto del folio: 0002700089020." u="1"/>
        <s v="Notificación de seguimiento  [  MA1706202108 ]_x000a__x000a_Estimado(a):                Moisés Guzmán Arias_x000a__x000a_ _x000a_ Le informamos que su ticket correspondiente a:_x000a_               _x000a_se lleve a cabo la asignación correcta de dichos folios a sus sujetos obligados para que puedan ser visualizadas por los mismos_x000a_ _x000a_Aplicación:                  INFOMEX PUEBLA_x000a_Tipo de Soporte:         REASIGNACIÓN DE SOLICITUDES  _x000a_Observaciones:            _x000a_ _x000a_Su petición fue atendida_x000a_ _x000a_" u="1"/>
        <s v="Respaldar Curso 6 de la plataforma anterior y restaurar en plataforma actual " u="1"/>
        <s v="Evaluación y diseño de tokenización de texto" u="1"/>
        <s v="Se  testan los datos del folio: 0064101356521" u="1"/>
        <s v="Estimada Alejandra, Su petición fue atendida_x000a_ _x000a_Aplicación:                  INFOMEX BCN_x000a_Tipo de Soporte:         AJUSTE DE PLAZOS   _x000a_Notificación de seguimiento  [  MA1607202109 ]_x000a_Estimada Alejandra, Su petición fue atendida_x000a_ _x000a_Aplicación:                  INFOMEX BCN_x000a_Tipo de Soporte:         AJUSTE DE PLAZOS   _x000a_Notificación de seguimiento  [  MA1607202109 ]_x000a_" u="1"/>
        <s v="Se  testan los datos del folio: 0064101376521" u="1"/>
        <s v="Respaldar Curso 2  de la plataforma anterior y restaurar en plataforma actual " u="1"/>
        <s v="Realizar la clase Controller, Service, Dao para la operación de consulta de ejes" u="1"/>
        <s v="Notificación de seguimiento  [  MA2804202001 ]  _x000a_ _x000a_ _x000a_Estimado(a):                     Pedro Esquivel Martínez_x000a_ _x000a_Le informamos que su ticket correspondiente a:_x000a_               _x000a__x000a_Anexo el registro actualizado del certificado del Titular de la Unidad de Enlace del  “PRODUCTORA NACIONAL DE BIOLÓGICOS VETERINARIOS”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_x000a_Tipo de Soporte:         CAMBIO DE CERTIFICADO _x000a_" u="1"/>
        <s v="Se cambia el tipo de solicitud del folio: 1116100004921 " u="1"/>
        <s v="Pruebas de regresión y de flujos completos de datos" u="1"/>
        <s v="Notificación de seguimiento  [  MA2804202109 ]  _x000a_ _x000a_ _x000a_Estimado(a):                     Pedro Esquivel Martínez_x000a_ _x000a_ _x000a_Le informamos que su ticket correspondiente a:_x000a_               _x000a_por este medio Anexo el registro actualizado del certificado del Titular de la Unidad de Enlace de “TELECOMUNICACIONES DE MÉXICO”.  Lo Anterior a fin de que sus accesos sean habilitados en los otros sistemas que administra este Instituto (HCOM).  CAMBIO DE  TITULAR, en cuanto se reciba la atención en HCOM se realizará la actualización de los demás sistemas correspondientes._x000a_ _x000a_Aplicación:                  HCOM_x000a_Tipo de Soporte:         CAMBIO TUT   _x000a_Observaciones:            _x000a_ _x000a_Su petición fue atendida_x000a_ _x000a_  _x000a_            Favor de validar._x000a_ _x000a_Estatus:                               Concluido._x000a_" u="1"/>
        <s v="Se solicitó apoyo por medio de un correo, para que se modifique la tabla del plan de ayuda de la BD de Desarrollo (&quot;SISAI&quot;.&quot;QUEST_SL_TEMP_EXPLAIN1&quot;.&quot;OBJECT_NAME&quot;)" u="1"/>
        <s v="Complemento documento plan de administración pnt" u="1"/>
        <s v="Script BD para corregir incidencias de Gabriel Téllez" u="1"/>
        <s v="Notificación de seguimiento  [  MA2307202101 ]_x000a__x000a_Estimado(a):                David Mendoza Oliva_x000a__x000a_ _x000a_ Le informamos que su ticket correspondiente a:_x000a_               _x000a_se realice la baja en los sistemas informáticos que opera el INAI del sujeto obligado indirecto denominado: “Fideicomiso N° 030051-4”, con número de clave 11404, en virtud de contar con el visto bueno de su baja por parte de la Dra. Ileana Hidalgo Rioja, Secretaria de Acceso a la Información, mediante el oficio que se adjunta en formato digitalizado para pronta referencia…_x000a_ _x000a_Aplicación:                  HCOM_x000a_Tipo de Soporte:         BAJA SO  _x000a_Observaciones:            _x000a_ _x000a_Su petición fue atendida_x000a_ _x000a_" u="1"/>
        <s v="Se aplica testado de datos al folio: 0000700084320" u="1"/>
        <s v="Respaldar Curso 2 de Miscelánea INAI  de la plataforma anterior y restaurar en plataforma actual " u="1"/>
        <s v="Se  generaron certificados para diversos SO " u="1"/>
        <s v="CONSULTAR HISTORICO de solicitudes 1215100015520 y 1215100015820 " u="1"/>
        <s v="Se cambia el tipo de solicitud del folio: 0064101448621" u="1"/>
        <s v="Modificaciones al menú lateral" u="1"/>
        <s v="Agregar y quitar validacioones, pruenas a todos los cambios" u="1"/>
        <s v="Se elimina la ultima respuesta del folio 0002700100021" u="1"/>
        <s v="Notificación de seguimiento [ MA1001202002 ] _x000a_  _x000a_  _x000a_ Estimado(a): Jassel Natali Córdova Guzmán_x000a_  _x000a_ Le informamos que su ticket correspondiente a:_x000a_  _x000a_ Un gusto saludarlos y desearles un buen inicio de año. Por este medio me permito solicitarles de la manera más atenta su apoyo para averiguar los comunicados y requerimientos que ha recibido en HCOM el sujeto obligado CONAPO (CONSEJO NACIONAL DE POBLACIÓN) de agosto 2019 a la fecha, _x000a_ _x000a_ _x000a_  Aplicación: HCOM_x000a_ Tipo de Soporte: Consulta de datos" u="1"/>
        <s v="Notificación de seguimiento  [  MA2209202004 ]  _x000a_ _x000a_ _x000a_Estimado(a):                     Pedro Esquivel Martínez_x000a_ _x000a_Le informamos que su ticket correspondiente a:_x000a_               _x000a_por este medio Anexo el registro actualizado del certificado del Titular de la Unidad de Enlace del “Morena” Lo Anterior a fin de que sus accesos sean habilitados en los otros sistemas que administra este Instituto (HCOM).  CAMBIO DE  TITULAR, en cuanto se reciba la atención en HCOM se realizará la actualización de los demás sistemas correspondientes. (se anexa certificado)_x000a_ _x000a_Aplicación:                  HCOM_x000a_Tipo de Soporte:         CAMBIO DE TUT  _x000a_Observaciones:            _x000a_ _x000a_Su petición fue atendida_x000a_ _x000a_" u="1"/>
        <s v="Pruebas de servicio para usuario tiene solicitudes pendientes, se cambia query del servicio a hql y se maneja exception para el servicio " u="1"/>
        <s v="Se testan los datos y se sustituye el archivo de la solicitud con folio: 0000700195221" u="1"/>
        <s v="Notificación de seguimiento [ MA2201202008 ] _x000a_  _x000a_  _x000a_ Estimado(a): Lizbeth Adriana Cabrera Ortega_x000a_  _x000a_ Le informamos que su ticket correspondiente a:_x000a_  _x000a_ Con el gusto de saludarte me permito solicitar tu valioso apoyo respecto de la generación UN EXPEDIENTE del recurso de revisión posteriormente citado._x000a_  _x000a_ Asimismo, te comento que NO DEBERÁ CAMBIAR el sujeto obligado, ni el Comisionado correspondiente. _x000a_  _x000a_  DICE DEBE DECIR SUJETO OBLIGADO PONENTE_x000a_ RRA 725/20 RDA 2491/13 PGR OMGF_x000a_  _x000a_ No omito comentarte que el número de expediente que deberá seguir en el consecutivo por turnar en PNT debe ser el RRA725/20._x000a_ _x000a_  _x000a_ Aplicación: SIGEMI_x000a_ Tipo de Soporte: CAMBIO DE EXPEDIENTE" u="1"/>
        <s v="Notificación de seguimiento  [  MA0303202106 ]  _x000a_ _x000a_ _x000a_Estimado(a):                     ALEJANDRA TEJEDA_x000a_ _x000a_ _x000a_Le informamos que su ticket correspondiente a:_x000a_               _x000a_rectificación de suspensión de plazos de un Sujeto obligado, específicamente Congreso del Estado de Baja California, dicho cambio modificaría las fechas de vencimiento de las solicitudes. _x000a__x000a_ _x000a_Aplicación:                  INFOMEX BCN_x000a_Tipo de Soporte:         AJUSTE DE PLAZOS    _x000a_Observaciones:            _x000a_ _x000a_Su petición fue atendida_x000a_ _x000a_" u="1"/>
        <s v="Notificación de seguimiento  [  MA2705202005 ]  _x000a_ _x000a_ _x000a_Estimado(a):                     Rafael González García_x000a_ _x000a_Le informamos que su ticket correspondiente a:_x000a_               _x000a_baja en los sistemas informáticos que opera el INAI del sujeto obligado indirecto denominado: Fideicomiso irrevocable de administración No. 10055 (L@Red de la Gente), con número de clave 06803_x000a_ _x000a_Aplicación:                  HCOM_x000a_Tipo de Soporte:         BAJA DE DEPARTAMENTO_x000a_Observaciones:            _x000a_ _x000a_Su petición fue atendida_x000a_ _x000a_" u="1"/>
        <s v="Notificación de seguimiento  [  MA2808202002 ]  _x000a_ _x000a_ _x000a_Estimado(a):                     Alondra Jiménez Hernández_x000a_ _x000a_Le informamos que su ticket correspondiente a:_x000a_               _x000a_ _x000a_Anexo el registro actualizado del certificado del Titular de la Unidad de Transparencia del Comisión Nacional de Hidrocarburos, para su renovación en la Herramienta de Comunicación. _x000a__x000a_ _x000a_Aplicación:                  HCOM_x000a_Tipo de Soporte:         CAMBIO DE CERTIFICADO   _x000a_Observaciones:            _x000a_ _x000a_Su petición fue atendida_x000a_ _x000a_" u="1"/>
        <s v="Se sustituye archivo adjunto  del folio:  011000040421" u="1"/>
        <s v="Se aplica el testado de datos de la solicitud: 1816400021520." u="1"/>
        <s v="Se cambia metodo que descarga el recibo de pago en el portlet, por metodo que convierte base64 a pdf de Javascript" u="1"/>
        <s v="Notificación de seguimiento  [  MA0106202104 ]_x000a__x000a_Estimado(a):                Edgar Michel Loaeza Martínez_x000a__x000a_ _x000a_ Le informamos que su ticket correspondiente a:_x000a_               _x000a_Por medio del presente, me permito solicitar su valioso apoyo a efecto de realizar la renovación de certificado del sujeto obligado indirecto de  la Oficina de la Presidencia de la Republica  en el hcom…_x000a__x000a_ _x000a_Aplicación:                  HCOM_x000a_Tipo de Soporte:         CAMBIO DE TUT   _x000a_Observaciones:            _x000a_ _x000a_Su petición fue atendida, le comento que el cambio se realizó en la dependencia OPR-Centro de Producción de Programas Informativos y Especiales (*) con clave 4001, ya que la clave 2002 en HCOM corresponde a otra dependencia._x000a_ _x000a_ _x000a__x000a_" u="1"/>
        <s v="Notificación de seguimiento  [  MA1612202010 ]  _x000a_ _x000a_ _x000a_Estimado(a):                     Martha Rubí Zaragoza Mora_x000a_ _x000a_ _x000a_Le informamos que su ticket correspondiente a:_x000a_               _x000a_ajuste de términos de los folios_x000a_ _x000a_Aplicación:                  INFOMEX NUEVO LEÓN_x000a_Tipo de Soporte:         AJUSTE DE PLAZOS    _x000a_" u="1"/>
        <s v="Se  testan los datos del folio:  0673800080021" u="1"/>
        <s v="Segundo desbloqueo a la cuenta CBOCANEGRA y se indica recomendaciones de sesión HTTPS " u="1"/>
        <s v="Se generó certificado para usuario de dependencia sujeto obligado Sindicato Nacional de Arquitectos Conservadores del Patrimonio Cultural de la Secretaría de Cultura - Instituto Nacional de Antropología e Historia" u="1"/>
        <s v="Se genero certificado para usuario del CAS" u="1"/>
        <s v="Notificación de seguimiento  [  MA3011202005 ]  _x000a_  _x000a_Estimado(a):                     Sergio Rafael Cortés Alpizar_x000a_  _x000a_Le informamos que su ticket correspondiente a:_x000a_               _x000a_Por este medio solicito adelantar los pasos en la Plataforma Nacional del Transparencia hasta “Preparación del Proyecto de Resolución” del recurso de revisión:_x000a_ _x000a_RRA 0737/19-BIS vs NAFIN_x000a_ _x000a_Lo anterior se debe a que se dictó un amparo y deja sin efectos la resolución del pleno._x000a_  _x000a_Aplicación:                  SIGEMI_x000a_Tipo de Soporte:         Adelantar pasos    _x000a_Observaciones:            _x000a_ _x000a_Su petición fue atendida_x000a_   _x000a_" u="1"/>
        <s v="Se  testan los datos del folio: 0064101357521" u="1"/>
        <s v="Se testan los datos de la solicitud con folio: 0064101428421" u="1"/>
        <s v="Se activan pagos para la dependencia: SEGURIDAD ALIMENTARIA MEXICANA." u="1"/>
        <s v="Notificación de seguimiento  [  MA1803202002 ]  _x000a_ _x000a_ _x000a_Estimado(a):                     Lizbeth Adriana Cabrera Ortega_x000a_ _x000a_Le informamos que su ticket correspondiente a:_x000a_               _x000a_EL EXPEDIENTE DE CREACIÓN ES EL RRA 3630/20_x000a_ _x000a_QUIERO DECIR_x000a_ _x000a_DICE                                        DEBE DECIR                         SUJETO OBLIGADO           PONENTE_x000a_RRA 3630/20 RRA 7704/18-BIS SECRETARÍA DE ECONOCMÍA RMC_x000a_ _x000a_No omito comentarte que el número de expediente que deberá seguir en el consecutivo por turnar en PNT debe ser el RRA 3630/20._x000a__x000a_ _x000a_Aplicación:                  SIGEMI_x000a_Tipo de Soporte:         CAMBIO DE EXPEDIENTE A BIS  _x000a_" u="1"/>
        <s v="Se cambia el tipo de solicitud del folio: 0610100283420" u="1"/>
        <s v="Se  testan los datos del 11 solicitudes del SO CFE" u="1"/>
        <s v="Notificación de seguimiento  [  MA1708202108 ]_x000a__x000a_Estimado(a):                Pedro Esquivel Martínez_x000a__x000a_ _x000a_ Le informamos que su ticket correspondiente a:_x000a_               _x000a_ por este medio Anexo el registro actualizado del certificado del Titular de la Unidad de Enlace de la “Instituto Nacional de Enfermedades Respiratorias Ismael Cosío Villegas”. Lo Anterior a fin de que sus accesos sean habilitados en los otros sistemas que administra este Instituto (HCOM).  CAMBIO DE  TITULAR, en cuanto se reciba la atención en HCOM se realizará la actualización de los demás sistemas correspondientes._x000a_ _x000a_Aplicación:                  HCOM_x000a_Tipo de Soporte:         CAMBIO DE TUT   _x000a_Observaciones:            _x000a_ _x000a_Su petición fue atendida_x000a_ _x000a_" u="1"/>
        <s v="Notificación de seguimiento  [  MA3006202107 ]_x000a__x000a_Estimado(a):                Pedro Esquivel Martínez_x000a__x000a_ _x000a_ Le informamos que su ticket correspondiente a:_x000a_               _x000a_por este medio Anexo el registro actualizado del certificado del Titular de la Unidad de Enlace de la “Patronato de Obras e Instalaciones del Instituto Politécnico Nacional”.  Lo Anterior a fin de que sus accesos sean habilitados en los otros sistemas que administra este Instituto (HCOM).  CAMBIO DE  TITULAR, en cuanto se reciba la atención en HCOM se realizará la actualización de los demás sistemas correspondientes._x000a__x000a_ _x000a_Aplicación:                  HCOM_x000a_Tipo de Soporte:         CAMBIO DE TUT   _x000a_Observaciones:            _x000a_ _x000a_Su petición fue atendida_x000a_ _x000a_" u="1"/>
        <s v="Se realiza la actualización de solicitudes migradas a SISAI, terminandolas en la aplicación SISAI" u="1"/>
        <s v="Se aplica eliminación de formato de pago manual: 0002700400419." u="1"/>
        <s v="Se aplica el testado de datos de la solicitud: 1117100007220." u="1"/>
        <s v="Se  testan los datos del folio: 021000000675" u="1"/>
        <s v="Notificación de seguimiento  [  MA0810202001 ]  _x000a_ _x000a_ _x000a_Estimado(a):                     Pedro Esquivel Martínez_x000a_ _x000a_Le informamos que su ticket correspondiente a:_x000a_               _x000a_por este medio solicito tu valioso apoyo al haber cambio de Titular, anexo el registro actualizado del certificado del Titular de la Unidad de Enlace del  “Telecomunicaciones de México” Lo Anterior a fin de que sus accesos sean habilitados en los otros sistemas que administra este Instituto (HCOM).  CAMBIO DE TITULAR, en cuanto se reciba la atención en HCOM se realizará la actualización de los demás sistemas correspondientes._x000a_ _x000a_Aplicación:                  HCOM   _x000a_Tipo de Soporte:         CAMBIO DE TUT   _x000a_Observaciones:            _x000a_ _x000a_Su petición fue atendida_x000a_ _x000a_" u="1"/>
        <s v="Se realizó ajuste de query para obtención de datos de recursos en el infomex Oaxaca para PRECEDENTES" u="1"/>
        <s v="Implementación de la adición del archivo de audio de una Resolución." u="1"/>
        <s v="Modificación de todos los campos " u="1"/>
        <s v="Se solicita el alta de: Yicel Flor Miranda Venegas." u="1"/>
        <s v="Envío de respaldo semanal de la base de datos " u="1"/>
        <s v="Desarrollo de nueva implementación para envio de sms para el registro de solicitudes al Organo Grante de la CDMX" u="1"/>
        <s v="Notificación de seguimiento  [  MA0405202001 ]  _x000a_ _x000a_ _x000a_Estimado(a):                     David Morales Muñoz_x000a_ _x000a_Le informamos que su ticket correspondiente a:_x000a_               _x000a_escribo para solicitar tu apoyo en relación a que en la PNT se encuentra un archivo cargado que corresponde a un acuerdo diverso._x000a_ _x000a_Por lo que se me solicitó cargar el correcto que es el que se encuentra adjunto al presente correo electrónico._x000a__x000a_ _x000a_Aplicación:                  SIGEMI_x000a_Tipo de Soporte:         ACTUALIZACIÓN DE ARCHIVO  _x000a_Observaciones:            _x000a_ _x000a_Su petición fue atendida_x000a_ _x000a_" u="1"/>
        <s v="Notificación de seguimiento  [  MA0707202109 ]_x000a__x000a_Estimado(a):                Alondra Jiménez Hernández_x000a__x000a_ _x000a_ Le informamos que su ticket correspondiente a:_x000a_               _x000a_Se solicita la actualización de los certificados, por motivo del cambio de Titular de la Unidad de Transparencia, de los siguientes sujetos obligados, esto para que sean actualizados y se habilite el acceso en la Herramienta de Comunicación de cada uno…_x000a__x000a_ _x000a_Aplicación:                  HCOM_x000a_Tipo de Soporte:         CAMBIO DE TUT ( 3)  _x000a_Observaciones:            _x000a_ _x000a_Su petición fue atendida_x000a_ _x000a_" u="1"/>
        <s v="Notificación de seguimiento  [  MA0806202101 ]_x000a__x000a_Estimado(a):                Alondra Jiménez Hernández_x000a__x000a_ _x000a_ Le informamos que su ticket correspondiente a:_x000a_               _x000a_Se solicita la actualización de los certificados, por motivo del cambio de Titular de la Unidad de Transparencia, de los siguientes sujetos obligados, esto para que sean actualizados y se habilite el acceso en la Herramienta de Comunicación de cada uno._x000a_ _x000a_Aplicación:                  HCOM_x000a_Tipo de Soporte:         CAMBIO DE TUT ( 8 )  _x000a_Observaciones:            _x000a_ _x000a_Su petición fue atendida_x000a_ _x000a_" u="1"/>
        <s v=" _x000a_Notificación de seguimiento  [  MA2110202009 ]  _x000a_ _x000a_ _x000a_Estimado(a):                     Rosalinda Coria Mosqueda_x000a_ _x000a_Le informamos que su ticket correspondiente a:_x000a_               _x000a_Agradeceré su ayuda para solicitar la cancelación de la actividad del cierre de instrucción en el recurso RRA 04230/20, toda vez que por omisión notifique cierre, debiendo ser un requerimiento._x000a__x000a_Lo anterior para estar en posibilidad de enviar el cierre en su momento._x000a_ _x000a_Aplicación:                  SIGEMI_x000a_Tipo de Soporte:         ELIMINACIÓN DE CIERRE DE INSTRUCCIÓN  _x000a_Observaciones:            _x000a_ _x000a_Su petición fue atendida_x000a_ _x000a_" u="1"/>
        <s v="Se sustituye el archivo adjunto de la solicitud con folio 0064101750021" u="1"/>
        <s v="Soporte Baja California Sur" u="1"/>
        <s v="Buenas tardes Guillermo, tu petición fue atendida, favor de validar _x000a__x000a_Saludos _x000a__x000a_Marina Adame Velasco_x000a__x000a_Notificación de seguimiento  [  MA2408202005 ]  _x000a__x000a_Aplicación:                  INFOMEX BCN _x000a_Tipo de Soporte:         REPORTES   _x000a_Estatus:                               Concluido._x000a__x000a_" u="1"/>
        <s v="Se cambia el tipo de solicitud del folio: 0001200298421" u="1"/>
        <s v="_x000a_Notificación de seguimiento  [  MA2311202010 ]  _x000a_ _x000a_ _x000a_Estimado(a):                     Pedro Esquivel Martínez_x000a_  _x000a_Le informamos que su ticket correspondiente a:_x000a_               _x000a_Cambio de TUT del Sujeto Obligado Consejo de Promoción Turística de México, S.A. de C. V._x000a_ _x000a_Aplicación:                  HCOM_x000a_Tipo de Soporte:         CAMBIO TUT   _x000a_Observaciones:            _x000a_ _x000a_Su petición fue atendida_x000a_ _x000a_" u="1"/>
        <s v="Se implementan recursos como ofuscacion de codigo para seguridad" u="1"/>
        <s v="Corrección incidencia en fecha de cierre de registros" u="1"/>
        <s v="Comprobación y acceso a la base de datos de Oracle con permisos de lectura y escritura" u="1"/>
        <s v="Se  testan los datos del folio: 0064101358521" u="1"/>
        <s v="Se aplica testado de datos personales: 0064100547920." u="1"/>
        <s v="Se  testan los datos de la solicitud con folio 1816400092821" u="1"/>
        <s v="Se sustituye archivo adjunto  del folio:   011000028121" u="1"/>
        <s v="Notificación de seguimiento  [  MA1711202005 ]  _x000a_ _x000a_ _x000a_Estimado(a):                     BERENICE HERNANDEZ _x000a_ _x000a_ _x000a_Le informamos que su ticket correspondiente a:_x000a_             _x000a_solicito la afectación en base de datos de la fecha de caducidad de las solicitudes, toda vez que el Consejo General del IAIPO aprobó TÉRMINO DE SUSPENSIÓN DE PLAZOS DE LOS PROCEDIMIENTOS CUYO CONTENIDO ESTÉ RELACIONADO A LOS TEMAS COVID-19 (01/05/2020), SISMO DEL 23 DE JUNIO Y PROGRAMAS SOCIALES DERIVADOS DE LA EMERGENCIA SANITARIA (30/06/2020), PROCEDIMIENTOS DE ADJUDICACIÓN DIRECTA, INVITACIÓN RESTRINGIDA Y LICITACIÓN DE CUALQUIER NATURALEZA (28/08/2020)._x000a_ _x000a_Aplicación:                  INFOMEX OAXACA_x000a_Tipo de Soporte:         CAMBIO DE PLAZO   _x000a_Observaciones:            _x000a_ _x000a_Su petición fue atendida_x000a_ _x000a_" u="1"/>
        <s v="Error Excel Services" u="1"/>
        <s v="Analisis del codigo fuente y flujo de datos" u="1"/>
        <s v="Transferencia de conocimiento de SAP - DGTI" u="1"/>
        <s v="Se aplica testado de datos personales: 0064100548920." u="1"/>
        <s v="Se sustituye archivo adjunto  del folio:  0673800035921" u="1"/>
        <s v="Respaldar Curso 1 de un minuto  de la plataforma anterior y restaurar en plataforma actual " u="1"/>
        <s v="Componente catalogo integrante (ts) (Administrador) " u="1"/>
        <s v="Notificación de seguimiento  [  MA1204202101 ]  _x000a_ _x000a_ _x000a_Estimado(a):                     BERENICE HERNÁNDEZ SUMANO_x000a_  _x000a_Le informamos que su ticket correspondiente a:_x000a_               _x000a_RESPALDO SEMANAL DE LA BASE DE DATOS INFOMEX_x000a_ _x000a_Aplicación:                  INFOMEX OAXACA_x000a_Tipo de Soporte:         RESPALDO   _x000a_" u="1"/>
        <s v="Notificación de seguimiento  [  MA1603202107 ]  _x000a_ _x000a_ _x000a_Estimado(a):                     BERENICE HERNÁNDEZ SUMANO_x000a_  _x000a_Le informamos que su ticket correspondiente a:_x000a_               _x000a_RESPALDO SEMANAL DE LA BASE DE DATOS INFOMEX_x000a_ _x000a_Aplicación:                  INFOMEX OAXACA_x000a_Tipo de Soporte:         RESPALDO   _x000a_" u="1"/>
        <s v="Notificación de seguimiento  [  MA2203202111 ]  _x000a_ _x000a_ _x000a_Estimado(a):                     BERENICE HERNÁNDEZ SUMANO_x000a_  _x000a_Le informamos que su ticket correspondiente a:_x000a_               _x000a_RESPALDO SEMANAL DE LA BASE DE DATOS INFOMEX_x000a_ _x000a_Aplicación:                  INFOMEX OAXACA_x000a_Tipo de Soporte:         RESPALDO   _x000a_" u="1"/>
        <s v="Notificación de seguimiento  [  MA2104202108 ]  _x000a_ _x000a_ _x000a_Estimado(a):                     Nancy Edith Gómez Cisneros_x000a_ _x000a_ _x000a_Le informamos que su ticket correspondiente a:_x000a_               _x000a_solicito tu apoyo para eliminar en PNT-SIGEMI un paso en el recurso de revisión RRA 730/21 en contra del IPN, por error se notificó ayer el Cierre de Instrucción y no corresponde a ese asunto, por lo que se requiere quitar esa notificación y registro correspondiente_x000a_ _x000a_Aplicación:                  SIGEMI_x000a_Tipo de Soporte:         ELIMINAR CIERRE DE INSTRUCCION   _x000a_Observaciones:            _x000a_ _x000a_Su petición fue atendida_x000a_ _x000a_" u="1"/>
        <s v="integracion de servicio búsqueda de usuarios por unidad Admin_x000a_" u="1"/>
        <s v="_x000a_Notificación de seguimiento  [  MA0110202007 ]  _x000a_ _x000a_ _x000a_Estimado(a):                     Laura Mónica Segovia Tellez_x000a_ _x000a_Le informamos que su ticket correspondiente a:_x000a_               _x000a_Solicito su amable apoyo, para regresar el paso del RRD 0836/20 a registrar si la prevención fue desahogada derivado de que se escribió de manera incorrecta el desechamiento_x000a_ _x000a_Aplicación:                  SIGEMI_x000a_Tipo de Soporte:         REGRESO DE PASOS  _x000a_Observaciones:            _x000a_ _x000a_Su petición fue atendida_x000a_ _x000a_" u="1"/>
        <s v="Modificaciones al servicio de cambio de contraseña y pruebas" u="1"/>
        <s v="Notificación de seguimiento  [  MA1802202009 ]  _x000a_ _x000a_ _x000a_Estimado(a):                     Edgar Michel Loaeza Martínez_x000a_ _x000a_Le informamos que su ticket correspondiente a:_x000a_               _x000a_“…Por medio del presente hago de su conocimiento que se realizó un cambio de contraseña en la Herramienta de Comunicación (Hcom) de la Secretaría de Relaciones Exteriores (SRE), no obstante en razón de que la contraseña asignada por el Hcom contiene muchos caracteres, solicito su valioso apoyo para realizar la modificación de la misma para quedar de forma siguiente:_x000a__x000a_Asignada por el Hcom: 709650c4b543_x000a_Propuesta de SRE: hcom2020_x000a__x000a_ _x000a_Aplicación:                  SIGEMI_x000a_Tipo de Soporte:         CAMBIO DE CONTRASEÑA   _x000a_Observaciones:            _x000a_ _x000a_Su petición fue atendida, la contraseña es hcom2020_x000a_ _x000a_" u="1"/>
        <s v="Se aplica eliminación de última respuesta de la solicitud: 0064103060920" u="1"/>
        <s v="Notificación de seguimiento  [  MA1802202108 ]  _x000a_ _x000a_ _x000a_Estimado(a):          José Manuel Flores Robles           _x000a_ _x000a_Le informamos que su ticket correspondiente a:_x000a_               _x000a_El presente es para solicitar de la manera más atenta me elimines por favor el siguiente subfolio 00129421-001 ya que fue asignado equivocadamente._x000a_ _x000a_ _x000a_Aplicación:                  INFOMEX QUERÉTARO_x000a_Tipo de Soporte:         ELIMINAR SUBFOLIO   _x000a_" u="1"/>
        <s v="Se testan los datos  del folio: 0064101363521" u="1"/>
        <s v="Se  testan los datos del folio: 0064101638021" u="1"/>
        <s v="Aplicar cambios de análisis heurístico (textos, subrayado pizarra seleccionada) en el administrador y publico " u="1"/>
        <s v="Notificación de seguimiento  [  MA0402202012 ]  _x000a_ _x000a_ _x000a_Estimado(a):                     Alondra Jiménez Hernández_x000a_ _x000a_Le informamos que su ticket correspondiente a:_x000a_               _x000a_Anexo el registro actualizado del certificado del Titular de la Unidad de Transparencia de CIMAT para su renovación en la Herramienta de Comunicación._x000a_ _x000a_Aplicación:                  HCOM   _x000a_Tipo de Soporte:         RENOVACIÒN DE CERTIFICADO   _x000a_" u="1"/>
        <s v="Se realiza la baja “Fideicomiso de Investigación Científica y de Desarrollo Tecnológico”, con número de clave 11303" u="1"/>
        <s v="_x000a_Notificación de seguimiento  [  MA2312202007 ]  _x000a_ _x000a_ _x000a_Estimado(a):                     Alondra Jiménez Hernández_x000a_ _x000a_ _x000a_Le informamos que su ticket correspondiente a:_x000a_               _x000a_Se anexa el certificado del Titular de la Unidad de Transparencia para su renovación en la Herramienta de Comunicación_x000a_ _x000a_ _x000a_Aplicación:                  HCOM_x000a_Tipo de Soporte:         CAMBIO DE CERTIFICADO Y CONTRASEÑA  _x000a_Observaciones:            _x000a_ _x000a_Su petición fue atendida_x000a_ _x000a_" u="1"/>
        <s v="SUSTITUCIÓN TEXTO Y ADJUNTO EN SOLICITUD DE INFORMACION CON FOLIO 1816400129821" u="1"/>
        <s v="Gestión de información en vistas de tablas acotadas proporcionadas por el equipo INAI" u="1"/>
        <s v="Seguimiento, monitoreo de los recursos involucrados en la atención del servicio" u="1"/>
        <s v="Notificación de seguimiento  [  MA0106202001 ]  _x000a_ _x000a_ _x000a_Estimado(a):                     Tiara Gethsemanni Miranda Fuentes_x000a_ _x000a_Le informamos que su ticket correspondiente a:_x000a_               _x000a__x000a_Por medio de presente, solicito de la manera más atenta, su apoyo para retroceder los pasos en el sistema SIGEMI-SICOM en la PNT del asunto que se enlista a continuación; hasta la actividad “Registrar información de la sesión del pleno”; sin más por el momento, quedo en espera de sus comentarios._x000a_ _x000a_RRA 02453/20._x000a_ _x000a_Aplicación:                  SIGEMI_x000a_Tipo de Soporte:         REGRESO DE PASOS  _x000a_Observaciones:            _x000a_ _x000a_Su petición fue atendida_x000a_ _x000a_" u="1"/>
        <s v="Estimado Andrés, me da gusto saludarte y espero que también te encuentres bien, fíjate que como tal en el infomex no existe ese soporte en el aplicativo, pero si se puede cambiar la referencia en la base de datos, tienes que realizar lo siguiente…" u="1"/>
        <s v="Se aplica el cambio de modalidad a la solicitud: 0063700080020 y 0063700080220." u="1"/>
        <s v="Reporte de solicitudes registradas por PNT e INFOMEX" u="1"/>
        <s v="Se sustituye archivo adjunto  del folio: 1816400078221" u="1"/>
        <s v="Notificación de seguimiento  [  MA1702202102 ]  _x000a_ _x000a_ _x000a_Estimado(a):                     Joel Ibáñez Delgado_x000a_ _x000a_ _x000a_Le informamos que su ticket correspondiente a:_x000a_               _x000a_cambiar las fechas de inicio del proceso de unos folios en el sistema Infomex, esto con los cambios que se han tenido en los tiempos de trabajo debido a la contingencia del COVID-19 de algunos de los Sujetos Obligados._x000a_ _x000a_Aplicación:                  INFOMEX COLIMA _x000a_Tipo de Soporte:         AJUSTE DE PLAZOS    _x000a_Observaciones:            _x000a_ _x000a_Su petición fue atendida, el folio 770221 no se localizó_x000a_ _x000a_  _x000a_            Favor de validar._x000a_" u="1"/>
        <s v="Notificación de seguimiento  [  MA0303202002 ]  _x000a_ _x000a_ _x000a_Estimado(a):                     Sergio Rafael Cortés Alpizar_x000a_ _x000a_Le informamos que su ticket correspondiente a:_x000a_               _x000a_Por este medio solicito su amable apoyo para que se regrese la actividad en la PNT a “Admitir/Prevenir/Desechar”, del siguiente recurso:_x000a_ _x000a_RRA 2141/20 vs BIENESTAR_x000a_ _x000a_Aplicación:                  SIGEMI_x000a_Tipo de Soporte:         REGRESO DE PASOS  _x000a_Observaciones:            _x000a_ _x000a_Su petición fue atendida_x000a_ _x000a__x000a_" u="1"/>
        <s v="Levantar ambiente local" u="1"/>
        <s v="Se actualiza certificado para la dependencia: Sindicato.Nacional.de.Cultura." u="1"/>
        <s v="Se cambia diseño de pantalla principal" u="1"/>
        <s v="Generación de script para el reconocimiento de formatos" u="1"/>
        <s v="_x000a_Notificación de seguimiento  [  MA2402202105 ]  _x000a_ _x000a_ _x000a_Estimado(a):                     Alondra Jiménez Hernández_x000a_ _x000a_ _x000a_Le informamos que su ticket correspondiente a:_x000a_               _x000a_Por motivo del cambio de Titular de la Unidad de Transparencia, se solicita la actualización de los certificados en la Herramienta de Comunicación de cada uno. _x000a__x000a_Me refiero a los siguientes:_x000a__x000a_09451 Aeropuerto Internacional de la Ciudad de México, S.A. de C.V._x000a_09448 Servicios Aeroportuarios de la Ciudad de México, S.A. de C.V._x000a_ _x000a_Aplicación:                  HCOM (2)_x000a_Tipo de Soporte:         CAMBIO TUT   _x000a_" u="1"/>
        <s v="Identificar sección a editar de la plantilla" u="1"/>
        <s v="Revisión de cambios" u="1"/>
        <s v="Se aplica eliminación de formato de pago: 0063700444220 " u="1"/>
        <s v="Buenas tardes Martha, tu petición fue atendida, favor de validar _x000a__x000a_Saludos _x000a__x000a_Marina Adame Velasco_x000a__x000a_Notificación de seguimiento  [  MA0107202003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0206202009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0408202008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0807202003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1007202002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1305202003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1308202004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1407202004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1408202004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1908202008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1910202005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2406202003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2407202005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2506202004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2605202006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2707202002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2807202003 ]  _x000a__x000a_Aplicación:                  INFOMEX NUEVO LEÓN_x000a_Tipo de Soporte:         Ajuste de plazos    _x000a_Estatus:                               Concluido._x000a__x000a_" u="1"/>
        <s v=" Notificación de seguimiento  [  MA1011202004 ]  _x000a_  _x000a_Estimado(a):                     Martha Rubí Zaragoza Mora_x000a_ _x000a_ Le informamos que su ticket correspondiente a:_x000a_               _x000a_Espero se encuentre muy bien. El presente correo es para pedir su amable apoyo para el ajuste de términos de los folios debido al Acuerdo que enviaron los siguientes Sujetos Obligados a la COTAI por el cual se amplían la fecha del 01 al 30 de noviembre de 2020; debiéndose considerar los días comprendidos dentro de dicho periodo como inhábiles para evitar la propagación del coronavirus COVID-19._x000a_ _x000a_El Folio No. 1174520 de Santa Catarina se envía debido a un error de dedo por parte del Sujeto Obligado al momento de enviar los folios para el ajuste de fecha en el mes de octubre de 2020, por lo que solicitamos su apoyo para modificarlo._x000a_ _x000a_Aplicación:                  INFOMEX NUEVO LEÓN_x000a_Tipo de Soporte:         AJUSTE DE PLAZOS    _x000a_Observaciones:            _x000a_ _x000a_Su petición fue atendida_x000a_" u="1"/>
        <s v="_x000a_Notificación de seguimiento  [  MA0610202006 ]  _x000a_ _x000a_ _x000a_Estimado(a):                     Sergio Rafael Cortés Alpizar_x000a_ _x000a_Le informamos que su ticket correspondiente a:_x000a_               _x000a_Por medio del presente, solicito el regreso de actividad a &quot; Registrar si la prevención fue desahogada&quot; del siguiente recurso de revisión:_x000a__x000a_RRA 8671/20 vs SUTERM_x000a__x000a_Lo anterior se debe a que el recurrente no desahogo la prevención y se va a desechar._x000a_ _x000a_Aplicación:                  SIGEMI_x000a_Tipo de Soporte:         REGRESO DE PASOS  _x000a_Observaciones:            _x000a_ _x000a_Su petición fue atendida_x000a_ _x000a_" u="1"/>
        <s v="Notificación de seguimiento  [  MA0609202201 ]_x000a__x000a_Estimado(a):                Carlos Alejandro Borja Castillo_x000a__x000a_ Le informamos que su ticket correspondiente a:_x000a_               _x000a_GENERAR Y ACTUALIZAR CERTIFICADO DEL USUARIO CARLOS ALEJANDRO BORJA CASTILLO_x000a_ _x000a_Aplicación:                  HCOM_x000a_Tipo de Soporte:         GENERAR Y ACTUALIZAR CERTIFICADO_x000a_Observaciones:            _x000a_ _x000a_Su petición fue atendida, se anexa certificado provisional , la contraseña es hcom2022_x000a_ _x000a_ _x000a_             Favor de validar.                                                                                                                                                                    _x000a_ _x000a_Estatus:                               Concluido" u="1"/>
        <s v="Se desarrolla la funcionalidad de administración de la firma de los documentos de resolución, para administración conjunta tanto del representante de la DGAP y los firmantes del documento" u="1"/>
        <s v="Modificaciones al servicicio de consultar informacion" u="1"/>
        <s v="Se sustituye archivo adjunto  del folio: 0000600012021 y 0000600012121" u="1"/>
        <s v="Se construyeron las distintas consultas para tratar el 10mo procedimiento de banderas 'OBTENER_FG_PREVENIDO' de QUEJAS, para tratar los condicionales " u="1"/>
        <s v="Desarrollo del ordenamiento para los registros" u="1"/>
        <s v="Se  testan los datos del folio: 0064101669021" u="1"/>
        <s v="Notificación de seguimiento  [  MA2306202002 ]  _x000a_ _x000a_ _x000a_Estimado(a):                     Betzabé Flores Terán_x000a_ _x000a_ _x000a_Le informamos que su ticket correspondiente a:_x000a_               _x000a_Solicito de su apoyo para actualizar en la Herramienta de Comunicación los certificados de los sujetos obligados de la base que se adjunta, ya que estos han vencido._x000a__x000a_ _x000a_Aplicación:                  HCOM   _x000a_Tipo de Soporte:         ACTUALIZACIÓN DE CERTIFICADOS   ( 30 )_x000a_Observaciones:            _x000a_ _x000a_Le comento que se comenzó la actualización de certificados solicitados, conforme se vayan realizando las actualizaciones se les notificara…_x000a__x000a_Se realizó la actualización de los siguientes..._x000a_" u="1"/>
        <s v="Desarrollo del paginador al pie de pagina" u="1"/>
        <s v="Pruebas y ajustes, entrega de todos los insumos" u="1"/>
        <s v="Hola Fer y Toño, adjunto la ultima versión de los scripts, como lo platicamos, se quitaron los SIN INFORMACIÓN, para que en caso de no existir dato se vaya vacío y no afecte a la validación que están realizando._x000a__x000a_Quedo atenta_x000a__x000a_Saludos _x000a__x000a_Marina Adame_x000a_" u="1"/>
        <s v="Notificación de seguimiento  [  MA0903202201 ]_x000a__x000a_Estimado(a):                JUAN PEDRO RAMIREZ FLORES_x000a__x000a_ _x000a_ Le informamos que su ticket correspondiente a:_x000a_               _x000a_solicito su ayuda para que dentro de la Plataforma Nacional de Transparencia SICOM - SIGEMI se logre conocer las razones y en su caso dar solución, al recurso de revisión RRAIP-94/2022,  ya que se registró bajo el año 2021 siendo que este recurso en su forma física y legal pertenece al año 2022, como se puede advertir dentro de las documentales del recurso en mención_x000a__x000a_ _x000a_Aplicación:                  SICOM_x000a_Tipo de Soporte:         CORRECCIÓN DE NÚMERO DE EXPEDIENTE  _x000a_Observaciones:            _x000a_ _x000a_Su petición fue atendida_x000a_ _x000a_" u="1"/>
        <s v="Se aplica testado de datos al folio:  0000700036821" u="1"/>
        <s v="se generan componentes formulario reactivo de rol, se implementa el modal de rol" u="1"/>
        <s v="Carga de archivos a WordPress" u="1"/>
        <s v="Cambios área usuaria en cuestionario interactivo" u="1"/>
        <s v="Generación de certificado para: Julio César Pérez Santacruz." u="1"/>
        <s v="Notificación de seguimiento [ MA2201202006 ] _x000a_  _x000a_  _x000a_ Estimado(a): Yanet Aguayo Lara_x000a_  _x000a_ Le informamos que su ticket correspondiente a:_x000a_  _x000a_ solicito apoyo para que se realice el regreso del paso de evaluación de cumplimiento del RRA 2864/19, en la PNT._x000a_  _x000a_ Aplicación: SIGEMI_x000a_ Tipo de Soporte: REGRESO DE PASOS _x000a_ Observaciones: _x000a_  _x000a_ Su petición fue atendida" u="1"/>
        <s v="Administración Estadísticas PDP" u="1"/>
        <s v="Conclusión del desarrollo y pruebas en el módulo de administración de descarga de información de SISAI de la funcionalidad para la descarga de adjuntos de la solicitud y adjuntos de las respuestas, considerando la configuración y el estatus en el tracking de la misma" u="1"/>
        <s v="_x000a_Notificación de seguimiento  [  MA2611202002 ]  _x000a_ _x000a_ _x000a_Estimado(a):                     Sergio Rafael Cortés Alpizar_x000a_ _x000a_ _x000a_Le informamos que su ticket correspondiente a:_x000a_               _x000a_se elimine la ampliación y se active la misma en la Plataforma Nacional de Transparencia, del recurso RRA 9941/20 en contra de Autoridad Educativa Federal en la Ciudad de México, ya que por un error involuntario se anexo un acuerdo de ampliación incorrecto y se volverá a enviar._x000a_ _x000a_Aplicación:                  SIGEMI_x000a_Tipo de Soporte:         ELIMINAR AMPLIACION    _x000a_Observaciones:            _x000a_ _x000a_Su petición fue atendida_x000a_ _x000a_" u="1"/>
        <s v="Notificación de seguimiento  [  MA1107202202 ]_x000a__x000a__x000a_Estimado(a):               Edgar Michel Loaeza Martínez_x000a__x000a_ Le informamos que su ticket correspondiente a:_x000a__x000a_Por medio del presente solicito su valioso apoyo a efecto de realizar cambio temporal del  Titular de la Unidad de Transparencia del Secretariado Ejecutivo del Sistema Nacional de Seguridad Pública, lo anterior, en virtud de que, se realizaron cambios en la UT._x000a__x000a_Para tal efecto, anexo al presente el certificado correspondiente, cédula de registro y nombramiento, lo anterior, a fin de que sus accesos sean habilitados en los sistemas que administra este Instituto (HCOM).  _x000a__x000a__x000a__x000a_Aplicación:                  HCOM_x000a_Tipo de Soporte:         ACTUALIZACIÓN DE CERTIFICADO _x000a_Observaciones:            _x000a_ _x000a_Su petición fue atendida _x000a_" u="1"/>
        <s v="Se  testan los datos del folio: 0210200003121" u="1"/>
        <s v="Testado de datos  del folio: 3670000018121" u="1"/>
        <s v="Se habilitan los pagos para la dependencia: 28001, SSPC-GUARDIA NACIONAL." u="1"/>
        <s v="Se modifica la fecha limite de respuesta de la solicitud del folio: 1857200304020 y 1857200291620" u="1"/>
        <s v="Se  testan los datos del folio: 0064101516021" u="1"/>
        <s v="Se sustituye el archivo adjunto de la solicitud con folio 0063700368221" u="1"/>
        <s v="Notificación de seguimiento  [  MA2307202002 ]  _x000a_ _x000a_ _x000a_Estimado(a):                     Edgar Michel Loaeza Martínez_x000a_ _x000a_Le informamos que su ticket correspondiente a:_x000a_               _x000a_Por medio del presente solicito su valioso apoyo a efecto de dar de alta los certificados de Titular de la Unidad de Transparencia de los sujetos obligados que se enlistan a continuación y que pertenecen a la Secretaría de Hacienda y Crédito Público_x000a_ _x000a_Aplicación:                  HCOM_x000a_Tipo de Soporte:         CAMBIO DE TUT (5)_x000a_Observaciones:            _x000a_ _x000a_Se realizó el cambio de titulares de los siguientes Sujetos Obligados, sin embargo en los marcados en rojo no fue posible realizar la actualización del certificado, ya que envía el mensaje de que el certificado ya esta asignado a otro usuario, por lo que necesitamos que nos envíen un nuevo certificado._x000a_" u="1"/>
        <s v="Se actualizan los plazos de la solicitud: 0413100156319." u="1"/>
        <s v="Agregadas validaciones al cambiar sujeto obligado y ejercicio" u="1"/>
        <s v="Se aplica el cambio de modalidad para el folio: 0064103585619." u="1"/>
        <s v="Pantalla de registro de nuevo usuario" u="1"/>
        <s v="Definición de herramienta para realizar la extracción de los 8 millones de información disponible dentro de la PNT" u="1"/>
        <s v="Notificación de seguimiento  [  MA1808202201 ]_x000a__x000a_Estimado(a):               Alondra Jiménez Hernández_x000a__x000a_ Le informamos que su ticket correspondiente a:_x000a_… sea generado un certificado a nombre del TUT para cada sujeto obligado enlistado, y que con el mismo sea habilitado en la HCOM. Los datos son los siguientes…_x000a_Aplicación:                  HCOM_x000a_Tipo de Soporte:  GENERACIÓN DE CERTIFICADOS Y CAMBIO DE TUT  ( 2) " u="1"/>
        <s v="Notificación de seguimiento  [  MA0104202003 ]  _x000a_ _x000a_ _x000a_Estimado(a):                     Rafael González García_x000a_ _x000a_Le informamos que su ticket correspondiente a:_x000a_               _x000a_Revisión de plazos de NOTIMEX con base al oficio INAI/SAI/071/2020_x000a__x000a_ _x000a_Aplicación:                  SIGEMI_x000a_Tipo de Soporte:         Revisión de plazos   _x000a_Observaciones:            _x000a_ _x000a_Su petición fue atendida, te comento que se revisó la fecha limite de votación, fecha de cumplimiento,  fecha de envió de alegatos  y fecha limite de RIA, los folios localizados de este Sujeto Obligado, son los siguientes:_x000a__x000a_RRA 01767/20 CON FECHA_LIMITE DE VOTACION al día 15 de abril de 2020 y fecha de cumplimiento al 30 de abril de 2020, la actividad Entrega información relacionada con el cumplimiento aún no esta generada_x000a__x000a__x000a_Respecto a las fechas de envío de alegatos y fecha limite del RIA no se localizaron casos en el periodo mencionado en el oficio_x000a__x000a_ _x000a_            Favor de validar._x000a_ _x000a_Estatus:                               Concluido._x000a__x000a_" u="1"/>
        <s v="Se reconstruyeron las consultas del 12vo procedimiento de 'OBTENER_TEMATICA' de SOLICITUDES " u="1"/>
        <s v="Notificación de seguimiento  [  MA0207202006 ]  _x000a_ _x000a_ _x000a_Estimado(a):                     Pedro Esquivel Martínez_x000a_ _x000a_Le informamos que su ticket correspondiente a:_x000a_               _x000a_Actualizar datos del TUT del INSABI_x000a__x000a_ _x000a_Aplicación:                  SIGEMI_x000a_Tipo de Soporte:         ACTUALIZACIÓN DE CERTIFICADO   _x000a_Observaciones:            _x000a_ _x000a_Su petición fue atendida, la contraseña asignada es hcom2020_x000a_ _x000a_" u="1"/>
        <s v="Introducción al sistema de pizarras" u="1"/>
        <s v="Se corrigieron incidencias en solicitudes migradas de Infomex Tabasco a SISAI " u="1"/>
        <s v="Notificación de seguimiento  [  MA1009202002 ]  _x000a_ _x000a_ _x000a_Estimado(a):                     David Mendoza Oliva_x000a_ _x000a_Le informamos que su ticket correspondiente a:_x000a_               _x000a_Te remito el correo con una observación de Petróleos Mexicanos en cuanto a la suspensión aplicada en lo referente a la etapa de sustanciación._x000a__x000a_Sin otro particular, agradezco la atención._x000a__x000a_ _x000a_Aplicación:                  SIGEMI_x000a_Tipo de Soporte:         AJUSTE DE PLAZO  _x000a_Observaciones:            _x000a_ _x000a_Su petición fue atendida, se realizó el ajuste al día 5 de Septiembre en los dos recursos señalados en la pantalla enviada_x000a_ _x000a__x000a_ _x000a_" u="1"/>
        <s v="Se aplica el testado de datos de la solicitud: 1117100231519" u="1"/>
        <s v="Notificación de seguimiento  [  MA1107202204 ]_x000a__x000a__x000a_Estimado(a):               Fernanda Denise Blanco Alquicira_x000a__x000a_ Le informamos que su ticket correspondiente a:_x000a__x000a_En seguimiento a los correos previos, solicito su valioso apoyo para asignar en la Herramienta de Comunicación el certificado que adjunto al presente, para tal efecto, proporciono a continuación los datos del sujeto obligado en cuestión:_x000a__x000a_Clave Única_x0009_Sujeto Obligado_x0009_Nombre_x0009_Correo electrónico_x0009_Contraseña Hcom_x000a_60198_x0009_Sindicato Nacional de Trabajadores del Instituto de Seguridad y Servicios Sociales de los Trabajadores del Estado_x000a__x000a__x0009_Rocío Elizabeth Jaramillo Esparza_x0009_unidad.transparencia.sntissste@gmail.com _x000a_ hcom2022_x000a__x000a__x000a__x000a__x000a_Aplicación:                  HCOM_x000a_Tipo de Soporte:         CAMBIO DE TUT  _x000a_Observaciones:            _x000a_ _x000a_Su petición fue atendida _x000a_" u="1"/>
        <s v="Se ajustan plazos de solicitudes en infomex Nuevo León" u="1"/>
        <s v="_x000a_Notificación de seguimiento  [  MA1204202104 ]  _x000a_ _x000a_ _x000a_Estimado(a):                     ALAN GARCÍA_x000a_  _x000a_Le informamos que su ticket correspondiente a:_x000a_               _x000a_RESPALDO SEMANAL DE LA BASE DE DATOS INFOMEX_x000a_ _x000a_Aplicación:                  INFOMEX TLAXCALA_x000a_Tipo de Soporte:         RESPALDO   _x000a_" u="1"/>
        <s v="Se  testan los datos de la solicitud con folio 0000700148221_x000a_" u="1"/>
        <s v="Se aplica el testado de datos de la solicitud:  0064103596519." u="1"/>
        <s v="_x000a_Notificación de seguimiento  [  MA2809202004 ]  _x000a_ _x000a_ _x000a_Estimado(a):                     Mario Medrano_x000a_ _x000a_Le informamos que su ticket correspondiente a:_x000a_               _x000a_corregir dentro del SIGEMI el regresar un paso en el recursos de revisión  número RR/296/20 que corresponden a la ponencia de la Comisionada Paulina Compean, ya que por error se seleccionó que el recurrente sí atendió la prevención, pasando a la etapa de admisión, sin embargo, a efecto de desecharlo es que se solicita esta acción de devolver el último paso_x000a_ _x000a_Aplicación:                  SIGEMI_x000a_Tipo de Soporte:         REGRESO DE PASOS  _x000a_Observaciones:            _x000a_ _x000a_Su petición fue atendida_x000a_ _x000a_" u="1"/>
        <s v="Opciones de la PNT" u="1"/>
        <s v="Buenas noches Horacio, el motivo del correo es contar con la evidencia de la capacitación impartida a Chiapas, referente al tema de infomex _x000a__x000a_Saludos _x000a__x000a_Marina Adame Velasco_x000a__x000a_Notificación de seguimiento  [  MA0710202006 ]  _x000a__x000a_Aplicación:                  INFOMEX CHIAPAS_x000a_Tipo de Soporte:         CAPACITACIÓN   _x000a_Estatus:                               Concluido._x000a__x000a_" u="1"/>
        <s v="Se localiza el acuse del folio: 0630600001819" u="1"/>
        <s v="Se  testan los datos del folio: 0064101902621" u="1"/>
        <s v="Análisis para generación de reporte estadístico solicitado " u="1"/>
        <s v="Se aplica sustitución de archivo de la solicitud: 0064100012120" u="1"/>
        <s v="Se crean los services en el front para la pantalla de busqueda." u="1"/>
        <s v="Se realiza la baja “Fideicomiso CIATEC”, con número de clave 11306 " u="1"/>
        <s v="Se cambio la ruta que se comparte en redes sociales para accesar a lasolicitud o queja" u="1"/>
        <s v="Buenas tardes Guillermo, tu petición fue atendida, favor de validar _x000a__x000a_Saludos _x000a__x000a_Marina Adame Velasco_x000a__x000a_Notificación de seguimiento  [  MA1304202003 ]  _x000a__x000a_Aplicación:                  INFOMEX BCN_x000a_Tipo de Soporte:         REPORTE DE SOLICITUDES   _x000a_Estatus:                               Concluido._x000a__x000a_" u="1"/>
        <s v="Notificación de seguimiento  [  MA0711202008 ]  _x000a_ _x000a_Estimado(a):                     Guillermo Delgado Ibarra_x000a__x000a_Le informamos que su ticket correspondiente a:_x000a_               _x000a_aplicar suspensión de plazos a un SO, solo que esto modifica las fechas de vencimiento de sus solicitudes, y por este medio quiero solicitar tu apoyo para cambiar dichas fechas, te anexo tabla de las solicitudes afectadas_x000a_ _x000a_Aplicación:                  INFOMEX BCN_x000a_Tipo de Soporte:         AJUSTE DE PLAZOS   _x000a_Observaciones:            _x000a_ _x000a_Su petición fue atendida_x000a_  _x000a_" u="1"/>
        <s v="Revisión de solicitud de campos vacíos" u="1"/>
        <s v="Notificación de seguimiento  [  MA0711202202 ]_x000a_Estimado(a):                Alondra Jiménez Hernández_x000a_ Le informamos que su ticket correspondiente a:_x000a_Debido al vencimiento del certificado del responsable de transparencia, les pido sea generado un certificado genérico a nombre del TUT y que con el mismo sea habilitado en la HCOM. Los datos son los siguientes:_x000a_Clave_x0009_Sujeto obligado_x0009_Siglas HCOM_x0009_Nombre del Titular de la Unidad de Transparencia_x0009_Correo electrónico_x0009_Contraseña_x000a_18572_x0009_Petróleos Mexicanos_x0009_PEMEX_x0009_Luz María Zarza Delgado_x0009_luz.maria.zarza@pemex.com_x000a_Ver archivo adjunto_x000a__x000a_Aplicación:                 HCOM_x000a_Tipo de Soporte        GENERACIÓN DE CERTIFICADO Y ACTUALIZACIÓN EN HCOM " u="1"/>
        <s v="Se cambia el tipo de solicitud del folio: 3210000039121" u="1"/>
        <s v="Modificación del servicio que ejecuta el cambio del tipo de solicitud, incluye recalculo de plazo de antención y cambia el estatus de la solicitud." u="1"/>
        <s v="Notificación de seguimiento  [  MA1305202119 ]  _x000a_  _x000a_Estimado(a):                     Laura Mónica Segovia Tellez_x000a_ _x000a_Le informamos que su ticket correspondiente a:_x000a_               _x000a_Solicito su amable apoyo a fin de que sea regresado el paso del RRD 546/21, a preparación del proyecto de resolución, derivado de que se bajo de la orden del día_x000a_ _x000a_Aplicación:                  SIGEMI_x000a_Tipo de Soporte:         REGRESO DE PASOS   _x000a_Observaciones:            _x000a_ _x000a_Su petición fue atendida_x000a_ _x000a_  _x000a_            Favor de validar._x000a_ _x000a_Estatus:                               Concluido._x000a_" u="1"/>
        <s v="Soporte Tamaulipas" u="1"/>
        <s v="Correcciones al componente, creación de componentes reutilizables app-domicilio-u" u="1"/>
        <s v="_x000a_Notificación de seguimiento  [  MA1911202003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01 al 30 de noviembre de 2020; debiéndose considerar los días comprendidos dentro de dicho periodo como inhábiles para evitar la propagación del coronavirus COVID-19._x000a__x000a_ _x000a_Aplicación:                  INFOMEX NUEVO LEÓN_x000a_Tipo de Soporte:         AJUSTE DE PLAZOS    _x000a_Observaciones:            _x000a_ _x000a_Su petición fue atendida_x000a_ _x000a_" u="1"/>
        <s v="Se  testan los datos del folio: 0064101174521" u="1"/>
        <s v="Se  testan los datos del folio: 1816400200821" u="1"/>
        <s v="Buenos días Francisco, te informo que el respaldo de su base de datos de esta semana ya está en el repositorio…   _x000a__x000a_http://documentos.inai.org.mx/tmp/infomexNL_backup_2020-10-05_0800.bak_x000a__x000a_Saludos Cordiales_x000a__x000a_Marina Adame Velasco                                                                                          _x000a__x000a_" u="1"/>
        <s v="Buenos días Francisco, te informo que el respaldo de su base de datos de esta semana ya está en el repositorio…   _x000a__x000a_http://documentos.inai.org.mx/tmp/infomexNL_backup_2020-10-12_0800.bak_x000a__x000a_Saludos Cordiales_x000a__x000a_Marina Adame Velasco                                                                                          _x000a__x000a_" u="1"/>
        <s v="Buenos días Francisco, te informo que el respaldo de su base de datos de esta semana ya está en el repositorio…   _x000a__x000a_http://documentos.inai.org.mx/tmp/infomexNL_backup_2020-10-19_0800.bak_x000a__x000a_Saludos Cordiales_x000a__x000a_Marina Adame Velasco                                                                                          _x000a__x000a_" u="1"/>
        <s v="Buenos días Francisco, te informo que el respaldo de su base de datos de esta semana ya está en el repositorio…   _x000a__x000a_http://documentos.inai.org.mx/tmp/infomexNL_backup_2020-10-26_0800.bak_x000a__x000a_Saludos Cordiales_x000a__x000a_Marina Adame Velasco                                                                                          _x000a__x000a_" u="1"/>
        <s v="Buenos días Francisco, te informo que el respaldo de su base de datos de esta semana ya está en el repositorio…   _x000a__x000a_http://documentos.inai.org.mx/tmp/infomexNL_backup_2020-11-02_0800.bak_x000a__x000a_Saludos Cordiales_x000a__x000a_Marina Adame Velasco                                                                                          _x000a__x000a_" u="1"/>
        <s v="Buenos días Francisco, te informo que el respaldo de su base de datos de esta semana ya está en el repositorio…   _x000a__x000a_http://documentos.inai.org.mx/tmp/infomexNL_backup_2020-11-09_0800.bak_x000a__x000a_Saludos Cordiales_x000a__x000a_Marina Adame Velasco                                                                                          _x000a__x000a_" u="1"/>
        <s v="Buenos días Francisco, te informo que el respaldo de su base de datos de esta semana ya está en el repositorio…   _x000a__x000a_http://documentos.inai.org.mx/tmp/infomexNL_backup_2020-11-16_0800.bak_x000a__x000a_Saludos Cordiales_x000a__x000a_Marina Adame Velasco                                                                                          _x000a__x000a_" u="1"/>
        <s v="Buenos días Francisco, te informo que el respaldo de su base de datos de esta semana ya está en el repositorio…   _x000a__x000a_http://documentos.inai.org.mx/tmp/infomexNL_backup_2020-11-23_0800.bak_x000a__x000a_Saludos Cordiales_x000a__x000a_Marina Adame Velasco                                                                                          _x000a__x000a_" u="1"/>
        <s v="Buenos días Francisco, te informo que el respaldo de su base de datos de esta semana ya está en el repositorio…   _x000a__x000a_http://documentos.inai.org.mx/tmp/infomexNL_backup_2020-11-30_0800.bak_x000a__x000a_Saludos Cordiales_x000a__x000a_Marina Adame Velasco                                                                                          _x000a__x000a_" u="1"/>
        <s v="Se  testan los datos del folio: 0064101340021" u="1"/>
        <s v="Revisión de error al generar PDF" u="1"/>
        <s v="Se realiza la baja en el sistema del SO Fideicomiso SEP-UNAM-Fundación UNAM" u="1"/>
        <s v="Atención a incidencias, mejoras y funcionalidades de los tickets de la Mesa de Ayuda de la PNT" u="1"/>
        <s v="_x000a_Buenas tardes Isaac, tu petición fue atendida, la eliminación de acuses esta en proceso, favor de validar _x000a__x000a_Saludos _x000a__x000a_Marina Adame Velasco_x000a__x000a_Notificación de seguimiento  [  MA1008202011 ]  _x000a__x000a_Aplicación:                  INFOMEX OAXACA_x000a_Tipo de Soporte:         AJUSTE DE PLAZOS   _x000a_Estatus:                               Concluido._x000a_" u="1"/>
        <s v="Notificación de seguimiento  [  MA2406202004 ]  _x000a_ _x000a_ _x000a_Estimado(a):                     Pedro Esquivel Martínez_x000a_ _x000a_Le informamos que su ticket correspondiente a:_x000a_               _x000a_el cambio de certificado para los Fideicomisos a cargo de CONACYT; se anexan certificados_x000a__x000a_               _x000a_ _x000a_Aplicación:                  HCOM_x000a_Tipo de Soporte:         CAMBIO TUT   (14)_x000a_Observaciones:            _x000a_ _x000a_Su petición fue atendida, se realizó el cambio de Titular de los siguientes ..._x000a_" u="1"/>
        <s v="Se aplicó el cambio de modalidad así como el adjunto de la solicitud con folio: 0002700016420." u="1"/>
        <s v="Se agregan y cambian validaciones para levantar una solicitud" u="1"/>
        <s v="Script BD declaración inicial Rocio Fierro" u="1"/>
        <s v="Módulo para la configuración de constancias." u="1"/>
        <s v="Se aplica sustitución de archivo al folio: 0064100254820." u="1"/>
        <s v="Se sustituye el archivo adjunto de la solicitud con folio 0320000503121_x000a__x000a_" u="1"/>
        <s v="Hola Lisset, para realizar el cambio guíate con el resultado del script de seguimiento, del resultado vas a tomar los datos para realizar el desbloqueo…_x000a__x000a_1. Cambia el estatus del proceso a 13_x000a__x000a_UPDATE SET GUIDSTATUS = '13' FROM PROCESO WHERE FOLIO = '00000120'_x000a__x000a_2. Entra al modulo de REGRESO DE PASOS y selecciona la actividad que necesitan se reestablesca_x000a__x000a_3. Cambia el plazo de la solicitud con el siguiente script_x000a__x000a_UPDATE PASO SET FECHACADUCIDAD = CONVERT(DATETIME,'2020-10-01 23:59:00',102), FECHAAMARILLOROJO = CONVERT(DATETIME,'2020-10-01 23:59:00',102)  where GUIDPROCESO= ( SELECT GUIDPROCESO FROM PROCESO WHERE FOLIO ='01116920');_x000a_Me quedo atenta_x000a_" u="1"/>
        <s v="Se  testan los datos del folio: 0064101444021" u="1"/>
        <s v="Se sustituye archivo adjunto del folio: 0000700007121" u="1"/>
        <s v="Se testan datos y se sustituye archivo del folio 0064100834621" u="1"/>
        <s v="Se aplica eliminación de formato de pago: 1613100025321" u="1"/>
        <s v="Notificación de seguimiento  [  MA0303202201 ]_x000a__x000a_Estimado(a):                Lizbeth Adriana Cabrera Ortega_x000a__x000a_ _x000a_ Le informamos que su ticket correspondiente a:_x000a_               _x000a_Con el gusto de saludarles me permito solicitar tu valioso apoyo respecto de la generación UN EXPEDIENTE BIS del recurso de revisión posteriormente citado._x000a_ _x000a_Asimismo, te comento que NO DEBERÁ CAMBIAR el sujeto obligado, ni el Comisionado correspondiente. _x000a_ _x000a_ DICE                                        DEBE DECIR                         SUJETO OBLIGADO           PONENTE_x000a_RRA 2873/22 RRA 00056/20- BIS NAFIN AAM_x000a_ _x000a_No omito comentarte que el número de expediente que deberá seguir en el consecutivo por turnar en PNT debe ser el RRA 2873/22._x000a_Aplicación:                  SICOM_x000a_Tipo de Soporte:         CAMBIO A BIS  _x000a_Observaciones:            _x000a_ _x000a_Su petición fue atendida_x000a_ _x000a_" u="1"/>
        <s v="Se aplica testado de datos al folio:   0064103276920" u="1"/>
        <s v="Notificación de seguimiento  [  MA0208202201 ]_x000a__x000a__x000a_Estimado(a):               Rosalinda Coria Mosqueda_x000a__x000a_ Le informamos que su ticket correspondiente a:_x000a__x000a_cancelar la actividad de ampliación en el recurso RRD 1438/22, toda vez que por equivocación se notificó acuerdo que no corresponde al mismo._x000a__x000a_Aplicación:                  SICOM/SIGEMI_x000a_Tipo de Soporte:        ELIMINAR AMPLIACIÓN  " u="1"/>
        <s v="Se apoya al solicitante para que pueda exportar solicitud de Informe a SISITUR." u="1"/>
        <s v=" Buenas tardes José Manuel, se localizó la respuesta que se menciona como adjunta en el subfolio mencionado_x000a__x000a_Quedo atenta a tus comentarios _x000a__x000a_Saludos _x000a__x000a_Marina Adame _x000a_ _x000a_" u="1"/>
        <s v="Se  testan los datos del folio: 0000700221721" u="1"/>
        <s v="Se cambia el tipo de solicitud del folio: .  0610100260220" u="1"/>
        <s v="Se aplica eliminación de formato de pago: 0064100017721" u="1"/>
        <s v="Reestablecimiento del sitio" u="1"/>
        <s v="Se sustituye el archivo adjunto de la solicitud con folio 0063700406721" u="1"/>
        <s v="_x000a_Notificación de seguimiento  [  MA1412202002 ]  _x000a_  _x000a_Estimado(a):                     Moisés Guzmán Arias_x000a_  _x000a_Le informamos que su ticket correspondiente a:_x000a_               _x000a_Por este medio me permito solicitar su apoyo a fin de que me puedan apoyar con un respaldo de la base de datos del sistema infomex del estado de puebla._x000a_ _x000a_Aplicación:                  INFOMEX PUEBLA _x000a_Tipo de Soporte:         RESPALDO   _x000a_" u="1"/>
        <s v="Se sustituye archivo adjunto  del folio:   0063700213121 " u="1"/>
        <s v="Se cambia el tipo de solicitud del folio: 0002700103621" u="1"/>
        <s v="Analisis y funcionalidad sector Niveles " u="1"/>
        <s v="Desarrollo login en la aplicación con datos de google" u="1"/>
        <s v="Limpieza del texto y aplicación de lematización" u="1"/>
        <s v="Desarrollo componte listado de sujetos obligados" u="1"/>
        <s v="Presentación de notificaciones vertical en mis solicitudes" u="1"/>
        <s v="Se envía datos de la solicitud con folio: 0310000002020." u="1"/>
        <s v="Notificación de seguimiento  [  MA2804202101 ]  _x000a_ _x000a_ _x000a_Estimado(a):                     Alondra Jiménez Hernández_x000a_ _x000a_ _x000a_Le informamos que su ticket correspondiente a:_x000a_               _x000a_Anexo el registro actualizado del certificado del nuevo Titular de la Unidad de Transparencia de la INSTITUTO NACIONAL PARA EL DESARROLLO DE CAPACIDADES DEL SECTOR RURAL A.C. para que su acceso sea habilitado en la Herramienta de Comunicación. _x000a_ _x000a_Aplicación:                  HCOM_x000a_Tipo de Soporte:         CAMBIO TUT   _x000a_Observaciones:            _x000a_ _x000a_Su petición fue atendida_x000a_ _x000a_  _x000a_            Favor de validar._x000a_ _x000a_Estatus:                               Concluido._x000a_" u="1"/>
        <s v="Se testan datos del folio: 1816400241021" u="1"/>
        <s v="Corrección archivos múltiple Hidalgo" u="1"/>
        <s v="Se agregó respuesta a la solicitud mediante control de cambios, se  incluyo archivo, folio:  0933800021420" u="1"/>
        <s v="_x000a_Notificación de seguimiento  [  MA1502202109 ]  _x000a_ _x000a_ _x000a_Estimado(a):                     ALAN GARCÍA_x000a_  _x000a_Le informamos que su ticket correspondiente a:_x000a_               _x000a_RESPALDO SEMANAL DE LA BASE DE DATOS INFOMEX_x000a_ _x000a_Aplicación:                  INFOMEX TLAXCALA_x000a_Tipo de Soporte:         RESPALDO   _x000a_Observaciones:            _x000a_ _x000a_Su petición fue atendida, se subió el respaldo de su base de datos de esta semana…_x000a__x000a__x000a_http://documentos.inai.org.mx/tmp/infomex_tlaxcala_backup_2021-02-15_0800.bak_x000a__x000a__x000a_NOTA: El respaldo estará disponible una semana  _x000a_" u="1"/>
        <s v="_x000a_Notificación de seguimiento  [  MA2604202104 ]  _x000a_ _x000a_ _x000a_Estimado(a):                     ALAN GARCÍA_x000a_  _x000a_Le informamos que su ticket correspondiente a:_x000a_               _x000a_RESPALDO SEMANAL DE LA BASE DE DATOS INFOMEX_x000a_ _x000a_Aplicación:                  INFOMEX TLAXCALA_x000a_Tipo de Soporte:         RESPALDO   _x000a_Observaciones:            _x000a_ _x000a_Su petición fue atendida, se subió el respaldo de su base de datos de esta semana…_x000a__x000a__x000a_http://documentos.inai.org.mx/tmp/infomex_tlaxcala_backup_2021-04-26_0800.bak_x000a__x000a__x000a_NOTA: El respaldo estará disponible una semana  _x000a_" u="1"/>
        <s v="Se  testan los datos del folio: 0064101904621" u="1"/>
        <s v="Creación de cuentas y configuración de acceso a página de Oscar Guerra" u="1"/>
        <s v="Continúa el apoyo en consultas y validación de la información generada con las bases de datos en custodia (casos de diversos estados) en lo referente principalmente a documentación adjunta.  _x000a_Se apoyó con la validación de distintos valores de consulta dentro de los querys que se utilizan en varios de los estados." u="1"/>
        <s v="Notificación de seguimiento  [  MA1204202103 ]  _x000a_ _x000a_ _x000a_Estimado(a):                     FRANCISCO LIRA_x000a_  _x000a_Le informamos que su ticket correspondiente a:_x000a_               _x000a_RESPALDO SEMANAL DE LA BASE DE DATOS INFOMEX_x000a_ _x000a_Aplicación:                  INFOMEX NUEVO LEÓN_x000a_Tipo de Soporte:         RESPALDO   _x000a_" u="1"/>
        <s v="Notificación de seguimiento  [  MA1603202109 ]  _x000a_ _x000a_ _x000a_Estimado(a):                     FRANCISCO LIRA_x000a_  _x000a_Le informamos que su ticket correspondiente a:_x000a_               _x000a_RESPALDO SEMANAL DE LA BASE DE DATOS INFOMEX_x000a_ _x000a_Aplicación:                  INFOMEX NUEVO LEÓN_x000a_Tipo de Soporte:         RESPALDO   _x000a_" u="1"/>
        <s v="Notificación de seguimiento  [  MA2203202113 ]  _x000a_ _x000a_ _x000a_Estimado(a):                     FRANCISCO LIRA_x000a_  _x000a_Le informamos que su ticket correspondiente a:_x000a_               _x000a_RESPALDO SEMANAL DE LA BASE DE DATOS INFOMEX_x000a_ _x000a_Aplicación:                  INFOMEX NUEVO LEÓN_x000a_Tipo de Soporte:         RESPALDO   _x000a_" u="1"/>
        <s v="proceso-ejercicio" u="1"/>
        <s v="Se realizó la preparación del ambiente, usuarios, casos " u="1"/>
        <s v="Identificacion del campo del tipo lista pegable de Comisionado ponente " u="1"/>
        <s v="Modificaciones en vista de consutas, se agregó nombre de sujeto obligado en CRUD." u="1"/>
        <s v="Se elimina la respuesta del folio: 0001200163521" u="1"/>
        <s v="Notificación de seguimiento  [  MA1903202104 ]  _x000a_ _x000a_ _x000a_Estimado(a):                     Alondra Jiménez Hernández_x000a_ _x000a_ _x000a_Le informamos que su ticket correspondiente a:_x000a_               _x000a_Anexo el registro actualizado del certificado del Titular de la Unidad de Transparencia de la ADMINISTRACION PORTUARIA INTEGRAL DE PUERTO MADERO, S.A. DE C.V.  para su renovación en la HCOM.  _x000a_ _x000a_Aplicación:                  HCOM_x000a_Tipo de Soporte:         RENOVAR CERTIFICADO   _x000a_" u="1"/>
        <s v="Se aplica eliminación de última respuesta de la solicitud: 0064100198121" u="1"/>
        <s v="Se aplica testado de datos al folio:  0064100066421" u="1"/>
        <s v="Soporte Estadísticas PNT" u="1"/>
        <s v="Notificación de seguimiento  [  MA2605202202 ]_x000a__x000a_Estimado(a):                Abraham Obed Gallardo González_x000a__x000a__x000a_ Le informamos que su ticket correspondiente a:_x000a__x000a_Con el gusto de saludarte, solicito tu amable apoyo para, de no mediar inconveniente, generar un certificado provisional para el TUT del CONALEP, ya que nos remitieron un certificado que venció hace unos días y no cuentan con información de un fecha cercana._x000a__x000a__x000a__x000a_ _x000a_Aplicación:                  HCOM_x000a_Tipo de Soporte:        ACTUALIZAR CERTIFICADO _x000a_Observaciones:            _x000a_ _x000a_Su petición fue atendida, se anexa certificado, mismo que ya se actualizó en HCOM_x000a_" u="1"/>
        <s v="_x000a_Notificación de seguimiento  [  MA1711202008 ]  _x000a_ _x000a_ _x000a_Estimado(a):                     Edgar Michel Loaeza _x000a_  _x000a_Le informamos que su ticket correspondiente a:_x000a_ _x000a__x000a_sea actualizado el certificado del Titular de la Unidad de Transparencia del  Centro Nacional de Inteligencia._x000a_ _x000a_Aplicación:                  HCOM_x000a_Tipo de Soporte:         CAMBIO DE CERTIFICADO  _x000a_Observaciones:            _x000a_ _x000a_Su petición fue atendida_x000a_" u="1"/>
        <s v="Se sustituye archivo adjunto  del folio:  1215101045820" u="1"/>
        <s v="Continuar documento de Análisis de la Solución,_x000a_casos de Uso:_x000a_CU-5: Registrar nuevo usuario mediante Twitter_x000a_CU-6: Recuperar contraseña_x000a_CU-7: Autenticación con usuario y contraseña_x000a_CU-8: Autenticación con cuenta de Facebook_x000a_CU-9: Autenticación con cuenta de Twitter_x000a_CU-10: Autenticación con cuenta de Google_x000a_" u="1"/>
        <s v="Se aplica testado de datos al folio:  0064100066521" u="1"/>
        <s v="Se testan los datos de la solicitud con folio: 0000700188121" u="1"/>
        <s v="Se aplica testado de datos personales: 1816400057020." u="1"/>
        <s v="Notificación de seguimiento  [  MA0802202114 ]  _x000a_ _x000a_ _x000a_Estimado(a):                     Martha Rubí Zaragoza Mora_x000a_ _x000a_ _x000a_Le informamos que su ticket correspondiente a:_x000a_               _x000a_El presente correo es para pedir su amable apoyo para resolver una duda con respecto a la fecha de un folio que nos envía el sujeto obligado del municipio de San Pedro Garza García, adjunto están los acuses de 3 solicitudes que llegaron el mismo día con diferente hora, es el folio 125121. Ellos enviaron ese mismo día su calendario pero se registró después de las 12:00 hrs_x000a_ _x000a_Aplicación:                  INFOMEX NL_x000a_Tipo de Soporte:         REVISION DE FECHAS   _x000a_" u="1"/>
        <s v="_x000a_Notificación de seguimiento  [  MA1708202003 ]  _x000a_ _x000a_ _x000a_Estimado(a):                     Gloria Bravo Reyna_x000a_ _x000a_Le informamos que su ticket correspondiente a:_x000a_               _x000a_cancelar el número de comunicado HCOM 003021-IFAI-2020, por un error lo envíe por comunicado debiendo ser Requerimiento _x000a__x000a__x000a_Aplicación:                  HCOM_x000a_Tipo de Soporte:         ELIMINAR COMUNICADO   _x000a_Observaciones:            _x000a_ _x000a_Su petición fue atendida_x000a_" u="1"/>
        <s v="Se aplica eliminación de última respuesta: 0002700043920." u="1"/>
        <s v="Se elmina la respuesta del folio: 0001600108921" u="1"/>
        <s v="Reestructuración de mapa de sitio" u="1"/>
        <s v="Respaldos de campus" u="1"/>
        <s v="Se  testan los datos del folio: 0064101362021" u="1"/>
        <s v="_x000a_Notificación de seguimiento  [  MA2003202001 ]  _x000a_ _x000a_ _x000a_Estimado(a):                     Lizbeth Adriana Cabrera Ortega_x000a_ _x000a_Le informamos que su ticket correspondiente a:_x000a_               _x000a_Debe decir 19 de marzo_x000a__x000a_ _x000a_Aplicación:                  SIGEMI_x000a_Tipo de Soporte:         CAMBIO DE FECHA   _x000a_Observaciones:            _x000a_ _x000a_Su petición fue atendida_x000a_" u="1"/>
        <s v="Validación de proceso de limpieza de información no estructurada" u="1"/>
        <s v="Consumo servicio facebook, login" u="1"/>
        <s v="Reporte de error de carga masiva de usuarios " u="1"/>
        <s v="Se aplica el cambio para la solicitud: 0064300006920." u="1"/>
        <s v="Evaluación y diseño de pre-procesamiento de limpieza de texto" u="1"/>
        <s v="Analisis de la solicitud de proteccion de datos personales " u="1"/>
        <s v="Buenos días David, a mi también se me pasó que tu base esta en el INAI, anexo el reporte, favor de validar _x000a__x000a_Saludos _x000a__x000a_Marina Adame Velasco_x000a__x000a_Notificación de seguimiento  [  MA0708202003 ]  _x000a__x000a_Aplicación:                  INFOMEX MICHOACAN_x000a_Tipo de Soporte:         REPORTE   _x000a_Estatus:                               Concluido._x000a_" u="1"/>
        <s v="Se aplica testado de datos al folio: 0000700352520" u="1"/>
        <s v="Notificación de seguimiento  [  MA1702202106 ]  _x000a_ _x000a_ _x000a_Estimado(a):                     Edgar Michel Loaeza Martínez_x000a_ _x000a_ _x000a_Le informamos que su ticket correspondiente a:_x000a_               _x000a_renovación de certificado de lo sujetos obligados indirectos de la Secretaría de Salud en el hcom._x000a_ _x000a_Aplicación:                  HCOM_x000a_Tipo de Soporte:         Actualización de certificado ( 12)   _x000a_" u="1"/>
        <s v="Construcción de End Point para Líneas de Acción" u="1"/>
        <s v="Prueba dos de descarga de datos SIPOT" u="1"/>
        <s v="Se aplica el testado de datos de la solicitud: 0064103596719." u="1"/>
        <s v="Desarrollo de servicios del back de notificaciones continuación" u="1"/>
        <s v="Configuración de plugins " u="1"/>
        <s v="Ajuste flujo Historial de quejas por propiedades del response" u="1"/>
        <s v="Se cambia el tipo de solicitud del folio: 0064101848021, 0064101848421" u="1"/>
        <s v="Se aplica testado de datos al folio: 0064100688920." u="1"/>
        <s v="Se sustituye archivo adjunto  del folio: 0064100930321" u="1"/>
        <s v="Se sustituye archivo se cambio el tipo de solicitud del folio 0064100428621" u="1"/>
        <s v="Notificación de seguimiento  [  MA1610202006 ]  _x000a__x000a_ _x000a__x000a_ _x000a__x000a_Estimado(a):                     Berenice Hernández Sumano_x000a__x000a_ _x000a__x000a_Le informamos que su ticket correspondiente a:_x000a__x000a_               _x000a__x000a_Se requiere para los recursos con cumplimiento:_x000a_1. Modificar la fecha de notificación de la resolución con cumplimiento a la fecha de notificación de cumplimiento del cuadro 1._x000a_2. Modificar la fecha de vencimiento de cumplimiento de los recursos a la fecha límite de cumplimiento del cuadro 1._x000a_2. Modificar la fecha de estado de los recursos a la fecha de notificación del cumplimiento del cuadro 1._x000a_3. Modificar la fecha de los documentos generados como acuses a la fecha señalada en el cuadro 3._x000a__x000a_Se requiere para los recursos sin cumplimiento:_x000a_1. Modificar la fecha de notificación de la resolución a la fecha de notificación de resolución del cuadro 2._x000a_2. Modificar la fecha de estado de los recursos a la fecha de notificación de la resolución del cuadro 2._x000a_3. Modificar la fecha de los documentos generados como acuses a la fecha señalada en el cuadro 3._x000a_​_x000a__x000a_ _x000a__x000a_Aplicación:                  SIGEMI_x000a__x000a_Tipo de Soporte:         ACTUALIZACIÓN DE FECHAS Y ACUSES _x000a__x000a_Observaciones:            _x000a__x000a_ _x000a__x000a_Su petición fue atendida_x000a__x000a_ _x000a__x000a_ _x000a__x000a_ _x000a__x000a_            Favor de validar._x000a__x000a_ _x000a__x000a_Estatus:                               Concluido._x000a__x000a_ _x000a__x000a_ " u="1"/>
        <s v="Notificación de seguimiento [ MA2001202002 ] _x000a_  _x000a_  _x000a_ Estimado(a): Edgar Michel Loaeza Martínez_x000a_  _x000a_ Le informamos que su ticket correspondiente a:_x000a_  _x000a_ Por medio del presente solicito su valioso apoyo a efecto de sustituir el certificado del Titular de la Unidad de Transparencia de la Secretaría de Marina, en virtud de que e certificado registrado actualmente se encuentra vencido._x000a_ _x000a_  _x000a_ Aplicación: HCOM _x000a_ Tipo de Soporte: CAMBIO DE CERTIFICADO" u="1"/>
        <s v="Reinicio de Contraseña" u="1"/>
        <s v="Se aplica testado de datos al folio:  0064100083421" u="1"/>
        <s v="Adecuación de campos de tipo number en cada una de las pantallas del  portlet Gestión Interna" u="1"/>
        <s v="Plugin para desplegar PDF" u="1"/>
        <s v="Descarga de declaraciones por RFC" u="1"/>
        <s v="Desarrollo de servicio eureka" u="1"/>
        <s v="Cambio en visualizacion del texto a buscar, se resalta la palabra buscada" u="1"/>
        <s v="Se aplica el cambio de modalidad de las solicitudes con folios: 0064100301520 y 0064100483320." u="1"/>
        <s v="Corrección en el captcha" u="1"/>
        <s v="Análisis de datos de solicitudes pendientes en infomex, semana del 12 al 16 de julio" u="1"/>
        <s v="Se consultan datos de la solicitud 1236000025321" u="1"/>
        <s v="Se  testan los datos del folio: 0110000068121" u="1"/>
        <s v="Notificación de seguimiento  [  MA0402202003 ]  _x000a_ _x000a_ _x000a_Estimado(a):                     Alondra Jiménez Hernández_x000a_ _x000a_Le informamos que su ticket correspondiente a:_x000a_               _x000a_Anexo el registro actualizado del certificado del Titular de la Unidad de Transparencia del FIDEICOMISO DE FORMACIÓN Y CAPACITACIÓN PARA EL PERSONAL  DE LA MARINA MERCANTE NACIONAL para su renovación en la Herramienta de Comunicación._x000a_ _x000a_Aplicación:                  HCOM   _x000a_Tipo de Soporte:         RENOVACIÓN DE CERTIFICADO   _x000a_" u="1"/>
        <s v="Reactivación de registro para validaciones del área usuaria" u="1"/>
        <s v="Se elimina formato de pago del folio 1113100039820" u="1"/>
        <s v="Notificación de seguimiento  [  MA2009202201 ]_x000a__x000a_Estimado(a):                Alondra Jiménez Hernández_x000a__x000a__x000a__x000a_ Le informamos que su ticket correspondiente a:_x000a__x000a__x000a_               _x000a_Debido al vencimiento del certificado, te pido sea generado un certificado genérico a nombre del TUT y que con el mismo sea habilitado en la HCOM. Los datos son los siguientes:_x000a_Clave_x0009_Sujeto obligado_x0009_Nombre del Titular de la Unidad de Transparencia_x0009_Correo electrónico_x0009_Contraseña_x000a_11088_x0009_Centro de Investigación en Materiales Avanzados, S.C._x0009_María Amparo Sánchez Olivas_x0009_maria.sanchez@cimav.edu.mx_x000a_Ver archivo adjunto_x000a_ _x000a__x000a_Aplicación:                 HCOM_x000a_Tipo de Soporte:        RENOVACIÓN DE CERTIFICADO Y ACTUALIZACIÓN EN HCOM" u="1"/>
        <s v="Notificación de seguimiento  [  MA2408202115 ]_x000a__x000a_Estimado(a):                Berenice Hernández Sumano_x000a__x000a_ _x000a_ Le informamos que su ticket correspondiente a:_x000a_               _x000a_por este medio solicito la afectación en base de datos de la fecha de caducidad de las solicitudes, toda vez que el Consejo General del aprobó el Acuerdo ACDO/CG/IAIP/062/2021 del Consejo General del Instituto de Acceso a la Información Pública y Protección de Datos Personales, por el que se aprueba la suspensión de plazos legales en los procedimientos de acceso a la información pública, protección de datos personales, publicación, substanciación de recursos de revisión y denuncias por incumplimiento de obligaciones de transparencia, al sujeto obligado Servicios de Salud de Oaxaca._x000a_ _x000a_Aplicación:                  INFOMEX OAXACA_x000a_Tipo de Soporte:         AJUSTE DE PLAZOS   _x000a_" u="1"/>
        <s v="Buenas tardes José Manuel, gracias e igualmente, que este año tengas mucha salud. Sobre tu petición, adjunto resultado de la consulta realizada a su base de datos, favor de validar _x000a_ _x000a_ Saludos _x000a_ _x000a_ Marina Adame Velasco_x000a_ _x000a_ Notificación de seguimiento [ MA1301202004 ] _x000a_ _x000a_ Aplicación: INFOMEX QUERÉTARO_x000a_ Tipo de Soporte: Consulta de datos _x000a_ Estatus: Concluido." u="1"/>
        <s v="_x000a_Notificación de seguimiento  [  MA0411202006 ]  _x000a_ _x000a_ _x000a_Estimado(a):                     MARTHA RUBI ZARAGOZ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01 al 30 de noviembre de 2020; debiéndose considerar los días comprendidos dentro de dicho periodo como inhábiles para evitar la propagación del coronavirus COVID-19._x000a__x000a__x000a_Aplicación:                  INFOMEX NUEVO LEÓN_x000a_Tipo de Soporte:         AJUSTE DE PLAZOS    _x000a_Observaciones:            _x000a_ _x000a_Su petición fue atendida_x000a_" u="1"/>
        <s v="Se realizaron ajustes al sitio de comite de etica, para actualizar las tablas de nosmatividad y la tabla de reconocimiento a las mejores practicas" u="1"/>
        <s v="Modificar " u="1"/>
        <s v="Publicación de acuerdos" u="1"/>
        <s v="Notificación de seguimiento  [  MA2907202007 ]  _x000a_ _x000a_ _x000a_Estimado(a):                     Cynthia Michelle Domínguez Jiménez_x000a_ _x000a_Le informamos que su ticket correspondiente a:_x000a_               _x000a_con relación al recurso de revisión RRA 04689/20 interpuesto en contra del Instituto Nacional de Transparencia, Acceso a la Información y Protección de Datos Personales, se elimine el registro del desahogo del requerimiento de información, toda vez que mediante acuerdo del veintisiete de julio del año en curso se informó al sujeto obligado que dicha actuación sería eliminada una vez analizada._x000a_ _x000a_Aplicación:                  SIGEMI_x000a_Tipo de Soporte:         Eliminar paso del histórico   _x000a_Observaciones:            _x000a_ _x000a_Su petición fue atendida, se eliminó del histórico la actividad Recibe respuesta   _x000a__x000a_" u="1"/>
        <s v="Buenas tardes Lisset, tu petición fue atendida, adjunto script solicitados, te comento que en la base no existe un campo que guarde el dato de edad del solicitante, solo la fecha de nacimiento, mañana te envío el del punto 1,favor de validar _x000a__x000a_Saludos _x000a__x000a_Marina Adame Velasco_x000a__x000a_Notificación de seguimiento  [  MA2309202007 ]  _x000a__x000a_Aplicación:                  INFOMEX TABASCO_x000a_Tipo de Soporte:         Corrección de nombre de archivo adjunto   _x000a_Estatus:                               Concluido._x000a_" u="1"/>
        <s v="Se cambió el tipo de solicitud del folio:  0002700145021" u="1"/>
        <s v="Menu de Avisos de la PNT en el modulo de Administracion y a la base de datos para los permisos de usuarios." u="1"/>
        <s v="Cambios en etiquetas y mensajes" u="1"/>
        <s v="Notificación de seguimiento  [  MA2001202118 ]  _x000a_ _x000a_ _x000a_Estimado(a):                     Marco Antonio Contreras Uribe_x000a_ _x000a_ _x000a_Le informamos que su ticket correspondiente a:_x000a_               _x000a_Por este medio solicito tu valioso apoyo a efecto cancelar los siguientes envíos de información  de los requerimientos No. IFAI-REQ-000389-2021, IFAI-REQ-000393-2021 y IFAI-REQ-000395-2021, toda vez que por un error realice esta actividad, sin percatarme que ya le habían dado la indicación a otra persona de la Dirección._x000a__x000a_ _x000a_Aplicación:                  HCOM_x000a_Tipo de Soporte:         REGRESO DE PASOS   _x000a_" u="1"/>
        <s v="Se modifican los nativos de android para evitar que los servicios de google respalden el cache de la app y se muestra un mensaje en algunas versiones de android para eliminar los datos residuales" u="1"/>
        <s v="Se  testan los datos del folio: 1816400190821" u="1"/>
        <s v="Cambio leyendas y ajustes css portlet datos abiertos(obligaciones de transparencia)" u="1"/>
        <s v="Evalución y diseño de los posibles modelos predictivos" u="1"/>
        <s v="Se  testan los datos del folio: 0064101354021" u="1"/>
        <s v="Se ajustan los plazos de la solicitud: 0001600073420." u="1"/>
        <s v="Notificación de seguimiento  [  MA2001202119 ]  _x000a_  _x000a_Estimado(a):                     Alondra Jiménez Hernández_x000a_ _x000a_Le informamos que su ticket correspondiente a:_x000a_               _x000a_Se anexa el certificado del Titular de la Unidad de Transparencia para su renovación en la Herramienta de Comunicación:_x000a_ _x000a_CLAVE DEPENDENCIA/ENTIDAD_x000a_11081 Fondo de Investigación Científica y Desarrollo Tecnológico del Centro de Investigación en Geografía y Geomatica, Ing. .Jorge L. Tamavo, A.C._x000a__x000a_ _x000a_Aplicación:                  HCOM_x000a_Tipo de Soporte:         RENOVACIÓN DE CERTIFICADO   _x000a_" u="1"/>
        <s v="Pruebas ingesta de solicitudes calificadas" u="1"/>
        <s v="Se  actualizan las fechas de las solicitudes con folio: 0063700331321 y 0063700336721 " u="1"/>
        <s v="Se le informó al equipo que ya esta esté 1er procedimiento para que lo revisen y consuman desde el aplicativo" u="1"/>
        <s v="Se le informó al equipo que ya esta esté 3er procedimiento para que lo revisen y consuman desde el aplicativo" u="1"/>
        <s v="Se le informó al equipo que ya esta esté 6to procedimiento para que lo revisen y consuman desde el aplicativo" u="1"/>
        <s v="Se le informó al equipo que ya esta esté 7mo procedimiento para que lo revisen y consuman desde el aplicativo" u="1"/>
        <s v="Definición de métricas para validar porcentaje de efectividad etiquetas top 5" u="1"/>
        <s v="Se generó certificado para usuario de dependencia FIFONAFE (2)" u="1"/>
        <s v="Se  testan los datos del folio: 0000600141721" u="1"/>
        <s v="Se continuo con el desarrollo de los interiores del sitio" u="1"/>
        <s v="_x000a_Notificación de seguimiento  [  MA0602202009 ]  _x000a_ _x000a_ _x000a_Estimado(a):                     Yenifer Sthephanie Martínez Rivera_x000a_ _x000a_Le informamos que su ticket correspondiente a:_x000a_               _x000a_Solicito tu amable intervención para que el expediente electrónico RRA 6284/19 LOTENAL en la Plataforma Nacional de Transparencia para que se regrese el paso “Evaluación de Cumplimiento”, con la finalidad de estar en posibilidad de evaluar el cumplimiento. _x000a__x000a_ _x000a_Aplicación:                  SIGEMI_x000a_Tipo de Soporte:         REGRESO DE PASOS  _x000a_Observaciones:            _x000a_ _x000a_Su petición fue atendida_x000a_" u="1"/>
        <s v="Se testan los datos de la solicitud con folio: 0064101642521" u="1"/>
        <s v="Cambios solicitados" u="1"/>
        <s v="Se sustituye archivo adjunto  del folio: 1857200075521" u="1"/>
        <s v="Eliminar respuesta de la solicitud con folio 0002700158621" u="1"/>
        <s v="implementación de funcionalidad con programación reactiva" u="1"/>
        <s v="Creación de un componente reutilizable de row expand" u="1"/>
        <s v="_x000a_Notificación de seguimiento  [  MA0702202003 ]  _x000a_ _x000a_ _x000a_Estimado(a):                     Recurso de Revisión_x000a_ _x000a_Le informamos que su ticket correspondiente a:_x000a_               _x000a_Solicito de tu apoyo a fin de que pueda ingresar el siguiente domicilio a la PNT ya que debo turnar el recurso que ingresó por escrito libre_x000a__x000a__x000a_DOMICILIO:_x000a__x000a_Prolongación Cuauhtémoc 47, Colonia San Antonio Tecomitl, Alcaldía de Milpa Alta en la CDMX C.P. 12 100._x000a__x000a_Muestro Pantalla en la que dicho código postal al registrarlo en PNT no registra la colonia Colonia San Antonio Tecomitl_x000a__x000a_Te comento que consulte que el código postal si corresponde a dicha Colonia._x000a__x000a_ _x000a_Aplicación:                  SIGEMI_x000a_Tipo de Soporte:         AGREGAR COLONIA   _x000a_Observaciones:            _x000a_ _x000a_Su petición fue atendida_x000a_" u="1"/>
        <s v="_x000a_Notificación de seguimiento  [  MA0306202004 ]  _x000a_ _x000a_ _x000a_Estimado(a):                     Rosalinda Coria Mosqueda_x000a_ _x000a_Le informamos que su ticket correspondiente a:_x000a_               _x000a__x000a_Agradeceré regresar a la actividad de ADMITIR/PREVENIR el recurso RRA 3950/20 en contra de PEP, en virtud de que es un sujeto obligado que se le concedió la suspensión de plazos._x000a__x000a__x000a_ _x000a_Aplicación:                  SIGEMI_x000a_Tipo de Soporte:         REGRESO DE PASOS  _x000a_Observaciones:            _x000a_ _x000a_Su petición fue atendida_x000a_" u="1"/>
        <s v="_x000a_Notificación de seguimiento  [  MA2510202101 ]_x000a__x000a_Estimado(a):                Jatziry Jiménez Cruz_x000a__x000a_ _x000a_ Le informamos que su ticket correspondiente a:_x000a_               _x000a_Por este medio solicito su atento apoyo para que por favor se elimine el requerimiento con folio IFAI-REQ-004453-2021, ya que por un error se envió al grupo equivocado de sujetos obligados_x000a__x000a_ _x000a_Aplicación:                  HCOM_x000a_Tipo de Soporte:         ELIMINAR REQUERIMIENTO  _x000a_Observaciones:            _x000a_ _x000a_Su petición fue atendida_x000a_" u="1"/>
        <s v="Se ajusta turno del folio: 1113100016021" u="1"/>
        <s v="Se  testan los datos del folio: 0063700151321" u="1"/>
        <s v="corrección en  registro de solicitudes del Sujeto Obligado Tribunal Federal y Conciliación y Arbitraje" u="1"/>
        <s v="Se  testan los datos del folio:   0000600076621" u="1"/>
        <s v="Se cambia el tipo de solicitud del folio: 0001500044621" u="1"/>
        <s v="Se indica al usuario la baja de de Dependencias en los módulos solicitantes y Unidad de enlace IFAI." u="1"/>
        <s v="Se renombran 5 dependencias con claves: 6812, 64402,6800,11323,21161." u="1"/>
        <s v="Notificación de seguimiento  [  MA2008202001 ]  _x000a_ _x000a_ _x000a_Estimado(a):                     Edgar Michel Loaeza Martínez_x000a_ _x000a_Le informamos que su ticket correspondiente a:_x000a_               _x000a_dar de alta el certificado que se adjunta, sujeto obligado de la Secretaria de Economía._x000a_" u="1"/>
        <s v="Se cambia el tipo de solicitud del folio: 0002700244421 " u="1"/>
        <s v="Se realizan ajustes al sitio" u="1"/>
        <s v="Creación de Service para Roles, Usuarios, Integrantes, Ejes, Objetivos, Rutas Implementación y Areas administrativas" u="1"/>
        <s v="_x000a_Notificación de seguimiento  [  MA1404202003 ]  _x000a_ _x000a_ _x000a_Estimado(a):                     Alondra Jiménez Hernández_x000a_ _x000a_Le informamos que su ticket correspondiente a:_x000a_               _x000a_ _x000a_Se solicita la renovación del certificado del Titular de la Unidad de Transparencia del Comisión Nacional de los Derechos Humanos (CNDH) en la Herramienta de Comunicación, toda vez que el anterior certificado presenta un error en su configuración, razón por la cual permanece la misma contraseña. _x000a__x000a__x000a_ _x000a_Aplicación:                  HCOM_x000a_Tipo de Soporte:         CAMBIO DE CERTIFICADO   _x000a_Observaciones:            _x000a_ _x000a_Su petición fue atendida_x000a_" u="1"/>
        <s v="Se aplica el testado de datos de la solicitud: 1816400029820" u="1"/>
        <s v="Se crean clases base para el consumo de servicio en el portlet" u="1"/>
        <s v="Se cambió el tipo de solicitud del folio: 0000500063521" u="1"/>
        <s v="Notificación de seguimiento  [  MA1306202005 ]  _x000a_ _x000a_ _x000a_Estimado(a):                     Betzabé Flores Terán_x000a_ _x000a_Le informamos que su ticket correspondiente a:_x000a_               _x000a_Solicito de su apoyo para actualizar en la Herramienta de Comunicación los certificados de los sujetos obligados de la base que se adjunta, ya que estos han vencido._x000a_ _x000a_ _x000a_Aplicación:                  HCOM   _x000a_Tipo de Soporte:         CAMBIO DE CERTIFICADO   _x000a_Observaciones:            _x000a_ _x000a_Su petición fue atendida_x000a_ _x000a_" u="1"/>
        <s v="Notificación de seguimiento  [  MA1803202010 ]  _x000a_ _x000a_ _x000a_Estimado(a):                     Rafael González García_x000a_ _x000a_Le informamos que su ticket correspondiente a:_x000a_               _x000a_Cancelación del recurso RRA 01730/20 con base en el oficio  INAUSTP/DGAP/268/2020_x000a__x000a_Cancelación del recurso RRA 01206/20 con base en el oficio INAl/STP/DGAP/269/2020_x000a_ _x000a_Aplicación:                  SIGEMI_x000a_Tipo de Soporte:         Cancelación de recursos   _x000a_Observaciones:            _x000a_ _x000a_Su petición fue atendida_x000a_ _x000a_" u="1"/>
        <s v="Se aplica testado de datos al folio:  0000600002021" u="1"/>
        <s v="Notificación de seguimiento  [  MA2202202107 ]  _x000a_ _x000a_ _x000a_Estimado(a):                     FRANCISCO LIRA_x000a_  _x000a_Le informamos que su ticket correspondiente a:_x000a_               _x000a_RESPALDO SEMANAL DE LA BASE DE DATOS INFOMEX_x000a_ _x000a_Aplicación:                  INFOMEX NUEVO LEÓN_x000a_Tipo de Soporte:         RESPALDO   _x000a_Observaciones:            _x000a_ _x000a_Su petición fue atendida, se subió el respaldo de su base de datos de esta semana…_x000a_http://documentos.inai.org.mx/tmp/infomexNL_backup_2021-02-22_0800.bak_x000a_" u="1"/>
        <s v="Atención y seguimiento a tickets y correos respecto al acceso de usuarios a la PNT.  (Análisis)" u="1"/>
        <s v="Notificación de seguimiento  [  MA2511202008 ]  _x000a_  _x000a_Estimado(a):                     Berenice Hernández Sumano_x000a_  _x000a_Le informamos que su ticket correspondiente a:_x000a_               _x000a_Por este medio solicito su apoyo a fin de verificar la razón técnica por la cual el folio 01093720 interpuesto el 08/10/2020 15:16hrs, no refleja en el Acuse de la Solicitud de Información el nombre del sujeto obligado al que pertenece. Asimismo este folio no apareció reflejado en la cuenta del Sujeto Obligado sino hasta que se realizó la atención de otro reporte que realizamos acerca del botón de Queja para ese mismo folio. _x000a__x000a_A fin de integrar el dictamen técnico que de certeza de alguna incidencia por parte del sistema que derivó en esta falla y favoreciendo el ejercicio del derecho de acceso a la información, requiero me confirmen o no dicha falla._x000a__x000a_Ademas a los señalado requiero se haga el ajuste a la fecha de vencimiento caducidad del folio 01093720 al 04/12/2020 23:59hrs y el borrado de archivo de acusé a fin de generar un nuevo documento._x000a_ _x000a_Aplicación:                  INFOMEX OAXACA_x000a_Tipo de Soporte:         AJUSTE DE PLAZO    _x000a_Observaciones:            _x000a_ _x000a_Su petición fue atendida, respecto a la incidencia, lo que sucedió es que no se guardó una de las referencias del Sujeto Obligado en la base de datos, misma que ya se corrigió_x000a_  _x000a_            Favor de validar._x000a_ _x000a_Estatus:                               Concluido._x000a__x000a_" u="1"/>
        <s v="Se generó certificado para usuario de dependencia Comisión Nacional de Áreas Naturales Protegidas." u="1"/>
        <s v="_x000a_Notificación de seguimiento  [  MA2808202007 ]  _x000a_ _x000a_ _x000a_Estimado(a):                     Sergio Rafael Cortés Alpizar_x000a_ _x000a_Le informamos que su ticket correspondiente a:_x000a_               _x000a_Por medio del presente, solicito el regreso de actividad a &quot;Preparación del Proyecto de Resolución&quot; y se elimine el cierre de instrucción para volverlo a mandar del siguiente recurso de revisión:_x000a_ _x000a_RRA 7971/20 vs BANCOMEXT_x000a_ _x000a_Lo anterior se debe a que se anexo un archivo mal y se enviara de nuevo el cierre correcto._x000a_ _x000a_Aplicación:                  SIGEMI_x000a_Tipo de Soporte:         eliminación de cierre  _x000a_Observaciones:            _x000a_ _x000a_Su petición fue atendida_x000a_" u="1"/>
        <s v="Se aplica testado de datos al folio: 0002700025621" u="1"/>
        <s v="Notificación de seguimiento  [  MA1211202006 ]  _x000a_  _x000a_Estimado(a):                     GUILLERMO DELGADO_x000a_  _x000a_Le informamos que su ticket correspondiente a:_x000a_               _x000a_el cambio de fecha de vencimiento de una solicitud que no sabemos por qué nos quitó días_x000a_ _x000a_Folio 01053320_x000a_La fecha de vencimiento deberá ser el 17/11/2020_x000a_ _x000a_ _x000a_Y viene con fecha del 13/11/2020_x000a_ _x000a_Aplicación:                  INFOMEX BCN_x000a_Tipo de Soporte:         CAMBIO DE PLAZO   _x000a_Observaciones:            _x000a_ _x000a_Su petición fue atendida_x000a_ _x000a_" u="1"/>
        <s v="Ambientación para campus Iniciativa Privada  versión 3.7.3" u="1"/>
        <s v="_x000a_Notificación de seguimiento  [  MA0110202002 ]  _x000a_ _x000a_ _x000a_Estimado(a):                     Lizbeth Adriana Cabrera Ortega_x000a_ _x000a_Le informamos que su ticket correspondiente a:_x000a_               _x000a_cambios al recursos RRA 9601/20 que ya habían sido solicitados desde el pasado 23 DE SEPTIEMBRE._x000a__x000a_Lo anterior ya que la Ponencia me reitera no aparecen en el expediente aún._x000a__x000a_RETIERO LOS CAMBIOS SOLICITADOS;_x000a__x000a__x000a_DICE SNTSS_x000a__x000a_DEBE DECIR IMSS_x000a__x000a_Asimismo, envío el correspondiente acuerdo para su incorporación al expediente electrónico._x000a__x000a_ _x000a_Aplicación:                  SIGEMI_x000a_Tipo de Soporte:         CAMBIO DE SUJETO OBLIGADO_x000a_Observaciones:            _x000a_ _x000a_Su petición fue atendida_x000a_" u="1"/>
        <s v="Desarrollo para la integración de los servicios de SAIMEX en SISAI" u="1"/>
        <s v="Actualización y pruebas de funcionalidad de campus Iniciativa Privada 3.7.3" u="1"/>
        <s v="Integración de nuevos campos en la seccion de Datos Experiencia Laboral (Declaracion patrimonial) en Declaranet" u="1"/>
        <s v="Buenas tardes Francisco, tu petición fue atendida, favor de validar _x000a__x000a_SUJETO_OBLIGADO CLAVE_x000a_Fideicomiso para la Administración, Arrendamiento y Adecuación de oficinas alternas de la COTAI No. 851-01987 20200618-1345-2400-3730-1f3fd3a0ab8a_x000a__x000a__x000a_Saludos _x000a__x000a_Marina Adame Velasco_x000a__x000a_Notificación de seguimiento  [  MA1806202006 ]  _x000a__x000a_Aplicación:                  INFOMEX NUEVO LEÓN_x000a_Tipo de Soporte:         Consulta de datos   _x000a_Estatus:                               Concluido._x000a_" u="1"/>
        <s v="Notificación de seguimiento  [  MA2209202001 ]  _x000a_ _x000a_ _x000a_Estimado(a):                     Pedro Esquivel Martínez_x000a_ _x000a_Le informamos que su ticket correspondiente a:_x000a_               _x000a_por este medio y en relación al correo que antecede te reenvió los archivos correctos para el cambio de Titular del INEEL_x000a__x000a_se realizó la modificación del nombre de Titular &quot;LIC. MERCEDES FABIOLA VILLADA MENDARTE&quot;_x000a_ _x000a_Aplicación:                  HCOM  _x000a_Tipo de Soporte:         CAMBIO DE TUT  _x000a_Observaciones:            _x000a_ _x000a_Su petición fue atendida_x000a_ _x000a_" u="1"/>
        <s v="Notificación de seguimiento  [  MA2402202005 ]  _x000a_ _x000a_ _x000a_Estimado(a):                     Lizbeth Adriana Cabrera Ortega_x000a_ _x000a_Le informamos que su ticket correspondiente a:_x000a_               _x000a_ME PERMITO COMENTAR CON USTEDES LA PETICIÓN DE LA PONENCIA, PUES SE REITERA LA FALLA RESPECTO AL CAMBIO DE FECHA DEL DÍA HÁBIL SIGUIENTE, PUES LOS ACUERDOS DE TURNO DAN CUENTA DEL DÍA ANTERIOR _x000a_ _x000a_Aplicación:                  SIGEMI_x000a_Tipo de Soporte:         Actualización de archivos  _x000a_Observaciones:            _x000a_ _x000a_Su petición fue atendida_x000a_ _x000a_" u="1"/>
        <s v="Buenas tardes Martha, tu petición fue atendida, favor de validar _x000a__x000a_Saludos _x000a__x000a_Marina Adame Velasco_x000a__x000a_Notificación de seguimiento  [  MA1304202004 ]  _x000a__x000a_Aplicación:                  INFOMEX NUEVO LEÓN_x000a_Tipo de Soporte:         Corrección de plazo   _x000a_Estatus:                               Concluido._x000a_" u="1"/>
        <s v="Se  testan los datos de la solicitud con folio 0064100812721_x000a_" u="1"/>
        <s v="Notificación de seguimiento  [  MA1811202006 ]  _x000a_ _x000a_ _x000a_Estimado(a):                     FRANCISCO LIRA _x000a_ _x000a_ _x000a_Le informamos que su ticket correspondiente a:_x000a_               _x000a_nos pueden apoyar con un query, necesitamos obtener todas las solicitudes, clasificadas cuales son de acceso a la información y cuales de datos personales, así como electrónicas o manuales, y cuantas por PNT y cuantas por Infomex._x000a_ _x000a_Aplicación:                  INFOMEX NUEVO LEÓN_x000a_Tipo de Soporte:         SCRIPT    _x000a_Observaciones:            _x000a_ _x000a_Su petición fue atendida_x000a_ _x000a_" u="1"/>
        <s v="_x000a_Notificación de seguimiento  [  MA1702202009 ]  _x000a_ _x000a_ _x000a_Estimado(a):                     Lizbeth Adriana Cabrera Ortega_x000a_ _x000a_Le informamos que su ticket correspondiente a:_x000a_               _x000a_Solicito su apoyo para suprimir de la bandeja de turno los siguientes recursos:_x000a__x000a_14/02/2020 14/02/2020 12:57 PM Rebeca Sánchez Banda PGR 0001700574519 Acceso a la Información Manual Ver detalle_x000a__x000a_14/02/2020 14/02/2020 13:03 PM Kevin Joseph Aguayo Echánove PGR 0001700574419 Acceso a la Información Manual Ver detalle_x000a__x000a_07/02/2020 07/02/2020 14:10 PM Luis Francisco Aguilar Solorzano SCJN 0330000044320 Acceso a la Información Electrónico Ver detalle_x000a__x000a_10/02/2020 10/02/2020 10:29 AM PEDRO ALFONSO OROZCO BARAJAS SCJN 0330000015720 Acceso a la Información Electrónico Ver detalle_x000a__x000a_10/02/2020 10/02/2020 14:11 PM DANIEL AGUILAR CORNEJO SCJN 0330000040120 Acceso a la Información Electrónico Ver detalle_x000a__x000a_13/02/2020 13/02/2020 20:48 PM Ariel Noyola PGR 0001700511319 Acceso a la Información Manual Ver detalle_x000a__x000a__x000a__x000a_ _x000a_Aplicación:                  SIGEMI_x000a_Tipo de Soporte:         Suprimir Recursos  _x000a_" u="1"/>
        <s v="Implementación modal registro respuesta y descarga de acuse" u="1"/>
        <s v="Se  testan los datos de la solicitud con folio 0000500122121 _x000a_ _x000a_" u="1"/>
        <s v="Eliminar respuesta del folio 1410000044321" u="1"/>
        <s v="Se aplica cambio de modalidad de la solicitud: 0210000029920 y 0210000035720" u="1"/>
        <s v="_x000a_Notificación de seguimiento  [  MA1011202005 ]  _x000a_  _x000a_Estimado(a):                     Martha Rubí Zaragoza Mora_x000a_ _x000a_ Le informamos que su ticket correspondiente a:_x000a_               _x000a_El presente correo es para pedir su amable apoyo para el ajuste de términos de los folios debido al Acuerdo que enviaron los siguientes Sujetos Obligados a la COTAI por el cual se amplían la fecha del 01 al 30 de noviembre de 2020; debiéndose considerar los días comprendidos dentro de dicho periodo como inhábiles para evitar la propagación del coronavirus COVID-19._x000a_ _x000a_Aplicación:                  INFOMEX NUEVO LEÓN_x000a_Tipo de Soporte:         AJUSTE DE PLAZOS    _x000a_Observaciones:            _x000a_ _x000a_Su petición fue atendida_x000a_" u="1"/>
        <s v="_x000a_Notificación de seguimiento  [  MA0803202116 ]  _x000a_ _x000a_ _x000a_Estimado(a):                     Francisco Lira_x000a_ _x000a_ _x000a_Le informamos que su ticket correspondiente a:_x000a_               _x000a_clave única para nuevo sujeto obligado:_x000a__x000a_Universidad Tecnológica Bilingüe Franco Mexicana De Nuevo León_x000a_ _x000a_Aplicación:                  INFOMEX NUEVO LEÓN_x000a_Tipo de Soporte:         CONSULTA DE DATOS   _x000a_Observaciones:            _x000a_ _x000a_Su petición fue atendida_x000a__x000a_Nombre                                                                                                                               GUIDDepartamento_x000a_Universidad Tecnológica Bilingüe Franco Mexicana De Nuevo León            20210305-1600-3900-0510-c4617d8805ec_x000a_ _x000a_  _x000a_            Favor de validar._x000a_ _x000a_" u="1"/>
        <s v="Se agrega validacion para diferenciar entra saimex y los demas organos garantes" u="1"/>
        <s v="Se aplica testado de datos al folio:  0673800022321" u="1"/>
        <s v="Creación de scripts de calificación" u="1"/>
        <s v="Respaldar Curso 6 de Aliados INAI  de la plataforma anterior y restaurar en plataforma actual " u="1"/>
        <s v="Se sustituye archivo del folio 0064100757521" u="1"/>
        <s v="Se  testan los datos del folio: 0000700153721" u="1"/>
        <s v="Se sustituye archivo adjunto del folio: 0673800300020" u="1"/>
        <s v="Se  testan los datos del folio:   0002700048821, 0002700048921 y 0002700049021" u="1"/>
        <s v="Buscadores Tematicos, servidores publicos (Busqueda avanzada por campo) " u="1"/>
        <s v="_x000a_Notificación de seguimiento  [  MA1706202007 ]  _x000a_ _x000a_ _x000a_Estimado(a):                     Pedro Esquivel Martínez_x000a_ _x000a_Le informamos que su ticket correspondiente a:_x000a_               _x000a_Anexo el registro actualizado del certificado del Titular de la Unidad de Enlace del  “Financiera Nacional de Desarrollo Agropecuario, Rural, Forestal y Pesquero”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_x000a_Tipo de Soporte:         CAMBIO DE CERTIFICADO  _x000a_Observaciones:            _x000a_ _x000a_Su petición fue atendida_x000a_ _x000a__x000a_" u="1"/>
        <s v="Seccion 0 UT" u="1"/>
        <s v="Se aplica el testado de datos de la solicitud: 0063700051120." u="1"/>
        <s v="Se aplica eliminación de última respuesta de la solicitud: 0000400423819." u="1"/>
        <s v="Se sustituye archivo adjunto  del folio: 1816700002921 " u="1"/>
        <s v="Buenas tardes Martha, tu petición fue atendida, favor de validar _x000a__x000a_Saludos _x000a__x000a_Marina Adame Velasco_x000a__x000a_Notificación de seguimiento  [  MA0204202004 ]  _x000a__x000a_Aplicación:                  INFOMEX NUEVO LEÓN_x000a_Tipo de Soporte:         Corrección de plazo   _x000a_Estatus:                               Concluido._x000a__x000a_" u="1"/>
        <s v="Se aplica eliminación de última respuesta de la solicitud: 0000500065120." u="1"/>
        <s v="Notificación de seguimiento  [  MA0307202003 ]  _x000a_ _x000a_ _x000a_Estimado(a):                     Sergio Rafael Cortés Alpizar_x000a_ _x000a_Le informamos que su ticket correspondiente a:_x000a_               _x000a_Por medio del presente, solicito se regrese la actividad a &quot;Preparación del Proyecto de Resolución&quot; para volver a mandar el acuerdo del siguiente recurso de revisión:_x000a__x000a_RRA 3721/20 vs SHCP_x000a__x000a_Lo anterior se debe a que se corrigió el acuerdo y se volverá a enviar._x000a__x000a_ _x000a_Aplicación:                  SIGEMI_x000a_Tipo de Soporte:         REGRESO DE PASOS  _x000a_Observaciones:            _x000a_ _x000a_Su petición fue atendida_x000a_ _x000a_" u="1"/>
        <s v="Notificación de seguimiento  [  MA1106202008 ]  _x000a_ _x000a_ _x000a_Estimado(a) :       Sergio Rafael Cortés Alpizar_x000a_ _x000a_Le informamos que su ticket correspondiente a:_x000a_               _x000a_Por medio del presente, solicito el regreso de actividad a &quot; Admitir / Prevenir / Desechar&quot; del siguiente recurso de revisión:_x000a__x000a_RRD 0705/20 vs IMSS_x000a__x000a_Lo anterior se debe a que se anexo un archivo mal y se enviara de nuevo el acuerdo correcto._x000a__x000a_Ya están avisadas ambas partes._x000a_ _x000a_Aplicación:                  SIGEMI_x000a_Tipo de Soporte:         REGRESO DE PASOS  _x000a_Observaciones:            _x000a_ _x000a_Su petición fue atendida_x000a_ _x000a_" u="1"/>
        <s v="Ambientación para campus Iniciativa Privada  versión 2.2" u="1"/>
        <s v="Se testan datos y se sustituye el archivo del folio: 0000700264721" u="1"/>
        <s v="Notificación de seguimiento  [  MA1002202105 ]  _x000a_ _x000a_ _x000a_Estimado(a):                  Martha Rubí Zaragoza Mora   _x000a_ _x000a_ _x000a_Le informamos que su ticket correspondiente a:_x000a_               _x000a_El presente correo es para pedir su amable apoyo para el ajuste de términos de los folios debido al Acuerdo que enviaron los siguientes Sujetos Obligados a la COTAI por el cual tienen como día inhábil el 1 de febrero de 2021._x000a__x000a_ _x000a_Aplicación:                  INFOMEX NUEVO LEÓN_x000a_Tipo de Soporte:         AJUSTE DE PLAZOS   _x000a_Observaciones:            _x000a_ _x000a_Su petición fue atendida_x000a_ _x000a_  _x000a_" u="1"/>
        <s v="Testado de datos y sustituir archivo adjunto  del folio:  0000500092121" u="1"/>
        <s v="Notificación de seguimiento  [  MA1303202004 ]  _x000a_ _x000a_ _x000a_Estimado(a):                     Sergio Rafael Cortés Alpizar_x000a_ _x000a_Le informamos que su ticket correspondiente a:_x000a_               _x000a_se corrija el correo electrónico del particular en la Plataforma Nacional de Transparencia del recurso de revisión:_x000a_ _x000a_RRD 0490/20 vs IMSS_x000a_ _x000a_El correo dice: javiernn@yahoo.com_x000a__x000a_Debe decir: javiernn@yahoo.com.mx_x000a_ _x000a_Ya que así viene en su recurso de revisión._x000a_ _x000a_Aplicación:                  SIGEMI_x000a_Tipo de Soporte:         CAMBIO DE MEDIO   _x000a_" u="1"/>
        <s v="Ambientación para campus Iniciativa Privada  versión 2.7" u="1"/>
        <s v="Realizar la clase Controller, Service, Dao para la operación consulta de linea-accion-estrategica" u="1"/>
        <s v="actualizacion micrositio comité de etica" u="1"/>
        <s v="Desarrollo para la integración de la funcionalidad del seguimiento de  solicitudes de información de SISAI para SAIMEX " u="1"/>
        <s v="_x000a_Notificación de seguimiento  [  MA0608202001 ]  _x000a_ _x000a_ _x000a_Estimado(a):                     Lorena Martínez González_x000a_ _x000a_Le informamos que su ticket correspondiente a:_x000a_               _x000a_Buen día, por medio del presente solicito su apoyo para que, respecto del recurso de revisión  RRA 07783/20, se realicen las actuaciones pertinentes en la Plataforma Nacional de Transparencia a fin de registrar como medio de notificación del recurrente, el correo electrónico: lic.adrian.pa.gob.mx@hotmail.com_x000a__x000a_Lo anterior, toda vez que el particular cambió el medio de notificación a través de su recurso de revisión. _x000a__x000a_ _x000a_Aplicación:                  SIGEMI_x000a_Tipo de Soporte:         CAMBIO DE MEDIO   _x000a_Observaciones:            _x000a_ _x000a_Su petición fue atendida_x000a_" u="1"/>
        <s v="Soporte Jalisco" u="1"/>
        <s v="Incidencia Registro Emilio Chávez" u="1"/>
        <s v="Notificación de seguimiento  [  MA0909202004 ]  _x000a_ _x000a_ _x000a_Estimado(a):                     Ricardo Marin Gonzalez_x000a_ _x000a_Le informamos que su ticket correspondiente a:_x000a_               _x000a_TE COMPARTO EL ARCHIVO CON LA VALIDACIÓN DE LOS PLAZOS_x000a_ _x000a_Aplicación:                  SIGEMI_x000a_Tipo de Soporte:         CAMBIO DE PLAZOS  _x000a_Observaciones:            _x000a_ _x000a_Su petición fue atendida, se realizó la modificación de plazos _x000a_ _x000a__x000a_" u="1"/>
        <s v="Notificación de seguimiento  [  MA2411202008 ]  _x000a_ _x000a_ _x000a_Estimado(a):                     SERGIO RAFAEL CORTÉS ALPIZAR _x000a_ _x000a_ _x000a_Le informamos que su ticket correspondiente a:_x000a_               _x000a_Por este medio solicito adelantar los pasos en la Plataforma Nacional del Transparencia hasta “Preparación del Proyecto de Resolución” del recurso de revisión:_x000a_ _x000a_RRA 2410/19-BIS vs SEP_x000a_ _x000a_Lo anterior se debe a que se dictó un amparo y deja sin efectos la resolución del pleno._x000a_ _x000a_Aplicación:                  SIGEMI_x000a_Tipo de Soporte:         REGRESO DE PASOS    _x000a_Observaciones:            _x000a_ _x000a_Su petición fue atendida_x000a_ _x000a_" u="1"/>
        <s v="Se elmina la respuesta del folio: 0310000005021" u="1"/>
        <s v="Responsive componente home y toolbar" u="1"/>
        <s v="Se sustituye archivo adjunto  del folio:  0064100765721" u="1"/>
        <s v="Buenas tardes Joel, tu petición fue atendida, favor de validar _x000a__x000a_Saludos _x000a__x000a_Marina Adame Velasco_x000a__x000a_Notificación de seguimiento  [  MA2603202002 ]  _x000a__x000a_Aplicación:                  INFOMEX COLIMA_x000a_Tipo de Soporte:         Modificación de plazos    _x000a_Estatus:                               Concluido._x000a_" u="1"/>
        <s v="Buenas tardes Martha, tu petición fue atendida, favor de validar _x000a__x000a_Saludos _x000a__x000a_Marina Adame Velasco_x000a__x000a_Notificación de seguimiento  [  MA2204202005 ]  _x000a__x000a_Aplicación:                  INFOMEX NUEVO LEÓN_x000a_Tipo de Soporte:         AJUSTE DE PLAZOS    _x000a_" u="1"/>
        <s v="Se  testan los datos del folio: 0064101357021" u="1"/>
        <s v="Se  testan los datos del folio: 0064101367021" u="1"/>
        <s v="Se cambia estatus y id de respuesta de la solicitud del folio: 0933800022721" u="1"/>
        <s v="Notificación de seguimiento  [  MA1108202007 ]  _x000a_ _x000a_ _x000a_Estimado(a):                     Sergio Rafael Cortés Alpizar_x000a_ _x000a_Le informamos que su ticket correspondiente a:_x000a_               _x000a__x000a_Por medio del presente, solicito el regreso de actividad a &quot; Admitir / Prevenir / Desechar&quot; y se eliminen las notificaciones de admisión del siguiente recurso de revisión:_x000a_ _x000a_RRA 7991/20 vs IMSS_x000a_ _x000a_Lo anterior se debe a que por un error involuntario se anexo un archivo mal y se enviara de nuevo el acuerdo correcto._x000a__x000a_ _x000a_Aplicación:                  SIGEMI_x000a_Tipo de Soporte:         REGRESO DE PASOS  _x000a_Observaciones:            _x000a_ _x000a_Su petición fue atendida_x000a_ _x000a_" u="1"/>
        <s v="Corrección al generar declaración simplificada" u="1"/>
        <s v="Se aplica testado de datos al folio: 1816400010421" u="1"/>
        <s v="Buenas tardes, adjunto script para reasignación de solicitudes, también hay que eliminar los acuses correspondientes para su regeneración_x000a__x000a_Quedo atenta a sus resultados_x000a__x000a_Saludos_x000a__x000a_Marina Adame_x000a__x000a_Notificación de seguimiento  [  MA1204202114 ]  _x000a_" u="1"/>
        <s v="Testado de datos y sustituir archivo adjunto  del folio: 1816400099821" u="1"/>
        <s v="_x000a_Notificación de seguimiento  [  MA2010202006 ]  _x000a_ _x000a_ _x000a_Estimado(a):                     Sergio Rafael Cortés Alpizar_x000a_ _x000a_Le informamos que su ticket correspondiente a:_x000a_               _x000a_Solicito su apoyo para hacer el cambio de correo electrónico del particular del recurso de revisión RRA 10406/20 en contra del Comisión Nacional Forestal._x000a__x000a_El correo que tiene es el: rpsol1974@gmail.com_x000a__x000a_El correo correcto es: serviciosderespuesta@gmail.com_x000a__x000a_Lo anterior se debe a que la recurrente lo solicito a través de su recurso de revisión._x000a__x000a_ _x000a_Aplicación:                  SIGEMI_x000a_Tipo de Soporte:         CAMBIO DE CORREO   _x000a_Observaciones:            _x000a_ _x000a_Su petición fue atendida_x000a_" u="1"/>
        <s v="Se modifica la vista para ser mas amigable con el usuario" u="1"/>
        <s v="Prueba uno de script de etiquetado automatizado en solicitudes" u="1"/>
        <s v="Notificación de seguimiento  [  MA2606202001 ]  _x000a_ _x000a_ _x000a_Estimado(a):                     Omar Antonio Méndez Mendoza_x000a_ _x000a_Le informamos que su ticket correspondiente a:_x000a_               _x000a_Derivado del término de vigencia de los certificados para el acceso de HCOM del Consejo de la Judicatura Federal y de los fondos y fideicomisos a su cargo, me permito solicitar su valioso apoyo a efecto de que se habiliten los certificados renovados que se adjuntan al presente, para el acceso al sistema HCOM_x000a_ _x000a_Aplicación:                  HCOM_x000a_Tipo de Soporte:         CAMBIO DE CERTIFICADOS ( 7 )  _x000a_Observaciones:            _x000a_ _x000a_Su petición fue atendida_x000a_ _x000a_" u="1"/>
        <s v="Notificación de seguimiento  [  MA1211202008 ]  _x000a_ _x000a_ _x000a_Estimado(a):                     HORACIO ALEMAN_x000a_ _x000a_ _x000a_Le informamos que su ticket correspondiente a:_x000a_               _x000a_APOYAR AL ADMINISTRADOR DEL INFOMEX DURANGO CON LA MIGRACIÓN DE ARCHIVOS A OTRA UNIDAD DE ALMACENAMIENTO_x000a_ _x000a_Aplicación:                  INFOMEX DURANGO_x000a_Tipo de Soporte:         Apoyo con cambio de configuración   _x000a_Observaciones:            _x000a_ _x000a_Te informó que se concluyó exitosamente el apoyo brindado en los trabajos de cambio de configuración y actualización de rutas que solicito el administrador del sistema_x000a_ _x000a_  _x000a_            Favor de validar._x000a_ _x000a_Estatus:                               Concluido._x000a__x000a_" u="1"/>
        <s v="Ajuste de plazos de la solicitud con folio 1117100069821" u="1"/>
        <s v="Testado de datos y sustituir archivo adjunto  del folio: 1816800002121" u="1"/>
        <s v="Notificación de seguimiento  [  MA0106202005 ]  _x000a_ _x000a_ _x000a_Estimado(a):                     JUAN PEDRO RAMIREZ FLORES_x000a_ _x000a_Le informamos que su ticket correspondiente a:_x000a_               _x000a_Me permito notificar que estaremos reanudando labores  el día 15 de junio, esto para atender los trámites de recursos de revisión y cumplimento de los mismos. Cabe mencionar que ya realizamos el ajuste en calendario de SICOM._x000a__x000a_Les comparto el listado de recursos vs fechas de cumplimiento para que realicen el ajuste manual de los mismos._x000a__x000a_ _x000a_Aplicación:                  SIGEMI_x000a_Tipo de Soporte:         ACTUALIZAR FECHAS  _x000a_Observaciones:            _x000a_ _x000a_Su petición fue atendida_x000a_ _x000a_" u="1"/>
        <s v="Se cambia el tipo de solicitud del folio: 0001200392021" u="1"/>
        <s v="Resoluciones de recursos de revision " u="1"/>
        <s v="Se cambia el tipo de solicitud del folio: 0063700297921" u="1"/>
        <s v="Notificación de seguimiento  [  MA2209202006 ]  _x000a_ _x000a_ _x000a_Estimado(a):                     Alma Lizbeth Peguero Rivera_x000a_ _x000a_Le informamos que su ticket correspondiente a:_x000a_               _x000a__x000a_Por medio de presente, solicito de la manera más atenta, su apoyo para retroceder los pasos en el sistema SIGEMI-SICOM en la PNT del siguiente  asunto RRA 06259/20 OMGF, hasta la actividad “Registrar información de la sesión del pleno”; sin más por el momento, quedo en espera de sus comentarios._x000a__x000a_ _x000a_ _x000a_Aplicación:                  SIGEMI_x000a_Tipo de Soporte:         REGRESO DE PASOS  _x000a_Observaciones:            _x000a_ _x000a_Su petición fue atendida_x000a_ _x000a__x000a_" u="1"/>
        <s v="Se  testan los datos del folio: 1816400194821" u="1"/>
        <s v="Notificación de seguimiento  [  MA0802202113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2 al 28 febrero de 2021; debiéndose considerar los días comprendidos dentro de dicho periodo como inhábiles para evitar la propagación del coronavirus COVID-19._x000a_ _x000a_Aplicación:                  INFOMEX NUEVO LEÓN_x000a_Tipo de Soporte:         AJUSTE DE PLAZOS   _x000a_Observaciones:            _x000a_ _x000a_Su petición fue atendida_x000a_ _x000a_" u="1"/>
        <s v="Notificación de seguimiento  [  MA1502202110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2 al 28 febrero de 2021; debiéndose considerar los días comprendidos dentro de dicho periodo como inhábiles para evitar la propagación del coronavirus COVID-19._x000a__x000a_Aplicación:                  INFOMEX NUEVO LEÓN_x000a_Tipo de Soporte:         AJUSTE DE PLAZOS    _x000a_Observaciones:            _x000a_ _x000a_Su petición fue atendida_x000a_ _x000a_" u="1"/>
        <s v="Instalar herramientas de ajuste del rendimiento para recopilar información" u="1"/>
        <s v="Notificación de seguimiento  [  MA2209202003 ]  _x000a_ _x000a_ _x000a_Estimado(a):                     Lizbeth Adriana Cabrera Ortega_x000a_ _x000a_Le informamos que su ticket correspondiente a:_x000a_               _x000a_De la revisión formulada a lo que han realizado en PNT, te comento que faltan de incorporar los acuerdos que adjunto al presente. (son los tres archivos zip)_x000a__x000a__x000a_ACLARACIÓN_x000a_No omito comentarte que los adjuntos fueron enviados y solicitada su incorporación vía correo electrónico de alcance del 17 de septiembre, enviado a Rafa._x000a_El archivo RRA PRIMER BLOQUE son esos acuerdos que te comentaba que no se ZIPEARON pero que por favor deben incorporarse_x000a__x000a_Adicionalmente, encontrarás las bases de datos MATRIX, tanto de RRA y RRD para que puedan ir llevando su control de modificaciones._x000a__x000a_ _x000a_Aplicación:                  SIGEMI_x000a_Tipo de Soporte:         CAMBIOS DE FECHAS DE INTERPOSICIÓN  _x000a_" u="1"/>
        <s v="Notificación de seguimiento  [  MA1602202105 ]  _x000a_ _x000a_ _x000a_Estimado(a):                     Pedro Esquivel Martínez_x000a_  _x000a_Le informamos que su ticket correspondiente a:_x000a_               _x000a_Anexo el registro actualizado del certificado del Titular de la Unidad de Enlace del  “INSTITUTO NACIONAL DE LAS PERSONAS ADULTAS MAYORES” Lo anterior a fin de que sus accesos sean habilitados en los otros sistemas que administra este Instituto (HCOM).  Cambio de Titular, no omito señalar que en cuanto se reciba la atención en HCOM se realizará la actualización de los demás sistemas correspondientes._x000a_ _x000a_Aplicación:                  HCOM_x000a_Tipo de Soporte:         CAMBIO TUT   _x000a_Observaciones:            _x000a_ _x000a_Su petición fue atendida_x000a_ _x000a_" u="1"/>
        <s v="Notificación de seguimiento  [  MA2206202106 ]_x000a__x000a_Estimado(a):                Pedro Esquivel Martínez_x000a__x000a_ _x000a_ Le informamos que su ticket correspondiente a:_x000a_               _x000a_por este medio Anexo el registro actualizado del certificado del Titular de la Unidad de Enlace del  “Instituto Nacional del Suelo Sustentable (Insus)”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_x000a_Tipo de Soporte:         CAMBIO DE CERTIFICADO   _x000a_Observaciones:            _x000a_ _x000a_Su petición fue atendida_x000a_ _x000a_" u="1"/>
        <s v="Notificación de seguimiento  [  MA2505202013 ]  _x000a_ _x000a_ _x000a_Estimado(a):                     Pedro Esquivel Martínez_x000a_ _x000a_Le informamos que su ticket correspondiente a:_x000a_               _x000a_Anexo el registro actualizado del certificado del Titular de la Unidad de Enlace del  “Instituto Nacional de Neurología y Neurocirugía Manuel Velasco Suárez” Lo Anterior a fin de que sus accesos sean habilitados en los otros sistemas que administra este Instituto (HCOM).  CAMBIO DE TITULAR, en cuanto se reciba la atención en HCOM se realizará la actualización de los demás sistemas correspondientes._x000a__x000a_ _x000a_Aplicación:                  HCOM_x000a_Tipo de Soporte:         CAMBIO DE TUT  _x000a_Observaciones:            _x000a_ _x000a_Su petición fue atendida_x000a_ _x000a_" u="1"/>
        <s v="Notificación de seguimiento  [  MA1409202011 ]  _x000a_ _x000a_ _x000a_Estimado(a):                     Pedro Esquivel Martínez_x000a_ _x000a_Le informamos que su ticket correspondiente a:_x000a_               _x000a_por este medio Anexo el registro actualizado del certificado del Titular de la Unidad de Enlace del “Partido de la Revolución Democrática” Lo Anterior a fin de que sus accesos sean habilitados en los otros sistemas que administra este Instituto (HCOM).  CAMBIO DE  TITULAR, en cuanto se reciba la atención en HCOM se realizará la actualización de los demás sistemas correspondientes._x000a__x000a__x000a_ _x000a_Aplicación:                  HCOM_x000a_Tipo de Soporte:         CAMBIO DE TUT  _x000a_Observaciones:            _x000a_ _x000a_Su petición fue atendida_x000a_ _x000a_" u="1"/>
        <s v="Notificación de seguimiento  [  MA1810202101 ]_x000a__x000a_Estimado(a):                Pedro Esquivel Martínez_x000a__x000a_ _x000a_ Le informamos que su ticket correspondiente a:_x000a_               _x000a_por este medio Anexo el registro actualizado del certificado del Titular de la Unidad de Enlace de la “Centro Nacional de Metrología”.  Lo Anterior a fin de que sus accesos sean habilitados en los otros sistemas que administra este Instituto (HCOM).  CAMBIO DE  CERTIFICADO, en cuanto se reciba la atención en HCOM se realizará la actualización de los demás sistemas correspondientes._x000a_ _x000a_Aplicación:                  HCOM_x000a_Tipo de Soporte:         CAMBIO DE CERTIFICADO   _x000a_Observaciones:            _x000a_ _x000a_Su petición fue atendida_x000a_ _x000a_" u="1"/>
        <s v="Notificación de seguimiento  [  MA2204202001 ]  _x000a_ _x000a_ _x000a_Estimado(a):                     Pedro Esquivel Martínez_x000a_ _x000a_Le informamos que su ticket correspondiente a:_x000a_               _x000a_            _x000a_ _x000a_Anexo el registro actualizado del certificado del Titular de la Unidad de Enlace del  “Servicio Postal Mexicano”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_x000a_Tipo de Soporte:         CAMBIO DE CERTIFICADO   _x000a_Observaciones:            _x000a_ _x000a_Su petición fue atendida_x000a_ _x000a_" u="1"/>
        <s v="Notificación de seguimiento  [  MA3003202202 ]_x000a__x000a_Estimado(a):                Abraham Obed Gallardo González _x000a__x000a__x000a_ Le informamos que su ticket correspondiente a:_x000a_               _x000a_Por este medio me permito anexar el registro actualizado del certificado del Titular de la Unidad de Enlace del Instituto Nacional de Pesca.  Lo Anterior a fin de que sus accesos sean habilitados en los otros sistemas que administra este Instituto (HCOM).  CAMBIO DE TITULAR, en cuanto se reciba la atención en HCOM se realizará la actualización de los demás sistemas correspondientes._x000a_ _x000a_Aplicación:                  HCOM_x000a_Tipo de Soporte:         CAMBIO DE TUT   _x000a_Observaciones:            _x000a_ _x000a_Su petición fue atendida_x000a_ _x000a_" u="1"/>
        <s v="Notificación de seguimiento  [  MA0212202005 ]  _x000a_ _x000a_ _x000a_Estimado(a):                     Adriana Elizabeth Hernández Garcia_x000a_ _x000a_ _x000a_Le informamos que su ticket correspondiente a:_x000a_               _x000a_Por medio del presente te comento que en el paso denominado Registro de la Resolución Firmada relativo al recurso RRA 07709/20, éste aparece duplicado._x000a_Al respecto, te solicito, si para ello no existe inconveniente, se elimine uno de los dos registros para estar en condición de cargar las fechas y continuar la notificación de la resolución._x000a__x000a_ _x000a_Aplicación:                  SIGEMI_x000a_Tipo de Soporte:         QUITAR DUPLICADO   _x000a_Observaciones:            _x000a_ _x000a_Su petición fue atendida_x000a_ _x000a_  _x000a_" u="1"/>
        <s v="Se atendieron tickets de la mesa de ayuda" u="1"/>
        <s v="WS Quejas" u="1"/>
        <s v="Se cambia el tipo de solicitud del folio: 1410000023321 " u="1"/>
        <s v="Se  testan los datos del folio: 0002700119721" u="1"/>
        <s v="Buenas tardes Martha, tu petición fue atendida, favor de validar _x000a__x000a_Saludos _x000a__x000a_Marina Adame Velasco_x000a__x000a_Notificación de seguimiento  [  MA3003202004 ]  _x000a__x000a_Aplicación:                  INFOMEX NUEVO LEÓN_x000a_Tipo de Soporte:         Corrección de plazos    _x000a_Estatus:                               Concluido._x000a__x000a_" u="1"/>
        <s v="_x000a_Notificación de seguimiento  [  MA2110202008 ]  _x000a_ _x000a_ _x000a_Estimado(a):                     Sergio Rafael Cortés Alpizar_x000a_ _x000a_Le informamos que su ticket correspondiente a:_x000a_               _x000a_Por medio del presente, solicito el regreso de actividad a &quot; Registrar si la prevención fue desahogada&quot; del siguiente recurso de revisión:_x000a__x000a_RRD 1260/20 vs IMSS_x000a__x000a_Lo anterior se debe a que el recurrente no desahogo la prevención y se va a desechar._x000a__x000a_ _x000a_Aplicación:                  SIGEMI_x000a_Tipo de Soporte:         REGRESO DE PASOS  _x000a_Observaciones:            _x000a_ _x000a_Su petición fue atendida_x000a_ _x000a__x000a_" u="1"/>
        <s v="_x000a_Notificación de seguimiento  [  MA2310202005 ]  _x000a_  _x000a_Estimado(a):                     Hugo Montero Saldaña_x000a_ _x000a_Le informamos que su ticket correspondiente a:_x000a_               _x000a_En relación con el recurso de revisión RRA 10814/20 vs Secretaría de la Función Pública  del SIGEMI se advierte que se tiene registrado como medio de notificación de la parte recurrente a través de la cuenta de correo electrónico omchapis02@gmail.com. Sin embargo, mediante su recurso, el recurrente señala que ya no usa esa cuenta y señaló la cuenta de correo electrónico hijadelsauzal@gmail.com como el medio para recibir notificaciones; por lo que se solicita su valioso apoyo a efecto de que en la Plataforma Nacional de Transparencia (PNT) se cambie la cuenta de correo electrónico del recurrente a la cuenta hijadelsauzal@gmail.com, a efecto de que pueda recibir las notificaciones correspondientes._x000a__x000a_ _x000a_Aplicación:                  SIGEMI_x000a_Tipo de Soporte:         CAMBIO DE CORREO   _x000a_Observaciones:            _x000a_ _x000a_Su petición fue atendida_x000a_" u="1"/>
        <s v="Se  testan los datos del folio: 0002700201221" u="1"/>
        <s v="Se aplica eliminación de última respuesta: 1106500000320." u="1"/>
        <s v="Notificación de seguimiento  [  MA1706202107 ]_x000a__x000a_Estimado(a):                Berenice Hernández Sumano_x000a__x000a_ _x000a_ Le informamos que su ticket correspondiente a:_x000a_               _x000a_Por este medio solicito su apoyo para poder aplicar las afectaciones a las fechas de vencimiento y la eliminación de los acuses respectivos de las solicitudes señaladas en el archivo adjunto. Toda vez que el Consejo General aprobará en su Décima Primera Sesión Ordinaria 2021 celebrada el día 15 de junio, aprobó el levantamiento total a la suspensión de plazos derivado de la Contingencia Sanitaria del COVID-19._x000a_ _x000a_Aplicación:                  INFOMEX OAXACA_x000a_Tipo de Soporte:         AJUSTE DE PLAZOS   _x000a_Observaciones:            _x000a_ _x000a_Su petición fue atendida_x000a_ _x000a_" u="1"/>
        <s v="Notificación de seguimiento  [  MA0704202201 ]_x000a__x000a_Estimado(a):                Alondra Jiménez Hernández_x000a__x000a_ _x000a_ Le informamos que su ticket correspondiente a:_x000a_               _x000a_Debido al cambio de Titular de la Unidad de Transparencia, te pido sea generado un certificado genérico a nombre del TUT y que con el mismo sea habilitado en la HCOM. Los datos son los siguientes:_x000a_Clave Sujeto obligado Nombre del Titular de la Unidad de Transparencia Correo electrónico Contraseña_x000a_09174 Administración del Sistema Portuario Nacional Topolobampo, S.A. de C.V. Paul Estrella Zamora jdjuridico@puertotopolobampo.com.mx_x000a_Ver archivo adjunto_x000a_ _x000a_ _x000a_Aplicación:                  HCOM_x000a_Tipo de Soporte:         CAMBIO DE TUT   _x000a_Observaciones:            _x000a_ _x000a_Su petición fue atendida_x000a_ _x000a_ _x000a__x000a_             Favor de validar._x000a_ _x000a_" u="1"/>
        <s v="Se testan datos del folio: 0064102260421" u="1"/>
        <s v="Se aplica sustitución de archivo adjunto: 0064103640619." u="1"/>
        <s v="Notificación de seguimiento  [  MA1803202004 ]  _x000a_ _x000a_ _x000a_Estimado(a):                     María Guadalupe Beltrán Martínez_x000a_ _x000a_Le informamos que su ticket correspondiente a:_x000a_               _x000a_Buen día, por este medio se solicita, con relación al recurso de revisión RRA 03344/20 se elimine el registro de prevenir, es decir, se regresen los pasos a “Admitir/Prevenir”, a efecto de que el personal de ésta ponencia notifique la admisión del recurso de revisión para poder continuar con la sustanciación del recurso en comento. _x000a_ _x000a_Aplicación:                  SIGEMI_x000a_Tipo de Soporte:         REGRESO DE PASOS  _x000a_Observaciones:            _x000a_ _x000a_Su petición fue atendida_x000a_ _x000a__x000a_ _x000a_            Favor de validar._x000a_ _x000a_Estatus:                               Concluido._x000a__x000a_" u="1"/>
        <s v="_x000a_Notificación de seguimiento  [  MA2207202001 ]  _x000a_ _x000a_ _x000a_Estimado(a):                     César Alva_x000a_ _x000a_Le informamos que su ticket correspondiente a:_x000a_               _x000a_regreso de pasos de unos recursos de revisión, ya que, admitieron los mismos cuando mas bien iban a rechazarlos._x000a_Los recursos son: _x000a_- 0209/2020_x000a_- 0210/2020_x000a_- 0236/2020_x000a__x000a__x000a_ _x000a_Aplicación:                  SIGEMI_x000a_Tipo de Soporte:         REGRESO DE PASOS  ( 3 )_x000a_" u="1"/>
        <s v="Activación de cuenta" u="1"/>
        <s v="Notificación de seguimiento  [  MA2102202001 ]  _x000a_ _x000a_ _x000a_Estimado(a):                     David Mendoza Oliva_x000a_ _x000a_Le informamos que su ticket correspondiente a:_x000a_               _x000a_Con motivo de las autorizaciones a la baja del padrón de sujetos obligados del ámbito federal del sujeto obligado cuya clave es: 10201, Fideicomiso Fondo de Ahorro Obreros (ESSA 1) mediante visto bueno del Secretario de Acceso a la Información. _x000a__x000a_Se les solicita muy respetuosamente la baja en todos los sistemas INFOMEX, Sistema de Solicitudes de Información; así también en los Sistemas SIGEMI-SICOM y HCOM._x000a__x000a_Para mayor referencia se adjuntan copia del acuses de los oficios INAI/SAI/DGOAEEF/094/2020 al Director General de Tecnologías de la Información que soportan a esta petición._x000a__x000a__x000a_ _x000a_Aplicación:                  HCOM_x000a_Tipo de Soporte:         BAJA DE SUJETO OBLIGADO   _x000a_" u="1"/>
        <s v="refactorizacion del dropdown para permitir el uso de catalogos y sea este componente el encargado de su gestion" u="1"/>
        <s v="Creación de componente back para la carga de catálogos de ejercicio en el formato de ejercicio del presupuesto. " u="1"/>
        <s v="Se sustituye archivo adjunto del folio: 1410000072920" u="1"/>
        <s v="Se  testan los datos del folio: 0064101339021" u="1"/>
        <s v="Inicia el análisis de procesos y generación de la automatización de inserción de registros.  (Excel SISAI_catalogos.xls  y Tarea_estatus_Estados.xlsx)" u="1"/>
        <s v="Reunion para ver temas de problemas con desbordamiento de memoria en JBOSS_x000a_" u="1"/>
        <s v="Se  testan los datos del folio: 0064101359021" u="1"/>
        <s v="Correccion para nativos de iOS para implementar inicio de sesion con twitter" u="1"/>
        <s v="Se finaliza con el desarrollo del modulo de Administracion" u="1"/>
        <s v="Notificación de seguimiento  [  MA1702202008 ]  _x000a_ _x000a_ _x000a_Estimado(a):                     Lizbeth Adriana Cabrera Ortega_x000a_ _x000a_Le informamos que su ticket correspondiente a:_x000a_               _x000a_PARA MODIFICAR LA FECHA AL 17 DE FEBRERO_x000a__x000a_" u="1"/>
        <s v="Semáforo de implementación para 2020" u="1"/>
        <s v="Notificación de seguimiento  [  MA0311202001 ]  _x000a_ _x000a_ _x000a_Estimado(a):                     Pedro Esquivel Martínez_x000a_ _x000a_ _x000a_Le informamos que su ticket correspondiente a:_x000a_               _x000a_por este medio solicito tu valioso apoyo al haber cambio de Titular, anexo el registro actualizado del certificado del Titular de la Unidad de Enlace del  “Instituto Nacional del Suelo Sustentable” Lo Anterior a fin de que sus accesos sean habilitados en los otros sistemas que administra este Instituto (HCOM).  CAMBIO DE TITULAR, en cuanto se reciba la atención en HCOM se realizará la actualización de los demás sistemas correspondientes._x000a__x000a_ _x000a_Aplicación:                  HCOM_x000a_Tipo de Soporte:         CAMBIO TUT   _x000a_Observaciones:            _x000a_ _x000a_Su petición fue atendida_x000a_ _x000a_" u="1"/>
        <s v="Se  testan datos y sustituye el archivo de la solicitud con folio: 011000061921" u="1"/>
        <s v="Definición y analisis creación arquetipo PNT" u="1"/>
        <s v="Se agregan modelo. vistas y metodos para recibir notificaciones push de quejas" u="1"/>
        <s v="Notificación de seguimiento  [  MA0103202106 ]  _x000a_ _x000a_ _x000a_Estimado(a):                     ALAN GARCIA_x000a_ _x000a_ _x000a_Le informamos que su ticket correspondiente a:_x000a_               _x000a_actualizar la fecha de finalización de las solicitudes de información que se registraron durante el periodo que estuvieron suspendidos los plazos._x000a_ _x000a_Aplicación:                  INFOMEX TLAXCALA_x000a_Tipo de Soporte:         AJUSTE DE FECHA    _x000a_" u="1"/>
        <s v="Analisis RFC Repositorio de Investigaciones " u="1"/>
        <s v="_x000a_Notificación de seguimiento  [  MA1005202203 ]_x000a__x000a_Estimado(a):                Julia Yuridia Pacheco Hernández_x000a__x000a_ _x000a_ Le informamos que su ticket correspondiente a:_x000a__x000a__x000a_Atentamente solicito su apoyo para asignar en la Herramienta de Comunicación, el certificado que adjunto al presente al SO que se precisa a continuación:_x000a__x000a_clave sujeto obligado siglas hcom nombre del titular correo electrónico Contraseña para hcom_x000a_60274 Sindicato Nacional de Trabajadores de la Procuraduría Federal del Consumidor SNTPROFECTO MANUEL LOPEZ ORTIZ mlopezo@profeco.gob.mx_x000a_hcom2022_x000a__x000a__x000a_ _x000a_Aplicación:                  HCOM_x000a_Tipo de Soporte:         CAMBIO DE TUT     _x000a_" u="1"/>
        <s v="Observaciones área usuaria" u="1"/>
        <s v="Comprobar conexión a red local" u="1"/>
        <s v="Corrección de query para generación de reporte" u="1"/>
        <s v="Notificación de seguimiento  [  MA1106202001 ]  _x000a_ _x000a_ _x000a_Estimado(a):                     Lizbeth Adriana Cabrera Ortega_x000a_ _x000a_Le informamos que su ticket correspondiente a:_x000a_               _x000a_PIDO TU APOYO YA QUE NO PUEDO CARGAR ESTE DOMICILIO EN PNT, PARA EL REGSITRO DE UN RECURSO MANUAL.._x000a_ _x000a_ _x000a_Aplicación:                  SIGEMI_x000a_Tipo de Soporte:         CONSULTA DE DATOS   _x000a_Observaciones:            _x000a_ _x000a_Se realizó una búsqueda del Código Postal mencionando, encontrándose la siguiente coincidencia…_x000a_" u="1"/>
        <s v="Buenas tardes Memo, tu petición fue atendida, favor de validar _x000a_ Saludos _x000a_ _x000a_ Marina Adame Velasco_x000a_ _x000a_ Notificación de seguimiento [ MA3001202002 ] _x000a_ _x000a_ Aplicación: INFOMEX BCN_x000a_ Tipo de Soporte: Consulta de datos _x000a_ Estatus: Concluido." u="1"/>
        <s v="Dudas y comentarios y cuentas ára el comité técnico" u="1"/>
        <s v="Desarrollo de pantalla Mis Quejas, programación de funcionalidad de pantalla continuación" u="1"/>
        <s v="Query para validar migración de tabla" u="1"/>
        <s v="Se continuo con el desarrollo del home del sitio" u="1"/>
        <s v="Evaluación de volumen de datos en PNT" u="1"/>
        <s v="Se retoma la tarea para la automatización del proceso de generación de registros Inserts del Excel (SISAI_catalogos_TareaXEdos.xlsx) Validación del contenido proporcionado en el EXCEL vs Lo contenido en la Base de Datos." u="1"/>
        <s v="Petición del DG de Investigación y Verificación del Sector Privado, para hacer la verificación de las denuncias que ingresaron en el sistema PRODATOS" u="1"/>
        <s v="Cambio de Titulares de Sujeto Obligado SEP y sus indirectos" u="1"/>
        <s v="Se aplica testado así como el archivo adjunto de la solicitud: 0064103505619 así como el folio." u="1"/>
        <s v="Aplicación de escritorio FTP CDMX - Cambios" u="1"/>
        <s v="Se  testan los datos del folio: 1816400176821" u="1"/>
        <s v="_x000a_Buenas tardes Memo, tu petición fue atendida, favor de validar _x000a__x000a_Saludos _x000a__x000a_Marina Adame Velasco_x000a__x000a_Notificación de seguimiento  [  MA1003202001 ]  _x000a__x000a_Aplicación:                  INFOMEX BCN_x000a_Tipo de Soporte:         Reporte de solicitudes   _x000a_Estatus:                               Concluido._x000a__x000a_" u="1"/>
        <s v="Estimado Abraham, de la revisión de los datos del formato para el cambio de Titular, el que se detalla como nuevo titular, es el que está actualmente registrado en HCOM, LEO RENÉ  MARTÍNEZ RAMÍREZ, por lo que se realizó únicamente cambio de datos de acceso ( certificado y contraseña)_x000a__x000a_Favor de validar _x000a__x000a__x000a__x000a_Notificación de seguimiento  [  MA2903202202 ]_x000a__x000a_Aplicación:                  HCOM_x000a_Tipo de Soporte:         ACTUALIZACIÓN DE CONTRASEÑA Y CERTIFICADO   _x000a_" u="1"/>
        <s v="Corrección Request Response mis quejas saimex_x000a_Corrección Request Response detalle quejas saimex_x000a_Corrección Request Response historico quejas saimex_x000a_Corrección Request Response notificaciones quejas saimex_x000a_Flujo listado quejas saimex_x000a_Flujo detalle queja saimex_x000a_Flujo notificaciones queja saimex" u="1"/>
        <s v="Se sustituye archivo adjunto  del folio: 0063700092121" u="1"/>
        <s v="Se cambia el tipo de solicitud del folio: 0933800011021" u="1"/>
        <s v="Se  testan los datos del folio: 3670000024821" u="1"/>
        <s v="SUSTITUCIÓN TEXTO Y ADJUNTO EN SOLICITUD DE INFORMACION CON FOLIO 0064100739721" u="1"/>
        <s v="Respaldar Curso 4 de Aliados INAI  de la plataforma anterior y restaurar en plataforma actual " u="1"/>
        <s v="Se agrega un mensaje informativo para cuando la app no se encuentra en la ultima version disponible" u="1"/>
        <s v="Notificación de seguimiento  [  MA0402202007 ]  _x000a_ _x000a_ _x000a_Estimado(a):                     Lizbeth Adriana Cabrera Ortega_x000a_ _x000a_Le informamos que su ticket correspondiente a:_x000a_               _x000a_PIDO TU APOYO A FIN DE QUE SEAN SUPRIMIDOS DE LA BANDEJA DE ACCESO YA QUE LOS CARGUE DOBLES_x000a__x000a_GRACIAS DE ANTEMANO_x000a_27/01/2020 31/01/2020 15:25 PM Norma Patricia Herrera Martínez ISSSTE 0063700743719 Acceso a la Información Manual Ver detalle_x000a__x000a_30/01/2020 30/01/2020 12:55 PM FRANCISCO SOSA GARCÍA PGR 0001700546219 Acceso a la Información Manual Ver detalle_x000a__x000a__x000a_ _x000a_Aplicación:                  SIGEMI_x000a_Tipo de Soporte:         SUPRIMIR RECURSOS   _x000a_" u="1"/>
        <s v="Se elmina la respuesta del folio:  6430000003121" u="1"/>
        <s v="Notificación de seguimiento  [  MA0209202002 ]  _x000a_ _x000a_ _x000a_Estimado(a):                     Moisés Guzmán Arias_x000a_ _x000a_Le informamos que su ticket correspondiente a:_x000a_               _x000a_llevar a cabo las acciones necesarias para determinar los recursos existentes, adecuaciones de términos para que las ponencias admitan, para que lo sujetos obligados puedan enviar alegatos  y manifestaciones, se ajusten los términos para sustanciación o emisión de la resolución, tiempos del sujeto obligado para dar cumplimiento a los cumplimientos, y en general todos los términos establecidos en el proceso de acuerdo a la Ley de Transparencia y Acceso a la Información del Estado de Puebla con la finalidad de que estos se reflejen y los diferentes actores puedan dar cumplimiento en tiempo y forma._x000a__x000a_ _x000a_Aplicación:                  SIGEMI_x000a_Tipo de Soporte:         REVISIÓN DE PLAZOS   _x000a_" u="1"/>
        <s v="Se aplica el cambio de modalidad para el folio: 0064103596519" u="1"/>
        <s v="Notificación de seguimiento  [  MA2810202003 ]  _x000a__x000a_ _x000a__x000a_ _x000a__x000a_Estimado(a):                     Sergio Rafael Cortés Alpizar_x000a__x000a_ _x000a__x000a_ _x000a__x000a_Le informamos que su ticket correspondiente a:_x000a__x000a_               _x000a__x000a_solicitando la cancelación de la reconducción que le solicite en un principio del recurso RRA 11476/20, por lo que al día de hoy no se ve reflejado el cambio en la PNT y necesitamos notificar la admisión, por lo que solicito tu apoyo para hacer el cambio y quede como recurso de acceso RRA._x000a__x000a_ _x000a__x000a_ _x000a__x000a_Aplicación:                  SIGEMI_x000a__x000a_Tipo de Soporte:         AJUSTE DE FOLIO _x000a__x000a_Observaciones:            _x000a__x000a_ _x000a__x000a_Su petición fue atendida" u="1"/>
        <s v="Generación de Documento resultados de extracción" u="1"/>
        <s v="Notificación de seguimiento  [  MA1205202109 ]  _x000a_  _x000a_Estimado(a):                     Edgar Michel Loaeza Martínez_x000a_  _x000a_Le informamos que su ticket correspondiente a:_x000a_               _x000a_Por medio del presente, me permito solicitar su valioso apoyo a efecto de realizar la renovación de certificado del sujeto obligado indirecto de  la Secretaría de Turismo en el hcom._x000a_ _x000a_Aplicación:                  HCOM_x000a_Tipo de Soporte:         CAMBIO TUT   ( 9 )_x000a_Observaciones:            _x000a_ _x000a_Su petición fue atendida_x000a_ _x000a_  _x000a_            Favor de validar._x000a_ _x000a_Estatus:                               Concluido._x000a_" u="1"/>
        <s v="Ejecución de OT 4 Campus Privada" u="1"/>
        <s v="Se sustituye archivo adjunto  del folio:  0064101007721" u="1"/>
        <s v="Se sustituye archivo adjunto  del folio:  011000061821" u="1"/>
        <s v="_x000a_Notificación de seguimiento  [  MA1203202015 ]  _x000a_ _x000a_ _x000a_Estimado(a):                     Erika Priscyla Casas Carvallo_x000a_ _x000a_Le informamos que su ticket correspondiente a:_x000a_               _x000a_Por este conducto informo que el registro del RRD 00508/20 se encuentra duplicado en la Plataforma, por lo que se solicita se elimine uno de los registros para evitar incidencias posteriores._x000a__x000a_ _x000a_Aplicación:                  SIGEMI_x000a_Tipo de Soporte:         Corrección de incidencia   _x000a_Observaciones:            _x000a_ _x000a_Su petición fue atendida _x000a_ _x000a__x000a_ _x000a_            Favor de validar._x000a_ _x000a_Estatus:                               Concluido._x000a_" u="1"/>
        <s v="Notificación de seguimiento  [  MA2309202001 ]  _x000a_ _x000a_ _x000a_Estimado(a):                     Lizbeth Adriana Cabrera Ortega_x000a_ _x000a_Le informamos que su ticket correspondiente a:_x000a_               _x000a_De la lista que tienes a bien enviarme puedo advertir que aún faltan recursos por modificar e ingresar los acuerdos actualizados._x000a__x000a_Lo anterior basta con ver que dicha lista contiene 50 recursos. Amén de que los bloques que envié ayer precisaban:_x000a__x000a_• 178 primer bloque_x000a_• 29 bloque RRD_x000a_• 75 tercer bloque._x000a_ _x000a_Aplicación:                  SIGEMI_x000a_Tipo de Soporte:         ACTUALIZACION DE FECHAS DE INTERPOSICIÓN  _x000a_Observaciones:            _x000a_ _x000a_Se notifica que se concluyó el cambio del primer bloque, se adjunta evidencia  _x000a_" u="1"/>
        <s v="Buenas tardes Berenice, tu petición fue atendida, se modificó la fecha del paso Contestación del SO,  favor de validar _x000a__x000a_Saludos _x000a__x000a_Marina Adame Velasco_x000a__x000a_Notificación de seguimiento  [  MA1606202007 ]  _x000a__x000a_Aplicación:                  INFOMEX OAXACA_x000a_Tipo de Soporte:         Ajuste de plazo   _x000a_Estatus:                               Concluido._x000a__x000a_" u="1"/>
        <s v="Notificación de seguimiento  [  MA2107202004 ]  _x000a_ _x000a_ _x000a_Estimado(a):                     Pedro Esquivel Martínez_x000a_ _x000a_Le informamos que su ticket correspondiente a:_x000a_               _x000a_el cambio de certificado para los Fideicomisos a cargo de CONACYT; se anexan certificados_x000a_             _x000a_ _x000a_Aplicación:                  HCOM_x000a_Tipo de Soporte:         CAMBIO TUT   (9)_x000a_" u="1"/>
        <s v="respalda la base de datos de comisiones (Mysql)" u="1"/>
        <s v="Buenas tardes Berenice, tu petición fue atendida, favor de validar _x000a__x000a_Saludos _x000a__x000a_Marina Adame Velasco_x000a__x000a_Notificación de seguimiento  [  MA2205202003 ]  _x000a__x000a_Aplicación:                  INFOMEX OAXACA_x000a_Tipo de Soporte:         AJUSTE DE PLAZOS   _x000a_Estatus:                               Concluido_x000a_" u="1"/>
        <s v="Se aplica cambio de modalidad a las solicitudes: 0000600029120" u="1"/>
        <s v=" funcionalidad del mantenimiento de Bitacora " u="1"/>
        <s v="Se cambia el tipo de solicitud del folio: 0933800011321" u="1"/>
        <s v="Se testan los datos  del folio: 0064101439021" u="1"/>
        <s v="Se aplica eliminación de formato de pago: 1215100097421" u="1"/>
        <s v="Implementar las modificaciones a las Vistas Materializadas para poder hacer pruebas en Oracle" u="1"/>
        <s v="Se aplica eliminación de última respuesta: 0001200031520." u="1"/>
        <s v="Se aplica eliminación de última respuesta de la solicitud: 1116100002420 y 1116100002520" u="1"/>
        <s v="Generar certificado para SOs obligado FIDEICOMISO IFT" u="1"/>
        <s v="Notificación de seguimiento  [  MA2702202004 ]  _x000a_ _x000a_ _x000a_Estimado(a):                     Luis Javier Mendoza Rueda_x000a_ _x000a_Le informamos que su ticket correspondiente a:_x000a_               _x000a_Solicito su apoyo para realizar cambio de sujeto obligado en el INFOCDMX/RR.IP.0956/2020, con número de solicitud 0106500005820: _x000a__x000a_Error: Congreso de la Ciudad de México_x000a__x000a_Corrección: SECRETARÍA DE MOVILIDAD._x000a__x000a_ _x000a_Aplicación:                  SIGEMI_x000a_Tipo de Soporte:         Corrección de Sujeto Obligado   _x000a_Observaciones:            _x000a_ _x000a_Su petición fue atendida_x000a_ _x000a_ _x000a_            Favor de validar._x000a_ _x000a_Estatus:                               Concluido._x000a_" u="1"/>
        <s v="Actualización de archivos 2020" u="1"/>
        <s v="Revisión de permisos de usuario" u="1"/>
        <s v="Comprobar si la base de datos es funcional" u="1"/>
        <s v="Generar base de datos y tablas para el proyecto" u="1"/>
        <s v="Se cambia el tipo de solicitud del folio: 0933800011521" u="1"/>
        <s v="Se cambia el tipo de solicitud del folio: 1410000036221" u="1"/>
        <s v="_x000a_Notificación de seguimiento  [  MA2511202006 ]  _x000a_  _x000a_Estimado(a):                     María Angélica Valdez Islas_x000a_  _x000a_Le informamos que su ticket correspondiente a:_x000a_               _x000a_eliminar del HCOM el  Requerimiento Número IFAI-REQ-002620-2020, que se notifico al Sujeto SEPOMEX _x000a__x000a_Aplicación:                  HCOM_x000a_Tipo de Soporte:         ELIMINAR REQUERIMIENTO    _x000a_Observaciones:            _x000a_ _x000a_Su petición fue atendida_x000a_ _x000a_" u="1"/>
        <s v="Desarrollo de los estilos para los registros de una sola colección " u="1"/>
        <s v="Se aplica el cambio de modalidad para el folio: 0064103596719." u="1"/>
        <s v="Notificación de seguimiento  [  MA0408202006 ]  _x000a_ _x000a_ _x000a_Estimado(a):                     HUGO GOVI_x000a_ _x000a_Le informamos que su ticket correspondiente a:_x000a_               _x000a_Por este medio envio la liga de suspensión por COVID-19 del  Instituto de Transparencia, Acceso a la Información y Protección de Datos Personales del Estado de Chiapas_x000a__x000a_ _x000a_Aplicación:                  SIGEMI_x000a_Tipo de Soporte:         Revisión de plazos  _x000a_Observaciones:            _x000a_ _x000a_Adjunto a este correo los casos de cumplimiento y fechas limite de votación_x000a__x000a_Quedamos atentos a su validación _x000a_ _x000a__x000a_ _x000a_            Favor de validar._x000a_ _x000a_Estatus:                               Concluido._x000a_" u="1"/>
        <s v="Se aplica eliminación de formato de pago: 0064101560521" u="1"/>
        <s v="Modificar leyendas y agregar nuevas" u="1"/>
        <s v="Notificación de seguimiento [ MA2401202005 ] _x000a_  _x000a_  _x000a_ Estimado(a): Lizbeth Adriana Cabrera Ortega_x000a_  _x000a_ Le informamos que su ticket correspondiente a:_x000a_  _x000a_ Con el gusto de saludarte me permito solicitar tu valioso apoyo respecto de la generación UN EXPEDIENTE del recurso de revisión posteriormente citado._x000a_  _x000a_ Asimismo, te comento que NO DEBERÁ CAMBIAR el sujeto obligado, ni el Comisionado correspondiente. _x000a_  _x000a_  DICE DEBE DECIR SUJETO OBLIGADO PONENTE_x000a_ RRA 869/20 RRA 4039/18-BIS AGROSEMEX, S.A. FJAL_x000a_  _x000a_ No omito comentarte que el número de expediente que deberá seguir en el consecutivo por turnar en PNT debe ser el RRA 869/20_x000a_ _x000a_  _x000a_ Aplicación: SIGEMI_x000a_ Tipo de Soporte: CAMBIO A BIS ( URGENTE)" u="1"/>
        <s v="Optimización de script de transformación de formatos" u="1"/>
        <s v="Se  testan los datos del folio: 0002700098721" u="1"/>
        <s v="se aplica eliminación de última respuesta: 1215101123519." u="1"/>
        <s v="CAS - Actualización de infografías" u="1"/>
        <s v="Se testan datos del folio: 0064102384121" u="1"/>
        <s v="funcionalidad sector mixto " u="1"/>
        <s v="Notificación de seguimiento [ MA2001202005 ]_x000a_ _x000a_  _x000a_ Estimado(a): Lizbeth Adriana Cabrera Ortega_x000a_  _x000a_ Le informamos que su ticket correspondiente a:_x000a_  _x000a_ SOLCIITO DE SU APOYO PARA ATENDER LA PETICIÓN DE LA PONENCIA Y CAMBIAR EL MODO DE NOTIFICACIÓN VÍA CORREO CERTIFICADO AL DOMICILIO DEL PARTICULAR:_x000a_  _x000a_ Calle 8 No. 159-1, Col. Arenal, Alcaldía Azcapotzalco, C.P. 02980 CDMX;_x000a_  _x000a_ No omito precisar que fue un recurso interpuesto por PNT y que en el contenido del escrito del recurso prevé lo aludido por la ponencia._x000a_ _x000a_  _x000a_ Aplicación: SIGEMI_x000a_ Tipo de Soporte: CAMBIO DE MEDIO Y ACTUALIZACION DE DOMICILIO" u="1"/>
        <s v="Se aplica el testado de datos de la solicitud: 1117100007320." u="1"/>
        <s v="Se  sustituye el archivo de la solicitud con folio: 0002700174721" u="1"/>
        <s v="Se  testan los datos del folio: 0320000423721" u="1"/>
        <s v="Notificación de seguimiento  [  MA1003202114 ]  _x000a_ _x000a_ _x000a_Estimado(a):                     Moisés Guzmán Arias_x000a_ _x000a_ _x000a_Le informamos que su ticket correspondiente a:_x000a_               _x000a_Por este medio me permito solicitar su valioso apoyo a fin de que me puedan proporcionar el respaldo de la base de datos infomex  del estado de Puebla._x000a_ _x000a_Aplicación:                  INFOMEX PUEBLA _x000a_Tipo de Soporte:         RESPALDO   _x000a_Observaciones:            _x000a_ _x000a_Su petición fue atendida_x000a__x000a_http://documentos.inai.org.mx/tmp/infomexPUEBLA_backup_2021-03-07_2300.bak_x000a_ _x000a_  _x000a_            Favor de validar._x000a_ _x000a_" u="1"/>
        <s v="Notificación de seguimiento  [  MA2907202003 ]  _x000a_ _x000a_ _x000a_Estimado(a):                     Edgar Michel Loaeza Martínez_x000a_ _x000a_Le informamos que su ticket correspondiente a:_x000a_               _x000a_solicito su apoyo para dar de alta el certificado que se adjunta, sujeto obligado de la Secretaría de Educación Pública._x000a__x000a_CLAVE DE SUJETO OBLIGADO SUEJO OBLIGADO TITULAR DE UNIDAD DE ENLACE O SUPLENTE DESIGNADO CERTIFICADO ACTUAL CORREO ELECTRÓNICO CONTRASEÑA INFOMEX CONTRASEÑA HCOM_x000a_11005 Universidad Abierta y a Distancia de México_x000a_ LIC. ENRIQUE QUIROZ ACOSTA 11005.Enrique.Quiroz.Acosta.cer unidaddeenlace@sep.gob.mx_x000a_ sisi11005 hcom11005_x000a_11004 Tecnológico Nacional de México_x000a_ LIC. ENRIQUE QUIROZ ACOSTA 11004.Enrique.Quiroz.Acosta.cer unidaddeenlace@sep.gob.mx_x000a_sisi11004 hcom11004_x000a__x000a_ _x000a_Aplicación:                  HCOM _x000a_Tipo de Soporte:         CAMBIO DE TUT ( 2 )_x000a_Observaciones:            _x000a_ _x000a_Su petición fue atendida_x000a_ _x000a_" u="1"/>
        <s v="Correcion de servicio busqueda de usuarios por unidad Admin _x000a_" u="1"/>
        <s v="Se cambia el tipo de solicitud del folio: 0933800011721" u="1"/>
        <s v="Montar el aplicativo en local y ajustar los colores,imagenes, botones y tablas" u="1"/>
        <s v="La Entrevista: Periodismo y derecho a saber " u="1"/>
        <s v="Se testan los datos  del folio:0064101442321" u="1"/>
        <s v="Se aplica el cambio de modalidad de la solicitud: 0001200052720." u="1"/>
        <s v="_x000a_Notificación de seguimiento  [  MA0812202002 ]  _x000a_  _x000a_Estimado(a):                     Alma Lizbeth Peguero Rivera_x000a_ _x000a_Le informamos que su ticket correspondiente a:_x000a_               _x000a_eliminar el siguiente recurso RRD 01611/20 del pleno del pasado 02-12-20, ya que se encuentra doble en la PNT para poder trabajar mi actividad_x000a_ _x000a_Aplicación:                  SIGEMI_x000a_Tipo de Soporte:         QUITAR DUPLICADO   _x000a_Observaciones:            _x000a_ _x000a_Su petición fue atendida_x000a_ _x000a_" u="1"/>
        <s v="Notificación de seguimiento  [  MA0202202103 ]  _x000a_ _x000a_ _x000a_Estimado(a):                     FRANCISCO LIRA_x000a_  _x000a_Le informamos que su ticket correspondiente a:_x000a_               _x000a_RESPALDO SEMANAL DE LA BASE DE DATOS INFOMEX_x000a_ _x000a_Aplicación:                  INFOMEX NUEVO LEÓN_x000a_Tipo de Soporte:         RESPALDO   _x000a_Observaciones:            _x000a_ _x000a_Su petición fue atendida, se subió el respaldo de su base de datos de esta semana…_x000a_http://documentos.inai.org.mx/tmp/infomexNL_backup_2021-02-01_0800.bak_x000a__x000a_NOTA: El respaldo estará disponible una semana  _x000a_" u="1"/>
        <s v="Se  testan los datos del folio: 1816400178821" u="1"/>
        <s v="Notificación de seguimiento [ MA2201202004 ] _x000a_  _x000a_  _x000a_ Estimado(a): Sergio Rafael Cortés Alpizar_x000a_  _x000a_ Le informamos que su ticket correspondiente a:_x000a_  _x000a_ Por este medio solicito su amable apoyo para que se regrese la actividad en la PNT a “Admitir/Prevenir/Desechar”, del siguiente recurso:_x000a_  _x000a_ RRA 0236/20 vs PEMEX TRI_x000a_ _x000a_ Lo anterior se debe a que se va a admitir._x000a_ _x000a_  _x000a_ Aplicación: SIGEMI_x000a_ Tipo de Soporte: REGRESO DE PASOS" u="1"/>
        <s v="Se testan datos del folio: 0064102384221" u="1"/>
        <s v="Se cambia el tipo de solicitud del folio: 0933800011821" u="1"/>
        <s v="Notificación de seguimiento  [  MA2802202008 ]  _x000a_ _x000a_ _x000a_Estimado(a):                     Lizbeth Adriana Cabrera Ortega_x000a_ _x000a_Le informamos que su ticket correspondiente a:_x000a_               _x000a_DEBE DECIR 27 FEBRERO_x000a_" u="1"/>
        <s v="Evaluación y diseño de scripts de muestreo, etiquetado y validaciones" u="1"/>
        <s v="Actualización del  Excel (SISAI_catalogos_TareaXEdos.xlsx)._x000a_Al no existir más requerimientos respecto a la configuración y generación de datos, este ticket se da por concluido." u="1"/>
        <s v="Se Construccion json de pruebas y modelo para resultados busqueda Padron de beneficiarios" u="1"/>
        <s v="_x000a_Notificación de seguimiento  [  MA2309202005 ]  _x000a_ _x000a_ _x000a_Estimado(a):                     Lizbeth Adriana Cabrera Ortega_x000a_ _x000a_Le informamos que su ticket correspondiente a:_x000a_               _x000a_De la lista que tienes a bien enviarme puedo advertir que aún faltan recursos por modificar e ingresar los acuerdos actualizados._x000a__x000a_Lo anterior basta con ver que dicha lista contiene 50 recursos. Amén de que los bloques que envié ayer precisaban:_x000a__x000a_• 178 primer bloque_x000a_• 29 bloque RRD_x000a_• 75 tercer bloque._x000a_ _x000a_Aplicación:                  SIGEMI_x000a_Tipo de Soporte:         ACTUALIZACION DE FECHAS DE INTERPOSICIÓN  _x000a_Observaciones:            _x000a_ _x000a_Se notifica que se concluyó el cambio de los bloques 29 bloque RRD y 75 tercer bloque, se adjunta evidencia  _x000a_" u="1"/>
        <s v="_x000a_Notificación de seguimiento  [  MA0812202003 ]  _x000a_ _x000a_Estimado(a):                     Alma Lizbeth Peguero Rivera_x000a_ _x000a_Le informamos que su ticket correspondiente a:_x000a_               _x000a_retroceder los pasos en el sistema SIGEMI-SICOM en la PNT del siguiente asunto RRA 13327/20 NJRV, hasta la actividad “Registrar información de la sesión del pleno”_x000a__x000a_Aplicación:                  SIGEMI_x000a_Tipo de Soporte:         REGRESO DE PASOS   _x000a_Observaciones:            _x000a_ _x000a_Su petición fue atendida_x000a_ _x000a_" u="1"/>
        <s v="actualizacion eventos " u="1"/>
        <s v="Desarrollo de la bandeja de entrada para inconformidades" u="1"/>
        <s v="Validación de conexión de red para módulos alta de recurrente, flujo completo de quejas" u="1"/>
        <s v="Mejoras en código de Catalogo Areas administrativas, Relacion Rutas Implementación, mejores practicas y código limpio" u="1"/>
        <s v="Se aplica eliminación de formato de pago: 0063700821619" u="1"/>
        <s v="Notificación de seguimiento  [  MA2904202114 ]  _x000a_ _x000a_ Estimado(a):                     Moisés Guzmán Arias_x000a_  _x000a_Le informamos que su ticket correspondiente a:_x000a_               _x000a_ampliar el término para prevenirlo al 3 de mayo de 2021…_x000a_ _x000a_01794520 estableciendo el término al día 03/05/2021 (03 de mayo de 2021) (DIF)_x000a_02105420 estableciendo el término al día 03/05/2021 (03 de mayo de 2021) (DIF)_x000a_00593921 estableciendo el término al día 03/05/2021 (03 de mayo de 2021) (DIF)_x000a_ _x000a_Aplicación:                  INFOMEX PUEBLA_x000a_Tipo de Soporte:         AJUSTE DE PLAZO   _x000a_Observaciones:            _x000a_ _x000a_Su petición fue atendida_x000a_ _x000a_  _x000a_            Favor de validar._x000a_ _x000a_Estatus:                               Concluido._x000a_" u="1"/>
        <s v="Se aplica el testado de datos de la solicitud: 0000700011820" u="1"/>
        <s v="Pruebas de mdbootstrap con bootstrap normal para metodo de busqueda sobre una tabla_x000a_Pantalla firma multilateral y configuración mdbootstrap_x000a_Se agrega componente de numero de registros por indice" u="1"/>
        <s v="Se  testan los datos del folio:  0063700210221" u="1"/>
        <s v="Se sustituye archivo adjunto y se testan los datos del folio: 0064103181020" u="1"/>
        <s v="_x000a_Notificación de seguimiento  [  MA2708202003 ]  _x000a_ _x000a_ _x000a_Estimado(a):                     Alondra Jiménez Hernández_x000a_ _x000a_Le informamos que su ticket correspondiente a:_x000a_               _x000a_Anexo el registro actualizado de los certificados del Titular de la Unidad de Transparencia de los siguientes sujetos obligados para su renovación en la Herramienta de Comunicación_x000a_ _x000a_Aplicación:                  HCOM_x000a_Tipo de Soporte:         CAMBIO DE TUT ( 2 )   _x000a_Observaciones:            _x000a_ _x000a_Su petición fue atendida_x000a_ _x000a_" u="1"/>
        <s v="Definición de script para muestra de etiquetas" u="1"/>
        <s v="Se aplica eliminación de respuesta al folio: 1621100000620" u="1"/>
        <s v="Se testan los datos  del folio: 0064101377021" u="1"/>
        <s v="Se  testan los datos del folio: 0064101175021" u="1"/>
        <s v="Notificación de seguimiento  [  MA0306202005 ]  _x000a_ _x000a_ _x000a_Estimado(a):                     Rosa María Rivas Rangel_x000a_ _x000a_Le informamos que su ticket correspondiente a:_x000a_               _x000a_El sujeto obligado indica que respecto a la Agencia Mexicana de Cooperación Internacional para el Desarrollo (AMEXCID), se advierte lo siguiente:_x000a_• Se recibieron del Recurso de Revisión RRA 02974/20 dos notificaciones (Notificación de Cierre de Instrucción y Notificación de Acuerdo de Ampliación) en las cuales se advierte como fecha de estado 01/06/2020 y debe de ser 15/06/2020 _x000a_• Además un Envío de Alcance del Recurso de Revisión RRA 03123/20 con fecha de estado 01/06/2020 y debe de ser 15/06/2020._x000a_• Asimismo, en cuanto al Cumplimiento de la Resolución del expediente RRA 0534/20 actualmente se encuentra al 03/06/2020, cuando lo correcto es que debería ser al 17/06/2020 _x000a__x000a_Derivado de lo anterior, el sujeto obligado solicita de su valioso apoyo para que TODAS LAS ACTUACIONES DEL SUJETO OBLIGADO SRE- AGENCIA MEXICANA DE COOPERACIÓN INTERNACIONAL PARA EL DESARROLLO (AMEXCID), se suspendan en el SIGEMI-SICOM dirigidas al hasta en tanto fenezca el plazo de conformidad con el acuerdo antes aludido_x000a_ _x000a_Aplicación:                  SIGEMI_x000a_Tipo de Soporte:         AJUSTE DE FECHAS  _x000a_Observaciones:            _x000a_ _x000a_Su petición fue atendida, se realizarón los ajustes solicitados_x000a_" u="1"/>
        <s v="Realizar la clase Controller, Service, Dao para la operación consulta de roles" u="1"/>
        <s v="Se aplica eliminación de última respuesta: 1227000003720." u="1"/>
        <s v="Se aplica el testado de datos de la solicitud: 0000700022820" u="1"/>
        <s v="Buenas tardes Isaac, tu petición fue atendida, favor de validar _x000a__x000a_Saludos _x000a__x000a_Marina Adame Velasco_x000a__x000a_Notificación de seguimiento  [  MA1809202003 ]  _x000a__x000a_Aplicación:                  INFOMEX OAXACA_x000a_Tipo de Soporte:         AJUSTE DE PLAZOS _x000a_Estatus:                               Concluido._x000a_" u="1"/>
        <s v="Se  testan los datos del folio: 1816400149821" u="1"/>
        <s v="Se sustituye el archivo adjunto de la solicitud con folio 0064101758421" u="1"/>
        <s v="Se  testan los datos del folio: 0064101674621" u="1"/>
        <s v="Reunión avances " u="1"/>
        <s v="Validaciones en el front" u="1"/>
        <s v="Se presentaron problemas con los scripts de extracción de información (datos y adjuntos) del estado de Chiapas, por lo que se procedió con su modificación y pruebas. Se eliminó la función CONCAT y DATE, esto debido a que la versión del SQL SERVER es muy anterior. _x000a_Derivado del análisis de errores en los datos de adjuntos faltantes, se solicita a Luis Fernando una validación del aplicativo, devolviendo una nueva versión con la que se procede con la identificación previa de faltantes y se genera un nuevo insumo, esto dentro de la información de los estados que presentan menor numero de faltantes (Se recuperan (24) adjuntos en total. Posteriormente se analizará y ejecutará de acuerdo en a la estructura en los estados con mayor número de faltantes." u="1"/>
        <s v="Respaldar curso LGPDPPSO-IBERO 1  de la plataforma anterior y restaurar en plataforma actual " u="1"/>
        <s v="Respaldar curso LGPDPPSO-IBERO 2  de la plataforma anterior y restaurar en plataforma actual " u="1"/>
        <s v="Respaldar curso LGPDPPSO-IBERO 3  de la plataforma anterior y restaurar en plataforma actual " u="1"/>
        <s v="Respaldar curso LGPDPPSO-IBERO 4  de la plataforma anterior y restaurar en plataforma actual " u="1"/>
        <s v="Respaldar curso LGPDPPSO-IBERO 5  de la plataforma anterior y restaurar en plataforma actual " u="1"/>
        <s v="Respaldar curso LGPDPPSO-IBERO 6  de la plataforma anterior y restaurar en plataforma actual " u="1"/>
        <s v="Respaldar curso LGPDPPSO-IBERO 7  de la plataforma anterior y restaurar en plataforma actual " u="1"/>
        <s v="Análisis de incidencia en solicitudes generadas con folio incorrecto, reinicio de folios en dependencias" u="1"/>
        <s v="Buenas tardes Berenice, tu petición fue atendida, favor de validar _x000a__x000a_Saludos _x000a__x000a_Marina Adame Velasco_x000a__x000a_Notificación de seguimiento  [  MA0906202007]  _x000a__x000a_Aplicación:                  INFOMEX OAXACA_x000a_Tipo de Soporte:         AJUSTE DE PLAZOS    _x000a_Estatus:                               Concluido._x000a_ _x000a__x000a__x000a_" u="1"/>
        <s v="Se  testan los datos del folio: 0064101820121" u="1"/>
        <s v="Se generó certificado para usuarios de ISSFAM F1" u="1"/>
        <s v="Se agrega texto de ayuda al campo folio en buscador nacional" u="1"/>
        <s v="Cambio de tipo de solicitud en solicitud registrada en Infomex" u="1"/>
        <s v="Notificación de seguimiento  [  MA0602202002 ]  _x000a_ _x000a_ _x000a_Estimado(a):                     Lizbeth Adriana Cabrera Ortega_x000a_ _x000a_Le informamos que su ticket correspondiente a:_x000a_               _x000a_Por medio del presente, solicito tu apoyo para que se haga la corrección tanto en el turno como en la Plataforma Nacional de Transparencia la fecha de recurso en el recurso de revisión RRD 0194/20 vs Consejo de la Judicatura Federal, ya que tiene fecha del 2019 en el turno y diciembre en la fecha del de entrada del recurso en mención._x000a__x000a_ _x000a_Aplicación:                  SIGEMI_x000a_Tipo de Soporte:         Actualización de exp. y fecha de interposición   _x000a_Observaciones:            _x000a_ _x000a_Su petición fue atendida_x000a_ _x000a__x000a_ _x000a_" u="1"/>
        <s v="Creación de componentes Java Script para la interacción e invocación del modal del padrón de beneficiarios." u="1"/>
        <s v="Continúan consulta general en todos los estados con adjuntos faltantes a razón de incrementar la cantidad de adjuntos recuperados." u="1"/>
        <s v="Se  testan los datos del folio: 0064101116021" u="1"/>
        <s v="Creación de secciones y páginas para administradores" u="1"/>
        <s v="Creación de sitio - Fase 1 y 2" u="1"/>
        <s v="Se corrigió incidencia en SISITUR" u="1"/>
        <s v="_x000a_Notificación de seguimiento  [  MA031202003 ]  _x000a_ _x000a_ _x000a_Estimado(a):                     Erika Priscyla Casas Carvallo_x000a_ _x000a_ _x000a_Le informamos que su ticket correspondiente a:_x000a_               _x000a_Tengo un asunto que se registró 2 veces en la Plataforma Nacional de Transparencia y creí que al momento de subir la resolución desaparecería pero no fie así, y aunque ya se hizo toda la sustanciación, admisión y cierre, sigue en mi bandeja de la PNT_x000a_ _x000a_Aplicación:                  SIGEMI_x000a_Tipo de Soporte:         CANCELAR ACTIVIDAD   _x000a_Observaciones:            _x000a_ _x000a_Su petición fue atendida_x000a_ _x000a_" u="1"/>
        <s v="_x000a_Notificación de seguimiento  [  MA2411202003 ]  _x000a_ _x000a_ _x000a_Estimado(a):                     BERENICE HERNÁNDEZ_x000a_ _x000a_ _x000a_Le informamos que su ticket correspondiente a:_x000a_               _x000a_realizar un regreso de pasos del expediente R.R.A.I 0040/2019, en la actividad Envío de recordatorio.  Ya que el área de cumplimientos por error notificó un documento incorrecto. _x000a__x000a_Requerimos que se elimine la actividad notificada y se libere para su nuevo uso._x000a_ _x000a_Aplicación:                  SIGEMI_x000a_Tipo de Soporte:         REGRESO DE PASOS    _x000a_Observaciones:            _x000a_ _x000a_Su petición fue atendida_x000a_ _x000a_" u="1"/>
        <s v="Se agregaron dos secciones (Congreso Abierto y Justicia abierta) al sitio de Gobierno abierto y se agregaron las opciones al menu principal" u="1"/>
        <s v="Actualizar la contraseña de usuario solicitante" u="1"/>
        <s v="Ocultar/Mostrar Resolución Pública." u="1"/>
        <s v="Subir cambios a servidor y configurar server de desarrollo paramod_rewrite" u="1"/>
        <s v="Notificación de seguimiento  [  MA2202202106 ]  _x000a_ _x000a_ _x000a_Estimado(a):                     YARENNI ADAME_x000a_  _x000a_Le informamos que su ticket correspondiente a:_x000a_               _x000a_RESPALDO SEMANAL DE LA BASE DE DATOS INFOMEX_x000a_ _x000a_Aplicación:                  INFOMEX GUERRERO_x000a_Tipo de Soporte:         RESPALDO   _x000a_Observaciones:            _x000a_ _x000a_Su petición fue atendida, se subió el respaldo de su base de datos de esta semana…_x000a__x000a__x000a_http://documentos.inai.org.mx/tmp/infomexGUERRERO_backup_2021-02-22_0800.bak_x000a_" u="1"/>
        <s v="Respaldar Curso 2 de Aliados INAI  de la plataforma anterior y restaurar en plataforma actual " u="1"/>
        <s v="Se testan los datos  del folio:0064101444521" u="1"/>
        <s v="Se ajusta el plazo de la solicitud: 0610000055220" u="1"/>
        <s v="Se elimina la respuesta del folio:  1011100024721" u="1"/>
        <s v="Notificación de seguimiento  [  MA2502202105 ]  _x000a_ _x000a_ _x000a_Estimado(a):                     Moisés Guzmán Arias_x000a_ _x000a_ _x000a_Le informamos que su ticket correspondiente a:_x000a_               _x000a_proporcionar identificador de Infomex (ID_INFOMEX) del sujeto obligado denominado Universidad de la Salud del Estado de Puebla de nuestro Infomex para poder darlo de alta en la PNT._x000a_ _x000a_Aplicación:                  INFOMEX PUEBLA_x000a_Tipo de Soporte:         CONSULTA DE DATOS    _x000a_" u="1"/>
        <s v="Generación de script para el reconocimiento de caracteres" u="1"/>
        <s v="Cambios para apuntar a Oaxaca" u="1"/>
        <s v="Se aplica cambio de modalidad a las solicitudes: 0000500026820" u="1"/>
        <s v="Ejecución de OT 2 Campus Privada" u="1"/>
        <s v="Se revisa la lsita de reportes de PRODATOS, se revisa que estén ejecutándose correctamente y se envía listado para revisión de la DGTI" u="1"/>
        <s v="Se hacen flujos completos de la parte de reportes, se verifica su funcionamiento haciendo flujos de todo el modulo." u="1"/>
        <s v="Se sustituye archivo adjunto del folio: 0064100448620." u="1"/>
        <s v="Se aplica la carga de pagos del mes de diciembre del 2019." u="1"/>
        <s v="Cambio en adjuntar archivos, se actualiza plugin para adjuntar archivos para android" u="1"/>
        <s v="Se  testan los datos de la solicitud con folio 0064100773221_x000a_" u="1"/>
        <s v="Se aplica el testado de datos de la solicitud: 1117100230619" u="1"/>
        <s v="Se  testan los datos del folio: 0064101915121" u="1"/>
        <s v="Se aplica testado de datos al folios: 0064100611920." u="1"/>
        <s v="Se actualiza contador del Sujeto Obligado MOVIMIENTO CIUDADANO " u="1"/>
        <s v="Instalación Campus Civil en ambiente local Windows" u="1"/>
        <s v="Se aplica el testado de datos de la solicitud: 0064100163120" u="1"/>
        <s v="Se  testan los datos del folio: 0000600263221" u="1"/>
        <s v="Se elimina la respuesta del folio:  1201000000221" u="1"/>
        <s v="Se generó certificado para usuario de dependencia Sindicato Único de Trabajadores del Instituto Mexicano de la Propiedad Industrial " u="1"/>
        <s v="Se aplica eliminación de última respuesta de la solicitud: 0000600067120." u="1"/>
        <s v="Se testan datos y sustituye el archivo adjunto de la solicitud con folio 1816400187021" u="1"/>
        <s v="Evaluación etiquetas - solicitudes" u="1"/>
        <s v="Se realiza el proceso de búsqueda de adjuntos en los infomex estatales consultando folio a folio,  tratando de ubicar los faltantes de recuperar. Consulta y procesos del Estado de  Guanajuato, donde se lograron recuperar 760 adjuntos de 767. También se identificaron casos recuperables del Estado de Sonora, se consulta e inicia el análisis de recuperación." u="1"/>
        <s v="Se cambia el tipo de solicitud del folio: 0063700151221" u="1"/>
        <s v="Buenas tardes Ismael, adjunto scripts para reasignación de solicitudes, con este cambio el responsable del departamento que quedo activo deberá de ver el total de solicitudes, favor de validar  _x000a__x000a_Saludos _x000a__x000a_Marina Adame Velasco_x000a__x000a_Notificación de seguimiento  [  MA1806202007 ]  _x000a__x000a_Aplicación:                  INFOMEX COAHUILA_x000a_Tipo de Soporte:         Scripts   _x000a_Estatus:                               Concluido._x000a__x000a_" u="1"/>
        <s v="entidad federativa" u="1"/>
        <s v="Se aplica el testado de datos de la solicitud: 1117100231619" u="1"/>
        <s v="Integracion de Service Builder Token (Sql), Integración de Consulta para validar usuario token existente" u="1"/>
        <s v="Se habilita el usuario y baja." u="1"/>
        <s v="Integracion de campo homoclave en captura de Declaración de Conflicto de intereses" u="1"/>
        <s v="Hola Francisco, este error lo he visto en algunos casos cuando la respuesta del servidor es lenta, por diversas causas, pero como tal no impide la gestión de las solicitudes, ya que se presenta de manera intermitente, en caso de que no se comporte de esta manera favor de comunicárnoslo._x000a__x000a_Quedamos atentos_x000a__x000a_Saludos _x000a__x000a_MARINA ADAME _x000a_" u="1"/>
        <s v="Notificación de seguimiento  [  MA1003202111 ]  _x000a_ _x000a_ _x000a_Estimado(a):                     Edgar Michel Loaeza Martínez_x000a_ _x000a_ _x000a_Le informamos que su ticket correspondiente a:_x000a_               _x000a_Por medio del presente solicito su valioso apoyo a efecto de realizar el cambio de certificado del Titular de la Unidad de Transparencia del Tribunal Superior Agrario._x000a__x000a_Para tal efecto, anexo al presente el certificado, cédula de registro, lo anterior, a fin de que sus accesos sean habilitados en los sistemas que administra este Instituto (INFOMEX y HCOM).  _x000a_ _x000a_Aplicación:                  HCOM_x000a_Tipo de Soporte:         RENOVACION DE CERTIFICADO   _x000a_Observaciones:            _x000a_ _x000a_Su petición fue atendida_x000a_ _x000a_  _x000a_            Favor de validar._x000a_ _x000a_Estatus:                               Concluido._x000a__x000a_" u="1"/>
        <s v="Se cambia el tipo de solicitud del folio: 0063700151321" u="1"/>
        <s v="Se sustituye archivo adjunto del folio: 0064102965420" u="1"/>
        <s v="Testado de datos y sustituir archivo adjunto  del folio: 1816400119521 " u="1"/>
        <s v="Busqueda y muestra de resultados para la pantalla de Recepción de Solicitudes de Subenlace de UT" u="1"/>
        <s v="Construcción de output muestra" u="1"/>
        <s v="Reunion de generadores y Buscadores" u="1"/>
        <s v="RV: Oaxaca URGENTE: Ajuste de plazos de vencimiento por COVID-19 hasta el 10-05-2020" u="1"/>
        <s v="Generar certificado para usuario de Administración Portuaria Integral de Puerto Madero, S.A. de C.V." u="1"/>
        <s v="Sesión de acompañamiento para compilación de código iOS y Android con redes sociales" u="1"/>
        <s v="Se aplica eliminación de formato de pago: 0410000016420" u="1"/>
        <s v="Validación de acceso a la información sobre los JSON compartidos para SISAI, SIPOT y SIGEI-SICOM" u="1"/>
        <s v="creacion de la lógica del componente domicilio" u="1"/>
        <s v="Modificación mockups línea acción, Objetivos Pizarras 4 de acuerdo con la junta de análisis proceso pizarras 4" u="1"/>
        <s v="programa" u="1"/>
        <s v="Notificación de seguimiento  [  MA2207202007 ]  _x000a_ _x000a_ _x000a_Estimado(a):                     Lizbeth Adriana Cabrera Ortega_x000a_ _x000a_Le informamos que su ticket correspondiente a:_x000a_               _x000a_Por este medio, me permito solicitar tu invaluable apoyo a efecto de que el archivo electrónico anexo al expediente del recurso de revisión RRD-RCRA 00913/20, sea sustituido por el que ahora se remite._x000a__x000a_ _x000a_Aplicación:                  SIGEMI_x000a_Tipo de Soporte:         CARGA DE ARCHIVO   _x000a_Observaciones:            _x000a_ _x000a_Su petición fue atendida _x000a__x000a_" u="1"/>
        <s v="Maquetación pantalla editar usuario y creación modal cambio de contraseña proyecto PNT v4" u="1"/>
        <s v="Notificación de seguimiento [ MA1501202001 ] _x000a_  _x000a_  _x000a_ Estimado(a): Lizbeth Adriana Cabrera Ortega_x000a_  _x000a_ Le informamos que su ticket correspondiente a:_x000a_  _x000a_ Modificar la fecha de interposición al día hábil siguiente_x000a_ _x000a_ DEBE DECIR 14 DE ENERO_x000a_ _x000a_  _x000a_ Aplicación: SIGEMI_x000a_ Tipo de Soporte: Actualización de fechas" u="1"/>
        <s v="Notificación de seguimiento [ MA1501202002 ] _x000a_  _x000a_  _x000a_ Estimado(a): Lizbeth Adriana Cabrera Ortega_x000a_  _x000a_ Le informamos que su ticket correspondiente a:_x000a_  _x000a_ Modificar la fecha de interposición al día hábil siguiente_x000a_ _x000a_ DEBE DECIR 14 DE ENERO_x000a_ _x000a_  _x000a_ Aplicación: SIGEMI_x000a_ Tipo de Soporte: Actualización de fechas" u="1"/>
        <s v="Cuentas de correo electrónico para pruebas de cambio de contraseña" u="1"/>
        <s v="Se  testan los datos del folio: 0064101996121" u="1"/>
        <s v="Conferencia con CDMX" u="1"/>
        <s v="_x000a_Notificación de seguimiento  [  MA0106202119 ]_x000a__x000a_Estimado(a):                Edwin Robles Hernández_x000a__x000a_ _x000a_ Le informamos que su ticket correspondiente a:_x000a_               _x000a_Por este medio solicito de su valioso apoyo para poder aplicar las afectaciones a las fechas de vencimiento y la eliminación de los acuses respectivos de las solicitudes señaladas en el archivo adjunto. Toda vez que el Consejo General aprobará mediante Acuerdo ACDO/CG/IAIP/021/2020._x000a_ _x000a_Aplicación:                  INFOMEX OAXACA_x000a_Tipo de Soporte:         AJUSTE DE PLAZOS _x000a_Observaciones:            _x000a_ _x000a_Su petición fue atendida_x000a_ _x000a_ _x000a_" u="1"/>
        <s v="Revision de accesos " u="1"/>
        <s v="Se  testan los datos del folio:0064101564421" u="1"/>
        <s v="Actualización de certificados vencidos a un plazo extra" u="1"/>
        <s v="Se cambia el tipo de solicitud del folio: 0001100125221 " u="1"/>
        <s v="_x000a_Notificación de seguimiento  [  MA3009202004 ]  _x000a_ _x000a_ _x000a_Estimado(a):                     Alma Lizbeth Peguero Rivera_x000a_ _x000a_Le informamos que su ticket correspondiente a:_x000a_               _x000a_Por medio de presente, solicito de la manera más atenta, su apoyo para retroceder los pasos en el sistema SIGEMI-SICOM en la PNT del siguiente asunto RRA 06464/20 OMGF, hasta la actividad “Registrar información de la sesión del pleno”; sin más por el momento, quedo en espera de sus comentarios._x000a__x000a_ _x000a_Aplicación:                  SIGEMI_x000a_Tipo de Soporte:         REGRESO DE PASOS  _x000a_Observaciones:            _x000a_ _x000a_Su petición fue atendida_x000a_ _x000a_ _x000a_" u="1"/>
        <s v="Se aplica sustitución de archivo al folio: 1507500007920." u="1"/>
        <s v="Buenas tardes David, tu petición fue atendida, favor de validar _x000a__x000a_Saludos _x000a__x000a_Marina Adame Velasco_x000a__x000a_Notificación de seguimiento  [  MA0508202007 ]  _x000a__x000a_Aplicación:                  INFOMEX MICHOACAN_x000a_Tipo de Soporte:         SCRIPT   _x000a_Estatus:                               Concluido._x000a__x000a_" u="1"/>
        <s v="Notificación de seguimiento  [  MA1107202203 ]_x000a__x000a__x000a_Estimado(a):               Edgar Michel Loaeza Martínez_x000a__x000a_ Le informamos que su ticket correspondiente a:_x000a__x000a_Por medio del presente solicito su valioso apoyo a efecto de realizar cambio Titular de la Unidad de Transparencia de Servicios a la Navegación en el Espacio Aéreo Mexicano, lo anterior, en virtud de que, se realizaron cambios en la UT._x000a__x000a_Para tal efecto, anexo al presente el certificado correspondiente, cédula de registro y nombramiento, lo anterior, a fin de que sus accesos sean habilitados en los sistemas que administra este Instituto (HCOM).  _x000a__x000a__x000a__x000a_Aplicación:                  HCOM_x000a_Tipo de Soporte:         CAMBIO DE TUT  " u="1"/>
        <s v="Generación de script para descarga de datos SISAI" u="1"/>
        <s v="Se testan datos del folio: 0064102369321" u="1"/>
        <s v="Notificación de seguimiento  [  MA2610202004 ]  _x000a__x000a_ _x000a__x000a_ _x000a__x000a_Estimado(a):                     Rosa María Rivas Rangel _x000a__x000a_ _x000a__x000a_ _x000a__x000a_Le informamos que su ticket correspondiente a:_x000a__x000a_               _x000a__x000a_Se solicita la ampliación por 10 días del plazo otorgado por la Dirección General de Cumplimientos y Responsabilidades (Se adjuntan Acuerdos), a los RRA 07607/20 y RRA 07960/20 para su cumplimiento quedando de la siguiente manera:_x000a__x000a_ _x000a__x000a_·         En el recurso RRA 07607/20, modificar la fecha de conformidad con los 10 días otorgados  de ampliación, el acuerdo fue notificado el 16 de octubre, por lo que la fecha debe quedar al 30 de octubre (se adjunta pantalla de la PNT)._x000a__x000a_·         En el recurso RRA 07960/20, ya no aparece en la PNT, por lo que se solicita se agregue, el acuerdo fue notificado el 19 de octubre, por lo que la fecha debe moverse al 3 de noviembre._x000a__x000a_ _x000a__x000a_Aplicación:                  SIGEMI_x000a__x000a_Tipo de Soporte:         ACTUALIZACIÓN DE FECHAS _x000a__x000a_Observaciones:            _x000a__x000a_ _x000a__x000a_Su petición fue atendida" u="1"/>
        <s v="Se  testan los datos del folio: 0064102011521" u="1"/>
        <s v="Notificación de seguimiento  [  MA1202202009 ]  _x000a_ _x000a_ _x000a_Estimado(a):                     IVONE ALEJANDRA RAMIREZ MACIAS_x000a_ _x000a_Le informamos que su ticket correspondiente a:_x000a_               _x000a_Buenas tardes Rafael, el día de hoy turnamos varios recursos en grupo por error incluso se nos fue uno del año pasado, se quedaron en el paso donde hay que cargar al archivo de turno, será posible que puedan regresar a la bandeja donde aparecen los recursos cuando recién ingresan?? Sería a partir del RAI 0035/2020 y hasta el RAI 0037/2020._x000a__x000a_ _x000a_Aplicación:                  SIGEMI_x000a_Tipo de Soporte:         Eliminación de turno y ajuste de consecutivo   _x000a_Observaciones:            _x000a_ _x000a_Su petición fue atendida, se eliminaron los turnos correspondientes al  RAI 0036/2020 y RAI 0037/2020, el turno RAI 0035/2020 no se localizó. Con el ajuste realizado el siguiente turno que se genere será el 0035_x000a_ _x000a__x000a_ _x000a_            Favor de validar._x000a_ _x000a_Estatus:                               Concluido._x000a_" u="1"/>
        <s v="_x000a_Notificación de seguimiento  [  MA0906202001 ]  _x000a_ _x000a_ _x000a_Estimado(a):                     RAFAEL GONZALEZ_x000a_ _x000a_Le informamos que su ticket correspondiente a:_x000a_               _x000a_En alcance a mi correo citado líneas abajo, me permito remitirte nuevamente, 216 acuerdos de turno correspondientes a los recursos de revisión interpuestos en este periodo de contingencia en contra de SO con actividades No Esenciales._x000a_ _x000a_Dichos acuerdos contienen la fecha de 16 de junio, fecha en que serán reanudados los plazos para dichos SO, tal y como lo mandata el acuerdo de Pleno ACT-PUB/27/05/2020.04._x000a_ _x000a_Asimismo, me permito precisar que, una vez conocidos los alcances del acuerdo mencionado, las fechas de interposición y de sustanciación deberán ajustarse en la herramienta al día 16 de junio, para los recursos entrantes como en retroactivo a los recursos cuyo acuerdo de turno te envío._x000a__x000a_ _x000a_Aplicación:                  SIGEMI_x000a_Tipo de Soporte:         ACTUALIZACIÓN DE FECHAS DE INTERPOSICIÓN  _x000a_Observaciones:            _x000a_ _x000a_Su petición fue atendida, se realizó la actualización de los acuerdos, las referencias en la base de datos y 79 archivos JSON _x000a__x000a_ _x000a_            Favor de validar._x000a_ _x000a_Estatus:                               Concluido_x000a_" u="1"/>
        <s v="Se testan los datos de la solicitud con folio: 006410168021" u="1"/>
        <s v="Se generan 1 certificados para la dependencia: 17110,Instituto Nacional de Ciencias Penales." u="1"/>
        <s v="Se elimina la respuesta del folio: 0064100563721" u="1"/>
        <s v="_x000a_Notificación de seguimiento  [  MA2409202005 ]  _x000a_ _x000a_ _x000a_Estimado(a):                     Rosalinda Coria Mosqueda_x000a_ _x000a_Le informamos que su ticket correspondiente a:_x000a_               _x000a_Regreso de paso en el recurso RRA 1895/20_x000a__x000a_ _x000a_Aplicación:                  SIGEMI_x000a_Tipo de Soporte:         REGRESO DE PASOS  _x000a_Observaciones:            _x000a_ _x000a_Su petición fue atendida_x000a_ _x000a_" u="1"/>
        <s v="Se aplica la carga del mes de NOVIEMBRE del 2019." u="1"/>
        <s v="Se agrega configuracion adicional para descargar archivos via https" u="1"/>
        <s v="Se aplica testado de datos al folio:  0064100065321" u="1"/>
        <s v="Se  testan los datos del folio: 0064101554621" u="1"/>
        <s v="Se  testan los datos del folio:  1816400140021" u="1"/>
        <s v="Se elmina la respuesta del folio: 3210000010321" u="1"/>
        <s v="Notificación de seguimiento  [  MA0303202006 ]  _x000a_ _x000a_ _x000a_Estimado(a):                     Rafael González García_x000a_ _x000a_Le informamos que su ticket correspondiente a:_x000a_               _x000a_hay que actualizar los json de TODOS (los ciento treinta y algo…) los recursos involucrados en este soporte_x000a_ _x000a_Aplicación:                  SIGEMI_x000a_Tipo de Soporte:         Actualización de fechas de interposición en JSON  _x000a_Observaciones:            _x000a_ _x000a_Su petición fue atendida, se revisaron 245 archivos JSON, de los cuales 23 fueron corregidos_x000a_ _x000a_ _x000a_            Favor de validar._x000a_ _x000a_Estatus:                               Concluido._x000a_" u="1"/>
        <s v="Creación de grafos de conocimiento" u="1"/>
        <s v="Entrenamiento modelo secuencial" u="1"/>
        <s v="Desarrollo de login con twitter" u="1"/>
        <s v="Modificar los datos del usuario loggeado" u="1"/>
        <s v="Notificación de seguimiento  [  MA2807202012 ]  _x000a_ _x000a_ _x000a_Estimado(a):                     Alondra Jiménez Hernández_x000a_ _x000a_Le informamos que su ticket correspondiente a:_x000a_               _x000a_Anexo el registro actualizado del certificado del Titular de la Unidad de Transparencia de los siguientes sujeto obligados para su renovación en la Herramienta de Comunicación:_x000a__x000a_Clave Sujeto obligado_x000a_11180 Fideicomiso Centro de Investigaciones en Óptica, A.C. No. 040026-8_x000a_11181 Fideicomiso para el Pago de las Obligaciones Laborales de los Trabajadores del Centro de Investigaciones en Óptica, A.C._x000a__x000a__x000a_ _x000a_Aplicación:                  HCOM_x000a_Tipo de Soporte:         Cambio de certificado ( 2)   _x000a_" u="1"/>
        <s v="Buenas tardes Guillermo, tu petición fue atendida, favor de validar _x000a__x000a_Te comento que el identificador del departamento que recibe las solicitudes del Instituto es este …  3c67c780-e68d-4e59-96a2-267e768ef6d2_x000a__x000a_TIPO DE SOLICITUD Número de solicitudes_x000a_DATOS PERSONALES 4_x000a_INFORMACIÓN PUBLICA 198_x000a__x000a__x000a_Saludos _x000a__x000a_Marina Adame Velasco_x000a__x000a_Notificación de seguimiento  [  MA1806202004 ]  _x000a__x000a_Aplicación:                  INFOMEX BCN_x000a_Tipo de Soporte:         AJUSTE DE PLAZOS    _x000a_Estatus:                               Concluido._x000a_" u="1"/>
        <s v="Notificación de seguimiento  [  MA1101202104 ]  _x000a_ _x000a_ _x000a_Estimado(a):                     ALAN GARCÍA_x000a_  _x000a_Le informamos que su ticket correspondiente a:_x000a_               _x000a_RESPALDO SEMANAL DE LA BASE DE DATOS INFOMEX_x000a_ _x000a_Aplicación:                  INFOMEX TLAXCALA_x000a_Tipo de Soporte:         RESPALDO   _x000a_Observaciones:            _x000a_ _x000a_Su petición fue atendida, se subió el respaldo de su base de datos de esta semana…_x000a__x000a__x000a_http://documentos.inai.org.mx/tmp/infomex_tlaxcala_backup_2021-01-11_0800.bak_x000a__x000a__x000a_NOTA: El respaldo estará disponible una semana  _x000a__x000a_  _x000a_            Favor de validar._x000a_ _x000a_Estatus:                               Concluido._x000a_" u="1"/>
        <s v="Notificación de seguimiento  [  MA2403202113 ]  _x000a_ _x000a_ _x000a_Estimado(a):                     CRISTIAN DE JESUS AVENDAÑO PALACIOS_x000a_ _x000a_ _x000a_Le informamos que su ticket correspondiente a:_x000a_               _x000a_Por este medio solicito de su valioso apoyo para poder aplicar las afectaciones a las fechas de vencimiento y la eliminación de los acuses respectivos de las solicitudes señaladas en el archivo adjunto. Toda vez que el Consejo General aprobará en su Décima Novena Sesión Ordinaria celebrada el día 28 de octubre, aprobó la primera fase del levantamiento a la suspensión de plazos derivado de la Contingencia Sanitaria del COVID-19 para un primer grupo de sujetos obligados y la continuidad de la suspensión de plazos para el resto de sujetos obligados hasta el 19 de abril 2021._x000a__x000a_ _x000a_Aplicación:                  INFOMEX OAXACA_x000a_Tipo de Soporte:         AJUSTE DE PLAZOS    _x000a_Observaciones:            _x000a_ _x000a_Su petición fue atendida_x000a_ _x000a_  _x000a_            Favor de validar._x000a_ _x000a_Estatus:                               Concluido._x000a_" u="1"/>
        <s v="Se aplica testado de datos al folio: 0600600000420." u="1"/>
        <s v="Notificación de seguimiento  [  MA0602202004 ]  _x000a_ _x000a_ _x000a_Estimado(a):                     Lizbeth Adriana Cabrera Ortega_x000a_ _x000a_Le informamos que su ticket correspondiente a:_x000a_               _x000a_RAFA_x000a__x000a_PODEMOS ATENDER LA PETICIÓN DE LA PONENCIA DICEN QUE NO PUEDEN VER ESTE RETURNO_x000a__x000a_ENTONCES ME AYUDAS APOYANDO PARA QUE PUEDAN TRABAJAR Y VER EL EXPEDIENTE._x000a__x000a_ _x000a_Aplicación:                  SIGEMI_x000a_Tipo de Soporte:         REGRESO DE PASOS  _x000a_" u="1"/>
        <s v="Se aplica testado de datos al folio: 0000700081320." u="1"/>
        <s v="_x000a_Notificación de seguimiento  [  MA2201202105 ]  _x000a_ _x000a_ _x000a_Estimado(a):                     ALEJANDRA TEJEDA_x000a_ _x000a_ _x000a_Le informamos que su ticket correspondiente a:_x000a_               _x000a_REPORTE DE SOLICITUDES _x000a_ _x000a_Aplicación:                  INFOMEX BCN_x000a_Tipo de Soporte:         REPORTE   _x000a_Observaciones:            _x000a_ _x000a_Su petición fue atendida_x000a_" u="1"/>
        <s v="Servicio para verificación de correo electrónico y activación de cuenta" u="1"/>
        <s v="Buenas tardes Ricardo, te comento que de la revisión realizada, tanto la configuración del proceso actual como el folio en específico, tienen 10 días para la respuesta del solicitante a la prevención, en el Excel marque en amarillo la fecha de notificación de la prevención, que fue el 19 de Noviembre y con fecha de caducidad para dar respuesta a la prevención hasta el 3 de diciembre de 2020, es decir el conteo de la prevención es a partir del día después  de la notificación,que fue el 20 de Noviembre al 3 de diciembre, son 10 días hábiles._x000a__x000a_La configuración del plazo para la respuesta del solicitante tiene definido 10 días como se muestra en la imagen:_x000a__x000a_ _x000a__x000a_Me quedo atenta a tus comentarios _x000a__x000a_Saludos _x000a__x000a_Marina Adame _x000a__x000a__x000a_Notificación de seguimiento  [  MA0912202007 ]  _x000a_ _x000a_Aplicación:                  INFOMEX QUINTANA ROO_x000a_Tipo de Soporte:         Revisión de incidencia    _x000a_" u="1"/>
        <s v="Notificación de seguimiento  [  MA2807202013 ]  _x000a_ _x000a_ _x000a_Estimado(a):                     Alondra Jiménez Hernández_x000a_ _x000a_Le informamos que su ticket correspondiente a:_x000a_               _x000a_Anexo el registro actualizado del certificado del Titular de la Unidad de Transparencia de los siguientes sujeto obligados para su renovación en la Herramienta de Comunicación:_x000a_ _x000a_Clave Sujeto obligado_x000a_53223 Fideicomiso Fondo de Ahorro del Personal de Mandos Medios y Superiores del Colegio de San Luis A.C. N° 030057-3_x000a_53224 Fondo de Investigación Científica y Desarrollo Tecnológico de El Colegio de San Luis, A.C._x000a__x000a__x000a_ _x000a_Aplicación:                  HCOM   _x000a_Tipo de Soporte:         CAMBIO DE CERTIFICADO ( 2)   _x000a_" u="1"/>
        <s v="Implementar la obtención y presentación de catálogos" u="1"/>
        <s v="Incidencia límite de vista" u="1"/>
        <s v="Se aplica testado de datos al folio:  0064100065821" u="1"/>
        <s v="_x000a_Notificación de seguimiento  [  MA2105202113 ]  _x000a_ _x000a_ _x000a_Estimado(a):                     Jorge Dasaev Gómez Cardona_x000a_ _x000a_ _x000a_Le informamos que su ticket correspondiente a:_x000a_               _x000a_gestionar un certificado de acceso a la herramienta de comunicación (HCOM) al funcionario público designado como nuevo responsable de la Unidad de Transparencia de la Cámara de Diputados. El nombre del servicio público es el Maestro Ricardo Álvarez Montiel, en su carácter de Responsable de la Unidad de Transparencia de la Cámara de Diputados _x000a_ _x000a_ _x000a_Aplicación:                  HCOM_x000a_Tipo de Soporte:         CAMBIO TUT   _x000a_Observaciones:            _x000a_ _x000a_Su petición fue atendida, se adjunta certificado y contraseña: hcom2021_x000a_ _x000a_  _x000a_            Favor de validar._x000a_ _x000a_Estatus:                               Concluido._x000a_" u="1"/>
        <s v="Se envía respaldo de base de datos " u="1"/>
        <s v="Se  testan los datos del folio:0064101550221" u="1"/>
        <s v="OT para nueva instalación con corrección de indicencias en producción" u="1"/>
        <s v="Se cambia el tipo de solicitud del folio: 0673800097421" u="1"/>
        <s v="Ejecucion de Pruebas unitarias de usuarios y correciones de hallazgos encontrados" u="1"/>
        <s v="Prueba del script de conectores de extracción" u="1"/>
        <s v="Crear certificado para usuario del Sujeto Obligado Fondo de ahorro capitalizable para los trabajadores operativos del INACIPE " u="1"/>
        <s v="Se testan datos y se sustituye archivo del folio: 0063700500021" u="1"/>
        <s v="proceso" u="1"/>
        <s v="Definición de hardware" u="1"/>
        <s v="Se corrige problema al adjuntar archivo al registrar una queja" u="1"/>
        <s v="Analisis del Plan de Alcance " u="1"/>
        <s v="Se sustituye archivo adjunto  del folio:  011000053421 " u="1"/>
        <s v="_x000a_Notificación de seguimiento  [  MA1002202111 ]  _x000a_ _x000a_ _x000a_Estimado(a):                     Pedro Esquivel Martínez_x000a_ _x000a_ _x000a_Le informamos que su ticket correspondiente a:_x000a_               _x000a_Con el gusto de saludarte y en relación al correo que antecede, te comento que usaran el mismo certificado el cual adjunto al presente y el nombre del titular será el que se anexa al cuadro descriptivo_x000a__x000a_Clave SIGLAS Sujeto Obligado Titular de la Unidad de Transparencia_x000a_47002 CPC SNA Comité de Participación Ciudadana del Sistema Nacional Anticorrupción  Jorge Alberto Alatorre Flores_x000a_ _x000a_Aplicación:                  HCOM_x000a_Tipo de Soporte:         CAMBIO TUT   _x000a_Observaciones:            _x000a_ _x000a_Su petición fue atendida, la contraseña es hcom2021_x000a_" u="1"/>
        <s v="Actividades de configuración de SISAI 2.0" u="1"/>
        <s v="_x000a_Notificación de seguimiento  [  MA2909202007 ]  _x000a_ _x000a_ _x000a_Estimado(a):                     Edgar Michel Loaeza Martínez_x000a_ _x000a_Le informamos que su ticket correspondiente a:_x000a_               _x000a_dar de alta los certificados que se adjuntan, sujetos obligados indirectos de la Secretaría de Comunicaciones y Transportes_x000a_ _x000a_Aplicación:                  HCOM_x000a_Tipo de Soporte:         CAMBIO DE CERTIFICADOS ( 5 )  _x000a_Observaciones:            _x000a_ _x000a_Su petición fue atendida_x000a_ _x000a_" u="1"/>
        <s v="Buenas tardes Horacio, envío correo, para contar con la evidencia del análisis realizado en incidencia reportada de Michoacán, en la generación de un acuse se revise las referencias de la base de datos y se realizó la búsqueda de acuse en el servidor para su eliminación y su regeneración_x000a__x000a_Saludos _x000a__x000a_Notificación de seguimiento  [  MA0307202005]  _x000a__x000a_Aplicación:                  INFOMEX MICHOACAN_x000a_Tipo de Soporte:         Revisión de incidencia   _x000a_Estatus:                               Concluido._x000a__x000a_" u="1"/>
        <s v="Reporte solicitado por el usuario " u="1"/>
        <s v=" _x000a_Notificación de seguimiento  [  MA2008202002 ]  _x000a_ _x000a_ _x000a_Estimado(a):                     Gustavo Cuevas Romero_x000a_ _x000a_Le informamos que su ticket correspondiente a:_x000a_               _x000a_Por instrucciones del Dr. Luis Felipe Nava Gomar, Director General de Enlace con los Poderes Legislativo y Judicial, me permito solicitar su valioso apoyo, a efecto de realizar modificaciones sobre las fechas de vencimiento de algunos requerimientos realizados mediante HCOM_x000a_ _x000a_Aplicación:                  HCOM_x000a_Tipo de Soporte:         ACTUALIZACIÓN DE FECHAS  _x000a_Observaciones:            _x000a_ _x000a_Su petición fue atendida_x000a_" u="1"/>
        <s v="Se elimina la respuesta del folio:  6031800000421" u="1"/>
        <s v="Respaldar Curso 20  de la plataforma anterior y restaurar en plataforma actual " u="1"/>
        <s v="Respaldar Curso 21  de la plataforma anterior y restaurar en plataforma actual " u="1"/>
        <s v="Cambios en la parte responsiva en la seccion de preguntas y ajuste en el menu principal en modo responsivo" u="1"/>
        <s v="Respaldar Curso 22  de la plataforma anterior y restaurar en plataforma actual " u="1"/>
        <s v="Respaldar Curso 23  de la plataforma anterior y restaurar en plataforma actual " u="1"/>
        <s v="Respaldar Curso 24  de la plataforma anterior y restaurar en plataforma actual " u="1"/>
        <s v="Buenos días Guillermo, tu petición fue atendida, favor de validar _x000a__x000a_Saludos _x000a__x000a_Marina Adame Velasco_x000a__x000a_Notificación de seguimiento  [  MA1008202006 ]  _x000a__x000a_Aplicación:                  INFOMEX BCN _x000a_Tipo de Soporte:         Reporte   _x000a_Estatus:                               Concluido._x000a_" u="1"/>
        <s v="_x000a_Notificación de seguimiento  [  MA2303202117 ]  _x000a_ _x000a_ _x000a_Estimado(a):                     CRISTIAN DE JESUS AVENDAÑO PALACIOS_x000a_ _x000a_ _x000a_Le informamos que su ticket correspondiente a:_x000a_               _x000a_aplicar las afectaciones a las fechas de vencimiento y la eliminación de los acuses respectivos de las solicitudes señaladas en el archivo adjunto. Toda vez que el Consejo General aprobará en su Décima Novena Sesión Ordinaria celebrada el día 28 de octubre, aprobó la primera fase del levantamiento a la suspensión de plazos derivado de la Contingencia Sanitaria del COVID-19 para un primer grupo de sujetos obligados y la continuidad de la suspensión de plazos para el resto de sujetos obligados hasta el 19 de abril 2021._x000a_ _x000a_Aplicación:                  INFOMEX OAXACA_x000a_Tipo de Soporte:         AJUSTE DE PLAZO   _x000a_Observaciones:            _x000a_ _x000a_Su petición fue atendida_x000a_ _x000a_" u="1"/>
        <s v="Respaldar Curso 25  de la plataforma anterior y restaurar en plataforma actual " u="1"/>
        <s v="Cambio mensajes de error en Excepciones de toda la app" u="1"/>
        <s v="Respaldar Curso 26  de la plataforma anterior y restaurar en plataforma actual " u="1"/>
        <s v="Respaldar Curso 27  de la plataforma anterior y restaurar en plataforma actual " u="1"/>
        <s v="Respaldar Curso 28  de la plataforma anterior y restaurar en plataforma actual " u="1"/>
        <s v="Respaldar Curso 29  de la plataforma anterior y restaurar en plataforma actual " u="1"/>
        <s v="Ajustes para SAIMEX" u="1"/>
        <s v="_x000a_Notificación de seguimiento  [  MA2704202002 ]  _x000a_ _x000a_ _x000a_Estimado(a):                     ALVARO DIAZ_x000a_ _x000a_Le informamos que su ticket correspondiente a:_x000a__x000a_Hola buen día, tuvimos un detalle con dos recurso de revisión, cuando se turnaron, los consecutivo que debieron salir en  el  expediente son IZAI-RR-75/202 y IZAI-RR-76/2020 pero en lugar de ello salieron así -&gt; IZAI-RR-76/2020 y IZAI-RR-77/2020. Solicitamos su apoyo para poder adaptarlos. _x000a_ _x000a_Aplicación:                  SIGEMI_x000a_Tipo de Soporte:         AJUSTE DE FOLIOS    _x000a_Observaciones:            _x000a_ _x000a_Su petición fue atendida_x000a_ _x000a__x000a_ _x000a_            Favor de validar._x000a__x000a_" u="1"/>
        <s v="Ajuste de archivo adjunto a la queja" u="1"/>
        <s v="Se aplica testado de datos al folio:  0000700355220" u="1"/>
        <s v="Se sustituye archivo adjunto  del folio:  0064103161120" u="1"/>
        <s v="Se cambia el tipo de solicitud del folio: 04111000008921" u="1"/>
        <s v="Se adaptaron los objetos que se utilizan dentro de la app contra los que responde el endpoint" u="1"/>
        <s v="Se aplica testado de datos al folio:  011000016821" u="1"/>
        <s v="Evaluación de diccionarios proporcionados por el INAI, " u="1"/>
        <s v="Definición de flujo para modelos" u="1"/>
        <s v="Desarrollo servicio de gateway" u="1"/>
        <s v="_x000a_Notificación de seguimiento  [  MA0904202108 ]  _x000a_ _x000a_ _x000a_Estimado(a):                     Pedro Esquivel Martínez_x000a_ _x000a_ _x000a_Le informamos que su ticket correspondiente a:_x000a_               _x000a_cambio de responsable para el sujeto obligado &quot;Fideicomiso de Administración y Pago CENAGAS-BANCOMEXT número 10637&quot;_x000a_ _x000a_Aplicación:                  HCOM_x000a_Tipo de Soporte:         CAMBIO TUT   _x000a_Observaciones:            _x000a_ _x000a_Su petición fue atendida_x000a_" u="1"/>
        <s v="Se aplica el testado de datos de la solicitud: 0064100227420." u="1"/>
        <s v="Se testan datos y sustituye el archivo adjunto de la solicitud con folio 1816400187221" u="1"/>
        <s v="Se sustituye archivo adjunto y se testan los datos del folio:  0000700359220 " u="1"/>
        <s v="Buenas tardes Guillermo, la solicitud que mencionas estaba sin responder, con el paso Selecciona las unidades internas pendiente, este se avanzó el día 19/08/2020  03:38:20 p. m. e inicio automáticamente el siguiente paso que es DETERMINA RESPUESTA, como bien sabes el infomex permite responder aunque las solicitudes estén fuera de plazo _x000a__x000a_Cualquier duda o comentario al respecto estoy a sus ordenes_x000a__x000a_SALUDOS _x000a__x000a_Marina Adame Velasco_x000a__x000a_Notificación de seguimiento  [  MA0210202004 ]  _x000a__x000a_Aplicación:                  INFOMEX BCN_x000a_Tipo de Soporte:         REVISIÓN DE INCIDENCIA    _x000a_Estatus:                               Concluido._x000a_" u="1"/>
        <s v="Notificación de seguimiento  [  MA0806202006 ]  _x000a_ _x000a_ _x000a_Estimado(a):                     Tiara Gethsemanni Miranda Fuentes_x000a_ _x000a_Le informamos que su ticket correspondiente a:_x000a_               _x000a_Por medio del presente, solicito de la manera más atenta su apoyo, para poder dejar en la PNT  un solo registro de la Actividad &quot;Registrar información de la sesión del pleno&quot;, en virtud que aparece duplicada como se muestra en la siguiente captura de pantalla, esto para los Recursos de Revisión RRA 02641 y RRA 02691/20_x000a_ _x000a_Aplicación:                  SIGEMI_x000a_Tipo de Soporte:         Corrección de incidencias  _x000a_Observaciones:            _x000a_ _x000a_Su petición fue atendida_x000a_ _x000a_ _x000a_            Favor de validar._x000a_ _x000a_Estatus:                               Concluido._x000a_" u="1"/>
        <s v="Se cambian validaciones en buscador nacional" u="1"/>
        <s v="_x000a_Notificación de seguimiento  [  MA2611202005 ]  _x000a_ _x000a_ _x000a_Estimado(a):                     Julia Yuridia Pacheco Hernández_x000a_ _x000a_ _x000a_Le informamos que su ticket correspondiente a:_x000a_               _x000a_solicitar su apoyo para el borrado, a la brevedad posible, de una comunicación incorrecta realizada en la Herramienta de Comunicación._x000a_ _x000a_El folio del comunicado es: 004823-IFAI-2020_x000a__x000a_ _x000a_Aplicación:                  HCOM_x000a_Tipo de Soporte:         eliminar comunicado    _x000a_Observaciones:            _x000a_ _x000a_Su petición fue atendida_x000a_ _x000a_" u="1"/>
        <s v="Se generó certificado para usuario del CAS" u="1"/>
        <s v="Se aplica testado de datos al folio:  0064100248021" u="1"/>
        <s v="Implementación del borrado de Resoluciones Públicas." u="1"/>
        <s v="Revisión y análisis del módulo eliminacion de asigacion de solicitudes." u="1"/>
        <s v="Notificación de seguimiento  [  MA1205202115 ]  _x000a_ _x000a_ _x000a_Estimado(a):                     Pedro Esquivel Martínez_x000a_ _x000a_ _x000a_Le informamos que su ticket correspondiente a:_x000a_               _x000a_dar de alta en HCOM al sujeto obligado &quot;Fuerza por México&quot; y asignarle el .cer de acuerdo al cuadro siguiente: _x000a_ _x000a_ _x000a_Clave Presupuestal    Sujeto Obligado Titular de la unidad de transparencia    CERTIFICADO A GENERAR    Contraseña   _x000a_22410  _x000a_Fuerza por México Ángel Gerardo Islas Maldonado 22410.Ángel Gerardo Islas Maldonado HCOM:_x000a_HCOM22410_x000a_ _x000a_INFOMEX_x000a_SIS22410_x000a_ _x000a_ _x000a_Aplicación:                  HCOM_x000a_Tipo de Soporte:         CAMBIO TUT   _x000a_Observaciones:            _x000a_ _x000a_Su petición fue atendida_x000a_ _x000a_  _x000a_            Favor de validar._x000a_ _x000a_Estatus:                               Concluido._x000a_" u="1"/>
        <s v="Se aplica testado de datos al folio:  0064100351521" u="1"/>
        <s v="Soporte a servicios, menus, etc" u="1"/>
        <s v="Se generaron 2 certificados para los sujetos obligados indirectos de la Secretaría de Comunicaciones y Transportes" u="1"/>
        <s v="Se sustituye archivo adjunto  del folio:  0110000004021" u="1"/>
        <s v="Reinstalación campus privado desde cero" u="1"/>
        <s v="Incidencia Bienes Terceros" u="1"/>
        <s v="Corrección incidencia 3143" u="1"/>
        <s v="Correcciones en pantallas de recurrente prevencion y prevencion parcial" u="1"/>
        <s v="Corrección incidencia 3144" u="1"/>
        <s v="Revisión de Modelado para persistencia de Bitacora" u="1"/>
        <s v="Actualizacion micrositio consultas " u="1"/>
        <s v="Subir propuesta con laravel y mysql  a sevidor de desarrollo " u="1"/>
        <s v="Notificación de seguimiento  [  MA2710202003 ]  _x000a__x000a_ _x000a__x000a_ _x000a__x000a_Estimado(a):                     Laura Mónica Segovia Tellez_x000a__x000a_ _x000a__x000a_Le informamos que su ticket correspondiente a:_x000a__x000a_               _x000a__x000a_regresar el paso del RRA 04942/20 del cierre de instrucción derivado de que se adjuntó un acuerdo que no corresponde_x000a__x000a_ _x000a__x000a_ _x000a__x000a_Aplicación:                  SIGEMI_x000a__x000a_Tipo de Soporte:         Eliminación de cierre de instrucción _x000a__x000a_Observaciones:            _x000a__x000a_ _x000a__x000a_Su petición fue atendida" u="1"/>
        <s v="Se cambio en los nativos de Android y iOS para mostrar el icono correcto del launcher" u="1"/>
        <s v="Correccion en modelo para agregar campos relacionados con accesibilidad y discapacidades, se eliminan campos default y se modifica vista de datos personales" u="1"/>
        <s v="Se agrega la opcion para recuperar y escuchar las notificaciones pendientes al momento de abrir la app" u="1"/>
        <s v="Se habilitaron 5 dependencias, una modificación y una baja de dependencia." u="1"/>
        <s v="_x000a_Notificación de seguimiento  [  MA1507202001 ]  _x000a_ _x000a_ _x000a_Estimado(a):                     Sergio Rafael Cortés Alpizar_x000a_ _x000a_Le informamos que su ticket correspondiente a:_x000a_               _x000a_Por medio del presente, solicito se regrese la actividad a &quot;Preparación del Proyecto de Resolución&quot;  de los siguiente recurso de revisión:_x000a__x000a_RRA 5051/20 vs SSA_x000a_RRA 5996/20 vs CME_x000a_RRA 6101/20 vs ISSSTE_x000a_RRD 0835/20 vs IMSS_x000a__x000a_Lo anterior se debe a que se van a corregir los acuerdos y se volverá a enviar._x000a__x000a_ _x000a_Aplicación:                  SIGEMI_x000a_Tipo de Soporte:         REGRESO DE PASOS  ( 4)_x000a_" u="1"/>
        <s v="Se actualizan los plazos de las solicitudes con Pago realizado" u="1"/>
        <s v="Actualizacion micrositio consejo consultivo." u="1"/>
        <s v="Validación de usuario y registro de  información. (Jalisco)" u="1"/>
        <s v="Se elimina sujeto obligado de las validaciones al hacer busqueda y se adapta al nuevo endpoint" u="1"/>
        <s v="Se realiza la eliminación del formato de pago del folio 1113100039820" u="1"/>
        <s v="Se cambia el tipo de solicitud del folio: 0001200127321 " u="1"/>
        <s v="Se  testan los datos del folio:  0064100921521" u="1"/>
        <s v="Se testan los datos y se sustituye el archivo de la solicitud con folio: 0110000057221" u="1"/>
        <s v="Se generan 16 certificados para la dependencias." u="1"/>
        <s v="Se  testan los datos del folio: 0064101340621" u="1"/>
        <s v="Se sustituye archivo adjunto  del folio: 0001600085921" u="1"/>
        <s v="Revisión de flujo de declaración de Intereses, Integracion de campo homoclave en captura de Declaración de Conflicto de intereses" u="1"/>
        <s v="Mostrar lista de catálogo integrante en la interfaz gráfica de pizarra global como combo box" u="1"/>
        <s v="Accesos a Estadísticas AIP" u="1"/>
        <s v="Se  testan los datos del folio: 0110000075721" u="1"/>
        <s v="Se  testan los datos del folio: 0000700175221" u="1"/>
        <s v="Se  testan los datos del folio: 0064100853721" u="1"/>
        <s v="Se testan los datos de la solicitud con folio: 0064101642621" u="1"/>
        <s v="Se aplica el testado de datos de la solicitud: 1816400028920" u="1"/>
        <s v="Se testan los datos de la solicitud con folio: 0064101662621" u="1"/>
        <s v="actualizacion carga publica " u="1"/>
        <s v="Activación del motor de busqueda para archivos" u="1"/>
        <s v="Notificación de seguimiento  [  MA1111202004 ]  _x000a_ _x000a_ _x000a_Estimado(a):                     ROSALINDA CORIA_x000a_ _x000a_ Le informamos que su ticket correspondiente a:_x000a_               _x000a_regresar a la actividad de admitir/prevenir el recurso RRA 12090/20_x000a_ _x000a_Aplicación:                  SIGEMI_x000a_Tipo de Soporte:         REGRESO DE PASOS    _x000a_Observaciones:            _x000a_ _x000a_Su petición fue atendida_x000a_" u="1"/>
        <s v="Se aplica testado de datos al folio: 0064103275220" u="1"/>
        <s v="Incidencia con los menús en mobile" u="1"/>
        <s v="Resolución de incidencias " u="1"/>
        <s v="Reporte de solicitudes con corte del 18 de Mayo" u="1"/>
        <s v="proceso de construcción: metodologia y documentos " u="1"/>
        <s v="Mensaje en el home" u="1"/>
        <s v="_x000a_Notificación de seguimiento  [  MA2608202004 ]  _x000a_ _x000a_ _x000a_Estimado(a):                     Sergio Rafael Cortés Alpizar_x000a_ _x000a_Le informamos que su ticket correspondiente a:_x000a_               _x000a_Por medio del presente, solicito el regreso de actividad a &quot; Admitir / Prevenir / Desechar&quot; del siguiente recurso de revisión:_x000a_ _x000a_RRA 8036/20 vs ISSSTE_x000a_ _x000a_Lo anterior se debe a que se va a corregir el acuerdo de desechamiento se enviara de nuevo el correcto._x000a__x000a_ _x000a_Aplicación:                  SIGEMI_x000a_Tipo de Soporte:         REGRESO DE PASOS  _x000a_Observaciones:            _x000a_ _x000a_Su petición fue atendida_x000a_" u="1"/>
        <s v="Se sustituye archivo adjunto del folio: 1117100048720." u="1"/>
        <s v="Creación de VM para emular el ambiente del sistema Archive server" u="1"/>
        <s v="Se aplica testado de datos al folio: 1816400085520." u="1"/>
        <s v="Análisis de incidencias" u="1"/>
        <s v="Se elmina la respuesta del folio:  0673800037221" u="1"/>
        <s v="Se testan 16 solicitudes del SO IMSS" u="1"/>
        <s v="Notificación de seguimiento  [  MA1906202005 ]  _x000a_ _x000a_ _x000a_Estimado(a):                     Pedro Esquivel Martínez_x000a_ _x000a_Le informamos que su ticket correspondiente a:_x000a__x000a_el cambio de certificado para los Fideicomisos a cargo de CONACYT; se anexan certificados_x000a__x000a_               _x000a_ _x000a_Aplicación:                  HCOM_x000a_Tipo de Soporte:         CAMBIO TUT   (4)_x000a_" u="1"/>
        <s v="Notificación de seguimiento  [  MA0107202012 ]  _x000a_ _x000a_ _x000a_Estimado(a):                     Pedro Esquivel Martínez_x000a_ _x000a_Le informamos que su ticket correspondiente a:_x000a_               _x000a_solicitando tu valioso apoyo con el restablecimiento de contraseña, se intento mediante la aplicación por correo, sin embargo continuo con problemas de acceso (anexo .cer)_x000a__x000a_ _x000a_Aplicación:                  HCOM_x000a_Tipo de Soporte:         Actualización de contraseña  _x000a_Observaciones:            _x000a_ _x000a_Su petición fue atendida, la contraseña es hcom2020_x000a_" u="1"/>
        <s v="Notificación de seguimiento [ MA1401202002 ]_x000a_ _x000a_ _x000a_ Estimado(a): Lizbeth Adriana Cabrera Ortega_x000a_  _x000a_ Le informamos que su ticket correspondiente a:_x000a_  _x000a_ Con el fin de atender la petición de la ponencia solicito el cambio de domicilio en el expediente electrónico._x000a_ _x000a_ Cabe precisar que ello deviene del análisis del recurso de revisión formulado ya que es un exp interpuesto en PNT._x000a_ _x000a_  _x000a_ Aplicación: SIGEMI_x000a_ Tipo de Soporte: cambio de domicilio" u="1"/>
        <s v="Notificación de seguimiento  [  MA2104202003 ]  _x000a_ _x000a_ _x000a_Estimado(a):                     Martha Rubí Zaragoza Mora_x000a_ _x000a_Le informamos que su ticket correspondiente a:_x000a_               _x000a_AJUSTE DE PLAZOS REQUERIDOS _x000a__x000a_ _x000a_Aplicación:                  INFOMEX NUEVO LEÓN_x000a_Tipo de Soporte:         AJUSTE DE PLAZOS   _x000a_Observaciones:            _x000a_ _x000a_Su petición fue atendida_x000a_ _x000a_ _x000a_            Favor de validar._x000a_ _x000a_Estatus:                               Concluido._x000a_" u="1"/>
        <s v="Notificación de seguimiento  [  MA1003202005 ]  _x000a_ _x000a_ _x000a_Estimado(a):                     Armando Ortiz Luna_x000a_ _x000a_Le informamos que su ticket correspondiente a:_x000a_               _x000a_El pasado viernes 6 de marzo, envíe por la Herramienta de Comunicación un requerimiento a 6 grupos, por error involuntario, el requerimiento al parecer lo envíe 5 veces, pero no se generó ningún Acuse. Por lo que solicito su valioso apoyo para recuperar el acuse del requerimiento con número de folio: “IFAI-REQ-000461-2020”, y cancelar los requerimientos con los siguientes números de folio:_x000a__x000a_1. IFAI-REQ-000462-2020_x000a_2. IFAI-REQ-000463-2020_x000a_3. IFAI-REQ-000464-2020_x000a_4. IFAI-REQ-000465-2020_x000a__x000a_ _x000a_Aplicación:                  HCOM_x000a_Tipo de Soporte:         Eliminación de requerimientos  ( 4 ) _x000a_" u="1"/>
        <s v="Notificación de seguimiento [ MA2901202010 ] _x000a_  _x000a_  _x000a_ Estimado(a): Lizbeth Adriana Cabrera Ortega_x000a_  _x000a_ Le informamos que su ticket correspondiente a:_x000a_  _x000a_ CAMBIAR FECHA DE INTERPOSIÓN AL 28 DE ENERO _x000a_  _x000a_ Aplicación: SIGEMI_x000a_ Tipo de Soporte: Actualizacion de fechas _x000a_ Observaciones: _x000a_  _x000a_ Su petición fue atendida" u="1"/>
        <s v="Reporte de solicitudes" u="1"/>
        <s v="Notificación de seguimiento  [  MA1201202113 ]  _x000a_ _x000a_ _x000a_Estimado(a):                     Pedro Esquivel Martínez_x000a_ _x000a_ _x000a_Le informamos que su ticket correspondiente a:_x000a_               _x000a_se asigne el certificado correspondiente en la Herramienta de Comunicación HCOM en relación al siguiente cuadro descriptivo…_x000a_ _x000a_Aplicación:                  HCOM_x000a_Tipo de Soporte:         CAMBIO TUT   _x000a_Observaciones:            _x000a_ _x000a_Su petición fue atendida_x000a_" u="1"/>
        <s v="Configuración de dos instancias de Moodle " u="1"/>
        <s v="Buenas tardes Berenice, tu petición fue atendida, favor de validar _x000a__x000a_Saludos _x000a__x000a_Marina Adame Velasco_x000a__x000a_Notificación de seguimiento  [  MA0907202010 ]  _x000a__x000a_Aplicación:                  INFOMEX OAXACA_x000a_Tipo de Soporte:         AJUSTE DE PLAZOS   _x000a_Estatus:                               Concluido._x000a__x000a_" u="1"/>
        <s v="Buenas tardes Berenice, tu petición fue atendida, favor de validar _x000a__x000a_Saludos _x000a__x000a_Marina Adame Velasco_x000a__x000a_Notificación de seguimiento  [  MA0909202003 ]  _x000a__x000a_Aplicación:                  INFOMEX OAXACA_x000a_Tipo de Soporte:         AJUSTE DE PLAZOS   _x000a_Estatus:                               Concluido._x000a__x000a_" u="1"/>
        <s v="Buenas tardes Berenice, tu petición fue atendida, favor de validar _x000a__x000a_Saludos _x000a__x000a_Marina Adame Velasco_x000a__x000a_Notificación de seguimiento  [  MA2406202002 ]  _x000a__x000a_Aplicación:                  INFOMEX OAXACA_x000a_Tipo de Soporte:         AJUSTE DE PLAZOS   _x000a_Estatus:                               Concluido._x000a__x000a_" u="1"/>
        <s v="Buenas tardes Berenice, tu petición fue atendida, favor de validar _x000a__x000a_Saludos _x000a__x000a_Marina Adame Velasco_x000a__x000a_Notificación de seguimiento  [  MA2707202003 ]  _x000a__x000a_Aplicación:                  INFOMEX OAXACA_x000a_Tipo de Soporte:         Ajuste de plazos   _x000a_Estatus:                               Concluido._x000a__x000a_" u="1"/>
        <s v="Buenas tardes Berenice, tu petición fue atendida, favor de validar _x000a__x000a_Saludos _x000a__x000a_Marina Adame Velasco_x000a__x000a_Notificación de seguimiento  [  MA2904202007 ]  _x000a__x000a_Aplicación:                  INFOMEX OAXACA_x000a_Tipo de Soporte:         AJUSTE DE PLAZOS   _x000a_Estatus:                               Concluido._x000a__x000a_" u="1"/>
        <s v="Buenas tardes Berenice, tu petición fue atendida, favor de validar _x000a__x000a_Saludos _x000a__x000a_Marina Adame Velasco_x000a__x000a_Notificación de seguimiento  [  MA2905202002 ]  _x000a__x000a_Aplicación:                  INFOMEX OAXACA_x000a_Tipo de Soporte:         AJUSTE DE PLAZOS   _x000a_Estatus:                               Concluido._x000a__x000a_" u="1"/>
        <s v="Se elimina la respuesta del folio:  1102200000521, 1102200000621 y 1102200000721 " u="1"/>
        <s v="Realizar la clase Controller, Service, Dao para la operación de consulta de linea estrategica" u="1"/>
        <s v="Buenas tardes Guillermo, en seguimiento a la incidencia reportada te envío la siguiente recomendación …_x000a__x000a_la recomendación es que los usuarios limpien la caché de su navegador y se aseguren de que el combo de “tipo de derecho” sea visible a fin de poder presentar sin inconveniente sus solicitudes de datos personales._x000a__x000a_Quedo atenta a tus comentarios_x000a__x000a_Saludos _x000a__x000a_Marina _x000a__x000a_Notificación de seguimiento  [  MA2108202002 ]  _x000a__x000a_Aplicación:                  INFOMEX BCN_x000a_Tipo de Soporte:         Revisión de incidencia    _x000a_Estatus:                               Concluido._x000a_" u="1"/>
        <s v="_x000a_Notificación de seguimiento  [  MA2311202013 ]  _x000a_ _x000a_ _x000a_Estimado(a):                     JUAN PEDRO RAMIREZ FLORES_x000a_ _x000a_ _x000a_Le informamos que su ticket correspondiente a:_x000a_               _x000a_eliminar los turnos RRAIP-1342/2020, RRAIP-1343/2020 y RRAIP-1344/2020 _x000a__x000a_Aplicación:                  HCOM_x000a_Tipo de Soporte:         CAMBIO TUT   _x000a_Observaciones:            _x000a_ _x000a_Su petición fue atendida, se ajusto el consecutivo para que el nuevo turno sea el 1342_x000a_ _x000a_" u="1"/>
        <s v="Notificación de seguimiento  [  MA0408202007 ]_x000a__x000a_ _x000a_Estimado(a):                     Berenice Hernández Sumano_x000a_ _x000a_Le informamos que su ticket correspondiente a:_x000a_               _x000a_Por este medio solicito su apoyo para poder aplicar las afectaciones a las fechas:  Entrega de información relacionada con el Cumplimiento y Entrega de Alegatos y manifestaciones, de los recursos señalados en el archivo adjunto.Toda vez que el Consejo General aprobará en su Décima Tercera Sesión Ordinaria 2020, el ACUERDO POR EL CUAL EL CONSEJO GENERAL DEL INSTITUTO DE ACCESO A LA INFORMACIÓN PÚBLICA Y PROTECCIÓN DE DATOS PERSONALES, APRUEBA LA MODIFICACIÓN DEL RESOLUTIVO SEGUNDO DEL ACUERDO APROBADO EN LA DÉCIMA SESIÓN ORDINARIA, CELEBRADA EL TREINTA DE JUNIO DEL AÑO DOS MIL VEINTE, EN EL SENTIDO DE AMPLIAR SUS EFECTOS AL DIECIOCHO DE AGOSTO DEL AÑO EN CURSO, CON MOTIVO DE LA EMERGENCIA SANITARIA POR CAUSA DE FUERZA MAYOR, GENERADA POR EL VIRUS SARS-CoV2 (COVID-19)_x000a_http://www.iaipoaxaca.org.mx/site/descargas/acuerdos/ACDO-CG-005-SUSPENCION.pdf_x000a__x000a_Asimismo solicitó pueda liberarse la actividad de cumplimiento en el perfil de los sujetos obligados ya que desde SICOM esta actividad se cierra cuando vence el plazo de 10 días y la actividad de entrega de alegatos que vence en un plazo de 7 días._x000a_ _x000a_Aplicación:                  SIGEMI_x000a_Tipo de Soporte:         AJUSTE DE PLAZOS   _x000a_Observaciones:            _x000a_ _x000a_Su petición fue atendida se realizó la actualización de fechas de cumplimiento y fechas limite de votación_x000a_ _x000a_ _x000a_            Favor de validar._x000a_ _x000a_" u="1"/>
        <s v="Notificación de seguimiento  [  MA1409202008 ]  _x000a_ _x000a_ _x000a_Estimado(a):         Lizbeth Adriana Cabrera Ortega            _x000a_ _x000a_Le informamos que su ticket correspondiente a:_x000a_               _x000a_PIDO DE TU AMABLE APOYO PARA QUE SEAN CORRECTAMENTE INCORPORADOS LOS ACUERDOS DE TURNO A LOS EXPEDIENTES ELECTRÓNICOS DEL INSABIL_x000a_ _x000a_LO ANTERIOR YA QUE DE LA PONENCIA DEL COMISIONADO OMGF, LA PROYECTISTA MARIANA AGUILA ME PRECISA QUE EL RECURSO RRA 8734/20, ME ENVÍA LA IMAGEN DEL ACUERDO QUE APARECE Y DICE 11 DE SEPTIEMBRE._x000a_ _x000a_COMO PUEDES VER EN LOS ACUERDOD DE TURNO QUE ENVÍE EN EL CORREO DE 10 DE SEPTIEMBRE A LAS 19:58 TODOS CONTIENEN LA FECHA DEL 10 DE SEPTIEMBRE. MISMOS QUE ADJUNTO NUEVAMENTE AL CORREO QUE NOS OCUPA. (VER HISTORIAL DE CORREOS._x000a_ _x000a_QUEDO PENDIENTE Y MANDO PANTALLA QUE ME HIZO LLEGAR LA ´PONENCIA DEL COMISONADO GUERRA._x000a_ _x000a_Aplicación:                  SIGEMI_x000a_Tipo de Soporte:         Actualización de acuerdos de turno  _x000a_Observaciones:            _x000a_ _x000a_Su petición fue atendida, se realizó la actualización de los acuerdos con fecha al 10 de Septiembre de 2020_x000a_" u="1"/>
        <s v="Notificación de seguimiento  [  MA0907202009 ]  _x000a_ _x000a_ _x000a_Estimado(a):                     Rosalinda Coria Mosqueda_x000a_ _x000a_Le informamos que su ticket correspondiente a:_x000a_               _x000a_Agradeceré su valioso apoyo en regresar a la Actividad de admitir/prevenir el recurso RRA 06645/20, toda vez que erróneamente lo marque._x000a__x000a_ _x000a_Aplicación:                  SIGEMI_x000a_Tipo de Soporte:         REGRESO DE PASOS  _x000a_Observaciones:            _x000a_ _x000a_Su petición fue atendida_x000a_" u="1"/>
        <s v="Notificación de seguimiento  [  MA2501202110 ]  _x000a_  _x000a_Estimado(a):                     Ing. Fernando Escutia Rodríguez_x000a_ _x000a_ Le informamos que su ticket correspondiente a:_x000a_               _x000a_Adjunto a este email, el aviso de suspensión de términos, que me solicita el pleno de la CEGAIP, incluyamos en el sistema infomex._x000a_ _x000a_Aplicación:                  INFOMEX SLP Tipo de Soporte:         Agregar aviso_x000a_Observaciones:            _x000a_ _x000a_Su petición fue atendida_x000a_" u="1"/>
        <s v="procesos snt pasos" u="1"/>
        <s v="Script BD declaración inicial Pedro Gallegos" u="1"/>
        <s v="Maquetación de la sección 9 de UT respuestas" u="1"/>
        <s v="Generación de script para el reconocimiento de caracteres dentro del SISAI" u="1"/>
        <s v="_x000a_Notificación de seguimiento  [  MA2409202001 ]  _x000a_ _x000a_ _x000a_Estimado(a):                     Edgar Nicolás Flores Salguero_x000a_ _x000a_Le informamos que su ticket correspondiente a:_x000a__x000a_Estimados compañeros buenas tardes, en alcance al correo que antecede enviado el día de ayer al correo &quot;gestión recursos INAI&quot; con la finalidad de recibir su amable atención en apoyarnos en regresar un paso en la PNT, a efecto de dejar insubsistente el cierre de instrucción del recurso de revisión RRA 8591/20 y estar en posibilidad de notificar al sujeto obligado un Requerimiento de Información Adicional._x000a_              _x000a__x000a_Aplicación:                  SIGEMI_x000a_Tipo de Soporte:         ELIMINAR CIERRE DE   INSTRUCCIÓN _x000a_Observaciones:            _x000a_ _x000a_Su petición fue atendida_x000a_ _x000a__x000a_" u="1"/>
        <s v="Validación de etiquetado final" u="1"/>
        <s v="Notificación de seguimiento  [  MA1207202112 ]_x000a__x000a_Estimado(a):                Alondra Jiménez Hernández_x000a__x000a_ _x000a_ Le informamos que su ticket correspondiente a:_x000a_               _x000a_Les pido su ayuda para eliminar el requerimiento IFAI-REQ-003697-2021, el cual se remitió por error. Acabo de informar la acción a la unidad de transparencia._x000a__x000a_ _x000a_Aplicación:                  HCOM_x000a_Tipo de Soporte:         ELIMINAR REQUERIMIENTO  _x000a_Observaciones:            _x000a_ _x000a_Su petición fue atendida_x000a_" u="1"/>
        <s v="Notificación de seguimiento  [  MA1808202002 ]  _x000a_ _x000a_ _x000a_Estimado(a):                     Lizbeth Adriana Cabrera Ortega_x000a_ _x000a_Le informamos que su ticket correspondiente a:_x000a_               _x000a_Pido tu apoyo a fin de retrotraer lo realizado._x000a__x000a_para que nuevamente en este recurso obre la fecha de interposición el 21 de agosto._x000a__x000a__x000a_ _x000a_Aplicación:                  SIGEMI_x000a_Tipo de Soporte:         cambio de fecha de interposición  _x000a_Observaciones:            _x000a_ _x000a_Su petición fue atendida_x000a_" u="1"/>
        <s v="Se aplica testado de datos al folio: 0000700084420." u="1"/>
        <s v="Se agregan modelo. vistas y metodos para recibir notificaciones push de avisos" u="1"/>
        <s v="Notificación de seguimiento  [  MA1208202004 ]  _x000a_ _x000a_ _x000a_Estimado(a):                     Edgar Michel Loaeza Martínez_x000a_ _x000a_Le informamos que su ticket correspondiente a:_x000a_               _x000a_dar de alta los certificados que se adjuntan, sujeto obligado de la Secretaria de Gobernación _x000a_ _x000a_Aplicación:                  HCOM_x000a_Tipo de Soporte:         CAMBIO DE TUT ( 8 )   _x000a_Observaciones:            _x000a_ _x000a_Su petición fue atendida_x000a_ _x000a_ _x000a_            Favor de validar._x000a_ _x000a_Estatus:                               Concluido._x000a_" u="1"/>
        <s v="Notificación de seguimiento  [  MA1405202004 ]  _x000a_ _x000a_ _x000a_Estimado(a):                     Erika Aguilar_x000a_ _x000a_Le informamos que su ticket correspondiente a:_x000a_               _x000a_ACTUALIZACIÓN DE FECHAS LIMITE _x000a__x000a_ _x000a_Aplicación:                  SIGEMI_x000a_Tipo de Soporte:         AJUSTE DE PLAZOS   _x000a_Observaciones:            _x000a_ _x000a_Su petición fue atendida, se realizó el ajuste de fechas limite de votación en los recursos señalados _x000a_ _x000a_ _x000a_            Favor de validar._x000a_ _x000a_Estatus:                               Concluido._x000a_" u="1"/>
        <s v="Se corrigió incidencia en FOLIO INTERNO" u="1"/>
        <s v="Se buscan los datos y parametros necesarios para abrir pantallas de detalle al llegar una push notification" u="1"/>
        <s v="Se sustituye archivo adjunto y se testan los datos del folio:  1816400005821" u="1"/>
        <s v="Notificación de seguimiento  [  MA0709202005 ]  _x000a_ _x000a_ _x000a_Estimado(a):                     DAVID MENDOZA OLIVA_x000a_ _x000a_Le informamos que su ticket correspondiente a:_x000a_               _x000a_Se adjunta el último correo enviado al Ing. Santana a efecto de apoyarnos con la actualización solicitada. Ya que este fue el primero de otros tres correos y oficios enviados al Director General de Tecnologías de la Información._x000a__x000a_ _x000a_Aplicación:                  HCOM   _x000a_Tipo de Soporte:         CAMBIO DE FECHA DE ATENCIÓN  _x000a_Observaciones:            _x000a_ _x000a_Su petición fue atendida, se realizó el ajuste al día 8 de Octubre del 2020 como se describe en el archivo adjunto _x000a_" u="1"/>
        <s v="Se  testan los datos de la solicitud con folio 0064101152221_x000a_ _x000a_" u="1"/>
        <s v="Se envian de forma local notificaciones al generar solicitudes unicamente para iOS" u="1"/>
        <s v="Se orienta a la usuaria para su ingreso al sistema precedentes." u="1"/>
        <s v="Se  testan los datos del folio:   0064100358021" u="1"/>
        <s v="Notificación de seguimiento  [  MA1811202004 ]  _x000a_ _x000a_ _x000a_Estimado(a):                     Pedro Esquivel Martínez_x000a_ _x000a_ _x000a_Le informamos que su ticket correspondiente a:_x000a_               _x000a_por este medio solicito tu valioso apoyo para realizar el cambio de contraseña para el S.O. “Lotería Nacional para la Asistencia Pública” en el HCOM_x000a__x000a_contraseña: hcom074ty7_x000a__x000a_ _x000a_Aplicación:                  HCOM_x000a_Tipo de Soporte:         CAMBIO DE CONTRASEÑA _x000a_Observaciones:            _x000a_ _x000a_Su petición fue atendida_x000a_" u="1"/>
        <s v="Notificación de seguimiento  [  MA2810202102 ]_x000a__x000a_Estimado(a):                Edgar Michel Loaeza Martínez_x000a__x000a_ _x000a_ Le informamos que su ticket correspondiente a:_x000a_               _x000a_Por medio del presente solicito su valioso apoyo a efecto de realizar el cambio de Titular de la Unidad de Transparencia de la Comisión Nacional del Sistema de Ahorro para el Retiro._x000a__x000a__x000a__x000a_Aplicación:                  HCOM_x000a_Tipo de Soporte:         CAMBIO DE TUT   _x000a_Observaciones:            _x000a_ _x000a_Su petición fue atendida_x000a_" u="1"/>
        <s v="Se sustituye archivo adjunto  del folio: 0064103310620" u="1"/>
        <s v="Notificación de seguimiento  [  MA0303202005 ]  _x000a_ _x000a_ _x000a_Estimado(a):                     HUGO GOVI_x000a_ _x000a_Le informamos que su ticket correspondiente a:_x000a_               _x000a_CANCELACIÓN DE TURNADO DE  LA SIGUIENTE LISTA  SON 10 RECURSOS  DE REVISION YA QUE ENPIZAN CON LA  B Y DEBERIA EMPEZAR CON LA A_x000a_ _x000a_ _x000a_Aplicación:                  SIGEMI_x000a_Tipo de Soporte:         Eliminación de Turno  _x000a_Observaciones:            _x000a_ _x000a_Su petición fue atendida_x000a_ _x000a__x000a_ _x000a_            Favor de validar._x000a_ _x000a_Estatus:                               Concluido._x000a_" u="1"/>
        <s v="Se realizo el home de CBPR" u="1"/>
        <s v="_x000a_Notificación de seguimiento  [  MA1408202005 ]  _x000a_ _x000a_ _x000a_Estimado(a):       Ricardo Marin González              _x000a__x000a_ _x000a_Le informamos que su ticket correspondiente a:_x000a_               _x000a_POR ESTE MEDIO LES HAGO LLEGAR EL ACUERDO EMITIDO POR EL PLENO DEL IDAIPQROO REFERENTE A LA AMPLIACIÓN LOS PLAZOS Y TRÁMITES HASTA EL TREINTA Y UNO DE AGOSTO DE 2020, ANTE LA EMERGENCIA SANITARIA DERIVADA DEL COVID-19, PARA QUE SEA ADICIONADO EN EL APARTADO CORRESPONDIENTE EN LA PNT._x000a__x000a_ACUERDO ACT/PLENO/13/08/20 MEDIANTE EL CUAL EL PLENO DEL INSTITUTO DE ACCESO A LA INFORMACIÓN Y PROTECCIÓN DE DATOS PERSONALES DE QUINTANA ROO (IDAIPQROO), AMPLÍA LA SUSPENSIÓN DE LOS PLAZOS Y TRÁMITES PARA LAS SOLICITUDES DE ACCESO A LA INFORMACIÓN, LAS SOLICITUDES PARA EL EJERCICIO DE LOS DERECHOS ARCO, LOS RECURSOS DE REVISIÓN RESPECTIVOS, Y DENUNCIAS POR INCUMPLIMIENTO A LAS OBLIGACIONES DE TRANSPARENCIA, HASTA EL DIA TREINTA Y UNO DE AGOSTO DE 2020 ANTE LA EMERGENCIA SANITARIA DERIVADA DEL COVID-19. _x000a_http://www.idaipqroo.org.mx/archivos/institucion/comunicados/comunicado_act_sesion_13_de_agosto.pdf_x000a__x000a_EN ESTE MISMO SENTIDO, COMUNICARLES QUE SE HA CONFIGURADO EL CALENDARIO DEL SIGEMI-SICOM CON LOS DÍAS QUE EL PLENO ESTABLECIÓ EN EL ACUERDO REFERIDO, PARA QUE SE PROCEDA A REALIZAR LOS AJUSTES CORRESPONDIENTES POR SU PARTE.  DE IGUAL MANERA QUE EL CALENDARIO DE DÍAS INHÁBILES DEL SISTEMA INFOMEX QUINTANA ROO, HA SIDO CONFIGURADO CON ESTAS CONSIDERACIONES. _x000a__x000a_ _x000a_Aplicación:                  SIGEMI_x000a_Tipo de Soporte:         REVISIÓN DE PLAZOS   _x000a_Observaciones:            _x000a_ _x000a_Anexo las fechas limite de votación localizadas, para realizar el cambio necesitamos de su validación, respecto a casos de cumplimientos, envios de requerimientos no detectamos casos_x000a_ _x000a_ _x000a_            Favor de validar._x000a_ _x000a_" u="1"/>
        <s v="_x000a_Buenas tardes Martha, tu petición fue atendida, favor de validar _x000a__x000a_Saludos _x000a__x000a_Marina Adame Velasco_x000a__x000a_Notificación de seguimiento  [  MA0508202003]  _x000a__x000a_Aplicación:                  INFOMEX NUEVO LEÓN_x000a_Tipo de Soporte:         Ajuste de plazos    _x000a_Estatus:                               Concluido._x000a__x000a_" u="1"/>
        <s v="Analisis de Buscadores " u="1"/>
        <s v="Avance mockups segumiento de actividades" u="1"/>
        <s v="Se desarrollò la pàgina de Principios dentro del sitio de comite de etica, agregando la informaciòn compartida con base en el diseño compartido" u="1"/>
        <s v="Definición de herramienta para realizar la extracción de datos" u="1"/>
        <s v="Notificación de seguimiento  [  MA1504202105 ]  _x000a_ _x000a_ _x000a_Estimado(a):                     Alondra Jiménez Hernández_x000a_ _x000a_ _x000a_Le informamos que su ticket correspondiente a:_x000a_               _x000a_Anexo el registro actualizado del certificado del Titular de la Unidad de Transparencia de la ADMINISTRACION PORTUARIA INTEGRAL DE TOPOLOBAMPO, S.A. DE C.V.  para su renovación en la HCOM.  _x000a_ _x000a_Aplicación:                  HCOM_x000a_Tipo de Soporte:        RENOVAR CERTIFICADO   _x000a_Observaciones:            _x000a_ _x000a_Su petición fue atendida_x000a_" u="1"/>
        <s v="Implementación de ambiente de trabajo de Consulta Publica (Declaranet)" u="1"/>
        <s v="_x000a_Notificación de seguimiento  [  MA0110202001 ]  _x000a_ _x000a_ _x000a_Estimado(a):                     Pedro Esquivel Martínez_x000a_ _x000a_Le informamos que su ticket correspondiente a:_x000a_               _x000a_por este medio solicito tu valioso apoyo al haber cambio de Titular, anexo el registro actualizado del certificado del Titular de la Unidad de Enlace del  “Lotería Nacional para la Asistencia Pública” Lo Anterior a fin de que sus accesos sean habilitados en los otros sistemas que administra este Instituto (HCOM).  CAMBIO DE TITULAR, en cuanto se reciba la atención en HCOM se realizará la actualización de los demás sistemas correspondientes._x000a_ _x000a__x000a_ _x000a_Aplicación:                  HCOM_x000a_Tipo de Soporte:         CAMBIO DE TUT  _x000a_Observaciones:            _x000a_ _x000a_Su petición fue atendida_x000a_ _x000a_" u="1"/>
        <s v="_x000a_Notificación de seguimiento  [  MA1202202107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2 al 28 febrero de 2021; debiéndose considerar los días comprendidos dentro de dicho periodo como inhábiles para evitar la propagación del coronavirus COVID-19._x000a__x000a_Aplicación:                  INFOMEX NUEVO LEON_x000a_Tipo de Soporte:         AJUSTE DE PLAZOS  _x000a_Observaciones:            _x000a_ _x000a_Su petición fue atendida_x000a_" u="1"/>
        <s v="_x000a_Notificación de seguimiento  [  MA1711202003 ]  _x000a_ _x000a_ _x000a_Estimado(a):                     Laura Mónica Segovia Tellez_x000a_ _x000a_ _x000a_Le informamos que su ticket correspondiente a:_x000a_               _x000a_En relación con la notificación del requerimiento de información adicional del RRA 9872/20, se notificó en la PNT el 12 de noviembre y el plazo correcto para desahogo es el 18 de noviembre, porque el acuerdo señala como plazo 3 días con posterioridad a la notificación._x000a__x000a_La Unidad de Transparencia del sujeto obligado observa que hoy fenece el plazo establecido en la PNT._x000a_ _x000a_Aplicación:                  SIGEMI_x000a_Tipo de Soporte:         CAMBIO DE FECHA _x000a_Observaciones:            _x000a_ _x000a_Su petición fue atendida_x000a_" u="1"/>
        <s v="Se aplica el testado de datos de la solicitud: 0000700002620." u="1"/>
        <s v="Se aplica testado de datos al folio: 1816400076920." u="1"/>
        <s v="Se cambia el tipo de solicitud del folio: 0130000004521" u="1"/>
        <s v="Notificación de seguimiento  [  MA2506202001 ]  _x000a_ _x000a_ _x000a_Estimado(a):                     Pedro Esquivel Martínez_x000a_ _x000a_Le informamos que su ticket correspondiente a:_x000a_               _x000a_ _x000a_Anexo el registro actualizado del certificado del Titular de la Unidad de Enlace del  “INSTITUTO PARA DEVOLVER AL PUEBLO LO ROBADO&quot; ANTES &quot;SERVICIO DE ADMINISTRACIÓN Y ENAJENACIÓN DE BIENES” Lo Anterior a fin de que sus accesos sean habilitados en los otros sistemas que administra este Instituto (HCOM).  CAMBIO DE TITULAR , en cuanto se reciba la atención en HCOM se realizará la actualización de los demás sistemas correspondientes._x000a_ _x000a__x000a_ _x000a_Aplicación:                  HCOM_x000a_Tipo de Soporte:         CAMBIO DE TUT     _x000a_Observaciones:            _x000a_ _x000a_Su petición fue atendida_x000a_ _x000a__x000a_" u="1"/>
        <s v="Se desarrollò la pàgina de Acciones realizadas programas dentro del sitio de comite de etica, agregando la informaciòn compartida con base en el diseño compartido" u="1"/>
        <s v="Se desarrollò la pàgina de marco normativo institucional dentro del sitio de comite de etica, agregando la informaciòn compartida con base en el diseño compartido" u="1"/>
        <s v="Se desarrollò la pàgina de marco normativo internacional dentro del sitio de comite de etica, agregando la informaciòn compartida con base en el diseño compartido" u="1"/>
        <s v="Módulo para la carga masiva de usuarios." u="1"/>
        <s v="Desarrollo y validación de webservice para la actualizacion de avisos " u="1"/>
        <s v="Se validó el paquete-procedimiento 'OBTENER_ULTIMA_RESPUESTA' con el bloque anónimo correcto y se tuvo un resultado exitoso con la salida del cursor completo de nuevo" u="1"/>
        <s v="Construccion vista para resultados busqueda Sueldos, tambien se construye un modelo y json de pruebas" u="1"/>
        <s v="Notificación de seguimiento  [  MA1303202006 ]  _x000a_ _x000a_ _x000a_Estimado(a):                     Moisés Guzmán Arias_x000a_ _x000a_Le informamos que su ticket correspondiente a:_x000a_               _x000a_Por este medio me permito comunicar con Ustedes a fin de requerirles su apoyo para que el recurso RR-909/2019  se retroceda al proceso de sustanciación (Deshacer el último paso realizado en donde se presenta al pleno)_x000a__x000a_ _x000a_Aplicación:                  SIGEMI_x000a_Tipo de Soporte:         REGRESO DE PASOS  _x000a_Observaciones:            _x000a_ _x000a_Su petición fue atendida_x000a_" u="1"/>
        <s v="Se testan los datos de la solicitud con folio:0064101582621" u="1"/>
        <s v="Notificación de seguimiento  [  MA0705202107 ]  _x000a_ _x000a_ _x000a_Estimado(a):                     Martha Rubí Zaragoza Mora_x000a_ _x000a_ _x000a_Le informamos que su ticket correspondiente a:_x000a_               _x000a_El presente correo es para pedir su amable apoyo para el ajuste de términos de un folio que no se envió en el momento de este sujeto obligado._x000a_ _x000a_Aplicación:                  INFOMEX NUEVO LEÓN_x000a_Tipo de Soporte:         AJUSTE DE PLAZOS _x000a_Observaciones:            _x000a_ _x000a_Su petición fue atendida_x000a_ _x000a_  _x000a_            Favor de validar._x000a_ _x000a_Estatus:                               Concluido._x000a_" u="1"/>
        <s v="Evaluación de datos estructurados, semi-estructurados y no estructurados" u="1"/>
        <s v="Actualización del  Excel (SISAI_catalogos_TareaXEdos.xlsx)  con la incorporación de nuevos registros de plantillas, por lo que se debió actualizar el proceso completo de inserts de las 32 entidades de la tabla SISAI_TW_CONFIG_RESPUESTAS, pero quedó pendiente de validar debido a que 2 registros identifiqué duplicados y otros dos registros la secuencia causó dudas, por tanto se consultó con Samuel quién dijo se deberá consultar con Roberto." u="1"/>
        <s v="Continúa el apoyo en consultas y validación de la información generada con las bases de datos en custodia (casos de diversos estados) en lo referente principalmente a documentación adjunta.  _x000a_Se realizó la población de las tablas derivadas de los catálogos de VUT._x000a_Se inicia la extracción de información del estado de México, documentación adjunta 2008 y 2009." u="1"/>
        <s v="Generación de script de lematización de texto" u="1"/>
        <s v="Corrección de Queries y pruebas en producción" u="1"/>
        <s v="Notificación de seguimiento  [  MA3108202001 ]  _x000a_ _x000a_ _x000a_Estimado(a):                     Rosalinda Coria Mosqueda_x000a_ _x000a_Le informamos que su ticket correspondiente a:_x000a_               _x000a_Agradeceré su apoyo, para regresar a la actividad de admitir/desecha el recurso RRA 8180/20 de ASF, por omisión se notificó la prevención y se trata de un Sujeto Obligado con actividades no esenciales y está en suspensión de plazos._x000a_ _x000a_Aplicación:                  SIGEMI_x000a_Tipo de Soporte:         REGRESO DE PASOS  _x000a_Observaciones:            _x000a_ _x000a_Su petición fue atendida_x000a_" u="1"/>
        <s v="En este contexto, y derivado de esta primera etapa de implementación en México, hoy contamos con diversas opciones para el público en general, las cuales tienen el propósito de difundir información pública y estadística," u="1"/>
        <s v="Se aplica testado de datos al folio:  011000019921" u="1"/>
        <s v="Análisis para la configuración de Sistema Operativo de Jboss" u="1"/>
        <s v="Notificación de seguimiento  [  MA2909202202 ]_x000a__x000a_Estimado(a):                Edgar Michel Loaeza Martínez_x000a__x000a_ _x000a_ Le informamos que su ticket correspondiente a:_x000a__x000a_…sustitución de certificados de los sujetos obligados indirectos del Instituto Nacional de Antropología es Historia._x000a__x000a_ _x000a_Aplicación:                  HCOM_x000a_Tipo de Soporte         ACTUALIZACIÓN DE CERTIFICADO ( 4 ) " u="1"/>
        <s v="Se elimina la respuesta del folio: 0064100685221" u="1"/>
        <s v="Interfaz login redes sociales" u="1"/>
        <s v="Generación de scripts para unificación del texto a etiquetar" u="1"/>
        <s v="Notificación de seguimiento  [  MA2209202002 ]  _x000a_ _x000a_ _x000a_Estimado(a):                     Laura Mónica Segovia Tellez_x000a_ _x000a_Le informamos que su ticket correspondiente a:_x000a_               _x000a_Solicito su amable apoyo a fin de que sea cambiado el correo electrónico del particular del recurso de revisión RRA 04402/20, ya que en su escrito libre informo de un correo diferente al que se encuentra en la PNT_x000a_El cual es  mmagana3182@gmail.com_x000a__x000a_ _x000a_Aplicación:                  SIGEMI_x000a_Tipo de Soporte:         cambio de medio   _x000a_Observaciones:            _x000a_ _x000a_Su petición fue atendida_x000a_" u="1"/>
        <s v="Se aplica eliminación de formato de pago: 0063700203220." u="1"/>
        <s v="Buenas tardes José Manuel, tu petición fue atendida, favor de validar _x000a__x000a_Saludos _x000a__x000a_Marina Adame Velasco_x000a__x000a_Notificación de seguimiento  [  MA2304202003 ]  _x000a__x000a_Aplicación:                  INFOMEX QUERÉTARO _x000a_Tipo de Soporte:         Reportes   _x000a_Estatus:                               Concluido._x000a_" u="1"/>
        <s v="Configuración de servidor para el día del evento" u="1"/>
        <s v="Buenas tardes Francisco, tu petición fue atendida, favor de validar …_x000a_ _x000a_ NOMBRE GUIDDEPARTAMENTO_x000a_ Personas Físicas o Morales 20191017-1548-2300-7290-999a3f1ca148_x000a_ Organismos Autónomos aaaaaaaa-bbbb-cccc-dddd-eeeeeee00002_x000a_ Poder Ejecutivo aaaaaaaa-bbbb-cccc-dddd-eeeeeee00011_x000a_ Poder Judicial aaaaaaaa-bbbb-cccc-dddd-eeeeeee00126_x000a_ Poder Legislativo aaaaaaaa-bbbb-cccc-dddd-eeeeeee00135_x000a_ Municipios aaaaaaaa-bbbb-cccc-dddd-eeeeeee00140_x000a_ Fondos y Fideicomisos aaaaaaaa-bbbb-cccc-dddd-eeeeeee00275_x000a_ Partidos Políticos aaaaaaaa-bbbb-cccc-dddd-eeeeeee00334_x000a_ Sindicatos aaaaaaaa-bbbb-cccc-dddd-eeeeeee00353_x000a_ _x000a_ _x000a_ Saludos _x000a_ _x000a_ Marina Adame Velasco_x000a_ _x000a_ Notificación de seguimiento [ MA2101202005 ] _x000a_ _x000a_ Aplicación: INFOMEX NL_x000a_ Tipo de Soporte: Consulta de datos" u="1"/>
        <s v="Se  testan los datos del folio:  0064101440021" u="1"/>
        <s v="Documentación de la configuración y Arranque del sistema" u="1"/>
        <s v="_x000a_Notificación de seguimiento  [  MA1208202003 ]  _x000a_ _x000a_ _x000a_Estimado(a):                     Lic. Mario Medrano_x000a_ _x000a_Le informamos que su ticket correspondiente a:_x000a_               _x000a_corregir dentro del SIGEMI los recursos de revisión RR/103/20 y RR/155/20 que corresponden a la ponencia de la Comisionada Luz María Mariscal Cárdenas, ya que por error se seleccionaron para desechar, sin ser notificados aún,  cuando estos debieron ser admitidos, por lo que solicito si pueden regresar ese paso para poder realizar el trámite correcto del recurso en el sistema. Intente realizarlo en el paso de reconducción pero no lo me fue posible. _x000a_ _x000a_Aplicación:                  SIGEMI_x000a_Tipo de Soporte:         REGRESO DE PASOS  ( 2 )_x000a_Observaciones:            _x000a_ _x000a_Su petición fue atendida_x000a_" u="1"/>
        <s v="Notificación de seguimiento  [  MA2810202006 ] _x000a_ _x000a_ _x000a_Estimado(a):                     Laura Segovia_x000a_ _x000a_Le informamos que su ticket correspondiente a:_x000a_              _x000a__x000a_El recurso RRA 4942/20 viene doble el paso del cierre de instrucción_x000a_ _x000a__x000a_ _x000a_ _x000a_Aplicación:                  SIGEMI_x000a_Tipo de Soporte:         ELIMINACION DE CIERRE_x000a_Observaciones:           _x000a_ _x000a_Su petición fue atendida" u="1"/>
        <s v="Buenas tardes Francisco, tu petición fue atendida, favor de validar _x000a_ _x000a_ nombre guiddepartamento_x000a_ Instituto Municipal para el Desarrollo Cultural de San Nicolás de los Garza, Nuevo León 20200107-1615-2500-3260-5a907732ae81_x000a_ Colegio de Bachilleres Militarizado General Mariano Escobedo 20200109-1628-4600-6260-f0c4f31e7fb1_x000a_ _x000a_ _x000a_ Saludos _x000a_ _x000a_ Marina Adame Velasco_x000a_ _x000a_ Notificación de seguimiento [ MA0901202010 ] _x000a_ _x000a_ Aplicación: INFOMEX NL_x000a_ Tipo de Soporte: Consulta de datos _x000a_ Estatus: Concluido." u="1"/>
        <s v="Se aplica testado de datos al folio: 0064100135321" u="1"/>
        <s v="Configuración servidor Flujos" u="1"/>
        <s v="Se elimina la ultima respuesta del folio 0002800051421" u="1"/>
        <s v="Revisión de pendientes finales e inicio de creación de documento de referencia sobre el uso de la librería AMCharts para la creación de gráficas" u="1"/>
        <s v="Verificar instalación en ambient de QA " u="1"/>
        <s v="Notificación de seguimiento  [  MA0306202113 ]_x000a__x000a_Estimado(a):                Laura Mónica Segovia Tellez_x000a__x000a_ _x000a_ Le informamos que su ticket correspondiente a:_x000a_               _x000a_Solicito su amable apoyo para que sea eliminada del sistema la respuesta al requerimiento de información adicional realizada el día de ayer en el recurso RRA 5593/21, ya que la información no corresponde con lo solicitado, y también que el plazo para el desahogo continúe conforme al acuerdo. _x000a__x000a_ _x000a_Aplicación:                  SIGEMI_x000a_Tipo de Soporte:         REGRESO DE PASOS  _x000a_Observaciones:            _x000a_ _x000a_Su petición fue atendida_x000a_" u="1"/>
        <s v="Notificación de seguimiento  [  MA3006202001 ]  _x000a_ _x000a_ _x000a_Estimado(a):                     Betzabé Flores Terán_x000a_ _x000a_ _x000a_Le informamos que su ticket correspondiente a:_x000a_               _x000a_Solicito de su apoyo para actualizar en la Herramienta de Comunicación los certificados de los sujetos obligados de la base que se adjunta, ya que estos han vencido._x000a_ _x000a_ _x000a_Aplicación:                  HCOM   _x000a_Tipo de Soporte:         cambio de TUT   ( 5 )_x000a_Observaciones:            _x000a_ _x000a_Le comento que se comenzó el cambio de titulares solicitados, conforme se vayan realizando las actualizaciones se les notificarán los cambios _x000a_ _x000a_Se realizó la actualización de los siguientes:_x000a__x000a_" u="1"/>
        <s v="Se  testan los datos del folio: 0064101374621" u="1"/>
        <s v="Se aplica testado de datos al folio: 0064103304820" u="1"/>
        <s v="Notificación de seguimiento [ MA2901202008 ] _x000a_  _x000a_  _x000a_ Estimado(a): Lizbeth Adriana Cabrera Ortega_x000a_  _x000a_ Le informamos que su ticket correspondiente a:_x000a_  _x000a_ Con el fin de atender la petición de la ponencia te pido el cambio de medio de notificación del recurso aludido en el asunto._x000a_ _x000a_ DICE_x000a_ _x000a_ CORREO ELECTRÓNICO_x000a_ _x000a_ DEBE DECIR_x000a_ _x000a_  A través del sistema de gestion de medios de impugnación de la PNT_x000a_ _x000a_  _x000a_ Aplicación: SIGEMI_x000a_ Tipo de Soporte: CAMBIO DE MEDIO _x000a_ Observaciones: _x000a_  _x000a_ Su petición fue atendida" u="1"/>
        <s v="Adecuación del tema para implementar la funcionalidad del dinamísmo en todas las páginas tanto publicas como privada de liferay, así como las pruebas locales, en desarrollo y puesta en producción." u="1"/>
        <s v="Se sustituye archivo del folio 0002700095521 " u="1"/>
        <s v="Notificación de seguimiento  [  MA2802202004 ]  _x000a_ _x000a_ _x000a_Estimado(a):                     Oscar Graciano Aranda Leonel_x000a_ _x000a_Le informamos que su ticket correspondiente a:_x000a_               _x000a_Solicito tu amable intervención para que en el expediente electrónico RRA 15736/19  (TECNM), sea regresado el paso “solicitar audiencia”, toda vez que por un error involuntario se notificó audiencia en un expediente que no era el correcto, por lo que resulta necesario que se regrese el paso con la finalidad de que el TECNM no acuda a una audiencia que no es requerida en el desahogo del expediente RRA 15736/19._x000a_ _x000a_ _x000a_Aplicación:                  SIGEMI_x000a_Tipo de Soporte:         REGRESO DE PASOS  _x000a_Observaciones:            _x000a_ _x000a_Su petición fue atendida, se realizó el regreso al paso Notificación de audiencia_x000a_ _x000a_" u="1"/>
        <s v="Recuperar información del servicio rest catalogo integrante " u="1"/>
        <s v="Elaboración y reunión para entregar recursos java, configuración y war para el proyecto de pizarras para los lideres de proyecto y jefe del proyecto" u="1"/>
        <s v="Notificación de seguimiento  [  MA1103202003 ]  _x000a_ _x000a_ _x000a_Estimado(a):                     Rosalinda Coria Mosqueda_x000a_ _x000a_Le informamos que su ticket correspondiente a:_x000a_               _x000a_Agradeceré registrar la cuenta de correo electrónico rodriguezarredondoregino@hotmail.com, en el recurso RRD 0115/20 en contra IMSS, en virtud de la imposibilidad que notificar en la cuenta registrada, y derivado de la solicitud manifestada por el solicitante de ser notificado en esta nueva cuenta de correo._x000a_ _x000a_Aplicación:                  SIGEMI_x000a_Tipo de Soporte:         cambio de correo _x000a_Observaciones:            _x000a_ _x000a_Su petición fue atendida_x000a_" u="1"/>
        <s v="Notificación de seguimiento  [  MA1401202105 ]  _x000a_ _x000a_ _x000a_Estimado(a):                     Berenice Hernández Sumano_x000a_ _x000a_ _x000a_Le informamos que su ticket correspondiente a:_x000a_               _x000a_ajustar las fechas de caducidad de los folios siguientes, dado que por error no fueron considerados en el tercer recorrido de plazos aplicado a los SO del Edo. Oaxaca que continúan en suspensión por la contingencia sanitaria. Asimismo solicito se borren los archivos PDF de los acuses generados._x000a_ _x000a_Aplicación:                  INFOMEX OAXACA_x000a_Tipo de Soporte:         AJUSTE DE PLAZOS    _x000a_Observaciones:            _x000a_ _x000a_Su petición fue atendida_x000a_" u="1"/>
        <s v="Definición de herramienta para la descompresión de archivos" u="1"/>
        <s v="Testado de datos y sustituir archivo adjunto  del folio: 1816900003021" u="1"/>
        <s v="Buenos días, les informo que el respaldo de su base de datos de esta semana ya está en el repositorio…   _x000a__x000a__x000a_http://documentos.inai.org.mx/tmp/infomexNL_backup_2021-06-28_0800.bak_x000a__x000a__x000a_Saludos Cordiales_x000a_ _x000a_Marina Adame Velasco       _x000a__x000a__x000a_Notificación de seguimiento  [  MA2806202102 ]_x000a_ _x000a_Aplicación:                  INFOMEX NUEVO LEÓN _x000a_Tipo de Soporte:         RESPALDO DE BD  _x000a__x000a_Estatus:                               Concluido_x000a__x000a_" u="1"/>
        <s v="Buenos días, les informo que el respaldo de su base de datos de esta semana ya está en el repositorio…   _x000a__x000a_http://documentos.inai.org.mx/tmp/infomexGUERRERO_backup_2021-06-21_0800.bak_x000a__x000a_Saludos Cordiales_x000a_Marina Adame Velasco       _x000a__x000a__x000a_Notificación de seguimiento  [  MA2106202103 ]_x000a_ _x000a_Aplicación:                  INFOMEX GUERRERO _x000a_Tipo de Soporte:         RESPALDO DE BD  _x000a__x000a_Estatus:                               Concluido_x000a__x000a_" u="1"/>
        <s v="Se elimina popup del home" u="1"/>
        <s v="Documento de actividades para el plan de trabajo " u="1"/>
        <s v="Actualización respuesta-solicitante estilos modificados, uploadFile modificado y pulido" u="1"/>
        <s v="Se programo un boton de descarga para las presentaciones de las capacitaciones en linea" u="1"/>
        <s v="Se  testan los datos del folio: 0064102191021" u="1"/>
        <s v="Notificación de seguimiento  [  MA0411202004 ]  _x000a_ _x000a_ _x000a_Estimado(a):                     Martha Rubí Zaragoza Mora_x000a_ _x000a_ _x000a_Le informamos que su ticket correspondiente a:_x000a_               _x000a_Ajuste de términos de los folios debido al Acuerdo que enviaron los siguientes Sujetos Obligados a la COTAI por el cual se amplían la fecha del 01 al 30 de noviembre de 2020; debiéndose considerar los días comprendidos dentro de dicho periodo como inhábiles para evitar la propagación del coronavirus COVID-19._x000a_ _x000a_Aplicación:                  INFOMEX NUEVO LEÓN_x000a_Tipo de Soporte:         AJUSTE DE PLAZOS    _x000a_Observaciones:            _x000a_ _x000a_Su petición fue atendida_x000a_" u="1"/>
        <s v="Notificación de seguimiento  [  MA2802202202 ]_x000a__x000a_Estimado(a):                Edgar Michel Loaeza Martínez_x000a__x000a_ _x000a_ Le informamos que su ticket correspondiente a:_x000a_               _x000a_Por medio del presente solicito su valioso apoyo a efecto de realizar el cambio de Titular de la Unidad de Transparencia de la Secretaría de Marina._x000a__x000a_Para tal efecto, anexo al presente el certificado, cedula de registro y nombramiento, lo anterior, a fin de que sus accesos sean habilitados en los sistemas que administra este Instituto (HCOM).  _x000a__x000a_Aplicación:                  HCOM_x000a_Tipo de Soporte:         TUT   _x000a_Observaciones:            _x000a_ _x000a_Su petición fue atendida_x000a_" u="1"/>
        <s v="Evaluación y diseño para análisis de ontología" u="1"/>
        <s v="Notificación de seguimiento  [  MA1803202001 ]  _x000a_ _x000a_ _x000a_Estimado(a):                     Sergio Rafael Cortés Alpizar_x000a_ _x000a_Le informamos que su ticket correspondiente a:_x000a_               _x000a_Por este medio solicito su apoyo para que se cancele la actividad de &quot;Envia y específica fecha de requerimiento&quot; del recurso de revision RRA 2341/20 en contra de la Comisión Nacional de los Derechos Humanos, de fecha 17/03/2020, que se notificó a las 16:29:30 hrs._x000a_ _x000a_Aplicación:                  SIGEMI_x000a_Tipo de Soporte:         Cancelar actividad  _x000a_Observaciones:            _x000a_ _x000a_Su petición fue atendida_x000a_ _x000a__x000a_ _x000a_            Favor de validar._x000a_ _x000a_Estatus:                               Concluido._x000a_" u="1"/>
        <s v="Se testan los datos de la solicitud con folio:  0064101376021" u="1"/>
        <s v="Se testan los datos  del folio: 0064101453621" u="1"/>
        <s v="Transferencia de conocimiento de SAP - DGTI_x000a_Actualización de material de transrefencia" u="1"/>
        <s v="Se aplica testado de datos al folio: 0064100062221" u="1"/>
        <s v="Se testan datos y se sustituye archivo del folio 011000032121" u="1"/>
        <s v="Se solicita la recuperación de una lista de usuarios en un ambiente de calidad, y recuperación de contraseñas." u="1"/>
        <s v="autenticación con Chrome" u="1"/>
        <s v="Notificación de seguimiento  [  MA2503202001 ]  _x000a_ _x000a_ _x000a_Estimado(a):                     Tiara Gethsemanni Miranda Fuentes_x000a_ _x000a_Le informamos que su ticket correspondiente a:_x000a_               _x000a_Por medio de presente, solicito de la manera más atenta, su apoyo para retroceder los pasos en el sistema SIGEMI-SICOM en la PNT de los asuntos que se enlistan a continuación; hasta la actividad “Registrar información de la sesión del pleno”; sin más por el momento, quedo en espera de sus comentarios._x000a_ _x000a_• RRA 02707/20_x000a_• RRA 02804/20_x000a_ _x000a__x000a_ _x000a_Aplicación:                  SIGEMI_x000a_Tipo de Soporte:         REGRESO DE PASOS  _x000a_Observaciones:            _x000a_ _x000a_Su petición fue atendida_x000a_" u="1"/>
        <s v="Definición del proceso para lograr la conexión de forma segura a la PNT" u="1"/>
        <s v="Se  testan los datos del folio: 0064101439621" u="1"/>
        <s v="Notificación de seguimiento  [  MA1510202006 ]  _x000a_ _x000a_ _x000a_Estimado(a):                     Ricardo Marin Gonzalez_x000a_ _x000a_Le informamos que su ticket correspondiente a:_x000a_               _x000a_NOS REPORTA LA SECRETARÍA EJECUTIVA DEL INSTITUTO, QUE POR EQUIVOCACIÓN TURNÓ UN EXPEDIENTE A UN COMISIONADO QUE NO LE CORRESPONDIA, POR LO QUE SOLICITAMOS TU VALIOSO APOYO PARA PODER REALIZAR LA REASIGNACIÓN A LA COMISIONADA CORRECTA. LOS DATOS SON:_x000a__x000a_EXPEDIENTE: PNTRR/218-20/JOER_x000a_TURNADO A: COMISIONADO JOSÉ ORLANDO ESPINOSA RODRÍGUEZ_x000a_ESTADO: ADMITIR/PREVENIR_x000a__x000a_DEBE SER:_x000a_EXPEDIENTE: PNTRR/218-20/CYDV_x000a_TURNADO A: COMISIONADA CINTIA YRAZU DE LA TORRE VILLANUEVA._x000a_ESTADO: ADMITIR/PREVENIR._x000a__x000a_ _x000a_Aplicación:                  SIGEMI_x000a_Tipo de Soporte:         Cambio de Comisionado en turnado  _x000a_" u="1"/>
        <s v="Se corrige la descarga del adjunto en el recurrente prevencion" u="1"/>
        <s v="Instalación Campus Privado " u="1"/>
        <s v="Se continua con el desarrollo del mosulo de Tipos de Expediente" u="1"/>
        <s v="creacion html, css comonente compartido" u="1"/>
        <s v="_x000a_Buenas tardes Martha, tu petición fue atendida, favor de validar _x000a__x000a_Saludos _x000a__x000a_Marina Adame Velasco_x000a__x000a_Notificación de seguimiento  [  MA1009202007 ]  _x000a__x000a_Aplicación:                  INFOMEX NUEVO LEÓN_x000a_Tipo de Soporte:         AJUSTE DE PLAZOS    _x000a_Estatus:                               Concluido._x000a_" u="1"/>
        <s v="_x000a_Buenas tardes Martha, tu petición fue atendida, favor de validar _x000a__x000a_Saludos _x000a__x000a_Marina Adame Velasco_x000a__x000a_Notificación de seguimiento  [  MA1009202012 ]  _x000a__x000a_Aplicación:                  INFOMEX NUEVO LEÓN_x000a_Tipo de Soporte:         AJUSTE DE PLAZOS    _x000a_Estatus:                               Concluido._x000a_" u="1"/>
        <s v="_x000a_Buenas tardes Martha, tu petición fue atendida, favor de validar _x000a__x000a_Saludos _x000a__x000a_Marina Adame Velasco_x000a__x000a_Notificación de seguimiento  [  MA1310202008 ]  _x000a__x000a_Aplicación:                  INFOMEX NUEVO LEÓN_x000a_Tipo de Soporte:         AJUSTE DE PLAZOS    _x000a_Estatus:                               Concluido._x000a_" u="1"/>
        <s v="_x000a_Buenas tardes Martha, tu petición fue atendida, favor de validar _x000a__x000a_Saludos _x000a__x000a_Marina Adame Velasco_x000a__x000a_Notificación de seguimiento  [  MA1407202006 ]  _x000a__x000a_Aplicación:                  INFOMEX NUEVO LEÓN_x000a_Tipo de Soporte:         AJUSTE DE PLAZOS    _x000a_Estatus:                               Concluido._x000a_" u="1"/>
        <s v="_x000a_Buenas tardes Martha, tu petición fue atendida, favor de validar _x000a__x000a_Saludos _x000a__x000a_Marina Adame Velasco_x000a__x000a_Notificación de seguimiento  [  MA3009202008 ]  _x000a__x000a_Aplicación:                  INFOMEX NUEVO LEÓN_x000a_Tipo de Soporte:         AJUSTE DE PLAZOS    _x000a_Estatus:                               Concluido._x000a_" u="1"/>
        <s v="Notificación de seguimiento  [  MA1201202102 ]  _x000a_ _x000a_ _x000a_Estimado(a):                     BERENICE HERNANDEZ_x000a_ _x000a_ _x000a_Le informamos que su ticket correspondiente a:_x000a_               _x000a_ajustar las fechas de caducidad de los folios siguientes…_x000a_ _x000a_Aplicación:                  INFOMEX OAXACA_x000a_Tipo de Soporte:         AJUSTE DE PLAZOS    _x000a_Observaciones:            _x000a_ _x000a_Su petición fue atendida_x000a_" u="1"/>
        <s v="Generar certificado para SO obligado Instituto de Investigaciones Dr. José María Luis Mora" u="1"/>
        <s v="Buenas tardes Berenice, tu petición fue atendida, favor de validar _x000a__x000a_Saludos _x000a__x000a_Marina Adame Velasco_x000a__x000a_Notificación de seguimiento  [  MA0207202005 ]  _x000a__x000a_Aplicación:                  INFOMEX OAXACA_x000a_Tipo de Soporte:         AJUSTE DE PLAZOS    _x000a_Estatus:                               Concluido._x000a__x000a_" u="1"/>
        <s v="Buenas tardes Berenice, tu petición fue atendida, favor de validar _x000a__x000a_Saludos _x000a__x000a_Marina Adame Velasco_x000a__x000a_Notificación de seguimiento  [  MA0508202004 ]  _x000a__x000a_Aplicación:                  INFOMEX OAXACA_x000a_Tipo de Soporte:         Ajuste de plazos    _x000a_Estatus:                               Concluido._x000a__x000a_" u="1"/>
        <s v="Buenas tardes Berenice, tu petición fue atendida, favor de validar _x000a__x000a_Saludos _x000a__x000a_Marina Adame Velasco_x000a__x000a_Notificación de seguimiento  [  MA0605202006 ]  _x000a__x000a_Aplicación:                  INFOMEX OAXACA_x000a_Tipo de Soporte:         AJUSTE DE PLAZOS    _x000a_Estatus:                               Concluido._x000a__x000a_" u="1"/>
        <s v="Buenas tardes Berenice, tu petición fue atendida, favor de validar _x000a__x000a_Saludos _x000a__x000a_Marina Adame Velasco_x000a__x000a_Notificación de seguimiento  [  MA0807202005 ]  _x000a__x000a_Aplicación:                  INFOMEX OAXACA_x000a_Tipo de Soporte:         AJUSTE DE PLAZOS    _x000a_Estatus:                               Concluido._x000a__x000a_" u="1"/>
        <s v="Buenas tardes Berenice, tu petición fue atendida, favor de validar _x000a__x000a_Saludos _x000a__x000a_Marina Adame Velasco_x000a__x000a_Notificación de seguimiento  [  MA0906202006 ]  _x000a__x000a_Aplicación:                  INFOMEX OAXACA_x000a_Tipo de Soporte:         AJUSTE DE PLAZOS    _x000a_Estatus:                               Concluido._x000a__x000a_" u="1"/>
        <s v="Buenas tardes Berenice, tu petición fue atendida, favor de validar _x000a__x000a_Saludos _x000a__x000a_Marina Adame Velasco_x000a__x000a_Notificación de seguimiento  [  MA0907202007 ]  _x000a__x000a_Aplicación:                  INFOMEX OAXACA_x000a_Tipo de Soporte:         AJUSTE DE PLAZOS    _x000a_Estatus:                               Concluido._x000a__x000a_" u="1"/>
        <s v="Buenas tardes Berenice, tu petición fue atendida, favor de validar _x000a__x000a_Saludos _x000a__x000a_Marina Adame Velasco_x000a__x000a_Notificación de seguimiento  [  MA1405202002 ]  _x000a__x000a_Aplicación:                  INFOMEX OAXACA _x000a_Tipo de Soporte:         Ajuste de plazos   _x000a_Estatus:                               Concluido._x000a__x000a_" u="1"/>
        <s v="Buenas tardes Berenice, tu petición fue atendida, favor de validar _x000a__x000a_Saludos _x000a__x000a_Marina Adame Velasco_x000a__x000a_Notificación de seguimiento  [  MA1408202003 ]  _x000a__x000a_Aplicación:                  INFOMEX OAXACA_x000a_Tipo de Soporte:         AJUSTE DE PLAZOS    _x000a_Estatus:                               Concluido._x000a__x000a_" u="1"/>
        <s v="Buenas tardes Berenice, tu petición fue atendida, favor de validar _x000a__x000a_Saludos _x000a__x000a_Marina Adame Velasco_x000a__x000a_Notificación de seguimiento  [  MA1507202003 ]  _x000a__x000a_Aplicación:                  INFOMEX OAXACA_x000a_Tipo de Soporte:         AJUSTE DE PLAZOS    _x000a_Estatus:                               Concluido._x000a__x000a_" u="1"/>
        <s v="Buenas tardes Berenice, tu petición fue atendida, favor de validar _x000a__x000a_Saludos _x000a__x000a_Marina Adame Velasco_x000a__x000a_Notificación de seguimiento  [  MA1606202006 ]  _x000a__x000a_Aplicación:                  INFOMEX OAXACA_x000a_Tipo de Soporte:         AJUSTE DE PLAZOS    _x000a_Estatus:                               Concluido._x000a__x000a_" u="1"/>
        <s v="Buenas tardes Berenice, tu petición fue atendida, favor de validar _x000a__x000a_Saludos _x000a__x000a_Marina Adame Velasco_x000a__x000a_Notificación de seguimiento  [  MA2107202001 ]  _x000a__x000a_Aplicación:                  INFOMEX OAXACA_x000a_Tipo de Soporte:         Ajuste de plazos    _x000a_Estatus:                               Concluido._x000a__x000a_" u="1"/>
        <s v="Buenas tardes Berenice, tu petición fue atendida, favor de validar _x000a__x000a_Saludos _x000a__x000a_Marina Adame Velasco_x000a__x000a_Notificación de seguimiento  [  MA2705202004 ]  _x000a__x000a_Aplicación:                  INFOMEX OAXACA_x000a_Tipo de Soporte:         AJUSTE DE PLAZOS    _x000a_Estatus:                               Concluido._x000a__x000a_" u="1"/>
        <s v="Buenas tardes Berenice, tu petición fue atendida, favor de validar _x000a__x000a_Saludos _x000a__x000a_Marina Adame Velasco_x000a__x000a_Notificación de seguimiento  [  MA2705202009 ]  _x000a__x000a_Aplicación:                  INFOMEX OAXACA_x000a_Tipo de Soporte:         AJUSTE DE PLAZOS    _x000a_Estatus:                               Concluido._x000a__x000a_" u="1"/>
        <s v="Notificación de seguimiento  [  MA1701202203 ]_x000a__x000a_Estimado(a):                Pedro Esquivel Martínez_x000a__x000a_ _x000a_ Le informamos que su ticket correspondiente a:_x000a_               _x000a_por este medio Anexo el registro actualizado del certificado del Titular de la Unidad de Enlace de la “Procuraduría Federal del Consumidor”.  Lo Anterior a fin de que sus accesos sean habilitados en los otros sistemas que administra este Instituto (HCOM).  CAMBIO DE  TITULAR, en cuanto se reciba la atención en HCOM se realizará la actualización de los demás sistemas correspondientes._x000a_ _x000a_Aplicación:                  INFOMEX FEDERAL_x000a_Tipo de Soporte:         CAMBIO DE TUT   _x000a_Observaciones:            _x000a_ _x000a_Su petición fue atendida_x000a_" u="1"/>
        <s v="Notificación de seguimiento  [  MA0911202001 ]  _x000a_ _x000a_ _x000a_Estimado(a):                     Lizbeth Adriana Cabrera Ortega_x000a_ _x000a_ _x000a_Le informamos que su ticket correspondiente a:_x000a_               _x000a_generación UN EXPEDIENTE del recurso de revisión posteriormente citado._x000a_ _x000a_Asimismo, te comento que NO DEBERÁ CAMBIAR el sujeto obligado, ni el Comisionado correspondiente. _x000a_ _x000a_ DICE                                        DEBE DECIR                         SUJETO OBLIGADO           PONENTE_x000a_RRA 12469/20 RRA 3209/19-BIS Secretaría de Comunicaciones y Transportes (SCT) OMGF_x000a_ _x000a_No omito comentarte que el número de expediente que deberá seguir en el consecutivo por turnar en PNT debe ser el RRA 12469/20. _x000a__x000a__x000a_Aplicación:                  SIGEMI_x000a_Tipo de Soporte:         CAMBIO A BIS   _x000a_" u="1"/>
        <s v="Se testan datos del folio: 0064102323721" u="1"/>
        <s v="Realizar la clase Controller, Service, Dao para la operación de actualizacion de ejes" u="1"/>
        <s v="Creación enum roles y creación ajustes estructura servicio de autentcación" u="1"/>
        <s v="Se aplica testado de datos al folio:  1816400063121 " u="1"/>
        <s v="Se realizó la baja del Sujeto Obligado 11087    Fondo de Investigación Científica y Tecnológico del CINVESTAV" u="1"/>
        <s v="Desarrollo e implementación de las descripciones a nivel ciudadano de la bitacora del sistema de SISAI" u="1"/>
        <s v="Reunión Diaria de Seguimiento Pizarras etapa 4" u="1"/>
        <s v="Se aplica eliminación de formato de pago: 0063700212921" u="1"/>
        <s v="Se retoma la tarea para la automatización del proceso de generación de registros Inserts del Excel (SISAI_catalogos_TareaXEdos.xlsx) Validación del contenido proporcionado en el EXCEL vs Lo contenido en la Base de Datos._x000a_Validación de la generación de scripts para la inserción de datos en las tablas de trabajo. Derivado del caso del día anterior se recibe correo de Samuel para sustanciar las respuesta de Jalisco, se notifican sus posibles equivalencias y Samuel autoriza la carga en estatus de confirmar posteriormente. (Se realizan los cambios que derivaron de la actualización, se genera nuevamente el insumo de scripts y se procede con la carga de información por 2da vez)." u="1"/>
        <s v="_x000a_Notificación de seguimiento  [  MA1706202201 ]_x000a__x000a_Estimado(a):                JUAN PEDRO RAMIREZ FLORES_x000a__x000a_ _x000a_ Le informamos que su ticket correspondiente a:_x000a__x000a_Buenas tardes, favor de cambiar el número de expediente con número RRAIP-1115/2022 por  RRAIP-440/2022-Bis.  siendo que este medio de impugnación fue desechado de origen por este Órgana garante local, sin embargo y toda vez que por mandato emitido por el Instituto Nacional de Transparencia y Protección de Datos Personales INAI, decreta la admisión del recurso de revisión _x000a__x000a_ _x000a_Aplicación:                  SIGEMI/SICOM_x000a_Tipo de Soporte:         CAMBIO A BIS _x000a_Observaciones:            _x000a_ _x000a_Su petición fue atendida. _x000a_ _x000a_ _x000a__x000a_             Favor de validar._x000a_ _x000a_Estatus:                               Concluido_x000a_" u="1"/>
        <s v="Desarrollo login en la aplicación con datos de facebook" u="1"/>
        <s v="Notificación de seguimiento  [  MA2304202101 ]  _x000a_ _x000a_ _x000a_Estimado(a):                     Pedro Esquivel Martínez_x000a_ _x000a_ _x000a_Le informamos que su ticket correspondiente a:_x000a_               _x000a_por este medio Anexo el registro actualizado del certificado del Titular de la Unidad de Enlace de “Caminos y Puentes Federales de Ingresos y Servicios Conexos ”.  Lo Anterior a fin de que sus accesos sean habilitados en los otros sistemas que administra este Instituto (HCOM).  CAMBIO DE  TITULAR, en cuanto se reciba la atención en HCOM se realizará la actualización de los demás sistemas correspondientes._x000a__x000a_ _x000a_Aplicación:                  HCOM_x000a_Tipo de Soporte:         CAMBIO TUT   _x000a_Observaciones:            _x000a_ _x000a_Su petición fue atendida_x000a_" u="1"/>
        <s v="Notificación de seguimiento  [  MA2508202007 ]  _x000a_ _x000a_ _x000a_Estimado(a):                     Rogelio García Álvarez_x000a_ _x000a_Le informamos que su ticket correspondiente a:_x000a_               _x000a_se solicita, con relación al recurso de revisión RRA 6799/20 interpuesto en contra del Instituto Nacional de Transparencia, Acceso a la Información y Protección de Datos Personales, se elimine el registro del desahogo del requerimiento de información, toda vez que mediante acuerdo del catorce de julio del año en curso se informó al sujeto obligado que dicha actuación sería eliminada una vez analizada._x000a__x000a_ _x000a_Aplicación:                  SIGEMI_x000a_Tipo de Soporte:         REGRESO DE PASOS  _x000a_Observaciones:            _x000a_ _x000a_Su petición fue atendida_x000a_" u="1"/>
        <s v="Confirmación de candidatos que podrían ser los causantes del error" u="1"/>
        <s v="Creación desarrollo y flujos para el componente" u="1"/>
        <s v="Notificación de seguimiento  [  MA2906202005 ]  _x000a_ _x000a_ _x000a_Estimado(a):                     Betzabé Flores Terán_x000a_ _x000a_Le informamos que su ticket correspondiente a:_x000a_               _x000a_Anexo el registro actualizado del certificado de la Titular de la Unidad de Transparencia de la Junta Federal de Conciliación y Arbitraje, toda vez que el anterior venció el pasado 13 de junio del presente._x000a__x000a_Lo anterior a fin de que sea habilitado su acceso en el sistema HERRAMIENTA DE COMUNICACIÓN (HCOM)._x000a__x000a_ _x000a_Aplicación:                  HCOM_x000a_Tipo de Soporte:         CAMBIO DE CERTIFICADO  _x000a_Observaciones:            _x000a_ _x000a_Su petición fue atendida, la contraseña del usuario es hcom2020_x000a_ _x000a__x000a_ _x000a_            Favor de validar._x000a_ _x000a_Estatus:                               Concluido._x000a_" u="1"/>
        <s v="Desarrollo para la funcinalidad cuando solo viene una colección en la respuesta" u="1"/>
        <s v="Reunión de dos horas para lo requerimientos de los id de reportes estadísticos" u="1"/>
        <s v="Se aplica eliminación de formato de pago: 1816400016721" u="1"/>
        <s v="Se da solucion al problema de mantener un SO que no pertenece al mismo OG, se limpia el buscador" u="1"/>
        <s v="Notificación de seguimiento  [  MA0803202201 ]_x000a__x000a_Estimado(a):                Betzabé Flores Terán_x000a__x000a_ _x000a_ Le informamos que su ticket correspondiente a:_x000a_               _x000a_Solicito su apoyo para realizar la actualización en la herramienta de comunicación de los .cer que se adjuntan._x000a_ _x000a_Aplicación:                  HCOM_x000a_Tipo de Soporte:         CAMBIO DE TUT ( 2 )   _x000a_Observaciones:            _x000a_ _x000a_Su petición fue atendida_x000a_" u="1"/>
        <s v="Se agrega acuerdo en normatividad de protección de datos personales" u="1"/>
        <s v="Apoyo en las consultas y validación de la información cargada por usuarios en SIPOT." u="1"/>
        <s v="Se  testan los datos del folio: 0064101366621" u="1"/>
        <s v="Ejecutar scripts de BD en las 2 BD y montar los nuevos WAR" u="1"/>
        <s v="Se aplica eliminación de formato de pago: 0002700332420" u="1"/>
        <s v="Notificación de seguimiento  [  MA0402202013 ]  _x000a_ _x000a_ _x000a_Estimado(a):                     Tania Lizbeth Valderrama Lumpaque_x000a_ _x000a_Le informamos que su ticket correspondiente a:_x000a_               _x000a_Por medio del presente, solicito su atenta colaboración relacionado con el recurso RRA 00063/20 derivado de que al momento de notificar el cierre de instrucción la Plataforma Nacional de Transparencia no permite visualizar la opción de dicho paso._x000a__x000a_En razón de ello es que se requiere su atenta colaboración, a efecto de poder notificar el cierre de instrucción de dicho recurso al sujeto obligado y recurrente. _x000a__x000a_ _x000a_Aplicación:                  SIGEMI_x000a_Tipo de Soporte:         CAMBIO DE ESTATUS _x000a_Observaciones:            _x000a_ _x000a_Su petición fue atendida_x000a_" u="1"/>
        <s v="Inducción al proyecto de Apps Moviles" u="1"/>
        <s v="Notificación de seguimiento  [  MA2910202005 ]  _x000a__x000a_ _x000a__x000a_ _x000a__x000a_Estimado(a):                     Alma Lizbeth Peguero Rivera _x000a__x000a_ _x000a__x000a_ _x000a__x000a_Le informamos que su ticket correspondiente a:_x000a__x000a_               _x000a__x000a_solicito de su valioso apoyo para la eliminación del siguiente recurso RRA 10674-20, debido a que se encuentra doble en la PNT, para trabajar en mi paso_x000a__x000a_ _x000a__x000a_Aplicación:                  SIGEMI_x000a__x000a_Tipo de Soporte:         QUITAR DUPLICADO   _x000a__x000a_Observaciones:            _x000a__x000a_ _x000a__x000a_Su petición fue atendida_x000a__x000a_ " u="1"/>
        <s v="Implementación de descarga de archivos" u="1"/>
        <s v="Notificación de seguimiento  [  MA2002202006 ]  _x000a_ _x000a_ _x000a_Estimado(a):                     Lizbeth Adriana Cabrera Ortega_x000a_ _x000a_Le informamos que su ticket correspondiente a:_x000a_               _x000a_SOLICITO DE SU APOYO A FIN DE MODIFICAR LA FECHA DE INTERPOSICIÓN_x000a__x000a_DEBE DECIR _x000a__x000a_20 FEBRERO_x000a__x000a_ _x000a_Aplicación:                  SIGEMI_x000a_Tipo de Soporte:         Actualización de fecha de interposición  _x000a_Observaciones:            _x000a_ _x000a_Su petición fue atendida_x000a_" u="1"/>
        <s v="Desarrollo de la interoperabilidad de los sistemas PNT y SAIMEX." u="1"/>
        <s v="seccion 3 UT" u="1"/>
        <s v="Generación de script para el reconocimiento de caracteres dentro del SIPOT" u="1"/>
        <s v="Buenas tardes Memo, envío consulta de solicitudes atendidas, con esos datos puedes obtener la información que te solicitan, favor de validar _x000a_ _x000a_ Saludos _x000a_ _x000a_ Marina Adame Velasco_x000a_ _x000a_ Notificación de seguimiento [ MA1501202007 ] _x000a_ _x000a_ Aplicación: INFOMEX BCN_x000a_ Tipo de Soporte: Consulta de datos _x000a_ Estatus: Concluido." u="1"/>
        <s v="Se testan los datos  del folio: 0064101361621" u="1"/>
        <s v="Evaluación y diseño de script para lematización" u="1"/>
        <s v="Estimada Marina, si me permitío hacer la prevención, pero pues esta solicitud no ha pasado de los 5 días para prevenirse de manera natural, las que estamos ampliando y tratando de prevenir, de alguna manera ya caducó la prevención y se están ampliando los términos para poder prevenir después de que han caducado dichos términos, al parecer alguna parte de la base de datos e marca y no permite hacer el paso aun cuando se regrese y se amplíe." u="1"/>
        <s v="Notificación de seguimiento  [  MA2901202105 ]  _x000a_ _x000a_ _x000a_Estimado(a):      Moisés Guzmán Arias               _x000a_ _x000a_ _x000a_Le informamos que su ticket correspondiente a:_x000a_               _x000a_consulta que me permita recuperar solicitudes de un periodo de tiempo en el cual yo defina si quiero que sean las de datos o de derechos arco._x000a__x000a_ _x000a_Aplicación:                  INFOMEX PUEBLA_x000a_Tipo de Soporte:         SCRIPT   _x000a_Observaciones:            _x000a_ _x000a_Su petición fue atendida_x000a_" u="1"/>
        <s v="Implementación funcionalidad múltiples instituciones en pantalla agregar, editar y clonar calendario" u="1"/>
        <s v="Notificación de seguimiento  [  MA0503202002 ]  _x000a_ _x000a_ _x000a_Estimado(a):                     Hugo Montero Saldaña_x000a_ _x000a_Le informamos que su ticket correspondiente a:_x000a_               _x000a_En relación con el recurso de revisión RRA 02704/20 vs INSTITUTO NACIONAL ELECTORAL el recurrente señaló como medio de notificación a través de correo electrónico. Sin embargo, en la Plataforma Nacional de Transparencia se tiene por señalado como medio de notificación el Sistema de Gestión de Medios de Impugnación; por lo que se solicita su valioso apoyo a efecto de que en la Plataforma Nacional de Transparencia (PNT) se cambie el medio de notificación del recurrente a su correo electrónico (servinpla@hotmail.com), a efecto de que pueda recibir las notificaciones correspondientes._x000a__x000a_ _x000a_Aplicación:                  SIGEMI_x000a_Tipo de Soporte:         CAMBIO DE MEDIO DE NOTIFICACION   _x000a_Observaciones:            _x000a_ _x000a_Su petición fue atendida_x000a__x000a__x000a_" u="1"/>
        <s v="Notificación de seguimiento  [  MA2306202006 ]  _x000a_ _x000a_ _x000a_Estimado(a):                     Edgar Michel Loaeza Martínez_x000a_ _x000a_Le informamos que su ticket correspondiente a:_x000a_               _x000a_“En la bandeja de cumplimientos de la PNT, no aparece el recurso RRA 02532/20 que se atendió el pasado viernes 19 de junio, y es necesario mandar un alcance a dicho cumplimiento._x000a_Por un error involuntario, se mandó en la bandeja de cumplimientos el alcance del RRA 02532/20 mencionado, en el diverso 02353/20, por lo que es necesario cancelar dicho alcance, debido a que no corresponde el cumplimiento enviado con el recurso.” (sic)_x000a_ _x000a_Aplicación:                  SIGEMI_x000a_Tipo de Soporte:         REGRESO DE PASOS  _x000a_Observaciones:            _x000a_ _x000a_Su petición fue atendida_x000a_" u="1"/>
        <s v="Notificación de seguimiento  [  MA2905202004 ]  _x000a_ _x000a_ _x000a_Estimado(a):                     Pedro Esquivel Martínez_x000a_ _x000a_Le informamos que su ticket correspondiente a:_x000a_               _x000a_Cambio de certificado de acuerdo con lo siguiente siguiente: (se adjunta certificado)_x000a__x000a_DEPENDENCIA/ENTIDAD  _x000a_ _x000a_TITULAR DE UNIDAD DE ENLACE_x000a_   _x000a_CERTIFICADO ASIGNADO VALIDACIÓN CONTRASEÑA_x000a_HCOM CONTRASEÑAS_x000a_INFOMEX Accesos a los Sistemas_x000a_URL_x000a_HCOM e INFOMEX_x000a_Fondo de investigación científica y desarrollo tecnológico Dorotea Cruz Sánchez Dorotea.Cruz  Certificado Válido HCOM11204 SISI11204 http://herrcom.ifai.org.mx_x000a_http://ueapf.org.mx_x000a__x000a_ _x000a_Aplicación:                  HCOM_x000a_Tipo de Soporte:         CAMBIO DE CERTIFICADO   _x000a_Observaciones:            _x000a_ _x000a_Su petición fue atendida_x000a_" u="1"/>
        <s v="Notificación de seguimiento  [  MA1003202201 ]_x000a__x000a_Estimado(a):                Edgar Michel Loaeza Martínez_x000a__x000a_ _x000a_ Le informamos que su ticket correspondiente a:_x000a_               _x000a_realizar el cambio de certificados de los sujetos obligados indirectos del Instituto Politécnico Nacional en el sistema HCOM_x000a_Para tal efecto, anexo los certificados y base de datos, lo anterior, a fin de que sus accesos sean habilitados.  _x000a__x000a__x000a_Clave Sujeto obligado Encargada de la Unidad de Transparencia_x000a_11006 XE-IPN Canal 11 (*) Lic. Nalleli Corro Aviña_x000a_11172 Fideicomiso fondo de investigación científica y desarrollo tecnológico del IPN Lic. Nalleli Corro Aviña_x000a_ _x000a_Aplicación:                  HCOM_x000a_Tipo de Soporte:         CAMBIO DE TUT ( 2)  _x000a_Observaciones:            _x000a_ _x000a_Su petición fue atendida_x000a_" u="1"/>
        <s v="Se aplica eliminación de formato de pago: 2510100011521" u="1"/>
        <s v="Lista de datos catalogo integrante lado publico " u="1"/>
        <s v="Atención y seguimiento a tickets y correos respecto al acceso de usuarios a la PNT.  (Análisis) Reinicios de contraseña" u="1"/>
        <s v="Se aplica testado de datos al folio: 0000600424020" u="1"/>
        <s v="Notificación de seguimiento  [  MA3103202101 ]  _x000a_ _x000a_ _x000a_Estimado(a):                     José Manuel Flores Robles_x000a_ _x000a_ _x000a_Le informamos que su ticket correspondiente a:_x000a_               _x000a_Se comunicó un solicitante con nosotros, porque no recuerda el correo que usa para entrar a la PNT ¿podrías ayudarme a rastrear el usuario? _x000a_La solicitud es la N° folio: 00224421  _x000a__x000a_ _x000a_Aplicación:                  INFOMEX QUERETARO_x000a_Tipo de Soporte:         CONSULTA DE DATOS   _x000a_" u="1"/>
        <s v="Implementación de Ajax" u="1"/>
        <s v="Notificación de seguimiento  [  MA1102202105 ]  _x000a_ _x000a_ _x000a_Estimado(a):                     Berenice Hernández Sumano_x000a_ _x000a_ Le informamos que su ticket correspondiente a: ajustar las fechas de caducidad de los folios siguientes, así mismo solicito se borren los archivos PDF de los acuses generados para los mismos folios._x000a_           _x000a_ _x000a_Aplicación:                  INFOMEX OAXACA_x000a_Tipo de Soporte:         AJUSTE DE PLAZOS   _x000a_Observaciones:            _x000a_ _x000a_Su petición fue atendida_x000a_" u="1"/>
        <s v="Notificación de seguimiento  [  MA0710202202 ]_x000a__x000a_Estimado(a):                Alondra Jiménez Hernández _x000a_ _x000a_ _x000a_ Le informamos que su ticket correspondiente a:_x000a_ _x000a_asignar la siguiente contraseña, por favor:_x000a__x000a_hcom236691_x000a_ _x000a_ _x000a_ _x000a_Aplicación:                  HCOM_x000a_Tipo de Soporte        CAMBIO DE CONTRASEÑA _x000a_Observaciones:            _x000a_ _x000a_Su petición fue atendida" u="1"/>
        <s v="Ajustes desarrollo flujos 2" u="1"/>
        <s v="Problemas en infomex." u="1"/>
        <s v="Aplicar cambios de análisis heurístico, validación de combos en el administrador " u="1"/>
        <s v="Generación de script de descarga de archivos - SIPOT" u="1"/>
        <s v="Generación de script de tratamiento de palabras para el proceso de etiquetado" u="1"/>
        <s v="Buenas tardes Berenice, te envío de nuevo el correo porque tome otro correo de referencia, favor de validar _x000a__x000a_Saludos _x000a__x000a_Marina Adame Velasco_x000a__x000a_Notificación de seguimiento  [  MA2307202004 ]  _x000a__x000a_Aplicación:                  INFOMEX OAXACA_x000a_Tipo de Soporte:         Ajuste de plazos   _x000a_Estatus:                               Concluido._x000a__x000a_" u="1"/>
        <s v="Se  testan los datos del folio: 0064101367621" u="1"/>
        <s v="Se  testan los datos del folio: 0064101377621" u="1"/>
        <s v="Web Service Desencriptar Password" u="1"/>
        <s v="Se testan los datos de la solicitud con folio: 0064101488621" u="1"/>
        <s v="Se aplica eliminación de última respuesta de la solicitud: 0000900071820." u="1"/>
        <s v="Optimización de script de tratamiento de diccionarios para el proceso de etiquetado" u="1"/>
        <s v="Notificación de seguimiento  [  MA0708202006 ]  _x000a_ _x000a_ _x000a_Estimado(a):                     Alondra Jiménez Hernández_x000a_ _x000a_Le informamos que su ticket correspondiente a:_x000a_               _x000a_ _x000a_Anexo el registro actualizado del certificado del nuevo Titular de la Unidad de Transparencia de API VALLARTA para que se habilite su acceso en la Herramienta de Comunicación. _x000a__x000a_ _x000a_Aplicación:                  HCOM _x000a_Tipo de Soporte:         CAMBIO DE TUT   _x000a_Observaciones:            _x000a_ _x000a_Su petición fue atendida_x000a_" u="1"/>
        <s v="Notificación de seguimiento  [  MA1603202104 ]  _x000a_ _x000a_ _x000a_Estimado(a):                     Martha Rubí Zaragoza Mora_x000a_ _x000a_ _x000a_Le informamos que su ticket correspondiente a:_x000a_               _x000a_El presente correo es para pedir su amable apoyo para el ajuste de términos de los folios debido a un error del sujeto obligado al momento de capturar los folios_x000a_ _x000a_Aplicación:                  INFOMEX NUEVO LEÒN_x000a_Tipo de Soporte:         AJUSTE DE PLAZOS   _x000a_Observaciones:            _x000a_ _x000a_Su petición fue atendida_x000a_" u="1"/>
        <s v="Corrección de orden comunicados home" u="1"/>
        <s v="Se sustituye archivo adjunto  del folio: 011000023621" u="1"/>
        <s v="_x000a_Notificación de seguimiento  [  MA3105202112 ]_x000a__x000a_Estimado(a):                Verónica Santiago Martínez_x000a__x000a_ _x000a_ Le informamos que su ticket correspondiente a:_x000a_               _x000a_Atentamente solicito su apoyo para que de manera temporal me sea proporcionado un certificado para ingresar a la Herramienta de Comunicación, específicamente al módulo de cumplimiento de resoluciones, ya que mi fiel esta vencida y en el SAT no hay citas cercanas._x000a_ _x000a__x000a_ _x000a_Aplicación:                  HCOM_x000a_Tipo de Soporte:         Renovación de certificado  _x000a_Observaciones:            _x000a_ _x000a_Su petición fue atendida, se adjunta certificado para ingreso, la contraseña no se modificó_x000a_ _x000a_ _x000a_" u="1"/>
        <s v="DAO catalogo integrante lado publico " u="1"/>
        <s v="Se  testan los datos del folio: 0210000070221" u="1"/>
        <s v="Continúa el apoyo en consultas y validación de la información generada con las bases de datos en custodia (casos de diversos estados) en lo referente principalmente a documentación adjunta.  _x000a_Continúa el proceso de análisis comparativo de la información de los catálogos de municipio, colonias y código postal de entre VUT y Federado, terminado esto se iniciará la confronta contra el productivo._x000a_Validar y crear las vistas para los inserts de población de las tablas derivadas de los catálogos de VUT." u="1"/>
        <s v="Notificación de seguimiento  [  MA0212202004 ]  _x000a_ _x000a_ _x000a_Estimado(a):               Alma Lizbeth Peguero Rivera      _x000a_ _x000a_ _x000a_Le informamos que su ticket correspondiente a:_x000a_               _x000a_solicito de su valioso apoyo para la eliminación del recurso RRD 1473/20 mencionado en el correo de ayer, quedo pendiente, saludos cordiales._x000a_ _x000a_Aplicación:                  SIGEMI_x000a_Tipo de Soporte:         QUITAR DUPLICADO    _x000a_Observaciones:            _x000a_ _x000a_Su petición fue atendida_x000a_ _x000a_  _x000a_" u="1"/>
        <s v="Probar la respuesta del servicio de notificaciones de SIGEMI con los folios de queja del usuario: saimex@gmaill.com_x000a_Request Response mis quejas saimex_x000a_Request Response detalle quejas saimex_x000a_Request Response historico quejas saimex_x000a_Request Response notificaciones quejas saimex" u="1"/>
        <s v="Notificación de seguimiento  [  MA0806202102 ]_x000a__x000a_Estimado(a):                Edgar Michel Loaeza Martínez_x000a__x000a_ _x000a_ Le informamos que su ticket correspondiente a:_x000a_               _x000a_Por medio del presente, me permito solicitar su valioso apoyo a efecto de realizar el cambio de TUT del sujeto obligado relativo al Servicio Nacional de Inspección y Certificación de Semillas en el hcom._x000a__x000a_ _x000a_Aplicación:                  HCOM_x000a_Tipo de Soporte:         CAMBIO DE TUT   _x000a_Observaciones:            _x000a_ _x000a_Su petición fue atendida_x000a_" u="1"/>
        <s v="Notificación de seguimiento  [  MA2408202109 ]_x000a__x000a_Estimado(a):                Alondra Jiménez Hernández_x000a__x000a_ _x000a_ Le informamos que su ticket correspondiente a:_x000a_               _x000a_Anexo el registro actualizado del certificado del Titular de la Unidad de Transparencia del CENTRO DE INVESTIGACIONES EN ÓPTICA, A.C. (CIO), para su actualización en la Herramienta de Comunicación. _x000a__x000a_ _x000a_Aplicación:                  HCOM_x000a_Tipo de Soporte:         CAMBIO DE CERTIFICADO   _x000a_Observaciones:            _x000a_ _x000a_Su petición fue atendida_x000a_" u="1"/>
        <s v="Notificación de seguimiento  [  MA1801202103 ]  _x000a_ _x000a_ _x000a_Estimado(a):                     YARENNI ADAME_x000a_  _x000a_Le informamos que su ticket correspondiente a:_x000a_               _x000a_RESPALDO SEMANAL DE LA BASE DE DATOS INFOMEX_x000a_ _x000a_Aplicación:                  INFOMEX GUERRERO_x000a_Tipo de Soporte:         RESPALDO   _x000a_Observaciones:            _x000a_ _x000a_Su petición fue atendida, se subió el respaldo de su base de datos de esta semana…_x000a__x000a__x000a_http://documentos.inai.org.mx/tmp/infomexGUERRERO_backup_2021-01-18_0800.bak_x000a__x000a__x000a_NOTA: El respaldo estará disponible una semana  _x000a__x000a_  _x000a_            Favor de validar._x000a_ _x000a_Estatus:                               Concluido._x000a_" u="1"/>
        <s v="Se agregan cabeceras faltantes en la respuesta de quejas de saimex" u="1"/>
        <s v=" Notificación de seguimiento  [  MA2810202004 ]  _x000a__x000a_ _x000a__x000a_ _x000a__x000a_Estimado(a):                     Pedro Esquivel Martínez_x000a__x000a_ _x000a__x000a_ _x000a__x000a_Le informamos que su ticket correspondiente a:_x000a__x000a_               _x000a__x000a_el cambio de Titular para el S.O. CPC SNA, en HCOM: (se adjunta certificado)_x000a__x000a_ _x000a__x000a_" u="1"/>
        <s v="Se  testan los datos  y se sustituye archivo del folio: 0064101881921" u="1"/>
        <s v="Notificación de seguimiento  [  MA1103202010 ]  _x000a_ _x000a_ _x000a_Estimado(a):                     Ana Paulina González González_x000a_ _x000a_Le informamos que su ticket correspondiente a:_x000a_               _x000a_Me permito solicitar su amable apoyo, a efecto de corregir en la PNT el correo electrónico que señaló el particular, para realizar las notificaciones correspondientes al expediente RRA 03098/20, en contra del Registro Agrario Nacional._x000a_ _x000a_Lo anterior, toda vez que del correo electrónico por medio del cual el particular interpuso su recurso de revisión, se advierte que el medio de notificación que señaló el particular corresponde al siguiente correo electrónico: aryamlares@gmail.com _x000a__x000a_ _x000a_Aplicación:                  SIGEMI_x000a_Tipo de Soporte:         CAMBIO DE CORREO   _x000a_Observaciones:            _x000a_ _x000a_Su petición fue atendida_x000a_" u="1"/>
        <s v="Notificación de seguimiento  [  MA0605202005 ]  _x000a_ _x000a_ _x000a_Estimado(a):                     Pedro Esquivel Martínez_x000a_ _x000a_Le informamos que su ticket correspondiente a:_x000a_               _x000a__x000a_En la Herramienta de Comunicación nos llegó un requerimiento el cual se anexa al presente escrito, fijando como fecha límite para dar cumplimiento, siendo este el 24 de abril del presente año, sin que hasta el momento se haya actualizado la fecha de término para dar atención, en la plataforma del HCOM sigue apareciendo la fecha límite el 24 de abril, y derivado de la contingencia sanitaria se ha hecho imposible dar atención, y toda vez que a partir del 23 de marzo hasta el 30 de abril son días Inhábiles._x000a_ _x000a__x000a_ _x000a_Aplicación:                  HCOM_x000a_Tipo de Soporte:         ACTUALIZACIÓN DE FECHA   _x000a_Observaciones:            _x000a_ _x000a_Su petición fue atendida_x000a_" u="1"/>
        <s v="Eliminar Turno del OG Puebla" u="1"/>
        <s v="Generar certificado para Administración Portuaria Integral de Salina Cruz, S.A. de C.V" u="1"/>
        <s v="Crear funcionalidad para crear PDF" u="1"/>
        <s v="Crear certificado para usuario del Sujeto Obligado Sindicato Independiente de Trabajadores de la Cámara de Senadores" u="1"/>
        <s v="Se elimina la respuesta del folio: 0001300119121" u="1"/>
        <s v="Notificación de seguimiento  [  MA0410202201 ]_x000a_Estimado(a):                Alondra Jiménez Hernández _x000a_ Le informamos que su ticket correspondiente a:_x000a_Debido al cambio de responsable de transparencia, les pido sea generado un certificado genérico a nombre del TUT y que con el mismo sea habilitado en la HCOM. Los datos son los siguientes:_x000a_Clave_x0009_Sujeto obligado_x0009_Nombre del Titular de la Unidad de Transparencia_x0009_Correo electrónico_x0009_Contraseña_x000a_00635_x0009_Instituto del Fondo Nacional de la Vivienda para los Trabajadores_x0009_Nadia Isabel Trinidad Saucedo Lemus_x0009_nsaucedo@infonavit.org.mx_x000a_Ver archivo adjunto_x000a_ _x000a_Aplicación:                  HCOM_x000a_Tipo de Soporte         GENERACIÓN DE  CERTIFICADO Y CAMBIO DE TUT  _x000a_Observaciones:            _x000a_ _x000a_Su petición fue atendida, se adjunta certificado" u="1"/>
        <s v="Verificar instalación en ambient de QA" u="1"/>
        <s v="Notificación de seguimiento  [  MA1111202003 ]  _x000a_ _x000a_ _x000a_Estimado(a):                     Guillermo Delgado_x000a_ _x000a_ Le informamos que su ticket correspondiente a:_x000a_               _x000a_solicitando tu apoyo para el cambio de fecha de vencimiento del siguiente listado de solicitudes de información a petición del SO por cuestión de Covid, la fecha de vencimiento correcta es la de amarillo_x000a_ _x000a_Aplicación:                  INFOMEX BAJA CALIFORNIA_x000a_Tipo de Soporte:         CAMBIO DE PLAZO    _x000a_Observaciones:            _x000a_ _x000a_Su petición fue atendida_x000a_" u="1"/>
        <s v="Envío de constancia automáticamente" u="1"/>
        <s v="Notificación de seguimiento  [  MA2708202103 ]_x000a__x000a_Estimado(a):                Betzabé Flores Terán_x000a__x000a_ _x000a_ Le informamos que su ticket correspondiente a:_x000a_               _x000a_Solicito su apoyo para realizar la modificación en la herramienta de comunicación del .cer que se adjunta, toda vez que hubo un cambio en el Titular de la Unidad de Transparencia._x000a__x000a_ _x000a_Aplicación:                  HCOM_x000a_Tipo de Soporte:         CAMBIO DE TUT  _x000a_Observaciones:            _x000a_ _x000a_Su petición fue atendida_x000a_ _x000a_ _x000a__x000a_" u="1"/>
        <s v="Notificación de seguimiento  [  MA1105202006 ]  _x000a_ _x000a_ _x000a_Estimado(a):                     Alondra Jiménez Hernández_x000a_ _x000a_Le informamos que su ticket correspondiente a:_x000a_               _x000a_Se solicita la renovación del certificado del Titular de la Unidad de Transparencia del CNSNS en la Herramienta de Comunicación._x000a__x000a_ _x000a_Aplicación:                  HCOM                          _x000a_Tipo de Soporte:         CAMBIO DE CERTIFICADO   _x000a_Observaciones:            _x000a_ _x000a_Su petición fue atendida_x000a_ _x000a__x000a_ _x000a_" u="1"/>
        <s v="Líneas Estrategicas" u="1"/>
        <s v="Mejoras en consulta pública" u="1"/>
        <s v="Script BD declaración inicial Humbelina Lopez" u="1"/>
        <s v="Actualización archivos normatividad nacional" u="1"/>
        <s v="Se  testan los datos del folio: 0110000061221" u="1"/>
        <s v="Se sustituye archivo adjunto  del folio: 0064100473421" u="1"/>
        <s v="Desarrollo de servicios rest para funcionalidades específicas de los catálogos federados" u="1"/>
        <s v="Notificación de seguimiento  [  MA1112202003 ]  _x000a_ _x000a_ _x000a_Estimado(a):                     Edgar Michel Loaeza Martínez _x000a__x000a_Le informamos que su ticket correspondiente a:_x000a_               _x000a_“…a efecto de que nos sea devuelto en el Sistema de Solicitudes de Información, la ficha de pago correspondiente a las solicitud de acceso a la información con número de folio 0610100171320 (adjunta). …” (sic)_x000a_ _x000a_Aplicación:                  INFOMEX FEDERAL_x000a_Tipo de Soporte:         Eliminación de formato de pago_x000a_Observaciones:            _x000a_ _x000a_Su petición fue atendida_x000a_" u="1"/>
        <s v="Desbloqueo de usuario MMARTINEZ" u="1"/>
        <s v="Se aplica testado de datos al folio: 1816400341720" u="1"/>
        <s v="Se sustituye archivo adjunto  del folio:  00027128821 " u="1"/>
        <s v="Notificación de seguimiento  [  MA1008202009 ]  _x000a_ _x000a_ _x000a_Estimado(a):                     Michelle Fuentes Pereyra_x000a_ _x000a_Le informamos que su ticket correspondiente a:_x000a_               _x000a_Al momento de dar trámite al Recurso de Revisión que se enlista a continuación, en el sistema SIGEMI-SICOM en la PNT, este me aparece activo varias veces, se encuentra repetidos en el siguiente paso “Registrar información de la sesión del pleno, por lo que solicito de la manera más atenta, eliminar estos pasos y dejar solo una vez el siguiente paso “Registrar información de la sesión del pleno” y dejar el paso de “Notificar por otro Medio”. Sin más por el momento, quedo en espera de tus comentarios._x000a_ _x000a_1. RRD 00893/20_x000a__x000a_ _x000a_Aplicación:                  SIGEMI_x000a_Tipo de Soporte:         Corrección de incidencia  _x000a_Observaciones:            _x000a_ _x000a_Su petición fue atendida_x000a_" u="1"/>
        <s v="Notificación de seguimiento  [  MA1202202004 ]  _x000a_ _x000a_ _x000a_Estimado(a):                     Pedro Esquivel Martínez_x000a_ _x000a_Le informamos que su ticket correspondiente a:_x000a_               _x000a_Anexo el registro actualizado del certificado del Titular de la Unidad de Enlace del  “Fondo de ayuda, asistencia y reparación integral” Lo Anterior a fin de que sus accesos sean habilitados en los otros sistemas que administra este Instituto (HCOM).  CAMBIO DE TITULAR, en cuanto se reciba la atención en HCOM se realizará la actualización de los demás sistemas correspondientes._x000a__x000a_1 00638 Fondo de ayuda, asistencia y reparación integral CEAV F1 Laura Edith Covarrubias Martínez 00638. Laura.Edith.Covarrubias. Martínez HCOM00638_x000a__x000a__x000a_ _x000a_Aplicación:                  HCOM_x000a_Tipo de Soporte:         CAMBIO DE TITULAR   _x000a_Observaciones:            _x000a_ _x000a_Su petición fue atendida_x000a_" u="1"/>
        <s v="SUSTITUCIÓN TEXTO Y ADJUNTO EN SOLICITUD DE INFORMACION CON FOLIO 0002700149421" u="1"/>
        <s v="Notificación de seguimiento  [  MA2610202202 ]_x000a__x000a_Estimado(a):                Edgar Michel Loaeza Martínez_x000a__x000a_ Le informamos que su ticket correspondiente a:_x000a__x000a_Estimados solicito su apoyo para que dicho certificado sea sustituido en el sistema Hcom._x000a__x000a_Para tal efecto adjunto base de datos y certificado que amablemente me generaron e hicieron llegar._x000a__x000a_SUJETO OBLIGADO_x0009_CLAVE_x0009__x000a_CERTIFICADO_x0009__x000a_CORREO ELECTRÓNICO_x0009_TITULAR DE LA UNIDAD DE TRANSPARENCIA_x0009_Contraseña_x000a_Fideicomiso de Microcréditos para el Bienestar_x0009_10006_x0009_10006.Maria.Lopez.Garcia.cer_x0009_unidaddeenlace@bienestar.gob.mx_x000a_LIC.MARÍA EUGENIA LÓPEZ GARGIA_x0009_hcom2022_x000a__x000a__x000a_Aplicación:                 HCOM_x000a_Tipo de Soporte        CAMBIO DE TUT _x000a_" u="1"/>
        <s v="Ambientación de un liferay dxp de desarrollo integral apuntando a una sola base de datos con los esquemas correspondiente por aplicativo, así como el consumo de token estándar, menú dínamico, theme" u="1"/>
        <s v="Notificación de seguimiento  [  MA0702202002 ]  _x000a_ _x000a_ _x000a_Estimado(a):                     Sergio Rafael Cortés Alpizar_x000a_ _x000a_Le informamos que su ticket correspondiente a:_x000a_               _x000a_Por este medio solicito se regrese la actividad en la PNT a “Preparación del Proyecto de Resolución”, del siguiente recurso de revisión:_x000a_ _x000a_RRD 0012/20 vs IMSS_x000a__x000a_Lo anterior ya que se anexo mal el archivo de la resolución y vamos a volver a enviarla._x000a__x000a_ _x000a_Aplicación:                  SIGEMI_x000a_Tipo de Soporte:         REGRESO DE PASOS  _x000a_Observaciones:            _x000a_ _x000a_Su petición fue atendida_x000a_" u="1"/>
        <s v="Notificación de seguimiento  [  MA1802202012 ]  _x000a_ _x000a_ _x000a_Estimado(a):                     Rosalinda Coria Mosqueda_x000a_ _x000a_Le informamos que su ticket correspondiente a:_x000a_               _x000a_Agradeceré su apoyo para cancelar la actividad en el Recurso RRA 01550/20 en contra de Comisión Federal de Electricidad, toda vez que se encuentra duplicado._x000a__x000a_Cabe mencionar que ya se trabajó en uno de ellos y se trata de  un desechamiento._x000a__x000a_ _x000a_Aplicación:                  SIGEMI_x000a_Tipo de Soporte:         cancelar actividad duplicada  _x000a_Observaciones:            _x000a_ _x000a_Su petición fue atendida_x000a_" u="1"/>
        <s v="Notificación de seguimiento  [  MA2611202101 ]_x000a__x000a_Estimado(a):                Alondra Jiménez Hernández_x000a__x000a_ _x000a_ Le informamos que su ticket correspondiente a:_x000a_               _x000a_Solicito la renovación en la Herramienta de Comunicación del certificado del siguiente sujeto obligado:_x000a__x000a_Clave Sujeto obligado_x000a_06920 Seguros de Crédito a la Vivienda SHF, S.A. de C.V._x000a_06610 Fondo de Operación y Financiamiento Bancario a la Vivienda_x000a__x000a__x000a__x000a_Aplicación:                  HCOM_x000a_Tipo de Soporte:         ACTUALIZAR CERTIFICADO ( 2 )   _x000a_Observaciones:            _x000a_ _x000a_Su petición fue atendida_x000a_" u="1"/>
        <s v="Meeting" u="1"/>
        <s v="Se testan los datos  del folio: 0000500108221" u="1"/>
        <s v="Agregar timeout en los modal de carga(post)_x000a_Una vez que se registra una queja, implementar un redirect a la pantalla principal con un snackbar, tal y como se hace al registrar una solicitud de información. El servicio ya se encuentra habilitado._x000a_Construir la solicitud de alta de quejas Saimex (request, response, petición y logica de respuesta)" u="1"/>
        <s v="Notificación de seguimiento  [  MA2807202007 ]  _x000a_ _x000a_ _x000a_Estimado(a):                     Edgar Michel Loaeza Martínez_x000a_ _x000a_Le informamos que su ticket correspondiente a:_x000a_               _x000a_Alta del certificado que se adjunta, sujeto obligado de la Secretaría de Educación Pública._x000a__x000a_CLAVE DE SUJETO OBLIGADO TITULAR DE UNIDAD DE ENLACE O SUPLENTE DESIGNADO CERTIFICADO ACTUAL CORREO ELECTRÓNICO CONTRASEÑA INFOMEX CONTRASEÑA HCOM_x000a_11019 LIC. ENRIQUE QUIROZ ACOSTA 11019.Enrique.Quiroz.Acosta.cer unidaddeenlace@sep.gob.mx_x000a_sisi11019 hcom11019_x000a__x000a_ _x000a_Aplicación:                  HCOM_x000a_Tipo de Soporte:         CAMBIO DE TUT   _x000a_" u="1"/>
        <s v="Se  testan los datos del folio:   0064101091921" u="1"/>
        <s v="Se envía seguimiento de la solicitud: 1215101150319." u="1"/>
        <s v="Notificación de seguimiento  [  MA0803202114 ]  _x000a_ _x000a_ _x000a_Estimado(a):                     Alondra Jiménez Hernández_x000a_ _x000a_ _x000a_Le informamos que su ticket correspondiente a:_x000a_               _x000a_renovación del certificado del siguiente sujeto indirecto que coordina para que sea actualizado y se habilite su acceso en la Herramienta de Comunicación:_x000a__x000a_CLAVE DEPENDENCIA/ENTIDAD_x000a_11089 Fideicomiso Centro de Investigación en Materiales Avanzados, S.C. (CIMAV)_x000a_ _x000a_Aplicación:                  HCOM_x000a_Tipo de Soporte:         RENOVACION DE CERTIFICADO   _x000a_Observaciones:            _x000a_ _x000a_Su petición fue atendida_x000a_" u="1"/>
        <s v="Generación de métricas de efectividad de los modelos" u="1"/>
        <s v="_x000a_Notificación de seguimiento  [  MA2304202002 ]  _x000a_ _x000a_ _x000a_Estimado(a):                     BERENICE HERNANDEZ SUMANO _x000a_ _x000a_Le informamos que su ticket correspondiente a:_x000a_               _x000a_Modificación de los plazos para Cumplimientos y Alegatos_x000a_ _x000a_Aplicación:                  SIGEMI_x000a_Tipo de Soporte:         AJUSTE DE PLAZOS   _x000a_Observaciones:            _x000a_ _x000a_Su petición fue atendida, en caso de las fechas relacionadas con Alegatos, la actualización se realiza en automático_x000a_ _x000a_" u="1"/>
        <s v="Estimada Martha, de los nombres enviados solo se localizaron 2, por lo que mejor te envío la consulta completa a la tabla de departamentos _x000a__x000a_Saludos _x000a__x000a_Marina _x000a__x000a_Notificación de seguimiento  [  MA0608202104 ]_x000a_ _x000a_Aplicación:                  INFOMEX NL_x000a_Tipo de Soporte:         CONSULTA DE DATOS    _x000a__x000a_" u="1"/>
        <s v="Se aplica testado de datos al folio: 0064100210421" u="1"/>
        <s v="Notificación de seguimiento  [  MA1407202104 ]_x000a__x000a_Estimado(a):                Pedro Esquivel Martínez_x000a__x000a_ _x000a_ Le informamos que su ticket correspondiente a:_x000a_               _x000a_Anexo el registro actualizado del certificado del Titular de la Unidad de Enlace del  “Instituto Nacional de Ciencias Penales”. Lo anterior a fin de que sus accesos sean habilitados en sistemas que administra este Instituto (HCOM).  Cambio de Titular, no omito señalar que en cuanto se reciba la atención en HCOM se realizará la actualización de los demás sistemas correspondientes._x000a__x000a_ _x000a_Aplicación:                  HCOM_x000a_Tipo de Soporte:         CAMBIO DE TUT   _x000a_" u="1"/>
        <s v="Notificación de seguimiento [ MA08012020-01 ] _x000a_  _x000a_  _x000a_ Estimado(a): Lizbeth Adriana Cabrera Ortega_x000a_  _x000a_ Le informamos que su ticket correspondiente a:_x000a_  _x000a_ _x000a_ SOLICITANDO DE TU VALIOSO APOYO PARA RETROTRAER TURNO DE RECURSOS DE ACCESO QUE DE ACUERDO A LA FECHA DE INTERPOSICIÓN OFICIAL CORRESPONDEN AL AÑO 2020._x000a_ _x000a_ AL REPECTO ME PERMITO PRECISAR QUE SERÍAN LOS CITADOS EN LA LISTA COLOCADA EN LA PARTE FINAL, QUE SON DEL RRA 16464/19 AL RRA 16538/19._x000a_ _x000a_ ATENDIENDO A LO ANTERIOR A FIN DE EFECTUAR ADECUADAMENTE SU TURNO DEBE AJUSTARSE EL CONSECURTIVO ÚNICAMENTE DE LOS RECURSOS DE ACCESO AL RECURSO RRA 1/20._x000a_ _x000a_ NO OMITO COMENTARTE QUE SE LES DÍO ENVIAR A LAS BANDEJAS.._x000a_ _x000a_  _x000a_ Aplicación: SIGEMI_x000a_ Tipo de Soporte: eliminación de turnos y ajuste de consecutivo _x000a_ Observaciones: _x000a_  _x000a_ Su petición fue atendida" u="1"/>
        <s v="Adecuación del BUS de servicios para redireccionar u orquestar a los web services proporcionados por el equipo técnico del Estado de México." u="1"/>
        <s v="Notificación de seguimiento  [  MA0911202003 ]  _x000a_ _x000a_ _x000a_Estimado(a):                     Luis Javier Mendoza Rueda_x000a_ _x000a_ _x000a_Le informamos que su ticket correspondiente a:_x000a_               _x000a_Mediante el Ticket #PNT003450 solicito tu apoyo en el sistema SIGEMI para realizar la corrección en la fecha de admisión del acuerdo correspondiente al recurso INFOCDMX/RR.IP.1377/2020 con número de Folio 0432000042620._x000a_FECHA INCORRECTA _x000a_ 04/11/2020, _x000a_ _x000a_FECHA CORRECTA _x000a_05/10/2020_x000a__x000a_ _x000a_Aplicación:                  SIGEMI_x000a_Tipo de Soporte:         ACTUALIZACIÓN DE FECHA   _x000a_Observaciones:            _x000a_ _x000a_Su petición fue atendida_x000a_" u="1"/>
        <s v="Notificación de seguimiento  [  MA3107202001 ]  _x000a_ _x000a_ _x000a_Estimado(a):                     Adriana Salazar González_x000a_ _x000a_Le informamos que su ticket correspondiente a:_x000a_               _x000a_Por este medio solicito su valioso apoyo para efecto de regresar el recurso de revisión RRA 7375/20 vs Hospital General &quot;Dr. Manuel Gea González&quot; al paso de admitir, en virtud de que fue cargado un archivo diverso al que correspondía, para poder hacer la carga del correcto, quedo atenta. _x000a__x000a__x000a_ _x000a_Aplicación:                  SIGEMI_x000a_Tipo de Soporte:         REGRESO DE PASOS  _x000a_Observaciones:            _x000a_ _x000a_Su petición fue atendida_x000a_" u="1"/>
        <s v="Crear metodos daos y servicios para obtener la informacion" u="1"/>
        <s v="Soporte Sinaloa" u="1"/>
        <s v="Se testan 18 solicitudes del SO IMSS" u="1"/>
        <s v="Se elimina la respuesta del folio: 0673800133121" u="1"/>
        <s v="Se localiza el acuse de la solicitud con folio: 0063500107120." u="1"/>
        <s v="Implementación servicio total de quejas" u="1"/>
        <s v="Notificación de seguimiento  [  MA0312202001 ]  _x000a_  _x000a_Estimado(a):                     Edgar Michel Loaeza Martínez_x000a_  _x000a_Le informamos que su ticket correspondiente a:_x000a_               _x000a_Por medio del presente, solicito su apoyo para hacer el cambio de contraseña en el sistema hcom, del siguiente sujeto obligado que pertenece a la Secretaría de Educación Pública:_x000a__x000a_- FONDO DE RETIRO DE LOS TRABAJADORES DE LA SEP (FORTE)_x000a__x000a_Al respecto, se solicita que la contraseña sea la siguiente: hcomsep2020_x000a_ _x000a_Aplicación:                  HCOM_x000a_Tipo de Soporte:         CAMBIO CONTRASEÑA_x000a_Observaciones:            _x000a_ _x000a_Su petición fue atendida_x000a_" u="1"/>
        <s v="Notificación de seguimiento  [  MA2605202003 ]  _x000a_ _x000a_ _x000a_Estimado(a):                     Rosa María Rivas Rangel_x000a_ _x000a_Le informamos que su ticket correspondiente a:_x000a_               _x000a_El sujeto obligado indica que respecto a la Agencia Mexicana de Cooperación Internacional para el Desarrollo (AMEXCID), se advierte que del recurso de revisión RRA 02974/20 el día de hoy 22 de mayo se recibieron dos notificaciones (Notificación de Cierre de Instrucción y Notificación de Acuerdo de Ampliación) _x000a_ _x000a_Aplicación:                  SIGEMI_x000a_Tipo de Soporte:         AJUSTE DE FECHAS  _x000a_Observaciones:            _x000a_ _x000a_Su petición fue atendida_x000a_" u="1"/>
        <s v="Configuracion de horarios del modulo administracion" u="1"/>
        <s v="Notificación de seguimiento  [  MA1108202204 ]_x000a__x000a__x000a_Estimado(a):               Abraham Obed Gallardo González_x000a__x000a_ Le informamos que su ticket correspondiente a:_x000a__x000a_en seguimiento a la actualización de la vigencia del .cer del TUT del ININ, remito el certificado remitido por el personal de la unidad de transparencia de ese sujeto obligado con vigencia hasta el año 2024, lo anterior, con la finalidad de darlo de alta en el sistema HCOM._x000a__x000a_Aplicación:                  HCOM_x000a_Tipo de Soporte:        ACTUALIZAR CERTIFICADO " u="1"/>
        <s v="Las Unidades de Enlace reportan problemas de Ingreso a Infomex Unidad de Enlace." u="1"/>
        <s v="Se  testan los datos del folio:  0000700107621 " u="1"/>
        <s v="Copia carpeta cursos en campus público en producción" u="1"/>
        <s v="Se testan los datos de 15 solicitudes del Sujeto Obligado IMSS" u="1"/>
        <s v="Estimado Alan, buenas tardes, te informo que el respaldo de su base de datos de esta semana ya está en el repositorio…   _x000a_http://documentos.inai.org.mx/tmp/infomex_tlaxcala_backup_2021-06-14_0800.bak_x000a__x000a_Saludos Cordiales_x000a_Marina Adame Velasco       _x000a__x000a__x000a_Notificación de seguimiento  [  MA1406202113 ]_x000a_ _x000a_Aplicación:                  INFOMEX TLAXCALA _x000a_Tipo de Soporte:         RESPALDO DE BD  _x000a__x000a_Estatus:                               Concluido_x000a__x000a_" u="1"/>
        <s v="Se testan los datos de la solicitud con folio:  0064101377321" u="1"/>
        <s v="Se testan los datos  del folio: 0064101344621" u="1"/>
        <s v="Se actualiza certificado para la dependencia: Secretaría de Turismo." u="1"/>
        <s v="Notificación de seguimiento  [  MA1802202002 ]  _x000a_ _x000a_ _x000a_Estimado(a):                     María Guadalupe Rodríguez Morales_x000a_ _x000a_Le informamos que su ticket correspondiente a:_x000a_               _x000a_En relación con el recurso de revisión RRD 0288/20, interpuesto en contra del Tribunal Federal de Conciliación y Arbitraje, solicito de su invaluable apoyo para que a la brevedad en la PNT se corrija como medio para oír y recibir notificaciones de la parte recurrente, el correo electrónico kappatau120478@gmail.com _x000a_ _x000a__x000a_ _x000a_Aplicación:                  SIGEMI_x000a_Tipo de Soporte:         CAMBIO DE CORREO   _x000a_Observaciones:            _x000a_ _x000a_Su petición fue atendida_x000a_" u="1"/>
        <s v="Notificación de seguimiento  [  MA3011202001 ]  _x000a_  _x000a_Estimado(a):              Guillermo Delgado Ibarra       _x000a_  _x000a_Le informamos que su ticket correspondiente a:_x000a_               _x000a_con 2 peticiones _x000a_Nota.- Agregando el campo de tipo de solicitud (Datos/Información)_x000a_1.- el reporte de solicitudes hasta la fecha_x000a_2.- el reporte de solicitudes referente a COVIT, CORONAVIRUS, y me solicitan agregar dos palabras a la búsqueda, (EMERGENCIA y PANDEMIA) además descripción de la respuesta y el estatus de cada solicitud_x000a_ _x000a_Aplicación:                  INFOMEX BCN_x000a_Tipo de Soporte:         REPORTE   _x000a_Observaciones:            _x000a_ _x000a_Su petición fue atendida_x000a_" u="1"/>
        <s v="Revisión y análisis de requerimientos " u="1"/>
        <s v="se generan los servicios de objetivos y los componentes de Objetivos: formulario, modal, busqueda, vista" u="1"/>
        <s v="Se aplica sustitución de archivo de la solicitud: 0110000003320" u="1"/>
        <s v="Continúa la automatización del proceso para la generación de registros Inserts del Excel (SISAI_catalogos_TareaXEdos.xlsx)" u="1"/>
        <s v="Correccion de login con Red social Google" u="1"/>
        <s v="Se aplica eliminación de última respuesta: 0310000002020." u="1"/>
        <s v="Se  testan los datos y se sustituye el archivo del folio: 0000700213221" u="1"/>
        <s v="Se aplica testado de datos al folio:  0000700340520" u="1"/>
        <s v="Continúan las consultas de folios del estado de Sonora a fin de recuperar los adjuntos faltantes." u="1"/>
        <s v="Cambios en el formulario de registro" u="1"/>
        <s v="Se aplica eliminación de respuesta al folio: 4010000109019" u="1"/>
        <s v="Estimado José Manuel , adjunto reporte solicitado _x000a__x000a_Saludos_x000a__x000a_Marina _x000a__x000a__x000a__x000a_Notificación de seguimiento  [  MA0807202114 ]_x000a__x000a_Aplicación:                  INFOMEX QUERETARO_x000a_Tipo de Soporte:         CONSULTA DE DATOS  _x000a_" u="1"/>
        <s v="Desarrollo de nueva funcionalidad para el registro de solicitudes a SISAI" u="1"/>
        <s v="Buenas tardes Doris, dando seguimiento a la conversión telefónica del día de hoy, anexo ejemplo de archivo con referencias a modificación de plazos por folio, también te envío las líneas a modificar en el archivo CONFIGCOMPONENTE, en caso de que lo consideres necesario _x000a__x000a_&lt;Configuración Control=&quot;SeleccionRespuesta&quot; Regla=&quot;RespuestasExcluyentes&quot; ID=&quot;H_Prevencion&quot; Descripción=&quot;H&quot; DiasDisponible=&quot;5&quot;  ExcluyeConID=&quot;I_Prorroga&quot; /&gt;_x000a_  &lt;Configuración Control=&quot;SeleccionRespuesta&quot; Regla=&quot;RespuestasExcluyentes&quot; ID=&quot;E_Publica&quot; Descripción=&quot;E&quot; DiasDisponible=&quot;5&quot;  ExcluyeConID=&quot;&quot; /&gt;_x000a_  &lt;Configuración Control=&quot;SeleccionRespuesta&quot; Regla=&quot;RespuestasExcluyentes&quot; ID=&quot;A_NoCompetencia&quot; Descripción=&quot;A&quot; DiasDisponible=&quot;3&quot;  ExcluyeConID=&quot;&quot; /&gt;_x000a_  _x000a__x000a_Saludos _x000a__x000a_Marina Adame Velasco_x000a__x000a_Notificación de seguimiento  [  MA1707202005 ]  _x000a__x000a_Aplicación:                  INFOMEX TABASCO _x000a_Tipo de Soporte:         Configuración Infomex   _x000a_Estatus:                               Concluido._x000a__x000a_" u="1"/>
        <s v="Adecuación a plantilla de diseño para los dos campos" u="1"/>
        <s v="Se elimina la ultima respuesta del folio 1621100011321" u="1"/>
        <s v="Notificación de seguimiento  [  MA0309202001 ]  _x000a_ _x000a_ _x000a_Estimado(a):                     Moisés Guzmán Arias_x000a_ _x000a_Le informamos que su ticket correspondiente a:_x000a_               _x000a_llevar a cabo los procesos para que se actualicen las fechas indicadas, tengo entendido que con este proceso se ajustan también los términos para los sujetos obligados en el caso de que deban enviar alegatos y manifestaciones_x000a_ _x000a_Aplicación:                  SIGEMI_x000a_Tipo de Soporte:         AJUSTE DE PLAZOS  _x000a_" u="1"/>
        <s v="Notificación de seguimiento  [  MA1410202201 ]_x000a__x000a_Estimado(a):                Lizbeth Adriana Cabrera Ortega_x000a_ _x000a_ Le informamos que su ticket correspondiente a:_x000a_ _x000a_Con el gusto de saludarles me permito solicitar tu valioso apoyo respecto de la generación UN EXPEDIENTE BIS del recurso de revisión posteriormente citado._x000a_ _x000a_Asimismo, te comento que NO DEBERÁ CAMBIAR el sujeto obligado, ni el Comisionado correspondiente. _x000a_ _x000a_ DICE                                        DEBE DECIR                         SUJETO OBLIGADO           PONENTE_x000a__x000a_RRA 16785/22_x0009_RRA 7765/21-BIS_x0009_INMEGEN_x0009_AAM_x000a_ _x000a_No omito comentarte que el número de expediente que deberá seguir en el consecutivo por turnar en PNT debe ser el RRA 16785/22._x000a__x000a_ _x000a_ _x000a_Aplicación:                SIGEMI_x000a_Tipo de Soporte        CAMBIO A EXPEDIENTE BIS" u="1"/>
        <s v="Se presenta problemas para aplicar prorroga." u="1"/>
        <s v="Se generó certificado para usuario de dependencia Fideicomiso Plan de Pensiones y Jubilaciones Essa" u="1"/>
        <s v="Realizar la clase Controller, Service, Dao para la operación alta de roles" u="1"/>
        <s v="Notificación de seguimiento [ MA1701202003]_x000a_  _x000a_  _x000a_ Estimado(a): Edgar Michel Loaeza Martínez_x000a_  _x000a_ Le informamos que su ticket correspondiente a:_x000a_  _x000a_ Por medio del presente solicito su valioso apoyo a efecto de hacer cambio de Titular de la Unidad de Transparencia de la Comisión Nacional de Seguros y Fianzas._x000a_ _x000a_ Para tal efecto, anexo al presente el certificado, nombramiento y cédula de registro, lo anterior, a fin de que sus accesos sean habilitados en los sistemas que administra este Instituto (HCOM e INFOMEX). _x000a_ _x000a_ _x000a_  _x000a_ Aplicación: HCOM_x000a_ Tipo de Soporte: CAMBIO DE TUT" u="1"/>
        <s v="Notificación de seguimiento  [  MA0207202003 ]  _x000a_ _x000a_ _x000a_Estimado(a):                     Sergio Rafael Cortés Alpizar_x000a_ _x000a_Le informamos que su ticket correspondiente a:_x000a_               _x000a_Por medio del presente, solicito se regrese la actividad a &quot;Preparación del Proyecto de Resolución&quot; y se eliminen los desechamientos para volverlos a mandar de los siguientes recursos de revisión:_x000a__x000a_RRA 4711/20 vs IMSS_x000a_RRA 5786/20 vs Secretaría de Economía_x000a_RRA 6091/20 vs ISSSTE_x000a__x000a_Lo anterior se debe a que se corrigieron los acuerdos y se volverán a enviar._x000a__x000a_ _x000a_Aplicación:                  SIGEMI_x000a_Tipo de Soporte:         REGRESO DE PASOS  ( 3 ) _x000a_Observaciones:            _x000a_ _x000a_Su petición fue atendida_x000a_" u="1"/>
        <s v="Se realizó una revisión al código y debugeo del programa que genera el folio y Se detectó un error en calendario de fábrica de SAP para el año 2021, se ajustó al año 2030; así como también se ajustaron los folios  que indicó el área de Sustaciación._x000a_Así como también se ajustaron todos los casos de SPD,  en las Fechas del sistema que se calcularon erróneamente." u="1"/>
        <s v="Analisis de solicitudes atendidas y pendientes " u="1"/>
        <s v="Se aplica el testado de datos de la solicitud: 1117100230719" u="1"/>
        <s v="Se aplica testado de datos al folio:   0110000011020 y 0110000011120" u="1"/>
        <s v="configuracion de proceso" u="1"/>
        <s v="Analisis BD seguimiento actividades" u="1"/>
        <s v="Ajuste de sesión con facebook en ios" u="1"/>
        <s v="Se eliminaron atributos sobrantes y tambien se implemento null safety para los ya existentes" u="1"/>
        <s v="se generan componente de usuario: formulario, modal, vista, busqueda" u="1"/>
        <s v=" Notificación de seguimiento  [  MA1510202005 ]_x000a__x000a_ _x000a_Estimado(a):                     Rafael González García_x000a_ _x000a_Le informamos que su ticket correspondiente a:_x000a_               _x000a_Por otro lado, me permito desviarle su atención para solicitarle, respetuosamente y por instrucciones del Dr. Fernando Butler Silva, la baja en los sistemas informáticos que opera el INAI del sujeto obligado indirecto denominado: Fideicomiso Fondo de Ahorro del Personal de Mandos Medios y Superiores del Colegio de San Luis A.C. N° 030057-3, con número de clave 52223, en virtud de contar con el visto bueno de su baja por parte del Mtro. Adrián Alcalá Méndez, Secretario de Acceso a la Información, que adjunto dicho oficio digitalizado para pronta referencia._x000a_Así también, se solicita se informe el listado de recursos de revisión pendientes de atención en los Sistemas SIGEMI-SICOM y cualquier otro requerimiento en HCOM, precisando la etapa en la que se encuentran, a fin de comunicarle al sujeto obligado que, en tanto concluyen,  seguirán contando con los acceso para su desahogo._x000a_ _x000a_Para mayor referencia se adjunta el oficio INAI/SAI/DGOAEEF/421/2020 que soporta a esta petición._x000a__x000a_ _x000a_Aplicación:                  HCOM_x000a_Tipo de Soporte:         BAJA DE DEPARTAMENTO   _x000a_Observaciones:            _x000a_ _x000a_Su petición fue atendida, se realizó la baja del Sujeto Obligado, la clave del Sujeto Obligado en HCOM para eses Sujeto Obligado es diferente a la que señala el oficio, en HCOM es 53223 y en el oficio se señala la clave 52223, sin embargo la descripción del Sujeto Obligado coincide_x000a_ _x000a_" u="1"/>
        <s v="Creación de cuenta y configuración permisos a Sandra Sandoval" u="1"/>
        <s v="Carga de audios en BD de los recursos requeridos." u="1"/>
        <s v="Notificación de seguimiento  [  MA1203202111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1º al 31 de marzo 2021 y contando también el periodo vacacional de semana santa; debiéndose considerar los días comprendidos dentro de dicho periodo como inhábiles para evitar la propagación del coronavirus COVID-19._x000a_ _x000a_Aplicación:                  INFOMEX NUEVO LEON_x000a_Tipo de Soporte:         AJUSTE  DE PLAZO   _x000a_Observaciones:            _x000a_ _x000a_Su petición fue atendida_x000a_ _x000a_  _x000a_            Favor de validar._x000a_ _x000a_Estatus:                               Concluido._x000a_" u="1"/>
        <s v="Reesctructuración servicio registro de pagos" u="1"/>
        <s v="Se testan los datos de la solicitud con folio: 064101427021" u="1"/>
        <s v="Se  testan los datos del folio: 011000023721" u="1"/>
        <s v="desarrollo funcionalidad turnar solicitud" u="1"/>
        <s v="Junta con Oracle para ver a detalle la propuesta de arquitectura y para aclaracion de dudas." u="1"/>
        <s v="Notificación de seguimiento  [  MA0203202102 ]  _x000a_ _x000a_ _x000a_Estimado(a):                     Pedro Esquivel Martínez_x000a_ _x000a_ _x000a_Le informamos que su ticket correspondiente a:_x000a_               _x000a_solicito su valioso apoyo con la asignación del certificado en HCOM de acuerdo al siguiente cuadro descriptivo: (se anexa .cer y cedula de datos)_x000a_ _x000a_ _x000a_Aplicación:                  HCOM_x000a_Tipo de Soporte:         CAMBIO TUT   _x000a_" u="1"/>
        <s v="Se realiza el apoyo en la identificación del error que emite el proceso de generación de datos vía web del estado de Tamaulipas, donde se gestionan diversos querys para pruebas locales." u="1"/>
        <s v="Notificación de seguimiento  [  MA2901202107 ]  _x000a_ _x000a_ _x000a_Estimado(a):                     Alondra Jiménez Hernández_x000a_ _x000a_ _x000a_Le informamos que su ticket correspondiente a:_x000a_               _x000a_Anexo el registro actualizado del certificado del nuevo Titular de la Unidad de Transparencia del COMESA para que su acceso sea habilitado en la Herramienta de Comunicación. _x000a_ _x000a_Aplicación:                  HCOM_x000a_Tipo de Soporte:         CAMBIO TUT   _x000a_" u="1"/>
        <s v="Se aplica eliminación de última respuesta de la solicitud: 0001600073420." u="1"/>
        <s v="seccion 14 UT" u="1"/>
        <s v="Se terminan de configurar llaves en consola de firebase" u="1"/>
        <s v="Se  testan los datos del folio:   0064100391521" u="1"/>
        <s v="Se aplica testado de datos al folio:  0002700051921" u="1"/>
        <s v="Notificación de seguimiento  [  MA0502202105 ]  _x000a_ _x000a_ _x000a_Estimado(a):                     ALEJANDRA TEJEDA_x000a_ _x000a_ _x000a_Le informamos que su ticket correspondiente a:_x000a_               _x000a_solicito de la manera más atenta su apoyo para la rectificación de suspensión de plazos de un Sujeto obligado, específicamente Congreso del Estado de Baja California_x000a_ _x000a_Aplicación:                  INFOMEX BCN_x000a_Tipo de Soporte:         AJUSTE DE PLAZOS   _x000a_" u="1"/>
        <s v="Se elimina la respuesta del folio: 0912000014521" u="1"/>
        <s v="Revisión y análisis de la  Administracion de Calendarios, horarios,acuses y respuestas. " u="1"/>
        <s v="Problemas en Calendarios de la dependencia: SEP-XE-IPN CANAL 11 (*)." u="1"/>
        <s v="Notificación de seguimiento  [  MA1304202105 ]  _x000a_ _x000a_ _x000a_Estimado(a):                     CÉSAR ALVA_x000a_ _x000a_ _x000a_Le informamos que su ticket correspondiente a:_x000a_               _x000a_solicitar tu apoyo en el Infomex, ya que, en días pasado los Comisionados hicieron un acuerdo en el que determinan que el único medio para presentar medios de impugnación es la PNT, por lo que quisiera ver si me pudieras apoyar mencionándome que archivo es el que tiene que bajarse para inhabilitar dichos Recursos._x000a__x000a_ _x000a_Aplicación:                  INFOMEX AGUASCALIENTES_x000a_Tipo de Soporte:         CAMBIO DE CONFIGURACION   _x000a_Observaciones:            _x000a_ _x000a_Se adjunta script para ocultar módulo de candidatas a RR en INFOMEX, con este cambio los solicitantes ya no podrán registrar recursos desde infomex, sin embargo los recursos que ya se generaron y que estan pendientes de trámite, tendrán que definir que tratamiento se les da, si se dejan asi o se eliminan_x000a_ _x000a_" u="1"/>
        <s v="Notificación de seguimiento  [  MA0808202202 ]_x000a__x000a__x000a_Estimado(a):               Alondra Jiménez Hernández_x000a__x000a_ Le informamos que su ticket correspondiente a:_x000a__x000a_Anexo el registro actualizado del certificado del nuevo Titular de la Unidad de Transparencia de ASIPONA PROGRESO para que su acceso sea habilitado en la Herramienta de Comunicación. _x000a_ _x000a_Aplicación:                  HCOM_x000a_Tipo de Soporte:        CAMBIO DE TUT " u="1"/>
        <s v="Notificación de seguimiento  [  MA0410202203 ]_x000a__x000a_Estimado(a):                Alondra Jiménez Hernández _x000a__x000a_ Le informamos que su ticket correspondiente a:_x000a__x000a_Anexo el registro actualizado del certificado del nuevo Titular de la Unidad de Transparencia de Exportadora de Sal, S.A. de C.V. para que su acceso sea habilitado en la Herramienta de Comunicación. _x000a__x000a__x000a_Aplicación:                  HCOM_x000a_Tipo de Soporte          CAMBIO DE TUT  _x000a_Observaciones:            _x000a_ _x000a_Su petición fue atendida" u="1"/>
        <s v="Se genera certificado para: Blas.Rodriguez.Ortiz." u="1"/>
        <s v="Se sustituye archivo adjunto del folio: 1816400066320." u="1"/>
        <s v="_x000a_Buenas tardes Alan, tu petición fue atendida, favor de validar _x000a__x000a_Saludos _x000a__x000a_Marina Adame Velasco_x000a__x000a_Notificación de seguimiento  [  MA0610202005 ]  _x000a__x000a_Aplicación:                  INFOMEX TLAXCALA_x000a_Tipo de Soporte:         AJUSTE DE PLAZOS    _x000a_Estatus:                               Concluido._x000a_" u="1"/>
        <s v="Se procede con la creación de un nuevo insumo para el procesamiento de recuperación de adjuntos faltantes del estado de Morelos (Se requiere recuperar (9,161) adjuntos). Para esto se realizó previamente consultas folio a folio en la entidad, donde se observa un dato distinto en la consulta de URL de Origen.  https://infomexmorelos.mx/ donde dice DescargarSinGuardar, y este dato se utiliza para la nueva consulta." u="1"/>
        <s v="Se  testan los datos del folio: 0064101174621" u="1"/>
        <s v="Notificación de seguimiento  [  MA0309202004 ]  _x000a_ _x000a_ _x000a_Estimado(a):                     Pedro Esquivel Martínez_x000a_ _x000a_Le informamos que su ticket correspondiente a:_x000a_               _x000a_por este medio Anexo el registro actualizado del certificado del Titular de la Unidad de Enlace del “Fondo de investigación científica y desarrollo tecnológico de El Colegio de la Frontera Sur Fid. 784”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_x000a_Tipo de Soporte:         ACTUALIZACIÓN DE CERTIFICADO   _x000a_Observaciones:            _x000a_ _x000a_Su petición fue atendida_x000a_" u="1"/>
        <s v="Notificación de seguimiento  [  MA1708202109 ]_x000a__x000a_Estimado(a):                Pedro Esquivel Martínez_x000a__x000a_ _x000a_ Le informamos que su ticket correspondiente a:_x000a_               _x000a_por este medio Anexo el registro actualizado del certificado del Titular de la Unidad de Enlace de la “Instituto Nacional de Medicina Genómica”.  Lo Anterior a fin de que sus accesos sean habilitados en los otros sistemas que administra este Instituto (HCOM).  CAMBIO DE  TITULAR, en cuanto se reciba la atención en HCOM se realizará la actualización de los demás sistemas correspondientes._x000a_ _x000a_Aplicación:                  HCOM          _x000a_Tipo de Soporte:         CAMBIO DE TUT   _x000a_Observaciones:            _x000a_ _x000a_Su petición fue atendida_x000a_ _x000a_ _x000a__x000a_" u="1"/>
        <s v="Modificaciones al servicio de cambio de contraseña" u="1"/>
        <s v="Envío de carpeta themes para su reemplazo" u="1"/>
        <s v="_x000a_Notificación de seguimiento  [  MA1006202122 ]_x000a__x000a_Estimado(a):                Francisco Javier Lira Pérez_x000a__x000a_ _x000a_ Le informamos que su ticket correspondiente a:_x000a_               _x000a_Favor de proporcionarnos la Llave Única para nuevo SO denominado:_x000a__x000a_Fideicomiso Irrevocable de Administración y Medio de Pago denominado “Fondo para la Planeación Estratégica 71479”_x000a__x000a_ _x000a_Aplicación:                  INFOMEX NUEVO LEÓN_x000a_Tipo de Soporte:         CONSULTA DE DATOS   _x000a_Observaciones:            _x000a_ _x000a_Su petición fue atendida_x000a__x000a__x000a_SUJETO_OBLIGADO CLAVE_x000a_Fideicomiso Irrevocable de Administración y Medio de Pago denominado “Fondo para la Planeación Estratégica 71479” 20210610-1505-5800-8790-3d5486804a05_x000a__x000a_ _x000a_ _x000a__x000a_             Favor de validar._x000a_ _x000a_Estatus:                               Concluido_x000a_" u="1"/>
        <s v="Google Analytics" u="1"/>
        <s v="Se sustituye el archivo adjunto de la solicitud con folio  0064101335721" u="1"/>
        <s v="Se elimina la respuesta del folio: 0001200274821" u="1"/>
        <s v="Se aplica eliminación de formato de pago: 0673800089121" u="1"/>
        <s v="Definicion de tiempo de vida de cuanta de usuarios" u="1"/>
        <s v="Se aplica eliminación de formato de pago: 0002700263420" u="1"/>
        <s v="Se  testan los datos del folio: 0064100853221" u="1"/>
        <s v="Revisar y corregir el error en consulta de solicitudes" u="1"/>
        <s v="Se  testan los datos del folio: 0064101528121" u="1"/>
        <s v="Notificación de seguimiento  [  MA2805202101 ]_x000a__x000a__x000a__x000a_Estimado(a):                Juan Carlos Chávez García_x000a__x000a_ _x000a_ Le informamos que su ticket correspondiente a:_x000a_               _x000a_Solicito atentamente realizar corrección en el SUJETO OBLIGADO del recurso: _x000a_INFOCDMX/RR.IP.0686/2021 Solicitud: 6001000027221, _x000a_Error: Consejería Jurídica y de Servicios Legales._x000a__x000a_SUJETO OBLICADO CORRECTO: Consejo de la Judicatura de la Ciudad de México_x000a__x000a_ _x000a_Aplicación:                  SIGEMI_x000a_Tipo de Soporte:         CORRECCIÓN DE SUJETO OBLIGADO  _x000a_Observaciones:            _x000a_ _x000a_Su petición fue atendida_x000a_ _x000a_ _x000a__x000a_             Favor de validar._x000a_ _x000a_Estatus:                               Concluido_x000a__x000a_" u="1"/>
        <s v="Notificación de seguimiento  [  MA0704202119 ]  _x000a_ _x000a_ _x000a_Estimado(a):                     Alondra Jiménez Hernández_x000a_ _x000a_ _x000a_Le informamos que su ticket correspondiente a:_x000a_               _x000a_Anexo el registro actualizado del certificado del nuevo Titular de la Unidad de Transparencia del Administración Portuaria Integral de Altamira, S.A de C.V (API ALTAMIRA) para que su acceso sea habilitado en la Herramienta de Comunicación. _x000a_ _x000a_Aplicación:                  HCOM_x000a_Tipo de Soporte:         CAMBIO TUT   _x000a_" u="1"/>
        <s v="Búsqueda de información de arquitectura PRODATOS" u="1"/>
        <s v="Se  elimina respuesta del folio: 1100300009621 " u="1"/>
        <s v="Se aplica testado de datos al folio: 0000700007121" u="1"/>
        <s v="Notificación de seguimiento  [  MA0805202004 ]  _x000a_ _x000a_ _x000a_Estimado(a):                     HUGO GOMEZ_x000a_ _x000a_Le informamos que su ticket correspondiente a:_x000a_               _x000a_ terminos del seis de mayo al 31 de mayo _x000a__x000a__x000a_por este medio envió a ustedes el link  donde se suspenden los términos, por la contingencia del (COVID-19)_x000a__x000a_http://www.itaipchiapas.org.mx/emergente/sus06052020.pdf_x000a__x000a_para los efectos del SIGEMI-SICOM  y la PNT_x000a__x000a__x000a_ _x000a_Aplicación:                  SIGEMI_x000a_Tipo de Soporte:         REVISIÓN DE PLAZOS  _x000a_Observaciones:            _x000a_ _x000a_Su petición fue atendida, se anexan los plazos de fechas limites de votación, no se localizaron fechas de cumplimiento, si requiere actualización de fechas favor de indicar cual sería la  nueva fecha_x000a__x000a_Quedamos atentos  _x000a__x000a_ _x000a_            Favor de validar._x000a_ _x000a_Estatus:                               Concluido._x000a_" u="1"/>
        <s v="WordPress - ¿Qué es el CAS?" u="1"/>
        <s v="Prueba uno de descarga de datos SIPOT" u="1"/>
        <s v="Enlazar modulos de busqueda avanzada" u="1"/>
        <s v="Notificación de seguimiento  [  MA1703202001 ]  _x000a_ _x000a_ _x000a_Estimado(a):                     Lizbeth Adriana Cabrera Ortega_x000a_ _x000a_Le informamos que su ticket correspondiente a:_x000a_               _x000a_DEBE DECIR 13 DE MARZO_x000a_ _x000a_Aplicación:                  SIGEMI_x000a_Tipo de Soporte:         CAMBIO DE FECHA  _x000a_Observaciones:            _x000a_ _x000a_Su petición fue atendida_x000a__x000a_" u="1"/>
        <s v="Se cambia el tipo de solicitud del folio:  0001200056821" u="1"/>
        <s v="Se corrige un problema de navegacion al responder quejas, ahora dirige al usuario a la pantalla home" u="1"/>
        <s v="Implementación del borrado de Subtemas" u="1"/>
        <s v="Se modifican validaciones en solicitud de datos personales" u="1"/>
        <s v="Carga de acuerdos" u="1"/>
        <s v="SUSTITUCIÓN DEL ADJUNTO EN SOLICITUD DE INFORMACION CON FOLIO 0064101070821" u="1"/>
        <s v="Se elimina solicitud del SISITUR para volverla a cargar en el sistema" u="1"/>
        <s v="Se  testan los datos del folio: 0064101341121" u="1"/>
        <s v="Se testan los datos de la solicitud con folio: 0064101354121" u="1"/>
        <s v="Notificación de seguimiento  [  MA1803202005 ]  _x000a_ _x000a_ _x000a_Estimado(a):                     Pedro Esquivel Martínez_x000a_ _x000a_Le informamos que su ticket correspondiente a:_x000a_               _x000a_Anexo el registro actualizado del certificado del Titular de la Unidad de Enlace del  “INSTITUTO PARA DEVOLVER AL PUEBLO LO ROBADO ANTES SERVICIO DE ADMINISTRACIÓN Y ENAJENACIÓN DE BIENES” Lo Anterior a fin de que sus accesos sean habilitados en los otros sistemas que administra este Instituto (HCOM).  CAMBIO DE TITULAR, en cuanto se reciba la atención en HCOM se realizará la actualización de los demás sistemas correspondientes._x000a__x000a_ _x000a_Aplicación:                  HCOM_x000a_Tipo de Soporte:         CAMBIO DE TITULAR Y CAMBIO DE NOMBRE DE SUJETO OBLIGADO  _x000a_Observaciones:            _x000a_ _x000a_Su petición fue atendida, adicionalmente al cambio de de titular se realizó el cambio de nombre del Sujeto Obligado con base al oficio entregado INAI/SAI/DGEPPOED/0472/2020_x000a_ _x000a_            Favor de validar._x000a_ _x000a_Estatus:                               Concluido._x000a_" u="1"/>
        <s v="Revisión problema de carga" u="1"/>
        <s v="Notificación de seguimiento [ MA2201202011 ] _x000a_  _x000a_  _x000a_ Estimado(a): Ana Patricia Flores González_x000a_  _x000a_ Le informamos que su ticket correspondiente a:_x000a_  _x000a_ Por este medio te solicito amablemente se regrese el paso del recurso de revisión RRA 00560/20, toda vez que se le asignó el paso “desechar”, siendo que lo correcto es admitir. Aunado al hecho de que el documento que se cargó (acuerdo de desechamiento) corresponde a un recurso de revisión diverso. _x000a_ _x000a_  _x000a_ Aplicación: SIGEMI_x000a_ Tipo de Soporte: REGRESO DE PASOS" u="1"/>
        <s v="Notificación de seguimiento  [  MA1702202109 ]  _x000a_ _x000a_ _x000a_Estimado(a):                     Pedro Esquivel Martínez_x000a_ _x000a_ _x000a_Le informamos que su ticket correspondiente a:_x000a_               _x000a_solicito su valioso apoyo con la asignación de los certificados en HCOM para los sujetos obligados de acuerdo al siguiente cuadro descriptivo…_x000a_ _x000a_  _x000a_Aplicación:                  HCOM_x000a_Tipo de Soporte:         CAMBIO TUT ( 3)   _x000a_" u="1"/>
        <s v="Se aplica cambio de modalidad a las solicitudes: 0001100041420" u="1"/>
        <s v="Actualizacion orden de servicio" u="1"/>
        <s v="Se dio de alta los siguientes usuarios:_x000a__x000a_Mario Torres Contreras = MTORRES_x000a_Miguel Novoa Gómez  = MNOVOA_x000a_Ricardo Torres Vargas = RTORRES" u="1"/>
        <s v="_x000a_Notificación de seguimiento  [  MA1103202007 ]  _x000a_ _x000a_ _x000a_Estimado(a):                     Lizbeth Adriana Cabrera Ortega_x000a_ _x000a_Le informamos que su ticket correspondiente a:_x000a_               _x000a_Solicitando su valioso apoyo a fin de modificar la fecha de interposición pues ingresaron los recurso vía Infomex en un horario inhábil._x000a__x000a_Agradezco la atención._x000a__x000a_DEBE DECIR 10 DE MARZO_x000a__x000a_09/03/2020 09/03/2020 23:21 PM Angelica Godinez Bello INM 0411100018120 Protección de Datos Personales Electrónico_x000a__x000a__x000a__x000a_ _x000a_Aplicación:                  SIGEMI_x000a_Tipo de Soporte:         CAMBIO DE FECHA AL DÍA HÁBIL SIGUIENTE_x000a_" u="1"/>
        <s v="Se aplica testado de datos al folio: 0064103099720" u="1"/>
        <s v="Se cambia el tipo de solicitud del folio: 0063700102621" u="1"/>
        <s v="Notificación de seguimiento  [  MA1506202201 ]_x000a__x000a_Estimado(a):                Abraham Obed Gallardo González_x000a__x000a_ _x000a_ Le informamos que su ticket correspondiente a:_x000a__x000a__x000a_para actualizar, en HCOM, el acceso para el Fondo de Capital de Trabajo del CENACE, con base en la información que se adjunta. _x000a__x000a_ _x000a_Aplicación:                  HCOM_x000a_Tipo de Soporte:         CAMBIO DE TUT      _x000a_Observaciones:            _x000a_ _x000a_Su petición fue atendida, se anexa certificado y se realizó el cambio de TUT _x000a_ _x000a_" u="1"/>
        <s v="Se orienta al usuario para seguimiento de calendarios para la dependencia: Secretaría de Relaciones Exteriores." u="1"/>
        <s v="Se aplica testado de datos al folios: 0002700087420." u="1"/>
        <s v="Se aplica testado de datos personales: 0064100163420." u="1"/>
        <s v="Se elimina la respuesta del folio:  1816400113521" u="1"/>
        <s v="Apoyo directo para Antonio Pérez ( Validación de la generación de diversas URL´s que no están siendo identificadas en las rutas de carpetas de archivos, esto respecto a CDMX. Visita a InfoDF)" u="1"/>
        <s v="Se elimina la respuesta del folio 0610100059821" u="1"/>
        <s v="Se sustituye archivo adjunto  del folio: 0002700129221" u="1"/>
        <s v="Se cambia el tipo de solicitud del folio: 0063700102721" u="1"/>
        <s v="Configuracion de registro de Usuarios " u="1"/>
        <s v="Se hacen modificaciones a los mapeos de las entidades control descarga datos abiertos" u="1"/>
        <s v="Crear diagrama de gantt con tiempos aproximados de desarrollo" u="1"/>
        <s v="Análisis para la configuración de Jboss" u="1"/>
        <s v="Buenas tardes José Manuel, tu petición fue atendida, favor de validar _x000a__x000a_Saludos _x000a__x000a_Marina Adame Velasco_x000a__x000a_Notificación de seguimiento  [  MA2708202002 ]  _x000a__x000a_Aplicación:                  INFOMEX QUERETARO_x000a_Tipo de Soporte:         ELIMINAR SUBFOLIO   _x000a_Estatus:                               Concluido._x000a__x000a_" u="1"/>
        <s v=" Buenas tardes Martha, tu petición fue atendida, favor de validar _x000a__x000a_Saludos _x000a__x000a_Marina Adame Velasco_x000a__x000a_Notificación de seguimiento  [  MA1108202006 ]  _x000a__x000a_Aplicación:                  INFOMEX NUEVO LEÓN_x000a_Tipo de Soporte:         AJUSTE DE PLAZOS    _x000a_Estatus:                               Concluido._x000a_" u="1"/>
        <s v="Integración de los componentes de SISAI y federado, tanto en desarrollo como la descarga del SVN validando que compilen y funcionen correctamente." u="1"/>
        <s v="Se  testan los datos de la solicitud con folio 0673800079721" u="1"/>
        <s v="Corrección flujo completo de precarga de de datos para el alta de queja saimex_x000a_Corrección flujo de alta de recursos de revisión para saimex _x000a_Corrección de flujo de consulta, historial de quejas saimex" u="1"/>
        <s v="Se testan los datos  del folio: 0064101440121" u="1"/>
        <s v="Se generó certificado para usuario de SO UAM" u="1"/>
        <s v="Se  testan los datos de la solicitud con folio 0001200238321_x000a_" u="1"/>
        <s v="Notificación de seguimiento  [  MA2407202004 ]  _x000a_ _x000a_ _x000a_Estimado(a):                     Sergio Rafael Cortés Alpizar_x000a_ _x000a_Le informamos que su ticket correspondiente a:_x000a_               _x000a_se borre la notificación de cierre de instrucción._x000a__x000a_ _x000a_Aplicación:                  SIGEMI_x000a_Tipo de Soporte:         Eliminar cierre de instrucción  _x000a_Observaciones:            _x000a_ _x000a_Su petición fue atendida_x000a_ _x000a_" u="1"/>
        <s v="Se elimina la respuesta del folio: 0001200268521" u="1"/>
        <s v="Se generó certificado para usuario de dependencia indirecto OPR" u="1"/>
        <s v="Se cambiaron validaciones en buscador de obligaciones" u="1"/>
        <s v="Se aplica sustitución de archivo de la solicitud: 0064102398919." u="1"/>
        <s v="Se agregan detalles extra a la vista de Notificacion para finalizar solicitudes de datos personales y de informacion publica" u="1"/>
        <s v="Se  elimina el formato de pago del folio:  No. 0000500184721_x000a_No. 0000500173121_x000a_" u="1"/>
        <s v="Se aplica eliminación de formato de pago: 0001600040320." u="1"/>
        <s v="Se aplica eliminación de formato de pago: 1215100494820" u="1"/>
        <s v="Notificación de seguimiento  [  MA0812202001 ]  _x000a_  _x000a_Estimado(a):                     Lizbeth Adriana Cabrera Ortega _x000a__x000a_Le informamos que su ticket correspondiente a:_x000a_               _x000a_generación UN EXPEDIENTE del recurso de revisión posteriormente citado._x000a_ _x000a_Asimismo, te comento que NO DEBERÁ CAMBIAR el sujeto obligado, ni el Comisionado correspondiente. _x000a_ _x000a_ DICE                                        DEBE DECIR                         SUJETO OBLIGADO           PONENTE_x000a_RRA 14189/20 RRA 9548/19-BIS  INE JRV_x000a_ _x000a_No omito comentarte que el número de expediente que deberá seguir en el consecutivo por turnar en PNT debe ser el RRA 14189/20._x000a__x000a_ _x000a_Aplicación:                  SIGEMI_x000a_Tipo de Soporte:         CAMBIO A BIS  _x000a_" u="1"/>
        <s v="Notificación de seguimiento  [  MA2803202202 ]_x000a__x000a_Estimado(a):                Lizbeth Adriana Cabrera Ortega_x000a__x000a_ _x000a_ Le informamos que su ticket correspondiente a:_x000a_               _x000a_el número expediente RRD 391/2- BIS sea modificado al número RRD 391/21- BIS._x000a_ _x000a_Aplicación:                  SIGEMI_x000a_Tipo de Soporte:         actualización de expediente BIS_x000a_Observaciones:            _x000a_ _x000a_Su petición fue atendida_x000a_ _x000a_" u="1"/>
        <s v="Se aplica cambio de modalidad a las solicitudes: 0000500028920." u="1"/>
        <s v="Notificación de seguimiento [ MA08012020-03 ] _x000a_  _x000a_  _x000a_ Estimado(a): Sergio Rafael Cortés Alpizar_x000a_  _x000a_ Le informamos que su ticket correspondiente a:_x000a_  _x000a_ Por este medio solicito su apoyo para que se corrija el correo electrónico del recurrente en la Plataforma Nacional de Transparencia del recurso de revisión:_x000a_  _x000a_ RRA 16129/19 vs CONAFOR_x000a_  _x000a_ El correo es: rappellerjhh@yahoo.com.mx_x000a_ _x000a_ Lo anterior se debe a que el recurrente solicito la corrección en un alcance._x000a_ _x000a_ _x000a_  _x000a_ Aplicación: SIGEMI_x000a_ Tipo de Soporte: CAMBIO DE CORREO" u="1"/>
        <s v="Ajuste de filtros mis quejas" u="1"/>
        <s v="analisis y funcionalidad de ejercicios " u="1"/>
        <s v="Se  testan los datos del folio:  0064100472821" u="1"/>
        <s v="Creación de nuevo instalable y actualización de OT" u="1"/>
        <s v="Implementación modal instituciones competentes, descarga adjuntos y leyes" u="1"/>
        <s v="Notificación de seguimiento  [  MA1005202201 ]_x000a__x000a_Estimado(a):                Oscar Manuel Alvarado Hernández_x000a__x000a_ _x000a_ Le informamos que su ticket correspondiente a:_x000a__x000a__x000a_Solicito de su muy apreciable apoyo para actualizar el certificado de HCOM, por lo que envío los archivos necesarios para dicha tarea._x000a_ _x000a_ _x000a_Aplicación:                  HCOM_x000a_Tipo de Soporte:         CAMBIO DE TUT     _x000a_Observaciones:            _x000a_ _x000a_Su petición fue atendida_x000a_" u="1"/>
        <s v="Realizar la clase Controller, Service, Dao para la operación actualizacion de linea estrategica" u="1"/>
        <s v="Implementación modal descarga de recibo de pago generado" u="1"/>
        <s v="Desarrollo de componentes backend y fronted" u="1"/>
        <s v="Notificación de seguimiento  [  MA0906202201 ]_x000a__x000a_Estimado(a):                Alondra Jiménez Hernández_x000a__x000a__x000a_ Le informamos que su ticket correspondiente a:_x000a__x000a_Anexo el registro del certificado del nuevo Titular de la Unidad de Transparencia de FONATUR Tren Maya, S.A. de C.V. para que su acceso sea habilitado en la Herramienta de Comunicación. _x000a__x000a_ _x000a_Aplicación:                  HCOM_x000a_Tipo de Soporte:        CAMBIO DE TUT_x000a_Observaciones:            _x000a_ _x000a_Su petición fue atendida._x000a_ _x000a_" u="1"/>
        <s v="Se generan 1 certificados para la dependencias." u="1"/>
        <s v="Se  testan los datos del folio: 0064101891721" u="1"/>
        <s v="Diseño de scripts para migración de usuarios de SIAMEX" u="1"/>
        <s v="Ambientación del sistema" u="1"/>
        <s v="apoyo actividades PMO " u="1"/>
        <s v="Notificación de seguimiento  [  MA1904202104 ]  _x000a_ _x000a_ _x000a_Estimado(a):                     YARENNI ADAME_x000a_  _x000a_Le informamos que su ticket correspondiente a:_x000a_               _x000a_RESPALDO SEMANAL DE LA BASE DE DATOS INFOMEX_x000a_ _x000a_Aplicación:                  INFOMEX GUERRERO_x000a_Tipo de Soporte:         RESPALDO   _x000a_Observaciones:            _x000a_ _x000a_Su petición fue atendida, se subió el respaldo de su base de datos de esta semana…_x000a__x000a__x000a_http://documentos.inai.org.mx/tmp/infomexGUERRERO_backup_2021-04-19_0800.bak_x000a__x000a_NOTA: El respaldo estará disponible una semana  _x000a_" u="1"/>
        <s v="Notificación de seguimiento  [  MA1904202106 ]  _x000a_ _x000a_ _x000a_Estimado(a):                     ALAN GARCÍA_x000a_  _x000a_Le informamos que su ticket correspondiente a:_x000a_               _x000a_RESPALDO SEMANAL DE LA BASE DE DATOS INFOMEX_x000a_ _x000a_Aplicación:                  INFOMEX TLAXCALA_x000a_Tipo de Soporte:         RESPALDO   _x000a_Observaciones:            _x000a_ _x000a_Su petición fue atendida, se subió el respaldo de su base de datos de esta semana…_x000a__x000a__x000a_http://documentos.inai.org.mx/tmp/infomex_tlaxcala_backup_2021-04-19_0800.bak_x000a__x000a__x000a_NOTA: El respaldo estará disponible una semana  _x000a_" u="1"/>
        <s v="Notificación de seguimiento  [  MA2903202103 ]  _x000a_ _x000a_ _x000a_Estimado(a):                     YARENNI ADAME_x000a_  _x000a_Le informamos que su ticket correspondiente a:_x000a_               _x000a_RESPALDO SEMANAL DE LA BASE DE DATOS INFOMEX_x000a_ _x000a_Aplicación:                  INFOMEX GUERRERO_x000a_Tipo de Soporte:         RESPALDO   _x000a_Observaciones:            _x000a_ _x000a_Su petición fue atendida, se subió el respaldo de su base de datos de esta semana…_x000a__x000a_http://documentos.inai.org.mx/tmp/infomexGUERRERO_backup_2021-03-29_0800.bak_x000a__x000a__x000a_NOTA: El respaldo estará disponible una semana  _x000a_" u="1"/>
        <s v="Notificación de seguimiento  [  MA0402202010 ]  _x000a_ _x000a_ _x000a_Estimado(a):                     Pedro Esquivel Martínez_x000a_ _x000a_Le informamos que su ticket correspondiente a:_x000a_               _x000a_Anexo el registro actualizado del certificado del Titular de la Unidad de Enlace del  “INSTITUTO NACIONAL DE PSIQUIATRÍA RAMÓN DE LA FUENTE MUÑIZ”.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_x000a_Tipo de Soporte:         RENOVACIÓN DE CERTIFICADO   _x000a_" u="1"/>
        <s v="Se comenzó con el desarrollo del home del sitio" u="1"/>
        <s v="actializacion EIPDP " u="1"/>
        <s v="Testado de datos y sustituir archivo adjunto  del folio:  1107500002521" u="1"/>
        <s v="Notificación de seguimiento  [  MA2605202009 ]  _x000a_ _x000a_ _x000a_Estimado(a):                     Alondra Jiménez Hernández_x000a_ _x000a_Le informamos que su ticket correspondiente a:_x000a_               _x000a_Se solicita la renovación del certificado del Titular de la Unidad de Transparencia del COLMEX en la Herramienta de Comunicación._x000a__x000a_ _x000a_Aplicación:                  HCOM_x000a_Tipo de Soporte:         RENOVACION DE CERTIFICADO  _x000a_Observaciones:            _x000a_ _x000a_Su petición fue atendida_x000a_" u="1"/>
        <s v="Notificación de seguimiento  [  MA2904202001 ]  _x000a_ _x000a_ _x000a_Estimado(a):                     Alondra Jiménez Hernández_x000a_ _x000a_Le informamos que su ticket correspondiente a:_x000a_               _x000a_ _x000a_Se solicita la renovación del certificado del Titular de la Unidad de Transparencia del CIBNOR en la Herramienta de Comunicación._x000a_ _x000a_ _x000a_ _x000a_Aplicación:                  HCOM_x000a_Tipo de Soporte:        CAMBIO DE CERTIFICADO  _x000a_Observaciones:            _x000a_ _x000a_Su petición fue atendida_x000a_" u="1"/>
        <s v="Se testan los datos  del folio: 0064101339621" u="1"/>
        <s v="Implementación de la búsqueda y despliegue de Resoluciones Públicas para la especificación del archivo del acta correspondiente" u="1"/>
        <s v="Buenas tardes Jovanny, tu petición fue atendida, ejecuta el siguiente script para reactivar el paso correctamente, adjunto evidencia de validación en ambiente de pruebas_x000a__x000a_UPDATE PASORESPONSABLE SET GUIDSTATUS = '13' _x000a_where guidpaso = '5812ab67-b6da-4a04-b4e1-5d186fad5748'_x000a__x000a__x000a_Saludos _x000a__x000a_Marina Adame Velasco_x000a__x000a_Notificación de seguimiento  [  MA0402202015 ]  _x000a__x000a_Aplicación:                  INFOMEX HIDALGO_x000a_Tipo de Soporte:         Corrección de incidencia    _x000a_Estatus:                               Concluido._x000a_" u="1"/>
        <s v="Carga de estudios" u="1"/>
        <s v="Notificación de seguimiento  [  MA0106202113 ]_x000a__x000a_Estimado(a):                Edgar Michel Loaeza Martínez_x000a__x000a_ _x000a_ Le informamos que su ticket correspondiente a:_x000a_               _x000a_Solicito tu valioso apoyo con el objeto de que sean eliminados dos requerimientos con siguientes números de Folio:_x000a__x000a_IFAI-REQ-002884-2021_x000a_IFAI-REQ-002885-2021_x000a__x000a_ _x000a_Aplicación:                  HCOM_x000a_Tipo de Soporte:         Eliminar Requerimiento _x000a_Observaciones:            _x000a_ _x000a_Su petición fue atendida_x000a_" u="1"/>
        <s v="Notificación de seguimiento  [  MA1106202009 ]  _x000a_ _x000a_ _x000a_Estimado(a):                     Pedro Esquivel Martínez_x000a_ _x000a_Le informamos que su ticket correspondiente a:_x000a_               _x000a_realizar el cambio de certificado en el HCOM en relación a la siguiente tabla …_x000a_cabe mencionar que estaban a nombre del anterior Titular Soledad Cerón Oropeza_x000a__x000a_ _x000a_Aplicación:                  HCOM_x000a_Tipo de Soporte:         CAMBIO DE TUT  (12)_x000a_Observaciones:            _x000a_ _x000a_Su petición fue atendida_x000a_" u="1"/>
        <s v="Notificación de seguimiento  [  MA2601202202 ]_x000a__x000a_Estimado(a):                Pedro Esquivel Martínez_x000a__x000a_ _x000a_ Le informamos que su ticket correspondiente a:_x000a_               _x000a_por este medio Anexo el registro actualizado del certificado del Titular de la Unidad de Enlace de la “Instituto Nacional de Electricidad y Energías Limpias”. Lo Anterior a fin de que sus accesos sean habilitados en los otros sistemas que administra este Instituto (HCOM).  CAMBIO DE  TITULAR, en cuanto se reciba la atención en HCOM se realizará la actualización de los demás sistemas correspondientes._x000a__x000a_ _x000a_Aplicación:                  HCOM_x000a_Tipo de Soporte:         CAMBIO TUT   _x000a_" u="1"/>
        <s v="Se sustituye archivo adjunto  del folio: 0000500036721, 0000500060321 y 0000500060421  " u="1"/>
        <s v="Notificación de seguimiento  [  MA1404202125 ]  _x000a_ _x000a_ _x000a_Estimado(a):                     Moisés Guzmán Arias_x000a_ _x000a_ _x000a_Le informamos que su ticket correspondiente a:_x000a_               _x000a_envío este segundo paquete de folios para los cuales te pido si por favor me puedes poyar con ampliar el término para prevenir los siguientes folios_x000a__x000a__x000a_00832120 estableciendo el término al día 19/04/2021 (19 de abril de 2021)_x000a_00895520 estableciendo el término al día 19/04/2021 (19 de abril de 2021)_x000a_00934020 estableciendo el término al día 19/04/2021 (19 de abril de 2021)_x000a_01896220 estableciendo el término al día 19/04/2021 (19 de abril de 2021)_x000a_00765820 estableciendo el término al día 19/04/2021 (19 de abril de 2021)_x000a_00483221 estableciendo el término al día 19/04/2021 (19 de abril de 2021)_x000a_01952520 estableciendo el término al día 19/04/2021 (19 de abril de 2021)_x000a__x000a__x000a_ _x000a_Aplicación:                  INFOMEX PUEBLA_x000a_Tipo de Soporte:         AJUSTE DE PLAZO    _x000a_" u="1"/>
        <s v="Notificación de seguimiento  [  MA1908202003 ]  _x000a_ _x000a_ _x000a_Estimado(a):                     Edgar Michel Loaeza Martínez_x000a_ _x000a_Le informamos que su ticket correspondiente a:_x000a_               _x000a_dar de alta en los sistemas los siguientes certificados de la Secretaría de Hacienda y Crédito Público._x000a__x000a_ _x000a_Aplicación:                  HCOM_x000a_Tipo de Soporte:         CAMBIO DE TUT ( 1 ) y ACTUALIZACIÓN DE CERTIFICADO (1 )  _x000a_Observaciones:            _x000a_ _x000a_Su petición fue atendida_x000a_ _x000a_" u="1"/>
        <s v="Se  testan los datos del folio: 0064101363121" u="1"/>
        <s v="Se  testan los datos del folio: 0064100816221" u="1"/>
        <s v="Implementación de la pantalla para mostrar el seguimiento de la solicitud " u="1"/>
        <s v="Se agrega analytics" u="1"/>
        <s v="Creación de componentes Java Script para la interacción e invocación del modal del formato de ejercicio del presupuesto." u="1"/>
        <s v="Se aplica el cambio de modalidad de la solicitud: 1410000005820." u="1"/>
        <s v="Se cambia el tipo de solicitud en folio 1215100930321" u="1"/>
        <s v="Modificación de servicios para la consulta de resoluciones " u="1"/>
        <s v="Configuración de bloques en la nueva plataforma" u="1"/>
        <s v="Analisis de  funcionalidad de Bitacora de Usuarios " u="1"/>
        <s v="Notificación de seguimiento  [  MA1606202113 ]_x000a__x000a__x000a_Estimado(a):                Betzabé Flores Terán_x000a__x000a_ _x000a_ Le informamos que su ticket correspondiente a:_x000a_               _x000a_Solicito su apoyo para realizar la modificación en la herramienta de comunicación del .cer que se adjunta, toda vez que hubo un cambio en el Titular de la Unidad de Transparencia._x000a__x000a_ _x000a_Aplicación:                  HCOM_x000a_Tipo de Soporte:         CAMBIO DE TUT  _x000a_Observaciones:            _x000a_ _x000a_Su petición fue atendida_x000a_ _x000a_" u="1"/>
        <s v="Notificación de seguimiento  [  MA2408202009 ]  _x000a_ _x000a_ _x000a_Estimado(a):                     Rosalinda Coria Mosqueda_x000a_ _x000a_Le informamos que su ticket correspondiente a:_x000a_               _x000a__x000a_Agradeceré su atención para regresar a la actividad de ADMITIR/PREVENIR, el recurso RRA 8570/20, el cual por omisión seleccioné admitir, debiendo ser PREVENCIÓN._x000a__x000a__x000a_ _x000a_Aplicación:                  SIGEMI_x000a_Tipo de Soporte:         REGRESO DE PASOS  _x000a_Observaciones:            _x000a_ _x000a_Su petición fue atendida_x000a_ _x000a_" u="1"/>
        <s v="Notificación de seguimiento  [  MA2707202101 ]_x000a__x000a_Estimado(a):                Moisés Guzmán Arias_x000a__x000a_ _x000a_ Le informamos que su ticket correspondiente a:_x000a_               _x000a_Reactivación del paso del proyecto de resolución_x000a__x000a_ _x000a_Aplicación:                  SIGEMI_x000a_Tipo de Soporte:         REGRESO DE PASOS  _x000a_Observaciones:            _x000a_ _x000a_Su petición fue atendida_x000a_ _x000a_" u="1"/>
        <s v="Se ajustan etiquetas de la pantalla en general asi como de botones " u="1"/>
        <s v="Optimización del flujo del código de sisai para adecuar los data access object y services EJB, la inyección de los lookups y el flujo desde el cliente rest hasta llegar a la base de datos, pasando por  el consumo de todas las capas" u="1"/>
        <s v="Revisión de errores presentados en infomex " u="1"/>
        <s v="Notificación de seguimiento  [  MA0306202114 ]_x000a__x000a_Estimado(a):                ALEJANDRA TEJEDA_x000a__x000a_ _x000a_ Le informamos que su ticket correspondiente a:_x000a_               _x000a_reporte de solicitudes 2021 con el dato de nombre del solicitante y correo electrónico_x000a_ _x000a_Aplicación:                  INFOMEX BCN_x000a_Tipo de Soporte:         REPORTE  _x000a_Observaciones:            _x000a_ _x000a_Su petición fue atendida_x000a_ _x000a_ _x000a_" u="1"/>
        <s v="Se ajusta el plazo de la solicitud: 1816400282320" u="1"/>
        <s v="Crear certificado para usuarios del Sujeto Obligado SSPC" u="1"/>
        <s v="Notificación de seguimiento  [  MA0608202115 ]_x000a__x000a_Estimado(a):                Betzabé Flores Terán_x000a__x000a_ _x000a_ Le informamos que su ticket correspondiente a:_x000a_               _x000a_Solicito su apoyo para realizar la modificación en la herramienta de comunicación del .cer que se adjunta, toda vez que hubo un cambio en el Titular de la Unidad de Transparencia._x000a__x000a__x000a_ _x000a_Aplicación:                  HCOM_x000a_Tipo de Soporte:         CAMBIO DE TUT   _x000a_Observaciones:            _x000a_ _x000a_Su petición fue atendida_x000a_" u="1"/>
        <s v="Notificación de seguimiento  [  MA1404202124 ]  _x000a_ _x000a_ _x000a_Estimado(a):                     Edgar Michel Loaeza Martínez_x000a_ _x000a_ _x000a_Le informamos que su ticket correspondiente a:_x000a_               _x000a_realizar el cambio de Titular de la Unidad de Transparencia del sujeto obligado denominado COORDINACIÓN GENERAL DE LA COMISIÓN MEXICANA DE AYUDA A REFUGIADOS en hcom._x000a_ _x000a_Aplicación:                  HCOM_x000a_Tipo de Soporte:         CAMBIO TUT   _x000a_Observaciones:            _x000a_ _x000a_Su petición fue atendida_x000a_" u="1"/>
        <s v="Notificación de seguimiento  [  MA0206202006 ]  _x000a_ _x000a_ _x000a_Estimado(a):                     Laura Mónica Segovia Téllez_x000a_ _x000a_Le informamos que su ticket correspondiente a:_x000a_               _x000a_Solcito su amable apoyo para que sea regresado el paso del recurso RRA 03512/20 en el rubro de cierre de instrucción, ya que se adjuntó un archivo que no corresponde _x000a__x000a_ _x000a_Aplicación:                  SIGEMI_x000a_Tipo de Soporte  :      Eliminar cierre de instrucción  _x000a_Observaciones:            _x000a_ _x000a_Su petición fue atendida_x000a_ _x000a_" u="1"/>
        <s v="Notificación de seguimiento [ MA1501202003 ] _x000a_  _x000a_  _x000a_ Estimado(a): Nancy Edith Gómez Cisneros _x000a_  _x000a_ Le informamos que su ticket correspondiente a:_x000a_  _x000a_  Por medio del presente, se requiere su apoyo a efecto de que en el recurso de revisión RRA 0088/20, se registre un correo electrónico diverso al que obra en el sistema, específicamente en la solicitud, debido a que la particular una vez interpuesto el recurso de revisión, manifiesta que esa cuenta está inhabilitada por lo que requiere que las notificaciones se realicen a otro que es kbolivar@protonmail.ch_x000a_ _x000a_  _x000a_ Aplicación: SIGEMI_x000a_ Tipo de Soporte: CAMBIO DE CORREO" u="1"/>
        <s v="Notificación de seguimiento  [  MA1308202108 ]_x000a__x000a_Estimado(a):                Alondra Jiménez Hernández_x000a__x000a_ _x000a_ Le informamos que su ticket correspondiente a:_x000a_               _x000a_Anexo el registro actualizado del certificado del Titular de la Unidad de Transparencia del Fideicomiso para Trabajadores de Nacional Hotelera Baja California, S. A. para su renovación en la Herramienta de Comunicación._x000a_ _x000a_Aplicación:                  HCOM_x000a_Tipo de Soporte:         RENOVAR CERTIFICADO   _x000a_Observaciones:            _x000a_ _x000a_Su petición fue atendida_x000a_" u="1"/>
        <s v="Se  testan los datos del folio: 011000024921," u="1"/>
        <s v="Actualización de listas en el orden de día. (Se realizó el análisis observando que ya en las tablas de conocimiento no se tiene información respecto a las ordenes del día actuales, así se notificó a Rafael G. mediante Correo)" u="1"/>
        <s v="Buenas tardes Guillermo, tu petición fue atendida, favor de validar _x000a__x000a_Saludos _x000a__x000a_Marina Adame Velasco_x000a__x000a_Notificación de seguimiento  [  MA0906202003 ]  _x000a__x000a_Aplicación:                  INFOMEX BCN_x000a_Tipo de Soporte:         REPORTES_x000a_Estatus:                               Concluido._x000a__x000a_" u="1"/>
        <s v="RESPALDO SEMANAL DE LA BD INFOMEX" u="1"/>
        <s v="Levantar campus privada en servidores de ND para exportar cursos" u="1"/>
        <s v="Búsqueda y descarga de documentos firmados con FIEL en prodatos" u="1"/>
        <s v="Se cambia el tipo de solicitud del folio: 0001100006521" u="1"/>
        <s v="Notificación de seguimiento  [  MA2708202001 ]  _x000a_ _x000a_ _x000a_Estimado(a):                     José Manuel Flores Robles_x000a_ _x000a_Le informamos que su ticket correspondiente a:_x000a_               _x000a_regresar el paso a el subfolio 00483120-002, es de la solicitud 00483120. Te solicito el apoyo ya que a mi no me aparece dicho folio en “regresar pasos”. Verifiqué con otras solicitudes que tienen subfolios y esas si me aparecen ¿a qué se deberá esto?_x000a_ _x000a_También me han reportado que Infomex ha presentado errores, te transcribo tres de ellos: _x000a_ _x000a_-       Al momento de cargar una respuesta “se sube a la plataforma” y más tarde no aparece lo que previamente se había subido._x000a_-       Al momento de turnar las solicitudes y confirmar que ya no se desea turnar a ninguna otra dependencia se pone aceptar y más tarde no aparece turnada a ninguna dependencia._x000a_-       Al momento de cargar una respuesta aparece un cuadro “de error” y no se carga la respuesta. _x000a_ _x000a_Aplicación:                  INFOMEX QUERÉTARO_x000a_Tipo de Soporte:         CAMBIO DE ESTATUS  _x000a_" u="1"/>
        <s v="Notificación de seguimiento  [  MA2411202005 ]  _x000a_ _x000a_ _x000a_Estimado(a):                     Alma Lizbeth Peguero Rivera_x000a_ _x000a_ _x000a_Le informamos que su ticket correspondiente a:_x000a_               _x000a_solicito su valioso apoyo para la eliminar el siguiente recurso RRA 10171/20 del pleno del pasado 18-11-20, ya que se encuentra TRIPLE en la PNT para poder trabajar mi actividad_x000a_ _x000a_Aplicación:                  SIGEMI_x000a_Tipo de Soporte:         REGRESO DE PASOS    _x000a_Observaciones:            _x000a_ _x000a_Su petición fue atendida_x000a_" u="1"/>
        <s v="Se cambia el tipo de solicitud del folio: 0063700296121" u="1"/>
        <s v="Notificación de seguimiento  [  MA1811202001 ]  _x000a_ _x000a_ _x000a_Estimado(a):                     Rosalinda Coria Mosqueda_x000a_ _x000a_ _x000a_Le informamos que su ticket correspondiente a:_x000a_               _x000a_regresar a la actividad de ampliación el recurso RRA 3490/20._x000a__x000a_ _x000a_Aplicación:                  SIGEMI_x000a_Tipo de Soporte:         ELIMINACIÓN DE AMPLIACIÓN   _x000a_Observaciones:            _x000a_ _x000a_Su petición fue atendida_x000a_ _x000a_" u="1"/>
        <s v="Notificación de seguimiento  [  MA2310202006 ]  _x000a_ _x000a_ _x000a_Estimado(a):                     Laura Mónica Segovia Tellez_x000a_ _x000a_Le informamos que su ticket correspondiente a:_x000a_               _x000a__x000a_Solicito su amable apoyo para que sea regresado el paso del RRA 4802/20 al paso de Preparación del proyecto a resolución, ya que el sentido de la resolución y el proyecto en VF no corresponden con el sentido que aprobó el Pleno._x000a__x000a_ _x000a_Aplicación:                  SIGEMI_x000a_Tipo de Soporte:         REGRESO DE PASOS  _x000a_Observaciones:            _x000a_ _x000a_Su petición fue atendida_x000a_" u="1"/>
        <s v="Se  testan los datos del folio:  0064101271321" u="1"/>
        <s v="Migración componentes liferay 7.1 a 7.3" u="1"/>
        <s v="Buenas tardes Berenice, tu petición fue atendida, la eliminación de acuses esta en proceso, favor de validar _x000a__x000a_Saludos _x000a__x000a_Marina Adame Velasco_x000a__x000a_Notificación de seguimiento  [  MA0608202006 ]  _x000a__x000a_Aplicación:                  INFOMEX OAXACA_x000a_Tipo de Soporte:         Ajuste de plazos    _x000a_Estatus:                               Concluido._x000a__x000a_" u="1"/>
        <s v="Buenas tardes Berenice, tu petición fue atendida, la eliminación de acuses esta en proceso, favor de validar _x000a__x000a_Saludos _x000a__x000a_Marina Adame Velasco_x000a__x000a_Notificación de seguimiento  [  MA2408202013 ]  _x000a__x000a_Aplicación:                  INFOMEX OAXACA_x000a_Tipo de Soporte:         AJUSTE DE PLAZOS    _x000a_Estatus:                               Concluido._x000a__x000a_" u="1"/>
        <s v="Buenas tardes Berenice, tu petición fue atendida, la eliminación de acuses esta en proceso, favor de validar _x000a__x000a_Saludos _x000a__x000a_Marina Adame Velasco_x000a__x000a_Notificación de seguimiento  [  MA2808202009 ]  _x000a__x000a_Aplicación:                  INFOMEX OAXACA_x000a_Tipo de Soporte:         AJUSTE DE PLAZOS    _x000a_Estatus:                               Concluido._x000a__x000a_" u="1"/>
        <s v="Se finaliza con el desarrollo del modulo de Años" u="1"/>
        <s v="Descarga de archivos" u="1"/>
        <s v="Importar base de datos y código a ambiente local" u="1"/>
        <s v="Actualización de archivos y fechas " u="1"/>
        <s v="_x000a_Buenas tardes Moisés, tu petición fue atendida, favor de validar _x000a__x000a_Saludos _x000a__x000a_Marina Adame Velasco_x000a__x000a_Notificación de seguimiento  [  MA2409202006 ]  _x000a__x000a_Aplicación:                  INFOMEX PUEBLA _x000a_Tipo de Soporte:         Ajuste de fechas   _x000a_Estatus:                               Concluido._x000a_" u="1"/>
        <s v="_x000a_Buenas tardes Moisés, tu petición fue atendida, favor de validar _x000a__x000a_Saludos _x000a__x000a_Marina Adame Velasco_x000a__x000a_Notificación de seguimiento  [  MA2409202009 ]  _x000a__x000a_Aplicación:                  INFOMEX PUEBLA _x000a_Tipo de Soporte:         Ajuste de fechas   _x000a_Estatus:                               Concluido._x000a_" u="1"/>
        <s v="Notificación de seguimiento  [  MA1309202201 ]_x000a__x000a_Estimado(a):                Abraham Obed Gallardo González_x000a__x000a_ Le informamos que su ticket correspondiente a:_x000a__x000a__x000a_               _x000a_Con el gusto de saludarles y en espera de que todo marche bien, por instrucciones del Lic. Pedro González Benítez, Director General de Enlace con Partidos Políticos, Organismos Electorales y Descentralizados, por este medio anexo el registro del certificado del nuevo Titular de la Unidad de Transparencia de la PRONAVIBE._x000a_ _x000a_Lo Anterior, a fin de que sus accesos sean habilitados en los sistemas que administra este Instituto (HCOM).  CAMBIO DE TITULAR. En cuanto se reciba la atención en HCOM se realizará la actualización de los demás sistemas correspondientes._x000a__x000a_Aplicación:                  HCOM_x000a_Tipo de Soporte:        1 CAMBIO DE TUT " u="1"/>
        <s v="Captura de texto de aviso de privacidad en campus Servidores Públicos" u="1"/>
        <s v="Notificación de seguimiento  [  MA2110202004 ]  _x000a_ _x000a_ _x000a_Estimado(a):                     Laura Mónica Segovia Tellez_x000a_ _x000a_Le informamos que su ticket correspondiente a:_x000a_               _x000a_Derivado de la solicitud del particular solicito su amable apoyo a fin de que sea cambiado el medio de notificación al correo electrónico siguiente hijadelsauzal@gmail.com   del recurso RRA 10812/20_x000a__x000a_ _x000a_Aplicación:                  SIGEMI_x000a_Tipo de Soporte:         CAMBIO DE CORREO   _x000a_Observaciones:            _x000a_ _x000a_Su petición fue atendida_x000a_" u="1"/>
        <s v="Hola Berenice, lo ideal si sería verlo directamente en el diagrama, porque es más visual y fácil de ubicar, sin embargo no tenemos un ambiente montado para su lectura, por lo que a falta de este hay que buscar las referencias en la base de datos. _x000a__x000a_Te comento que revise las solicitudes que se registraron a partir de abril a la fecha, que han seleccionado la prórroga ( anexo relación de solicitudes revisadas)  y en las que no se ha modificado el plazo por base de datos, se están contando 15 días a partir de la fecha de registro de la solicitud, que es lo que tiene definido el proceso _x000a_" u="1"/>
        <s v="Se modifica peticion y modelo para consumir medios de reproduccion en la parte de crear solicitud de informacion publcia" u="1"/>
        <s v="Notificación de seguimiento  [  MA1910202010 ]  _x000a_ _x000a_ _x000a_Estimado(a):                     Lizbeth Adriana Cabrera Ortega_x000a_ _x000a_Le informamos que su ticket correspondiente a:_x000a_               _x000a_Pido tu valioso apoyo a fin de que sea atendida la solicitud formulada por la Ponencia, te remito la carpeta zip de los acuerdos de turno con la fecha del 18 de septiembre._x000a__x000a_Asimismo, solicito el ajuste de los expedientes electrónicos._x000a__x000a_ _x000a_Aplicación:                  SIGEMI_x000a_Tipo de Soporte:         ACTUALIZACIÓN DE ACUERDOS   _x000a_Observaciones:            _x000a_ _x000a_Su petición fue atendida_x000a_" u="1"/>
        <s v="Notificación de seguimiento  [  MA3011202004 ]  _x000a_ _x000a_ _x000a_Estimado(a):                     Alma Lizbeth Peguero Rivera_x000a_ _x000a_ _x000a_Le informamos que su ticket correspondiente a:_x000a_               _x000a_Espero se encuentren bien, solicito su valioso apoyo para la eliminar el siguiente recurso RRA 10936/20 del pleno del pasado 24-11-20, ya que se encuentra doble en la PNT para poder trabajar mi actividad, sin más por el momento, quedo pendiente._x000a_ _x000a_Aplicación:                  SIGEMI_x000a_Tipo de Soporte:         QUITAR DUPLICADO    _x000a_Observaciones:            _x000a_ _x000a_Su petición fue atendida_x000a_" u="1"/>
        <s v="Se testan los datos de la solicitud con folio: 0064101642721" u="1"/>
        <s v="Se  testan los datos del folio:0064101648121" u="1"/>
        <s v="Notificación de seguimiento  [  MA0203202012 ]  _x000a_ _x000a_ _x000a_Estimado(a):                     Lizbeth Adriana Cabrera Ortega_x000a__x000a_ _x000a_Le informamos que su ticket correspondiente a:_x000a_               _x000a_FAVOR DE CAMBIAR LA FECHA DE INTERPOSICIÓN DEL RECURSO AL DÍA 27 DE FEBRERO PUES ENTRO EL ÚLTIMO DÍA DE SU INTERPOSICIÓN._x000a__x000a__x000a_DICE _x000a__x000a_28 DE FEBRERO _x000a__x000a_DEBE DECIR_x000a__x000a_27 DE FEBRERO_x000a_" u="1"/>
        <s v="Se realiza el proceso de búsqueda de adjuntos en los infomex estatales consultando folio a folio,  tratando de ubicar los faltantes de recuperar. Consulta y procesos de recuperación del Estado de Sonora, donde la lectura de folios fue satisfactoria y se inician análisis de recuperación de información." u="1"/>
        <s v="Notificación de seguimiento  [  MA0902202105 ]  _x000a_  _x000a_Estimado(a):                     Martha Rubí Zaragoza Mora_x000a_ _x000a_Le informamos que su ticket correspondiente a:_x000a_               _x000a_El presente correo es para pedir su amable apoyo para el ajuste de términos de los folios debido al Acuerdo que enviaron los siguientes Sujetos Obligados a la COTAI por el cual tienen como día inhábil el 1 de febrero de 2021._x000a_ _x000a_Aplicación:                  INFOMEX NUEVO LEÓN _x000a_Tipo de Soporte:         AJUSTE DE PLAZOS    _x000a_Observaciones:            _x000a_ _x000a_Su petición fue atendida_x000a_ _x000a_" u="1"/>
        <s v="Notificación de seguimiento  [  MA1509202008 ]  _x000a_ _x000a_ _x000a_Estimado(a):                     Rosalinda Coria Mosqueda_x000a_ _x000a_Le informamos que su ticket correspondiente a:_x000a_               _x000a_Agradeceré su apoyo para regresar a la actividad de admitir/desechar el recurso RRA 4010/20, pues es un asunto de PEMEX, y en los meses anteriores se había notificado una admisión, pero están suspendidos los plazos para ese Sujeto Obligado_x000a__x000a_ _x000a_Aplicación:                  SIGEMI_x000a_Tipo de Soporte:         REGRESO DE PASOS  _x000a_Observaciones:            _x000a_ _x000a_Su petición fue atendida_x000a_ _x000a_" u="1"/>
        <s v="Se cambia el tipo de solicitud del folio: 0064100611921 " u="1"/>
        <s v="Reinicio de usuario VGOYTIA" u="1"/>
        <s v="Se sustituye archivo adjunto  del folio: 1816400048621" u="1"/>
        <s v="Se aplica eliminación de formato de pago al folio:  0002700362619" u="1"/>
        <s v="Notificación de seguimiento  [  MA1009202005 ]  _x000a_ _x000a_ _x000a_Estimado(a):                     Gustavo Cuevas Romero_x000a_ _x000a_Le informamos que su ticket correspondiente a:_x000a_               _x000a_Por instrucciones del Dr. Luis Felipe Nava Gomar, Director General de Enlace con los Poderes Legislativo y Judicial, me permito solicitar su valioso apoyo, a efecto de realizar modificaciones sobre las fechas de vencimiento de algunos requerimientos realizados mediante HCOM,_x000a_ _x000a_Aplicación:                  HCOM_x000a_Tipo de Soporte:         CAMBIO DE FECHAS   _x000a_Observaciones:            _x000a_ _x000a_Su petición fue atendida_x000a_" u="1"/>
        <s v="Se  testan los datos del folio:0064101515621" u="1"/>
        <s v="Desarrollo de backend" u="1"/>
        <s v="Desarrollo de vinculación" u="1"/>
        <s v="Desarrollo de la vista para la modificación de usuarios" u="1"/>
        <s v="Loader en tablas" u="1"/>
        <s v="Se aplica eliminación de formato de pago al folio: 0002000263119." u="1"/>
        <s v="Se genera certificado para SO SINDICATO ÚNICO DE TRABAJADORES ACADÉMICOS DE LA UNIVERSIDAD AUTÓNOMA AGRARIA ANTONIO NARRO" u="1"/>
        <s v="Notificación de seguimiento  [  MA2503202106 ]  _x000a_ _x000a_ _x000a_Estimado(a):                     Martha Rubí Zaragoza Mora_x000a_ _x000a_ _x000a_Le informamos que su ticket correspondiente a:_x000a_               _x000a_El presente correo es para pedir su amable apoyo para el ajuste de términos de los folios debido al primer periodo vacacional del año 2021 que envió el sujeto obligado con su acuerdo y se configuro el calendario correspondiente_x000a__x000a_Aplicación:                  INFOMEX FEDERAL _x000a_Tipo de Soporte:         AJUSTE DE PLAZOS    _x000a_Observaciones:            _x000a_ _x000a_Su petición fue atendida_x000a_" u="1"/>
        <s v="Pruebas y correciones para el collaps en registros" u="1"/>
        <s v="Carga y cambios en acciones de inconstitucionalidad" u="1"/>
        <s v="Se aplica eliminación de respuesta al folio: 1222300001320." u="1"/>
        <s v="Notificación de seguimiento  [  MA0212202101 ]_x000a__x000a_Estimado(a):                Betzabé Flores Terán_x000a__x000a_ _x000a_ Le informamos que su ticket correspondiente a:_x000a_               _x000a_Solicito su apoyo para realizar la actualización en la herramienta de comunicación del .cer que se adjunta, derivado del cambio del TUT._x000a__x000a_ _x000a_Aplicación:                  HCOM          _x000a_Tipo de Soporte:         CAMBIO DE TUT   _x000a_Observaciones:            _x000a_ _x000a_Su petición fue atendida_x000a_ _x000a_" u="1"/>
        <s v="Notificación de seguimiento  [  MA0804202108 ]  _x000a_ _x000a_ _x000a_Estimado(a):                     Edgar Michel Loaeza Martínez_x000a_ _x000a_ _x000a_Le informamos que su ticket correspondiente a:_x000a_               _x000a_realizar la renovación de certificado del sujeto obligado Comisión Nacional de Áreas Naturales Protegidas en el hcom._x000a_ _x000a_Aplicación:                  HCOM_x000a_Tipo de Soporte:         RENOVACION DE CERTIFICADO   _x000a_Observaciones:            _x000a_ _x000a_Su petición fue atendida_x000a_ _x000a_" u="1"/>
        <s v="Notificación de seguimiento  [  MA1011202008 ]  _x000a_ _x000a_ _x000a_Estimado(a):                     ADRIANA ELIZABETH HERNÁNDEZ GARCIA_x000a_ _x000a_ _x000a_Le informamos que su ticket correspondiente a:_x000a_               _x000a_realizar el cambio de Titular para el &quot;Fondo de ahorro para los trabajadores de CORETT &quot; a cargo del INSUS_x000a_ _x000a_Aplicación:                  SIGEMI_x000a_Tipo de Soporte:         CORRECCIÓN DE FECHA DE FIRMA   _x000a_Observaciones:            _x000a_ _x000a_Su petición fue atendida_x000a_ _x000a_" u="1"/>
        <s v="Se migro el codigo existente y paquetes a la version 2.0.5 de Flutter" u="1"/>
        <s v="_x000a_Buenos días Alan, te informo que el respaldo de su base de datos de esta semana ya está en el repositorio…  _x000a__x000a__x000a_http://documentos.inai.org.mx/tmp/infomex_tlaxcala_backup_2020-10-05_0800.bak_x000a__x000a__x000a_NOTA: El respaldo estará disponible una semana._x000a__x000a__x000a_Saludos Cordiales_x000a__x000a_Marina Adame Velasco                                                                                          _x000a__x000a__x000a__x000a_" u="1"/>
        <s v="_x000a_Buenos días Alan, te informo que el respaldo de su base de datos de esta semana ya está en el repositorio…  _x000a__x000a__x000a_http://documentos.inai.org.mx/tmp/infomex_tlaxcala_backup_2020-10-12_0800.bak_x000a__x000a__x000a_NOTA: El respaldo estará disponible una semana._x000a__x000a__x000a_Saludos Cordiales_x000a__x000a_Marina Adame Velasco                                                                                          _x000a__x000a__x000a__x000a_" u="1"/>
        <s v="_x000a_Buenos días Alan, te informo que el respaldo de su base de datos de esta semana ya está en el repositorio…  _x000a__x000a__x000a_http://documentos.inai.org.mx/tmp/infomex_tlaxcala_backup_2020-10-19_0800.bak_x000a__x000a__x000a_NOTA: El respaldo estará disponible una semana._x000a__x000a__x000a_Saludos Cordiales_x000a__x000a_Marina Adame Velasco                                                                                          _x000a__x000a__x000a__x000a_" u="1"/>
        <s v="_x000a_Buenos días Alan, te informo que el respaldo de su base de datos de esta semana ya está en el repositorio…  _x000a__x000a__x000a_http://documentos.inai.org.mx/tmp/infomex_tlaxcala_backup_2020-10-26_0800.bak_x000a__x000a__x000a_NOTA: El respaldo estará disponible una semana._x000a__x000a__x000a_Saludos Cordiales_x000a__x000a_Marina Adame Velasco                                                                                          _x000a__x000a__x000a__x000a_" u="1"/>
        <s v="_x000a_Buenos días Alan, te informo que el respaldo de su base de datos de esta semana ya está en el repositorio…  _x000a__x000a__x000a_http://documentos.inai.org.mx/tmp/infomex_tlaxcala_backup_2020-11-02_0800.bak_x000a__x000a__x000a_NOTA: El respaldo estará disponible una semana._x000a__x000a__x000a_Saludos Cordiales_x000a__x000a_Marina Adame Velasco                                                                                          _x000a__x000a__x000a__x000a_" u="1"/>
        <s v="_x000a_Buenos días Alan, te informo que el respaldo de su base de datos de esta semana ya está en el repositorio…  _x000a__x000a__x000a_http://documentos.inai.org.mx/tmp/infomex_tlaxcala_backup_2020-11-09_0800.bak_x000a__x000a__x000a_NOTA: El respaldo estará disponible una semana._x000a__x000a__x000a_Saludos Cordiales_x000a__x000a_Marina Adame Velasco                                                                                          _x000a__x000a__x000a__x000a_" u="1"/>
        <s v="_x000a_Buenos días Alan, te informo que el respaldo de su base de datos de esta semana ya está en el repositorio…  _x000a__x000a__x000a_http://documentos.inai.org.mx/tmp/infomex_tlaxcala_backup_2020-11-16_0800.bak_x000a__x000a__x000a_NOTA: El respaldo estará disponible una semana._x000a__x000a__x000a_Saludos Cordiales_x000a__x000a_Marina Adame Velasco                                                                                          _x000a__x000a__x000a__x000a_" u="1"/>
        <s v="_x000a_Buenos días Alan, te informo que el respaldo de su base de datos de esta semana ya está en el repositorio…  _x000a__x000a__x000a_http://documentos.inai.org.mx/tmp/infomex_tlaxcala_backup_2020-11-23_0800.bak_x000a__x000a__x000a_NOTA: El respaldo estará disponible una semana._x000a__x000a__x000a_Saludos Cordiales_x000a__x000a_Marina Adame Velasco                                                                                          _x000a__x000a__x000a__x000a_" u="1"/>
        <s v="_x000a_Buenos días Alan, te informo que el respaldo de su base de datos de esta semana ya está en el repositorio…  _x000a__x000a__x000a_http://documentos.inai.org.mx/tmp/infomex_tlaxcala_backup_2020-11-30_0800.bak_x000a__x000a__x000a_NOTA: El respaldo estará disponible una semana._x000a__x000a__x000a_Saludos Cordiales_x000a__x000a_Marina Adame Velasco                                                                                          _x000a__x000a__x000a__x000a_" u="1"/>
        <s v="Análisis y diseño de servicios de pantalla para consultar notificaciones continuación" u="1"/>
        <s v="Notificación de seguimiento  [  MA0906202103 ]_x000a__x000a_Estimado(a):                Moisés Guzmán Arias_x000a__x000a_ _x000a_ Le informamos que su ticket correspondiente a:_x000a_               _x000a_adecuar el término para prevención de acuerdo a las fechas que se indican en cada folio_x000a__x000a_ _x000a_Aplicación:                  INFOMEX PUEBLA_x000a_Tipo de Soporte:         AJUSTE DE PLAZOS   _x000a_Observaciones:            _x000a_ _x000a_Su petición fue atendida_x000a_ _x000a_" u="1"/>
        <s v="Se aplica eliminación de última respuesta: 6430000009720" u="1"/>
        <s v="Configuración Servicios Oauth" u="1"/>
        <s v="Se  testan los datos del folio: 0064101375121" u="1"/>
        <s v="Notificación de seguimiento  [  MA1102202201 ]_x000a__x000a_Estimado(a):                Pedro Esquivel Martínez_x000a__x000a_ _x000a_ Le informamos que su ticket correspondiente a:_x000a_               _x000a_Con el gusto de saludarles y en relación al correo que antecede solicito su valioso apoyo, con la actualización de los certificados en la herramienta de comunicación HCOM; de los sujetos obligados a cargo del IMSS; se anexan certificados y cuadro descriptivo…_x000a_ _x000a_Aplicación:                  HCOM_x000a_Tipo de Soporte:         CAMBIO DE CERTIFICADOS ( 7 )  _x000a_Observaciones:            _x000a_ _x000a_Su petición fue atendida_x000a_" u="1"/>
        <s v="Notificación de seguimiento  [  MA2303202118 ]  _x000a_ _x000a_ _x000a_Estimado(a):                     Moisés Guzmán Arias_x000a_ _x000a_ _x000a_Le informamos que su ticket correspondiente a:_x000a_               _x000a_ampliar el término para prevenir de los folios _x000a_ _x000a_00199021 estableciendo el término al día 23/03/2021 (23 de marzo de 2021)_x000a_00402921 estableciendo el término al día 23/03/2021 (23 de marzo de 2021)_x000a_00422121 estableciendo el término al día 23/03/2021 (23 de marzo de 2021)_x000a_ _x000a_Aplicación:                  INFOMEX PUEBLA_x000a_Tipo de Soporte:         AJUSTE DE PLAZOS    _x000a_Observaciones:            _x000a_ _x000a_Su petición fue atendida_x000a_ _x000a_" u="1"/>
        <s v="Diagnóstico de acceso a la información sobre los JSON compartidos para SIGEMI" u="1"/>
        <s v="Notificación de seguimiento  [  MA1003202003 ]  _x000a_ _x000a_ _x000a_Estimado(a):                     Jaime Enrique López Muñoz_x000a_ _x000a_Le informamos que su ticket correspondiente a:_x000a_               _x000a_Buen día, por este medio se solicita, con relación al recurso de revisión RRA 02669/20 se elimine el registro de “ADMISIÓN DEL RECURSO”, es decir, se regresen los pasos a “Admitir/Prevenir”, en virtud de que por error involuntario se adjuntó un acuerdo a dicho registro y se dio el paso de admitir el mismo._x000a__x000a_ _x000a_Aplicación:                  SIGEMI_x000a_Tipo de Soporte:         REGRESO DE PASOS  _x000a_Observaciones:            _x000a_ _x000a_Su petición fue atendida_x000a_" u="1"/>
        <s v="Notificación de seguimiento  [  MA1401202106 ]  _x000a_ _x000a_ _x000a_Estimado(a):                     Berenice Hernández Sumano_x000a_  _x000a_Le informamos que su ticket correspondiente a:_x000a_               _x000a_ajustar las fechas de caducidad de los folios adjuntos a este correo, dado que no fueron considerados en el tercer recorrido de plazos aplicado a los SO del Edo. Oaxaca que continúan en suspensión por la contingencia sanitaria. Asimismo solicito se borren los archivos PDF de los acuses generados._x000a_ _x000a_Aplicación:                  INFOMEX OAXACA_x000a_Tipo de Soporte:         AJUSTE DE PLAZOS    _x000a_Observaciones:            _x000a_ _x000a_Su petición fue atendida_x000a_" u="1"/>
        <s v="Notificación de seguimiento  [  MA2403202114 ]  _x000a_ _x000a_ _x000a_Estimado(a):                     CRISTIAN DE JESUS AVENDAÑO PALACIOS_x000a_ _x000a_ _x000a_Le informamos que su ticket correspondiente a:_x000a_               _x000a_ _x000a_Por este medio solicito de su valioso apoyo para poder aplicar las afectaciones a las fechas de vencimiento y la eliminación de los acuses respectivos de las solicitudes señaladas en el archivo adjunto. Toda vez que el Consejo General aprobará mediante Acuerdo ACDO/CG/IAIP/021/2020._x000a__x000a_ _x000a_Aplicación:                  INFOMEX OAXACA_x000a_Tipo de Soporte:         AJUSTE DE PLAZOS    _x000a_Observaciones:            _x000a_ _x000a_Su petición fue atendida_x000a_" u="1"/>
        <s v="Generación de script muestreo etiquetas - solicitudes" u="1"/>
        <s v="Notificación de seguimiento [ MA2201202007 ] _x000a_  _x000a_  _x000a_ Estimado(a): Pedro Esquivel Martínez_x000a_  _x000a_ Le informamos que su ticket correspondiente a:_x000a_  _x000a_ Anexo el registro actualizado del certificado del Titular de la Unidad de Enlace del “COLEGIO DE BACHILLERES”. Lo anterior a fin de que sus accesos sean habilitados en los otros sistemas que administra este Instituto (HCOM). CAMBIO DE CERTIFICADO, en cuanto se reciba la atención en HCOM se realizará la actualización de los demás sistemas correspondientes._x000a_  _x000a_ Aplicación: SIGEMI_x000a_ Tipo de Soporte: REGRESO DE PASOS" u="1"/>
        <s v="Notificación de seguimiento  [  MA2709202202 ]_x000a__x000a_Estimado(a):                Edgar Michel Loaeza Martínez_x000a_ _x000a_ Le informamos que su ticket correspondiente a:_x000a__x000a_asignar de certificado del Titular de la Unidad de Transparencia del sujeto obligado indirecto del SAT._x000a__x000a_SUJETO OBLIGADO_x0009_CLAVE_x0009_Contraseña Hcom_x0009__x000a_CERTIFICADO_x0009__x000a_CORREO ELECTRÓNICO_x0009_TITULAR DE LA UNIDAD DE TRANSPARENCIA_x000a_Fideicomiso de Administración y Pago No. 80775 (FAPA_x0009_06106_x0009_hcom2022_x0009_06106.Andrea.Hernández.Xoxotla.cer_x0009_unidaddetransparenciasat@sat.gob.mx_x000a_ANDREA YOALLI HERNÁNDEZ XOXOTLA_x000a__x000a_Para tal efecto, anexo al presente el certificado correspondiente, lo anterior, a fin de que sus accesos sean habilitados en los sistemas que administra este Instituto (HCOM).  _x000a__x000a_ _x000a_Aplicación:                  HCOM_x000a_Tipo de Soporte:         CAMBIO DE TUT _x000a_Observaciones:            _x000a_ _x000a_Su petición fue atendida._x000a_ " u="1"/>
        <s v="Se  actualizan los datos del SO FONDO DE SALUD PARA EL BIENESTAR" u="1"/>
        <s v="Desarrollo e implementación de mejoras para el performances de los servidores de aplicación EAP Jboss 7.1 y Wildfliy 16, optimizando los MAX POST SIZE" u="1"/>
        <s v="Notificación de seguimiento  [  MA2810202005 ]  _x000a_ _x000a_ _x000a_Estimado(a):                     Moisés Guzmán Arias_x000a_ _x000a_Le informamos que su ticket correspondiente a:_x000a_               _x000a_se lleve a cabo la corrección de la fecha de votación del pleno para el recurso de revisión con número RR-0197/2020, actualmente tiene la fecha 27/10/2020 y la fecha correcta es 21/10/2020, lo anterior en base a la petición realizada por la Dirección Jurídico Consultiva de éste Instituto._x000a_ _x000a_ _x000a_Aplicación:                  SIGEMI_x000a_Tipo de Soporte:         ACTUALIZACIÓN DE FECHA   _x000a_Observaciones:            _x000a_ _x000a_Su petición fue atendida_x000a_ " u="1"/>
        <s v="Generación de reportes estadistico solicitado " u="1"/>
        <s v="Análisis filtro integrante (Administrador)" u="1"/>
        <s v="Notificación de seguimiento  [  MA0206202007 ]  _x000a_ _x000a_ _x000a_Estimado(a):                     Sergio Rafael Cortés Alpizar_x000a_ _x000a_Le informamos que su ticket correspondiente a:_x000a_               _x000a_Por medio del presente, solicito el regreso de actividad a &quot;Preparación del Proyecto de Resolución&quot; del siguiente recurso de revisión:_x000a__x000a_RRA 3806/20 vs Secretaría de Economía_x000a__x000a_Lo anterior se debe a que se anexo un archivo mal y se enviara de nuevo el desechamiento correcto._x000a__x000a__x000a_ _x000a_Aplicación:                  SIGEMI_x000a_Tipo de Soporte:         REGRESO DE PASOS  _x000a_Observaciones:            _x000a_ _x000a_Su petición fue atendida_x000a_" u="1"/>
        <s v="Notificación de seguimiento  [  MA1603202202 ]_x000a__x000a_Estimado(a):                Alondra Jiménez Hernández_x000a__x000a_ _x000a_ Le informamos que su ticket correspondiente a:_x000a_               _x000a_Debido al cambio de Titular de la Unidad de Transparencia de Compañía Operadora del Centro Cultural y Turístico de Tijuana, S.A. de C.V. (CECUT) anexo los registros actualizados del certificado para que sea actualizado y se habilite el acceso en la Herramienta de Comunicación de cada uno. _x000a__x000a__x000a_Aplicación:                  HCOM_x000a_Tipo de Soporte:         CAMBIO DE TUT   _x000a_Observaciones:            _x000a_ _x000a_Su petición fue atendida_x000a_" u="1"/>
        <s v="Activación plugin wp file manager pro" u="1"/>
        <s v="Notificación de seguimiento [ MA2401202001 ] _x000a_  _x000a_  _x000a_ Estimado(a): Lizbeth Adriana Cabrera Ortega_x000a_  _x000a_ Le informamos que su ticket correspondiente a:_x000a_  _x000a_ Solicitando de tu apoyo para suprimir de la bandeja de turno de recursos de acceso el siguiente recurso que duplique en su carga manual._x000a_ _x000a_ _x000a_ 23/01/2020 23/01/2020 14:04 PM María Guadalupe García Luna CFE 1816400355519 Acceso a la Información Manual Ver detalle_x000a_ _x000a_ _x000a_ _x000a_  _x000a_ Aplicación: SIGEMI_x000a_ Tipo de Soporte: Eliminación de recurso" u="1"/>
        <s v="Notificación de seguimiento  [  MA0907202114 ]_x000a__x000a_Estimado(a):                Fernanda Denise Blanco Alquicira_x000a__x000a_ _x000a_ Le informamos que su ticket correspondiente a:_x000a_               _x000a_Por medio del presente solicito atentamente su apoyo para eliminar el requerimiento número IFAI-REQ-003740-2021, enviado el día de hoy mediante la Herramienta de comunicación, lo anterior debido a que hubo un error en los archivos adjuntos. Adjunto el acuse de envío para pronta referencia. _x000a__x000a_ _x000a_Aplicación:                  HCOM_x000a_Tipo de Soporte:         ELIMINAR REQUERIMIENTO   _x000a_Observaciones:            _x000a_ _x000a_Su petición fue atendida_x000a_ _x000a_" u="1"/>
        <s v="Se sustituye archivo adjunto  del folio:  1117100064021" u="1"/>
        <s v="Notificación de seguimiento  [  MA1904202201 ]_x000a__x000a_Estimado(a):                Alondra Jiménez Hernández_x000a__x000a_ _x000a_ Le informamos que su ticket correspondiente a:_x000a_               _x000a_Anexo el registro actualizado del certificado del Titular de la Unidad de Transparencia de COFECE para su renovación en la Herramienta de Comunicación._x000a_ _x000a_Aplicación:                  HCOM                      _x000a_Tipo de Soporte:         CAMBIO DE CERTIFICADO  _x000a_Observaciones:            _x000a_ _x000a_Su petición fue atendida_x000a_ _x000a_" u="1"/>
        <s v="Avance login con twitter" u="1"/>
        <s v="Se hacen pruebas para solicitudes creadas en saimex" u="1"/>
        <s v="Notificación de seguimiento  [  MA2605202008 ]  _x000a_ _x000a_ _x000a_Estimado(a):                     Rafael González García _x000a__x000a__x000a_Le informamos que su ticket correspondiente a:_x000a_               _x000a_Eliminar  SO en HCOM _x000a__x000a__x000a_Aplicación:                  HCOM_x000a_Tipo de Soporte:         Eliminar departamento  _x000a_Observaciones:            _x000a_ _x000a_Su petición fue atendida_x000a_ _x000a_" u="1"/>
        <s v="Notificación de seguimiento  [  MA2309202002 ]  _x000a_ _x000a_ _x000a_Estimado(a):                     César Iván Orenda Rojas_x000a_ _x000a_Le informamos que su ticket correspondiente a:_x000a_               _x000a_Poder regresar el paso en la Plataforma Nacional de Transparencia a efecto de practicar la notificación de manera correcta._x000a_ _x000a_Aplicación:                  SIGEMI_x000a_Tipo de Soporte:         REGRESO DE PASOS  _x000a_Observaciones:            _x000a_ _x000a_Su petición fue atendida_x000a_ _x000a_" u="1"/>
        <s v="Notificación de seguimiento  [  MA2907202005 ]  _x000a_ _x000a_ _x000a_Estimado(a):                     Edgar Michel Loaeza Martínez_x000a_ _x000a_Le informamos que su ticket correspondiente a:_x000a_               _x000a_Proporciono de nueva cuenta los primeros 5 certificados para que sean dados de alta en el sistema._x000a__x000a__x000a_ _x000a_Aplicación:                  HCOM   _x000a_Tipo de Soporte:         Actualización de certificados   (5)_x000a_Observaciones:            _x000a_ _x000a_Su petición fue atendida_x000a_ _x000a_" u="1"/>
        <s v="_x000a_Notificación de seguimiento  [  MA1509202009 ]  _x000a_ _x000a_ _x000a_Estimado(a):                     Edgar Michel Loaeza Martínez_x000a_ _x000a_Le informamos que su ticket correspondiente a:_x000a__x000a_solicito su apoyo para dar de alta el certificado que se adjunta, sujeto obligado indirecto de la Comisión Nacional de Áreas Naturales Protegidas._x000a_Clave Dependencia/entidad Titular de la unidad de transparencia actual_x000a_16152 CONANP- Fideicomiso de administración, inversión y pago número 013 ANP Valle de Bravo LILIANA LIZÁRRAGA MORALES_x000a__x000a_ _x000a_Aplicación:                  HCOM_x000a_Tipo de Soporte:         CAMBIO DE TUT   _x000a_" u="1"/>
        <s v="Creación de Wireframes de vista principal, busqueda avanzada y resultados" u="1"/>
        <s v="Notificación de seguimiento  [  MA0909202006 ]  _x000a_ _x000a_ _x000a_Estimado(a):                     Berenice Hernández Sumano_x000a_ _x000a_Le informamos que su ticket correspondiente a:_x000a_              _x000a_1.      La fecha de cumplimiento del recurso R.R.A.I 0254/2020/SICOM  se cambie al 21/09/2020_x000a_2.      La fecha de estado de los siguientes recursos se cambie a la fecha de aplicación de la actividad notificación del cumplimiento_x000a_3.  Los acuses se modifiquen a la fecha de aplicación_x000a_ _x000a_Aplicación:                  SIGEMI_x000a_Tipo de Soporte:         MODIFICACIÓN DE PLAZOS  Y ACUSES  _x000a_Observaciones:            _x000a_ _x000a_Su petición fue atendida_x000a_" u="1"/>
        <s v="Notificación de seguimiento  [  MA1202202109 ]  _x000a_ _x000a_ _x000a_Estimado(a):                     Alondra Jiménez Hernández_x000a_ _x000a_ _x000a_Le informamos que su ticket correspondiente a:_x000a_               _x000a_Anexo el registro actualizado del certificado del nuevo Titular de la Unidad de Transparencia del Administración Portuaria Integral de Tuxpan, S.A. de C.V. para que su acceso sea habilitado en la Herramienta de Comunicación. _x000a_ _x000a_Aplicación:                  HCOM_x000a_Tipo de Soporte:         CAMBIO TUT   _x000a_" u="1"/>
        <s v="Se elimina la respuesta del folio: 0673800145921" u="1"/>
        <s v="Realizar modul de ejercicios" u="1"/>
        <s v="Notificación de seguimiento  [  MA2505202121 ]_x000a__x000a__x000a_Estimado(a):                Alma Rosa Ramírez Herrera_x000a__x000a_ _x000a_ Le informamos que su ticket correspondiente a:_x000a_               _x000a_regresar el último paso en la PNT del asunto RRA 3152/21, este fue una comunicación al recurrente, ya que, por un error, se envió esa comunicación que corresponde a otro recurso de revisión._x000a__x000a_ _x000a_Aplicación:                  SIGEMI_x000a_Tipo de Soporte:         Eliminar prevención  _x000a_Observaciones:            _x000a_ _x000a_Su petición fue atendida_x000a_ _x000a_" u="1"/>
        <s v="Presentación de notificaciones vertical en mis quejas" u="1"/>
        <s v="Notificación de seguimiento  [  MA1607202008 ]  _x000a_ _x000a_ _x000a_Estimado(a):                     JUAN PEDRO RAMIREZ FLORES_x000a_ _x000a_Le informamos que su ticket correspondiente a:_x000a_               _x000a_ACTUALIZACIÓN DE FECHAS DE CUMPLIMIENTO DE RECURSOS DEL ESTADO DE GUANAJUATO_x000a__x000a_ _x000a_Aplicación:                  SIGEMI_x000a_Tipo de Soporte:         AJUSTE DE FECHAS   _x000a_Observaciones:            _x000a_ _x000a_Su petición fue atendida_x000a_ _x000a_" u="1"/>
        <s v="Notificación de seguimiento  [  MA2802202003 ]  _x000a_ _x000a_ _x000a_Estimado(a):                     Gloria Bravo Reyna_x000a_ _x000a_Le informamos que su ticket correspondiente a:_x000a_               _x000a_eliminación de los siguientes folios en HCOM._x000a__x000a_ _x000a_Aplicación:                  HCOM_x000a_Tipo de Soporte:         Eliminar folios  ( 9 )_x000a_Observaciones:            _x000a_ _x000a_Su petición fue atendida_x000a_ _x000a_" u="1"/>
        <s v="Se identifica el acuse de la solicitud: 0001500162219." u="1"/>
        <s v="Analisis de Requerimiento del RFC  Micrositio " u="1"/>
        <s v="Notificación de seguimiento  [  MA2909202005 ]  _x000a_ _x000a_ _x000a_Estimado(a):                     RICARDO MARIN_x000a_ _x000a_Le informamos que su ticket correspondiente a:_x000a_               _x000a_TE COMPARTO EL ARCHIVO CON LA VALIDACIÓN DE LOS PLAZOS, LAS OBSERVACIONES ESTÁN MARCADAS EN COLOR ROJO. QUEDO PENDIENTE POR CUALQUIER DUDA AL RESPECTO._x000a_ _x000a_Aplicación:                  SIGEMI_x000a_Tipo de Soporte:         AJUSTE DE FECHAS   _x000a_Observaciones:            _x000a_ _x000a_Su petición fue atendida_x000a_ _x000a_" u="1"/>
        <s v="Se sustituye archivo adjunto  del folio:  1117100064221" u="1"/>
        <s v="Se implementa en el front los cambios para reporte estatus para que se muestren los filtros de periodo de tiempo y muestre el reporte por fechas determinadas. " u="1"/>
        <s v="Se subio el sitio con los cambios realizados al subdominio principal de micrositios" u="1"/>
        <s v="Se cambia el tipo de solicitud del folio: 0063700033121" u="1"/>
        <s v="Se implementa un botòn de descarga dentro de los resultados del Buscador Nacional" u="1"/>
        <s v="Buenas tardes Berenice, tu petición fue atendida, los acuses estan en proceso de eliminación, favor de validar _x000a__x000a_Saludos _x000a__x000a_Marina Adame Velasco_x000a__x000a_Notificación de seguimiento  [  MA2408202012 ]  _x000a__x000a_Aplicación:                  INFOMEX OAXACA_x000a_Tipo de Soporte:         AJUSTE DE PLAZOS    _x000a_Estatus:                               Concluido._x000a__x000a_" u="1"/>
        <s v="Se aplica eliminación de formato de pago: 0002000175218." u="1"/>
        <s v="funcionalidad del los filtros de devolver a su valor por defecto " u="1"/>
        <s v="Notificación de seguimiento  [  MA0912202002 ]  _x000a_ _x000a_ _x000a_Estimado(a):                     Alondra Jiménez Hernández_x000a_ _x000a_ _x000a_Le informamos que su ticket correspondiente a:_x000a_               _x000a_Anexo el registro actualizado del certificado del nuevo Titular de la Unidad de Transparencia de la Comisión Nacional de los Derechos Humanos para que su acceso sea habilitado en la Herramienta de Comunicación. _x000a_ _x000a_Aplicación:                  HCOM_x000a_Tipo de Soporte:         CAMBIO TUT   _x000a_Observaciones:            _x000a_ _x000a_Su petición fue atendida_x000a_ _x000a_" u="1"/>
        <s v="Notificación de seguimiento  [  MA2204202103 ]  _x000a_ _x000a_ _x000a_Estimado(a):                     ALEJANDRA TEJEDA_x000a_ _x000a_ _x000a_Le informamos que su ticket correspondiente a:_x000a_               _x000a_Me comenta el Sujeto Obligado Congreso del Estado que presentaron prorroga a la solicitud identificada con número de folio 00317121, pero el sistema de solicitudes no realizo el computo de términos correctamente, les arroja una fecha límite para dar respuesta distinta, debiendo ser 28 de abril del año en curso; por lo cual se solicita el ajuste manual de la misma._x000a_ _x000a_Aplicación:                  INFOMEX BCN_x000a_Tipo de Soporte:         AJUSTE DE PLAZO    _x000a_Observaciones:            _x000a_ _x000a_Su petición fue atendida_x000a_" u="1"/>
        <s v="Se  testan los datos del folio: 0064101376121" u="1"/>
        <s v="Se aplica testado de datos al folio: 1117100106820" u="1"/>
        <s v="Se aplica eliminación de respuesta al folio: 0000600556419." u="1"/>
        <s v="Notificación de seguimiento [ MA2001202001 ] _x000a_  _x000a_  _x000a_ Estimado(a): Lizbeth Adriana Cabrera Ortega_x000a_  _x000a_ Le informamos que su ticket correspondiente a:_x000a_  _x000a_ Conforme a la conversación telefonica, se eliminó el turno RRA 00540/20 y se ajusto el consecutivo al 538 para que el siguiente a generar sea el 539_x000a_ _x000a_  _x000a_ Aplicación: SIGEMI_x000a_ Tipo de Soporte: Eliminar turno" u="1"/>
        <s v="Análisis de incidencias reportadas en los infomex Estados y soporte aplicativo" u="1"/>
        <s v="Notificación de seguimiento  [  MA1402202005 ]  _x000a_ _x000a_ _x000a_Estimado(a):                     Alondra Jiménez Hernández_x000a_ _x000a_Le informamos que su ticket correspondiente a:_x000a_               _x000a_Anexo el registro actualizado del certificado del Titular de la Unidad de Transparencia de BIRMEX para su renovación en la Herramienta de Comunicación._x000a__x000a_ _x000a_Aplicación:                  HCOM_x000a_Tipo de Soporte:         RENOVACIÓN DE CERTIFICADO  _x000a_Observaciones:            _x000a_ _x000a_Su petición fue atendida_x000a_ _x000a_" u="1"/>
        <s v="Errores con el ambiente de Calidad" u="1"/>
        <s v="Notificación de seguimiento  [  MA1512202004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01 al 18 de diciembre de 2020 y contando también el 2do periodo vacacional del 21 de diciembre 2020 al 5 de Enero 2021_x000a_ _x000a_Aplicación:                  INFOMEX NUEVO LEÓN_x000a_Tipo de Soporte:         AJUSTE DE PLAZOS    _x000a_Observaciones:            _x000a_ _x000a_Su petición fue atendida_x000a_" u="1"/>
        <s v="Notificación de seguimiento  [  MA1910202011 ]  _x000a_ _x000a_ _x000a_Estimado(a):                      JUAN PEDRO RAMIREZ FLORES_x000a_ _x000a_Le informamos que su ticket correspondiente a:_x000a_               _x000a_Regreso de pasos hasta el proceso de &quot;Envío de Entrada y Acuerdo&quot; respecto al recurso de revisión en materia de datos personales  RRPDP-7/2020 dentro de la  Plataforma Nacional de Transparencia, SIGEMI - SICOM, toda vez que por mandato jurisdiccional se debe realizar de nuevo toda la sustanciación del medio de impugnación de mérito._x000a_ _x000a_Aplicación:                  SIGEMI_x000a_Tipo de Soporte:         REGRESO DE PASOS  _x000a_Observaciones:            _x000a_ _x000a_Su petición fue atendida_x000a_" u="1"/>
        <s v="Notificación de seguimiento  [  MA2503202101 ]  _x000a_ _x000a_ _x000a_Estimado(a):                     ALEJANDRA TEJEDA _x000a_ _x000a_ _x000a_Le informamos que su ticket correspondiente a:_x000a_               _x000a_solicito de la manera más atenta su apoyo para la rectificación de la fecha de caducidad del paso del Sujeto Obligado Instituto de Seguridad y Servicios Sociales de los Trabajadores del Gobierno y Municipios del Estado de Baja California, se realizó el ajuste a su calendario posterior a la presentación de las siguientes solicitudes_x000a__x000a_ _x000a_Aplicación:                  INFOMEX BCN_x000a_Tipo de Soporte:         AJUSTE DE PLAZOS    _x000a_Observaciones:            _x000a_ _x000a_Su petición fue atendida_x000a_" u="1"/>
        <s v="Estimada Alondra, se realizó el cambio de nombre al que mencionas en el correo anexo y se verificó el acceso con la contraseña y certificado enviados_x000a__x000a_Quedamos atentos_x000a__x000a_Saludos_x000a__x000a_Marina Adame _x000a_" u="1"/>
        <s v="Notificación de seguimiento  [  MA3007202007 ]  _x000a_ _x000a_ _x000a_Estimado(a):                     Isaac García Quevedo_x000a_ _x000a_Le informamos que su ticket correspondiente a:_x000a_               _x000a_Recurso de revisión: R.R.A.I 0236/2020/SICOM_x000a_Sujeto obligado: SERVICIOS DE SALUD DEL ESTADO DE OAXACA_x000a_Actividad: Desechar_x000a_Fecha: 16/07/2020._x000a_ _x000a_Aplicación:                  SIGEMI_x000a_Tipo de Soporte:         Cambio de fecha  _x000a_Observaciones:            _x000a_ _x000a_Su petición fue atendida, se realizó la actualización en la actividad Admitir/Prevenir/Desechar, que fue la que se ubicó relacionada a su petición_x000a_ _x000a_" u="1"/>
        <s v="Notificación de seguimiento  [  MA1612202101 ]_x000a__x000a_Estimado(a):                Edgar Michel Loaeza Martínez_x000a__x000a_ _x000a_ Le informamos que su ticket correspondiente a:_x000a_               _x000a_Solicito su apoyo para poder sustituir en el sistema Hcom el certificado que se adjunta, el cual corresponde al sujeto obligado indirecto de la Universidad Pedagógica Nacional._x000a__x000a_Clave Sujeto obligado Titular de la Unidad de Transparencia_x000a_29011 Fondo de Fomento para la Investigación Científica y el Desarrollo Tecnológico de la Universidad Pedagógica Nacional Lic. Yiseth Osorio Osorio_x000a__x000a_Aplicación:                  HCOM_x000a_Tipo de Soporte:         ACTUALIZAR CERTIFICADO   _x000a_Observaciones:            _x000a_ _x000a_Su petición fue atendida_x000a_" u="1"/>
        <s v="Notificación de seguimiento  [  MA2104202007 ]  _x000a_ _x000a_ _x000a_Estimado(a):                     Pedro Esquivel Martínez_x000a_ _x000a_Le informamos que su ticket correspondiente a:_x000a_               _x000a__x000a_Anexo el registro actualizado del certificado del Titular de la Unidad de Enlace del  “Centro de Ingeniería y Desarrollo Industrial”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_x000a_Tipo de Soporte:         CAMBIO DE CERTIFICADO   _x000a_Observaciones:            _x000a_ _x000a_Su petición fue atendida_x000a_" u="1"/>
        <s v="Revision de dynamic Query para integrar servicio de roles por orden jerárquico Migracion de Usuarios" u="1"/>
        <s v="Notificación de seguimiento  [  MA0407202204 ]_x000a__x000a_Estimado(a):               Abraham Obed Gallardo González_x000a__x000a_ Le informamos que su ticket correspondiente a:_x000a__x000a__x000a_Con el gusto de saludarte, en seguimiento a la actualización de la vigencia del .cer del TUT del INSABI, remito el certificado remitido por el personal de la unidad de transparencia de ese sujeto obligado con vigencia hasta el año 2027, lo anterior, con la finalidad de darlo de alta en el sistema HCOM._x000a__x000a__x000a_Aplicación:                  HCOM_x000a_Tipo de Soporte:         GENERACIÓN DE CERTIFICADO _x000a_Observaciones:            _x000a_ _x000a_Su petición fue atendida_x000a__x000a_" u="1"/>
        <s v="Campo extra en registro" u="1"/>
        <s v="Se sustituye archivo adjunto y se testan los datos del folio: 0002700338420" u="1"/>
        <s v="Se elimina la respuesta del folio: 0002800109221 " u="1"/>
        <s v="Notificación de seguimiento  [  MA1705202128 ]_x000a_ _x000a_Estimado(a):                     Moisés Guzmán Arias_x000a_ _x000a_Le informamos que su ticket correspondiente a:_x000a_               _x000a_ampliar el término para prevención de acuerdo a las fechas que se indican en cada folio_x000a_ _x000a_01468520 estableciendo el término al día 17/05/2021 (17 de mayo de 2021) (SAdministración)_x000a_ _x000a_Aplicación:                  INFOMEX PUEBLA_x000a_Tipo de Soporte:         AJUSTE DE PLAZO   _x000a_Observaciones:            _x000a_ _x000a_Su petición fue atendida_x000a_ _x000a_" u="1"/>
        <s v="Notificación de seguimiento  [  MA1802202006 ]  _x000a_ _x000a_ _x000a_Estimado(a):                     Fernando Sigfrido Corona Robles_x000a_ _x000a_Le informamos que su ticket correspondiente a:_x000a_               _x000a_Por este medio solicito ayuda, para regresar un paso en la PNT. Lo anterior a efecto de poder evaluar el cumplimiento respectivo del recurso de revisión RRA 7688/19 SHCP. _x000a__x000a_ _x000a_Aplicación:                  SIGEMI_x000a_Tipo de Soporte:         REGRESO DE PASOS  _x000a_Observaciones:            _x000a_ _x000a_Su petición fue atendida_x000a_ _x000a_" u="1"/>
        <s v="Notificación de seguimiento  [  MA2105202008 ]  _x000a_ _x000a_ _x000a_Estimado(a):                     Lizbeth Adriana Cabrera Ortega_x000a_ _x000a_Le informamos que su ticket correspondiente a:_x000a_               _x000a_ _x000a_Con el gusto de saludarte me permito solicitar tu valioso apoyo respecto de la generación UN EXPEDIENTE del recurso de revisión posteriormente citado._x000a_ _x000a_Asimismo, te comento que NO DEBERÁ CAMBIAR el sujeto obligado, ni el Comisionado correspondiente. _x000a_ _x000a_ DICE                                        DEBE DECIR                         SUJETO OBLIGADO           PONENTE_x000a_RRA 4643/20 RRA 2784/16-BIS BANCOMEXT RMC_x000a_ _x000a_No omito comentarte que el número de expediente que deberá seguir en el consecutivo por turnar en PNT debe ser el RRA 4643/20._x000a_ _x000a_Aplicación:                  SIGEMI_x000a_Tipo de Soporte:         CAMBIO A EXPEDIENTE BIS  _x000a_" u="1"/>
        <s v="Notificación de seguimiento  [  MA2001202107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_x000a__x000a_ _x000a_Aplicación:                  INFOMEX NUEVO LEÓN_x000a_Tipo de Soporte:         AJUSTE DE PLAZOS   _x000a_" u="1"/>
        <s v="Notificación de seguimiento  [  MA2001202108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_x000a__x000a_ _x000a_Aplicación:                  INFOMEX NUEVO LEÓN_x000a_Tipo de Soporte:         AJUSTE DE PLAZOS   _x000a_" u="1"/>
        <s v="Notificación de seguimiento  [  MA2001202111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_x000a__x000a_ _x000a_Aplicación:                  INFOMEX NUEVO LEÓN_x000a_Tipo de Soporte:         AJUSTE DE PLAZOS   _x000a_" u="1"/>
        <s v="Se genera certificado para la dependencia:" u="1"/>
        <s v="Se sustituye archivo adjunto  del folio:  1215101104420" u="1"/>
        <s v="Busqueda de complementos a actualizar certificados" u="1"/>
        <s v="Notificación de seguimiento  [  MA0803202115 ]  _x000a_ _x000a_ _x000a_Estimado(a):                     Pedro Esquivel Martínez_x000a_ _x000a_ _x000a_Le informamos que su ticket correspondiente a:_x000a_               _x000a_Anexo el registro actualizado del certificado del Titular de la Unidad de Enlace del  “Servicio Postal Mexicano”. Lo anterior a fin de que sus accesos sean habilitados en los otros sistemas que administra este Instituto (HCOM).  Cambio de Titular, no omito señalar que en cuanto se reciba la atención en HCOM se realizará la actualización de los demás sistemas correspondientes._x000a__x000a_ _x000a_Aplicación:                  HCOM_x000a_Tipo de Soporte:         CAMBIO TUT   _x000a_Observaciones:            _x000a_ _x000a_Su petición fue atendida_x000a_ _x000a_" u="1"/>
        <s v="Notificación de seguimiento  [  MA2307202006 ]  _x000a_ _x000a_ _x000a_Estimado(a):                     Pedro Esquivel Martínez_x000a_ _x000a_Le informamos que su ticket correspondiente a:_x000a_               _x000a_Anexo el registro actualizado del certificado del Titular de la Unidad de Enlace del  “Hospital General de México Dr. Eduardo Liceaga” Lo Anterior a fin de que sus accesos sean habilitados en los otros sistemas que administra este Instituto (HCOM).  CAMBIO DE TITULAR, en cuanto se reciba la atención en HCOM se realizará la actualización de los demás sistemas correspondientes._x000a_ _x000a_Aplicación:                  HCOM_x000a_Tipo de Soporte:         CAMBIO DE TUT   _x000a_Observaciones:            _x000a_ _x000a_Su petición fue atendida_x000a_ _x000a_" u="1"/>
        <s v="Notificación de seguimiento  [  MA2901202104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_x000a_ _x000a_Aplicación:                  INFOMEX  NUEVO LEÓN_x000a_Tipo de Soporte:         AJUSTE DE PLAZOS   _x000a_Observaciones:            _x000a_ _x000a_Su petición fue atendida_x000a_ _x000a_" u="1"/>
        <s v="Se aplica eliminación de última respuesta de la solicitud: 0001300035420." u="1"/>
        <s v="Realizar modificaciones de limites de datos en catálogos" u="1"/>
        <s v="Revision de proceso historico en declaracion de patrimonial" u="1"/>
        <s v="Notificación de seguimiento  [  MA1304202005 ]  _x000a_ _x000a_ _x000a_Estimado(a):                     Pedro Esquivel Martínez _x000a_ _x000a_Le informamos que su ticket correspondiente a:_x000a_               _x000a__x000a_Anexo el registro actualizado del certificado del Titular de la Unidad de Enlace del  “INSTITUTO PARA EL DESARROLLO TÉCNICO DE LAS HACIENDAS PÚBLICAS” Lo Anterior a fin de que sus accesos sean habilitados en los otros sistemas que administra este Instituto (HCOM).  CAMBIO DE CERTIFICADO, en cuanto se reciba la atención en HCOM se realizará la actualización de los demás sistemas correspondientes._x000a__x000a__x000a_ _x000a_Aplicación:                  HCOM_x000a_Tipo de Soporte:         CAMBIO DE CERTIFICADO  _x000a_Observaciones:            _x000a_ _x000a_Su petición fue atendida_x000a_" u="1"/>
        <s v="Se aplica el testado de datos de la solicitud: 0000700002720." u="1"/>
        <s v="Se cambia el tipo de solicitud del folio: 1201100015421" u="1"/>
        <s v="Se aplica el alta de la nueva dependencia con clave: 08003 y nombre SEGURIDAD ALIMENTARIA MEXICANA" u="1"/>
        <s v="Notificación de seguimiento  [  MA3105202201 ]_x000a__x000a_Estimado(a):                Julia Yuridia Pacheco Hernández_x000a__x000a__x000a_ Le informamos que su ticket correspondiente a:_x000a__x000a_A quien corresponda,_x000a__x000a_Atentamente solicito su apoyo para asignar en la Herramienta de Comunicación, el certificado que adjunto al presente al SO que se precisa a continuación:_x000a_Clave Única Sujeto Obligado Nombre Correo electrónico contraseña_x000a_60213 Sindicato Nacional Independiente de los Trabajadores de la Secretaría de Economía_x000a__x000a_ Sandra Ruth Cortés Hernández snitse.cen22@gmail.com_x000a_hcom2022_x000a__x000a_De antemano gracias por su atención y poyo._x000a__x000a_Quedo atenta en caso de cualquier comentario._x000a__x000a__x000a_ _x000a_Aplicación:                  HCOM_x000a_Tipo de Soporte:        CAMBIO DE CERTIFICADO  _x000a_Observaciones:            _x000a_ _x000a_Su petición fue atendida._x000a_" u="1"/>
        <s v="Se aplica el cambio de modalidad para el folio: 1100400100719" u="1"/>
        <s v="Configuracion de Entorno NetBeans ID, GlassFish (Pool de conexion Oracle)" u="1"/>
        <s v="Se sustituye archivo adjunto  del folio: 0002700047521" u="1"/>
        <s v="Implementación de despliegue de sentidos, para borrado o modificación." u="1"/>
        <s v="Se sustituye el archivo adjunto de la solicitud con folio 0063700474021" u="1"/>
        <s v="se agregan assets, se generan componentes base, header, footer, modificacion de estilos" u="1"/>
        <s v="Notificación de seguimiento  [  MA1904202107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09 al 30 de abril 2021; debiéndose considerar los días comprendidos dentro de dicho periodo como inhábiles para evitar la propagación del coronavirus COVID-19_x000a_ _x000a_Aplicación:                  INFOMEX NUEVO LEÓN_x000a_Tipo de Soporte:         AJUSTE DE PLAZO   _x000a_Observaciones:            _x000a_ _x000a_Su petición fue atendida_x000a_" u="1"/>
        <s v="Notificación de seguimiento  [  MA2408202112 ]_x000a__x000a_Estimado(a):                Berenice Hernández Sumano_x000a__x000a_ _x000a_ Le informamos que su ticket correspondiente a:_x000a_               _x000a_Por este medio solicito su ayuda para visualizar correctamente en el Sistema Infomex Oaxaca los archivos adjuntos cargados por el solicitante, debido a que el nombre del archivo integra acentos el aplicativo no puede recuperar la ruta de acceso al documento y genera un error de lectura, impidiendo que la Unidad de transparencia de atención a la solicitud._x000a_ _x000a_Aplicación:                  INFOMEX OAXACA_x000a_Tipo de Soporte:         CORRECCIÓN DE NOMBRES DE ACUSES   _x000a_Observaciones:            _x000a_ _x000a_Su petición fue atendida_x000a_" u="1"/>
        <s v="Creación de apartado y tabla de días inhábiles en contáctanos" u="1"/>
        <s v="Notificación de seguimiento  [  MA1702202004 ]  _x000a_ _x000a_Estimado(a):                     Pedro Esquivel Martínez_x000a_ _x000a_Le informamos que su ticket correspondiente a:_x000a_               _x000a_Anexo el registro actualizado del certificado del Titular de la Unidad de Enlace del  “Instituto Nacional de Ecología y Cambio Climático”.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_x000a_Tipo de Soporte:         RENOVACIÒN DE CERTIFICADO   _x000a_Observaciones:            _x000a_ _x000a_Su petición fue atendida_x000a_ _x000a_" u="1"/>
        <s v="Se modifica la pantalla de perfil para organizar los campos de Tipo de persona y Sexo" u="1"/>
        <s v="Se cambia el plazo y semáforo de la solicitud 0210000062121." u="1"/>
        <s v="Se aplica testado de datos al folio: 0064100384120." u="1"/>
        <s v="Analisis y funcionalidad sector Ejercicios " u="1"/>
        <s v="Notificación de seguimiento  [  MA2401202103 ]_x000a__x000a_Estimado(a):                Armando Ortiz Luna_x000a__x000a_ _x000a_ Le informamos que su ticket correspondiente a:_x000a_               _x000a_asignar en la Herramienta de Comunicación los certificados que adjunto al presente, a los sujetos obligados que se precisan a continuación._x000a_ _x000a_Aplicación:                  HCOM_x000a_Tipo de Soporte:         CAMBIO DE TUT ( 3) , CAMBIO DE CERTIFICADO ( 1)   _x000a_Observaciones:            _x000a_ _x000a_Su petición fue atendida_x000a_ _x000a_" u="1"/>
        <s v="Notificación de seguimiento  [  MA2610202102 ]_x000a__x000a_Estimado(a):                Pedro Esquivel Martínez_x000a__x000a_ _x000a_ Le informamos que su ticket correspondiente a:_x000a_               _x000a_Con el gusto de saludarle y solicitando tu valioso apoyo con la actualización del .cer en HCOM en relación al siguiente cuadro descriptivo; se anexa .cer_x000a__x000a_ _x000a_Aplicación:                  HCOM_x000a_Tipo de Soporte:         ACTUALIZACIÓN DE CERTIFICADO  _x000a_Observaciones:            _x000a_ _x000a_Su petición fue atendida_x000a_ _x000a_" u="1"/>
        <s v="Se aplica testado de datos al folio:  0064103381321" u="1"/>
        <s v="Notificación de seguimiento  [  MA2901202106 ]  _x000a_ _x000a_ _x000a_Estimado(a):                     Alondra Jiménez Hernández_x000a_ _x000a_ _x000a_Le informamos que su ticket correspondiente a:_x000a_               _x000a_Anexo el registro actualizado del certificado del Titular de la Unidad de Transparencia de la Administración Portuaria Integral de Mazatlán, S.A. de C.V., para su renovación en la Herramienta de Comunicación. _x000a_ _x000a_Aplicación:                  HCOM_x000a_Tipo de Soporte:         Actualizar certificado   _x000a_Observaciones:            _x000a_ _x000a_Su petición fue atendida_x000a_ _x000a_" u="1"/>
        <s v="Notificación de seguimiento  [  MA2807202002 ]  _x000a_ _x000a_ _x000a_Estimado(a):                     Edgar Michel Loaeza Martínez_x000a_ _x000a_Le informamos que su ticket correspondiente a:_x000a_               _x000a_Por medio del presente solicito su valioso apoyo a efecto de dar de alta los certificados de Titular de la Unidad de Transparencia de los sujetos obligados que se enlistan a continuación y que pertenecen a la Secretaría de Hacienda y Crédito Público_x000a_ _x000a_Aplicación:                  HCOM_x000a_Tipo de Soporte:         CAMBIO DE TUT (5) y actualización de certificados ( 5 )_x000a_" u="1"/>
        <s v="Notificación de seguimiento [ MA1601202010 ] _x000a_  _x000a_  _x000a_ Estimado(a): Lizbeth Adriana Cabrera Ortega_x000a_  _x000a_ Le informamos que su ticket correspondiente a:_x000a_  _x000a_ suprimir el recurso citado a continuación, el cual cargue manualmente duplicado, en la bandeja de datos presonales._x000a_ _x000a_  _x000a_ Aplicación: SIGEMI_x000a_ Tipo de Soporte: suprimir recurso" u="1"/>
        <s v="Notificación de seguimiento  [  MA1008202005 ]  _x000a_ _x000a_ _x000a_Estimado(a):                     Pedro Esquivel Martínez_x000a_ _x000a_Le informamos que su ticket correspondiente a:_x000a_               _x000a_cambiar las siglas del Sujeto Obligado: Instituto Nacional de los Pueblos Indígenas a “CDI” en los sistemas HCOM e INFOMEX; inclusive en la manera de lo posible pido de igual manera su apoyo con un reporte de Siglas de nuestros sujetos obligados, esto con el propósito de realizar la revisión y posteriormente el ajuste correspondiente en las siglas de nuestros sujetos obligados_x000a_ _x000a_Aplicación:                  HCOM  _x000a_Tipo de Soporte:         MODIFICACIÓN Y CONSULTA  DE DATOS_x000a_Observaciones:            _x000a_ _x000a_Su petición fue atendida_x000a_" u="1"/>
        <s v="Notificación de seguimiento  [  MA1810202102 ]_x000a__x000a_Estimado(a):                Pedro Esquivel Martínez_x000a__x000a_ _x000a_ Le informamos que su ticket correspondiente a:_x000a_               _x000a_por este medio Anexo el registro actualizado del certificado del Titular de la Unidad de Enlace de la “Procuraduría de la Defensa del Contribuyente”.  Lo Anterior a fin de que sus accesos sean habilitados en los otros sistemas que administra este Instituto (HCOM).  CAMBIO DE  TITULAR, en cuanto se reciba la atención en HCOM se realizará la actualización de los demás sistemas correspondientes._x000a__x000a_ _x000a_Aplicación:                  HCOM          _x000a_Tipo de Soporte:         CAMBIO DE TUT   _x000a_Observaciones:            _x000a_ _x000a_Su petición fue atendida_x000a_" u="1"/>
        <s v="Notificación de seguimiento  [  MA2002202003 ]  _x000a_ _x000a_ _x000a_Estimado(a):                     Pedro Esquivel Martínez_x000a_ _x000a_Le informamos que su ticket correspondiente a:_x000a_               _x000a_ _x000a_Anexo el registro actualizado del certificado del Titular de la Unidad de Enlace del  “INSTITUTO NACIONAL DE LENGUAS INDÍGENAS( INALI )”.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SIGEMI_x000a_Tipo de Soporte:         CAMBIO DE CERTIFICADO   _x000a_Observaciones:            _x000a_ _x000a_Su petición fue atendida_x000a_" u="1"/>
        <s v="Notificación de seguimiento  [  MA3008202107 ]_x000a__x000a_Estimado(a):                Pedro Esquivel Martínez_x000a__x000a_ _x000a_ Le informamos que su ticket correspondiente a:_x000a_               _x000a_por este medio Anexo el registro actualizado del certificado del Titular de la Unidad de Enlace de la “Instituto Nacional de Lenguas Indígenas”.  Lo Anterior a fin de que sus accesos sean habilitados en los otros sistemas que administra este Instituto (HCOM).  CAMBIO DE  CERTIFICADO, en cuanto se reciba la atención en HCOM se realizará la actualización de los demás sistemas correspondientes._x000a_ _x000a_Aplicación:                  HCOM_x000a_Tipo de Soporte:         actualización de certificado_x000a_Observaciones:            _x000a_ _x000a_Su petición fue atendida_x000a_" u="1"/>
        <s v="Se han trabajado y actualizado todos los módulos a petición de los clientes del sistema SIPRON" u="1"/>
        <s v="Notificación de seguimiento  [  MA1111202007 ]  _x000a_  _x000a_Estimado(a):                     Martha Rubí Zaragoza Mora_x000a_ _x000a_Le informamos que su ticket correspondiente a:_x000a_               _x000a_Espero se encuentre muy bien. El presente correo es para pedir su amable apoyo para el ajuste de términos de los folios debido al Acuerdo que enviaron los siguientes Sujetos Obligados a la COTAI por el cual se amplían la fecha del 01 al 30 de noviembre de 2020; debiéndose considerar los días comprendidos dentro de dicho periodo como inhábiles para evitar la propagación del coronavirus COVID-19._x000a_ _x000a_Aplicación:                  INFOMEX NUEVO LEÓN _x000a_Tipo de Soporte:         AJUSTE DE PLAZO    _x000a_Observaciones:            _x000a_ _x000a_Su petición fue atendida_x000a_ _x000a_" u="1"/>
        <s v="Notificación de seguimiento  [  MA2105202003 ]  _x000a_ _x000a_ _x000a_Estimado(a):                     Pedro Esquivel Martínez_x000a_ _x000a_Le informamos que su ticket correspondiente a:_x000a_               _x000a_               _x000a_Anexo el registro actualizado del certificado del Titular de la Unidad de Enlace del  “Comisión Ejecutiva de Atención a Víctimas” Lo Anterior a fin de que sus accesos sean habilitados en los otros sistemas que administra este Instituto (HCOM).  CAMBIO DE CERTIFICADO, en cuanto se reciba la atención en HCOM se realizará la actualización de los demás sistemas correspondientes._x000a__x000a__x000a_Aplicación:                  HCOM               _x000a_Tipo de Soporte:         CAMBIO DE CERTIFICADO   _x000a_Observaciones:            _x000a_ _x000a_Su petición fue atendida_x000a_ _x000a_" u="1"/>
        <s v="Se aplica eliminación de formato de pago: 0064101047121" u="1"/>
        <s v="Analisis, diseño e implementación de encriptado de parametros url" u="1"/>
        <s v="Configuración de liferay para las pruebas de redes sociales" u="1"/>
        <s v="Notificación de seguimiento  [  MA0809202008 ]  _x000a_ _x000a_ _x000a_Estimado(a):                     Mariana Aguila Jimenez_x000a_ _x000a_Le informamos que su ticket correspondiente a:_x000a_               _x000a_En relación con el recurso de revisión RRD 01088/20 vs IMSS el recurrente NO señaló DE MANERA EXPRESA medio de notificación, POR LO QUE SE DETERMINÓ TENER POR SEÑALADO COMO MEDIO LOS ESTRADOS DE ESTE INSTITUTO; por lo que se solicita su valioso apoyo a efecto de que en la Plataforma Nacional de Transparencia (PNT) se cambie el medio de notificación del recurrente a ESTRADOS, a efecto de que SE REALICEN las notificaciones correspondientes. _x000a__x000a_ _x000a_Aplicación:                  SIGEMI_x000a_Tipo de Soporte:         cambio de medio   _x000a_Observaciones:            _x000a_ _x000a_Su petición fue atendida_x000a_" u="1"/>
        <s v="replicar funcionalidad para los demas tipos de usuario, pruebas y generar OT" u="1"/>
        <s v="_x000a_Notificación de seguimiento  [  MA2311202003 ]  _x000a_ _x000a_ _x000a_Estimado(a):                  Alma Lizbeth Peguero Rivera   _x000a_ _x000a_ _x000a_Le informamos que su ticket correspondiente a:_x000a_               _x000a_retroceder los pasos en el sistema SIGEMI-SICOM en la PNT del siguiente asunto RRA 05270/20 BLIC del pleno 18-11-20, hasta la actividad “Registrar información de la sesión del pleno”_x000a__x000a_ _x000a_Aplicación:                  SIGEMI_x000a_Tipo de Soporte:         REGRESO DE PASOS    _x000a_Observaciones:            _x000a_ _x000a_Su petición fue atendida_x000a_" u="1"/>
        <s v="Se testan los datos  del folio: 1117100048621" u="1"/>
        <s v="Búsqueda por Estado o Federación, Institución y año de la resolución. Esta sección siempre debe permanecer visible. " u="1"/>
        <s v="Se sustituye el archivo adjunto de la solicitud con folio 0000700258721" u="1"/>
        <s v="Notificación de seguimiento  [  MA0708202005 ]  _x000a_ _x000a_ _x000a_Estimado(a):                     Alondra Jiménez Hernández_x000a_ _x000a_Le informamos que su ticket correspondiente a:_x000a_               _x000a_Se solicita nuevamente la renovación del certificado del Titular de la Unidad de Transparencia de PEMEX FERTILIZANTES en la Herramienta de Comunicación, toda vez que el anterior certificado tenía un error en su configuración. _x000a__x000a_ _x000a_Aplicación:                  HCOM_x000a_Tipo de Soporte:         ACTUALIZACIÓN DE CERTIFICADO_x000a_Observaciones:            _x000a_ _x000a_Su petición fue atendida_x000a_ _x000a_" u="1"/>
        <s v="Notificación de seguimiento  [  MA0906202107 ]_x000a__x000a_Estimado(a):                Edgar Michel Loaeza Martínez_x000a__x000a_ _x000a_ Le informamos que su ticket correspondiente a:_x000a_               _x000a_Por medio del presente, me permito solicitar su valioso apoyo a efecto de realizar la sustitución de certificado del TUT del sujeto obligado denominado Instituto Nacional De Estudios Históricos De Las Revoluciones Mexicanas en el hcom._x000a__x000a_ _x000a_Aplicación:                  HCOM_x000a_Tipo de Soporte:         ACTUALIZAR CERTIFICADO  _x000a_Observaciones:            _x000a_ _x000a_Su petición fue atendida_x000a_ _x000a_" u="1"/>
        <s v="Se sustituye archivo adjunto  del folio:  1117100007321" u="1"/>
        <s v="Se sustituye archivo adjunto  del folio: 011000036621" u="1"/>
        <s v="Notificación de seguimiento  [  MA2303202107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16 al 26 de marzo 2021 y contando el 1er periodo vacacional; debiéndose considerar los días comprendidos dentro de dicho periodo como inhábiles para evitar la propagación del coronavirus COVID-19._x000a__x000a_ _x000a_Aplicación:                  INFOMEX NUEVO LEÓN_x000a_Tipo de Soporte:         AJUSTE DE PLAZO  _x000a_Observaciones:            _x000a_ _x000a_Su petición fue atendida_x000a_" u="1"/>
        <s v="Notificación de seguimiento  [  MA0910202001 ]  _x000a_ _x000a_ _x000a_Estimado(a):                     Berenice Hernández Sumano_x000a_ _x000a_Le informamos que su ticket correspondiente a:_x000a_               _x000a_Por este medio solicito su apoyo para poder aplicar las afectaciones a las fechas:  Entrega de información relacionada con el Cumplimiento y Entrega de Alegatos y manifestaciones, de los recursos señalados en el archivo adjunto…_x000a__x000a_Asimismo solicitó pueda liberarse la actividad de cumplimiento en el perfil de los sujetos obligados ya que desde SICOM esta actividad se cierra cuando vence el plazo de 10 días y la actividad de entrega de alegatos que vence en un plazo de 7 días._x000a__x000a_ _x000a_Aplicación:                  SIGEMI_x000a_Tipo de Soporte:         MODIFICACIÓN DE FECHAS  _x000a_Observaciones:            _x000a_ _x000a_Su petición fue atendida, se realizó la actualización de fechas limite de votación y fechas de cumplimientos enviados, también se reactivó la notificación de cumplimiento ( actividad 39 ) en los cumplimientos enviados para la modificación de fechas. _x000a__x000a_Respecto a las fechas limite de la actividad ENVIO DE ALEGATOS, el sistema las calcula de manera automatica basada en la configuración del Estado y su calendario._x000a__x000a_ _x000a_            Favor de validar._x000a_ _x000a_Estatus:                               Concluido._x000a_" u="1"/>
        <s v="Notificación de seguimiento  [  MA2505202005 ]  _x000a_ _x000a_ _x000a_Estimado(a):                     Sergio Rafael Cortés Alpizar_x000a_ _x000a_Le informamos que su ticket correspondiente a:_x000a_               _x000a_Por este medio solicito adelantar los pasos en la Plataforma Nacional del Transparencia hasta “Preparación del Proyecto de Resolución” del recurso de revisión:_x000a_ _x000a_RRA 2784/16-BIS vs BANCOMEXT_x000a_ _x000a_Lo anterior se debe a que se dictó un amparo y deja sin efectos la resolución del pleno._x000a__x000a_ _x000a_Aplicación:                  SIGEMI_x000a_Tipo de Soporte:         CAMBIO DE ESTATUS DE ACTIVIDADES  _x000a_Observaciones:            _x000a_ _x000a_Su petición fue atendida_x000a_ _x000a_" u="1"/>
        <s v="Se aplica eliminación de última respuesta de la solicitud: 0002700038820." u="1"/>
        <s v="Informe de labores" u="1"/>
        <s v="Analisis  y funcionalidad de Consultas Relevantes administrador " u="1"/>
        <s v="Observaciones área usuaria - Administración" u="1"/>
        <s v="Notificación de seguimiento  [  MA2207202005 ]  _x000a_ _x000a_ _x000a_Estimado(a):                     Alondra Jiménez Hernández_x000a_ _x000a_Le informamos que su ticket correspondiente a:_x000a_               _x000a_Debido al cambio de Titular de la Unidad de Transparencia de Exportadora de Sal, S.A. de C.V. (ESSA) anexo los registros actualizados de los certificados para que sean actualizados y se habilite su acceso en la Herramienta de Comunicación de cada uno. Al respecto comento que la Unidad de Transparencia está operando con los certificados genéricos que creo el INAI, y debido al cambio de responsable de transparencia se solicita su actualización._x000a__x000a_ _x000a_Aplicación:                  HCOM_x000a_Tipo de Soporte:         CAMBIO DE TUT ( 2 )  _x000a_Observaciones:            _x000a_ _x000a_Su petición fue atendida_x000a_ _x000a_" u="1"/>
        <s v="Se  testan los datos de la solicitud con folio 1816400146621_x000a_ _x000a_" u="1"/>
        <s v="Notificación de seguimiento  [  MA0809202006 ]  _x000a_ _x000a_ _x000a_Estimado(a):                     Moisés Guzmán Arias_x000a_ _x000a_Le informamos que su ticket correspondiente a:_x000a_               _x000a_Por este medio me permito solicitar tu apoyo a fin de que se lleve a cabo la eliminación de una prevención que se hizo sobre un recurso, el cual está interpuesto contra un sujeto obligado que se encuentra en suspensión y por error lo previnieron._x000a__x000a_El recurso es: RR-0200/2020 y el estado debe ser regresado a “Recibe entrada”._x000a_ _x000a_Aplicación:                  SIGEMI_x000a_Tipo de Soporte:         REGRESO DE PASOS  _x000a_Observaciones:            _x000a_ _x000a_Su petición fue atendida_x000a_ _x000a_" u="1"/>
        <s v="Notificación de seguimiento  [  MA0707202106 ]_x000a__x000a_Estimado(a):                Joel Ibáñez Delgado_x000a__x000a_ _x000a_ Le informamos que su ticket correspondiente a:_x000a_               _x000a_cambiar las fechas de término del proceso de unos folios en el sistema Infomex._x000a_ _x000a_ _x000a_Los números de folio son:_x000a_ _x000a_ _x000a_Folio Nueva Fecha de caducidad del paso_x000a_00294921 29/07/2021_x000a_00295021  29/07/2021_x000a_00307421 03/08/2021_x000a__x000a_ _x000a_Aplicación:                  INFOMEX COLIMA_x000a_Tipo de Soporte:          AJUSTE DE PLAZOS   _x000a_Observaciones:            _x000a_ _x000a_Su petición fue atendida_x000a_ _x000a_" u="1"/>
        <s v="Notificación de seguimiento  [  MA2611202006 ]  _x000a_ _x000a_ _x000a_Estimado(a):                     Rosalinda Coria Mosqueda_x000a_ _x000a_ _x000a_Le informamos que su ticket correspondiente a:_x000a_               _x000a_Solicito su valioso apoyo para regresar a la actividad de (Preparación del proyecto de resolución) el recurso RRA 10115/20, toda vez que se bajó de la votación del Pleno de la Sesión del 24 de noviembre 2020._x000a_ _x000a_Aplicación:                  SIGEMI_x000a_Tipo de Soporte:         REGRESO DE PASOS    _x000a_Observaciones:            _x000a_ _x000a_Su petición fue atendida_x000a_ _x000a_" u="1"/>
        <s v="Se genero certificado para indirerectos  SO SER" u="1"/>
        <s v="Se aplica testado de datos al folio:  0000400313020" u="1"/>
        <s v="Se sustituye el archivo adjunto de la solicitud con folio 0610100141821" u="1"/>
        <s v="Funcionalidad para seleccion multiple en el detalle de los documentos pendientes por firmar multilateral_x000a_Desarrollo de modulo Visor de seguimiento de Bloque de documentos_x000a_Desarrollo de modulo Detalle de documentos firmados y/o cancelados_x000a_Desarrollo de modulo Detalle de seguimiento de firmantes_x000a_Corrección de los servicios de detalle y modal_x000a_Corrección del alineamiento de los botones" u="1"/>
        <s v="Se aplica sustitución de archivo al folio: 0064103667719" u="1"/>
        <s v="Se aplica el cambio de modalidad para el folio: 1111200005820." u="1"/>
        <s v="Se  testan los datos del folio: 0000700105621 " u="1"/>
        <s v="Se elmina la respuesta del folio:  0001200516920" u="1"/>
        <s v="Notificación de seguimiento  [  MA1002202003 ]  _x000a_ _x000a_ _x000a_Estimado(a):                     Lizbeth Adriana Cabrera Ortega_x000a_ _x000a_Le informamos que su ticket correspondiente a:_x000a_               _x000a_Solicito de su valioso apoyo_x000a__x000a_Debe decir 7 febrero_x000a_" u="1"/>
        <s v="Se agrega opcion de seleccionar año al buscador" u="1"/>
        <s v="Se sustituye archivo adjunto  del folio: 0064100406421" u="1"/>
        <s v="Se cambia el tipo de solicitud del folio: 0933800010121" u="1"/>
        <s v="Actualizacion sitio Resoluciones " u="1"/>
        <s v="Implementación de la funcionalidad para exportar solicitudes a Excel." u="1"/>
        <s v="Notificación de seguimiento  [  MA2705202001 ]  _x000a_ _x000a_ _x000a_Estimado(a):                     Laura Mónica Segovia Tellez_x000a_ _x000a_Le informamos que su ticket correspondiente a:_x000a_               _x000a_sea cambiado el correo electrónico del particular del RRA 03087/20, el cual pidió ese correo miriamreyes21@live.com.mx_x000a_ _x000a_Aplicación:                  SIGEMI_x000a_Tipo de Soporte:         CAMBIO DE MEDIO   _x000a_Observaciones:            _x000a_ _x000a_Su petición fue atendida_x000a__x000a_" u="1"/>
        <s v="Notificación de seguimiento  [  MA2705202008 ]  _x000a_ _x000a_ _x000a_Estimado(a):                     Alfredo Iván Moreno Pérez_x000a_ _x000a_Le informamos que su ticket correspondiente a:_x000a_               _x000a_Solicitando su apoyo, en virtud de que hace unos momentos se notificó la resolución del expediente RRD 0376/20, mismo que su sentido es de modifica con una instrucción de cumplimiento de 20 días; sin embargo, por un error la misma al momento de darla de alta le fue colocado &quot;sin instrucción&quot;, por ende al momento de notificarla se fue sin periodo de cumplimiento, solicitándoles de la manera más atenta se le pueda colocar la instrucción de 20 días para cumplimiento._x000a_ _x000a_Aplicación:                  SIGEMI_x000a_Tipo de Soporte:         REGRESO DE PASOS  _x000a_Observaciones:            _x000a_ _x000a_Su petición fue atendida_x000a_" u="1"/>
        <s v="Crear certificado para usuario del Sujeto Obligado Fideicomiso Público de Administración y Pago ASEA" u="1"/>
        <s v="Búsqueda en la pantalla (modal) para mostrar el resumen de la información de la resolución. " u="1"/>
        <s v="Despliegue de la sección Permite canalización en las respuestas con la sección configurada." u="1"/>
        <s v="Configuración de docker" u="1"/>
        <s v="Notificación de seguimiento  [  MA2603202104 ]  _x000a_ _x000a_ _x000a_Estimado(a):             Alondra Jiménez Hernández        _x000a_  _x000a_Le informamos que su ticket correspondiente a:_x000a_               _x000a_Debido al cambio de Titular de la Unidad de Transparencia de Exportadora de Sal, S.A. de C.V. (ESSA) anexo los registros actualizados de los certificados para que sean actualizados y se habilite su acceso en la Herramienta de Comunicación de cada uno. _x000a_ _x000a_Aplicación:                  HCOM_x000a_Tipo de Soporte:         CAMBIO TUT   (2)_x000a_Observaciones:            _x000a_ _x000a_Su petición fue atendida_x000a_ _x000a_" u="1"/>
        <s v="Implementación componente loading y loading routes " u="1"/>
        <s v="Realizar modul de institución de pertenencia" u="1"/>
        <s v="Buenas tardes Martha, tu petición fue atendida, favor de validar _x000a__x000a_Saludos _x000a__x000a_Marina Adame Velasco_x000a__x000a_Notificación de seguimiento  [  MA0109202003 ]  _x000a__x000a_Aplicación:                  INFOMEX NUEVO LEÓN_x000a_Tipo de Soporte:         AJUSTE DE PLAZO    _x000a_Estatus:                               Concluido._x000a_" u="1"/>
        <s v="Buenas tardes Martha, tu petición fue atendida, favor de validar _x000a__x000a_Saludos _x000a__x000a_Marina Adame Velasco_x000a__x000a_Notificación de seguimiento  [  MA0505202007 ]  _x000a__x000a_Aplicación:                  INFOMEX NUEVO LEÓN_x000a_Tipo de Soporte:         AJUSTE DE PLAZOS   _x000a_Estatus:                               Concluido._x000a_" u="1"/>
        <s v="Buenas tardes Martha, tu petición fue atendida, favor de validar _x000a__x000a_Saludos _x000a__x000a_Marina Adame Velasco_x000a__x000a_Notificación de seguimiento  [  MA0605202003 ]  _x000a__x000a_Aplicación:                  INFOMEX NUEVO LEÓN_x000a_Tipo de Soporte:         AJUSTE DE PLAZOS   _x000a_Estatus:                               Concluido._x000a_" u="1"/>
        <s v="Buenas tardes Martha, tu petición fue atendida, favor de validar _x000a__x000a_Saludos _x000a__x000a_Marina Adame Velasco_x000a__x000a_Notificación de seguimiento  [  MA1006202002 ]  _x000a__x000a_Aplicación:                  INFOMEX NUEVO LEÓN_x000a_Tipo de Soporte:         AJUSTE DE PLAZOS   _x000a_Estatus:                               Concluido._x000a_" u="1"/>
        <s v="Buenas tardes Martha, tu petición fue atendida, favor de validar _x000a__x000a_Saludos _x000a__x000a_Marina Adame Velasco_x000a__x000a_Notificación de seguimiento  [  MA1105202001 ]  _x000a__x000a_Aplicación:                  INFOMEX NUEVO LEÓN_x000a_Tipo de Soporte:         AJUSTE DE PLAZOS   _x000a_Estatus:                               Concluido._x000a_" u="1"/>
        <s v="Buenas tardes Martha, tu petición fue atendida, favor de validar _x000a__x000a_Saludos _x000a__x000a_Marina Adame Velasco_x000a__x000a_Notificación de seguimiento  [  MA1205202002 ]  _x000a__x000a_Aplicación:                  INFOMEX NUEVO LEÓN_x000a_Tipo de Soporte:         AJUSTE DE PLAZOS   _x000a_Estatus:                               Concluido._x000a_" u="1"/>
        <s v="Buenas tardes Martha, tu petición fue atendida, favor de validar _x000a__x000a_Saludos _x000a__x000a_Marina Adame Velasco_x000a__x000a_Notificación de seguimiento  [  MA1205202008 ]  _x000a__x000a_Aplicación:                  INFOMEX NUEVO LEÓN_x000a_Tipo de Soporte:         AJUSTE DE PLAZOS   _x000a_Estatus:                               Concluido._x000a_" u="1"/>
        <s v="Buenas tardes Martha, tu petición fue atendida, favor de validar _x000a__x000a_Saludos _x000a__x000a_Marina Adame Velasco_x000a__x000a_Notificación de seguimiento  [  MA2505202011 ]  _x000a__x000a_Aplicación:                  INFOMEX NUEVO LEÓN_x000a_Tipo de Soporte:         AJUSTE DE PLAZOS   _x000a_Estatus:                               Concluido._x000a_" u="1"/>
        <s v="Buenas tardes Martha, tu petición fue atendida, favor de validar _x000a__x000a_Saludos _x000a__x000a_Marina Adame Velasco_x000a__x000a_Notificación de seguimiento  [  MA2904202005 ]  _x000a__x000a_Aplicación:                  INFOMEX NUEVO LEÓN_x000a_Tipo de Soporte:         AJUSTE DE PLAZOS   _x000a_Estatus:                               Concluido._x000a_" u="1"/>
        <s v="Buenas tardes Martha, tu petición fue atendida, favor de validar _x000a__x000a_Saludos _x000a__x000a_Marina Adame Velasco_x000a__x000a_Notificación de seguimiento  [  MA2904202006 ]  _x000a__x000a_Aplicación:                  INFOMEX NUEVO LEÓN_x000a_Tipo de Soporte:         AJUSTE DE PLAZOS   _x000a_Estatus:                               Concluido._x000a_" u="1"/>
        <s v="Notificación de seguimiento  [  MA1709202001 ]  _x000a_ _x000a_ _x000a_Estimado(a):                     Lizbeth Adriana Cabrera Ortega_x000a_ _x000a_Le informamos que su ticket correspondiente a:_x000a_               _x000a_Pido de tu amable apoyo a fin de atender la petición formulada por la ponencia y modificar la fecha de interposición del recurso indicado del asunto._x000a_ _x000a_DEBE DECIR 7 DE SEPTIEMBRE._x000a_ _x000a_Asimismo te remito el acuerdo con el cambio de fecha para que sea incorporado en el expediente electrónico._x000a__x000a_ _x000a_Aplicación:                  SIGEMI_x000a_Tipo de Soporte:         Cambio de fecha de interposición  _x000a_Observaciones:            _x000a_ _x000a_Su petición fue atendida_x000a_ _x000a_" u="1"/>
        <s v="Notificación de seguimiento  [  MA2909202002 ]  _x000a_ _x000a_ _x000a_Estimado(a):                     Rosalinda Coria Mosqueda_x000a_ _x000a_Le informamos que su ticket correspondiente a:_x000a_               _x000a__x000a_Agradeceré su apoyo para regresar el recurso RRD 0257/20 a la actividad de preparación de proyecto, con la activación de la función 8 (envío de requerimiento de información), toda vez que se trata de un returno asignado a la Comisionada Blanca Lilia Ibarra y se necesita enviar un Requerimiento de información._x000a__x000a__x000a_ Aplicación:                  SIGEMI_x000a_Tipo de Soporte:         REGRESO DE PASOS  _x000a_Observaciones:            _x000a_ _x000a_Su petición fue atendida_x000a_ _x000a_" u="1"/>
        <s v="Se empieza el desarrollo del modulo de Administracion" u="1"/>
        <s v="Notificación de seguimiento  [  MA1808202001 ]  _x000a_ _x000a_ _x000a_Estimado(a):                     Luis Pedro González Solís_x000a_ _x000a_Le informamos que su ticket correspondiente a:_x000a_               _x000a_A través del presente solicito su valioso apoyo para la cancelación en la Herramienta de Comunicación del folio IFAI-REQ-001043-2020, notificado a la Comisión Federal de Electricidad el día 17 de Agosto de 2020 a las 09:00 hrs._x000a__x000a_Se anexa al presente el respectivo acuse de notificación._x000a__x000a_ _x000a_Aplicación:                  HCOM_x000a_Tipo de Soporte:         ELIMINACIÓN DE REQUERIMIENTO  _x000a_Observaciones:            _x000a_ _x000a_Su petición fue atendida_x000a_ _x000a__x000a_" u="1"/>
        <s v="Notificación de seguimiento  [  MA1404202123 ]  _x000a_ _x000a_ _x000a_Estimado(a):                     Pedro Esquivel Martínez_x000a_ _x000a_ _x000a_Le informamos que su ticket correspondiente a:_x000a_               _x000a_realizar la actualización del titular del sujeto obligado &quot;Redes Sociales Progresistas&quot; en la Herramienta de comunicación, se adjunta cuadro descriptivo y certificado .cer_x000a__x000a_ _x000a_Clave Presupuestal    Sujeto Obligado Titular de la unidad de transparencia    CERTIFICADO A GENERAR    Contraseña    Correo_x000a_22400  _x000a_Redes Sociales Progresistas Livia Lizbeth Guerrero Maldonado 22400.Livia Lizbeth Guerrero Maldonado HCOM:_x000a_HCOM22400 _x000a_ _x000a_INFOMEX_x000a_SISI22400 _x000a_  transparencia@redessocialesprogresistas.org_x000a__x000a_ _x000a_ _x000a_Aplicación:                  HCOM_x000a_Tipo de Soporte:         CAMBIO TUT   _x000a_Observaciones:            _x000a_ _x000a_Su petición fue atendida_x000a_" u="1"/>
        <s v="_x000a_Notificación de seguimiento  [  MA2605202005 ]  _x000a_ _x000a_ _x000a_Estimado(a):                     Rosalinda Coria Mosqueda_x000a_ _x000a_Le informamos que su ticket correspondiente a:_x000a_               _x000a_cambiar el medio de comunicación en el recurso RRA 04375/20, de PNT a correo electrónico: ppjuarez53@hotmail.com_x000a__x000a_ _x000a_Aplicación:                  SIGEMI_x000a_Tipo de Soporte:         CAMBIO DE MEDIO _x000a_Observaciones:            _x000a_ _x000a_Su petición fue atendida_x000a_" u="1"/>
        <s v="Integración de Service Builder Token (Sql)" u="1"/>
        <s v="Se agrega aviso en el módulo de solicitantes." u="1"/>
        <s v="Notificación de seguimiento [ MA2901202009 ] _x000a_  _x000a_  _x000a_ Estimado(a): Cassandra Ávalos Vázquez_x000a_  _x000a_ Le informamos que su ticket correspondiente a:_x000a_  _x000a_ Por este medio solicito su amable apoyo, a efecto de que en la Plataforma Nacional de Transparencia, por lo que hace al recurso de revisión RRA 00896/20 vs UNAM se pueda modificar el “medio para recibir todo tipo de notificaciones” ya que en el mismo se señala que “correo electrónico” como medio de notificación, sin embargo, el mismo no pudo ser entregado por un problema imputable al destinatario. Así, con la finalidad de poder confirmar la notificación de la admisión a la particular y, eventualmente, poder liberar el recurso para notificar su respectiva resolución requiero se haga el siguiente cambio: _x000a_ _x000a_ Ø Se deje de señalar como medio para recibir notificaciones el correo electrónico y se señale “domicilio físico”, ya que la notificación de admisión se realizará por dicho medio. _x000a_ _x000a_ _x000a_  _x000a_ Aplicación: SIGEMI_x000a_ Tipo de Soporte: CAMBIO DE MEDIO" u="1"/>
        <s v="Se retoma la tarea para la automatización del proceso de generación de registros Inserts del Excel (SISAI_catalogos_TareaXEdos.xlsx) Validación del contenido proporcionado en el EXCEL vs Lo contenido en la Base de Datos._x000a_Validación de la generación de scripts para la inserción de datos en las tablas de trabajo. (Se realiza la carga de información de 1ra vez y se detectó un error con la el id_tareaestatus de la tabla sisai_tw_tarea_estatus. Se consulta del caso con Samuel y Horacio.)" u="1"/>
        <s v="Notificación de seguimiento  [  MA2305202202 ]_x000a__x000a_Estimado(a):                Edgar Michel Loaeza Martínez_x000a__x000a_ _x000a_ Le informamos que su ticket correspondiente a:_x000a__x000a__x000a_Por medio del presente solicito su valioso apoyo a efecto de realizar el cambio de Titular de la Unidad de Transparencia de la Comisión Federal para la Protección contra Riesgos Sanitarios._x000a__x000a_Para tal efecto, anexo al presente el certificado correspondiente, nombramiento, y archivo Excel, lo anterior, a fin de que sus accesos sean habilitados en los sistemas que administra este Instituto (HCOM).  _x000a__x000a_ _x000a_Aplicación:                  HCOM_x000a_Tipo de Soporte:         CAMBIO TUT      _x000a_Observaciones:            _x000a_ _x000a_Su petición fue atendida_x000a_ _x000a_" u="1"/>
        <s v="Buenas tardes Moisés, tu petición fue atendida, favor de validar _x000a__x000a_Saludos _x000a__x000a_Marina Adame Velasco_x000a__x000a_Notificación de seguimiento  [  MA2602202012 ]  _x000a__x000a_Aplicación:                  INFOMEX PUEBLA _x000a_Tipo de Soporte:         Corrección de nombre de archivo adjunto   _x000a_Estatus:                               Concluido._x000a__x000a_" u="1"/>
        <s v="Notificación de seguimiento  [  MA2906202009 ]  _x000a_ _x000a_ _x000a_Estimado(a):                     Omar Antonio Méndez Mendoza_x000a_ _x000a_Le informamos que su ticket correspondiente a:_x000a_               _x000a_Derivado del término de vigencia de los certificados para el acceso de HCOM de la Suprema Corte de Justicia de la Nación y de los fondos y fideicomisos a su cargo, me permito solicitar su valioso apoyo a efecto de que se habiliten los certificados renovados_x000a_ _x000a_Aplicación:                  HCOM_x000a_Tipo de Soporte:         CAMBIO DE CERTIFICADO ( 7 )  _x000a_Observaciones:            _x000a_ _x000a_Su petición fue atendida_x000a_ _x000a_" u="1"/>
        <s v="Se cambia el tipo de solicitud del folio: 0933800010321" u="1"/>
        <s v="Se testan los datos de la solicitud con folio 0064101374221" u="1"/>
        <s v="Buenas tardes Miguel, Alexandro, les adjunto la consulta solicitada, favor de validar _x000a__x000a_Saludos _x000a__x000a_Marina Adame Velasco_x000a__x000a_Notificación de seguimiento  [  MA0206202011 ]  _x000a__x000a_Aplicación:                  INFOMEX CHIHUAHUA_x000a_Tipo de Soporte:         Script   _x000a_Estatus:                               Concluido._x000a_" u="1"/>
        <s v="Se cambia el tipo de solicitud del folio: 1215101104420" u="1"/>
        <s v="Se aplica cambio de modalidad de la solicitud: 0001100450420" u="1"/>
        <s v="Evolución e implementación del componente reutilizable Row-expanse" u="1"/>
        <s v="Validaciones para fechas de las evaluaciones del lado del admin, instructor y usuario" u="1"/>
        <s v="Analisis y funcionalidad sector Inst de Procedencia " u="1"/>
        <s v="Implementación de componente de turnado de solicitud" u="1"/>
        <s v="Se  testan los datos del folio: 0064101359121" u="1"/>
        <s v="Notificación de seguimiento  [  MA0203202004 ]  _x000a_ _x000a_ _x000a_Estimado(a):                     Pedro Esquivel Martínez_x000a_ _x000a_Le informamos que su ticket correspondiente a:_x000a_               _x000a_Anexo el registro actualizado del certificado del Titular de la Unidad de Enlace del  “SECRETARÍA EJECUTIVA DEL SISTEMA NACIONAL ANTICORRUPCIÓN” Lo Anterior a fin de que sus accesos sean habilitados en los otros sistemas que administra este Instituto (HCOM).  CAMBIO DE CERTIFICADO, en cuanto se reciba la atención en HCOM se realizará la actualización de los demás sistemas correspondientes._x000a__x000a__x000a_ _x000a_Aplicación:                  HCOM_x000a_Tipo de Soporte:         CAMBIO DE CERTIFICADO   _x000a_Observaciones:            _x000a_ _x000a_Su petición fue atendida_x000a_ _x000a_" u="1"/>
        <s v="Servicio para LOGIN POR REDES SOCIALES(Facebook)" u="1"/>
        <s v="Modificación de fechas de interposición" u="1"/>
        <s v="_x000a_Notificación de seguimiento  [  MA1303202007 ]  _x000a_ _x000a_ _x000a_Estimado(a):                     Pedro Esquivel Martínez_x000a_ _x000a_Le informamos que su ticket correspondiente a:_x000a_               _x000a_Por este medio solicito solo el cambio de contraseña que se describe a continuación; para el sujeto Obligado  “Fondo de la Financiera Rural”_x000a_ _x000a_ _x000a_SISTEMA CONTRASEÑA LIGA_x000a_Herramienta de Comunicación (HCOM) Hcom954292 http://herrcom.ifai.org.mx_x000a__x000a_ _x000a_ _x000a_Aplicación:                  HCOM   _x000a_Tipo de Soporte:         CAMBIO DE CONTRASEÑA   _x000a_" u="1"/>
        <s v="Se realizaron ajustes en las secciones de acciones realizacadas, capacitación y buzón" u="1"/>
        <s v="Se sustituye archivo adjunto del folio: 0110000010720." u="1"/>
        <s v="Se aplica eliminación de última respuesta: 0000600031420" u="1"/>
        <s v="GENERA CERTIFICADO DE SO Fondo de ahorro capitalizable para los trabajadores operativos del INACIPE " u="1"/>
        <s v="Se aplica testado de datos al folio: 0000700107320." u="1"/>
        <s v="Buenas tardes Moisés, tu petición fue atendida, favor de validar _x000a__x000a_Saludos _x000a__x000a_Marina Adame Velasco_x000a__x000a_Notificación de seguimiento  [  MA1109202006 ]  _x000a__x000a_Aplicación:                  INFOMEX PUEBLA _x000a_Tipo de Soporte:         Ajuste de fechas   _x000a_Estatus:                               Concluido._x000a_" u="1"/>
        <s v="Buenas tardes Moisés, tu petición fue atendida, favor de validar _x000a__x000a_Saludos _x000a__x000a_Marina Adame Velasco_x000a__x000a_Notificación de seguimiento  [  MA2209202007 ]  _x000a__x000a_Aplicación:                  INFOMEX PUEBLA _x000a_Tipo de Soporte:         Ajuste de fechas   _x000a_Estatus:                               Concluido._x000a_" u="1"/>
        <s v="Buenas tardes Moisés, tu petición fue atendida, favor de validar _x000a__x000a_Saludos _x000a__x000a_Marina Adame Velasco_x000a__x000a_Notificación de seguimiento  [  MA2508202008 ]  _x000a__x000a_Aplicación:                  INFOMEX PUEBLA _x000a_Tipo de Soporte:         AJUSTE DE FECHAS   _x000a_Estatus:                               Concluido._x000a_" u="1"/>
        <s v="Se cambia el tipo de solicitud del folio: 0933800010521" u="1"/>
        <s v="Notificación de seguimiento  [  MA2707202011 ]  _x000a_ _x000a_ _x000a_Estimado(a):                     Juan Carlos Hernández Rivas_x000a_ _x000a_Le informamos que su ticket correspondiente a:_x000a_               _x000a_REGRESO DE PASO A &quot;Registro de la Resolución Firmada&quot;_x000a__x000a_ _x000a_Aplicación:                  SIGEMI_x000a_Tipo de Soporte:         REGRESO DE PASOS  _x000a_" u="1"/>
        <s v="_x000a_Buenas tardes Moisés, tu petición fue atendida, te comento que la información también la entregare en un concentrado de los infomex alojados en el INAI,favor de validar _x000a__x000a_Saludos _x000a__x000a_Marina Adame Velasco_x000a__x000a_Notificación de seguimiento  [  MA0510202002 ]  _x000a__x000a_Aplicación:                  INFOMEX PUEBLA _x000a_Tipo de Soporte:         Consulta de datos    _x000a_Estatus:                               Concluido._x000a_" u="1"/>
        <s v="Validación de información disponible dentro de la base de SISAI" u="1"/>
        <s v="Buscadores Tematicos (Busquda General) " u="1"/>
        <s v="_x000a_Notificación de seguimiento  [  MA1607202005 ]  _x000a_ _x000a_ _x000a_Estimado(a):                     Tiara Gethsemanni Miranda Fuentes_x000a_ _x000a_Le informamos que su ticket correspondiente a:_x000a_               _x000a_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_x000a_ _x000a_RRA 05730/20_x000a__x000a_ _x000a_Aplicación:                  SIGEMI_x000a_Tipo de Soporte:         REGRESO DE PASOS  _x000a_Observaciones:            _x000a_ _x000a_Su petición fue atendida_x000a_" u="1"/>
        <s v="Buenas tardes Berenice, tu solicitud fue atendida, favor de validar_x000a__x000a_ _x000a_Saludos_x000a_ _x000a_Marina Adame Velasco_x000a__x000a_ _x000a_ _x000a__x000a_ _x000a_Notificación de seguimiento  [  MA2910202006 ]_x000a__x000a_ _x000a_  _x000a_ _x000a_SISTEMA [  INFOMEX OAXACA ]_x000a_" u="1"/>
        <s v="Notificación de seguimiento  [  MA0605202106 ]  _x000a_ _x000a_ _x000a_Estimado(a):                     Pedro Esquivel Martínez_x000a_ _x000a_ _x000a_Le informamos que su ticket correspondiente a:_x000a_               _x000a_por este medio Anexo el registro actualizado del certificado del Titular de la Unidad de Enlace de “Procuraduría de la Defensa del Contribuyente”.  Lo Anterior a fin de que sus accesos sean habilitados en los otros sistemas que administra este Instituto (HCOM).  CAMBIO DE  TITULAR, en cuanto se reciba la atención en HCOM se realizará la actualización de los demás sistemas correspondientes._x000a_ _x000a_Aplicación:                  HCOM_x000a_Tipo de Soporte:         CAMBIO TUT   _x000a_Observaciones:            _x000a_ _x000a_Su petición fue atendida_x000a_ _x000a_  _x000a_            Favor de validar._x000a_ _x000a_Estatus:                               Concluido._x000a__x000a_" u="1"/>
        <s v="Notificación de seguimiento  [  MA2604202101 ]  _x000a_ _x000a_ _x000a_Estimado(a):                     ADMINISTRADOR INFOMEX OAXACA_x000a_  _x000a_Le informamos que su ticket correspondiente a:_x000a_               _x000a_RESPALDO SEMANAL DE LA BASE DE DATOS INFOMEX_x000a_ _x000a_Aplicación:                  INFOMEX OAXACA_x000a_Tipo de Soporte:         RESPALDO   _x000a_Observaciones:            _x000a_ _x000a_Su petición fue atendida, se subió el respaldo de su base de datos de esta semana…_x000a__x000a__x000a_http://documentos.inai.org.mx/tmp/infomexOAX_backup_2021-04-26_0800.bak_x000a__x000a__x000a_NOTA: El respaldo estará disponible una semana  _x000a_" u="1"/>
        <s v="Configuración del ambiente de desarrollo para los servicios" u="1"/>
        <s v="se aplica eliminación de última respuesta: 0610100015720." u="1"/>
        <s v="se repara un bug en los botones de busqueda te todos los catalogos y se realizan cambios de estilos" u="1"/>
        <s v="Se aplica testado de datos al folio:  0064100564321" u="1"/>
        <s v="Se testan los datos de la solicitud con folio: 0064101405721" u="1"/>
        <s v="Notificación de seguimiento  [  MA2907202006 ]  _x000a_ _x000a_ _x000a_Estimado(a):                     Edgar Michel Loaeza Martínez_x000a_ _x000a_Le informamos que su ticket correspondiente a:_x000a_               _x000a_Adjunto los certificados de la segunda etapa de la SHCP._x000a__x000a_ _x000a_Aplicación:                  HCOM   _x000a_Tipo de Soporte:         Actualización de certificados   (5)_x000a_" u="1"/>
        <s v="Notificación de seguimiento  [  MA0112202101 ]_x000a__x000a_Estimado(a):                Pedro Esquivel Martínez_x000a__x000a_ _x000a_ Le informamos que su ticket correspondiente a:_x000a_               _x000a_asignar el certificado en la Herramienta de comunicación HCOM, de acuerdo al siguiente cuadro descriptivo:_x000a__x000a_Clave Presupuestal Fideicomiso Siglas Actual Titular CERTIFICADO A GENERAR Contraseña_x000a_HCOM Contraseña_x000a_INFOMEX _x000a_22330 Partido Acción Nacional PAN Vania Moctezuma Hernández 22330.Vania.Moctezuma.Hernandez HCOM22330 SISI22330 _x000a__x000a_ _x000a_Aplicación:                  HCOM_x000a_Tipo de Soporte:         CAMBIO DE CERTIFICADO  _x000a_Observaciones:            _x000a_ _x000a_Su petición fue atendida_x000a_ _x000a_" u="1"/>
        <s v="Notificación de seguimiento  [  MA3007202001 ]  _x000a_ _x000a_ _x000a_Estimado(a):                     Tiara Gethsemanni Miranda Fuentes_x000a_ _x000a_Le informamos que su ticket correspondiente a:_x000a_               _x000a__x000a_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_x000a_ _x000a_RRA 06496/20_x000a_ _x000a__x000a_ _x000a_Aplicación:                  SIGEMI_x000a_Tipo de Soporte:         REGRESO DE PASOS  _x000a_Observaciones:            _x000a_ _x000a_Su petición fue atendida_x000a_ _x000a_" u="1"/>
        <s v="Se  testan los datos del folio: 1816400146721 " u="1"/>
        <s v="Notificación de seguimiento  [  MA0712202102 ]_x000a__x000a_Estimado(a):                Pedro Esquivel Martínez_x000a__x000a_ _x000a_ Le informamos que su ticket correspondiente a:_x000a_               _x000a_actualización correspondiente en la herramienta de comunicación HCOM; adjunto cuadro descriptivo._x000a__x000a__x000a__x000a_Clave Presupuestal Fideicomiso Siglas Actual Titular CERTIFICADO A GENERAR Contraseña_x000a_HCOM Contraseña_x000a_HCOM _x000a_11291 Fideicomiso de investigación científica y desarrollo tecnológico No. 1750-2 INAOEP F1 Miguel Ángel Barrera Márquez 11291.Miguel.Ángel.Barrera.Márquez HCOM1pNt7 SISI1pNt7 _x000a__x000a_ _x000a_Aplicación:                  HCOM_x000a_Tipo de Soporte:         ACTUALIZACIÓN DE CERTIFICADO   _x000a_Observaciones:            _x000a_ _x000a_Su petición fue atendida_x000a_ _x000a_" u="1"/>
        <s v="Notificación de seguimiento  [  MA1702202201 ]_x000a__x000a_Estimado(a):                Edgar Michel Loaeza Martínez_x000a__x000a_ _x000a_ Le informamos que su ticket correspondiente a:_x000a_               _x000a_Por medio del presente solicito su valioso apoyo a efecto de realizar el cambio de Titular de la Unidad de Transparencia de la Comisión Nacional para la Protección Contra Riesgos Sanitarios._x000a_ _x000a_Para tal efecto, anexo al presente el certificado, nombramiento y cédula de registro, lo anterior, a fin de que sus accesos sean habilitados en los sistemas que administra este Instituto (INFOMEX y HCOM).  _x000a_Aplicación:                  HCOM_x000a_Tipo de Soporte:         CAMBIO DE TUT  _x000a_Observaciones:            _x000a_ _x000a_Su petición fue atendida_x000a_ _x000a_" u="1"/>
        <s v="Notificación de seguimiento  [  MA2311202101 ]_x000a__x000a_Estimado(a):                Pedro Esquivel Martínez_x000a__x000a_ _x000a_ Le informamos que su ticket correspondiente a:_x000a_               _x000a_por este medio Anexo el registro actualizado del certificado del Titular de la Unidad de Enlace de la “Hospital General de México Dr. Eduardo Liceaga”.  Lo Anterior a fin de que sus accesos sean habilitados en los otros sistemas que administra este Instituto (HCOM).  CAMBIO DE  TITULAR, en cuanto se reciba la atención en HCOM se realizará la actualización de los demás sistemas correspondientes._x000a_ _x000a_Aplicación:                  HCOM_x000a_Tipo de Soporte:         CAMBIO DE TITULAR   _x000a_Observaciones:            _x000a_ _x000a_Su petición fue atendida_x000a_ _x000a_" u="1"/>
        <s v="Se cambia el tipo de solicitud del folio: 0933800010721" u="1"/>
        <s v="Implementación de ambiente de trabajo de Porlets (SISAI)" u="1"/>
        <s v="Manual general de usuario" u="1"/>
        <s v="Se empieza el desarrollo del primer modulo de Tipos de expediente" u="1"/>
        <s v="Se  testan los datos del folio: 0064102306621" u="1"/>
        <s v="Se  testan los datos del folio: 3670000024921" u="1"/>
        <s v="Configuración columna FC y Homoclave oculta" u="1"/>
        <s v="Reunion Avance actividades Pizarras 4 para mostrar los servicios web pizarras" u="1"/>
        <s v="Se sustituye archivo adjunto  del folio:  0001500140320" u="1"/>
        <s v="Identificacion del campo del tipo lista despegable Dependencia o entidad " u="1"/>
        <s v="Se modifica la implementacion al mostrar PDF adjunto, para disminuir tiempos espera" u="1"/>
        <s v="Transparencia Judicial y Legislativa:casos paradigmaticos del poder judicial de la federacion en materia de acceso a la informacion y proteccion de dato. " u="1"/>
        <s v="Buenas tardes Joel, tu petición fue atendida, favor de validar _x000a__x000a_Saludos _x000a__x000a_Marina Adame Velasco_x000a__x000a_Notificación de seguimiento  [  MA3003202005 ]  _x000a__x000a_Aplicación:                  INFOMEX COLIMA_x000a_Tipo de Soporte:         Corrección de plazos   _x000a_Estatus:                               Concluido._x000a__x000a_" u="1"/>
        <s v="Buenas tardes Joel, tu petición fue atendida, favor de validar _x000a__x000a_Saludos _x000a__x000a_Marina Adame Velasco_x000a__x000a_Notificación de seguimiento  [  MA3103202002 ]  _x000a__x000a_Aplicación:                  INFOMEX COLIMA_x000a_Tipo de Soporte:         Corrección de plazos   _x000a_Estatus:                               Concluido._x000a__x000a_" u="1"/>
        <s v="Notificación de seguimiento  [  MA0810202003 ]  _x000a_ _x000a_ _x000a_Estimado(a):                     Laura Mónica Segovia Tellez_x000a_ _x000a_Le informamos que su ticket correspondiente a:_x000a_               _x000a__x000a_Derivado de la solicitud del particular solicito su amable apoyo a fin de que sea cambiado el medio de notificación al correo electrónico siguiente  solicitudesceaip@gmail.com del recurso RRD 01266/20_x000a__x000a_ _x000a_Aplicación:                  SIGEMI_x000a_Tipo de Soporte:         CAMBIO DE MEDIO _x000a_Observaciones:            _x000a_ _x000a_Su petición fue atendida_x000a__x000a_" u="1"/>
        <s v="Notificación de seguimiento  [  MA1412202003 ]  _x000a_  _x000a_Estimado(a):                     Berenice Hernández Sumano_x000a_  _x000a_Le informamos que su ticket correspondiente a:_x000a_               _x000a_solicito la afectación en base de datos de la fecha de caducidad de las solicitudes, toda vez que el Consejo General del IAIPO aprobó TÉRMINO DE SUSPENSIÓN DE PLAZOS DE LOS PROCEDIMIENTOS CUYO CONTENIDO ESTÉ RELACIONADO A LOS TEMAS COVID-19 (01/05/2020), SISMO DEL 23 DE JUNIO Y PROGRAMAS SOCIALES DERIVADOS DE LA EMERGENCIA SANITARIA (30/06/2020), PROCEDIMIENTOS DE ADJUDICACIÓN DIRECTA, INVITACIÓN RESTRINGIDA Y LICITACIÓN DE CUALQUIER NATURALEZA (28/08/2020)._x000a_ _x000a_Aplicación:                  INFOMEX OAXACA_x000a_Tipo de Soporte:         AJUSTE DE PLAZOS    _x000a_Observaciones:            _x000a_ _x000a_Su petición fue atendida_x000a_ _x000a_" u="1"/>
        <s v="_x000a_otificación de seguimiento  [  MA2611202004 ]  _x000a_ _x000a_ _x000a_Estimado(a):                     Alma Lizbeth Peguero Rivera_x000a_ _x000a_ _x000a_Le informamos que su ticket correspondiente a:_x000a_               _x000a_Por medio de presente, solicito de la manera más atenta, su apoyo para retroceder los pasos en el sistema SIGEMI-SICOM en la PNT del siguiente asunto RRA 12911/20 RMC, hasta la actividad “Registrar información de la sesión del pleno”; sin más por el momento, quedo en espera de sus comentarios._x000a_ _x000a_Aplicación:                  SIGEMI_x000a_Tipo de Soporte:         REGRESO DE PASOS    _x000a_Observaciones:            _x000a_ _x000a_Su petición fue atendida_x000a_ _x000a_  _x000a_            Favor de validar._x000a_ _x000a_Estatus:                               Concluido._x000a__x000a_" u="1"/>
        <s v="Se cambia el tipo de solicitud del folio: 0933800010921" u="1"/>
        <s v="Notificación de seguimiento [ MA2801202008 ] _x000a_  _x000a_  _x000a_ Estimado(a): Sergio Rafael Cortés Alpizar_x000a_  _x000a_ Le informamos que su ticket correspondiente a:_x000a_  _x000a_ Buenas tardes, por medio del presente solicito su apoyo para que se cambie el medio de notificación a domicilio del particular y se incluya la dirección del domicilio del recurrente en la Plataforma Nacional de Transparencia del recurso de revisión:_x000a_  _x000a_ RRD 1947/19 vs IMSS_x000a_  _x000a_ El domicilio es: Av. Paseo del Ferrocarril, Número 95, Edificio P departamento 102, Colonia Los Reyes Ixtacala, Código Postal 54090, Tlalnepantla, Estado de México._x000a_  _x000a_ Ya que lo solicitó el recurrente en su recurso de revisión._x000a_  _x000a_ Aplicación: SIGEMI_x000a_ Tipo de Soporte: ACTUALIZACIÓN DE DATOS _x000a_ Observaciones: _x000a_  _x000a_ Su petición fue atendida_x000a_  _x000a_ _x000a_  _x000a_  Favor de validar._x000a_  _x000a_ Estatus: Concluido._x000a_ _x000a_ _x000a_  _x000a_  _x000a_ De: Sergio Rafael Cortés Alpizar" u="1"/>
        <s v="Notificación de seguimiento  [  MA2210202005 ]  _x000a_ _x000a_ _x000a_Estimado(a):                     Alondra Jiménez Hernández_x000a_ _x000a_Le informamos que su ticket correspondiente a:_x000a_               _x000a_Debido al cambio de Titular de la Unidad de Transparencia de Exportadora de Sal, S.A. de C.V. (ESSA) anexo los registros actualizados de los certificados para que sean actualizados y se habilite su acceso en la Herramienta de Comunicación de cada uno. _x000a__x000a_Me refiero a los siguientes sujetos obligados:_x000a__x000a_CLAVE DEPENDENCIA/ENTIDAD_x000a_10101 Exportadora de Sal, S.A. de C.V._x000a_10202 Fideicomiso Plan de Pensiones y Jubilaciones Essa_x000a_ _x000a_Aplicación:                  HCOM  _x000a_Tipo de Soporte:         CAMBIO DE TUT ( 2)   _x000a_Observaciones:            _x000a_ _x000a_Su petición fue atendida_x000a_ _x000a_" u="1"/>
        <s v="Notificación de seguimiento  [  MA1707202001 ]  _x000a_ _x000a_ _x000a_Estimado(a):                     Pedro González Benitez_x000a_ _x000a_Le informamos que su ticket correspondiente a:_x000a_               _x000a_Alta en el Sistema de Solicitudes de Información (SISI), la Herramienta de Comunicación (HCOM), el Sistema de Portales de Obligaciones de Transparencia (SIPOT) y el Sistema de Comunicación entre Organismos Garantes y Sujetos Obligados (SICOM), al siguiente sujeto obligado_x000a_" u="1"/>
        <s v="Notificación de seguimiento  [  MA0103202104 ]  _x000a_ _x000a_ _x000a_Estimado(a):                     FRANCISCO LIRA_x000a_  _x000a_Le informamos que su ticket correspondiente a:_x000a_               _x000a_RESPALDO SEMANAL DE LA BASE DE DATOS INFOMEX_x000a_ _x000a_Aplicación:                  INFOMEX NUEVO LEÓN_x000a_Tipo de Soporte:         RESPALDO   _x000a_Observaciones:            _x000a_ _x000a_Su petición fue atendida, se subió el respaldo de su base de datos de esta semana…_x000a_http://documentos.inai.org.mx/tmp/infomexNL_backup_2021-03-01_0800.bak_x000a__x000a_NOTA: El respaldo estará disponible una semana  _x000a_  _x000a_            Favor de validar._x000a_ _x000a_Estatus:                               Concluido._x000a__x000a_Saludos _x000a__x000a_Marina Adame_x000a_" u="1"/>
        <s v="Notificación de seguimiento  [  MA2403202106 ]  _x000a_ _x000a_ _x000a_Estimado(a):                     Martha Rubí Zaragoza Mora_x000a_ _x000a_ _x000a_Le informamos que su ticket correspondiente a:_x000a_               _x000a_El presente correo es para pedir su amable apoyo para el ajuste de términos de los folios debido al primer periodo vacacional del año 2021 que envió el sujeto obligado con su acuerdo y no se configuro el calendario antes de la llegada de los siguientes…_x000a__x000a_ _x000a_Aplicación:                  INFOMEX NUEVO LEÓN_x000a_Tipo de Soporte:         AJUSTE DE PLAZO    _x000a_" u="1"/>
        <s v="Se aplica eliminación de respuesta al folio: 0000600568919." u="1"/>
        <s v="_x000a_Notificación de seguimiento  [  MA1302202003 ]  _x000a_  _x000a_Estimado(a):                     Lizbeth Adriana Cabrera Ortega_x000a_ _x000a_Le informamos que su ticket correspondiente a:_x000a_               _x000a_Podrían apoyarme en suprimir el recurso que cargue manualmente de forma duplicada._x000a__x000a_11/02/2020 13/02/2020 10:25 AM nelson Jesús miguel obregón mejía SHCP 0000600025920 Protección de Datos Personales Manual Ver detalle_x000a__x000a__x000a_ _x000a_Aplicación:                  SIGEMI_x000a_Tipo de Soporte:         SUPRIMIR RECURSO   _x000a_Observaciones:            _x000a_ _x000a_Su petición fue atendida_x000a_" u="1"/>
        <s v="Se  testan los datos del folio: 1114100041921" u="1"/>
        <s v="Notificación de seguimiento  [  MA2101202115 ]  _x000a_ _x000a_ _x000a_Estimado(a):                     Pedro Esquivel Martínez_x000a_ _x000a_ _x000a_Le informamos que su ticket correspondiente a:_x000a_               _x000a_por este medio Anexo el registro actualizado del certificado del Titular de la Unidad de Enlace del  “Servicio Geológico Mexicano” Lo Anterior a fin de que sus accesos sean habilitados en los otros sistemas que administra este Instituto (HCOM).  CAMBIO DE  CERTIFICADO, en cuanto se reciba la atención en HCOM se realizará la actualización de los demás sistemas correspondientes._x000a_ _x000a_Aplicación:                  HCOM_x000a_Tipo de Soporte:         CAMBIO DE CERTIFICADO   _x000a_" u="1"/>
        <s v="Notificación de seguimiento  [  MA2709202201 ]_x000a__x000a_Estimado(a):                Edgar Michel Loaeza Martínez_x000a_ _x000a_ Le informamos que su ticket correspondiente a:_x000a__x000a_sustitución de certificado del Titular de la Unidad de Transparencia del Tribunal Federal de Justicia Administrativa._x000a__x000a_Clave_x0009_Sujeto obligado_x0009_Titular de la Unidad de Transparencia_x000a_32100_x0009_Tribunal Federal de Justicia administrativa_x0009_Lic. Rebeca Hernández Zamora_x000a__x000a_Para tal efecto, anexo al presente los certificados correspondientes, lo anterior, a fin de que sus accesos sean habilitados_x000a_ _x000a_Aplicación:                  HCOM_x000a_Tipo de Soporte:         CAMBIO DE TUT _x000a_Observaciones:            _x000a_ _x000a_Su petición fue atendida." u="1"/>
        <s v="_x000a_Notificación de seguimiento  [  MA2409202011 ]  _x000a_ _x000a_ _x000a_Estimado(a):                     Ludwing Salas Cisneros_x000a_ _x000a_Le informamos que su ticket correspondiente a:_x000a_               _x000a_Por este medio, solicito atentamente se pueda regresar el paso del cierre de instrucción, tanto al particular como al sujeto obligado, del recurso RRA 03426/20 en contra de la SEP, ello atendiendo a que el particular aún cuenta con término para emitir manifestaciones en el presente asunto._x000a__x000a_Agradezco de antemano la atención, y quedo al pendiente de cualquier comunicación al respecto._x000a__x000a_ _x000a_Aplicación:                  SIGEMI_x000a_Tipo de Soporte:         ELIMINAR CIERRE DE INSTRUCCIÓN  _x000a_Observaciones:            _x000a_ _x000a_Su petición fue atendida_x000a_" u="1"/>
        <s v="Notificación de seguimiento  [  MA0712202101 ]_x000a__x000a_Estimado(a):                Pedro Esquivel Martínez_x000a__x000a_ _x000a_ Le informamos que su ticket correspondiente a:_x000a_               _x000a_ por este medio Anexo el registro actualizado del certificado del Titular de la Unidad de Enlace de la “Procuraduría de la Defensa del Contribuyente”.  Lo Anterior a fin de que sus accesos sean habilitados en los otros sistemas que administra este Instituto (HCOM).  CAMBIO DE  TITULAR, en cuanto se reciba la atención en HCOM se realizará la actualización de los demás sistemas correspondientes._x000a_ _x000a_Aplicación:                  HCOM_x000a_Tipo de Soporte:         CAMBIO DE TUT   _x000a_Observaciones:            _x000a_ _x000a_Su petición fue atendida_x000a_ _x000a_" u="1"/>
        <s v="Estimada Alejandra, adjunto reporte, favor de validar_x000a__x000a_SALUDOS_x000a__x000a_MARINA _x000a__x000a__x000a_Notificación de seguimiento  [  MA2104202102 ]  _x000a_ _x000a_ _x000a_Aplicación:                  INFOMEX BCN_x000a_" u="1"/>
        <s v="Notificación de seguimiento  [  MA2402202110 ]  _x000a_  _x000a_Estimado(a):                     Pedro Esquivel Martínez_x000a_ _x000a_ Le informamos que su ticket correspondiente a:_x000a_               _x000a_Anexo el registro actualizado del certificado del Titular de la Unidad de Enlace del  “CAMINOS Y PUENTES FEDERALES DE INGRESOS Y SERVICIOS CONEXOS”. Lo anterior a fin de que sus accesos sean habilitados en los otros sistemas que administra este Instituto (HCOM).  Cambio de Titular, no omito señalar que en cuanto se reciba la atención en HCOM se realizará la actualización de los demás sistemas correspondientes._x000a_ _x000a_Aplicación:                  HCOM_x000a_Tipo de Soporte:         CAMBIO TUT   _x000a_" u="1"/>
        <s v="Se testan los datos  del folio: 0064101429121" u="1"/>
        <s v="Se  testan los datos del folio: 1117100035121" u="1"/>
        <s v="Implementación de mejoras  portlet reportes y soportes" u="1"/>
        <s v="Se  testan los datos del folio: 1117100045121" u="1"/>
        <s v="se generan los servicios de Area administrativa y los componentes de Area administrativa: formulario, modal, busqueda, vista" u="1"/>
        <s v="Se aplica testado de datos al folio: 0064100713720." u="1"/>
        <s v="Notificación de seguimiento  [  MA2511202101 ]_x000a__x000a_Estimado(a):                 Pedro Esquivel Martínez_x000a__x000a_ _x000a_ Le informamos que su ticket correspondiente a:_x000a_               _x000a_Con el gusto de saludarles y por este medio solicito tu valioso apoyo ya que debido al vencimiento de los certificados se requiere dicha actualización en la Herramienta de comunicación de acuerdo con el siguiente cuadro descriptivo:_x000a__x000a_No Clave Presupuestal Fideicomiso_x000a_  Siglas_x000a_  TITULAR DE LA U.T._x000a_  NOMBRE DEL CERTIFICADO A GENERAR Contraseña_x000a_HCOM Contraseña_x000a_INFOMEX_x000a_1 08171 Fideicomiso de administración e inversión para el establecimiento y operación de los fondos de apoyo a la investigación científica y desarrollo tecnológico del INIFAP INIFAP F1 José Humberto Corona Mercado 08171.José.Humberto.Corona.Mercado HCOM08171 SISI08171_x000a__x000a_ _x000a_Aplicación:                  HCOM_x000a_Tipo de Soporte:         Actualización de certificado  _x000a_Observaciones:            _x000a_ _x000a_Su petición fue atendida_x000a_ _x000a_" u="1"/>
        <s v="Se aplica testado de datos al folio:   0064103062520" u="1"/>
        <s v="Notificación de seguimiento  [  MA2202202101 ]  _x000a_ _x000a_ _x000a_Estimado(a):                     BERENICE HERNÁNDEZ SUMANO_x000a_  _x000a_Le informamos que su ticket correspondiente a:_x000a_               _x000a_RESPALDO SEMANAL DE LA BASE DE DATOS INFOMEX_x000a_ _x000a_Aplicación:                  INFOMEX OAXACA_x000a_Tipo de Soporte:         RESPALDO   _x000a_Observaciones:            _x000a_ _x000a_Su petición fue atendida, se subió el respaldo de su base de datos de esta semana…_x000a__x000a_http://documentos.inai.org.mx/tmp/infomexOAX_backup_2021-02-22_0800.bak_x000a_" u="1"/>
        <s v="Se cambia el tipo de solicitud del folio: 0411100019321" u="1"/>
        <s v="Buenas tardes Martha, tu petición fue atendida, favor de validar _x000a__x000a_Saludos _x000a__x000a_Marina Adame Velasco_x000a__x000a_Notificación de seguimiento  [  MA2108202004 ]  _x000a__x000a_Aplicación:                  INFOMEX BCN_x000a_Tipo de Soporte:         AJUSTE DE PLAZOS    _x000a_Estatus:                               Concluido._x000a_" u="1"/>
        <s v="Se aplica eliminación de última respuesta de la solicitud: 0001200085020." u="1"/>
        <s v="Notificación de seguimiento  [  MA1202202001 ]  _x000a_ _x000a_ _x000a_Estimado(a):                     Lizbeth Adriana Cabrera Ortega_x000a_ _x000a_Le informamos que su ticket correspondiente a:_x000a_               _x000a_generación UN EXPEDIENTE del recurso de revisión posteriormente citado._x000a_ _x000a_Asimismo, te comento que NO DEBERÁ CAMBIAR el sujeto obligado, ni el Comisionado correspondiente. _x000a_ _x000a_ DICE                                        DEBE DECIR                         SUJETO OBLIGADO           PONENTE_x000a_RRD 267/20 RRD 0299/19-BIS IMSS FJAL_x000a_ _x000a_No omito comentarte que el número de expediente que deberá seguir en el consecutivo por turnar en PNT debe ser el RRD 0267/20_x000a__x000a_ _x000a_Aplicación:                  SIGEMI_x000a_Tipo de Soporte:         CAMBIO A BIS URGENTE  _x000a_Observaciones:            _x000a_ _x000a_Su petición fue atendida_x000a_ _x000a_" u="1"/>
        <s v="Se aplica testado de datos personales: 0064100336620." u="1"/>
        <s v="Se aplica sustitución de archivo al folio: 0064103667519." u="1"/>
        <s v="Implementación componente Home(cards) " u="1"/>
        <s v="Se sustituye el archivo adjunto de la solicitud con folio 0000700255821" u="1"/>
        <s v="Notificación de seguimiento  [  MA0811202201 ]_x000a_Estimado(a):                Alondra Jiménez Hernández_x000a_ Le informamos que su ticket correspondiente a:_x000a_Debido al cambio de responsable de transparencia, les pido sea generado un certificado genérico a nombre del TUT y que con el mismo sea habilitado en la HCOM. Los datos son los siguientes…  Fideicomiso Universidad Marítima y Portuaria de México (FUMPM)_x000a__x000a_Aplicación:                 HCOM_x000a_Tipo de Soporte        GENERACIÓN DE CERTIFICADO Y CAMBIO DE TUT " u="1"/>
        <s v="_x000a_Notificación de seguimiento  [  MA2602202008 ]  _x000a_ _x000a_ _x000a_Estimado(a):                     Lizbeth Adriana Cabrera Ortega_x000a_ _x000a_Le informamos que su ticket correspondiente a:_x000a_               _x000a_Puedo solicitar tu valioso apoyo a fin de modificar la fecha de interposición al día hábil siguiente del recurso de INFOMEX que detallo a continuación:_x000a_ _x000a_25/02/2020 25/02/2020 18:03 PM Carlos Carabaña REGISTRO AGRARIO NACIONAL 1511100114919_x000a__x000a_ _x000a_Aplicación:                  SIGEMI_x000a_Tipo de Soporte:         Cambio de fecha de interposición  _x000a_Observaciones:            _x000a_ _x000a_Su petición fue atendida_x000a_" u="1"/>
        <s v="Se  testan los datos del folio:  0000700086121 " u="1"/>
        <s v="_x000a_Notificación de seguimiento  [  MA2802202005 ]  _x000a_ _x000a_ _x000a_Estimado(a):                     Luis Javier Mendoza Rueda_x000a_ _x000a_Le informamos que su ticket correspondiente a:_x000a_               _x000a_Se envió el Ticket #PNT003424_x000a__x000a_Solicitando su apoyo para realizar corrección en el Nombre del Recurrente del siguiente recurso: _x000a__x000a_INFOCDMX/RR.IP.0919/2020 con Solicitud: 0422000021720_x000a__x000a_Error: Sabino Cervantes Guarneros_x000a__x000a_CORRECTO: JESUS REYES AGUILAR_x000a__x000a_ _x000a_Aplicación:                  SIGEMI_x000a_Tipo de Soporte:         Corrección de solicitudes  _x000a_" u="1"/>
        <s v="Se generan scripts de carga base para plantillas tipo respuesta en prod y carga base para configuración de secciones en todos los registros de sisai_tw_config_proc_resp." u="1"/>
        <s v="Se desarrollo  servicio que listaba las solciitudes a las que se les puede modificar el &quot;Tipo solicitud&quot;" u="1"/>
        <s v="Se aplica el cambio de modalidad para el folio: 1857200004720." u="1"/>
        <s v="Se  testan los datos del folio: 0000700200321" u="1"/>
        <s v="Notificación de seguimiento  [  MA0411202007 ]  _x000a_ _x000a_ _x000a_Estimado(a):                     BERENICE HERNÁNDEZ_x000a_ _x000a_ _x000a_Le informamos que su ticket correspondiente a:_x000a_               _x000a_por este medio solicito la afectación en base de datos de la fecha de caducidad de las solicitudes, toda vez que el Consejo General del IAIPO aprobó TÉRMINO DE SUSPENSIÓN DE PLAZOS DE LOS PROCEDIMIENTOS CUYO CONTENIDO ESTÉ RELACIONADO A LOS TEMAS COVID-19 (01/05/2020), SISMO DEL 23 DE JUNIO Y PROGRAMAS SOCIALES DERIVADOS DE LA EMERGENCIA SANITARIA (30/06/2020), PROCEDIMIENTOS DE ADJUDICACIÓN DIRECTA, INVITACIÓN RESTRINGIDA Y LICITACIÓN DE CUALQUIER NATURALEZA (28/08/2020)._x000a_ _x000a_Aplicación:                  INFOMEX OAXACA_x000a_Tipo de Soporte:         AJUSTE DE PLAZOS    _x000a_Observaciones:            _x000a_ _x000a_Su petición fue atendida_x000a_ _x000a_" u="1"/>
        <s v="Se genera y habilita el certificado del usuario: Marco Antonio Pereyra Rodríguez" u="1"/>
        <s v="Notificación de seguimiento  [  MA2801202202 ]_x000a__x000a_Estimado(a):                Alondra Jiménez Hernández_x000a__x000a_ _x000a_ Le informamos que su ticket correspondiente a:_x000a_               _x000a_Anexo el registro actualizado del certificado del nuevo Titular de la Unidad de Transparencia de BIRMEX para que sus accesos sean habilitados en la Herramienta de Comunicación. _x000a__x000a_ _x000a_Aplicación:                  HCOM_x000a_Tipo de Soporte:         CAMBIO DE TUT   _x000a_" u="1"/>
        <s v="_x000a_Notificación de seguimiento  [  MA2509202001 ]  _x000a_ _x000a_ _x000a_Estimado(a):                     Alma Lizbeth Peguero Rivera_x000a_ _x000a_Le informamos que su ticket correspondiente a:_x000a_               _x000a__x000a_Por medio de presente, solicito de la manera más atenta, su apoyo para eliminar los siguientes recursos RRA 09336 ya que se encuentra doble   y RRA 02374 ya que se encuentra triple para trabajar en mi paso en la PNT ; sin más por el momento, quedo en espera de sus comentarios._x000a__x000a_ _x000a_Aplicación:                  SIGEMI_x000a_Tipo de Soporte:         REGRESO DE PASOS  _x000a_Observaciones:            _x000a_ _x000a_Su petición fue atendida_x000a_" u="1"/>
        <s v="Se sustituye archivo adjunto  del folio: 011000046221" u="1"/>
        <s v="Plugin y configuración de Google Analytics" u="1"/>
        <s v="Correccion al codigo del plugin permission handler para descarga de pdf y permisos de almacenamiento" u="1"/>
        <s v="Seguimientos de etapas: porcentaje de avances, etapas y acciones y estatus." u="1"/>
        <s v="Se continuo con lamaquetacion de el fomulario y de la seccion de resultados de la búsqueda" u="1"/>
        <s v="Generación de script de transformación de formatos" u="1"/>
        <s v="Se  testan los datos del folio: 0320000423821" u="1"/>
        <s v="Servicio para LOGIN POR REDES SOCIALES(Gmail)" u="1"/>
        <s v="Se testan los datos  del folio: 0064101366121" u="1"/>
        <s v="Notificación de seguimiento  [  MA1108202203 ]_x000a__x000a__x000a_Estimado(a):               Fernanda Denise Blanco Alquicira_x000a__x000a_ Le informamos que su ticket correspondiente a:_x000a__x000a_En seguimiento a los correos previos, solicito su valioso apoyo para asignar en la Herramienta de Comunicación el certificado que adjunto al presente, para tal efecto, proporciono a continuación los datos del sujeto obligado en cuestión:_x000a__x000a_Clave Única_x0009_Sujeto Obligado_x0009_Nombre_x0009_Correo electrónico_x0009_Contraseña Hcom_x000a_60153_x0009_SINDICATO INDEPENDIENTE NACIONAL DE TRABAJADORES DEL COLEGIO DE BACHILLERES_x0009_PEDRO GUERRERO DANIEL_x0009_pedro.guerrero@sintcb.org.mx _x000a_ hcom2022_x000a__x000a_Aplicación:                  HCOM_x000a_Tipo de Soporte:        CAMBIO DE TUT " u="1"/>
        <s v="Notificación de seguimiento  [  MA1506202008 ]  _x000a_ _x000a_ _x000a_Estimado(a):                     Adriana Elizabeth Hernández García_x000a_ _x000a_Le informamos que su ticket correspondiente a:_x000a_               _x000a_ _x000a_Por medio del presente te comento que al validar el paso denominado Registro de la Resolución Firmada relativo al recurso: _x000a__x000a_RRA 02501/20_x000a__x000a_la PNT se queda pasmada y NO APARECEN las ventanas donde se registran las fechas de firma de los comisionados; de tal manera que queda en blanco.  _x000a_Al respecto, te solicito se realicen las gestiones necesarias a efecto de que se pueda validar el paso referido y estar en condición de continuar con el proceso de notificación de la resolución._x000a__x000a_ _x000a_Aplicación:                  SIGEMI_x000a_Tipo de Soporte:         Corrección de incidencia  _x000a_Observaciones:            _x000a_ _x000a_Su petición fue atendida_x000a_ _x000a_" u="1"/>
        <s v="Menu Rol" u="1"/>
        <s v="Se generó certificado para usuario de dependencia AICM-SACM" u="1"/>
        <s v="Buenas tardes José Manuel, tu petición fue atendida, favor de validar _x000a__x000a_Saludos _x000a__x000a_Marina Adame Velasco_x000a__x000a_Notificación de seguimiento  [  MA102505202009 ]  _x000a__x000a_Aplicación:                  INFOMEX QUERÉTARO_x000a_Tipo de Soporte:         REPORTE   _x000a_Estatus:                               Concluido._x000a__x000a_" u="1"/>
        <s v="Buenas tardes Francisco, tu petición fue atendida, favor de validar _x000a_ _x000a_ select P.FOLIO,CC.NOMBRE TIPO_DP FROM PROCESO P JOIN PSI ON PSI.GUIDPROCESO = P.GUIDPROCESO _x000a_ JOIN CAMPOCONFIGURABLE CC ON CC.GUIDVALOR = PSI.C916eb5bb_x000a_ WHERE FECHAINICIO BETWEEN '20200101' AND '20200131'_x000a_ _x000a_ _x000a_ Saludos _x000a_ _x000a_ Marina Adame Velasco_x000a_ _x000a_ Notificación de seguimiento [ MA0901202009 ] _x000a_ _x000a_ Aplicación: INFOMEX NL_x000a_ Tipo de Soporte: Script para consulta _x000a_ Estatus: Concluido." u="1"/>
        <s v="Notificación de seguimiento  [  MA1811202002 ]  _x000a_ _x000a_ _x000a_Estimado(a):                     Edgar Michel Loaeza M._x000a_ _x000a_ _x000a_Le informamos que su ticket correspondiente a:_x000a_               _x000a_solicito su apoyo para dar de alta los certificados que corresponden sujetos obligados indirectos de la Secretaría de Economía _x000a__x000a__x000a_Aplicación:                  HCOM_x000a_Tipo de Soporte:         CAMBIO TUT   ( 2) _x000a_Observaciones:            _x000a_ _x000a_Su petición fue atendida_x000a_ _x000a_  _x000a_" u="1"/>
        <s v="Notificación de seguimiento  [  MA1610202001 ]  _x000a_ _x000a_ _x000a_Estimado(a):                     Lizbeth Adriana Cabrera Ortega_x000a_ _x000a_Le informamos que su ticket correspondiente a:_x000a_               _x000a_generación de TRES EXPEDIENTES BIS, de los recursos citados a continuación._x000a_ _x000a_Asimismo, te comento que NO DEBERÁ CAMBIAR el sujeto obligado, ni el Comisionado correspondiente.  _x000a_ _x000a_ DICE                                        DEBE DECIR                         SUJETO OBLIGADO           PONENTE_x000a_RRA 10790/20 RRA 8036/18-BIS PREVENCIÓN Y READAPTACIÓN SOCIAL FJAL_x000a_RRA 10791/20 RRA 5784/19-BIS SENADO DE LA REPÚBLICA JRV_x000a_RRA 10792/20 _x000a_RRA 4739/18 -BIS Policía Federal JRV_x000a_ _x000a__x000a_No omito comentarte que el número de expediente que deberá seguir en el consecutivo por turnar en PNT debe ser el RRA 10790/20._x000a__x000a_ASIMISMO, SI ME LO PERMITES, QUE LOS EXPEDIENTES BIS NO LLEVEN 0 A LA IZQUIERDA, QUE QUEDEN A 4 POSICIONES POR FAVOR._x000a__x000a__x000a_ _x000a_Aplicación:                  SIGEMI_x000a_Tipo de Soporte:         cambio a BIS ( 3 )  _x000a_Observaciones:            _x000a_ _x000a_Su petición fue atendida_x000a_" u="1"/>
        <s v="Atención a incidencias, mejoras y funcionalidades de SISAI 2.0" u="1"/>
        <s v="Generar catálogos del sistema" u="1"/>
        <s v="Recepcion de solicitudes subenlace rechazar" u="1"/>
        <s v="_x000a_Notificación de seguimiento  [  MA2311202011 ]  _x000a_ _x000a_ _x000a_Estimado(a):                     Alma Lizbeth Peguero Rivera_x000a_ _x000a_ _x000a_Le informamos que su ticket correspondiente a:_x000a_               _x000a_Por medio de presente, solicito de la manera más atenta, su apoyo para retroceder los pasos en el sistema SIGEMI-SICOM en la PNT del siguiente asunto RRA 09992/20 JRV DEL PLENO 18-11-20, hasta la actividad “Registrar información de la sesión del pleno”; sin más por el momento, quedo en espera de sus comentarios._x000a_ _x000a_Aplicación:                  SIGEMI_x000a_Tipo de Soporte:         REGRESO DE PASOS    _x000a_Observaciones:            _x000a_ _x000a_Su petición fue atendida_x000a_" u="1"/>
        <s v="Realizar funcionalidad de busqueda avanzada" u="1"/>
        <s v="Se aplica testado de datos al folio: 0064100615420." u="1"/>
        <s v="Se cambia el metodo de descarga para archivos adjuntos y acuses en quejas" u="1"/>
        <s v="Generar certificados para INDIRECTOS de SECTUR" u="1"/>
        <s v="Se finalizó la maquetacion del fomrulario y se comaprtio a Erick para su imlementacion " u="1"/>
        <s v="_x000a_Notificación de seguimiento  [  MA0304202002 ]  _x000a_ _x000a_ _x000a_Estimado(a):                     Marco Antonio Pereyra Rodríguez_x000a_ _x000a_Le informamos que su ticket correspondiente a:_x000a_               _x000a_Sirva el presente para enviarte un saludo fraterno, al mismo tiempo de manera atenta y respetuosa solicito de tu apoyo para que con carácter de urgente se pueda dar de baja el siguiente requerimiento HCOM:_x000a_001998-IFAI-2020_x000a_ _x000a_Aplicación:                  HCOM_x000a_Tipo de Soporte:         Eliminar requerimiento   _x000a_Observaciones:            _x000a_ _x000a_Su petición fue atendida_x000a_ _x000a__x000a_ _x000a_            Favor de validar._x000a_ _x000a_Estatus:                               Concluido._x000a_" u="1"/>
        <s v="Se aplica eliminación de formato de pago: 0063700051921" u="1"/>
        <s v="Diagnóstico de acceso a la información sobre los JSON compartidos para SISAI " u="1"/>
        <s v="Desarrollo de la funcionalidad en el testeo de información para abrir las solicitudes terminadas" u="1"/>
        <s v="Se aplica testado de datos al folio:  1816700001121" u="1"/>
        <s v="Revision requerimientos MGD-RTA" u="1"/>
        <s v="Buenas tardes Berenice, tu petición fue atendida, la eliminación de acuses esta en proceso, favor de validar _x000a__x000a_Saludos _x000a__x000a_Marina Adame Velasco_x000a__x000a_Notificación de seguimiento  [  MA2808202006 ]  _x000a__x000a_Aplicación:                  INFOMEX OAXACA_x000a_Tipo de Soporte:         Corrección de nombre de archivo adjunto   _x000a_Estatus:                               Concluido._x000a_" u="1"/>
        <s v="Validación de proceso de limpieza de información estructurada" u="1"/>
        <s v="Notificación de seguimiento  [  MA2905202003 ]  _x000a_ _x000a_ _x000a_Estimado(a):                     Pedro Esquivel Martínez_x000a_ _x000a_Le informamos que su ticket correspondiente a:_x000a_               _x000a_Antes que nada recibe un cordial saludo, por otra parte solicito tu valioso apoyo con unos RRA que se anexan en documento en excel ya que la U.T no puede visualizar dichos recursos_x000a_ _x000a_Aplicación:                  SIGEMI_x000a_Tipo de Soporte:         REVISIÓN DE ESTATUS   _x000a_Observaciones:            _x000a_ _x000a_Te comento que de la revisión realizada, los recursos enlistados se encuentran en evaluación por DGCR, esta dirección les puede solicitar la información a través de SICOM._x000a__x000a_" u="1"/>
        <s v="Servicio Master para usuarios internos, la asignacion de valores en los combos 1 de 2" u="1"/>
        <s v="Actualización queries incidencia en SLP Producción" u="1"/>
        <s v="Se comenzo con el desarrollo de micrositio de juegos infantiles" u="1"/>
        <s v="Se cambia el tipo de solicitud del folio: 0063700010221" u="1"/>
        <s v="Cambios solicitados a componente domicilio" u="1"/>
        <s v="Notificación de seguimiento  [  MA2707202009 ]  _x000a_ _x000a_ _x000a_Estimado(a):                     Sergio Rafael Cortés Alpizar _x000a__x000a__x000a_Le informamos que su ticket correspondiente a:_x000a_               _x000a_Por medio del presente, solicito se regrese la actividad a &quot;Preparación del Proyecto de Resolución&quot;  del siguiente recurso de revisión:_x000a__x000a_RRA 5676/20 vs Comisión Reguladora de Energía_x000a__x000a_Lo anterior se debe a que se va a corregir el acuerdo y se volverá a enviar._x000a__x000a_ _x000a_Aplicación:                  SIGEMI_x000a_Tipo de Soporte:         REGRESO DE PASOS  _x000a_" u="1"/>
        <s v="Se genera y habilita el certificado del usuario: Brenda Zarraga Narváez ." u="1"/>
        <s v="Notificación de seguimiento  [  MA1905202002 ]  _x000a_ _x000a_ _x000a_Estimado(a):                     RAFAEL GONZALEZ _x000a_ _x000a_Le informamos que su ticket correspondiente a:_x000a_               _x000a_Actualizar fechas de aplicación y actualización de acuses de los recursos RRD 00628/20 en contra del ISSSTE y RRD 00423/20 en contra de CFE_x000a__x000a_ _x000a_Aplicación:                  SIGEMI_x000a_Tipo de Soporte:         Actualización de fechas   _x000a_Observaciones:            _x000a_ _x000a_Su petición fue atendida _x000a_" u="1"/>
        <s v="Configuracion de instancias nuevas para los campus Iniciativa Privada " u="1"/>
        <s v="Notificación de seguimiento  [  MA0807202008 ]  _x000a_ _x000a_ _x000a_Estimado(a):         Rosa María Rivas Rangel            _x000a_ _x000a_Le informamos que su ticket correspondiente a:_x000a_               _x000a_El sujeto obligado indica que respecto a la Agencia Mexicana de Cooperación Internacional para el Desarrollo (AMEXCID), se advierte que no fueron ajustadas las fechas de conformidad con el Acuerdo ACT-PUB/30/06/2020.05 y el ACT-PUB/30/06/2020.04 _x000a__x000a__x000a_Aplicación:                  SIGEMI_x000a_Tipo de Soporte:         Revisión de fechas   _x000a_Observaciones:            _x000a_ _x000a_Se realizó la revisión del fechas reportadas, sin embargo de acuerdo al calendario de Sujetos Obligados con actividades NO ESENCIALES que se muestra a continuación y al cual  pertenece la AMEXCID,  las fechas actuales son correctas_x000a_" u="1"/>
        <s v="Se localizan archivos adjuntos en el filesystem" u="1"/>
        <s v="Se cambia el tipo de solicitud del folio: 0063700010321" u="1"/>
        <s v="Buenos días Berenice, tu petición fue atendida, la eliminación de acuses esta en proceso, favor de validar _x000a__x000a_Saludos _x000a__x000a_Marina Adame Velasco_x000a__x000a_Notificación de seguimiento  [  MA1610202003 ]  _x000a__x000a_Aplicación:                  INFOMEX OAXACA_x000a_Tipo de Soporte:         AJUSTE DE PLAZOS    _x000a_Estatus:                               Concluido._x000a__x000a_" u="1"/>
        <s v="Notificación de seguimiento  [  MA2608202005 ]  _x000a_ _x000a_ _x000a_Estimado(a):                     Betzabé Flores Terán_x000a_ _x000a_Le informamos que su ticket correspondiente a:_x000a_               _x000a_Solicito su apoyo para realizar un cambio en la contraseña de acceso a la herramienta de comunicación para la Junta Federal de Conciliación y Arbitraje por la siguiente:_x000a__x000a_Contraseña: hcom14100_x000a__x000a_ _x000a_Aplicación:                  HCOM_x000a_Tipo de Soporte:         CAMBIO DE CONTRASEÑA  _x000a__x000a_Observaciones:     _x000a_        _x000a_Su petición fue atendida_x000a_  _x000a_" u="1"/>
        <s v="Buenas tardes Moisés, tu petición fue atendida, favor de validar _x000a__x000a__x000a_Sujeto obligado  guiddepartamento_x000a_Fideicomiso para el Desarrollo Energético Sustentable del Estado de Puebla 20200726-2123-4800-8710-99d117329ba3_x000a_Agencia de Energía del Estado de Puebla 20200726-2133-0100-8880-7413bdc15f27_x000a__x000a__x000a_Saludos _x000a__x000a_Marina Adame Velasco_x000a__x000a_Notificación de seguimiento  [  MA2807202005 ]  _x000a__x000a_Aplicación:                  INFOMEX PUEBLA _x000a_Tipo de Soporte:         Consulta de datos    _x000a_Estatus:                               Concluido._x000a_" u="1"/>
        <s v="Notificación de seguimiento  [  MA1802202001 ]  _x000a_ _x000a_ _x000a_Estimado(a):                     Pedro Esquivel Martínez_x000a_ _x000a_Le informamos que su ticket correspondiente a:_x000a_               _x000a_Anexo el registro actualizado del certificado del Titular de la Unidad de Enlace del  “Instituto Nacional de Ecología y Cambio Climático”.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_x000a_Tipo de Soporte:         CAMBIO DE CERTIFICADO   _x000a_Observaciones:            _x000a_ _x000a_Su petición fue atendida_x000a_" u="1"/>
        <s v="Se  testan los datos del folio: 0064101694721" u="1"/>
        <s v="Se aplica eliminación de formato de pago: 0945100019221" u="1"/>
        <s v="se generanlos servicios de integrante, entidad federativa" u="1"/>
        <s v="Se aplica eliminación de última respuesta: 1200800002820, 1200800002920 y 1200800003020" u="1"/>
        <s v="Optimización de proceso de limpieza de información no estructurada" u="1"/>
        <s v="Buenas tardes Berenice, tu petición fue atendida, el password es infomex, favor de validar _x000a_ _x000a_ Saludos _x000a_ _x000a_ Marina Adame Velasco_x000a_ _x000a_ Notificación de seguimiento [ MA1301202005] _x000a_ _x000a_ Aplicación: INFOMEX OAXACA_x000a_ Tipo de Soporte: Cambio de contraseña _x000a_ Estatus: Concluido." u="1"/>
        <s v="Adecuar vista final en la sección de filtros de acuerdo a las modificaciones de las consultas" u="1"/>
        <s v="Buenos días Berenice, tu petición fue atendida, favor de validar _x000a__x000a_Saludos _x000a__x000a_Marina Adame Velasco_x000a__x000a_Notificación de seguimiento  [  MA2206202001 ]  _x000a__x000a_Aplicación:                  INFOMEX OAXACA_x000a_Tipo de Soporte:         AJUSTE DE PLAZOS    _x000a_Estatus:                               Concluido._x000a_" u="1"/>
        <s v="Reporte de solicitudes generadas en diciembre 2020" u="1"/>
        <s v="Se aplica el cambio de modalidad para el folio: 0610100300119." u="1"/>
        <s v="Notificación de seguimiento  [  MA0603202002 ]  _x000a_ _x000a_ _x000a_Estimado(a):                     Sandra Robles Carrasco_x000a_ _x000a_Le informamos que su ticket correspondiente a:_x000a_               _x000a_ _x000a_En relación con el recurso de revisión RRA-RCRD 1864/20 (FGR), solicito de nueva cuenta de su invaluable apoyo para que en la PNT se habilite como medio para oír y recibir notificaciones del recurrente la cuenta de correo electrónico: cbuendia@ghs.com.mx, ello de acuerdo con las consideraciones manifestadas el pasado 28 de febrero del año en curso en el correo que como historial se observa en el presente._x000a_ _x000a_Aplicación:                  SIGEMI_x000a_Tipo de Soporte:         cambio de correo   _x000a_Observaciones:            _x000a_ _x000a_Su petición fue atendida_x000a_" u="1"/>
        <s v="Se genera certificado para: Omar.Orozco.Ramirez." u="1"/>
        <s v="Desarrollo de la funcionalidad para  estadística  de rubro temática para catalogar las solicitudes" u="1"/>
        <s v="Notificación de seguimiento  [  MA1410202002 ]  _x000a_ _x000a_ _x000a_Estimado(a):                     Edgar Michel Loaeza Martínez_x000a_ _x000a_Le informamos que su ticket correspondiente a:_x000a_               _x000a_Por medio del presente solicito su valioso apoyo a efecto de realizar el cambio de Titular de la Unidad de Transparencia de la Secretaría de Medio Ambiente y Recursos Naturales._x000a__x000a_Para tal efecto, anexo al presente el certificado del Titular, designación, lo anterior, a fin de que sus accesos sean habilitados en los sistemas que administra este Instituto (INFOMEX y HCOM).  _x000a__x000a_ _x000a_Aplicación:                  HCOM_x000a_Tipo de Soporte:         CAMBIO DE TUT  _x000a_" u="1"/>
        <s v="Nueva sección en guías para titulares" u="1"/>
        <s v="Implementación componente barra de busqueda header con  redirect a buscador " u="1"/>
        <s v="Notificación de seguimiento  [  MA1310202007 ]  _x000a_ _x000a_ _x000a_Estimado(a):                     Adriana Elizabeth Hernández Garcia_x000a_ _x000a_Le informamos que su ticket correspondiente a:_x000a_               _x000a_Por medio del presente te comento que al validar el paso denominado Registro de la Resolución Firmada relativo al recurso: _x000a_ _x000a_RRA 00268/20_x000a_ _x000a_la PNT despliega una ventana donde aparecen duplicados los nombres de los comisionados, así como los espacios para registro de firma de los mismos (anexo imagen para mayor referencia) ._x000a_Al respecto, te solicito se realicen las gestiones necesarias a efecto de que se pueda validar correctamente el paso referido y estar en condición de continuar con el proceso de notificación de la resolución._x000a__x000a_ _x000a_Aplicación:                  SIGEMI_x000a_Tipo de Soporte:         Corrección de incidencia  _x000a_Observaciones:            _x000a_ _x000a_Su petición fue atendida_x000a_ _x000a_" u="1"/>
        <s v="Notificación de seguimiento  [  MA2305202201 ]_x000a__x000a_Estimado(a):                Edgar Michel Loaeza Martínez_x000a__x000a_ _x000a_ Le informamos que su ticket correspondiente a:_x000a__x000a__x000a_Estimados todos:_x000a_Por medio del presente solicito su valioso apoyo a efecto de realizar la renovación de Certificado de la Titular de la Unidad de Transparencia de la Comisión Nacional del Sistema de Ahorro para el Retiro, lo anterior, en virtud de que, el certificado actual se encuentra vencido._x000a_Clave Sujeto obligado Encargada de la Unidad de Transparencia_x000a_06121 Comisión Nacional del Sistema de Ahorro para el Retiro Lic. Sonia Salazar Ham_x000a__x000a_Para tal efecto, anexo al presente el certificado correspondiente, lo anterior, a fin de que sus accesos sean habilitados en los sistemas que administra este Instituto (HCOM).  _x000a_ _x000a_Aplicación:                  HCOM_x000a_Tipo de Soporte:         ACTUALIZACIÓN DE CERTIFICADO     _x000a_Observaciones:            _x000a_ _x000a_Su petición fue atendida_x000a_ _x000a_" u="1"/>
        <s v="Se  testan los datos del folio: 0064101501721" u="1"/>
        <s v="Notificación de seguimiento  [  MA0303202007 ]  _x000a_ _x000a_ _x000a_Estimado(a):                     Pedro Esquivel Martínez_x000a_ _x000a_Le informamos que su ticket correspondiente a:_x000a_               _x000a_Anexo el registro actualizado del certificado del Titular de la Unidad de Enlace del  “INSTITUTO DE SEGURIDAD Y SERVICIOS SOCIALES DE LOS TRABAJADORES DEL ESTADO”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               _x000a_Tipo de Soporte:         CAMBIO DE CERTIFICADO  _x000a_Observaciones:            _x000a_ _x000a_Su petición fue atendida_x000a_" u="1"/>
        <s v="Estimada Marina, _x000a__x000a_Te informo que el plazo se encuentra modificado. _x000a__x000a_Muchas gracias por tu apoyo. _x000a__x000a_Saludos_x000a_Jatziry Jiménez _x000a_" u="1"/>
        <s v="Notificación de seguimiento  [  MA2707202001 ]  _x000a_ _x000a_ _x000a_Estimado(a):                     Tiara Gethsemanni Miranda Fuentes_x000a_ _x000a_Le informamos que su ticket correspondiente a:_x000a_               _x000a_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_x000a_ _x000a_RRD 00794/20_x000a__x000a_ _x000a_Aplicación:                  SIGEMI_x000a_Tipo de Soporte:         REGRESO DE PASOS  _x000a_" u="1"/>
        <s v="Se cambia el tipo de solicitud del folio: 0063700010621" u="1"/>
        <s v="Se  testan los datos y se sustituye el archivo del folio: 0000600199721" u="1"/>
        <s v="Implementación consumo servicio logueo,guardado del token y redirect dependiendo el tipo de rol" u="1"/>
        <s v="Se aplica cambio de modalidad a las solicitudes: 0001100045720." u="1"/>
        <s v="Se aplica testado de datos personales: 0064100323320." u="1"/>
        <s v="_x000a_Notificación de seguimiento  [  MA0912202101 ]_x000a__x000a_Estimado(a):                Alondra Jiménez Hernández_x000a__x000a_ _x000a_ Le informamos que su ticket correspondiente a:_x000a_               _x000a_Solicito la renovación en la Herramienta de Comunicación del certificado del siguiente sujeto obligado:_x000a__x000a_Clave Sujeto obligado_x000a_21161 FONATUR Solar, S.A. DE C.V. (Antes Espacios Públicos y Equipamiento Urbano, S.A. de C.V.)_x000a_21162 Fideicomiso Barrancas del Cobre._x000a_21163 Fideicomiso de Reserva para el Pago de Pensiones o Jubilaciones y Primas de Antigüedad._x000a_21164 Fideicomiso para los Trabajadores del Hotel Exconvento Santa Catarina._x000a__x000a_Aplicación:                  HCOM_x000a_Tipo de Soporte:         ACTUALIZAR CERTIFICADOS ( 4)  _x000a_Observaciones:            _x000a_ _x000a_Su petición fue atendida_x000a_" u="1"/>
        <s v="Notificación de seguimiento  [  MA1505202001 ]  _x000a_ _x000a_ Estimado(a):                     RAFAEL GONZÁLEZ_x000a_ Le informamos que su ticket correspondiente a:_x000a_               _x000a_REVISIÓN DE PLAZOS DE SUJETOS OBLIGADOS _x000a_ _x000a_Aplicación:                  SIGEMI_x000a_Tipo de Soporte:         Revisión de Plazos   _x000a_Observaciones:            _x000a_ _x000a_Rafael, de la revisión de plazos te comento lo siguiente:_x000a__x000a_Para los SO  siguientes las fechas de cumplimiento y fechas limite de votación no estan en las fechas señaladas, se adjunta resultados _x000a_Cámara de Diputados: jueves 19 y viernes 20 de marzo de 2020_x000a_Instituto Politécnico Nacional: miércoles 18, jueves 19 y viernes 20 de marzo de 2020, No se encontraron fechas de cumplimiento _x000a_Tribunal Federal de Conciliación y Arbitraje: miércoles 18, jueves 19 y viernes 20 de marzo de 2020_x000a__x000a__x000a_Para los SO siguientes no se encontraron recursos _x000a_Sindicato de Trabajadores del Tribunal Federal de Conciliación y Arbitraje: miércoles 18, jueves 19 y viernes 20 de marzo de 2020_x000a_Sindicato Nacional Democrático de Trabajadores de los Tribunales Agrarios: jueves 19 y viernes 20 de marzo de 2020_x000a__x000a_Para los SO siguientes los recursos encontrados tienen fechas anteriores a los plazos señalados _x000a__x000a_Tribunal Superior Agrario: jueves 19 y viernes 20 de marzo de 2020_x000a_Universidad Pedagógica Nacional: miércoles 18, jueves 19 y viernes 20 de marzo de 2020.&quot;_x000a__x000a_Para el SO siguiente no se localizó en la lista de Sujetos Obligados _x000a_Comisión de Operación y Fomento de Actividades Académicas del Instituto Politécnico Nacional: martes 17, miércoles 18, jueves 19 y viernes 20 de marzo de 2020_x000a__x000a_ _x000a_            Favor de validar._x000a_ _x000a_Estatus:                               Concluido._x000a_" u="1"/>
        <s v="Avance Generacion Entidades" u="1"/>
        <s v="Notificación de seguimiento  [  MA0912202003 ]  _x000a_  _x000a_Estimado(a):                     Martha Rubí Zaragoza Mora _x000a_ _x000a_Le informamos que su ticket correspondiente a:_x000a_               _x000a_Espero se encuentre muy bien. El presente correo es para pedir su amable apoyo para el ajuste de términos de los folios debido al Acuerdo que enviaron los siguientes Sujetos Obligados a la COTAI por el cual se amplían la fecha del 01 al 18 de diciembre de 2020 y contando también el 2do periodo vacacional; debiéndose considerar los días comprendidos dentro de dicho periodo como inhábiles para evitar la propagación del coronavirus COVID-19._x000a_ _x000a_Aplicación:                  INFOMEX NL_x000a_Tipo de Soporte:         CAMBIO DE PLAZO   _x000a_Observaciones:            _x000a_ _x000a_Su petición fue atendida_x000a_" u="1"/>
        <s v="Prueba uno de script de tratamiento y limpieza de SIPOT unificada" u="1"/>
        <s v="Se aplica eliminación de formato de pago: 0410000015620" u="1"/>
        <s v="Estimada Alejandra, te envío el reporte solicitado_x000a__x000a_Favor de validar_x000a__x000a_Saludos_x000a__x000a_Marina _x000a__x000a__x000a_Notificación de seguimiento  [  MA2604202110 ]  _x000a_ _x000a_Aplicación:                  INFOMEX BCN_x000a_" u="1"/>
        <s v="Revisión y análisis, eliminación de ultima respuesta de solicitudes. " u="1"/>
        <s v="Notificación de seguimiento  [  MA0412202001 ]  _x000a_ _x000a_ _x000a_Estimado(a):                     Dirección de Tecnologías de la Información_x000a_ _x000a_ _x000a_Le informamos que su ticket correspondiente a:_x000a_               _x000a_un sujeto obligado me pide apoyo porque intenta descargar un adjunto de una solicitud pero presenta el siguiente error, me comenta que ya intento descargarlo de distintos navegadores y distintos equipos de computo pero el error persiste_x000a__x000a_ _x000a_Aplicación:                  INFOMEX GUERRERO_x000a_Tipo de Soporte:         ARCHIVOS DE SOLICITUD   _x000a_Observaciones:            _x000a_ _x000a_Su petición fue atendida, se localizaron los archivos relacionados con la solicitud mencionada_x000a_" u="1"/>
        <s v="Se corrige un scroll sobre los resultados del buscador" u="1"/>
        <s v="Se crea ws para validar folio en recibo de pagos manuales." u="1"/>
        <s v="Notificación de seguimiento [ MA1501202008 ] _x000a_  _x000a_  _x000a_ Estimado(a): Rogelio García Álvarez_x000a_  _x000a_ Le informamos que su ticket correspondiente a:_x000a_  _x000a_ Buena tarde, solicito que por favor en el recurso RRA 00072/19 se regrese el paso para poder admitir el recurso ya que por un error involuntario se seleccionó la opción de prevenir; cabe decir que el recurrente no señaló correo electrónico para notificar por lo que la Plataforma Nacional de Transparencia no arrojó ningún acuse. _x000a_ Agradezco la atención que le brinde al presente. _x000a_ _x000a_ _x000a_  _x000a_ Aplicación: SIGEMI_x000a_ Tipo de Soporte: REGRESO DE PASOS" u="1"/>
        <s v="validación de cambios de integración de Homoclave en Declaración de Conflicto de intereses" u="1"/>
        <s v="Revisión de Fechas de notificación" u="1"/>
        <s v="Se  testan los datos del folio: 0064101759721" u="1"/>
        <s v="Notificación de seguimiento  [  MA0405202007 ]  _x000a_ _x000a_ _x000a_Estimado(a):                     MORENO VILLANUEVA ANA IMELDA_x000a_ _x000a_Le informamos que su ticket correspondiente a:_x000a_               _x000a_ _x000a_Disculpa, la semana pasada mandé correo para consultar sobre dos recursos que nos aparecieron en la bandeja de Cumplimiento y que ya no aparecían porque ya dimos atención, pero el lunes pasado nos volvieron a aparecer en dicha bandeja, te reenvío correo con antecedentes y datos de los recursos, me podrás informar porque los tenemos cargados nuevamente, necesitamos saber ya que el Titular de la Unidad de Transparencia nos está pidiendo esta información. _x000a__x000a__x000a_ _x000a_Aplicación:                  SIGEMI_x000a_Tipo de Soporte:         cambio de estatus  _x000a_Observaciones:            _x000a_ _x000a_Su petición fue atendida_x000a_" u="1"/>
        <s v="Notificación de seguimiento  [  MA0702202005 ]_x000a__x000a_ _x000a_Estimado(a):                     Recurso de Revisión_x000a_ _x000a_Le informamos que su ticket correspondiente a:_x000a_               _x000a_Solcito de su apoyo a fin de modificar en el expediente electrónico del recurso aludido en el asunto lo siguiente:_x000a__x000a__x000a_FOLIO  006410084520_x000a__x000a_DEBE DECIR_x000a__x000a_0064100084520_x000a__x000a_ _x000a_Aplicación:                  SIGEMI_x000a_Tipo de Soporte:         Corrección de datos y actualización de archivo   _x000a_" u="1"/>
        <s v="Se conecto el End Point de Líneas de Acción con el Back End para mostrar los registros en la Pagina correctamente" u="1"/>
        <s v="Notificación de seguimiento  [  MA1702202007 ]  _x000a_ _x000a_ _x000a_Estimado(a):                     Lizbeth Adriana Cabrera Ortega_x000a_ _x000a_Le informamos que su ticket correspondiente a:_x000a_               _x000a_Rafa solicitando de tu apoyo a fin de atender la petición de la Ponencia quienes me refirieron que, de la revisión del recurso, advirtieron que el recurrente refiere haber recibido el recurso en una fecha distinta a la que da cuenta el infomex, desprendiendo con ello que el recurrente interpuso en su último día el recurso de revisión._x000a__x000a_Por tanto, agradeceré se cambie la fecha de interposición a fin de que conste el día límite para la interposición del recurso._x000a__x000a_DEBE DECIR 10 DE FEBRERO DE 2019._x000a__x000a_Asimismo te remito el archivo del acuerdo ya con la fecha de 10 de febrero_x000a__x000a_ _x000a_Aplicación:                  SIGEMI_x000a_Tipo de Soporte:         Actualización fecha de interposición  y archivo_x000a_Observaciones:            _x000a_ _x000a_Su petición fue atendida_x000a_ _x000a_" u="1"/>
        <s v="Cuentas de comité técnico" u="1"/>
        <s v="Se aplica testado de datos al folio:  0002700050721" u="1"/>
        <s v="Validación de etiquetas asignadas  a solicitudes de manera automatizada" u="1"/>
        <s v="Buenas tardes Yarenni, te comento que el error reportado se debe a que la configuración de los calendarios es incorrecta, para corregirlo hay que marcar en la parte de abajo un horario de atención, en todos los calendarios donde se haya eliminado, ya que esta configuración es necesaria e independiente de la configuración de días inhabiles, favor de validar _x000a__x000a_" u="1"/>
        <s v="Se  sustituye archivo de folio  1816400188721" u="1"/>
        <s v="Se aplica el testado de datos de la solicitud: 1117100230819" u="1"/>
        <s v="Notificación de seguimiento  [  MA2110202103 ]_x000a__x000a_Estimado(a):                Edgar Michel Loaeza Martínez_x000a__x000a_ _x000a_ Le informamos que su ticket correspondiente a:_x000a_               _x000a_Por medio del presente solicito su valioso apoyo a efecto de realizar el cambio de Titular de la Unidad de Transparencia de la Secretaría de la Función Pública._x000a_ _x000a_Para tal efecto, anexo al presente el certificado y cédula de registro, lo anterior, a fin de que sus accesos sean habilitados en los sistemas que administra este Instituto (INFOMEX y HCOM).  _x000a_ _x000a_Aplicación:                  HCOM          _x000a_Tipo de Soporte:         CAMBIO DE TUT   _x000a_" u="1"/>
        <s v="seccion 13 UT" u="1"/>
        <s v="Se aplica el cambio de modalidad a la solicitud: 0064100014220." u="1"/>
        <s v="Nuevamente reinstalación Campus Publico para ejecutar instalador" u="1"/>
        <s v="Se cambia el metodo para descargar archivos, se generan los archivos con base64 y se realizan pruebas con recurrentes" u="1"/>
        <s v="Notificación de seguimiento  [  MA0308202203 ]_x000a__x000a__x000a_Estimado(a):               Leopoldo Alejandro Cruz Vásquez_x000a_ Le informamos que su ticket correspondiente a:_x000a__x000a_…renovación de los certificados de acceso a la herramienta de comunicación “HCOM”._x000a__x000a_Aplicación:                  HCOM_x000a_Tipo de Soporte:        GENERACIÓN DE CERTIFICADO Y RENOVACIÓN EN HCOM  ( 7 )" u="1"/>
        <s v="Análisis de requerimiento y elaboración de scripts" u="1"/>
        <s v="Configuración de Sistema Operativo de Jboss" u="1"/>
        <s v="Se aplica testado de datos al folio:  0002700050921" u="1"/>
        <s v="Implementación del servicio rest catalogo integrante " u="1"/>
        <s v="Buenos días Berenice, tu petición fue atendida, se incluyó el acuse  Acuse de Información Parcial al contenido de la carpeta Infomex Oaxaca, favor de validar _x000a__x000a_Saludos _x000a__x000a_Marina Adame Velasco_x000a__x000a_Notificación de seguimiento  [  MA1202202002 ]  _x000a__x000a_Aplicación:                  INFOMEX OAXACA_x000a_Tipo de Soporte:         Corrección de ACUSE   _x000a_Estatus:                               Concluido._x000a_" u="1"/>
        <s v="Desarrollo del flujo para el seguimiento de una queja" u="1"/>
        <s v="Se elmina la respuesta del folio: 1215100474021 " u="1"/>
        <s v="Notificación de seguimiento  [  MA2003202003 ]  _x000a_ _x000a_ _x000a_Estimado(a):                     Adriana Elizabeth Hernández Garcia_x000a_ _x000a_Le informamos que su ticket correspondiente a:_x000a_               _x000a_Por medio del presente te comento que al validar el paso denominado Registro de la Resolución Firmada relativo al recurso: _x000a__x000a_RRD 0275/20_x000a__x000a_la PNT se queda pasmada y NO APARECEN las ventanas donde se registran las fechas de firma de los comisionados; de tal manera que queda en blanco.  _x000a_Al respecto, te solicito se realicen las gestiones necesarias a efecto de que se pueda validar el paso referido y así estar en condición de cargar las fechas y que pueda ser notificada la resolución._x000a_ _x000a_Aplicación:                  SIGEMI_x000a_Tipo de Soporte:         Corrección de incidencia   _x000a_Observaciones:            _x000a_ _x000a_Su petición fue atendida_x000a_" u="1"/>
        <s v="Se aplica testado de datos a 8 solicitudes" u="1"/>
        <s v="Ajustes a clases css para el desing responsive" u="1"/>
        <s v="Se actualizó la fecha en la solicitud 0064100216621" u="1"/>
        <s v="Creación de cuentas comité técnico" u="1"/>
        <s v="_x000a_Notificación de seguimiento  [  MA0112202006 ]  _x000a_ _x000a_ _x000a_Estimado(a):                     Berenice Hernández Sumano_x000a_ _x000a_ _x000a_Le informamos que su ticket correspondiente a:_x000a_               _x000a_por este medio solicito a quien corresponda proporcionarnos la cuenta de correo electrónico con la cuál se realizaron las siguientes solicitudes desde SISAI. _x000a__x000a_Aplicación:                  INFOMEX OAXACA_x000a_Tipo de Soporte:         CONSULTA DE DATOS    _x000a_Observaciones:            _x000a_ _x000a_Su petición fue atendida, anexo correos_x000a_ _x000a_  _x000a_" u="1"/>
        <s v="Se sustituye archivo adjunto del folio: 0002700087420 se solicita por segunda vez el testado y sustitución de archivo." u="1"/>
        <s v="Buenas tardes José Manuel, te envío la información solicitada, realice la consulta en la lista de Sujetos Obligados coincidieran con el nombre Sindicatos, que se anexa en el reporte favor de validar _x000a__x000a_El total de solicitudes de los Sindicatos con corte 13 de julio de 2020 es de 66_x000a__x000a_Saludos _x000a__x000a_Marina Adame Velasco_x000a__x000a_Notificación de seguimiento  [  MA1307202010 ]  _x000a__x000a_Aplicación:                  INFOMEX QUERÉTARO_x000a_Tipo de Soporte:         REPORTE   _x000a_Estatus:                               Concluido._x000a__x000a_" u="1"/>
        <s v="Se cambia el tipo de solicitud del folio: 2012000000621" u="1"/>
        <s v="Se aplica eliminación de última respuesta de la solicitud: 0001200077420." u="1"/>
        <s v="Documentar el manual de usuario" u="1"/>
        <s v="analisis y funcionalidad del campo menu " u="1"/>
        <s v="Se testan los datos de la solicitud con folio 0064101498621" u="1"/>
        <s v="Ajuste de plazos en solicitudes enviadas" u="1"/>
        <s v="Pantalla consulta usuarios" u="1"/>
        <s v="Notificación de seguimiento  [  MA1612202023 ]  _x000a_ _x000a_ _x000a_Estimado(a):                     José Manuel Flores Robles_x000a_ _x000a_ _x000a_Le informamos que su ticket correspondiente a:_x000a_               _x000a_- Cuántas solicitudes se han presentado, preguntando datos sobre la situación actual, con el siguiente criterio de búesqueda:  “pandemia”, “COVID19”, “COVID-19” y “coronavirus”. El periodo a consultar sería del 1 de diciembre de 2020 al 17 de diciembre del 2020. El resultado igual que la última vez: Sujeto Obligado que recibió la solicitud y el texto de la misma._x000a__x000a_ _x000a_Aplicación:                  INFOMEX QUERETARO _x000a_Tipo de Soporte:         Reporte   _x000a_" u="1"/>
        <s v=" Buenos días Martha, tu petición fue atendida, favor de validar_x000a__x000a_ _x000a__x000a_Saludos_x000a__x000a_ _x000a__x000a_Marina Adame Velasco_x000a__x000a_ _x000a__x000a_Notificación de seguimiento  [  MA2810202007 ]  _x000a__x000a_ _x000a__x000a_Aplicación:                  INFOMEX NUEVO LEÓN_x000a__x000a_Tipo de Soporte:         AJUSTE DE PLAZOS    _x000a__x000a_Estatus:                               Concluido._x000a__x000a_ " u="1"/>
        <s v="Definición de script para catálogo de etiquetas" u="1"/>
        <s v="Notificación de seguimiento  [  MA0602202010 ]  _x000a_ _x000a_ _x000a_Estimado(a):                     JUAN PEDRO RAMIREZ FLORES_x000a_ _x000a_Le informamos que su ticket correspondiente a:_x000a_               _x000a_Cambio de fechas de término para su cumplimiento._x000a_ _x000a_Aplicación:                  SIGEMI_x000a_Tipo de Soporte:         Actualización de fechas  ( 57 )_x000a_Observaciones:            _x000a_ _x000a_Su petición fue atendida_x000a_ _x000a_ _x000a_            Favor de validar._x000a_ _x000a_Estatus:                               Concluido._x000a_" u="1"/>
        <s v="Se desarrollò la pàgina de Valores dentro del sitio de comite de etica, agregando la informaciòn compartida con base en el diseño compartido" u="1"/>
        <s v="respaldo de BD NUEVO LEÓN 25 DE MAYO DE 2021" u="1"/>
        <s v="Se elimina valor default al enviar solicitudes de informacion publica" u="1"/>
        <s v="Servicio para solicitar restablecer contraseñas, envío de correos" u="1"/>
        <s v="Se testan los datos y se sustituye el archivo de la solicitud con folio: 0002700187721 " u="1"/>
        <s v="Se cambia el tipo de solicitud del folio:1220000017221" u="1"/>
        <s v="Se aplica eliminación de última respuesta: 0673800033320." u="1"/>
        <s v="Buenas tardes Berenice, tu petición fue atendida, favor de validar _x000a__x000a_Saludos _x000a__x000a_Marina Adame Velasco_x000a__x000a_Notificación de seguimiento  [  MA1106202011 ]  _x000a__x000a_Aplicación:                  INFOMEX OAXACA _x000a_Tipo de Soporte:         AJUSTE DE PLAZOS _x000a_Estatus:                               Concluido._x000a__x000a_" u="1"/>
        <s v="Buenas tardes Berenice, tu petición fue atendida, favor de validar _x000a__x000a_Saludos _x000a__x000a_Marina Adame Velasco_x000a__x000a_Notificación de seguimiento  [  MA2406202007 ]  _x000a__x000a_Aplicación:                  INFOMEX OAXACA_x000a_Tipo de Soporte:         AJUSTE DE PLAZO   _x000a_Estatus:                               Concluido._x000a__x000a_" u="1"/>
        <s v="Notificación de seguimiento  [  MA1211202007 ]  _x000a_ _x000a_ _x000a_Estimado(a):                     Martha Rubí Zaragoza Mora _x000a__x000a_Le informamos que su ticket correspondiente a:_x000a_               _x000a_Espero se encuentre muy bien. El presente correo es para pedir su amable apoyo para el ajuste de términos de los folios debido al Acuerdo que enviaron los siguientes Sujetos Obligados a la COTAI por el cual se amplían la fecha del 01 al 30 de noviembre de 2020; debiéndose considerar los días comprendidos dentro de dicho periodo como inhábiles para evitar la propagación del coronavirus COVID-19._x000a_ _x000a_Aplicación:                  INFOMEX NUEVO LEÓN_x000a_Tipo de Soporte:         CAMBIO DE PLAZO _x000a_Observaciones:            _x000a_ _x000a_Su petición fue atendida_x000a_ _x000a_  _x000a_" u="1"/>
        <s v="Revisión de elementos faltantes para la Integración de declaración de Intereses" u="1"/>
        <s v="Se guarda archivo adjunto recibido de la respuesta del endpoint" u="1"/>
        <s v="Incidencia carga elementor" u="1"/>
        <s v="Notificación de seguimiento  [  MA1409202201 ]_x000a__x000a_Estimado(a):                Abraham Obed Gallardo González_x000a__x000a_ Le informamos que su ticket correspondiente a:_x000a__x000a__x000a_               _x000a_Con el gusto de saludarles y en espera de que todo marche bien, por instrucciones del Lic. Pedro González Benítez, Director General de Enlace con Partidos Políticos, Organismos Electorales y Descentralizados, por este medio anexo el registro del certificado del nuevo Titular de la Unidad de Transparencia de la PRONAVIBE.  SESNA_x000a_ _x000a_Lo Anterior, a fin de que sus accesos sean habilitados en los sistemas que administra este Instituto (HCOM).  CAMBIO DE TITULAR. En cuanto se reciba la atención en HCOM se realizará la actualización de los demás sistemas correspondientes._x000a__x000a_Aplicación:                  HCOM_x000a_Tipo de Soporte:        1 CAMBIO DE TUT " u="1"/>
        <s v="Reunion asesoria Flujos EIPDP" u="1"/>
        <s v="SUSTITUCIÓN DE ADJUNTO EN SOLICITUD DE INFORMACION CON FOLIO 2510100011721" u="1"/>
        <s v="Definición de modelo 1" u="1"/>
        <s v="Definición de modelo 2" u="1"/>
        <s v="Definición de modelo 3" u="1"/>
        <s v="Definición de modelo 4" u="1"/>
        <s v="Creación de los servicios del módulo de usuarios" u="1"/>
        <s v="Actualización de datos del usuario del CAS" u="1"/>
        <s v="Definición de modelo 5" u="1"/>
        <s v="Se aplica testado de datos  y se sustituyo el archivo al folio:  1816400062421" u="1"/>
        <s v="Cambio de paquete del proyecto" u="1"/>
        <s v="Definición de modelo 6" u="1"/>
        <s v="Notificación de seguimiento  [  MA2603202109 ]  _x000a_ _x000a_ _x000a_Estimado(a):                     ALEJANDRA TEJEDA _x000a_ _x000a_ _x000a_Le informamos que su ticket correspondiente a:_x000a_               _x000a_Me comenta el Ayuntamiento de Mexicali que al querer general el sub folio a la unidad administrativa encargada de dar respuesta le arroja el mensaje que se observa en las imágenes adjuntas al presente._x000a_ _x000a_Aplicación:                  INFOMEX BCN_x000a_Tipo de Soporte:         REVISIÓN DE INCIDENCIA    _x000a_Observaciones:            _x000a_ _x000a_Su petición fue atendida, te comento que se monto un ambiente de pruebas para realizar la revisión y no se replico el error, por lo que mi recomendación es que se revise la configuración de fecha del equipo de la usuaria y se eliminen las cookies de su navegador, quedo atenta a sus comentarios _x000a_" u="1"/>
        <s v="Continúa el Apoyo en consultas y validación de la información generada con las bases de datos en custodia (casos de diversos estados) en lo referente principalmente a documentación adjunta._x000a_Se sigue apoyando en la recuperación de adjuntos de CDMX vía el aplicativo proporcionado por Luis Fernando._x000a_Continúa el traslado de información recuperada de CDMX al repositorio en la red interna (infomex2019 (\\vcifs) Z:)" u="1"/>
        <s v="Notificación de seguimiento  [  MA2205202001 ]  _x000a_ _x000a_ _x000a_Estimado(a):                     Adriana Elizabeth Hernández Garcia_x000a_ _x000a_Le informamos que su ticket correspondiente a:_x000a_               _x000a__x000a_Por medio del presente te solicito, si no existe inconveniente, el retroceso de paso del expediente relacionado con la resolución RRA 02630/20 al paso denominado “Registro de la Resolución Firmada” en la (PNT), ello a efecto de cargar el archivo correcto. _x000a_ _x000a_Aplicación:                  SIGEMI_x000a_Tipo de Soporte:         REGRESO DE PASOS  _x000a_Observaciones:            _x000a_ _x000a_Su petición fue atendida_x000a_ _x000a__x000a_" u="1"/>
        <s v="Notificación de seguimiento  [  MA1311202001 ]  _x000a_ _x000a_ Estimado(a):                     Berenice Hernández Sumano _x000a_  _x000a_Le informamos que su ticket correspondiente a:_x000a_               _x000a_Por este medio solicito su apoyo para poder aplicar las afectaciones a las fechas:  Entrega de información relacionada con el Cumplimiento y Entrega de Alegatos y manifestaciones, de los recursos señalados en este correo. Toda vez que el Consejo General aprobará en su Décima Novena Sesión Ordinaria celebrada el día 28 de octubre, aprobó la primera fase del levantamiento a la suspensión de plazos derivado de la Contingencia Sanitaria del COVID-19 para un primer grupo de sujetos obligados y la continuidad de la suspensión de plazos para el resto de sujetos obligados hasta el 23 de noviembre._x000a_ Aplicación:     SIGEMI             _x000a__x000a_Tipo de Soporte:         AJUSTE DE FECHAS   _x000a_Observaciones:            _x000a_ _x000a_Su petición fue atendida_x000a_" u="1"/>
        <s v="Creación de componente/servicio en front end para envío de archivos mul tipart al backend." u="1"/>
        <s v="_x000a_Notificación de seguimiento  [  MA1106202012 ]  _x000a_ _x000a_ _x000a_Estimado(a):                     Adriana Elizabeth Hernández García_x000a_ _x000a_Le informamos que su ticket correspondiente a:_x000a_               _x000a_Por medio del presente te comento que al validar el paso denominado Registro de la Resolución Firmada relativo al recurso: _x000a__x000a_RRA 02290/20_x000a__x000a_la PNT se queda pasmada y NO APARECEN las ventanas donde se registran las fechas de firma de los comisionados; de tal manera que queda en blanco.  _x000a_Al respecto, te solicito se realicen las gestiones necesarias a efecto de que se pueda validar el paso referido y estar en condición de continuar con el proceso de notificación de la resolución._x000a_ _x000a_Aplicación:                  SIGEMI_x000a_Tipo de Soporte:         Corrección de incidencia   _x000a_Observaciones:            _x000a_ _x000a_Su petición fue atendida_x000a_ _x000a__x000a_ _x000a_            Favor de validar._x000a_ _x000a_Estatus:                               Concluido._x000a_" u="1"/>
        <s v="Se  testan los datos del folio: 0000700171321" u="1"/>
        <s v="Desarrollo del flujo para el seguimiento de una queja, 9 respuestas" u="1"/>
        <s v="Se  testan los datos del folio:  0063700151221" u="1"/>
        <s v="Se  testan los datos de la solicitud con folio 0064100777421_x000a_" u="1"/>
        <s v="Se aplica testado de datos al folio: 0064103290220" u="1"/>
        <s v="Se testan los datos  30 solicitudes registradas para el Sujeto Obligado IMSS" u="1"/>
        <s v="Funcionalidad sector glosario" u="1"/>
        <s v="Buenas tardes Francisco, te envío el dato solicitado …_x000a__x000a_NOMBRE                                                                                             GUIDDEPARTAMENTO                                                  FechaUltimaModif_x000a_Instituto de Movilidad y Accesibilidad de Nuevo León      20201127-1039-4000-0660-70f45d6ac22c              2020-11-27 00:00:00.000_x000a__x000a_Saludos _x000a__x000a_Marina _x000a_" u="1"/>
        <s v="Usuarios registrados" u="1"/>
        <s v="Ajuste de sesión con google en ios" u="1"/>
        <s v="Implementación de la especificación del archivo de acta de una Resolución" u="1"/>
        <s v="Buenas tardes Moisés, tu petición fue atendida, favor de validar _x000a__x000a_Saludos _x000a__x000a_Marina Adame Velasco_x000a__x000a_Notificación de seguimiento  [  MA0309202003 ]  _x000a__x000a_Aplicación:                  INFOMEX PUEBLA _x000a_Tipo de Soporte:         Modificacion de plazo    _x000a_Estatus:                               Concluido._x000a_" u="1"/>
        <s v="Notificación de seguimiento  [  MA0210202006 ]  _x000a__x000a_ _x000a__x000a_ _x000a__x000a_Estimado(a):                     Lizbeth Adriana Cabrera Ortega_x000a__x000a_ _x000a__x000a_Le informamos que su ticket correspondiente a:_x000a__x000a_               _x000a__x000a_Pido tu amable apoyo para modificar sujeto obligado de los dos recursos indicados en el asunto._x000a__x000a_ _x000a__x000a_DEBE DECIR  SINDICATO DE TRABAJADORES ACADÉMICOS DE LA UNIVERSIDAD AUTÓNOMA CHAPINGO_x000a__x000a_ _x000a__x000a_Adicional encontrarás los acuerdos de turno con el cambio para que sean incorporados al expediente electrónico._x000a__x000a_ _x000a__x000a_​_x000a__x000a_ _x000a__x000a_Aplicación:                  SIGEMI_x000a__x000a_Tipo de Soporte:         CAMBIO DE SO Y ACTUALIZACIÓN DE ARCHIVO ( 2 ) _x000a__x000a_Observaciones:            _x000a__x000a_ _x000a__x000a_Su petición fue atendida_x000a__x000a_ _x000a__x000a_ _x000a__x000a_ " u="1"/>
        <s v="_x000a_Buenas tardes Berenice, tu petición fue atendida, la eliminación de acuses esta en proceso, favor de validar _x000a__x000a_Saludos _x000a__x000a_Marina Adame Velasco_x000a__x000a_Notificación de seguimiento  [  MA2210202008 ]  _x000a__x000a_Aplicación:                  INFOMEX OAXACA_x000a_Tipo de Soporte:         AJUSTE DE PLAZOS    _x000a_Estatus:                               Concluido._x000a__x000a_" u="1"/>
        <s v="Ambientación para campus Civil versión 3.2" u="1"/>
        <s v="Se aplica testado de datos al folio:0064103316020" u="1"/>
        <s v="Se  testan los datos del folio: 0064101668721" u="1"/>
        <s v="Se aplica el testado de datos de la solicitud: 1816400029020" u="1"/>
        <s v="Optimización de proceso de limpieza de información estructurada" u="1"/>
        <s v="_x000a_Notificación de seguimiento  [  MA2105202111 ]  _x000a_ _x000a_ _x000a_Estimado(a):                     Alejandra Tejeda_x000a_ _x000a_ _x000a_Le informamos que su ticket correspondiente a:_x000a_               _x000a_Antecediendo un cordial saludo, por medio del presente solicito su apoyo para el regreso de paso del expediente RR/165/2021 a su etapa de admisión, hubo un error por parte del proyectista y le dio trámite por error._x000a_ _x000a_ _x000a_Aplicación:                  SIGEMI_x000a_Tipo de Soporte:         REGRESO DE PASOS   _x000a_" u="1"/>
        <s v="Se aplica testado de datos al folio:  0064100163621" u="1"/>
        <s v="Se cambia el tipo de solicitud del folio: 0001200039321" u="1"/>
        <s v="Se  testan los datos del folio: 0064102415121" u="1"/>
        <s v="Evaluación y diseño de normalización de texto al español" u="1"/>
        <s v="Se  testan los datos del folio: 1201100018121" u="1"/>
        <s v="Componente catalogo integrante (scss) (Administrador) " u="1"/>
        <s v="Pruebas unitarias " u="1"/>
        <s v="Se  testan los datos del folio: 0064102022621" u="1"/>
        <s v="Notificación de seguimiento  [  MA2707202004 ]  _x000a_ _x000a_ _x000a_Estimado(a):                     Lizbeth Adriana Cabrera Ortega_x000a_ _x000a_Le informamos que su ticket correspondiente a:_x000a_               _x000a_Al respecto y en relación con el cumplimiento del punto de acuerdo OCTAVO, te hago llegar los acuerdos de turno de los recursos de revisión en materia de DATOS interpuestos en este periodo de contingencia en contra de la respuesta brindada por los Sujetos Obligados con Actividades No Esenciales, mismos que ya contienen modificada la fecha al día 3 DE AGOSTO._x000a_ _x000a_No omito precisar la importancia de que en la Herramienta, se realicen todos los ajustes que resulten indispensables en cada uno de los expedientes electrónicos de tales recursos, ello para que aparezca la fecha instruida por el Pleno y pueda llevarse a cabo su inmediata sustanciación._x000a__x000a_ _x000a_Aplicación:                  SIGEMI_x000a_Tipo de Soporte:         ACTUALIZACIÓN DE FECHAS Y ACUERDOS   _x000a_Observaciones:            _x000a_ _x000a_Su petición fue atendida_x000a_" u="1"/>
        <s v="Se aplica eliminación de última respuesta: 0001200028720" u="1"/>
        <s v="Notificación de seguimiento  [  MA2010202004 ]  _x000a_ _x000a_ _x000a_Estimado(a):                     Edgar Michel Loaeza Martínez_x000a_ _x000a_Le informamos que su ticket correspondiente a:_x000a_               _x000a_solicito su apoyo para dar de alta los certificados que se adjuntan, sujetos obligados de la Secretaria de Medio Ambiente y Recursos Naturales._x000a__x000a_Clave Dependencia/entidad Titular de la unidad de transparencia actual Correo electrónico_x000a_16001 Fideicomiso para Apoyar los Programas, Proyectos y Acciones Ambientales de la Megalópolis Dr. Daniel Quezada Daniel daniel.quezada@semarnat.gob.mx   _x000a__x000a_16002 Fondo Mexicano para la Conservación de la Naturaleza Dr. Daniel Quezada Daniel daniel.quezada@semarnat.gob.mx   _x000a__x000a_16003 Fondo para el Cambio Climático. Dr. Daniel Quezada Daniel daniel.quezada@semarnat.gob.mx   _x000a__x000a_16004 Fondo para la Biodiversidad Dr. Daniel Quezada Daniel daniel.quezada@semarnat.gob.mx  _x000a__x000a_16005 Mandato para Remediación Ambiental Dr. Daniel Quezada Daniel daniel.quezada@semarnat.gob.mx _x000a__x000a__x000a_ _x000a_Aplicación:                  HCOM   _x000a_Tipo de Soporte:         CAMBIO DE TUT ( 5 )_x000a_" u="1"/>
        <s v="Se aplica eliminación de ultima respuesta al folio: 0000400388319." u="1"/>
        <s v="Se  testan los datos del folio: 0064101515721" u="1"/>
        <s v="Se aplica testado de datos al folio:  0064103183820" u="1"/>
        <s v="Se elmina la respuesta del folio:  0001200126321" u="1"/>
        <s v="Definición de infraestructura para desarrollo " u="1"/>
        <s v="Se aplica el testado de datos de la solicitud: 1117100227819" u="1"/>
        <s v="SUSTITUCIÓN TEXTO Y ADJUNTO EN SOLICITUD DE INFORMACION 0064100430021" u="1"/>
        <s v="Actualizacion consultas " u="1"/>
        <s v="Resultados del sector seleccionado " u="1"/>
        <s v="Notificación de seguimiento [ MA1701202004]_x000a_ _x000a_ _x000a_  _x000a_ Estimado(a): Lizbeth Adriana Cabrera Ortega_x000a_  _x000a_ Le informamos que su ticket correspondiente a:_x000a_  _x000a_ Con el gusto de saludarte me permito solicitar tu valioso apoyo respecto de la generación UN EXPEDIENTE del recurso de revisión posteriormente citado._x000a_  _x000a_ Asimismo, te comento que NO DEBERÁ CAMBIAR el sujeto obligado, ni el Comisionado correspondiente. _x000a_  _x000a_  DICE DEBE DECIR SUJETO OBLIGADO PONENTE_x000a_ RRA 00539/20 RDA 5354/15-SEPTIMUS SAT RMC_x000a_  _x000a_ No omito comentarte que el número de expediente que deberá seguir en el consecutivo por turnar en PNT debe ser el RRA 00539/20." u="1"/>
        <s v="Validación de OT entregada por ND" u="1"/>
        <s v=" En el módulo de administración, agregar la opción de ocultar proyectos, tal cual se hace con las resoluciones " u="1"/>
        <s v="Se consultan datos de la solicitud 1215100219121" u="1"/>
        <s v="Se pasa query JPA  a query nativo para poder hacer Joins" u="1"/>
        <s v="Mejoras en Líneas Estrategicas en Template y funcionalidad" u="1"/>
        <s v="Notificación de seguimiento  [  MA1803202008 ]  _x000a_ _x000a_ _x000a_Estimado(a):                     Lizbeth Adriana Cabrera Ortega_x000a_ _x000a_Le informamos que su ticket correspondiente a:_x000a_              _x000a__x000a_Debe DECIR 18 MARZO._x000a__x000a_ _x000a_Aplicación:                  SIGEMI_x000a_Tipo de Soporte:         CAMBIO DE FECHA  _x000a_Observaciones:            _x000a_ _x000a_Su petición fue atendida_x000a_" u="1"/>
        <s v="seccion 27 UT" u="1"/>
        <s v="Optimización de script de etiquetado automatizado" u="1"/>
        <s v="Creación de cuenta y configuración permisos a Guadalupe Lobera" u="1"/>
        <s v="Desarrollo de pantalla Mis Quejas, programación de funcionalidad de pantalla de las segundas reglas de negocio" u="1"/>
        <s v="Se aplica testado de datos al folio:  0064100263021" u="1"/>
        <s v="Se consultan datos de la solicitud 0064101041721" u="1"/>
        <s v="Implementación obtener token en clases commands portlet Federado" u="1"/>
        <s v="Buenas tardes Moisés, te comento que reestablecí el valor de 3 días que estaba configurado en el proceso, puedes regresar nuevamente el proceso a la prevención, para que la realicen_x000a__x000a_Me quedo atenta _x000a__x000a_Saludos_x000a__x000a__x000a_Notificación de seguimiento  [  MA1308202007 ]  _x000a__x000a_Aplicación:                  INFOMEX PUEBLA _x000a_Tipo de Soporte:         Corrección de CONFIGURACIÓN   _x000a_Estatus:                               Concluido._x000a__x000a_" u="1"/>
        <s v="Se aplica testado de datos al folio:  0002700353220" u="1"/>
        <s v="Se aplica testado de datos al folio: 1816400077020." u="1"/>
        <s v="_x000a_Notificación de seguimiento  [  MA2605202007 ]  _x000a_ _x000a_ _x000a_Estimado(a):                     Lizbeth Adriana Cabrera Ortega_x000a_ _x000a_Le informamos que su ticket correspondiente a:_x000a_               _x000a_Actualización de archivo con fecha correcta, del recurso RRA 4648/20 y debe ser 22 de mayo_x000a_ _x000a_Aplicación:                  SIGEMI_x000a_Tipo de Soporte:         Actualización de archivo  _x000a_Observaciones:            _x000a_ _x000a_Su petición fue atendida_x000a_ _x000a_" u="1"/>
        <s v="Capacitación de temas de Administración del Sistema" u="1"/>
        <s v="Notificación de seguimiento [ MA1301202002 ] _x000a_  _x000a_  _x000a_ Estimado(a): Pedro Esquivel Martínez_x000a_  _x000a_ Le informamos que su ticket correspondiente a:_x000a_  _x000a_ Anexo el registro actualizado del certificado del Titular de la Unidad de Enlace del “INSTITUTO NACIONAL DE LAS MUJERES”. Lo anterior a fin de que sus accesos sean habilitados en los otros sistemas que administra este Instituto (HCOM). CAMBIO DE CERTIFICADO, en cuanto se reciba la atención en HCOM se realizará la actualización de los demás sistemas correspondientes._x000a_ _x000a_  _x000a_ Aplicación: HCOM_x000a_ Tipo de Soporte: CAMBIO DE CERTIFICADO" u="1"/>
        <s v="Se aplica eliminación de formato de pago: 0063700131320" u="1"/>
        <s v="Se le informó al equipo que ya esta esté 7mo procedimiento para que lo revisen y consuman desde el aplicación " u="1"/>
        <s v="Se agrega aviso para la dependencia: en informe Federal" u="1"/>
        <s v="Definición de herramienta óptima para reconocimiento de información disponible dentro de los archivos  descargables" u="1"/>
        <s v="Notificación de seguimiento  [  MA1706202005 ]  _x000a_ _x000a_ _x000a_Estimado(a):                     Pedro Esquivel Martínez_x000a_ _x000a_Le informamos que su ticket correspondiente a:_x000a_               _x000a_el cambio de certificado para los Fideicomisos a cargo de CONACYT; se anexan certificados_x000a__x000a_ _x000a_Aplicación:                  HCOM_x000a_Tipo de Soporte:         CAMBIO DE CERTIFICADO   (10)_x000a_Observaciones:            _x000a_ _x000a_Su petición fue atendida, se realizó la actualización de certificado de los siguientes :_x000a_" u="1"/>
        <s v="Se solicita habilitar a dos dependencias con claves: 6750,11140" u="1"/>
        <s v="Buenos días Martha, tu petición fue atendida, favor de validar _x000a__x000a_Saludos _x000a__x000a_Marina Adame Velasco_x000a__x000a_Notificación de seguimiento  [  MA1108202003 ]  _x000a__x000a_Aplicación:                  INFOMEX NUEVO LEÓN_x000a_Tipo de Soporte:         AJUSTE DE PLAZOS    _x000a_Estatus:                               Concluido._x000a_" u="1"/>
        <s v="Buenos días Martha, tu petición fue atendida, favor de validar _x000a__x000a_Saludos _x000a__x000a_Marina Adame Velasco_x000a__x000a_Notificación de seguimiento  [  MA1108202005 ]  _x000a__x000a_Aplicación:                  INFOMEX NUEVO LEÓN_x000a_Tipo de Soporte:         AJUSTE DE PLAZOS    _x000a_Estatus:                               Concluido._x000a_" u="1"/>
        <s v="Buenos días Martha, tu petición fue atendida, favor de validar _x000a__x000a_Saludos _x000a__x000a_Marina Adame Velasco_x000a__x000a_Notificación de seguimiento  [  MA2010202001 ]  _x000a__x000a_Aplicación:                  INFOMEX NUEVO LEÓN_x000a_Tipo de Soporte:         AJUSTE DE PLAZOS    _x000a_Estatus:                               Concluido._x000a_" u="1"/>
        <s v="Notificación de seguimiento  [  MA2808202005 ]  _x000a_ _x000a_ _x000a_Estimado(a):                     Rosa María Rivas Rangel_x000a_ _x000a_Le informamos que su ticket correspondiente a:_x000a_               _x000a_El sujeto obligado indica que hay dos recursos que ya no los visualiza en el sistema y quieren desahogarlos._x000a_Los recursos son RRA 0870/20 y el RRA 01480/20, los cuales tenían como vencimiento los días 25 y 26 de marzo del presente año, pero conforme a los Acuerdos que ha emitido el Pleno de ampliación de suspensión de plazos estos todavía no vencen y conforme al último Acuerdo ACT-PUB/19/08/2020.04 donde se amplía la suspensión de plazos al 26 de agosto del año en curso estos debían de seguir vigentes para su atención._x000a_En ese sentido, se solicita su valioso apoyo para que se visualicen _x000a_ _x000a_Aplicación:                  SIGEMI_x000a_Tipo de Soporte:         CAMBIO DE ESTATUS   _x000a_" u="1"/>
        <s v="Cambios en cuestionario interactivo" u="1"/>
        <s v="Notificación de seguimiento  [  MA1203202004 ]  _x000a_ _x000a_ _x000a_Estimado(a):                     Edgar Michel Loaeza Martínez_x000a_ _x000a_Le informamos que su ticket correspondiente a:_x000a_               _x000a_Por medio del presente solicito su valioso apoyo a efecto de realizar la renovación de certificado del Titular de la Unidad de Transparencia de la comisión Nacional de Arbitraje Médico._x000a__x000a_Para tal efecto, anexo al presente el certificado, cédula de registro y nombramiento del Titular, lo anterior, a fin de que sus accesos sean habilitados en los sistemas que administra este Instituto (INFOMEX y HCOM).  _x000a__x000a_ _x000a_Aplicación:                  HCOM_x000a_Tipo de Soporte:         CAMBIO DE TITULAR   _x000a_" u="1"/>
        <s v="Notificación de seguimiento [ MA1301202001 ] _x000a_  _x000a_  _x000a_ Estimado(a): Lizbeth Adriana Cabrera Ortega_x000a_  _x000a_ Le informamos que su ticket correspondiente a:_x000a_  _x000a_ Solicito de su valioso apoyo para cambiar al día hábil siguiente:_x000a_ _x000a_ DEBE DECIR 10 DE ENERO_x000a_ _x000a_ _x000a_  _x000a_ Aplicación: SIGEMI_x000a_ Tipo de Soporte: ACTUALIZACIÒN DE FECHAS DE INTERPOSICIÒN" u="1"/>
        <s v="Continuar documento de Análisis de la Solución_x000a_Recopilación reglas de negocio, Requerimientos generales de los videos de recorrido" u="1"/>
        <s v="Buenas tardes Berenice, tu petición fue atendida, el acuse no se pudo eliminar porque alguien lo esta consultando, necesitamos que lo cierren para eliminarlo, favor de validar _x000a__x000a_Saludos _x000a__x000a_Marina Adame Velasco_x000a__x000a_Notificación de seguimiento  [  MA2005202001]  _x000a__x000a_Aplicación:                  INFOMEX OAXACA_x000a_Tipo de Soporte:         AJUSTE DE  PLAZOS   _x000a_Estatus:                               Concluido._x000a__x000a_" u="1"/>
        <s v="Se agrega una validacion de interaccion de app-usuario, campos de estadisticos se mantienen deshabilitados hasta que se marque el check de consentimiento" u="1"/>
        <s v="_x000a_Estimada Alejandra, se realize el ajuste de fecha, favor de validar _x000a_ _x000a_Saludos_x000a_ _x000a_Marina Adame Velasco_x000a_ _x000a_Notificación de seguimiento  [  MA0710202103 ]_x000a_" u="1"/>
        <s v="_x000a_Notificación de seguimiento  [  MA2802202010 ]  _x000a_ _x000a_ _x000a_Estimado(a):                     GLORIA BRAVO_x000a_ _x000a_Le informamos que su ticket correspondiente a:_x000a_               _x000a_Antes que nada quiero agradecer su apoyo para la eliminación de folios y recurro nuevamente a ustedes para solicitar la eliminación de los siguientes folios…_x000a_ _x000a_Aplicación:                  HCOM_x000a_Tipo de Soporte:         ELIMINAR FOLIOS  _x000a_Observaciones:            _x000a_ _x000a_Su petición fue atendida_x000a_ _x000a_" u="1"/>
        <s v="Script BD para eliminar declaraciones Victor Ponce" u="1"/>
        <s v="Se soluciona una null exception para notificaciones" u="1"/>
        <s v="Se cambia el tipo de solicitud del folio: 1407500003021" u="1"/>
        <s v="Se elimina la respuesta del folio:  0002700174821" u="1"/>
        <s v="Notificación de seguimiento  [  MA2710202007 ]  _x000a__x000a_ _x000a__x000a_ _x000a__x000a_Estimado(a):                     Laura Mónica Segovia Tellez_x000a__x000a_ _x000a__x000a_Le informamos que su ticket correspondiente a:_x000a__x000a_               _x000a__x000a_El recurso RRD 1251/20 viene doble en el tablero._x000a__x000a_ _x000a__x000a_Creo que podríamos eliminar el primero._x000a__x000a_ _x000a__x000a_ _x000a__x000a_Aplicación:                  SIGEMI_x000a__x000a_Tipo de Soporte:         Quitar duplicado _x000a__x000a_Observaciones:            _x000a__x000a_ _x000a__x000a_Su petición fue atendida" u="1"/>
        <s v="_x000a_Notificación de seguimiento  [  MA2403202006 ]  _x000a_ _x000a_ _x000a_Estimado(a):                     Rafael González García_x000a_ _x000a_Le informamos que su ticket correspondiente a:_x000a_               _x000a_Actualizar el dato de los 30 días_x000a__x000a_ _x000a_Aplicación:                  SIGEMI_x000a_Tipo de Soporte:         Modificación de valor   _x000a_Observaciones:            _x000a_ _x000a_Su petición fue atendida, se actualizaron las referencias de dias de cumplimiento para el recurso RRA 14374/19, tanto en la tabla donde se guarda la referencia como en los archivos json _x000a_ _x000a_" u="1"/>
        <s v="Se  testan los datos de la solicitud con folio 0002700086621_x000a_ _x000a_" u="1"/>
        <s v="Se elimina la respuesta del folio: 0063700110321" u="1"/>
        <s v="Ambientación para campus Público versión 2.7" u="1"/>
        <s v="Notificación de seguimiento  [  MA1506202202 ]_x000a__x000a_Estimado(a):                Alondra Jiménez Hernández_x000a__x000a_ _x000a_ Le informamos que su ticket correspondiente a:_x000a__x000a__x000a_Anexo el registro del certificado del nuevo Titular de la Unidad de Transparencia de Comisión Nacional de Seguridad Nuclear y Salvaguardias para que su acceso sea habilitado en la Herramienta de Comunicación. _x000a__x000a_ _x000a_Aplicación:                  HCOM_x000a_Tipo de Soporte:         CAMBIO DE CERTIFICADO_x000a_Observaciones:            _x000a_ _x000a_Su petición fue atendida._x000a_ _x000a_ _x000a_" u="1"/>
        <s v="Notificación de seguimiento  [  MA1703202009 ]  _x000a_ _x000a_ _x000a_Estimado(a):                     Lizbeth Adriana Cabrera Ortega_x000a_ _x000a_Le informamos que su ticket correspondiente a:_x000a_               _x000a_Debe decir 17 de marzo_x000a__x000a_ _x000a_Aplicación:                  SIGEMI_x000a_Tipo de Soporte:         CAMBIO DE FECHA  _x000a_Observaciones:            _x000a_ _x000a_Su petición fue atendida_x000a_" u="1"/>
        <s v="Se aplica eliminación de formato de pago: 0000500089321" u="1"/>
        <s v="_x000a_Notificación de seguimiento  [  MA0311202005 ]  _x000a_ _x000a_ _x000a_Estimado(a):                     ALONDRA JIMENEZ_x000a_ _x000a_ _x000a_Le informamos que su ticket correspondiente a:_x000a_               _x000a_Para eliminar el comunicado 004355-IFAI-2020, el cual contiene en su envío documentación con datos erróneos. Acabo de informar la acción a la unidad de transparencia._x000a_ _x000a_Aplicación:                  HCOM_x000a_Tipo de Soporte:         Eliminar comunicado   _x000a_Observaciones:            _x000a_ _x000a_Su petición fue atendida_x000a_ _x000a_" u="1"/>
        <s v="Se cambia el tipo de solicitud del folio: 1857200064021" u="1"/>
        <s v="Notificación de seguimiento  [  MA0809202002 ]  _x000a_ _x000a_ _x000a_Estimado(a):                     Laura Mónica Segovia Tellez_x000a_ _x000a_Le informamos que su ticket correspondiente a:_x000a_               _x000a_El cambio corresponde al RRA 09082/20, por lo que te pido que hagas caso omiso al recurso 8342/20._x000a__x000a_ _x000a_Aplicación:                  SIGEMI_x000a_Tipo de Soporte:         CAMBIO DE MEDIO   _x000a_Observaciones:            _x000a_ _x000a_Su petición fue atendida_x000a_" u="1"/>
        <s v="Notificación de seguimiento  [  MA2002202004 ]  _x000a_ _x000a_ _x000a_Estimado(a):                     Moisés Guzmán Arias_x000a_ _x000a_Le informamos que su ticket correspondiente a:_x000a_               _x000a_regresarse a la actividad de Envío de cumplimiento (Que permite al sujeto obligado enviar su cumplimiento)_x000a__x000a_ _x000a_Aplicación:                  SIGEMI_x000a_Tipo de Soporte:         REGRESO DE PASOS  _x000a_Observaciones:            _x000a_ _x000a_Su petición fue atendida_x000a_" u="1"/>
        <s v="Notificación de seguimiento  [  MA2501202201 ]_x000a__x000a_Estimado(a):                Pedro Esquivel Martínez_x000a__x000a_ _x000a_ Le informamos que su ticket correspondiente a:_x000a_               _x000a_actualización de certificados y titular al haber un cambio del mismo, lo anterior en la HCOM, adjunto archivos_x000a__x000a__x000a_ _x000a_Aplicación:                  HCOM_x000a_Tipo de Soporte:         CAMBIO DE TUT (2)  _x000a_Observaciones:            _x000a_ _x000a_Su petición fue atendida_x000a_" u="1"/>
        <s v="Notificación de seguimiento  [  MA2602202107 ]  _x000a_ _x000a_ _x000a_Estimado(a):                     JOSE FERMIN AGUILAR MANDUJANO_x000a_ _x000a_ _x000a_Le informamos que su ticket correspondiente a:_x000a_               _x000a_cancelación de los siguientes folios de requerimientos en la Herramienta de Comunicación_x000a_ _x000a_Aplicación:                  HCOM_x000a_Tipo de Soporte:         ELIMINAR REQUERIMIENTOS    _x000a_Observaciones:            _x000a_ _x000a_Su petición fue atendida_x000a_" u="1"/>
        <s v="Se aplica eliminación de última respuesta: 12000000820." u="1"/>
        <s v="Ambientación para campus Civil versión 2.1" u="1"/>
        <s v="Se  testan los datos del folio:  1816400108621" u="1"/>
        <s v="Creación ambiente local" u="1"/>
        <s v="Continúa el apoyo en consultas y validación de la información generada con las bases de datos en custodia (casos de diversos estados) en lo referente principalmente a documentación adjunta.  _x000a_Análisis comparativo de la información de los catálogos de municipio, colonias y código postal de entre VUT y Federado._x000a_Se generan los inserts de las tablas tomando como base la información de VUT unificando las banderas recolectadas de Federado. " u="1"/>
        <s v="Buenas tardes José Manuel, tu petición fue atendida, favor de validar _x000a__x000a_Saludos _x000a__x000a_Marina Adame Velasco_x000a__x000a_Notificación de seguimiento  [  MA0406202005 ]  _x000a__x000a_Aplicación:                  INFOMEX QUERÉTARO _x000a_Tipo de Soporte:         CONSULTA DE DATOS    _x000a_Estatus:                               Concluido._x000a__x000a_" u="1"/>
        <s v="Notificación de seguimiento  [  MA0406202001 ]  _x000a_ _x000a_ _x000a_Estimado(a):                     RAFAEL GONZALEZ_x000a_ _x000a_Le informamos que su ticket correspondiente a:_x000a_               _x000a_Reunión con usuarios de Chiapas, para revisar dudas_x000a__x000a_ _x000a_Aplicación:                  SIGEMI_x000a_Tipo de Soporte:         Reunión con usuarios  _x000a_Observaciones:            _x000a_ _x000a_Su petición fue atendida_x000a_" u="1"/>
        <s v="Se  testan los datos del folio: 1816400104221 " u="1"/>
        <s v="Entrenamiento con XGBoost" u="1"/>
        <s v="Se  orienta al titular de Enlace respecto a los plazos." u="1"/>
        <s v="Notificación de seguimiento  [  MA1102202002 ]  _x000a_ _x000a_ _x000a_Estimado(a):                     Katya Elena Mesta de León_x000a_ _x000a_Le informamos que su ticket correspondiente a:_x000a_               _x000a_Por medio del presente solicito tu amable apoyo para regresar el paso de envío de recordatorio dentro del RRA 15154/19._x000a__x000a_ _x000a_Aplicación:                  SIGEMI_x000a_Tipo de Soporte:         REGRESO DE PASOS  _x000a_Observaciones:            _x000a_ _x000a_Su petición fue atendida_x000a_" u="1"/>
        <s v="Notificación de seguimiento  [  MA2912202001 ]  _x000a_  _x000a_Estimado(a):                     Alma Lizbeth Peguero Rivera_x000a_  _x000a_Le informamos que su ticket correspondiente a:_x000a_               _x000a_eliminar el siguiente recurso RRA 14474/20 AAM, ya que se encuentra doble en la PNT para poder trabajar mi actividad_x000a_ _x000a_Aplicación:                  SIGEMI_x000a_Tipo de Soporte:         QUITAR DUPLICADO    _x000a_Observaciones:            _x000a_ _x000a_Su petición fue atendida_x000a_" u="1"/>
        <s v="Definición de Sistema Operativo" u="1"/>
        <s v="Notificación de seguimiento  [  MA0403202108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1º al 26 de marzo 2021 y contando también el periodo vacacional de semana santa; debiéndose considerar los días comprendidos dentro de dicho periodo como inhábiles para evitar la propagación del coronavirus COVID-19._x000a_ _x000a_ _x000a_Aplicación:                  INFOMEX NL_x000a_Tipo de Soporte:         AJUSTE  DE PLAZO   _x000a_" u="1"/>
        <s v="Desarrollo componente dinamico compartido catalogo organos garante, sujetos obligados y unidades de transparencia" u="1"/>
        <s v="Desarrollo componente dinámico compartido catalogo órganos garante, sujetos obligados y unidades de transparencia" u="1"/>
        <s v="Se sustituye archivo adjunto  del folio:  1215100588620 " u="1"/>
        <s v="Notificación de seguimiento  [  MA1711202001 ]  _x000a_  _x000a_Estimado(a):                     Joel Ibáñez Delgado_x000a_  _x000a_Le informamos que su ticket correspondiente a:_x000a_               _x000a_modificación de las fechas de término de los siguientes folios_x000a_ _x000a_Aplicación:                  INFOMEX COLIMA_x000a_Tipo de Soporte:         CAMBIO DE PLAZO    _x000a_Observaciones:            _x000a_ _x000a_Su petición fue atendida_x000a_" u="1"/>
        <s v="Cambios solicitados a componente mi-perfil" u="1"/>
        <s v="Se testan datos del folio 0000400039621 Y 0000400039721 _x000a_" u="1"/>
        <s v="Notificación de seguimiento  [  MA1211202001 ]  _x000a_  _x000a_Estimado(a):                     Laura Segovia_x000a_  _x000a_Le informamos que su ticket correspondiente a:_x000a_               _x000a_cambiado el medio de notificación de Portal a domicilio físico del RRA 7202/20 ya que el escrito libre del particular solicitó que sea por este medio._x000a_ _x000a_Aplicación:                  SIGEMI_x000a_Tipo de Soporte:         CAMBIO DE MEDIO    _x000a_Observaciones:            _x000a_ _x000a_Su petición fue atendida_x000a_" u="1"/>
        <s v="Desarrollo funcionalidad descarga de archivos" u="1"/>
        <s v="probando validación y agregar correciones" u="1"/>
        <s v="Incidencia Adeudos José Baldenas" u="1"/>
        <s v="Se aplica cambio de modalidad a las solicitudes: 0610100028120." u="1"/>
        <s v="Notificación de seguimiento  [  MA1802202010 ]  _x000a_ _x000a_ _x000a_Estimado(a):                     Adriana Elizabeth Hernández García_x000a_ _x000a_Le informamos que su ticket correspondiente a:_x000a_               _x000a_Por medio del presente te comento que al validar el paso denominado Registro de la Resolución Firmada relativo al recurso: _x000a__x000a_RRA 16014/19_x000a__x000a_la PNT se queda pasmada y NO APARECEN las ventanas donde se registran las fechas de firma de los comisionados; de tal manera que queda en blanco.  _x000a_Al respecto, te solicito se realicen las gestiones necesarias a efecto de que se pueda validar el paso referido y así estar en condición de cargar las fechas y que pueda ser notificada la resolución._x000a__x000a_ _x000a_Aplicación:                  SIGEMI_x000a_Tipo de Soporte:         Corrección de incidencia   _x000a_" u="1"/>
        <s v="Notificación de seguimiento  [  MA0609202202 ]_x000a__x000a_Estimado(a):                Edgar Michel Loaeza Martínez_x000a__x000a__x000a_ Le informamos que su ticket correspondiente a:_x000a_               _x000a_Por medio del presente solicito su valioso apoyo a efecto de realizar cambio del Titular de la Unidad de Transparencia del Servicio de Administración Tributaria._x000a__x000a_Para tal efecto, anexo al presente el certificado correspondiente, cédula de registro y nombramiento, lo anterior, a fin de que sus accesos sean habilitados en los sistemas que administra este Instituto (HCOM).  _x000a__x000a_ _x000a_Aplicación:                  HCOM_x000a_Tipo de Soporte:         CAMBIO DE TUT _x000a_Observaciones:            _x000a_ _x000a_Su petición fue atendida_x000a_ _x000a_ _x000a_             Favor de validar.                                                                                                                                                                    _x000a_ _x000a_Estatus:                               Concluido" u="1"/>
        <s v="Entrega de respaldo de base de datos semanal del infomex Guerrero" u="1"/>
        <s v="Generación del documento que enlista todas las URLs registradas en los infomex Estatales con motivo de la recuperación de la información en las nuevas carpetas asignadas, así también y derivado de lo anterior, la corrección de URLs con minúsculas y espacio en el caso Zacatecas donde se observa el nombre del archivo dentro del campo URL y su corrección." u="1"/>
        <s v="Se aplica testado de datos al folio: 0000700084220." u="1"/>
        <s v="Notificación de seguimiento  [  MA0603202009 ]  _x000a_ _x000a_ _x000a_Estimado(a):                     Lizbeth Adriana Cabrera Ortega_x000a_ _x000a_Le informamos que su ticket correspondiente a:_x000a_               _x000a_Solcito de su apoyo a fin de modificar la fecha de interposición al día hábil siguiente de los recursos citados a continuación:_x000a__x000a__x000a_Debe decir 5 de marzo _x000a_ _x000a_Aplicación:                  SIGEMI_x000a_Tipo de Soporte:         Cambio de fechas   _x000a_Observaciones:            _x000a_ _x000a_Su petición fue atendida_x000a_" u="1"/>
        <s v="Notificación de seguimiento  [  MA2904202004 ]  _x000a_ _x000a_ _x000a_Estimado(a):                     Marco Antonio Pereyra Rodríguez_x000a_ _x000a_Le informamos que su ticket correspondiente a:_x000a_               _x000a_Sirva el presente para enviarte un saludo fraterno, al mismo tiempo solicito de manera atenta y respetuosa tu apoyo para realizar el cambio de certificado y contraseña del Sindicato Unificado de Trabajadores del Centro de Investigación Científica y de Educación Superior de Ensenada, lo anterior, en virtud de que hubo un cambio en el Titular de la Unidad de Transparencia, siendo el nuevo Titular el C. Saúl Rodríguez Vélez, en sustitución de la C. Genice Sedano Montalvo._x000a__x000a_ _x000a_Aplicación:                  HCOM_x000a_Tipo de Soporte:         CAMBIO DE TUT   _x000a_Observaciones:            _x000a_ _x000a_Su petición fue atendida, la contraseña del usuario es hcom2020, el certificado se actualizó temporalmente con el de Genice, sin embargo se debe actualizar con el que corresponda al titular _x000a_ _x000a__x000a_ _x000a_" u="1"/>
        <s v="Se agregan las configuraciones a consola de firebase y se modifican los nativos de ios y android para conectar con firebase y demas aplicaciones" u="1"/>
        <s v="Desarrollo para modulo de menu de grupos_x000a_Desarrollo para modulo de registro de grupos_x000a_Desarrollo para modulo de listado de grupos_x000a_Desarrollo para modulo de registro de usuarios" u="1"/>
        <s v="Se elimina la ultima respuesta del folio 0001200101221" u="1"/>
        <s v="Funcionalidad Nivel Recursos Internacionales " u="1"/>
        <s v="Se testan los datos de la solicitud con folio: 0064101642821" u="1"/>
        <s v="Se relizan las pantallas de buscador de obligaciones y selector de obligacion y se agrega funcionalidad en controladores y modelos" u="1"/>
        <s v="_x000a_Notificación de seguimiento  [  MA1803202007 ]  _x000a_ _x000a_ _x000a_Estimado(a):                     Lizbeth Adriana Cabrera Ortega_x000a_ _x000a_Le informamos que su ticket correspondiente a:_x000a_               _x000a__x000a_Pido su amable apoyo a fin de suprimir el recurso cargado manualmente de forma duplicada que a continuación cito:_x000a__x000a_13/03/2020 13/03/2020 15:45 PM Raymundo Muñoz LEYVA INE 2210000284417 Acceso a la Información Manual Ver detalle_x000a__x000a__x000a_ _x000a_Aplicación:                  SIGEMI_x000a_Tipo de Soporte:         Eliminar recurso   _x000a_Observaciones:            _x000a_ _x000a_Su petición fue atendida_x000a_ _x000a_" u="1"/>
        <s v="Ambientación para campus Civil versión 2.2" u="1"/>
        <s v="Se aplica eliminación de formato de pago manual: 0064100256820." u="1"/>
        <s v="Definición de métricas para validar porcentaje de efectividad top 20" u="1"/>
        <s v="Se ralizan cambios en las peticiones del buscador de obligaciones" u="1"/>
        <s v="Buenas tardes Martha, tu petición fue atendida, favor de validar _x000a__x000a_Saludos _x000a__x000a_Marina Adame Velasco_x000a__x000a_Notificación de seguimiento  [  MA0306202009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0605202001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0605202002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0907202004 ]  _x000a__x000a_Aplicación:                  INFOMEX NUEVO LEÓN_x000a_Tipo de Soporte:         AJUSTE DE PLAZO    _x000a_Estatus:                               Concluido._x000a__x000a_" u="1"/>
        <s v="Buenas tardes Martha, tu petición fue atendida, favor de validar _x000a__x000a_Saludos _x000a__x000a_Marina Adame Velasco_x000a__x000a_Notificación de seguimiento  [  MA1008202007 ]  _x000a__x000a_Aplicación:                  INFOMEX NUEVO LEÓN_x000a_Tipo de Soporte:         AJUSTE DE PLAZO    _x000a_Estatus:                               Concluido._x000a__x000a_" u="1"/>
        <s v="Buenas tardes Martha, tu petición fue atendida, favor de validar _x000a__x000a_Saludos _x000a__x000a_Marina Adame Velasco_x000a__x000a_Notificación de seguimiento  [  MA1105202003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1105202004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1205202005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1205202006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1405202003 ]  _x000a__x000a_Aplicación:                  INFOMEX NUEVO LEÓN _x000a_Tipo de Soporte:         AJUSTE DE PLAZO   _x000a_Estatus:                               Concluido._x000a__x000a_" u="1"/>
        <s v="Buenas tardes Martha, tu petición fue atendida, favor de validar _x000a__x000a_Saludos _x000a__x000a_Marina Adame Velasco_x000a__x000a_Notificación de seguimiento  [  MA1407202008 ]  _x000a__x000a_Aplicación:                  INFOMEX NUEVO LEÓN_x000a_Tipo de Soporte:         Ajuste de plazo    _x000a_Estatus:                               Concluido._x000a__x000a_" u="1"/>
        <s v="Buenas tardes Martha, tu petición fue atendida, favor de validar _x000a__x000a_Saludos _x000a__x000a_Marina Adame Velasco_x000a__x000a_Notificación de seguimiento  [  MA1805202007 ]  _x000a__x000a_Aplicación:                  INFOMEX NUEVO LEÓN _x000a_Tipo de Soporte:         AJUSTE DE PLAZO   _x000a_Estatus:                               Concluido._x000a__x000a_" u="1"/>
        <s v="Buenas tardes Martha, tu petición fue atendida, favor de validar _x000a__x000a_Saludos _x000a__x000a_Marina Adame Velasco_x000a__x000a_Notificación de seguimiento  [  MA2306202003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2306202004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2704202004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2704202006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2801202004 ]  _x000a__x000a_Aplicación:                  INFOMEX NUEVO LEÓN_x000a_Tipo de Soporte:         AJUSTE DE PLAZOS   _x000a_Estatus:                               Concluido._x000a__x000a_" u="1"/>
        <s v="Buenas tardes Martha, tu petición fue atendida, favor de validar _x000a__x000a_Saludos _x000a__x000a_Marina Adame Velasco_x000a__x000a_Notificación de seguimiento  [  MA2801202005 ]  _x000a__x000a_Aplicación:                  INFOMEX NUEVO LEÓN_x000a_Tipo de Soporte:         AJUSTE DE PLAZOS   _x000a_Estatus:                               Concluido._x000a__x000a_" u="1"/>
        <s v="_x000a_Notificación de seguimiento  [  MA1808202006 ]  _x000a_ _x000a_ _x000a_Estimado(a):                     HUGO GOVI_x000a_ _x000a_Le informamos que su ticket correspondiente a:_x000a_               _x000a_Por este medio envio la liga de suspensión por COVID-19 del  Instituto de Transparencia, Acceso a la Información y Protección de Datos Personales del Estado de Chiapas_x000a__x000a_https://itaipchiapas.org.mx/emergente/sus17082020.pdf_x000a_Para los efectos pertinentes en la PNT y el SICOM-SIGEMI_x000a__x000a_ _x000a_Aplicación:                  SIGEMI_x000a_Tipo de Soporte:         REVISION DE PLAZOS   _x000a_Observaciones:            _x000a_" u="1"/>
        <s v="Notificación de seguimiento  [  MA1710202203 ]_x000a__x000a_Estimado(a):                Rosalinda Coria Mosqueda_x000a_ _x000a_ Le informamos que su ticket correspondiente a:_x000a_ _x000a_… dejar en prevenir el recurso RRA 15387/22, toda vez que active el no desahogo, y debió ser sólo la prevención._x000a__x000a_ _x000a_Aplicación:                SIGEMI_x000a_Tipo de Soporte        REGRESO DE PASOS _x000a_Observaciones:            _x000a_ _x000a_Su petición fue atendida." u="1"/>
        <s v="Notificación de seguimiento  [  MA2002202001 ]  _x000a_ _x000a_ _x000a_Estimado(a):                     Lizbeth Adriana Cabrera Ortega_x000a_ _x000a_Le informamos que su ticket correspondiente a:_x000a_               _x000a_SOLCITIO DE SU AMABLE APOYO A FIN DE MODIFICAR LA FECHA DE INTERPOSICIÓN AL DÍA 19 DE FEBRERO_x000a__x000a_ _x000a_Aplicación:                  SIGEMI_x000a_Tipo de Soporte:         Actualización de  fechas de interposición_x000a_Observaciones:            _x000a_ _x000a_Su petición fue atendida_x000a_" u="1"/>
        <s v="Notificación de seguimiento  [  MA2505202134 ]_x000a__x000a__x000a_Estimado(a):                Rosalinda Coria Mosqueda_x000a__x000a_ _x000a_ Le informamos que su ticket correspondiente a:_x000a_               _x000a_regresar a la actividad de ampliación el recurso RRA 3232/21, toda vez que por error adjunte otro archivo y no así la ampliación._x000a_ _x000a_Aplicación:                  SIGEMI_x000a_Tipo de Soporte:         Eliminar ampliación_x000a_Observaciones:            _x000a_ _x000a_Su petición fue atendida_x000a_" u="1"/>
        <s v="Notificación de seguimiento  [  MA2511202003 ]  _x000a_ _x000a_ _x000a_Estimado(a):                     Alondra Jiménez Hernández_x000a_ _x000a_ _x000a_Le informamos que su ticket correspondiente a:_x000a_               _x000a_Se anexa el certificado del Titular de la Unidad de Transparencia para su renovación en la Herramienta de Comunicación_x000a_ _x000a_Aplicación:                  HCOM_x000a_Tipo de Soporte:         CAMBIO DE CERTIFICADO _x000a_Observaciones:            _x000a_ _x000a_Su petición fue atendida_x000a_" u="1"/>
        <s v="Notificación de seguimiento  [  MA0603202005 ]  _x000a_ _x000a_ _x000a_Estimado(a):                     Lizbeth Adriana Cabrera Ortega_x000a_ _x000a_Le informamos que su ticket correspondiente a:_x000a_               _x000a_Solcito de su amable apoyo a fin de modificar la fecha de interposición al día hábil siguiente:_x000a__x000a_Debe decir 5 de marzo._x000a__x000a_ _x000a_Aplicación:                  SIGEMI_x000a_Tipo de Soporte:         cambio de fecha  _x000a_Observaciones:            _x000a_ _x000a_Su petición fue atendida_x000a__x000a_" u="1"/>
        <s v="_x000a_Notificación de seguimiento  [  MA0912202001 ]  _x000a_ _x000a_ _x000a_Estimado(a):                     Luis Javier Mendoza Rueda_x000a_ _x000a_ _x000a_Le informamos que su ticket correspondiente a:_x000a_               _x000a_Solicito tu apoyo en el sistema SIGEMI para que sea eliminado de la bandeja de &quot;Turnado de medios de impugnación&quot; el folio: 0106500182320 a nombre de FERMIN SANTOS URQUIZA. Lo anterior se debe a un error de captura en el medio de impugnación. _x000a__x000a_ _x000a_Aplicación:                  IMPUGNACIONES_x000a_Tipo de Soporte:         ELIMINAR REGISTRO   _x000a_Observaciones:            _x000a_ _x000a_Su petición fue atendida_x000a_ _x000a_" u="1"/>
        <s v="Se cambió el tipo de solicitud del folio:  0000500039921" u="1"/>
        <s v="Se sustituye archivo adjunto  del folio: 1816400149921 " u="1"/>
        <s v="Notificación de seguimiento  [  MA1502202101 ]  _x000a_ _x000a_ _x000a_Estimado(a):                     Edgar Michel Loaeza Martínez_x000a_ _x000a_ _x000a_Le informamos que su ticket correspondiente a:_x000a_               _x000a_Por medio del presente solicito su valioso apoyo a efecto de realizar la renovación de certificado del sujeto obligado indirecto de la Secretaría de Relaciones Exteriores en el hcom._x000a__x000a_Para tal efecto, anexo al presente los nuevos certificados, lo anterior, a fin de que sus accesos sean habilitados en los sistemas que administra este Instituto._x000a_ _x000a_Aplicación:                  HCOM_x000a_Tipo de Soporte:         CAMBIO DE CERTIFICADO   _x000a_" u="1"/>
        <s v="Lectura de la documentación proporcionada por el cliente, para su analisis" u="1"/>
        <s v="Notificación de seguimiento  [  MA1703202005 ]  _x000a_ _x000a_ _x000a_Estimado(a):                     Moisés Guzmán Arias_x000a_ _x000a_Le informamos que su ticket correspondiente a:_x000a_               _x000a_Se corrija el correo electrónico del recurso RR-108/2020  _x000a__x000a_Correo actual e incorrecto: hugo.flores@udlap.mx_x000a__x000a_Correo correcto: hugo.floresaz@udlap.mx_x000a__x000a_ _x000a_Aplicación:                  SIGEMI_x000a_Tipo de Soporte:         CAMBIO DE CORREO _x000a_Observaciones:            _x000a_ _x000a_Su petición fue atendida_x000a__x000a_" u="1"/>
        <s v="Notificación de seguimiento  [  MA1608202201 ]_x000a__x000a__x000a_Estimado(a):               Edgar Michel Loaeza Martínez_x000a_ Le informamos que su ticket correspondiente a:_x000a_Por medio del presente solicito su valioso apoyo a efecto de realizar la renovación de Certificados de los sujetos obligados indirectos de la Secretaría de Cultura._x000a__x000a__x000a_Aplicación:                  HCOM_x000a_Tipo de Soporte:        ACTUALIZACIÓN DE CERTIFICADOS ( 9 )_x000a_" u="1"/>
        <s v="Se genera certificado para usuario del INAI Sergio Cortés" u="1"/>
        <s v="Notificación de seguimiento  [  MA0405202004 ]  _x000a_ _x000a_ _x000a_Estimado(a):             Sergio Rafael Cortés Alpizar        _x000a_ _x000a_Le informamos que su ticket correspondiente a:_x000a_               _x000a_Buen día, por medio del presente solicito su apoyo para que se cambie el medio de notificación a domicilio particular en la Plataforma Nacional de Transparencia del recurso de revisión:_x000a_ _x000a_RRA 3981/20 vs PROFECO_x000a__x000a__x000a_ _x000a_Aplicación:                  SIGEMI_x000a_Tipo de Soporte:         REGRESO DE PASOS  _x000a_Observaciones:            _x000a_ _x000a_Su petición fue atendida_x000a_" u="1"/>
        <s v="Prueba dos de etiquetado automatizado SIPOT" u="1"/>
        <s v="Se  testan los datos del folio: 0064101361721" u="1"/>
        <s v="Notificación de seguimiento [ MA140120204 ] _x000a_  _x000a_  _x000a_ Estimado(a): Adriana Elizabeth Hernández Garcia_x000a_  _x000a_ Le informamos que su ticket correspondiente a:_x000a_  _x000a_ Por medio del presente te comento que al validar el paso denominado Registro de la Resolución Firmada relativo al recurso: _x000a_ _x000a_ RRA 13304/19_x000a_ _x000a_ la PNT se queda pasmada y NO APARECEN las ventanas donde se registran las fechas de firma de los comisionados; de tal manera que queda en blanco. _x000a_ Al respecto, te solicito se realicen las gestiones necesarias a efecto de que se pueda validar el paso referido y así estar en condición de cargar las fechas y que pueda ser notificada la resolución._x000a_ Quedo atenta para cualquier duda o comentario al respecto._x000a_ _x000a_  _x000a_ Aplicación: SIGEMI_x000a_ Tipo de Soporte: Correccion de incidencia" u="1"/>
        <s v="Se elmina la respuesta del folio:  0001200264421" u="1"/>
        <s v="Anlisis de funcionalidad del mantenimiento de rolles " u="1"/>
        <s v="Notificación de seguimiento  [  MA1404202117 ]  _x000a_ _x000a_ _x000a_Estimado(a):                     Alondra Jiménez Hernández_x000a_ _x000a_ _x000a_Le informamos que su ticket correspondiente a:_x000a_               _x000a_Anexo el registro actualizado del certificado del Titular de la Unidad de Transparencia del INEGI, para su renovación en la Herramienta de Comunicación_x000a__x000a_Aplicación:                  HCOM_x000a_Tipo de Soporte:         RENOVACION DE CERTIFICADO   _x000a_Observaciones:            _x000a_ _x000a_Su petición fue atendida_x000a_" u="1"/>
        <s v="Notificación de seguimiento  [  MA2806202108 ]_x000a__x000a_Estimado(a):                Edgar Michel Loaeza Martínez_x000a__x000a_ _x000a_ Le informamos que su ticket correspondiente a:_x000a_               _x000a_Solicito su apoyo para poder dar de alta lo certificados que se adjuntan en el sistema hcom, que corresponden a los indirectos de la SSPC así como de la misma SSPC._x000a__x000a_ _x000a_Aplicación:                  HCOM_x000a_Tipo de Soporte:         CAMBIO DE TUT ( 4)  _x000a_Observaciones:            _x000a_ _x000a_Su petición fue atendida_x000a_" u="1"/>
        <s v="Configuración de Jboss con liferay,despliegue de portles, maquetación de modal de ayuda" u="1"/>
        <s v="Desarrollo componente listado de instituciones seleccionadas a las que les solicitas información" u="1"/>
        <s v="Notificación de seguimiento  [  MA0607202011 ]  _x000a_ _x000a_ _x000a_Estimado(a):                     Berenice Hernández Sumano_x000a_ _x000a_Le informamos que su ticket correspondiente a:_x000a_               _x000a_La modificación consiste en cambiar la Leyenda: _x000a__x000a_El Organismo Garante entregó la información el día 6 de Julio de 2020 a las 08:00 hrs, por El Organismo Garante entregó la información el día 3 de Julio de 2020 a las 08:00 hrs._x000a_ _x000a_Aplicación:                  SIGEMI_x000a_Tipo de Soporte:         Actualización de acuses  _x000a_Observaciones:            _x000a_ _x000a_Su petición fue atendida_x000a_" u="1"/>
        <s v="Notificación de seguimiento  [  MA1404202115 ]  _x000a_ _x000a_ _x000a_Estimado(a):                     ALEJANDRA TEJEDA_x000a_ _x000a_ _x000a_Le informamos que su ticket correspondiente a:_x000a_               _x000a_solicito de la manera más atenta su apoyo para la rectificación de suspensión de plazos de un Sujeto obligado, específicamente Congreso del Estado de Baja California, dicho cambio modificaría las fechas de vencimiento de las solicitudes_x000a_ _x000a_Aplicación:                  INFOMEX BCN_x000a_Tipo de Soporte:         AJUSTE DE PLAZO   _x000a_Observaciones:            _x000a_ _x000a_Su petición fue atendida_x000a_" u="1"/>
        <s v="Notificación de seguimiento  [  MA2602202005 ]  _x000a_ _x000a_ _x000a_Estimado(a):                     Lizbeth Adriana Cabrera Ortega_x000a_ _x000a_Le informamos que su ticket correspondiente a:_x000a_               _x000a_Solicito de tu apoyo ya que al hacer el turno de recursos de datos personales, turne un recurso al  Comisionado Salas. Es el RRD 392/20, podrías hacerme favor de anular la acción para que pueda turnarlo al Comisionado Acuña._x000a_ _x000a_Aplicación:                  SIGEMI_x000a_Tipo de Soporte:         Eliminación de Turno   _x000a_Observaciones:            _x000a_ _x000a_Su petición fue atendida_x000a_" u="1"/>
        <s v="Notificación de seguimiento [ MA1002202006]_x000a_ _x000a_ _x000a_Estimado(a):                     Recurso de Revisión_x000a_ _x000a_Le informamos que su ticket correspondiente a:_x000a_               _x000a_Como te comenté vía telefónica, pido de tu apoyo ya que este recurso debe retrotraerse pues  debía ser para el comisionado RMC y se reiteró  el turno a BLIC._x000a__x000a_RRA 1501 1857500002420 Servio Tulio Rosado Pérez PEMEX EXPLORACIÓN Y PRODUCCIÓN _x000a__x000a_ _x000a_Aplicación:                  SIGEMI_x000a_Tipo de Soporte:         Eliminación de turno   _x000a_Observaciones:            _x000a_ _x000a_Su petición fue atendida_x000a_" u="1"/>
        <s v="Notificación de seguimiento  [  MA2105202112 ]  _x000a_ _x000a_ _x000a_Estimado(a):                     Alejandra Tejeda_x000a_ _x000a_ _x000a_Le informamos que su ticket correspondiente a:_x000a_               _x000a_solicito su apoyo para regresar el paso “Evaluación de cumplimiento” dentro del recurso RR/270/2020._x000a__x000a_ _x000a_Aplicación:                  SIGEMI_x000a_Tipo de Soporte:         REGRESO DE PASOS   _x000a_Observaciones:            _x000a_ _x000a_Su petición fue atendida_x000a_ _x000a_  _x000a_            Favor de validar._x000a_ _x000a_Estatus:                               Concluido._x000a_" u="1"/>
        <s v="Ajustes del modulo de Acuses" u="1"/>
        <s v="Realización de búsqueda para fallos posibles sobre disponibilidad de información" u="1"/>
        <s v="Notificación de seguimiento  [  MA1205202004 ]  _x000a_ _x000a_ _x000a_Estimado(a):                     Edgar Michel Loaeza Martínez_x000a_ _x000a_Le informamos que su ticket correspondiente a:_x000a_               _x000a_Por medio del presente solicito su valioso apoyo a efecto de realizar el cambio de certificado del Titular de la Unidad de Transparencia del Instituto Politécnico Nacional._x000a_ _x000a_Aplicación:                  HCOM_x000a_Tipo de Soporte:         CAMBIO DE CERTIFICADO   _x000a_Observaciones:            _x000a_ _x000a_Su petición fue atendida_x000a_" u="1"/>
        <s v="Notificación de seguimiento  [  MA2802202002 ]  _x000a_ _x000a_ _x000a_Estimado(a):                     Sergio Rafael Cortés Alpizar_x000a_ _x000a_Le informamos que su ticket correspondiente a:_x000a_               _x000a_Por este medio solicito se regrese la actividad en la PNT a “Preparación del Proyecto de Resolución”, del siguiente recurso de revisión:_x000a_ _x000a_RRD 0260/20 vs IMSS_x000a__x000a_Lo anterior ya que se anexo mal el archivo de la resolución y vamos a volver a enviarla._x000a_ _x000a_ _x000a_Aplicación:                  SIGEMI_x000a_Tipo de Soporte:         REGRESO DE PASOS  _x000a_Observaciones:            _x000a_ _x000a_Su petición fue atendida_x000a_" u="1"/>
        <s v="Incidencia declaraciones testadas" u="1"/>
        <s v="Se aplica sustitución de archivo de la solicitud:  0064100091820" u="1"/>
        <s v="Se sustituye archivo adjunto y se cambia la modalidad  del folio: 0000600147521" u="1"/>
        <s v="Validación de volumetrías en información compartida sobre SISAI" u="1"/>
        <s v="Validación de usuario y registro de  información. (Cambio de UA)" u="1"/>
        <s v="Notificación de seguimiento  [  MA2511202004 ]  _x000a_ _x000a_ _x000a_Estimado(a):                     Sergio Rafael Cortés Alpizar_x000a_ _x000a_ _x000a_Le informamos que su ticket correspondiente a:_x000a_               _x000a_Por medio del presente, solicito el regreso de actividad a &quot; Registrar si la prevención fue desahogada&quot; del siguiente recurso de revisión:_x000a__x000a_RRD 12156/20 vs Procuraduría Agraria _x000a__x000a_Lo anterior se debe a que el recurrente no desahogo la prevención y se va a desechar._x000a__x000a_ _x000a_Aplicación:                  SIGEMI_x000a_Tipo de Soporte:         REGRESO DE PASOS    _x000a_Observaciones:            _x000a_ _x000a_Su petición fue atendida_x000a_" u="1"/>
        <s v="Notificación de seguimiento  [  MA2708202005 ]  _x000a_ _x000a_ _x000a_Estimado(a):                     Guillermo Delgado Ibarra_x000a_ _x000a_Le informamos que su ticket correspondiente a:_x000a_               _x000a_cambio para que quede correctamente asignado al sujeto obligado correspondiente_x000a_El recurso es_x000a_ _x000a_RR/254/2020      esta asignado al Ayuntamiento de Mexicali_x000a_                               Pero debe ser al Ayuntamiento de Ensenada_x000a_ _x000a_Amarillo incorrecto_x000a_Verde correcto_x000a_ _x000a_Aplicación:                  SIGEMI_x000a_Tipo de Soporte:         CAMBIO DE SUJETO OBLIGADO  _x000a_Observaciones:            _x000a_ _x000a_Su petición fue atendida_x000a_" u="1"/>
        <s v="Notificación de seguimiento  [  MA1606202001 ]  _x000a_ _x000a_ _x000a_Estimado(a):                     Adriana Elizabeth Hernández García_x000a_ _x000a_Le informamos que su ticket correspondiente a:_x000a_               _x000a_Por medio del presente te comento que al validar el paso denominado Registro de la Resolución Firmada relativo al recurso: _x000a__x000a_RRA 03082/20_x000a_RRA 03212/20_x000a_RRD 03322/20_x000a__x000a_la PNT se queda pasmada y NO APARECEN las ventanas donde se registran las fechas de firma de los comisionados; de tal manera que queda en blanco.  _x000a_Al respecto, te solicito se realicen las gestiones necesarias a efecto de que se pueda validar el paso referido y estar en condición de continuar con el proceso de notificación de la resolución._x000a__x000a__x000a_ _x000a_Aplicación:                  SIGEMI_x000a_Tipo de Soporte:         Corrección de incidencia  _x000a_Observaciones:            _x000a_ _x000a_Su petición fue atendida, excepto para el folio RRD 03322/20 que no se localizó_x000a_" u="1"/>
        <s v="Diseño del servicio de respuesta de tokens a diferentes backend" u="1"/>
        <s v="Se aplica eliminación de formato de pago: 0064100410221" u="1"/>
        <s v="Se  testan los datos del folio: 0064101362721" u="1"/>
        <s v="Notificación de seguimiento  [  MA2610202001 ]  _x000a_ _x000a_ _x000a_Estimado(a):                     Ricardo Marin Gonzalez_x000a_ _x000a_Le informamos que su ticket correspondiente a:_x000a_               _x000a_regresar el paso del Sistema de Gestión de Medios de Impugnación (SIGEMI) en la asignación de Recursos de Revisión, toda vez, que el Recurso con número de folio 00767620 corresponde a la ponencia del Comisionado José Orlando Espinosa Rodríguez, y se encuentra asignado a la ponencia de la Comisionada Cintia Yrazu De la Torre Villanueva. Es importante señalar que aunque se ha generado el acuerdo de turno, este no ha sido enviado a la ponencia_x000a_ _x000a_De igual manera, ya se encuentra en la Ponencia de la Comisionada Cintia Yrazu De la Torre Villanueva el recurso de revisión con número de expediente PNTRR/218-20  sin embargo se encuentran mal las siglas correspondientes a la Comisionada en mención, siendo las que están actualmente CYDLT, y debe ser CYDV, por lo que solicito su corrección_x000a_ _x000a_ " u="1"/>
        <s v="Notificación de seguimiento  [  MA2904202103 ]  _x000a_  _x000a_Estimado(a):                     Pedro Esquivel Martínez_x000a_ _x000a_ Le informamos que su ticket correspondiente a:_x000a_               _x000a_Con el gusto de saludarles, y por este medio solicito su valioso apoyo con el cambio de titular y la actualización de certificado en la Herramienta de comunicación HCOM para el sujeto obligado en relación al siguiente cuadro descriptivo. (se adjuntan certificados correspondientes)_x000a__x000a_ _x000a_Clave Presupuestal    Sujeto Obligado Titular de la unidad de transparencia    CERTIFICADO A GENERAR    Contraseña   _x000a_07151  _x000a_Contrato de mandato para el pago de haberes de retiro, pensiones y compensaciones Julio César Meléndez García 07151.Julio César Meléndez García HCOM:_x000a_HCOM07151 _x000a_ _x000a_INFOMEX_x000a_SISI07151 _x000a_ _x000a_ _x000a_Aplicación:                  HCOM_x000a_Tipo de Soporte:         CAMBIO DE TUT   _x000a_Observaciones:            _x000a_ _x000a_Su petición fue atendida_x000a_   _x000a_            Favor de validar._x000a_ _x000a_" u="1"/>
        <s v="Se aplica testado de solicitud: 0002700081420, así como el archivo adjunto." u="1"/>
        <s v="Se aplica testado de solicitud: 0002700081920, así como el archivo adjunto." u="1"/>
        <s v="Se aplica testado de solicitud: 0002700082820, así como el archivo adjunto." u="1"/>
        <s v="Se aplica testado de solicitud: 1816400083220, así como el archivo adjunto." u="1"/>
        <s v="Se aplica testado de solicitud: 1816400083420, así como el archivo adjunto." u="1"/>
        <s v="Notificación de seguimiento  [  MA2008202003 ]  _x000a_ _x000a_ _x000a_Estimado(a):                     Moisés Guzmán Arias_x000a_ _x000a_Le informamos que su ticket correspondiente a:_x000a_               _x000a_cambio de un cambio de nombre del recurrente de un recurso en el SICOM, me indican lo siguiente:_x000a_ _x000a_Número de recurso: RR-272/2020_x000a_El nombre actualmente dice: José Noé Linares Nolasco_x000a_DEBE DECIR: Ángel Linares Nolasco_x000a__x000a_ _x000a_Aplicación:                  SIGEMI_x000a_Tipo de Soporte:         MODIFICACIÓN DE DATOS   _x000a_Observaciones:            _x000a_ _x000a_Su petición fue atendida_x000a_" u="1"/>
        <s v="Notificación de seguimiento  [  MA2906202007 ]  _x000a_ _x000a_ _x000a_Estimado(a):                     Rosalinda Coria Mosqueda_x000a_ _x000a_Le informamos que su ticket correspondiente a:_x000a_               _x000a_ _x000a_Agradeceré su apoyo para solicitar el cambio de medio de notificación a los recursos RRA 06000/20 y RRA 06365/20, en virtud de que el recurrente en su escrito libre solicita como medio de comunicación domicilio._x000a_ _x000a_Aplicación:                  SIGEMI_x000a_Tipo de Soporte:         CAMBIO DE MEDIO ( 2)   _x000a_Observaciones:            _x000a_ _x000a_Su petición fue atendida_x000a_" u="1"/>
        <s v="Realización de pruebas unitarias de generación del Token" u="1"/>
        <s v="La Ventana: ejercicio de los derechos ARCO en el sector privado. " u="1"/>
        <s v="Implementación guards a rutas de la aplicación " u="1"/>
        <s v="Buenas tardes Memo, tu petición fue atendida, favor de validar _x000a_ _x000a_ Saludos _x000a_ _x000a_ Marina Adame Velasco_x000a_ _x000a_ Notificación de seguimiento [ MA1301202006 ] _x000a_ _x000a_ Aplicación: INFOMEX BCN_x000a_ Tipo de Soporte: Consulta de datos _x000a_ Estatus: Concluido." u="1"/>
        <s v="Buenas tardes Memo, tu petición fue atendida, favor de validar _x000a_ _x000a_ Saludos _x000a_ _x000a_ Marina Adame Velasco_x000a_ _x000a_ Notificación de seguimiento [ MA2201202005 ] _x000a_ _x000a_ Aplicación: INFOMEX BCN_x000a_ Tipo de Soporte: CONSULTA DE DATOS _x000a_ Estatus: Concluido." u="1"/>
        <s v="Buenas tardes Memo, tu petición fue atendida, favor de validar _x000a_ _x000a_ Saludos _x000a_ _x000a_ Marina Adame Velasco_x000a_ _x000a_ Notificación de seguimiento [ MA2701202007 ] _x000a_ _x000a_ Aplicación: INFOMEX BCN_x000a_ Tipo de Soporte: CONSULTA DE DATOS _x000a_ Estatus: Concluido." u="1"/>
        <s v="Notificación de seguimiento  [  MA1102202009 ]  _x000a_ _x000a_ _x000a_Estimado(a):                     Luis Javier Mendoza Rueda_x000a_ _x000a_Le informamos que su ticket correspondiente a:_x000a_               _x000a_Solicito tu apoya para el recurso. RR.IP.5299/2019 en el cual se envió una ampliación con el archivo incorrecto, se desea regresar al punto donde se pueda enviar nuevamente, la ponencia a enviado notificación tanto al solicitante como al sujeto obligado mencionando dicho problema._x000a__x000a_ _x000a_Aplicación:                  SIGEMI_x000a_Tipo de Soporte:         Eliminación de ampliación  _x000a_Observaciones:            _x000a_ _x000a_Su petición fue atendida_x000a_" u="1"/>
        <s v="Notificación de seguimiento  [  MA1408202001 ]  _x000a_ _x000a_ _x000a_Estimado(a):                     Luis Herrera Leos_x000a_ _x000a_Le informamos que su ticket correspondiente a:_x000a_               _x000a_Agradeceré su apoyo para modificar el correo electrónico (como medio de notificación) en el recurso RRA 08105/20 SAT, toda vez que en la PNT  aparece el correo mquintanaesteban@tvazteca.com.mx; sin embargo, la particular en su escrito de recurso, señaló el siguiente: montsequintanaesteban@gmail.com_x000a__x000a_ _x000a_Aplicación:                  SIGEMI_x000a_Tipo de Soporte:         CAMBIO DE MEDIO  _x000a_Observaciones:            _x000a_ _x000a_Su petición fue atendida_x000a_" u="1"/>
        <s v="Se  testan los datos del folio: 0002700097321" u="1"/>
        <s v="Eliminar respuesta de la solicitud con folio 0310000017121. " u="1"/>
        <s v="Se genera y habilita el certificado del usuario: Jhonatan Peguero Romero." u="1"/>
        <s v="Se aplica eliminación de última respuesta: 0000500021020" u="1"/>
        <s v="Se  testan los datos del folio: 0064102047621" u="1"/>
        <s v="Se testan los datos de la solicitud con folio: 0064101636821" u="1"/>
        <s v="Implementación de búsqueda de sentidos, para borrado o modificación." u="1"/>
        <s v="Se generó certificado para usuario de dependencia  Mandato para la Estrategia de Fortalecimiento para la Atención a Mexicanos en Estados Unidos" u="1"/>
        <s v="Se da de baja el Sujeto Obligado Fideicomiso Centro de Investigación en_x000a_Materiales Avanzados, S.C., con número de clave 11089_x000a_" u="1"/>
        <s v="Se aplica sustitución de archivo al folio: 0064100217220" u="1"/>
        <s v="Se aplica testado de datos al folio:  0000700068121 " u="1"/>
        <s v="_x000a_Notificación de seguimiento  [  MA1203202002 ]  _x000a_ _x000a_ _x000a_Estimado(a):                     Pedro Esquivel Martínez_x000a_ _x000a_Le informamos que su ticket correspondiente a:_x000a_               _x000a_Anexo el registro actualizado del certificado del Titular de la Unidad de Enlace del  “COMISIÓN NACIONAL FORESTAL” Lo Anterior a fin de que sus accesos sean habilitados en los otros sistemas que administra este Instituto (HCOM).  CAMBIO DE CERTIFICADO, en cuanto se reciba la atención en HCOM se realizará la actualización de los demás sistemas correspondientes._x000a__x000a__x000a_ _x000a_Aplicación:                  HCOM_x000a_Tipo de Soporte:         RENOVACION DE CERTIFICADO  _x000a_Observaciones:            _x000a_ _x000a_Su petición fue atendida_x000a_ _x000a_" u="1"/>
        <s v="Desarrollar funcionalidad back para las estadísticas por usuario (redireccionamiento)" u="1"/>
        <s v="Se continua con el desarrollo del modulo deEntidad Federativa" u="1"/>
        <s v="ajustes a las respuestas para el envio de e mail para el ciudadano." u="1"/>
        <s v="Pruebas de instancia publicas " u="1"/>
        <s v="Se  testan los datos de la solicitud con folio 1816400144721_x000a_ _x000a_" u="1"/>
        <s v="Se  testan los datos del folio y se sustituye archivo de folio  0064101714821" u="1"/>
        <s v="Notificación de seguimiento  [  MA1009202009 ]  _x000a_ _x000a_ _x000a_Estimado(a):                     Edgar Michel Loaeza Martínez_x000a_ _x000a_Le informamos que su ticket correspondiente a:_x000a_               _x000a_Dar de alta el certificado que se adjunta, sujeto obligado indirecto de la Comisión Nacional del Agua._x000a__x000a_" u="1"/>
        <s v="Notificación de seguimiento  [  MA2307202001 ]  _x000a_ _x000a_ _x000a_Estimado(a):                     Lizbeth Adriana Cabrera Ortega_x000a_ _x000a_Le informamos que su ticket correspondiente a:_x000a_               _x000a_Modificación determinada por la ponencia sustanciadora en el expediente electrónico RRD 00922/20._x000a__x000a_El cambio radica en el correo electrónico precisado como medio de notificación._x000a__x000a_DICE spikers89@hotmail.com_x000a__x000a_SOLICITAN DIGA: adriana1234937@gmail.com_x000a__x000a_ _x000a_Aplicación:                  SIGEMI_x000a_Tipo de Soporte:         CAMBIO DE CORREO   _x000a_Observaciones:            _x000a_ _x000a_Su petición fue atendida_x000a_" u="1"/>
        <s v="Se  ajusto el ultimo numero de folio registrado para el Sujeto Obligado MORENA" u="1"/>
        <s v="Notificación de seguimiento  [  MA2007202009 ]  _x000a_ _x000a_ _x000a_Estimado(a):                     Lizbeth Adriana Cabrera Ortega_x000a_ _x000a_Le informamos que su ticket correspondiente a:_x000a_               _x000a_Nuevamente solicito de su amable apoyo con el fin de estar en posibilidad de atender el requerimiento de la ponencia de la Comisionada Ibarra._x000a__x000a_No soy omisa en adicionar correo electrónico en el cual el Proyectista de la ponencia expone Urgencia en la atención del cambio requerido._x000a__x000a_ _x000a_Aplicación:                  SIGEMI_x000a_Tipo de Soporte:         CAMBIO DE NOMBRE DE RECURRENTE Y ACTUALIZACIÓN DE ARCHIVO  _x000a_Observaciones:            _x000a_ _x000a_Su petición fue atendida_x000a_" u="1"/>
        <s v="Notificación de seguimiento  [  MA2805202004 ]  _x000a_ _x000a_ _x000a_Estimado(a):                     Sergio Rafael Cortés Alpizar_x000a_ _x000a_Le informamos que su ticket correspondiente a:_x000a_               _x000a_Por este medio solicito su apoyo para que se cancele las dos actividades de &quot;Enviar Información&quot; en el recurso de revisión RRD 0410/20 interpuesto en contra del Instituto Mexicano del Seguro Social, del día de hoy 28/05/2020, tanto del sujeto obligado como del recurrente._x000a__x000a_Ya las partes tienen conocimiento de la cancelación._x000a_ _x000a_Aplicación:                  SIGEMI_x000a_Tipo de Soporte:         REGRESO DE PASOS  _x000a_Observaciones:            _x000a_ _x000a_Su petición fue atendida_x000a_" u="1"/>
        <s v="Junta de módulos de Usuarios y revision de actividades no integradas en el plan de trabajo, integración de configuracion de para integrar querys personalizados en Modulo de usuarios" u="1"/>
        <s v="Se aplica testado de datos personales: 0000600044620, así como el cambio de modalidad del mismo." u="1"/>
        <s v="Se testan datos del folio: 0064101881921" u="1"/>
        <s v="Notificación de seguimiento  [  MA0305202202 ]_x000a__x000a_Estimado(a):               Edgar Michel Loaeza Martínez_x000a__x000a_ _x000a_ Le informamos que su ticket correspondiente a:_x000a_               _x000a_Por medio del presente solicito su valioso apoyo a efecto de realizar la renovación de Certificado de la Titular de la Unidad de Transparencia de la Secretaría de Hacienda y Crédito Público, lo anterior, en virtud de que, el certificado actual se encuentra vencido._x000a__x000a_ _x000a_ _x000a_Aplicación:                  HCOM_x000a_Tipo de Soporte:         ACTUALIZACIÓN DE CERTIFICADO    _x000a_Observaciones:            _x000a_ _x000a_Su petición fue atendida_x000a_" u="1"/>
        <s v="Notificación de seguimiento  [  MA1610202005 ]  _x000a_ _x000a_ _x000a_Estimado(a):                     Sergio Rafael Cortés Alpizar_x000a_ _x000a_Le informamos que su ticket correspondiente a:_x000a_               _x000a_Por medio del presente, solicito se regrese la actividad a &quot;Preparación del Proyecto de Resolución&quot;  del siguiente recurso de revisión:_x000a__x000a_RRA 10116/20 vs Secretaría de Bienestar_x000a__x000a_Lo anterior se debe a que se va a corregir el archivo de desechamiento y se volverá a enviar._x000a_ _x000a_Aplicación:                  SIGEMI_x000a_Tipo de Soporte:         REGRESO DE PASOS  _x000a_Observaciones:            _x000a_ _x000a_Su petición fue atendida_x000a_" u="1"/>
        <s v="Botón para descargar el programa" u="1"/>
        <s v="Notificación de seguimiento  [  MA3108202104 ]_x000a__x000a_Estimado(a):                Pedro Esquivel Martínez_x000a__x000a_ _x000a_ Le informamos que su ticket correspondiente a:_x000a_               _x000a_por este medio solicito su valioso apoyo con la actualización de los certificados a cargo de los sujetos obligados a cargo del INDEP en la herramienta de comunicación HCOM; se anexan certificados y cuadro descriptivo._x000a_ _x000a_Aplicación:                  HCOM_x000a_Tipo de Soporte:         CAMBIO DE TUT ( 18 )   _x000a_Observaciones:            _x000a_ _x000a_Su petición fue atendida, excepto para el INDEP, ya que ya se había realizado la actualización el día 27 de agosto con los datos enviados_x000a_ _x000a_ _x000a__x000a_             Favor de validar._x000a_ _x000a_Estatus:                               Concluido_x000a_" u="1"/>
        <s v="Notificación de seguimiento  [  MA0403202001 ]  _x000a_ _x000a_ _x000a_Estimado(a):                     Lizbeth Adriana Cabrera Ortega_x000a_ _x000a_Le informamos que su ticket correspondiente a:_x000a_               _x000a_Solicito el cambio de fecha de interposición al día hábil siguiente de los recursos que ingresaron por INFOMEX.:_x000a__x000a_Debe decir 4 DE MARZO._x000a__x000a_03/03/2020 03/03/2020 19:35 PM Rene Velazco Garza SECRETARÍA DE COMUNICACIONES Y TRANSPORTES 0000900054520_x000a_03/03/2020 03/03/2020 21:27 PM Daniel Saucedo O INSTITUTO MEXICANO DEL SEGURO SOCIAL 0064100096520_x000a__x000a_ _x000a_Aplicación:                  SIGEMI_x000a_Tipo de Soporte:         CAMBIO DE FECHA  _x000a_Observaciones:            _x000a_ _x000a_Su petición fue atendida_x000a_" u="1"/>
        <s v="Notificación de seguimiento  [  MA1904202203 ]_x000a__x000a_Estimado(a):                Abraham Obed Gallardo González_x000a__x000a_ _x000a_ Le informamos que su ticket correspondiente a:_x000a_               _x000a_Con el gusto de saludarte y en espera de que todo marche bien, solicito tu amable apoyo para que nos proporcionen un certificado adicional, ya que el correspondiente al titular de la unidad de transparencia del IMER aún no se ha actualizado._x000a__x000a_Aplicación:                  HCOM_x000a_Tipo de Soporte:         Generación de certificado y actualización   _x000a_Observaciones:            _x000a_ _x000a_Su petición fue atendida, se actualizó el certificado, se anexa a este correo._x000a_ _x000a_ _x000a__x000a_             Favor de validar._x000a_ _x000a_Estatus:                               Concluido_x000a_" u="1"/>
        <s v="Se aplica el testado de datos de la solicitud: 0000700003820." u="1"/>
        <s v="Se agrega Google Analytics" u="1"/>
        <s v="Se realiza ordenamiento de campos en tabla datos de banco que se muestra en el recibo de pago" u="1"/>
        <s v="Notificación de seguimiento  [  MA0305202204 ]_x000a__x000a_Estimado(a):                Abraham Obed Gallardo González_x000a__x000a_ _x000a_ Le informamos que su ticket correspondiente a:_x000a_               _x000a_Por este medio me permito anexar el registro actualizado del certificado del Titular de la Unidad de Enlace del Instituto Nacional para la Educación de los Adultos.  Lo Anterior a fin de que sus accesos sean habilitados en los otros sistemas que administra este Instituto (HCOM).  CAMBIO DE TITULAR, en cuanto se reciba la atención en HCOM se realizará la actualización de los demás sistemas correspondientes._x000a__x000a_ _x000a_ _x000a_Aplicación:                  HCOM_x000a_Tipo de Soporte:         ACTUALIZACIÓN DE CERTIFICADO    _x000a_Observaciones:            _x000a_ _x000a_" u="1"/>
        <s v="Se  testan los datos del folio:  0064101303821" u="1"/>
        <s v="Documentación formal CDMX" u="1"/>
        <s v="Se generó certificado para usuario de dependencia con clave 06831, 18114 y 18702" u="1"/>
        <s v="Se agrega nueva mecanica para descargar archivos via GET" u="1"/>
        <s v="Notificación de seguimiento  [  MA0212202102 ]_x000a__x000a_Estimado(a):                Edgar Michel Loaeza Martínez_x000a__x000a_ _x000a_ Le informamos que su ticket correspondiente a:_x000a_               _x000a_Por medio del presente solicito su valioso apoyo a efecto de realizar el cambio de Titular de la Unidad de Transparencia de la Comisión Nacional Bancaria y de Valores._x000a_ _x000a_Para tal efecto, anexo al presente el certificado, nombramiento y cédula de registro, lo anterior, a fin de que sus accesos sean habilitados en los sistemas que administra este Instituto (INFOMEX y HCOM).  _x000a_ _x000a_Aplicación:                  HCOM_x000a_Tipo de Soporte:         CAMBIO DE TUT   _x000a_Observaciones:            _x000a_ _x000a_Su petición fue atendida_x000a_" u="1"/>
        <s v="Notificación de seguimiento  [  MA2611202007 ]  _x000a_ _x000a_ _x000a_Estimado(a):                     Lizbeth Adriana Cabrera Ortega_x000a_ _x000a_ _x000a_Le informamos que su ticket correspondiente a:_x000a_               _x000a_Pido tu apoyo para modificar el recurso indicado en el asunto:_x000a_ _x000a_Dice: Sindicato Nacional de Trabajadores del Instituto Nacional de Bellas Artes y Literatura (SNTINBAL),_x000a_ _x000a_DEBE DECIR: SINDICATO NACIONAL DEMOCRÁTICO DE TRABAJADORES DE LA SECRETARÍA DE CULTURA._x000a_ _x000a_Asimismo, de ser factible podrías apoyarme a que el Acuerdo de Turno pueda ser modificado con tales datos._x000a__x000a_ _x000a_Aplicación:                  SIGEMI_x000a_Tipo de Soporte:         CAMBIO SO_x000a_Observaciones:            _x000a_ _x000a_Su petición fue atendida_x000a_" u="1"/>
        <s v="Notificación de seguimiento  [  MA2608202007 ]  _x000a_ _x000a_ _x000a_Estimado(a):                     Alondra Jiménez Hernández_x000a_ _x000a_Le informamos que su ticket correspondiente a:_x000a_               _x000a_utilizar el certificado que adjunto para el siguiente sujeto obligado en lugar del que te remití anteriormente. Lo que sucede es que acaban de enviar el certificado personal de la TUT:_x000a__x000a_CLAVE DEPENDENCIA/ENTIDAD_x000a_00017 Fiscalía General de la República_x000a__x000a_ _x000a_Aplicación:                  HCOM_x000a_Tipo de Soporte:         CAMBIO DE CERTIFICADO   _x000a_" u="1"/>
        <s v="Se desarrollo una encuesta desde cero en Wordpress" u="1"/>
        <s v="Notificación de seguimiento  [  MA1101202101 ]  _x000a_ _x000a_ _x000a_Estimado(a):                     BERENICE HERNÁNDEZ SUMANO_x000a_  _x000a_Le informamos que su ticket correspondiente a:_x000a_               _x000a_RESPALDO SEMANAL DE LA BASE DE DATOS INFOMEX_x000a_ _x000a_Aplicación:                  INFOMEX OAXACA_x000a_Tipo de Soporte:         RESPALDO   _x000a_Observaciones:            _x000a_ _x000a_Su petición fue atendida, se subió el respaldo de su base de datos de esta semana…_x000a__x000a__x000a_http://documentos.inai.org.mx/tmp/infomexOAX_backup_2021-01-11_0800.bak_x000a__x000a__x000a_NOTA: El respaldo estará disponible una semana  _x000a__x000a_  _x000a_            Favor de validar._x000a_ _x000a_Estatus:                               Concluido._x000a_" u="1"/>
        <s v="Notificación de seguimiento  [  MA2904202111 ]  _x000a_ _x000a_ Estimado(a):                     Moisés Guzmán Arias_x000a_  _x000a_Le informamos que su ticket correspondiente a:_x000a_               _x000a_ampliar el término para prevenirlo al 3 de mayo de 2021…_x000a_ _x000a_01566820  estableciendo el término al día 03/05/2021 (03 de mayo de 2021) (CECSNSP)_x000a_00266321  estableciendo el término al día 03/05/2021 (03 de mayo de 2021) (CECSNSP)_x000a_ _x000a_Aplicación:                  INFOMEX PUEBLA_x000a_Tipo de Soporte:         AJUSTE DE PLAZO   _x000a_Observaciones:            _x000a_ _x000a_Su petición fue atendida_x000a_ _x000a_  _x000a_            Favor de validar._x000a_ _x000a_Estatus:                               Concluido._x000a_" u="1"/>
        <s v="Notificación de seguimiento  [  MA2002202002 ]  _x000a_ _x000a_ _x000a_Estimado(a):                     Sandra Steffany Díaz Sosa_x000a_ _x000a_Le informamos que su ticket correspondiente a:_x000a_               _x000a_En relación con el recurso de revisión RRD 0263/20 (INFONAVIT), solicito de su invaluable apoyo para que en la Plataforma Nacional de Transparencia se modifique el rubro de “Nombre de la Recurrente”, para quedar como sigue:_x000a_ _x000a_Dice: “Loreto Adriana Cabrera Barraza”_x000a_Debe decir: “Dennys Adriana Plácido Cabrera”_x000a_ _x000a_Lo anterior, en virtud de que del análisis a las constancias que se encuentran anexas al expediente, fue posible advertir que la C. Dennys Adriana Plácido Cabrera (recurrente), requirió acceso a datos personales de una persona fallecida, a saber, la C. Loreto Adriana Cabrera Barraza, tal y como ha quedado asentado en los diversos acuerdos de trece y diecinueve de febrero de dos mil veinte, mismos que se anexan al presente para mayor referencia. _x000a_ _x000a_En este tenor, se pide su apoyo para realizar la modificación pertinente en la Plataforma Nacional de Transparencia a fin de realizar las notificaciones subsecuentes, con los registros pertinentes._x000a__x000a__x000a_ _x000a_Aplicación:                  SIGEMI_x000a_Tipo de Soporte:         Corrección de nombre de recurrente  _x000a_" u="1"/>
        <s v="Implementación botón movimientos disponibles en pantalla mi historial" u="1"/>
        <s v="Notificación de seguimiento  [  MA1103202009 ]  _x000a_ _x000a_ _x000a_Estimado(a):                     Rosalinda Coria Mosqueda_x000a_ _x000a_Le informamos que su ticket correspondiente a:_x000a_               _x000a_Agradeceré registrar la cuenta de correo electrónico manuel.ramirez.betancourt@gmail.com, en el recurso RRD 0349/20 en contra CODADIC, en virtud de la imposibilidad que notificar en la cuenta registrada, y derivado de la solicitud manifestada por el solicitante de ser notificado en esta nueva cuenta de correo._x000a__x000a_ _x000a_Aplicación:                  SIGEMI_x000a_Tipo de Soporte:         CAMBIO DE CORREO   _x000a_Observaciones:            _x000a_ _x000a_Su petición fue atendida_x000a_" u="1"/>
        <s v="Notificación de seguimiento  [  MA3003202102 ]  _x000a_ _x000a_ _x000a_Estimado(a):                     YARENNI ADAME_x000a_ _x000a_ _x000a_Le informamos que su ticket correspondiente a:_x000a_               _x000a_SE CORRIJAN LAS FECHAS DE VENCIMIENTO POR LOS DIAS DE DESCANSO DE LOS SIGUIENTES FOLIOS:  00145621, 00151921 Y 00153221_x000a__x000a_ADJUNTO A ESTE CORREO CAPTURA DE PANTALLA DEL SISTEMA ENVIADA POR EL SUJEOT OBLIGADO, EN LA CUAL SE PUEDE CORROBORAR QUE LOS TERMINOS NO SE SUSPENDIEORN PARA DAR RESPUESTA A LAS SOLICITUDES._x000a__x000a_ _x000a_Aplicación:                  INFOMEX GUERRERO_x000a_Tipo de Soporte:         AJUSTE DE PLAZO   _x000a_Observaciones:            _x000a_ _x000a_Su petición fue atendida_x000a_" u="1"/>
        <s v="Implementación servicio consulta usuarios" u="1"/>
        <s v="Se  testan los datos del folio: 0064101663221" u="1"/>
        <s v="Notificación de seguimiento  [  MA2601202105 ]  _x000a_ _x000a_ _x000a_Estimado(a):                     Pedro Esquivel Martínez_x000a_ _x000a_ _x000a_Le informamos que su ticket correspondiente a:_x000a_               _x000a_por este medio Anexo el registro actualizado del certificado del Titular de la Unidad de Enlace del  “Procuraduría de la Defensa del Contribuyente” Lo Aanterior a fin de que sus accesos sean habilitados en los otros sistemas que administra este Instituto (HCOM).  CAMBIO DE  TITULAR, en cuanto se reciba la atención en HCOM se realizará la actualización de los demás sistemas correspondientes._x000a_ _x000a_Aplicación:                  HCOM_x000a_Tipo de Soporte:         CAMBIO TUT   _x000a_Observaciones:            _x000a_ _x000a_Su petición fue atendida_x000a_" u="1"/>
        <s v="Notificación de seguimiento  [  MA0802202117 ]  _x000a_ _x000a_ _x000a_Estimado(a):                     ALEJANDRA TEJEDA_x000a_ _x000a_ _x000a_Le informamos que su ticket correspondiente a:_x000a_               _x000a_REPORTE SOLICITUDES 2021 _x000a_ _x000a_Aplicación:                  INFOMEX BCN_x000a_Tipo de Soporte:         REPORTE   _x000a_Observaciones:            _x000a_ _x000a_Su petición fue atendida_x000a_" u="1"/>
        <s v="SUSTITUCIÓN TEXTO Y ADJUNTO EN SOLICITUD DE INFORMACION 0064100841421" u="1"/>
        <s v="Análisis de ontologías" u="1"/>
        <s v="OT" u="1"/>
        <s v="Instalación y revisión de entrega ND" u="1"/>
        <s v="Se aplica eliminación de última respuesta de la solicitud: 1200400006820" u="1"/>
        <s v="Validación de congruencia de etiquetado SIPOT" u="1"/>
        <s v="Notificación de seguimiento  [  MA1111202009 ]  _x000a_ _x000a_ _x000a_Estimado(a):                     JAIME ENRIQUE MUÑOZ_x000a_ _x000a_Le informamos que su ticket correspondiente a:_x000a_               _x000a_con relación al recurso de revisión RRD 01538/20 se elimine el registro de “ADMISIÓN DEL RECURSO”, es decir, se regresen los pasos a “Admitir/Prevenir”, en virtud de que por error involuntario se -admitió el recurso-, cuando lo pertinente era prevenir al recurrente, mismo que el acuerdo que se le adjuntó es referente a una prevención._x000a__x000a_Aplicación:                  SIGEMI_x000a_Tipo de Soporte:         REGRESO DE PASOS    _x000a_Observaciones:            _x000a_ _x000a_Su petición fue atendida_x000a_" u="1"/>
        <s v="_x000a_Notificación de seguimiento  [  MA0103202102 ]  _x000a_ _x000a_ _x000a_Estimado(a):                     BERENICE HERNÁNDEZ SUMANO_x000a_  _x000a_Le informamos que su ticket correspondiente a:_x000a_               _x000a_RESPALDO SEMANAL DE LA BASE DE DATOS INFOMEX_x000a_ _x000a_Aplicación:                  INFOMEX OAXACA_x000a_Tipo de Soporte:         RESPALDO   _x000a_Observaciones:            _x000a_ _x000a_Su petición fue atendida, se subió el respaldo de su base de datos de esta semana…_x000a__x000a__x000a_http://documentos.inai.org.mx/tmp/infomexOAX_backup_2021-03-01_0800.bak_x000a__x000a__x000a_NOTA: El respaldo estará disponible una semana  _x000a_" u="1"/>
        <s v="Se  testan los datos del folio: 0064101344721" u="1"/>
        <s v="Notificación de seguimiento  [  MA2907202004 ]  _x000a_ _x000a_ _x000a_Estimado(a):                     Edgar Michel Loaeza Martínez_x000a_ _x000a_Le informamos que su ticket correspondiente a:_x000a_               _x000a_alta el certificado que se adjunta, sujeto obligado de la Secretaría de Educación Pública._x000a_ _x000a_Aplicación:                  HCOM_x000a_Tipo de Soporte:         CAMBIO DE TUT ( 4 )   _x000a_Observaciones:            _x000a_ _x000a_Su petición fue atendida, la contraseña de los nuevos titulares es hcom2020_x000a_ _x000a_" u="1"/>
        <s v="Notificación de seguimiento  [  MA1303202008 ]  _x000a_ _x000a_ _x000a_Estimado(a):                     Lizbeth Adriana Cabrera Ortega_x000a_ _x000a_Le informamos que su ticket correspondiente a:_x000a_               _x000a_DEBE DECIR 12 DE MARZO_x000a__x000a_ _x000a_Aplicación:                  SIGEMI_x000a_Tipo de Soporte:         CAMBIO DE FECHA  ( 39 ) _x000a_Observaciones:            _x000a_ _x000a_Su petición fue atendida_x000a_" u="1"/>
        <s v="_x000a_Buenos días Berenice, tu petición fue atendida, la eliminación de acuses esta en proceso, favor de validar _x000a__x000a_Saludos _x000a__x000a_Marina Adame Velasco_x000a__x000a_Notificación de seguimiento  [  MA0608202009 ]  _x000a__x000a_Aplicación:                  INFOMEX OAXACA_x000a_Tipo de Soporte:         Ajuste de plazos    _x000a_Estatus:                               Concluido._x000a_" u="1"/>
        <s v="Publicación de trabajos ganadores" u="1"/>
        <s v="Notificación de seguimiento  [  MA2105202005 ]  _x000a_ _x000a_ _x000a_Estimado(a):                     Moisés Guzmán Arias_x000a_ _x000a_Le informamos que su ticket correspondiente a:_x000a_               _x000a_Revisión de Fechas de los Recursos de Puebla_x000a__x000a_ _x000a_Aplicación:                  SIGEMI_x000a_Tipo de Soporte:         Revisión de fechas  _x000a_Observaciones:            _x000a_ _x000a_Anexo a este correo las fechas limite de votación actuales y la fecha ajustada, así como las fechas de cumplimientos detectadas en el periodo mencionado, favor de validar para el ajuste de fechas limite y en el caso de los cumplimientos, nos podrías indicar si requieren algun ajuste_x000a__x000a_ _x000a_Estatus:                               Concluido._x000a_" u="1"/>
        <s v="Se aplica el testado de datos de la solicitud: 0000700035820." u="1"/>
        <s v="Notificación de seguimiento  [  MA0605202201 ]_x000a__x000a_Estimado(a):                Abraham Obed Gallardo González_x000a__x000a_ _x000a_ Le informamos que su ticket correspondiente a:_x000a__x000a__x000a_               _x000a_Con el gusto de saludarles, por instrucciones del Lic. Pedro González Benítez, Director General, solicito su amable apoyo para actualizar el certificado del Titular de la Unidad de Enlace de Talleres Gráficos de México.  Lo Anterior a fin de que sus accesos sean habilitados en los otros sistemas que administra este Instituto (HCOM).  CAMBIO DE TITULAR, en cuanto se reciba la atención en HCOM se realizará la actualización de los demás sistemas correspondientes._x000a__x000a_ _x000a_ _x000a_Aplicación:                  HCOM_x000a_Tipo de Soporte:         ACTUALIZACIÓN DE CERTIFICADO    _x000a_Observaciones:            _x000a_ _x000a_" u="1"/>
        <s v="Notificación de seguimiento  [  MA0504202104 ]  _x000a_ _x000a_ _x000a_Estimado(a):                     BERENICE HERNÁNDEZ SUMANO_x000a_  _x000a_Le informamos que su ticket correspondiente a:_x000a_               _x000a_RESPALDO SEMANAL DE LA BASE DE DATOS INFOMEX_x000a_ _x000a_Aplicación:                  INFOMEX OAXACA_x000a_Tipo de Soporte:         RESPALDO   _x000a_Observaciones:            _x000a_ _x000a_Su petición fue atendida, se subió el respaldo de su base de datos de esta semana…_x000a__x000a_http://documentos.inai.org.mx/tmp/infomexOAX_backup_2021-04-05_1106.bak_x000a__x000a__x000a_NOTA: El respaldo estará disponible una semana  _x000a__x000a_" u="1"/>
        <s v="Notificación de seguimiento  [  MA1502202106 ]  _x000a_ _x000a_ _x000a_Estimado(a):                     BERENICE HERNÁNDEZ SUMANO_x000a_  _x000a_Le informamos que su ticket correspondiente a:_x000a_               _x000a_RESPALDO SEMANAL DE LA BASE DE DATOS INFOMEX_x000a_ _x000a_Aplicación:                  INFOMEX OAXACA_x000a_Tipo de Soporte:         RESPALDO   _x000a_Observaciones:            _x000a_ _x000a_Su petición fue atendida, se subió el respaldo de su base de datos de esta semana…_x000a__x000a_http://documentos.inai.org.mx/tmp/infomexOAX_backup_2021-02-15_0800.bak_x000a__x000a__x000a_NOTA: El respaldo estará disponible una semana  _x000a__x000a_" u="1"/>
        <s v="Notificación de seguimiento  [  MA1904202103 ]  _x000a_ _x000a_ _x000a_Estimado(a):                     BERENICE HERNÁNDEZ SUMANO_x000a_  _x000a_Le informamos que su ticket correspondiente a:_x000a_               _x000a_RESPALDO SEMANAL DE LA BASE DE DATOS INFOMEX_x000a_ _x000a_Aplicación:                  INFOMEX OAXACA_x000a_Tipo de Soporte:         RESPALDO   _x000a_Observaciones:            _x000a_ _x000a_Su petición fue atendida, se subió el respaldo de su base de datos de esta semana…_x000a__x000a_http://documentos.inai.org.mx/tmp/infomexOAX_backup_2021-04-19_0800.bak_x000a__x000a__x000a_NOTA: El respaldo estará disponible una semana  _x000a__x000a_" u="1"/>
        <s v="Análisis y aplicación de solución para ambientes locales de actualización moodle en sus diferentes fases y creación de OT para su aplicación een producción" u="1"/>
        <s v="Notificación de seguimiento  [  MA1011202001 ]  _x000a_ _x000a_ _x000a_Estimado(a):                     Joel Ibáñez Delgado_x000a_ _x000a_ _x000a_Le informamos que su ticket correspondiente a:_x000a_               _x000a_ACTUALIZACIÓN DE FECHAS EN LOS FOLIOS ENVIADOS _x000a_ _x000a_Aplicación:                  INFOMEX COLIMA_x000a_Tipo de Soporte:         AJUSTE DE PLAZOS    _x000a_Observaciones:            _x000a_ _x000a_Su petición fue atendida_x000a_" u="1"/>
        <s v="Se aplica sustitución de archivo al folio: 2210300110119." u="1"/>
        <s v="Creación de la nueva sección de cambio de datos en el módulo de usuarios" u="1"/>
        <s v="Notificación de seguimiento  [  MA1107202205 ]_x000a__x000a__x000a_Estimado(a):               María Fernanda Trejo Vargas_x000a__x000a_ Le informamos que su ticket correspondiente a:_x000a__x000a_Solicito su amable apoyo para asignar en la Herramienta de comunicación, el certificado adjunto al presente SO que se precisa a continuación:_x000a_ _x000a_Clave _x0009_Sujeto obligado _x0009_Siglas hcom _x0009_Nombre del titular del sujeto obligado _x0009_Correo electrónico  _x0009_Contraseña para hcom _x000a_60313 _x0009_Sindicato Revolucionario Nacional de Trabajadores de la Secretaría de Comunicaciones y Transportes _x0009_SRTSCT _x0009_SONIA OVIEDO BAUTISTA_x0009_soviedosony@gmail.com; soviedob@sct.gob.mx _x000a_hcom2022 _x000a__x000a__x000a__x000a_Aplicación:                  HCOM_x000a_Tipo de Soporte:         CAMBIO DE TUT  _x000a_Observaciones:            _x000a_ _x000a_Su petición fue atendida " u="1"/>
        <s v="Se  testan los datos del folio: 1816400075421" u="1"/>
        <s v="Se aplica eliminación de formato de pago: 0001700142521" u="1"/>
        <s v="Se  testan los datos de la solicitud con folio 1816400093121" u="1"/>
        <s v="Notificación de seguimiento  [  MA0302202106 ]  _x000a_ _x000a_ _x000a_Estimado(a):                     Pedro Esquivel Martínez_x000a_ _x000a_ _x000a_Le informamos que su ticket correspondiente a:_x000a_               _x000a_solicito su valioso apoyo con la asignación del certificado en HCOM para el sujeto obligado de acuerdo al siguiente cuadro descriptivo…_x000a_ _x000a_Aplicación:                  HCOM_x000a_Tipo de Soporte:         CAMBIO TUT   _x000a_" u="1"/>
        <s v="Se aplica eliminación de formato de pago manual: 1113700012619 por segunda ocasión." u="1"/>
        <s v="Notificación de seguimiento  [  MA1002202001 ]  _x000a_ _x000a_ _x000a_Estimado(a):                     Mariana Ojeda Montes De Oca_x000a_ _x000a_Le informamos que su ticket correspondiente a:_x000a_               _x000a_Por medio del presente, solicito de la forma más atenta que, respecto del RRA 16089/19 sea modificado el medio autorizado por el recurrente para realizar notificaciones, en tanto que a través de correo electrónico de fecha 28 de enero de 2020, la parte recurrente solicitó a esta Ponencia se modificará el domicilio señalado para tales efectos. _x000a__x000a_El correo electrónico señalado es la siguiente: aylinroxana.mh@outlook.com_x000a__x000a_ _x000a_Aplicación:                  SIGEMI_x000a_Tipo de Soporte:         Cambio de Medio y cambio de correo_x000a_  _x000a_Observaciones:            _x000a_ _x000a_Su petición fue atendida_x000a_" u="1"/>
        <s v="Implementación validar acceso a endpoints monitor" u="1"/>
        <s v="Se aplica respuesta a la solicitud: 1123300000620." u="1"/>
        <s v="Se cambió el tipo de solicitud del folio:  0063700073321" u="1"/>
        <s v="Se  testan los datos del folio: 0064101221721" u="1"/>
        <s v="Se testan los datos  del folio: 0064101443721" u="1"/>
        <s v="Notificación de seguimiento  [  MA1712202101 ]_x000a__x000a_Estimado(a):                Pedro Esquivel Martínez_x000a__x000a_ _x000a_ Le informamos que su ticket correspondiente a:_x000a_               _x000a_solicito su valioso apoyo con las actualizaciones del certificado en la HCOM, lo anterior debido al vencimiento de los mismos; se adjunta cuadro descriptivo y certificados correspondientes._x000a__x000a_Clave Presupuestal Fideicomiso_x000a_  Siglas_x000a_  Actual Titular_x000a_  CERTIFICADO A GENERAR Contraseña_x000a_HCOM Contraseña _x000a_18674 Fideicomiso para apoyo a la investigación científica y desarrollo tecnológico IMP F1 Jorge Aurelio Ochoa Morales 18674.Jorge.Aurelio.Ochoa.Morales HCOM18674 SISI18674 _x000a_18675 Fideicomiso para pensionados del IMP IMP F2 Jorge Aurelio Ochoa Morales 18675.Jorge Aurelio Ochoa Morales _x000a_HCOM18675 SISI18675 _x000a_18676 Fideicomiso plan de pensiones para el personal activo del IMP IMP F3 Jorge Aurelio Ochoa Morales 18676.Jorge Aurelio Ochoa Morales _x000a_HCOM18676 SISI18676 _x000a_18677 Fondo de ahorro IMP F4 Jorge Aurelio Ochoa Morales 18677.Jorge Aurelio Ochoa Morales HCOM18677 SISI18677 _x000a_._x000a_ _x000a_Aplicación:                  HCOM_x000a_Tipo de Soporte:         ACTUALIZAR CERTIFICADO ( 4 )  _x000a_Observaciones:            _x000a_ _x000a_Su petición fue atendida_x000a_ _x000a_ _x000a__x000a_             Favor de validar._x000a_ _x000a_Estatus:                               Concluido_x000a_" u="1"/>
        <s v="BUSQUEDA AVANZADA POR CAMPO (buscadores tematicos2)" u="1"/>
        <s v="Se  testan los datos de la solicitud con folio 0063700211821_x000a_ _x000a_" u="1"/>
        <s v="Notificación de seguimiento  [  MA1310202201 ]_x000a__x000a_Estimado(a):                Alondra Jiménez Hernández_x000a__x000a_ _x000a_ Le informamos que su ticket correspondiente a:_x000a_ _x000a_Anexo el registro actualizado del certificado del nuevo Titular de la Unidad de Transparencia de INFOTEC Centro de Investigación e Innovación en Tecnologías de la Información y Comunicación para que su acceso sea habilitado en la Herramienta de Comunicación. _x000a_ _x000a_ _x000a_ _x000a_Aplicación:                HCOM_x000a_Tipo de Soporte        CAMBIO DE TUT _x000a_Observaciones:            _x000a_ _x000a_Su petición fue atendida._x000a_ _x000a_ _x000a_Favor de validar._x000a_ _x000a_Estatus:                               Concluido" u="1"/>
        <s v="Notificación de seguimiento  [  MA2306202113 ]_x000a__x000a_Estimado(a):                Pedro Esquivel Martínez_x000a__x000a_ _x000a_ Le informamos que su ticket correspondiente a:_x000a_               _x000a_ por este medio Anexo los archivos y el registro actualizado del certificado del Titular de la Unidad de Enlace de la “Morena”.  Lo Anterior a fin de que sus accesos sean habilitados en los otros sistemas que administra este Instituto (HCOM).  CAMBIO DE  TITULAR, en cuanto se reciba la atención en HCOM se realizará la actualización de los demás sistemas correspondientes. Se adjunta cuadro descriptivo_x000a_ _x000a_Aplicación:                  HCOM_x000a_Tipo de Soporte:         CAMBIO DE TUT  _x000a_Observaciones:            _x000a_ _x000a_Su petición fue atendida_x000a_" u="1"/>
        <s v="Notificación de seguimiento  [  MA2604202109 ]  _x000a_  _x000a_Estimado(a):                     Martha Rubí Zaragoza Mora_x000a_  _x000a_Le informamos que su ticket correspondiente a:_x000a_               _x000a_El presente correo es para pedir su amable apoyo para el ajuste de términos de los folios debido al Acuerdo que enviaron los siguientes Sujetos Obligados a la COTAI por el cual se amplían la fecha del 09 al 30 de abril 2021; debiéndose considerar los días comprendidos dentro de dicho periodo como inhábiles para evitar la propagación del coronavirus COVID-19._x000a_ _x000a_Aplicación:                  INFOMEX FEDERAL                  _x000a_Tipo de Soporte:         AJUSTE DE PLAZO    _x000a_Observaciones:            _x000a_ _x000a_Su petición fue atendida_x000a_" u="1"/>
        <s v="Resolución de incidencias reportadas por el equipo de calidad" u="1"/>
        <s v="Notificación de seguimiento  [  MA2204202002 ]  _x000a_ _x000a_ _x000a_Estimado(a):                     Edgar Michel Loaeza Martínez_x000a_ _x000a_Le informamos que su ticket correspondiente a:_x000a_               _x000a_Solicito su amable apoyo a fin de que sea regresado el paso del recurso de revisión RRA 7303/19  al paso admitir/prevenir/desechar Por medio del presente solicito su valioso apoyo a efecto de dar de alta el certificado de Titular de la Unidad de Transparencia del “Agencia Federal de Aviación Civil”_x000a__x000a_Para tal efecto, anexo al presente el certificado, lo anterior, a fin de que sus accesos sean habilitados en los sistemas que administra este Instituto (HCOM).  _x000a__x000a_ _x000a_Aplicación:                  HCOM_x000a_Tipo de Soporte:         CAMBIO DE TUT   _x000a_Observaciones:            _x000a_ _x000a_Su petición fue atendida_x000a_" u="1"/>
        <s v="Optimización del script de etiquetado automatizado SIPOT" u="1"/>
        <s v="Actualización y pruebas de funcionalidad de campus Público 3.7.3" u="1"/>
        <s v="Crear modulo de niveles y temas" u="1"/>
        <s v="Notificación de seguimiento  [  MA1311202002 ]  _x000a_ _x000a_ Estimado(a):                     Berenice Hdz_x000a_  _x000a_Le informamos que su ticket correspondiente a:_x000a_               _x000a_ajustar la fecha de vencimiento de la solicitud 01183920._x000a__x000a_Fecha de vencimiento: 07/12/2020 23:59._x000a_ _x000a_Aplicación:                  INFOMEX OAXACA_x000a_Tipo de Soporte:         CAMBIO DE PLAZO _x000a_Observaciones:            _x000a_ _x000a_Su petición fue atendida_x000a_" u="1"/>
        <s v="Notificación de seguimiento  [  MA2602202106 ]  _x000a_ _x000a_ _x000a_Estimado(a):                     DAVID MENDOZA OLIVA_x000a_ _x000a_ _x000a_Le informamos que su ticket correspondiente a:_x000a_               _x000a_cancelación de los siguientes folios de requerimientos en la Herramienta de Comunicación_x000a_ _x000a_Aplicación:                  HCOM_x000a_Tipo de Soporte:         ELIMINAR REQUERIMIENTOS    _x000a_Observaciones:            _x000a_ _x000a_Su petición fue atendida_x000a_" u="1"/>
        <s v="Se testan los datos de la solicitud con folio: 0064101434821" u="1"/>
        <s v="Notificación de seguimiento  [  MA2204202104 ]  _x000a_ _x000a_ _x000a_Estimado(a):                     Pedro Esquivel Martínez_x000a_ _x000a_ _x000a_Le informamos que su ticket correspondiente a:_x000a_               _x000a_por este medio Anexo el registro actualizado del certificado del Titular de la Unidad de Enlace del  “Corredor Interoceánico del Istmo de Tehuantepec” Lo Anterior a fin de que sus accesos sean habilitados en los otros sistemas que administra este Instituto (HCOM).  CAMBIO DE  CERTIFICADO, en cuanto se reciba la atención en HCOM se realizará la actualización de los demás sistemas correspondientes._x000a_ _x000a_Aplicación:                  HCOM_x000a_Tipo de Soporte:         RENOVACIÓN DE CERTIFICADO   _x000a_Observaciones:            _x000a_ _x000a_Su petición fue atendida_x000a_" u="1"/>
        <s v="Notificación de seguimiento  [  MA2508202002 ]  _x000a_ _x000a_ _x000a_Estimado(a):                     Pedro Esquivel Martínez_x000a_ _x000a_Le informamos que su ticket correspondiente a:_x000a_               _x000a_por este medio Anexo el registro actualizado del certificado del Titular de la Unidad de Enlace del  “Comisión Nacional de Cultura Física y Deporte”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_x000a_Tipo de Soporte:         ACTUALIZACIÓN DE CERTIFICADO   _x000a_Observaciones:            _x000a_ _x000a_Su petición fue atendida_x000a_" u="1"/>
        <s v="Notificación de seguimiento  [  MA1011202003 ]  _x000a_  _x000a_Estimado(a):                     Moisés Guzmán Arias_x000a_ _x000a_Le informamos que su ticket correspondiente a:_x000a_               _x000a_Mira particularmente, el se refiere a la fecha que se registra en el formulario Registro de información del pleno, en ese formulario capturan la fecha que en el formulario se denomina Fecha de votación del pleno, esa es la fecha que me indica que se capturó mal y que es la que se debe de modificar, no tengo conocimiento de como se denomine dentro de la base de datos, pero en el formulario está etiquetada de esa manera, te mando la imagen, va subrayado el nombre de la fecha indicada._x000a__x000a__x000a_Aplicación:                  IMPUGNACIONES_x000a_Tipo de Soporte:         CAMBIO FECHA_x000a_Observaciones:            _x000a_ _x000a_Su petición fue atendida_x000a_" u="1"/>
        <s v="Notificación de seguimiento  [  MA2808202008 ]  _x000a_ _x000a_ Estimado(a):                     Lizbeth Adriana Cabrera Ortega_x000a_ _x000a_Le informamos que su ticket correspondiente a:_x000a_               _x000a_Generación UN EXPEDIENTE del recurso de revisión posteriormente citado._x000a_ _x000a_Asimismo, te comento que NO DEBERÁ CAMBIAR el sujeto obligado, ni el Comisionado correspondiente. _x000a_ _x000a_ DICE                                        DEBE DECIR                         SUJETO OBLIGADO           PONENTE_x000a_RRA 8905/20 RRA 6693/19-BIS  CONSEJO DE LA JUDICATURA FEDERAL RMC_x000a_ _x000a_No omito comentarte que el número de expediente que deberá seguir en el consecutivo por turnar en PNT debe ser el RRA 8905/20_x000a__x000a_Aplicación:                  SIGEMI_x000a_Tipo de Soporte:         cambio a BIS  _x000a_Observaciones:            _x000a_ _x000a_Su petición fue atendida_x000a_" u="1"/>
        <s v="Se aplica eliminación de formato de pago: 0002700331820" u="1"/>
        <s v="Se le informó al equipo que ya estan los ajustes para el 8vo procedimiento de banderas 'OBTENER_FG_DISPONIBILIDAD',para que lo revisen y consuman desde el aplicativo" u="1"/>
        <s v="Se aplica cambio de modalidad de la solicitud: 0063700137120." u="1"/>
        <s v="Se  testan los datos de la solicitud con folio 0000700171821 _x000a_ _x000a_" u="1"/>
        <s v="Notificación de seguimiento  [  MA1408202005 ]  _x000a_ _x000a_ _x000a_Estimado(a):       Ricardo Marin González              _x000a__x000a_ _x000a_Le informamos que su ticket correspondiente a:_x000a_               _x000a_POR ESTE MEDIO LES HAGO LLEGAR EL ACUERDO EMITIDO POR EL PLENO DEL IDAIPQROO REFERENTE A LA AMPLIACIÓN LOS PLAZOS Y TRÁMITES HASTA EL TREINTA Y UNO DE AGOSTO DE 2020, ANTE LA EMERGENCIA SANITARIA DERIVADA DEL COVID-19, PARA QUE SEA ADICIONADO EN EL APARTADO CORRESPONDIENTE EN LA PNT._x000a__x000a_ACUERDO ACT/PLENO/13/08/20 MEDIANTE EL CUAL EL PLENO DEL INSTITUTO DE ACCESO A LA INFORMACIÓN Y PROTECCIÓN DE DATOS PERSONALES DE QUINTANA ROO (IDAIPQROO), AMPLÍA LA SUSPENSIÓN DE LOS PLAZOS Y TRÁMITES PARA LAS SOLICITUDES DE ACCESO A LA INFORMACIÓN, LAS SOLICITUDES PARA EL EJERCICIO DE LOS DERECHOS ARCO, LOS RECURSOS DE REVISIÓN RESPECTIVOS, Y DENUNCIAS POR INCUMPLIMIENTO A LAS OBLIGACIONES DE TRANSPARENCIA, HASTA EL DIA TREINTA Y UNO DE AGOSTO DE 2020 ANTE LA EMERGENCIA SANITARIA DERIVADA DEL COVID-19. _x000a_http://www.idaipqroo.org.mx/archivos/institucion/comunicados/comunicado_act_sesion_13_de_agosto.pdf_x000a__x000a_EN ESTE MISMO SENTIDO, COMUNICARLES QUE SE HA CONFIGURADO EL CALENDARIO DEL SIGEMI-SICOM CON LOS DÍAS QUE EL PLENO ESTABLECIÓ EN EL ACUERDO REFERIDO, PARA QUE SE PROCEDA A REALIZAR LOS AJUSTES CORRESPONDIENTES POR SU PARTE.  DE IGUAL MANERA QUE EL CALENDARIO DE DÍAS INHÁBILES DEL SISTEMA INFOMEX QUINTANA ROO, HA SIDO CONFIGURADO CON ESTAS CONSIDERACIONES. _x000a__x000a_ _x000a_Aplicación:                  SIGEMI_x000a_Tipo de Soporte:         REVISIÓN DE PLAZOS   _x000a_Observaciones:            _x000a_ _x000a_Anexo las fechas limite de votación localizadas, para realizar el cambio necesitamos de su validación, respecto a casos de cumplimientos, envios de requerimientos no detectamos casos_x000a_ _x000a_ _x000a_            Favor de validar._x000a_" u="1"/>
        <s v="Notificación de seguimiento  [  MA2901202110 ]  _x000a_ _x000a_ _x000a_Estimado(a):                     ALEJANDRA TEJEDA_x000a_ _x000a_ _x000a_Le informamos que su ticket correspondiente a:_x000a_               _x000a_solicito de la manera más atenta su apoyo para la rectificación de la fecha de caducidad del paso del Sujeto Obligado Universidad Politécnica de Baja California, respecto de la SAIP 0048421 que actualmente tiene fecha de caducidad al 1ro de febrero, se realizó el ajuste a su calendario posterior a la presentación de dicha solicitud, por lo que la fecha real de caducidad es el 2 de febrero._x000a__x000a_ _x000a_Aplicación:                  INFOMEX BCN_x000a_Tipo de Soporte:         AJUSTE DE PLAZOS    _x000a_" u="1"/>
        <s v="Carga de acta del pleno" u="1"/>
        <s v="Validación de acceso a la información" u="1"/>
        <s v="Ambientación para campus Civil versión 2.7" u="1"/>
        <s v="Notificación de seguimiento  [  MA1908202005 ]  _x000a_ _x000a_ _x000a_Estimado(a):                     Sergio Rafael Cortés Alpizar_x000a_ _x000a_Le informamos que su ticket correspondiente a:_x000a_               _x000a_se cambie el medio de notificación a domicilio físico y se anexe el domicilio en la Plataforma Nacional de Transparencia de los recursos de revisión:_x000a_ _x000a_RRA 6361/20 vs API MAZATLÁN_x000a_RRA 6371/20 vs API MAZATLÁN_x000a_RRA 6376/20 vs API VALLARTA_x000a_RRA 6381/20 vs API VALLARTA_x000a_RRA 6386/20 vs API VALLARTA_x000a_ _x000a_Lo anterior siendo que es el mismo recurrente y solicito el cambio en sus recursos._x000a__x000a_ _x000a_Aplicación:                  SIGEMI_x000a_Tipo de Soporte:         CAMBIO DE MEDIO Y ACTUALIZACIÓN DE DOMICILIO ( 5 )  _x000a_" u="1"/>
        <s v="Se agregan nuevos formularios de busqueda en tematicos" u="1"/>
        <s v="Notificación de seguimiento  [  MA0306202006 ]  _x000a_ _x000a_ _x000a_Estimado(a):                     Adriana Elizabeth Hernández García_x000a_ _x000a_Le informamos que su ticket correspondiente a:_x000a_               _x000a_Por medio del presente te comento que al validar el paso denominado Registro de la Resolución Firmada relativo al recurso: _x000a__x000a_RRA 01303/20_x000a__x000a_la PNT se queda pasmada y NO APARECEN las ventanas donde se registran las fechas de firma de los comisionados; de tal manera que queda en blanco.  _x000a_Al respecto, te solicito se realicen las gestiones necesarias a efecto de que se pueda validar el paso referido y estar en condición de continuar con el proceso de notificación de la resolución._x000a__x000a_ _x000a_Aplicación:                  SIGEMI_x000a_Tipo de Soporte:         Corrección de incidencia   _x000a_Observaciones:            _x000a_ _x000a_Su petición fue atendida_x000a_" u="1"/>
        <s v="Notificación de seguimiento  [  MA1210202007 ]  _x000a_ _x000a_ _x000a_Estimado(a):                     Adriana Elizabeth Hernández Garcia_x000a_ _x000a_Le informamos que su ticket correspondiente a:_x000a_               _x000a_Por medio del presente te comento que al validar el paso denominado Registro de la Resolución Firmada relativo al recurso: _x000a__x000a_RRA 01079/20_x000a__x000a_la PNT se queda pasmada y NO APARECEN las ventanas donde se registran las fechas de firma de los comisionados; de tal manera que queda en blanco.  _x000a_Al respecto, te solicito se realicen las gestiones necesarias a efecto de que se pueda validar el paso referido y estar en condición de continuar con el proceso de notificación de la resolución._x000a__x000a_ _x000a_Aplicación:                  SIGEMI_x000a_Tipo de Soporte:         CORRECCIÓN DE INCIDENCIA   _x000a_Observaciones:            _x000a_ _x000a_Su petición fue atendida_x000a_" u="1"/>
        <s v="Notificación de seguimiento  [  MA1404202116 ]  _x000a_ _x000a_ _x000a_Estimado(a):                     Edgar Michel Loaeza Martínez_x000a_ _x000a_ _x000a_Le informamos que su ticket correspondiente a:_x000a_               _x000a_realizar la sustitución de certificado del sujeto obligado denominado Comisión Nacional de Seguros y Fianzas en hcom._x000a__x000a_Aplicación:                  HCOM_x000a_Tipo de Soporte:         RENOVACION DE CERTIFICADO   _x000a_Observaciones:            _x000a_ _x000a_Su petición fue atendida_x000a_" u="1"/>
        <s v="Se aplica eliminación de formato de pago: 1215100505120" u="1"/>
        <s v="_x000a_Notificación de seguimiento  [  MA1011202002 ]  _x000a_  _x000a_Estimado(a):                     GILBERTO MARTIN RAMIREZ_x000a_  _x000a_Le informamos que su ticket correspondiente a:_x000a_               _x000a_script que me arroje el numero de solicitudes que se han recibido por tema._x000a_ _x000a_Aplicación:                  INFOMEX GUANAJUATO_x000a_Tipo de Soporte:         SCRIPT   _x000a_Observaciones:            _x000a_ _x000a_Su petición fue atendida, anexo script _x000a_" u="1"/>
        <s v="Se sustituye archivo adjunto y se testan los datos del folio:  0064101094321" u="1"/>
        <s v="Se actualizó la asignación de abogados:_x000a_-_x0009_Ricardo Torres Vargas sustituye a Luis Bazán Béraud (PPD)_x000a_-_x0009_Carlos Josué Ochoa Medina sustituye a Luis Alberto González García (PPD)_x000a_-_x0009_José Antonio Leal Cumpeán sustituye a Claudio Romero Velasco (PISAN)_x000a_" u="1"/>
        <s v="Analisis de Soporte " u="1"/>
        <s v="Recuperación de contraseña" u="1"/>
        <s v="Instalación y creación de base de datos sample" u="1"/>
        <s v="Buenos días Memo, tu petición fue atendida, favor de validar _x000a__x000a_Saludos _x000a__x000a_Marina Adame Velasco_x000a__x000a_Notificación de seguimiento  [  MA0603202003 ]  _x000a__x000a_Aplicación:                  INFOMEX BCN_x000a_Tipo de Soporte:         REPORTE   _x000a_Estatus:                               Concluido._x000a__x000a__x000a_" u="1"/>
        <s v="Se  testan los datos del folio: 0064100651821" u="1"/>
        <s v="Prueba dos de extracción de datos útiles de tablas SIPOT Y SIPOT DETALLE" u="1"/>
        <s v="Creación vistas para cada rutas de la plantilla PNT" u="1"/>
        <s v="Buenas tardes Moisés, tu petición fue atendida, te comento respecto a la fecha de ampliación, aún no se registran pasos de esa actividad, la referencia del acuse, lo calcula directamente de la configuración de este,favor de validar _x000a_ _x000a_ Saludos _x000a_ _x000a_ Marina Adame Velasco_x000a_ _x000a_ Notificación de seguimiento [ MA2801202001 ] _x000a_ _x000a_ Aplicación: INFOMEX PUEBLA _x000a_ Tipo de Soporte: Corrección de datos _x000a_ Estatus: Concluido." u="1"/>
        <s v="SUSTITUCIÓN TEXTO Y ADJUNTO EN SOLICITUD DE INFORMACION CON FOLIO 0000600080021. " u="1"/>
        <s v="Revisión del flujo de declaracion de patrimonio y corrección de hallazgo al momento de FUP" u="1"/>
        <s v="Notificación de seguimiento  [  MA0503202101 ]  _x000a_ _x000a_ _x000a_Estimado(a):                     LEONARDO BUSTILLOS_x000a_ _x000a_ _x000a_Le informamos que su ticket correspondiente a:_x000a_               _x000a_solicito de su apoyo para cancelar el envió del comunicado H-COM, adjunto al presente, con el folio 001614-IFAI-2021, debido a un error en los Destinatarios. _x000a_ _x000a_Aplicación:                  HCOM_x000a_Tipo de Soporte:         ELIMINAR REQUERIMIENTO   _x000a_" u="1"/>
        <s v="Notificación de seguimiento  [  MA1112202002 ]  _x000a_ _x000a_ Estimado(a):                     Rosa María Rivas Rangel_x000a_  _x000a_Le informamos que su ticket correspondiente a:_x000a_          _x000a_El sujeto obligado solicita se eliminé la ficha de pago de la solicitud de información No. 1215100494820 a fin de poder generar otra ficha._x000a_ _x000a_Aplicación:                  INFOMEX FEDERAL_x000a_Tipo de Soporte:         ELIMINACIÓN FICHA DE PAGO_x000a_Observaciones:            _x000a_ _x000a_Su petición fue atendida_x000a_" u="1"/>
        <s v="Notificación de seguimiento  [  MA2605202101 ]_x000a__x000a__x000a_Estimado(a):                Moisés Guzmán Arias_x000a__x000a_ _x000a_ Le informamos que su ticket correspondiente a:_x000a_               _x000a_eliminar una comunicación al RR-101-2020, el cual se encuentra suspendido, solicitan retroceder dicho movimiento, ya que lo enviado era para otro sujeto obligado._x000a_Aplicación:                  SIGEMI_x000a_Tipo de Soporte:         Eliminar prevenvión_x000a_Observaciones:            _x000a_ _x000a_Su petición fue atendida_x000a_" u="1"/>
        <s v="Se revisó estructura de tabla de Quejas 'BI_IMPUGNACIONES_VWM_QUEJAS_ESTADISTICAS' " u="1"/>
        <s v="Buenas tardes Moisés, tu petición fue atendida, incluyendo el cambio al folio 01502720, favor de validar _x000a__x000a_Saludos _x000a__x000a_Marina Adame Velasco_x000a__x000a_Notificación de seguimiento  [  MA2008202004 ]  _x000a__x000a_Aplicación:                  INFOMEX PUEBLA _x000a_Tipo de Soporte:         Actualización de plazos   _x000a_Estatus:                               Concluido._x000a_" u="1"/>
        <s v="Buenas tardes Moisés, tu petición fue atendida, tome como refencia el campo lengua indígena, favor de validar _x000a__x000a_Saludos _x000a__x000a_Marina Adame Velasco_x000a__x000a_Notificación de seguimiento  [  MA2107202003 ]  _x000a__x000a_Aplicación:                  INFOMEX PUEBLA _x000a_Tipo de Soporte:         CONSULTA DE DATOS    _x000a_Estatus:                               Concluido._x000a_" u="1"/>
        <s v="Integración de nuevos campos en la seccion de Datos Curriculares (Declaración patrimonial) en Declaranet" u="1"/>
        <s v="Se  testan los datos del folio: 0064100755821" u="1"/>
        <s v="Se realiza nuevo flujo para generar los datos servicio y referencia en caso de que el OG sea Federación." u="1"/>
        <s v="Se  testan los datos del folio: 0064101366721" u="1"/>
        <s v="Actualización de liga de biblioteca digital en micrositios" u="1"/>
        <s v="Eliminar respuesta de la solicitud con folio 0310000015521. " u="1"/>
        <s v="Notificación de seguimiento  [  MA0307202001 ]  _x000a_ _x000a_ _x000a_Estimado(a):                     Tiara Gethsemanni Miranda Fuentes_x000a_ _x000a_Le informamos que su ticket correspondiente a:_x000a_               _x000a_Al momento de dar trámite a al Recurso de Revisión que se enlista a continuación, en el sistema SIGEMI-SICOM en la PNT, este me aparece activo varias veces, se encuentra repetido el siguiente paso “Registrar información de la sesión del pleno, por lo que solicito de la manera más atenta, eliminar uno de estos pasos y dejar solo una vez los siguientes pasos “Registrar información de la sesión del pleno” y dejar el paso de “Notificar por otro Medio”. Sin más por el momento, quedo en espera de tus comentarios._x000a_ _x000a_RRA 04046/20_x000a_ _x000a__x000a_ _x000a_Aplicación:                  SIGEMI_x000a_Tipo de Soporte:         QUITAR DUPLICADO  _x000a_Observaciones:            _x000a_ _x000a_Su petición fue atendida_x000a_" u="1"/>
        <s v="Se  testan los datos del folio: 0064101376721" u="1"/>
        <s v="Notificación de seguimiento  [  MA1903202003 ]  _x000a_ _x000a_ _x000a_Estimado(a):                     Betzabé Flores Terán_x000a_ _x000a_Le informamos que su ticket correspondiente a:_x000a__x000a_Sindicato Nacional Independiente de Trabajadores de la Secretaria de Desarrollo Agrario Territorial y Urbano_x000a_               _x000a_Reasignación de certificado: Alta en HCOM_x000a_Contraseña:hcom2020_x000a__x000a_ _x000a_Aplicación:                  HCOM_x000a_Tipo de Soporte:         CAMBIO DE TITULAR   _x000a_Observaciones:            _x000a_ _x000a_Su petición fue atendida_x000a_" u="1"/>
        <s v="Buenas tardes Berenice, tu petición fue atendida…._x000a_Notificación de seguimiento  [  MA0607202005 ]  _x000a_Aplicación:                  INFOMEX OAXACA_x000a_Tipo de Soporte:         Modificación de aviso   _x000a_Estatus:                               Concluido._x000a__x000a_" u="1"/>
        <s v="Creación de componente constestar UT" u="1"/>
        <s v="Continúa el apoyo en consultas y validación de la información generada con las bases de datos en custodia (casos de diversos estados) en lo referente principalmente a documentación adjunta._x000a_Continúa el traslado de información recuperada de CDMX al repositorio en la red interna (infomex2019 (\\vcifs) Z:)_x000a_De la recuperación de información del Estado de México, se inician las validaciones de los datos corroborando que el contenido sea congruente, que cumpla con la estructura solicitada. _x000a_Se generan los correspondientes scripts para la carga de catálogos del Estado de México y se procede con su carga.  Se notifica y entrega el script acumulado. Se espera retro." u="1"/>
        <s v="Creación de servicios e interfaces para  formulario registro de solicitudes de información pública" u="1"/>
        <s v="Analisis de RFC Micrositio" u="1"/>
        <s v="Notificación de seguimiento  [  MA0608202002 ]  _x000a_ _x000a_ _x000a_Estimado(a):                     Michelle Fuentes Pereyra_x000a_ _x000a_Le informamos que su ticket correspondiente a:_x000a_               _x000a_Al momento de dar trámite a los Recurso de Revisión que se enlistan a continuación, en el sistema SIGEMI-SICOM en la PNT, estos me aparecen activos varias veces, se encuentran repetidos en el siguiente paso “Registrar información de la sesión del pleno, por lo que solicito de la manera más atenta, eliminar uno de estos pasos y dejar solo una vez los siguientes pasos “Registrar información de la sesión del pleno” y dejar el paso de “Notificar por otro Medio”. Sin más por el momento, quedo en espera de tus comentarios._x000a_ _x000a_1. RRA 06574/20_x000a_2. RRA 06659/20_x000a_ _x000a_Aplicación:                  SIGEMI_x000a_Tipo de Soporte:         Eliminar duplicados _x000a_Observaciones:            _x000a_ _x000a_Su petición fue atendida_x000a_" u="1"/>
        <s v="Generación de respaldo de la iniciativa privada " u="1"/>
        <s v="Notificación de seguimiento  [  MA0506202004 ]  _x000a_ _x000a_ _x000a_Estimado(a):                     Adriana Elizabeth Hernández García_x000a_ _x000a_Le informamos que su ticket correspondiente a:_x000a_               _x000a_Por medio del presente te solicito, si no existe inconveniente, el retroceso de paso de los expedientes relacionados con las resoluciones RRA 03492/20 y RRA 03722/20 al paso denominado “Registro de la Resolución Firmada” en la (PNT), ello a efecto de cargar los archivos corregidos por la Ponencia en cuestión. _x000a_Agradeciendo de antemano tu apoyo, quedo atenta para cualquier duda o comentario al respecto._x000a__x000a_ _x000a_Aplicación:                  SIGEMI_x000a_Tipo de Soporte:         REGRESO DE PASOS  (2)_x000a_Observaciones:            _x000a_ _x000a_Su petición fue atendida_x000a_ _x000a__x000a_ _x000a_            Favor de validar._x000a_ _x000a_Estatus:                               Concluido._x000a_" u="1"/>
        <s v="Notificación de seguimiento  [  MA1504202108 ]  _x000a_ _x000a_ _x000a_Estimado(a):                     Pedro Esquivel Martínez_x000a_ _x000a_ _x000a_Le informamos que su ticket correspondiente a:_x000a_               _x000a_realizar la actualización del titular del sujeto obligado &quot;Fondo de Salud para el Bienestar (FONSABI)&quot; en la Herramienta de comunicación, se adjunta cuadro descriptivo y certificado .cer_x000a__x000a__x000a_ _x000a_Clave Presupuestal    Sujeto Obligado Titular de la unidad de transparencia    CERTIFICADO A GENERAR    Contraseña    Correo_x000a_12103  _x000a_Fondo de Salud para el Bienestar (FONSABI) Alberto César Hernández Escorcia 12103.Alberto César Hernández Escorcia HCOM:_x000a_HCOM12103 _x000a_ _x000a_INFOMEX_x000a_SISI12103_x000a_  alberto.hernandez@salud.gob.mx_x000a__x000a_ _x000a_Aplicación:                  HCOM_x000a_Tipo de Soporte:         CAMBIO TUT   _x000a_Observaciones:            _x000a_ _x000a_Su petición fue atendida_x000a_" u="1"/>
        <s v="Notificación de seguimiento  [  MA1506202005 ]  _x000a_ _x000a_ _x000a_Estimado(a):                     Adriana Elizabeth Hernández García_x000a_ _x000a_Le informamos que su ticket correspondiente a:_x000a_               _x000a_ _x000a_Por medio del presente te comento que al validar el paso denominado Registro de la Resolución Firmada relativo al recurso: _x000a__x000a_RRA 01511/20_x000a__x000a_la PNT se queda pasmada y NO APARECEN las ventanas donde se registran las fechas de firma de los comisionados; de tal manera que queda en blanco.  _x000a_Al respecto, te solicito se realicen las gestiones necesarias a efecto de que se pueda validar el paso referido y estar en condición de continuar con el proceso de notificación de la resolución._x000a__x000a_ _x000a_Aplicación:                  SIGEMI_x000a_Tipo de Soporte:         Corrección de incidencia   _x000a_Observaciones:            _x000a_ _x000a_Su petición fue atendida_x000a_" u="1"/>
        <s v="Script BD para eliminar declaración inicial y de modificación" u="1"/>
        <s v="Analisis SISAI2 " u="1"/>
        <s v="Se sustituye archivo adjunto  del folio: 1857200224421" u="1"/>
        <s v=" Desarrollo de adecuaciones para la interconexión entre SISAI y SAIMEX" u="1"/>
        <s v="Notificación de seguimiento  [  MA1002202005 ]  _x000a_ _x000a_ _x000a_Estimado(a):                     Lizbeth Adriana Cabrera Ortega_x000a_ _x000a_Le informamos que su ticket correspondiente a:_x000a_               _x000a_PIDO DE TU APOYO A FIN DE INGRESAR AL RECURSO DE RVISION RRD 249 EL NÚMERO DE FOLIO. ASIMISMO, SOLCIITO INCORPORAR EL ACUERDO CON LA CORRECIÓN DEL 9 QUE OMITÍ._x000a__x000a_DEBE DECIR _x000a__x000a_0063700834019_x000a__x000a_ _x000a_Aplicación:                  SIGEMI_x000a_Tipo de Soporte:         Corrección de datos y archivo _x000a_Observaciones:            _x000a_ _x000a_Su petición fue atendida_x000a_" u="1"/>
        <s v="Se aplica testado de datos al folio: 0000700106920." u="1"/>
        <s v="Eliminar respuesta de la solicitud con folio 1215100109121; 1215100109521; 1215100110421 Y 1215100110521." u="1"/>
        <s v="Configuracion de token con username , quitando el password " u="1"/>
        <s v="_x000a_Notificación de seguimiento  [  MA2704202009 ]  _x000a_ _x000a_ _x000a_Estimado(a):                     JUAN PEDRO RAMIREZ FLORES_x000a_ _x000a_Le informamos que su ticket correspondiente a:_x000a_               _x000a_AJUSTE DE FECHAS DE CUMPLIMIENTO _x000a__x000a_ _x000a_Aplicación:                  SIGEMI_x000a_Tipo de Soporte:         AJUSTE DE FECHAS   _x000a_Observaciones:            _x000a_ _x000a_Su petición fue atendida, se realizó la fecha de cumplimiento que indicaba la lista enviada_x000a_ _x000a_" u="1"/>
        <s v="Se cambia el tipo de solicitud del folio: 0064101014621" u="1"/>
        <s v="Se sustituye archivo adjunto  del folio:  0922100003821" u="1"/>
        <s v="Notificación de seguimiento  [  MA1407202205 ]_x000a__x000a__x000a_Estimado(a):               María Fernanda Trejo Vargas_x000a_ Le informamos que su ticket correspondiente a:_x000a__x000a_…  la nueva titular es: Paula López Cedillo, esta persona ya está actualizada en el Directorio de TUT, por lo que ya es una información validada._x000a__x000a__x000a_Aplicación:                  HCOM_x000a_Tipo de Soporte:        GENERACIÓN DE CERTIFICADO Y CAMBIO DE TUT _x000a_Observaciones:            _x000a_ _x000a_Su petición fue atendida." u="1"/>
        <s v="Definición de métricas para validar porcentaje de efectividad top15" u="1"/>
        <s v="Notificación de seguimiento  [  MA3004202006 ]  _x000a_ _x000a_ _x000a_Estimado(a):                     Sergio Rafael Cortés Alpizar_x000a_ _x000a_Le informamos que su ticket correspondiente a:_x000a_               _x000a_Buen día, por medio del presente solicito su apoyo para que se cambie el medio de notificación a correo electrónico del particular en la Plataforma Nacional de Transparencia del recurso de revisión:_x000a_ _x000a_RRA 03836/20 vs SCT_x000a__x000a_ _x000a_Aplicación:                  SIGEMI_x000a_Tipo de Soporte:         CAMBIO DE MEDIO   _x000a_Observaciones:            _x000a_ _x000a_Su petición fue atendida_x000a_" u="1"/>
        <s v="Se aplica eliminación de formato de pago:  0063700605920" u="1"/>
        <s v="Definición de unidades muestrales" u="1"/>
        <s v="Se cambia el tipo de solicitud del folio: 6440000091521" u="1"/>
        <s v="Notificación de seguimiento  [  MA1702202001 ]  _x000a_ _x000a_ _x000a_Estimado(a):                     David Mendoza Oliva_x000a_ _x000a_Le informamos que su ticket correspondiente a:_x000a_               _x000a_Se solicita la eliminación del requerimiento en HCOM con folio IFAI-REQ-000295-2020, el cual se envió de manera masiva a los sujetos obligados adscritos de la DGOAEEF el pasado 10 de febrero de 2020. Esto debido a que posee un anexo con información poco clara, la cual fue solventada en un alcance que se envió el día de hoy. El envío se realizó con el certificado .cer de Jassel Natali Córdova Guzmán._x000a_ _x000a_Se adjunta acuse del envío masivo en HCOM._x000a_ _x000a_Agradeciendo esto pueda quedar el día de hoy o a más tardar el próximo lunes 17 de febrero de 2020._x000a_ _x000a_ _x000a_Aplicación:                  HCOM_x000a_Tipo de Soporte:         Eliminar req.  _x000a_Observaciones:            _x000a_ _x000a_Su petición fue atendida_x000a_" u="1"/>
        <s v="Se aplica sustitución de archivo de la solicitud: 1867900076819." u="1"/>
        <s v="Se realiz el servicio de consulta de quejas externo " u="1"/>
        <s v="Se cambia el tipo de solicitud del folio: 0411100117920." u="1"/>
        <s v="Notificación de seguimiento  [  MA1811202004 ]  _x000a_ _x000a_ _x000a_Estimado(a):                     ALMA PEGUERO _x000a_ _x000a_ _x000a_Le informamos que su ticket correspondiente a:_x000a_               _x000a_Espero se encuentren bien, solicito su valioso apoyo para la eliminar el siguiente recurso RRA 09234/20 del pleno del pasado 28-10-20, ya que se encuentra doble en la PNT para poder trabajar mi actividad, sin más por el momento, quedo pendiente._x000a_ _x000a_Aplicación:                  SIGEMI_x000a_Tipo de Soporte:         CANCELAR PASO DUPLICADO   _x000a_Observaciones:            _x000a_ _x000a_Su petición fue atendida_x000a_" u="1"/>
        <s v="Reunion Avances Pizarras" u="1"/>
        <s v="Desarrollo de ltheme y del home de liferay tanto para 6.2 como para 7.1 adecuando  para la liberación del buscador nacional de transparencia  y de los buscadores temáticos" u="1"/>
        <s v="Se aplica eliminación de formato de pago manual: 0063700714319 y 0063700629719." u="1"/>
        <s v="Se corrige incidencia en folio  0933800022721" u="1"/>
        <s v="Notificación de seguimiento  [  MA0203202006 ]  _x000a_ _x000a_ _x000a_Estimado(a):                     Tiara Gethsemanni Miranda Fuentes_x000a_ _x000a_Le informamos que su ticket correspondiente a:_x000a_               _x000a_Al momento de dar trámite a al Recurso de Revisión que se enlista a continuación, en el sistema SIGEMI-SICOM en la PNT, este me aparece activo varias veces, se encuentra repetido el siguiente paso “Registrar información de la sesión del pleno, por lo que solicito de la manera más atenta, eliminar uno de estos pasos y dejar solo una vez los siguientes pasos “Registrar información de la sesión del pleno” y dejar el paso de “Notificar por otro Medio”. Sin más por el momento, quedo en espera de tus comentarios._x000a_ _x000a_RRA 14826/19_x000a_RRA 15033/19_x000a__x000a__x000a_ _x000a_Aplicación:                  SIGEMI_x000a_Tipo de Soporte:         Corrección de incidencia   _x000a_Observaciones:            _x000a_ _x000a_Su petición fue atendida_x000a_" u="1"/>
        <s v="Pruebas" u="1"/>
        <s v="Se testan los datos de la solicitud con folio: 0064101439821" u="1"/>
        <s v="Se testan los datos de la solicitud con folio: 0064101449821" u="1"/>
        <s v="Buenas tardes Martha, tu petición fue atendida, favor de validar _x000a__x000a_Saludos _x000a__x000a_Marina Adame Velasco_x000a__x000a_Notificación de seguimiento  [  MA0406202009 ]  _x000a__x000a_Aplicación:                  INFOMEX NUEVO LEÓN_x000a_Tipo de Soporte:         AJUSTE DE PLAZOS   _x000a_Estatus:                               Concluido._x000a_ _x000a_ _x000a_" u="1"/>
        <s v="Buenas tardes Martha, tu petición fue atendida, favor de validar _x000a__x000a_Saludos _x000a__x000a_Marina Adame Velasco_x000a__x000a_Notificación de seguimiento  [  MA0806202003 ]  _x000a__x000a_Aplicación:                  INFOMEX NUEVO LEÓN_x000a_Tipo de Soporte:         AJUSTE DE PLAZOS   _x000a_Estatus:                               Concluido._x000a_ _x000a_ _x000a_" u="1"/>
        <s v="Se  realiza baja del Sujeto Obligado Fideicomiso N° 030051-4" u="1"/>
        <s v="analisis de los rquerimientos para la creacion de componentes para los movimiento s disponibles" u="1"/>
        <s v="Se sustituye archivo adjunto  del folio:  067380024621" u="1"/>
        <s v="Notificación de seguimiento  [  MA1908202001 ]  _x000a_ _x000a_ _x000a_Estimado(a):                     BERENICE  HERNANDEZ SUMANO _x000a_ _x000a_Le informamos que su ticket correspondiente a:_x000a_               _x000a_Por este medio solicito la afectación en base de datos de la fecha de estado, fecha de caducidad para la entrega de Alegatos y Manifestaciones, fecha de vencimiento para desahogo de prevención y fecha de votación de los Recursos de Revisión presentado en el SICOM, toda vez que el Consejo General del IAIPO aprobó el término a la suspensión de plazos de los procedimientos relacionados con COVID-19, SISMO DEL 23 DE JUNIO y PROGRAMAS SOCIALES DERIVADOS DE LA EMERGENCIA SANITARIA, http://iaipoaxaca.org.mx/site/descargas/acuerdos/ACUERDO-TERMINO-DE-SUSPENSION-30-06-2020.pdf_x000a__x000a_ _x000a_Aplicación:                  SIGEMI_x000a_Tipo de Soporte:         AJUSTE DE PLAZOS   _x000a_Observaciones:            _x000a_ _x000a_Su petición fue atendida_x000a_" u="1"/>
        <s v="Implementación controlvalueaccesor librería calendario" u="1"/>
        <s v="Servicio Web Adjuntos" u="1"/>
        <s v="Se sustituye archivo adjunto  del folio: 0064101063821" u="1"/>
        <s v="Se cambia el tipo de solicitud del folio: 0411100027621" u="1"/>
        <s v="Notificación de seguimiento  [  MA1205202007 ]  _x000a_ _x000a_ _x000a_Estimado(a):                     BETZABÉ FLORES TERÁN_x000a_ _x000a_Le informamos que su ticket correspondiente a:_x000a_               _x000a_Reasignación de certificado_x000a__x000a_ _x000a_Aplicación:                  HCOM   _x000a_Tipo de Soporte:         CAMBIO DE CERTIFICADO   _x000a_Observaciones:            _x000a_ _x000a_Su petición fue atendida_x000a_" u="1"/>
        <s v="Notificación de seguimiento  [  MA1703202002 ]  _x000a_ _x000a_ _x000a_Estimado(a):       Lizbeth Adriana Cabrera Ortega              _x000a_ _x000a_Le informamos que su ticket correspondiente a:_x000a_               _x000a_DEBE DECIR, 13 DE MARZO _x000a_  _x000a_Aplicación:                  SIGEMI _x000a_Tipo de Soporte:         CAMBIO DE FECHA  _x000a_Observaciones:            _x000a_ _x000a_Su petición fue atendida_x000a_" u="1"/>
        <s v="Notificación de seguimiento  [  MA1706202009 ]  _x000a_ _x000a_ _x000a_Estimado(a):                     Pedro Esquivel Martínez_x000a_ _x000a_Le informamos que su ticket correspondiente a:_x000a_               _x000a_cambio de certificado en HCOM_x000a_ _x000a_Aplicación:                  HCOM_x000a_Tipo de Soporte:         CAMBIO DE CERTIFICADO  _x000a_Observaciones:            _x000a_ _x000a_Su petición fue atendida_x000a_" u="1"/>
        <s v="Script migración base de datos Campus Organismos" u="1"/>
        <s v="Se  testan los datos del folio: 0064101338721" u="1"/>
        <s v="Se cambia el tipo de solicitud del folio: 0063700281721" u="1"/>
        <s v="Notificación de seguimiento  [  MA2102202002 ]  _x000a_ _x000a_ _x000a_Estimado(a):                     Sergio Rafael Cortés Alpizar_x000a_ _x000a_Le informamos que su ticket correspondiente a:_x000a_               _x000a_Buen día, por medio del presente solicito su apoyo para que se cambie el medio de notificación a correo electrónico en la Plataforma Nacional de Transparencia del recurso de revisión:_x000a_ _x000a_RRA 2151/20 vs SEGOB-Comisión Nacional de Búsqueda de Personas_x000a_ _x000a_El correo es: elmuellemx@gmail.com_x000a_ _x000a_Ya que lo solicitó la recurrente a través del desahogo de prevención._x000a__x000a_ _x000a_Aplicación:                  SIGEMI_x000a_Tipo de Soporte:         CAMBIO DE MEDIO   _x000a_" u="1"/>
        <s v="Evaluación y diseño de scripts para descarga de datos SIGEI-SICOM" u="1"/>
        <s v="Buscador en mapa" u="1"/>
        <s v="_x000a_Notificación de seguimiento  [  MA0802202103 ]  _x000a_ _x000a_ _x000a_Estimado(a):                     BERENICE HERNÁNDEZ SUMANO_x000a_  _x000a_Le informamos que su ticket correspondiente a:_x000a_               _x000a_RESPALDO SEMANAL DE LA BASE DE DATOS INFOMEX_x000a_ _x000a_Aplicación:                  INFOMEX OAXACA_x000a_Tipo de Soporte:         RESPALDO   _x000a_Observaciones:            _x000a_ _x000a_Su petición fue atendida, se subió el respaldo de su base de datos de esta semana…_x000a__x000a__x000a_http://documentos.inai.org.mx/tmp/infomexOAX_backup_2021-02-08_0800.bak_x000a__x000a__x000a_NOTA: El respaldo estará disponible una semana  _x000a__x000a_" u="1"/>
        <s v="Buenos días Ismael, feliz año 2020, tu petición fue atendida, favor de validar _x000a_ _x000a_ Saludos _x000a_ _x000a_ Marina Adame Velasco_x000a_ _x000a_ Notificación de seguimiento [ MA1601202006 ] _x000a_ _x000a_ Aplicación: INFOMEX COAHUILA_x000a_ Tipo de Soporte: Modificación de script _x000a_ Estatus: Concluido." u="1"/>
        <s v="Prueba app con los OG Zona Sureste  " u="1"/>
        <s v="Se genera certificado para la dependencia: RaulJavier.Munoz.Cordova." u="1"/>
        <s v="Actualizacion micrositio certamen" u="1"/>
        <s v="Se cargan días inhábiles del sistema:_x000a_-Faltantes del año 2020 por contingencia COVID-19_x000a_- Año 2021 y 2022 de acuerdo al ACUERDO ACT-PUB/22/12/2020.09. enviado por usuario._x000a_" u="1"/>
        <s v="Notificación de seguimiento  [  MA2311202001 ]  _x000a_ _x000a_ _x000a_Estimado(a):                     Alma Lizbeth Peguero Rivera_x000a_  _x000a_Le informamos que su ticket correspondiente a:_x000a_               _x000a_Por medio de presente, solicito de la manera más atenta, su apoyo para retroceder los pasos en el sistema SIGEMI-SICOM en la PNT del siguiente asunto RRA 09224/20 OMGF, hasta la actividad “Registrar información de la sesión del pleno”; sin más por el momento, quedo en espera de sus comentarios._x000a_ _x000a_Aplicación:                  SIGEMI_x000a_Tipo de Soporte:         REGRESO DE PASOS    _x000a_Observaciones:            _x000a_ _x000a_Su petición fue atendida_x000a_" u="1"/>
        <s v="_x000a_Notificación de seguimiento  [  MA2010202002 ]  _x000a_ _x000a_ _x000a_Estimado(a):                     Alma Lizbeth Peguero Rivera_x000a_ _x000a_Le informamos que su ticket correspondiente a:_x000a_               _x000a__x000a_Espero se encuentren bien, solicito de su valioso apoyo para la eliminación de los siguientes recursos RRA 8969/20 OMGF y RRA 1254/20 BLIC, debido a que se encuentra doble en la PNT, para trabajar en mi paso, quedo atenta, sin más por el momento._x000a_ _x000a_Aplicación:                  SIGEMI_x000a_Tipo de Soporte:         ELIMINAR RECURSO ( 2 )   _x000a_Observaciones:            _x000a_ _x000a_Su petición fue atendida, se realizó la corrección en los folios RRA 8969/20 y RRD 1254/20 _x000a_ _x000a__x000a_" u="1"/>
        <s v="Se cambia el tipo de solicitud del folio: 0063700224321" u="1"/>
        <s v="Captura de texto de aviso de privacidad en campus iniciativa privada" u="1"/>
        <s v="Se consultan datos de la solicitud 1857200117721" u="1"/>
        <s v="Diagnóstico de acceso a la información sobre los JSON compartidos para SICOM" u="1"/>
        <s v="Se aplica eliminación de última respuesta de la solicitud: 0610100050820." u="1"/>
        <s v="Se aplica el testado de datos de la solicitud: 0673800020620." u="1"/>
        <s v="Se cambia el tipo de solicitud del folio: 0063700224421" u="1"/>
        <s v="Se  testan los datos del folio: 0064101121721" u="1"/>
        <s v="Se sustituye archivo adjunto  del folio: 0002700108821" u="1"/>
        <s v="Se recibe el respaldo de la base de datos del Estado de Tabasco y se procede con su carga y generación de procesos." u="1"/>
        <s v="Notificación de seguimiento  [  MA2605202002 ]  _x000a_ _x000a_ _x000a_Estimado(a):                     Rosalinda Coria Mosqueda_x000a_ _x000a_Le informamos que su ticket correspondiente a:_x000a_               _x000a_cambiar el medio de comunicación con el recurrente en el recurso RRA 02540/20 en contra de COFEPRIS, derivado de que la pieza postal fue devuelta,  lo cual se acredita con la captura anexa. _x000a_ _x000a_ _x000a_RRA 2540/20 vs COFEPRIS_x000a_Número de folio: 1215101155619_x000a_Correo electrónico para notificar:    19pmoreno68@gmail.com_x000a_ _x000a_ _x000a__x000a_Aplicación:                  SIGEMI_x000a_Tipo de Soporte:         CAMBIO DE MEDIO Y CORREO  _x000a_Observaciones:            _x000a_ _x000a_Su petición fue atendida_x000a_" u="1"/>
        <s v="Se testan los datos y se sustituye el archivo adjunto de la solicitud con folio  0064101648121" u="1"/>
        <s v="Notificación de seguimiento  [  MA1003202101 ]_x000a__x000a_Estimado(a):                     Lizbeth Adriana Cabrera Ortega_x000a_ _x000a_ _x000a_Le informamos que su ticket correspondiente a:_x000a_               _x000a_generación UN EXPEDIENTE del recurso de revisión posteriormente citado._x000a_ _x000a_Aplicación:                  SIGEMI_x000a_Tipo de Soporte:         CAMBIO A BIS _x000a_Observaciones:            _x000a_ _x000a_Su petición fue atendida_x000a_" u="1"/>
        <s v="Notificación de seguimiento  [  MA1910202002 ]  _x000a_ _x000a_ _x000a_Estimado(a):                     Gustavo Cuevas Romero_x000a_ _x000a_Le informamos que su ticket correspondiente a:_x000a_               _x000a_Ajustar la hora de la fecha limite de los requerimientos a las 18:00 hrs_x000a__x000a_ _x000a_Aplicación:                  SIGEMI_x000a_Tipo de Soporte:         AJUSTE DE FECHA  _x000a_Observaciones:            _x000a_ _x000a_Su petición fue atendida_x000a_" u="1"/>
        <s v="Se elimina la respuesta del folio: 1410000040521" u="1"/>
        <s v="Modificación en la funcionalidad para las funciones resultadoAjaxPost para los formatos de padrón de beneficiarios y servidores publicos sancionados para el procesamiento de json enviado por el back." u="1"/>
        <s v="Notificación de seguimiento  [  MA1103202005 ]  _x000a_ _x000a_ _x000a_Estimado(a):                     Lizbeth Adriana Cabrera Ortega_x000a_ _x000a_Le informamos que su ticket correspondiente a:_x000a_               _x000a_modificando la fecha de interposición de los recursos que ingresaron por INFOMEX EN HORARIO INHÁBIL.._x000a__x000a_Lo anterior para efectuar el turno correspondiente._x000a__x000a_DEBE DECIR 11 de marzo._x000a__x000a_ _x000a_Aplicación:                  SIGEMI_x000a_Tipo de Soporte:         Cambio de fecha de interposición  _x000a_" u="1"/>
        <s v="Servidor local para capacitación" u="1"/>
        <s v="Estimado Joel, tu petición ha sido atendida, favor de validar_x000a_ _x000a_Saludos_x000a_ _x000a_Marina Adame Velasco_x000a_ _x000a_Notificación de seguimiento  [  MA1307202105 ]_x000a_" u="1"/>
        <s v="Se aplica testado de datos al folio: 0000700086320. " u="1"/>
        <s v="Transferencia de conocimiento para el login en PNT utilizando reyes sociales tomando como base la implementación actual._x000a_Integración de Service para obtener Rol jerárquico" u="1"/>
        <s v="Notificación de seguimiento  [  MA2402202009 ]  _x000a_ _x000a_ _x000a_Estimado(a):                     Adriana Elizabeth Hernández García_x000a_ _x000a_Le informamos que su ticket correspondiente a:_x000a_               _x000a_Por medio del presente te comento que al validar el paso denominado Registro de la Resolución Firmada relativo al recurso: _x000a__x000a_RRA 15572/19_x000a__x000a_la PNT se queda pasmada y NO APARECEN las ventanas donde se registran las fechas de firma de los comisionados; de tal manera que queda en blanco.  _x000a_Al respecto, te solicito se realicen las gestiones necesarias a efecto de que se pueda validar el paso referido y así estar en condición de cargar las fechas y que pueda ser notificada la resolución._x000a__x000a__x000a_ _x000a_Aplicación:                  SIGEMI_x000a_Tipo de Soporte:         Corrección de incidencia  _x000a_Observaciones:            _x000a_ _x000a_Su petición fue atendida_x000a_ _x000a__x000a_" u="1"/>
        <s v="Se desechan solicitudes de manera manual: 0673800267419," u="1"/>
        <s v="Generación de script para tokenización de texto" u="1"/>
        <s v="Iniciar el proceso de migración a travez de API, validar la correcta migración de la información." u="1"/>
        <s v="Se aplica testado de datos al folio: 0002700116920." u="1"/>
        <s v="Notificación de seguimiento  [  MA1409202004 ]  _x000a_ _x000a_ _x000a_Estimado(a):                     Ana Paulina González González_x000a_ _x000a_Le informamos que su ticket correspondiente a:_x000a_               _x000a_Me permito solicitar su amable apoyo, a efecto de dar de cambiar el medio de notificación en el recurso de revisión RRD 01127/20, a efecto de que las comunicaciones se lleven a cabo a traves de correo electrónico. Lo anterior, toda vez que el particular proporcionó una cuenta de correo electrónico, tal como se aprecia a continuación _x000a__x000a__x000a_Aplicación:                  SIGEMI_x000a_Tipo de Soporte:         CAMBIO DE MEDIO  _x000a_Observaciones:            _x000a_ _x000a_Su petición fue atendida_x000a_" u="1"/>
        <s v="Hola Berenice, ya se subió el respaldo de su base de datos de esta semana…_x000a__x000a__x000a_http://documentos.inai.org.mx/tmp/infomexOAX_backup_2020-06-01_0800.bak_x000a__x000a__x000a_ _x000a_NOTA: El respaldo estará disponible una semana  _x000a_ _x000a_ _x000a_Saludos_x000a__x000a_                                                                                                                                                                            _x000a_Marina Adame Velasco_x000a_" u="1"/>
        <s v="Hola Berenice, ya se subió el respaldo de su base de datos de esta semana…_x000a__x000a__x000a_http://documentos.inai.org.mx/tmp/infomexOAX_backup_2020-06-08_0800.bak_x000a__x000a__x000a_ _x000a_NOTA: El respaldo estará disponible una semana  _x000a_ _x000a_ _x000a_Saludos_x000a__x000a_                                                                                                                                                                            _x000a_Marina Adame Velasco_x000a_" u="1"/>
        <s v="Hola Berenice, ya se subió el respaldo de su base de datos de esta semana…_x000a__x000a__x000a_http://documentos.inai.org.mx/tmp/infomexOAX_backup_2020-06-15_0800.bak_x000a__x000a__x000a_ _x000a_NOTA: El respaldo estará disponible una semana  _x000a_ _x000a_ _x000a_Saludos_x000a__x000a_                                                                                                                                                                            _x000a_Marina Adame Velasco_x000a_" u="1"/>
        <s v="Hola Berenice, ya se subió el respaldo de su base de datos de esta semana…_x000a__x000a__x000a_http://documentos.inai.org.mx/tmp/infomexOAX_backup_2020-06-22_0800.bak_x000a__x000a__x000a_ _x000a_NOTA: El respaldo estará disponible una semana  _x000a_ _x000a_ _x000a_Saludos_x000a__x000a_                                                                                                                                                                            _x000a_Marina Adame Velasco_x000a_" u="1"/>
        <s v="Se aplica testado de datos al folio: 0000700088720." u="1"/>
        <s v="Se sustituye el archivo adjunto de la solicitud con folio 2700179521 y 2700179621 " u="1"/>
        <s v="Implementar la funcionalidad de recalculos de plazos para las fechas de recepción y  limite de atención" u="1"/>
        <s v="Se aplica testado de datos al folios: 0064100868920." u="1"/>
        <s v="Ejecución de OT 5 Campus Garantes" u="1"/>
        <s v="Notificación de seguimiento  [  MA1805202008 ]  _x000a_ _x000a_ _x000a_Estimado(a):                     Lizbeth Adriana Cabrera Ortega_x000a_ _x000a_Le informamos que su ticket correspondiente a:_x000a_               _x000a_Actualización de fecha de aplicación y fecha de estado del recurso RRA 03979/20_x000a_ _x000a_Aplicación:                  SIGEMI_x000a_Tipo de Soporte:         Actualización de fechas   _x000a_Observaciones:            _x000a_ _x000a_Su petición fue atendida_x000a_ _x000a__x000a_ _x000a_            Favor de validar._x000a_ _x000a_Estatus:                               Concluido._x000a__x000a__x000a_" u="1"/>
        <s v="Se orienta a los usuarios para su acceso al sistema Infomex." u="1"/>
        <s v="Notificación de seguimiento  [  MA2802202012 ]  _x000a_ _x000a_ _x000a_Estimado(a):                     Lizbeth Adriana Cabrera Ortega_x000a_ _x000a_Le informamos que su ticket correspondiente a:_x000a_               _x000a_Solicitando su amable apoyo para modificar la fecha de interposición al día hábil siguiente, de los recursos citados a continuación:_x000a__x000a_DEBE DECIR 26 FEBRERO_x000a__x000a__x000a_25/02/2020 25/02/2020 21:00 PM Juan Carlos Alejandro Robles Rodríguez SEGOB 0000400431519_x000a_25/02/2020 25/02/2020 21:07 PM Juan Carlos Alejandro Robles Rodríguez SEGOB 0000400431619_x000a_25/02/2020 25/02/2020 21:35 PM José Juan Sánchez Contreras IMSS 0064100172920_x000a__x000a__x000a__x000a_DEBE DECIR 28 DE FEBRERO_x000a__x000a__x000a_27/02/2020 27/02/2020 18:43 PM Francisco Escofet Artigas IMSS 0064100298020_x000a_27/02/2020 27/02/2020 19:27 PM Aurora Reyna Zapata BIENESTAR 0002000007120_x000a_27/02/2020 27/02/2020 23:07 PM Eduardo Olivares SEP 0001100036820_x000a__x000a__x000a_ _x000a_Aplicación:                  SIGEMI_x000a_Tipo de Soporte:         Actualización de fechas de interposición  _x000a_Observaciones:            _x000a_ _x000a_Su petición fue atendida_x000a__x000a__x000a_ _x000a_ _x000a__x000a_ _x000a_            Favor de validar._x000a_ _x000a_Estatus:                               Concluido._x000a__x000a__x000a_" u="1"/>
        <s v="Asesoria del funcionamiento del módulo de creación de acuses" u="1"/>
        <s v="Notificación de seguimiento  [  MA1606202010 ]  _x000a_ _x000a_ _x000a_Estimado(a):                     Rafael González García_x000a_ _x000a_Le informamos que su ticket correspondiente a:_x000a_               _x000a_requerimientos que sean susceptibles de ampliar su plazo de entrega, modificarlos al 1 de julio de 2020_x000a_ _x000a_Aplicación:                  SIGEMI_x000a_Tipo de Soporte:         Modificación de plazo   _x000a_Observaciones:            _x000a_ _x000a_Su petición fue atendida_x000a_" u="1"/>
        <s v="Notificación de seguimiento  [  MA2601202101 ]  _x000a_ _x000a_ _x000a_Estimado(a):                     Martha Rubí Zaragoza Mora_x000a_ _x000a_ _x000a_Le informamos que su ticket correspondiente a:_x000a_               _x000a_ajuste de términos de los folios debido a que enviaron hoy los días inhábiles del año 2021._x000a_ _x000a_Aplicación:                  INFOMEX NUEVO LEÓN_x000a_Tipo de Soporte:         AJUSTE DE PLAZOS   _x000a_Observaciones:            _x000a_ _x000a_Su petición fue atendida_x000a_" u="1"/>
        <s v="Se consultan datos de la solicitud 0063700249021" u="1"/>
        <s v="Notificación de seguimiento  [  MA1311202003 ]  _x000a_  _x000a_Estimado(a):                     Guadalupe Oropeza Torres_x000a_  _x000a_Le informamos que su ticket correspondiente a:_x000a_               _x000a_En relación con el recurso de revisión RRD 01603/20 vs IMSS, se observa que el recurrente no señaló un medio para oír y recibir notificaciones, por lo que en términos del artículo 98, fracción IV de la Ley General de Protección de Datos Personales en Posesión de Sujetos Obligado, las notificaciones se realizarán en los estrados de este Instituto. _x000a__x000a_En ese sentido, solicito su valioso apoyo para que en la Plataforma Nacional de Transparencia se actualice el medio de notificación que eligió el recurrente, a saber, por los estrados de este Instituto. Ello con el propósito de notificar el acuerdo de prevención del 12 de noviembre de 2020, mismo que se adjunta al presente. _x000a_ _x000a_Aplicación:                 SIGEMI_x000a_Tipo de Soporte:         CAMBIO DE MEDIO _x000a_Observaciones:            _x000a_ _x000a_Su petición fue atendida_x000a_" u="1"/>
        <s v="Buenas tardes Moisés, tu petición fue atendida, favor de validar _x000a__x000a_Saludos _x000a__x000a_Marina Adame Velasco_x000a__x000a_Notificación de seguimiento  [  MA0602202003 ]  _x000a__x000a_Aplicación:                  INFOMEX PUEBLA _x000a_Tipo de Soporte:         Actualizar plazo   _x000a_Estatus:                               Concluido._x000a__x000a_" u="1"/>
        <s v="Buenas tardes Moisés, tu petición fue atendida, favor de validar _x000a__x000a_Saludos _x000a__x000a_Marina Adame Velasco_x000a__x000a_Notificación de seguimiento  [  MA1708202010 ]  _x000a__x000a_Aplicación:                  INFOMEX PUEBLA _x000a_Tipo de Soporte:         Ajuste de fechas   _x000a_Estatus:                               Concluido._x000a__x000a_" u="1"/>
        <s v="Se aplica el testado de datos de la solicitud: 0064100171420" u="1"/>
        <s v="seccion 12 UT" u="1"/>
        <s v="Notificación de seguimiento  [  MA1502202126 ]  _x000a_ _x000a_ _x000a_Estimado(a):                     Martha Rubí Zaragoza Mora_x000a_  _x000a_Le informamos que su ticket correspondiente a:_x000a_               _x000a_El presente correo es para pedir su amable apoyo para el ajuste de términos de los folios debido al Acuerdo que enviaron los siguientes Sujetos Obligados a la COTAI por el cual se amplían la fecha del 2 al 28 febrero de 2021; debiéndose considerar los días comprendidos dentro de dicho periodo como inhábiles para evitar la propagación del coronavirus COVID-19._x000a_ _x000a_Aplicación:                  INFOMEX NUEVO LEÓN_x000a_Tipo de Soporte:         AJUSTE DE PLAZOS    _x000a_Observaciones:            _x000a_ _x000a_Su petición fue atendida_x000a_" u="1"/>
        <s v="Meeting para organizar prioridades" u="1"/>
        <s v="Notificación de seguimiento  [  MA1708202011 ]  _x000a_ _x000a_ _x000a_Estimado(a):                     Betzabé Flores Terán_x000a_ _x000a_Le informamos que su ticket correspondiente a:_x000a_               _x000a_Solicito de su apoyo para la actualización del .cer  en la Herramienta de Comunicación de la Secretaría del Trabajo y Previsión Social._x000a_ _x000a_Aplicación:                  HCOM_x000a_Tipo de Soporte:         CAMBIO DE TUT  _x000a_Observaciones:            _x000a_ _x000a_Su petición fue atendida_x000a_" u="1"/>
        <s v="Notificación de seguimiento  [  MA1904202108 ]  _x000a_ _x000a_ _x000a_Estimado(a):                     Moisés Guzmán Arias_x000a_ _x000a_ _x000a_Le informamos que su ticket correspondiente a:_x000a_               _x000a_ampliar el término para prevenirlo_x000a_ _x000a_01031120 estableciendo el término al día 20/04/2021 (19 de abril de 2021) (CEASPUE)_x000a_ _x000a_Aplicación:                  INFOMEX FEDERAL_x000a_Tipo de Soporte:         AJUSTE DE FECHA   _x000a_Observaciones:            _x000a_ _x000a_Su petición fue atendida_x000a_" u="1"/>
        <s v="Actualización de página Obligaciones de Transparencia" u="1"/>
        <s v="Eliminar respuesta de lo folios 00027002258021, 0002700226021, 0002700227521, 0002700228221, 0002700230021 y 0002700230221" u="1"/>
        <s v="Se testan los datos  del folio: 0064101354721" u="1"/>
        <s v="Se cambia el tipo de solicitud del folio: 2240000000121." u="1"/>
        <s v="Maquetación pantallas recibo de pago manual" u="1"/>
        <s v="Usuarios" u="1"/>
        <s v="Se testan los datos de la solicitud con folio: 0320000660820" u="1"/>
        <s v="Analisis de Plugins a Actualizar " u="1"/>
        <s v="Se sustituye archivo adjunto del folio: 1816400323220" u="1"/>
        <s v="Se elmina la respuesta del folio:  0064100057921" u="1"/>
        <s v="Notificación de seguimiento  [  MA1003202010 ]  _x000a_ _x000a_ _x000a_Estimado(a):                     Pedro Esquivel Martínez_x000a_ _x000a_Le informamos que su ticket correspondiente a:_x000a_               _x000a_Anexo el registro actualizado del certificado del Titular de la Unidad de Enlace del  “Instituto de Seguridad Social para las Fuerzas Armadas Mexicanas” Lo Anterior a fin de que sus accesos sean habilitados en los otros sistemas que administra este Instituto (HCOM).  CAMBIO DE TITULAR, en cuanto se reciba la atención en HCOM se realizará la actualización de los demás sistemas correspondientes._x000a__x000a_ _x000a_Aplicación:                  HCOM_x000a_Tipo de Soporte:         CAMBIO DE TITULAR   _x000a_Observaciones:            _x000a_ _x000a_Su petición fue atendida_x000a_" u="1"/>
        <s v="Notificación de seguimiento  [  MA2405202202 ]_x000a__x000a_Estimado(a):                Abraham Obed Gallardo González_x000a__x000a_ _x000a_ Le informamos que su ticket correspondiente a:_x000a__x000a_solicito tu amable apoyo para actualizar, en HCOM, el acceso para el IMCINE el certificado para el acceso, con base en la información que se adjunta._x000a_ _x000a_Aplicación:                  HCOM_x000a_Tipo de Soporte:         ACTUALIZACIÓN DE CERTIFICADO     _x000a_Observaciones:            _x000a_ _x000a_Su petición fue atendida_x000a_" u="1"/>
        <s v="Respaldar Curso 6 de PA-ENEDA  de la plataforma anterior y restaurar en plataforma actual " u="1"/>
        <s v="Notificación de seguimiento  [  MA1207202201 ]_x000a__x000a__x000a_Estimado(a):               David Mondragón Centeno_x000a__x000a_ Le informamos que su ticket correspondiente a:_x000a__x000a_ACTUALIZACIÓN DEL CERTIFICADO DE LA HCOM DEL SUJETO OBLIGADO 60240 SINDICATO ÚNICO DE TRABAJADORES DEL INSTITUTO NACIONAL DE CIENCIAS MÉDICAS Y NUTRICIÓN “SALVADOR ZUBIRÁN”, EN VIRTUD DE QUE YA SE ENCUENTRA VENCIDO, POR LO QUE MUCHO AGRADECERÉ LA PRONTA REMISIÓN DE DICHO CERTIFICADO ACTUALIZADO. _x000a_ _x000a__x000a_Aplicación:                  HCOM_x000a_Tipo de Soporte:        GENERACIÓN DE CERTIFICADO Y ACTUALIZACIÓN EN HCOM  _x000a_Observaciones:            _x000a_ _x000a_Su petición fue atendida, se cambio la contraseña, ya que no permitía la actualización en HCOM, quedando la siguiente hcom2022, sin embargo si la usuario requiere el anterior, favor de enviar el dato para realizar el cambio_x000a__x000a__x000a_Favor de validar._x000a_ _x000a_Estatus:                               Concluido_x000a_" u="1"/>
        <s v="Análisis proceso pizarras 4" u="1"/>
        <s v="Se  testan los datos del folio:   0064101367121" u="1"/>
        <s v="Notificación de seguimiento  [  MA1006202009 ]  _x000a_ _x000a_ _x000a_Estimado(a):                     Karen Nayelli Muñiz Rebolledo_x000a_ _x000a_Le informamos que su ticket correspondiente a:_x000a_               _x000a_ _x000a_Solicito su apoyo para que me ayuden a regresar los pasos en el recurso RRA 04788/20 vs IMSS, toda vez, que se adjuntó una resolución errónea._x000a__x000a_ _x000a_Aplicación:                  SIGEMI_x000a_Tipo de Soporte:         REGRESO DE PASOS  _x000a_Observaciones:            _x000a_ _x000a_Su petición fue atendida_x000a_ _x000a__x000a_ _x000a_            Favor de validar._x000a_ _x000a_Estatus:                               Concluido._x000a__x000a__x000a_" u="1"/>
        <s v="Evaluación y diseño de script de creación de vocabulario" u="1"/>
        <s v="Se generan 2 certificados para la dependencia: 16102 y 16103." u="1"/>
        <s v="Se cambia el tipo de solicitud del folio: 0063700195121" u="1"/>
        <s v="Notificación de seguimiento  [  MA1911202001 ]  _x000a_ _x000a_ _x000a_Estimado(a):                     ALMA LIZBETH PEGUERO RIVERA_x000a_ _x000a_ _x000a_Le informamos que su ticket correspondiente a:_x000a_               _x000a_solicito su valioso apoyo de manera urgente con el siguiente recurso RRA 9406/20, debido a que de manera involuntaria tuve un error y se tiene que notificar_x000a__x000a_ _x000a_Aplicación:                  SIGEMI_x000a_Tipo de Soporte:         REGRESO DE PASOS    _x000a_Observaciones:            _x000a_ _x000a_Su petición fue atendida_x000a_" u="1"/>
        <s v="Notificación de seguimiento  [  MA2210202102 ]_x000a__x000a_Estimado(a):                Betzabé Flores Terán_x000a__x000a_ _x000a_ Le informamos que su ticket correspondiente a:_x000a_               _x000a_Solicito su apoyo para realizar la actualización en la herramienta de comunicación del .cer que se adjunta, toda vez que hubo un cambio en el Titular de la Unidad de Transparencia._x000a_ _x000a_Aplicación:                  HCOM_x000a_Tipo de Soporte:         CAMBIO DE TUT   _x000a_Observaciones:            _x000a_ _x000a_Su petición fue atendida_x000a_" u="1"/>
        <s v="Definición de Etiquetado de tabla SISAI" u="1"/>
        <s v="Se sustituye archivo adjunto  del folio: 0673800049621" u="1"/>
        <s v="Notificación de seguimiento  [  MA2611202001 ]  _x000a_  _x000a_Estimado(a):                     Pedro Esquivel Martínez_x000a_  _x000a_Le informamos que su ticket correspondiente a:_x000a_               _x000a_apoyo con la incidencia que presenta el S.O HRAEI, no pueden accesar al HCOM ya que indica error de contraseña._x000a_ _x000a_Aplicación:                  HCOM_x000a_Tipo de Soporte:         CAMBIO DE CONTRASEÑA _x000a_Observaciones:            _x000a_ _x000a_Su petición fue atendida, se cambio la contraseña a la que se indica en el correo _x000a_ _x000a_  _x000a_            Favor de validar._x000a_ _x000a_Estatus:                               Concluido._x000a__x000a__x000a_" u="1"/>
        <s v="Evidencias de problema con memoria" u="1"/>
        <s v="Inicio pizarras 4 reunión de inicio" u="1"/>
        <s v="Se  testan los datos del folio:   0064101367721" u="1"/>
        <s v="Se aplica el testado de datos de la solicitud: 1117100230919" u="1"/>
        <s v="Se habilita a las dependencias 10005,09012,15009,06051,16104 y baja: 04007,6050,9004, 15007." u="1"/>
        <s v="Se sustituye archivo adjunto del folio:  1816400342020" u="1"/>
        <s v="_x000a_Notificación de seguimiento  [  MA2910202003 ]  _x000a__x000a_ _x000a__x000a_ _x000a__x000a_Estimado(a):                     Lizbeth Adriana Cabrera Ortega_x000a__x000a_ _x000a__x000a_Le informamos que su ticket correspondiente a:_x000a__x000a_               _x000a__x000a_corregir la fecha del turno del RRD 01464/20, ya que señala que el 23 de octubre de 2014, sin embargo según documento adjunto en la PNT, éste fue presentado a través de correo electrónico el sábado 24 de octubre de 2020, por lo que la fecha del turno debiera ser del lunes 26 de octubre de 2020​_x000a__x000a_ _x000a__x000a_Aplicación:                  SIGEMI_x000a__x000a_Tipo de Soporte:         Actualizar fecha y acuerdo _x000a__x000a_Observaciones:            _x000a__x000a_ _x000a__x000a_Su petición fue atendida_x000a__x000a_ " u="1"/>
        <s v="Se aplica cambio de modalidad de la solicitud: 006410034342020." u="1"/>
        <s v="Se adapto el buscador para consumir servicio que recupera formatos por sujeto obligado" u="1"/>
        <s v="Buenas tardes Moisés, tu petición fue atendida, favor de validar _x000a__x000a__x000a_http://documentos.inai.org.mx/tmp/infomexpuebla_backup_2020-09-14_1638.bak_x000a__x000a__x000a_Saludos _x000a__x000a_Marina Adame Velasco_x000a__x000a_Notificación de seguimiento  [  MA1409202010 ]  _x000a__x000a_Aplicación:                  INFOMEX PUEBLA _x000a_Tipo de Soporte:         RESPALDO DE BD   _x000a_Estatus:                               Concluido._x000a__x000a_" u="1"/>
        <s v="esperando retroalimentacion" u="1"/>
        <s v="Modificación en los servicios de descarga y de reportes en SIPOT" u="1"/>
        <s v="Buenas tardes Guillermo, tu petición fue atendida, favor de validar _x000a__x000a_Saludos _x000a__x000a_Marina Adame Velasco_x000a__x000a_Notificación de seguimiento  [  MA2207202008 ]  _x000a__x000a_Aplicación:                  INFOMEX BCN_x000a_Tipo de Soporte:         Ajuste de plazos    _x000a_Estatus:                               Concluido._x000a__x000a__x000a_" u="1"/>
        <s v="Se desarrollò la pàgina de Glosario dentro del sitio de comite de etica, agregando la informaciòn compartida con base en el diseño compartido" u="1"/>
        <s v="Se genera y habilita el certificado del usuario: Juan Francisco Escobedo Delgado." u="1"/>
        <s v="Se realiza una revisión de Excel (SISAI_catalogos_TareaXEdos.xlsx) Validando nuevamente las funcionalidades del proceso de generación de insumos y su confiabilidad." u="1"/>
        <s v="Notificación de seguimiento  [  MA0204202001 ]  _x000a_ _x000a_ _x000a_Estimado(a):                     María Guadalupe Rodríguez Morales_x000a_ _x000a_Le informamos que su ticket correspondiente a:_x000a_               _x000a_Estimados compañeros_x000a_Por medio del presente reitero me brinden su apoyo para que en el recurso de revisión RRA 06359/20 vs API MAZATLÁN se tenga como medio de notificación domicilio particular._x000a_ _x000a_Aplicación:                  SIGEMI_x000a_Tipo de Soporte:         cambio de medio   _x000a_Observaciones:            _x000a_ _x000a_Su petición fue atendida_x000a_" u="1"/>
        <s v="Notificación de seguimiento  [  MA0804202202 ]_x000a__x000a_Estimado(a):                Alondra Jiménez Hernández_x000a__x000a_ _x000a_ Le informamos que su ticket correspondiente a:_x000a_               _x000a_Anexo el registro del certificado del nuevo Titular de la Unidad de Transparencia de la Centro de Investigación en Materiales Avanzados, S.C. para que su acceso sea habilitado en la Herramienta de Comunicación. _x000a_ _x000a_ _x000a_Aplicación:                  HCOM_x000a_Tipo de Soporte:         CAMBIO DE TUT   _x000a_Observaciones:            _x000a_ _x000a_Su petición fue atendida_x000a_" u="1"/>
        <s v="Notificación de seguimiento  [  MA22102020 ]  _x000a_ _x000a_ _x000a_Estimado(a):                     Alondra Jiménez Hernández_x000a_ _x000a_Le informamos que su ticket correspondiente a:_x000a_               _x000a__x000a_Anexo el registro actualizado del certificado del Titular de la Unidad de Transparencia del Ferrocarril del Istmo de Tehuantepec, S.A. de C.V., para su renovación en la Herramienta de Comunicación. _x000a__x000a_ _x000a_Aplicación:                  HCOM_x000a_Tipo de Soporte:         CAMBIO DE CERTIFICADO  _x000a_Observaciones:            _x000a_ _x000a_Su petición fue atendida_x000a_" u="1"/>
        <s v="Se sustituye archivo adjunto  del folio: 0673800068221" u="1"/>
        <s v="Se aplica eliminación de formato de pago manual: 1215100523419 y 1215100745719." u="1"/>
        <s v="Notificación de seguimiento  [  MA0202202106 ]  _x000a_ _x000a_ _x000a_Estimado(a):                     ANA MARIA VALLE LE VINSON_x000a_ _x000a_ _x000a_Le informamos que su ticket correspondiente a:_x000a_               _x000a_ACTUALIZAR AVISO_x000a_ _x000a_Aplicación:                  INFOMEX SLP_x000a_Tipo de Soporte:         Actualizar aviso    _x000a_" u="1"/>
        <s v=" Carga masiva de usuarios 1ra parte " u="1"/>
        <s v="Creación de cuentas y configuración de administradores" u="1"/>
        <s v="_x000a_Notificación de seguimiento  [  MA2210202007 ]  _x000a_ _x000a_ _x000a_Estimado(a):                     Berenice Hernández Sumano_x000a_ _x000a_Le informamos que su ticket correspondiente a:_x000a_               _x000a_Se requiere para los recursos con cumplimiento:_x000a_1. Modificar la fecha de notificación de la resolución con cumplimiento a la fecha de notificación de cumplimiento del cuadro 1._x000a_2. Modificar la fecha de vencimiento de cumplimiento de los recursos a la fecha límite de cumplimiento del cuadro 1._x000a_3. Modificar la fecha de estado de los recursos a la fecha de notificación del cumplimiento del cuadro 1._x000a_4. Modificar la fecha de los documentos generados como acuses a la fecha señalada en el cuadro 3._x000a__x000a_Se requiere para los recursos sin cumplimiento:_x000a_1. Modificar la fecha de notificación de la resolución a la fecha de notificación de resolución del cuadro 2._x000a_2. Modificar la fecha de estado de los recursos a la fecha de notificación de la resolución del cuadro 2._x000a_3. Modificar la fecha de los documentos generados como acuses a la fecha señalada en el cuadro 3._x000a__x000a_Se requiere para las comunicaciones notificadas:_x000a_1. Modificar la fecha de realización de la actividad &quot;Vista del cumplimiento al recurrente&quot; a la fecha de la columna fecha de notificación del cuadro 4._x000a_ _x000a_Aplicación:                  SIGEMI_x000a_Tipo de Soporte:         ACTUALIZACIÓN DE FECHAS Y ACUSES  _x000a_" u="1"/>
        <s v="Preparación de set de datos y usuarios en ambiente de calidad y Capacitación a los siguientes usuarios:_x000a_ _x000a_1._x0009_Enrique Rugerio Caligua_x000a_2._x0009_Hugo Enrique Núñez Montes_x000a_3._x0009_Juana Lorena Huerta_x000a_4._x0009_Pamela Cruz Torres_x000a_5._x0009_Eliseo Diego Gutiérrez Soto_x000a_6._x0009_Hugo Alejandro Vázquez Choreño_x000a_7._x0009_Samuel Montoya Leija_x000a_8._x0009_Arturo García Mora_x000a_9._x0009_Cristina Eugenia Bocanegra Andrade_x000a_ " u="1"/>
        <s v="Busqueda y muestra de resultados para la pantalla de recibo de pago manual de UT" u="1"/>
        <s v="Notificación de seguimiento  [  MA1101202103 ]  _x000a_ _x000a_ _x000a_Estimado(a):                     FRANCISCO LIRA_x000a_  _x000a_Le informamos que su ticket correspondiente a:_x000a_               _x000a_RESPALDO SEMANAL DE LA BASE DE DATOS INFOMEX_x000a_ _x000a_Aplicación:                  INFOMEX NUEVO LEÓN_x000a_Tipo de Soporte:         RESPALDO   _x000a_Observaciones:            _x000a_ _x000a_Su petición fue atendida, se subió el respaldo de su base de datos de esta semana…_x000a__x000a_http://documentos.inai.org.mx/tmp/infomexNL_backup_2021-01-11_0800.bak_x000a_NOTA: El respaldo estará disponible una semana  _x000a__x000a_  _x000a_            Favor de validar._x000a_ _x000a_Estatus:                               Concluido._x000a__x000a_Saludos _x000a__x000a_Marina Adame_x000a__x000a_" u="1"/>
        <s v="Desarrollo del catalogo de Temática y subtematica, considerando el rol de administración de organismo garante " u="1"/>
        <s v="Definición de posibles candidatos a error, estructura, gramática, caracteres distintos, artículos, etc" u="1"/>
        <s v="Se desarrolla el servicio para saber si un usuario cuenta con solicitudes pendientes o no para su eliminación" u="1"/>
        <s v="Se aplica testado de datos personales: 0210000025120 , 0210000025220 , 0210000025420 así como el archivo adjunto." u="1"/>
        <s v="Se comeinza con el desarrollo del backend en laravel" u="1"/>
        <s v="Notificación de seguimiento  [  MA0802202112 ]  _x000a_ _x000a_ _x000a_Estimado(a):                     Alejandra Tejeda_x000a_ _x000a_ _x000a_Le informamos que su ticket correspondiente a:_x000a_               _x000a_solicito de la manera más atenta su apoyo para la rectificación de suspensión de plazos de un Sujeto obligado, específicamente Ayuntamiento de Tijuana, dicho cambio modificaría las fechas de vencimiento de las solicitudes_x000a_ _x000a_Aplicación:                  INFOMEX BCN_x000a_Tipo de Soporte:         AJUSTE DE PLAZOS   _x000a_Observaciones:            _x000a_ _x000a_Su petición fue atendida_x000a_" u="1"/>
        <s v="Notificación de seguimiento  [  MA2602202006 ]  _x000a_ _x000a_ _x000a_Estimado(a):                     Ariadna Piñera Camacho_x000a_ _x000a_Le informamos que su ticket correspondiente a:_x000a_               _x000a__x000a_En relación con el RRA 01718/20 interpuesto en contra de Petróleos Mexicanos, me permito solicitar su apoyo a efecto de regresar el paso en la Plataforma Nacional de Transparencia, para poder cargar nuevamente el proyecto._x000a_ _x000a_Aplicación:                  SIGEMI_x000a_Tipo de Soporte:         REGRESO DE PASOS  _x000a_Observaciones:            _x000a_ _x000a_Su petición fue atendida_x000a_" u="1"/>
        <s v="Se elimina asignación: 1123200002619." u="1"/>
        <s v="Continúa el apoyo en consultas y validación de la información generada con las bases de datos en custodia (casos de diversos estados) en lo referente principalmente a documentación adjunta._x000a_Continúa el traslado de información recuperada de CDMX al repositorio en la red interna (infomex2019 (\\vcifs) Z:) _x000a_De la recuperación de información del Estado de México, se inician las validaciones de los datos corroborando que el contenido sea congruente, que cumpla con la estructura solicitada. _x000a_Se realiza una revisión de los datos contenidos con el fin de notificar las posibles anomalías que presente la información cargada del Estado de  México. Se notifica por correo._x000a_Se solicita validar las URL´s remotas de todos los órganos garantes que genera el buscador para corroborar su actualización, confirmando que en los casos de Morelos, Baja California y Baja California Sur no presenta información." u="1"/>
        <s v="Implementación respuesta en espera de forma entrega solicitante" u="1"/>
        <s v="Se elimina la respuesta  de 4 folio del Sujeto Obligado IMPI por medio de control de cambios en bd" u="1"/>
        <s v="Buenas tardes Fernando, revisando la configuración del Sujeto Obligado, el usuario responsable es José Luis Mendoza Pérez con login joselmp, la contraseña del usuario ustedes la pueden reestablecer desde su cuenta de administrador._x000a__x000a_Cualquier duda o comentario estoy a sus ordenes_x000a__x000a_Saludos _x000a__x000a_Marina Adame _x000a_" u="1"/>
        <s v="Soporte Chihuahua" u="1"/>
        <s v="Soporte el día del evento" u="1"/>
        <s v="Se actualizan las fechas limites de 5 solicitudes" u="1"/>
        <s v="Se testan los datos de la solicitud con  folio 0002700223821 " u="1"/>
        <s v="Se aplica testado de datos al folio: 0064100650220" u="1"/>
        <s v="Notificación de seguimiento  [  MA2004202105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09 al 30 de abril 2021_x000a_ _x000a_Aplicación:                  INFOMEX NUEVO LEÓN_x000a_Tipo de Soporte:         AJUSTE DE PLAZOS    _x000a_Observaciones:            _x000a_ _x000a_Su petición fue atendida_x000a_" u="1"/>
        <s v="Analisis de funcionalidad del mantenimiento de usuarios " u="1"/>
        <s v="Implementación validaciones por roles de usuario en sesión" u="1"/>
        <s v="Cambio del status code cuando las credenciales son invalidad" u="1"/>
        <s v="Entrega de respaldo de base de datos semanal del infomex Nuevo León" u="1"/>
        <s v="Se aplica testado de datos al folio:  0064102966220" u="1"/>
        <s v="Se generó certificado para usuarios de FIDEICOMISOS CAPUFE" u="1"/>
        <s v="Se aplica testado de datos al folio:  0002700046421" u="1"/>
        <s v="Buenas tardes Martha, tu petición fue atendida, favor de validar _x000a__x000a_Saludos _x000a__x000a_Marina Adame Velasco_x000a__x000a_Notificación de seguimiento  [  MA0402202006 ]  _x000a__x000a_Aplicación:                  INFOMEX NUEVO LEÓN_x000a_Tipo de Soporte:         Actualizar Logo   _x000a_Estatus:                               Concluido._x000a_" u="1"/>
        <s v="Se analizó la incidencia reportada en  el folio:  1613100127920" u="1"/>
        <s v="Scrip BD campus privado" u="1"/>
        <s v="Se cambia el tipo de solicitud del folio: 0002700201021" u="1"/>
        <s v="Actualización y pruebas de funcionalidad de campus Civil 2.2" u="1"/>
        <s v="Notificación de seguimiento  [  MA2402202103 ]  _x000a_ _x000a_ _x000a_Estimado(a):                     Martha Rubí Zaragoza Mora_x000a_ _x000a_ _x000a_Le informamos que su ticket correspondiente a:_x000a_               _x000a_El presente correo es para pedir su amable apoyo para el ajuste de términos de los folios debido al un error de dedo del Sujeto Obligado_x000a_ _x000a_Aplicación:                  INFOMEX NUEVO LEÓN_x000a_Tipo de Soporte:         AJUSTE DE PLAZOS    _x000a_" u="1"/>
        <s v="Evaluación y diseño de script para extracción del texto a etiquetar" u="1"/>
        <s v="Notificación de seguimiento  [  MA3009202003 ]  _x000a_ _x000a_ _x000a_Estimado(a):                     Ludwing Salas Cisneros_x000a_ _x000a_Le informamos que su ticket correspondiente a:_x000a_               _x000a_Por este medio se solicita su apoyo para cambiar el medio de notificación al recurrente en el recurso de revisión RRA 09951/20 en contra de PROFECO, toda vez que el particular solicitó se le hicieran llegar a su correo electrónico registrado en la PNT, gracias._x000a_ _x000a_Aplicación:                  SIGEMI_x000a_Tipo de Soporte:         CAMBIO DE MEDIO   _x000a_Observaciones:            _x000a_ _x000a_Su petición fue atendida_x000a_" u="1"/>
        <s v="Se  testan los datos del folio: 0002700180921" u="1"/>
        <s v="Se testan los datos  del folio: 0064101356721" u="1"/>
        <s v="Actualización y pruebas de funcionalidad de campus Civil 2.7" u="1"/>
        <s v="Generación de scripts para muestreo, etiquetado y validaciones" u="1"/>
        <s v="Optimización de script de unificación de tablas SIPOT y SIPOT DETALLE" u="1"/>
        <s v="Generar vista y consulta para filtrar información" u="1"/>
        <s v="Se  testan los datos de la solicitud con folio 0064100757521" u="1"/>
        <s v="Respaldar curso Presencial 1 de la plataforma anterior y restaurar en plataforma actual " u="1"/>
        <s v="Respaldar curso Presencial 2 de la plataforma anterior y restaurar en plataforma actual " u="1"/>
        <s v="Respaldar curso Presencial 3 de la plataforma anterior y restaurar en plataforma actual " u="1"/>
        <s v="Respaldar curso Presencial 4 de la plataforma anterior y restaurar en plataforma actual " u="1"/>
        <s v="Respaldar curso Presencial 5 de la plataforma anterior y restaurar en plataforma actual " u="1"/>
        <s v="Respaldar curso Presencial 6 de la plataforma anterior y restaurar en plataforma actual " u="1"/>
        <s v="Respaldar curso Presencial 7 de la plataforma anterior y restaurar en plataforma actual " u="1"/>
        <s v="Respaldar curso Presencial 8 de la plataforma anterior y restaurar en plataforma actual " u="1"/>
        <s v="Se sustituye archivo adjunto del folio: 1816400083220." u="1"/>
        <s v=" Definición de vocabulario" u="1"/>
        <s v="Se ajusta ultimo folio del Sujeto obligado SEP-TECNOLÓGICO NACIONAL DE MÉXICO (*)" u="1"/>
        <s v="Se aplica el testado de datos de la solicitud: 1117100004920" u="1"/>
        <s v="Buenas tardes Martha, tu petición fue atendida, favor de validar _x000a__x000a_Saludos _x000a__x000a_Marina Adame Velasco_x000a__x000a_Notificación de seguimiento  [  MA1006202003 ]  _x000a__x000a_Aplicación:                  INFOMEX NUEVO LEÓN_x000a_Tipo de Soporte:         AJUSTE DE PLAZOS   _x000a_Estatus:                               Concluido_x000a__x000a_ _x000a_" u="1"/>
        <s v="_x000a_Buenas tardes David, tu petición fue atendida, favor de validar _x000a__x000a_Saludos _x000a__x000a_Marina Adame Velasco_x000a__x000a_Notificación de seguimiento  [  MA2809202003 ]  _x000a__x000a_Aplicación:                  INFOMEX MICHOACAN_x000a_Tipo de Soporte:         REPORTE    _x000a_Estatus:                               Concluido._x000a__x000a_" u="1"/>
        <s v="Notificación de seguimiento  [  MA1805202201 ]_x000a__x000a_Estimado(a):                Lizbeth Adriana Cabrera Ortega_x000a__x000a_ _x000a_ Le informamos que su ticket correspondiente a:_x000a__x000a__x000a_Con el gusto de saludarles me permito solicitar tu valioso apoyo respecto de la generación UN EXPEDIENTE BIS del recurso de revisión posteriormente citado._x000a_ _x000a_Asimismo, te comento que NO DEBERÁ CAMBIAR el sujeto obligado, ni el Comisionado correspondiente. _x000a_ _x000a_ DICE                                        DEBE DECIR                         SUJETO OBLIGADO           PONENTE_x000a_RRA 7482/22 RRA 07869/20-BIS CONSAR FJAL_x000a_ _x000a_No omito comentarte que el número de expediente que deberá seguir en el consecutivo por turnar en PNT debe ser el RRA 7482/22._x000a_ _x000a_ _x000a_Aplicación:                  SICOM/SIGEMI_x000a_Tipo de Soporte:         CAMBIO DE EXPEDIENTE A BIS      _x000a_Observaciones:            _x000a_ _x000a_Su petición fue atendida_x000a_" u="1"/>
        <s v="Notificación de seguimiento  [  MA1902202002 ]  _x000a_ _x000a_ _x000a_Estimado(a):                     Luis Javier Mendoza Rueda_x000a_ _x000a_Le informamos que su ticket correspondiente a:_x000a_               _x000a_Por medio de la Mesa de servicio con el Ticket #PNT003414 hemos solicitando su apoyo para realizar corrección en el Nombre del Recurrente del recurso: _x000a__x000a__x000a_INFOCDMX/RR.IP.0444/2020 con número de Solicitud: 0112000001220_x000a__x000a_Dice: Guadalupe Rioja_x000a__x000a_Debe decir: ALINA VAZQUEZ VAZQUEZ_x000a__x000a_ _x000a_Aplicación:                  SIGEMI_x000a_Tipo de Soporte:         Corrección de Nombre del Recurrente   _x000a_Observaciones:            _x000a_ _x000a_Su petición fue atendida_x000a_" u="1"/>
        <s v="Notificación de seguimiento  [  MA2308202201 ]_x000a__x000a_Estimado(a):               Lizbeth Adriana Cabrera Ortega_x000a_ Le informamos que su ticket correspondiente a:_x000a_Pido de tu apoyo para que sea retrotraída la reconducción del expediente RRA-RCRD 11313/22_x000a_ _x000a_Lo anterior a fin de que quede como recurso de acceso RRA 11313/22_x000a__x000a_Aplicación:                  SIGEMI_x000a_Tipo de Soporte:        RECONDUCCION _x000a_" u="1"/>
        <s v="Se  testan los datos de la solicitud con folio 0064100748521" u="1"/>
        <s v="Soporte Campeche" u="1"/>
        <s v="_x000a_Notificación de seguimiento  [  MA0203202007 ]  _x000a_ _x000a_ _x000a_Estimado(a):                     Lizbeth Adriana Cabrera Ortega_x000a_ _x000a_Le informamos que su ticket correspondiente a:_x000a_               _x000a_Cambio de fecha de interposición en los folios señalados _x000a__x000a_ _x000a_Aplicación:                  SIGEMI_x000a_Tipo de Soporte:         Cambio de fecha   _x000a_Observaciones:            _x000a_ _x000a_Su petición fue atendida_x000a_" u="1"/>
        <s v="_x000a_Notificación de seguimiento  [  MA1311202004 ]  _x000a_  _x000a_Estimado(a):                     LIZBETH  CABRERA_x000a_  _x000a_Le informamos que su ticket correspondiente a:_x000a_               _x000a_Actualizar datos y turnos de los recursos RRA 12285 y RRA 12286_x000a__x000a_ _x000a_Aplicación:                  SIGEMI_x000a_Tipo de Soporte:         ACTUALIZACIÓN DE DATOS    _x000a_Observaciones:            _x000a_ _x000a_Su petición fue atendida_x000a_" u="1"/>
        <s v="Configuración de Jboss con liferay,despliegue de portles, maquetación de modal" u="1"/>
        <s v="Notificación de seguimiento [ MA3101202002 ] _x000a_  _x000a_  _x000a_ Estimado(a): Lizbeth Adriana Cabrera Ortega_x000a_  _x000a_ Le informamos que su ticket correspondiente a:_x000a_  _x000a_ PIDO DE SU VALIOSO APOYO_x000a_ _x000a_ DEBE DECIR 30 ENERO_x000a_ _x000a_ _x000a_ Aplicación: SIGEMI_x000a_ Tipo de Soporte: CAMBIO DE FECHA _x000a_ Observaciones: _x000a_  _x000a_ Su petición fue atendida" u="1"/>
        <s v="Notificación de seguimiento [ MA2001202006 ] _x000a_  _x000a_  _x000a_ Estimado(a): Lizbeth Adriana Cabrera Ortega_x000a_  _x000a_ Le informamos que su ticket correspondiente a:_x000a_  _x000a_ Solciitando de su valioso apoyo para cargar un exp manual cuyo domicilio no me lo permite agregar la PNT, pues al cargar el C.P. no se adjunta dato alguno inclusive se borra el número._x000a_  _x000a_  _x000a_ CENTRO FEDERAL DE READAPTACIÓN SOCIAL NÚMERO 2 OCCIDENTE._x000a_  _x000a_ Carretera Libre a Zapotlanejo, Km. 17.5_x000a_ C.P. 45420, Puente Grande, Jalisco_x000a_  _x000a_ Aplicación: SIGEMI_x000a_ Tipo de Soporte: AGREGAR CP" u="1"/>
        <s v="Implementación de Servicios para Líneas de Acción, conectandolo con su Interceptor y modulos" u="1"/>
        <s v="Se revisan los plazos de la dependencia SER reportan problemas en la fecha límite de las solicitudes." u="1"/>
        <s v="_x000a_Notificación de seguimiento  [  MA1604202001 ]  _x000a_ _x000a_ _x000a_Estimado(a):                     Edgar Michel Loaeza Martínez_x000a_ _x000a_Le informamos que su ticket correspondiente a:_x000a_               _x000a_“solicitar su apoyo para acceder a la Herramienta de Comunicación, ya que no cuento con la contraseña actualmente. El lunes 13 de abril, utilicé la opción &quot;olvidé contraseña&quot; en el sistema pero hasta el momento no me ha llegado correo electrónico alguno para restablecerla.” (sic)_x000a_ _x000a_Aplicación:                  HCOM_x000a_Tipo de Soporte:         CAMBIO DE CONTRASEÑA  _x000a_Observaciones:            _x000a_ _x000a_Su petición fue atendida, la nueva contraseña es hcom2020_x000a_" u="1"/>
        <s v="Optimización del script de extracción de datos útiles de tablas SIPOT y SIIPOT DETALLE" u="1"/>
        <s v="Buenas tardes Alejandra,  anexo reporte solicitado, favor de validar _x000a_ _x000a_Saludos_x000a_ _x000a_Marina Adame Velasco_x000a_ _x000a_Notificación de seguimiento  [  MA0306202116 ]_x000a_" u="1"/>
        <s v="Se elimina la respuesta del folio: 1511100058421 y 1511100059521" u="1"/>
        <s v="SUSTITUCIÓN TEXTO Y ADJUNTO EN SOLICITUD DE INFORMACION CON FOLIO 0000700163321…" u="1"/>
        <s v="Notificación de seguimiento  [  MA0106202102 ]_x000a__x000a_Estimado(a):                Pedro Esquivel Martínez_x000a__x000a_ _x000a_ Le informamos que su ticket correspondiente a:_x000a_               _x000a_Acabamos de subir la respuesta a la 41621 pero quedo como en espera de forma de entrega, esa forma en la PNT nos ha causado muchos problemas crees que me puedas apoyar a bajarla para que la deje como concluida por este medio Anexo el registro actualizado del certificado del Titular de la Unidad de Enlace de “Instituto Nacional de Lenguas Indígenas”.  Lo Anterior a fin de que sus accesos sean habilitados en los otros sistemas que administra este Instituto (HCOM).  CAMBIO DE  TITULAR, en cuanto se reciba la atención en HCOM se realizará la actualización de los demás sistemas correspondientes._x000a__x000a__x000a_ _x000a_Aplicación:                  HCOM_x000a_Tipo de Soporte:         CAMBIO DE TUT   _x000a_Observaciones:            _x000a_ _x000a_Su petición fue atendida_x000a_" u="1"/>
        <s v="Notificación de seguimiento  [  MA1410202001 ]  _x000a_ _x000a_ _x000a_Estimado(a):                     Alondra Jiménez Hernández_x000a_ _x000a_Le informamos que su ticket correspondiente a:_x000a_               _x000a_Anexo el registro actualizado del certificado del Titular de la Unidad de Transparencia de los siguientes sujeto obligados para su renovación en la Herramienta de Comunicación:_x000a_ _x000a_Clave Sujeto obligado_x000a_11404 Fideicomiso N° 030051-4_x000a_11405 Fondo de Retiro Voluntario y Liquidaciones del Personal de Ciateq, A.C._x000a_ _x000a_ _x000a_Aplicación:                  HCOM_x000a_Tipo de Soporte:         CAMBIO DE CERTIFICADO ( 2 )  _x000a_" u="1"/>
        <s v="Notificación de seguimiento  [  MA0308202004 ]  _x000a_ _x000a_ _x000a_Estimado(a):                     Laura Mónica Segovia Téllez_x000a_ _x000a_Le informamos que su ticket correspondiente a:_x000a_               _x000a_Espero que se encuentren muy bien ustedes y sus familias, en otras cosas solicito su amable apoyo a fin de que sea cambiado el correo electrónico del particular del recurso de revisión RRA 07502/20, ya que en su escrito libre informo de un correo diferente al que se encuentra en la PNT_x000a_El cual es montsequintanaesteban@gmail.com_x000a__x000a__x000a_ _x000a_Aplicación:                  SIGEMI_x000a_Tipo de Soporte:         CAMBIO DE CORREO   _x000a_Observaciones:            _x000a_ _x000a_Su petición fue atendida_x000a_" u="1"/>
        <s v="Notificación de seguimiento  [  MA1210202001 ]  _x000a_ _x000a_ _x000a_Estimado(a):                     Sergio Rafael Cortés Alpizar_x000a_ _x000a_Le informamos que su ticket correspondiente a:_x000a_               _x000a_Por medio del presente, solicito el regreso de actividad a &quot;Preparación del Proyecto de Resolución&quot; y se elimine el cierre de instrucción para volverlo a mandar del siguiente recurso de revisión:_x000a__x000a_RRA 9436/20 vs SEGOB_x000a__x000a_Lo anterior se debe a que se anexo un archivo mal y se enviara de nuevo el cierre correcto._x000a_ _x000a_Aplicación:                  SIGEMI_x000a_Tipo de Soporte:         ELIMINACION DE CIERRE DE INSTRUCCIÓN   _x000a_Observaciones:            _x000a_ _x000a_Su petición fue atendida_x000a_" u="1"/>
        <s v="Avance mockups Roles, Usuarios Pizarras 4" u="1"/>
        <s v="Ejecución de OT 3 Campus Garantes" u="1"/>
        <s v="Se tuvo una reunión con Juan Carlos para revisar las solicitudes del sitio de Conferencias Covid y der continuar con ese proyecto" u="1"/>
        <s v="Notificación de seguimiento  [  MA0108202203 ]_x000a__x000a__x000a_Estimado(a):               Julia Yuridia Pacheco Hernández_x000a_ Le informamos que su ticket correspondiente a:_x000a__x000a_para la actualización y nuevo certificado para el Sindicato de Trabajadores del Centro de Investigación y Docencia Económicas, A.C., lo anterior derivado del cambio del titular de la unidad de transparencia, es importante mencionar que este SO se encuentra habilitado en todos los sistemas._x000a_ _x000a_Clave Única_x0009_Sujeto Obligado_x0009_Nombre_x0009_Correo electrónico_x0009_contraseña_x000a_60221_x0009_Sindicato Único de Personal Técnico y Administrativo del Centro de Investigaciones Biológicas del Noroeste_x000a__x000a__x0009_BRENDA FRANCISCA DE LA PEÑA ORTEGA_x0009_bdelapena@cibnor.mx_x000a_hcom60221_x000a__x000a__x000a_Aplicación:                  HCOM_x000a_Tipo de Soporte:        GENERACIÓN DE CERTIFICADO Y CAMBIO DE TUT EN HCOM  " u="1"/>
        <s v="webservice para la busqueda de los avisos que se encuentren activos." u="1"/>
        <s v="_x000a_Notificación de seguimiento  [  MA0912202006 ]  _x000a_ _x000a_ _x000a_Estimado(a):                     Karen Nayelli Muñiz Rebolledo_x000a_ _x000a_ _x000a_Le informamos que su ticket correspondiente a:_x000a_               _x000a_regresar el paso en el recurso RRD 01632/20 vs INFONAVIT, a efecto de tener por no presentado _x000a__x000a_Aplicación:                  SIGEMI_x000a_Tipo de Soporte:         REGRESO DE PASOS    _x000a_Observaciones:            _x000a_ _x000a_Su petición fue atendida_x000a_" u="1"/>
        <s v="Notificación de seguimiento  [  MA0408202002 ]  _x000a_ _x000a_ _x000a_Estimado(a):                     Iván Emmanuel Sánchez Morales_x000a_ _x000a_Le informamos que su ticket correspondiente a:_x000a_               _x000a_Por conducto del presente solicito su amable ayuda a efecto de regresar el paso de cierre de instrucción en el recurso con  el número RRA 04593/20._x000a_ _x000a_Lo anterior, toda vez que por un error involuntario, se anexó en la Plataforma Nacional de Transparencia de manera incorrecta, el acuerdo inherente a un recurso diverso (RRA 04383/20)._x000a_  _x000a_Aplicación:                  SIGEMI_x000a_Tipo de Soporte:         Eliminar cierre de instrucción  _x000a_Observaciones:            _x000a_ _x000a_Su petición fue atendida_x000a_" u="1"/>
        <s v="Notificación de seguimiento  [  MA2605202201 ]_x000a__x000a_Estimado(a):                Julia Yuridia Pacheco Hernández _x000a__x000a__x000a_ Le informamos que su ticket correspondiente a:_x000a__x000a_Atentamente solicito su apoyo para asignar en la Herramienta de Comunicación, el certificado que adjunto al presente al SO que se precisa a continuación:_x000a_Clave Única Sujeto Obligado Nombre Correo electrónico contraseña_x000a_60213 Sindicato Nacional Independiente de los Trabajadores de la Secretaría de Economía_x000a__x000a_ Sandra Ruth Cortés Hernández snitse.cen22@gmail.com_x000a_hcom2022_x000a__x000a__x000a__x000a_ _x000a_Aplicación:                  HCOM_x000a_Tipo de Soporte:        CAMBIO EDE TUT     _x000a_Observaciones:            _x000a_ _x000a_Su petición fue atendida_x000a_" u="1"/>
        <s v="Apoyo en las consultas y validación de la información generada con las bases de datos en custodia (casos de diversos estados)" u="1"/>
        <s v="Se  testan los datos del folio: 0064101800821" u="1"/>
        <s v="Se aplica eliminación de formato de pago manual: 1610100440419." u="1"/>
        <s v="Buenos días Berenice, tu petición fue atendida, favor de validar _x000a__x000a_Saludos _x000a__x000a_Marina Adame Velasco_x000a__x000a_Notificación de seguimiento  [  MA1607202014 ]  _x000a__x000a_Aplicación:                  INFOMEX OAXACA_x000a_Tipo de Soporte:         AJUSTE DE PLAZOS    _x000a_Estatus:                               Concluido._x000a__x000a_" u="1"/>
        <s v="Notificación de seguimiento  [  MA2710202001 ]  _x000a__x000a_ _x000a__x000a_ _x000a__x000a_Estimado(a):                     Lizbeth Adriana Cabrera Ortega_x000a__x000a_ _x000a__x000a_Le informamos que su ticket correspondiente a:_x000a__x000a_               _x000a__x000a_realizar la modificación requerida por la ponencia, a fin de que el folio del recurso indicado en el asunto sea suprimido, es decir conste sin folio el recurso_x000a__x000a_ _x000a__x000a_Aplicación:                  SIGEMI_x000a__x000a_Tipo de Soporte:         ACTUALIZACIÓN FOLIO SOLICITUD _x000a__x000a_Observaciones:            _x000a__x000a_ _x000a__x000a_Su petición fue atendida_x000a__x000a_ " u="1"/>
        <s v="Error en la navegacion al registrar usuario, el problema radica en una intermitencia con el servicio que proporciona el token de seguridad" u="1"/>
        <s v="Se generan 2 certificados para la dependencia: Mayolo.Luis.Aguilar." u="1"/>
        <s v="Se cambia el tipo de solicitud del folio: 0063700810120, 0063700817720 " u="1"/>
        <s v="_x000a_Notificación de seguimiento  [  MA1302202005 ]  _x000a_ _x000a_ _x000a_Estimado(a):                     Lizbeth Adriana Cabrera Ortega_x000a_ _x000a_Le informamos que su ticket correspondiente a:_x000a_               _x000a_SOLICITO SU APOYO MODIFICANDO LA FECHA DE INTERPOSICIÓN AL DÍA HÁBIL SIGUIENTE:_x000a__x000a__x000a_DEBE DECIER 13 DE FEBRERO_x000a__x000a_ _x000a_Aplicación:                  SIGEMI_x000a_Tipo de Soporte:         ACTUALIZACIÓN DE FECHA   _x000a_Observaciones:            _x000a_ _x000a_Su petición fue atendida_x000a_" u="1"/>
        <s v="Notificación de seguimiento  [  MA2501202105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_x000a_ _x000a_Aplicación:                  INFOMEX NUEVO LEÓN_x000a_Tipo de Soporte:         AJUSTE DE PLAZOS    _x000a_Observaciones:            _x000a_ _x000a_Su petición fue atendida_x000a_" u="1"/>
        <s v="Se  testan los datos del folio:  0000700092421 " u="1"/>
        <s v="Evaluación y Definición de herramienta para realizar la extracción de los 8 millones de información disponible dentro de la PNT" u="1"/>
        <s v=" Notificación de seguimiento  [  MA1504202001 ]  _x000a_ _x000a_ _x000a_Estimado(a):                     GUILLERMO DELGADO IBARRA_x000a_ _x000a_Le informamos que su ticket correspondiente a:_x000a_               _x000a_                Buen día Rafael, antes que nada deseando te encuentres bien, oye una duda y solicitud, fíjate que ocupamos de tu apoyo, te envió unos acuses de los RR que se turnaron el día de hoy y el detalle que estamos observando es en las fechas, la semana pasada se hizo una actualización para el regreso a labores por la situación actual al 4 de mayo, y en el acuse nos presenta dos fechas distintas, una si con el 4 de mayo, pero la otra con fecha del 20 de abril, y según nosotros ambas deberían coincidir, y si es así nos puedes ayudar para corregir en sistema dichas fechas, o porque sale con fecha del  20 de abril?_x000a_ _x000a_Aplicación:                  SIGEMI_x000a_Tipo de Soporte:         Actualización de fecha  _x000a_Observaciones:            _x000a_ _x000a_Su petición fue atendida, se realizó el ajuste tanto en la referencia que se encuentra en la base de datos como en los documentos de turno_x000a_ _x000a_" u="1"/>
        <s v="Validación de acceso a la información sobre los JSON compartidos para SIGEMI" u="1"/>
        <s v="Se aplica testado de datos al folio:  1816400036621" u="1"/>
        <s v="Buenas tardes Martha, te comento que se realizó la corrección de plazo al 30 de Septiembre, en caso de que requieran modifican algún otro dato estoy a sus ordenes, favor de validar _x000a__x000a_Saludos _x000a__x000a_Marina Adame Velasco_x000a__x000a_Notificación de seguimiento  [  MA2109202005 ]  _x000a__x000a_Aplicación:                  INFOMEX NUEVO LEÓN_x000a_Tipo de Soporte:         Corrección de fecha de caducidad   _x000a_Estatus:                               Concluido._x000a_" u="1"/>
        <s v="Se aplica el testado de datos de la solicitud: 0064100215720." u="1"/>
        <s v="Actualización al reporte de sistematización" u="1"/>
        <s v="Se atendieron soportes de solicitudes registradas en infomex" u="1"/>
        <s v="Se  testan los datos del folio:0064101997121" u="1"/>
        <s v="Respaldar Curso 4 de PA-ENEDA  de la plataforma anterior y restaurar en plataforma actual " u="1"/>
        <s v="Se testan los datos  del folio: 0064101358721" u="1"/>
        <s v="Se aplica testado de datos al folio:  0064103348520" u="1"/>
        <s v="Modificaciones de la OT y validar pasos en el server" u="1"/>
        <s v="Se elmina la respuesta del folio: 0001200148521" u="1"/>
        <s v="Componente catalogo integrante (service, dto) (Administrador) " u="1"/>
        <s v="Revisión de datos generados de recursos de revisión" u="1"/>
        <s v="Se corrige error presente en revision de tienda con ios 14.7.1" u="1"/>
        <s v="Creación de cuenta y configuración de admimnistración Estadísticas e Indicadores" u="1"/>
        <s v="Se  testan los datos del folio:   0064101152521" u="1"/>
        <s v="Revisión de dudas para el seguimiento de recurso de revisión" u="1"/>
        <s v="Notificación de seguimiento  [  MA1409202001 ]  _x000a_ _x000a_ _x000a_Estimado(a):                     Lorena Martínez González_x000a_ _x000a_Le informamos que su ticket correspondiente a:_x000a_               _x000a_Buen día, por medio del presente solicito su apoyo para que, respecto del recurso de revisión  RRA 09133/20, se realicen las actuaciones pertinentes en la Plataforma Nacional de Transparencia a fin de registrar como medio de notificación del recurrente, el correo electrónico: carlospadi@icloud.com _x000a__x000a_Lo anterior, toda vez que el particular señaló el mismo como medio de notificación en su recurso de revisión. _x000a_ _x000a_Aplicación:                  SIGEMI_x000a_Tipo de Soporte:         CAMBIO DE MEDIO   _x000a_Observaciones:            _x000a_ _x000a_Su petición fue atendida_x000a_" u="1"/>
        <s v="Notificación de seguimiento  [  MA2309202003 ]  _x000a_ _x000a_ _x000a_Estimado(a):                     Ana Paula Vásquez Galván_x000a_ _x000a_Le informamos que su ticket correspondiente a:_x000a_               _x000a_En seguimiento al correo anterior, el día ayer se solicitó también regresar el paso de en la Plataforma Nacional de Transparencia, a efecto de dejar insubsistente el cierre de instrucción del recurso de revisión RRA 3396/20._x000a_ _x000a_Sin embargo, no hemos obtenido respuesta ni tampoco se ha dado paso atrás, ¿se necesita algo adicional, para poder atender nuestra petición a la brevedad posible?_x000a_ _x000a_ _x000a_Aplicación:                  SIGEMI_x000a_Tipo de Soporte:         Eliminación de cierre de instrucción  _x000a_Observaciones:            _x000a_ _x000a_Su petición fue atendida_x000a_" u="1"/>
        <s v="Notificación de seguimiento  [  MA2402202002 ]  _x000a_ _x000a_ _x000a_Estimado(a):                     Moisés Guzmán Arias_x000a_ _x000a_Le informamos que su ticket correspondiente a:_x000a_               _x000a_Estimados amigos: Por este medio me permito desearles un excelente inicio de semana y aprovechar para pedir su enorme apoyo para realizar el retroceso del paso de un recurso con número RR-0053/2020 ya que por error se desahogó la prevención dándole cumplimiento y lo que se requiere es que dicho paso se deshaga para que la ponencia pueda indicar que NO SE DIO CUMPLIMIENTO y pueda entonces hacer el desechamiento._x000a__x000a__x000a_ _x000a_Aplicación:                  SIGEMI_x000a_Tipo de Soporte:         REGRESO DE PASOS  _x000a_Observaciones:            _x000a_ _x000a_Su petición fue atendida_x000a_" u="1"/>
        <s v="Notificación de seguimiento  [  MA0504202113 ]  _x000a_ _x000a_ _x000a_Estimado(a):                     ALEJANDRA TEJEDA_x000a_ _x000a_ _x000a_Le informamos que su ticket correspondiente a:_x000a_               _x000a_reporte de solicitudes 2021 con corte al día de hoy._x000a__x000a_ _x000a_Aplicación:                  INFOMEX BCN_x000a_Tipo de Soporte:         REPORTE   _x000a_Observaciones:            _x000a_ _x000a_Su petición fue atendida_x000a_ _x000a_" u="1"/>
        <s v="Implementación de la búsqueda y despliegue de Resoluciones Privadas para su borrado y/o modificación." u="1"/>
        <s v="Se testan los datos de la solicitud con folio: 0064101396321" u="1"/>
        <s v="Instalación app para conectar VPN. _x000a_Verificar conexión a VPN INAI_x000a_Verificar ingreso a ambiente de pruebas, realizar pruebas de registro, notas de pruebas" u="1"/>
        <s v="_x000a_Notificación de seguimiento  [  MA0411202010 ]  _x000a_ _x000a_ _x000a_Estimado(a):                     Moisés Guzmán Arias_x000a_ _x000a_ _x000a_Le informamos que su ticket correspondiente a:_x000a_               _x000a_un respaldo de la base de datos del Sistema Infomex del Estado de Puebla_x000a__x000a_ _x000a_Aplicación:                  INFOMEX PUEBLA _x000a_Tipo de Soporte:         RESPALDO   _x000a_Observaciones:            _x000a_ _x000a_Su petición fue atendida_x000a__x000a_http://documentos.inai.org.mx/tmp/infomexPUEBLA_backup_2020-11-04_1817.bak_x000a__x000a_ _x000a_  _x000a_            Favor de validar._x000a_ _x000a_Estatus:                               Concluido._x000a__x000a_" u="1"/>
        <s v="Continúa el Apoyo en las consultas y validación de la información generada con las bases de datos en custodia (casos de diversos estados) en lo referente principalmente a documentación adjunta._x000a_Se está apoyando con la recuperación de adjuntos de CDMX vía el aplicativo proporcionado por Luis Fernando ( 2 procesos ) 1 concluido con 8GB." u="1"/>
        <s v="Notificación de seguimiento  [  MA2804202201 ]_x000a__x000a_Estimado(a):                Alondra Jiménez Hernández_x000a__x000a_ _x000a_ Le informamos que su ticket correspondiente a:_x000a_               _x000a_Debido al vencimiento del certificado, te pido sea generado un certificado genérico a nombre del TUT y que con el mismo sea habilitado en la HCOM. Los datos son los siguientes:_x000a_Clave Sujeto obligado Nombre del Titular de la Unidad de Transparencia Correo electrónico Contraseña_x000a_12277 Laboratorios de Biológicos y Reactivos de México, S.A. de C.V. Beatriz Romero Valderrama bromerov@birmex.gob.mx_x000a_Ver archivo adjunto_x000a__x000a__x000a_Aplicación:                  HCOM_x000a_Tipo de Soporte:         GENERACIÓN DE CERTIFICADO Y ACTUALIZACIÓN _x000a_Observaciones:            _x000a_ _x000a_Su petición fue atendida_x000a_" u="1"/>
        <s v="desarrollo de servicios para Datos Abiertos" u="1"/>
        <s v="Se aplica eliminación de formato de pago manual: 0063700022620." u="1"/>
        <s v="_x000a_Notificación de seguimiento  [  MA2110202001 ]  _x000a_ _x000a_ _x000a_Estimado(a):                     Laura Mónica Segovia Tellez_x000a_ _x000a_Le informamos que su ticket correspondiente a:_x000a_               _x000a_Derivado de la solicitud del particular solicito su amable apoyo a fin de que sea cambiado el medio de notificación al correo electrónico siguiente  cjavier757@yahoo.com del recurso RRD 01286/20._x000a__x000a_ _x000a_Aplicación:                  SIGEMI_x000a_Tipo de Soporte:         CAMBIO DE MEDIO   _x000a_Observaciones:            _x000a_ _x000a_Su petición fue atendida_x000a__x000a_" u="1"/>
        <s v="Buenas tardes Memo, tu petición fue atendida, favor de validar _x000a__x000a_Saludos _x000a__x000a_Marina Adame Velasco_x000a__x000a_Notificación de seguimiento  [  MA0406202007 ]  _x000a__x000a_Aplicación:                  INFOMEX NUEVO LEÓN_x000a_Tipo de Soporte:         AJUSTE DE PLAZOS   _x000a_Estatus:                               Concluido._x000a__x000a_ _x000a_" u="1"/>
        <s v="Se  testan los datos del folio: 0064101891821" u="1"/>
        <s v=" _x000a_Notificación de seguimiento  [  MA0311202003 ]  _x000a_ _x000a_ _x000a_Estimado(a):                     Laura Mónica Segovia Tellez_x000a_ _x000a_ _x000a_Le informamos que su ticket correspondiente a:_x000a_               _x000a_regresar el paso del RRA 8767/20 del cierre de instrucción derivado de que se adjuntó un acuerdo que no corresponde._x000a_ _x000a_Aplicación:                  SIGEMI_x000a_Tipo de Soporte:         Eliminar cierre de instrucción   _x000a_Observaciones:            _x000a_ _x000a_Su petición fue atendida_x000a_ _x000a_ _x000a_" u="1"/>
        <s v="Creación de grafo de conocimiento particular" u="1"/>
        <s v="Se  testan los datos del folio:  0000700158621 " u="1"/>
        <s v="_x000a_Notificación de seguimiento  [  MA1507202002 ]  _x000a_ _x000a_ _x000a_Estimado(a):                     Betzabé Flores Terán_x000a_ _x000a_Le informamos que su ticket correspondiente a:_x000a_               _x000a_Solicito su apoyo para realizar la modificación en la herramienta de comunicación del .cer que se adjunta, toda vez que hubo un cambio en el Titular de la Unidad de Transparencia._x000a__x000a_ _x000a_Aplicación:                  HCOM_x000a_Tipo de Soporte:         CAMBIO DE TUT  _x000a_Observaciones:            _x000a_ _x000a_Su petición fue atendida_x000a_ _x000a_" u="1"/>
        <s v="Se sustituye archivo adjunto  del folio:  1816400005921" u="1"/>
        <s v="Se  eliminan solicitudes del SISITUR_x000a_" u="1"/>
        <s v="Notificación de seguimiento  [  MA2302202110 ]  _x000a_ _x000a_ _x000a_Estimado(a):                     Edgar Michel Loaeza Martínez_x000a_ _x000a_ _x000a_Le informamos que su ticket correspondiente a:_x000a_               _x000a_Por medio del presente solicito su valioso apoyo a efecto de realizar el cambio de Titular de la Unidad de Transparencia de la Oficina de la Presidencia de la República en hcom._x000a_ _x000a_Aplicación:                  HCOM_x000a_Tipo de Soporte:         CAMBIO TUT   _x000a_" u="1"/>
        <s v="seccion 9 UT" u="1"/>
        <s v="Se consultan datos de la solicitud 0064101790821" u="1"/>
        <s v="Notificación de seguimiento  [  MA2503202110 ]  _x000a_ _x000a_ _x000a_Estimado(a):                     Moisés Guzmán Arias_x000a_ _x000a_ _x000a_Le informamos que su ticket correspondiente a:_x000a_               _x000a_CONSULTA DE DATOS _x000a_ _x000a_Aplicación:                  INFOMEX PUEBLA_x000a_Tipo de Soporte:         CONSULTA   DE DATOS  _x000a_Observaciones:            _x000a_ _x000a_Su petición fue atendida_x000a_ _x000a_" u="1"/>
        <s v="Se aplica el cambio de modalidad para el folio: 0000600022520" u="1"/>
        <s v="Se agrega elementos extras al scafold y notificacicones para las solicitudes" u="1"/>
        <s v="_x000a_Notificación de seguimiento  [  MA1202202005 ]  _x000a_ _x000a_ _x000a_Estimado(a):                     Alondra Jiménez Hernández_x000a_ _x000a_Le informamos que su ticket correspondiente a:_x000a_               _x000a_Anexo el registro actualizado del certificado del Titular de la Unidad de Transparencia de FONATUR Infraestructura, S.A. de C.V para su renovación en la Herramienta de Comunicación._x000a__x000a_ _x000a_Aplicación:                  HCOM_x000a_Tipo de Soporte:         RENOVACIÓN DE CERTIFICADO  _x000a_Observaciones:            _x000a_ _x000a_Su petición fue atendida_x000a_ _x000a_" u="1"/>
        <s v="Se aplica testado de datos al folio:  0000700053921 " u="1"/>
        <s v="Notificación de seguimiento  [  MA2903202105 ]  _x000a_ _x000a_ _x000a_Estimado(a):                     ALAN GARCÍA_x000a_  _x000a_Le informamos que su ticket correspondiente a:_x000a_               _x000a_RESPALDO SEMANAL DE LA BASE DE DATOS INFOMEX_x000a_ _x000a_Aplicación:                  INFOMEX TLAXCALA_x000a_Tipo de Soporte:         RESPALDO   _x000a_Observaciones:            _x000a_ _x000a_Su petición fue atendida, se subió el respaldo de su base de datos de esta semana…_x000a__x000a_http://documentos.inai.org.mx/tmp/infomex_tlaxcala_backup_2021-03-29_0800.bak_x000a__x000a_NOTA: El respaldo estará disponible una semana  _x000a__x000a_" u="1"/>
        <s v="Notificación de seguimiento  [  MA1908202011 ]  _x000a_ _x000a_ _x000a_Estimado(a):                     Edgar Michel Loaeza Martínez_x000a_ _x000a_Le informamos que su ticket correspondiente a:_x000a_               _x000a_dar de alta el certificado que se adjunta, sujeto obligado de la Comisión Nacional del Agua._x000a__x000a_ _x000a_Aplicación:                  HCOM_x000a_Tipo de Soporte:         CAMBIO DE CERTIFICADO   _x000a_Observaciones:            _x000a_ _x000a_Su petición fue atendida_x000a_ _x000a_" u="1"/>
        <s v="Analisis de Reportes " u="1"/>
        <s v="Se genera el acceso y el alta de usuario como Unidad de Enlace en la dependencia de Monitoreo." u="1"/>
        <s v="Se agregó respuesta en solicitud con folio 0063700110321" u="1"/>
        <s v="Envío de respaldo de infomex Nuevo León" u="1"/>
        <s v="Respaldar Curso 9  de la plataforma anterior y restaurar en plataforma actual " u="1"/>
        <s v="URL agregadas en constantes y se hace referencia en las peticiones http" u="1"/>
        <s v="_x000a_Notificación de seguimiento  [  MA2310202007 ]  _x000a_ _x000a_ _x000a_Estimado(a):                     Rosalinda Coria Mosqueda_x000a_ _x000a_Le informamos que su ticket correspondiente a:_x000a_               _x000a_regresar a la actividad de admitir/prevenir el recurso RRA 10600/20, toda vez que por omisión adjunte archivo de admisión que no corresponde al recurso._x000a__x000a_ _x000a_Aplicación:                  SIGEMI_x000a_Tipo de Soporte:         REGRESO DE PASOS  _x000a_Observaciones:            _x000a_ _x000a_Su petición fue atendida_x000a_" u="1"/>
        <s v="Se crean los endpoint en los enum de Administración" u="1"/>
        <s v="Corrección incidencia con páginas y elementor" u="1"/>
        <s v="Estimado(a):                     Lizbeth Adriana Cabrera Ortega_x000a_ _x000a_Le informamos que su ticket correspondiente a:_x000a_               _x000a_Solicito de su amable apoyo a fin de modificar la fecha de interposición al día hábil siguiente, pues son recursos ingresados por INFOMEX en un horario inhábil._x000a__x000a_Debe decir 25 de febrero _x000a_ _x000a_Aplicación:                  SIGEMI_x000a_Tipo de Soporte:         Cambio de fecha de interposición  _x000a_Observaciones:            _x000a_ _x000a_Su petición fue atendida_x000a_" u="1"/>
        <s v="Se elimina la respuesta del folio: 1410000047821" u="1"/>
        <s v="Reestructuración pantalla datos abiertos obligaciones de transparencia" u="1"/>
        <s v="Actualizar fecha limite de la solicitud 1200200006721" u="1"/>
        <s v="Se  testan los datos del folio: 0064101363021 " u="1"/>
        <s v="Se cambia el tipo de solicitud y se elimina respuesta del folio : 0673800083621" u="1"/>
        <s v="Se aplica el testado de datos de la solicitud: 0000700346619" u="1"/>
        <s v="Notificación de seguimiento  [  MA2102202004 ]  _x000a_ _x000a_ _x000a_Estimado(a):                     Rosalinda Coria Mosqueda_x000a_ _x000a_Le informamos que su ticket correspondiente a:_x000a_               _x000a__x000a_Agradeceré su apoyo para modificar el medio de notificación en el recurso RRD 0304/20 en contra del INFONAVIT, toda vez que el recurrente en su escrito libre de recurso de revisión, así lo solicito, de domicilio a correo electrónico, javiernn@yahoo.com.mx_x000a__x000a__x000a_ _x000a_Aplicación:                  SIGEMI_x000a_Tipo de Soporte:         CAMBIO DE MEDIO Y ACTUALIZACIÓN DE CORREO   _x000a_" u="1"/>
        <s v="Notificación de seguimiento  [  MA2511202102 ]_x000a__x000a_Estimado(a):                Betzabé Flores Terán_x000a__x000a_ _x000a_ Le informamos que su ticket correspondiente a:_x000a_               _x000a_Solicito su apoyo para realizar la actualización en la herramienta de comunicación del .cer que se adjunta, toda vez que el .cer caduco._x000a_ _x000a_Aplicación:                  HCOM_x000a_Tipo de Soporte:         CAMBIO DE TUT   _x000a_Observaciones:            _x000a_ _x000a_Su petición fue atendida_x000a_ _x000a_" u="1"/>
        <s v="Se  testan los datos del folio: 0064100856321" u="1"/>
        <s v="Se testan los datos de la solicitud con  folio 0000700249421" u="1"/>
        <s v="Se cambia el tipo de solicitud del folio: 0610100189721" u="1"/>
        <s v="Reportan problemas por estatus de 4 solicitudes de información para la dependencia: 4001_x0009_OPR-CENTRO DE PRODUCCIÓN DE PROGRAMAS INFORMATIVOS Y ESPECIALES (*)" u="1"/>
        <s v="SUSTITUCIÓN TEXTO Y ADJUNTO EN SOLICITUD DE INFORMACION CON FOLIO 1816400086721" u="1"/>
        <s v="Buenas tardes José Manuel, tu petición fue atendida, favor de validar _x000a__x000a_Saludos _x000a__x000a_Marina Adame Velasco_x000a__x000a_Notificación de seguimiento  [  MA1304202002 ]  _x000a__x000a_Aplicación:                  INFOMEX QUERÉTARO_x000a_Tipo de Soporte:         REPORTE DE SOLICITUDES   _x000a_Estatus:                               Concluido._x000a_" u="1"/>
        <s v="Notificación de seguimiento  [  MA1102202006 ]  _x000a_ _x000a_ _x000a_Estimado(a):                     Adriana Elizabeth Hernández García_x000a_ _x000a_Le informamos que su ticket correspondiente a:_x000a_               _x000a_Por medio del presente te comento que al validar el paso denominado Registro de la Resolución Firmada relativo al recurso: _x000a__x000a_RRA 15305/19_x000a__x000a_la PNT se queda pasmada y NO APARECEN las ventanas donde se registran las fechas de firma de los comisionados; de tal manera que queda en blanco.  _x000a_Al respecto, te solicito se realicen las gestiones necesarias a efecto de que se pueda validar el paso referido y así estar en condición de cargar las fechas y que pueda ser notificada la resolución._x000a__x000a_ _x000a_Aplicación:                  SIGEMI_x000a_Tipo de Soporte:         Corrección de incidencia   _x000a_Observaciones:            _x000a_ _x000a_Su petición fue atendida_x000a_" u="1"/>
        <s v="_x000a_Notificación de seguimiento  [  MA1103202004 ]  _x000a_ _x000a_ _x000a_Estimado(a):                     Sergio Rafael Cortés Alpizar_x000a_ _x000a_Le informamos que su ticket correspondiente a:_x000a_               _x000a_Buena tarde, por medio del presente solicito su apoyo para que se cambie el medio de notificación a correo electrónico y se incluya el mismo en la Plataforma Nacional de Transparencia del recurso de revisión:_x000a_ _x000a_RRD 0455/20 vs IMSS_x000a_ _x000a_El correo es: gaude.garcia@hotmail.com_x000a_ _x000a_Aplicación:                  SIGEMI_x000a_Tipo de Soporte:         CAMBIO DE MEDIO   _x000a_Observaciones:            _x000a_ _x000a_Su petición fue atendida_x000a__x000a_" u="1"/>
        <s v="Se aplica testado de datos personales: 0673800033120" u="1"/>
        <s v="Se implementa url_launch para quejas saimex" u="1"/>
        <s v="Se sustituye archivo adjunto  del folio:  1117100063021" u="1"/>
        <s v="Definición de métricas para validar porcentaje de efectividad top 10" u="1"/>
        <s v="Se desarrollò la pàgina de marco normativo nacional dentro del sitio de comite de etica, agregando la informaciòn compartida con base en el diseño compartido" u="1"/>
        <s v="Ajuste en menú de navegación" u="1"/>
        <s v="Generación del script de concatenación de datos SISAI, SIGEMI-SICOM" u="1"/>
        <s v="Se agregan 2 periciones de token movil para push notification, la primera para registrar token al login y la segunda para eliminar token al cerrar sesion" u="1"/>
        <s v="Se generó certificado para usuario de dependencia fuerza por México" u="1"/>
        <s v="Desarrollo de la paguinación para los registrso secundarios en información " u="1"/>
        <s v="Se aplica testado de datos al folio: 0064100214721" u="1"/>
        <s v="Notificación de seguimiento  [  MA2105202110 ]  _x000a_ _x000a_ _x000a_Estimado(a):                     Alexandro Sandoval_x000a_ _x000a_ _x000a_Le informamos que su ticket correspondiente a:_x000a_               _x000a_La solicitud de información 125842020 se registró doble (anexo imagen) me piden si puedes por fvora eliminar el registro duplicado que no esta turnado_x000a_ _x000a_Aplicación:                  SIGEMI_x000a_Tipo de Soporte:         CANCELAR REGISTRO DUPLICADO   _x000a_Observaciones:            _x000a_ _x000a_Su petición fue atendida_x000a_ _x000a_" u="1"/>
        <s v="Notificación de seguimiento  [  MA2904202002 ]  _x000a_ _x000a_ _x000a_Estimado(a):                     Edgar Michel Loaeza Martínez_x000a_ _x000a_Le informamos que su ticket correspondiente a:_x000a_               _x000a_Por medio del presente solicito su valioso apoyo a efecto de dar de alta el certificado de Titular de la Unidad de Transparencia del “SHCP-FONDO METROPOLITANO”_x000a__x000a__x000a_Aplicación:                  HCOM_x000a_Tipo de Soporte:         CAMBIO DE TUT  _x000a_Observaciones:            _x000a_ _x000a_Su petición fue atendida_x000a_ _x000a_" u="1"/>
        <s v="Se sustituye archivo adjunto  del folio:  1117100063121" u="1"/>
        <s v="Notificación de seguimiento  [  MA2807202009 ]  _x000a_ _x000a_ _x000a_Estimado(a):                     Betzabé Flores Terán_x000a_ _x000a_Le informamos que su ticket correspondiente a:_x000a_               _x000a_Solicito de su apoyo para actualizar en la Herramienta de Comunicación el certificado que se adjunta._x000a_ _x000a__x000a_Aplicación:                  HCOM_x000a_Tipo de Soporte:         Cambio de certificado   _x000a_Observaciones:            _x000a_ _x000a_Su petición fue atendida_x000a_ _x000a_" u="1"/>
        <s v="_x000a_Notificación de seguimiento  [  MA1405202103 ]  _x000a_ _x000a_ _x000a_Estimado(a):                     Lizbeth Adriana Cabrera Ortega_x000a_ _x000a_ _x000a_Le informamos que su ticket correspondiente a:_x000a_               _x000a_Pido de tur amable apoyo para modificar la fecha de interposición del recurso RRA 5886/21 y la actualización del documento de turno._x000a__x000a_Lo anterior ya que ingresó en su último día de interposición._x000a_ _x000a_Aplicación:                  SIGEMI_x000a_Tipo de Soporte:         ACTUALIZACIÓN DE FECHA   _x000a_Observaciones:            _x000a_ _x000a_Su petición fue atendida_x000a_" u="1"/>
        <s v="_x000a_Notificación de seguimiento  [  MA1512202001 ]  _x000a_ _x000a_ Estimado(a):                     Iván Emmanuel Sánchez Morales_x000a_  _x000a_Le informamos que su ticket correspondiente a:_x000a_               _x000a_Por conducto del presente solicito su amable ayuda con la finalidad de que, respecto del recurso de revisión RRD 01582/20, se regrese el paso consistente en la admisión del recurso en mención._x000a_ _x000a_Aplicación:                  SIGEMI_x000a_Tipo de Soporte:         REGRESO DE PASOS    _x000a_" u="1"/>
        <s v="Se revisaron los archivos del sitio para intentar levantarlo en un ambiente local" u="1"/>
        <s v="Se modifica la fecha limite de respuesta de la solicitud del folio: 1857200298820" u="1"/>
        <s v="Se  testan los datos del folio: 0064101354221" u="1"/>
        <s v="Se aplica eliminación de formato de pago: 0632000031820" u="1"/>
        <s v="Buenas tardes Moisés, tu petición fue atendida, favor de validar _x000a__x000a_Saludos _x000a__x000a_Marina Adame Velasco_x000a__x000a_Notificación de seguimiento  [  MA2602202010 ]  _x000a__x000a_Aplicación:                  INFOMEX PUEBLA _x000a_Tipo de Soporte:         Corrección de asignación de Sujetos Obligados   _x000a_Estatus:                               Concluido._x000a_" u="1"/>
        <s v="Notificación de seguimiento  [  MA1203202112 ]  _x000a_ _x000a_ _x000a_Estimado(a):                     ALEJANDRA TEJEDA_x000a_ _x000a_ _x000a_Le informamos que su ticket correspondiente a:_x000a_               _x000a_solicito de la manera más atenta su apoyo para la rectificación de la fecha de caducidad del paso del Sujeto Obligado Secretaria del trabajo y previsión social de Baja California_x000a__x000a_Aplicación:                  INFOMEX BCN_x000a_Tipo de Soporte:         AJUSTE  DE PLAZO   _x000a_Observaciones:            _x000a_ _x000a_Su petición fue atendida_x000a_ _x000a_" u="1"/>
        <s v="Notificación de seguimiento  [  MA2007202006 ]  _x000a_ _x000a_ _x000a_Estimado(a):                     Edgar Michel Loaeza Martínez_x000a_ _x000a_Le informamos que su ticket correspondiente a:_x000a_               _x000a_Por medio del presente solicito su valioso apoyo a efecto de dar de alta los certificados de Titular de la Unidad de Transparencia de los sujetos obligados que se enlistan_x000a_ _x000a_Aplicación:                  HCOM_x000a_Tipo de Soporte:         CAMBIO DE TUT ( 9 )   _x000a_Observaciones:            _x000a_ _x000a_Su petición fue atendida_x000a_ _x000a_" u="1"/>
        <s v="Notificación de seguimiento  [  MA2210202002 ]  _x000a_ _x000a_ _x000a_Estimado(a):                     Alondra Jiménez Hernández_x000a_ _x000a_Le informamos que su ticket correspondiente a:_x000a_               _x000a_ _x000a_Anexo el registro actualizado del certificado del nuevo Titular de la Unidad de Transparencia de API ENSENADA para que se habilite su acceso en la Herramienta de Comunicación. _x000a_ _x000a_ _x000a_Aplicación:                  HCOM_x000a_Tipo de Soporte:         CAMBIO DE TUT   _x000a_Observaciones:            _x000a_ _x000a_Su petición fue atendida_x000a_ _x000a_" u="1"/>
        <s v="Se sustituye archivo adjunto  del folio:  1117100063221" u="1"/>
        <s v="Desarrollo componente listado instituciones seleccionadas" u="1"/>
        <s v="Datos Abiertos Solicitudes " u="1"/>
        <s v="Notificación de seguimiento  [  MA0406202003 ]  _x000a_ _x000a_ _x000a_Estimado(a):                     Betzabé Flores Terán_x000a_ _x000a_Le informamos que su ticket correspondiente a:_x000a_               _x000a_Cambio de Titular del SUJETO OBLIGADO Sindicato Nacional de Grupos Artísticos del Instituto Nacional de Bellas Artes y Literatura_x000a__x000a_ _x000a_Aplicación:                  HCOM_x000a_Tipo de Soporte:         CAMBIO DE TUT  _x000a_Observaciones:            _x000a_ _x000a_Su petición fue atendida_x000a_ _x000a_" u="1"/>
        <s v="Se cambia el tipo de solicitud del folio:0064102197421" u="1"/>
        <s v="Cambios solicitados por el usuario" u="1"/>
        <s v="Se cambia el tipo de solicitud del folio 0610100093721" u="1"/>
        <s v="Configuración de micrositio informativo." u="1"/>
        <s v="Meeting Teams" u="1"/>
        <s v="Se testan los datos de la solicitud con folio: 0064101642921" u="1"/>
        <s v="Buenas tardes David, tu petición fue atendida, favor de validar _x000a__x000a_Saludos _x000a__x000a_Marina Adame Velasco_x000a__x000a_Notificación de seguimiento  [  MA1805202005 ]  _x000a__x000a_Aplicación:                  INFOMEX MICHOACAN_x000a_Tipo de Soporte:         REPORTE   _x000a_Estatus:                               Concluido._x000a__x000a_" u="1"/>
        <s v="Uso del master setup para la instalación de arhcive server y parametros adicionales" u="1"/>
        <s v="integración con el formulario de registro" u="1"/>
        <s v="Ejecución de OT 1 Campus Garantes" u="1"/>
        <s v="Se agregan textos, cambian elementos de recurrente_solicitud, se cambia modelo para envio de datos" u="1"/>
        <s v="Notificación de seguimiento  [  MA0103202105 ]  _x000a_ _x000a_ _x000a_Estimado(a):                     ALAN GARCÍA_x000a_  _x000a_Le informamos que su ticket correspondiente a:_x000a_               _x000a_RESPALDO SEMANAL DE LA BASE DE DATOS INFOMEX_x000a_ _x000a_Aplicación:                  INFOMEX TLAXCALA_x000a_Tipo de Soporte:         RESPALDO   _x000a_Observaciones:            _x000a_ _x000a_Su petición fue atendida, se subió el respaldo de su base de datos de esta semana…_x000a__x000a__x000a_http://documentos.inai.org.mx/tmp/infomex_tlaxcala_backup_2021-03-01_0800.bak_x000a__x000a__x000a_NOTA: El respaldo estará disponible una semana  _x000a__x000a_  _x000a_            Favor de validar._x000a_ _x000a_Estatus:                               Concluido._x000a__x000a_ _x000a_Saludos Cordiales_x000a_ _x000a_Marina Adame Velasco                                                                                          _x000a_" u="1"/>
        <s v="Implementación de ambiente de trabajo de Operaciones (Declaranet)" u="1"/>
        <s v="Se empieza el desarrollo del modulo de Años" u="1"/>
        <s v="Configuración de bindings y rutas administradas" u="1"/>
        <s v="_x000a_Notificación de seguimiento  [  MA2409202002 ]  _x000a_ _x000a_ _x000a_Estimado(a):                     Pedro Esquivel Martínez_x000a_ _x000a_Le informamos que su ticket correspondiente a:_x000a_               _x000a_por este medio Anexo el cuadro descriptivo para realizar el cambio de los S.O. a cargo del INEEL, Lo Anterior a fin de que sus accesos sean habilitados en los otros sistemas que administra este Instituto (HCOM).  CAMBIO DE  TITULAR, en cuanto se reciba la atención en HCOM se realizará la actualización de los demás sistemas correspondientes. (se anexan certificados)_x000a__x000a_ _x000a_Aplicación:                  HCOM   _x000a_Tipo de Soporte:         CAMBIO DE TUT   _x000a_Observaciones:            _x000a_ _x000a_Su petición fue atendida_x000a_ _x000a__x000a_" u="1"/>
        <s v="Generación de scipt para normalización de texto al español" u="1"/>
        <s v="Notificación de seguimiento [ MA1001202001 ] _x000a_  _x000a_  _x000a_ Estimado(a): Pedro Esquivel Martínez_x000a_  _x000a_ Le informamos que su ticket correspondiente a:_x000a_  _x000a_ Debido al cambio de Titular de la unidad de Transparencia solicito realizar el cambio de titular y sus datos de accesos en la HCOM para los fideicomisos del IMSS, se anexan certificados _x000a_  _x000a_ Aplicación: HCOM_x000a_ Tipo de Soporte: CAMBIO DE TUT ( 7 )" u="1"/>
        <s v="CAS - Actualización de liga" u="1"/>
        <s v="Notificación de seguimiento  [  MA0311202007 ]  _x000a_ _x000a_ _x000a_Estimado(a):                     Karen Nayelli Muñiz Rebolledo_x000a_ _x000a_ _x000a_Le informamos que su ticket correspondiente a:_x000a_               _x000a_me permito solicitar su apoyo a efecto de que me ayuden a eliminar un paso que se encuentra duplicado en PNT en el RRD 01252/20 en contra del IMSS _x000a__x000a_Aplicación:                  SIGEMI_x000a_Tipo de Soporte:         QUITAR PASO DUPLICADO   _x000a_Observaciones:            _x000a_ _x000a_Su petición fue atendida_x000a_ _x000a_" u="1"/>
        <s v="Estimados Horacio y Sam, con base a la conversación realizada el día de hoy, respecto a la deshabilitación del  módulo de REGISTRO DE SOLICITUDES, en los infomex Estatales, les adjunto script y guía._x000a__x000a_Quedo atenta a sus comentarios _x000a__x000a_Saludos _x000a__x000a_Marina Adame _x000a__x000a_ _x000a_Notificación de seguimiento  [  MA1706202116 ]_x000a__x000a_Aplicación:                  INFOMEX ESTADOS_x000a_Tipo de Soporte:         DESHABILITAR MODULO REGISTRO DE SOLICITUDES  _x000a_" u="1"/>
        <s v="_x000a_Notificación de seguimiento  [  MA1002202104 ]  _x000a_ _x000a_ _x000a_Estimado(a):                     Alondra Jiménez Hernández_x000a_  _x000a_Le informamos que su ticket correspondiente a:_x000a_               _x000a_Debido al cambio de Titular de la Unidad de Transparencia del Fideicomiso Fondo Nacional de Fomento Ejidal (FIFONAFE) anexo los registros actualizados de los certificados para que sean actualizados y se habilite su acceso en la Herramienta de Comunicación de cada uno. _x000a_ _x000a_Aplicación:                  HCOM_x000a_Tipo de Soporte:         CAMBIO TUT   (2)_x000a_Observaciones:            _x000a_ _x000a_Su petición fue atendida_x000a_" u="1"/>
        <s v="Se programo una nueva tabla para presentar lso estados financieros, con base en el diseño solicitado" u="1"/>
        <s v="Se sustituye archivo adjunto del folio: 0064100740320." u="1"/>
        <s v="Proceso de entrega y tranferencia del conocimiento del front" u="1"/>
        <s v="Se elimina el fondo en los iconos de laucher para Android y iOS" u="1"/>
        <s v="Se sustituye archivo adjunto  del folio:  1117100063521" u="1"/>
        <s v="_x000a_Notificación de seguimiento  [  MA0610202002 ]  _x000a_ _x000a_ _x000a_Estimado(a):                     Alan Apolinar Razo Morales_x000a_ _x000a_Le informamos que su ticket correspondiente a:_x000a_               _x000a_A través del presente correo, solicito su invaluable apoyo para regresar al paso anterior consistente en el registro &quot;Registrar si la Prevención fue desahogada&quot; en el Sistema de Gestión de Medios de Impugnación de la PNT para el recurso de revisión RRA-RCRD 05884/20 en contra de PEMEX. Lo anterior debido a un error al ejecutar dicho paso.      _x000a__x000a_ _x000a_Aplicación:                  SIGEMI_x000a_Tipo de Soporte:         REGRESO DE PASOS  _x000a_Observaciones:            _x000a_ _x000a_Su petición fue atendida_x000a_" u="1"/>
        <s v="Se aplica testado de datos al folio: 0064100160221" u="1"/>
        <s v="Desarrollo e implementacion en el módulo de administración de acuses, el default por organismo garante, será el encargado de validar que siempre exista una imagen al ingresar un acuse, así como la implementación de la barra de herramientas por secciones dinámicas de acuses" u="1"/>
        <s v="Se  testan los datos del folio: 0064101345221" u="1"/>
        <s v="Se  testan los datos del folio: 0064101740821" u="1"/>
        <s v="Se  testan los datos del folio: 0064101355221" u="1"/>
        <s v="Notificación de seguimiento  [  MA2304202005 ]   _x000a_ _x000a_Estimado(a):                     Edgar Michel Loaeza Martínez Le_x000a__x000a__x000a_informamos que su ticket correspondiente a:_x000a_               _x000a_Por medio del presente solicito su valioso apoyo a efecto de dar de alta el certificado de Titular de la Unidad de Transparencia del “SEDATU-FONDO DE MEJORAMIENTO URBANO”_x000a__x000a_ _x000a_Aplicación:                  HCOM_x000a_Tipo de Soporte:         CAMBIO DE CERTIFICADO   _x000a_Observaciones:            _x000a_ _x000a_Su petición fue atendida_x000a_ _x000a_" u="1"/>
        <s v="Cerrar solicitud migrada a SISAI" u="1"/>
        <s v="Generación de reporte estadistico solicitado " u="1"/>
        <s v="Se sustituye archivo adjunto  del folio:  1117100063621" u="1"/>
        <s v="Se aplica cambio de modalidad a las solicitudes: 0001100053420." u="1"/>
        <s v="Se testan los datos de la solicitud con folio 0064101513421" u="1"/>
        <s v="Tratamiento de datos esenciales para clasificación" u="1"/>
        <s v="Buenos días Isaac, tu petición fue atendida, la eliminación de acuses esta en proceso, te enviaré correo cuando me notifiquen que se concluyó, favor de validar _x000a__x000a_Saludos _x000a__x000a_Marina Adame Velasco_x000a__x000a_Notificación de seguimiento  [  MA0308202001 ]  _x000a__x000a_Aplicación:                  INFOMEX OAXACA _x000a_Tipo de Soporte:         AJUSTE DE PLAZOS    _x000a_Estatus:                               Concluido._x000a__x000a_" u="1"/>
        <s v="Desarrollo de tablas para el módulo de Directorios" u="1"/>
        <s v="Copia de archivos campus público a la nube" u="1"/>
        <s v="Notificación de seguimiento  [  MA1203202001 ]  _x000a_ _x000a_ _x000a_Estimado(a):                     Rosalinda Coria Mosqueda_x000a_ _x000a_Le informamos que su ticket correspondiente a:_x000a_               _x000a__x000a_Nuevamente solicito su apoyo, en relación al Recurso RRD 0349/20 en contra de CONADIC, en virtud de tratarse de una Prevención se requiere regresar el recurso a la actividad de prevenir/admitir, para poder realizarlo con el correo que fue actualizado._x000a__x000a_ _x000a_Aplicación:                  SIGEMI_x000a_Tipo de Soporte:         REGRESO DE PASOS  _x000a_Observaciones:            _x000a_ _x000a_Su petición fue atendida_x000a_ _x000a_" u="1"/>
        <s v="Creación de contollers " u="1"/>
        <s v="Respaldar Curso 2 de PA-ENEDA  de la plataforma anterior y restaurar en plataforma actual " u="1"/>
        <s v="Se ajusta servicio que registra la configuración de pagos" u="1"/>
        <s v="GENERA CERTIFICADO DE SO Fid. 122.- BENJAMÍN HILL TRABAJADORES F.F.C.C. SONORA-BAJA CALIFORNIA" u="1"/>
        <s v="Prueba descompresión de formatos encontrados" u="1"/>
        <s v="Implementación del alta de Resoluciones Públicas por Tema." u="1"/>
        <s v="se generan los componentes de integrante: formulario, busqueda, modal, vista" u="1"/>
        <s v="Modificación de header con ligas" u="1"/>
        <s v="Se  testan los datos del folio:0064101709321" u="1"/>
        <s v="Notificación de seguimiento  [  MA0710202003 ]  _x000a_ _x000a_ _x000a_Estimado(a):                     Edgar Michel Loaeza Martínez_x000a_ _x000a_Le informamos que su ticket correspondiente a:_x000a_               _x000a_Estimados, solicito su apoyo para dar de alta el certificado que se adjunta, sujeto obligado de la Secretaria de Economía._x000a__x000a_Clave Dependencia/entidad Titular de la unidad de transparencia actual_x000a_10006 SE-Fideicomiso de Microcréditos para el Bienestar Jorge Luis Silva Mendez_x000a__x000a_ _x000a_Aplicación:                  HCOM_x000a_Tipo de Soporte:         ACTUALIZACIÓN DE CERTIFICADO   _x000a_Observaciones:            _x000a_ _x000a_Su petición fue atendida, se realizó la actualización del certificado y contraseña enviados_x000a_" u="1"/>
        <s v="Se sustituye archivo adjunto  del folio:  011000014121" u="1"/>
        <s v="Buenas tardes Berenice, tu petición fue atendida, favor de validar _x000a__x000a_Saludos _x000a__x000a_Marina Adame Velasco_x000a__x000a_Notificación de seguimiento  [  MA2506202003 ]  _x000a__x000a_Aplicación:                  INFOMEX OAXACA _x000a_Tipo de Soporte:         AJUSTE DE PLAZOS    _x000a_Estatus:                               Concluido._x000a_" u="1"/>
        <s v="Analisis y funcionalidad Usuarios " u="1"/>
        <s v="Adecuaciones al servicio que descargaba las respuestas registradas por parte de los Sujetos obligados en SISAI" u="1"/>
        <s v="Se  testan los datos del folio:   0064101366521" u="1"/>
        <s v="Integración de los componentes de  SISAI: portlets, servicios, procesos automáticos, scripts de base de datos, configuraciones iniciales." u="1"/>
        <s v="Se testan los datos  del folio: 0064101434221" u="1"/>
        <s v="Se  testan los datos del folio: 0064100651321" u="1"/>
        <s v="Estimado Edwin, te informo que  ya se subió el respaldo de su base de datos de esta semana…_x000a__x000a__x000a_http://documentos.inai.org.mx/tmp/infomexOAX_backup_2021-06-21_0800.bak_x000a__x000a__x000a_ _x000a_NOTA: El respaldo estará disponible una semana  _x000a_ _x000a_ _x000a_Saludos_x000a_ _x000a_                                                                                                                                                                            _x000a_Marina Adame Velasco_x000a_ _x000a_" u="1"/>
        <s v="Se  da de alta al Sujeto Obligado Fuerza por México" u="1"/>
        <s v="Los semáforos no funcionan y se requiere corrección y revisión de logs." u="1"/>
        <s v="Generación de listado de sujetos obligados incluyendo claves de Sujeto, Sector y clasificación." u="1"/>
        <s v="Generar certificado para usuario de Archivo General de la Nación" u="1"/>
        <s v="Se  testan los datos del folio: 0064100735321" u="1"/>
        <s v="Notificación de seguimiento  [  MA0504202114 ]  _x000a_ _x000a_ _x000a_Estimado(a):                     Martha Rubí Zaragoza Mora_x000a_ _x000a_ _x000a_Le informamos que su ticket correspondiente a:_x000a_               _x000a_El presente correo es para pedir su amable apoyo para el ajuste de términos de los folios debido al primer periodo vacacional del año 2021 que envió el sujeto obligado con su acuerdo y se configuro el calendario correspondiente_x000a_ _x000a_Aplicación:                  INFOMEX NL_x000a_Tipo de Soporte:         AJUSTE DE PLAZOS   _x000a_Observaciones:            _x000a_ _x000a_Su petición fue atendida_x000a_ _x000a_" u="1"/>
        <s v="Notificación de seguimiento  [  MA2004202104 ]  _x000a_ _x000a_ _x000a_Estimado(a):                     Dirección de Tecnologías de Transparencia IAIPO_x000a_ _x000a_ Le informamos que su ticket correspondiente a:_x000a_               _x000a_Por este medio solicito de su valioso apoyo para poder aplicar las afectaciones a las fechas de vencimiento y la eliminación de los acuses respectivos de las solicitudes señaladas en el archivo adjunto_x000a_ _x000a_Aplicación:                  INFOMEX OAXACA_x000a_Tipo de Soporte:         AJUSTE DE PLAZOS    _x000a_Observaciones:            _x000a_ _x000a_Su petición fue atendida_x000a_ _x000a_" u="1"/>
        <s v="Notificación de seguimiento  [  MA0104202201 ]_x000a__x000a_Estimado(a):                Abraham Obed Gallardo González_x000a__x000a_ _x000a_ Le informamos que su ticket correspondiente a:_x000a_               _x000a_CAMBIO DE TITULAR Centro Nacional de Control de Energía (CENACE)_x000a__x000a_Aplicación:                  HCOM_x000a_Tipo de Soporte:         CAMBIO DE TUT   _x000a_Observaciones:            _x000a_ _x000a_Su petición fue atendida_x000a_" u="1"/>
        <s v="Vacaciones" u="1"/>
        <s v="Sesión recorrido flujos en la PNT: login, Mi cuenta_x000a_Revisión documentación a llenar para el proyecto." u="1"/>
        <s v="Buenas tardes Joel, tu petición fue atendida, favor de validar _x000a__x000a_Saludos _x000a__x000a_Marina Adame Velasco_x000a__x000a_Notificación de seguimiento  [  MA2801202006 ]  _x000a__x000a_Aplicación:                  INFOMEX COLIMA_x000a_Tipo de Soporte:         AJUSTE DE PLAZOS   _x000a_Estatus:                               Concluido._x000a__x000a_" u="1"/>
        <s v="Se  testan los datos del folio: 0064101366221" u="1"/>
        <s v="Se  testan los datos del folio: 0064101376221" u="1"/>
        <s v="Se sustituye archivo adjunto y se testan los datos del folio: 0064100114221 " u="1"/>
        <s v="Notificación de seguimiento  [  MA2607202106 ]_x000a__x000a_Estimado(a):                Francisco Javier Lira Pérez_x000a__x000a_ _x000a_ Le informamos que su ticket correspondiente a:_x000a_               _x000a_la modificación del nombre del recurrente en el RR/1971/2021;_x000a__x000a_Nombre actual que aparece en el RR Nombre correcto que debe aparecer en el RR_x000a_Eduardo Sánchez Treviño Damar López Blanco_x000a__x000a_Anexo carpeta del RR001404121 numero con el cual se identificó en INFOMEX.  Para corroborar el nombre que debe de venir en el RR._x000a__x000a_ _x000a_Aplicación:                  SIGEMI_x000a_Tipo de Soporte:         ACTUALIZAR DATOS  _x000a_Observaciones:            _x000a_ _x000a_Su petición fue atendida_x000a_ _x000a_" u="1"/>
        <s v="Recepcion solicitudes aceptar" u="1"/>
        <s v="Sitio en WordPress" u="1"/>
        <s v="Se cambia el tipo de solicitud del folio: 0001200007721" u="1"/>
        <s v="Se adapta proceso para la respuesta esperada en la peticion, se contestan las quejas de saimex, enviando archivo adjunto junto al content.type" u="1"/>
        <s v="Se  sustituye archivo de folio  1816400190821" u="1"/>
        <s v="análisis del módulo configuracion de procesos " u="1"/>
        <s v="Se sustituye archivo adjunto y se testan los datos del folio:  1816700000721" u="1"/>
        <s v="_x000a_Notificación de seguimiento  [  MA0511202001 ]  _x000a_ _x000a_ _x000a_Estimado(a):                     GUSTAVO CUEVAS _x000a_ _x000a_ _x000a_Le informamos que su ticket correspondiente a:_x000a_               _x000a_Derivado del término de vigencia del certificado para el acceso de HCOM de esta Dirección General de Enlace, me permito solicitar tu valioso apoyo a efecto de que se habilite el certificado renovado que se adjunta al presente._x000a_ _x000a_Aplicación:                  HCOM_x000a_Tipo de Soporte:         CAMBIO DE CERTIFICADO  _x000a_Observaciones:            _x000a_ _x000a_Su petición fue atendida_x000a_ _x000a_" u="1"/>
        <s v="La usuaria Claudia reporta problemas para visualizar opentext desde su VPN." u="1"/>
        <s v="Se cambia el buscar por colonia con base a estado y municipio a listar colonias por CP" u="1"/>
        <s v="Se agrega validación  para tomar en cuenta la fecha recepción tipeada en formulario  de solicitudes manuales." u="1"/>
        <s v="Desarrollo de servicio compartir la información entre componentes" u="1"/>
        <s v="Seccion 1 UT" u="1"/>
        <s v="Notificación de seguimiento  [  MA1411202202 ]_x000a__x000a_Estimado(a):                Alondra Jiménez Hernández_x000a__x000a_ Le informamos que su ticket correspondiente a:_x000a__x000a__x000a_Se solicita la renovación del certificado del Titular de la Unidad de Transparencia de la Secretaría de Energía, en la Herramienta de Comunicación. Se precisa que se conservará la misma contraseña. _x000a__x000a_Clave_x0009_Sujeto obligado_x0009_SIGLAS_x0009_Nombre del responsable de transparencia_x0009_Correo electrónico del responsable de transparencia_x000a_00018_x0009_Secretaría de Energía_x0009_SENER_x0009_Marcela Pozos Jerónimo_x0009_mpozos@energia.gob.mx _x000a__x000a_Aplicación:                 HCOM_x000a_Tipo de Soporte        ACTUALIZACIÓN DE CERTIFICADO_x000a_Observaciones:       _x000a_Su petición fue atendida_x000a__x000a_Favor de validar._x000a_Estatus:                               Concluido_x000a_" u="1"/>
        <s v="Cambios en fechas" u="1"/>
        <s v="Se aplica eliminación de formato de pago: 2210300083920" u="1"/>
        <s v="Consulta de solicitudes registradas en infomex federal en periodo de tiempo solicitado " u="1"/>
        <s v="Notificación de seguimiento  [  MA2007202007 ]  _x000a_ _x000a_ _x000a_Estimado(a):                     Recurso de Revisión_x000a_ _x000a_Le informamos que su ticket correspondiente a:_x000a_               _x000a_Al descargar los recurso interpuestos en PNT advertí que existe sextuplicado el recurso de revisión interpuesto contra la respuesta del folio 0420000013120, _x000a__x000a_No omito comentarte que ingresó según se advierte a la misma hora, por el mismo recurrente.  No obstante mucho agradeceré tengas a bien indicarme si es factible suprimirlos._x000a__x000a_ _x000a_Aplicación:                  SIGEMI_x000a_Tipo de Soporte:         SUPRIMIR RECURSOS  _x000a_Observaciones:            _x000a_ _x000a_Su petición fue atendida_x000a_ _x000a_" u="1"/>
        <s v="Notificación de seguimiento  [  MA3004202002 ]  _x000a_ _x000a_ _x000a_Estimado(a):                     Rosa María Rivas Rangel_x000a_ _x000a_Le informamos que su ticket correspondiente a:_x000a_               _x000a_El sujeto obligado señala que ya aparece en la bandeja de cumplimientos la resolución 01085/20, sin embargo, el Estatus dice &quot;En evaluación&quot;, pero todavía está en seguimos dentro del término de cumplimiento, ya que no se ha subido ningún documentación alguna que dé cumplimiento. (Se anexa pantalla para mayor referencia)_x000a__x000a_ _x000a_Aplicación:                  SIGEMI_x000a_Tipo de Soporte:         ACTUALIZACIÓN DE ESTATUS  _x000a_Observaciones:            _x000a_ _x000a_Su petición fue atendida_x000a_ _x000a_" u="1"/>
        <s v="Se testan los datos  del folio: 0064101341221" u="1"/>
        <s v="Atención y seguimiento a tickets y correos respecto al acceso de usuarios a la PNT. Reinicio de contraseña" u="1"/>
        <s v="Notificación de seguimiento  [  MA0809202007 ]  _x000a_ _x000a_ _x000a_Estimado(a):                     Omar Antonio Méndez Mendoza_x000a_ _x000a_Le informamos que su ticket correspondiente a:_x000a_               _x000a_Derivado del término de vigencia del certificado para el acceso de la Auditoría Superior de la Federación a la Herramienta de Comunicación (HCOM), me permito solicitar tu valioso apoyo a efecto de que se habilite el certificado renovado que se adjuntan al presente._x000a__x000a_ _x000a_Aplicación:                  HCOM_x000a_Tipo de Soporte:         CAMBIO DE CERTIFICADO   _x000a_Observaciones:            _x000a_ _x000a_Su petición fue atendida_x000a_ _x000a_" u="1"/>
        <s v="Notificación de seguimiento  [  MA3011202008 ]  _x000a_ _x000a_ _x000a_Estimado(a):                     Berenice Hernández Sumano_x000a_ _x000a_ _x000a_Le informamos que su ticket correspondiente a:_x000a_               _x000a_solicito la afectación en base de datos de la fecha de caducidad de las solicitudes_x000a_ _x000a_Aplicación:                  INFOMEX OAXACA_x000a_Tipo de Soporte:         AJUSTE DE PLAZOS   _x000a_Observaciones:            _x000a_ _x000a_Su petición fue atendida_x000a_" u="1"/>
        <s v="Se sustituye archivo adjunto y se testan los datos del folio:  1816900000721" u="1"/>
        <s v="Se solicitó ajustar dos casos de Imposición de Sanciones donde la nomenclatura pertenecía al año 2020 y no a 2021. Se realizó el ajuste en el Folio, no, de serie y no. De expediente" u="1"/>
        <s v="Se aplica el cambio de modalidad para el folio: 0001100013220." u="1"/>
        <s v="Se cambia el tipo de solicitud del folio: 0002700086621" u="1"/>
        <s v="Respaldar Curso 7  de la plataforma anterior y restaurar en plataforma actual " u="1"/>
        <s v="Notificación de seguimiento  [  MA1310202102 ]_x000a__x000a_Estimado(a):                Edgar Michel Loaeza Martínez_x000a__x000a_ _x000a_ Le informamos que su ticket correspondiente a:_x000a_               _x000a_Por medio del presente solicito su valioso apoyo a efecto de realizar el cambio de Titular de la Unidad de Transparencia de Instituto Politécnico Nacional._x000a_ _x000a_Para tal efecto, anexo al presente el certificado y nombramiento, lo anterior, a fin de que sus accesos sean habilitados en los sistemas que administra este Instituto (INFOMEX y HCOM).  _x000a_ _x000a_Aplicación:                  HCOM_x000a_Tipo de Soporte:         RENOVACION DE CERTIFICADO   _x000a_Observaciones:            _x000a_ _x000a_Su petición fue atendida_x000a_ _x000a_" u="1"/>
        <s v="Notificación de seguimiento  [  MA2907202201 ]_x000a__x000a__x000a_Estimado(a):               Edgar Michel Loaeza Martínez_x000a__x000a_ Le informamos que su ticket correspondiente a:_x000a__x000a_realizar la renovación de Certificados de los sujetos obligados indirectos de la Secretaría de Desarrollo Agrario, Territorial y Urbano...Para tal efecto, anexo al presente los certificados correspondientes, lo anterior, a fin de que sus accesos sean habilitados en los sistemas que administra este Instituto (HCOM).  _x000a__x000a_Aplicación:                  HCOM_x000a_Tipo de Soporte:        CAMBIO DE TUT ( 6 )_x000a_Observaciones:            _x000a_ _x000a_Su petición fue atendida._x000a__x000a__x000a_Favor de validar._x000a_ _x000a_Estatus:                               Concluido_x000a__x000a_" u="1"/>
        <s v="Actualización de logos en el footer" u="1"/>
        <s v="Listado plugins línea de tiempo" u="1"/>
        <s v="Notificación de seguimiento  [  MA1003202006 ]  _x000a_ _x000a_ _x000a_Estimado(a):                     José Mario Valadez González_x000a_ _x000a_Le informamos que su ticket correspondiente a:_x000a_               _x000a_nuevo certificado “Sindicato Nacional de Cultura” (clave 60304), en la Herramienta de comunicación._x000a__x000a_ _x000a_Aplicación:                  HCOM_x000a_Tipo de Soporte:         Actualización de certificado   _x000a_Observaciones:            _x000a_ _x000a_Su petición fue atendida_x000a_" u="1"/>
        <s v="Se  testan los datos del folio:  0064101439921" u="1"/>
        <s v="Respaldar Curso 7 de Miscelánea INAI  de la plataforma anterior y restaurar en plataforma actual " u="1"/>
        <s v="Notificación de seguimiento  [  MA1805202102 ]  _x000a_ _x000a_ _x000a_Estimado(a):                     Pedro Esquivel Martínez_x000a_ _x000a_ _x000a_Le informamos que su ticket correspondiente a:_x000a_               _x000a_por este medio Anexo el registro actualizado del certificado del Titular de la Unidad de Enlace de “HOSPITAL JUÁREZ DE MÉXICO”.  Lo Anterior a fin de que sus accesos sean habilitados en los otros sistemas que administra este Instituto (HCOM).  CAMBIO DE  TITULAR, en cuanto se reciba la atención en HCOM se realizará la actualización de los demás sistemas correspondientes._x000a_ _x000a_Aplicación:                  HCOM_x000a_Tipo de Soporte:         CAMBIO TUT   _x000a_Observaciones:            _x000a_ _x000a_Su petición fue atendida_x000a_ _x000a_" u="1"/>
        <s v="Notificación de seguimiento  [  MA0705202006 ]  _x000a_ _x000a_ _x000a_Estimado(a):                     Abraham Obed Gallardo González _x000a__x000a__x000a_Le informamos que su ticket correspondiente a:_x000a_               _x000a__x000a_En conclusión, respecto del RIA del RRA 02777/20 de acuerdo al computo de días tenemos que, la Fecha de notificación (Fecha de estado) fue el 17/03/2020, y contando los 5 días hábiles siguientes a la notificación del INAI (adjunto para pronta referencia), esta vencía el 24 de marzo de 2020, no obstante, ya que se suspendieron los plazos desde el 23 de marzo de 2020, la nueva fecha límite conforme al penúltimo Acuerdo del Pleno del INAI, correspondía al 5 de mayo de 2020, y considerando el último Acuerdo del Pleno del INAI, y que esta misma semana se detallarán a los sujetos obligados que les aplica la reanudación de plazos para atender las SAI y medios de impugnación, por lo tanto, NO se encuentra actualizada la fecha en referencia._x000a__x000a_Por lo anterior, solicito tu amable apoyo para la actualización de la fecha citada, conforme a lo antes señalado para los efectos conducentes._x000a__x000a_ _x000a_Aplicación:                  SIGEMI_x000a_Tipo de Soporte:         CORRECCIÓN DE FECHA   _x000a_" u="1"/>
        <s v="Se  testan los datos del folio: 0064101367221" u="1"/>
        <s v="Implementación check all en árbol obligaciones de transparencia" u="1"/>
        <s v="Se  testan los datos del folio: 0064101762821" u="1"/>
        <s v="Notificación de seguimiento [ MA3001202001 ] _x000a_  _x000a_  _x000a_ Estimado(a): Rafael González García_x000a_  _x000a_ Le informamos que su ticket correspondiente a:_x000a_  _x000a_ Turnaron 20 recursos, hay que deshacer el turno y actualizar el consecutivo._x000a_  _x000a_ Aplicación: SIGEMI_x000a_ Tipo de Soporte: Eliminación de turnos _x000a_ Observaciones: _x000a_  _x000a_ Su petición fue atendida_x000a_  _x000a_ _x000a_  _x000a_  Favor de validar._x000a_  _x000a_ Estatus: Concluido." u="1"/>
        <s v="Se  testan los datos del folio:  0000600121021" u="1"/>
        <s v="Implementacion plugin pdf viewer" u="1"/>
        <s v="Notificación de seguimiento  [  MA2402202006 ]  _x000a_ _x000a_ _x000a_Estimado(a):                     Lizbeth Adriana Cabrera Ortega_x000a_ _x000a_Le informamos que su ticket correspondiente a:_x000a_               _x000a_Me permito solicitar su valioso apoyo a fin de cambiar la fecha de interposición al día hábil siguiente._x000a_ _x000a_Aplicación:                  SIGEMI_x000a_Tipo de Soporte:         Actualización de fecha de interposición  _x000a_Observaciones:            _x000a_ _x000a_Su petición fue atendida_x000a_" u="1"/>
        <s v="Desarrollo de  pantalla recepción de solicitudes " u="1"/>
        <s v="Se aplica testado de datos al folio: 0064103167720" u="1"/>
        <s v="_x000a_Notificación de seguimiento  [  MA0510202004 ]  _x000a_ _x000a_ _x000a_Estimado(a):                     Adriana Elizabeth Hernández Garcia_x000a_ _x000a_Le informamos que su ticket correspondiente a:_x000a_               _x000a_Por medio del presente te comento que al validar el paso denominado Registro de la Resolución Firmada relativo al recurso: _x000a__x000a_RRA 07315/20_x000a__x000a_la PNT se queda pasmada y NO APARECEN las ventanas donde se registran las fechas de firma de los comisionados; de tal manera que queda en blanco.  _x000a_Al respecto, te solicito se realicen las gestiones necesarias a efecto de que se pueda validar el paso referido y estar en condición de continuar con el proceso de notificación de la resolución._x000a__x000a_ _x000a_Aplicación:                  SIGEMI_x000a_Tipo de Soporte:         Corrección de incidencia   _x000a_Observaciones:            _x000a_ _x000a_Su petición fue atendida_x000a_" u="1"/>
        <s v="Se sustituye archivo adjunto  del folio: 011000023521" u="1"/>
        <s v="Se  testan los datos de la solicitud con folio 1816400145821_x000a_ _x000a_" u="1"/>
        <s v="Se  testan los datos del folio: 0000600208921" u="1"/>
        <s v="Se cambia el tipo de solicitud 6 Solicitudes de la UNAM" u="1"/>
        <s v="Configuración del módulo de reportes." u="1"/>
        <s v="Se aplica eliminación de última respuesta de la solicitud: 1511100024420." u="1"/>
        <s v="Notificación de seguimiento  [  MA0912202102 ]_x000a__x000a_Estimado(a):                Jatziry Jiménez Cruz_x000a__x000a_ _x000a_ Le informamos que su ticket correspondiente a:_x000a_               _x000a_Solicito su apoyo para realizar la actualización en la herramienta de comunicación del .cer que se adjunta, toda vez que dicho certificado se actualizó por vencimiento. _x000a_ _x000a_Aplicación:                  HCOM_x000a_Tipo de Soporte:         CAMBIO DE TUT  _x000a_Observaciones:            _x000a_ _x000a_Su petición fue atendida_x000a_" u="1"/>
        <s v="Notificación de seguimiento  [  MA2004202201 ]_x000a__x000a_Estimado(a):                Jatziry Jiménez Cruz_x000a__x000a_ _x000a_ Le informamos que su ticket correspondiente a:_x000a_               _x000a_Solicito su apoyo para realizar la actualización en la herramienta de comunicación del .cer que se adjunta, toda vez que dicho certificado se actualizó por vencimiento_x000a__x000a_ _x000a_Aplicación:                  HCOM_x000a_Tipo de Soporte:         CAMBIO DE TUT   _x000a_Observaciones:            _x000a_ _x000a_Su petición fue atendida_x000a_" u="1"/>
        <s v="Evidencias incidencia MD5" u="1"/>
        <s v="Notificación de seguimiento  [  MA0812202101 ]_x000a__x000a_Estimado(a):                Edgar Michel Loaeza Martínez_x000a__x000a_ _x000a_ Le informamos que su ticket correspondiente a:_x000a_               _x000a_Solicito su apoyo para poder sustituir en el sistema hcom, los certificados que se adjuntan, los cuales corresponden a lo sujetos obligados indirectos del Instituto Politécnico Nacional._x000a__x000a_Clave Sujeto obligado Titular de la Unidad de Transparencia_x000a_11006 XE- IPN Canal Once (oncetv) Lic. Federico Anaya Gallardo_x000a_11172 Fondo de Investigación científica y Desarrollo Tecnológico del IPN Lic. Federico Anaya Gallardo_x000a__x000a_ _x000a_Aplicación:                  HCOM_x000a_Tipo de Soporte:         CAMBIO DE TUT   _x000a_Observaciones:            _x000a_ _x000a_Su petición fue atendida_x000a_ _x000a_" u="1"/>
        <s v="Notificación de seguimiento  [  MA1208202001 ]  _x000a_ _x000a_ _x000a_Estimado(a):                     María Guadalupe Beltrán Martínez_x000a_ _x000a_Le informamos que su ticket correspondiente a:_x000a_               _x000a_Buen día, por este medio se solicita, con relación al recurso de revisión RRA 06454/20, se elimine el registro de prevenir, es decir, se regresen los pasos a “Admitir/Prevenir”, a efecto de que el personal de ésta ponencia notifique la prevención de los recursos de revisión, derivado de que se registró dentro del plazo en que Petróleos Mexicanos, el sujeto obligado, tenía suspensión de plazos. _x000a__x000a__x000a_Aplicación:                  SIGEMI_x000a_Tipo de Soporte:         REGRESO DE PASOS  _x000a_Observaciones:            _x000a_ _x000a_Su petición fue atendida_x000a_ _x000a_" u="1"/>
        <s v="Se aplica eliminación de última respuesta de la solicitud: 0001500135720" u="1"/>
        <s v="CRUD de subenlaces terminando con el servicio para la crecaion de un subenlaces " u="1"/>
        <s v="Se aplica el testado de datos de la solicitud: 0000700004920." u="1"/>
        <s v="Notificación de seguimiento  [  MA1201202112 ]  _x000a_ _x000a_ _x000a_Estimado(a):                     BETZABÉ FLORES TERÁN _x000a_ _x000a_ _x000a_Le informamos que su ticket correspondiente a:_x000a_               _x000a_Solicito su apoyo para realizar la modificación en la herramienta de comunicación del .cer que se adjunta, toda vez que hubo un cambio en el Titular de la Unidad de Transparencia._x000a_ _x000a_Aplicación:                  HCOM_x000a_Tipo de Soporte:         CAMBIO TUT   _x000a_Observaciones:            _x000a_ _x000a_Su petición fue atendida_x000a_" u="1"/>
        <s v="Se aplicó la respuesta de manera manual a la solicitud: 2210000013320." u="1"/>
        <s v="Actualización de la orden del día" u="1"/>
        <s v="Creacion de vista inicial y para buscador Directorio" u="1"/>
        <s v="Aplicar cambios de análisis heurístico, cambio de imágenes grises en las pizarras, banner en el administrador y publico " u="1"/>
        <s v="Notificación de seguimiento  [  MA0302202101 ]  _x000a_ _x000a_ _x000a_Estimado(a):                     Martha Rubí Zaragoza Mora_x000a_ _x000a_ _x000a_Le informamos que su ticket correspondiente a:_x000a_               _x000a_ajuste de términos de los folios debido a que enviaron hoy los días inhábiles del año 2021._x000a_ _x000a_Aplicación:                  INFOMEX NL_x000a_Tipo de Soporte:         AJUSTE DE PLAZOS   _x000a_" u="1"/>
        <s v="Evaluación y diseño para etiquetado" u="1"/>
        <s v="Integración de funciones de descarga de información - Solicitudes" u="1"/>
        <s v="Se sustituye archivo adjunto  del folio:  0002700046521" u="1"/>
        <s v="Notificación de seguimiento  [  MA2105202004 ]  _x000a_ _x000a_ _x000a_Estimado(a):                     Rosalinda Coria Mosqueda_x000a_ _x000a_Le informamos que su ticket correspondiente a:_x000a_               _x000a_Agradeceré hacer caso omiso al correo indicado abajo, y solamente hacer el cambio de medio de comunicación a través de correo electrónico romerox_360@hotmail.com, en el recurso RRA 1765/20._x000a__x000a_ _x000a_Aplicación:                  SIGEMI_x000a_Tipo de Soporte:         cambio de medio   _x000a_Observaciones:            _x000a_ _x000a_Su petición fue atendida_x000a_" u="1"/>
        <s v="Notificación de seguimiento  [  MA2608202006 ]  _x000a_ _x000a_ _x000a_Estimado(a):                     Alondra Jiménez Hernández_x000a_ _x000a_Le informamos que su ticket correspondiente a:_x000a_               _x000a_Anexo el registro actualizado de los certificados del Titular de la Unidad de Transparencia de los siguientes sujetos obligados para su renovación en la Herramienta de Comunicación._x000a__x000a__x000a_Aplicación:                  HCOM_x000a_Tipo de Soporte:         CAMBIO DE CERTIFICADOS (4)  _x000a_Observaciones:            _x000a_ _x000a_Su petición fue atendida_x000a_" u="1"/>
        <s v="Notificación de seguimiento  [  MA2611202003 ]  _x000a_ _x000a_ _x000a_Estimado(a):                     Martha Rubí Zaragoza Mora_x000a_ _x000a_ _x000a_Le informamos que su ticket correspondiente a:_x000a_               _x000a_ajuste de términos de los folios debido al Acuerdo que enviaron los siguientes Sujetos Obligados a la COTAI por el cual se amplían la fecha del 01 al 30 de noviembre de 2020_x000a_ _x000a_Aplicación:                  INFOMEX NUEVO LEÓN_x000a_Tipo de Soporte:         AJUSTE DE PLAZOS    _x000a_Observaciones:            _x000a_ _x000a_Su petición fue atendida_x000a_" u="1"/>
        <s v="Implementación de la modificación de Subtemas." u="1"/>
        <s v="Se  testan los datos del folio: 0064101763821" u="1"/>
        <s v="Pruebas unitarias y corrección de incidencias" u="1"/>
        <s v="Generación de respaldo de los campus." u="1"/>
        <s v="Se testan los datos de la solicitud con folio: 0064101452921" u="1"/>
        <s v="Apoyo ambiente de calidad" u="1"/>
        <s v="Script BD para usuario declaración inicial" u="1"/>
        <s v="Objetivos" u="1"/>
        <s v="Notificación de seguimiento  [  MA2306202104 ]_x000a__x000a__x000a_Estimado(a):                Pedro Esquivel Martínez_x000a__x000a_ _x000a_ Le informamos que su ticket correspondiente a:_x000a_               _x000a_ por este medio Anexo los archivos y el registro actualizado del certificado del Titular de la Unidad de Enlace de la “Lotería Nacional para la Asistencia Pública (en proceso de desincorporación por fusión)”.  Lo Anterior a fin de que sus accesos sean habilitados en los otros sistemas que administra este Instituto (HCOM).  CAMBIO DE  TITULAR, en cuanto se reciba la atención en HCOM se realizará la actualización de los demás sistemas correspondientes._x000a__x000a_ _x000a_Aplicación:                  HCOM_x000a_Tipo de Soporte:         CAMBIO DE TUT   _x000a_Observaciones:            _x000a_ _x000a_Su petición fue atendida_x000a_ _x000a_" u="1"/>
        <s v="Validación de volumetrías en información compartida sobre SIPOT" u="1"/>
        <s v="Implementación de ReCaptcha para la pantalla de recuperación de contraseña" u="1"/>
        <s v="Notificación de seguimiento  [  MA2506202006 ]  _x000a_ _x000a_ _x000a_Estimado(a):                     Abraham Obed Gallardo González_x000a_ _x000a_Le informamos que su ticket correspondiente a:_x000a_               _x000a_En atención a la petición realzada, te comparto la respuesta que nos hace llegar el personal de la Unidad de Transparencia del INE, por medio del cual nos cometan las fechas que a su consideración debieran tomarse en cuenta._x000a_ _x000a_Aplicación:                  SIGEMI_x000a_Tipo de Soporte:         AJUSTE DE PLAZO_x000a_Observaciones:            _x000a_ _x000a_Su petición fue atendida, se realizó el ajuste del plazo de cumplimiento a la fecha indicada en el correo del usuario_x000a_" u="1"/>
        <s v="Buenos días Moisés, se realizó el cambio, me quedo al pendiente de tus resultados _x000a__x000a__x000a_De: Moisés Guzmán Arias [mailto:moises.guzman@itaipue.org.mx] _x000a_Enviado el: martes, 4 de agosto de 2020 06:54 p. m._x000a_Para: Marina Adame Velasco &lt;marina.adame@inai.org.mx&gt;_x000a_Asunto: RE: Impresión de pantalla _x000a__x000a_Si claro, intenta con la 01002320 que es del instituto, ya esa le amplie el termino al 07 de agosto de 2020, si gustas amplíala 72 hrs para que quede como 10 de agosto y me dices_x000a__x000a_" u="1"/>
        <s v="Notificación de seguimiento  [  MA2702202002 ]  _x000a_ _x000a_ _x000a_Estimado(a):                     Gloria Bravo Reyna_x000a_ _x000a_Le informamos que su ticket correspondiente a:_x000a_               _x000a_eliminar de la HCOM el folio 001132-IFAI-2020._x000a_ _x000a_ _x000a_Aplicación:                  HCOM_x000a_Tipo de Soporte:         Eliminar proceso   _x000a_Observaciones:            _x000a_ _x000a_Su petición fue atendida_x000a_" u="1"/>
        <s v="Notificación de seguimiento  [  MA1311202007 ]  _x000a_ _x000a_ _x000a_Estimado(a):                     Pedro Esquivel Martínez_x000a_ _x000a_ _x000a_Le informamos que su ticket correspondiente a:_x000a_               _x000a_la asignación del Certificado en el HCOM para el &quot;Organismo Coordinador de las Universidades para el Bienestar Benito Juárez García&quot;. _x000a_ _x000a_Aplicación:                  HCOM_x000a_Tipo de Soporte:         CAMBIO TUT   _x000a_Observaciones:            _x000a_ _x000a_Su petición fue atendida, se realizó el cambio de titular, ya que anteriormente el usuario titular correspondía a otro nombre, es importante mencionar que en hcom el Sujeto Obligado tiene la clave 11600_x000a_ _x000a_  _x000a_" u="1"/>
        <s v="Se elimina respuesta  de la solicitud con  folio 0001200407621" u="1"/>
        <s v="Notificación de seguimiento [ MA2301202006 ] _x000a_  _x000a_  _x000a_ Estimado(a): Lizbeth Adriana Cabrera Ortega_x000a_  _x000a_ Le informamos que su ticket correspondiente a:_x000a_  _x000a_ modificar la fecha de interposición al día hábil siguiente:_x000a_ _x000a_ _x000a_ DEBE DECIR 23 DE ENERO_x000a_ _x000a_ 22/01/2020 22/01/2020 19:11 PM Juan José Reyes Lugo CFE 1816400380419 Protección de Datos Personales INFOMEX Ver detalle_x000a_ _x000a_  _x000a_ Aplicación: SIGEMI_x000a_ Tipo de Soporte: ACTUALIZACIÓN DE FECHA _x000a_ Observaciones: _x000a_  _x000a_ Su petición fue atendida" u="1"/>
        <s v="Notificación de seguimiento  [  MA2601202201 ]_x000a__x000a_Estimado(a):                Ricardo González Cano_x000a__x000a_ _x000a_ Le informamos que su ticket correspondiente a:_x000a_               _x000a_Con el fin de actualizar los accesos del Sindicato Único de Trabajadores del Instituto Nacional de Pediatría, solicitamos de su apoyo para hacer el cambio en la Herramienta de Comunicación del certificado anexo y que el sujeto pueda revisar su acceso._x000a__x000a_ _x000a_Aplicación:                  HCOM_x000a_Tipo de Soporte:         CAMBIO TUT   _x000a_Observaciones:            _x000a_ _x000a_Su petición fue atendida, la contraseña asignada al usuario es hcom2022_x000a_" u="1"/>
        <s v="Revisión de avances" u="1"/>
        <s v="Derivado del error anterior, se ajusto folio, contadores" u="1"/>
        <s v="Notificación de seguimiento  [  MA0604202001 ]  _x000a_ _x000a_ _x000a_Estimado(a):                     Jassel Natali Córdova Guzmán_x000a_ _x000a_Le informamos que su ticket correspondiente a:_x000a_               _x000a__x000a_Por este medio les solicito su ayuda en la eliminación del requerimiento IFAI-REQ-000705-2020 de CNSNS, esto debido a que se le enviaron documentos concernientes a otro sujeto obligado. Esto en la medida de lo posible._x000a__x000a__x000a_ _x000a_Aplicación:                  HCOM_x000a_Tipo de Soporte:         ELIMINAR REQUERIMIENTO _x000a_Observaciones:            _x000a_ _x000a_Su petición fue atendida_x000a_" u="1"/>
        <s v="Notificación de seguimiento  [  MA1504202002 ]  _x000a_ _x000a_ _x000a_Estimado(a):                     Alondra Jiménez Hernández_x000a_ _x000a_Le informamos que su ticket correspondiente a:_x000a_               _x000a_Se solicita la renovación del certificado del Titular de la Unidad de Transparencia del Comisión Nacional de los Derechos Humanos (CNDH) en la Herramienta de Comunicación, toda vez que ya cuenta con el certificado de la FIEL._x000a__x000a_ _x000a_Aplicación:                  HCOM_x000a_Tipo de Soporte:         CAMBIO DE CERTIFICADO_x000a_Observaciones:            _x000a_ _x000a_Su petición fue atendida_x000a_" u="1"/>
        <s v="Desarrollo de componente Drag and Drop para el modulo de acuses en INAI" u="1"/>
        <s v="Se aplica cambio de tipo de solicitud  al  folio:  0001200480020" u="1"/>
        <s v="Se continua con el desarrollo del modulo de Administracion" u="1"/>
        <s v="Notificación de seguimiento  [  MA1911202004 ]  _x000a_ _x000a_ _x000a_Estimado(a):                     Berenice Hernández_x000a__x000a__x000a_Le informamos que su ticket correspondiente a:_x000a_               _x000a_por este medio solicito la afectación en base de datos de la fecha de caducidad de las solicitudes, toda vez que el Consejo General del IAIPO aprobó TÉRMINO DE SUSPENSIÓN DE PLAZOS DE LOS PROCEDIMIENTOS CUYO CONTENIDO ESTÉ RELACIONADO A LOS TEMAS COVID-19 (01/05/2020), SISMO DEL 23 DE JUNIO Y PROGRAMAS SOCIALES DERIVADOS DE LA EMERGENCIA SANITARIA (30/06/2020), PROCEDIMIENTOS DE ADJUDICACIÓN DIRECTA, INVITACIÓN RESTRINGIDA Y LICITACIÓN DE CUALQUIER NATURALEZA (28/08/2020)._x000a_ _x000a_Aplicación:                  INFOMEX OAXACA_x000a_Tipo de Soporte:         AJUSTE DE PLAZOS    _x000a_Observaciones:            _x000a_ _x000a_Su petición fue atendida_x000a_ _x000a_" u="1"/>
        <s v="Estimada Alejandra, envío reporte solicitado_x000a__x000a_Saludos _x000a__x000a_Marina Adame_x000a__x000a__x000a__x000a_Notificación de seguimiento  [  MA3006202106 ]_x000a__x000a_Aplicación:                  INFOMEX BCN_x000a_" u="1"/>
        <s v="Notificación de seguimiento [ MA1601202001 ] _x000a_  _x000a_  _x000a_ Estimado(a): Laura Mónica Segovia Tellez_x000a_  _x000a_ Le informamos que su ticket correspondiente a:_x000a_  _x000a_ Solicito su amable apoyo a fin de que sea regresado el paso del RRD 0041/20 al paso de Envió de Entrada y Acuerdo. _x000a_ _x000a_  _x000a_ Aplicación: SIGEMI_x000a_ Tipo de Soporte: REGRESO DE PASOS" u="1"/>
        <s v="Script BD declaración inicial Alvaro Diaz" u="1"/>
        <s v="Generación de script de concatenación de datos SISAI, SIGEMI-SICOM" u="1"/>
        <s v="Se  testan los datos del folio: 0064101339221" u="1"/>
        <s v="Se  testan los datos del folio: 3670000023821 " u="1"/>
        <s v="Se cambia el tipo de solicitud del folio: 0610100109021" u="1"/>
        <s v="Notificación de seguimiento  [  MA0308202102 ]_x000a__x000a_Estimado(a):                Alondra Jiménez Hernández_x000a__x000a_ _x000a_ Le informamos que su ticket correspondiente a:_x000a_               _x000a_Se solicita la actualización de los certificados de los siguientes sujetos obligados en la Herramienta de Comunicación de cada uno. _x000a__x000a_Me refiero a los siguientes fideicomisos:_x000a__x000a_10103 Plan de Pensiones de Contribución Definida para el Personal de Mando del FIFOMI_x000a_10104 Plan de Pensiones Personal Operativo_x000a_10105 Prima de Antigüedad_x000a__x000a_ _x000a_Aplicación:                  HCOM_x000a_Tipo de Soporte:         ACTUALIZAR CERTIFICADOS ( 3)   _x000a_" u="1"/>
        <s v="Menus" u="1"/>
        <s v="Se aplica eliminación de formato de pago manual: 0002700379519." u="1"/>
        <s v="Notificación de seguimiento  [  MA0412202003 ]  _x000a_ _x000a_ _x000a_Estimado(a):                     Adriana Elizabeth Hernández Garcia_x000a_ _x000a_ _x000a_Le informamos que su ticket correspondiente a:_x000a_               _x000a_Por medio del presente te comento que al validar el paso denominado Registro de la Resolución Firmada relativo al recurso: _x000a__x000a_RRA 11915/20_x000a__x000a_la PNT se queda pasmada y NO APARECEN las ventanas donde se registran las fechas de firma de los comisionados; de tal manera que queda en blanco.  _x000a_Al respecto, te solicito se realicen las gestiones necesarias a efecto de que se pueda validar el paso referido y estar en condición de continuar con el proceso de notificación de la resolución._x000a_ _x000a_Aplicación:                  SIGEMI_x000a_Tipo de Soporte:         CORRECCIÓN DE INCIDENCIA _x000a_Observaciones:            _x000a_ _x000a_Su petición fue atendida_x000a_ _x000a_" u="1"/>
        <s v="Notificación de seguimiento  [  MA1111202005 ]  _x000a_ _x000a_ _x000a_Estimado(a):                     MARTHA RUBI ZARAGOZA 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01 al 30 de noviembre de 2020; debiéndose considerar los días comprendidos dentro de dicho periodo como inhábiles para evitar la propagación del coronavirus COVID-19. Anteriormente los enviaron, pero están equivocadas las fechas de vencimiento por lo que solicitó su apoyo nuevamente._x000a__x000a_ _x000a_Aplicación:                  INFOMEX NUEVO LEÓN _x000a_Tipo de Soporte:         AJUSTE DE PLAZOS    _x000a_Observaciones:            _x000a_ _x000a_Su petición fue atendida_x000a_ _x000a_" u="1"/>
        <s v="Definición de Etiquetado de tabla SIPOT" u="1"/>
        <s v="Revisión y análisis del módulo Administracion de Pagos Administracion tematica solicitud." u="1"/>
        <s v="Notificación de seguimiento  [  MA1703202203 ]_x000a__x000a__x000a_Estimado(a):                Alondra Jiménez Hernández_x000a__x000a_ _x000a_ Le informamos que su ticket correspondiente a:_x000a_               _x000a_Anexo el registro actualizado del certificado del nuevo Titular de la Unidad de Transparencia de LICONSA para que su acceso sea habilitado en la Herramienta de Comunicación._x000a_ _x000a_Aplicación:                  HCOM_x000a_Tipo de Soporte:         CAMBIO DE TUT   _x000a_Observaciones:            _x000a_ _x000a_Su petición fue atendida_x000a_ _x000a_ _x000a_" u="1"/>
        <s v="Notificación de seguimiento  [  MA0503202006 ]  _x000a_ _x000a_ _x000a_Estimado(a):                     Rosalinda Coria Mosqueda_x000a_ _x000a_Le informamos que su ticket correspondiente a:_x000a_               _x000a__x000a_Agradeceré cambiar el correo electrónico en el recurso RRA 01865/20 en contra de Fiscalía General de la República, toda vez que el recurrente menciono tres correos adicionales, por lo que el que está habilitado para recibir notificaciones es cbuendia@ghs.com.mx. _x000a__x000a_ _x000a_Aplicación:                  SIGEMI_x000a_Tipo de Soporte:         CAMBIO DE CORREO   _x000a_Observaciones:            _x000a_ _x000a_Su petición fue atendida_x000a_" u="1"/>
        <s v="Notificación de seguimiento  [  MA3108202004 ]  _x000a_ _x000a_ _x000a_Estimado(a):                     Alondra Jiménez Hernández_x000a_ _x000a_Le informamos que su ticket correspondiente a:_x000a_               _x000a_Anexo el registro actualizado del certificado del Titular de la Unidad de Transparencia del Fideicomiso de los Sistemas Normalizados de Competencia Laboral y de Certificación de Competencia Laboral, para su renovación en la Herramienta de Comunicación. _x000a__x000a_ _x000a_Aplicación:                  HCOM_x000a_Tipo de Soporte:         ACTUALIZACIÓN DE CERTIFICADO   _x000a_Observaciones:            _x000a_ _x000a_Su petición fue atendida_x000a_" u="1"/>
        <s v="Mostrar donde estan los archivos adjuntos de los registros" u="1"/>
        <s v="Se aplica testado de datos al folio: 1117100100320" u="1"/>
        <s v="Orientación para la solicitud: 1111500036219." u="1"/>
        <s v="Notificación de seguimiento  [  MA2701202122 ]  _x000a_ _x000a_ _x000a_Estimado(a):                     Víctor Manuel Díaz Vázquez_x000a_ _x000a_ _x000a_Le informamos que su ticket correspondiente a:_x000a_               _x000a__x000a_De conformidad con lo dispuesto en el numeral 5 del Procedimiento para alta, baja o modificación de sujetos obligados en el padrón de sujetos obligados en el ámbito federal, en términos de la Ley General de Transparencia y Acceso a la Información Pública (Anexo 1 del oficio INAI/CAI/0447/2016), me permito solicitar, de la manera más atenta, se proceda a generar el alta del Centro Federal de Conciliación y Registro Laboral en los siguientes sistemas…_x000a__x000a_ _x000a_Aplicación:                  HCOM _x000a_Tipo de Soporte:         ALTA DEPENDENCIA   _x000a_" u="1"/>
        <s v="Se testan los datos y se sustituye el archivo de la solicitud con folio: 0064101406021" u="1"/>
        <s v="Notificación de seguimiento  [  MA2309202006 ]  _x000a_ _x000a_ _x000a_Estimado(a):                     María Angélica Valdez Islas_x000a_ _x000a_Le informamos que su ticket correspondiente a:_x000a_               _x000a_Estimado Rafael González García, esperando que te encuentres bien de salud tu y los tuyos, por instrucciones del Lic. Pedro González Benítez, Director General de Enlace con Organismos Electorales y Descentralizados, por  medio del presente, atentamente solicitamos de tu amable apoyo para que, de no haber inconveniente alguno, se realicen los ajustes necesarios en la Herramienta de Comunicación, a fin de extender la fecha de vencimiento de 89 requerimientos, correspondientes a la notificación del Incumplimiento de la Verificación Vinculante 2020, que fueron notificados con fecha 17 de agosto de 2020, y que se cita en archivo adjuntando al presente en la que se señala relación de sujetos, números de requerimiento de los cuales solicitamos ajuste, de manera que el último día que tengan los sujetos obligados correspondientes para responder, sea el 16 de octubre de 2020. _x000a_ _x000a_Aplicación:                  HCOM_x000a_Tipo de Soporte:         ACTUALIZACIÓN DE FECHA  _x000a_Observaciones:            _x000a_ _x000a_Su petición fue atendida_x000a_" u="1"/>
        <s v="Mapear tabla donde se van a insertar los registros" u="1"/>
        <s v="Prueba de volumetrías de tablas SIPOT y SIPOT DETALLE" u="1"/>
        <s v="Configuración del nuevo portlet para el desarrollo del la pantalla" u="1"/>
        <s v="Se testan los datos  del folio: 0064101428221" u="1"/>
        <s v="Se crea una pagina con el listado de las solicitudes de informacion al llegar notificacion push" u="1"/>
        <s v="Notificación de seguimiento  [  MA2803202203 ]_x000a__x000a_Estimado(a):                Lizbeth Adriana Cabrera Ortega_x000a__x000a_ _x000a_ Le informamos que su ticket correspondiente a:_x000a_               _x000a_Con el gusto de saludarles me permito solicitar tu valioso apoyo respecto de la generación UN EXPEDIENTE BIS del recurso de revisión posteriormente citado._x000a_ _x000a_Asimismo, te comento que NO DEBERÁ CAMBIAR el sujeto obligado, ni el Comisionado correspondiente. _x000a_ _x000a_ DICE                                        DEBE DECIR                         SUJETO OBLIGADO           PONENTE_x000a_RRD 775/22 RRA-RCRD 09617/20-BIS COFECE JRV_x000a_ _x000a_No omito comentarte que el número de expediente que deberá seguir en el consecutivo por turnar en PNT debe ser el RRD 775/22_x000a__x000a_ _x000a_Aplicación:                  SIGEMI_x000a_Tipo de Soporte:         CAMBIO A BIS  _x000a_Observaciones:            _x000a_ _x000a_Su petición fue atendida_x000a_ _x000a_" u="1"/>
        <s v="Se cambia el texto mostrado en el buscador nacional" u="1"/>
        <s v="Buenos días Francisco, te informo que el respaldo de su base de datos de esta semana ya está en el repositorio…   _x000a__x000a__x000a_http://documentos.inai.org.mx/tmp/infomexNL_backup_2020-07-06_0800.bak_x000a__x000a__x000a__x000a_NOTA: El respaldo estará disponible una semana._x000a_" u="1"/>
        <s v="Buenos días Francisco, te informo que el respaldo de su base de datos de esta semana ya está en el repositorio…   _x000a__x000a__x000a_http://documentos.inai.org.mx/tmp/infomexNL_backup_2020-07-13_0800.bak_x000a__x000a__x000a__x000a_NOTA: El respaldo estará disponible una semana._x000a_" u="1"/>
        <s v="Buenos días Francisco, te informo que el respaldo de su base de datos de esta semana ya está en el repositorio…   _x000a__x000a__x000a_http://documentos.inai.org.mx/tmp/infomexNL_backup_2020-07-20_0800.bak_x000a__x000a__x000a__x000a_NOTA: El respaldo estará disponible una semana._x000a_" u="1"/>
        <s v="Buenos días Francisco, te informo que el respaldo de su base de datos de esta semana ya está en el repositorio…   _x000a__x000a__x000a_http://documentos.inai.org.mx/tmp/infomexNL_backup_2020-07-27_0800.bak_x000a__x000a__x000a__x000a_NOTA: El respaldo estará disponible una semana._x000a_" u="1"/>
        <s v="Buenos días Francisco, te informo que el respaldo de su base de datos de esta semana ya está en el repositorio…   _x000a__x000a__x000a_http://documentos.inai.org.mx/tmp/infomexNL_backup_2020-08-03_0800.bak_x000a__x000a__x000a__x000a_NOTA: El respaldo estará disponible una semana._x000a_" u="1"/>
        <s v="Buenos días Francisco, te informo que el respaldo de su base de datos de esta semana ya está en el repositorio…   _x000a__x000a__x000a_http://documentos.inai.org.mx/tmp/infomexNL_backup_2020-08-10_0800.bak_x000a__x000a__x000a__x000a_NOTA: El respaldo estará disponible una semana._x000a_" u="1"/>
        <s v="Buenos días Francisco, te informo que el respaldo de su base de datos de esta semana ya está en el repositorio…   _x000a__x000a__x000a_http://documentos.inai.org.mx/tmp/infomexNL_backup_2020-08-24_0800.bak_x000a__x000a__x000a__x000a_NOTA: El respaldo estará disponible una semana._x000a_" u="1"/>
        <s v="Buenos días Francisco, te informo que el respaldo de su base de datos de esta semana ya está en el repositorio…   _x000a__x000a__x000a_http://documentos.inai.org.mx/tmp/infomexNL_backup_2020-08-31_0800.bak_x000a__x000a__x000a__x000a_NOTA: El respaldo estará disponible una semana._x000a_" u="1"/>
        <s v="Buenos días Francisco, te informo que el respaldo de su base de datos de esta semana ya está en el repositorio…   _x000a__x000a__x000a_http://documentos.inai.org.mx/tmp/infomexNL_backup_2020-09-07_0800.bak_x000a__x000a__x000a__x000a_NOTA: El respaldo estará disponible una semana._x000a_" u="1"/>
        <s v="Buenos días Francisco, te informo que el respaldo de su base de datos de esta semana ya está en el repositorio…   _x000a__x000a__x000a_http://documentos.inai.org.mx/tmp/infomexNL_backup_2020-09-14_0800.bak_x000a__x000a__x000a__x000a_NOTA: El respaldo estará disponible una semana._x000a_" u="1"/>
        <s v="Buenos días Francisco, te informo que el respaldo de su base de datos de esta semana ya está en el repositorio…   _x000a__x000a__x000a_http://documentos.inai.org.mx/tmp/infomexNL_backup_2020-09-21_0800.bak_x000a__x000a__x000a__x000a_NOTA: El respaldo estará disponible una semana._x000a_" u="1"/>
        <s v="Buenos días Francisco, te informo que el respaldo de su base de datos de esta semana ya está en el repositorio…   _x000a__x000a__x000a_http://documentos.inai.org.mx/tmp/infomexNL_backup_2020-09-28_0800.bak_x000a__x000a__x000a__x000a_NOTA: El respaldo estará disponible una semana._x000a_" u="1"/>
        <s v="Notificación de seguimiento  [  MA2505202007 ]  _x000a_ _x000a_ _x000a_Estimado(a):                     HUGO GOVI_x000a_ _x000a_Le informamos que su ticket correspondiente a:_x000a_               _x000a_aparece aun en la bandeja del comisionado el expediente IP/PNT/470/2019-B, podrias apoyarme en verificarlo aparece en notificado _x000a__x000a_ _x000a_Aplicación:                  SIGEMI_x000a_Tipo de Soporte:         REGRESO DE PASOS  _x000a_Observaciones:            _x000a_ _x000a_Su petición fue atendida, se realizó nuevamente el regreso de pasos a la actividad Notificación de la Resolución_x000a_ _x000a__x000a_" u="1"/>
        <s v="Corrección y entrega de componente de tabla historial" u="1"/>
        <s v="Notificación de seguimiento  [  MA1304202108 ]  _x000a_ _x000a_ _x000a_Estimado(a):                     Moisés Guzmán Arias_x000a_ _x000a_ _x000a_Le informamos que su ticket correspondiente a:_x000a_               _x000a_ampliar el término para prevenir el folio siguiente:_x000a_ _x000a_01957620  estableciendo el término al día 19/04/2021 (19 de abril de 2021)_x000a_ _x000a_ _x000a_Aplicación:                  INFOMEX PUEBLA_x000a_Tipo de Soporte:         AJUSTE DE PLAZO   _x000a_Observaciones:            _x000a_ _x000a_Su petición fue atendida_x000a_" u="1"/>
        <s v="Búsqueda de resoluciones públicas para habilitación/des habilitación de resoluciones." u="1"/>
        <s v="Notificación de seguimiento  [  MA0608202005 ]  _x000a_ _x000a_ _x000a_Estimado(a):                     Adriana Salazar González_x000a_ _x000a_Le informamos que su ticket correspondiente a:_x000a_               _x000a_Solicito su apoyo para que en la Plataforma Nacional de Transparencia se realicen los siguientes cambios en el recurso RRA 03630/20 vs INE: _x000a_ _x000a_- Modificación en el medio de notificación de la parte recurrente ya que se señala a través de la PNT, no obstante dado que el medio de impugnación se interpuso a través de una solicitud interpuesta ante la Secretaría de la Función Pública el cual fue remitido por dicha dependencia a efecto de que pueda conocer de las notificaciones en el asunto, se considera necesario cambiar el medio de notificación al correo electrónico registrado en la solicitud con folio 2210000024120, a saber, cpcdelseaslp@yahoo.com_x000a_ _x000a_- La modificación del número de folio de la solicitud que aparece al consultar el apartado “Información General” ya que aparece uno distinto al del asunto, cuando el correcto es 2210000024120, para mayor claridad se muestra en la siguiente captura de pantalla. _x000a_ _x000a__x000a_ _x000a_Aplicación:                  SIGEMI_x000a_Tipo de Soporte:         CORRECCIÓN DE DATOS   _x000a_Observaciones:            _x000a_ _x000a_Su petición fue atendida_x000a_" u="1"/>
        <s v="Se  testan los datos del folio: 0064101735821" u="1"/>
        <s v="Se orienta al usuario para seguimiento de folio: 0000500381319 y la dependencia de la SECRETARIA DE  RELACIONES EXTERIORES" u="1"/>
        <s v="Estimada Martha, te comento que la configuración del proceso hace que el paso de registro no muestre en el tablero los plazos de respuesta, se comienzan a mostrar en el paso de recepción del Sujeto Obligado, envío resultados de la consulta a la base de datos del folio mencionado…_x000a__x000a_ACTIVIDAD FechaInicio FechaFin FechaVerdeAmarillo FechaAmarilloRojo FechaCaducidad_x000a_Registro de la solicitud 17/05/2021 17/05/2021 NULL NULL NULL_x000a_Determina el tipo de respuesta 17/05/2021 NULL 27/05/2021 31/05/2021 31/05/2021_x000a__x000a_Me quedo atenta a sus comentarios _x000a__x000a_Saludos _x000a__x000a_Marina _x000a__x000a__x000a_Notificación de seguimiento  [  MA0608202103 ]_x000a_ _x000a_Aplicación:                  INFOMEX NL_x000a_Tipo de Soporte:         REVISIÓN DE INCIDENCIA   _x000a_" u="1"/>
        <s v="Se aplica eliminación de última respuesta de la solicitud: 0002700353220" u="1"/>
        <s v="Notificación de seguimiento  [  MA1111202008 ]  _x000a_ _x000a_ _x000a_Estimado(a):                     Alma Lizbeth Peguero Rivera_x000a_ _x000a_ _x000a_Le informamos que su ticket correspondiente a:_x000a_               _x000a_Por medio de presente, solicito de la manera más atenta, su apoyo para retroceder los pasos en el sistema SIGEMI-SICOM en la PNT del siguiente asunto RRA 08179/20 OMGF DEL PLENO 03-11-20 , hasta la actividad “Registrar información de la sesión del pleno”; sin más por el momento, quedo en espera de sus comentarios._x000a__x000a_ _x000a_Aplicación:                  SIGEMI_x000a_Tipo de Soporte:         REGRESO DE PASOS    _x000a_Observaciones:            _x000a_ _x000a_Su petición fue atendida_x000a_" u="1"/>
        <s v="Notificación de seguimiento  [  MA2206202002 ]  _x000a_ _x000a_ _x000a_Estimado(a):                     Sergio Rafael Cortés Alpizar_x000a_ _x000a_Le informamos que su ticket correspondiente a:_x000a_               _x000a_Buen día, por medio del presente solicito su apoyo para que se cambie el medio de notificación a correo electrónico del particular en la Plataforma Nacional de Transparencia del recurso de revisión:_x000a_ _x000a_RRA 5316/20 vs CONAPESCA_x000a_ _x000a_Lo anterior se debe a que no se tiene domicilio y se le notificara por correo electrónico. _x000a_ _x000a_Aplicación:                  SIGEMI_x000a_Tipo de Soporte:         cambio de medio   _x000a_Observaciones:            _x000a_ _x000a_Su petición fue atendida_x000a_" u="1"/>
        <s v="Notificación de seguimiento  [  MA2505202012 ]  _x000a_ _x000a_ _x000a_Estimado(a):                     Tiara Gethsemanni Miranda Fuentes_x000a_ _x000a_Le informamos que su ticket correspondiente a:_x000a_               _x000a_Por medio de presente, solicito de la manera más atenta, su apoyo para retroceder los pasos en el sistema SIGEMI-SICOM en la PNT del asunto que se enlista a continuación; hasta la actividad “Registrar información de la sesión del pleno”; sin más por el momento, quedo en espera de sus comentarios._x000a_ _x000a_RRA 04359/20._x000a__x000a_ _x000a_Aplicación:                  SIGEMI_x000a_Tipo de Soporte:         REGRESO DE PASOS  _x000a_Observaciones:            _x000a_ _x000a_Su petición fue atendida_x000a_" u="1"/>
        <s v="Notificación de seguimiento  [  MA1803202110 ]  _x000a_ _x000a_ _x000a_Estimado(a):                     José Manuel Flores Robles_x000a_ _x000a_ _x000a_Le informamos que su ticket correspondiente a:_x000a_               _x000a_eliminar el subfolio 00200721-001_x000a_ _x000a_Aplicación:                  INFOMEX QUERETARO_x000a_Tipo de Soporte:         ELIMINAR SUBFOLIO   _x000a_Observaciones:            _x000a_ _x000a_Su petición fue atendida_x000a_" u="1"/>
        <s v="Se elmina la respuesta del folio: 0001700063021" u="1"/>
        <s v="Se testan los datos de la solicitud con folio: 0064101456921" u="1"/>
        <s v="Notificación de seguimiento  [  MA0607202112 ]_x000a__x000a_Estimado(a):                Betzabé Flores Terán_x000a__x000a_ _x000a_ Le informamos que su ticket correspondiente a:_x000a_               _x000a_Solicito de apoyo para eliminar el requerimiento IFAI-REQ-003713-2021 enviado a la unidad de transparencia de la UAM, el SO ya tiene conocimiento de esta petición_x000a__x000a_ _x000a_Aplicación:                  HCOM_x000a_Tipo de Soporte:         ELIMINAR REQUERIMIENTO  _x000a_Observaciones:            _x000a_ _x000a_Su petición fue atendida_x000a_" u="1"/>
        <s v="Feedback de tiendas/pruebas en dispositivos Android (play store)" u="1"/>
        <s v="Se aplica testado de datos al folio: 0110000022320." u="1"/>
        <s v="_x000a_Notificación de seguimiento  [  MA0406202126 ]_x000a__x000a_Estimado(a):                María Angélica Valdez Islas_x000a__x000a_ _x000a_ Le informamos que su ticket correspondiente a:_x000a_               _x000a_por este medio Anexo el registro actualizado del certificado del Titular de la Unidad de Enlace de “Consejo Nacional para el Desarrollo y la Inclusión de las Personas con Discapacidad”.  Lo Anterior a fin de que sus accesos sean habilitados en los otros sistemas que administra este Instituto (HCOM).  CAMBIO DE  TITULAR, en cuanto se reciba la atención en HCOM se realizará la actualización de los demás sistemas correspondientes._x000a__x000a_ _x000a_Aplicación:                  HCOM_x000a_Tipo de Soporte:         CAMBIO DE TUT   _x000a_Observaciones:            _x000a_ _x000a_Su petición fue atendida_x000a_ _x000a_ _x000a_" u="1"/>
        <s v="_x000a_Notificación de seguimiento  [  MA1006202121 ]_x000a__x000a_Estimado(a):                Moisés Guzmán Arias_x000a__x000a_ _x000a_ Le informamos que su ticket correspondiente a:_x000a_               _x000a_adecuar el término para prevención de acuerdo a las fechas que se indican en cada folio_x000a_ _x000a_00453621 estableciendo el término para prevención al día 11/06/2021 (11 de junio de 2021) (Agenda digital)_x000a__x000a_ _x000a_Aplicación:                  INFOMEX PUEBLA_x000a_Tipo de Soporte:         AJUSTE DE PLAZOS   _x000a_Observaciones:            _x000a_ _x000a_Su petición fue atendida_x000a_ _x000a_ _x000a__x000a_             Favor de validar._x000a_ _x000a_Estatus:                               Concluido_x000a_" u="1"/>
        <s v="Notificación de seguimiento  [  MA0308202204 ]_x000a__x000a__x000a_Estimado(a):               David Mondragón Centeno_x000a__x000a_ Le informamos que su ticket correspondiente a:_x000a__x000a_… NOS ENVÍEN LOS CINCO CERTIFICADOS RENOVADOS DE LA HCOM QUE SOLICITAMOS POR PARTE DE LA DGEALSUPFM_x000a__x000a_Aplicación:                  HCOM_x000a_Tipo de Soporte:        GENERACIÓN DE CERTIFICADOS (4), RENOVACIÓN EN HCOM  ( 2 ), CAMBIO DE TUT (1)_x000a__x000a__x000a_Observaciones:  se anexan certificados y los correos de atención relacionados con los SO 60173 y 60214" u="1"/>
        <s v="request y endpoint para consumo del front" u="1"/>
        <s v="Migración de cursos campus garantes" u="1"/>
        <s v="Reunión, para conocer cual es el siguiente componente a desarrollar" u="1"/>
        <s v="Se le informó al equipo que ya estan los ajustes para el 10mo procedimiento de banderas 'OBTENER_FG_PREVENIDO',para que lo revisen y consuman desde el aplicativo " u="1"/>
        <s v="Se le informó al equipo que ya estan los ajustes para el 7mo procedimiento de banderas 'OBTENER_FG_PREVENCION',para que lo revisen y consuman desde el aplicativo " u="1"/>
        <s v="No se muestra/guarda campo ¿Cual? cuando se selecciona Pertenece a un pueblo indigena" u="1"/>
        <s v="Notificación de seguimiento  [  MA0107202004 ]  _x000a_  _x000a_Estimado(a):                     JOEL IBAÑEZ_x000a_ _x000a_Le informamos que su ticket correspondiente a:_x000a_               _x000a_Si efectivamente quieren que se regrese el paso a: &quot;Admitir/Prevenir/Desechar&quot;._x000a_ _x000a_Aplicación:                  SIGEMI_x000a_Tipo de Soporte:         REGRESO DE PASOS  (2)_x000a_Observaciones:            _x000a_ _x000a_Su petición fue atendida_x000a_" u="1"/>
        <s v="Notificación de seguimiento  [  MA0908202108 ]_x000a__x000a_Estimado(a):                Gloria Bravo Reyna_x000a__x000a_ _x000a_ Le informamos que su ticket correspondiente a:_x000a_               _x000a_Solicito su apoyo en esta ocasión para eliminar el comunicado 004597-IFAI-2021._x000a__x000a_ _x000a_Aplicación:                  HCOM_x000a_Tipo de Soporte:         ELIMINAR COMUNICADO   _x000a_Observaciones:            _x000a_ _x000a_Su petición fue atendida_x000a_" u="1"/>
        <s v="Notificación de seguimiento  [  MA1903202102 ]  _x000a_ _x000a_ _x000a_Estimado(a):                     ALEJANDRA TEJEDA_x000a_ _x000a_ _x000a_Le informamos que su ticket correspondiente a:_x000a_               _x000a_solicito su apoyo con el reporte de solicitudes 2021 con corte al día de hoy._x000a_ _x000a_Aplicación:                  INFOMEX BCN_x000a_Tipo de Soporte:         REPORTE   _x000a_Observaciones:            _x000a_ _x000a_Su petición fue atendida_x000a_" u="1"/>
        <s v="Se Construccion vista para resultados busqueda Contratos" u="1"/>
        <s v="Respaldar Curso 5  de la plataforma anterior y restaurar en plataforma actual " u="1"/>
        <s v="Se  testan los datos del folio: 0320000422921" u="1"/>
        <s v="Carga de audio y version estenográfica" u="1"/>
        <s v="Se aplica testado de datos al folio:  0002700031321" u="1"/>
        <s v="Se sustituye archivo adjunto del folio: 0064103106320" u="1"/>
        <s v="Se sustituye archivo adjunto  del folio:  0064103311420" u="1"/>
        <s v="Notificación de seguimiento  [  MA2208202202 ]_x000a__x000a__x000a_Estimado(a):               Edgar Michel Loaeza Martínez_x000a__x000a_ Le informamos que su ticket correspondiente a:_x000a_solicito tu apoyo para poder sustituir mi certificado en la Hcom administrador, en razón que de se hizo la renovación por cuestión de temporalidad._x000a__x000a_Aplicación:                  HCOM_x000a_Tipo de Soporte:        ACTUALIZACIÓN DE CERTIFICADO  _x000a_" u="1"/>
        <s v="Se aplica eliminación de formato de pago: 0000500128321 " u="1"/>
        <s v="Se aplica testado de datos al folio:  0002700031421" u="1"/>
        <s v="Se genera certificado para las dependencias: 06572,06573,06574,06575,06576,06577." u="1"/>
        <s v="Notificación de seguimiento  [  MA2311202002 ]  _x000a_ _x000a_ Estimado(a):                     Berenice Hernández_x000a_ _x000a_ Le informamos que su ticket correspondiente a:_x000a_               _x000a_solicito la afectación en base de datos de la fecha de caducidad de las solicitudes_x000a_ _x000a_Aplicación:                  INFOMEX OAXACA_x000a_Tipo de Soporte:         AJUSTE DE PLAZOS    _x000a_Observaciones:            _x000a_ _x000a_Su petición fue atendida_x000a_" u="1"/>
        <s v="Ajuste Web Service Desencriptar Password" u="1"/>
        <s v="Diseño de mockups ya con el modelo de la base de datos" u="1"/>
        <s v="Eliminar respuesta mediante control a bases de datos del folio 2210300044221" u="1"/>
        <s v="Respaldar Curso 5 de Miscelánea INAI  de la plataforma anterior y restaurar en plataforma actual " u="1"/>
        <s v="_x000a_Notificación de seguimiento  [  MA2310202009 ]  _x000a__x000a_ _x000a__x000a_ _x000a__x000a_Estimado(a):                     Iván Emmanuel Sánchez Morales_x000a__x000a_ _x000a__x000a_Le informamos que su ticket correspondiente a:_x000a__x000a_               _x000a__x000a_ _x000a__x000a_Si intento aplicar el número 3 y 1 que resalto, me dice que el paso ya fue procesado; tendría que hacerlo para cada uno con el paso 10, del segundo apartado?._x000a__x000a_ ​_x000a__x000a_ _x000a__x000a_Aplicación:                  SIGEMI_x000a__x000a_Tipo de Soporte:         Actualizar referencias  de ampliación_x000a__x000a_Observaciones:            _x000a__x000a_ _x000a__x000a_Favor de validar si con los ajustes realizados es posible realizar la ampliación_x000a__x000a_ _x000a__x000a_ _x000a__x000a_ _x000a__x000a_            Favor de validar._x000a__x000a_ _x000a__x000a_Estatus:                               Concluido._x000a__x000a_ " u="1"/>
        <s v="Notificación de seguimiento  [  MA1207202113 ]_x000a__x000a_Estimado(a):                Alondra Jiménez Hernández_x000a__x000a_ _x000a_ Le informamos que su ticket correspondiente a:_x000a_               _x000a_Se solicita la actualización de los certificados, por motivo del cambio de Titular de la Unidad de Transparencia, de los siguientes sujetos obligados, esto para que sean actualizados y se habilite el acceso en la Herramienta de Comunicación de cada uno._x000a_ _x000a_Clave Sujeto obligado_x000a_11187 El Colegio de Michoacán, A.C._x000a_11188 Fideicomiso de Ciencia y Tecnología del Colegio de Michoacán, A. C._x000a__x000a_ _x000a_Aplicación:                  HCOM_x000a_Tipo de Soporte:         CAMBIO DE TUT (2)  _x000a_Observaciones:            _x000a_ _x000a_Su petición fue atendida_x000a_" u="1"/>
        <s v="Notificación de seguimiento  [  MA1903202001 ]  _x000a_ _x000a_ _x000a_Estimado(a):                     Amanda Judith Monter Gamiño_x000a_ _x000a_Le informamos que su ticket correspondiente a:_x000a_               _x000a_generar una clave de acceso para ingreso al sistema HCOM a petición de la titular de la unidad de transparencia de la Cámara de Diputados._x000a__x000a_Se propone esta clave: CAmD1p20_x000a__x000a__x000a_Asimismo, se solicita se incorporé el correo lidia.perez@diputados.gob.mx con la finalidad de que la titular de la unidad cuente con la posibilidad de recibir directamente su clave de acceso._x000a_ _x000a_Aplicación:                  HCOM   _x000a_Tipo de Soporte:         CAMBIO DE CONTRASEÑA Y CORREO_x000a_Observaciones:            _x000a_ _x000a_Su petición fue atendida_x000a_" u="1"/>
        <s v="Analisis de documentación técnica ACMB-F01-V2 _x000a_micrositios y anexos 3 y 4" u="1"/>
        <s v="Notificación de seguimiento  [  MA1604202104 ]  _x000a_ _x000a_ _x000a_Estimado(a):                     ALEJANDRA TEJEDA_x000a_ _x000a_ _x000a_Le informamos que su ticket correspondiente a:_x000a_               _x000a_reporte de solicitudes 2021 con corte al día de hoy, que contenga el dato del correo electrónico del solicitante._x000a_ _x000a_ _x000a_Aplicación:                  INFOMEX BCN_x000a_Tipo de Soporte:         REPORTE   _x000a_Observaciones:            _x000a_ _x000a_Su petición fue atendida_x000a_" u="1"/>
        <s v="Se aplica testado de datos al folio:  0064103316020" u="1"/>
        <s v="Notificación de seguimiento  [  MA1305202201 ]_x000a__x000a_Estimado(a):                Abraham Obed Gallardo González_x000a__x000a_ _x000a_ Le informamos que su ticket correspondiente a:_x000a__x000a__x000a_En alcance a la cadena de correos que antecede, como comentamos, solicito tu amable apoyo para actualizar en HCOM al TUT del INSABI con base en la información de certificado provisional que amablemente se crearon para el efecto._x000a_ _x000a_ _x000a_Aplicación:                  HCOM_x000a_Tipo de Soporte:         CAMBIO DE TUT     _x000a_Observaciones:            _x000a_ _x000a_Su petición fue atendida_x000a_" u="1"/>
        <s v="se generan los servicios de Menu y los componentes de  Menu: formulario, modal, busqueda, vista" u="1"/>
        <s v="Mejoras a los services builder de los cátalogos de federado" u="1"/>
        <s v="                                                                                                                     _x000a_Buenas tardes Berenice, tu petición fue atendida, favor de validar _x000a__x000a_Saludos _x000a__x000a_Marina Adame Velasco_x000a__x000a_Notificación de seguimiento  [  MA0610202004 ]  _x000a__x000a_Aplicación:                  INFOMEX OAXACA_x000a_Tipo de Soporte:         AJUSTE DE PLAZOS    _x000a_Estatus:                               Concluido._x000a__x000a_" u="1"/>
        <s v="Buenas tardes Memo, tu petición fue atendida, adjunto scripts solicitados, para el caso de la edad, no hay como tal un campo, pero si la fecha de nacimiento  _x000a__x000a_Saludos _x000a__x000a_Marina Adame Velasco_x000a__x000a_Notificación de seguimiento  [  MA0506202002 ]  _x000a__x000a_Aplicación:                  INFOMEX DURANGO_x000a_Tipo de Soporte:         SCRIPTS  _x000a_Estatus:                               Concluido._x000a__x000a_" u="1"/>
        <s v="Notificación de seguimiento  [  MA0305202201 ]_x000a__x000a_Estimado(a):                Abraham Obed Gallardo González_x000a__x000a_ _x000a_ Le informamos que su ticket correspondiente a:_x000a_               _x000a_Por este medio me permito anexar el registro actualizado del certificado del Titular de la Unidad de Enlace de la Comisión Nacional Forestal.  Lo Anterior a fin de que sus accesos sean habilitados en los otros sistemas que administra este Instituto (HCOM).  CAMBIO DE TITULAR, en cuanto se reciba la atención en HCOM se realizará la actualización de los demás sistemas correspondientes._x000a__x000a_ _x000a_ _x000a_Aplicación:                  HCOM_x000a_Tipo de Soporte:         ACTUALIZACIÓN DE CERTIFICADO    _x000a_Observaciones:            _x000a_ _x000a_Su petición fue atendida_x000a_" u="1"/>
        <s v="Crear certificado para usuario del Sujeto Obligado FIDEICOMISOS FIFOMI" u="1"/>
        <s v="Notificación de seguimiento  [  MA2705202130 ]_x000a__x000a_Estimado(a):                Francisco Javier Lira Pérez_x000a__x000a_ _x000a_ Le informamos que su ticket correspondiente a:_x000a_               _x000a_clave única para nuevo Sujeto Obligado denominado:_x000a__x000a_Partido de la Revolución Democrática en el Estado de Nuevo León_x000a__x000a_ _x000a_Aplicación:                  INFOMEX NUEVO LEÓN_x000a_Tipo de Soporte:         CONSULTA DE DATOS   _x000a_Observaciones:            _x000a_ _x000a_Su petición fue atendida_x000a_" u="1"/>
        <s v="Notificación de seguimiento  [  MA3011202003 ]  _x000a_ _x000a_ _x000a_Estimado(a):                     Rosalinda Coria Mosqueda_x000a_ _x000a_ Le informamos que su ticket correspondiente a:_x000a_               _x000a_ _x000a_Solicito su amable apoyo para deshacer las acumulaciones solicitadas de los recursos:_x000a_ _x000a_RRA 12760/20_x000a_RRA 12765/20_x000a_RRA 12770/20_x000a_ _x000a_Al acumulador RRA 12755/20, toda vez que no se llevará a cabo la acumulación interna en la Ponencia._x000a_ _x000a_Aplicación:                  SIGEMI_x000a_Tipo de Soporte:         DESACUMULACION   _x000a_Observaciones:            _x000a_ _x000a_Su petición fue atendida_x000a_" u="1"/>
        <s v="Notificación de seguimiento  [  MA1110202201 ]_x000a__x000a_Estimado(a):                Lizbeth Adriana Cabrera Ortega_x000a_ _x000a_ _x000a_ Le informamos que su ticket correspondiente a:_x000a_ _x000a_Estimado Rafa_x000a_ _x000a_Pido de tu apoyo para modificar el expediente electrónico del recurso de revisión _x000a_ _x000a_NOMBRE DEBE DECIR Julio Eduardo Jácome Carmona_x000a_ _x000a_Asimismo incorporar el acuerdo de turno adjunto que contiene ya la modificación._x000a_ _x000a_ _x000a_ _x000a_Aplicación:                SIGEMI_x000a_Tipo de Soporte        Cambio de nombre de recurrente en turno_x000a_Observaciones:            _x000a_ _x000a_Su petición fue atendida_x000a_ _x000a_ _x000a_Favor de validar._x000a_ _x000a_Estatus:                               Concluido_x000a_ " u="1"/>
        <s v="pruebas al servico de tarea programda" u="1"/>
        <s v="Se revisa en busca de problemas las integraciones con las redes sociales FB, Twitter y Google" u="1"/>
        <s v="Se aplica testado de datos al folios: 0000700067520." u="1"/>
        <s v="Elaboración documento Análisis de la Solución" u="1"/>
        <s v="Se sustituye archivo adjunto y se testan los datos del folio:  0673800010221" u="1"/>
        <s v="Revision de funcionalidad de Usuarios " u="1"/>
        <s v="Notificación de seguimiento  [  MA0212202001 ]  _x000a_ _x000a_ _x000a_Estimado(a):                     Alexa María Fernanda Hernández Pérez_x000a_ _x000a_ _x000a_Le informamos que su ticket correspondiente a:_x000a_               _x000a_envío el siguiente correo a fin de solicitar su valiosa intervención para realizar un cambio de medio de notificación en la PNT respecto del asunto RRA 13084/20 vs CJF, toda vez que en su escrito recursal, la particular tiene como medios para recibir notificaciones distintos a los capturados en la PNT. _x000a_ _x000a_Los medios de notificación serían los siguientes: _x000a_1. El correo electrónico asesoriajuridica@tojil.org _x000a_2.  Calle Dos número 24, interior C404, Despacho C-1, Colonia San Pedro de los Pinos, alcaldía de Benito Juárez 219, CP. 03800, Ciudad de México. _x000a_PD. El asunto es urgente, ya que hoy es su último día de notificación._x000a_ _x000a_ _x000a_Aplicación:                  SIGEMI_x000a_Tipo de Soporte:         ACTUALIZACIÓN DE DATOS    _x000a_Observaciones:            _x000a_ _x000a_Su petición fue atendida_x000a_ _x000a_" u="1"/>
        <s v="analisis y funcionalidad  de recursos " u="1"/>
        <s v="Notificación de seguimiento  [  MA2010202007 ]  _x000a_ _x000a_ _x000a_Estimado(a):                     HUGO GOVI_x000a_ _x000a_Le informamos que su ticket correspondiente a:_x000a_               _x000a_elimina los turnos para que se vuelvan a general los numeros de expedientes y turnar a los comisionados de nuevo gracias, para que se reinicia el expediente en el 249_x000a_ _x000a_Aplicación:                  SIGEMI_x000a_Tipo de Soporte:         Eliminación de turnos y ajuste de consecutivo  _x000a_Observaciones:            _x000a_ _x000a_Su petición fue atendida, se eliminaron los turnos y se ajusto el consecutivo para que el siguiente turno que se genere sea el 249_x000a_ _x000a_" u="1"/>
        <s v="Se sustituye archivo adjunto  del folio:  0410000017220." u="1"/>
        <s v="Se elimina la respuesta  de la solicitud con folio 0001600290321." u="1"/>
        <s v="Corrección en Template de Líneas de Acción, funcionalidad de Estilos" u="1"/>
        <s v="Se actualizan todos las sentencias sql nativas a JPA en flujo de vinculación." u="1"/>
        <s v="Análisis de requerimientos, para la solución de una plantilla dinamica de respuesta" u="1"/>
        <s v="Notificación de seguimiento  [  MA1002202004 ]  _x000a_ _x000a_ _x000a_Estimado(a):                     Cristian Hernández Ramírez_x000a_ _x000a_Le informamos que su ticket correspondiente a:_x000a_               _x000a_Solicito tu amable apoyo para poder regresar los pasos del recurso de revisión RRA 15975/19 en la Plataforma Nacional de Transparencia, dado que por un error de un servidor, se subió una versión final del recurso cuando todavía no estaba aprobado._x000a__x000a_ _x000a_Aplicación:                  SIGEMI_x000a_Tipo de Soporte:         REGRESO DE PASOS  _x000a_Observaciones:            _x000a_ _x000a_Su petición fue atendida_x000a_" u="1"/>
        <s v="Notificación de seguimiento  [  MA1207202114 ]_x000a__x000a_Estimado(a):                Alondra Jiménez Hernández_x000a__x000a_ _x000a_ Le informamos que su ticket correspondiente a: Se solicita la actualización de los certificados, por motivo del cambio de Titular de la Unidad de Transparencia, de los siguientes sujetos obligados, esto para que sean actualizados y se habilite el acceso en la Herramienta de Comunicación de cada uno._x000a__x000a_               _x000a__x000a_ _x000a_Aplicación:                  HCOM_x000a_Tipo de Soporte:         CAMBIO DE TUT ( 2 )   _x000a_Observaciones:            _x000a_ _x000a_Su petición fue atendida_x000a_" u="1"/>
        <s v="Notificación de seguimiento  [  MA2605202004 ]  _x000a_ _x000a_ _x000a_Estimado(a):                     Rosalinda Coria Mosqueda_x000a_ _x000a_Le informamos que su ticket correspondiente a:_x000a_               _x000a__x000a_Agradeceré regresar el recurso RRD 00699/20 a la actividad de admitir/prevenir; toda vez que se hizo una notificación de Prevención el día de ayer, 25 de mayo, y es un sujeto obligado que solicito la suspensión de plazos y le fue otorgada la misma._x000a__x000a_ _x000a_Aplicación:                  SIGEMI_x000a_Tipo de Soporte:         REGRESO DE PASOS  _x000a_Observaciones:            _x000a_ _x000a_Su petición fue atendida_x000a_" u="1"/>
        <s v="Notificación de seguimiento  [  MA1308202001 ]  _x000a_ _x000a_ _x000a_Estimado(a):                     Alondra Jiménez Hernández_x000a_ _x000a_Le informamos que su ticket correspondiente a:_x000a_               _x000a_Anexo el registro actualizado del certificado del Titular de la Unidad de Transparencia del Fideicomiso de Investigación Científica y de Desarrollo Tecnológico, sujeto obligado indirecto de CIATEJ, para su renovación en la Herramienta de Comunicación. _x000a_ _x000a_ _x000a_Aplicación:                  HCOM   _x000a_Tipo de Soporte:         CAMBIO DE CERTIFICADO  _x000a_Observaciones:            _x000a_ _x000a_Su petición fue atendida_x000a_ _x000a__x000a_" u="1"/>
        <s v="Notificación de seguimiento  [  MA2505202004 ]  _x000a_ _x000a_ _x000a_Estimado(a):                     Rosalinda Coria Mosqueda_x000a_ _x000a_Le informamos que su ticket correspondiente a:_x000a_               _x000a_Agradeceré su apoyo para regresar a la actividad de admitir/prevenir el recurso RRA 03925/20 de SFP, toda vez que el archivo decía admisión, debiendo ser una prevención, por lo que solicito regresar la actividad, para poder notificar el acuerdo de prevención._x000a__x000a__x000a_ _x000a_Aplicación:                  SIGEMI_x000a_Tipo de Soporte:         REGRESO DE PASOS  _x000a_Observaciones:            _x000a_ _x000a_Su petición fue atendida_x000a_ _x000a__x000a_" u="1"/>
        <s v="Extracción  de datos útiles y congruentes SIPOT" u="1"/>
        <s v="Se aplica el cambio de modalidad de manera manual ya que el sistema no lo permite realizar: 0064103698619." u="1"/>
        <s v="Notificación de seguimiento  [  MA3110202202 ]_x000a__x000a_Estimado(a):                David Mondragón Centeno_x000a__x000a__x000a_ Le informamos que su ticket correspondiente a:_x000a__x000a_EL CERTIFICADO DE HCOM DEBE QUEDAR A NOMBRE DE RICARDO DEL CASTILLO CÁRDENAS, A QUIEN TENEMOS REGISTRADO COMO TITULAR DELA UNIDAD DE TRANSPARENCIA DEL SUJETO OBLIGADO 60307  SINDICATO ÚNICO DE TRABAJADORES DEL INSTITUTO NACIONAL DE BELLAS ARTES Y LITERATURA (SUTINBAL)._x000a__x000a_Aplicación:                 HCOM_x000a_Tipo de Soporte        CAMBIO DE TUT _x000a_" u="1"/>
        <s v="Realizar modul de institución de procedencia" u="1"/>
        <s v="Desarrollo e implementación del flujo de descarga acuse con el sistema del estado de méxico SAIMEX" u="1"/>
        <s v="Página con funcionalidad para declaraciones" u="1"/>
        <s v="Se sustituye el archivo adjunto de la solicitud con folio 0064101851421" u="1"/>
        <s v="Notificación de seguimiento  [  MA0403202004 ]  _x000a_ _x000a_ _x000a_Estimado(a):                     HUGO GOVI_x000a_ _x000a_Le informamos que su ticket correspondiente a:_x000a_               _x000a_AL HACER LO QUE ME CONMENTASTE DE SELECCIONAR A LA PONENCIA A Y UN RECURSO ME GENERO EL EXPEDIENTE_x000a__x000a_IP/PNT/001/2019-A_x000a_y si  pueden verificar el inicio de mis expedientes de recursos de revisión_x000a__x000a_ _x000a_Aplicación:                  SIGEMI_x000a_Tipo de Soporte:         AJUSTE DE NUMERO DE FOLIO  _x000a_Observaciones:            _x000a_ _x000a_Su petición fue atendida, el expediente IP/PNT/001/2019-A  fue renombrado a IP/PNT/001/2020-A  _x000a_ _x000a_ _x000a_            Favor de validar._x000a_ _x000a_" u="1"/>
        <s v="Se identifican y se recuperan acuses de las solicitudes: 0064100546020,0064100546320" u="1"/>
        <s v="Notificación de seguimiento [ MA3001202003 ] _x000a_  _x000a_  _x000a_ Estimado(a): Raúl Gustavo Flores Cruz_x000a_  _x000a_ Le informamos que su ticket correspondiente a:_x000a_  _x000a_ regreso del paso de evaluación de cumplimiento del RRA 2262/19, en la PNT._x000a_ _x000a_  _x000a_ Aplicación: SIGEMI_x000a_ Tipo de Soporte: REGRESO DE PASOS _x000a_ Observaciones: _x000a_  _x000a_ Su petición fue atendida_x000a_  _x000a_ _x000a_  _x000a_  Favor de validar._x000a_  _x000a_ Estatus: Concluido." u="1"/>
        <s v="Obtener capturas Iphone" u="1"/>
        <s v="Notificación de seguimiento  [  MA0902202103 ]  _x000a_  _x000a_Estimado(a):                     Martha Rubí Zaragoza Mora_x000a_ _x000a_Le informamos que su ticket correspondiente a:_x000a_               _x000a_El presente correo es para pedir su amable apoyo para el ajuste de términos de los folios debido al Acuerdo que enviaron los siguientes Sujetos Obligados a la COTAI por el cual tienen como día inhábil el 1 y 5 de febrero de 2021; debiéndose considerar los días comprendidos dentro de dicho periodo como inhábiles para evitar la propagación del coronavirus COVID-19. Hoy enviaron su acuerdo y calendario el cual ya fue configurado en INFOMEX._x000a_ _x000a_Aplicación:                  INFOMEX NUEVO LEÓN _x000a_Tipo de Soporte:         AJUSTE DE PLAZOS    _x000a_Observaciones:            _x000a_ _x000a_Su petición fue atendida_x000a_" u="1"/>
        <s v="Notificación de seguimiento  [  MA2802202013 ]  _x000a_ _x000a_ _x000a_Estimado(a):                     Lizbeth Adriana Cabrera Ortega_x000a_ _x000a_Le informamos que su ticket correspondiente a:_x000a_               _x000a_Pido de su amable apoyo para hacer Cambio de fecha al día hábil siguiente de los recursos que interpusieron por INFOMEX en horario inhábil._x000a__x000a__x000a_DEBE DECIR 28 DE FEBRERO_x000a__x000a_" u="1"/>
        <s v="Carga de cumplimientos" u="1"/>
        <s v="Se  testan los datos del folio: 0000600221421" u="1"/>
        <s v="Se cambia el tipo de solicitud del folio: 0000700362120. " u="1"/>
        <s v="Se aplica el alta para: Jhonatan Peguero Romero." u="1"/>
        <s v="Se aplica testado de datos personales: 0064100308320." u="1"/>
        <s v="seccion 11 UT" u="1"/>
        <s v="Se aplican 4 RIAS manualmente" u="1"/>
        <s v="Notificación de seguimiento  [  MA1301202103 ]  _x000a_ _x000a_ _x000a_Estimado(a):                     Martha Rubí Zaragoza Mora_x000a_ _x000a_ _x000a_Le informamos que su ticket correspondiente a:_x000a_               _x000a_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_x000a_ _x000a_Aplicación:                  INFOMEX NL_x000a_Tipo de Soporte:         AJUSTE DE PLAZOS   _x000a_Observaciones:            _x000a_ _x000a_Su petición fue atendida_x000a_" u="1"/>
        <s v="Funcionalidad Obras Dictaminadas " u="1"/>
        <s v="Se cambia el tipo de solicitud del folio: 0064101063821." u="1"/>
        <s v="Se  testan los datos del folio: 0064101175221" u="1"/>
        <s v="Se testan los datos de la solicitud con folio: 0064101513421" u="1"/>
        <s v="_x000a_Notificación de seguimiento  [  MA1102202108 ]  _x000a_ _x000a_ _x000a_Estimado(a):                     Martha Rubí Zaragoza Mora_x000a_ _x000a_ Le informamos que su ticket correspondiente a:_x000a_               _x000a_El presente correo es para pedir su amable apoyo para el ajuste de términos de los folios debido al Acuerdo _x000a_enviaron los siguientes Sujetos Obligados a la COTAI por el cual se amplían la fecha del 2 al 28 febrero de 2021 y el sujeto obligado del municipio de General Terán envió su acuerdo del 16 de febrero al 15 de marzo; debiéndose considerar los días comprendidos dentro de dicho periodo como inhábiles para evitar la propagación del coronavirus COVID-19._x000a__x000a_Aplicación:                  INFOMEX NUEVO LEON_x000a_Tipo de Soporte:         AJUSTE DE PLAZOS   _x000a_" u="1"/>
        <s v="Fase 3 y 4" u="1"/>
        <s v="Se aplica eliminación de formato de pago: 0064101638021" u="1"/>
        <s v="Notificación de seguimiento  [  MA1402202004 ]  _x000a_ _x000a_Estimado(a):                     Alfredo Iván Moreno Pérez_x000a_ _x000a_Le informamos que su ticket correspondiente a:_x000a_               _x000a_Solicito su apoyo para la modificación del plazo de cumplimiento en la PNT del RRA 14374/19 ya que se indicó como plazo para su cumplimiento 10 días pero el plazo correcto es de 30 días por lo que de estar dentro de sus posibilidades solicitaría de la manera más atenta se añadan 20 días al plazo de cumplimiento que le resta al Sujeto Obligado._x000a__x000a_Para facilitar la modificación solicitada, les menciono que el día en el que vence el cumplimiento de la resolución es el 25 de marzo del presente._x000a__x000a_ _x000a_Aplicación:                  SIGEMI_x000a_Tipo de Soporte:         CAMBIO DE PLAZO   _x000a_Observaciones:            _x000a_ _x000a_Su petición fue atendida_x000a_" u="1"/>
        <s v="Realizar la clase Controller, Service, Dao para la operación alta de linea-accion-estrategica" u="1"/>
        <s v="Notificación de seguimiento [ MA3101202001 ] _x000a_  _x000a_  _x000a_ Estimado(a): Lizbeth Adriana Cabrera Ortega_x000a_  _x000a_ Le informamos que su ticket correspondiente a:_x000a_  _x000a_ PIDIENDO SU VALIOSO APOYO_x000a_ _x000a_ DEBE DECIR 30 ENERO_x000a_ _x000a_  _x000a_ Aplicación: SIGEMI_x000a_ Tipo de Soporte: Actualizacion de fecha _x000a_ Observaciones: _x000a_  _x000a_ Su petición fue atendida" u="1"/>
        <s v="Notificación de seguimiento  [  MA0306202112 ]_x000a__x000a__x000a_Estimado(a):                Edwin Robles Hernández_x000a__x000a_ _x000a_ Le informamos que su ticket correspondiente a:_x000a_               _x000a_Por este medio solicito de su valioso apoyo para poder aplicar las afectaciones a las fechas de notificación a la resolución y los acuses al sujeto obligado y recurrente respectivos señaladas en la tabla siguiente del expediente R.R.A.I 0469/2020/SICOM. Toda vez que el Consejo General aprobará mediante Acuerdo ACDO/CG/IAIP/021/2020…_x000a_ _x000a_Aplicación:                  SIGEMI_x000a_Tipo de Soporte:         ACTUALIZAR FECHAS  _x000a_Observaciones:            _x000a_ _x000a_Su petición fue atendida_x000a_" u="1"/>
        <s v="Notificación de seguimiento  [  MA2403202001 ]  _x000a_ _x000a_ _x000a_Estimado(a):                     Rosalinda Coria Mosqueda_x000a_ _x000a_Le informamos que su ticket correspondiente a:_x000a_               _x000a_Agradeceré agregar como archivo adjunto el correo electrónico que se anexa en el recurso RRA 02420/20 interpuesto en contra de la CNDH, el cual se encuentra en la carpeta electrónica de los recursos asignados a la Comisionada Blanca Lilia Ibarra Cadena, en virtud de que se advirtió que no se encuentra cargado._x000a__x000a_ _x000a_Aplicación:                  SIGEMI_x000a_Tipo de Soporte:         Actualizar archivo de recurso   _x000a_Observaciones:            _x000a_ _x000a_Su petición fue atendida_x000a_" u="1"/>
        <s v="Creación de página administrativa para Directorio UT y validación de accesos oscar.aranda" u="1"/>
        <s v="Se aplica eliminación de formato de pago al folio: 1811100040019." u="1"/>
        <s v="_x000a_Notificación de seguimiento  [  MA0502202003 ]  _x000a_ _x000a_ _x000a_Estimado(a):                     Lizbeth Adriana Cabrera Ortega_x000a_ _x000a_Le informamos que su ticket correspondiente a:_x000a_               _x000a_SOLICITO DE TU VALIOSO APOYO A FIN DE CORREGIR EN EL EXPEDIENTE ELECTRÓNICO DEL RECURSO MENCIONADO EN EL ASUNTO, EL NÚMERO DE FOLIO._x000a_ _x000a_DEBE DECIR_x000a_ _x000a_0064103257219_x000a__x000a_ _x000a_Aplicación:                  SIGEMI_x000a_Tipo de Soporte:         Corrección de número de solicitud y actualización de archivo   _x000a_" u="1"/>
        <s v="Reinstalación campus público con nueva BD" u="1"/>
        <s v="Notificación de seguimiento  [  MA1708202001 ]  _x000a_ _x000a_ _x000a_Estimado(a):                     Lizbeth Adriana Cabrera Ortega_x000a_ _x000a_Le informamos que su ticket correspondiente a:_x000a_               _x000a_SOLICITO DE TU VALIOSO APOYO PARA HACER LA CORRECCIÓN EN LA HERRAMIENTA PNT DEL RECURSO INDICADO EN EL ASUNTO, YA QUE EL SO ES ESENCIAL Y APARECE CON FECHA OFICIAL DE INTEPROSICIÓN DEL 20 DE AGOSTO, CUANDO DEBERÍA SER EL 13 DE AGOSTO 2020 FECHA EN QUE EN REALIDAD FUE INTERPUESTO._x000a_ _x000a_QUEDO ATENTA A TODAS LAS MODIFICACIONES QUE TENGAN A BIEN EFECTUAR EN EL EXPEDIENTE ELECTRÓNICO, ASÍ COMO EN LA PROPIA HERRAMIENTA PARA QUE NO SEA REPLICADA LA FALLA EN LA FECHA._x000a__x000a_ _x000a_Aplicación:                  SIGEMI_x000a_Tipo de Soporte:         Actualización de fecha de interposición ( incluyendo archivo)  _x000a_Observaciones:            _x000a_ _x000a_Su petición fue atendida_x000a_" u="1"/>
        <s v="Notificación de seguimiento  [  MA1806202003 ]  _x000a_ _x000a_ _x000a_Estimado(a):                     Adriana Elizabeth Hernández García_x000a_ _x000a_Le informamos que su ticket correspondiente a:_x000a_               _x000a_Por medio del presente te comento que al validar el paso denominado Registro de la Resolución Firmada relativo al recurso: _x000a__x000a_RRA 03397/20_x000a__x000a_la PNT se queda pasmada y NO APARECEN las ventanas donde se registran las fechas de firma de los comisionados; de tal manera que queda en blanco.  _x000a_Al respecto, te solicito se realicen las gestiones necesarias a efecto de que se pueda validar el paso referido y estar en condición de continuar con el proceso de notificación de la resolución._x000a__x000a_ _x000a_Aplicación:                  SIGEMI_x000a_Tipo de Soporte:         Corrección de incidencia   _x000a_Observaciones:            _x000a_ _x000a_Su petición fue atendida_x000a_ _x000a__x000a_" u="1"/>
        <s v="Se  testan los datos de la solicitud con folio 0500100002121_x000a_" u="1"/>
        <s v="Se actualiza clave de SO " u="1"/>
        <s v="Apoyo directo para Antonio Pérez ( Validación de diversas URL´s que no están siendo identificadas en las rutas de carpetas de archivos, esto respecto a CDMX.) Generación de información en formatos de Excel con las posibles estructuras URLs en las que podrían encontrarse los adjuntos registrados. " u="1"/>
        <s v="Notificación de seguimiento  [  MA2107202112 ]_x000a__x000a_Estimado(a):                Moisés Guzmán Arias_x000a__x000a_ _x000a_ Le informamos que su ticket correspondiente a:_x000a_               _x000a_respaldo de la base de datos del sistema INFOMEX del estado de puebla._x000a_ _x000a_Aplicación:                  INFOMEX PUEBLA_x000a_Tipo de Soporte:         RESPALDO  _x000a_Observaciones:            _x000a_ _x000a_Su petición fue atendida_x000a__x000a_http://documentos.inai.org.mx/tmp/infomexPUEBLA_backup_2021-07-21_1826.bak_x000a__x000a__x000a__x000a_             Favor de validar._x000a_ _x000a_Estatus:                               Concluido_x000a_" u="1"/>
        <s v="Desarrollo de trabajos: Instalacion del grupo especializado y la ejecucion de las acciones para la construccion. " u="1"/>
        <s v="Notificación de seguimiento  [  MA1008202012 ]  _x000a_ _x000a_ _x000a_Estimado(a):                     Michelle Fuentes Pereyra_x000a_ _x000a_Le informamos que su ticket correspondiente a:_x000a_               _x000a_Al momento de dar trámite al Recurso de Revisión que se enlista a continuación, en el sistema SIGEMI-SICOM en la PNT, este me aparece activo varias veces, se encuentra repetidos en el siguiente paso “Registrar información de la sesión del pleno, por lo que solicito de la manera más atenta, eliminar estos pasos y dejar solo una vez el siguiente paso “Registrar información de la sesión del pleno” y dejar el paso de “Notificar por otro Medio”. Sin más por el momento, quedo en espera de tus comentarios._x000a_ _x000a_1. RRA 07884/20_x000a__x000a__x000a_ _x000a_Aplicación:                  SIGEMI_x000a_Tipo de Soporte:         Corrección de incidencia  _x000a_Observaciones:            _x000a_ _x000a_Su petición fue atendida_x000a_" u="1"/>
        <s v="Notificación de seguimiento  [  MA2308202111 ]_x000a__x000a_Estimado(a):                Berenice Hernández Sumano_x000a__x000a_ _x000a_ Le informamos que su ticket correspondiente a:_x000a_               _x000a_Por este medio solicito su ayuda para visualizar correctamente en el Sistema Infomex Oaxaca los archivos adjuntos cargados por el solicitante, debido a que el nombre del archivo integra acentos el aplicativo no puede recuperar la ruta de acceso al documento y genera un error de lectura, impidiendo que la Unidad de transparencia de atención a la solicitud…_x000a__x000a_ _x000a_Aplicación:                  INFOMEX OAXACA_x000a_Tipo de Soporte:         CORRECCIÒN DE ACUSES   _x000a_Observaciones:            _x000a_ _x000a_Su petición fue atendida_x000a_" u="1"/>
        <s v="Al modificar los datos proncipales se obtiene la inforación guardada del usuario al cargar la pantalla" u="1"/>
        <s v="Se testan los datos de la solicitud con folio: 0064101285921" u="1"/>
        <s v="Análisis, diseño e implementación de las mejoras detectadas por los organismos garantes durante la capacitación de SISAI 2.0" u="1"/>
        <s v="_x000a_Notificación de seguimiento  [  MA2801202105 ]  _x000a_ _x000a_ _x000a_Estimado(a):                     Berenice Hernández Sumano_x000a_ _x000a_ _x000a_Le informamos que su ticket correspondiente a:_x000a_               _x000a_Por este medio solicito su apoyo para poder aplicar las afectaciones a las fechas de vencimiento y la eliminación de los acuses respectivos de las solicitudes señaladas en el archivo adjunto. Toda vez que el Consejo General aprobará en su Décima Novena Sesión Ordinaria celebrada el día 28 de octubre, aprobó la primera fase del levantamiento a la suspensión de plazos derivado de la Contingencia Sanitaria del COVID-19 para un primer grupo de sujetos obligados y la continuidad de la suspensión de plazos para el resto de sujetos obligados hasta el 08 de febrero 2021._x000a__x000a_ _x000a_Aplicación:                  INFOMEX FEDERAL _x000a_Tipo de Soporte:         AJUSTE DE PLAZOS   _x000a_" u="1"/>
        <s v="SUSTITUCIÓN TEXTO Y ADJUNTO EN SOLICITUD DE INFORMACION CON FOLIO 1816400137121 " u="1"/>
        <s v="Reunion proyectos por terceros " u="1"/>
        <s v="Crear certificado para usuario del Sujeto Obligado FIDECINE y FOPROCINE" u="1"/>
        <s v="seguimiento solicitudes" u="1"/>
        <s v="Crear sólo un tipo de respuesta en SISAI, desarrollo personalizado para la CDMX que identifique si es una Prevención Total o Parcial, que al pertenecer el plazo determine si se dará por presentada o no." u="1"/>
        <s v="Notificación de seguimiento  [  MA0203202011 ]  _x000a_ _x000a_ _x000a_Estimado(a):                     Lizbeth Adriana Cabrera Ortega_x000a_ _x000a_Le informamos que su ticket correspondiente a:_x000a_               _x000a_SOLICITO DE SU VALIOSO APOYO A FIN D QUE SEA ATENDIDA LA PETICIÓN DE LA PONENCIA._x000a__x000a_CAMBIAR LA FECHA DE interposición  DEL RECURSO INGRESADO POR PNT, AL DÍA 20 DE FEBRERO DE 2020._x000a__x000a_ADICIONAR EL ACUERDO ADJUNTO AL PRESENTE, AL EXPEDIENTE ELECTRÓNICO, YA QUE DA CUENTA DE LA FECHA DEL 20 DE FEBRERO._x000a__x000a_ _x000a_Aplicación:                  SIGEMI_x000a_Tipo de Soporte:         CAMBIO DE FECHA Y ACTUALIZACION DE ARCHIVO  _x000a_Observaciones:            _x000a_ _x000a_Su petición fue atendida_x000a__x000a_" u="1"/>
        <s v="Integracion de endpoints para login via redes sociales via google y facebook" u="1"/>
        <s v="_x000a_Buenos días Guillermo, tu petición fue atendida, favor de validar _x000a__x000a_Saludos _x000a__x000a_Marina Adame Velasco_x000a__x000a_Notificación de seguimiento  [  MA1604202003 ]  _x000a__x000a_Aplicación:                  INFOMEX BCN_x000a_Tipo de Soporte:         Corrección de plazos   _x000a_Estatus:                               Concluido._x000a__x000a_" u="1"/>
        <s v="Notificación de seguimiento  [  MA2601202204 ]_x000a__x000a_Estimado(a):                Pedro Esquivel Martínez_x000a__x000a_ _x000a_ Le informamos que su ticket correspondiente a:_x000a_               _x000a__x000a_apoyo con las actualizaciones del certificado en la HCOM, lo anterior debido al vencimiento de los mismos; se adjunta cuadro descriptivo y certificados correspondientes._x000a__x000a_ _x000a_Aplicación:                  HCOM_x000a_Tipo de Soporte:         CAMBIO CERTIFICADO (2)_x000a_" u="1"/>
        <s v="Notificación de seguimiento  [  MA0508202005 ]  _x000a_ _x000a_ _x000a_Estimado(a):                     Rosalinda Coria Mosqueda_x000a_ _x000a_Le informamos que su ticket correspondiente a:_x000a_               _x000a__x000a_Agradeceré su ayuda para cambiar el medio de comunicación en el Recurso _x000a_RRA 4900-20 [ya que la pieza postal fue devuelta por lo que se solicita el cambio de notificación al correo electrónico]. _x000a__x000a_• El correo electrónico es: israelvargasperez@hotmail.com _x000a__x000a_En ese sentido, solicito su apoyo para que se haga el cambio del medio en la PNT, de domicilio físico a correo electrónico._x000a__x000a__x000a_ _x000a_Aplicación:                  SIGEMI_x000a_Tipo de Soporte:         cambio de medio   _x000a_Observaciones:            _x000a_ _x000a_Su petición fue atendida_x000a_" u="1"/>
        <s v="Notificación de seguimiento  [  MA0707202101 ]_x000a__x000a_Estimado(a):                Edgar Michel Loaeza Martínez_x000a__x000a_ _x000a_ Le informamos que su ticket correspondiente a:_x000a_               _x000a_Por medio del presente solicito su valioso apoyo a efecto de realizar el cambio de certificado del Titular de la Unidad de Transparencia del Servicio de Protección Federal._x000a__x000a_Para tal efecto, anexo al presente el certificado, cédula de registro y  nombramiento, lo anterior, a fin de que sus accesos sean habilitados en los sistemas que administra este Instituto (INFOMEX y HCOM).  _x000a__x000a_ _x000a_Aplicación:                  HCOM          _x000a_Tipo de Soporte:         CAMBIO DE TUT  _x000a_Observaciones:            _x000a_ _x000a_Su petición fue atendida_x000a_" u="1"/>
        <s v="Notificación de seguimiento  [  MA1302202002 ]  _x000a_ _x000a_ _x000a_Estimado(a):                     Edgar Michel Loaeza Martínez_x000a_ _x000a_Le informamos que su ticket correspondiente a:_x000a_               _x000a_Por medio del presente solicito su valioso apoyo a efecto de realizar la renovación del certificado de Titular de la Unidad de Transparencia de la Autoridad Federal para el Desarrollo de Zonas Económicas Especiales._x000a__x000a_Para tal efecto, anexo al presente el certificado, lo anterior, a fin de que sus accesos sean habilitados en los sistemas que administra este Instituto (HCOM).  _x000a__x000a_ _x000a_Aplicación:                  HCOM_x000a_Tipo de Soporte:         CAMBIO DE TITULAR   _x000a_Observaciones:            _x000a_ _x000a_Su petición fue atendida_x000a_" u="1"/>
        <s v="Notificación de seguimiento  [  MA2204202111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17 de abril al 31 de mayo 2021; debiéndose considerar los días comprendidos dentro de dicho periodo como inhábiles para evitar la propagación del coronavirus COVID-19._x000a_ _x000a_Aplicación:                  INFOMEX NUEVO LEÓN_x000a_Tipo de Soporte:         AJUSTE DE PLAZO_x000a_  _x000a_Observaciones:            _x000a_ _x000a_Su petición fue atendida_x000a_" u="1"/>
        <s v="Mejoras en código de Catalogo Objetivos, Líneas Estrategicas, mejores practicas y código limpio" u="1"/>
        <s v="Se cambia el tipo de solicitud del folio: 1220000003721" u="1"/>
        <s v="Se aplica eliminación de última respuesta de la solicitud: 0064100709120." u="1"/>
        <s v="Se aplica el testado de datos de la solicitud: 0064100192520" u="1"/>
        <s v="Se cambia el tipo de solicitud del folio: 1222300018221" u="1"/>
        <s v="Creación de componentes para la interpretación de url en el modal del formato de los presupuesto anual asignado." u="1"/>
        <s v="Corrección en generación de PDF" u="1"/>
        <s v="Cambios en el flujo" u="1"/>
        <s v="Se aplica la carga de pagos del mes de ENERO." u="1"/>
        <s v="Respaldar Curso 3  de la plataforma anterior y restaurar en plataforma actual " u="1"/>
        <s v="Se realizó la verificación para la creación de todos los pods correctamente" u="1"/>
        <s v="Realizar la clase Controller, Service, Dao para la operación actualización de linea-accion-estrategica" u="1"/>
        <s v="Se  testan los datos del folio: 0000700213421" u="1"/>
        <s v="Implementar adecuaciones al código fuente para atender hallazgos del módulo - Usuarios" u="1"/>
        <s v="Se  testan los datos del folio: 0064101915321" u="1"/>
        <s v="Así es, ya que la referencia que se debe de afectar se guarda por versión cargada del proceso _x000a__x000a_De: moises.guzman@itaipue.org.mx [mailto:moises.guzman@itaipue.org.mx] _x000a_Enviado el: jueves, 30 de julio de 2020 02:52 p. m._x000a_Para: Marina Adame Velasco &lt;marina.adame@inai.org.mx&gt;_x000a_Asunto: Re: Seguimiento caso ampliación para prevención_x000a__x000a_Al decirme que a todos los procesos te refieres a todas las solicitudes que están en proceso_x000a_Get Outlook for Android_x000a__x000a__________________________________________x000a_From: Marina Adame Velasco &lt;marina.adame@inai.org.mx&gt;_x000a_Sent: Thursday, July 30, 2020 2:24:44 PM_x000a_To: Moisés Guzmán Arias &lt;moises.guzman@itaipue.org.mx&gt;_x000a_Subject: RE: Seguimiento caso ampliación para prevención _x000a_ _x000a_Buenas tardes Moisés, de la revisión que realice, si se elimina el tiempo del paso 3 días para prevenir, se logra realizar la prevención, solo que este cambio afectaría a todos los procesos, me quedo atenta a tus comentarios._x000a_ _x000a_Saludos _x000a_ _x000a_Marina_x000a_" u="1"/>
        <s v="Se elimina la respuesta del folio:  0002800052121 " u="1"/>
        <s v="Realizar la clase Controller, Service, Dao para la operación de consulta de objetivos" u="1"/>
        <s v="Actualizacion ICIC " u="1"/>
        <s v="Instrumentos tecnicos de evaluacion, CAVINAI,9°edicion prosede INAI 2022, Certamen de evaluacion y transparencia " u="1"/>
        <s v="Se le informó al equipo que ya estan los ajustes para el 13vo procedimiento de banderas 'OBTENER_FG_QUEJA', para que lo revisen y consuman desde el aplicativo " u="1"/>
        <s v="validacion con html y jquery" u="1"/>
        <s v="Respaldar Curso 3 de Miscelánea INAI  de la plataforma anterior y restaurar en plataforma actual " u="1"/>
        <s v="Notificación de seguimiento [ MA0901202003 ] _x000a_  _x000a_  _x000a_ Estimado(a): Alondra Jiménez Hernández_x000a_  _x000a_ Le informamos que su ticket correspondiente a:_x000a_  _x000a_ Anexo el registro actualizado del certificado del Titular de la Unidad de Transparencia de EXPORTADORA DE SAL para su renovación en la Herramienta de Comunicación._x000a_ _x000a_  _x000a_ Aplicación: HCOM_x000a_ Tipo de Soporte: ACTUALIZACIÓN DE CERTIFICADO _x000a_ Observaciones: _x000a_  _x000a_ Su petición fue atendida" u="1"/>
        <s v="Preparación de pre-requisitos para archive server y Instalación y creación de base de datos sample" u="1"/>
        <s v="Notificación de seguimiento [ MA1601202011 ] _x000a_  _x000a_  _x000a_ Estimado(a): Lizbeth Adriana Cabrera Ortega_x000a_  _x000a_ Le informamos que su ticket correspondiente a:_x000a_  _x000a_ Solcito de su valioso apoyo para modificar la fecha de interposición al día hábil siguiente de los recursos de acceso siguientes:_x000a_ _x000a_ DEBE DECIR 16 DE ENERO_x000a_ _x000a_ 15/01/2020 15/01/2020 22:04 PM Jazmin Serrano Reyes SECRETARÍA DEL TRABAJO Y PREVISIÓN SOCIAL 0001400192619_x000a_ 15/01/2020 15/01/2020 22:21 PM Jazmin Serrano Reyes SECRETARÍA DEL TRABAJO Y PREVISIÓN SOCIAL 0001400199319_x000a_ _x000a_ _x000a_  _x000a_ Aplicación: SIGEMI_x000a_ Tipo de Soporte: ACTUALIZACIÒN DE FECHAS DE INTERPOSICIÒN" u="1"/>
        <s v="Analisis script base de datos proporcionado por el INAI" u="1"/>
        <s v="Validación de usuario y registro de  información. (Yucatán)" u="1"/>
        <s v="Se agregan funcionalidades para compartir busqueda y enviar estadisticos" u="1"/>
        <s v="Se  testan los datos de la solicitud con folio 0000700109721" u="1"/>
        <s v="Continúa el análisis por entidad en consulta directa (Ingreso al sitio, consulta por folio y validación del adjunto)  para tratar de ubicar el método de identificación de adjuntos y proceder con la recuperación de faltantes de los estados con menor numero de faltantes donde no se localizaron un total de ( 3,825 ) adjuntos. " u="1"/>
        <s v="Se da un estilo de acuerdo a los guidelines de apple" u="1"/>
        <s v="Notificación de seguimiento [ MA1601202008 ] _x000a_  _x000a_  _x000a_ Estimado(a): Pedro Esquivel Martínez_x000a_  _x000a_ Le informamos que su ticket correspondiente a:_x000a_  _x000a_ Anexo el registro actualizado del certificado del Titular de la Unidad de Enlace del “Instituto Nacional de Investigaciones Nucleares”. Lo anterior a fin de que sus accesos sean habilitados en los otros sistemas que administra este Instituto (HCOM). CAMBIO DE CERTIFICADO, en cuanto se reciba la atención en HCOM se realizará la actualización de los demás sistemas correspondientes._x000a_ _x000a_  _x000a_ Aplicación: HCOM_x000a_ Tipo de Soporte: CAMBIO DE CERTIFICADO" u="1"/>
        <s v="Se aplica eliminación de formato de pago: 18679000072119" u="1"/>
        <s v="Se aplica eliminación de respuesta al folio: 0064100093620." u="1"/>
        <s v="Elaboración de scripts en los Infomex para obtención de datos en de solicitudes pendientes y revisión de resultados " u="1"/>
        <s v="Notificación de seguimiento  [  MA1303202003 ]  _x000a_ _x000a_ _x000a_Estimado(a):                     Luis Javier Mendoza Rueda_x000a_ _x000a_Le informamos que su ticket correspondiente a:_x000a_               _x000a_solicito su apoyo para realizar corrección en el INFOCDMX/RR.IP.1131/2020, con número de solicitud 3700000017220:_x000a__x000a__x000a_Error en Número de Solicitud: INEXISTENTE_x000a__x000a_Corrección: 3700000017220._x000a__x000a_ _x000a_Aplicación:                  SIGEMI_x000a_Tipo de Soporte:         Corrección de solicitud   _x000a_Observaciones:            _x000a_ _x000a_Su petición fue atendida_x000a_ _x000a__x000a_" u="1"/>
        <s v="Se eliminan pláticas informativas" u="1"/>
        <s v="Notificación de seguimiento  [  MA0206202103 ]_x000a__x000a_Estimado(a):                Edgar Michel Loaeza Martínez_x000a__x000a_ _x000a_ Le informamos que su ticket correspondiente a:_x000a_               _x000a_Por medio del presente solicito su valioso apoyo a efecto de hacer el cambio del Titular de la Unidad de Transparencia de la Secretaría de la Defensa Nacional._x000a__x000a_Para tal efecto, anexo al presente el certificado, nombramiento, lo anterior, a fin de que sus accesos sean habilitados en los sistemas que administra este Instituto (HCOM e INFOMEX).  _x000a__x000a_ _x000a_Aplicación:                  HCOM_x000a_Tipo de Soporte:         Cambio de TUT  _x000a_" u="1"/>
        <s v="Se elimina la respuesta del folio: 0001200213921" u="1"/>
        <s v="Se aplica eliminación de última respuesta de la solicitud: 0063700820820" u="1"/>
        <s v="Actualización de certificados INDIRECTOS DE SHCP" u="1"/>
        <s v="Notificación de seguimiento  [  MA0510202103 ]_x000a__x000a_Estimado(a):                Edgar Michel Loaeza Martínez_x000a__x000a_ _x000a_ Le informamos que su ticket correspondiente a:_x000a_               _x000a_Solicito su apoyo para reestablecer la contraseña del sistema hcom del sujeto obligado denominado Autoridad Educativa Federal en la Ciudad de México_x000a__x000a_Al respecto el sujeto obligado informa que no es posible tener acceso ya que el sistema señala que la contraseña incorrecta._x000a_ _x000a_Aplicación:                  HCOM_x000a_Tipo de Soporte:         CAMBIO DE CONTRASEÑA  _x000a_Observaciones:            _x000a_ _x000a_Su petición fue atendida, se realizó la actualización de contraseña del actual Titular_x000a_ _x000a_ _x000a_" u="1"/>
        <s v="Generación de script para descarga de impugnaciones" u="1"/>
        <s v="Creación de servicios, maquetación y funcionalidades del componente reutilizable doimilio" u="1"/>
        <s v="Notificación de seguimiento  [  MA0411202201 ]_x000a__x000a_Estimado(a):                Abraham Obed Gallardo González_x000a__x000a__x000a_ Le informamos que su ticket correspondiente a:_x000a__x000a_actualizar en el sistema HCOM el certificado de se adjunta con base en la siguiente información:_x000a__x000a_Sujeto Obligado: INMEGEN_x000a_Nombre del TUT: Carlos Calderón Hernández_x000a_Correo electrónico: ccalderon@inmegen.gob.mx_x000a__x000a_Aplicación:                 HCOM_x000a_Tipo de Soporte        CAMBIO DE TUT _x000a_" u="1"/>
        <s v="Se aplica testado de datos al folio:  0064100430021" u="1"/>
        <s v="Ambientación frontend Pizarras 4 con proyecto Angular versión 14" u="1"/>
        <s v="Desarrollo para el testado de solicitud para mostrar las solicitudes terminadas" u="1"/>
        <s v="Pruebas con todos los usuarios y realización de la OT" u="1"/>
        <s v="Se aplica eliminación de formato de pago: 0063700316221" u="1"/>
        <s v="Actualización y pruebas de funcionalidad de campus Civil 3.2" u="1"/>
        <s v="Se  testan los datos del folio:0064101953021" u="1"/>
        <s v="Notificación de seguimiento  [  MA1006202005 ]  _x000a_ _x000a_ _x000a_Estimado(a):                     Alondra Jiménez Hernández_x000a_ _x000a_Le informamos que su ticket correspondiente a:_x000a_               _x000a_Debido al cambio de Titular de la Unidad de Transparencia de BANCO DE MÉXICO (BANXICO) anexo los registros actualizados de los certificados de dicho sujeto obligado y de los sujetos indirectos que coordina para que sean actualizados y se habilite su acceso en la Herramienta de Comunicación de cada uno. Al respecto comento que la Unidad de Transparencia está operando con los certificados genéricos que creo el INAI, y debido al cambio de responsable de transparencia se solicita su actualización._x000a__x000a__x000a_ _x000a_Aplicación:                  HCOM_x000a_Tipo de Soporte:         CAMBIO TUT (3)  _x000a_Observaciones:            _x000a_ _x000a_Su petición fue atendida_x000a_" u="1"/>
        <s v="Creación de cuenta y configuración de admimnistración Transparencia Proactiva" u="1"/>
        <s v="Buenas tardes Alan, te informo que el respaldo de su base de datos de esta semana ya está en el repositorio…   _x000a__x000a__x000a_http://documentos.inai.org.mx/tmp/infomex_tlaxcala_backup_2020-06-01_0800.bak_x000a__x000a__x000a_NOTA: El respaldo estará disponible una semana._x000a_" u="1"/>
        <s v="Buenas tardes Alan, te informo que el respaldo de su base de datos de esta semana ya está en el repositorio…   _x000a__x000a__x000a_http://documentos.inai.org.mx/tmp/infomex_tlaxcala_backup_2020-06-08_0800.bak_x000a__x000a__x000a_NOTA: El respaldo estará disponible una semana._x000a_" u="1"/>
        <s v="Buenas tardes Alan, te informo que el respaldo de su base de datos de esta semana ya está en el repositorio…   _x000a__x000a__x000a_http://documentos.inai.org.mx/tmp/infomex_tlaxcala_backup_2020-06-15_0800.bak_x000a__x000a__x000a_NOTA: El respaldo estará disponible una semana._x000a_" u="1"/>
        <s v="Buenas tardes Alan, te informo que el respaldo de su base de datos de esta semana ya está en el repositorio…   _x000a__x000a__x000a_http://documentos.inai.org.mx/tmp/infomex_tlaxcala_backup_2020-06-22_0800.bak_x000a__x000a__x000a_NOTA: El respaldo estará disponible una semana._x000a_" u="1"/>
        <s v="Implementación de la modificación de Resoluciones Públicas." u="1"/>
        <s v="Buenas tardes Martha, tu petición fue atendida, favor de validar _x000a_ _x000a_ Saludos _x000a_ _x000a_ Marina Adame Velasco_x000a_ _x000a_ Notificación de seguimiento [ MA08012020-02 ] _x000a_ _x000a_ Aplicación: INFOMEX NUEVO LEÒN _x000a_ Tipo de Soporte: Ajuste de plazos _x000a_ Estatus: Concluido." u="1"/>
        <s v="Servicio para Registrar nuevo usuario externo" u="1"/>
        <s v="Notificación de seguimiento  [  MA1702202103 ]  _x000a_ _x000a_ _x000a_Estimado(a):                     Edgar Michel Loaeza Martínez_x000a_ _x000a_ _x000a_Le informamos que su ticket correspondiente a:_x000a_               _x000a_Para tal efecto, anexo al presente el nuevos certificado, lo anterior, a fin de que sus accesos sean habilitados en los sistemas que administra este Instituto._x000a__x000a_DEPENDENCIA/ENTIDAD CLAVE DE SUJETO OBLIGADO TITULAR DE UNIDAD DE ENLACE CORREO ELECTRÓNICO _x000a_Contraseña hcom _x000a_Contraseña infomex_x000a_Secretaría de Seguridad y Protección Ciudadana 00028 Lic. Jorge Antonio Luna Calderón transparencia@sspc.gob.mx_x000a__x000a_hcom2021 _x000a_sisi2021_x000a__x000a_ _x000a_Aplicación:                  HCOM_x000a_Tipo de Soporte:         ACTUALIZACIÓN DE CERTIFICADO   _x000a_" u="1"/>
        <s v="Notificación de seguimiento  [  MA0708202004 ]  _x000a_ _x000a_ _x000a_Estimado(a):                     Edgar Michel Loaeza Martínez_x000a_ _x000a_Le informamos que su ticket correspondiente a:_x000a_               _x000a_alta los certificados que se adjuntan, sujeto obligado del Servicio de Administración Tributaria._x000a_ _x000a_CLAVE DE SUJETO OBLIGADO NOMBRE DEL SUJETO OBLIGADO TITULAR DE UNIDAD DE ENLACE O SUPLENTE DESIGNADO CERTIFICADO ACTUAL CORREO ELECTRÓNICO CONTRASEÑA INFOMEX CONTRASEÑA HCOM_x000a_06103 Fideicomiso para administrar la contraprestación del artículo 16 de la Ley Aduanera LIC. CLAUDIA RIVERA ARRIETA 6103.Claudia.Rivera.Arrieta.cer accesat01@sat.gob.mx_x000a__x000a_sisi06103 hcom06103_x000a_06105 Fideicomiso Programa de Mejoramiento de los medios de informática y control de las Autoridades Aduaneras. LIC. CLAUDIA RIVERA ARRIETA 6105.Claudia.Rivera.Arrieta.cer accesat01@sat.gob.mx_x000a_sisi06105 hcom06105_x000a__x000a_ _x000a_Aplicación:                  HCOM_x000a_Tipo de Soporte:         CAMBIO DE TUT ( 2 )  _x000a_Observaciones:            _x000a_ _x000a_Su petición fue atendida_x000a_" u="1"/>
        <s v="Se  testan los datos del folio:0064101964421" u="1"/>
        <s v="Comprobación y acceso a la base de datos de Oracle" u="1"/>
        <s v="Notificación de seguimiento  [  MA0109202002 ]  _x000a_ _x000a_ _x000a_Estimado(a):                     Pedro Esquivel Martínez_x000a_ _x000a_Le informamos que su ticket correspondiente a:_x000a_               _x000a_por este medio Anexo el registro actualizado del certificado del Titular de la Unidad de Enlace del “Fideicomiso de investigación para el desarrollo del programa de aprovechamiento del atún y protección de delfines y otros en torno a especies acuáticas protegidas”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_x000a_Tipo de Soporte:         CAMBIO DE CERTIFICADO  _x000a_Observaciones:            _x000a_ _x000a_Su petición fue atendida_x000a_" u="1"/>
        <s v="Continúa y concluye el proceso para la extracción de adjuntos del estado de Zacatecas vía http._x000a_Continúa el apoyo en consultas y validación de la información generada con las bases de datos en custodia (casos de diversos estados) en lo referente principalmente a documentación adjunta." u="1"/>
        <s v="Buenas tardes Isaac, tu petición fue atendida, favor de validar _x000a__x000a_Saludos _x000a__x000a_Marina Adame Velasco_x000a__x000a_Notificación de seguimiento  [  MA1408202006 ]  _x000a__x000a_Aplicación:                  INFOMEX OAXACA _x000a_Tipo de Soporte:         AJUSTE DE PLAZOS    _x000a_Estatus:                               Concluido_x000a_" u="1"/>
        <s v="Se  testan los datos del folio:0064101977821" u="1"/>
        <s v="Testado de datos  del folio:  021000063221" u="1"/>
        <s v="_x000a_Buenas tardes Berenice, tu petición fue atendida, favor de validar _x000a__x000a_http://documentos.inai.org.mx/tmp/infomexOAX_backup_2020-10-01_1045.bak_x000a__x000a__x000a_Saludos _x000a__x000a_Marina Adame Velasco_x000a__x000a_Notificación de seguimiento  [  MA0110202003 ]  _x000a__x000a_Aplicación:                  INFOMEX OAXACA_x000a_Tipo de Soporte:         RESPALDO BD   _x000a_Estatus:                               Concluido._x000a_" u="1"/>
        <s v="Avance Template Pagina Principal" u="1"/>
        <s v="Se cambia el tipo de solicitud del folio: 0064103365220" u="1"/>
        <s v="Implementación de la búsqueda y despliegue de Subtemas para su borrado y/o modificación." u="1"/>
        <s v="Notificación de seguimiento  [  MA0305202111 ]  _x000a_ _x000a_ _x000a_Estimado(a):                     Laura Mónica Segovia Tellez_x000a_ _x000a_ _x000a_Le informamos que su ticket correspondiente a:_x000a_               _x000a_solicito su amable apoyo para que sea eliminado el paso de notificación de audiencia, y que se regrese el paso del acuerdo de ampliación para que sea notificado nuevamente._x000a_ _x000a_Aplicación:                  SIGEMI_x000a_Tipo de Soporte:         ELIMINAR AMPLIACION   _x000a_Observaciones:            _x000a_ _x000a_Su petición fue atendida_x000a_ _x000a_  _x000a_            Favor de validar._x000a_ _x000a_Estatus:                               Concluido._x000a_" u="1"/>
        <s v="Se cambia el tipo de solicitud del folio: 0001200038721" u="1"/>
        <s v="Seccion 25 UT" u="1"/>
        <s v="Se aplica cambio de modalidad de la solicitud: 0000400284920" u="1"/>
        <s v="Instalación y pruebas de funcionalidad de campus Público 2.1" u="1"/>
        <s v="Script BD para activar usuario Enrique Sibaja" u="1"/>
        <s v="Respaldar Curso 2 de un minuto  de la plataforma anterior y restaurar en plataforma actual " u="1"/>
        <s v="_x000a_Buenos días Guillermo, tu petición fue atendida, favor de validar _x000a__x000a_Saludos _x000a__x000a_Marina Adame Velasco_x000a__x000a_Notificación de seguimiento  [  MA1310202003 ]  _x000a__x000a_Aplicación:                  INFOMEX BCN_x000a_Tipo de Soporte:         REPORTE   _x000a_Estatus:                               Concluido._x000a__x000a__x000a_" u="1"/>
        <s v="Notificación de seguimiento  [  MA2311202007 ]  _x000a_ _x000a_ _x000a_Estimado(a):                     Pedro Esquivel Martínez_x000a_ _x000a_ _x000a_Le informamos que su ticket correspondiente a:_x000a_               _x000a_cambio de Titular, anexo el registro actualizado del certificado del Titular de la Unidad de Enlace del  “Comisión Nacional de los Salarios Mínimos” Lo Anterior a fin de que sus accesos sean habilitados en los otros sistemas que administra este Instituto (HCOM).  CAMBIO DE TITULAR, en cuanto se reciba la atención en HCOM se realizará la actualización de los demás sistemas correspondientes._x000a_ _x000a_Aplicación:                  HCOM_x000a_Tipo de Soporte:         CAMBIO TUT   _x000a_Observaciones:            _x000a_ _x000a_Su petición fue atendida_x000a_ _x000a_  _x000a_" u="1"/>
        <s v="Se  testan los datos del folio: 0002700155421" u="1"/>
        <s v="Descarga de solicitudes" u="1"/>
        <s v="Notificación de seguimiento  [  MA1108202201 ]_x000a__x000a__x000a_Estimado(a):               Abraham Obed Gallardo González_x000a_ Le informamos que su ticket correspondiente a:_x000a__x000a_Con el gusto de saludarles y en espera de que todo marche bien, por instrucciones del Lic. Pedro González Benítez, Director General, por este medio Anexo el registro actualizado del certificado del Titular de la Unidad de Transparencia del INFONACOT.  _x000a_ _x000a_Lo Anterior, a fin de que sus accesos sean habilitados en los sistemas que administra este Instituto (HCOM).  CAMBIO DE TITULAR. En cuanto se reciba la atención en HCOM se realizará la actualización de los demás sistemas correspondientes._x000a__x000a__x000a_Aplicación:                  HCOM_x000a_Tipo de Soporte:        CAMBIO DE TUT _x000a_Observaciones:          La contraseña asignada es HCOM2022" u="1"/>
        <s v="Se aplica cambio de modalidad a las solicitudes: 0001100073020 y 0001100091420." u="1"/>
        <s v="Se aplica eliminación de formato de pago: 0063700728820" u="1"/>
        <s v="Notificación de seguimiento  [  MA1708202110 ]_x000a__x000a_Estimado(a):                María Angélica Valdez Islas_x000a__x000a_ _x000a_ Le informamos que su ticket correspondiente a:_x000a_               _x000a_por este medio Anexo el registro actualizado del certificado del Titular de la Unidad de Enlace de la “PROCURADURÍA AGRARIA”.  Lo Anterior a fin de que sus accesos sean habilitados en los otros sistemas que administra este Instituto (HCOM).  CAMBIO DE  TITULAR, en cuanto se reciba la atención en HCOM se realizará la actualización de los demás sistemas correspondientes._x000a__x000a_ _x000a_Aplicación:                  HCOM          _x000a_Tipo de Soporte:         CAMBIO DE TUT   _x000a_Observaciones:            _x000a_ _x000a_Su petición fue atendida_x000a_  _x000a_" u="1"/>
        <s v="Revisión de código y prueba de conexión al ambiente de desarrollo" u="1"/>
        <s v="Notificación de seguimiento  [  MA2110202002 ]  _x000a_ _x000a_ _x000a_Estimado(a):                     Berenice Hernández Sumano_x000a_ _x000a_Le informamos que su ticket correspondiente a:_x000a_               _x000a_Por este medio solicito su apoyo para poder aplicar las afectaciones a las fechas:  Entrega de información relacionada con el Cumplimiento y Entrega de Alegatos y manifestaciones, de los recursos señalados en el archivo adjunto. Toda vez que el Consejo General aprobará en su Décima Octava Sesión Ordinaria celebrada el día 15 de octubre, el Acuerdo ACDO/CG/IAIP/023/2020, por el cual el Consejo General del Instituto de Acceso a la Información Pública y Protección de Datos Personales, mantiene la suspensión de plazos en los procedimientos para la tramitación de solicitudes de acceso a la información y/o protección de datos personales y recursos de revisión, que no estén relacionados con información de la emergencia sanitaria generada por el virus sars-cov2 (covid-19), el sismo registrado el 23 de junio del 2020, los programas sociales derivados de la emergencia sanitaria y la información relacionada con los procesos de licitación, hasta el tres de noviembre del dos mil veinte._x000a_http://iaipoaxaca.org.mx/site/descargas/acuerdos/ACUERDO_SUSPENSI%C3%93N_DE_PLAZOS_CONTINGENCIA_SANITARIA_03-11-2020.pdf_x000a__x000a_Asimismo solicitó pueda liberarse la actividad de cumplimiento en el perfil de los sujetos obligados ya que desde SICOM esta actividad se cierra cuando vence el plazo de 10 días y la actividad de entrega de alegatos que vence en un plazo de 7 días._x000a_ _x000a_Aplicación:                  SIGEMI_x000a_Tipo de Soporte:         AJUSTE DE FECHAS   _x000a_Observaciones:            _x000a_ _x000a_Su petición fue atendida_x000a_" u="1"/>
        <s v="Continúa y concluye el proceso para la extracción de adjuntos del estado de Guanajuato vía http. Falta identificar los no recuperados de la bitácora._x000a_Continúa el apoyo en consultas y validación de la información generada con las bases de datos en custodia (casos de diversos estados) en lo referente principalmente a documentación adjunta._x000a_" u="1"/>
        <s v="Análisis, diseño y Desarrollo en el módulo de administración de descarga de información de SISAI de la funcionalidad para la descarga de adjuntos de la solicitud y adjuntos de las respuestas, considerando la configuración y el estatus en el tracking de la misma" u="1"/>
        <s v="Se genera certificado para usuario del Fondo de Capitalización e Inversión del Sector Rural" u="1"/>
        <s v="funcionalidad del mantenimiento de Bitacora " u="1"/>
        <s v="Se sustituye archivo adjunto  del folio: 22103000022621" u="1"/>
        <s v="Se aplica el cambio de modalidad a la solicitud: 0063700044820" u="1"/>
        <s v="Se agrega funcionalidad para mostrar contraseña cuando se escribe en login y registro" u="1"/>
        <s v="Se  testan los datos del folio: 0063700349021" u="1"/>
        <s v="Se aplica eliminación de respuesta al folio: 0681000018320" u="1"/>
        <s v="Se aplica eliminación de formato de pago: 0063700581819" u="1"/>
        <s v="Hola Berenice, ya se subió el respaldo de su base de datos de esta semana…_x000a__x000a__x000a_http://documentos.inai.org.mx/tmp/infomexOAX_backup_2020-10-05_0800.bak_x000a__x000a__x000a_NOTA: El respaldo estará disponible una semana  _x000a_ _x000a_ _x000a_Saludos_x000a__x000a_                                                                                                                                                                            _x000a_Marina Adame Velasco_x000a_ _x000a_                                                                                                                                                                                                             _x000a_" u="1"/>
        <s v="Hola Berenice, ya se subió el respaldo de su base de datos de esta semana…_x000a__x000a__x000a_http://documentos.inai.org.mx/tmp/infomexOAX_backup_2020-10-12_0800.bak_x000a__x000a__x000a_NOTA: El respaldo estará disponible una semana  _x000a_ _x000a_ _x000a_Saludos_x000a__x000a_                                                                                                                                                                            _x000a_Marina Adame Velasco_x000a_ _x000a_                                                                                                                                                                                                             _x000a_" u="1"/>
        <s v="Hola Berenice, ya se subió el respaldo de su base de datos de esta semana…_x000a__x000a__x000a_http://documentos.inai.org.mx/tmp/infomexOAX_backup_2020-10-19_0800.bak_x000a__x000a__x000a_NOTA: El respaldo estará disponible una semana  _x000a_ _x000a_ _x000a_Saludos_x000a__x000a_                                                                                                                                                                            _x000a_Marina Adame Velasco_x000a_ _x000a_                                                                                                                                                                                                             _x000a_" u="1"/>
        <s v="Hola Berenice, ya se subió el respaldo de su base de datos de esta semana…_x000a__x000a__x000a_http://documentos.inai.org.mx/tmp/infomexOAX_backup_2020-10-26_0800.bak_x000a__x000a__x000a_NOTA: El respaldo estará disponible una semana  _x000a_ _x000a_ _x000a_Saludos_x000a__x000a_                                                                                                                                                                            _x000a_Marina Adame Velasco_x000a_ _x000a_                                                                                                                                                                                                             _x000a_" u="1"/>
        <s v="Hola Berenice, ya se subió el respaldo de su base de datos de esta semana…_x000a__x000a__x000a_http://documentos.inai.org.mx/tmp/infomexOAX_backup_2020-11-02_0800.bak_x000a__x000a__x000a_NOTA: El respaldo estará disponible una semana  _x000a_ _x000a_ _x000a_Saludos_x000a__x000a_                                                                                                                                                                            _x000a_Marina Adame Velasco_x000a_ _x000a_                                                                                                                                                                                                             _x000a_" u="1"/>
        <s v="Hola Berenice, ya se subió el respaldo de su base de datos de esta semana…_x000a__x000a__x000a_http://documentos.inai.org.mx/tmp/infomexOAX_backup_2020-11-09_0800.bak_x000a__x000a__x000a_NOTA: El respaldo estará disponible una semana  _x000a_ _x000a_ _x000a_Saludos_x000a__x000a_                                                                                                                                                                            _x000a_Marina Adame Velasco_x000a_ _x000a_                                                                                                                                                                                                             _x000a_" u="1"/>
        <s v="Hola Berenice, ya se subió el respaldo de su base de datos de esta semana…_x000a__x000a__x000a_http://documentos.inai.org.mx/tmp/infomexOAX_backup_2020-11-16_0800.bak_x000a__x000a__x000a_NOTA: El respaldo estará disponible una semana  _x000a_ _x000a_ _x000a_Saludos_x000a__x000a_                                                                                                                                                                            _x000a_Marina Adame Velasco_x000a_ _x000a_                                                                                                                                                                                                             _x000a_" u="1"/>
        <s v="Hola Berenice, ya se subió el respaldo de su base de datos de esta semana…_x000a__x000a__x000a_http://documentos.inai.org.mx/tmp/infomexOAX_backup_2020-11-23_0800.bak_x000a__x000a__x000a_NOTA: El respaldo estará disponible una semana  _x000a_ _x000a_ _x000a_Saludos_x000a__x000a_                                                                                                                                                                            _x000a_Marina Adame Velasco_x000a_ _x000a_                                                                                                                                                                                                             _x000a_" u="1"/>
        <s v="Documentación para cambio en producción" u="1"/>
        <s v="Buenas tardes Alan, te informo que el respaldo de su base de datos de esta semana ya está en el repositorio…   _x000a__x000a__x000a_http://documentos.inai.org.mx/tmp/infomex_tlaxcala_backup_2020-07-06_0800.bak_x000a__x000a__x000a_NOTA: El respaldo estará disponible una semana._x000a__x000a_" u="1"/>
        <s v="Buenas tardes Alan, te informo que el respaldo de su base de datos de esta semana ya está en el repositorio…   _x000a__x000a__x000a_http://documentos.inai.org.mx/tmp/infomex_tlaxcala_backup_2020-07-13_0800.bak_x000a__x000a__x000a_NOTA: El respaldo estará disponible una semana._x000a__x000a_" u="1"/>
        <s v="Buenas tardes Alan, te informo que el respaldo de su base de datos de esta semana ya está en el repositorio…   _x000a__x000a__x000a_http://documentos.inai.org.mx/tmp/infomex_tlaxcala_backup_2020-07-20_0800.bak_x000a__x000a__x000a_NOTA: El respaldo estará disponible una semana._x000a__x000a_" u="1"/>
        <s v="Buenas tardes Alan, te informo que el respaldo de su base de datos de esta semana ya está en el repositorio…   _x000a__x000a__x000a_http://documentos.inai.org.mx/tmp/infomex_tlaxcala_backup_2020-07-27_0800.bak_x000a__x000a__x000a_NOTA: El respaldo estará disponible una semana._x000a__x000a_" u="1"/>
        <s v="Buenas tardes Alan, te informo que el respaldo de su base de datos de esta semana ya está en el repositorio…   _x000a__x000a__x000a_http://documentos.inai.org.mx/tmp/infomex_tlaxcala_backup_2020-08-03_0800.bak_x000a__x000a__x000a_NOTA: El respaldo estará disponible una semana._x000a__x000a_" u="1"/>
        <s v="Buenas tardes Alan, te informo que el respaldo de su base de datos de esta semana ya está en el repositorio…   _x000a__x000a__x000a_http://documentos.inai.org.mx/tmp/infomex_tlaxcala_backup_2020-08-10_0800.bak_x000a__x000a__x000a_NOTA: El respaldo estará disponible una semana._x000a__x000a_" u="1"/>
        <s v="Buenas tardes Alan, te informo que el respaldo de su base de datos de esta semana ya está en el repositorio…   _x000a__x000a__x000a_http://documentos.inai.org.mx/tmp/infomex_tlaxcala_backup_2020-08-24_0800.bak_x000a__x000a__x000a_NOTA: El respaldo estará disponible una semana._x000a__x000a_" u="1"/>
        <s v="Buenas tardes Alan, te informo que el respaldo de su base de datos de esta semana ya está en el repositorio…   _x000a__x000a__x000a_http://documentos.inai.org.mx/tmp/infomex_tlaxcala_backup_2020-08-31_0800.bak_x000a__x000a__x000a_NOTA: El respaldo estará disponible una semana._x000a__x000a_" u="1"/>
        <s v="Buenas tardes Alan, te informo que el respaldo de su base de datos de esta semana ya está en el repositorio…   _x000a__x000a__x000a_http://documentos.inai.org.mx/tmp/infomex_tlaxcala_backup_2020-09-07_0800.bak_x000a__x000a__x000a_NOTA: El respaldo estará disponible una semana._x000a__x000a_" u="1"/>
        <s v="Buenas tardes Alan, te informo que el respaldo de su base de datos de esta semana ya está en el repositorio…   _x000a__x000a__x000a_http://documentos.inai.org.mx/tmp/infomex_tlaxcala_backup_2020-09-14_0800.bak_x000a__x000a__x000a_NOTA: El respaldo estará disponible una semana._x000a__x000a_" u="1"/>
        <s v="Buenas tardes Alan, te informo que el respaldo de su base de datos de esta semana ya está en el repositorio…   _x000a__x000a__x000a_http://documentos.inai.org.mx/tmp/infomex_tlaxcala_backup_2020-09-21_0800.bak_x000a__x000a__x000a_NOTA: El respaldo estará disponible una semana._x000a__x000a_" u="1"/>
        <s v="Buenas tardes Alan, te informo que el respaldo de su base de datos de esta semana ya está en el repositorio…   _x000a__x000a__x000a_http://documentos.inai.org.mx/tmp/infomex_tlaxcala_backup_2020-09-28_0800.bak_x000a__x000a__x000a_NOTA: El respaldo estará disponible una semana._x000a__x000a_" u="1"/>
        <s v="Desarrollo y pruebas en el proceso de migración del BUS de servicios para el manejo de los códigos de errores y manejo de excepciones en el flujo completo desde la petición por parte del job PL, hasta el consumo de los webservices en los infomex" u="1"/>
        <s v="Se  testan  los datos y se sustituye el archivo  del folio: 1117100065121" u="1"/>
        <s v="Notificación de seguimiento  [  MA0604202002 ]  _x000a_ _x000a_ _x000a_Estimado(a):                     Tiara Gethsemanni Miranda Fuentes_x000a_ _x000a_Le informamos que su ticket correspondiente a:_x000a_               _x000a__x000a_Por medio de presente, solicito de la manera más atenta, su apoyo para retroceder los pasos en el sistema SIGEMI-SICOM en la PNT del asunto que se enlista a continuación; hasta la actividad “Registrar información de la sesión del pleno”; sin más por el momento, quedo en espera de sus comentarios._x000a__x000a_RRA-RCRD 02677/20._x000a__x000a_ _x000a_Aplicación:                  SIGEMI_x000a_Tipo de Soporte:         REGRESO DE PASOS  _x000a_Observaciones:            _x000a_ _x000a_Su petición fue atendida_x000a_ _x000a__x000a_" u="1"/>
        <s v="Reinstalación campus público en desarrollo" u="1"/>
        <s v="Se  testan los datos del folio: 0064102032721" u="1"/>
        <s v="Se ajusto la fecha para solicitudes del IMSS,626 solicitudes" u="1"/>
        <s v="Notificación de seguimiento  [  MA280420218 ]  _x000a_ _x000a_ _x000a_Estimado(a):                     Alondra Jiménez Hernández_x000a_ _x000a_ _x000a_Le informamos que su ticket correspondiente a:_x000a_               _x000a_Anexo el registro actualizado del certificado del Titular de la Unidad de Transparencia de TELEVISION METROPOLITANA, S.A. DE C.V. para su renovación en la HCOM._x000a_ _x000a_Aplicación:                  HCOM_x000a_Tipo de Soporte:         RENOVACION DE CERTIFICADO   _x000a_Observaciones:            _x000a_ _x000a_Su petición fue atendida_x000a_ _x000a_  _x000a_            Favor de validar._x000a_ _x000a_Estatus:                               Concluido._x000a_" u="1"/>
        <s v="Se ajusta semáforo y fecha del folio: 0063700110321" u="1"/>
        <s v="Se crea nuevo portlet para administración PNT" u="1"/>
        <s v="Corrección de errores en producción campus civil" u="1"/>
        <s v="Se aplica el cambio de modalidad de la solicitud: 0001100093420." u="1"/>
        <s v="Desarrollo de componentes" u="1"/>
        <s v="Notificación de seguimiento  [  MA1009202006 ]  _x000a_ _x000a_ Estimado(a):                     Mariana Aguila Jimenez_x000a_ _x000a_Le informamos que su ticket correspondiente a:_x000a_               _x000a_Solicito su amable apoyo a fin de que sea regresado el paso del recurso de revisión RRA 7303/19  al paso admitir/prevenir/desechar_x000a_ En relación con el recurso de revisión RRA 09004/20 vs SEPOMEX el recurrente  señaló como medio de notificación “personalmente o a través de su representante, en el domicilio del organismo garante de la entidad”, no obstante  se solicita su valioso apoyo a efecto de que en la Plataforma Nacional de Transparencia (PNT) se cambie el medio de notificación del recurrente a correo electrónico ya que proporcionó su correo de igual manera, a efecto de que SE REALICEN las notificaciones correspondientes._x000a_ _x000a_Aplicación:                  SIGEMI_x000a_Tipo de Soporte:         CAMBIO DE MEDIO   _x000a_Observaciones:            _x000a_ _x000a_Su petición fue atendida_x000a_" u="1"/>
        <s v="Notificación de seguimiento  [  MA0808202204 ]_x000a__x000a__x000a_Estimado(a):               Abraham Obed Gallardo González_x000a_ Le informamos que su ticket correspondiente a:_x000a__x000a_…por este medio Anexo el registro actualizado del certificado del Titular de la Unidad de Transparencia de la FND.  _x000a__x000a__x000a_Aplicación:                  HCOM_x000a_Tipo de Soporte:        RENOVACIÓN DE CERTIFICADO _x000a_" u="1"/>
        <s v="Buenas tardes Berenice , tu petición fue atendida, favor de validar _x000a__x000a_Saludos _x000a__x000a_Marina Adame Velasco_x000a__x000a_Notificación de seguimiento  [  MA0306202003 ]  _x000a__x000a_Aplicación:                  INFOMEX OAXACA_x000a_Tipo de Soporte:         Ajuste de plazos    _x000a_Estatus:                               Concluido._x000a__x000a_" u="1"/>
        <s v="Buenas tardes Berenice, tu petición fue atendida, favor de validar _x000a__x000a_Saludos _x000a__x000a_Marina Adame Velasco_x000a__x000a_Notificación de seguimiento  [  MA1106202003 ]  _x000a__x000a_Aplicación:                  INFOMEX OAXACA_x000a_Tipo de Soporte:         AJUSTES DE PLAZOS    _x000a_Estatus:                               Concluido._x000a__x000a_" u="1"/>
        <s v="Se aplica eliminación de formato de pago: 0064100795921" u="1"/>
        <s v="Hola Alejandra, adjunto el reporte_x000a__x000a_Saludos _x000a__x000a_Marina Adame_x000a_" u="1"/>
        <s v="Notificación de seguimiento [ MA2301202001 ] _x000a_  _x000a_  _x000a_ Estimado(a): David Mendoza Oliva_x000a_  _x000a_ Le informamos que su ticket correspondiente a:_x000a_  _x000a_ Te remito los recursos que pide PEMEX se realicen los ajustes a los calendarios de las actividades pendientes de los recursos de revisión que enlista Pemex._x000a_  _x000a_ Adicionando los siguientes:_x000a_  _x000a_ • RRA 13837/19 vs PEMEX TI. _x000a_ • RRA 15321/19 vs PEMEX. _x000a_ _x000a_  _x000a_ Aplicación: SIGEMI_x000a_ Tipo de Soporte: CAMBIO DE ESTATUS _x000a_ Observaciones: _x000a_  _x000a_ Su petición fue atendida, se activo el ENVIO DE ALEGATOS en ambos recursos, es importante mencionar que dicha actividad estará abierta hasta las 6 p.m del día de hoy. _x000a_ _x000a_  _x000a_  Favor de validar._x000a_  _x000a_ Estatus: Concluido." u="1"/>
        <s v="Se elimina la respuesta del folio: 00006000232421" u="1"/>
        <s v="Se revisaron y analizaron los docuentos compartidos para enviar los sitios a que se den de alta" u="1"/>
        <s v="Se aplica el cambio de modalidad a la solicitud: 1857200014120." u="1"/>
        <s v="Se realiza el proceso de búsqueda de adjuntos en los infomex estatales consultando folio a folio,  tratando de ubicar los faltantes de recuperar. Consulta y procesos del Estado de  Guanajuato donde la lectura fue satisfactoria y se inician análisis de recuperación de información." u="1"/>
        <s v="Notificación de seguimiento  [  MA0502202002 ]  _x000a_ _x000a_ _x000a_Estimado(a):                     Lizbeth Adriana Cabrera Ortega_x000a_ _x000a_Le informamos que su ticket correspondiente a:_x000a_               _x000a_Solicito tu apoyo ya que realice el turno del recurso RRD 232/20 CUYO CONSECUTIVO CORRESPONDÍA AL COMISIONADO FJAL._x000a_ _x000a_No obstante la herramienta no me efectuó el cambio de comisionado y turnó el recurso al Comisionado JSS, amén que el 231 también se efectuó a dicho comisionado._x000a_ _x000a_Te comento que no se ha remitido a la ponencia._x000a_ _x000a_Por tanto agradezco si se retrotrae o se modifica el turno al comisionado Salas, como tú me indiques._x000a__x000a_ _x000a_Aplicación:                  SIGEMI_x000a_Tipo de Soporte:         Cambio de comisionado  _x000a_" u="1"/>
        <s v="Realización de integracion de cambios y pruebas _x000a_Integrales y pase de conocimiento" u="1"/>
        <s v="Gestión de información acotada para valoración" u="1"/>
        <s v="Atencion a observaciones" u="1"/>
        <s v="Notificación de seguimiento  [  MA2411202003 ]  _x000a_ _x000a_ _x000a_Estimado(a):                     Lizbeth Adriana Cabrera Ortega_x000a_ _x000a_ _x000a_Le informamos que su ticket correspondiente a:_x000a_               _x000a_me permito solicitar tu valioso apoyo respecto de la generación UN EXPEDIENTE del recurso de revisión posteriormente citado._x000a_ _x000a_Asimismo, te comento que NO DEBERÁ CAMBIAR el sujeto obligado, ni el Comisionado correspondiente. _x000a_ _x000a_ DICE                                        DEBE DECIR                         SUJETO OBLIGADO           PONENTE_x000a_RRA 13199/20 RRA 7168/19- BIS CENTRO NACIONAL DE INTELIGENCIA. BLIC_x000a_ _x000a_No omito comentarte que el número de expediente que deberá seguir en el consecutivo por turnar en PNT debe ser el RRA 13199/20_x000a_ _x000a_ _x000a_Aplicación:                  SIGEMI_x000a_Tipo de Soporte:         CAMBIO A BIS _x000a_Observaciones:            _x000a_ _x000a_Su petición fue atendida_x000a_" u="1"/>
        <s v="Notificación de seguimiento  [  MA2809202007 ]  _x000a_ _x000a_ _x000a_Estimado(a):                     Pedro Esquivel Martínez_x000a_ _x000a_Le informamos que su ticket correspondiente a:_x000a_               _x000a__x000a_Con el gusto de saludarte y por este medio solicito tu valioso apoyo con el acceso a la Herramienta de Comunicación HCOM para el S.O. &quot;Fondo sectorial de investigación Secretaría de Relaciones Exteriores&quot; a cargo del CONACYT, ya que al seleccionar el certificado y contraseña arroja el error de password incorrecto;_x000a__x000a_11566 CONACYT F55 Fondo sectorial de investigación Secretaría de Relaciones Exteriores Raymundo Espinoza Hernández 11566.Raymundo Espinoza Hernández SISI11566 HCOM11566 http://ueapf.org.mx_x000a_http://herrcom.ifai.org.mx_x000a__x000a__x000a_ _x000a_Aplicación:                  HCOM_x000a_Tipo de Soporte:         ACTUALIZACIÓN DE CONTRASEÑA  _x000a_Observaciones:            _x000a_ _x000a_Su petición fue atendida_x000a_" u="1"/>
        <s v="Buenas tardes Guillermo , tu petición fue atendida, favor de validar _x000a__x000a_Saludos _x000a__x000a_Marina Adame Velasco_x000a__x000a_Notificación de seguimiento  [  MA0306202001 ]  _x000a__x000a_Aplicación:                  INFOMEX BCN_x000a_Tipo de Soporte:         Ajuste de plazos    _x000a_Estatus:                               Concluido._x000a__x000a_" u="1"/>
        <s v="Buenas tardes Guillermo, tu petición fue atendida, favor de validar _x000a__x000a_Saludos _x000a__x000a_Marina Adame Velasco_x000a__x000a_Notificación de seguimiento  [  MA0107202009 ]  _x000a__x000a_Aplicación:                  INFOMEX BCN _x000a_Tipo de Soporte:         AJUSTE DE PLAZOS    _x000a_Estatus:                               Concluido._x000a__x000a_" u="1"/>
        <s v="Buenas tardes Guillermo, tu petición fue atendida, favor de validar _x000a__x000a_Saludos _x000a__x000a_Marina Adame Velasco_x000a__x000a_Notificación de seguimiento  [  MA0408202005 ]  _x000a__x000a_Aplicación:                  INFOMEX BCN _x000a_Tipo de Soporte:         AJUSTE DE PLAZOS    _x000a_Estatus:                               Concluido._x000a__x000a_" u="1"/>
        <s v="Buenas tardes Guillermo, tu petición fue atendida, favor de validar _x000a__x000a_Saludos _x000a__x000a_Marina Adame Velasco_x000a__x000a_Notificación de seguimiento  [  MA1205202001 ]  _x000a__x000a_Aplicación:                  INFOMEX BCN _x000a_Tipo de Soporte:         Ajuste de plazos    _x000a_Estatus:                               Concluido._x000a__x000a_" u="1"/>
        <s v="Respaldar Curso 1  de la plataforma anterior y restaurar en plataforma actual " u="1"/>
        <s v="Se aplica eliminación de formato de pago: 0064102140021" u="1"/>
        <s v="Buenas tardes Martha, tu petición fue atendida, favor de validar _x000a__x000a_Saludos _x000a__x000a_Marina Adame Velasco_x000a__x000a_Notificación de seguimiento  [  MA0107202011 ]  _x000a__x000a_Aplicación:                  INFOMEX NUEVO LEÓN _x000a_Tipo de Soporte:         AJUSTE DE PLAZOS    _x000a_Estatus:                               Concluido._x000a__x000a_" u="1"/>
        <s v="Buenas tardes Martha, tu petición fue atendida, favor de validar _x000a__x000a_Saludos _x000a__x000a_Marina Adame Velasco_x000a__x000a_Notificación de seguimiento  [  MA1106202004 ]  _x000a__x000a_Aplicación:                  INFOMEX NUEVO LEÓN _x000a_Tipo de Soporte:         AJUSTE DE PLAZOS    _x000a_Estatus:                               Concluido._x000a__x000a_" u="1"/>
        <s v="Buenas tardes Martha, tu petición fue atendida, favor de validar _x000a__x000a_Saludos _x000a__x000a_Marina Adame Velasco_x000a__x000a_Notificación de seguimiento  [  MA1506202003 ]  _x000a__x000a_Aplicación:                  INFOMEX NUEVO LEÓN _x000a_Tipo de Soporte:         AJUSTE DE PLAZOS    _x000a_Estatus:                               Concluido._x000a__x000a_" u="1"/>
        <s v="Buenas tardes Martha, tu petición fue atendida, favor de validar _x000a__x000a_Saludos _x000a__x000a_Marina Adame Velasco_x000a__x000a_Notificación de seguimiento  [  MA3006202007 ]  _x000a__x000a_Aplicación:                  INFOMEX NUEVO LEÓN_x000a__x000a_Tipo de Soporte:         AJUSTE DE PLAZOS_x000a_   _x000a_Estatus:                               Concluido._x000a__x000a_" u="1"/>
        <s v="Se aplica el cambio de modalidad para el folio: 0673800007520 ." u="1"/>
        <s v="Conexión de API de facebook para obtener información del usaurio logueado de facebook" u="1"/>
        <s v="Notificación de seguimiento  [  MA2601202106 ]  _x000a_ _x000a_ _x000a_Estimado(a):                     Pedro Esquivel Martínez_x000a_ _x000a_ _x000a_Le informamos que su ticket correspondiente a:_x000a_               _x000a_Por medio del presente solicito su valioso apoyo a efecto de realizar la sustitución de certificado de los sujetos obligado denominado Instituto Nacional de Antropología e Historia en el hcom._x000a__x000a_Lo anterior, en virtud de que el certificado que se encuentra actualmente dado de alta ya expiró. _x000a__x000a_Para tal efecto, anexo al presente el nuevo certificado, lo anterior, a fin de que sus accesos sean habilitados en los sistemas que administra este Instituto._x000a_ _x000a_Aplicación:                  HCOM_x000a_Tipo de Soporte:         ACTUALIZACION DE CERTIFICADO  _x000a_" u="1"/>
        <s v="Analizar los documentos proporcionados por el INAI" u="1"/>
        <s v="Se cambia el tipo de solicitud del folio: 0001200311821." u="1"/>
        <s v="Se sustituye archivo adjunto  del folio:  0673800015121" u="1"/>
        <s v="Adecuar servicios ya existentes de SISAI, en respuesta a los cambios aplicados en la generación de acuses y descarga de archivos adjuntos" u="1"/>
        <s v="Se aplica testado de datos al folio: 0064100078121" u="1"/>
        <s v="Se aplica testado de datos personales: 0064100272420." u="1"/>
        <s v="Se cambió el tipo de solicitud del folio:  0001100046121" u="1"/>
        <s v="Se localiza solicitudes en proceso para la dependencia: CONSEJO DE PROMOCIÓN TURÍSTICA DE MÉXICO S.A. DE C.V." u="1"/>
        <s v="Se eliminan dos última respuestas a los folios: 1026500022320 y 1026500022420." u="1"/>
        <s v="Respaldar Curso 1 de Miscelánea INAI  de la plataforma anterior y restaurar en plataforma actual " u="1"/>
        <s v="Notificación de seguimiento  [  MA0107202006 ]  _x000a_ _x000a_ _x000a_Estimado(a):                     Ricardo Marin González_x000a_ _x000a_Le informamos que su ticket correspondiente a:_x000a_               _x000a_“EN ESTE MISMO SENTIDO, COMUNICARLES QUE SE HA CONFIGURADO EL CALENDARIO DEL SIGEMI-SICOM CON LOS DÍAS QUE EL PLENO ESTABLECIÓ EN EL ACUERDO REFERIDO, PARA QUE SE PROCEDA A REALIZAR LOS AJUSTES CORRESPONDIENTES POR SU PARTE.  DE IGUAL MANERA QUE EL CALENDARIO DE DÍAS INHÁBILES DEL SISTEMA INFOMEX QUINTANA ROO, HA SIDO CONFIGURADO CON ESTAS CONSIDERACIONES. CABE ACLARAR QUE TAMBIÉN SE APLICÓ EL PERÍODO VACIONAL DEL ÓRGANO GARÁNTE QUE SERÁ DEL 20 AL 31 DE JULIO, PARA SER CONSIDERADO EN SU CASO._x000a_”_x000a__x000a_ _x000a_Aplicación:                  SIGEMI_x000a_Tipo de Soporte:         revisión de fechas  _x000a_" u="1"/>
        <s v="Se consultan datos del folio: 0120000019721" u="1"/>
        <s v="Notificación de seguimiento  [  MA1002202010 ]  _x000a_ _x000a_ _x000a_Estimado(a):                     Brayan Román Martínez Lara_x000a_ _x000a_Le informamos que su ticket correspondiente a:_x000a_               _x000a_En relación al recurso de revisión RRA 00763/20 previamente ya se había cargado el Acuerdo de Desechamiento, derivado de que se realizó una prevención a este recurso, sin embargo, la misma no fue desahoga motivo por el cual se dio paso a realizar el desechamiento correspondiente._x000a__x000a_Empero, después de haber cargado el desechamiento se detectó un error dentro del acuerdo, mismo que la Secretaría Técnica nos hizo saber para ser corregido, es por ello que se pide de su ayuda para que el recurso de revisión RRA 00763/20 sea regresado únicamente al paso que corresponde a notificar que la prevención no fue desahogada o al paso referido a cargar el Acuerdo de Desechamiento correcto._x000a__x000a_ _x000a_Aplicación:                  SIGEMI_x000a_Tipo de Soporte:         REGRESO DE PASOS  _x000a_" u="1"/>
        <s v="Se corrige excepcion null al realizar cambios en los datos de tipo de persona en perfil" u="1"/>
        <s v="Borrar las opciones de búsqueda para los formularios de “Mis Solicitudes”, “Mis quejas” y búsquedas de folios y quejas en las opciones del buscador._x000a_Cuando se registra un usuario por primera vez; no se debe permitir registrar inmediatamente  una solicitud, no sin antes haber completado su perfil." u="1"/>
        <s v="Verificación de procesos y flujo de pizarras 4" u="1"/>
        <s v="Generación de script para la descompresión de archivos" u="1"/>
        <s v="Buenos días Guillermo, tu petición fue atendida, favor de validar _x000a__x000a_Saludos _x000a__x000a_Marina Adame Velasco_x000a__x000a_Notificación de seguimiento  [  MA2403202002 ]  _x000a__x000a_Aplicación:                  INFOMEX BCN_x000a_Tipo de Soporte:         REPORTE DE SOLICITUDES _x000a_Estatus:                               Concluido._x000a__x000a_" u="1"/>
        <s v="Buenas tardes Martha, tu petición fue atendida, favor de validar _x000a__x000a_Saludos _x000a__x000a_Marina Adame Velasco_x000a__x000a_Notificación de seguimiento  [  MA1106202010 ]  _x000a__x000a_Aplicación:                  INFOMEX NUEVO LEÓN _x000a_Tipo de Soporte:         AJUSTE DE PLAZOS    _x000a_Estatus:                               Concluido._x000a__x000a__x000a_" u="1"/>
        <s v="Notificación de seguimiento  [  MA1103202113 ]  _x000a_ _x000a_ _x000a_Estimado(a):                     Pedro Esquivel Martínez_x000a_ _x000a_ _x000a_Le informamos que su ticket correspondiente a:_x000a_               _x000a_solicito su valioso apoyo con la asignación de los certificados en HCOM para los sujetos obligados de acuerdo al siguiente cuadro descriptivo: _x000a__x000a_ _x000a_Clave Presupuestal    Sujeto Obligado Titular de la unidad de transparencia    CERTIFICADO A GENERAR    Contraseña    correo asignar_x000a_18114 _x000a_Fideicomiso de Administración y Pago CENAGAS-BANCOMEXT número 10637 Manuel García Arellano 18114.Manuel García Arellano HCOM:_x000a_HCOM18114 _x000a__x000a_INFOMEX_x000a_SISI18114   mgarciaa@cenagas.gob.mx_x000a__x000a__x000a_Aplicación:                  HCOM_x000a_Tipo de Soporte:         CAMBIO TUT   _x000a_Observaciones:            _x000a_ _x000a_Su petición fue atendida_x000a_ _x000a_  _x000a_            Favor de validar._x000a_ _x000a_Estatus:                               Concluido._x000a__x000a__x000a_" u="1"/>
        <s v="Se aplica eliminación de formato de pago de los folios 1215100097321, 1215100097521 y 1215100097621  " u="1"/>
        <s v="Continúa la extracción de adjuntos del estado de Sonora vía http._x000a_Continúa el apoyo en consultas y validación de la información generada con las bases de datos en custodia (casos de diversos estados) en lo referente principalmente a documentación adjunta._x000a_Validar procesos realizados para la inclusión del estado de México y generar un scripts con todo los datos que refieren a los catálogos de la entidad." u="1"/>
        <s v="Documentacion de MOODLE para la generacion de reportes" u="1"/>
        <s v="Se elmina la respuesta del folio:  1026500006021 y 1026500006121 " u="1"/>
        <s v="Se habilita a la usuaria:" u="1"/>
        <s v="Eliminar recibo de pago en solicitud registrada en Infomex" u="1"/>
        <s v="Desarrollo de componente Arbol de opciones del menu Usuarios en INAI" u="1"/>
        <s v="Reestructuración queryes para obetener obligaciones base " u="1"/>
        <s v="Implementar adecuaciones al código fuente para atender hallazgos del módulo - Administracion de avisos" u="1"/>
        <s v="_x000a_Notificación de seguimiento  [  MA1203202006 ]  _x000a_ _x000a_ _x000a_Estimado(a):                     Adriana Elizabeth Hernández Garcia_x000a_ _x000a_Le informamos que su ticket correspondiente a:_x000a_               _x000a_Por medio del presente te comento que al validar el paso denominado Registro de la Resolución Firmada relativo al recurso: _x000a__x000a_RRA 8835/19_x000a__x000a_la PNT se queda pasmada y NO APARECEN las ventanas donde se registran las fechas de firma de los comisionados; de tal manera que queda en blanco.  _x000a_Al respecto, te solicito se realicen las gestiones necesarias a efecto de que se pueda validar el paso referido y así estar en condición de cargar las fechas y que pueda ser notificada la resolución._x000a__x000a__x000a_ _x000a_Aplicación:                  SIGEMI_x000a_Tipo de Soporte:         Corrección de incidencia   _x000a_" u="1"/>
        <s v="Notificación de seguimiento  [  MA1011202007 ]  _x000a_  _x000a_Estimado(a):                     BERENICE HERNÁNDEZ _x000a_  _x000a_Le informamos que su ticket correspondiente a:_x000a_               _x000a_ajustando las fechas de vencimiento de los siguientes folios que se fueron a prórroga y no se han actualizado sus fechas de caducidad._x000a_ _x000a_Aplicación:                  SIGEMI_x000a_Tipo de Soporte:         CAMBIO DE PLAZO _x000a_Observaciones:            _x000a_ _x000a_Su petición fue atendida_x000a_ _x000a_" u="1"/>
        <s v="Notificación de seguimiento  [  MA2707202005 ]  _x000a_ _x000a_ _x000a_Estimado(a):                     CÉSAR ALVA_x000a_ _x000a_Le informamos que su ticket correspondiente a:_x000a_               _x000a_regreso de pasos del Recurso con número de expediente 0239/2020, ya que la ponencia cometió el error de admitirlo, cuando debía rechazarlo. _x000a__x000a_ _x000a_Aplicación:                  SIGEMI_x000a_Tipo de Soporte:         REGRESO DE PASOS  _x000a_Observaciones:            _x000a_ _x000a_Su petición fue atendida_x000a_ _x000a_" u="1"/>
        <s v="Notificación de seguimiento  [  MA0203202104 ]  _x000a_ _x000a_ _x000a_Estimado(a):                     FRANCISCO LIRA_x000a_ _x000a_ _x000a_Le informamos que su ticket correspondiente a:_x000a_               _x000a_un Query que me arroje todos los folios de solicitudes en PNT creadas por ese email_x000a_ _x000a_Aplicación:                  INFOMEX NL_x000a_Tipo de Soporte:         SCRIPT    _x000a_Observaciones:            _x000a_ _x000a_Su petición fue atendida_x000a__x000a__x000a_select distinct p.folio,psi.c4c6d7c39 CORREO_SOLICITANTE _x000a_from proceso p join psi on p.guidproceso = psi.guidproceso _x000a_where psi.c4c6d7c39 = 'ale_gzz_17@hotmail.com';_x000a_" u="1"/>
        <s v="Se  testan los datos del folio:0064101940021" u="1"/>
        <s v="Se cambió el tipo de solicitud del folio:1031500043921." u="1"/>
        <s v="Se aplica el testado de datos de la solicitud: 0700200000320" u="1"/>
        <s v="Generación de respaldo de la iniciativa publica " u="1"/>
        <s v="Notificación de seguimiento  [  MA1103202011 ]  _x000a_ _x000a_ _x000a_Estimado(a):                     Laura Mónica Segovia Tellez_x000a_ _x000a_Le informamos que su ticket correspondiente a:_x000a_               _x000a_Solicito su amable apoyo a fin de que sea cambiado el sentido de la resolución RRA 01642/20 de revoca a modifica, cabe mencionar que fue notificada y las partes conocen del cambio al respecto, Esto con el fin de que esté en sintonía con la resolución que fue firmada._x000a_ _x000a_Aplicación:                  SIGEMI_x000a_Tipo de Soporte:         CAMBIO DE SENTIDO DE RESOLUCIÓN  _x000a_Observaciones:            _x000a_ _x000a_Su petición fue atendida_x000a_ _x000a_ _x000a_            Favor de validar._x000a_ _x000a_Estatus:                               Concluido._x000a_" u="1"/>
        <s v="Reunion de estatus" u="1"/>
        <s v="Generacción de  usuario en sistema" u="1"/>
        <s v="Se recupera la contraseña del usuario: CROMERO." u="1"/>
        <s v="Notificación de seguimiento  [  MA0610202201 ]_x000a_Estimado(a):                Alondra Jiménez Hernández _x000a_ Le informamos que su ticket correspondiente a:_x000a_Debido al cambio de responsable de transparencia, les pido sea generado un certificado genérico para cada sujeto obligado enlistados y que con el mismo sea habilitado en la HCOM. Los datos son los siguientes:_x000a_Clave_x0009_Sujeto obligado_x0009_Siglas HCOM_x0009_Nombre del Titular de la Unidad de Transparencia_x0009_Correo electrónico_x0009_Contraseña_x000a_06801_x0009_Fideicomiso Irrevocable de Inversión y Administración para el Pago de Pensiones y Jubilaciones, F/10045_x0009_BANSEFI F1_x0009_David Topete Salmorán_x0009_david.topete@bancodelbienestar.gob.mx_x000a_Ver archivo adjunto_x000a_06802_x0009_Fideicomiso de Administración para el Otorgamiento y Primas de Antigüedad_x0009_BANSEFI F2_x0009_David Topete Salmorán_x0009_david.topete@bancodelbienestar.gob.mx_x000a__x000a_06804_x0009_Fondo de Supervisión Auxiliar de Sociedades Cooperativas de Ahorro y Préstamo y de Protección a sus Ahorradores. F/10217_x0009_BANSEFI F4_x0009_David Topete Salmorán_x0009_david.topete@bancodelbienestar.gob.mx_x000a__x000a_06805_x0009_Fondo de Protección de Sociedades Financieras Populares y de Protección a sus Ahorradores (F/10216)_x0009_BANSEFI F5_x0009_David Topete Salmorán_x0009_david.topete@bancodelbienestar.gob.mx_x000a__x000a_ _x000a_Aplicación:                  HCOM_x000a_Tipo de Soporte        GENERACIÓN DE CERTIFICADOS Y  CAMBIOS DE TUT  ( 4 ) " u="1"/>
        <s v="Componente Header (Slider principal de la pagina)" u="1"/>
        <s v="Se aplica eliminación de formato de pago: 1613100065020" u="1"/>
        <s v="Implementación del alta de Resoluciones Privadas por Tema." u="1"/>
        <s v="Generación de script para el reconocimiento de formatos en SIPOT" u="1"/>
        <s v="Script de migración de colación campus público" u="1"/>
        <s v="Notificación de seguimiento  [  MA1703202202 ]_x000a__x000a__x000a_Estimado(a):                Alondra Jiménez Hernández_x000a__x000a_ _x000a_ Le informamos que su ticket correspondiente a:_x000a_               _x000a_Anexo el registro actualizado del certificado del nuevo Titular de la Unidad de Transparencia del BIRMEX para que su acceso sea habilitado en la Herramienta de Comunicación. _x000a__x000a_ _x000a_Aplicación:                  HCOM_x000a_Tipo de Soporte:         CAMBIO DE TUT   _x000a_Observaciones:            _x000a_ _x000a_Su petición fue atendida_x000a_ _x000a_" u="1"/>
        <s v="Notificación de seguimiento  [  MA1009202008 ]  _x000a_ _x000a_ _x000a_Estimado(a):                     Mariana Aguila Jimenez_x000a_ _x000a_Le informamos que su ticket correspondiente a:_x000a_               _x000a_ _x000a_En relación con el recurso de revisión RRA 09004/20 vs SEPOMEX solicito su valioso apoyo a efecto de que me regresen al paso de admisión/prevención/desechamiento/, toda vez que ayer notifiqué por PNT y salió únicamente el acuse de notificación para el sujeto obligado._x000a__x000a_De igual manera, les hago de su conocimiento que si bien, me apoyaron el día de hoy con el correo remitido ayer , donde señálale que el recurrente  señaló como medio de notificación “personalmente o a través de su representante, en el domicilio del organismo garante de la entidad”, no obstante  se solicita su valioso apoyo a efecto de que en la Plataforma Nacional de Transparencia (PNT) se cambie el medio de notificación del recurrente a correo electrónico ya que proporcionó su correo de igual manera, a efecto de que SE REALICEN las notificaciones correspondientes, NO SE SI AFECTE EN ESTA PARTE EN LA PLATAFORMA. _x000a__x000a__x000a_ _x000a_Aplicación:                  SIGEMI_x000a_Tipo de Soporte:         REGRESO DE PASOS  _x000a_" u="1"/>
        <s v="Notificación de seguimiento  [  MA0203202003 ]  _x000a_ _x000a_ _x000a_Estimado(a):                     Pedro Esquivel Martínez_x000a_ _x000a_Le informamos que su ticket correspondiente a:_x000a_               _x000a_RENOVACIÓN DE CERTIFICADO DEL TITULAR DEL SUJETO OBLIGADO CONAZA_x000a__x000a_ _x000a_Aplicación:                  HCOM_x000a_Tipo de Soporte:         RENOVACIÓN DE CERTIFICADO_x000a_Observaciones:            _x000a_ _x000a_Su petición fue atendida_x000a_ _x000a_ _x000a_            Favor de validar._x000a_ _x000a_Estatus:                               Concluido._x000a_" u="1"/>
        <s v="Buscadores Tematicos, servidores publicos (Busqueda General)" u="1"/>
        <s v="Notificación de seguimiento  [  MA2501202104 ]  _x000a_ _x000a_ _x000a_Estimado(a):                     ALAN GARCÍA_x000a_  c_x000a_Le informamos que su ticket correspondiente a:_x000a_               _x000a_RESPALDO SEMANAL DE LA BASE DE DATOS INFOMEX_x000a_ _x000a_Aplicación:                  INFOMEX TLAXCALA_x000a_Tipo de Soporte:         RESPALDO   _x000a_Observaciones:            _x000a_ _x000a_Su petición fue atendida, se subió el respaldo de su base de datos de esta semana…_x000a__x000a__x000a_http://documentos.inai.org.mx/tmp/infomex_tlaxcala_backup_2021-01-25_0800.bak_x000a__x000a__x000a__x000a_NOTA: El respaldo estará disponible una semana  _x000a__x000a_  _x000a_            Favor de validar._x000a_ _x000a_" u="1"/>
        <s v="Se envía seguimiento de la solicitud del folio: 0001600390519." u="1"/>
        <s v="Desarrollo de los endpoints SISAI customizados para las respuestas con secciones dinamicas de los sujetos obligados, las configuraciones y pruebas con los organismos garantes" u="1"/>
        <s v="_x000a_Notificación de seguimiento  [  MA1501202107 ]  _x000a_ _x000a_ _x000a_Estimado(a):                     JOSÉ MANUEL FLORES ROBLES _x000a_ _x000a_ _x000a_Le informamos que su ticket correspondiente a:_x000a_               _x000a_cantidad de solicitudes que se han recibido del 1 de diciembre del 2020 al 31 de diciembre del 2020, tanto de información como de datos personales_x000a_ _x000a_Aplicación:                  INFOMEX QUERÉTARO_x000a_Tipo de Soporte:         REPORTE    _x000a_Observaciones:            _x000a_ _x000a_Su petición fue atendida_x000a_ _x000a_  _x000a_            Favor de validar._x000a_ _x000a_Estatus:                               Concluido._x000a_" u="1"/>
        <s v="Se generó certificado para usuario de dependencia FONSABI" u="1"/>
        <s v="Se aplica sustitución de archivo de la solicitud: 0064103677319." u="1"/>
        <s v="Notificación de seguimiento  [  MA1802202111 ]  _x000a_ _x000a_ _x000a_Estimado(a):                     Pedro Esquivel Martínez_x000a_ _x000a_ _x000a_Le informamos que su ticket correspondiente a:_x000a_               _x000a_comparto el Oficio donde se indica el Id. 18114 para el S.O._x000a_ _x000a_Aplicación:                  HCOM_x000a_Tipo de Soporte:         CAMBIO TUT   _x000a_Observaciones:            _x000a_ _x000a_Su petición fue atendida, le comento que se realizó la corrección de la clave y nombre del Sujeto Obligado de acuerdo a la descripción del oficio adjunto_x000a_" u="1"/>
        <s v="Se  testan los datos del folio: 0000600105421" u="1"/>
        <s v="Se  testan los datos de la solicitud con folio 011000051221_x000a_ _x000a_" u="1"/>
        <s v="Se  testan los datos del folio: 0064101340821" u="1"/>
        <s v="Soporte Hidalgo" u="1"/>
        <s v="Notificación de seguimiento  [  MA1307202201 ]_x000a__x000a__x000a_Estimado(a):               Erika Priscyla Casas Carvallo_x000a__x000a_ Le informamos que su ticket correspondiente a:_x000a__x000a_actualización de certificados de los sujetos obligados enlistados en la relación que se adjunta, en la Herramienta de Comunicación, lo anterior, en virtud de que se encuentran próximos a vencer, por lo que mucho agradeceré la pronta remisión de dichos certificados actualizados. _x000a_ _x000a_ _x000a__x000a_Aplicación:                  HCOM_x000a_Tipo de Soporte:        GENERACIÓN DE CERTIFICADO Y ACTUALIZACIÓN EN HCOM  (17)" u="1"/>
        <s v="Revisión incidencia área usuaria mapa" u="1"/>
        <s v="Continúa la extracción de adjuntos del estado de Guanajuato vía http._x000a_Continúa el apoyo en consultas y validación de la información generada con las bases de datos en custodia (casos de diversos estados) en lo referente principalmente a documentación adjunta." u="1"/>
        <s v="_x000a_Notificación de seguimiento  [  MA0112202004 ]  _x000a_  _x000a_Estimado(a):                     Lizbeth Adriana Cabrera Ortega_x000a_  _x000a_Le informamos que su ticket correspondiente a:_x000a_               _x000a_Con el gusto de saludarte me permito solicitar tu valioso apoyo respecto de la generación UN EXPEDIENTE del recurso de revisión posteriormente citado._x000a_ _x000a_Asimismo, te comento que NO DEBERÁ CAMBIAR el sujeto obligado, ni el Comisionado correspondiente. _x000a_ _x000a_ DICE                                        DEBE DECIR                         SUJETO OBLIGADO           PONENTE_x000a_RRA 13531/20 RRA 4549/18-BIS COFEPRIS BLIC_x000a_ _x000a_No omito comentarte que el número de expediente que deberá seguir en el consecutivo por turnar en PNT debe ser el RRA 13531/20_x000a_ _x000a_ _x000a_Aplicación:                  SIGEMI_x000a_Tipo de Soporte:         IMPUGNACIONES   _x000a_Observaciones:            _x000a_ _x000a_Su petición fue atendida_x000a_" u="1"/>
        <s v=" EGRESOS PRESUPUESTARIOS(buscadores tematicos 2)" u="1"/>
        <s v="Selección de arquitecturas de aprendizaje profundo" u="1"/>
        <s v="Se  testan los datos del folio: 1816800001521" u="1"/>
        <s v="Se  testan los datos de la solicitud con folio 0000700107621 " u="1"/>
        <s v="Reunion Avance actividades Pizarras 4 para muestra de los muckups" u="1"/>
        <s v="_x000a_Notificación de seguimiento  [  MA0411202002 ]  _x000a_ _x000a_ _x000a_Estimado(a):                     FRANCISCO LIRA_x000a_ _x000a_Le informamos que su ticket correspondiente a:_x000a_               _x000a_query para obtener las cifras de los recursos de revisión interpuestos en NL a través de la PNT e Infomex, donde podamos ajustar las  fechas de consulta._x000a_ _x000a_Aplicación:                  INFOMEX NUEVO LEÓN_x000a_Tipo de Soporte:         SCRIPT   _x000a_Observaciones:            _x000a_ _x000a_Su petición fue atendida, respecto a las consulta de recursos que se realizan desdes PNT, los datos se guardan en el SIGEMI_x000a_ _x000a_  _x000a_            Favor de validar._x000a_ _x000a_Estatus:                               Concluido._x000a__x000a__x000a_" u="1"/>
        <s v="Notificación de seguimiento  [  MA1905202109 ]  _x000a_ _x000a_ _x000a_Estimado(a):                     Edgar Michel Loaeza Martínez_x000a_ _x000a_ _x000a_Le informamos que su ticket correspondiente a:_x000a_               _x000a_Por medio del presente, me permito solicitar su valioso apoyo a efecto de realizar la renovación de certificado del sujeto obligado indirecto de  la Secretaría de la Defensa Nacional en el hcom._x000a_ _x000a_Aplicación:                  HCOM_x000a_Tipo de Soporte:         CAMBIO TUT  (1) RENOVAR CERTIFICADO ( 2 ) _x000a_Observaciones:            _x000a_ _x000a_Su petición fue atendida_x000a_ _x000a_" u="1"/>
        <s v="Para la extracción de adjuntos de Guanajuato, se realizaron las pruebas del aplicativo de extracción pero no fue posible recuperar la información de la entidad, por tanto, se notificó a Luis Fernando quién realizó una versión nueva del programa para la extracción en tipo http y no ftp._x000a_Se inicia la extracción de adjuntos del estado de Guanajuato vía http._x000a_Continúa el apoyo en consultas y validación de la información generada con las bases de datos en custodia (casos de diversos estados) en lo referente principalmente a documentación adjunta.  " u="1"/>
        <s v="Análisis de incidencia en solicitudes generadas con folio incorrecto, depencia 14100  Junta Federal de Conciliación y Arbitraje y reinició de consecutivo" u="1"/>
        <s v="Notificación de seguimiento  [  MA2104202105 ]  _x000a_ _x000a_ _x000a_Estimado(a):                     Lizbeth Adriana Cabrera Ortega_x000a_ _x000a_ _x000a_Le informamos que su ticket correspondiente a:_x000a_               _x000a_generación UN EXPEDIENTE BIS del recurso de revisión posteriormente citado._x000a_ _x000a_Asimismo, te comento que NO DEBERÁ CAMBIAR el sujeto obligado, ni el Comisionado correspondiente. _x000a_ _x000a_ DICE                                        DEBE DECIR                         SUJETO OBLIGADO           PONENTE_x000a_RRA 5079-21 RRA 8156-17-BIS AGROSEMEX FJAL_x000a_ _x000a_No omito comentarte que el número de expediente que deberá seguir en el consecutivo por turnar en PNT debe ser el RRA 5079-21._x000a_ _x000a_Aplicación:                  SIGEMI_x000a_Tipo de Soporte:         CAMBIO A BIS _x000a_Observaciones:            _x000a_ _x000a_Su petición fue atendida_x000a_   _x000a_            Favor de validar._x000a_ _x000a_Estatus:                               Concluido._x000a_" u="1"/>
        <s v="Crear módulo de institución de procedencia" u="1"/>
        <s v="Generación de script de etiquetado automatizado" u="1"/>
        <s v="Se cambia el tipo de solicitud del folio: 0001200324721" u="1"/>
        <s v="Notificación de seguimiento  [  MA1805202110 ]  _x000a_ _x000a_ _x000a_Estimado(a):                     Pedro Esquivel Martínez_x000a_ _x000a_ _x000a_Le informamos que su ticket correspondiente a:_x000a_               _x000a_por este medio Anexo el registro actualizado del certificado del Titular de la Unidad de Enlace de “CONSEJO NACIONAL DE FOMENTO EDUCATIVO”.  Lo Anterior a fin de que sus accesos sean habilitados en los otros sistemas que administra este Instituto (HCOM).  CAMBIO DE  TITULAR, en cuanto se reciba la atención en HCOM se realizará la actualización de los demás sistemas correspondientes._x000a_ _x000a_Aplicación:                  HCOM_x000a_Tipo de Soporte:         CAMBIO TUT   _x000a_Observaciones:            _x000a_ _x000a_Su petición fue atendida_x000a_ _x000a_  _x000a_            Favor de validar._x000a_ _x000a_Estatus:                               Concluido._x000a_" u="1"/>
        <s v="Se aplica testado de datos al folio:  1816400338220" u="1"/>
        <s v="Evaluación y diseño de script para unificación del texto a etiquetar" u="1"/>
        <s v="Notificación de seguimiento  [  MA0308202006 ]  _x000a_ _x000a_ _x000a_Estimado(a):                     Edgar Michel Loaeza Martínez_x000a_ _x000a_Le informamos que su ticket correspondiente a:_x000a_               _x000a_CAMBIOS DE TITULAR DE LOS SUJETOS OBLIGADOS INDIRECTOS SHCP_x000a__x000a_ _x000a_Aplicación:                  HCOM_x000a_Tipo de Soporte:         CAMBIO DE TUT ( 28 )  _x000a_Observaciones:            _x000a_ _x000a_Su petición fue atendida, se realizó la actualización de los siguientes Sujetos Obligados:_x000a__x000a_" u="1"/>
        <s v="Notificación de seguimiento  [  MA0604202113 ]  _x000a_  _x000a_Estimado(a):                     Martha Rubí Zaragoza Mora_x000a_  _x000a_Le informamos que su ticket correspondiente a:_x000a_               _x000a_El presente correo es para pedir su amable apoyo para el ajuste de términos de los folios debido al primer periodo vacacional del año 2021 que envió el sujeto obligado con su acuerdo y se configuro el calendario correspondiente_x000a_ _x000a_Aplicación:                  INFOMEX NUEVO LEÓN_x000a_Tipo de Soporte:         AJUSTE DE PLAZO    _x000a_Observaciones:            _x000a_ _x000a_Su petición fue atendida_x000a_ _x000a_" u="1"/>
        <s v="Revisión y análisis del módulo Administracion de Pagos, Administracion tematica solicitud." u="1"/>
        <s v="Implementación de stopword en criterios de búsqueda" u="1"/>
        <s v="Generación de script para la descarga de archivos" u="1"/>
        <s v="Se aplica eliminación de respuesta al folio: 1816400027720" u="1"/>
        <s v="Se  testan los datos del folio: 1857200251721" u="1"/>
        <s v="Se  testan los datos del folio: 0064101361821" u="1"/>
        <s v="Buenas tardes Berenice, tu solicitud fue atendida, favor de validar_x000a__x000a_ _x000a_Saludos_x000a_ _x000a_Marina Adame Velasco_x000a_ _x000a_Notificación de seguimiento  [  MA3010202002 ]_x000a__x000a__x000a_SISTEMA [  INFOMEX OAXACA ]_x000a_" u="1"/>
        <s v="Se sustituye archivo adjunto del folio: 0064100607520 así como el testado de datos." u="1"/>
        <s v="Buenos días Memo, tu petición fue atendida, favor de validar _x000a__x000a_Saludos _x000a__x000a_Marina Adame Velasco_x000a__x000a_Notificación de seguimiento  [  MA0303202003 ]  _x000a__x000a_Aplicación:                  INFOMEX BCN_x000a_Tipo de Soporte:         reporte de solicitudes   _x000a_Estatus:                               Concluido._x000a__x000a_" u="1"/>
        <s v="Se  testan los datos del folio: 0064100854921" u="1"/>
        <s v="Buenas tardes Joel, tu petición fue atendida, favor de validar _x000a__x000a_Saludos _x000a__x000a_Marina Adame Velasco_x000a__x000a_Notificación de seguimiento  [  MA2608202003 ]  _x000a__x000a_Aplicación:                  INFOMEX COLIMA_x000a_Tipo de Soporte:         AJUSTE DE PLAZOS    _x000a_Estatus:                               Concluido._x000a__x000a_" u="1"/>
        <s v="Página de contador de usuarios registrados" u="1"/>
        <s v="Se aplica testado de datos al folio:  0000600394220" u="1"/>
        <s v="homologacion de Sujeto Obligado a Institucion en cada portlet del proyecto , en etiquetas y titulos de dashboards asi como en titulos de detalles de solicitudes." u="1"/>
        <s v="Notificación de seguimiento  [  MA0112202005 ]  _x000a_ _x000a_ Estimado(a):                     Berenice Hernández Sumano_x000a_  _x000a_Le informamos que su ticket correspondiente a:_x000a_               _x000a_proporcionarnos la cuenta de correo electrónico con la cuál se realizaron las siguientes solicitudes desde SISAI. _x000a__x000a_Aplicación:                  INFOMEX OAXACA_x000a_Tipo de Soporte:         CONSULTA DE DATOS    _x000a_Observaciones:            _x000a_ _x000a_Su petición fue atendida_x000a__x000a_FOLIO                    CORREO_x000a_01229420             acruzpi68@gmail.com_x000a_01238520             t3st3r@hotmail.es_x000a_01231720             acruzpi68@gmail.com_x000a_01236620             t3st3r@hotmail.es_x000a_01233520             acruzpi68@gmail.com_x000a_01224920             llallis_@hotmail.com_x000a_ _x000a_  _x000a_            Favor de validar._x000a_ _x000a_Estatus:                               Concluido._x000a__x000a__x000a_" u="1"/>
        <s v="campo implementacion seguimiento" u="1"/>
        <s v="Se  testan los datos del folio: 1816900002321 " u="1"/>
        <s v="Se sustituye archivo adjunto  del folio:  0064100854921" u="1"/>
        <s v="Ajuste request para exportación de archivo excel con los catálogos " u="1"/>
        <s v="_x000a_Notificación de seguimiento  [  MA2605202010 ]  _x000a_ _x000a_ _x000a_Estimado(a):                     Alondra Jiménez Hernández_x000a_ _x000a_Le informamos que su ticket correspondiente a:_x000a_               _x000a__x000a_Anexo el registro actualizado del certificado del nuevo Titular de la Unidad de Transparencia de IFT para que se habilite su acceso en la Herramienta de Comunicación. _x000a__x000a_ _x000a_Aplicación:                  HCOM_x000a_Tipo de Soporte:         CAMBIO DE TUT   _x000a_Observaciones:            _x000a_ _x000a_Su petición fue atendida_x000a_ _x000a_" u="1"/>
        <s v="Notificación de seguimiento  [  MA1606202005 ]  _x000a_ _x000a_ _x000a_Estimado(a):                     Rosa María Rivas Rangel_x000a_ _x000a_Le informamos que su ticket correspondiente a:_x000a_               _x000a_El sujeto obligado indica que del Recurso de Revisión RDA 0257/16 que fue atendido en la ponencia del  Comisionado Rosendoevguini Monterrey Chepov, se solicita su eliminación de la Herramienta de Comunicación, toda vez que el mismo se encuentra en ella desde de mayo de 2016._x000a__x000a_ _x000a_Aplicación:                  HCOM_x000a_Tipo de Soporte:         Cancelación de Recurso  _x000a_Observaciones:            _x000a_ _x000a_Su petición fue atendida_x000a_ _x000a_" u="1"/>
        <s v="Notificación de seguimiento  [  MA1606202008 ]  _x000a_ _x000a_ _x000a_Estimado(a):                     Sergio Rafael Cortés Alpizar_x000a_ _x000a_Le informamos que su ticket correspondiente a:_x000a_               _x000a_Por medio del presente, solicito el regreso de actividad a &quot; Admitir / Prevenir / Desechar&quot; del siguiente recurso de revisión:_x000a__x000a_RRD 0580/20 vs IMSS_x000a__x000a_Lo anterior se debe a que se anexo un archivo mal y se enviara de nuevo el acuerdo correcto._x000a__x000a_Ya están avisadas ambas partes._x000a__x000a_ _x000a_Aplicación:                  SIGEMI_x000a_Tipo de Soporte:         REGRESO DE PASOS  _x000a_Observaciones:            _x000a_ _x000a_Su petición fue atendida_x000a_ _x000a_" u="1"/>
        <s v="Notificación de seguimiento  [  MA1305202106 ]  _x000a_ _x000a_ _x000a_Estimado(a):                     Alma Lizbeth Peguero Rivera_x000a_ _x000a_ _x000a_Le informamos que su ticket correspondiente a:_x000a_               _x000a_eliminar el siguiente recurso RRA 1572/21 OMGF, debido a que se encuentra doble en la PNT para poder trabajar mi actividad, sin más por el momento, quedo pendiente._x000a_ _x000a_Aplicación:                  SIGEMI_x000a_Tipo de Soporte:         CANCELAR ACTIVIDAD DUPLICADA   _x000a_Observaciones:            _x000a_ _x000a_Su petición fue atendida_x000a_ _x000a_  _x000a_            Favor de validar._x000a_ _x000a_Estatus:                               Concluido._x000a_" u="1"/>
        <s v="Se aplica testado de datos personales: 0700100001120." u="1"/>
        <s v="Desarrollo de funcionalidad de  catálogos órganos garantes y sujetos obligados " u="1"/>
        <s v="Actualización y pruebas de funcionalidad de campus Iniciativa Privada  2.2" u="1"/>
        <s v="Se  testan los datos del folio: 0064101651321" u="1"/>
        <s v="Buenas tardes Francisco, adjunto resultados de la consulta,  favor de validar _x000a__x000a__x000a_Saludos _x000a__x000a_Marina Adame Velasco_x000a__x000a_Notificación de seguimiento  [  MA1208202007 ]  _x000a__x000a_Aplicación:                  INFOMEX NUEVO LEÓN_x000a_Tipo de Soporte:         Consulta   _x000a_Estatus:                               Concluido._x000a__x000a_" u="1"/>
        <s v="Cambios en el menú" u="1"/>
        <s v="_x000a_Notificación de seguimiento  [  MA1510202007 ]  _x000a_ _x000a_ _x000a_Estimado(a):                     Laura Mónica Segovia Tellez_x000a_ _x000a_Le informamos que su ticket correspondiente a:_x000a_               _x000a_Solicito su amable apoyo, para regresar el paso del RRA 10332/20 admitir prevenir desechar derivado de que se va a sustituir el acuerdo y las partes ya tienen conocimiento del tema._x000a__x000a_ _x000a_Aplicación:                  SIGEMI_x000a_Tipo de Soporte:         REGRESO DE PASOS  _x000a_Observaciones:            _x000a_ _x000a_Su petición fue atendida_x000a_ _x000a_" u="1"/>
        <s v="Notificación de seguimiento  [  MA0710202001 ]  _x000a_ _x000a_ _x000a_Estimado(a):                     Alma Lizbeth Peguero Rivera_x000a_ _x000a_Le informamos que su ticket correspondiente a:_x000a_               _x000a_Por medio de presente, solicito de la manera más atenta, su apoyo para retroceder los pasos en el sistema SIGEMI-SICOM en la PNT del siguiente asunto RRD 1098/20 OMGF, hasta la actividad “Registrar información de la sesión del pleno”; sin más por el momento, quedo en espera de sus comentarios._x000a__x000a_ _x000a_Aplicación:                  SIGEMI_x000a_Tipo de Soporte:         REGRESO DE PASOS  _x000a_Observaciones:            _x000a_ _x000a_Su petición fue atendida_x000a_ _x000a_" u="1"/>
        <s v="Notificación de seguimiento  [  MA2505202003 ]  _x000a_ _x000a_ _x000a_Estimado(a):                     Tiara Gethsemanni Miranda Fuentes_x000a_ _x000a_Le informamos que su ticket correspondiente a:_x000a_               _x000a_Por medio del presente, solicito de la manera más atenta su amable apoyo para realizar el retroceso de pasos del asunto que se lista a continuación, hasta la actividad &quot;Registro información de la sesión del pleno&quot;; sin más por el momento, quedo en espera de sus comentarios._x000a__x000a_RRA 01743/20_x000a__x000a_ _x000a_Aplicación:                  SIGEMI_x000a_Tipo de Soporte:         REGRESO DE PASOS  _x000a_Observaciones:            _x000a_ _x000a_Su petición fue atendida_x000a_ _x000a_" u="1"/>
        <s v="Se aplica el cambio para la solicitud: 0064100554820." u="1"/>
        <s v="Validación de congruencia de información SIPOT unificada" u="1"/>
        <s v="Se corrige navegacion en el boton de detalle en las pantallas de notificacion" u="1"/>
        <s v="Actualización y pruebas de funcionalidad de campus Iniciativa Privada  3.2" u="1"/>
        <s v="Buenas tardes Moisés, tu petición fue atendida, favor de validar _x000a__x000a__x000a_http://documentos.inai.org.mx/tmp/infomexPUEBLA_backup_2020-04-21_1657.bak_x000a__x000a__x000a_Saludos _x000a__x000a_Marina Adame Velasco_x000a__x000a_Notificación de seguimiento  [  MA2104202006 ]  _x000a__x000a_Aplicación:                  INFOMEX PUEBLA _x000a_Tipo de Soporte:         RESPALDO   _x000a_Estatus:                               Concluido._x000a_" u="1"/>
        <s v="Buenas tardes Moisés, tu petición fue atendida, favor de validar _x000a__x000a__x000a_http://documentos.inai.org.mx/tmp/infomex_puebla_backup_2020-08-18_1343.bak_x000a__x000a_Saludos _x000a__x000a_Marina Adame Velasco_x000a__x000a__x000a__x000a_Notificación de seguimiento  [  MA1808202003 ]  _x000a__x000a_Aplicación:                  INFOMEX PUEBLA _x000a_Tipo de Soporte:         Respaldo _x000a_Estatus:                               Concluido._x000a_" u="1"/>
        <s v="Revisión de incidencia área usuaria mapa" u="1"/>
        <s v="Notificación de seguimiento  [  MA1612202015 ]  _x000a_ _x000a_ _x000a_Estimado(a):                     Martha Rubí Zaragoza Mora_x000a_ _x000a_ _x000a_Le informamos que su ticket correspondiente a:_x000a_               _x000a_ajuste de términos de los folios debido al Acuerdo que enviaron los siguientes Sujetos Obligados a la COTAI por el cual se amplían la fecha del 01 al 18 de diciembre de 2020 y contando también el 2do periodo vacacional del 21 de diciembre 2020 al 5 de Enero 2021_x000a_ _x000a_Aplicación:                  INFOMEX NUEVO LEÓN_x000a_Tipo de Soporte:         AJUSTE DE PLAZOS    _x000a_" u="1"/>
        <s v="MOVIMIENTO 9 DE MARZO" u="1"/>
        <s v="Se aplica testado de datos y archivo  al folio:  0064102786820" u="1"/>
        <s v="Notificación de seguimiento  [  MA1501202109 ]  _x000a_ _x000a_ _x000a_Estimado(a):                     Martha Rubí Zaragoza Mora_x000a_ _x000a_ _x000a_Le informamos que su ticket correspondiente a:_x000a_               _x000a_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_x000a_ _x000a_Aplicación:                  INFOMEX NUEVO LEÓN _x000a_Tipo de Soporte:         AJUSTE DE PLAZOS    _x000a_Observaciones:            _x000a_ _x000a_Su petición fue atendida_x000a_ _x000a_" u="1"/>
        <s v="Realizar pruebas en los 4 campusCorrección de errores derivados de Pruebas de usuario" u="1"/>
        <s v="Notificación de seguimiento [ MA1001202004 ] _x000a_  _x000a_  _x000a_ Estimado(a): Pedro Esquivel Martínez_x000a_  _x000a_ Le informamos que su ticket correspondiente a:_x000a_  _x000a_ solicito su actualización en el HCOM se anexan certificados; (S.O. INEEL)_x000a_  _x000a_ Aplicación: HCOM_x000a_ Tipo de Soporte: Actualización de certificados ( 2 )" u="1"/>
        <s v="Se aplica testado de datos al folio: 0064100198121" u="1"/>
        <s v="Validación de información contra diccionarios proporcionados por el equipo INAI" u="1"/>
        <s v="analisis y funcionalidad de temas " u="1"/>
        <s v="Se generó certificado para usuario de dependencia Centro de Investigación y Desarrollo Tecnológico en Electroquímica, S.C." u="1"/>
        <s v="Hola Berenice, ya se subió el respaldo de su base de datos de esta semana…_x000a__x000a__x000a_http://documentos.inai.org.mx/tmp/infomexOAX_backup_2020-07-06_0800.bak_x000a__x000a__x000a_ _x000a_NOTA: El respaldo estará disponible una semana  _x000a_ _x000a_" u="1"/>
        <s v="Hola Berenice, ya se subió el respaldo de su base de datos de esta semana…_x000a__x000a__x000a_http://documentos.inai.org.mx/tmp/infomexOAX_backup_2020-07-13_0800.bak_x000a__x000a__x000a_ _x000a_NOTA: El respaldo estará disponible una semana  _x000a_ _x000a_" u="1"/>
        <s v="Hola Berenice, ya se subió el respaldo de su base de datos de esta semana…_x000a__x000a__x000a_http://documentos.inai.org.mx/tmp/infomexOAX_backup_2020-07-20_0800.bak_x000a__x000a__x000a_ _x000a_NOTA: El respaldo estará disponible una semana  _x000a_ _x000a_" u="1"/>
        <s v="Hola Berenice, ya se subió el respaldo de su base de datos de esta semana…_x000a__x000a__x000a_http://documentos.inai.org.mx/tmp/infomexOAX_backup_2020-07-27_0800.bak_x000a__x000a__x000a_ _x000a_NOTA: El respaldo estará disponible una semana  _x000a_ _x000a_" u="1"/>
        <s v="Hola Berenice, ya se subió el respaldo de su base de datos de esta semana…_x000a__x000a__x000a_http://documentos.inai.org.mx/tmp/infomexOAX_backup_2020-08-03_0800.bak_x000a__x000a__x000a_ _x000a_NOTA: El respaldo estará disponible una semana  _x000a_ _x000a_" u="1"/>
        <s v="Hola Berenice, ya se subió el respaldo de su base de datos de esta semana…_x000a__x000a__x000a_http://documentos.inai.org.mx/tmp/infomexOAX_backup_2020-08-10_0800.bak_x000a__x000a__x000a_ _x000a_NOTA: El respaldo estará disponible una semana  _x000a_ _x000a_" u="1"/>
        <s v="Hola Berenice, ya se subió el respaldo de su base de datos de esta semana…_x000a__x000a__x000a_http://documentos.inai.org.mx/tmp/infomexOAX_backup_2020-08-24_0800.bak_x000a__x000a__x000a_ _x000a_NOTA: El respaldo estará disponible una semana  _x000a_ _x000a_" u="1"/>
        <s v="Hola Berenice, ya se subió el respaldo de su base de datos de esta semana…_x000a__x000a__x000a_http://documentos.inai.org.mx/tmp/infomexOAX_backup_2020-08-31_0800.bak_x000a__x000a__x000a_ _x000a_NOTA: El respaldo estará disponible una semana  _x000a_ _x000a_" u="1"/>
        <s v="Hola Berenice, ya se subió el respaldo de su base de datos de esta semana…_x000a__x000a__x000a_http://documentos.inai.org.mx/tmp/infomexOAX_backup_2020-09-07_0800.bak_x000a__x000a__x000a_ _x000a_NOTA: El respaldo estará disponible una semana  _x000a_ _x000a_" u="1"/>
        <s v="Hola Berenice, ya se subió el respaldo de su base de datos de esta semana…_x000a__x000a__x000a_http://documentos.inai.org.mx/tmp/infomexOAX_backup_2020-09-14_0800.bak_x000a__x000a__x000a_ _x000a_NOTA: El respaldo estará disponible una semana  _x000a_ _x000a_" u="1"/>
        <s v="Hola Berenice, ya se subió el respaldo de su base de datos de esta semana…_x000a__x000a__x000a_http://documentos.inai.org.mx/tmp/infomexOAX_backup_2020-09-21_0800.bak_x000a__x000a__x000a_ _x000a_NOTA: El respaldo estará disponible una semana  _x000a_ _x000a_" u="1"/>
        <s v="Hola Berenice, ya se subió el respaldo de su base de datos de esta semana…_x000a__x000a__x000a_http://documentos.inai.org.mx/tmp/infomexOAX_backup_2020-09-28_0800.bak_x000a__x000a__x000a_ _x000a_NOTA: El respaldo estará disponible una semana  _x000a_ _x000a_" u="1"/>
        <s v="Se atendió la incidencia reportada en  el folio:  0673800009621" u="1"/>
        <s v="Instalación de JAVA, Postgresql, Eclipse SQL Devloper,creación del proyecto" u="1"/>
        <s v="Notificación de seguimiento  [  MA2409202007 ]  _x000a_ _x000a_ _x000a_Estimado(a):                     Berenice Hernández Sumano_x000a_ _x000a_Le informamos que su ticket correspondiente a:_x000a_               _x000a_Por este medio solicito la afectación en base de datos de los siguientes procedimientos en el Sistema de Comunicaciones entre Organismos Garantes y Sujetos Obligados SICOM , toda vez que el Consejo General del IAIPO aprobó el término a la suspensión de plazos de los procedimientos relacionados con COVID-19, SISMO DEL 23 DE JUNIO, PROGRAMAS SOCIALES DERIVADOS DE LA EMERGENCIA SANITARIA, PROCEDIMIENTOS DE ADJUDICACIÓN, INVITACIÓN RESTRINGIDA Y LICITACIÓN DE CUALQUIER NATURALEZA._x000a__x000a_Se requiere:_x000a__x000a_1. Modificar la fecha de cumplimiento de los siguientes recursos a la fecha límite de cumplimiento._x000a_2. Modificar la fecha de estado de los siguientes recursos a la fecha de aplicación de la actividad notificación del cumplimiento._x000a_3. Modificar la fecha de los documentos generados como acuses a la fecha de aplicación._x000a_ _x000a_Aplicación:                  SIGEMI_x000a_Tipo de Soporte:         AJUSTE DE FECHAS Y ARCHIVOS   _x000a_Observaciones:            _x000a_ _x000a_Su petición fue atendida_x000a_" u="1"/>
        <s v="_x000a_Notificación de seguimiento  [  MA1509202005 ]  _x000a_ _x000a_ _x000a_Estimado(a):                     Ricardo Marin Gonzalez_x000a_ _x000a_Le informamos que su ticket correspondiente a:_x000a_               _x000a_AMPLÍA LA SUSPENSIÓN DE LOS PLAZOS Y TRÁMITES PARA LAS SOLICITUDES DE ACCESO A LA INFORMACIÓN, LAS SOLICITUDES PARA EL EJERCICIO DE LOS DERECHOS ARCO, LOS RECURSOS DE REVISIÓN RESPECTIVOS, Y DENUNCIAS POR INCUMPLIMIENTO A LAS OBLIGACIONES DE TRANSPARENCIA, HASTA EL DIA 2 DE OCTUBRE DE 2020._x000a__x000a_ _x000a_Aplicación:                  SIGEMI_x000a_Tipo de Soporte:         REVISIÓN DE PLAZOS   _x000a_Observaciones:            _x000a_ _x000a_Su petición fue atendida, anexo el calculo de plazos para las fechas de votación para su validación_x000a_ _x000a_ _x000a_            Favor de validar._x000a_ _x000a_Estatus:                               Concluido._x000a__x000a_" u="1"/>
        <s v="Consulta de datos estadisticos en bd alojadas en el inai_x000a__x000a_ _x000a__x000a_Saludos_x000a__x000a_ _x000a__x000a_Marina Adame Velasco_x000a__x000a_ _x000a__x000a_Notificación de seguimiento  [  MA0210202007 ]  _x000a__x000a_ _x000a__x000a_Aplicación:                  INFOMEX ESTADOS_x000a__x000a_Tipo de Soporte:         CONSULTA ESTADISTICA   _x000a__x000a_Estatus:                               Concluido._x000a__x000a_ " u="1"/>
        <s v="Revision de carga de cursos y definicion de insumos " u="1"/>
        <s v="Se aplica eliminación de última respuesta de la solicitud: 0064103301620" u="1"/>
        <s v="_x000a_Notificación de seguimiento  [  MA0712202005 ]  _x000a_ _x000a_ _x000a_Estimado(a):                     Berenice Hernández Sumano_x000a_ _x000a_ _x000a_Le informamos que su ticket correspondiente a:_x000a_               _x000a_les solicito por este medio de forma urgente aplicar los siguientes ajustes en la base de datos del Sistema Infomex Oaxaca, dado que las fechas actuales de vencimiento corresponde a un primer ajuste solicitado_x000a__x000a_ _x000a_Aplicación:                  INFOMEX OAXACA_x000a_Tipo de Soporte:         AJUSTE DE PLAZOS    _x000a_Observaciones:            _x000a_ _x000a_Su petición fue atendida_x000a_ _x000a_" u="1"/>
        <s v="Script consulta catalogo integrante (Administrador)" u="1"/>
        <s v="Notificación de seguimiento  [  MA0307202004 ]  _x000a_ _x000a_ _x000a_Estimado(a):                     Betzabé Flores Terán_x000a_ _x000a_ _x000a_Le informamos que su ticket correspondiente a:_x000a_               _x000a_Solicito de su apoyo para actualizar en la Herramienta de Comunicación los certificados de los sujetos obligados de la base que se adjunta, ya que estos han vencido._x000a_ _x000a_ _x000a_Aplicación:                  HCOM   _x000a_Tipo de Soporte:         cambio de TUT   ( 5 )_x000a_Observaciones:            _x000a_ _x000a_Le comento que se comenzó el cambio de titulares solicitados, conforme se vayan realizando las actualizaciones se les notificarán los cambios _x000a_ _x000a_Se realizó la actualización de los siguientes..._x000a_" u="1"/>
        <s v="Cambios OIC y menú" u="1"/>
        <s v="Generación de script de unificación de tablas SIPOT Y SIPOT DETALLE" u="1"/>
        <s v="Se ajusto una imagen para version mobile y se colocó una etieuta de audio" u="1"/>
        <s v="Se aplica eliminación de formato de pago al folio: 0495000050319." u="1"/>
        <s v="Notificación de seguimiento  [  MA0405202003 ]  _x000a_ _x000a_ _x000a_Estimado(a):                     Edgar Michel Loaeza Martínez_x000a_ _x000a_Le informamos que su ticket correspondiente a:_x000a_               _x000a_Por medio del presente solicito su valioso apoyo a efecto de realizar el cambio de certificado del Titular de la Unidad de Transparencia de la Policía Federal._x000a__x000a_Para tal efecto, anexo al presente el certificado y nombramiento del Titular, lo anterior, a fin de que sus accesos sean habilitados en los sistemas que administra este Instituto (INFOMEX y HCOM_x000a_ _x000a_Aplicación:                  HCOM  _x000a_Tipo de Soporte:         CAMBIO DE TUT _x000a_Observaciones:            _x000a_ _x000a_Su petición fue atendida_x000a_ _x000a_" u="1"/>
        <s v="Implementación de la modificación de Resoluciones Públicas por Tema." u="1"/>
        <s v="Notificación de seguimiento  [  MA2010202201 ]_x000a__x000a_Estimado(a):                Betzabé Flores Terán_x000a__x000a_ _x000a_ Le informamos que su ticket correspondiente a:_x000a_ _x000a_Solicito su apoyo para realizar la modificación del nombre del TUT en la herramienta de comunicación toda vez que tal como se muestra en la pantalla que adjunta el SO aparece el nombre de José Armando Nieto Barajas, sin embargo, debe decir Jorge Armando Nieto Barajas, toda vez que es el nombre correcto del TUT._x000a__x000a_ _x000a_Aplicación:                 HCOM_x000a_Tipo de Soporte        ACTUALIZACIÓN DE DATOS_x000a_Observaciones:            _x000a_ _x000a_Su petición fue atendida._x000a_" u="1"/>
        <s v="Notificación de seguimiento  [  MA0705202105 ]  _x000a_ _x000a_ _x000a_Estimado(a):                     Martha Rubí Zaragoza Mora_x000a_ _x000a_ _x000a_Le informamos que su ticket correspondiente a:_x000a_               _x000a_El presente correo es para pedir su amable apoyo para el ajuste de términos de los folios debido a que no se enviaron en el momento y se establece como hoy su primer día hábil._x000a_ _x000a_Aplicación:                  INFOMEX NUEVO LEÓN_x000a_Tipo de Soporte:         AJUSTE DE PLAZOS _x000a_Observaciones:            _x000a_ _x000a_Su petición fue atendida_x000a_ _x000a_  _x000a_            Favor de validar._x000a_ _x000a_Estatus:                               Concluido_x000a_" u="1"/>
        <s v="Notificación de seguimiento  [  MA0607202201 ]_x000a_Estimado(a):               Alondra Jiménez Hernández_x000a__x000a_ Le informamos que su ticket correspondiente a:_x000a_Debido al vencimiento del certificado, te pido sea generado un certificado genérico a nombre del TUT y que con el mismo sea habilitado en la HCOM. Los datos son los siguientes:_x000a_Clave_x0009_Sujeto obligado_x0009_Nombre del Titular de la Unidad de Transparencia_x0009_Correo electrónico_x0009_Contraseña_x000a_11181_x0009_Fideicomiso para el Pago de las Obligaciones Laborales de los Trabajadores del Centro de Investigaciones en Óptica, A.C._x0009_Luis Kevin Hernández Foy_x0009_kfoy@cio.mx_x000a_Ver archivo adjunto_x000a__x000a_Aplicación:                  HCOM_x000a_Tipo de Soporte:         GENERACIÓN DE CERTIFICADO Y ACTUALIZACIÓN EN HCOM" u="1"/>
        <s v="Se aplica testado de datos al folio:  0064100189721" u="1"/>
        <s v="Buenas tardes Guillermo, tu petición fue atendida, favor de validar _x000a__x000a_Saludos _x000a__x000a_Marina Adame Velasco_x000a__x000a_Notificación de seguimiento  [  MA1704202002 ]  _x000a__x000a_Aplicación:                  INFOMEX BCN_x000a_Tipo de Soporte:         Reportes solicitados    _x000a_Estatus:                               Concluido._x000a__x000a_" u="1"/>
        <s v="Buenas tardes Guillermo, tu petición fue atendida, favor de validar _x000a__x000a_Saludos _x000a__x000a_Marina Adame Velasco_x000a__x000a_Notificación de seguimiento  [  MA2004202002 ]  _x000a__x000a_Aplicación:                  INFOMEX BCN_x000a_Tipo de Soporte:         Reportes solicitados    _x000a_Estatus:                               Concluido._x000a__x000a_" u="1"/>
        <s v="Se sustituye archivo adjunto del folio: 0064100519820." u="1"/>
        <s v="Se  testan los datos del folio: 0064101726321" u="1"/>
        <s v="Continúa el apoyo en consultas y validación de la información generada con las bases de datos en custodia (casos de diversos estados) en lo referente principalmente a documentación adjunta._x000a_Continúa el traslado de información recuperada de CDMX al repositorio en la red interna (infomex2019 (\\vcifs) Z:)_x000a_De la recuperación de información del Estado de México, se inician las validaciones de los datos, corroborando que el contenido sea congruente, que cumpla con la estructura solicitada. " u="1"/>
        <s v="Configuración de diseño campus iniciativa privada" u="1"/>
        <s v="Se aplica testado de datos al folio:  0064103301520" u="1"/>
        <s v="Notificación de seguimiento  [  MA1501202106 ]  _x000a_ _x000a_ _x000a_Estimado(a):                     JOSÉ MANUEL FLORES ROBLES _x000a_ _x000a_ _x000a_Le informamos que su ticket correspondiente a:_x000a_               _x000a_- Cuántas solicitudes se han presentado, preguntando datos sobre la situación actual, con el siguiente criterio de búesqueda:  “pandemia”, “COVID19”, “COVID-19” y “coronavirus”. El periodo a consultar sería del 1 de diciembre de 2020 al 31 de diciembre del 2020. El resultado igual que la última vez: Sujeto Obligado que recibió la solicitud y el texto de la misma._x000a__x000a_ _x000a_Aplicación:                  INFOMEX QUERÉTARO_x000a_Tipo de Soporte:         REPORTE    _x000a_Observaciones:            _x000a_ _x000a_Su petición fue atendida_x000a_ _x000a_" u="1"/>
        <s v="Buenas tardes Isaac, tu petición fue atendida, favor de validar _x000a__x000a_Saludos _x000a__x000a_Marina Adame Velasco_x000a__x000a_Notificación de seguimiento  [  MA1308202005 ]  _x000a__x000a_Aplicación:                  INFOMEX OAXACA _x000a_Tipo de Soporte:         AJUSTE DE PLAZOS    _x000a_Estatus:                               Concluido._x000a_" u="1"/>
        <s v="Notificación de seguimiento  [  MA0605202203 ]_x000a__x000a_Estimado(a):                Abraham Obed Gallardo González_x000a__x000a_ _x000a_ Le informamos que su ticket correspondiente a:_x000a__x000a__x000a_Con el gusto de saludarles y en espera de que todo marche bien, por instrucciones del Lic. Pedro González Benítez, Director General, por este medio Anexo el registro actualizado del certificado del Titular de la Unidad de Transparencia del Colegio Nacional de Educación Profesional Técnica.  _x000a_ _x000a_Lo Anterior, a fin de que sus accesos sean habilitados en los sistemas que administra este Instituto (HCOM).  CAMBIO DE TITULAR. En cuanto se reciba la atención en HCOM se realizará la actualización de los demás sistemas correspondientes._x000a__x000a_ _x000a_ _x000a_Aplicación:                  HCOM_x000a_Tipo de Soporte:         CAMBIO DE TUT     _x000a_Observaciones:            _x000a_ _x000a_" u="1"/>
        <s v="Se testan los datos de la solicitud con folio: 0320000284921" u="1"/>
        <s v="Se agrega opcion para visualizar contraseñas y se cambian estilos en las opciones de ver contraseña" u="1"/>
        <s v="_x000a_Notificación de seguimiento  [  MA0803202112 ]  _x000a_ _x000a_ _x000a_Estimado(a):                     Rogelio Yair Serafín Medrano_x000a_ _x000a_ _x000a_Le informamos que su ticket correspondiente a:_x000a_               _x000a_solicitar de su amable apoyo con la finalidad de realizar el cambio del tipo de solicitud correspondiente al número de folio 0001100044521, siendo ésta de origen como solicitud de Información Pública, para quedar como solicitud de acceso a Datos Personales_x000a_ _x000a_Aplicación:                  INFOMEX FEDERAL_x000a_Tipo de Soporte:         CAMBIO TIPO DE SOLICITUD   _x000a_Observaciones:            _x000a_ _x000a_Su petición fue atendida_x000a_ _x000a_" u="1"/>
        <s v="Notificación de seguimiento  [  MA1606202119 ]_x000a__x000a_Estimado(a):                Pedro Esquivel Martínez_x000a__x000a_ _x000a_ Le informamos que su ticket correspondiente a:_x000a_               _x000a_sustitución o remplazo del .cer en la Herramienta de comunicación HCOM, en relación al siguiente cuadro descriptivo._x000a__x000a__x000a_ _x000a_Clave Presupuestal   Fideicomiso  _x000a_    Siglas  _x000a_    Actual Titular  _x000a_    CERTIFICADO A GENERAR   Contraseña  _x000a_11600  Organismo Coordinador de las Universidades para el Bienestar Benito Juárez García  OCUBBJG   José Clemente Mejía  11600 . José Clemente Mejía  HCOM11600   _x000a_SISI11600  _x000a__x000a_ _x000a_Aplicación:                  HCOM_x000a_Tipo de Soporte:         CAMBIO DE TUT   _x000a_Observaciones:            _x000a_ _x000a_Su petición fue atendida_x000a_ _x000a_" u="1"/>
        <s v="Notificación de seguimiento  [  MA2806202107 ]_x000a__x000a_Estimado(a):                Pedro Esquivel Martínez_x000a__x000a_ _x000a_ Le informamos que su ticket correspondiente a:_x000a_               _x000a_por este medio Anexo el registro actualizado del certificado del Titular de la Unidad de Enlace de “Comisión Nacional de Libros de Texto Gratuitos”.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_x000a_Tipo de Soporte:         CAMBIO DE CERTIFICADO  _x000a_Observaciones:            _x000a_ _x000a_Su petición fue atendida_x000a_ _x000a_" u="1"/>
        <s v="Revision de procesos PMO " u="1"/>
        <s v="Desarrollo de servicio oauth" u="1"/>
        <s v="Notificación de seguimiento  [  MA1407202204 ]_x000a__x000a__x000a_Estimado(a):               María Fernanda Trejo Vargas_x000a_ Le informamos que su ticket correspondiente a:_x000a__x000a_Confirmamos la solicitud de cambio de Titulares de Transparencia para ambas dependencias._x000a__x000a_60183_x0009_SNTSEGOB_x0009_Sindicato Nacional de Trabajadores de la Secretaría de Gobernación_x0009_Rosa Itzel Lara Torres_x000a_60186_x0009_SNTSRE_x0009_Sindicato Nacional de Trabajadores de la Secretaría de Relaciones Exteriores_x0009__x000a_María Luisa Hernández Mendoza_x000a__x000a_Aplicación:                  HCOM_x000a_Tipo de Soporte:        GENERACIÓN DE CERTIFICADO Y CAMBIO DE TUT ( 2 )" u="1"/>
        <s v="Se le informó al equipo que ya estan los ajustes para el 5to procedimiento de banderas 'OBTENER_FG_AMPLIADO',para que lo revisen y consuman desde el aplicativo " u="1"/>
        <s v="Se le informó al equipo que ya estan los ajustes para el 6to procedimiento de banderas 'OBTENER_FG_ADMITIDO',para que lo revisen y consuman desde el aplicativo " u="1"/>
        <s v="Se aplica el cambio de modalidad de la solicitud: 0063700080020." u="1"/>
        <s v="Definición del tiempo de vida de cuenta de los usuarios " u="1"/>
        <s v="Modificación de referencias de fechas de interposición" u="1"/>
        <s v="Notificación de seguimiento  [  MA0104202002 ]  _x000a_ _x000a_ _x000a_Estimado(a):                     Rafael González García_x000a_ _x000a_Le informamos que su ticket correspondiente a:_x000a_               _x000a_Revisión de plazos del Sindicato Independiente de Trabajadores de El Colegio de Postgraduados (SINTCOP)_x000a__x000a_ _x000a_Aplicación:                  SIGEMI_x000a_Tipo de Soporte:         Revisión de plazos   _x000a_Observaciones:            _x000a_ _x000a_Su petición fue atendida, te comento que se revisó la fecha limite de votación, fecha de cumplimiento y fecha de envió de alegatos en los folios detectados de este Sujeto Obligado, sin embargo en ninguno de los casos se encontró referencia, los expedientes localizados son:_x000a__x000a_RRA 6038/18_x000a_RRA 6005/19_x000a__x000a_Tres recursos aún no están turnados _x000a__x000a_6015000000218_x000a_6015000000118_x000a_6015000000318_x000a_ _x000a__x000a_ _x000a_            Favor de validar._x000a_ _x000a_Estatus:                               Concluido._x000a__x000a__x000a_" u="1"/>
        <s v="Se cambia el tipo de solicitud en folio 0063700414021" u="1"/>
        <s v="Se continúa con la consulta y recuperación de adjuntos del estado de Sonora, donde se logran recuperar  un total de 972  adjuntos de 3,268 faltantes. _x000a_Se inicia el proceso de consultas de adjuntos faltantes del estado de Zacatecas." u="1"/>
        <s v="se aplica eliminación de última respuesta: 0001700082120" u="1"/>
        <s v="Buenas tardes Guillermo, tu petición fue atendida, favor de validar _x000a__x000a_Saludos _x000a__x000a_Marina Adame Velasco_x000a__x000a_Notificación de seguimiento  [  MA0107202010 ]  _x000a__x000a_Aplicación:                  INFOMEX BCN_x000a_Tipo de Soporte:         Ajuste de plazos    _x000a_Estatus:                               Concluido._x000a_" u="1"/>
        <s v="Buenas tardes Guillermo, tu petición fue atendida, favor de validar _x000a__x000a_Saludos _x000a__x000a_Marina Adame Velasco_x000a__x000a_Notificación de seguimiento  [  MA0607202002 ]  _x000a__x000a_Aplicación:                  INFOMEX BCN_x000a_Tipo de Soporte:         Ajuste de plazos    _x000a_Estatus:                               Concluido._x000a_" u="1"/>
        <s v="Buenas tardes Guillermo, tu petición fue atendida, favor de validar _x000a__x000a_Saludos _x000a__x000a_Marina Adame Velasco_x000a__x000a_Notificación de seguimiento  [  MA0607202010 ]  _x000a__x000a_Aplicación:                  INFOMEX BCN_x000a_Tipo de Soporte:         AJUSTE DE PLAZOS    _x000a_Estatus:                               Concluido._x000a_" u="1"/>
        <s v="Buenas tardes Guillermo, tu petición fue atendida, favor de validar _x000a__x000a_Saludos _x000a__x000a_Marina Adame Velasco_x000a__x000a_Notificación de seguimiento  [  MA0607202012 ]  _x000a__x000a_Aplicación:                  INFOMEX BCN_x000a_Tipo de Soporte:         AJUSTE DE PLAZOS    _x000a_Estatus:                               Concluido._x000a_" u="1"/>
        <s v="Buenas tardes Guillermo, tu petición fue atendida, favor de validar _x000a__x000a_Saludos _x000a__x000a_Marina Adame Velasco_x000a__x000a_Notificación de seguimiento  [  MA0906202002 ]  _x000a__x000a_Aplicación:                  INFOMEX BCN_x000a_Tipo de Soporte:         AJUSTE DE PLAZOS    _x000a_Estatus:                               Concluido._x000a_" u="1"/>
        <s v="Buenas tardes Guillermo, tu petición fue atendida, favor de validar _x000a__x000a_Saludos _x000a__x000a_Marina Adame Velasco_x000a__x000a_Notificación de seguimiento  [  MA1407202002 ]  _x000a__x000a_Aplicación:                  INFOMEX BCN_x000a_Tipo de Soporte:         Ajuste de plazos    _x000a_Estatus:                               Concluido._x000a_" u="1"/>
        <s v="Buenas tardes Guillermo, tu petición fue atendida, favor de validar _x000a__x000a_Saludos _x000a__x000a_Marina Adame Velasco_x000a__x000a_Notificación de seguimiento  [  MA1607202002 ]  _x000a__x000a_Aplicación:                  INFOMEX BCN_x000a_Tipo de Soporte:         AJUSTE DE PLAZOS    _x000a_Estatus:                               Concluido._x000a_" u="1"/>
        <s v="Buenas tardes Guillermo, tu petición fue atendida, favor de validar _x000a__x000a_Saludos _x000a__x000a_Marina Adame Velasco_x000a__x000a_Notificación de seguimiento  [  MA1706202001 ]  _x000a__x000a_Aplicación:                  INFOMEX BCN_x000a_Tipo de Soporte:         AJUSTE DE PLAZOS    _x000a_Estatus:                               Concluido._x000a_" u="1"/>
        <s v="Buenas tardes Guillermo, tu petición fue atendida, favor de validar _x000a__x000a_Saludos _x000a__x000a_Marina Adame Velasco_x000a__x000a_Notificación de seguimiento  [  MA2004202003 ]  _x000a__x000a_Aplicación:                  INFOMEX BCN_x000a_Tipo de Soporte:         Ajuste de plazos    _x000a_Estatus:                               Concluido._x000a_" u="1"/>
        <s v="Buenas tardes Guillermo, tu petición fue atendida, favor de validar _x000a__x000a_Saludos _x000a__x000a_Marina Adame Velasco_x000a__x000a_Notificación de seguimiento  [  MA2007202008 ]  _x000a__x000a_Aplicación:                  INFOMEX BCN_x000a_Tipo de Soporte:         Ajuste de plazos    _x000a_Estatus:                               Concluido._x000a_" u="1"/>
        <s v="Buenas tardes Guillermo, tu petición fue atendida, favor de validar _x000a__x000a_Saludos _x000a__x000a_Marina Adame Velasco_x000a__x000a_Notificación de seguimiento  [  MA2707202007 ]  _x000a__x000a_Aplicación:                  INFOMEX BCN_x000a_Tipo de Soporte:         Ajuste de plazos    _x000a_Estatus:                               Concluido._x000a_" u="1"/>
        <s v="Buenas tardes Guillermo, tu petición fue atendida, favor de validar _x000a__x000a_Saludos _x000a__x000a_Marina Adame Velasco_x000a__x000a_Notificación de seguimiento  [  MA2807202004 ]  _x000a__x000a_Aplicación:                  INFOMEX BCN_x000a_Tipo de Soporte:         Ajuste de plazos    _x000a_Estatus:                               Concluido._x000a_" u="1"/>
        <s v="Explicacion nuevos requerimientos" u="1"/>
        <s v="Definición de posibles candidatos a error" u="1"/>
        <s v="Ajuste filtros consulta mis quejas" u="1"/>
        <s v="Se cambia el tipo de solicitud del folio: 0001100084221" u="1"/>
        <s v="Se cambio organizacion de los elementos en buscador de obligaciones y se eliminan los en desuso" u="1"/>
        <s v="Se testan los datos de la solicitud con folio 0002700093921" u="1"/>
        <s v="Notificación de seguimiento  [  MA1908202201 ]_x000a__x000a__x000a_Estimado(a):               Ricardo González Cano_x000a_ Le informamos que su ticket correspondiente a:_x000a_Se corrobora el dato con el sujeto obligado y el titular de la UT es Joel Munguía Vázquez. Favor de generar los accesos para el sujeto con ese nombre._x000a__x000a_Aplicación:                  HCOM_x000a_Tipo de Soporte:        GENERAR CERTIFICADO Y ACTUALIZACIÓN EN HCOM " u="1"/>
        <s v="Notificación de seguimiento  [  MA0503202007 ]  _x000a_ _x000a_ _x000a_Estimado(a):                     José Mario Valadez González_x000a_ _x000a_Le informamos que su ticket correspondiente a:_x000a_               _x000a_Buenas tardes Marina, apreciaría me puedas enviar el certificado del  “Sindicato Nacional de Profesores de Investigación Científica y Docencia del INAH”, lo anterior en razón de que hubo cambio del Secretario General y el anterior Comité lo extravió._x000a_ _x000a_Aplicación:                  HCOM_x000a_Tipo de Soporte:         CAMBIO DE CERTIFICADO  _x000a_Observaciones:            _x000a_ _x000a_Su petición fue atendida, se actualizo el certificado con el que se anexa, no se cambio la contraseña._x000a_ _x000a__x000a_ _x000a_            Favor de validar._x000a_ _x000a_Estatus:                               Concluido._x000a_" u="1"/>
        <s v="Plugin para tabla" u="1"/>
        <s v="Comprobar funcionamiento de servicios" u="1"/>
        <s v="Realizar funcionalidad de busqueda general" u="1"/>
        <s v="Verificación de cuenta de usuario" u="1"/>
        <s v="Se elimina la respuesta del folio: 0000900083721" u="1"/>
        <s v="Notificación de seguimiento  [  MA1702202105 ]  _x000a_ _x000a_ _x000a_Estimado(a):                     ALEJANDRA TEJEDA_x000a_ _x000a_ _x000a_Le informamos que su ticket correspondiente a:_x000a_               _x000a_reporte de solicitudes 2021 con corte al día de hoy._x000a_ _x000a_Aplicación:                  INFOMEX BCN_x000a_Tipo de Soporte:         REPORTE   _x000a_Observaciones:            _x000a_ _x000a_Su petición fue atendida_x000a_ _x000a_" u="1"/>
        <s v="Se  testan los datos del folio: 0064101344821" u="1"/>
        <s v="Se testan los datos de la solicitud con  folio 0000700249321." u="1"/>
        <s v="Se recupera el acuse de la solicitud: 0110000021020." u="1"/>
        <s v="Se aplica cambio de modalidad a las solicitudes: 0000400040420." u="1"/>
        <s v="_x000a_Notificación de seguimiento  [  MA1105202108 ]  _x000a_ _x000a_ _x000a_Estimado(a):                     Edwin Robles Hernández_x000a_ _x000a_ _x000a_Le informamos que su ticket correspondiente a:_x000a_               _x000a_Por este medio solicito de su valioso apoyo para poder aplicar las afectaciones a las fechas de vencimiento y la eliminación de los acuses respectivos de las solicitudes señaladas en el archivo adjunto. Toda vez que el Consejo General aprobará mediante Acuerdo ACDO/CG/IAIP/021/2020._x000a__x000a_ _x000a_Aplicación:                  INFOMEX OAXACA_x000a_Tipo de Soporte:         AJUSTE DE PLAZO   _x000a_Observaciones:            _x000a_ _x000a_Su petición fue atendida_x000a_ _x000a_  _x000a_            Favor de validar._x000a_ _x000a_Estatus:                               Concluido._x000a_" u="1"/>
        <s v="Carga de archivo en solicitud 0002700239321" u="1"/>
        <s v="Se  testan los datos del folio: 0064101374821" u="1"/>
        <s v="Notificación de seguimiento  [  MA0408202009 ]  _x000a_ _x000a_ _x000a_Estimado(a):                     Laura Mónica Segovia Téllez_x000a_ _x000a_Le informamos que su ticket correspondiente a:_x000a_               _x000a_Anteponiendo un saludo,  espero de que estén muy bien ustedes y sus familias con muchas salud, les solicito su amable apoyo a fin de que sean regresado los pasos en la Plataforma Nacional de Transparencia de los Recursos RRA 07467/20 y RRA 7762/20 al paso de admitir-prevenir-desechar. _x000a__x000a_Cabe mencionar que las partes tienen conocimiento de que será notificado el acuerdo de admisión cuando se reanuden los plazos de estos sujetos obligados._x000a__x000a_ _x000a_Aplicación:                  SIGEMI_x000a_Tipo de Soporte:         REGRESO DE PASOS  ( 2 )_x000a_Observaciones:            _x000a_ _x000a_Su petición fue atendida_x000a_ _x000a_" u="1"/>
        <s v="Busqueda y muestra de resultados para la pantalla de respuesta de solicitudes asignadas de GI" u="1"/>
        <s v="_x000a_Notificación de seguimiento  [  MA1712202001 ]  _x000a_ _x000a_ _x000a_Estimado(a):                     Berenice Hernández Sumano_x000a_ _x000a_Le informamos que su ticket correspondiente a:_x000a_               _x000a_ejecutando el siguiente script en el manejador de datos de la base de Infomex Oaxaca_x000a_ _x000a_Aplicación:                  INFOMEX OAXACA_x000a_Tipo de Soporte:         CONSULTA DE DATOS   _x000a_" u="1"/>
        <s v="Notificación de seguimiento  [  MA2506202005 ]  _x000a_ _x000a_ _x000a_Estimado(a):                     Betzabé Flores Terán_x000a_ _x000a_ _x000a_Le informamos que su ticket correspondiente a:_x000a_               _x000a_Solicito de su apoyo para actualizar en la Herramienta de Comunicación los certificados de los sujetos obligados de la base que se adjunta, ya que estos han vencido._x000a_ _x000a_ _x000a_Aplicación:                  HCOM   _x000a_Tipo de Soporte:         ACTUALIZACIÓN DE CERTIFICADOS   ( 45 )_x000a_Observaciones:            _x000a_ _x000a_Le comento que se comenzó la actualización de certificados solicitados, conforme se vayan realizando las actualizaciones se les notificara…_x000a_ _x000a_Se realizó la actualización de los siguientes..._x000a_" u="1"/>
        <s v="Recuperación de cuenta" u="1"/>
        <s v="Se retira un placeholder en campo de perfil page" u="1"/>
        <s v="Notificación de seguimiento  [  MA1612202006 ]  _x000a_ _x000a_ _x000a_Estimado(a):                     Lizbeth Adriana Cabrera Ortega_x000a_ _x000a_ _x000a_Le informamos que su ticket correspondiente a:_x000a_               _x000a_generación UN EXPEDIENTE del recurso de revisión posteriormente citado._x000a_ _x000a_Asimismo, te comento que NO DEBERÁ CAMBIAR el sujeto obligado, ni el Comisionado correspondiente. _x000a_" u="1"/>
        <s v="CAPACITACIÓN PARA ELABORACIÓN DE CARPETAS DE EVALUACIÓN, Semana 1" u="1"/>
        <s v="_x000a_Notificación de seguimiento  [  MA0610202003 ]  _x000a_ _x000a_ _x000a_Estimado(a):                     Adriana Elizabeth Hernández Garcia_x000a_ _x000a_Le informamos que su ticket correspondiente a:_x000a_               _x000a_Por medio del presente te comento que en el paso denominado Registro de la Resolución Firmada relativo al recurso RRA 04829/20 aparece duplicado el paso. _x000a_Al respecto, te solicito, si para ello no existe inconveniente, se elimine uno de los dos registros para estar en condición de cargar las fechas y continuar la notificación de la resolución._x000a_ _x000a_Aplicación:                  SIGEMI_x000a_Tipo de Soporte:         Quitar duplicado   _x000a_Observaciones:            _x000a_ _x000a_Su petición fue atendida_x000a_ _x000a_" u="1"/>
        <s v="Notificación de seguimiento  [  MA2005202002 ]  _x000a_ _x000a_ _x000a_Estimado(a):                     Verónica Santiago Martínez_x000a_ _x000a_Le informamos que su ticket correspondiente a:_x000a_               _x000a_De una consulta realizada al Sistema de Comunicación con los Sujetos Obligados para conocer las resoluciones notificadas los días 18 y 19 de mayo se despliegan cero registros; sin embargo, filtrando por fecha de notificación del 1 de junio, se advierte que se han notificado 41 resoluciones a sujetos obligados para los cuales se aprobó dejar sin efectos la suspensión de plazos y términos, por lo cual te pido se realice el ajuste correspondiente._x000a_ _x000a_Lo anterior, permitirá conocer la fecha de notificación al sujeto obligado y límite de cumplimiento._x000a_ _x000a_ _x000a_Aplicación:                  SIGEMI_x000a_Tipo de Soporte:         ACTUALIZACIÓN DE FECHAS   _x000a_Observaciones:            _x000a_ _x000a_Su petición fue atendida, se anexa archivo con las fechas anteriores y las actualizadas_x000a_ _x000a__x000a_" u="1"/>
        <s v="Se adjuntan los plazos de la solicitud: 1215100047820." u="1"/>
        <s v="Se aplica testado de datos para los folios: 0002700038720, 0002700038820,0002700038920, 0002700039020,0002700039120, 0002700039220,0002700039320." u="1"/>
        <s v="Buenas tardes Guillermo, tu petición fue atendida, te comento que el estatus de las solicitudes solo cambia hasta que el solicitante lee la respuesta de no ser así el estatus se mantiene en proceso aunque ya se haya dado respuesta, favor de validar _x000a__x000a_Saludos _x000a__x000a_Marina Adame Velasco_x000a__x000a_Notificación de seguimiento  [  MA1606202003 ]  _x000a__x000a_Aplicación:                  INFOMEX BCN _x000a_Tipo de Soporte:         Reportes   _x000a_Estatus:                               Concluido._x000a__x000a_" u="1"/>
        <s v="Notificación de seguimiento  [  MA0204202005 ]  _x000a_ _x000a_ _x000a_Estimado(a):                     Alondra Jiménez Hernández_x000a_ _x000a_Le informamos que su ticket correspondiente a:_x000a_               _x000a_Anexo el registro actualizado del certificado del nuevo Titular de la Unidad de Transparencia del Comisión Nacional de los Derechos Humanos (CNDH) para que su acceso sea habilitado en la Herramienta de Comunicación. _x000a__x000a_ _x000a_Aplicación:                  HCOM_x000a_Tipo de Soporte:         CAMBIO DE TUT  _x000a_Observaciones:            _x000a_ _x000a_Su petición fue atendida_x000a_ _x000a__x000a_" u="1"/>
        <s v="Envío de listado de sitios en servidores" u="1"/>
        <s v="_x000a_Notificación de seguimiento  [  MA1809202002 ]  _x000a_ _x000a_ _x000a_Estimado(a):                     Sergio Rafael Cortés Alpizar _x000a_ _x000a_Le informamos que su ticket correspondiente a:_x000a_               _x000a_Por medio del presente, solicito el regreso de actividad a &quot;Preparación del Proyecto de Resolución&quot; y se elimine el cierre de instrucción para volverlo a mandar del siguiente recurso de revisión:_x000a_ _x000a_RRA 2356/20 vs CJF_x000a_ _x000a__x000a_ _x000a_Aplicación:                  SIGEMI_x000a_Tipo de Soporte:         eliminación de cierre  _x000a_Observaciones:            _x000a_ _x000a_Su petición fue atendida_x000a_ _x000a_" u="1"/>
        <s v="Hola Francisco, te envío las referencias para incluirlas en tu consulta_x000a__x000a_Tipo de solicitud _x000a__x000a_JOIN CAMPOCONFIGURABLE CC  ON PSI.C090e33d7 = CC.GUIDVALOR ; el valor a consultar sería cc.nombre_x000a__x000a_Tipo de captura_x000a__x000a_JOIN CAMPOCONFIGURABLE CC1  ON PSI.C3B8C3B4C = CC1.GUIDVALOR ; el valor a consultar sería cc1.nombre_x000a__x000a_No lo incluí en la consulta que me envías porque no me regresa resultados en mi base de pruebas_x000a__x000a_Cualquier duda estoy a tus ordenes_x000a__x000a_Saludos _x000a__x000a_Marina Adame Velasco_x000a_" u="1"/>
        <s v="Se genera certificado para: LIDIA IRIS RODRÍGUEZ RODRÍGUEZ." u="1"/>
        <s v="Se aplica testado de datos al folio:   0064103183820" u="1"/>
        <s v="SUSTITUCIÓN DEL ADJUNTO EN SOLICITUD DE INFORMACION CON FOLIO 0064100986421" u="1"/>
        <s v="Notificación de seguimiento  [  MA1210202002 ]  _x000a_ _x000a_ _x000a_Estimado(a):                     MOISÉS GUZMÁN_x000a_ _x000a_Le informamos que su ticket correspondiente a:_x000a_               _x000a_Estimado Rafa: Por este medio me permito solicitar tu amable apoyo a fin de que me puedas ayudar con los siguientes casos:_x000a_1.      RR-0319/2020 dicho recurso está suspendido, podrás retroceder el Acuerdo de Prevención de fecha dieciocho de septiembre y el acuerdo de  Admisión de fecha cinco de octubre, por favor. (Ultimas dos actuaciones)  _x000a_2.      Al RR-0137/2020 el sujeto sigue suspendido podrás retroceder el acuerdo de fecha cinco de octubre “Enviar información” que es la última actuación ejecutada al momento.  _x000a_3.      Del recurso RR-0218/2020  te quiero pedir si por favor pues hacer la revisión del recurso pues tiene asignado el calendario “Calendario Puebla”, y al hacerle un requerimiento aplicó un calendario diferente, te quiero pedir la adecuación ya que actualmente el desahogo al requerimiento no lo puede ver la ponencia y el sujeto obligado le informa y envía el acuse de que ya lo respondió, para ello te quiero pedir apoyo para que me apoyes corrigiendo las fechas del recurso en base al calendario que tiene asignado y que la ponencia pueda visualizar el desahogo que llevó a cabo el sujeto obligado con respecto al requerimiento que se le hizo. _x000a_Saludos, quedo al pendiente en caso de cualquier duda. _x000a__x000a_Aplicación:                  SIGEMI_x000a_Tipo de Soporte:         REGRESO DE PASOS  _x000a_" u="1"/>
        <s v="Se aplica cambio de modalidad de la solicitud: 0063700126320." u="1"/>
        <s v="Finalización y subida de detalles en tabla y modal en historial" u="1"/>
        <s v="Se sustituye archivo adjunto  del folio: 2510100011521" u="1"/>
        <s v="Se cambian los mensajes de error al iniciar sesion" u="1"/>
        <s v="Se aplica testado de datos al folio: 1816400083320, así como el archivo adjunto." u="1"/>
        <s v="Revision de requerimiento" u="1"/>
        <s v="_x000a_Notificación de seguimiento  [  MA1706202003 ]  _x000a_ _x000a_ _x000a_Estimado(a):                     Lizbeth Adriana Cabrera Ortega_x000a_ _x000a_Le informamos que su ticket correspondiente a:_x000a_               _x000a_Solicito de tu apoyo a fin de modificar el SUJETO OBLIGADO DEL RRA 05294/20._x000a_ _x000a_DICE Secretaría del Trabajo y Previsión Social._x000a_ _x000a_DEBE DECIR Procuraduría Federal de la Defensa del Trabajo_x000a_ _x000a_Asimismo deberá incluirse el folio 1411100012620._x000a_ _x000a_Aplicación:                  SIGEMI_x000a_Tipo de Soporte:         MODIFICACIÓN DE DATOS _x000a_Observaciones:            _x000a_ _x000a_Su petición fue atendida_x000a_ _x000a_" u="1"/>
        <s v="Notificación de seguimiento  [  MA0311202002 ]  _x000a_ _x000a_ _x000a_Estimado(a):                     Pedro Esquivel Martínez_x000a_ _x000a_ _x000a_Le informamos que su ticket correspondiente a:_x000a_               _x000a_realizar el cambio de Titular para el &quot;Fondo de ahorro para los trabajadores de CORETT &quot; a cargo del INSUS_x000a_ _x000a_Aplicación:                  HCOM_x000a_Tipo de Soporte:         CAMBIO TUT   _x000a_Observaciones:            _x000a_ _x000a_Su petición fue atendida_x000a_ _x000a_" u="1"/>
        <s v="Se aplica testado de datos al folio: 0064100568320." u="1"/>
        <s v="Notificación de seguimiento  [  MA0202202102 ]  _x000a_ _x000a_ _x000a_Estimado(a):                     YARENNI ADAME_x000a_  _x000a_Le informamos que su ticket correspondiente a:_x000a_               _x000a_RESPALDO SEMANAL DE LA BASE DE DATOS INFOMEX_x000a_ _x000a_Aplicación:                  INFOMEX GUERRERO_x000a_Tipo de Soporte:         RESPALDO   _x000a_Observaciones:            _x000a_ _x000a_Su petición fue atendida, se subió el respaldo de su base de datos de esta semana…_x000a__x000a__x000a_http://documentos.inai.org.mx/tmp/infomexGUERRERO_backup_2021-02-01_0800.bak_x000a__x000a__x000a_NOTA: El respaldo estará disponible una semana  _x000a__x000a_" u="1"/>
        <s v="Notificación de seguimiento  [  MA0202202104 ]  _x000a_ _x000a_ _x000a_Estimado(a):                     ALAN GARCÍA_x000a_  c_x000a_Le informamos que su ticket correspondiente a:_x000a_               _x000a_RESPALDO SEMANAL DE LA BASE DE DATOS INFOMEX_x000a_ _x000a_Aplicación:                  INFOMEX TLAXCALA_x000a_Tipo de Soporte:         RESPALDO   _x000a_Observaciones:            _x000a_ _x000a_Su petición fue atendida, se subió el respaldo de su base de datos de esta semana…_x000a__x000a__x000a_http://documentos.inai.org.mx/tmp/infomex_tlaxcala_backup_2021-02-01_0800.bak_x000a__x000a__x000a_NOTA: El respaldo estará disponible una semana  _x000a__x000a_" u="1"/>
        <s v="Notificación de seguimiento  [  MA0802202102 ]  _x000a_ _x000a_ _x000a_Estimado(a):                     YARENNI ADAME_x000a_  _x000a_Le informamos que su ticket correspondiente a:_x000a_               _x000a_RESPALDO SEMANAL DE LA BASE DE DATOS INFOMEX_x000a_ _x000a_Aplicación:                  INFOMEX GUERRERO_x000a_Tipo de Soporte:         RESPALDO   _x000a_Observaciones:            _x000a_ _x000a_Su petición fue atendida, se subió el respaldo de su base de datos de esta semana…_x000a__x000a__x000a_http://documentos.inai.org.mx/tmp/infomexGUERRERO_backup_2021-02-08_0800.bak_x000a__x000a__x000a_NOTA: El respaldo estará disponible una semana  _x000a__x000a_" u="1"/>
        <s v="Notificación de seguimiento  [  MA1502202107 ]  _x000a_ _x000a_ _x000a_Estimado(a):                     YARENNI ADAME_x000a_  _x000a_Le informamos que su ticket correspondiente a:_x000a_               _x000a_RESPALDO SEMANAL DE LA BASE DE DATOS INFOMEX_x000a_ _x000a_Aplicación:                  INFOMEX GUERRERO_x000a_Tipo de Soporte:         RESPALDO   _x000a_Observaciones:            _x000a_ _x000a_Su petición fue atendida, se subió el respaldo de su base de datos de esta semana…_x000a__x000a__x000a_http://documentos.inai.org.mx/tmp/infomexGUERRERO_backup_2021-02-15_0800.bak_x000a__x000a__x000a_NOTA: El respaldo estará disponible una semana  _x000a__x000a_" u="1"/>
        <s v="Notificación de seguimiento  [  MA1801202105 ]  _x000a_ _x000a_ _x000a_Estimado(a):                     ALAN GARCÍA_x000a_  c_x000a_Le informamos que su ticket correspondiente a:_x000a_               _x000a_RESPALDO SEMANAL DE LA BASE DE DATOS INFOMEX_x000a_ _x000a_Aplicación:                  INFOMEX TLAXCALA_x000a_Tipo de Soporte:         RESPALDO   _x000a_Observaciones:            _x000a_ _x000a_Su petición fue atendida, se subió el respaldo de su base de datos de esta semana…_x000a__x000a__x000a_http://documentos.inai.org.mx/tmp/infomex_tlaxcala_backup_2021-01-18_0800.bak_x000a__x000a__x000a_NOTA: El respaldo estará disponible una semana  _x000a__x000a_" u="1"/>
        <s v="Agregar clave valor a la respuesta de Custom SQL para la obtención de Usuarios por Rol y la Roles por jerarquía" u="1"/>
        <s v="Se  testan los datos del folio: 0064101375821" u="1"/>
        <s v="Notificación de seguimiento  [  MA1407202203 ]_x000a__x000a__x000a_Estimado(a):               David Mondragón Centeno_x000a__x000a_ Le informamos que su ticket correspondiente a:_x000a__x000a_ACTUALIZACIÓN DEL CERTIFICADO DE LA HCOM DEL SUJETO OBLIGADO 60123 (SITIMTA) “SINDICATO DE TRABAJADORES DEL INSTITUTO MEXICANO DE TECNOLOGÍA DEL AGUA”, EN VIRTUD DE QUE YA SE ENCUENTRA VENCIDO, POR LO QUE MUCHO AGRADECERÉ LA PRONTA REMISIÓN DE DICHO CERTIFICADO ACTUALIZADO.  _x000a__x000a_Aplicación:                  HCOM_x000a_Tipo de Soporte:        GENERACIÓN DE CERTIFICADO Y ACTUALIZACIÓN EN HCOM  _x000a_Observaciones:            _x000a_ _x000a_Su petición fue atendida, se cambió la contraseña, ya que no permitía la actualización en HCOM, quedando la siguiente hcom2022, sin embargo si el usuario requiere el anterior, favor de enviar el dato para realizar el cambio. Se anexa el certificado actualizado." u="1"/>
        <s v="Se  testan los datos de la solicitud con folio 1816400119921_x000a_ _x000a_" u="1"/>
        <s v="Se aplica eliminación de formato de pago: 0063700124821" u="1"/>
        <s v="Se aplica sustitución de archivo al folio: 0110000013320." u="1"/>
        <s v="Los archivos adjuntos solo se visializaban otros organos garantes, excepto saimex, se implementa un metodo nuevo y validaciones para unificar esta parte" u="1"/>
        <s v="Se generó certificado para usuario de dependencia PRD" u="1"/>
        <s v="_x000a_Notificación de seguimiento  [  MA1110202006 ]  _x000a_ _x000a_ _x000a_Estimado(a):                     Martha Rubí Zaragoza Mora_x000a_ _x000a_ _x000a_Le informamos que su ticket correspondiente a:_x000a_               _x000a_Espero se encuentre muy bien. El presente correo es para pedir su amable apoyo para el ajuste de términos de los folios debido al Acuerdo que enviaron los siguientes Sujetos Obligados a la COTAI por el cual se amplían la fecha del 01 al 30 de noviembre de 2020; debiéndose considerar los días comprendidos dentro de dicho periodo como inhábiles para evitar la propagación del coronavirus COVID-19._x000a_ _x000a_Aplicación:                  INFOMEX NUEVO LEÓN_x000a_Tipo de Soporte:         AJUSTE DE PLAZOS   _x000a_Observaciones:            _x000a_ _x000a_Su petición fue atendida_x000a_ _x000a_" u="1"/>
        <s v="Transpilación de modelo a arquitectura de implementación" u="1"/>
        <s v="Se aplica el cambio de modalidad de la solicitud: 0063700080220." u="1"/>
        <s v="Creación de la modal para la descarga de archivos " u="1"/>
        <s v="Se agregan textos de ayuda para notificaciones recurrentes" u="1"/>
        <s v="Se aplica sustitución de archivo de la solicitud: 0002700000920." u="1"/>
        <s v="Se aplica eliminación de formato de pago:  0002100094119" u="1"/>
        <s v="Desarrollo de adecuaciones identificadas solicitadas por el usuario back-end" u="1"/>
        <s v="Se  testan los datos del folio:  0673800035821" u="1"/>
        <s v="Crear certificados para usuarios del Sujeto Obligado CIMAT" u="1"/>
        <s v="Notificación de seguimiento  [  MA2402202007 ]  _x000a_ _x000a_ _x000a_Estimado(a):                     Edgar Michel Loaeza Martínez_x000a_ _x000a_Le informamos que su ticket correspondiente a:_x000a_               _x000a_Por medio del presente solicito su valioso apoyo a efecto de hacer cambio de Titular de la Unidad de Transparencia de la Comisión Nacional del Sistema de Ahorro para el Retiro._x000a__x000a_ _x000a_Aplicación:                  HCOM_x000a_Tipo de Soporte:         CAMBIO DE TITULAR   _x000a_Observaciones:            _x000a_ _x000a_Su petición fue atendida_x000a_ _x000a__x000a_" u="1"/>
        <s v="Notificación de seguimiento  [  MA2405202201 ]_x000a__x000a_Estimado(a):                Jatziry Jiménez Cruz_x000a__x000a_ _x000a_ Le informamos que su ticket correspondiente a:_x000a__x000a_Solicito su apoyo para realizar la actualización en la Herramienta de comunicación del .cer que se adjunta, toda vez que dicho certificado se actualizó por vencimiento. _x000a__x000a__x000a_ _x000a_Aplicación:                  HCOM_x000a_Tipo de Soporte:         ACTUALIZACIÓN DE CERTIFICADO     _x000a_Observaciones:            _x000a_ _x000a_Su petición fue atendida_x000a_ _x000a_" u="1"/>
        <s v="Notificación de seguimiento  [  MA0410202103 ]_x000a__x000a_Estimado(a):                Martha Rubí Zaragoza Mora_x000a__x000a_ _x000a_ Le informamos que su ticket correspondiente a:_x000a_               _x000a_ajuste de términos de un folio de este sujeto obligado por Acuerdo de días inhábiles_x000a__x000a_ _x000a_Aplicación:                  INFOMEX NUEVO LEÓN _x000a_Tipo de Soporte:         AJUSTE DE PLAZO   _x000a_Observaciones:            _x000a_ _x000a_Su petición fue atendida_x000a_" u="1"/>
        <s v="_x000a_Notificación de seguimiento  [  MA2602202013 ]  _x000a_ _x000a_ _x000a_Estimado(a):                     María Guadalupe Rodríguez Morales_x000a_ _x000a_Le informamos que su ticket correspondiente a:_x000a_               _x000a_En relación con el recurso de revisión  RRD 00338/20 UNAM OMGF, solicito de su invaluable apoyo para que a la brevedad en la PNT se regrese al paso “Admitir/Prevenir/Desechar”, toda vez que por error se eligió la opción “Desechar”, siendo que el recurso será prevenido._x000a_ _x000a_  _x000a_En ese sentido, solicito que se haga el cambio correspondiente para poder realizar la notificación del acuerdo de prevención dentro de los plazos previstos en la ley._x000a__x000a_ _x000a_Aplicación:                  SIGEMI_x000a_Tipo de Soporte:         REGRESO DE PASOS  _x000a_Observaciones:            _x000a_ _x000a_Su petición fue atendida_x000a_ _x000a_" u="1"/>
        <s v="Se aplica sustitución de archivo de la solicitud: 1816400369819" u="1"/>
        <s v="Integración de validaciones de direcion de Datos de la Pareja (Declaracion patrimonial) en Declaranet" u="1"/>
        <s v="Se consultan datos de la solicitud 0064100888821, 0064101101621, 0064101448421" u="1"/>
        <s v="Agregado arrows para navegacion detalle solicitud" u="1"/>
        <s v="Implementación de la funcionalidad para exportar solicitudes a texto." u="1"/>
        <s v="Mejora en la funcionalidad de archivos en quejas" u="1"/>
        <s v="Revisión de configuración del servidor de infomex" u="1"/>
        <s v="Implementación del alta de Subtemas." u="1"/>
        <s v="Se aplica el testado de datos de la solicitud: 0064103486719." u="1"/>
        <s v="Se aplica testado de datos al folio:   0064103214920" u="1"/>
        <s v="CAPACITACIÓN PARA ELABORACIÓN DE CARPETAS DE EVALUACIÓN, Semana 2" u="1"/>
        <s v="SUSTITUCIÓN TEXTO Y ADJUNTO EN SOLICITUD DE INFORMACION CON FOLIO 0063700235421" u="1"/>
        <s v="Notificación de seguimiento  [  MA2105202109 ]_x000a__x000a_  _x000a_Estimado(a):                     Edgar Michel Loaeza Martínez_x000a__x000a_ _x000a_ Le informamos que su ticket correspondiente a:_x000a_               _x000a_Por medio del presente solicito su valioso apoyo a efecto de realizar la sustitución de certificado y cambio de TUT del sujeto obligado denominado Instituto Politécnico Nacional en el sistema hcom._x000a__x000a_ _x000a_Aplicación:                  HCOM_x000a_Tipo de Soporte:         CAMBIO DE TUT_x000a_Observaciones:            _x000a_ _x000a_Su petición fue atendida_x000a_ _x000a_" u="1"/>
        <s v="Notificación de seguimiento  [  MA2903202101 ]  _x000a_ _x000a_ _x000a_Estimado(a):                     Moisés Guzmán Arias_x000a_ _x000a_ _x000a_Le informamos que su ticket correspondiente a:_x000a_               _x000a_Buenas tardes, por este medio me permito dirigir a ustedes a fin de solicitar su apoyo para que me puedan proporcionar identificador de Infomex (ID_INFOMEX) de nuestro sistema Infomex de los siguientes sujetos obligados de nueva creación:_x000a__x000a_1.- Instituto Poblano de los Pueblos Indígenas_x000a_2.- Instituto Poblano del Deporte_x000a_ _x000a_Aplicación:                  INFOMEX PUEBLA_x000a_Tipo de Soporte:         CONSULTA DE DATOS   _x000a_" u="1"/>
        <s v="Notificación de seguimiento  [  MA1111202010 ]  _x000a_ _x000a_ _x000a_Estimado(a):                     ROSALINDA CORIA_x000a_ _x000a_ _x000a_Le informamos que su ticket correspondiente a:_x000a_               _x000a_modificar y actualizar el medio de comunicación en el recurso RRD 01534/20, a correo electrónico el cual es bufeteenriqueostos@yahoo.com_x000a__x000a_ _x000a_Aplicación:                  SIGEMI_x000a_Tipo de Soporte:         CAMBIO DE MEDIO  _x000a_Observaciones:            _x000a_ _x000a_Su petición fue atendida_x000a_" u="1"/>
        <s v="Seccion 4 UT" u="1"/>
        <s v="Revision RFC Micro sitio " u="1"/>
        <s v="Modificación mockups asignacion integrante-unidad administrativa" u="1"/>
        <s v="Se  sustituye el archivo de la solicitud con folio: 0000700195121" u="1"/>
        <s v="Instalación Campus Organismos para ejecutar instalador" u="1"/>
        <s v="Se aplica testado de datos al folio: 0064100054621" u="1"/>
        <s v="Desarrollo para la integración de la funcionalidad de registro de una solicitud de información de SISAI para SAIMEX " u="1"/>
        <s v="Notificación de seguimiento  [  MA2002202005 ]  _x000a_ _x000a_ _x000a_Estimado(a):                     Lizbeth Adriana Cabrera Ortega_x000a_ _x000a_Le informamos que su ticket correspondiente a:_x000a_               _x000a_Solicito de su apoyo para modificar la fecha de interposición al día hábil siguiente:_x000a__x000a_Debe decir 20 de febrero_x000a__x000a_ _x000a_Aplicación:                  SIGEMI_x000a_Tipo de Soporte:         Actualización de fechas de interposición  ( 134)_x000a_Observaciones:            _x000a_ _x000a_Su petición fue atendida_x000a_" u="1"/>
        <s v="Notificación de seguimiento  [  MA2107202005 ]  _x000a_ _x000a_ _x000a_Estimado(a):                     Jorge Arturo Gloria Carrales_x000a_ _x000a_Le informamos que su ticket correspondiente a:_x000a_               _x000a_se tome la fecha de registro cómo fecha de interposición (actualmente todos tienen 11/08/2020 como fecha de interposición)_x000a__x000a_ _x000a_Aplicación:                  SIGEMI_x000a_Tipo de Soporte:         Modificación de fecha de interposición_x000a__x000a_Observaciones:            _x000a_ _x000a_Su petición fue atendida_x000a_" u="1"/>
        <s v="Desarrollo del servicio REST que re-expedirá el acuse de registro de solicitud." u="1"/>
        <s v="Se aplica testado de datos al folio:  0000700027921" u="1"/>
        <s v="Cambio en solicitud para token, se pide 5 veces el token antes de mostrar error" u="1"/>
        <s v="Se  testan los datos del folio: 0064100716921" u="1"/>
        <s v="Correcciones en navegación" u="1"/>
        <s v="Continúan consulta general en todos los estados con adjuntos faltantes a razón de incrementar la cantidad de adjuntos recuperados. No se logró recuperar más información. _x000a_Se procede con el respaldo general de la información recuperada para entrega físisca." u="1"/>
        <s v="_x000a_Notificación de seguimiento  [  MA0305202112 ]  _x000a_ _x000a_ _x000a_Estimado(a):                     Moisés Guzmán Arias_x000a_ _x000a_ _x000a_Le informamos que su ticket correspondiente a:_x000a_               _x000a_ampliar el término para prevenirlo al 3 de mayo de 2021_x000a_ _x000a_01237720 estableciendo el término al día 03/05/2021 (03 de mayo de 2021) (DIF)_x000a_ _x000a_Aplicación:                  INFOMEX PUEBLA_x000a_Tipo de Soporte:         AJUSTE DE PLAZO   _x000a_Observaciones:            _x000a_ _x000a_Su petición fue atendida_x000a_ _x000a_  _x000a_            Favor de validar._x000a_ _x000a_Estatus:                               Concluido._x000a_" u="1"/>
        <s v="Modificar consultas para mostrar información de acuerdo a los filtros seleccionados" u="1"/>
        <s v="Notificación de seguimiento  [  MA1708202007 ]  _x000a_ _x000a_ _x000a_Estimado(a):                     Rosalinda Coria Mosqueda_x000a_ _x000a_Le informamos que su ticket correspondiente a:_x000a_               _x000a_ _x000a_Agradeceré su apoyo para actualizar el medio de comunicación en el recurso RRA 06500/20, toda vez que el recurrente solicita de domicilio físico a un correo electrónico, el cual es hcf.vnagroup@gmail.com_x000a_ _x000a_ _x000a_Aplicación:                  SIGEMI_x000a_Tipo de Soporte:         CAMBIO DE MEDIO Y ACTUALIZACIÓN DE CORREO   _x000a_Observaciones:            _x000a_ _x000a_Su petición fue atendida_x000a_ _x000a_" u="1"/>
        <s v="Se cambian validaciones en crear solicitud y se agrega un texto de ayuda en perfil" u="1"/>
        <s v="Notificación de seguimiento  [  MA0708202002 ]  _x000a_ _x000a_ _x000a_Estimado(a):                     Edgar Michel Loaeza Martínez_x000a_ _x000a_Le informamos que su ticket correspondiente a:_x000a_               _x000a_Por medio del presente solicito su valioso apoyo a efecto de realizar el cambio de Titular de la Unidad de Transparencia del Servicio de Administración Tributaria._x000a__x000a__x000a_ _x000a_Aplicación:                  HCOM  _x000a_Tipo de Soporte:         CAMBIO DE TUT   _x000a_Observaciones:            _x000a_ _x000a_Su petición fue atendida_x000a_" u="1"/>
        <s v="Notificación de seguimiento  [  MA2508202102 ]_x000a__x000a_Estimado(a):                Berenice Hernández Sumano_x000a__x000a_ _x000a_ Le informamos que su ticket correspondiente a:_x000a_               _x000a_ya revise los ajustes pero hubo un error en la petición, solicite que el ajuste se realizará con fecha 27/08/2021, cuando la fecha correcta debe ser 27/09/2021 23:59._x000a__x000a_Aplicación:                  INFOMEX OAXACA_x000a_Tipo de Soporte:         AJUSTE DE PLAZOS   _x000a_Observaciones:            _x000a_ _x000a_Su petición fue atendida_x000a_" u="1"/>
        <s v="Notificación de seguimiento  [  MA3108202103 ]_x000a__x000a_Estimado(a):                Leonardo Bustillos Dominguez_x000a__x000a_ _x000a_ Le informamos que su ticket correspondiente a:_x000a_               _x000a_realizar la eliminación del requerimiento IFAI-REQ-004017-2021, IFAI-REQ-004017-2021-A, toda vez que por un error involuntario se notificó a un Sujeto Obligado diverso._x000a__x000a_Aplicación:                  HCOM_x000a_Tipo de Soporte:         ELIMINAR REQUERIMIENTO  _x000a_Observaciones:            _x000a_ _x000a_Su petición fue atendida_x000a_" u="1"/>
        <s v="Se genero certificados para INDIRECTOS DE CONAGUA" u="1"/>
        <s v="Se  testan los datos del folio: 0064101377821" u="1"/>
        <s v="Notificación de seguimiento  [  MA2810202002 ]  _x000a__x000a_ _x000a__x000a_ _x000a__x000a_Estimado(a):                     Moisés Guzmán Arias_x000a__x000a_ _x000a__x000a_ _x000a__x000a_Le informamos que su ticket correspondiente a:_x000a__x000a_               _x000a__x000a_llevar a cabo la actualización del archivo adjunto en la captura del recurso de revisión RR-0343/2020, ya que por error la Coordinación Jurídica adjuntó un archivo diferente al que correspondía al momento de darlo de alta por medio del SICOM, te adjunto el archivo correcto_x000a__x000a_ _x000a__x000a_ _x000a__x000a_Aplicación:                  SIGEMI_x000a__x000a_Tipo de Soporte:         ACTUALIZACIÓN DE ARCHIVO _x000a__x000a_Observaciones:            _x000a__x000a_ _x000a__x000a_Su petición fue atendida" u="1"/>
        <s v="Reinstalación Campus Privado con nueva BD" u="1"/>
        <s v="Notificación de seguimiento  [  MA2303202109 ]  _x000a_ _x000a_ _x000a_Estimado(a):                     CRISTIAN DE JESUS AVENDAÑO PALACIOS_x000a_ _x000a_ _x000a_Le informamos que su ticket correspondiente a:_x000a_               _x000a_aplicar las afectaciones a las fechas de vencimiento y la eliminación de los acuses respectivos de las solicitudes señaladas en el archivo adjunto. Toda vez que el Consejo General aprobará mediante la Quinta Sesión Ordinaria 2021._x000a__x000a_ _x000a_Aplicación:                  INFOMEX OAXACA_x000a_Tipo de Soporte:         AJUSTE DE PLAZO   _x000a_Observaciones:            _x000a_ _x000a_Su petición fue atendida_x000a_ _x000a_" u="1"/>
        <s v="Se sustituye archivo adjunto  del folio: 0000600129521 " u="1"/>
        <s v="Notificación de seguimiento  [  MA2407202001 ]  _x000a_ _x000a_ _x000a_Estimado(a):                     Gustavo Cuevas Romero_x000a_ _x000a_Le informamos que su ticket correspondiente a:_x000a_               _x000a_Por instrucciones del Dr. Luis Felipe Nava Gomar, Director General de Enlace con los Poderes Legislativo y Judicial, me permito solicitar su valioso apoyo, a efecto de realizar modificaciones sobre las fechas de vencimiento de algunos requerimientos realizados mediante HCOM_x000a_ _x000a_Aplicación:                  HCOM_x000a_Tipo de Soporte:         Actualización de fechas en requerimientos   _x000a_Observaciones:            _x000a_ _x000a_Su petición fue atendida_x000a_ _x000a__x000a_" u="1"/>
        <s v="Seccion 10 UT" u="1"/>
        <s v="Desarrollo de adecuaciones identificadas para la funcionalidad de carga de pagos" u="1"/>
        <s v="Se atienden issues encontrados por QA" u="1"/>
        <s v="Se cambia la fecha en la solicitud con  folio: 1857200176321" u="1"/>
        <s v="Se aplica eliminación de formato de pago: 0001600009820 y 0001600059121" u="1"/>
        <s v="Buenas tardes Hugo, de acuerdo a lo que platicamos, te envio script para consultar las fechas de respuestas de las solicitudes, que en la base de datos seria consultar la fechafin del paso donde se documenta la respuesta, aclaro que los nombres de actividades que se incluyeron en el script los tome de una bd de prueba, pero para que se ajuste a los que corresponden a su proceso debes consultar lo siguiente y modificar el script adjunto._x000a__x000a_SELECT DISTINCT NOMBRE FROM PROCESOTIPOPASO WHERE NOMBRE LIKE 'DOCUMENTA%'_x000a__x000a_Posteriormente la actualización de la fechafin del paso se debe de  realizar con el siguiente script_x000a_" u="1"/>
        <s v="Notificación de seguimiento  [  MA2705202003 ]  _x000a_ _x000a_ _x000a_Estimado(a):                      Alondra Jiménez Hernández_x000a_ _x000a_Le informamos que su ticket correspondiente a:_x000a_               _x000a_Anexo el registro actualizado del certificado del Titular de la Unidad de Transparencia del Fondo de Infraestructura y Equipamiento del Instituto Federal de Telecomunicaciones, sujeto obligado indirecto de la IFT, para que su renovación en la Herramienta de Comunicación. _x000a__x000a__x000a_ _x000a_Aplicación:                  HCOM_x000a_Tipo de Soporte:         CAMBIO DE TUT  _x000a_Observaciones:            _x000a_ _x000a_Su petición fue atendida_x000a_ _x000a_" u="1"/>
        <s v="Se testan los datos  del folio: 0064101362821" u="1"/>
        <s v="Notificación de seguimiento  [  MA2603202003 ]  _x000a_ _x000a_ _x000a_Estimado(a):                     Laura Mónica Segovia Tellez_x000a_ _x000a_Le informamos que su ticket correspondiente a:_x000a_               _x000a_Solicito su amable apoyo para hacer el cambio de medio de notificación del RRD 00441/20, ya que el particular pidió que sea cambiado el correo electrónico al siguiente correo: luismaquintero@gmail.com_x000a__x000a__x000a_ _x000a_Aplicación:                  SIGEMI_x000a_Tipo de Soporte:         CAMBIO DE MEDIO   _x000a_Observaciones:            _x000a_ _x000a_Su petición fue atendida_x000a_" u="1"/>
        <s v="Mejoras al modulo de reportes." u="1"/>
        <s v="Se  testan los datos del folio: 0064102194221" u="1"/>
        <s v="Continúa el apoyo en consultas y validación de la información generada con las bases de datos en custodia (casos de diversos estados) en lo referente principalmente a documentación adjunta._x000a_Continúa el traslado de información recuperada de CDMX al repositorio en la red interna (infomex2019 (\\vcifs) Z:) _x000a_De la recuperación de información del Estado de México, se inician las validaciones de los datos corroborando que el contenido sea congruente, que cumpla con la estructura solicitada. _x000a_Continúa la revisión de los datos contenidos con el fin de notificar las posibles anomalías que presente la información cargada del Estado de México. Adicional._x000a_Validar las URL´s remotas de todos los órganos garantes que genera el buscador para corroborar su actualización, confirmando que en los casos de Morelos, Baja California y Baja California Sur no presenta información. _x000a_    Morelos: Se actualizó la ruta remoto logrando llegar al servidor remoto._x000a_    Baja California: Se actualizó la ruta remoto logrando llegar al servidor remoto._x000a_    Baja California Sur: Se realizó el rastreo y se logró construir la ruta remota que permite llegar al servidor remoto. _x000a_Continúa el proceso de análisis comparativo de la información de los catálogos de municipio, colonias y código postal de entre VUT y Federado." u="1"/>
        <s v="Se cambian mensajes de error en providers, se agrega un mensaje generico de error" u="1"/>
        <s v="Se actualizó la fecha en 130 solicitudes del SO IMSS" u="1"/>
        <s v="Se adaptan los modelos para los nuevos parametros incluidos" u="1"/>
        <s v="Notificación de seguimiento  [  MA0806202103 ]_x000a__x000a_Estimado(a):                RICARDO MARIN GONZALEZ _x000a__x000a_ _x000a_ Le informamos que su ticket correspondiente a:_x000a_               _x000a_Por medio del presente solicito de tu amable apoyo para generar un script para del INFOMEX que proporcione la siguiente información._x000a__x000a_• Fecha de recepción_x000a_• Folio_x000a_• Descripción de la solicitud _x000a_• Fecha de respuesta _x000a_• Tipo de respuesta_x000a__x000a_ _x000a_Aplicación:                  INFOMEX QUINTANA ROO_x000a_Tipo de Soporte:         GENERAR SCRIPT   _x000a_" u="1"/>
        <s v="Se aplica el cambio de modalidad para el folio: 0064100095120" u="1"/>
        <s v="Desarrollo funcionalidad descarga links en formato csv portlet" u="1"/>
        <s v="Reunion Continuación revisión Mockups para muestra de los muckups" u="1"/>
        <s v="Buenas tardes Álvaro, envío las instrucciones para agregar un aviso emergente en infomex, las modificaciones se deben de realizar en el archivo default.aspx, me quedo al pendiente de tus resultados  _x000a__x000a_Saludos _x000a__x000a_Marina Adame Velasco_x000a__x000a_Notificación de seguimiento  [  MA2303202001 ]  _x000a__x000a_Aplicación:                  INFOMEX NAYARIT _x000a_Tipo de Soporte:         Asesoria    _x000a_Estatus:                               Concluido._x000a__x000a_" u="1"/>
        <s v="Desarrollo de la funcionalidad para la exportación de la información de los sujetos obligados perteneciente al módulo de federado" u="1"/>
        <s v="Corrección Declaración Fiscal" u="1"/>
        <s v="Pendientes WordPress" u="1"/>
        <s v="Notificación de seguimiento  [  MA1707202002 ]  _x000a_ _x000a_ _x000a_Estimado(a):                     Olga Guadalupe Cristino Sicairos_x000a_ _x000a_Le informamos que su ticket correspondiente a:_x000a_               _x000a_Tratándose del RRA 2879/20 CNBV, solicito atentamente se regrese el último paso que realicé “preparación del proyecto de resolución”, debido a que el archivo y datos que asenté corresponden a un recurso diferente._x000a_ _x000a__x000a_ _x000a_Aplicación:                  SIGEMI_x000a_Tipo de Soporte:         REGRESO DE PASOS  _x000a_Observaciones:            _x000a_ _x000a_Su petición fue atendida_x000a_" u="1"/>
        <s v="documentación." u="1"/>
        <s v="Se localiza acuse de la solicitud: '0064100687120','0064100687420'." u="1"/>
        <s v="Componente catalogo integrante (HTML) (Administrador) " u="1"/>
        <s v="Buenas tardes Alejandro, adjunto scripts, con la información solicitada, te comento que el estatus de las solicitudes en infomex solo es en PROCESO y TERMINADO, este ultimo hasta que se concluyen todas las actividades_x000a__x000a_Respecto a las rutas donde se encuentran los archivos de solicitud y de respuesta los separe en otras consultas, ya que el incluirle esas condiciones hace que el resultado varie_x000a__x000a_favor de validar _x000a__x000a_Saludos _x000a__x000a_Marina Adame Velasco_x000a__x000a_Notificación de seguimiento  [  MA1908202006 ]  _x000a__x000a_Aplicación:                  INFOMEX TAMAULIPAS_x000a_Tipo de Soporte:         SCRIPTS   _x000a_Estatus:                               Concluido._x000a_" u="1"/>
        <s v="Notificación de seguimiento  [  MA1607202007 ]  _x000a_ _x000a_ _x000a_Estimado(a):                    Sergio Rafael Cortés Alpizar_x000a_ _x000a_Le informamos que su ticket correspondiente a:_x000a_               _x000a_Por medio del presente, solicito se regrese la actividad a &quot;Preparación del Proyecto de Resolución&quot;  y se borren los desechamientos para volver a mandar los acuerdos de los siguientes recursos de revisión:_x000a__x000a_RRA 06166/20 vs CFE_x000a_RRA 06551/20  vs ASEA_x000a__x000a_Lo anterior se debe a que se corrigieron los acuerdos y se volverán a enviar._x000a_ _x000a_Aplicación:                  SIGEMI_x000a_Tipo de Soporte:         REGRESO DE PASOS  (2)_x000a_Observaciones:            _x000a_ _x000a_Su petición fue atendida_x000a_ _x000a__x000a_" u="1"/>
        <s v="Notificación de seguimiento [ MA2301202008 ] _x000a_  _x000a_  _x000a_ Estimado(a): Abraham Obed Gallardo González_x000a_  _x000a_ Le informamos que su ticket correspondiente a:_x000a_  _x000a_ Con motivo de la emisión del Dictamen de baja del sujeto obligado Mandato para el pago de compromisos del pabellón aeroespacial CFE-SCT-ASA con clave 09086, se solicita su apoyo a fin de que nos proporcionen el listado de solicitudes de información y recursos de revisión que tiene pendientes de atención al día de hoy dicho sujeto obligado en los Sistemas de la PNT, Infomex y Hcom._x000a_  _x000a_ _x000a_  _x000a_ Aplicación: SIGEMI / HCOM_x000a_ Tipo de Soporte: CONSULTA DE DATOS _x000a_ Observaciones: _x000a_  _x000a_ Su petición fue atendida, le informó que no se encontraron recursos pendientes en HCOM, ni registros de recursos de PNT para este Sujeto Obligado _x000a_  _x000a_  _x000a_  Favor de validar._x000a_  _x000a_ Estatus: Concluido." u="1"/>
        <s v="Parametrización del proyecto" u="1"/>
        <s v="Se aplica sustitución de archivo al folio: 0210000027720." u="1"/>
        <s v="Analisis  y funcionalidad de Consultas Relevantes " u="1"/>
        <s v="Se aplica eliminación de formato de pago: 12151000153620" u="1"/>
        <s v="Se aplica testado de datos al folio: 0000700013321" u="1"/>
        <s v="Error en los mapas interactivos" u="1"/>
        <s v="Se  testan los datos del folio:  0064100633421" u="1"/>
        <s v="Se  testan los datos del folio: 0320000418421" u="1"/>
        <s v="Buenas tardes Berenice, tu petición fue atendida, favor de validar _x000a__x000a_Saludos _x000a__x000a_Marina Adame Velasco_x000a__x000a_Notificación de seguimiento  [  MA0209202001 ]  _x000a__x000a_Aplicación:                  INFOMEX OAXACA_x000a_Tipo de Soporte:         AJUSTE DE PLAZOS    _x000a_Estatus:                               Concluido._x000a_" u="1"/>
        <s v="Buenas tardes Berenice, tu petición fue atendida, favor de validar _x000a__x000a_Saludos _x000a__x000a_Marina Adame Velasco_x000a__x000a_Notificación de seguimiento  [  MA0807202007 ]  _x000a__x000a_Aplicación:                  INFOMEX OAXACA_x000a_Tipo de Soporte:         Ajuste de plazos    _x000a_Estatus:                               Concluido._x000a_" u="1"/>
        <s v="Buenas tardes Berenice, tu petición fue atendida, favor de validar _x000a__x000a_Saludos _x000a__x000a_Marina Adame Velasco_x000a__x000a_Notificación de seguimiento  [  MA0906202005 ]  _x000a__x000a_Aplicación:                  INFOMEX OAXACA_x000a_Tipo de Soporte:         AJUSTE DE PLAZOS    _x000a_Estatus:                               Concluido._x000a_" u="1"/>
        <s v="Buenas tardes Berenice, tu petición fue atendida, favor de validar _x000a__x000a_Saludos _x000a__x000a_Marina Adame Velasco_x000a__x000a_Notificación de seguimiento  [  MA1307202006 ]  _x000a__x000a_Aplicación:                  INFOMEX OAXACA_x000a_Tipo de Soporte:         AJUSTE DE PLAZOS    _x000a_Estatus:                               Concluido._x000a_" u="1"/>
        <s v="Buenas tardes Berenice, tu petición fue atendida, favor de validar _x000a__x000a_Saludos _x000a__x000a_Marina Adame Velasco_x000a__x000a_Notificación de seguimiento  [  MA2204202003 ]  _x000a__x000a_Aplicación:                  INFOMEX OAXACA_x000a_Tipo de Soporte:         AJUSTE DE PLAZOS    _x000a_Estatus:                               Concluido._x000a_" u="1"/>
        <s v="Buenas tardes Berenice, tu petición fue atendida, favor de validar _x000a__x000a_Saludos _x000a__x000a_Marina Adame Velasco_x000a__x000a_Notificación de seguimiento  [  MA2407202006 ]  _x000a__x000a_Aplicación:                  INFOMEX OAXACA_x000a_Tipo de Soporte:         Ajuste de plazos    _x000a_Estatus:                               Concluido._x000a_" u="1"/>
        <s v="Buenas tardes Berenice, tu petición fue atendida, favor de validar _x000a__x000a_Saludos _x000a__x000a_Marina Adame Velasco_x000a__x000a_Notificación de seguimiento  [  MA2508202005 ]  _x000a__x000a_Aplicación:                  INFOMEX OAXACA_x000a_Tipo de Soporte:         AJUSTE DE PLAZOS    _x000a_Estatus:                               Concluido._x000a_" u="1"/>
        <s v="Buenas tardes Berenice, tu petición fue atendida, favor de validar _x000a__x000a_Saludos _x000a__x000a_Marina Adame Velasco_x000a__x000a_Notificación de seguimiento  [  MA3108202006 ]  _x000a__x000a_Aplicación:                  INFOMEX OAXACA_x000a_Tipo de Soporte:         AJUSTE DE PLAZOS    _x000a_Estatus:                               Concluido._x000a_" u="1"/>
        <s v="Reunion Actividades PMO " u="1"/>
        <s v="CAPACITACIÓN PARA ELABORACIÓN DE CARPETAS DE EVALUACIÓN, Semana 3" u="1"/>
        <s v="Buenas tardes, envío información solicitada…_x000a__x000a_NOMBRE GUIDDEPARTAMENTO_x000a_Sindicato de Trabajadores al Servicio de San Nicolás de los Garza y Órganos Descentralizados del Municipio de San Nicolás de los Garza, Nuevo León 20210202-1643-2700-0640-dffc8258b794_x000a__x000a__x000a_Notificación de seguimiento  [  MA0202202120 ]  _x000a_ _x000a_ Aplicación:                  INFOMEX NUEVO LEÓN_x000a__x000a_Saludos _x000a__x000a_Marina Adame_x000a_" u="1"/>
        <s v="El Panóptico: Periodismo y la proteccion de datos personales. " u="1"/>
        <s v="Provider para la busqueda de quejas para los servicios de saimex_x000a_Corrección del flujo de notificaciones para el modulo de quejas" u="1"/>
        <s v="Buenas tardes Joel, tu petición fue atendida, favor de validar _x000a__x000a_Saludos _x000a__x000a_Marina Adame Velasco_x000a__x000a_Notificación de seguimiento  [  MA1006202004 ]  _x000a__x000a_Aplicación:                  INFOMEX COLIMA_x000a_Tipo de Soporte:         AJUSTE DE PLAZOS   _x000a_Estatus:                               Concluido._x000a_" u="1"/>
        <s v="Buenas tardes Joel, tu petición fue atendida, favor de validar _x000a__x000a_Saludos _x000a__x000a_Marina Adame Velasco_x000a__x000a_Notificación de seguimiento  [  MA2404202001 ]  _x000a__x000a_Aplicación:                  INFOMEX COLIMA_x000a_Tipo de Soporte:         AJUSTE DE PLAZOS   _x000a_Estatus:                               Concluido._x000a_" u="1"/>
        <s v="Buenas tardes Joel, tu petición fue atendida, favor de validar _x000a__x000a_Saludos _x000a__x000a_Marina Adame Velasco_x000a__x000a_Notificación de seguimiento  [  MA2404202002 ]  _x000a__x000a_Aplicación:                  INFOMEX COLIMA_x000a_Tipo de Soporte:         AJUSTE DE PLAZOS   _x000a_Estatus:                               Concluido._x000a_" u="1"/>
        <s v="Buenas tardes Joel, tu petición fue atendida, favor de validar _x000a__x000a_Saludos _x000a__x000a_Marina Adame Velasco_x000a__x000a_Notificación de seguimiento  [  MA2801202007 ]  _x000a__x000a_Aplicación:                  INFOMEX COLIMA_x000a_Tipo de Soporte:         AJUSTE DE PLAZOS   _x000a_Estatus:                               Concluido._x000a_" u="1"/>
        <s v="Se  testan los datos del folio: 0064101618321" u="1"/>
        <s v="Se redirecciona al usuario a la pantalla principal al actualizar perfil" u="1"/>
        <s v="corrección en  registro de solicitudes del Sujeto Obligado AUTORIDAD EDUCATIVA FEDERAL EN LA CIUDAD DE MEXICO" u="1"/>
        <s v="Se agrega token de autorizacion para peticiones de concurso" u="1"/>
        <s v="Implementación validaciones y funcionalidad envió a domicilio" u="1"/>
        <s v="Estadistica de solicitudes registradas por infomex y PNT  de 2016 a 2021" u="1"/>
        <s v="_x000a_Notificación de seguimiento  [  MA2802202007 ]  _x000a_ _x000a_ _x000a_Estimado(a):                     Laura Mónica Segovia Tellez_x000a_ _x000a_Le informamos que su ticket correspondiente a:_x000a_               _x000a_Solicito su amable apoyo a fin de que sea corregido el correo electrónico del RRA 02432/20 ya que en el registro  manual no se capturó el correo correcto._x000a__x000a_ _x000a_Aplicación:                  SIGEMI_x000a_Tipo de Soporte:         Cambio de correo   _x000a_" u="1"/>
        <s v="Se cambia el tipo de solicitud del folio:  0411100027221" u="1"/>
        <s v="_x000a_Buenos días Berenice, tu petición fue atendida, favor de validar _x000a__x000a_Saludos _x000a__x000a_Marina Adame Velasco_x000a__x000a_Notificación de seguimiento  [  MA1310202002 ]  _x000a__x000a_Aplicación:                  INFOMEX OAXACA_x000a_Tipo de Soporte:         AJUSTE DE PLAZOS    _x000a_Estatus:                               Concluido._x000a_" u="1"/>
        <s v="servicio para eliminar usuario" u="1"/>
        <s v="Se testan los datos  del folio: 0064101437821" u="1"/>
        <s v="Instalación y configuración de plugin para look and feel campus Organismos Garantes" u="1"/>
        <s v="Se generó certificado para usuario de dependencia Tribunal Superior Agrario" u="1"/>
        <s v="Notificación de seguimiento  [  MA1106202007 ]  _x000a_ _x000a_ _x000a_Estimado(a):                     Sergio Rafael Cortés Alpizar_x000a_ _x000a_Le informamos que su ticket correspondiente a:_x000a_               _x000a_Por medio del presente, solicito el regreso de actividad a &quot; Admitir / Prevenir / Desechar&quot; del siguiente recurso de revisión:_x000a__x000a_RRA 4676/20 vs SEDENA_x000a__x000a_Lo anterior se debe a que se anexo un archivo mal y se enviara de nuevo el acuerdo correcto._x000a__x000a_Ya están avisadas ambas partes._x000a__x000a_ _x000a_Aplicación:                  SIGEMI_x000a_Tipo de Soporte:         REGRESO DE PASOS  _x000a_Observaciones:            _x000a_ _x000a_Su petición fue atendida_x000a_" u="1"/>
        <s v="Notificación de seguimiento  [  MA1911202002 ]  _x000a_ _x000a_ _x000a_Estimado(a):                     SERGIO RAFAEL CORTÉS ALPIZAR_x000a_ _x000a_ _x000a_Le informamos que su ticket correspondiente a:_x000a_               _x000a_Por medio del presente, solicito se regrese la actividad a &quot;Preparación del Proyecto de Resolución&quot;  del siguiente recurso de revisión:_x000a__x000a_RRA 12126/20 vs Registro Agrario Nacional_x000a__x000a_Lo anterior se debe a que se va a corregir el archivo de desechamiento y se volverá a enviar._x000a__x000a_ _x000a_Aplicación:                  SIGEMI_x000a_Tipo de Soporte:         REGRESO DE PASOS   _x000a_Observaciones:            _x000a_ _x000a_Su petición fue atendida_x000a_" u="1"/>
        <s v="Entrega versión final del sitio" u="1"/>
        <s v="Desarrollo y adecuación del soporte de organismo garante que ajusta los cambios realizas en las entidades de base de datos los cuales son: Cambio de tipo de solicitud, testeo de información, cambio de documento adjunto, " u="1"/>
        <s v="Se elmina la respuesta del folio: 122260009621" u="1"/>
        <s v="Revisión de fechas de expiración de certificados" u="1"/>
        <s v="Ajustes de visualización de datos para el detalle de una queja e historial" u="1"/>
        <s v="Se reinicia nuevamente usuario CBOCANEGRA" u="1"/>
        <s v="Envio masivo de correos " u="1"/>
        <s v="Se aplica testado de datos al folios: 0000700100920 así como el archivo adjunto." u="1"/>
        <s v="Notificación de seguimiento  [  MA1109202001 ]  _x000a_ _x000a_ _x000a_Estimado(a):                     Alma Lizbeth Peguero Rivera_x000a_ _x000a_Le informamos que su ticket correspondiente a:_x000a_               _x000a_Por medio de presente, solicito de la manera más atenta, su apoyo para retroceder los pasos en el sistema SIGEMI-SICOM en la PNT del siguiente  asunto RRA 07017/20 JRV, hasta la actividad “Registrar información de la sesión del pleno”; sin más por el momento, quedo en espera de sus comentarios._x000a__x000a_ _x000a_Aplicación:                  SIGEMI_x000a_Tipo de Soporte:         REGRESO DE PASOS   _x000a_Observaciones:            _x000a_ _x000a_Su petición fue atendida_x000a_" u="1"/>
        <s v="Se  testan los datos del folio: 0110000072421" u="1"/>
        <s v="Notificación de seguimiento  [  MA1901202101 ]  _x000a_ _x000a_ _x000a_Estimado(a):                     Moisés Guzmán Arias _x000a__x000a_Le informamos que su ticket correspondiente a:_x000a_               _x000a_Por este medio me permito solicitar tu valioso apoyo a fin de que me puedas ayudar generando el respaldo de la base de datos del Sistema Infomex del Estado de Puebla._x000a_ _x000a_Aplicación:                  INFOMEX PUEBLA_x000a_Tipo de Soporte:         RESPALDO   _x000a_Observaciones:            _x000a_ _x000a_Su petición fue atendida_x000a__x000a_http://documentos.inai.org.mx/tmp/infomexPUEBLA_backup_2021-01-17_2300.bak_x000a_ _x000a_  _x000a_" u="1"/>
        <s v="Se cambia el tipo de solicitud del folio: 0063700194521" u="1"/>
        <s v="Revisión de la estructura de la tabla de Quejas y analizar el número de procedimientos " u="1"/>
        <s v="Se  testan los datos del folio: 0064102012221" u="1"/>
        <s v="Desarrollo de servicios y adecuaciones al formulario de registro de información publica y datos personales, al dashboard de solicitante y de unidad de transparencia permitiendo insertar el nuevo campo de otra modalidad entrega" u="1"/>
        <s v="Se aplica cambio de modalidad a las solicitudes: 0001100082620" u="1"/>
        <s v="Notificación de seguimiento  [  MA2808202004 ]  _x000a_ _x000a_ _x000a_Estimado(a):                     Sergio Rafael Cortés Alpizar_x000a_ _x000a_Le informamos que su ticket correspondiente a:_x000a_               _x000a_Por medio del presente, solicito el regreso de actividad a &quot; Admitir / Prevenir / Desechar&quot; y se eliminen la notificación de prevención del siguiente recurso de revisión:_x000a_ _x000a_RRA 8436/20 vs INSABI_x000a_ _x000a_Lo anterior se debe a que por un error involuntario se anexo un archivo mal y se enviara de nuevo el acuerdo correcto._x000a_ _x000a_Aplicación:                  SIGEMI_x000a_Tipo de Soporte:         REGRESO DE PASOS  _x000a_Observaciones:            _x000a_ _x000a_Su petición fue atendida_x000a_" u="1"/>
        <s v="Se elimina la respuesta del folio:  6430000003521" u="1"/>
        <s v="Se realizan ajustes generales al sitio" u="1"/>
        <s v="Carga de Sede INAI en micrositios" u="1"/>
        <s v="Notificación de seguimiento  [  MA1504202003 ]  _x000a_ _x000a_ _x000a_Estimado(a):                     Lizbeth Adriana Cabrera Ortega_x000a_ _x000a_Le informamos que su ticket correspondiente a:_x000a_               _x000a_modificar los datos del RECURSO RRA 03630/20_x000a_ _x000a_DICE FOLIO_x000a_ _x000a_0002700101320_x000a_ _x000a_DEBE DECIR FOLIO_x000a_ _x000a_2210000024120_x000a_ _x000a_DICE_x000a_ _x000a_SECRETARÍA DE FUNCIÓN PÚBLICA _x000a_ _x000a_DEBE DECIR _x000a_ _x000a_INSTITUTO NACIONAL ELECTORAL_x000a_ _x000a_Asimismo, adjunto el correspondiente acuerdo de turno, para que sea adicionado al expediente electrónico._x000a_ _x000a__x000a_ _x000a_Aplicación:                  SIGEMI_x000a_Tipo de Soporte:         ACTUALIZACIÓN DE DATOS Y DE ACUERDO DE TURNO  _x000a_Observaciones:            _x000a_ _x000a_Su petición fue atendida_x000a_" u="1"/>
        <s v="REVISAR USUARIO DE CAS QUE PRESENTA ERROR" u="1"/>
        <s v="_x000a_Buenas tardes Berenice, tu petición fue atendida, favor de validar _x000a__x000a_Saludos _x000a__x000a_Marina Adame Velasco_x000a__x000a_Notificación de seguimiento  [  MA0810202005 ]  _x000a__x000a_Aplicación:                  INFOMEX OAXACA_x000a_Tipo de Soporte:         AJUSTE DE PLAZOS  _x000a_Estatus:                               Concluido._x000a__x000a_" u="1"/>
        <s v="Modificación de todos los campos " u="1"/>
        <s v="Realizar modul de consultas" u="1"/>
        <s v="Se  testan los datos del folio:0064101930721" u="1"/>
        <s v="Notificación de seguimiento  [  MA1504202113 ]  _x000a_ _x000a_ _x000a_Estimado(a):                     Ing. J. Alexandro Sandoval L_x000a_ _x000a_ _x000a_Le informamos que su ticket correspondiente a:_x000a_               _x000a_Se dieron cuenta de un par de errores en las fechas de interposición de 2 recursos, y queríamos pedirte si se pudieran cambiar estas fechas:_x000a_RR-ICHITAIP-240-2021_x000a_Fecha actual: 16 de Marzo 8:00 Hrs_x000a_Fecha correcta: 8 de Abril 12:05 Hrs_x000a_RR-ICHITAIP-241-2021_x000a_Fecha actual: 22 de Marzo 8:00 Hrs_x000a_Fecha correcta: 12 de Abril 12:28 Hrs_x000a_ _x000a_Aplicación:                  SIGEMI/SICOM_x000a_Tipo de Soporte:         Actualizar fecha de interposición   _x000a_Observaciones:            _x000a_ _x000a_Su petición fue atendida_x000a_" u="1"/>
        <s v="Se  testan los datos de 17 SOLICITUDES" u="1"/>
        <s v="Se elimina la ultima respuesta del folio 0002700076621" u="1"/>
        <s v="Respaldar Curso 5 de Aliados INAI  de la plataforma anterior y restaurar en plataforma actual " u="1"/>
        <s v="Cierre y Presentacion: revision y validacion final, hasta la publicacion de la politica publica en el marco del SNT. " u="1"/>
        <s v="Notificación de seguimiento  [  MA2605202203 ]_x000a__x000a_Estimado(a):                Lizbeth Adriana Cabrera Ortega_x000a__x000a__x000a_ Le informamos que su ticket correspondiente a:_x000a__x000a_generación UN EXPEDIENTE BIS del recurso de revisión posteriormente citado._x000a_ _x000a_Asimismo, te comento que NO DEBERÁ CAMBIAR el sujeto obligado PERO SI EL COMISIONADO A JRV._x000a_ _x000a_ DICE                                        DEBE DECIR                         SUJETO OBLIGADO           PONENTE_x000a_RRD 1223/22 RRD 0090/20-BIS CONSAR JRV_x000a_ _x000a_No omito comentarte que el número d expediente que deberá seguir en el consecutivo por turnar en PNT debe ser el RRD 1223/22_x000a__x000a__x000a_ _x000a_Aplicación:                  SIGEMI_x000a_Tipo de Soporte:        CAMBIO A BIS _x000a_" u="1"/>
        <s v="Se  testan los datos del folio:0064101939721" u="1"/>
        <s v="Notificación de seguimiento  [  MA2608202001 ]  _x000a_ _x000a_ _x000a_Estimado(a):                     David Mendoza Oliva_x000a_ _x000a_Le informamos que su ticket correspondiente a:_x000a_               _x000a_cambio en la fecha de término en la Herramienta de Comunicación para el listado que se adjunta en archivo Excel de los sujetos obligados a  quienes les fue notificado sus Dictámenes de Incumplimiento correspondiente a la verificación vinculante de las obligaciones de transparencia establecidas en la Ley General de Transparencia y Acceso a la Información Pública, y la Ley Federal de Transparencia y Acceso a la Información Pública del año dos mil veinte._x000a_ _x000a_Aplicación:                  HCOM_x000a_Tipo de Soporte:         CAMBIO DE FECHAS EN REQUERIMIENTOS _x000a_Observaciones:            _x000a_ _x000a_Su petición fue atendida_x000a_ _x000a__x000a_" u="1"/>
        <s v="Se cambia el tipo de solicitud del folio: 1410000039821" u="1"/>
        <s v="Incidencias Cuestionario Interactivo" u="1"/>
        <s v="Mapeo servicio guardado de respuesta" u="1"/>
        <s v="Incidencia Bienes Inmuebles Porcentajes" u="1"/>
        <s v="Estimación cambios" u="1"/>
        <s v="Notificación de seguimiento  [  MA0112202009 ]  _x000a_ _x000a_ Estimado(a):                     José Manuel Flores Robles _x000a__x000a_Le informamos que su ticket correspondiente a:_x000a_               _x000a_- Cuántas solicitudes se han presentado, preguntando datos sobre la situación actual, con el siguiente criterio de búsqueda:  “pandemia”, “COVID19”, “COVID-19” y “coronavirus”. El periodo a consultar sería del 1 de enero de 2020 al 30 de noviembre del 2020. El resultado igual que la última vez: Sujeto Obligado que recibió la solicitud y el texto de la misma._x000a_ _x000a_Aplicación:                  INFOMEX QUERÉTARO _x000a_Tipo de Soporte:         REPORTE SOLICITUDES   _x000a_Observaciones:            _x000a_ _x000a_Su petición fue atendida_x000a_" u="1"/>
        <s v="Notificación de seguimiento  [  MA0206202001 ]  _x000a_ _x000a_ _x000a_Estimado(a):                     Tiara Gethsemanni Miranda Fuentes_x000a_ _x000a_Le informamos que su ticket correspondiente a:_x000a_               _x000a_Por medio del presente, solicito de la manera más atenta su apoyo, para poder dejar en la PNT  un solo registro de la Actividad &quot;Registrar información de la sesión del pleno&quot;, en virtud que aparece duplicada como se muestra en la siguiente captura de pantalla, esto para el Recurso de Revisión RRA 01226/20; sin más por el momento, quedo en espera de sus comentario._x000a__x000a_ _x000a_Aplicación:                  SIGEMI_x000a_Tipo de Soporte:         Quitar duplicado  _x000a_Observaciones:            _x000a_ _x000a_Su petición fue atendida_x000a_" u="1"/>
        <s v="Notificación de seguimiento  [  MA0902202104 ]  _x000a_  _x000a_Estimado(a):                     Martha Rubí Zaragoza Mora_x000a_ _x000a_Le informamos que su ticket correspondiente a:_x000a_               _x000a_El presente correo es para pedir su amable apoyo para el ajuste de términos de los folios debido al Acuerdo que enviaron los siguientes Sujetos Obligados a la COTAI por el cual se amplían la fecha del 2 al 28 febrero de 2021; debiéndose considerar los días comprendidos dentro de dicho periodo como inhábiles para evitar la propagación del coronavirus COVID-19._x000a_ _x000a_Aplicación:                  INFOMEX NUEVO LEÓN _x000a_Tipo de Soporte:         AJUSTE DE PLAZOS    _x000a_Observaciones:            _x000a_ _x000a_Su petición fue atendida_x000a_" u="1"/>
        <s v="Se aplica eliminación de formato de pago: 1857200161420" u="1"/>
        <s v="Se corrige la descarga del recibo de pago en el recurrente disponibilidad" u="1"/>
        <s v="Notificación de seguimiento  [  MA1003202112 ]  _x000a_ _x000a_ _x000a_Estimado(a):                     Edgar Michel Loaeza Martínez_x000a_ _x000a_ _x000a_Le informamos que su ticket correspondiente a:_x000a_               _x000a_Por medio del presente solicito su valioso apoyo a efecto de realizar el cambio de Titular de la Unidad de Transparencia de la Secretaría de Comunicaciones y Transportes_x000a__x000a_ _x000a_Aplicación:                  HCOM_x000a_Tipo de Soporte:         CAMBIO TUT   _x000a_" u="1"/>
        <s v="  _x000a_Buenos días Alan, te informo que el respaldo de su base de datos de esta semana ya está en el repositorio…  _x000a__x000a__x000a_http://documentos.inai.org.mx/tmp/infomex_tlaxcala_backup_2020-12_07_0800.bak_x000a__x000a_ _x000a_NOTA: El respaldo estará disponible una semana._x000a_ _x000a_ _x000a_Saludos Cordiales_x000a_ _x000a_Marina Adame Velasco                                                                                          _x000a_" u="1"/>
        <s v="  _x000a_Buenos días Alan, te informo que el respaldo de su base de datos de esta semana ya está en el repositorio…  _x000a__x000a__x000a_http://documentos.inai.org.mx/tmp/infomex_tlaxcala_backup_2020-12_14_0800.bak_x000a__x000a_ _x000a_NOTA: El respaldo estará disponible una semana._x000a_ _x000a_ _x000a_Saludos Cordiales_x000a_ _x000a_Marina Adame Velasco                                                                                          _x000a_" u="1"/>
        <s v="  _x000a_Buenos días Alan, te informo que el respaldo de su base de datos de esta semana ya está en el repositorio…  _x000a__x000a__x000a_http://documentos.inai.org.mx/tmp/infomex_tlaxcala_backup_2020-12_28_0800.bak_x000a__x000a_ _x000a_NOTA: El respaldo estará disponible una semana._x000a_ _x000a_ _x000a_Saludos Cordiales_x000a_ _x000a_Marina Adame Velasco                                                                                          _x000a_" u="1"/>
        <s v="Realizar modul de país" u="1"/>
        <s v="Se aplica el testado de datos de la solicitud: 0673800020020" u="1"/>
        <s v="_x000a_Notificación de seguimiento  [  MA0502202106 ]  _x000a_ _x000a_ _x000a_Estimado(a):                     ALEJANDRA TEJEDA_x000a_ _x000a_ _x000a_Le informamos que su ticket correspondiente a:_x000a_               _x000a_REPORTE SEMANAL DE SOLICITUDES REGISTRADAS 2021_x000a_ _x000a_Aplicación:                  INFOMEX BCN_x000a_Tipo de Soporte:         REPORTE   _x000a_" u="1"/>
        <s v="Notificación de seguimiento  [  MA0503202003 ]  _x000a_ _x000a_ _x000a_Estimado(a):         Luis Javier Mendoza Rueda            _x000a__x000a_ _x000a_Le informamos que su ticket correspondiente a:_x000a_               _x000a_Se gen ero el Ticket #PNT003427_x000a_ _x000a_Estimados_x000a__x000a_Solicito su apoyo para realizar cambio de sujeto obligado en el INFOCDMX/RR.IP.1009/2020, con número de solicitud 5003000188619: _x000a__x000a__x000a_Error: Alcaldía Xochimilco_x000a__x000a_Corrección: CONGRESO DE LA CIUDAD DE MÉXICO._x000a_ _x000a_Aplicación:                  SIGEMI_x000a_Tipo de Soporte:         CAMBIO DE SUJETO OBLIGADO  _x000a_" u="1"/>
        <s v="Ejecución de OT 5 Campus Privada" u="1"/>
        <s v="Se sustituye archivo adjunto  del folio:  0064100828021" u="1"/>
        <s v="Implementación de mejoras en vistas portlet administración" u="1"/>
        <s v="Se aplica sustitución de archivo de la solicitud: 1816400002320." u="1"/>
        <s v="Buenos días, les informo que el respaldo de su base de datos de esta semana ya está en el repositorio…   _x000a__x000a_http://documentos.inai.org.mx/tmp/infomexGUERRERO_backup_2021-06-28_0800.bak_x000a_Saludos Cordiales_x000a_Marina Adame Velasco       _x000a__x000a__x000a_Notificación de seguimiento  [  MA2806202103 ]_x000a_ _x000a_Aplicación:                  INFOMEX GUERRERO _x000a_Tipo de Soporte:         RESPALDO DE BD  _x000a__x000a_Estatus:                               Concluido_x000a_" u="1"/>
        <s v="Buenas tardes Martha, tu petición fue atendida, favor de validar _x000a__x000a_Saludos _x000a__x000a_Marina Adame Velasco_x000a__x000a_Notificación de seguimiento  [  MA0604202003 ]  _x000a__x000a_Aplicación:                  INFOMEX NUEVO LEÓN _x000a_Tipo de Soporte:         Corrección de plazo   _x000a_Estatus:                               Concluido._x000a_" u="1"/>
        <s v="Buenas tardes Martha, tu petición fue atendida, favor de validar _x000a__x000a_Saludos _x000a__x000a_Marina Adame Velasco_x000a__x000a_Notificación de seguimiento  [  MA3103202004 ]  _x000a__x000a_Aplicación:                  INFOMEX NUEVO LEÓN_x000a_Tipo de Soporte:         Corrección de plazos   _x000a_Estatus:                               Concluido._x000a_" u="1"/>
        <s v="Corrección de error en App para descargar archivos por HTTP" u="1"/>
        <s v="Notificación de seguimiento  [  MA2302202101 ]  _x000a_ _x000a_ _x000a_Estimado(a):                     Edgar Michel Loaeza Martínez_x000a_ _x000a_ _x000a_Le informamos que su ticket correspondiente a:_x000a_               _x000a_Por medio del presente solicito su valioso apoyo a efecto de realizar la renovación de certificado del sujeto obligado indirecto de la Oficina de la Presidencia de la República en el hcom._x000a__x000a_ _x000a_Aplicación:                  HCOM_x000a_Tipo de Soporte:         CAMBIO TUT   _x000a_" u="1"/>
        <s v="Notificación de seguimiento  [  MA2502202106 ]  _x000a_ _x000a_ _x000a_Estimado(a):                     EDGAR MICHEL LOAEZA MARTÍNEZ _x000a_ _x000a_ _x000a_Le informamos que su ticket correspondiente a:_x000a_               _x000a_Por medio del presente solicito su valioso apoyo a efecto de realizar la renovación de certificado del sujeto obligado indirecto de la Oficina de la Presidencia de la República en el hcom._x000a_ _x000a_Aplicación:                  HCOM_x000a_Tipo de Soporte:         CAMBIO TUT   _x000a_" u="1"/>
        <s v="Se tuvo sesión rapida con Samuel y Antonio para aclarar dudas sobre el 1er procedimiento de tabla de Quejas" u="1"/>
        <s v="Validaciones formularios y mensajes de error" u="1"/>
        <s v="Se aplica testado de datos al folio:  0064103077520" u="1"/>
        <s v="Se aplica eliminación de formato de pago: 1219000061221" u="1"/>
        <s v="Buenos días César, puedes agregar las extensiones en el archivo configsistema.xml, que se encuentra en la carpeta IFAI\CONFIGURACION _x000a__x000a_Saludos _x000a__x000a_Marina Adame_x000a_" u="1"/>
        <s v="Se aplica el cambio de modalidad a la solicitud: 0411100008020 " u="1"/>
        <s v="Notificación de seguimiento  [  MA2004202118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09 al 30 de abril 2021; debiéndose considerar los días comprendidos dentro de dicho periodo como inhábiles para evitar la propagación del coronavirus COVID-19._x000a_ _x000a_Aplicación:                  INFOMEX NUEVO LEÓN_x000a_Tipo de Soporte:         AJUSTE DE PLAZO    _x000a_" u="1"/>
        <s v="Crear certificado y alta para usuario del Orden de Capitanes y Pilotos Navales de la República Mexicana, Similares y Conexos" u="1"/>
        <s v="Analisis de la solicitud de Acceso a la Información Publica " u="1"/>
        <s v="Notificación de seguimiento  [  MA1908202002 ]  _x000a_ _x000a_ _x000a_Estimado(a):                     Berenice Hernández Sumano_x000a_ _x000a_Le informamos que su ticket correspondiente a:_x000a_               _x000a_Por este medio solicito su apoyo para poder aplicar las afectaciones a las fechas:  Entrega de información relacionada con el Cumplimiento y Entrega de Alegatos y manifestaciones, de los recursos señalados en el archivo adjunto. Toda vez que el Consejo General aprobará en su Décima Cuarta Sesión Ordinaria 2020, el ACUERDO POR EL CUAL EL CONSEJO GENERAL DEL INSTITUTO DE ACCESO A LA INFORMACIÓN PÚBLICA Y PROTECCIÓN DE DATOS PERSONALES, APRUEBA LA MODIFICACIÓN DEL RESOLUTIVO SEGUNDO DEL ACUERDO APROBADO EN LA DÉCIMA SESIÓN ORDINARIA, CELEBRADA EL TREINTA DE JUNIO DEL AÑO DOS MIL VEINTE, EN EL SENTIDO DE AMPLIAR SUS EFECTOS AL 01 DE OCTUBRE DEL AÑO EN CURSO, CON MOTIVO DE LA EMERGENCIA SANITARIA POR CAUSA DE FUERZA MAYOR, GENERADA POR EL VIRUS SARS-CoV2 (COVID-19)_x000a_http://iaipoaxaca.org.mx/site/descargas/acuerdos/ACUERDO_SUSPENSION_DE_PLAZOS_CONTINGENCIA_SANITARIA_01_10_2020.pdf_x000a_ _x000a_Aplicación:                  SIGEMI_x000a_Tipo de Soporte:         AJUSTE DE FECHAS  _x000a_Observaciones:            _x000a_ _x000a_Su petición fue atendida_x000a_ _x000a_" u="1"/>
        <s v="Se aplica testado de datos al folio: 0064100193221" u="1"/>
        <s v="Continúa el apoyo en consultas y validación de la información generada con las bases de datos en custodia (casos de diversos estados) en lo referente principalmente a documentación adjunta.  _x000a_Se realizó la población de las tablas derivadas de los catálogos de VUT._x000a_Se inicia la extracción de información del estado de México, documentación adjunta 2008" u="1"/>
        <s v=" _x000a_Notificación de seguimiento  [  MA1510202008 ]  _x000a_ _x000a_ _x000a_Estimado(a):                     Lizbeth Adriana Cabrera Ortega_x000a_ _x000a_Le informamos que su ticket correspondiente a:_x000a_               _x000a_Pido de su valioso apoyo a fin de que el expediente BIS creado en PNT  RRA 05487/19-BIS  aparezca a 4 posiciones y no cinco_x000a_ _x000a_DEBE DECIR_x000a_ _x000a_5487/19-BIS_x000a_ _x000a_Aplicación:                  SIGEMI_x000a_Tipo de Soporte:         CAMBIO DE DIGITOS EN BIS  _x000a_Observaciones:            _x000a_ _x000a_Su petición fue atendida_x000a_ _x000a_" u="1"/>
        <s v="Notificación de seguimiento  [  MA3011202008 ]  _x000a_  _x000a_Estimado(a):                     Pedro Esquivel Martínez_x000a_  _x000a_Le informamos que su ticket correspondiente a:_x000a_               _x000a_por este medio solicito tu valioso apoyo al haber cambio de Titular, anexo el registro actualizado del certificado del Titular de la Unidad de Enlace del  “Pronósticos para la Asistencia Pública” Lo Anterior a fin de que sus accesos sean habilitados en los otros sistemas que administra este Instituto (HCOM).  CAMBIO DE TITULAR, en cuanto se reciba la atención en HCOM se realizará la actualización de los demás sistemas correspondientes._x000a_ _x000a_ _x000a_Aplicación:                  HCOM_x000a_Tipo de Soporte:         CAMBIO TUT   _x000a_Observaciones:            _x000a_ _x000a_Su petición fue atendida_x000a_" u="1"/>
        <s v="Se  testan los datos del folio: 0064101443321" u="1"/>
        <s v="Se realiza la eliminación del formato de pago del folio 0002700277620" u="1"/>
        <s v="Implementación validaciones y creación clases de error componente radioButttons" u="1"/>
        <s v="_x000a_Notificación de seguimiento  [  MA2704202106 ]  _x000a_  _x000a_Estimado(a):                     Martha Rubí Zaragoza Mora_x000a_  _x000a_Le informamos que su ticket correspondiente a:_x000a_               _x000a_El presente correo es para pedir su amable apoyo para el ajuste de términos de los folios debido al Acuerdo que enviaron los siguientes Sujetos Obligados a la COTAI por el cual se amplían la fecha del 09 al 30 de abril 2021; debiéndose considerar los días comprendidos dentro de dicho periodo como inhábiles para evitar la propagación del coronavirus COVID-19._x000a__x000a_Aplicación:                  INFOMEX NUEVO LEÓN_x000a_Tipo de Soporte:         AJUSTE DE PLAZO   _x000a_Observaciones:            _x000a_ _x000a_Su petición fue atendida_x000a_  _x000a_            Favor de validar._x000a_ Estatus:                               Concluido._x000a__x000a_" u="1"/>
        <s v="Actualizar contraseña del usuario del S.O. Camara de Diputados" u="1"/>
        <s v="Se aplica sustitución de archivo de la solicitud: 0064103654719." u="1"/>
        <s v="Analizar los recursos del sistema (Configuración y diseño E/S)" u="1"/>
        <s v="Buenas tardes Guillermo, tu petición fue atendida, favor de validar _x000a__x000a_Saludos _x000a__x000a_Marina Adame Velasco_x000a__x000a_Notificación de seguimiento  [  MA0605202004 ]  _x000a__x000a_Aplicación:                  INFOMEX BCN_x000a_Tipo de Soporte:         REPO   _x000a_Estatus:                               Concluido._x000a__x000a_" u="1"/>
        <s v="Buenos días Isaac, tu petición fue atendida, favor de validar _x000a__x000a_Saludos _x000a__x000a_Marina Adame Velasco_x000a__x000a_Notificación de seguimiento  [  MA1509202003 ]  _x000a__x000a_Aplicación:                  INFOMEX OAXACA_x000a_Tipo de Soporte:         AJUSTE DE PLAZOS    _x000a_Estatus:                               Concluido._x000a__x000a_" u="1"/>
        <s v="Notificación de seguimiento  [  MA2303202104 ]  _x000a_ _x000a_ _x000a_Estimado(a):                     Pedro Esquivel Martínez_x000a_ _x000a_ _x000a_Le informamos que su ticket correspondiente a:_x000a_               _x000a_se sustituya el presente en la Herramienta de comunicación HCOM, esto en relación al siguiente cuadro descriptivo:_x000a__x000a_Clave Presupuestal    Sujeto Obligado Titular de la unidad de transparencia    CERTIFICADO A GENERAR    Contraseña   _x000a_11280  _x000a_Instituto de Investigaciones &quot;Dr. José María Luis Mora&quot; Ernesto Quezada Sevilla 11280.Ernesto Quezada Sevilla HCOM:_x000a_HCOM11280_x000a_ _x000a_INFOMEX_x000a_SISI11280  _x000a_ _x000a_Aplicación:                  HCOM_x000a_Tipo de Soporte:         CAMBIO TUT   _x000a_" u="1"/>
        <s v="Se  testan los datos del folio: 0064101577321" u="1"/>
        <s v="Se aplica eliminación de ultima respuesta al folio: 1857200071620." u="1"/>
        <s v="Se  testan los datos del folio: 1816400154021" u="1"/>
        <s v="Se testan los datos  del folio: 0064101366821" u="1"/>
        <s v="Se cambia el tipo de solicitud del folio: 00011000842210001100129121 " u="1"/>
        <s v="Desarrollo de las descripciones que se acordaron para la bitacora en todo el proyecto." u="1"/>
        <s v="Buenas noches, adjunto los scripts con el filtro de fecha de Inicio del proceso _x000a__x000a_Cualquier observación estoy a sus ordenes_x000a__x000a_Saludos _x000a__x000a_Marina Adame_x000a_" u="1"/>
        <s v="DTO catalogo integrante (Administrador)" u="1"/>
        <s v="Entrega de respaldo de base de datos semanal del infomex Oaxaca" u="1"/>
        <s v="Creación de cuenta y configuración permisos a Gabriela Gonzalez" u="1"/>
        <s v="Se sustituye el archivo adjunto de la solicitud con folio  0063700352421" u="1"/>
        <s v="Buenas tardes Martha, tu petición fue atendida, favor de validar _x000a__x000a_Saludos _x000a__x000a_Marina Adame Velasco_x000a__x000a_Notificación de seguimiento  [  MA0405202002 ]  _x000a__x000a_Aplicación:                  INFOMEX NL_x000a_Tipo de Soporte:         AJUSTE DE PLAZOS    _x000a_Estatus:                               Concluido._x000a_" u="1"/>
        <s v="Atención y seguimiento a tickets y correos respecto al acceso de usuarios a la PNT.  (Análisis) Eliminación de cuenta de usuarios" u="1"/>
        <s v="Se  testan los datos del folio y se sustituye: 0064100432221" u="1"/>
        <s v="Validación de diccionarios y etiquetas SIPOT" u="1"/>
        <s v="Notificación de seguimiento  [  MA2801202103 ]  _x000a_ _x000a_ _x000a_Estimado(a):                     NANCY GOMEZ CISNEROS _x000a_ _x000a_ _x000a_Le informamos que su ticket correspondiente a:_x000a_               _x000a_ACTUALIZACIÓN DE CERTIFICADO DE LA USUARIA NANCY GOMEZ CISNEROS_x000a_ _x000a_Aplicación:                  HCOM _x000a_Tipo de Soporte:         ACTUALIZACION DE CERTIFICADO    _x000a_" u="1"/>
        <s v="Se  testan los datos del folio: 0064100813421" u="1"/>
        <s v="Se aplica testado de datos al folio: 0000600041621" u="1"/>
        <s v="Notificación de seguimiento  [  MA0402202009 ]  _x000a_ _x000a_ _x000a_Estimado(a):                     Omar Antonio Méndez Mendoza_x000a_ _x000a_Le informamos que su ticket correspondiente a:_x000a_               _x000a_Me permito solicitar tu valioso apoyo, a efecto de eliminar el comunicado realizado por HCOM, con los folios siguientes: IFAI-REQ-000255-2020 y IFAI-REQ-000255-2020-A_x000a__x000a_Lo anterior, toda vez que por un error involuntario se envió un documento que no correspondía._x000a__x000a__x000a_ _x000a_Aplicación:                  HCOM_x000a_Tipo de Soporte:         Eliminar comunicados   _x000a_" u="1"/>
        <s v="Se implementan metodos y validaciones adicionales para unificar el historial en respuestas de quejas" u="1"/>
        <s v="Se actualizaron valores en ASIGNACION a dependencia 641" u="1"/>
        <s v="Se sustituye archivo adjunto  del folio:  0002700114621" u="1"/>
        <s v="Incidencias producción Colima y Guerrero" u="1"/>
        <s v="Se aplica testado de datos al folio:  0000700051421 " u="1"/>
        <s v="Ambientación para campus Público versión 2.1" u="1"/>
        <s v="Buenas tardes Guillermo, tu petición fue atendida, aclaro que el estatus de la solicitud en el infomex es en proceso o terminada cuando ya se concluyeron todos los pasos_x000a__x000a_Saludos _x000a__x000a_Marina Adame Velasco_x000a__x000a_Notificación de seguimiento  [  MA2804202002 ]  _x000a__x000a_Aplicación:                  INFOMEX BCN_x000a_Tipo de Soporte:         REPORTE   _x000a_Estatus:                               Concluido._x000a_ _x000a_" u="1"/>
        <s v="Alta/Baja/Modificación de Sentidos de Resolución" u="1"/>
        <s v="24 de abril: Se intenta acceder a la VPN y cambiar varias configuraciones de la VPN para poder acceder a servidores sin éxito para revisar el error _x000a_26- abril: Se accede a VPN y se puede entrar a servidores y se revisa tablas, en diferentes periodos de tiempo, así como tambien se revisa los conssecutivos del sistema._x000a_27 - abril: Se da respuesta al usuario directamente y se explica la situación" u="1"/>
        <s v="Se  testan los datos de la solicitud con folio 2210000091221_x000a_" u="1"/>
        <s v="Se cambia la modalidad en la solicitud con folio: 0064101606021" u="1"/>
        <s v="Notificación de seguimiento  [  MA2807202008 ]  _x000a_ _x000a_ _x000a_Estimado(a):                     Edgar Michel Loaeza Martínez_x000a_ _x000a_Le informamos que su ticket correspondiente a:_x000a_               _x000a_Por medio del presente solicito su valioso apoyo a efecto de hacer cambio de Titular de la Unidad de Transparencia del Colegio Superior Agropecuario del Estado de Guerrero._x000a__x000a_Para tal efecto, anexo al presente el certificado, nombramiento y cédula de registro, lo anterior, a fin de que sus accesos sean habilitados en los sistemas que administra este Instituto (HCOM e INFOMEX).  _x000a__x000a_ _x000a_Aplicación:                  HCOM  _x000a_Tipo de Soporte:         CAMBIO DE TUT  _x000a_" u="1"/>
        <s v="Buenas noches Fernando, te comento que de la revisión realizada el folio 01127920, tiene un plazo correcto ya que se registro el día 19 de Octubre en horario hábil, por lo que el conteo comenzó el día 20 de  octubre,  al 3 de Noviembre, son los 10 días que tienen definido en su proceso. No sucede lo mismo con el folio 01129720 por lo que para realizar la corrección del plazo requiero de su autorización para hacer el ajuste así como que me indiquen cual es la fecha de caducidad correcta._x000a_" u="1"/>
        <s v="Soporte Nayarit" u="1"/>
        <s v="Notificación de seguimiento  [  MA1306202202 ]_x000a__x000a_Estimado(a):                Alondra Jiménez Hernández_x000a__x000a_ _x000a_ Le informamos que su ticket correspondiente a:_x000a__x000a__x000a_Anexo el registro del certificado del nuevo Titular de la Unidad de Transparencia de FONATUR CONSTRUCTORA para que su acceso sea habilitado en la Herramienta de Comunicación. _x000a_ _x000a__x000a_ _x000a_Aplicación:                  HCOM_x000a_Tipo de Soporte:         CAMBIO DE TUT      _x000a_Observaciones:            _x000a_ _x000a_Su petición fue atendida_x000a_ _x000a_ _x000a_" u="1"/>
        <s v="Notificación de seguimiento  [  MA1101202104 ]  _x000a_ _x000a_ _x000a_Estimado(a):                     FRANCISCO LIRA_x000a_  _x000a_Le informamos que su ticket correspondiente a:_x000a_               _x000a_RESPALDO SEMANAL DE LA BASE DE DATOS INFOMEX_x000a_ _x000a_Aplicación:                  INFOMEX NUEVO LEÓN_x000a_Tipo de Soporte:         RESPALDO   _x000a_Observaciones:            _x000a_ _x000a_Su petición fue atendida, se subió el respaldo de su base de datos de esta semana…_x000a_http://documentos.inai.org.mx/tmp/infomexNL_backup_2021-01-18_0800.bak_x000a_" u="1"/>
        <s v="Se testan los datos de la solicitud con folio: 0064101643021" u="1"/>
        <s v="Se aplica eliminación de formato de pago: 0063700283918" u="1"/>
        <s v="_x000a_Notificación de seguimiento  [  MA2409202012 ]  _x000a_ _x000a_ _x000a_Estimado(a):                     Martha Rubí Zaragoza Mora_x000a_ _x000a_Le informamos que su ticket correspondiente a:_x000a_               _x000a_el folio 00610120 y corregir el ajuste de fecha debido al acuerdo los días empiezan a contar el 01 de octubre de 2020 y su fecha de vencimiento seria el 16 de octubre ya que el 12 de octubre es día inhábil._x000a__x000a_ _x000a_Aplicación:                  INFOMEXNL_x000a_Tipo de Soporte:         Corrección de fecha de caducidad  _x000a_" u="1"/>
        <s v="Se renombra el expediente del caso 5001670." u="1"/>
        <s v="Se aplica testado de datos al folio:  0064103363420" u="1"/>
        <s v="Se realiza baja de  Sujeto Obligado " u="1"/>
        <s v="Notificación de seguimiento  [  MA0207202007 ]  _x000a_ _x000a_ _x000a_Estimado(a):                     Jaime Enrique López Muñoz_x000a_ _x000a_Le informamos que su ticket correspondiente a:_x000a_               _x000a_En relación con el recurso de revisión RRA 06384/20 vs API PTO. VALLARTA el recurrente señaló como medio de notificación a través del Portal del SIGEMI. Sin embargo, mediante su escrito recursal, el recurrente señala expresamente su domicilio particular como el medio para recibir notificaciones; por lo que se solicita su valioso apoyo a efecto de que en la Plataforma Nacional de Transparencia (PNT) se cambie el medio de notificación del recurrente a su domicilio particular, a efecto de que pueda recibir las notificaciones correspondientes._x000a__x000a_ _x000a_Aplicación:                  SIGEMI_x000a_Tipo de Soporte:         CAMBIO DE MEDIO   _x000a_Observaciones:            _x000a_ _x000a_Su petición fue atendida_x000a_" u="1"/>
        <s v="_x000a_Notificación de seguimiento  [  MA2509202006 ]  _x000a_ _x000a__x000a_Estimado(a):                     Mario Alberto Sánchez Cedeño_x000a_ _x000a_Le informamos que su ticket correspondiente a:_x000a_               _x000a__x000a_Hola muy buenas tardes, por instrucciones superiores, me permito solicitar su valioso apoyo para que en el Recurso de Revisión RRA 9610/20 se cambie el medio de notificación a la parte solicitante, de domicilio físico al de correo electrónico siendo el señalado por la parte recurrente el siguiente seguridadsindical@aol.com_x000a__x000a_Lo anterior, toda vez que presentó su recurso de revisión a través de un correo electrónico por medio del cual señaló dicho medio de notificación._x000a_ _x000a_Aplicación:                  SIGEMI_x000a_Tipo de Soporte:          CAMBIO DE MEDIO  Y ACTUALIZACIÓN DE CORREO _x000a_Observaciones:            _x000a_ _x000a_Su petición fue atendida_x000a_ _x000a_" u="1"/>
        <s v="Continúan consulta general en todos los estados con adjuntos faltantes a razón de incrementar la cantidad de adjuntos recuperados._x000a_Preparación y entrega de los procedimientos utilizados para la generación de los datos para la carga inicial de información._x000a_Preparación y entrega de los procedimientos para la extracción de información vía los servicios web." u="1"/>
        <s v="Se cambia el tipo de solicitud del folio: 0000700162021 Y 0000700162121" u="1"/>
        <s v="Se cambia url de consumo de servicios" u="1"/>
        <s v="SUSTITUCIÓN TEXTO Y ADJUNTO EN SOLICITUD DE INFORMACION CON FOLIO 0000600137121" u="1"/>
        <s v="Se testan los datos de la solicitud con folio: 0064101614021" u="1"/>
        <s v="Feedback de tiendas (play store)" u="1"/>
        <s v="Notificación de seguimiento  [  MA2311202008 ]  _x000a_ _x000a_ Estimado(a):                     Berenice Hernández Sumano_x000a_  _x000a_Le informamos que su ticket correspondiente a:_x000a_               _x000a_Los recursos que te indico en el correo es lo que no está aplicado correctamente tanto para limite de votación como para la actividad que no se visualiza en la cuenta del sujeto obligado._x000a_ _x000a_Aplicación:                  SIGEMI_x000a_Tipo de Soporte:         CAMBIO DE FECHAS Y REVISIÓN DE PASOS   _x000a_Observaciones:            _x000a_ _x000a_Su petición fue atendida, se realizó el ajuste de las fechas limites en los recursos mencionados en el correo._x000a_  _x000a_Se quitó el paso duplicado en el recurso R.R.A.I 0026/2019  _x000a__x000a_Respecto al recurso R.R.A.I 0195/2020/SICOM el paso Envío de Alegatos y Manifestaciones se revisó y esta activo _x000a_ _x000a_  _x000a_" u="1"/>
        <s v="Corrección incidencia de registro de usuario" u="1"/>
        <s v="Notificación de seguimiento  [  MA0206202111 ]_x000a__x000a_Estimado(a):                Edgar Michel Loaeza Martínez_x000a__x000a_ _x000a_ Le informamos que su ticket correspondiente a:_x000a_               _x000a_Por medio del presente, me permito solicitar su valioso apoyo a efecto de realizar la renovación de certificados de los sujetos obligados indirectos de la Secretaría de la Defensa Nacional en el hcom._x000a__x000a_ _x000a_Aplicación:                  HCOM _x000a_Tipo de Soporte:         CAMBIO DE TUT   _x000a_Observaciones:            _x000a_ _x000a_Su petición fue atendida_x000a_ _x000a_ _x000a_" u="1"/>
        <s v="Actualización de fechas limites de solicitudes de la dependencia IMSS" u="1"/>
        <s v="Crear módulo de institución de pertenencia" u="1"/>
        <s v="Carga de resoluciones del pleno" u="1"/>
        <s v="Se Construccion json de pruebas y modelo para resultados busqueda Contratos" u="1"/>
        <s v="Notificación de seguimiento  [  MA1911202005 ]  _x000a_ _x000a_ _x000a_Estimado(a):                     Pedro Esquivel Martínez_x000a_  _x000a_Le informamos que su ticket correspondiente a:_x000a_               _x000a_actualización pendiente de los S.O. que se muestran en el correo que antecede_x000a_ _x000a_Aplicación:                  HCOM_x000a_Tipo de Soporte:         CAMBIO TUT   ( 16)_x000a_Observaciones:            _x000a_ _x000a_Su petición fue atendida, con excepción del Consejo de Promoción Turística de México, S.A. de C. V.. ya que el certificado enviado no corresponde al nombre del nuevo titular._x000a_ _x000a_  _x000a_            Favor de validar._x000a_ _x000a_Estatus:                               Concluido._x000a__x000a_" u="1"/>
        <s v="Se dio de alta los siguientes usuarios:_x000a__x000a_Eliseo Gutiérrez = EGUTIERREZ_x000a_Pamela Cruz  = PCRUZ" u="1"/>
        <s v="Buenas tardes Isaac, tu petición fue atendida, favor de validar _x000a__x000a_Saludos _x000a__x000a_Marina Adame Velasco_x000a__x000a_Notificación de seguimiento  [  MA2707202006 ]  _x000a__x000a_Aplicación:                  INFOMEX OAXACA_x000a_Tipo de Soporte:         Ajuste de plazos   _x000a_Estatus:                               Concluido_x000a__x000a_" u="1"/>
        <s v="Se reviso el documento con la solicitud del requerimiento para el microsiito del INA" u="1"/>
        <s v="Respaldo campus público" u="1"/>
        <s v="Soporte Tabasco" u="1"/>
        <s v="Se testan los datos y se sustituye el archivo adjunto de la solicitud con folio  0064101634221" u="1"/>
        <s v="Notificación de seguimiento  [  MA0502202006 ]  _x000a_ _x000a_ _x000a_Estimado(a):                     Tiara Gethsemanni Miranda Fuentes_x000a_ _x000a_Le informamos que su ticket correspondiente a:_x000a_               _x000a_Por medio de presente, solicito de la manera más atenta, su apoyo para retroceder los pasos en el sistema SIGEMI-SICOM en la PNT de los asuntos que se enlistan a continuación; hasta la actividad “Registrar información de la sesión del pleno”; sin más por el momento, quedo en espera de sus comentarios. _x000a_ _x000a_• RRA 13920/19_x000a_• RRA 12745/19_x000a_ _x000a__x000a_Aplicación:                  SIGEMI_x000a_Tipo de Soporte:         REGRESO DE PASOS  ( 2 )_x000a_" u="1"/>
        <s v="Actualización de titulares Fideicomisos SEP" u="1"/>
        <s v="Se desechan solicitudes de manera manual:  0110000116019 y 0110000116119." u="1"/>
        <s v="Respaldar Curso 3 de Aliados INAI  de la plataforma anterior y restaurar en plataforma actual " u="1"/>
        <s v="Notificación de seguimiento  [  MA2107202002 ]  _x000a_ _x000a_ _x000a_Estimado(a):                     Lizbeth Adriana Cabrera Ortega_x000a_ _x000a_Le informamos que su ticket correspondiente a:_x000a_               _x000a_detecté que el acuerdo de turno no estaba correcto nuevamente. A pesar de que tú y yo ya habíamos validado en SKYPE que se había efectuado el cambio y quedó correcto._x000a__x000a_Pues CONTINÚA DICIENDO Javier Montiel Ante_x000a__x000a_No así Ricardo Rodríguez Zavala_x000a__x000a_Pido tu apoyo, pues como te muestro con pantalla, aparece mal el acuerdo de turno._x000a__x000a_ _x000a_Aplicación:                  SIGEMI_x000a_Tipo de Soporte:         Corrección de acuerdo  _x000a_" u="1"/>
        <s v="Analisis de funcionalidad de Administracion de Usuarios " u="1"/>
        <s v="_x000a_Buenas tardes Berenice, tu petición fue atendida, favor de validar _x000a__x000a_Saludos _x000a__x000a_Marina Adame Velasco_x000a__x000a_Notificación de seguimiento  [  MA1704202001 ]  _x000a__x000a_Aplicación:                  INFOMEX OAXACA_x000a_Tipo de Soporte:         Ajuste de plazos   _x000a_Estatus:                               Concluido._x000a__x000a_" u="1"/>
        <s v="_x000a_Buenas tardes Berenice, tu petición fue atendida, favor de validar _x000a__x000a_Saludos _x000a__x000a_Marina Adame Velasco_x000a__x000a_Notificación de seguimiento  [  MA3004202004 ]  _x000a__x000a_Aplicación:                  INFOMEX OAXACA_x000a_Tipo de Soporte:         AJUSTE DE PLAZOS   _x000a_Estatus:                               Concluido._x000a__x000a_" u="1"/>
        <s v="Se aplica testado de datos personales: 1117100030920" u="1"/>
        <s v="Se aplica sustitución de archivo al folio: 0110000016420." u="1"/>
        <s v="Se  testan los datos del folio: 0064101362321" u="1"/>
        <s v="_x000a_Notificación de seguimiento  [  MA2406202008 ]  _x000a_ _x000a_ _x000a_Estimado(a):                     Betzabé Flores Terán_x000a_ _x000a_ _x000a_Le informamos que su ticket correspondiente a:_x000a_               _x000a_Solicito de su apoyo para actualizar en la Herramienta de Comunicación los certificados de los sujetos obligados de la base que se adjunta, ya que estos han vencido._x000a__x000a_ _x000a_Aplicación:                  HCOM   _x000a_Tipo de Soporte:         ACTUALIZACIÓN DE CERTIFICADOS   ( 6 )_x000a_Observaciones:            _x000a_ _x000a_Le comento que se comenzó la actualización de certificados solicitados, conforme se vayan realizando las actualizaciones se les notificara…_x000a__x000a_Se realizó la actualización de los siguientes..._x000a_" u="1"/>
        <s v="Capacitación SISAI 2.0 " u="1"/>
        <s v="_x000a_Notificación de seguimiento  [  MA1602202101 ]  _x000a_ _x000a_ _x000a_Estimado(a):                     Edgar Michel Loaeza Martínez_x000a_ _x000a_ _x000a_Le informamos que su ticket correspondiente a:_x000a_               _x000a_Por medio del presente solicito su valioso apoyo a efecto de realizar la renovación de certificado del sujeto obligado Tribunal Superior Agrario en el hcom._x000a__x000a_Para tal efecto, anexo al presente el nuevos certificado, lo anterior, a fin de que sus accesos sean habilitados en los sistemas que administra este Instituto._x000a__x000a_DEPENDENCIA/ENTIDAD CLAVE DE SUJETO OBLIGADO TITULAR DE UNIDAD DE ENLACE CORREO ELECTRÓNICO _x000a_Contraseña infomex _x000a_Contraseña hcom_x000a_Tribunal Superior Agrario 31100 LIC.EDGAR RODOLFO CHAVIRA ANAYA enlace@tribunalesagrarios.gob.mx_x000a_sisi2021 hcom2021_x000a__x000a_ _x000a_Aplicación:                  HCOM_x000a_Tipo de Soporte:         CAMBIO TUT   _x000a_Observaciones:            _x000a_ _x000a_Su petición fue atendida_x000a__x000a_Notificación de seguimiento  [  MA1602202101 ]  _x000a_ _x000a_ _x000a_Estimado(a):                     Edgar Michel Loaeza Martínez_x000a_ _x000a_ _x000a_Le informamos que su ticket correspondiente a:_x000a_               _x000a_Por medio del presente solicito su valioso apoyo a efecto de realizar la renovación de certificado del sujeto obligado Tribunal Superior Agrario en el hcom._x000a__x000a_Para tal efecto, anexo al presente el nuevos certificado, lo anterior, a fin de que sus accesos sean habilitados en los sistemas que administra este Instituto._x000a__x000a_DEPENDENCIA/ENTIDAD CLAVE DE SUJETO OBLIGADO TITULAR DE UNIDAD DE ENLACE CORREO ELECTRÓNICO _x000a_Contraseña infomex _x000a_Contraseña hcom_x000a_Tribunal Superior Agrario 31100 LIC.EDGAR RODOLFO CHAVIRA ANAYA enlace@tribunalesagrarios.gob.mx_x000a_sisi2021 hcom2021_x000a__x000a_ _x000a_Aplicación:                  HCOM_x000a_Tipo de Soporte:         CAMBIO TUT   _x000a_Observaciones:            _x000a_ _x000a_Su petición fue atendida_x000a_" u="1"/>
        <s v="Cuestionario Interactivo" u="1"/>
        <s v="Mapeo rutas de cada portlet en la nueva en platilla PNT" u="1"/>
        <s v="Se testan datos del folio: 1816400217921 " u="1"/>
        <s v="Atención a las mejoras u observaciones realizadas por los usuarios que probaron la aplicaicón" u="1"/>
        <s v="Revisión y análisis del módulo eliminacion de asigacion de solicitudes" u="1"/>
        <s v="Ejecución de OT 3 Campus Privada" u="1"/>
        <s v="Validación de acceso a la información sobre los JSON compartidos para SIPOT " u="1"/>
        <s v="Se  testan los datos del folio: 0064101851921" u="1"/>
        <s v="Revisión y análisis de los modulos de usuarios " u="1"/>
        <s v="Notificación de seguimiento  [  MA1207202202 ]_x000a__x000a__x000a_Estimado(a):               David Mondragón Centeno_x000a__x000a_ Le informamos que su ticket correspondiente a:_x000a__x000a_ACTUALIZACIÓN DEL CERTIFICADO DE LA HCOM DEL SUJETO OBLIGADO 60201 SNTINEGI “SINDICATO NACIONAL DE TRABAJADORES DEL INSTITUTO NACIONAL DE ESTADÍSTICA Y GEOGRAFÍA”, EN VIRTUD DE QUE YA SE ENCUENTRA VENCIDO, POR LO QUE MUCHO AGRADECERÉ LA PRONTA REMISIÓN DE DICHO CERTIFICADO ACTUALIZADO. _x000a_ _x000a__x000a_Aplicación:                  HCOM_x000a_Tipo de Soporte:        GENERACIÓN DE CERTIFICADO Y ACTUALIZACIÓN EN HCOM  _x000a_Observaciones:            _x000a_ _x000a_Su petición fue atendida, se cambio la contraseña, ya que no permitía la actualización en HCOM, quedando la siguiente hcom2022, sin embargo si la usuaria requiere el anterior, favor de enviar el dato para realizar el cambio. Se anexa el certificado actualizado._x000a__x000a__x000a_Favor de validar._x000a_ _x000a_Estatus:                               Concluido" u="1"/>
        <s v="Generar certificados para SO Fideicomisos IMSS" u="1"/>
        <s v="Se solicita adjuntar el archivo de la solicitud: 0210000056420." u="1"/>
        <s v="Reunion de trabajo SISAI 2.0 " u="1"/>
        <s v="Creación de página Comunicados 2020" u="1"/>
        <s v="Se sustituye archivo adjunto del folio: 0064100520320." u="1"/>
        <s v="Ajustes a datos abiertos" u="1"/>
        <s v="Integración de validación para la carga de Rol de Administrador general en migración de usuariosService para obtener Rol jerárquico" u="1"/>
        <s v="Notificación de seguimiento  [  MA1711202203 ]_x000a__x000a_Estimado(a):                David Mondragón Centeno_x000a__x000a_ Le informamos que su ticket correspondiente a:_x000a__x000a__x000a_Cambio de Titular de SNDTSC_x000a_ _x000a__x000a_Aplicación:                 HCOM_x000a_Tipo de Soporte         CAMBIO DE TUT_x000a__x000a__x000a_Su petición fue atendida, la contraseña del nuevo titular es hcom2022_x000a__x000a_Favor de validar._x000a_" u="1"/>
        <s v="Se aplica el testado de datos de la solicitud: 0673800019020" u="1"/>
        <s v="Notificación de seguimiento  [  MA0311202004 ]  _x000a_ _x000a_ _x000a_Estimado(a):                     David Calderón González_x000a_ _x000a_ _x000a_Le informamos que su ticket correspondiente a:_x000a_               _x000a_El motivo del presente es para solicitar tu apoyo para activar la opción F. Entrega de información vía infomex, a la solicitud 01186520, la cual fué prevenida y después cuando se quiere enviar la información al solicitante, no aparece dicha opción._x000a__x000a_Adjunto imagen que muestra la incidencia._x000a_ _x000a_Aplicación:                  INFOMEX MICHOACAN_x000a_Tipo de Soporte:         Eliminar respuesta   _x000a_Observaciones:            _x000a_ _x000a_Su petición fue atendida, se eliminó la respuesta para que la puedan volver a utilizar, te comento que no es una incidencia si no una regla de negocio del catalogo de respuestas, para casos similares, se tiene que solicitar la eliminaciòn por bd de la respuesta a reutilizar_x000a_ _x000a_  _x000a_            Favor de validar._x000a_" u="1"/>
        <s v="Generación de script de diccionarios de temas SIPOT" u="1"/>
        <s v="Estimada Alejandra, anexo la información solicitada_x000a__x000a_Favor de validar _x000a__x000a__x000a_Saludos _x000a__x000a_Marina Adame _x000a__x000a__x000a_Notificación de seguimiento  [  MA1208202106 ]_x000a__x000a_Aplicación:                  INFOMEX BCN_x000a__x000a_" u="1"/>
        <s v="Desarrollo del requerimiento para colocar los acuses en el modulo de administración SISAI2" u="1"/>
        <s v="Se  testan los datos del folio: 0064101343321" u="1"/>
        <s v="Generación de script para conectores de estracción" u="1"/>
        <s v="Reportes de Sistematización" u="1"/>
        <s v="Notificación de seguimiento  [  MA1112202004 ]  _x000a_ _x000a_Estimado(a):                     Angélica Pérez Razo_x000a_ _x000a_Le informamos que su ticket correspondiente a:_x000a_               _x000a_&quot;Solicitamos su apoyo para realizar un cambio en la solicitud de acceso a la información pública número 1117100089820, ya que existen diversos datos de carácter personal exhibidos en la referida solicitud. A continuación se detalla el cuadro con las modificaciones a realizar en la Plataforma Nacional de Transparencia, con la finalidad de salvaguardar los datos personales._x000a_Es importante aclarar que el cambio es en los 3 apartados: &quot;Descripción de la solicitud de información&quot;, &quot;Otros datos para facilitar su localización&quot;,así como también&quot;Archivo adjunto&quot;sustituyendo el archivo en versión publica que se adjunta a efecto de no dejar libres datos personales.&quot;_x000a_ _x000a_Aplicación:                  INFOMEX FEDERAL_x000a_Tipo de Soporte:         Testado de datos (Archivo adjunto)_x000a_Observaciones:            _x000a_ _x000a_Su petición fue atendida_x000a_" u="1"/>
        <s v="Notificación de seguimiento  [  MA1612202009 ]  _x000a_ _x000a_ _x000a_Estimado(a):                     Pedro Esquivel Martínez_x000a_  _x000a_Le informamos que su ticket correspondiente a:_x000a_              _x000a_actualización del mismo en la Herramienta de comunicación HCOM; al respecto el S.O. &quot;Partido Revolucionario Institucional&quot; solicita nuevamente dicho cambio; se anexa cuadro descriptivo._x000a_" u="1"/>
        <s v="Se aplica eliminación de última respuesta: 1221200006520." u="1"/>
        <s v="Desarrollo de servicios pantalla Mis Quejas, analisis y diseño de reglas de negocio" u="1"/>
        <s v="Secciones: Directorio, Editorial, convocatorias, anuncios, recomendaciones, El arbol del paraiso, la Sociedad de la transparencia" u="1"/>
        <s v="Notificación de seguimiento [ MA2801202004 ] _x000a_  _x000a_  _x000a_ Estimado(a): Alondra Jiménez Hernández_x000a_  _x000a_ Le informamos que su ticket correspondiente a:_x000a_  _x000a_ Anexo el registro actualizado del certificado del Titular de la Unidad de Transparencia de BANCOMEXT para su renovación en la Herramienta de Comunicación._x000a_ _x000a_  _x000a_ Aplicación: HCOM_x000a_ Tipo de Soporte: ACTUALIZACIÒN DE CERTIFICADO _x000a_ Observaciones: _x000a_  _x000a_ Su petición fue atendida_x000a_  _x000a_ _x000a_  _x000a_  Favor de validar._x000a_  _x000a_ Estatus: Concluido." u="1"/>
        <s v="Se realiza el alta en el sistema del SO Centro Federal de Conciliación y Registro Laboral " u="1"/>
        <s v="Se aplica eliminación de formato de pago: 181640011352" u="1"/>
        <s v="Generación de estrategia para la descarga de muestra útil de tablas SIPOT y SIPOT DETALLE" u="1"/>
        <s v="Se aplica la respuesta a la solicitud: 1123300000220." u="1"/>
        <s v="Reunion de estatus " u="1"/>
        <s v="Instalacion de jvm en motor de base datos para usar java store procedures_x000a_" u="1"/>
        <s v="Buenas tardes Guillermo, tu petición fue atendida, favor de validar _x000a__x000a_DEPENDENCIA  guiddepartamento_x000a_Fideicomiso Fondos Tijuana 20200908-1257-3300-1580-b535101bc454_x000a_Comisión Estatal del Sistema Penitenciario de Baja California 20200908-1303-5900-3350-af9ff04dd29e_x000a_Secretaría para el Manejo, Saneamiento y Protección del Agua 20200908-1319-1100-8300-81366c681442_x000a__x000a__x000a_Saludos _x000a__x000a_Marina Adame Velasco_x000a__x000a_Notificación de seguimiento  [  MA0809202005 ]  _x000a__x000a_Aplicación:                  INFOMEX BCN_x000a_Tipo de Soporte:         Consulta de datos    _x000a_Estatus:                               Concluido._x000a__x000a_" u="1"/>
        <s v="Roles" u="1"/>
        <s v="Se elmina la respuesta del folio: 0673800012021" u="1"/>
        <s v="Validación de volumetrías en información compartida sobre SIGEMI-SICOM" u="1"/>
        <s v="Se realizoa un combo con autocomplete" u="1"/>
        <s v="Analisis de consulta de solicitudes Historicas " u="1"/>
        <s v="Se  testan los datos del folio: 0064101976921" u="1"/>
        <s v="Se localiza acuse de la solicitud: 0064100592720." u="1"/>
        <s v="Se aplica sustitución de archivo de la solicitud: 0064100195820." u="1"/>
        <s v="Botón de inklusion" u="1"/>
        <s v="Actualizar fecha limite de la solicitud 1816400061621 " u="1"/>
        <s v="Implementación de servicio para listar los documentos pendientes por firmar multilateral_x000a_Vista para listar los documentos pendientes por firmar multilateral_x000a_Implementación de servicio para listar el detalle los documentos pendientes por firmar multilateral_x000a_Vista para listar el detalle de los documentos pendientes por firmar multilateral" u="1"/>
        <s v="Se elimina la respuesta del folio: 0001700087121" u="1"/>
        <s v="Se continua con el desarrollo del modulo de Años" u="1"/>
        <s v="Se  testan los datos de la solicitud con folio 0064100734821_x000a_ _x000a_" u="1"/>
        <s v="Buenas tardes José Manuel, me da gusto saludarte, te comento que lo que tienes que revisar es lo siguiente:_x000a__x000a_Que en la base de datos  el paso tenga referencia en la tabla PROCESOTIPOPASOPROPIEDAD_x000a__x000a__x000a_select * from procesotipopaso where nombre = 'Determina el tipo de respuesta' _x000a_and guidprocesotipo = ( select guidprocesotipo from procesotipo where activo = 1 and clave ='SI' and ultimaversion = 1 )_x000a__x000a__x000a_Con el resultado de la consulta anterior, tomar el guidprocesotipopaso para consultar lo siguiente:_x000a__x000a__x000a_select * from ProcesoTipoPasoPropiedad where guidprocesotipopaso = '20160329-1338-3700-0310-5a23d670c78f'_x000a__x000a_Si no existe hay que agregar el registro, considerando el guidprocesotipopaso …_x000a_" u="1"/>
        <s v="Mejoras en código de Catalogo Líneas de Acción, mejores practicas y código limpio" u="1"/>
        <s v="Desarrollo del servicio para SIGEMI, para validación de de bandera para la creación de la queja" u="1"/>
        <s v="Se  testan los datos del folio: 0064101344321" u="1"/>
        <s v="Se generó certificado para usuario de SO CIMAT" u="1"/>
        <s v="Investigacion sobre los posibles plugins a utilizar al iniciar sesion con redes sociales" u="1"/>
        <s v="Creacion de servicios y funcionalidades de perfil" u="1"/>
        <s v="Se envía seguimiento de la solicitud: 0002000271419." u="1"/>
        <s v="actualizacion micrositio gobierno abiero " u="1"/>
        <s v="Instalación y ambientación angular framework" u="1"/>
        <s v="Cambio en mostrar PDF, se abre app externa del telefono para mostrar el pdf." u="1"/>
        <s v="Se  testan los datos del folio:0064101904221" u="1"/>
        <s v="Se aplica eliminación de ultima respuesta al folio: 1117100037120." u="1"/>
        <s v="Implementación de la búsqueda y despliegue de Resoluciones Públicas para la adición y eliminación del archivo de audio de la Resolución." u="1"/>
        <s v="Se aplica el cambio de modalidad para el folio: 0064100095120." u="1"/>
        <s v="Se sustituye archivo adjunto  del folio:  0320000381621" u="1"/>
        <s v="Creación servicio para el llenado del árbol  de formatos" u="1"/>
        <s v="Implementación de los componentes para descargar adjuntos de solicitud y respuesta." u="1"/>
        <s v="Generación de scipt para pre-procesamiento de limpieza de datos" u="1"/>
        <s v="Buenas tardes Hugo, anexo instrucciones para agregar el aviso, favor de validar _x000a__x000a_Saludos _x000a__x000a_Marina Adame Velasco_x000a__x000a_Notificación de seguimiento  [  MA2303202002 ]  _x000a__x000a_Aplicación:                  INFOMEX CHIAPAS _x000a_Tipo de Soporte:         Asesoria    _x000a_Estatus:                               Concluido._x000a__x000a__x000a_" u="1"/>
        <s v="Se sustituye archivo adjunto del folio: 1410000072320" u="1"/>
        <s v="Buenas tardes Memo, tu petición fue atendida, favor de validar _x000a__x000a_Saludos _x000a__x000a_Marina Adame Velasco_x000a__x000a_Notificación de seguimiento  [  MA2303202004 ]  _x000a__x000a_Aplicación:                  INFOMEX BCN_x000a_Tipo de Soporte:         REPORTE DE SOLICITUDES   _x000a_Estatus:                               Concluido._x000a__x000a__x000a_" u="1"/>
        <s v="Notificación de seguimiento  [  MA1206202003 ]  _x000a_ _x000a_ _x000a_Estimado(a):                     Berenice Hernández Sumano_x000a_ _x000a_Le informamos que su ticket correspondiente a:_x000a_               _x000a__x000a_Estimados compañeros, por este medio solicito su apoyo para poder aplicar un recorrido a la fecha límite de entrega de Información Relacionada con el Cumplimiento y la fecha límite de entrega de Alegatos y manifestaciones, de los recursos señalados en el archivo adjunto._x000a__x000a_Asimismo solicito pueda liberarse la actividad de cumplimiento en el perfil de los sujetos obligados ya que desde SICOM esta actividad se cierra cuando vence el plazo de 10 días y la actividad de entrega de Alegatos vence en un plazo de 7 días._x000a__x000a__x000a_ _x000a_Aplicación:                  SIGEMI_x000a_Tipo de Soporte:         AJUSTE DE PLAZOS  _x000a_" u="1"/>
        <s v="Generar certificado para usuario de Instituto de Investigaciones &quot;Dr. José María Luis Mora&quot;" u="1"/>
        <s v="respaldo de BD TLAXCALA 25 DE MAYO DE 2021" u="1"/>
        <s v="Se elimina la respuesta del folio: 1222300015321" u="1"/>
        <s v="Analizar la memoria de la base de datos" u="1"/>
        <s v="Se aplica el cambio de modalidad a la solicitud: 0064100357420." u="1"/>
        <s v="Generación de script para descarga de solicitudes" u="1"/>
        <s v="Buenas tardes Horacio, el motivo del correo es contar con la evidencia de la capacitación impartida a los Estados, durante la semana del 5 AL 9 de Octubre, referente al tema de ejecución de scripts para consultas estadísticas_x000a__x000a_ _x000a__x000a_ _x000a__x000a_Saludos_x000a__x000a_ _x000a__x000a_Marina Adame Velasco_x000a__x000a_ _x000a__x000a_Notificación de seguimiento  [  MA0510202012 ]  _x000a__x000a_ _x000a__x000a_Aplicación:                  INFOMEX BASE_x000a__x000a_Tipo de Soporte:         CAPACITACIÓN  _x000a__x000a_Estatus:                               Concluido._x000a__x000a_ " u="1"/>
        <s v="Se sustituye el archivo adjunto de la solicitud con folio 0064101516021" u="1"/>
        <s v="Crear tablad de BD y crear servicios para guardar los datos" u="1"/>
        <s v="Se  testan los datos del folio: 0064100714421" u="1"/>
        <s v="Se elimina la respuesta del folio: 0063700344721" u="1"/>
        <s v="Generar scripts para busqueda de solicitudes pendientes en bd infomex, del 19 al 30 de julio" u="1"/>
        <s v="Se  testan los datos del folio: 0064101345321" u="1"/>
        <s v="Se  testan los datos del folio: 0064101365321" u="1"/>
        <s v="Identificacion del campo numero de expediente de tipo texto " u="1"/>
        <s v="Estimado José Manuel, disculpa que apenas te escriba, ayer no vi mi correo, te anexo la información_x000a__x000a_Saludos _x000a__x000a_Marina _x000a_" u="1"/>
        <s v="Generación de validaciones sobre el etiquetado automatizado" u="1"/>
        <s v="Realizar la clase Controller, Service, Dao para la operación de alta de ejes" u="1"/>
        <s v="Se  testan los datos del folio:   0064101376021" u="1"/>
        <s v="Se cambia el tipo de solicitud del folio:  0411100032721" u="1"/>
        <s v="Notificación de seguimiento  [  MA0802202106 ]  _x000a_ _x000a_ _x000a_Estimado(a):                     ALAN GARCÍA_x000a_  _x000a_Le informamos que su ticket correspondiente a:_x000a_               _x000a_RESPALDO SEMANAL DE LA BASE DE DATOS INFOMEX_x000a_ _x000a_Aplicación:                  INFOMEX TLAXCALA_x000a_Tipo de Soporte:         RESPALDO   _x000a_Observaciones:            _x000a_ _x000a_Su petición fue atendida, se subió el respaldo de su base de datos de esta semana…_x000a__x000a__x000a__x000a_http://documentos.inai.org.mx/tmp/infomex_tlaxcala_backup_2021-02-08_0800.bak_x000a__x000a__x000a__x000a_NOTA: El respaldo estará disponible una semana  _x000a_" u="1"/>
        <s v="Se aplica testado de datos al folio:   0002700361220" u="1"/>
        <s v="Se  testan los datos del folio: 1816400086021" u="1"/>
        <s v="SUSTITUCIÓN TEXTO Y ADJUNTO EN SOLICITUD DE INFORMACION 0064101070821" u="1"/>
        <s v="Creación formulario de busqueda, adaptacion a tabla historial, creación de servicios y funcionalidades." u="1"/>
        <s v="Se actualizan las fecha limite de  solicitud 1117100050021" u="1"/>
        <s v="Se actualizan las fecha limite de  solicitud 1117100050121" u="1"/>
        <s v="Buenos días José Manuel, tu petición fue atendida, favor de validar _x000a_  _x000a_ Saludos _x000a_  _x000a_ Marina Adame Velasco _x000a_  _x000a_ Notificación de seguimiento [ MA2101202001 ] _x000a_  _x000a_ Aplicación: INFOMEX QUERÈTARO_x000a_ Tipo de Soporte: Consulta de datos _x000a_ Estatus: Concluido." u="1"/>
        <s v="Respaldar Curso 1 de Aliados INAI  de la plataforma anterior y restaurar en plataforma actual " u="1"/>
        <s v="Apoyo al requerimiento de SISAI2 " u="1"/>
        <s v="Se cambia el tipo de solicitud del folio: 0495000001821" u="1"/>
        <s v="Se realiza la carga de contenido " u="1"/>
        <s v="Se testan datos del folio: 0064102376621" u="1"/>
        <s v="validación para evitar que se comparta un token" u="1"/>
        <s v="Descarga y visualización (pdf) de archivos para el modulo de quejas(detalle, detalle historial) corrección de color de tema dinámico, en modulo de quejas y mis solicitudes_x000a_Corregir funcionalidad del componente snackbar al crear una solicitud_x000a_Revisión login redes sociales facebook, twitter, google" u="1"/>
        <s v="Se sustituye archivo adjunto del folio: 0064100409820." u="1"/>
        <s v="Se modificó script y se revisaron los resultados arrojados para la consulta de conteo de solicitudes" u="1"/>
        <s v="Se aplica sustitución de archivo de la solicitud: 0064103629219." u="1"/>
        <s v="Hola Pedro, adjunto script de ejemplo para eliminar un folio, como versa son varias referencias, voy a analizar si es conveniente lo que mencionas por periodo de tiempo, pero te envío este como adelanto_x000a__x000a_Saludos _x000a__x000a_MARINA_x000a_" u="1"/>
        <s v="Se elimina la respuesta del folio: 1131000004221" u="1"/>
        <s v="Se aplica eliminación de respuesta al folio: 1816400369819." u="1"/>
        <s v="Se aplica testado de datos al folio:  0000700012721" u="1"/>
        <s v="Implementación de ambiente de trabajo de Declaranet Captura)" u="1"/>
        <s v="Ejecución de OT 1 Campus Privada" u="1"/>
        <s v="Copia de carpeta cursos a la nube" u="1"/>
        <s v="Reunion Presentacion de Avances de Proyectos " u="1"/>
        <s v="Se  testan los datos del folio: 0064101366321" u="1"/>
        <s v="Revisión de SISAI 2 despues del despliegue en aquiles." u="1"/>
        <s v="Se testan los datos de la solicitud con folio: 0064101436021" u="1"/>
        <s v="Se testan los datos de la solicitud con folio: 0064101456021" u="1"/>
        <s v="Se  testan los datos de la solicitud con folio 0064101152721_x000a_ _x000a_" u="1"/>
        <s v="Estimado Alan, buenos días, te informo que el respaldo de su base de datos de esta semana ya está en el repositorio…   _x000a_http://documentos.inai.org.mx/tmp/infomex_tlaxcala_backup_2021-06-21_0800.bak_x000a_Saludos Cordiales_x000a_Marina Adame Velasco       _x000a__x000a__x000a_Notificación de seguimiento  [  MA2106202104 ]_x000a_ _x000a_Aplicación:                  INFOMEX TLAXCALA _x000a_Tipo de Soporte:         RESPALDO DE BD  _x000a__x000a_Estatus:                               Concluido_x000a__x000a_" u="1"/>
        <s v="Revisión incidencia en generación de certificados " u="1"/>
        <s v="Notificación de seguimiento  [  MA2503202105 ]  _x000a_ _x000a_ _x000a_Estimado(a):                     Martha Rubí Zaragoza Mora_x000a_ _x000a_ _x000a_Le informamos que su ticket correspondiente a:_x000a_               _x000a_El presente correo es para pedir su amable apoyo para el ajuste de términos de los folios debido al primer periodo vacacional del año 2021 que envió el sujeto obligado con su acuerdo y se configuro el calendario correspondiente _x000a__x000a__x000a_Aplicación:                  INFOMEX FEDERAL _x000a_Tipo de Soporte:         AJUSTE DE PLAZOS    _x000a_Observaciones:            _x000a_ _x000a_" u="1"/>
        <s v="Se aplica el testado de datos de la solicitud: 1816400000120." u="1"/>
        <s v="Realizar modul de ajustes web" u="1"/>
        <s v="Se aplica testado de datos al folio: 1816700001221" u="1"/>
        <s v="Documentación" u="1"/>
        <s v="Desarrollo del servicio que propaga la información en todas las pantallas que se subscriban a los catálogos " u="1"/>
        <s v="Buenas tardes Francisco, te comento que se realizó el cambio de nivel del Comité de la Secretaría de Infraestructura Vial, con este cambio ya no se registraran solicitudes al Comité, favor de validar_x000a__x000a_Voy a revisar las solicitudes que se llegaron a asignar para pasarlas directamente a la Secretaría _x000a__x000a_Saludos _x000a__x000a_Marina Adame Velasco_x000a__x000a_Notificación de seguimiento  [  MA2402202003 ]  _x000a__x000a_Aplicación:                  INFOMEX NUEVO LEÒN_x000a_Tipo de Soporte:         Cambio de nivel de Comité   _x000a_Estatus:                               Concluido._x000a__x000a_" u="1"/>
        <s v="Se  testan los datos del folio: 0064101969921" u="1"/>
        <s v="Integración de validaciones (Inicial, Anual,Conclusión)para la persistencia de Conflicto de intereses en Declaranet" u="1"/>
        <s v="Notificación de seguimiento  [  MA0206202012 ]  _x000a_ _x000a_ _x000a_Estimado(a):                     Erika Aguilar_x000a_ _x000a_Le informamos que su ticket correspondiente a:_x000a_               _x000a_base de datos que considere los campos _x000a_Nombre del sujeto obligado_x000a_número de expediente_x000a_fecha de notificación de admisión _x000a_fecha de notificación envío de alegatos_x000a_fecha de notificación cierre de instrucción _x000a_fecha de notificación resolución _x000a_fecha de notificación algún requerimiento _x000a_que comprenda todos los sujetos obligados por el periodo desde el primer expediente generado en esta plataforma hasta el ultimo que encuentres._x000a__x000a_ _x000a_Aplicación:                  SIGEMI_x000a_Tipo de Soporte:         CONSULTA DE DATOS   _x000a_Observaciones:            _x000a_ _x000a_Su petición fue atendida, envío los datos solicitados  _x000a_" u="1"/>
        <s v="Notificación de seguimiento [ MA2901202007 ] _x000a_  _x000a_  _x000a_ Estimado(a): Cassandra Ávalos Vázquez_x000a_  _x000a_ Le informamos que su ticket correspondiente a:_x000a_  _x000a_ En virtud de las atenciones a las determinaciones del Pleno de este Instituto, por este medio solicito su amable apoyo, a efecto de que en la Plataforma Nacional de Transparencia, por lo que hace al recurso de revisión RRD 0014/20 vs IMSS se realicen las siguientes modificaciones:_x000a_ _x000a_ Ø Regresar al paso “admitir, prevenir, desechar”._x000a_ _x000a_ Una vez realizado lo anterior:_x000a_ _x000a_ Ø Se deje de señalar como medio para recibir notificaciones el correo electrónico y se señale “Domicilio físico”, ya que la notificación de admisión se realizará mediante Sepomex por así haberlo solicitado el particular en su recurso de revisión._x000a_ _x000a_ Lo anterior, con la finalidad de poder confirmar la notificación de la admisión al particular en el medio que indicó y, eventualmente, poder liberar el recurso para notificar su respectiva resolución. _x000a_ _x000a_  _x000a_ Aplicación: SIGEMI_x000a_ Tipo de Soporte: REGRESO DE PASOS y CAMBIO DE MEDIO" u="1"/>
        <s v="Template de Líneas de Acción finalizado, se removieron campos innecesarios" u="1"/>
        <s v="Notificación de seguimiento  [  MA0303202202 ]_x000a__x000a_Estimado(a):                Lizbeth Adriana Cabrera Ortega_x000a__x000a_ _x000a_ Le informamos que su ticket correspondiente a:_x000a_               _x000a_Con el gusto de saludarles me permito solicitar tu valioso apoyo respecto de la generación UN EXPEDIENTE BIS del recurso de revisión posteriormente citado._x000a_ _x000a_Asimismo, te comento que NO DEBERÁ CAMBIAR el sujeto obligado, ni el Comisionado correspondiente. _x000a_ _x000a_ DICE                                        DEBE DECIR                         SUJETO OBLIGADO           PONENTE_x000a_RRA 2874/22 RRA 00054/20- BIS NAFIN NJRV_x000a_ _x000a_No omito comentarte que el número de expediente que deberá seguir en el consecutivo por turnar en PNT debe ser el RRA 2873/22._x000a__x000a__x000a__x000a_Aplicación:                  SICOM_x000a_Tipo de Soporte:         CAMBIO A BIS  _x000a_Observaciones:            _x000a_ _x000a_Su petición fue atendida_x000a_ _x000a_ _x000a_" u="1"/>
        <s v="Se sustituye archivo adjunto del folio: 0064102965220" u="1"/>
        <s v="Se cambia la ruta sobre la que se genera el pdf" u="1"/>
        <s v="Se  testan los datos del folio: 1411100021821" u="1"/>
        <s v="Se realizan las pruebas y peticiones para la consulta de silicitides de sistema INFOMEX " u="1"/>
        <s v="Diseño de mockups sin contar con el modelo de la base de datos" u="1"/>
        <s v="Copia base de datos campus organismos a la nube en formato zip" u="1"/>
        <s v="Se cambia el tipo de solicitud del folio: 0411100017221" u="1"/>
        <s v="Se aplica testado de datos personales: 0000700073020." u="1"/>
        <s v="Implementar dos conexiones distintas a bases de datos, Oracle  y Postgres, Realizar las pruebas " u="1"/>
        <s v="Se  testan los datos del folio: 0064101367321" u="1"/>
        <s v="Se testan los datos de la solicitud con folio: 0064101438021" u="1"/>
        <s v="Se relizan las pantallas de buscador de obligaciones y selector de obligacion" u="1"/>
        <s v="Se generó certificado para usuario de dependencia FIDEICOMISOS CIDE" u="1"/>
        <s v="Creación de cuenta para comité técnico" u="1"/>
        <s v="Realizar documento de Análisis de la Solución,_x000a_conclusión casos de Uso:_x000a_CU-1 Operaciones y redirecciones a sistemas _x000a_CU-5: Registrar nuevo usuario mediante Twitter_x000a_CU-6: Recuperar contraseña_x000a_CU-7: Autenticación con usuario y contraseña_x000a_CU-8: Autenticación con cuenta de Facebook_x000a_CU-9: Autenticación con cuenta de Twitter_x000a_CU-10: Autenticación con cuenta de Google_x000a_" u="1"/>
        <s v="Buenas tardes Fernando, te comento que de la revisión realizada, no se localizó al Sujeto Obligado INTERAPAS, solo el usuario que nos indicaste que tiene el perfil de solicitante, se realizó la búsqueda de registros de solicitudes asociadas al usuario y no hay, es decir, existe el usuario pero no tiene solicitudes registradas, anexo imagen _x000a__x000a_Si necesitan que revise algún otro dato relacionado con la incidencia estoy a sus ordenes_x000a__x000a_Saludos _x000a__x000a_Marina Adame Velasco_x000a__x000a_Notificación de seguimiento  [  MA3009202002 ]  _x000a__x000a_Aplicación:                  INFOMEX SLP _x000a_Tipo de Soporte:         Revisión de incidencia    _x000a_Estatus:                               Concluido._x000a__x000a__x000a_" u="1"/>
        <s v="Se elimina la respuesta del folio: 0064100739721" u="1"/>
        <s v="Crear certificado y alta para usuario del CAS" u="1"/>
        <s v="Alta de usuarios:_x000a_AGARCÍA" u="1"/>
        <s v="Buenas tardes Guillermo, tu petición fue atendida, favor de validar _x000a__x000a_Saludos _x000a__x000a_Marina Adame Velasco_x000a__x000a_Notificación de seguimiento  [  MA0909202002 ]  _x000a__x000a_Aplicación:                  INFOMEX BCN_x000a_Tipo de Soporte:         REPORTE   _x000a_Estatus:                               Concluido._x000a_" u="1"/>
        <s v="Buenas tardes Guillermo, tu petición fue atendida, favor de validar _x000a__x000a_Saludos _x000a__x000a_Marina Adame Velasco_x000a__x000a_Notificación de seguimiento  [  MA1409202007 ]  _x000a__x000a_Aplicación:                  INFOMEX BCN_x000a_Tipo de Soporte:         REPORTE   _x000a_Estatus:                               Concluido._x000a_" u="1"/>
        <s v="Buenas tardes Guillermo, tu petición fue atendida, favor de validar _x000a__x000a_Saludos _x000a__x000a_Marina Adame Velasco_x000a__x000a_Notificación de seguimiento  [  MA1708202008 ]  _x000a__x000a_Aplicación:                  INFOMEX BCN_x000a_Tipo de Soporte:         REPORTE   _x000a_Estatus:                               Concluido._x000a_" u="1"/>
        <s v="Buenas tardes Guillermo, tu petición fue atendida, favor de validar _x000a__x000a_Saludos _x000a__x000a_Marina Adame Velasco_x000a__x000a_Notificación de seguimiento  [  MA2007202005 ]  _x000a__x000a_Aplicación:                  INFOMEX BCN_x000a_Tipo de Soporte:         REPORTE   _x000a_Estatus:                               Concluido._x000a_" u="1"/>
        <s v="Se sustituye archivo del folio 0000600067321" u="1"/>
        <s v="_x000a_Notificación de seguimiento  [  MA0702202007 ]  _x000a_ _x000a_ _x000a_Estimado(a):                     Sandra Steffany Díaz Sosa_x000a_ _x000a_Le informamos que su ticket correspondiente a:_x000a_               _x000a_En relación con el recurso de revisión RRD 0233/20 (IMSS), solicito de su invaluable apoyo para que en la Plataforma Nacional de Transparencia se habilite como medio para oír y recibir notificaciones del recurrente el correo electrónico “lidia_ruizvazquez@yahoo.com.mx”_x000a_ _x000a__x000a_ _x000a_Aplicación:                  SIGEMI_x000a_Tipo de Soporte:         CAMBIO DE MEDIO   _x000a_" u="1"/>
        <s v="_x000a_Notificación de seguimiento  [  MA2310202001 ]  _x000a_ _x000a_ _x000a_Estimado(a):                     Lizbeth Adriana Cabrera Ortega_x000a_ _x000a_Le informamos que su ticket correspondiente a:_x000a_               _x000a_Que sea modificado el acuerdo de turno del recurso RRD 01289/20._x000a_ _x000a_Aplicación:                  SIGEMI_x000a_Tipo de Soporte:         Actualizar archivo  _x000a_Observaciones:            _x000a_ _x000a_Su petición fue atendida_x000a_ _x000a_" u="1"/>
        <s v="Se aplica eliminación de última respuesta: 1200800007520" u="1"/>
        <s v="Despliegue de archivos físicos de Resolución almacenados en Sistema de Archivos." u="1"/>
        <s v="Prioridades para atención - Meeting" u="1"/>
        <s v="Se aplica sustitución de archivo al folio: 0064100273720." u="1"/>
        <s v="Se aplica eliminación de última respuesta de la solicitud: 0220000001421" u="1"/>
        <s v="Documentación para CDMX" u="1"/>
        <s v="En proceso" u="1"/>
        <s v="Integración de modelado para normalizacion de Tablas bitacora" u="1"/>
        <s v="_x000a_Notificación de seguimiento  [  MA2409202003 ]  _x000a_ _x000a_ _x000a_Estimado(a):                     Lizbeth Adriana Cabrera Ortega_x000a_ _x000a_Le informamos que su ticket correspondiente a:_x000a_               _x000a_generación de dos expedientes BIS de los recursos de revisión posteriormente citados._x000a_ _x000a_Aplicación:                  SIGEMI_x000a_Tipo de Soporte:         CAMBIO A BIS (2)  _x000a_Observaciones:            _x000a_ _x000a_Su petición fue atendida_x000a_ _x000a_" u="1"/>
        <s v="Buenos días Memo, tu petición fue atendida, favor de validar _x000a_ _x000a_ Saludos _x000a_ _x000a_ Marina Adame Velasco_x000a_ _x000a_ Notificación de seguimiento [ MA1601202003 ] _x000a_ _x000a_ Aplicación: INFOMEX BCN_x000a_ Tipo de Soporte: CONSULTA DE DATOS _x000a_ Estatus: Concluido." u="1"/>
        <s v="Buenos días Memo, tu petición fue atendida, favor de validar _x000a_ _x000a_ Saludos _x000a_ _x000a_ Marina Adame Velasco_x000a_ _x000a_ Notificación de seguimiento [ MA2001202003 ] _x000a_ _x000a_ Aplicación: INFOMEX BCN_x000a_ Tipo de Soporte: CONSULTA DE DATOS _x000a_ Estatus: Concluido." u="1"/>
        <s v="Desarrollo e implementación de los web services para comunicarse con SAIMEX" u="1"/>
        <s v="Se aplica testado de datos al folio: 0064100540220." u="1"/>
        <s v="En recurso de revision, se cambia la validacion al momento de cargar archivos, se cambia el alcance de una variable de nivel funcion a global para que sea accesible en todo momento del proceso" u="1"/>
        <s v="se generan los servicios de Eje y los componentes de Eje: formulario, modal, busqueda, vista" u="1"/>
        <s v="Realizar la clase Controller, Service, Dao para la operación del envio de correo electronico para las notificaciones de pizarras" u="1"/>
        <s v="Generación de script para conectores de extracción" u="1"/>
        <s v="Notificación de seguimiento  [  MA1412202009 ]  _x000a_ _x000a_ _x000a_Estimado(a):                     Guillermo Delgado Ibarra_x000a_ _x000a_ Le informamos que su ticket correspondiente a:_x000a_               _x000a_con 2 peticiones _x000a_Nota.- Agregando el campo de tipo de solicitud (Datos/Información)_x000a_1.- el reporte de solicitudes hasta la fecha_x000a_2.- el reporte de solicitudes referente a COVIT, CORONAVIRUS, y me solicitan agregar dos palabras a la búsqueda, (EMERGENCIA y PANDEMIA) además descripción de la respuesta y el estatus de cada solicitud_x000a_ _x000a_Aplicación:                  INFOMEX BCN_x000a_Tipo de Soporte:         REPORTE   _x000a_" u="1"/>
        <s v="Se aplica eliminación de formato de pago manual: 1113700012619." u="1"/>
        <s v="Se sustituye archivo adjunto  del folio:  0002700128821" u="1"/>
        <s v="Se aplica testado de datos al folio:  0064103214920" u="1"/>
        <s v="Buenas tardes Alejandro, tu petición fue atendida, se adjuntan script solicitados,favor de validar _x000a_ _x000a_ Saludos _x000a_ _x000a_ Marina Adame Velasco_x000a_ _x000a_ Notificación de seguimiento [ MA130120203 ] _x000a_ _x000a_ Aplicación: INFOMEX TAMAULIPAS_x000a_ Tipo de Soporte: Script para consulta de datos _x000a_ Estatus: Concluido." u="1"/>
        <s v="Notificación de seguimiento  [  MA0702202006 ]  _x000a_ _x000a_ _x000a_Estimado(a):                     Recurso de revisión_x000a_ _x000a_Le informamos que su ticket correspondiente a:_x000a_               _x000a_Solicito de su valioso apoyo ya que el recurso mencionado en el asunto establece como fecha de interposición el 22 de enero tal como se aprecia en la pantalla 1._x000a__x000a_Sin embargo el acuerdo de turno estipula como fecha de presentación del recurso el 21 de enero, como se aprecia en la pantalla 2.._x000a__x000a_Dicho recurso fue interpuesto por la herramienta electrónica._x000a__x000a_En este sentido  a razón de que el acuerdo de turno, determinaba la fecha del 21 de enero, la ponencia me comenta haber dictado LA ADMISIÓN CON ESA FECHA. _x000a__x000a_Consecuencia de lo anterior, pido que aparezca en el expediente electrónico la fecha de 21 de enero como fecha de interposición así como el los pasos que deba obrar._x000a__x000a_ _x000a_Aplicación:                  SIGEMI_x000a_Tipo de Soporte:         Actualizar fecha   _x000a_" u="1"/>
        <s v="_x000a_Notificación de seguimiento  [  MA2701202112 ]  _x000a_ _x000a_ _x000a_Estimado(a):                     Omar Antonio Méndez Mendoza_x000a_ _x000a_ _x000a_Le informamos que su ticket correspondiente a:_x000a_               _x000a_solicitar tu valioso apoyo para que por favor se asigne el certificado, adjunto al presente, en la Herramienta de Comunicación HCOM_x000a_ _x000a_Aplicación:                  HCOM_x000a_Tipo de Soporte:         CAMBIO TUT   _x000a_Observaciones:            _x000a_ _x000a_Su petición fue atendida_x000a_ _x000a_" u="1"/>
        <s v="Desarrollo de la función para el módulo de la descarga de archivos masivos relacionados con las solicitudes de información" u="1"/>
        <s v="Corrección incidencias QA Ciclo 1" u="1"/>
        <s v="Testado de datos y sustituir archivo adjunto  del folio:  1200900004021" u="1"/>
        <s v="Notificación de seguimiento  [  MA0206202101 ]_x000a__x000a_Estimado(a):                Pedro Esquivel Martínez_x000a__x000a_ _x000a_ Le informamos que su ticket correspondiente a:_x000a_               _x000a_actualización de certificado, se adjunta certificado .cer y cuadro descriptivo:_x000a__x000a_ _x000a_ _x000a_Clave Presupuestal    Sujeto Obligado Titular de la unidad de transparencia    CERTIFICADO A GENERAR    Contraseña   _x000a_11137  _x000a_Comisión Nacional de Libros de Texto Gratuitos Karla Mercedes López Beltrán 22410.Karla Mercedes López Beltrán HCOM:_x000a_HCOM11137_x000a_ _x000a_INFOMEX_x000a_SIS11137_x000a_ _x000a__x000a_ _x000a_Aplicación:                  HCOM_x000a_Tipo de Soporte:         Actualizar certificado  _x000a_Observaciones:            _x000a_ _x000a_" u="1"/>
        <s v="Se sustituye archivo adjunto  del folio:  0064103310320" u="1"/>
        <s v="Notificación de seguimiento  [  MA0302202103 ]  _x000a_ _x000a_ _x000a_Estimado(a):                     Alejandra Tejeda_x000a_ _x000a_ _x000a_Le informamos que su ticket correspondiente a:_x000a_               _x000a_solicito de la manera más atenta su valioso apoyo para realizar el cambio de sujeto obligado de las solicitudes identificadas con el número de folio  884720,_x000a_996420, 1005520, 1020320 y 1183420 encontrándose actualmente presentadas ante el Fideicomiso Fondos Tijuana y del cual se solicita sean para el Sujeto Obligado Ayuntamiento de Tijuana._x000a_ _x000a_Aplicación:                  INFOMEX BCN_x000a_Tipo de Soporte:         REASIGNACION DE SOLICITUDES   _x000a_" u="1"/>
        <s v="Actualización y pruebas de funcionalidad de campus Civil 3.7.3" u="1"/>
        <s v="Carga de acta PROSAN" u="1"/>
        <s v="Se testan los datos  del folio: 0064101363321" u="1"/>
        <s v="Se testan los datos  del folio: 0064101373321" u="1"/>
        <s v="Incidencias reportadas por el área usuaria" u="1"/>
        <s v="Crear metodos para obtener resultados" u="1"/>
        <s v="El usuario solicita nuevamente el desbloqueo y reinicio de usuario CBOCANEGRA" u="1"/>
        <s v="Se elimina la respuesta del folio: 0064102373021" u="1"/>
        <s v="Analisis sector administracion " u="1"/>
        <s v="Se sustituye archivo adjunto  del folio:  0002700145021" u="1"/>
        <s v="Se aplica testado de datos al folio: 0000700086720." u="1"/>
        <s v="_x000a_Notificación de seguimiento  [  MA0810202006 ]  _x000a_ _x000a_ _x000a_Estimado(a):                     Betzabé Flores Terán_x000a_ _x000a_Le informamos que su ticket correspondiente a:_x000a_               _x000a_Solicito su apoyo para eliminar el requerimiento IFAI-REQ-002475-2020 enviado el día de hoy._x000a__x000a_ _x000a_Aplicación:                  HCOM_x000a_Tipo de Soporte:         ELIMINAR REQUERIMIENTO  _x000a_Observaciones:            _x000a_ _x000a_Su petición fue atendida_x000a_ _x000a__x000a_" u="1"/>
        <s v="Montar el aplicativo en local y analizar el código" u="1"/>
        <s v="Se  testan los datos del folio: 0064100738421" u="1"/>
        <s v="desarrollo modal histórico modulo Unidad de transparencia" u="1"/>
        <s v="_x000a_Buenos días Guillermo, respecto a lo que te reportan, INICIALIZAR VALORES se utiliza en las actividades de configuración, en este caso en el subproceso, es decir esa actividad no afecta a la respuesta del solicitante, si tu usuario requiere algún dato adicional relacionada estoy a sus ordenes _x000a__x000a_Saludos _x000a__x000a_Marina Adame Velasco_x000a__x000a_Notificación de seguimiento  [  MA2509202003 ]  _x000a__x000a_Aplicación:                  INFOMEX BCN _x000a_Tipo de Soporte:         Revisión de incidencia reportada   _x000a_Estatus:                               Concluido._x000a__x000a_" u="1"/>
        <s v="_x000a_Notificación de seguimiento  [  MA0110202008 ]  _x000a_ _x000a_ _x000a_Estimado(a):                     Rosalinda Coria Mosqueda_x000a_ _x000a_Le informamos que su ticket correspondiente a:_x000a_               _x000a__x000a_Agradeceré su apoyo para regresar al paso de admisión/prevención el recurso RRA 09760/20, toda vez que activé admisión, debiendo ser una PREVENCIÓN._x000a__x000a_ _x000a_Aplicación:                  SIGEMI_x000a_Tipo de Soporte:         REGRESO DE PASOS  _x000a_Observaciones:            _x000a_ _x000a_Su petición fue atendida_x000a_ _x000a_" u="1"/>
        <s v="Se aplica eliminación de última respuesta: 0001200048020" u="1"/>
        <s v="Evalución y diseño de los posibles modelos predictivos, arquitectura y ontología" u="1"/>
        <s v="Se testan los datos  del folio:   0064101362221" u="1"/>
        <s v="Buenas tardes Berenice, tu petición fue atendida, favor de validar _x000a__x000a_Saludos _x000a__x000a_Marina Adame Velasco_x000a__x000a_Notificación de seguimiento  [  MA3006202002 ]  _x000a__x000a_Aplicación:                  INFOMEX OAXACA_x000a_Tipo de Soporte:         AJUSTE DE PLAZOS _x000a_Estatus:                               Concluido._x000a__x000a_" u="1"/>
        <s v="prueba para que la contraseña en carga masiva no se modifique " u="1"/>
        <s v="Se realiza la eliminación del formato de pago del folio 1113100039820 " u="1"/>
        <s v="Definición de ontología" u="1"/>
        <s v="Evaluación y diseño para lematización" u="1"/>
        <s v="Hola Moisés, para consultar el tipo de respuesta asignada a una solicitud ejecuta este script:_x000a__x000a_select P.FOLIO,CC.NOMBRE RESPUESTA FROM PROCESO P JOIN PSI ON PSI.GUIDPROCESO = P.GUIDPROCESO _x000a_JOIN CAMPOCONFIGURABLE CC ON CC.GUIDVALOR = PSI.Cb7c0c665_x000a__x000a_Y para consultar el catalogo ejecuta la siguiente:_x000a__x000a__x000a_select NOMBRE from campoconfigurable where guidcampo = ( select guidcampo from campo where nombre = 'respuesta')_x000a__x000a__x000a_Saludos _x000a__x000a_Marina Adame Velasco_x000a__x000a_Notificación de seguimiento  [  MA1103202008 ]  _x000a__x000a_Aplicación:                  INFOMEX PUEBLA _x000a_Tipo de Soporte:         Consulta de datos    _x000a_Estatus:                               Concluido._x000a_" u="1"/>
        <s v="Se sustituye archivo adjunto del folio: 0000700063920." u="1"/>
        <s v="_x000a_Notificación de seguimiento  [  MA2503202111 ]  _x000a_ _x000a_ _x000a_Estimado(a):                     Edgar Michel Loaeza Martínez_x000a_ _x000a_ _x000a_Le informamos que su ticket correspondiente a:_x000a_               _x000a_eliminar el comunicado número 001845-IFAI-2021, el cual se notificó el 19 de Marzo de 2021, ya que por un error involuntario se notificó un archivo incorrecto._x000a__x000a_ _x000a_Aplicación:                  HCOM_x000a_Tipo de Soporte:         ELIMINAR COMUNICADO    _x000a_Observaciones:            _x000a_ _x000a_Su petición fue atendida_x000a_ _x000a_" u="1"/>
        <s v="Continúa y concluye el proceso de recuperación de faltantes de los estados no procesados, con un total de 5,784 adjuntos faltantes correspondientes a las entidades aún no procesadas, esto excluye (Baja California Sur, CDMX, Guanajuato, Morelos, Sonora y Zacatecas). Con esto se recuperó el total de registros de Hidalgo (2), Veracruz (142), y Yucatán (11), y la mayor parte de Aguascalientes (1,801 de 2,148)._x000a_Se procede con la creación del insumos para el procesamiento de recuperación de adjuntos faltantes del estado de Morelos (Se requiere recuperar (9,161) adjuntos). Para esto se realizan dos distintos procedimientos con cambios en la ruta URL de Origen." u="1"/>
        <s v="Ejecución de pasos OT Campus Civil" u="1"/>
        <s v="Se contesta la queja con todos los parametros faltantes, se añaden validaciones extras" u="1"/>
        <s v="Notificación de seguimiento  [  MA3007202006 ]  _x000a_ _x000a_ _x000a_Estimado(a):                     Isaac García Quevedo_x000a_ _x000a_Le informamos que su ticket correspondiente a:_x000a_               _x000a__x000a_Por este medio solicito la afectación en base de datos de la fecha de caducidad para la entrega de Alegatos y Manifestaciones del Recurso de Revisión presentado en el SICOM" u="1"/>
        <s v="Generación de script para creación de vocabulario" u="1"/>
        <s v="Cambios de Titulares INDEP " u="1"/>
        <s v="Se actualizaron valores en turnos a dependencia 641" u="1"/>
        <s v="Se cambió el tipo de solicitud del folio:  000270009392" u="1"/>
        <s v="App para descargar archivos por HTTP" u="1"/>
        <s v="Generación de certificado para: Eva Acevedo Villafuerte." u="1"/>
        <s v="Página de Directorio de Enlaces" u="1"/>
        <s v="Se sustituye archivo adjunto  del folio:  0064103310820" u="1"/>
        <s v="Actualización de insumos área usuaria" u="1"/>
        <s v="Se envía respaldos semanales de base de datos " u="1"/>
        <s v="Se aplica eliminación de formato de pago: 0064100414321" u="1"/>
        <s v="Respaldar Curso 10  de la plataforma anterior y restaurar en plataforma actual " u="1"/>
        <s v="Respaldar Curso 11  de la plataforma anterior y restaurar en plataforma actual " u="1"/>
        <s v="Respaldar Curso 12  de la plataforma anterior y restaurar en plataforma actual " u="1"/>
        <s v="Buenas tardes Moisés, tu petición fue atendida, favor de validar _x000a_ _x000a_ Saludos _x000a_ _x000a_ Marina Adame Velasco_x000a_ _x000a_ Notificación de seguimiento [ MA1501202005 ] _x000a_ _x000a_ Aplicación: INFOMEX PUEBLA _x000a_ Tipo de Soporte: Actualización costos medio _x000a_ Estatus: Concluido." u="1"/>
        <s v="Análisis de Solicitud y respuesta " u="1"/>
        <s v="Respaldar Curso 13  de la plataforma anterior y restaurar en plataforma actual " u="1"/>
        <s v="Respaldar Curso 1 de Repositorio INAI  de la plataforma anterior y restaurar en plataforma actual " u="1"/>
        <s v="Respaldar Curso 14  de la plataforma anterior y restaurar en plataforma actual " u="1"/>
        <s v="Respaldar Curso 15  de la plataforma anterior y restaurar en plataforma actual " u="1"/>
        <s v="Respaldar Curso 16  de la plataforma anterior y restaurar en plataforma actual " u="1"/>
        <s v="Se sustituye archivo del folio 0673800081021" u="1"/>
        <s v="Respaldar Curso 17  de la plataforma anterior y restaurar en plataforma actual " u="1"/>
        <s v="Respaldar Curso 18  de la plataforma anterior y restaurar en plataforma actual " u="1"/>
        <s v="Respaldar Curso 19  de la plataforma anterior y restaurar en plataforma actual " u="1"/>
        <s v="Notificación de seguimiento  [  MA0107202203 ]_x000a__x000a_Estimado(a):               Alondra Jiménez Hernández_x000a__x000a_ Le informamos que su ticket correspondiente a:_x000a_Debido al cambio de Titular de la Unidad de Transparencia, te pido sea generado un certificado a nombre del TUT y que con el mismo sea habilitado en la HCOM. Los datos son los siguientes:_x000a_Aplicación:                  HCOM_x000a_Tipo de Soporte:         GENERACIÓN DE CERTIFICADO Y CAMBIO DE TUT_x000a_Observaciones:            _x000a_ _x000a_Su petición fue atendida, se anexa archivo_x000a_Favor de validar._x000a_ _x000a_Estatus:                               Concluido_x000a_" u="1"/>
        <s v="Se sustituye archivo adjunto  del folio:  0064103310920" u="1"/>
        <s v="Se aplica sustitución de archivo al folio: 1117100024120" u="1"/>
        <s v="Se aplica testado de datos personales: 0064100568120." u="1"/>
        <s v="Notificación de seguimiento  [  MA0408202111 ]_x000a__x000a_Estimado(a):                Pedro Esquivel Martínez_x000a__x000a_ _x000a_ Le informamos que su ticket correspondiente a:_x000a_               _x000a_por este medio Anexo el registro actualizado del certificado del Titular de la Unidad de Enlace de la “Comisión Ejecutiva de Atención a Víctimas”.  Lo Anterior a fin de que sus accesos sean habilitados en los otros sistemas que administra este Instituto (HCOM).  CAMBIO DE  TITULAR, en cuanto se reciba la atención en HCOM se realizará la actualización de los demás sistemas correspondientes._x000a__x000a_ _x000a_Aplicación:                  HCOM_x000a_Tipo de Soporte:         CAMBIO DE TUT   _x000a_" u="1"/>
        <s v="Se aplica testado de datos al folio: 0064100678220." u="1"/>
        <s v="Cambios área usuaria footer" u="1"/>
        <s v="Reinstalación campus público en nuevo server de desarrollo" u="1"/>
        <s v="Se sustituye archivo adjunto  del folio:  0002700099721" u="1"/>
        <s v="Creación de vista para output" u="1"/>
        <s v="Se agregan scrolls visuales en las pantallas de solicitudes de informacion publica y de datos personales" u="1"/>
        <s v="Analisis Acta Constitucion " u="1"/>
        <s v="Mejoras en la alta de estructuras normativas -SIPOT" u="1"/>
        <s v="Notificación de seguimiento  [  MA0402202005 ]  _x000a_ _x000a_ _x000a_Estimado(a):                     Edgar Michel Loaeza Martínez_x000a_ _x000a_Le informamos que su ticket correspondiente a:_x000a_               _x000a_Por medio del presente solicito su valioso apoyo a efecto de hacer cambio de Titular de la Unidad de Transparencia de la Secretaría de Turismo._x000a__x000a_Para tal efecto, anexo al presente el certificado, nombramiento y cédula de registro, lo anterior, a fin de que sus accesos sean habilitados en los sistemas que administra este Instituto (HCOM e INFOMEX).  _x000a__x000a_ _x000a_Aplicación:                  HCOM_x000a_Tipo de Soporte:         CAMBIO DE TUT   _x000a_" u="1"/>
        <s v="Galerías fotográficas" u="1"/>
        <s v="Buenas tardes Francisco, tu petición fue atendida, favor de validar _x000a__x000a_Saludos _x000a__x000a_Marina Adame Velasco_x000a__x000a_Notificación de seguimiento  [  MA2003202004 ]  _x000a__x000a_Aplicación:                  INFOMEX NUEVO LEÓN _x000a_Tipo de Soporte:         Corrección de plazo   _x000a_Estatus:                               Concluido._x000a__x000a_" u="1"/>
        <s v="Se crean querys para plantillas respuesta faltantes en DB 78. Se crean querys para nueva sección en tipos de respuesta 10,18,76 y se agrega a todos los OG con configuraciones de ese tipo." u="1"/>
        <s v="se genera certificado para: Hilda.de.la.Torre.Amorós." u="1"/>
        <s v="Generar servicios Back de respuesta a notificaciones" u="1"/>
        <s v="Buenas tardes Moisés, tu petición fue atendida, favor de validar _x000a__x000a_Saludos _x000a__x000a_Marina Adame Velasco_x000a__x000a_Notificación de seguimiento  [  MA0909202005 ]  _x000a__x000a_Aplicación:                  INFOMEX PUEBLA _x000a_Tipo de Soporte:         Modificación de configuración proceso   _x000a_Estatus:                               Concluido._x000a_" u="1"/>
        <s v="Se aplica el testado de datos de la solicitud: 1117100231119" u="1"/>
        <s v="Desarrollo e implementación de mejoras en los portlets y web services detectadas en el ambiente productivo" u="1"/>
        <s v="Se desarrolla la seccion de estadisticas con las graficas" u="1"/>
        <s v="_x000a_Notificación de seguimiento  [  MA0911202002 ]  _x000a_ _x000a_ _x000a_Estimado(a):                     GUILLERMO DELGADO IBARRA_x000a_ _x000a_ _x000a_Le informamos que su ticket correspondiente a:_x000a_               _x000a_con 2 peticiones _x000a_1.- el reporte de solicitudes hasta la fecha_x000a_2.- el reporte de solicitudes referente a COVIT, CORONAVIRUS, y me solicitan agregar dos palabras a la búsqueda, (EMERGENCIA y PANDEMIA) además descripción de la respuesta y el estatus de cada solicitud_x000a_ _x000a_Aplicación:                  INFOMEX BCN_x000a_Tipo de Soporte:         REPORTE   _x000a_Observaciones:            _x000a_ _x000a_Su petición fue atendida_x000a_ _x000a_" u="1"/>
        <s v="Se aplica sustitución de archivo al folio: 0110000019520." u="1"/>
        <s v="_x000a_Notificación de seguimiento  [  MA1502202111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tienen como día inhábil el 1 de febrero de 2021._x000a__x000a_Aplicación:                  INFOMEX NUEVO LEÓN_x000a_Tipo de Soporte:         AJUSTE DE PLAZOS    _x000a_Observaciones:            _x000a_ _x000a_Su petición fue atendida_x000a_ _x000a_  _x000a_" u="1"/>
        <s v="Se aplica el testado de datos de la solicitudes: 1117100005720 y 1117100005820." u="1"/>
        <s v="Notificación de seguimiento  [  MA0203202103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1º al 26 de marzo 2021 y contando también el periodo vacacional de semana santa; debiéndose considerar los días comprendidos dentro de dicho periodo como inhábiles para evitar la propagación del coronavirus COVID-19._x000a_ _x000a_Aplicación:                  INFOMEX NUEVO LEÓN_x000a_Tipo de Soporte:         AJUSTE DE PLAZOS    _x000a_" u="1"/>
        <s v="Se cambio en los nativos de Android para mostrar el icono correcto del recent apps tray, tambien se realizaron pruebas en dispositivos fisicos y virtuales" u="1"/>
        <s v="Se aplica el cambio de modalidad de la solicitud: 0001100167220." u="1"/>
        <s v="_x000a_Buenas tardes Martha, tu petición fue atendida, favor de validar _x000a__x000a_Saludos _x000a__x000a_Marina Adame Velasco_x000a__x000a_Notificación de seguimiento  [  MA0710202004 ]  _x000a__x000a_Aplicación:                  INFOMEX NUEVO LEÓN_x000a_Tipo de Soporte:         AJUSTE DE PLAZOS    _x000a_Estatus:                               Concluido._x000a__x000a_" u="1"/>
        <s v="_x000a_Buenas tardes Martha, tu petición fue atendida, favor de validar _x000a__x000a_Saludos _x000a__x000a_Marina Adame Velasco_x000a__x000a_Notificación de seguimiento  [  MA1009202011 ]  _x000a__x000a_Aplicación:                  INFOMEX NUEVO LEÓN_x000a_Tipo de Soporte:         AJUSTE DE PLAZOS    _x000a_Estatus:                               Concluido._x000a__x000a_" u="1"/>
        <s v="_x000a_Buenas tardes Martha, tu petición fue atendida, favor de validar _x000a__x000a_Saludos _x000a__x000a_Marina Adame Velasco_x000a__x000a_Notificación de seguimiento  [  MA1709202003 ]  _x000a__x000a_Aplicación:                  INFOMEX NUEVO LEÓN_x000a_Tipo de Soporte:         AJUSTE DE PLAZOS    _x000a_Estatus:                               Concluido._x000a__x000a_" u="1"/>
        <s v="_x000a_Buenas tardes Martha, tu petición fue atendida, favor de validar _x000a__x000a_Saludos _x000a__x000a_Marina Adame Velasco_x000a__x000a_Notificación de seguimiento  [  MA1906202001 ]  _x000a__x000a_Aplicación:                  INFOMEX NUEVO LEÓN_x000a_Tipo de Soporte:         AJUSTE DE PLAZOS    _x000a_Estatus:                               Concluido._x000a__x000a_" u="1"/>
        <s v="_x000a_Buenas tardes Martha, tu petición fue atendida, favor de validar _x000a__x000a_Saludos _x000a__x000a_Marina Adame Velasco_x000a__x000a_Notificación de seguimiento  [  MA1910202004 ]  _x000a__x000a_Aplicación:                  INFOMEX NUEVO LEÓN_x000a_Tipo de Soporte:         AJUSTE DE PLAZOS    _x000a_Estatus:                               Concluido._x000a__x000a_" u="1"/>
        <s v="_x000a_Notificación de seguimiento  [  MA0110202005 ]  _x000a_ _x000a_ _x000a_Estimado(a):                     Alma Lizbeth Peguero Rivera_x000a_ _x000a_Le informamos que su ticket correspondiente a:_x000a_               _x000a_Por medio de presente, solicito de la manera más atenta, su apoyo para retroceder los pasos en el sistema SIGEMI-SICOM en la PNT del siguiente  asunto RRA 6449/20 OMGF, hasta la actividad “Registrar información de la sesión del pleno”; sin más por el momento, quedo en espera de sus comentarios._x000a__x000a__x000a_ _x000a_Aplicación:                  SIGEMI_x000a_Tipo de Soporte:         REGRESO DE PASOS  _x000a_Observaciones:            _x000a_ _x000a_Su petición fue atendida_x000a_ _x000a_" u="1"/>
        <s v="Pruebas endpoint CDMX" u="1"/>
        <s v="Se sustituye archivo adjunto del folio: 1816400033221" u="1"/>
        <s v="Definicion de campos para el registro de Usuario " u="1"/>
        <s v="Maquetación pantalla registro de usuarios con datos dummy" u="1"/>
        <s v="Activación de caracteristicas para la visualización de archivos" u="1"/>
        <s v="Se cambia el tipo de solicitud del folio: 857200105821" u="1"/>
        <s v="Notificación de seguimiento  [  MA0112202101 ]_x000a__x000a_Estimado(a):                Pedro Esquivel Martínez_x000a__x000a_ _x000a_ Le informamos que su ticket correspondiente a:_x000a_               _x000a_asignar el certificado en la Herramienta de comunicación HCOM, de acuerdo al siguiente cuadro descriptivo:_x000a__x000a_Clave Presupuestal Fideicomiso Siglas Actual Titular CERTIFICADO A GENERAR Contraseña_x000a_HCOM Contraseña_x000a_INFOMEX _x000a_22330 Partido Acción Nacional PAN Vania Moctezuma Hernández 22330.Vania.Moctezuma.Hernandez HCOM22330 SISI22330 _x000a__x000a_ _x000a_Aplicación:                  HCOM_x000a_Tipo de Soporte:         CAMBIO DE CERTIFICADO  _x000a_Observaciones:            _x000a_ _x000a_Su petición fue atendida_x000a_ _x000a_ _x000a__x000a_" u="1"/>
        <s v="Conexión de API de Google para obtener información del usaurio logueado de Google" u="1"/>
        <s v="Notificación de seguimiento  [  MA0803202117 ]  _x000a_ _x000a_ _x000a_Estimado(a):                     Alejandra Tejeda_x000a_ _x000a_ _x000a_Le informamos que su ticket correspondiente a:_x000a_               _x000a_solicito su apoyo con el reporte de solicitudes 2021 con corte al día de hoy._x000a_ _x000a_Aplicación:                  INFOMEX BCN_x000a_Tipo de Soporte:         REPORTE   _x000a_Observaciones:            _x000a_ _x000a_Su petición fue atendida_x000a_ _x000a_" u="1"/>
        <s v="Notificación de seguimiento [ MA1501202006]_x000a_ _x000a_  _x000a_ Estimado(a): Lizbeth Adriana Cabrera Ortega_x000a_  _x000a_ Le informamos que su ticket correspondiente a:_x000a_  _x000a_ la generación UN EXPEDIENTE del recurso de revisión posteriormente citado._x000a_  _x000a_ Asimismo, te comento que NO DEBERÁ CAMBIAR el sujeto obligado, ni el Comisionado correspondiente. _x000a_  _x000a_  DICE DEBE DECIR SUJETO OBLIGADO PONENTE_x000a_ RRA 467/20 RDA 2486/13-BIS Y ACUMULADO PGR OMGF_x000a_  _x000a_ No omito comentarte que el número de expediente que deberá seguir en el consecutivo por turnar en PNT debe ser el RRA 467/20._x000a_  _x000a_ Aplicación: SIGEMI_x000a_ Tipo de Soporte: CAMBIO A BIS" u="1"/>
        <s v="Se actualizó la fecha en solicitudes del SO IMSS" u="1"/>
        <s v="Se aplica eliminación de formato de pago manual: 0000500318619" u="1"/>
        <s v="Analisis de funcionalidad de Consulta de Usuarios " u="1"/>
        <s v="Prueba de script de etiquetado automático" u="1"/>
        <s v="Se reciben los formatos de Excel para el análisis de procesos y generación de la automatización de inserción de registros.  (Excel SISAI_catalogos.xls  y Tarea_estatus_Estados.xlsx)" u="1"/>
        <s v="Notificación de seguimiento  [  MA0802202105 ]  _x000a_ _x000a_ _x000a_Estimado(a):                     FRANCISCO LIRA_x000a_  _x000a_Le informamos que su ticket correspondiente a:_x000a_               _x000a_RESPALDO SEMANAL DE LA BASE DE DATOS INFOMEX_x000a_ _x000a_Aplicación:                  INFOMEX NUEVO LEÓN_x000a_Tipo de Soporte:         RESPALDO   _x000a_Observaciones:            _x000a_ _x000a_Su petición fue atendida, se subió el respaldo de su base de datos de esta semana…_x000a_http://documentos.inai.org.mx/tmp/infomexNL_backup_2021-02-08_0800.bak_x000a_NOTA: El respaldo estará disponible una semana  _x000a_" u="1"/>
        <s v="Notificación de seguimiento  [  MA1904202105 ]  _x000a_ _x000a_ _x000a_Estimado(a):                     FRANCISCO LIRA_x000a_  _x000a_Le informamos que su ticket correspondiente a:_x000a_               _x000a_RESPALDO SEMANAL DE LA BASE DE DATOS INFOMEX_x000a_ _x000a_Aplicación:                  INFOMEX NUEVO LEÓN_x000a_Tipo de Soporte:         RESPALDO   _x000a_Observaciones:            _x000a_ _x000a_Su petición fue atendida, se subió el respaldo de su base de datos de esta semana…_x000a_http://documentos.inai.org.mx/tmp/infomexNL_backup_2021-04-19_0800.bak_x000a_NOTA: El respaldo estará disponible una semana  _x000a_" u="1"/>
        <s v="Notificación de seguimiento  [  MA2501202103 ]  _x000a_ _x000a_ _x000a_Estimado(a):                     FRANCISCO LIRA_x000a_  _x000a_Le informamos que su ticket correspondiente a:_x000a_               _x000a_RESPALDO SEMANAL DE LA BASE DE DATOS INFOMEX_x000a_ _x000a_Aplicación:                  INFOMEX NUEVO LEÓN_x000a_Tipo de Soporte:         RESPALDO   _x000a_Observaciones:            _x000a_ _x000a_Su petición fue atendida, se subió el respaldo de su base de datos de esta semana…_x000a_http://documentos.inai.org.mx/tmp/infomexNL_backup_2021-01-25_0800.bak_x000a_NOTA: El respaldo estará disponible una semana  _x000a_" u="1"/>
        <s v="Generación del script de concatenación de datos SIPOT" u="1"/>
        <s v="Buenas tardes Guillermo, tu petición fue atendida, favor de validar _x000a__x000a_Saludos _x000a__x000a_Marina Adame Velasco_x000a__x000a_Notificación de seguimiento  [  MA0807202006 ]  _x000a__x000a_Aplicación:                  INFOMEX BCN_x000a_Tipo de Soporte:         AJUSTE DE PLAZOS    _x000a_Estatus:                               Concluido._x000a__x000a_" u="1"/>
        <s v="Buenas tardes Guillermo, tu petición fue atendida, favor de validar _x000a__x000a_Saludos _x000a__x000a_Marina Adame Velasco_x000a__x000a_Notificación de seguimiento  [  MA1607202001 ]  _x000a__x000a_Aplicación:                  INFOMEX BCN_x000a_Tipo de Soporte:         AJUSTE DE PLAZOS    _x000a_Estatus:                               Concluido._x000a__x000a_" u="1"/>
        <s v="Buenas tardes Guillermo, tu petición fue atendida, favor de validar _x000a__x000a_Saludos _x000a__x000a_Marina Adame Velasco_x000a__x000a_Notificación de seguimiento  [  MA2109202009 ]  _x000a__x000a_Aplicación:                  INFOMEX BCN_x000a_Tipo de Soporte:         CONSULTA DE DATOS   _x000a_Estatus:                               Concluido._x000a__x000a_" u="1"/>
        <s v="Buenas tardes Guillermo, tu petición fue atendida, favor de validar _x000a__x000a_Saludos _x000a__x000a_Marina Adame Velasco_x000a__x000a_Notificación de seguimiento  [  MA2207202009 ]  _x000a__x000a_Aplicación:                  INFOMEX BCN_x000a_Tipo de Soporte:         Ajuste de plazos    _x000a_Estatus:                               Concluido._x000a__x000a_" u="1"/>
        <s v="Buenas tardes Guillermo, tu petición fue atendida, favor de validar _x000a__x000a_Saludos _x000a__x000a_Marina Adame Velasco_x000a__x000a_Notificación de seguimiento  [  MA2207202010 ]  _x000a__x000a_Aplicación:                  INFOMEX BCN_x000a_Tipo de Soporte:         Ajuste de plazos    _x000a_Estatus:                               Concluido._x000a__x000a_" u="1"/>
        <s v="Buenas tardes Guillermo, tu petición fue atendida, favor de validar _x000a__x000a_Saludos _x000a__x000a_Marina Adame Velasco_x000a__x000a_Notificación de seguimiento  [  MA2606202002 ]  _x000a__x000a_Aplicación:                  INFOMEX BCN_x000a_Tipo de Soporte:         AJUSTE DE PLAZOS    _x000a_Estatus:                               Concluido._x000a__x000a_" u="1"/>
        <s v="Buenas tardes Guillermo, tu petición fue atendida, favor de validar _x000a__x000a_Saludos _x000a__x000a_Marina Adame Velasco_x000a__x000a_Notificación de seguimiento  [  MA2805202005 ]  _x000a__x000a_Aplicación:                  INFOMEX BCN_x000a_Tipo de Soporte:         Ajuste de plazos    _x000a_Estatus:                               Concluido._x000a__x000a_" u="1"/>
        <s v="Buenas tardes Guillermo, tu petición fue atendida, favor de validar _x000a__x000a_Saludos _x000a__x000a_Marina Adame Velasco_x000a__x000a_Notificación de seguimiento  [  MA2907202001 ]  _x000a__x000a_Aplicación:                  INFOMEX BCN_x000a_Tipo de Soporte:         Ajuste de plazos    _x000a_Estatus:                               Concluido._x000a__x000a_" u="1"/>
        <s v="Buenas tardes Guillermo, tu petición fue atendida, favor de validar _x000a__x000a_Saludos _x000a__x000a_Marina Adame Velasco_x000a__x000a_Notificación de seguimiento  [  MA3007202005 ]  _x000a__x000a_Aplicación:                  INFOMEX BCN _x000a_Tipo de Soporte:         Ajuste de plazos   _x000a_Estatus:                               Concluido._x000a__x000a_" u="1"/>
        <s v="Se corrige al buscar quejas una validacion que marcaba como obligatorio el SO" u="1"/>
        <s v="_x000a_Buenas tardes Martha, tu petición fue atendida, favor de validar _x000a__x000a_Saludos _x000a__x000a_Marina Adame Velasco_x000a__x000a_Notificación de seguimiento  [  MA1310202010 ]  _x000a__x000a_Aplicación:                  INFOMEX NUEVO LEÓN_x000a_Tipo de Soporte:         AJUSTE DE PLAZOS    _x000a_Estatus:                               Concluido._x000a__x000a__x000a_" u="1"/>
        <s v="Entrenamiento modelo multiple input" u="1"/>
        <s v="Crear certificado para usuario del Sujeto Obligado MORENA" u="1"/>
        <s v="Se aplica testado de datos al folio: 0064100211321" u="1"/>
        <s v="Notificación de seguimiento  [  MA2806202101 ]_x000a__x000a_Estimado(a):                Direccion de Transparencia y Tecnologias_x000a__x000a_ _x000a_ Le informamos que su ticket correspondiente a:_x000a_               _x000a_RESPALDO SEMANAL DE BASE DE DATOS INFOMEX_x000a__x000a_ _x000a_Aplicación:                  INFOMEX OAXACA_x000a_Tipo de Soporte:         ENVÍO DE RESPALDO  _x000a_Observaciones:            _x000a_ _x000a_Le informo que  ya se subió el respaldo de su base de datos de esta semana…_x000a__x000a__x000a_http://documentos.inai.org.mx/tmp/infomexOAX_backup_2021-06-28_0800.bak_x000a__x000a__x000a_ _x000a_NOTA: El respaldo estará disponible una semana  _x000a_" u="1"/>
        <s v="Se  testan los datos del folio: 0000700095821 " u="1"/>
        <s v="Notificación de seguimiento  [  MA0110202004 ]  _x000a_ _x000a_ _x000a_Estimado(a):                     Lizbeth Adriana Cabrera Ortega_x000a_ _x000a_Le informamos que su ticket correspondiente a:_x000a_               _x000a_Pido de tu amable apoyo a fin de modificar la dirección de correo señalada por el recurrente como medio de notificación._x000a__x000a_Lo anterior ya que en los datos que constaban en el expediente de solicitud precisaban la dirección que consta actualmente y él remite precisión de cambio de correo._x000a__x000a_Gracias de antemano y saludos._x000a__x000a_Dice: erwin.cruz.saldivar@gmail.com_x000a__x000a__x000a_Debe decir: erwincruzsaldivar@hotmail.com_x000a__x000a__x000a_ _x000a_Aplicación:                  SIGEMI_x000a_Tipo de Soporte:         CAMBIO DE CORREO  ( 13)  _x000a_" u="1"/>
        <s v="Revision de lso catalogos para estructurar la base de datos" u="1"/>
        <s v="Submenú de eventos y memorias y página en blanco para la línea del tiempo" u="1"/>
        <s v="Soporte Veracruz" u="1"/>
        <s v="Desarrollo de notificaciones y adjunto de archivos" u="1"/>
        <s v="Módulo para la configuración de cursos" u="1"/>
        <s v="Se genera el pdf en buscador nacional" u="1"/>
        <s v="Creación de página Estados Financieros del INAI" u="1"/>
        <s v="Analisis de la Administracion de Roles " u="1"/>
        <s v="Reinstalación campus civil desde cero" u="1"/>
        <s v="Notificación de seguimiento  [  MA0707202201 ]_x000a__x000a__x000a_Estimado(a):               Lizbeth Adriana Cabrera Ortega_x000a__x000a__x000a__x000a_ Le informamos que su ticket correspondiente a:_x000a__x000a_generación DEL EXPEDIENTE BIS del recurso de revisión posteriormente citado._x000a_ _x000a_Asimismo, te comento que NO DEBERÁ CAMBIAR el sujeto obligado ni el comisionado._x000a_ _x000a_ DICE                                        DEBE DECIR                         SUJETO OBLIGADO           PONENTE_x000a_RRA 10660_x0009_RRA 858/21-BIS_x0009_CLAUSTRO DE SOR JUANA_x0009_NJRV_x000a_ _x000a_No omito comentarte que el número d expediente que deberá seguir en el consecutivo por turnar en PNT debe ser el RRA 10660/22._x000a__x000a__x000a__x000a__x000a_Aplicación:                  SIGEMI/SICOM_x000a_Tipo de Soporte:         CAMBIO A BIS" u="1"/>
        <s v="Avance mockups línea acción, Objetivos Pizarras 4" u="1"/>
        <s v="Se comineza con el desarrollo y las adecuaciones a los servicios de actualizar el tipo de solicitud para cambiar de datos personales a informacion publica" u="1"/>
        <s v="Se sustituye archivo adjunto  del folio:  0002700022621" u="1"/>
        <s v="_x000a_Buenas tardes Guillermo, tu petición fue atendida, favor de validar _x000a__x000a_Saludos _x000a__x000a_Marina Adame Velasco_x000a__x000a_Notificación de seguimiento  [  MA0304202001 ]  _x000a__x000a_Aplicación:                  INFOMEX BCN_x000a_Tipo de Soporte:         Corrección de plazos   _x000a_Estatus:                               Concluido._x000a__x000a_" u="1"/>
        <s v="Notificación de seguimiento  [  MA2511202001 ]  _x000a_  _x000a_Estimado(a):                     Edgar Michel Loaeza Martínez_x000a_  _x000a_Le informamos que su ticket correspondiente a:_x000a_               _x000a_Por medio del presente solicito su valioso apoyo a efecto de hacer cambio de Titular de la Unidad de Transparencia de la Secretaría de Gobernación._x000a__x000a_ Aplicación:                  HCOM_x000a_Tipo de Soporte:         CAMBIO TUT   _x000a_Observaciones:            _x000a_ _x000a_Su petición fue atendida_x000a_ _x000a_" u="1"/>
        <s v="Notificación de seguimiento  [  MA1504202107 ]  _x000a_ _x000a_ _x000a_Estimado(a):                     Moisés Guzmán Arias_x000a_  _x000a_Le informamos que su ticket correspondiente a: ampliar el término para prevenirlos _x000a_  _x000a_01960320 estableciendo el término al día 19/04/2021 (19 de abril de 2021) (Bienestar)_x000a_02105820 estableciendo el término al día 19/04/2021 (19 de abril de 2021) (Bienestar)_x000a_02168420 estableciendo el término al día 19/04/2021 (19 de abril de 2021) (Bienestar)_x000a_00167621 estableciendo el término al día 19/04/2021 (19 de abril de 2021) (Bienestar)_x000a_02134820 estableciendo el término al día 19/04/2021 (19 de abril de 2021) (INEA)_x000a_             _x000a_ _x000a_Aplicación:                  INFOMEX PUEBLA_x000a_Tipo de Soporte:         AJUSTE DE PLAZO   _x000a_Observaciones:            _x000a_ _x000a_Su petición fue atendida_x000a_ _x000a_  _x000a_            Favor de validar._x000a_ _x000a_Estatus:                               Concluido._x000a__x000a_" u="1"/>
        <s v="Notificación de seguimiento  [  MA2903202106 ]  _x000a_ _x000a_ _x000a_Estimado(a):                     Martha Rubí Zaragoza Mora_x000a_ _x000a_ _x000a_Le informamos que su ticket correspondiente a:_x000a_               _x000a_El presente correo es para pedir su amable apoyo para el ajuste de términos de los folios debido al primer periodo vacacional del año 2021 que envió el sujeto obligado con su acuerdo y se configuro el calendario correspondiente:_x000a_ _x000a_FOLIO SUJETO OBLIGADO FECHA DE RECEPCIÓN NUEVA FECHA DE VENCIMIENTO POR ACUERDO ENVIADO DE LOS SO_x000a_00323221 Apodaca 25/03/2021 22/04/2021_x000a_00323321 Apodaca 25/03/2021 22/04/2021_x000a__x000a_ _x000a_Aplicación:                  INFOMEX NUEVO LEÓN_x000a_Tipo de Soporte:         AJUSTE DE PLAZO   _x000a_" u="1"/>
        <s v="Adecuaciones a la notificación de registro de respuesta a notificación de cumplimiento por parte del sujeto obligado por otros medios" u="1"/>
        <s v="Se renombran dos dependencias: 06800 y 21161." u="1"/>
        <s v="Notificación de seguimiento  [  MA2102202005 ]  _x000a_ _x000a_ _x000a_Estimado(a):                     Lizbeth Adriana Cabrera Ortega_x000a_ _x000a_Le informamos que su ticket correspondiente a:_x000a_               _x000a_Solcito de tu valioso apoyo a fin de modificar la fecha de interposición al día 21 de febrero._x000a__x000a_20/02/2020 20/02/2020 22:13 PM Santiago Meza CONSEJO DE LA JUDICATURA FEDERAL 0320000060820_x000a__x000a__x000a_ _x000a_Aplicación:                  SIGEMI_x000a_Tipo de Soporte:         Actualización de fecha de interposición  _x000a_" u="1"/>
        <s v="Reasignación de usuario a información registrada en SIPOT. (Durango) Pruebas de visualización, asignación de ID_Padre a cuentas de UA´s. Seguimiento del caso." u="1"/>
        <s v="Soporte Coahuila" u="1"/>
        <s v="Notificación de seguimiento  [  MA2303202108 ]  _x000a_ _x000a_ _x000a_Estimado(a):                     DAVID CALDERON _x000a_ _x000a_ _x000a_Le informamos que su ticket correspondiente a:_x000a_               _x000a_&quot;Número total de Solicitudes de Acceso a Información y de Datos Personales presentadas en la entidad federativa  (Período del 1ro de enero al 31 de diciembre de 2020&quot;._x000a_ _x000a_Aplicación:                  INFOMEX MICHOACAN_x000a_Tipo de Soporte:         REPORTE   _x000a_Observaciones:            _x000a_ _x000a_Su petición fue atendida_x000a_ _x000a_" u="1"/>
        <s v="Notificación de seguimiento  [  MA2403202005 ]  _x000a_ _x000a_ _x000a_Estimado(a):                     Sergio Rafael Cortés Alpizar_x000a_ _x000a_Le informamos que su ticket correspondiente a:_x000a_               _x000a_Por medio del presente, solicito el regreso de actividad a &quot;Preparación del Proyecto de Resolución&quot; del siguiente recurso de revisión:_x000a__x000a_RRA 1756/20 vs COFEPRIS_x000a_ _x000a_Aplicación:                  SIGEMI_x000a_Tipo de Soporte:         REGRESO DE PASOS  _x000a_Observaciones:            _x000a_ _x000a_Su petición fue atendida_x000a_ _x000a_" u="1"/>
        <s v="Notificación de seguimiento  [  MA2506202103 ]_x000a__x000a_Estimado(a):                Betzabé Flores Terán_x000a__x000a_ _x000a_ Le informamos que su ticket correspondiente a:_x000a_               _x000a_Solicito su apoyo para realizar la modificación en la herramienta de comunicación del .cer que se adjunta, toda vez que hubo un cambio en el Titular de la Unidad de Transparencia._x000a__x000a_ _x000a_Aplicación:                  HCOM_x000a_Tipo de Soporte:         CAMBIO DE TUT  _x000a_Observaciones:            _x000a_ _x000a_Su petición fue atendida_x000a_ _x000a_" u="1"/>
        <s v="Crear certificado para usuario de SO FONACOT" u="1"/>
        <s v="Notificación de seguimiento  [  MA3108202007 ]  _x000a_ _x000a_ _x000a_Estimado(a):                     Ricardo Marin González_x000a_ _x000a_Le informamos que su ticket correspondiente a:_x000a_               _x000a_EN ESTE MISMO SENTIDO, COMUNICARLES QUE SE HA CONFIGURADO EL CALENDARIO DEL SIGEMI-SICOM CON LOS DÍAS QUE EL PLENO ESTABLECIÓ EN EL ACUERDO REFERIDO, PARA QUE SE PROCEDA A REALIZAR LOS AJUSTES CORRESPONDIENTES POR SU PARTE.  DE IGUAL MANERA QUE EL CALENDARIO DE DÍAS INHÁBILES DEL SISTEMA INFOMEX QUINTANA ROO, HA SIDO CONFIGURADO CON ESTAS CONSIDERACIONES. _x000a__x000a_ _x000a_Aplicación:                  SIGEMI_x000a_Tipo de Soporte:         REVISIÓN DE PLAZOS   _x000a_Observaciones:            _x000a_ _x000a_Su petición fue atendida, anexo los nuevos plazos calculados con las ultimas modificaciones realizadas en su calendario, quedamos en espera de su validación para aplicar los cambios _x000a_ _x000a_ _x000a_Estatus:                               Concluido._x000a__x000a_" u="1"/>
        <s v="Se sustituye archivo adjunto  del folio:  0064101158921" u="1"/>
        <s v="Carga de acción de inconstitucionalidad" u="1"/>
        <s v="Carga de declaraciones patrimoniales" u="1"/>
        <s v="Estimada Alejandra_x000a__x000a_Su petición fue atendida…_x000a_ _x000a_  _x000a_            Favor de validar._x000a_ _x000a_Estatus:                               Concluido._x000a__x000a__x000a_Notificación de seguimiento  [  MA0505202105 ]  _x000a_Aplicación:                  INFOMEX BCN_x000a_Tipo de Soporte:         AJUSTE DE PLAZOS   _x000a__x000a_" u="1"/>
        <s v="Buenas tardes Ismael, adjunto script, lo capture el poder judicial pero si requieres consultar algún otro, cambiale el nombre, favor de validar _x000a__x000a_Saludos _x000a__x000a_Marina Adame Velasco_x000a__x000a_Notificación de seguimiento  [  MA3006202005 ]  _x000a__x000a_Aplicación:                  INFOMEX COAHUILA_x000a_Tipo de Soporte:         SCRIPT   _x000a_Estatus:                               Concluido._x000a_" u="1"/>
        <s v="Generar certificados para Comisión Nacional de Libros de Texto Gratuitos" u="1"/>
        <s v="Notificación de seguimiento  [  MA2606202004 ]  _x000a_ _x000a_ _x000a_Estimado(a):                     Pedro Esquivel Martínez_x000a_ _x000a_Le informamos que su ticket correspondiente a:_x000a_               _x000a_el cambio de certificado para los Fideicomisos a cargo de CONACYT; se anexan certificados_x000a__x000a_             _x000a_ _x000a_Aplicación:                  HCOM_x000a_Tipo de Soporte:         CAMBIO TUT   (5)_x000a_Observaciones:            _x000a_ _x000a_Su petición fue atendida, se realizó el cambio de Titular de los siguientes _x000a_" u="1"/>
        <s v="Notificación de seguimiento  [  MA2906202001 ]  _x000a_ _x000a_ _x000a_Estimado(a):                     Pedro Esquivel Martínez_x000a_ _x000a_Le informamos que su ticket correspondiente a:_x000a_               _x000a_el cambio de certificado para los Fideicomisos a cargo de CONACYT; se anexan certificados_x000a__x000a_             _x000a_ _x000a_Aplicación:                  HCOM_x000a_Tipo de Soporte:         CAMBIO TUT   (6)_x000a_Observaciones:            _x000a_ _x000a_Su petición fue atendida, se realizó el cambio de Titular de los siguientes _x000a_" u="1"/>
        <s v="Notificación de seguimiento  [  MA1305202202 ]_x000a__x000a_Estimado(a):                Alondra Jiménez Hernández_x000a__x000a_ _x000a_ Le informamos que su ticket correspondiente a:_x000a__x000a__x000a_Anexo el registro del certificado del nuevo Titular de la Unidad de Transparencia de Compañía Mexicana de Exploraciones, S.A. de C.V. para que su acceso sea habilitado en la Herramienta de Comunicación. _x000a__x000a__x000a_ _x000a_Aplicación:                  HCOM_x000a_Tipo de Soporte:         CAMBIO DE TUT     _x000a_Observaciones:            _x000a_ _x000a_Su petición fue atendida_x000a_ _x000a_" u="1"/>
        <s v="Actualización de contrasseña de usuario logueado" u="1"/>
        <s v="WS Quejas - Corrección de archivos y documentación para instalación en producción" u="1"/>
        <s v="Creación/modificación de servicios backend para la obtención de información" u="1"/>
        <s v="Respaldar Curso 3 de un minutoI  de la plataforma anterior y restaurar en plataforma actual " u="1"/>
        <s v="Analisis  del modulo de cambio de solicitud." u="1"/>
        <s v="validacion de contraseñas FTP" u="1"/>
        <s v="Publicación de boletín" u="1"/>
        <s v="Carga de videos en TV INAI" u="1"/>
        <s v="Se  testan los datos de la solicitud con folio 0064100480321_x000a_ _x000a_" u="1"/>
        <s v="Notificación de seguimiento  [  MA1307202008 ]  _x000a_ _x000a_ _x000a_Estimado(a):                     Rosalinda Coria Mosqueda_x000a_ _x000a_Le informamos que su ticket correspondiente a:_x000a_               _x000a_Agradeceré su apoyo para regresar a la actividad de admitir/prevenir, el Recurso RRA 06785/20, toda vez que se trata de una prevención y el acuerdo es de fecha 14 de julio, y no debí haber notificado._x000a__x000a_ _x000a_Aplicación:                  SIGEMI_x000a_Tipo de Soporte:         REGRESO DE PASOS  _x000a_Observaciones:            _x000a_ _x000a_Su petición fue atendida_x000a_ _x000a_" u="1"/>
        <s v="Creación de cuentas del jurado" u="1"/>
        <s v="validacion de cambios de integracion de Homoclave en generación de .pdf Declaración de Conflicto de intereses, y corrección de observaciones adicionales por parte del usuario final" u="1"/>
        <s v="Buenas tardes Guillermo, tu petición fue atendida, favor de validar _x000a__x000a_Saludos _x000a__x000a_Marina Adame Velasco_x000a__x000a_Notificación de seguimiento  [  MA3103202003 ]  _x000a__x000a_Aplicación:                  INFOMEX BAJA CALIFORNIA_x000a_Tipo de Soporte:         Corrección de plazos   _x000a_Estatus:                               Concluido._x000a__x000a_" u="1"/>
        <s v="Se aplica eliminación de formato de pago: 0001700761120" u="1"/>
        <s v="Servicio para LOGIN POR REDES SOCIALES( Twitter)" u="1"/>
        <s v="Búsqueda en la  pantalla (modal)  probar  la funcionalidad de compartir en redes sociales (whats app, twitter, correo electrónico)" u="1"/>
        <s v="Se aplica eliminación de formato de pago manual: 2800100002119." u="1"/>
        <s v="Se actualizaron valores para alta de Dependencia " u="1"/>
        <s v="Elaboración de script Infomex Colima para consultar archivos adjuntos  de solicitudes pendientes" u="1"/>
        <s v="Notificación de seguimiento  [  MA1506202002 ]  _x000a_ _x000a_ _x000a_Estimado(a):                     Lizbeth Adriana Cabrera Ortega_x000a_ _x000a_Le informamos que su ticket correspondiente a:_x000a_               _x000a_Solcito su valioso apoyo a fin de incorporar el archivo adjunto al expediente electrónico del recurso de revisión RRD 0792/20._x000a_ _x000a_Lo anterior ya que no se cargó completo el documento al hacer la carga manual._x000a_ _x000a_Aplicación:                  SIGEMI_x000a_Tipo de Soporte:         ACTUALIZACIÓN DE ARCHIVO_x000a__x000a_Observaciones:            _x000a_ _x000a_Su petición fue atendida_x000a_ _x000a_" u="1"/>
        <s v="Notificación de seguimiento  [  MA2104202201 ]_x000a__x000a_Estimado(a):                Alondra Jiménez Hernández_x000a__x000a_ _x000a_ Le informamos que su ticket correspondiente a:_x000a_               _x000a_Anexo el registro del certificado del nuevo Titular de la Unidad de Transparencia de Administración del Sistema Portuario Nacional Puerto Chiapas, S.A. de C.V. para que su acceso sea habilitado en la Herramienta de Comunicación. _x000a_ _x000a_ _x000a_Aplicación:                  HCOM_x000a_Tipo de Soporte:         CAMBIO DE TUT   _x000a_Observaciones:            _x000a_ _x000a_Su petición fue atendida_x000a_ _x000a_" u="1"/>
        <s v="Notificación de seguimiento  [  MA2408202008 ]  _x000a_ _x000a_ _x000a_Estimado(a):                     Rosalinda Coria Mosqueda_x000a_ _x000a_Le informamos que su ticket correspondiente a:_x000a_               _x000a__x000a_Agradeceré su apoyo para actualizar el recurso RRD 00659/20 mismo que fue sustanciado y votado en Sesión de Pleno del 17 de junio, y sigue apareciendo en admitir/Prevenir, por lo cual solicito su cancelación. _x000a__x000a__x000a_ _x000a_Aplicación:                  SIGEMI_x000a_Tipo de Soporte:         CANCELACIÓN DE ACTIVIDAD  _x000a_Observaciones:            _x000a_ _x000a_Su petición fue atendida_x000a_ _x000a_" u="1"/>
        <s v="Se  testan los datos del folio: 0064101685921" u="1"/>
        <s v="Integración de los componentes desarrollos de SISAI y del BUS de servicios" u="1"/>
        <s v="Notificación de seguimiento  [  MA2807202201 ]_x000a__x000a__x000a_Estimado(a):               Ricardo González Cano_x000a_ Le informamos que su ticket correspondiente a:_x000a__x000a_la actualización de certificados de los sujetos obligados enlistados en la relación que se adjunta, en la Herramienta de Comunicación, lo anterior, en virtud de que se encuentran vencidos, por lo que mucho agradeceré la pronta remisión de dichos certificados actualizados. _x000a__x000a_Aplicación:                  HCOM_x000a_Tipo de Soporte:        GENERACIÓN DE CERTIFICADO ( 5)  Y ACTUALIZACIÓN EN HCOM  ( 2)_x000a_Observaciones:            _x000a_ _x000a__x000a_Estimado Ricardo, adjunto certificados solicitados, se realizó la actualización solo en los siguientes, se cambio también la contraseña ya que la anterior no permitía la actualización, la contraseña es HCOM2022" u="1"/>
        <s v="Se aplica eliminación de respuesta al folio: 1215101152219." u="1"/>
        <s v="Ambientación para campus Civil versión 3.7.3" u="1"/>
        <s v="Notificación de seguimiento  [  MA2711202005 ]  _x000a_ _x000a_ _x000a_Estimado(a):                     Alondra Jiménez Hernández_x000a_ _x000a_ _x000a_Le informamos que su ticket correspondiente a:_x000a_               _x000a_Anexo el registro actualizado del certificado del nuevo Titular de la Unidad de Transparencia del Administración Portuaria Integral de Altamira, S.A de C.V (API ALTAMIRA) para que su acceso sea habilitado en la Herramienta de Comunicación. _x000a_ _x000a__x000a_ _x000a_Aplicación:                  HCOM_x000a_Tipo de Soporte:         CAMBIO TUT   _x000a_Observaciones:            _x000a_ _x000a_Su petición fue atendida_x000a_ _x000a_" u="1"/>
        <s v="Se analiza el nuevo requerimiento para servicio y se analiza y se desarrolla query para el servicio de si un usuario tiene solicitudes pendientes o no" u="1"/>
        <s v="Buenas tardes David, tu petición fue atendida, te envío resultado de consulta realizada a su base de datos, con la descripción que solicitas, favor de validar _x000a__x000a_Saludos _x000a__x000a_Marina Adame Velasco_x000a__x000a_Notificación de seguimiento  [  MA0604202004 ]  _x000a__x000a_Aplicación:                  INFOMEX MICHOACAN_x000a_Tipo de Soporte:         REPORTE DE SOLICITUDES   _x000a_Estatus:                               Concluido._x000a__x000a_" u="1"/>
        <s v="Envío de respaldo semanal de base de datos " u="1"/>
        <s v="Buenos días Gilberto, tu petición fue atendida, favor de validar _x000a__x000a_UPDATE PHSI SET Cb7c0c665 = NULL WHERE GUIDPROCESO = ( SELECT GUIDPROCESO FROM PROCESO WHERE FOLIO = '00000118');_x000a__x000a__x000a_Saludos _x000a__x000a_Marina Adame Velasco_x000a__x000a_Notificación de seguimiento  [  MA0608202003 ]  _x000a__x000a_Aplicación:                  INFOMEX GUANAJUATO_x000a_Tipo de Soporte:         SCRIPT   _x000a_Estatus:                               Concluido._x000a__x000a_" u="1"/>
        <s v="Instalación Campus Público " u="1"/>
        <s v="Se  sustituye el archivo de la solicitud con folio: 1816400182521" u="1"/>
        <s v="Se  testan los datos del folio: 0002700173521" u="1"/>
        <s v="seccion 7 UT" u="1"/>
        <s v="Notificación de seguimiento  [  MA1410202202 ]_x000a__x000a_Estimado(a):                Edgar Michel Loaeza Martínez_x000a__x000a_ _x000a_ Le informamos que su ticket correspondiente a:_x000a_ _x000a_En atención al correo electrónico que antecede, solicito tu apoyo para que  se asigne al Lic. Raul Muñoz Córdova como TUT de la SHCP-Mandato Pago, 6053 y se habiliten sus accesos con los siguientes datos:_x000a__x000a_SUJETO OBLIGADO_x0009_CLAVE_x0009__x000a_CERTIFICADO_x0009__x000a_CORREO ELECTRÓNICO_x0009_TITULAR DE LA UNIDAD DE TRANSPARENCIA_x0009_Contraseña Hcom_x000a_Mandato Pago_x0009_06053_x0009_06053.Raul.Munoz.Cordova.cer_x0009_unidadtransparencia@hacienda.gob.mx_x000a_Lic. Raul Muñoz Córdova_x0009_hcom2022_x000a__x000a_ _x000a_ _x000a_Aplicación:                HCOM_x000a_Tipo de Soporte        asignación de nuevo Titular" u="1"/>
        <s v="Se aplica el cambio de modalidad a la solicitud: 1117100226619." u="1"/>
        <s v="Revisión de inpacto de camio de calendarios por SO" u="1"/>
        <s v="Revisión de logs para apache-tomcat" u="1"/>
        <s v="Reporta la Unidad de Enlace AFS que no puede aplicar solicitudes manuales." u="1"/>
        <s v="Se  testan los datos del folio: 1117100049321" u="1"/>
        <s v="Se aplica la generación de certificado para: Sonia.Nunez.Patlan." u="1"/>
        <s v="Aplicar cambios de análisis heurístico, cambio de imágenes grises en las pizarras, banner en el publico " u="1"/>
        <s v="Análisis de incidencias reportadas, asesorías  y soporte aplicativo durante el mes de marzo de 2020 en los Sistemas infomex Estados" u="1"/>
        <s v="Se genera certificado para indirectos INDEP" u="1"/>
        <s v="Buenos días Isaac, tu petición fue atendida, favor de validar _x000a__x000a_Saludos _x000a__x000a_Marina Adame Velasco_x000a__x000a_Notificación de seguimiento  [  MA3107202002 ]  _x000a__x000a_Aplicación:                  INFOMEX OAXACA _x000a_Tipo de Soporte:         Ajuste de plazos    _x000a_Estatus:                               Concluido._x000a__x000a_" u="1"/>
        <s v="Buenos días Isaac, tu petición fue atendida, favor de validar _x000a__x000a_Saludos _x000a__x000a_Marina Adame Velasco_x000a__x000a_Notificación de seguimiento  [  MA3107202003 ]  _x000a__x000a_Aplicación:                  INFOMEX OAXACA _x000a_Tipo de Soporte:         Ajuste de plazos    _x000a_Estatus:                               Concluido._x000a__x000a_" u="1"/>
        <s v="Se aplica testado de datos al folio:  0064100073521" u="1"/>
        <s v="Buenas tardes Berenice, tu petición fue atendida, se reestablecio la contraseña a infomex, te recomiendo cambiar la contraseña a la brevedad, por temas de seguridad, favor de validar _x000a_ _x000a_ Saludos _x000a_ _x000a_ Marina Adame Velasco_x000a_ _x000a_ Notificación de seguimiento [ MA0901202006] _x000a_ _x000a_ Aplicación: INFOMEX OAXACA_x000a_ Tipo de Soporte: Cambio de contraseña _x000a_ Estatus: Concluido." u="1"/>
        <s v="Notificación de seguimiento  [  MA1506202004 ]  _x000a_ _x000a_ _x000a_Estimado(a):                     Adriana Elizabeth Hernández García_x000a_ _x000a_Le informamos que su ticket correspondiente a:_x000a_               _x000a_Por medio del presente te solicito, si no existe inconveniente, el retroceso de paso de los expedientes relacionados con las resoluciones RRA 03355/20 y RRA 03405/20 al paso denominado “Registro de la Resolución Firmada” en la (PNT), ello a efecto de cargar los archivos correctos. _x000a_ _x000a_Aplicación:                  SIGEMI_x000a_Tipo de Soporte:         REGRESO DE PASOS  ( 2)_x000a_Observaciones:            _x000a_ _x000a_Su petición fue atendida_x000a_ _x000a_" u="1"/>
        <s v="Notificación de seguimiento  [  MA2107202003 ]  _x000a_ _x000a_ _x000a_Estimado(a):                     Sergio Rafael Cortés Alpizar_x000a_ _x000a_Le informamos que su ticket correspondiente a:_x000a_               _x000a_Por medio del presente, solicito se regrese la actividad a &quot;Preparación del Proyecto de Resolución&quot;  de los siguientes recursos de revisión:_x000a__x000a_RRA 05171/20 vs CRE_x000a_RRA 05191/20 vs ISSSTE_x000a_RRA 05381/20 vs HRAEY_x000a__x000a_Lo anterior se debe a que se van a corregir los acuerdos y se volverá a enviar._x000a_ _x000a_Aplicación:                  SIGEMI_x000a_Tipo de Soporte:         REGRESO DE PASOS  ( 3 )_x000a_Observaciones:            _x000a_ _x000a_Su petición fue atendida_x000a_ _x000a_" u="1"/>
        <s v="Buenas tardes Berenice, tu petición fue atendida, favor de validar _x000a__x000a_Saludos _x000a__x000a_Marina Adame Velasco_x000a__x000a_Notificación de seguimiento  [  MA2206202004 ]  _x000a__x000a_Aplicación:                  INFOMEX OAXACA_x000a_Tipo de Soporte:         Corrección de PLAZOS   _x000a_Estatus:                               Concluido._x000a__x000a_" u="1"/>
        <s v="Análisis de incidencias reportadas, asesorías  y soporte aplicativo durante la primera semana del mes de ABRIL de 2020 en los Sistemas infomex Estados" u="1"/>
        <s v="Análisis de incidencias reportadas, asesorías  y soporte aplicativo durante la Segunda semana del mes de ABRIL de 2020 en los Sistemas infomex Estados" u="1"/>
        <s v="Análisis de incidencias reportadas, asesorías  y soporte aplicativo durante la TERCERA semana del mes de ABRIL de 2020 en los Sistemas infomex Estados" u="1"/>
        <s v="Buenos días Memo, ya  detecte la causa del error, te comento que el Sujeto Obligado tiene asociado un calendario llamado TRIBUMAL DE JUSTICIA, este no tiene configurado un horario de atención, lo que provoca que cuando se intente generar el siguiente paso a Selecciona las unidades internas que es Determina Respuesta, no detecte días hábiles en el calendario por lo que no puede ingresar una fecha y en consecuencia tampoco  el paso._x000a__x000a_La solución es configurar el horario de atención en dicho calendario, adjunto imagen del calendario del Tribunal y la del calendario infomex para que lo tomes de referencia._x000a__x000a_Me quedo atenta a tu validación._x000a__x000a_Saludos _x000a__x000a_Marina _x000a__x000a_Notificación de seguimiento  [  MA1802202004 ]  _x000a__x000a_Aplicación:                  INFOMEX BCN_x000a_Tipo de Soporte:         Corrección de error reportado  _x000a_Estatus:                               Concluido._x000a__x000a_" u="1"/>
        <s v="Arranque del sistema" u="1"/>
        <s v="Notificación de seguimiento  [  MA1302202006 ]  _x000a_  _x000a_Estimado(a):                     Recurso de Revisión_x000a_ _x000a_Le informamos que su ticket correspondiente a:_x000a_               _x000a_MODIFICAR FECHAS DE INTERPOSICIÓN _x000a__x000a_ _x000a_Aplicación:                  SIGEMI_x000a_Tipo de Soporte:         Actualizar fechas ( 2 )  _x000a_Observaciones:            _x000a_ _x000a_Su petición fue atendida_x000a_" u="1"/>
        <s v="Notificación de seguimiento  [  MA2405202113 ]_x000a__x000a_  _x000a_Estimado(a):                     Alfredo Iván Moreno Pérez_x000a__x000a_ _x000a_ Le informamos que su ticket correspondiente a:_x000a_               _x000a_ACTUALIZAR FECHA DE CUMPLIMIENTO _x000a__x000a__x000a_ _x000a_Aplicación:                  SIGEMI_x000a_Tipo de Soporte:         Actualizar fecha  _x000a_Observaciones:            _x000a_ _x000a_Su petición fue atendida_x000a_" u="1"/>
        <s v="Se  testan los datos de 20 solicitudes de PEMEX" u="1"/>
        <s v="Se sustituye el archivo adjunto de la solicitud con folio 0000500193821 " u="1"/>
        <s v="Se aplica testado de datos al folio:  0000700346320" u="1"/>
        <s v="Se  testan los datos de la solicitud con folio 0673800081221_x000a_ _x000a_" u="1"/>
        <s v="Notificación de seguimiento  [  MA0610202001 ]  _x000a_ _x000a_ _x000a_Estimado(a):                     Alma Lizbeth Peguero Rivera_x000a_ _x000a_Le informamos que su ticket correspondiente a:_x000a_               _x000a_ _x000a_Por medio de presente, solicito de la manera más atenta, su apoyo para retroceder los pasos en el sistema SIGEMI-SICOM en la PNT del siguiente asunto RRA 1908/19 y RRA 1052 FJALL,hasta la actividad “Registrar información de la sesión del pleno”; sin más por el momento, quedo en espera de sus comentarios._x000a_ _x000a_Aplicación:                  SIGEMI_x000a_Tipo de Soporte:         REGRESO DE PASOS  ( 2 )_x000a_Observaciones:            _x000a_ _x000a_Su petición fue atendida_x000a_ _x000a_" u="1"/>
        <s v="Notificación de seguimiento  [  MA1606202002 ]  _x000a_ _x000a_ _x000a_Estimado(a):                     JUAN PEDRO RAMIREZ FLORES_x000a_ _x000a_Le informamos que su ticket correspondiente a:_x000a_               _x000a_Hola estimados compañeros, hemos recorrido una vez más el plazo de días inhábiles en el módulo de SICOM. En virtud de lo anterior me permito remitir el listado de la relación de los recursos vs fecha nueva de cumplimiento a fin de solicitar su apoyo para realizar los ajustes correspondientes._x000a__x000a_ _x000a_Aplicación:                  SIGEMI_x000a_Tipo de Soporte:         AJUSTE DE FECHAS DE CUMPLIMIENTO  (98)_x000a_Observaciones:            _x000a_ _x000a_Su petición fue atendida_x000a_ _x000a_" u="1"/>
        <s v="Se cambia el tipo de solicitud del folio: 0610100060021." u="1"/>
        <s v="Se aplica testado de datos personales: 0000700077220." u="1"/>
        <s v="_x000a_Notificación de seguimiento  [  MA1509202201 ]_x000a__x000a_Estimado(a):                Armando Ortiz Luna_x000a__x000a__x000a_ Le informamos que su ticket correspondiente a:_x000a__x000a__x000a_               _x000a_Atentamente solicito de su valioso apoyo para asignar en la Herramienta de Comunicación los certificados que adjunto al presente, a los sujetos obligados que se precisan a continuación:_x000a_Clave_x0009_Sujeto Obligado_x0009_Siglas HCOM_x0009_Nombre del Titular_x0009_Correo electrónico_x0009_Contraseña para HCOM_x000a_60212_x0009_Sindicato Nacional Democrático de Trabajadores de los Tribunales Agrarios_x0009_SINADETTA_x0009_Santa Sonia Meneses Cedillo_x0009_sinadetta.transparencia@tribunalesagrarios.gob.mx_x000a_hcom60212_x000a_60305_x0009_Sindicato Nacional de Grupos Artísticos del Instituto Nacional de Bellas Artes y Literatura_x0009_SNGA-INBA_x0009_Lila Del Carmen Gutiérrez Martínez_x0009_cedgruposartis@yahoo.com.mx_x000a_Hcom60305_x000a__x000a__x000a_Aplicación:                 HCOM_x000a_Tipo de Soporte:        RENOVACIÓN DE CERTIFICADO_x000a_Observaciones:            _x000a__x000a__x000a_ _x000a_Su petición fue atendida para el Sujeto Obligado Sindicato Nacional de Grupos Artísticos del Instituto Nacional de Bellas Artes y Literatura, para el Sujeto Obligado con clave 60212 no se realizó el cambio ya que el nombre del titular no coincide con el que esta actualmente en HCOM, por lo que necesitamos nos valides si se realiza el cambio de TUT_x000a__x000a_ _x000a_ " u="1"/>
        <s v="Modificar las vistas materializadas en el esquemas postgres y validad la información que tienen. " u="1"/>
        <s v="Actualización queries incidencia en fechas producción" u="1"/>
        <s v="Notificación de seguimiento  [  MA3009202001 ]  _x000a_ _x000a_ _x000a_Estimado(a):                     Rosalinda Coria Mosqueda_x000a_ _x000a_Le informamos que su ticket correspondiente a:_x000a_               _x000a_Solicito su valioso apoyo para cambiar el medio de notificación del Recurso RRA 09460/20 de domicilio a correo electrónico, ya que en su escrito libre señaló el siguiente correo electrónico: _x000a_ _x000a__x000a_ _x000a_Aplicación:                  SIGEMI_x000a_Tipo de Soporte:         REGRESO DE PASOS  _x000a_" u="1"/>
        <s v="Implementación de validaciones en formulario registro de usuario" u="1"/>
        <s v="Notificación de seguimiento [ MA2701202003 ] _x000a_  _x000a_  _x000a_ Estimado(a): Alondra Jiménez Hernández_x000a_  _x000a_ Le informamos que su ticket correspondiente a:_x000a_  _x000a_ Debido al cambio de Titular de la Unidad de Transparencia del Centro de Investigación en Materiales Avanzados, S.C. (CIMAV) anexo el registro actualizado del certificado del siguiente sujeto indirecto que coordina para que sea actualizado y se habilite su acceso en la Herramienta de Comunicación:_x000a_ _x000a_ CLAVE DEPENDENCIA/ENTIDAD_x000a_ 11089 Fideicomiso Centro de Investigación en Materiales Avanzados, S.C. (CIMAV)_x000a_ _x000a_  _x000a_ Aplicación: HCOM _x000a_ Tipo de Soporte: CAMBIO DE TUT" u="1"/>
        <s v="Se sustituye archivo adjunto del folio: 1613100020520." u="1"/>
        <s v="Aplicar cambios de análisis heurístico, validación de combos en el publico " u="1"/>
        <s v="Notificación de seguimiento [ MA2901202003]_x000a_  _x000a_ Estimado(a): Sergio Rafael Cortés Alpizar_x000a_  _x000a_ Le informamos que su ticket correspondiente a:_x000a_  _x000a_ Por este medio solicito se elimine el Cierre de instrucción en la PNT y se vuelva habilitar el paso para volverlo a generar del siguiente recurso:_x000a_  _x000a_ RRA 15947/19 vs SSPC_x000a_  _x000a_ Lo anterior se debe a que por un error involuntario se adjuntó mal el archivo de cierre de instrucción._x000a_ _x000a_  _x000a_ Aplicación: SIGEMI_x000a_ Tipo de Soporte: ELIMINA CIERRE _x000a_ Observaciones: _x000a_  _x000a_ Su petición fue atendida_x000a_  _x000a_ _x000a_  _x000a_  Favor de validar._x000a_  _x000a_ Estatus: Concluido." u="1"/>
        <s v="Se  testan los datos del folio: 0064101627921" u="1"/>
        <s v="Notificación de seguimiento  [  MA1006202006 ]  _x000a_ _x000a_ _x000a_Estimado(a):                     Alondra Jiménez Hernández_x000a_ _x000a_Le informamos que su ticket correspondiente a:_x000a_               _x000a_Debido al cambio de Titular de la Unidad de Transparencia de INFOTEC anexo los registros actualizados de los certificados de dicho sujeto obligado y del sujeto indirecto que coordina para que sean actualizados y se habilite su acceso en la Herramienta de Comunicación de cada uno. Al respecto comento que la Unidad de Transparencia está operando con los certificados genéricos que creo el INAI, y debido al cambio de responsable de transparencia se solicita su actualización._x000a__x000a__x000a_ _x000a_Aplicación:                  HCOM_x000a_Tipo de Soporte:         CAMBIO DE TUT (2)  _x000a_Observaciones:            _x000a_ _x000a_Su petición fue atendid_x000a_" u="1"/>
        <s v="Script consulta catalogo integrante lado publico " u="1"/>
        <s v="Desarrollo del servicio para la eliminacion de un usuario para el esquema de Federado, se realiza servicio común para el consumo de endpoint del modulo de usuarios  " u="1"/>
        <s v="Buenas tardes Guillermo, tu petición fue atendida, favor de validar _x000a__x000a_nombre                                                                                                                             guiddepartamento_x000a_Instituto de Movilidad Sustentable del Estado de Baja California               20200908-1220-4000-6440-e30f497bb8ad_x000a__x000a_Saludos _x000a__x000a_Marina Adame Velasco_x000a__x000a_Notificación de seguimiento  [  MA0809202006 ]  _x000a__x000a_Aplicación:                  INFOMEX BCN_x000a_Tipo de Soporte:         CONSULTA DE DATOS    _x000a_Estatus:                               Concluido._x000a__x000a_" u="1"/>
        <s v="Notificación de seguimiento  [  MA0106202004 ]  _x000a_ _x000a_ _x000a_Estimado(a):                     Tiara Gethsemanni Miranda Fuentes_x000a_ _x000a_Le informamos que su ticket correspondiente a:_x000a_               _x000a_Por medio de presente, solicito de la manera más atenta, su apoyo para retroceder los pasos en el sistema SIGEMI-SICOM en la PNT del asuntos que se enlistan a continuación; hasta la actividad “Registrar información de la sesión del pleno”; sin más por el momento, quedo en espera de sus comentarios._x000a_ _x000a_RRA 00522/20_x000a_RRA 01030/20_x000a_RRA 02853/20_x000a__x000a_ _x000a_Aplicación:                  SIGEMI_x000a_Tipo de Soporte:         REGRESO DE PASOS , 3 _x000a_Observaciones:            _x000a_ _x000a_Su petición fue atendida_x000a_ _x000a_" u="1"/>
        <s v="Se aplica testado de datos al folio: 0064102785820" u="1"/>
        <s v="Se elimina la respuesta del folio: 1113500002121" u="1"/>
        <s v="Se  testan los datos del folio: 0000500113721 y 0000500113821" u="1"/>
        <s v="_x000a_Notificación de seguimiento  [  MA0504202106 ]  _x000a_ _x000a_ _x000a_Estimado(a):                     FRANCISCO LIRA_x000a_  _x000a_Le informamos que su ticket correspondiente a:_x000a_               _x000a_RESPALDO SEMANAL DE LA BASE DE DATOS INFOMEX_x000a_ _x000a_Aplicación:                  INFOMEX NUEVO LEÓN_x000a_Tipo de Soporte:         RESPALDO   _x000a_Observaciones:            _x000a_ _x000a_Su petición fue atendida, se subió el respaldo de su base de datos de esta semana…_x000a_http://documentos.inai.org.mx/tmp/infomexNL_backup_2021-04-05_1106.bak_x000a_NOTA: El respaldo estará disponible una semana  _x000a_" u="1"/>
        <s v="Se genera certificado para: 21355, Consejo de Promoción Turística de México, S.A. de C. V." u="1"/>
        <s v="Estimada Alejandra, anexo la información solicitada, te comento que el punto 4 y 9 se pueden obtener de la pestaña que dice SOLICITUDES POR AÑO_x000a__x000a_Favor de validar _x000a__x000a__x000a_Saludos _x000a__x000a_Marina Adame _x000a__x000a__x000a_Notificación de seguimiento  [  MA1208202105 ]_x000a__x000a_Aplicación:                  INFOMEX BCN_x000a_" u="1"/>
        <s v="Notificación de seguimiento [ MA2101202002 ] _x000a_  _x000a_  _x000a_ Estimado(a): Yahiziny Pérez Rodríguez_x000a_  _x000a_ Le informamos que su ticket correspondiente a:_x000a_  _x000a_ _x000a_ - Respecto del recurso de revisión RRD 0081/20 interpuesto en contra del IMSS en la pestaña “Información del medio de impugnación” se cambie el medio de notificación a DOMICILIO FISICO, pues el recurrente señaló una dirección física para oír y recibir notificaciones._x000a_  _x000a_  _x000a_ Aplicación: SIGEMI_x000a_ Tipo de Soporte: CAMBIO DE MEDIO" u="1"/>
        <s v="Se realizaro ajustes generaels a el sitio " u="1"/>
        <s v="Meeting pruebas área usuaria" u="1"/>
        <s v="Se adjunta el archivo adjunto de 5 solicitudes vía base de datos." u="1"/>
        <s v="Se elmina la respuesta del folio: 0000700038721" u="1"/>
        <s v="Notificación de seguimiento  [  MA0610202203 ]_x000a__x000a_Estimado(a):                Alondra Jiménez Hernández _x000a__x000a__x000a_ Le informamos que su ticket correspondiente a:_x000a__x000a_Se solicita la renovación del certificado del Titular de la Unidad de Transparencia de la Administración del Sistema Portuario Nacional Dos Bocas, S.A. de C.V., en la Herramienta de Comunicación. Se precisa que se conservará la misma contraseña. _x000a__x000a_Clave_x0009_Sujeto obligado_x0009_SIGLAS_x0009_Nombre del responsable de transparencia_x0009_Correo electrónico del responsable de transparencia_x000a_09180_x0009_Administración del Sistema Portuario Nacional Dos Bocas, S.A. de C.V._x0009_ASIPONA DOS BOCAS_x0009_Antonio Gaytán Ornelas_x0009_gjuridica@puertodosbocas.com.mx_x000a__x000a__x000a_Aplicación:                  HCOM_x000a_Tipo de Soporte        ACTUALIZAR CERTIFICADO " u="1"/>
        <s v="Notificación de seguimiento  [  MA1111202202 ]_x000a_Estimado(a):                Alondra Jiménez Hernández_x000a_ Le informamos que su ticket correspondiente a:_x000a_Debido al cambio de responsable de transparencia, les pido sea generado un certificado genérico a nombre del TUT y que con el mismo sea habilitado en la HCOM. Los datos son los siguientes:_x000a_Clave_x0009_Sujeto obligado_x0009_Siglas HCOM_x0009_Nombre del Titular de la Unidad de Transparencia_x0009_Correo electrónico_x0009_Contraseña_x000a_09451_x0009_Aeropuerto Internacional de la Ciudad de México, S.A. de C.V._x0009_AICM_x0009_Francisco Jose Martinez Berriel_x0009_fmartinezb@aicm.com.mx_x000a_Ver archivo adjunto_x000a_09448_x0009_Servicios Aeroportuarios de la Ciudad de México, S.A. de C.V._x0009_SACM_x0009_Francisco Jose Martinez Berriel_x0009_fmartinezb@aicm.com.mx_x000a__x000a_ _x000a_Aplicación:                 HCOM_x000a_Tipo de Soporte        GENERACIÓN DE CERTIFICADO Y CAMBIO DE TUT  (2 )" u="1"/>
        <s v="Generación de script para el reconocimiento de formatos en SISAI" u="1"/>
        <s v="Notificación de seguimiento  [  MA2502202005 ]  _x000a_ _x000a_ _x000a_Estimado(a):                     Pedro Esquivel Martínez_x000a_ _x000a_Le informamos que su ticket correspondiente a:_x000a_               _x000a_Anexo el registro actualizado del certificado del Titular de la Unidad de Enlace del  “INSTITUTO NACIONAL DE CIENCIAS PENALES” Lo Anterior a fin de que sus accesos sean habilitados en los otros sistemas que administra este Instituto (HCOM).  CAMBIO DE CERTIFICADO, en cuanto se reciba la atención en HCOM se realizará la actualización de los demás sistemas correspondientes._x000a__x000a_ _x000a_Aplicación:                  HCOM               _x000a_Tipo de Soporte:         RENOVAR CERTIFICADO   _x000a_Observaciones:            _x000a_ _x000a_Su petición fue atendida_x000a_ _x000a_" u="1"/>
        <s v="Desarrollo servicio de configuración " u="1"/>
        <s v="Se elimina la respuesta del folio: 2028500001521" u="1"/>
        <s v="Se sustituye archivo adjunto del folio: 0064100254820." u="1"/>
        <s v="Se atienden los soportes enviados a la cuenta de soporte APF del día de hoy " u="1"/>
        <s v="Notificación de seguimiento  [  MA0908202111 ]_x000a__x000a_Estimado(a):                Pedro Esquivel Martínez_x000a__x000a_ _x000a_ Le informamos que su ticket correspondiente a:_x000a_               _x000a_realizar las actualizaciones en el HCOM para el S.O. “Hospital Regional de Alta Especialidad del Bajío”, se anexa archivo de referencia en excel;_x000a__x000a__x000a_Aplicación:                  HCOM_x000a_Tipo de Soporte:         CAMBIO DE TUT  _x000a_Observaciones:            _x000a_ _x000a_Su petición fue atendida_x000a_" u="1"/>
        <s v="Meeting soporte con Santiago" u="1"/>
        <s v="Buenos días Memo, tu petición fue atendida, favor de validar _x000a__x000a_Saludos _x000a__x000a_Marina Adame Velasco_x000a__x000a_Notificación de seguimiento  [  MA1002202002 ]  _x000a__x000a_Aplicación:                  INFOMEX BCN_x000a_Tipo de Soporte:         REPORTE   _x000a_Estatus:                               Concluido._x000a_" u="1"/>
        <s v="Se  testan los datos de la solicitud con folio 1816400140021_x000a_ _x000a_" u="1"/>
        <s v="Se  testan los datos del folio:  • No. 0000500100421_x000a_• No. 0510000003921_x000a_" u="1"/>
        <s v="Se aplica el cambio de modalidad de la solicitud: 1100400005320." u="1"/>
        <s v="actualizacion consultivo " u="1"/>
        <s v="componente treeview en portlet" u="1"/>
        <s v="Generar el key para implementar la verificación" u="1"/>
        <s v="Creación de nueva cuenta de usuario" u="1"/>
        <s v="Se testan los datos de la solicitud con folio: 0064101663121" u="1"/>
        <s v="Prueba dos de script de etiquetado automatizado de solicitudes" u="1"/>
        <s v="Se genera certificado para usuario del SO Sindicato Nacional de Trabajadores del Instituto Nacional de Bellas Artes y Literatura 227" u="1"/>
        <s v="Notificación de seguimiento  [  MA1808202110 ]_x000a__x000a_Estimado(a):                Moisés Guzmán Arias _x000a__x000a__x000a_ Le informamos que su ticket correspondiente a:_x000a_               _x000a_retroceso del paso envío de información del recurso RR-0276/2021 el cual fue levado a cabo el día de hoy , con la finalidad de actualizar los documentos adjuntos._x000a__x000a_ _x000a_Aplicación:                  SIGEMI_x000a_Tipo de Soporte:        REGRESO DE PASOS   _x000a_Observaciones:            _x000a_ _x000a_Su petición fue atendida_x000a_" u="1"/>
        <s v="Instalación framework UI para creación de plantailla PNT" u="1"/>
        <s v="Pruebas unitarias migración de usuarios para agregar las conjugación de roles" u="1"/>
        <s v="Ajuste de diccionarios y etiquetas para SIPOT" u="1"/>
        <s v="Creación de componentes para el Catálogo de Ejes" u="1"/>
        <s v="Se cambia el tipo de solicitud del folio:  0411100010121" u="1"/>
        <s v="Notificación de seguimiento  [  MA0607202001 ]  _x000a_ _x000a_ _x000a_Estimado(a):                     ALONDRA JIMÉNEZ HERNÁNDEZ_x000a_ _x000a_Le informamos que su ticket correspondiente a:_x000a_               _x000a_Anexo el registro actualizado del certificado del Titular de la Unidad de Transparencia del Fideicomiso de Investigación Científica y Desarrollo Tecnológico del Centro Publico de Investigación y Desarrollo Tecnológico en Electroquímica, S.C., en Materia de Electroquímica, Agua, Procesos, Materiales Ambiente y Ciencias Afines, sujeto obligado indirecto de CIDETEQ, para su renovación en la Herramienta de Comunicación. _x000a__x000a_ _x000a_Aplicación:                  HCOM   _x000a_Tipo de Soporte:         CAMBIO DE CERTIFICADO   _x000a_Observaciones:            _x000a_ _x000a_Su petición fue atendida_x000a_ _x000a_" u="1"/>
        <s v="Se continuo con el desarrollo de el sitio desde cero, replicando secciónes internas" u="1"/>
        <s v="Generar certificados para Fondo de la Financiera Rural" u="1"/>
        <s v="Se aplica eliminación de respuesta al folio: 0000600005720." u="1"/>
        <s v="Notificación de seguimiento  [  MA1307202106 ]_x000a__x000a_Estimado(a):                Edgar Michel Loaeza Martínez_x000a__x000a_ _x000a_ Le informamos que su ticket correspondiente a:_x000a_               _x000a_Por medio del presente solicito su valioso apoyo a efecto de realizar la sustitución del certificado del Titular de la Unidad de Transparencia de la Secretaría de Turismo._x000a__x000a_ _x000a_Aplicación:                  HCOM_x000a_Tipo de Soporte:         CAMBIO DE CERTIFICADO_x000a_Observaciones:            _x000a_ _x000a_Su petición fue atendida_x000a_" u="1"/>
        <s v="Notificación de seguimiento  [  MA1703202201 ]_x000a__x000a__x000a_Estimado(a):                Alondra Jiménez Hernández_x000a__x000a_ _x000a_ Le informamos que su ticket correspondiente a:_x000a_               _x000a_Anexo el registro actualizado del certificado del nuevo Titular de la Unidad de Transparencia del AGROASEMEX para que su acceso sea habilitado en la Herramienta de Comunicación. _x000a__x000a_ _x000a_Aplicación:                  HCOM_x000a_Tipo de Soporte:         CAMBIO DE TUT   _x000a_Observaciones:            _x000a_ _x000a_Su petición fue atendida_x000a_" u="1"/>
        <s v="Notificación de seguimiento  [  MA2705202132 ]_x000a__x000a_Estimado(a):                María Angélica Valdez Islas_x000a__x000a_ _x000a_ Le informamos que su ticket correspondiente a:_x000a_               _x000a_Por medio del presente solicito su valioso apoyo a efecto de realizar el cambio de TUT del sujeto obligado denominado Ofiina de la Presidencia de la República en el sistema hcom._x000a__x000a_ _x000a_Aplicación:                  HCOM_x000a_Tipo de Soporte:         CAMBIO DE TUT  _x000a_Observaciones:            _x000a_ _x000a_Su petición fue atendida_x000a_" u="1"/>
        <s v="Se  testan los datos del folio: 0000600172521" u="1"/>
        <s v="Se  testan los datos del folio: 0064102455321" u="1"/>
        <s v="_x000a_Buenas tardes Memo, tu petición fue atendida, favor de validar _x000a__x000a_Saludos _x000a__x000a_Marina Adame Velasco_x000a__x000a_Notificación de seguimiento  [  MA0106202007 ]  _x000a__x000a_Aplicación:                  INFOMEX BCN_x000a_Tipo de Soporte:         AJUSTE DE PLAZOS    _x000a_Estatus:                               Concluido._x000a_" u="1"/>
        <s v="Se aplica el cambio de modalidad para el folio: 0610100006620." u="1"/>
        <s v="Notificación de seguimiento  [  MA0602202006 ]  _x000a_ _x000a_ _x000a_Estimado(a):                     Tiara Gethsemanni Miranda Fuentes_x000a_ _x000a_Le informamos que su ticket correspondiente a:_x000a_               _x000a_Por medio de presente, solicito de la manera más atenta, su apoyo para retroceder los pasos en el sistema SIGEMI-SICOM en la PNT del asunto que se enlista a continuación; hasta la actividad “Registrar información de la sesión del pleno”; sin más por el momento, quedo en espera de sus comentarios._x000a_ _x000a_ _x000a_•             RRA 16260/19_x000a_ _x000a_ _x000a_Aplicación:                  SIGEMI_x000a_Tipo de Soporte:         REGRESO DE PASOS  _x000a_" u="1"/>
        <s v="Se aplica sustitución de archivo al folio: 0064100397220" u="1"/>
        <s v="TESTAR DATOS  EN SOLICITUD DE INFORMACION CON FOLIO   0064101367521" u="1"/>
        <s v="Notificación de seguimiento [ MA2701202006 ]_x000a_ _x000a_ _x000a_ Estimado(a): Lizbeth Adriana Cabrera Ortega_x000a_  _x000a_ Le informamos que su ticket correspondiente a:_x000a_  _x000a_ Con el gusto de saludarte me permito solicitar tu valioso apoyo respecto de la generación UN EXPEDIENTE del recurso de revisión posteriormente citado._x000a_  _x000a_ Asimismo, te comento que NO DEBERÁ CAMBIAR el sujeto obligado, NI EL COMISIONADO_x000a_  _x000a_  _x000a_  DICE DEBE DECIR SUJETO OBLIGADO PONENTE_x000a_ RRA 933/20 RRA 2411/19-BIS SEP JSS_x000a_  _x000a_ No omito comentarte que el número de expediente que deberá seguir en el consecutivo por turnar en PNT debe ser el RRA 933/20_x000a_ _x000a_  _x000a_ Aplicación: SIGEMI_x000a_ Tipo de Soporte: cambio a bis" u="1"/>
        <s v="Optimización de script de descarga de datos" u="1"/>
        <s v="adecuaciones al modulo de catalogos de la PNT en administracion de sujetos obligados para SO indirectos" u="1"/>
        <s v="Notificación de seguimiento  [  MA0312202002 ]  _x000a_ _x000a_ _x000a_Estimado(a):                     Sergio Cortés_x000a_ _x000a_ _x000a_Le informamos que su ticket correspondiente a:_x000a_               _x000a_ Por medio del presente, solicito se regrese la actividad a &quot;Preparación del Proyecto de Resolución&quot;  de los dos siguientes recursos de revisión:_x000a__x000a_RRA 10426/20 vs INSUS_x000a__x000a_RRA 12956/20 vs PEMEX_x000a__x000a__x000a__x000a_Aplicación:                  SIGEMI_x000a_Tipo de Soporte:         REGRESO DE PASOS (2)   _x000a_Observaciones:            _x000a_ _x000a_Su petición fue atendida_x000a_" u="1"/>
        <s v="Notificación de seguimiento  [  MA1802202008 ]  _x000a_ _x000a_ _x000a_Estimado(a):                     Sergio Rafael Cortés Alpizar_x000a_ _x000a_Le informamos que su ticket correspondiente a:_x000a_               _x000a_Por este medio solicito se elimine el paso de Cierre de instrucción en la PNT y se vuelva habilitar el mismo para volverlo a generar, el recurso es:_x000a_ _x000a_RRA 16360/19 vs SEP_x000a_ _x000a_Aplicación:                  SIGEMI_x000a_Tipo de Soporte:         ELIMINAR CIERRE DE INSTRUCCIÓN  _x000a_Observaciones:            _x000a_ _x000a_Su petición fue atendida_x000a_" u="1"/>
        <s v="Notificación de seguimiento  [  MA1902202004 ]  _x000a_ _x000a_ _x000a_Estimado(a):                     Luis Javier Mendoza Rueda_x000a_ _x000a_Le informamos que su ticket correspondiente a:_x000a_               _x000a_Solicito su apoyo para que sea eliminado de la bandeja de turnado el folio de la solicitud 0315000001920_x000a_y así evitar asignar erróneamente un recurso de revisión._x000a__x000a_ _x000a_Aplicación:                  SIGEMI_x000a_Tipo de Soporte:         Eliminar registro de la bandeja de turnado_x000a_Observaciones:            _x000a_ _x000a_Su petición fue atendida_x000a_" u="1"/>
        <s v="Notificación de seguimiento  [  MA2402202004 ]  _x000a_ _x000a_ _x000a_Estimado(a):                     Alondra Jiménez Hernández_x000a_ _x000a_Le informamos que su ticket correspondiente a:_x000a_               _x000a_Les pido su ayuda para eliminar el comunicado 000763-IFAI-2020, el cual contiene en su envío documentación con datos erróneos. Acabo de informar la acción a la unidad de transparencia._x000a_ _x000a_ _x000a_Aplicación:                  HCOM_x000a_Tipo de Soporte:         ELIMINAR COMUNICADO  _x000a_Observaciones:            _x000a_ _x000a_Su petición fue atendida_x000a_" u="1"/>
        <s v="Notificación de seguimiento  [  MA2511202002 ]  _x000a_ _x000a_ _x000a_Estimado(a):                     Edgar Michel Loaeza Martínez_x000a_ _x000a_ _x000a_Le informamos que su ticket correspondiente a:_x000a_               _x000a_Por medio del presente solicito su valioso apoyo a efecto de realizar la renovación de certificado del Titular de la Unidad de Transparencia de la Oficina de la Presidencia de la República._x000a_ _x000a_Aplicación:                  HCOM_x000a_Tipo de Soporte:         CAMBIO TUT   _x000a_Observaciones:            _x000a_ _x000a_Su petición fue atendida_x000a_" u="1"/>
        <s v="Header" u="1"/>
        <s v="Se aplica el testado de datos de la solicitud: 0000700000120." u="1"/>
        <s v="Se agregan SHA1 y SHA256 de firma y subida en  Google Firebase. Se dan de alta login con Facebook, Twitter y Google" u="1"/>
        <s v="Modificaciones y corrección de incidencias" u="1"/>
        <s v="Notificación de seguimiento  [  MA1806202005 ]  _x000a_ _x000a_ _x000a_Estimado(a):                     Betzabé Flores Terán_x000a_ _x000a_Le informamos que su ticket correspondiente a:_x000a_               _x000a_Solicito de su apoyo para actualizar en la Herramienta de Comunicación los certificados de los sujetos obligados de la base que se adjunta, ya que estos han vencido._x000a__x000a_ _x000a_Aplicación:                  HCOM   _x000a_Tipo de Soporte:         ACTUALIZACIÓN DE CERTIFICADOS   _x000a_Observaciones:            _x000a_ _x000a_Le comento que se comenzó la actualización de certificados solicitados, conforme se vayan realizando las actualizaciones se les notificara…_x000a__x000a_Se realizó la actualización de los siguientes:_x000a_" u="1"/>
        <s v="Notificación de seguimiento  [  MA1911202006 ]  _x000a_ _x000a_ _x000a_Estimado(a):                     Juan Pedro Ramirez Flores_x000a_ _x000a_ _x000a_Le informamos que su ticket correspondiente a:_x000a_               _x000a_regresar los pasos hacía la bandeja de interposición de recursos dentro de la  Plataforma Nacional de Transparencia, SIGEMI – SICOM, de los recursos de revisión  RRAIP-1342/2020, RRAIP-1343/2020 y RRAIP-1344/2020, es importante señalar que estos medios de impugnación se encuentran en la bandeja de entrada de la ponencia respectiva._x000a_ _x000a_Aplicación:                  SIGEMI_x000a_Tipo de Soporte:         REGRESO DE PASOS   ( 3)  _x000a_Observaciones:            _x000a_ _x000a_Su petición fue atendida, fueron regresados a Envío de Entrada y Acuerdo_x000a_" u="1"/>
        <s v="Se aplica el testado de datos de la solicitud: 0002700024920" u="1"/>
        <s v="Notificación de seguimiento  [  MA1412202005 ]  _x000a_ _x000a_ _x000a_Estimado(a):                     Luis Javier Mendoza Rueda_x000a_ _x000a_Le informamos que su ticket correspondiente a:_x000a_               _x000a_solicito tu apoyo para colocar el folio de la solicitud para el expediente: INFOCDMX/RR.IP.2217/2020 ya que no se registró y aparece como INEXISTENTE. _x000a_ _x000a_El folio para colocar seria: 0107500048320_x000a_ _x000a_Aplicación:                  SIGEMI_x000a_Tipo de Soporte:         CAMBIO DE FOLIO DE SOLICITUD_x000a_Observaciones:            _x000a_ _x000a_Su petición fue atendida_x000a_" u="1"/>
        <s v="Notificación de seguimiento  [  MA2508202006 ]  _x000a_ _x000a_ _x000a_Estimado(a):                     Laura Mónica Segovia Téllez_x000a_ _x000a_Le informamos que su ticket correspondiente a:_x000a_               _x000a_regresar el paso de los cierre de instrucción que a continuación mencionare del derivado de que se debe hacer una notificación antes._x000a_ _x000a_• RRA 06882/20 vs SE_x000a_• RRA 07112/20 vs COFEPRIS_x000a_• RRD 00921/20_x000a__x000a_ _x000a_Aplicación:                  SIGEMI_x000a_Tipo de Soporte:         ELIMINAR CIERRE ( 3 )  _x000a_Observaciones:            _x000a_ _x000a_Su petición fue atendida_x000a_" u="1"/>
        <s v="_x000a_Estimado Edwin, te informo que  ya se subió el respaldo de su base de datos de esta semana…_x000a__x000a_ _x000a__x000a_http://documentos.inai.org.mx/tmp/infomexOAX_backup_2021-06-14_0800.bak_x000a__x000a_" u="1"/>
        <s v="Buenas tardes Ismael, con el script que adjunto vas a poder localizar el paso o pasos que  vas a modificar y el siguiente para realizar la afectación, ubicando el guidpaso a modificar y las fechas correctas_x000a__x000a_UPDATE PASO SET FECHACADUCIDAD = CONVERT(DATETIME,'2020-07-15 23:59:00',102), FECHAAMARILLOROJO = CONVERT(DATETIME,'2020-07-15 23:59:00',102) where GUIDPASO= '20200619-1230-3500-5700-8f1e14c17108';_x000a__x000a__x000a_Notificación de seguimiento  [  MA2306202005 ]  _x000a__x000a_Aplicación:                  INFOMEX COAHUILA_x000a_Tipo de Soporte:         SCRIPTS   _x000a_Estatus:                               Concluido._x000a_" u="1"/>
        <s v="Buenas tardes Guillermo, tu petición fue atendida, favor de validar _x000a__x000a_Saludos _x000a__x000a_Marina Adame Velasco_x000a__x000a_Notificación de seguimiento  [  MA1805202004 ]  _x000a__x000a_Aplicación:                  INFOMEX BCN_x000a_Tipo de Soporte:         REPORTES   _x000a_Estatus:                               Concluido._x000a_" u="1"/>
        <s v="Buenas tardes Guillermo, tu petición fue atendida, favor de validar _x000a__x000a_Saludos _x000a__x000a_Marina Adame Velasco_x000a__x000a_Notificación de seguimiento  [  MA2304202003 ]  _x000a__x000a_Aplicación:                  INFOMEX BCN_x000a_Tipo de Soporte:         Reportes   _x000a_Estatus:                               Concluido._x000a_" u="1"/>
        <s v="Buenas tardes Guillermo, tu petición fue atendida, favor de validar _x000a__x000a_Saludos _x000a__x000a_Marina Adame Velasco_x000a__x000a_Notificación de seguimiento  [  MA2906202004 ]  _x000a__x000a_Aplicación:                  INFOMEX BCN_x000a_Tipo de Soporte:         Reportes   _x000a_Estatus:                               Concluido._x000a_" u="1"/>
        <s v="Instalación de plugin de certificados en cada campus." u="1"/>
        <s v="Se aplica eliminación de formato de pago: 0064101428521" u="1"/>
        <s v="Notificación de seguimiento  [  MA0503202105 ]  _x000a_ _x000a_ _x000a_Estimado(a):                     ALEJANDRA TEJEDA _x000a_ _x000a_ _x000a_Le informamos que su ticket correspondiente a:_x000a_               _x000a_solicitudes del sujeto obligado Congreso del Estado, te remito las solicitudes que quedaron pendientes de rectificación_x000a_ _x000a_Aplicación:                  INFOMEX BCN_x000a_Tipo de Soporte:         AJUSTE DE PLAZOS    _x000a_Observaciones:            _x000a_ _x000a_Su petición fue atendida_x000a_ _x000a_  _x000a_            Favor de validar._x000a_ _x000a_Estatus:                               Concluido._x000a_" u="1"/>
        <s v="Servicio para obtener la sesion informacion del usuario" u="1"/>
        <s v="Se hacen publicos los cambios a pantalla de inicio y home" u="1"/>
        <s v="Se recibe la información de Estado de México y se inicia su validación respecto a contenido, estructura y catálogos" u="1"/>
        <s v="Notificación de seguimiento  [  MA0707202003 ]  _x000a_ _x000a_ _x000a_Estimado(a):                     Berenice Hernández Sumano_x000a_ _x000a_Le informamos que su ticket correspondiente a:_x000a_               _x000a_Solicito se realicen los ajuste de fechas en los perfiles de sujeto obligado y recurrente, deben aparecer en el sistema de la siguiente manera:_x000a__x000a_Fecha de estado: 03/07/2020_x000a_Fecha de vencimiento de Entrega de Alegatos y Manifestaciones o límite de ejecución: 13/07/2020_x000a_Fecha límite de votación: 10/09/2020_x000a__x000a_ _x000a_Aplicación:                  SIGEMI_x000a_Tipo de Soporte:         Ajuste de fechas   _x000a_" u="1"/>
        <s v="Notificación de seguimiento  [  MA0410202202 ]_x000a_Estimado(a):                Alondra Jiménez Hernández _x000a_ Le informamos que su ticket correspondiente a:_x000a_Debido al cambio de responsable de transparencia, les pido sea generado un certificado genérico a nombre del TUT y que con el mismo sea habilitado en la HCOM. Los datos son los siguientes:_x000a_Clave_x0009_Sujeto obligado_x0009_Siglas HCOM_x0009_Nombre del Titular de la Unidad de Transparencia_x0009_Correo electrónico_x0009_Contraseña_x000a_10202_x0009_Fideicomiso Plan de Pensiones y Jubilaciones Essa_x0009_ESSA F2_x0009_Sven Itzcoatl Amador Marin_x0009_sven.amador@essa.com.mx_x000a_Ver archivo adjunto_x000a__x000a_Aplicación:                  HCOM_x000a_Tipo de Soporte         GENERACIÓN DE  CERTIFICADO Y CAMBIO DE TUT  _x000a_Observaciones:            _x000a_ _x000a_Su petición fue atendida, se adjunta certificado" u="1"/>
        <s v="Se elimina la respuesta del folio: 0064101380921" u="1"/>
        <s v="Incidencia de Reportes por plazo de atencion , cambio de estatus " u="1"/>
        <s v="Generación de formato solicitud  para servidores de cómputo especializado" u="1"/>
        <s v="Analisis de Reporte de solicitudes historicas " u="1"/>
        <s v="Se trabajó con los ajustes del 10mo procedimiento de banderas 'OBTENER_FG_PREVENIDO', con las consultas necesarias de las condicionantes previamente validadas, se compila sin errores " u="1"/>
        <s v="Se  testan los datos del folio: 0064100406421" u="1"/>
        <s v="Se comenzo con el desarrollo de el sitio desde cero, replicando header, footer y pagina principal de home con una sección interna" u="1"/>
        <s v="Atención a soportes enviados_x000a_" u="1"/>
        <s v="Buenas tardes Memo, tu petición fue atendida, favor de validar _x000a__x000a_Saludos _x000a__x000a_Marina Adame Velasco_x000a__x000a_Notificación de seguimiento  [  MA1902202009 ]  _x000a__x000a_Aplicación:                  INFOMEX BCN_x000a_Tipo de Soporte:         REPORTE DE SOLICITUDES_x000a_Estatus:                               Concluido._x000a__x000a__x000a_" u="1"/>
        <s v="se generan los servicios de Linea estrategica,indicador Eje y los componentes de  Linea estrategica: formulario, modal, busqueda, vista" u="1"/>
        <s v="Notificación de seguimiento  [  MA0605202204 ]_x000a__x000a_Estimado(a):                Abraham Obed Gallardo González_x000a__x000a_ _x000a_ Le informamos que su ticket correspondiente a:_x000a__x000a__x000a_Solicitud de baja/alta de usuarios CONAPRED_x000a_ _x000a_ _x000a_Aplicación:                  HCOM_x000a_Tipo de Soporte:         ACTUALIZACIÓN DE CERTIFICADO    _x000a_Observaciones:            _x000a_ _x000a_Su petición fue atendida_x000a_ _x000a_ _x000a_" u="1"/>
        <s v="Se aplica testado de datos personales: 0000700061520" u="1"/>
        <s v="Se aplica eliminación de formato de pago: 0002700151521 " u="1"/>
        <s v="Mejoras en código de Catalogo Usuarios, Integrantes, Ejes , mejores practicas y código limpio" u="1"/>
        <s v="Notificación de seguimiento  [  MA2805202102 ]_x000a__x000a_Estimado(a):                HUGO GOVI_x000a__x000a_ _x000a_ Le informamos que su ticket correspondiente a:_x000a_               _x000a_ESTA A NOMBRE DEL SUJETO OBLIGADO AYUNTAMIENTO DE TUXTLA GUTIERREZ - SMAPA_x000a_ _x000a_ Folio: 00204221_x000a_ _x000a_Sujeto obligado correcto mando su id y clave del sujeto obligado  _x000a_Sindicato de Trabajadores al Servicio del Sistema de Agua Potable y Alcantarillado Municipal -SITRASSAPAM_x000a_ _x000a_ID DEL SUJETO OBLIGADO:24237_x000a__x000a_ _x000a_Aplicación:                  SIGEMI_x000a_Tipo de Soporte:         CORRECCIÓN DE SUJETO OBLIGADO   _x000a_Observaciones:            _x000a_ _x000a_Su petición fue atendida_x000a_ _x000a_ _x000a__x000a_             Favor de validar._x000a_ _x000a_Estatus:                               Concluido_x000a__x000a_" u="1"/>
        <s v="Configuración de Jboss" u="1"/>
        <s v="Notificación de seguimiento  [  MA1711202002 ]  _x000a_  _x000a_Estimado(a):                     Guillermo Delgado Ibarra_x000a_  _x000a_Le informamos que su ticket correspondiente a:_x000a_               _x000a_1.- el reporte de solicitudes hasta la fecha_x000a_2.- el reporte de solicitudes referente a COVIT, CORONAVIRUS, y me solicitan agregar dos palabras a la búsqueda, (EMERGENCIA y PANDEMIA) además descripción de la respuesta y el estatus de cada solicitud_x000a__x000a_ _x000a_Aplicación:                  INFOMEX BCN_x000a_Tipo de Soporte:         REPORTE   _x000a_Observaciones:            _x000a_ _x000a_Su petición fue atendida_x000a_" u="1"/>
        <s v=" _x000a_Notificación de seguimiento  [  MA1203202102 ]  _x000a_  _x000a_Estimado(a):                     Lizbeth Adriana Cabrera Ortega_x000a_  _x000a_Le informamos que su ticket correspondiente a:_x000a_               _x000a_en el expediente electrónico, así como en los turnos de los siguientes expedientes sean modificados con la finalidad de que aparezca como recurrente “Grupo La Moderna, a través de quien dice ser su representante legal Laura Patricia Cortes Torralbo”, ya que los medios de impugnación según precisan, fueron ingresados por la persona mencionada y no directamente por los titulares de los datos._x000a_ _x000a_Al respecto te hago llegar los acuerdos de TURNO MODIFICADOS para que se incorporen en el expediente electrónico._x000a_ _x000a_Aplicación:                  SIGEMI _x000a_Tipo de Soporte:         ACTUALIZAR TURNOS   _x000a_Observaciones:            _x000a_ _x000a_Su petición fue atendida_x000a_ _x000a_  _x000a_            Favor de validar._x000a_ _x000a_Estatus:                               Concluido._x000a__x000a_" u="1"/>
        <s v="Se sustituye archivo adjunto del folio:0064100748420." u="1"/>
        <s v="Notificación de seguimiento  [  MA2804202123 ]  _x000a_  _x000a_Estimado(a):                     Edgar Michel Loaeza Martínez_x000a_ _x000a_ Le informamos que su ticket correspondiente a:_x000a_               _x000a_Por medio del presente solicito su valioso apoyo a efecto de realizar la renovación de certificado del sujeto obligado Comisión Nacional de Acuacultura y Pesca._x000a_ _x000a_Aplicación:                  HCOM_x000a_Tipo de Soporte:         CAMBIO DE TUT   _x000a_Observaciones:            _x000a_ _x000a_Su petición fue atendida_x000a_   _x000a_            Favor de validar._x000a_ _x000a_Estatus:                               Concluido._x000a_" u="1"/>
        <s v="Generación de hiperparametrización" u="1"/>
        <s v="Se aplica sustitución de archivo de la solicitud: 0064100011920." u="1"/>
        <s v="Notificación de seguimiento  [  MA2003202005 ]  _x000a_ _x000a_ _x000a_Estimado(a):                     JUAN PEDRO RAMIREZ FLORES_x000a_ _x000a_Le informamos que su ticket correspondiente a:_x000a_               _x000a_cambiar la modalidad de notificación  dentro de la plataforma del recurso RRAIP-341/2020. para lo cual solicito se modifique de la modalidad &quot;a través del sistema de gestión de medios de impugnación&quot;, cambiarlo por el recibir notificaciones por correo electrónico_x000a_ _x000a_Aplicación:                  SIGEMI_x000a_Tipo de Soporte:         CAMBIO DE MEDIO   _x000a_Observaciones:            _x000a_ _x000a_Su petición fue atendida_x000a_" u="1"/>
        <s v="analisis del componente perfil, uso compartido" u="1"/>
        <s v="Creación de script de la base de datos para gestionar la descompresión de archivos" u="1"/>
        <s v="Se aplica eliminación de respuesta al folio: 0064100020820." u="1"/>
        <s v="Notificación de seguimiento  [  MA0908202201 ]_x000a__x000a__x000a_Estimado(a):               María Fernanda Trejo Vargas_x000a__x000a_ Le informamos que su ticket correspondiente a:_x000a__x000a_Solicito su amable apoyo para asignar en la Herramienta de comunicación, el certificado adjunto al presente SO que se precisa a continuación_x000a__x000a__x000a_60214_x0009_Sindicato Nacional Independiente de la Fiscalía General de la República_x0009_Francisco Javier Hernández Martínez_x0009_javierpgr1@gmail.com_x000a_hcom2022_x000a__x000a__x000a_Aplicación:                  HCOM_x000a_Tipo de Soporte:        GENERACIÓN DE CERTIFICADO Y CAMBIO DE TUT EN HCOM  _x000a_Observaciones:          Se anexa de nuevo certificado, ya que se había generado con el otro nombre enviado   " u="1"/>
        <s v="Notificación de seguimiento  [  MA0206202202 ]_x000a__x000a_Estimado(a):                Julia Yuridia Pacheco Hernández_x000a__x000a__x000a_ Le informamos que su ticket correspondiente a:_x000a__x000a_Efectivamente los datos del TUT cambiaron, toda vez que el 23 de mayo se recibió en la oficialía de partes del INAI el oficio en el cual se nombra a Gustavo  Rivera Ruiz como nuevo Titular y encargado de la Unidad de Transparencia. Anexo oficio correspondiente._x000a__x000a_ _x000a_Aplicación:                  HCOM_x000a_Tipo de Soporte:        CAMBIO DE TUT  _x000a_Observaciones:            _x000a_ _x000a_Su petición fue atendida._x000a_" u="1"/>
        <s v="Se aplica testado de datos al folio:  1816400047921" u="1"/>
        <s v="Crear certificado para usuario del Sujeto Obligado Sindicato Nacional de Trabajadores de la Fiscalía General de la República " u="1"/>
        <s v="Modificación listado de notificaciones" u="1"/>
        <s v="realizar servicio para recuperar clave de acceso, probar y validar campos." u="1"/>
        <s v="Buenas tardes Martha, tu petición fue atendida, favor de validar _x000a__x000a_Saludos _x000a__x000a_Marina Adame Velasco_x000a__x000a_Notificación de seguimiento  [  MA0309202006 ]  _x000a__x000a_Aplicación:                  INFOMEX NUEVO LEÓN_x000a_Tipo de Soporte:         AJUSTE DE PLAZOS    _x000a_Estatus:                               Concluido_x000a_" u="1"/>
        <s v="Se aplica eliminación de formato de pago: 0064101362521" u="1"/>
        <s v="Se orienta al usuarios respecto al folio: 1215101041719" u="1"/>
        <s v="Notificación de seguimiento  [  MA2910202002 ]  _x000a__x000a_ _x000a__x000a_ _x000a__x000a_Estimado(a):                     Lizbeth Adriana Cabrera Ortega_x000a__x000a_ _x000a__x000a_Le informamos que su ticket correspondiente a:_x000a__x000a_               _x000a__x000a_se realicen las gestiones necesarias para hacer las correcciones solicitadas en la PNT respecto del recurso RRA 9390-20, ya que sigue apareciendo la interposición con fecha anterior al 18 de septiembre de 2020_x000a__x000a_ _x000a__x000a_Aplicación:                  SIGEMI_x000a__x000a_Tipo de Soporte:         ACTUALIZACIÓN DE FECHAS _x000a__x000a_Observaciones:            _x000a__x000a_ _x000a__x000a_Su petición fue atendida, se actualizó las referencias de laa fecha de interposición al 18 de Septiembre_x000a__x000a_ " u="1"/>
        <s v="Se aplica eliminación de respuesta al folio: 1201100016519." u="1"/>
        <s v="_x000a_Buenos días Francisco, te informo que el respaldo de su base de datos de esta semana ya está en el repositorio…   _x000a__x000a__x000a_http://documentos.inai.org.mx/tmp/infomexNL_backup_2020-12_07_0800.bak_x000a__x000a__x000a_Saludos Cordiales_x000a_ _x000a_Marina Adame Velasco                                                                                          _x000a_ _x000a_ _x000a_" u="1"/>
        <s v="_x000a_Buenos días Francisco, te informo que el respaldo de su base de datos de esta semana ya está en el repositorio…   _x000a__x000a__x000a_http://documentos.inai.org.mx/tmp/infomexNL_backup_2020-12_14_0800.bak_x000a__x000a__x000a_Saludos Cordiales_x000a_ _x000a_Marina Adame Velasco                                                                                          _x000a_ _x000a_ _x000a_" u="1"/>
        <s v="_x000a_Buenos días Francisco, te informo que el respaldo de su base de datos de esta semana ya está en el repositorio…   _x000a__x000a__x000a_http://documentos.inai.org.mx/tmp/infomexNL_backup_2020-12_28_0800.bak_x000a__x000a__x000a_Saludos Cordiales_x000a_ _x000a_Marina Adame Velasco                                                                                          _x000a_ _x000a_ _x000a_" u="1"/>
        <s v="Se aplica testado de datos personales: 0000600073720" u="1"/>
        <s v="Se  ajusto el ultimo numero de folio registrado para el Sujeto Obligado Servicio Postal Mexicano" u="1"/>
        <s v="Se actualiza estatus de solicitud " u="1"/>
        <s v="Se inició con la recuperación de información del estado de Sonora, esto mediante una nueva versión del programa generado por Luis Fernando, que incluye los adjuntos que contienen comas &quot;,&quot; en el nombre del adjunto, con este se pretende recuperar  más de 53,993 Adjuntos." u="1"/>
        <s v="Notificación de seguimiento  [  MA0803202113 ]  _x000a_ _x000a_ _x000a_Estimado(a):                     Alondra Jiménez Hernández_x000a_ _x000a_ _x000a_Le informamos que su ticket correspondiente a:_x000a_               _x000a_renovación de los certificados de los siguientes sujetos obligados en la Herramienta de Comunicación de cada uno. _x000a__x000a_Me refiero a los siguientes fideicomisos:_x000a__x000a_18010 Fondo de Servicio Universal Eléctrico_x000a_18011 Fondo para la Transición Energética y el Aprovechamiento Sustentable de la Energía_x000a_ _x000a_Aplicación:                  HCOM_x000a_Tipo de Soporte:         RENOVACIÓN DE CERTIFICADO   _x000a_Observaciones:            _x000a_ _x000a_Su petición fue atendida_x000a_" u="1"/>
        <s v="Implementación rateLimit en commands solicitudes " u="1"/>
        <s v="Generar certificado para usuario de Comisión Nacional de Acuacultura y Pesca" u="1"/>
        <s v="Se da atención a soportes enviados relacionados con el sistema Infomex APF" u="1"/>
        <s v="Buenas tardes Guillermo, tu petición fue atendida, favor de validar _x000a__x000a_Saludos _x000a__x000a_Marina Adame Velasco_x000a__x000a_Notificación de seguimiento  [  MA0510202006 ]  _x000a__x000a_Aplicación:                  INFOMEX BCN _x000a_Tipo de Soporte:         REPORTE   _x000a_Estatus:                               Concluido._x000a__x000a_" u="1"/>
        <s v="Buenas tardes Guillermo, tu petición fue atendida, favor de validar _x000a__x000a_Saludos _x000a__x000a_Marina Adame Velasco_x000a__x000a_Notificación de seguimiento  [  MA0707202001 ]  _x000a__x000a_Aplicación:                  INFOMEX BCN_x000a_Tipo de Soporte:         REPORTES   _x000a_Estatus:                               Concluido._x000a__x000a_" u="1"/>
        <s v="Buenas tardes Guillermo, tu petición fue atendida, favor de validar _x000a__x000a_Saludos _x000a__x000a_Marina Adame Velasco_x000a__x000a_Notificación de seguimiento  [  MA1910202009 ]  _x000a__x000a_Aplicación:                  INFOMEX BCN _x000a_Tipo de Soporte:         REPORTE   _x000a_Estatus:                               Concluido._x000a__x000a_" u="1"/>
        <s v="Buenas tardes Guillermo, tu petición fue atendida, favor de validar _x000a__x000a_Saludos _x000a__x000a_Marina Adame Velasco_x000a__x000a_Notificación de seguimiento  [  MA2209202008 ]  _x000a__x000a_Aplicación:                  INFOMEX BCN_x000a_Tipo de Soporte:         REPORTES   _x000a_Estatus:                               Concluido._x000a__x000a_" u="1"/>
        <s v="Buenas tardes Guillermo, tu petición fue atendida, favor de validar _x000a__x000a_Saludos _x000a__x000a_Marina Adame Velasco_x000a__x000a_Notificación de seguimiento  [  MA2408202007 ]  _x000a__x000a_Aplicación:                  INFOMEX BCN _x000a_Tipo de Soporte:         REPORTE   _x000a_Estatus:                               Concluido._x000a__x000a_" u="1"/>
        <s v="Se elmina la respuesta del folio: 2239000005321" u="1"/>
        <s v="Notificación de seguimiento  [  MA2604202103 ]  _x000a_ _x000a_ _x000a_Estimado(a):                     FRANCISCO LIRA_x000a_  _x000a_Le informamos que su ticket correspondiente a:_x000a_               _x000a_RESPALDO SEMANAL DE LA BASE DE DATOS INFOMEX_x000a_ _x000a_Aplicación:                  INFOMEX NUEVO LEÓN_x000a_Tipo de Soporte:         RESPALDO   _x000a_Observaciones:            _x000a_ _x000a_Su petición fue atendida, se subió el respaldo de su base de datos de esta semana…_x000a_http://documentos.inai.org.mx/tmp/infomexNL_backup_2021-04-26_0800.bak_x000a_NOTA: El respaldo estará disponible una semana  _x000a_  _x000a_            Favor de validar._x000a_ _x000a_Estatus:                               Concluido._x000a_" u="1"/>
        <s v="Script BD declaración inicial Nitzia López" u="1"/>
        <s v="Levantar campus organismos garantes en servidores de ND para exportar cursos" u="1"/>
        <s v="Se  testan los datos del folio: 0064101577921" u="1"/>
        <s v="Buenas tardes Martha, tu petición fue atendida, favor de validar _x000a__x000a_Saludos _x000a__x000a_Marina Adame Velasco_x000a__x000a_Notificación de seguimiento  [  MA0705202004 ]  _x000a__x000a_Aplicación:                  INFOMEX NUEVO LEÓN_x000a__x000a_Tipo de Soporte:         AJUSTE DE PLAZOS_x000a_   _x000a_Estatus:                               Concluido._x000a_ _x000a_ _x000a_" u="1"/>
        <s v="Proceso de respuestas parciales, para ver si se detiene o no el plazo" u="1"/>
        <s v="Se  testan los datos del folio:  1117100021621" u="1"/>
        <s v="Se  testan los datos del folio: 1816400194421 " u="1"/>
        <s v="Se sustituye el archivo adjunto de la solicitud con folio 0064101651321" u="1"/>
        <s v="Notificación de seguimiento  [  MA1903202005 ]  _x000a_ _x000a_ _x000a_Estimado(a):                     Tiara Gethsemanni Miranda Fuentes_x000a_ _x000a_Le informamos que su ticket correspondiente a:_x000a_               _x000a_Por medio de presente, solicito de la manera más atenta, su apoyo para retroceder los pasos en el sistema SIGEMI-SICOM en la PNT del asunto que se enlista a continuación; hasta la actividad “Registrar información de la sesión del pleno”; sin más por el momento, quedo en espera de sus comentarios._x000a_ _x000a_ _x000a_•             RRA 00772/20_x000a_ _x000a__x000a_ _x000a_Aplicación:                  SIGEMI_x000a_Tipo de Soporte:         REGRESO DE PASOS  _x000a_Observaciones:            _x000a_ _x000a_Su petición fue atendida_x000a_" u="1"/>
        <s v="Definición de herramienta para la descarga de archivos" u="1"/>
        <s v="Notificación de seguimiento  [  MA0505202006 ]  _x000a_ _x000a_ _x000a_Estimado(a):                     Edgar Michel Loaeza Martínez_x000a_ _x000a_Le informamos que su ticket correspondiente a:_x000a_               _x000a_solicito su apoyo a fin de que sean modificados dichos términos en los Recursos de Revisión: RRA 03093/20 con fecha de vencimiento 06 de mayo del 2020 y RRA 03262/20 con fecha de vencimiento 08 de mayo del 2020..” _x000a_ _x000a_Aplicación:                  SIGEMI_x000a_Tipo de Soporte:         REVISIÓN DE PLAZOS  _x000a_Observaciones:            _x000a_ _x000a_Los plazos para dichos recursos fueron modificados conforme el calendario._x000a_" u="1"/>
        <s v="Se  testan los datos del folio: 0064101340921" u="1"/>
        <s v="Se realizan cambios en las peticiones del buscador de obligaciones" u="1"/>
        <s v="Se sustituye archivo adjunto  del folio: 1857200075721" u="1"/>
        <s v="Ajustes datos abiertos" u="1"/>
        <s v="Definición de cantidad de datos necesarios para la evaluación y pre procesamiento de la información" u="1"/>
        <s v="_x000a_Notificación de seguimiento  [  MA1612202025 ]  _x000a_ _x000a_ _x000a_Estimado(a):                     Pedro Esquivel Martínez_x000a_ _x000a_ _x000a_Le informamos que su ticket correspondiente a:_x000a_               _x000a_creación del certificado y por ende la sustitución en la Herramienta HCOM, para el S.O. Partido Verde Ecologista de México_x000a_" u="1"/>
        <s v="Desarrollo del módulo de turnado para inconformidades" u="1"/>
        <s v="Se aplica el cambio para la solicitud: 0001100116420." u="1"/>
        <s v="Buenas tardes Francisco, anexo consultas para las preguntas con inciso D y E, respecto a la pregunta del inciso F, no identifico en el formulario ninguna opción para determinar el idioma en el que se esta capturando la solicitud, lo que podríamos hacer es realizar una búsqueda por palabra que ustedes identifiquen de algunas lenguas indígenas sin que esto quiera decir que estemos abarcando todas las lenguas_x000a__x000a_Me quedo atenta a sus comentarios  _x000a__x000a_Saludos _x000a__x000a_Marina Adame Velasco_x000a__x000a_Notificación de seguimiento  [  MA0106202006 ]  _x000a__x000a_Aplicación:                  INFOMEX NUEVO LEÓN _x000a_Tipo de Soporte:         SCRIPTS PARA CONSULTAS    _x000a_Estatus:                               Concluido._x000a__x000a_" u="1"/>
        <s v="Se  testan los datos del folio: 0000700175321 " u="1"/>
        <s v="Notificación de seguimiento  [  MA0206202003 ]  _x000a_ _x000a_ _x000a_Estimado(a):                     Ricardo Marín González_x000a_ _x000a_Le informamos que su ticket correspondiente a:_x000a_               _x000a_“EN ESTE MISMO SENTIDO, COMUNICARLES QUE SE HA CONFIGURADO EL CALENDARIO DEL SIGEMI-SICOM CON LOS DÍAS QUE EL PLENO ESTABLECIÓ EN EL ACUERDO REFERIDO, PARA QUE SE PROCEDA A REALIZAR LOS AJUSTES CORRESPONDIENTES POR SU PARTE.  DE IGUAL MANERA QUE EL CALENDARIO DE DÍAS INHÁBILES DEL SISTEMA INFOMEX QUINTANA ROO, HA SIDO CONFIGURADO CON ESTAS CONSIDERACIONES. ”_x000a__x000a_ _x000a_Aplicación:                  SIGEMI_x000a_Tipo de Soporte:         revisión de fechas  _x000a_Observaciones:            _x000a_ _x000a_Anexo a este correo las fechas limite de votación y los cumplimientos de 2020, en el caso de las fechas de votación requerimos que nos valides la nueva fecha y en el caso de los cumplimientos si las fechas limite son correctas _x000a_" u="1"/>
        <s v="Se genero certificado para  OCUBBJG" u="1"/>
        <s v="_x000a_Notificación de seguimiento  [  MA1310202011 ]  _x000a_ _x000a_ _x000a_Estimado(a):                     Sergio Rafael Cortés Alpizar_x000a_ _x000a_Le informamos que su ticket correspondiente a:_x000a_               _x000a_por medio del presente solicito su apoyo para que se cambie el medio de notificación a correo electrónico y se anexe el mismo en la Plataforma Nacional de Transparencia del recurso de revisión:_x000a_ _x000a_RRD 01335/20 vs IMSS_x000a_ _x000a_Correo electrónico: edgarlic.03@hotmail.com_x000a_ _x000a_Lo anterior se debe a que lo solicito en su recurso de revisión. _x000a_ _x000a_ _x000a_Aplicación:                  SIGEMI_x000a_Tipo de Soporte:         CAMBIO DE MEDIO Y CORREO   _x000a_Observaciones:            _x000a_ _x000a_Su petición fue atendida_x000a__x000a_" u="1"/>
        <s v="Notificación de seguimiento  [  MA1507202101 ]_x000a__x000a_Estimado(a):                Pedro Esquivel Martínez_x000a__x000a_ _x000a_ Le informamos que su ticket correspondiente a:_x000a_               _x000a_Con el gusto de saludarles y por este medio pido su valioso apoyo con la actualización del certificado del Titular de la unidad de transparencia del “Fondo de ahorro capitalizable para los trabajadores operativos del INACIPE”.  Lo Anterior a fin de que sus accesos sean habilitados en los otros sistemas que administra este Instituto (HCOM).  CAMBIO DE  TITULAR, se anexa cuadro descriptivo._x000a__x000a_ _x000a_Aplicación:                  HCOM_x000a_Tipo de Soporte:         CAMBIO DE TUT  _x000a_Observaciones:            _x000a_ _x000a_Su petición fue atendida_x000a_" u="1"/>
        <s v="Se cambia el tipo de solicitud del folio 0001100101121" u="1"/>
        <s v="_x000a_Notificación de seguimiento  [  MA2501202102 ]  _x000a_ _x000a_ _x000a_Estimado(a):                     YARENNI ADAME_x000a_  _x000a_Le informamos que su ticket correspondiente a:_x000a_               _x000a_RESPALDO SEMANAL DE LA BASE DE DATOS INFOMEX_x000a_ _x000a_Aplicación:                  INFOMEX GUERRERO_x000a_Tipo de Soporte:         RESPALDO   _x000a_Observaciones:            _x000a_ _x000a_Su petición fue atendida, se subió el respaldo de su base de datos de esta semana…_x000a__x000a_http://documentos.inai.org.mx/tmp/infomexGUERRERO_backup_2021-01-25_0800.bak_x000a__x000a__x000a_NOTA: El respaldo estará disponible una semana  _x000a__x000a_  _x000a_            Favor de validar._x000a_ _x000a_Estatus:                               Concluido._x000a__x000a_" u="1"/>
        <s v="Crear EDT para proyecto de consultas " u="1"/>
        <s v="Se aplica cambio de modalidad de la solicitud: 1857200054220." u="1"/>
        <s v="Se aplica testado de datos al folio:  0064100439721" u="1"/>
        <s v="Evaluación y diseño de script para corrección de estilos y ortografía" u="1"/>
        <s v="Notificación de seguimiento [ MA2101202004 ] _x000a_  _x000a_  _x000a_ Estimado(a): Lizbeth Adriana Cabrera Ortega_x000a_  _x000a_ Le informamos que su ticket correspondiente a:_x000a_  _x000a_ Mucho agradeceré tengas a bien apoyarme con esta solicitud de apoyo, ya que se comunica la Ponencia conmigo que aún no ha quedado atendido el cambio de sujeto obligado, asimismo, nuevamente agrego el acuerdo para que sea adicionado al expediente._x000a_  _x000a_ Aplicación: SIGEMI_x000a_ Tipo de Soporte: ACTUALIZACIÓN DE ARCHIVO Y CAMBIO DE SO" u="1"/>
        <s v="Se aplica el alta  de la dependencia: 8003 y se renombra: 60134." u="1"/>
        <s v="Notificación de seguimiento  [  MA0712202003 ]  _x000a_  _x000a_Estimado(a):                     Hugo Montero Saldaña_x000a_  _x000a_Le informamos que su ticket correspondiente a:_x000a_               _x000a_En relación con el recurso de revisión RRA 13433/20 vs Secretaría de Hacienda y Crédito Público, se notificó un acuerdo de prevención, a través del paso de admisión._x000a__x000a_En razón de lo anterior, solicito su valioso apoyo a efecto de que, de ser posible, se regrese al paso anterior, para notificar por el paso de prevención. En caso de no ser posible, quedo atento a cualquier instrucción de su parte._x000a__x000a_ _x000a_Aplicación:                  SIGEMI_x000a_Tipo de Soporte:         REGRESO DE PASOS    _x000a_Observaciones:            _x000a_ _x000a_Su petición fue atendida_x000a_" u="1"/>
        <s v="Servicio catalogo integrante " u="1"/>
        <s v="Buenos días Berenice, tu petición fue atendida, favor de validar _x000a__x000a_Saludos _x000a__x000a_Marina Adame Velasco_x000a__x000a_Notificación de seguimiento  [  MA0805202002 ]  _x000a__x000a_Aplicación:                  INFOMEX OAXACA_x000a_Tipo de Soporte:         AJUSTE DE PLAZOS   _x000a_Estatus:                               Concluido._x000a_" u="1"/>
        <s v="Se  testan los datos del folio: 0673800054621" u="1"/>
        <s v="Se aplica testado de datos al folio: 0064100583320." u="1"/>
        <s v="Notificación de seguimiento  [  MA1603202112 ]  _x000a_ _x000a_ _x000a_Estimado(a):                     Edgar Michel Loaeza Martínez_x000a_ _x000a_ _x000a_Le informamos que su ticket correspondiente a:_x000a_               _x000a_Por medio del presente solicito su valioso apoyo a efecto de realizar la renovación de certificado del sujeto obligado indirecto de la Secretaría de Comunicaciones y Transportes en el hcom._x000a_ _x000a_Aplicación:                  HCOM_x000a_Tipo de Soporte:         CAMBIO TUT   (8)_x000a_" u="1"/>
        <s v="Implementación del alta de Responsables en Resoluciones Privadas." u="1"/>
        <s v="Apoyo directo para Antonio Pérez ( Validación de diversas URL´s que no están siendo identificadas en las rutas de carpetas de archivos, esto respecto a CDMX.) Generación de información en formatos de Excel con las posibles estructuras URLs en las que podrían encontrarse los adjuntos registrados.  (Consulta y validación de URLs uno a uno)" u="1"/>
        <s v="Evaluación y diseño de scripts para descarga de datos SISAI" u="1"/>
        <s v="Se aplica eliminación de respuesta al folio: 0001200023320." u="1"/>
        <s v="Entrenamiento de modelo no DNN" u="1"/>
        <s v="Se  testan los datos de la solicitud con folio 0064100829321_x000a_" u="1"/>
        <s v="Desarrollo de los servicios en el front end para obtener los datos del formulario de crear una nueva cuenta y llamar a los servicios del API" u="1"/>
        <s v="Se reliza la pantalla de resultados de busqueda y toda la funcionalidad que conlleva" u="1"/>
        <s v="número de solicitudes presentadas  únicamente a la Federación, tanto por la PNT como por Infomex, para el periodo del 1 al 16 de mayo de 2021." u="1"/>
        <s v="Se aplica el cambio para la solicitud: 0001100075020." u="1"/>
        <s v="Servicio operación catalogo integrante (Administrador) " u="1"/>
        <s v="Creación de cuenta y configuración de admimnistración Estadísticas AIP" u="1"/>
        <s v="Desarrollo de la funcionalidad para la exportación de la información del HISTORIAL DEL SOLICITANTE perteneciente al módulo de solicitudes de información y datos personales" u="1"/>
        <s v="Se genera certificado para la dependencia con clave: 00638." u="1"/>
        <s v="Hola Berenice, se restableció la validación en respuestas, favor de validar_x000a__x000a_Saludos_x000a__x000a_Marina Adame_x000a_" u="1"/>
        <s v="Cambio en timeout del IIS" u="1"/>
        <s v="Se sustituye archivo adjunto del folio: 0064102856620" u="1"/>
        <s v="Notificación de seguimiento  [  MA2408202014 ]  _x000a_ _x000a_ _x000a_Estimado(a):                     Giovanna Elizabeth Méndez Esquivel_x000a_ _x000a_Le informamos que su ticket correspondiente a:_x000a_               _x000a_retroceder los pasos en el sistema SIGEMI-SICOM en la PNT de los asuntos que se enlistan a continuación; hasta la actividad “Registrar información de la sesión del pleno _x000a_ _x000a_Aplicación:                  SIGEMI_x000a_Tipo de Soporte:         REGRESO DE PASOS  ( 39 ) _x000a_Observaciones:            _x000a_ _x000a_Su petición fue atendida_x000a_ _x000a_ _x000a_" u="1"/>
        <s v="Identificacion del tipo lista despegable, sentido de la Resolucion " u="1"/>
        <s v="Se empieza el desarrollo del modulo de Entidad Federativa" u="1"/>
        <s v="Se testan datos del folio: 0000600249121" u="1"/>
        <s v="Buenos días Isaac, tu petición fue atendida, favor de validar _x000a__x000a_Saludos _x000a__x000a_Marina Adame Velasco_x000a__x000a_Notificación de seguimiento  [  MA2907202002 ]  _x000a__x000a_Aplicación:                  INFOMEX OAXACA_x000a_Tipo de Soporte:         Ajuste de plazos    _x000a_Estatus:                               Concluido._x000a_" u="1"/>
        <s v="Homologación de rutas para los end point de todo el proyecto" u="1"/>
        <s v="Se sustituye archivo del folio 0673800050121" u="1"/>
        <s v="Buenas tardes Memo, te comento que de la revisión realizada, si se localizó el dato de domicilio para la solicitud que me comentas como de prueba _x000a__x000a_ _x000a__x000a_Para que puedan visualizarlo en el sistema de infomex, tienes que agregar el campo a alguna de las plantillas que visualiza el sujeto obligado, el campo que debes de agregar es Medio para recibir la información o notificaciones y lo debes de agregar como solo lectura._x000a__x000a_Cualquier observación estoy a tus ordenes_x000a__x000a_Saludos _x000a__x000a_Marina Adame _x000a__x000a__x000a__x000a_Notificación de seguimiento  [  MA0411202002 ]  _x000a_  _x000a_Aplicación:                  INFOMEX BCN_x000a_Tipo de Soporte:         Revisión de incidencia    _x000a_" u="1"/>
        <s v="Se envía el seguimiento completo a la solicitud: 1114100129519." u="1"/>
        <s v="Se generó certificados para usuarios de dependencia SO indirectos SSA" u="1"/>
        <s v="Notificación de seguimiento  [  MA0502202008 ]  _x000a_ _x000a_ _x000a_Estimado(a):                     Alondra Jiménez Hernández_x000a_ _x000a_Le informamos que su ticket correspondiente a:_x000a_               _x000a_ _x000a_Anexo el registro actualizado del certificado del nuevo Titular de la Unidad de Transparencia del INEGI, para que se habilite su acceso en la Herramienta de Comunicación. _x000a__x000a_ _x000a_Aplicación:                  HCOM   _x000a_Tipo de Soporte:         CAMBIO DE TUT   _x000a_" u="1"/>
        <s v="Se generó certificado para usuario de dependencia Sindicato Independiente de Investigadores del Instituto Nacional de Investigaciones Forestales, Agrícolas y Pecuarias" u="1"/>
        <s v="Hacer una revisión a detalle de los procesos que hay actualmente en el ambiente productivo (base de datos)" u="1"/>
        <s v="Modificación de query en servicio obtener configuración de pago para poder obtener el nombre del sujeto obligado" u="1"/>
        <s v="Notificación de seguimiento  [  MA2403202112 ]  _x000a_ _x000a_ _x000a_Estimado(a):                     CRISTIAN DE JESUS AVENDAÑO PALACIOS_x000a_ _x000a_ _x000a_Le informamos que su ticket correspondiente a:_x000a_               _x000a_Por este medio solicito de su valioso apoyo para poder aplicar las afectaciones a las fechas de vencimiento y la eliminación de los acuses respectivos de las solicitudes señaladas en el archivo adjunto. Toda vez que el Consejo General aprobará mediante la Quinta Sesión Ordinaria 2021._x000a__x000a_ _x000a_Aplicación:                  INFOMEX OAXACA_x000a_Tipo de Soporte:         AJUSTE DE PLAZOS    _x000a_Observaciones:            _x000a_ _x000a_Su petición fue atendida_x000a_ _x000a_  _x000a_" u="1"/>
        <s v="Notificación de seguimiento  [  MA1104202201 ]_x000a__x000a_Estimado(a):                Alondra Jiménez Hernández_x000a__x000a_ _x000a_ Le informamos que su ticket correspondiente a:_x000a_               _x000a_Debido al cambio de Titular de la Unidad de Transparencia, te pido sea generado un certificado genérico a nombre del TUT para cada sujeto obligado enlistado y que con el mismo sea habilitado en la HCOM._x000a__x000a__x000a_Aplicación:                  HCOM_x000a_Tipo de Soporte:         GENERACION DE CERTIFICADOS Y CAMBIO DE TUT   ( 6 )_x000a_Observaciones:            _x000a_ _x000a_Su petición fue atendida_x000a_ _x000a_ _x000a_" u="1"/>
        <s v="Publicación de orden del día" u="1"/>
        <s v="Se envía manual a usuaria ya que comentan un error para dar respuestas a IPRC en Informe." u="1"/>
        <s v="Se aplica testado de datos al folio:  1816400054121 " u="1"/>
        <s v="_x000a_Estimado(a):                Francisco Javier Lira Pérez_x000a__x000a_ _x000a_ Le informamos que su ticket correspondiente a:_x000a_               _x000a_PODRÍAS APOYARME CON ESTE ASUNTO RR/2428/2021 ME APARECE REPETIDO, COMO ADMITIR/PREVENIR, PERO YA SE ACORDÓ Y ESTA PREVENIDO_x000a_ _x000a_Aplicación:                  SIGEMI_x000a_Tipo de Soporte:         QUITAR ACTIVIDAD DUPLICADA  _x000a_Observaciones:            _x000a_ _x000a_Su petición fue atendida_x000a_ _x000a__x000a_Estimado(a):                Francisco Javier Lira Pérez_x000a__x000a_ _x000a_ Le informamos que su ticket correspondiente a:_x000a_               _x000a_PODRÍAS APOYARME CON ESTE ASUNTO RR/2428/2021 ME APARECE REPETIDO, COMO ADMITIR/PREVENIR, PERO YA SE ACORDÓ Y ESTA PREVENIDO_x000a_ _x000a_Aplicación:                  SIGEMI_x000a_Tipo de Soporte:         QUITAR ACTIVIDAD DUPLICADA  _x000a_Observaciones:            _x000a_ _x000a_Su petición fue atendida_x000a_ _x000a_" u="1"/>
        <s v="Se sustituye archivo adjunto y se testan los datos del folio:  1816400055321" u="1"/>
        <s v="Se cambia el tipo de solicitud del folio: 0610100090821" u="1"/>
        <s v="Notificación de seguimiento  [  MA0309202002 ]  _x000a_ _x000a_ _x000a_Estimado(a):                     Sergio Rafael Cortés Alpizar_x000a_ _x000a_Le informamos que su ticket correspondiente a:_x000a_               _x000a_Por este medio solicito adelantar los pasos en la Plataforma Nacional del Transparencia hasta “Preparación del Proyecto de Resolución” del recurso de revisión:_x000a_ _x000a_RRA 6693/19-BIS vs Consejo de la Judicatura Federal_x000a_ _x000a_Lo anterior se debe a que se dictó un amparo y deja sin efectos la resolución del pleno._x000a__x000a_ _x000a_Aplicación:                  SIGEMI_x000a_Tipo de Soporte:         cambio de estatus  _x000a_" u="1"/>
        <s v="Notificación de seguimiento  [  MA0904202106 ]  _x000a_ _x000a_ _x000a_Estimado(a):                     Moisés Guzmán Arias_x000a_ _x000a_ _x000a_Le informamos que su ticket correspondiente a:_x000a_               _x000a_respaldo de la base de datos del Sistema Infomex del Estado de Puebla._x000a_ _x000a_ _x000a_Aplicación:                  INFOMEX PUEBLA_x000a_Tipo de Soporte:         CAMBIO TUT   _x000a_Observaciones:            _x000a_ _x000a_Su petición fue atendida_x000a__x000a_http://documentos.inai.org.mx/tmp/infomexPUEBLA_backup_2021-04-09_1044.bak_x000a_ _x000a_" u="1"/>
        <s v="Notificación de seguimiento  [  MA0402202002 ]  _x000a_ _x000a_ _x000a_Estimado(a):                     Alondra Jiménez Hernández_x000a_ _x000a_Le informamos que su ticket correspondiente a:_x000a_               _x000a_Anexo el registro actualizado del certificado del Titular de la Unidad de Transparencia de COFECE para su renovación en la Herramienta de Comunicación._x000a__x000a_ _x000a_Aplicación:                  HCOM_x000a_Tipo de Soporte:         RENOVAR CERTIFICADO _x000a_" u="1"/>
        <s v="Buenas tardes Martha, tu petición fue atendida, favor de validar _x000a__x000a_Saludos _x000a__x000a_Marina Adame Velasco_x000a__x000a_Notificación de seguimiento  [  MA0107202002 ]  _x000a__x000a_Aplicación:                  INFOMEX NUEVO LEÓN_x000a_Tipo de Soporte:         Corrección de nombre de archivo adjunto   _x000a_Estatus:                               Concluido._x000a__x000a_" u="1"/>
        <s v="Buenas tardes Martha, tu petición fue atendida, favor de validar _x000a__x000a_Saludos _x000a__x000a_Marina Adame Velasco_x000a__x000a_Notificación de seguimiento  [  MA1708202005 ]  _x000a__x000a_Aplicación:                  INFOMEX NUEVO LEÓN_x000a_Tipo de Soporte:         Corrección de nombre de archivo adjunto   _x000a_Estatus:                               Concluido._x000a__x000a_" u="1"/>
        <s v="Buenas tardes Martha, tu petición fue atendida, favor de validar _x000a__x000a_Saludos _x000a__x000a_Marina Adame Velasco_x000a__x000a_Notificación de seguimiento  [  MA2310202003 ]  _x000a__x000a_Aplicación:                  INFOMEX NUEVO LEÓN_x000a_Tipo de Soporte:         Corrección de nombre de archivo adjunto   _x000a_Estatus:                               Concluido._x000a__x000a_" u="1"/>
        <s v="Ejecución OT Flujos" u="1"/>
        <s v="Notificación de seguimiento  [  MA0402202011 ]  _x000a_ _x000a_ _x000a_Estimado(a):                     Sergio Rafael Cortés Alpizar_x000a_ _x000a_Le informamos que su ticket correspondiente a:_x000a_               _x000a_Buenas tardes, por medio del presente solicito su apoyo para que se cambie el medio de notificación a domicilio del particular y se incluya la dirección del domicilio del recurrente en la Plataforma Nacional de Transparencia del recurso de revisión:_x000a_ _x000a_RRD 0040/20 vs IMSS_x000a_ _x000a_El domicilio es: Calle Tolon, Número 103, Colonia Sauces, Santiago de Querétaro._x000a_ _x000a_Ya que lo solicitó el recurrente en su recurso de revisión._x000a_ _x000a_Aplicación:                  SIGEMI_x000a_Tipo de Soporte:         ACTUALIZACIÓN DE DOMICILIO Y CAMBIO DE MEDIO   _x000a_" u="1"/>
        <s v="Generacion de respaldo de iniciativa publica " u="1"/>
        <s v="Se aplica eliminación de última respuesta: 0000500024820" u="1"/>
        <s v="Definición de datos candidatos para muestra inicial a evaluación" u="1"/>
        <s v="Se realizó baja de 3 sujetos obligados" u="1"/>
        <s v="Se  testan los datos del folio: 0064101373921" u="1"/>
        <s v="Se aplica eliminación de última respuesta de la solicitud: 0001200084620." u="1"/>
        <s v="Notificación de seguimiento  [  MA0107202005 ]  _x000a_ _x000a_Estimado(a):                     Rosalinda Coria Mosqueda_x000a_ _x000a_Le informamos que su ticket correspondiente a:_x000a_               _x000a_Nuevamente solicito su apoyo para modificar el medio de notificación de los Recursos _x000a_ _x000a_RECURSO: RRA 6000/20 Procuraduría Federal del Consumidor_x000a_FOLIO: 1031500024520_x000a_ _x000a_RECURSO: RRA 06365/20 Administración Portuaria Integral de Mazatlán, S.A. de C.V._x000a_FOLIO: 0917100005820_x000a_ _x000a_A Correo electrónico como estaba señalado en la PNT, toda vez que existen varios recursos de este particular, y finalmente después de comentarlo con las Secretarias de Ponencia, se determinó que aunque exista un escrito libre donde solicite recibir notificaciones el domicilio, en PNT esta como medio de notificación el medio electrónico, y se va a privilegiar el medio electrónico._x000a_ _x000a_Aprecio su ayuda y dejar sin efectos en correo abajo enviado._x000a__x000a_ _x000a_Aplicación:                  SIGEMI_x000a_Tipo de Soporte:         CAMBIO DE MEDIO   ( 2 )_x000a_Observaciones:            _x000a_ _x000a_Su petición fue atendida_x000a_" u="1"/>
        <s v="Se cambia el tipo de solicitud del folio: 2800100009621" u="1"/>
        <s v="Se elimina respuesta  de la solicitud con  folio 0001600217621" u="1"/>
        <s v="Notificación de seguimiento  [  MA0407202203 ]_x000a__x000a_Estimado(a):               Abraham Obed Gallardo González_x000a__x000a_ Le informamos que su ticket correspondiente a:_x000a__x000a__x000a_actualizar el certificado de la nueva TUT de la Unidad de Transparencia de TGM_x000a__x000a_Aplicación:                  HCOM_x000a_Tipo de Soporte:         CAMBIO DE TUT _x000a_Observaciones:            _x000a_ _x000a_Su petición fue atendida, la consetraseña del usuario es hcom2022_x000a_" u="1"/>
        <s v="Se cambia el tipo de solicitud del folio:0001200354321" u="1"/>
        <s v="Se aplica eliminación de última respuesta de la solicitud:  0001200481520" u="1"/>
        <s v="Creación de cuenta y configuración permisos a Yesica Severiano" u="1"/>
        <s v="Se aplica eliminación de formato de pago: 0002000082921" u="1"/>
        <s v="Se  testan los datos del folio: 0064101613421" u="1"/>
        <s v="Notificación de seguimiento  [  MA2401202102 ]_x000a__x000a_Estimado(a):                Pedro Esquivel Martínez_x000a__x000a_ _x000a_ Le informamos que su ticket correspondiente a:_x000a_               _x000a_por este medio Anexo el registro actualizado del certificado del Titular de la Unidad de Enlace de la “Consejo Nacional para Prevenir la DiscriminaciónLo Anterior a fin de que sus accesos sean habilitados en los otros sistemas que administra este Instituto (HCOM).  CAMBIO DE  TITULAR, en cuanto se reciba la atención en HCOM se realizará la actualización de los demás sistemas correspondientes._x000a__x000a_ _x000a_Aplicación:                  HCOM_x000a_Tipo de Soporte:         CAMBIO DE TUT   _x000a_Observaciones:            _x000a_ _x000a_Su petición fue atendida_x000a_ _x000a_ _x000a_" u="1"/>
        <s v="Creación de cuenta y configuración permisos a Daniel Verdugo" u="1"/>
        <s v="Notificación de seguimiento  [  MA1204202102 ]  _x000a_ _x000a_ _x000a_Estimado(a):                     YARENNI ADAME_x000a_  _x000a_Le informamos que su ticket correspondiente a:_x000a_               _x000a_RESPALDO SEMANAL DE LA BASE DE DATOS INFOMEX_x000a_ _x000a_Aplicación:                  INFOMEX GUERRERO_x000a_Tipo de Soporte:         RESPALDO   _x000a_" u="1"/>
        <s v="Notificación de seguimiento  [  MA1603202108 ]  _x000a_ _x000a_ _x000a_Estimado(a):                     YARENNI ADAME_x000a_  _x000a_Le informamos que su ticket correspondiente a:_x000a_               _x000a_RESPALDO SEMANAL DE LA BASE DE DATOS INFOMEX_x000a_ _x000a_Aplicación:                  INFOMEX GUERRERO_x000a_Tipo de Soporte:         RESPALDO   _x000a_" u="1"/>
        <s v="Notificación de seguimiento  [  MA2203202112 ]  _x000a_ _x000a_ _x000a_Estimado(a):                     YARENNI ADAME_x000a_  _x000a_Le informamos que su ticket correspondiente a:_x000a_               _x000a_RESPALDO SEMANAL DE LA BASE DE DATOS INFOMEX_x000a_ _x000a_Aplicación:                  INFOMEX GUERRERO_x000a_Tipo de Soporte:         RESPALDO   _x000a_" u="1"/>
        <s v="Notificación de seguimiento  [  MA2502202002 ]  _x000a_ _x000a_ _x000a_Estimado(a):                     Yicel Flor Miranda Venegas_x000a_ _x000a_Le informamos que su ticket correspondiente a:_x000a_               _x000a_Por medio del presente solicito su apoyo, para regresarme un paso en la PNT en el recurso RRA 01026/20; ya que el día de hoy notifiqué el acuerdo de alegatos con otra fecha, por lo tanto necesito notificar el acuerdo con el ajuste correspondiente._x000a__x000a_ _x000a_Aplicación:                  SIGEMI_x000a_Tipo de Soporte:         REGRESO DE PASOS  _x000a_" u="1"/>
        <s v="Buenas tardes Guillermo, tu petición fue atendida, favor de validar _x000a__x000a_Saludos _x000a__x000a_Marina Adame Velasco_x000a__x000a_Notificación de seguimiento  [  MA0408202004 ]  _x000a__x000a_Aplicación:                  INFOMEX BCN _x000a_Tipo de Soporte:         REPORTES   _x000a_Estatus:                               Concluido._x000a_" u="1"/>
        <s v="Buenas tardes Memo, tu petición fue atendida, favor de validar _x000a__x000a_Saludos _x000a__x000a_Marina Adame Velasco_x000a__x000a_Notificación de seguimiento  [  MA0402202008 ]  _x000a__x000a_Aplicación:                  INFOMEX BCN_x000a_Tipo de Soporte:         Reporte de solicitudes    _x000a_Estatus:                               Concluido._x000a__x000a_" u="1"/>
        <s v="_x000a_Notificación de seguimiento  [  MA0910202115 ]  _x000a_ _x000a_ _x000a_Estimado(a):                     Martha Rubí Zaragoza Mora_x000a_ _x000a_ _x000a_Le informamos que su ticket correspondiente a:_x000a_               _x000a_El presente correo es para pedir su amable apoyo para el ajuste de términos de los folios debido al Acuerdo que enviaron los siguientes Sujetos Obligados a la COTAI por el cual se amplían la fecha del 1º al 31 de marzo 2021 y contando también el periodo vacacional de semana santa; debiéndose considerar los días comprendidos dentro de dicho periodo como inhábiles para evitar la propagación del coronavirus COVID-19._x000a__x000a_ _x000a_Aplicación:                  INFOMEX FEDERAL _x000a_Tipo de Soporte:         AJUSTE DE PLAZOS   _x000a_Observaciones:            _x000a_ _x000a_Su petición fue atendida_x000a_ _x000a_  _x000a_            Favor de validar._x000a_ _x000a_Estatus:                               Concluido._x000a__x000a_" u="1"/>
        <s v="Se aplica eliminación de formato de pago: 0063700131320 " u="1"/>
        <s v="Carga de archivos campus público a la nube" u="1"/>
        <s v="Notificación de seguimiento  [  MA2707202008 ]  _x000a_ _x000a_ _x000a_Estimado(a):                     Sergio Rafael Cortés Alpizar _x000a__x000a__x000a_Le informamos que su ticket correspondiente a:_x000a_               _x000a_Por medio del presente, solicito se regrese la actividad a &quot;Preparación del Proyecto de Resolución&quot;  del siguiente recurso de revisión:_x000a__x000a_RRA 4316/20 vs Secretaría de la Defensa Nacional_x000a__x000a_Lo anterior se debe a que se va a corregir el acuerdo y se volverá a enviar._x000a__x000a_ _x000a_Aplicación:                  SIGEMI_x000a_Tipo de Soporte:         REGRESO DE PASOS  _x000a_" u="1"/>
        <s v="Se  testan los datos del folio: 0064101344921" u="1"/>
        <s v="Se  testan los datos del folio: 0064101354921" u="1"/>
        <s v="Testado de datos  del folio: 1816400121921" u="1"/>
        <s v="Se aplica eliminación de formato de pago manual: 0000700223519 " u="1"/>
        <s v="Sesion de explicacion pizarras 4 y Desarrollo de componente Drag and Drop para el modulo de acuses en INAI" u="1"/>
        <s v="Revisión de conteos de solicitudes " u="1"/>
        <s v="Se desarrollo el acordeon de las bases, el carrusel y el footer del micrositio" u="1"/>
        <s v="Buenas tardes Moisés, tu petición fue atendida, se realizó la actualización de fechas de los folios 01140620 y  00675920, al 8 de Septiembre, favor de validar _x000a__x000a_Saludos _x000a__x000a_Marina Adame Velasco_x000a__x000a_Notificación de seguimiento  [  MA0809202009 ]  _x000a__x000a_Aplicación:                  INFOMEX PUEBLA _x000a_Tipo de Soporte:         AJUSTE DE FECHAS   _x000a_Estatus:                               Concluido._x000a__x000a_" u="1"/>
        <s v="Instalación ambiente local" u="1"/>
        <s v="Pruebas para los Request: payload" u="1"/>
        <s v="Se elimina la respuesta del folio 00027000769210 y 002700077121" u="1"/>
        <s v="_x000a_Notificación de seguimiento  [  MA0710202002 ]  _x000a_ _x000a_ _x000a_Estimado(a):                     Alondra Jiménez Hernández_x000a_ _x000a_Le informamos que su ticket correspondiente a:_x000a_               _x000a_Debido al cambio de Titular de la Unidad de Transparencia de INFOTEC anexo los registros actualizados de los certificados de dicho sujeto obligado y del sujeto indirecto que coordina para que sean actualizados y se habilite su acceso en la Herramienta de Comunicación de cada uno. _x000a__x000a_ _x000a_Aplicación:                  HCOM_x000a_Tipo de Soporte:         CAMBIO DE TUT ( 2 )  _x000a_Observaciones:            _x000a_ _x000a_Su petición fue atendida_x000a_ _x000a__x000a_" u="1"/>
        <s v="Creación de página para cambiar correos" u="1"/>
        <s v="Se testan los datos  del folio: 0064101433921" u="1"/>
        <s v="Evaluación y diseño de procesamiento de limpieza de datos" u="1"/>
        <s v="_x000a_Notificación de seguimiento  [  MA0502202005 ]  _x000a_ _x000a_ _x000a_Estimado(a):                     Lizbeth Adriana Cabrera Ortega_x000a_ _x000a_Le informamos que su ticket correspondiente a:_x000a_               _x000a_DEBE DECIR 5 DE FEBRERO_x000a_ _x000a_Aplicación:                  SIGEMI_x000a_Tipo de Soporte:         ACTUALIZACION DE FECHAS  _x000a_Observaciones:            _x000a_ _x000a_Su petición fue atendida_x000a_" u="1"/>
        <s v="Se  testan los datos del folio: 1816400179421 " u="1"/>
        <s v="Se aplica testado de datos al folio: 0064100054421" u="1"/>
        <s v="Restauración de micrositio corrupto" u="1"/>
        <s v="Buenas tardes Moisés, tu petición fue atendida, favor de validar _x000a_ _x000a_ Saludos _x000a_ _x000a_ Marina Adame Velasco_x000a_ _x000a_ Notificación de seguimiento [ MA1701202005]_x000a_ _x000a_ _x000a_ _x000a_ Aplicación: INFOMEX PUEBLA _x000a_ Tipo de Soporte: Consulta de datos _x000a_ Estatus: Concluido." u="1"/>
        <s v="Buenas tardes Moisés, tu petición fue atendida, favor de validar _x000a_ _x000a_ Saludos _x000a_ _x000a_ Marina Adame Velasco_x000a_ _x000a_ Notificación de seguimiento [ MA2801202002 ] _x000a_ _x000a_ Aplicación: INFOMEX PUEBLA _x000a_ Tipo de Soporte: Corrección de datos _x000a_ Estatus: Concluido." u="1"/>
        <s v="Notificación de seguimiento  [  MA0907202008 ]  _x000a_ _x000a_ _x000a_Estimado(a):                     Betzabé Flores Terán_x000a_ _x000a_ _x000a_Le informamos que su ticket correspondiente a:_x000a_               _x000a_Solicito de su apoyo para actualizar en la Herramienta de Comunicación los certificados de los sujetos obligados de la base que se adjunta, ya que estos han vencido._x000a_ _x000a_ _x000a_Aplicación:                  HCOM   _x000a_Tipo de Soporte:         cambio de TUT   ( 1 )_x000a_" u="1"/>
        <s v="Notificación de seguimiento  [  MA1607202013 ]  _x000a_ _x000a_ _x000a_Estimado(a):                     Betzabé Flores Terán_x000a_ _x000a_ _x000a_Le informamos que su ticket correspondiente a:_x000a_               _x000a_Solicito de su apoyo para actualizar en la Herramienta de Comunicación los certificados de los sujetos obligados de la base que se adjunta, ya que estos han vencido._x000a_ _x000a_ _x000a_Aplicación:                  HCOM   _x000a_Tipo de Soporte:         cambio de TUT   ( 1 )_x000a_" u="1"/>
        <s v="Se  testan los datos del folio: 1857200161821" u="1"/>
        <s v="Generación de querys para datos abiertos" u="1"/>
        <s v="_x000a_Notificación de seguimiento  [  MA0610202007 ]  _x000a_ _x000a_ _x000a_Estimado(a):                     Lizbeth Adriana Cabrera Ortega_x000a_ _x000a_Le informamos que su ticket correspondiente a:_x000a_               _x000a_Pido de tu amable apoyo para cambiar el correo electrónico para notificación del recurso RRA 5305/20._x000a_ _x000a_DICE_x000a_JUjuanmtzmontiel@hotmail.com_x000a_ _x000a_DEBE DECIR_x000a_juanmtzmontiel@hotmail.com_x000a_ _x000a_ _x000a_Aplicación:                  SIGEMI_x000a_Tipo de Soporte:         CAMBIO DE CORREO _x000a_ _x000a_Su petición fue atendida_x000a_" u="1"/>
        <s v="Se realizan pruebas en el módulo productivo en el sistema Infomex Federal." u="1"/>
        <s v="Se  testan los datos del folio: 0064101758421" u="1"/>
        <s v="Notificación de seguimiento  [  MA1612202022 ]  _x000a_ _x000a_ _x000a_Estimado(a):                     Berenice Hernández Sumano_x000a_ _x000a_ _x000a_Le informamos que su ticket correspondiente a:_x000a_               _x000a_la afectación en base de datos de la fecha de caducidad de las solicitudes, toda vez que el Consejo General del IAIPO aprobó TÉRMINO DE SUSPENSIÓN DE PLAZOS DE LOS PROCEDIMIENTOS CUYO CONTENIDO ESTÉ RELACIONADO A LOS TEMAS COVID-19 (01/05/2020), SISMO DEL 23 DE JUNIO Y PROGRAMAS SOCIALES DERIVADOS DE LA EMERGENCIA SANITARIA (30/06/2020), PROCEDIMIENTOS DE ADJUDICACIÓN DIRECTA, INVITACIÓN RESTRINGIDA Y LICITACIÓN DE CUALQUIER NATURALEZA (28/08/2020)._x000a_ _x000a_Aplicación:                  INFOMEX OAXACA_x000a_Tipo de Soporte:         AJUSTE DE PLAZOS    _x000a_" u="1"/>
        <s v="Agregar campo resumen en base de datos y vistas de consultas" u="1"/>
        <s v="Notificación de seguimiento  [  MA0502202001 ]  _x000a_ _x000a_ _x000a_Estimado(a):                     Lizbeth Adriana Cabrera Ortega_x000a_ _x000a_Le informamos que su ticket correspondiente a:_x000a_               _x000a_SOLCIITO DE SU VALIOSO APOYO A FIN DE MODIFICAR AL FECHA DE INTERPOSICIÓN AL 4 DE FEBRERO._x000a__x000a_ _x000a_Aplicación:                  SIGEMI_x000a_Tipo de Soporte:         Actualización de fechas  _x000a_" u="1"/>
        <s v="Notificación de seguimiento [ MA1701202001 ] _x000a_  _x000a_  _x000a_ Estimado(a): Yoloxochitl Díaz Maldonado_x000a_  _x000a_ Le informamos que su ticket correspondiente a:_x000a_  _x000a_ Mediante el presente solicitó de su apoyo a efecto de que en el SIGEMI se realicen los siguientes cambios:_x000a_  _x000a_ - Respecto del recurso de revisión RRD 0032/20 interpuesto en contra del INFONAVIT en la pestaña “Información del medio de impugnación” se cambie el medio de notificación a DOMICILIO FISICO, pues el recurrente señaló una dirección física para oír y recibir notificaciones._x000a_  _x000a_ _x000a_  _x000a_ Aplicación: SIGEMI_x000a_ Tipo de Soporte: CAMBIO DE MEDIO" u="1"/>
        <s v="SUSTITUCIÓN DEL ADJUNTO EN SOLICITUD DE INFORMACION CON FOLIO 0110000064421" u="1"/>
        <s v="Corrección de incidencia de login" u="1"/>
        <s v="Desarrollar servicios para estadísticas por usuario/resoluciones" u="1"/>
        <s v="Notificación de seguimiento  [  MA2308202112 ]_x000a__x000a_Estimado(a):                Alondra Jiménez Hernández_x000a__x000a_ _x000a_ Le informamos que su ticket correspondiente a:_x000a_               _x000a_Se solicita la actualización de los certificados, por motivo del cambio de Titular de la Unidad de Transparencia, de los siguientes sujetos obligados, esto para que sean actualizados y se habilite el acceso en la Herramienta de Comunicación de cada uno._x000a__x000a_ _x000a_Aplicación:                  HCOM_x000a_Tipo de Soporte:         CAMBIO DE TUT  ( 7 ) _x000a_Observaciones:            _x000a_ _x000a_Su petición fue atendida, excepto para el Sujeto Obligado Fondo de Capitalización e Inversión del Sector Rural, debido a que el certificado enviado expiró_x000a_ _x000a_ _x000a_" u="1"/>
        <s v="Notificación de seguimiento  [  MA0709202003 ]  _x000a_ _x000a_ _x000a_Estimado(a):                     Adriana Elizabeth Hernández Garcia_x000a_ _x000a_Le informamos que su ticket correspondiente a:_x000a_               _x000a_Por medio del presente te comento que al validar el paso denominado Registro de la Resolución Firmada relativo al recurso: _x000a__x000a_RRA 07115/20_x000a__x000a_la PNT se queda pasmada y NO APARECEN las ventanas donde se registran las fechas de firma de los comisionados; de tal manera que queda en blanco.  _x000a_Al respecto, te solicito se realicen las gestiones necesarias a efecto de que se pueda validar el paso referido y estar en condición de continuar con el proceso de notificación de la resolución._x000a__x000a_ _x000a_Aplicación:                  SIGEMI_x000a_Tipo de Soporte:         CORRECCIÓN DE INCIDENCIA   _x000a_" u="1"/>
        <s v="Se  testan los datos del folio: 0064101365921" u="1"/>
        <s v="Se crea  la tabla SISAI_TR_AVISOS en la base de datos al igual que los inserts para el menu, menu proceso y menu rol" u="1"/>
        <s v="Estimado Moisés, tu solicitud ha sido atendida, favor de validar _x000a__x000a_Notificación de seguimiento  [  MA2107202101 ]_x000a_ SISTEMA  [  SIGEMI/SICOM ] _x000a_" u="1"/>
        <s v="Generación de reporte" u="1"/>
        <s v="Notificación de seguimiento  [  MA1102202103 ]  _x000a_ _x000a_ _x000a_Estimado(a):                     Berenice Hernández Sumano_x000a_ _x000a_ _x000a_Le informamos que su ticket correspondiente a:_x000a_               _x000a_Buen día, por este medio solicito la afectación en base de datos de la fecha de caducidad de las solicitudes, toda vez que el Consejo General del IAIPO aprobó TÉRMINO DE SUSPENSIÓN DE PLAZOS DE LOS PROCEDIMIENTOS CUYO CONTENIDO ESTÉ RELACIONADO A LOS TEMAS COVID-19 (01/05/2020), SISMO DEL 23 DE JUNIO Y PROGRAMAS SOCIALES DERIVADOS DE LA EMERGENCIA SANITARIA (30/06/2020), PROCEDIMIENTOS DE ADJUDICACIÓN DIRECTA, INVITACIÓN RESTRINGIDA Y LICITACIÓN DE CUALQUIER NATURALEZA (28/08/2020)._x000a_ _x000a_Aplicación:                  INFOMEX OAXACA_x000a_Tipo de Soporte:         AJUSTE DE PLAZOS   _x000a_Observaciones:            _x000a_ _x000a_Su petición fue atendida_x000a_ _x000a_  _x000a_" u="1"/>
        <s v="Se agregan días inhábiles en el CAS" u="1"/>
        <s v="Se sustituye archivo adjunto  del folio:  0064100289321" u="1"/>
        <s v="Se realiza la identificación de nuevos sujetos obligados derivado de la actualización del respaldo de la base de datos del Estado de Tabasco, y se procede con la inserción en la tabla correspondiente." u="1"/>
        <s v="Generación de script de normalización de texto" u="1"/>
        <s v="Se elimina la respuesta del folio: 1215100553721" u="1"/>
        <s v="Configuración de docker compose" u="1"/>
        <s v="Modificar las fechas del calendario" u="1"/>
        <s v="Notificación de seguimiento  [  MA2610202003 ]  _x000a__x000a_ _x000a__x000a_ _x000a__x000a_Estimado(a):                     Alma Lizbeth Peguero Rivera_x000a__x000a_ _x000a__x000a_ _x000a__x000a_Le informamos que su ticket correspondiente a:_x000a__x000a_               _x000a__x000a_Espero se encuentren bien, solicito de su valioso apoyo para la eliminación del siguiente recurso RRA 09194-20, debido a que se encuentra doble en la PNT, para trabajar en mi paso, quedo atenta, sin más por el momento._x000a__x000a_ _x000a__x000a_Aplicación:                  SIGEMI_x000a__x000a_Tipo de Soporte:         Quitar duplicado_x000a__x000a_Observaciones:            _x000a__x000a_ _x000a__x000a_Su petición fue atendida_x000a__x000a_ " u="1"/>
        <s v="Buenas tardes Berenice, tu petición fue atendida, favor de validar _x000a__x000a_Saludos _x000a__x000a_Marina Adame Velasco_x000a__x000a_Notificación de seguimiento  [  MA0409202001 ]  _x000a__x000a_Aplicación:                  INFOMEX OAXACA_x000a_Tipo de Soporte:         AJUSTE DE PLAZOS    _x000a_Estatus:                               Concluido._x000a__x000a_ _x000a_" u="1"/>
        <s v="Notificación de seguimiento  [  MA1512202003 ]  _x000a_ _x000a_ _x000a_Estimado(a):                     Berenice Hernández Sumano_x000a_ _x000a_ _x000a_Le informamos que su ticket correspondiente a:_x000a_               _x000a_la afectación en base de datos de la fecha de caducidad de las solicitudes _x000a__x000a_Aplicación:                  INFOMEX OAXACA_x000a_Tipo de Soporte:         AJUSTE DE PLAZOS   _x000a_Observaciones:            _x000a_ _x000a_Su petición fue atendida_x000a_ _x000a_" u="1"/>
        <s v="Nueva tabla con fecha y carga de declaraciones restantes" u="1"/>
        <s v="Se testan los datos  del folio: 0064101434921" u="1"/>
        <s v="Cambios solicitados por el usuario punto 88,89,101, 102, 118, 145, 146, 150, 151, 154, 155, 156, 156 (inventario en excel del usuario)" u="1"/>
        <s v="_x000a_Notificación de seguimiento  [  MA3009202006 ]  _x000a_ _x000a_ _x000a_Estimado(a):                     Edgar Michel Loaeza Martínez_x000a_ _x000a_Le informamos que su ticket correspondiente a:_x000a_               _x000a_se tienen que asignar los 2 certificados para cada uno de sus sujetos obligados indirectos de la SADER,_x000a_" u="1"/>
        <s v="_x000a_Notificación de seguimiento  [  MA0812202004 ]  _x000a_ _x000a_ Estimado(a):                     Laura Mónica Segovia Tellez_x000a_  _x000a_Le informamos que su ticket correspondiente a:_x000a_               _x000a_regresar el paso del RRA 11267/20 del cierre de instrucción derivado de que se adjuntó mal un documento_x000a_ _x000a_Aplicación:                  SIGEMI_x000a_Tipo de Soporte:         ELIMINACIÓN DE CIERRE   _x000a_Observaciones:            _x000a_ _x000a_Su petición fue atendida_x000a_" u="1"/>
        <s v="Se aplica sustitución de archivo de la solicitud: 0064103310219" u="1"/>
        <s v="Se aplica sustitución de archivo de la solicitud: 0000700034420" u="1"/>
        <s v="Se aplica testado de datos al folio: 0700100001220." u="1"/>
        <s v="Se  testan los datos del folio: 0064101366921" u="1"/>
        <s v="Notificación de seguimiento  [  MA1605202202 ]_x000a__x000a_Estimado(a):                María Fernanda Trejo Vargas_x000a__x000a_ _x000a_ Le informamos que su ticket correspondiente a:_x000a__x000a__x000a_Solicito su amable apoyo para asignar en la Herramienta de comunicación, el certificado adjunto al presente SO que se precisa a continuación:_x000a__x000a_Clave  Sujeto obligado  Siglas hcom  Nombre del titular del sujeto obligado  Correo electrónico   Contraseña para hcom _x000a_60237  Sindicato Único de Trabajadores del Hospital General &quot;Dr. Manuel Gea González&quot;  SUT HGMGG  Félix Rafael Hernández Utrera  sindicatogea1822@gmail.com _x000a_hcom2022 _x000a__x000a_ _x000a_ _x000a_Aplicación:                  HCOM_x000a_Tipo de Soporte:         CAMBIO DE TUT     _x000a_" u="1"/>
        <s v="Actualización avisos de privacidad" u="1"/>
        <s v="Se aplica eliminación de formato de pago: 0064101422321" u="1"/>
        <s v="Notificación de seguimiento  [  MA2906202008 ]  _x000a_ _x000a_ _x000a_Estimado(a):                     César Alva_x000a_ _x000a_Le informamos que su ticket correspondiente a:_x000a_               _x000a_…registraron un recurso el 0219/2020 pero se equivocaron en el número de solicitud, ya que pusieron 00248420 y la correcta es 00288420_x000a_ _x000a_Aplicación:                  SIGEMI_x000a_Tipo de Soporte:         Corrección de datos   _x000a_Observaciones:            _x000a_ _x000a_Su petición fue atendida_x000a_ _x000a_" u="1"/>
        <s v="Derivado del nuevo aplicativo de recuperación, se preparan los insumos que enlistan los adjuntos faltantes de los estados de Baja California Sur (5,465), Guanajuato (767), Sonora (3,268) y Morelos (9,161), mismos que concluyen sin  recuperación de adjuntos." u="1"/>
        <s v="Notificación de seguimiento  [  MA1409202202 ]_x000a__x000a_Estimado(a):                Lizbeth Adriana Cabrera Ortega_x000a__x000a__x000a_ Le informamos que su ticket correspondiente a:_x000a__x000a__x000a_               _x000a_la generación UN EXPEDIENTE BIS del recurso de revisión posteriormente citado._x000a_ _x000a_Asimismo, te comento que NO DEBERÁ CAMBIAR el sujeto obligado, ni el Comisionado correspondiente. _x000a_ _x000a_ DICE                                        DEBE DECIR                         SUJETO OBLIGADO           PONENTE_x000a__x000a_RRA 13851/22_x000a__x0009_RRA 0115/18-BIS_x0009_FGR_x0009_FJAL_x000a_ _x000a_No omito comentarte que el número de expediente que deberá seguir en el consecutivo por turnar en PNT debe ser el RRA 13851/22_x000a__x000a_Aplicación:                  SIGEMI/SICOM_x000a_Tipo de Soporte:        CAMBIO A BIS " u="1"/>
        <s v="Se  testan los datos del folio:   0064101173821" u="1"/>
        <s v="Notificación de seguimiento  [  MA0308202202 ]_x000a__x000a__x000a_Estimado(a):               Leopoldo Alejandro Cruz Vásquez_x000a_ Le informamos que su ticket correspondiente a:_x000a__x000a_…renovación de los certificados de acceso a la herramienta de comunicación “HCOM”._x000a__x000a_Aplicación:                  HCOM_x000a_Tipo de Soporte:        GENERACIÓN DE CERTIFICADO Y RENOVACIÓN EN HCOM  ( 7 )_x000a__x000a__x000a_Observaciones:   Los certificados fueron generados con el nombre del actual titulador registrado en HCOM, se anexa certificados y la relación de certificados con el SO" u="1"/>
        <s v="Se Construccion json de pruebas y modelo para resultados busqueda presupuesto anual" u="1"/>
        <s v="Desarrollo e implementación de mejoras detectadas y derivadas de las capacitaciones que se dieron a los organismos garantes, se atienden mejoras de los modulos de administración, usuarios, unidad de trasnparencia, solicitante, soportes, reportes y usuarios monitor" u="1"/>
        <s v="_x000a_Notificación de seguimiento  [  MA1203202005 ]  _x000a_ _x000a_ _x000a_Estimado(a):                     Moisés Guzmán Arias_x000a_ _x000a_Le informamos que su ticket correspondiente a:_x000a_               _x000a_el retroceso de la Preparación del Proyecto de Resolución del recurso RR-09/2020 ya que por error se adjuntó un resolutivo distinto al que le corresponde._x000a__x000a_ _x000a_Aplicación:                  SIGEMI_x000a_Tipo de Soporte:         REGRESO DE PASOS  _x000a_Observaciones:            _x000a_ _x000a_Su petición fue atendida_x000a_" u="1"/>
        <s v="Analisis  de Unidad de Transparencia " u="1"/>
        <s v="_x000a_Notificación de seguimiento  [  MA2804202003 ]  _x000a_ _x000a_ _x000a_Estimado(a):                     Alondra Jiménez Hernández_x000a_ _x000a_Le informamos que su ticket correspondiente a:_x000a_               _x000a_Anexo el registro actualizado del certificado del nuevo Titular de la Unidad de Transparencia de API TUXPAN para que su acceso sea habilitado en la Herramienta de Comunicación. _x000a__x000a_ _x000a_Aplicación:                  HCOM_x000a_Tipo de Soporte:         CAMBIO DE TUT  _x000a_Observaciones:            _x000a_ _x000a_Su petición fue atendida_x000a_" u="1"/>
        <s v="Notificación de seguimiento  [  MA1602202201 ]_x000a__x000a_Estimado(a):                Alondra Jiménez Hernández_x000a__x000a_ _x000a_ Le informamos que su ticket correspondiente a:_x000a_               _x000a_Solicito la renovación del certificado en la Herramienta de Comunicación de la Administración del Sistema Portuario Nacional Tampico, S.A. de C.V._x000a__x000a__x000a__x000a_Aplicación:                  HCOM_x000a_Tipo de Soporte:         CAMBIO DE CERTIFICADO  _x000a_Observaciones:            _x000a_ _x000a_Su petición fue atendida_x000a_ _x000a_" u="1"/>
        <s v="Generar modulos de roles de usuarios" u="1"/>
        <s v="Implementación validaciones y mensajes de error a los formularios " u="1"/>
        <s v="Se generó certificado para usuario de dependencia Fideicomiso Irrevocable de Inversión y Garantía Ingenio Mante Pensionados número46645-0" u="1"/>
        <s v="Notificación de seguimiento  [  MA0704202115 ]  _x000a_ _x000a_ _x000a_Estimado(a):                     RAFAEL GONZALEZ_x000a_ _x000a_ _x000a_Le informamos que su ticket correspondiente a:_x000a_               _x000a_Lo anterior pues fue determinado que ingresaron en el último día para la presentación del recurso de revisión._x000a__x000a_FECHA DE INTERPOSICIÓN DICE: 24 DE MARZO_x000a_ _x000a_DEBE DECIR: 23 DE MARZO_x000a_ _x000a__x000a_ _x000a_Aplicación:                  SIGEMI_x000a_Tipo de Soporte:         ACTUALIZAR JSON   _x000a_" u="1"/>
        <s v="Avisos e insertando en base de datos " u="1"/>
        <s v="Se elmina la respuesta del folio:  0064100236021" u="1"/>
        <s v="Alta de usuario JLORENA" u="1"/>
        <s v="Se testan los datos  del folio: 0064101435921" u="1"/>
        <s v="Implementación y desarrollo de componente perfil de usuario en sidebar " u="1"/>
        <s v="Buenos días Berenice, tu petición fue atendida, favor de validar _x000a__x000a_Saludos _x000a__x000a_Marina Adame Velasco_x000a__x000a_Notificación de seguimiento  [  MA0708202007 ]  _x000a__x000a_Aplicación:                  INFOMEX OAXACA_x000a_Tipo de Soporte:         AJUSTE DE PLAZOS   _x000a_Estatus:                               Concluido._x000a__x000a_" u="1"/>
        <s v="Notificación de seguimiento [ MA2301202007 ] _x000a_  _x000a_  _x000a_ Estimado(a): Abraham Obed Gallardo González_x000a_  _x000a_ Le informamos que su ticket correspondiente a:_x000a_  _x000a_ Con motivo de la emisión del Dictamen de baja del sujeto obligado Lotería Nacional Para la Asistencia Pública con clave 06750, se solicita su apoyo a fin de que nos proporcionen el listado de solicitudes de información y recursos de revisión que tiene pendientes de atención al día de hoy dicho sujeto obligado en los Sistemas de la PNT, Infomex y Hcom._x000a_ _x000a_  _x000a_ Aplicación: SIGEMI / HCOM_x000a_ Tipo de Soporte: CONSULTA DE DATOS _x000a_ Observaciones: _x000a_  _x000a_ Su petición fue atendida, adjunto a este correo la información solicitada, le comento que en el caso de PNT se localizó el estatus que guarda el recurso y para los resultados de HCOM son los que tienen actividades pendientes_x000a_  _x000a_  _x000a_  Favor de validar._x000a_  _x000a_ Estatus: Concluido." u="1"/>
        <s v="Aplica el desechamiento de 14 solicitudes de manera manual, ya que el sistema presenta problemas para realizarlo." u="1"/>
        <s v="_x000a_Buenas tardes Francisco, tu petición fue atendida, favor de validar _x000a__x000a__x000a_nombre                                                              guiddepartamento_x000a_Fideicomiso Distrito Tec               20201005-1058-0000-2110-c47d9e5e5eb3_x000a__x000a_Saludos _x000a__x000a_Marina Adame Velasco_x000a__x000a_Notificación de seguimiento  [  MA0510202003 ]  _x000a__x000a_Aplicación:                  INFOMEX NUEVO LEÓN_x000a_Tipo de Soporte:         CONSULTA DE DATOS    _x000a_Estatus:                               Concluido._x000a__x000a__x000a_" u="1"/>
        <s v="Se aplica eliminación de formato de pago: 0063700177721" u="1"/>
        <s v="Notificación de seguimiento  [  MA1306202007 ]  _x000a_ _x000a_ _x000a_Estimado(a):                     Lizbeth Adriana Cabrera Ortega_x000a_ _x000a_Le informamos que su ticket correspondiente a:_x000a_               _x000a_ _x000a_Solicito de tu valioso apoyo a fin de que quede incorporado el acuerdo de TURNO adjunto al expediente electrónico del recurso de revisión RRA 6917/20._x000a_ _x000a_ _x000a_Aplicación:                  SIGEMI_x000a_Tipo de Soporte:         ACTUALIZAR ARCHIVO  _x000a_Observaciones:            _x000a_ _x000a_Su petición fue atendida_x000a_ _x000a_" u="1"/>
        <s v="Notificación de seguimiento  [  MA3006202003 ]  _x000a_ _x000a_ _x000a_Estimado(a):                      Rosalinda Coria Mosqueda_x000a_ _x000a_Le informamos que su ticket correspondiente a:_x000a_              _x000a__x000a_Agradeceré su apoyo para regresar a la actividad de admitir/prevenir el recurso RRA 06000/20, toda vez que se envió como admisión, debiendo ser una PREVENCIÓN._x000a_ _x000a_ _x000a_Aplicación:                  SIGEMI_x000a_Tipo de Soporte:         REGRESO DE PASOS  _x000a_Observaciones:            _x000a_ _x000a_Su petición fue atendida_x000a_ _x000a_" u="1"/>
        <s v="_x000a_Notificación de seguimiento  [  MA2311202009 ]  _x000a_  _x000a_Estimado(a):                     Edgar Michel Loaeza Martínez_x000a_ _x000a_Le informamos que su ticket correspondiente a:_x000a_               _x000a_requieren el cambio de contraseñas de todos sus sujetos obligados que se enlistan _x000a__x000a_Aplicación:                  HCOM_x000a_Tipo de Soporte:         CAMBIO DE CONTRASEÑAS ( 18 )    _x000a_Observaciones:            _x000a_ _x000a_Su petición fue atendida, la contraseña para todos es hcomsep2020_x000a_   _x000a_            Favor de validar._x000a_ _x000a_Estatus:                               Concluido._x000a_" u="1"/>
        <s v="Se aplica testado de datos al folio:  0064100224021" u="1"/>
        <s v="Instalación y configuración de plugins y diseño de la plataforma" u="1"/>
        <s v="Se  testan los datos del folio: 0064101357921" u="1"/>
        <s v="Notificación de seguimiento  [  MA1211202005 ]  _x000a_  _x000a_Estimado(a):                     Rosalinda Coria Mosqueda_x000a_  _x000a_Le informamos que su ticket correspondiente a:_x000a_               _x000a_Solicito su apoyo para dar paso atrás a la actividad en el recurso RRA 11705/20 y dejarlo en admitir/prevenir, toda vez que se trata de una PREVENCIÓN y se notificó como admisión._x000a_ _x000a_Aplicación:                  SIGEMI_x000a_Tipo de Soporte:         Regreso de pasos    _x000a_Observaciones:            _x000a_ _x000a_Su petición fue atendida_x000a_ _x000a_" u="1"/>
        <s v="Notificación de seguimiento  [  MA2411202001 ]  _x000a_ _x000a_ _x000a_Estimado(a):                     Laura Mónica Segovia_x000a_ _x000a_ _x000a_Le informamos que su ticket correspondiente a:_x000a_               _x000a_regresar el paso del RRA 5296/20 del cierre de instrucción derivado de que la ponencia del Comisionado Monterrey, realizó el cierre de instrucción y se returno a esta ponencia._x000a__x000a_ _x000a_Aplicación:                  SIGEMI_x000a_Tipo de Soporte:         CIERRE DE INSTRUCCIÓN   _x000a_Observaciones:            _x000a_ _x000a_Su petición fue atendida_x000a_ _x000a_" u="1"/>
        <s v="Realizar el cambio de un correo, y archivos de formulario de descarga, asi como habilitar la seccion de Lastest News" u="1"/>
        <s v="Notificación de seguimiento  [  MA1808202201 ]_x000a__x000a__x000a_Estimado(a):               Rosalinda Coria Mosqueda_x000a__x000a_ Le informamos que su ticket correspondiente a:_x000a_…para cancelar la actividad del cierre del RRA 8212/22, toda vez que no será enviado a votación en Pleno del 17 de agosto, como se había solicitado._x000a__x000a_Aplicación:                  HCOM_x000a_Tipo de Soporte:        ELIMINAR CIERRE DE INSTRUCCIÓN_x000a_" u="1"/>
        <s v="Se cambia el tipo de solicitud del folio: 0933800013721" u="1"/>
        <s v="Notificación de seguimiento  [  MA0904202109 ]  _x000a_ _x000a_ _x000a_Estimado(a):                     Yenifer Sthephanie Martínez Rivera_x000a_ _x000a_ _x000a_Le informamos que su ticket correspondiente a:_x000a_               _x000a_Solicito tu amable intervención para que el expediente electrónico RRD 00966/20 SEPOMEX en la Plataforma Nacional de Transparencia para que se regrese el paso “Evaluación de Cumplimiento”, con la finalidad de estar en posibilidad de evaluar el cumplimiento. _x000a_ _x000a_Aplicación:                  SIGEMI_x000a_Tipo de Soporte:         REGRESO DE PASOS    _x000a_" u="1"/>
        <s v="Desarrollo de la funcionalidad administración de pagos optimizando  por sectores los sujetos obligados" u="1"/>
        <s v="Se comenzó con la mquetación de el fomruario de búsqueda para implementar en el sitio de observatorio" u="1"/>
        <s v="descargar el aplicativo y montarlo en local" u="1"/>
        <s v="Administración DPDP" u="1"/>
        <s v="Crear las validaciones para la modificación de usuarios" u="1"/>
        <s v="Validación de información disponible dentro de la PNT" u="1"/>
        <s v="Se testan los datos  del folio: 0064101362921" u="1"/>
        <s v="_x000a_Notificación de seguimiento  [  MA0610202008 ]  _x000a_ _x000a_ _x000a_Estimado(a):                     Julio Chincoya Zambrano_x000a_ _x000a_Le informamos que su ticket correspondiente a:_x000a_               _x000a_Buen día, Rafa espero me pudieras ayudara con el regreso del paso, ya que me aparece dos veces como si se hubiera desahogado la prevención cuando en realidad no sucedió de esa forma y debiera aparecer desechar por no desahogo._x000a__x000a_ _x000a_Aplicación:                  SIGEMI_x000a_Tipo de Soporte:         REGRESO DE PASOS  _x000a_Observaciones:            _x000a_ _x000a_Su petición fue atendida_x000a_" u="1"/>
        <s v="Se aplica eliminación de última respuesta de la solicitud: 0064102881220" u="1"/>
        <s v="Generación de reportes" u="1"/>
        <s v="Notificación de seguimiento  [  MA0503202009 ]  _x000a_ _x000a_ _x000a_Estimado(a):                     Edgar Michel Loaeza Martínez_x000a_ _x000a_Le informamos que su ticket correspondiente a:_x000a_               _x000a_Por medio del presente solicito su valioso apoyo a efecto de realizar la renovación del certificado de Titular de la Unidad de Transparencia del “Fideicomiso del Sistema de Protección Social en Salud.”_x000a__x000a_ _x000a_Aplicación:                  SIGEMI_x000a_Tipo de Soporte:         ACTUALIZACIÓN DE CERTIFICADO   _x000a_Observaciones:            _x000a_ _x000a_Su petición fue atendida_x000a_ _x000a_" u="1"/>
        <s v="Notificación de seguimiento  [  MA1308202003 ]  _x000a_ _x000a_ _x000a_Estimado(a):                     Ariadna Piñera Camacho_x000a_ _x000a_Le informamos que su ticket correspondiente a:_x000a_               _x000a_Por medio del presente me permito solicitar su amable apoyo, a efecto de regresar un paso en la PNT. Lo anterior, respecto del RRD 00987 del cual se solicita se regrese el paso, para que dicho recurso pueda ser admitido._x000a__x000a_ _x000a_Aplicación:                  SIGEMI_x000a_Tipo de Soporte:         REGRESO DE PASOS  _x000a_Observaciones:            _x000a_ _x000a_Su petición fue atendida_x000a_ _x000a_" u="1"/>
        <s v="Se cambia el tipo de solicitud del folio: 0933800013921" u="1"/>
        <s v="Notificación de seguimiento  [  MA0802202111 ]  _x000a_ _x000a_ _x000a_Estimado(a):                     Alejandra Tejeda_x000a_ _x000a_ _x000a_Le informamos que su ticket correspondiente a:_x000a_               _x000a_solicito de la manera más atenta su apoyo para la rectificación de suspensión de plazos de un Sujeto obligado, específicamente Congreso del Estado de Baja California, dicho cambio modificaría las fechas de vencimiento de las solicitudes_x000a_ _x000a_Aplicación:                  INFOMEX BCN_x000a_Tipo de Soporte:         AJUSTE DE PLAZOS   _x000a_Observaciones:            _x000a_ _x000a_Su petición fue atendida, se ajustaron los plazos de las solicitudes que faltaban_x000a_ _x000a_  _x000a_            Favor de validar._x000a_" u="1"/>
        <s v="Se ajusto la fecha para solicitud del IMSS" u="1"/>
        <s v="Notificación de seguimiento  [  MA0702202008 ]  _x000a_ _x000a_ _x000a_Estimado(a):                     Tiara Gethsemanni Miranda Fuentes_x000a_ _x000a_Le informamos que su ticket correspondiente a:_x000a_               _x000a_Al momento de dar trámite a los Recurso de Revisión que se enlistan a continuación, en el sistema SIGEMI-SICOM en la PNT, este me aparece activo varias veces, se encuentra repetido el siguiente paso “Registrar información de la sesión del pleno, por lo que solicito de la manera más atenta, eliminar uno de estos pasos y dejar solo una vez los siguientes pasos “Registrar información de la sesión del pleno” y dejar el paso de “Notificar por otro Medio”. Sin más por el momento, quedo en espera de tus comentarios._x000a_ _x000a_RRA 14071/19_x000a_RRA 15625/19_x000a_RRA 13951/19_x000a_RRA 16177/19_x000a__x000a_ _x000a_Aplicación:                  SIGEMI_x000a_Tipo de Soporte:         Eliminar duplicados   _x000a_" u="1"/>
        <s v="Instalación limpia campus organismos con nueva BD" u="1"/>
        <s v="Implementación de alta de sentidos de resolución." u="1"/>
        <s v="Notificación de seguimiento  [  MA1407202001 ]  _x000a__x000a_Estimado(a):                     Rosa María Rivas_x000a_ _x000a_Le informamos que su ticket correspondiente a:_x000a_               _x000a_Les hago llegar la siguiente incidencia que había sido atendida por ustedes en esta semana, sin embargo el sujeto obligado Agencia Mexicana de Cooperación Internacional para el Desarrollo (AMEXCID) señala que no están siendo correctos los plazos que se le están manejan a sus dos RRA que nos indicó, ya que es un sujeto obligado no esencial._x000a_ _x000a_ _x000a_Aplicación:                  SIGEMI_x000a_Tipo de Soporte:         Revisión de fechas _x000a_" u="1"/>
        <s v="Buenas tardes Francisco, anexo script con la fecha de nacimiento, ya que tal cual no existe el dato de edad, favor de validar _x000a__x000a_Saludos _x000a__x000a_Marina Adame Velasco_x000a__x000a_Notificación de seguimiento  [  MA1509202006 ]  _x000a__x000a_Aplicación:                  INFOMEX NUEVO LEÓN_x000a_Tipo de Soporte:         SCRIPT   _x000a_Estatus:                               Concluido._x000a_" u="1"/>
        <s v="Actualización slider del home" u="1"/>
        <s v="                            _x000a_Notificación de seguimiento  [  MA1012202001 ]  _x000a_ _x000a_Estimado(a):                     Brayan Román Martínez Lara_x000a_ _x000a_Le informamos que su ticket correspondiente a:_x000a_               _x000a_Por medio del presente, solicito de la forma más atenta que, respecto del RRA 13334/20 sea regresado al paso “Admitir/Prevenir/Desechar” toda vez que se cargó en el SIGEMI de manera incorrecta._x000a_ _x000a_En razón de ello es que se requiere que se regrese el paso, a efecto de una pronta notificación con el archivo correcto._x000a_ _x000a_Aplicación:                  IMPUGNACIONES_x000a_Tipo de Soporte:         REGRESO DE PASOS    _x000a_Observaciones:            _x000a_ _x000a_Su petición fue atendida_x000a_ _x000a_" u="1"/>
        <s v="Notificación de seguimiento  [  MA0712202004 ]  _x000a_ _x000a_ _x000a_Estimado(a):                     Francisco Javier Lira Pérez_x000a_ _x000a_ _x000a_Le informamos que su ticket correspondiente a:_x000a_               _x000a_nos pueden apoyar para cambiar el campo “folio de la solicitud” de “01305420” a “INEXISTENTE”, puesto que se equivocaron al ingresarle ese numero de folio. Aplicar a el número de expediente “RR/1077/2020” el cambio solicitado. _x000a__x000a_Aplicación:                  SIGEMI_x000a_Tipo de Soporte:         CAMBIO FOLIO SOLICITUD   _x000a_Observaciones:            _x000a_ _x000a_Su petición fue atendida_x000a_ _x000a_" u="1"/>
        <s v="Notificación de seguimiento  [  MA1902202005 ]  _x000a_ _x000a_ _x000a_Estimado(a):                     Luis Javier Mendoza Rueda_x000a_ _x000a_Le informamos que su ticket correspondiente a:_x000a_               _x000a_Solicito su apoyo para realizar el cambio de sujeto obligado en el INFOCDMX/RR.IP.0134/2020, sin número de solicitud (INEXISTENTE):_x000a__x000a__x000a_Dice: Procuraduría General de Justicia_x000a__x000a_Debe decir: SECRETARÍA DE ADMINISTRACIÓN Y FINANZAS._x000a__x000a_ _x000a_Aplicación:                  SIGEMI_x000a_Tipo de Soporte:         Cambio de Sujeto Obligado   _x000a_Observaciones:            _x000a_ _x000a_Su petición fue atendida_x000a_ _x000a_" u="1"/>
        <s v="Se recupera contraseña del usuario: Marco Antonio Pereyra Rodríguez." u="1"/>
        <s v="Notificación de seguimiento  [  MA2501202111 ]  _x000a_ _x000a_ _x000a_Estimado(a):                     Pedro Esquivel Martínez_x000a_ _x000a_ _x000a_Le informamos que su ticket correspondiente a:_x000a_               _x000a_por este medio Anexo el registro actualizado del certificado del Titular de la Unidad de Enlace del  “Instituto de Seguridad Social para las Fuerzas Armadas Mexicanas” Lo Anterior a fin de que sus accesos sean habilitados en los otros sistemas que administra este Instituto (HCOM).  CAMBIO DE  CERTIFICADO, en cuanto se reciba la atención en HCOM se realizará la actualización de los demás sistemas correspondientes._x000a_ _x000a_Aplicación:                  HCOM_x000a_Tipo de Soporte:         CAMBIO DE CERTIFICADO _x000a_" u="1"/>
        <s v="Desarrllo de los servicios para la consulta y modificación de unidades de enlace y administrativas" u="1"/>
        <s v="Notificación de seguimiento [ MA2201202012 ] _x000a_  _x000a_  _x000a_ Estimado(a): Rosalinda Coria Mosqueda_x000a_  _x000a_ Le informamos que su ticket correspondiente a:_x000a_  _x000a_ dar paso atrás en el recurso RRA 00549/20, y dejar en el paso de admitir/prevenir/desechar, toda vez que por omisión se adjuntó un archivo que no corresponde._x000a_  _x000a_ Aplicación: SIGEMI_x000a_ Tipo de Soporte: REGRESO DE PASOS _x000a_ Observaciones: _x000a_  _x000a_ Su petición fue atendida" u="1"/>
        <s v="Se  testan los datos del folio: 0064101440421" u="1"/>
        <s v="Notificación de seguimiento  [  MA2802202006 ]  _x000a_ _x000a_ _x000a_Estimado(a):                     Moisés Guzmán Arias_x000a_ _x000a_Le informamos que su ticket correspondiente a:_x000a_               _x000a_Antes que nada, buenos días, les escribo ya que necesito pedirles que por favor se retroceda el paso (Des haga el paso) de envío de resolución al pleno (última actividad de la ponencia) del recurso RR-963/2019 ya que por error  se adjuntó un archivo incorrecto._x000a__x000a__x000a_ _x000a_Aplicación:                  SIGEMI_x000a_Tipo de Soporte:         REGRESO DE PASOS  _x000a_Observaciones:            _x000a_ _x000a_Su petición fue atendida, se realizó el regreso a Preparación del Proyecto de Resolución_x000a_ _x000a_" u="1"/>
        <s v="respalda la base de datos de comisiones (Postgresql)" u="1"/>
        <s v="Estimado Francisco, anexo el script modificado_x000a__x000a_Saludos_x000a__x000a_MARINA_x000a_" u="1"/>
        <s v="Notificación de seguimiento  [  MA1711202007 ]  _x000a_ _x000a_ _x000a_Estimado(a):                     Alma Lizbeth Peguero Rivera_x000a_  _x000a_Le informamos que su ticket correspondiente a:_x000a_               _x000a_eliminación del recurso RRA 03361/20 del pleno 03-11-2020, ya que se encuentra doble en la PNT para poder trabajar en mi paso_x000a_ _x000a_Aplicación:                  SIGEMI_x000a_Tipo de Soporte:         CANCELAR PASO DUPLICADO   _x000a_Observaciones:            _x000a_ _x000a_Su petición fue atendida_x000a_ _x000a_  _x000a_" u="1"/>
        <s v="Se aplica eliminación de última respuesta de la solicitud: 2210300091420 y  2210300001721 " u="1"/>
        <s v="Se  testan los datos del folio:   0064101373721" u="1"/>
        <s v="Se sustituye archivo adjunto del folio: 1507500008420." u="1"/>
        <s v="Notificación de seguimiento  [  MA0804202103 ]  _x000a_ _x000a_ _x000a_Estimado(a):                     Alondra Jiménez Hernández_x000a_ _x000a_ _x000a_Le informamos que su ticket correspondiente a:_x000a_               _x000a_Anexo el registro actualizado del certificado del nuevo Titular de la Unidad de Transparencia del Administración Portuaria Integral de Veracruz, S.A. de C.V. para que su acceso sea habilitado en la Herramienta de Comunicación. _x000a_ _x000a_Aplicación:                  HCOM_x000a_Tipo de Soporte:         CAMBIO TUT   _x000a_" u="1"/>
        <s v="Desarrollo de los web services  de los componente en SISAI 2.0 para la implementación de servicios " u="1"/>
        <s v="Buenas tardes Guillermo, te comento que se realizó la asignación de las solicitudes con folio 01034120 y 01045720, al Ayuntamiento de Tijuana, favor de validar_x000a_ _x000a_Saludos_x000a_ _x000a_Marina Adame Velasco_x000a_ _x000a_Notificación de seguimiento  [  MA2910202004 ]  _x000a_ _x000a_Aplicación:                  INFOMEX BCN_x000a_Tipo de Soporte:         Corrección de Sujeto Obligado  _x000a_Estatus:                               Concluido." u="1"/>
        <s v="Se testan los datos  del folio: 0064101353921" u="1"/>
        <s v="Notificación de seguimiento  [  MA0403202002 ]  _x000a_ _x000a_ _x000a_Estimado(a):                     Tiara Gethsemanni Miranda Fuentes_x000a_ _x000a_Le informamos que su ticket correspondiente a:_x000a_               _x000a_Al momento de dar trámite a al Recurso de Revisión que se enlista a continuación, en el sistema SIGEMI-SICOM en la PNT, este me aparece activo varias veces, se encuentra repetido el siguiente paso “Registrar información de la sesión del pleno, por lo que solicito de la manera más atenta, eliminar uno de estos pasos y dejar solo una vez los siguientes pasos “Registrar información de la sesión del pleno” y dejar el paso de “Notificar por otro Medio”. Sin más por el momento, quedo en espera de tus comentarios._x000a__x000a_ _x000a_Aplicación:                  SIGEMI_x000a_Tipo de Soporte:         CORRECCION DE INCIDENCIA  _x000a_Observaciones:            _x000a_ _x000a_Su petición fue atendida_x000a_ _x000a__x000a_" u="1"/>
      </sharedItems>
    </cacheField>
    <cacheField name="Fecha Inicio (dd/mm/aaaa)" numFmtId="0">
      <sharedItems containsNonDate="0" containsDate="1" containsString="0" containsBlank="1" minDate="2018-12-31T00:00:00" maxDate="2023-12-30T00:00:00" count="506">
        <d v="2023-01-02T00:00:00"/>
        <d v="2023-01-03T00:00:00"/>
        <d v="2023-01-04T00:00:00"/>
        <d v="2023-01-05T00:00:00"/>
        <d v="2023-01-06T00:00:00"/>
        <d v="2023-01-09T00:00:00"/>
        <d v="2023-01-10T00:00:00"/>
        <d v="2023-01-11T00:00:00"/>
        <d v="2023-01-12T00:00:00"/>
        <d v="2023-01-13T00:00:00"/>
        <d v="2023-01-16T00:00:00"/>
        <d v="2023-01-17T00:00:00"/>
        <d v="2023-01-18T00:00:00"/>
        <d v="2023-01-19T00:00:00"/>
        <d v="2023-01-20T00:00:00"/>
        <d v="2023-01-23T00:00:00"/>
        <d v="2023-01-24T00:00:00"/>
        <d v="2023-01-25T00:00:00"/>
        <d v="2023-01-26T00:00:00"/>
        <d v="2023-01-27T00:00:00"/>
        <d v="2023-01-30T00:00:00"/>
        <d v="2023-01-31T00:00:00"/>
        <d v="2023-02-01T00:00:00"/>
        <d v="2023-02-02T00:00:00"/>
        <d v="2023-02-03T00:00:00"/>
        <d v="2023-02-07T00:00:00"/>
        <d v="2023-02-08T00:00:00"/>
        <d v="2023-02-09T00:00:00"/>
        <d v="2023-02-10T00:00:00"/>
        <d v="2023-02-13T00:00:00"/>
        <d v="2023-02-14T00:00:00"/>
        <d v="2023-02-15T00:00:00"/>
        <d v="2023-02-16T00:00:00"/>
        <d v="2023-02-17T00:00:00"/>
        <d v="2023-02-20T00:00:00"/>
        <d v="2023-02-21T00:00:00"/>
        <d v="2023-02-22T00:00:00"/>
        <d v="2023-02-23T00:00:00"/>
        <d v="2023-02-24T00:00:00"/>
        <d v="2023-02-28T00:00:00"/>
        <d v="2023-02-27T00:00:00"/>
        <d v="2023-02-04T00:00:00"/>
        <d v="2023-02-05T00:00:00"/>
        <d v="2023-02-06T00:00:00"/>
        <d v="2023-03-01T00:00:00"/>
        <d v="2023-03-02T00:00:00"/>
        <d v="2023-03-03T00:00:00"/>
        <d v="2023-03-06T00:00:00"/>
        <d v="2023-03-07T00:00:00"/>
        <d v="2023-03-08T00:00:00"/>
        <d v="2023-03-09T00:00:00"/>
        <d v="2023-03-10T00:00:00"/>
        <d v="2023-03-13T00:00:00"/>
        <d v="2023-03-14T00:00:00"/>
        <d v="2023-03-15T00:00:00"/>
        <d v="2023-03-16T00:00:00"/>
        <d v="2023-03-17T00:00:00"/>
        <d v="2023-03-21T00:00:00"/>
        <d v="2023-03-22T00:00:00"/>
        <d v="2023-03-23T00:00:00"/>
        <d v="2023-03-24T00:00:00"/>
        <d v="2023-03-27T00:00:00"/>
        <d v="2023-03-28T00:00:00"/>
        <d v="2023-03-29T00:00:00"/>
        <d v="2023-03-30T00:00:00"/>
        <d v="2023-03-31T00:00:00"/>
        <d v="2023-04-10T00:00:00"/>
        <d v="2023-04-11T00:00:00"/>
        <d v="2023-04-12T00:00:00"/>
        <d v="2023-04-13T00:00:00"/>
        <d v="2023-04-14T00:00:00"/>
        <d v="2023-04-17T00:00:00"/>
        <d v="2023-04-18T00:00:00"/>
        <d v="2023-04-19T00:00:00"/>
        <d v="2023-04-20T00:00:00"/>
        <d v="2023-04-21T00:00:00"/>
        <d v="2023-04-24T00:00:00"/>
        <d v="2023-04-25T00:00:00"/>
        <d v="2023-04-26T00:00:00"/>
        <d v="2023-04-27T00:00:00"/>
        <d v="2023-04-28T00:00:00"/>
        <d v="2023-04-03T00:00:00"/>
        <d v="2023-04-04T00:00:00"/>
        <d v="2023-04-05T00:00:00"/>
        <d v="2023-04-06T00:00:00"/>
        <d v="2023-04-07T00:00:00"/>
        <d v="2023-05-02T00:00:00"/>
        <d v="2023-05-03T00:00:00"/>
        <d v="2023-05-04T00:00:00"/>
        <d v="2023-05-08T00:00:00"/>
        <d v="2023-05-09T00:00:00"/>
        <d v="2023-05-10T00:00:00"/>
        <d v="2023-05-11T00:00:00"/>
        <d v="2023-05-12T00:00:00"/>
        <d v="2023-05-15T00:00:00"/>
        <d v="2023-05-16T00:00:00"/>
        <d v="2023-05-17T00:00:00"/>
        <d v="2023-05-18T00:00:00"/>
        <d v="2023-05-19T00:00:00"/>
        <d v="2023-05-22T00:00:00"/>
        <d v="2023-05-23T00:00:00"/>
        <d v="2023-05-24T00:00:00"/>
        <d v="2023-05-25T00:00:00"/>
        <d v="2023-05-26T00:00:00"/>
        <d v="2023-05-29T00:00:00"/>
        <d v="2023-05-30T00:00:00"/>
        <d v="2023-05-31T00:00:00"/>
        <d v="2023-06-01T00:00:00"/>
        <d v="2023-06-02T00:00:00"/>
        <d v="2023-06-05T00:00:00"/>
        <d v="2023-06-06T00:00:00"/>
        <d v="2023-06-07T00:00:00"/>
        <d v="2023-06-08T00:00:00"/>
        <d v="2023-06-09T00:00:00"/>
        <d v="2023-06-12T00:00:00"/>
        <d v="2023-06-13T00:00:00"/>
        <d v="2023-06-14T00:00:00"/>
        <d v="2023-06-15T00:00:00"/>
        <d v="2023-06-16T00:00:00"/>
        <d v="2023-06-19T00:00:00"/>
        <d v="2023-06-20T00:00:00"/>
        <d v="2023-06-21T00:00:00"/>
        <d v="2023-06-22T00:00:00"/>
        <d v="2023-06-23T00:00:00"/>
        <d v="2023-06-26T00:00:00"/>
        <d v="2023-06-27T00:00:00"/>
        <d v="2023-06-28T00:00:00"/>
        <d v="2023-06-29T00:00:00"/>
        <d v="2023-06-30T00:00:00"/>
        <d v="2023-06-24T00:00:00"/>
        <d v="2023-07-03T00:00:00"/>
        <d v="2023-07-04T00:00:00"/>
        <d v="2023-07-05T00:00:00"/>
        <d v="2023-07-06T00:00:00"/>
        <d v="2023-07-07T00:00:00"/>
        <d v="2023-07-10T00:00:00"/>
        <d v="2023-07-11T00:00:00"/>
        <d v="2023-07-12T00:00:00"/>
        <d v="2023-07-13T00:00:00"/>
        <d v="2023-07-14T00:00:00"/>
        <d v="2023-07-17T00:00:00"/>
        <d v="2023-07-18T00:00:00"/>
        <d v="2023-07-19T00:00:00"/>
        <d v="2023-07-20T00:00:00"/>
        <d v="2023-07-21T00:00:00"/>
        <d v="2023-07-24T00:00:00"/>
        <d v="2023-07-25T00:00:00"/>
        <d v="2023-07-26T00:00:00"/>
        <d v="2023-07-27T00:00:00"/>
        <d v="2023-07-28T00:00:00"/>
        <d v="2023-07-31T00:00:00"/>
        <d v="2023-07-29T00:00:00"/>
        <d v="2023-07-30T00:00:00"/>
        <d v="2023-07-15T00:00:00"/>
        <d v="2023-08-01T00:00:00"/>
        <d v="2023-08-02T00:00:00"/>
        <d v="2023-08-03T00:00:00"/>
        <d v="2023-08-04T00:00:00"/>
        <d v="2023-08-07T00:00:00"/>
        <d v="2023-08-08T00:00:00"/>
        <d v="2023-08-09T00:00:00"/>
        <d v="2023-08-10T00:00:00"/>
        <d v="2023-08-11T00:00:00"/>
        <d v="2023-08-14T00:00:00"/>
        <d v="2023-08-15T00:00:00"/>
        <d v="2023-08-16T00:00:00"/>
        <d v="2023-08-17T00:00:00"/>
        <d v="2023-08-18T00:00:00"/>
        <d v="2023-08-21T00:00:00"/>
        <d v="2023-08-22T00:00:00"/>
        <d v="2023-08-23T00:00:00"/>
        <d v="2023-08-24T00:00:00"/>
        <d v="2023-08-25T00:00:00"/>
        <d v="2023-08-28T00:00:00"/>
        <d v="2023-08-29T00:00:00"/>
        <d v="2023-08-30T00:00:00"/>
        <d v="2023-08-31T00:00:00"/>
        <d v="2023-08-05T00:00:00"/>
        <d v="2023-09-01T00:00:00"/>
        <d v="2023-09-04T00:00:00"/>
        <d v="2023-09-05T00:00:00"/>
        <d v="2023-09-06T00:00:00"/>
        <d v="2023-09-07T00:00:00"/>
        <d v="2023-09-08T00:00:00"/>
        <d v="2023-09-11T00:00:00"/>
        <d v="2023-09-12T00:00:00"/>
        <d v="2023-09-13T00:00:00"/>
        <d v="2023-09-14T00:00:00"/>
        <d v="2023-09-15T00:00:00"/>
        <d v="2023-09-18T00:00:00"/>
        <d v="2023-09-19T00:00:00"/>
        <d v="2023-09-20T00:00:00"/>
        <d v="2023-09-21T00:00:00"/>
        <d v="2023-09-22T00:00:00"/>
        <d v="2023-09-25T00:00:00"/>
        <d v="2023-09-26T00:00:00"/>
        <d v="2023-09-27T00:00:00"/>
        <d v="2023-09-28T00:00:00"/>
        <d v="2023-09-29T00:00:00"/>
        <d v="2023-10-02T00:00:00"/>
        <d v="2023-10-03T00:00:00"/>
        <d v="2023-10-04T00:00:00"/>
        <d v="2023-10-05T00:00:00"/>
        <d v="2023-10-06T00:00:00"/>
        <d v="2023-10-09T00:00:00"/>
        <d v="2023-10-10T00:00:00"/>
        <d v="2023-10-11T00:00:00"/>
        <d v="2023-10-12T00:00:00"/>
        <d v="2023-10-13T00:00:00"/>
        <d v="2023-10-16T00:00:00"/>
        <d v="2023-10-17T00:00:00"/>
        <d v="2023-10-18T00:00:00"/>
        <d v="2023-10-19T00:00:00"/>
        <d v="2023-10-20T00:00:00"/>
        <d v="2023-10-23T00:00:00"/>
        <d v="2023-10-24T00:00:00"/>
        <d v="2023-10-25T00:00:00"/>
        <d v="2023-10-26T00:00:00"/>
        <d v="2023-10-27T00:00:00"/>
        <d v="2023-10-30T00:00:00"/>
        <d v="2023-10-31T00:00:00"/>
        <d v="2023-11-01T00:00:00"/>
        <d v="2023-11-03T00:00:00"/>
        <d v="2023-11-06T00:00:00"/>
        <d v="2023-11-07T00:00:00"/>
        <d v="2023-11-08T00:00:00"/>
        <d v="2023-11-09T00:00:00"/>
        <d v="2023-11-10T00:00:00"/>
        <d v="2023-11-13T00:00:00"/>
        <d v="2023-11-14T00:00:00"/>
        <d v="2023-11-15T00:00:00"/>
        <d v="2023-11-16T00:00:00"/>
        <d v="2023-11-17T00:00:00"/>
        <d v="2023-11-21T00:00:00"/>
        <d v="2023-11-22T00:00:00"/>
        <d v="2023-11-23T00:00:00"/>
        <d v="2023-11-24T00:00:00"/>
        <d v="2023-11-27T00:00:00"/>
        <d v="2023-11-28T00:00:00"/>
        <d v="2023-11-29T00:00:00"/>
        <d v="2023-11-30T00:00:00"/>
        <d v="2023-11-02T00:00:00"/>
        <d v="2023-12-01T00:00:00"/>
        <d v="2023-12-04T00:00:00"/>
        <d v="2023-12-05T00:00:00"/>
        <d v="2023-12-06T00:00:00"/>
        <d v="2023-12-07T00:00:00"/>
        <d v="2023-12-08T00:00:00"/>
        <d v="2023-12-11T00:00:00"/>
        <d v="2023-12-12T00:00:00"/>
        <d v="2023-12-13T00:00:00"/>
        <d v="2023-12-14T00:00:00"/>
        <d v="2023-12-15T00:00:00"/>
        <d v="2023-12-18T00:00:00"/>
        <d v="2023-12-19T00:00:00"/>
        <d v="2023-12-20T00:00:00"/>
        <d v="2023-12-21T00:00:00"/>
        <d v="2023-12-22T00:00:00"/>
        <d v="2023-12-26T00:00:00"/>
        <d v="2023-12-27T00:00:00"/>
        <d v="2023-12-28T00:00:00"/>
        <d v="2023-12-29T00:00:00"/>
        <d v="2023-12-09T00:00:00"/>
        <d v="2023-12-10T00:00:00"/>
        <m/>
        <d v="2022-09-29T00:00:00" u="1"/>
        <d v="2022-10-25T00:00:00" u="1"/>
        <d v="2022-11-21T00:00:00" u="1"/>
        <d v="2022-10-27T00:00:00" u="1"/>
        <d v="2022-11-23T00:00:00" u="1"/>
        <d v="2023-10-29T00:00:00" u="1"/>
        <d v="2022-11-25T00:00:00" u="1"/>
        <d v="2022-10-31T00:00:00" u="1"/>
        <d v="2022-11-29T00:00:00" u="1"/>
        <d v="2022-02-02T00:00:00" u="1"/>
        <d v="2022-02-04T00:00:00" u="1"/>
        <d v="2022-01-10T00:00:00" u="1"/>
        <d v="2022-03-02T00:00:00" u="1"/>
        <d v="2018-12-31T00:00:00" u="1"/>
        <d v="2022-01-12T00:00:00" u="1"/>
        <d v="2022-02-08T00:00:00" u="1"/>
        <d v="2022-03-04T00:00:00" u="1"/>
        <d v="2022-01-14T00:00:00" u="1"/>
        <d v="2022-02-10T00:00:00" u="1"/>
        <d v="2022-03-08T00:00:00" u="1"/>
        <d v="2022-04-04T00:00:00" u="1"/>
        <d v="2022-01-18T00:00:00" u="1"/>
        <d v="2022-02-14T00:00:00" u="1"/>
        <d v="2022-03-10T00:00:00" u="1"/>
        <d v="2022-04-06T00:00:00" u="1"/>
        <d v="2022-05-02T00:00:00" u="1"/>
        <d v="2022-01-20T00:00:00" u="1"/>
        <d v="2022-02-16T00:00:00" u="1"/>
        <d v="2022-04-08T00:00:00" u="1"/>
        <d v="2022-05-04T00:00:00" u="1"/>
        <d v="2022-02-18T00:00:00" u="1"/>
        <d v="2022-03-14T00:00:00" u="1"/>
        <d v="2022-05-06T00:00:00" u="1"/>
        <d v="2022-06-02T00:00:00" u="1"/>
        <d v="2022-01-24T00:00:00" u="1"/>
        <d v="2022-03-16T00:00:00" u="1"/>
        <d v="2022-04-12T00:00:00" u="1"/>
        <d v="2022-01-26T00:00:00" u="1"/>
        <d v="2022-02-22T00:00:00" u="1"/>
        <d v="2022-03-18T00:00:00" u="1"/>
        <d v="2022-05-10T00:00:00" u="1"/>
        <d v="2022-06-06T00:00:00" u="1"/>
        <d v="2022-01-28T00:00:00" u="1"/>
        <d v="2022-02-24T00:00:00" u="1"/>
        <d v="2022-05-12T00:00:00" u="1"/>
        <d v="2022-06-08T00:00:00" u="1"/>
        <d v="2022-07-04T00:00:00" u="1"/>
        <d v="2022-03-22T00:00:00" u="1"/>
        <d v="2022-04-18T00:00:00" u="1"/>
        <d v="2022-06-10T00:00:00" u="1"/>
        <d v="2022-07-06T00:00:00" u="1"/>
        <d v="2022-08-02T00:00:00" u="1"/>
        <d v="2022-02-28T00:00:00" u="1"/>
        <d v="2022-03-24T00:00:00" u="1"/>
        <d v="2022-04-20T00:00:00" u="1"/>
        <d v="2022-05-16T00:00:00" u="1"/>
        <d v="2022-07-08T00:00:00" u="1"/>
        <d v="2022-08-04T00:00:00" u="1"/>
        <d v="2022-04-22T00:00:00" u="1"/>
        <d v="2023-04-22T00:00:00" u="1"/>
        <d v="2022-05-18T00:00:00" u="1"/>
        <d v="2022-06-14T00:00:00" u="1"/>
        <d v="2022-09-02T00:00:00" u="1"/>
        <d v="2022-03-28T00:00:00" u="1"/>
        <d v="2022-05-20T00:00:00" u="1"/>
        <d v="2022-06-16T00:00:00" u="1"/>
        <d v="2022-07-12T00:00:00" u="1"/>
        <d v="2022-08-08T00:00:00" u="1"/>
        <d v="2022-03-30T00:00:00" u="1"/>
        <d v="2022-04-26T00:00:00" u="1"/>
        <d v="2022-07-14T00:00:00" u="1"/>
        <d v="2022-08-10T00:00:00" u="1"/>
        <d v="2022-09-06T00:00:00" u="1"/>
        <d v="2022-04-28T00:00:00" u="1"/>
        <d v="2022-05-24T00:00:00" u="1"/>
        <d v="2022-06-20T00:00:00" u="1"/>
        <d v="2022-08-12T00:00:00" u="1"/>
        <d v="2022-09-08T00:00:00" u="1"/>
        <d v="2022-10-04T00:00:00" u="1"/>
        <d v="2022-05-26T00:00:00" u="1"/>
        <d v="2022-06-22T00:00:00" u="1"/>
        <d v="2022-07-18T00:00:00" u="1"/>
        <d v="2022-10-06T00:00:00" u="1"/>
        <d v="2022-11-02T00:00:00" u="1"/>
        <d v="2022-06-24T00:00:00" u="1"/>
        <d v="2022-07-20T00:00:00" u="1"/>
        <d v="2022-08-16T00:00:00" u="1"/>
        <d v="2022-09-12T00:00:00" u="1"/>
        <d v="2022-11-04T00:00:00" u="1"/>
        <d v="2022-05-30T00:00:00" u="1"/>
        <d v="2022-07-22T00:00:00" u="1"/>
        <d v="2022-08-18T00:00:00" u="1"/>
        <d v="2022-09-14T00:00:00" u="1"/>
        <d v="2022-10-10T00:00:00" u="1"/>
        <d v="2022-06-28T00:00:00" u="1"/>
        <d v="2022-10-12T00:00:00" u="1"/>
        <d v="2022-11-08T00:00:00" u="1"/>
        <d v="2022-06-30T00:00:00" u="1"/>
        <d v="2022-07-26T00:00:00" u="1"/>
        <d v="2022-08-22T00:00:00" u="1"/>
        <d v="2022-10-14T00:00:00" u="1"/>
        <d v="2022-11-10T00:00:00" u="1"/>
        <d v="2022-07-28T00:00:00" u="1"/>
        <d v="2022-08-24T00:00:00" u="1"/>
        <d v="2022-09-20T00:00:00" u="1"/>
        <d v="2022-11-12T00:00:00" u="1"/>
        <d v="2022-08-26T00:00:00" u="1"/>
        <d v="2022-09-22T00:00:00" u="1"/>
        <d v="2022-10-18T00:00:00" u="1"/>
        <d v="2022-11-14T00:00:00" u="1"/>
        <d v="2022-09-24T00:00:00" u="1"/>
        <d v="2022-10-20T00:00:00" u="1"/>
        <d v="2022-11-16T00:00:00" u="1"/>
        <d v="2022-08-30T00:00:00" u="1"/>
        <d v="2022-09-26T00:00:00" u="1"/>
        <d v="2023-10-22T00:00:00" u="1"/>
        <d v="2022-11-18T00:00:00" u="1"/>
        <d v="2022-09-28T00:00:00" u="1"/>
        <d v="2022-10-24T00:00:00" u="1"/>
        <d v="2022-09-30T00:00:00" u="1"/>
        <d v="2022-10-26T00:00:00" u="1"/>
        <d v="2022-11-22T00:00:00" u="1"/>
        <d v="2022-10-28T00:00:00" u="1"/>
        <d v="2023-10-28T00:00:00" u="1"/>
        <d v="2022-11-24T00:00:00" u="1"/>
        <d v="2022-01-03T00:00:00" u="1"/>
        <d v="2022-11-28T00:00:00" u="1"/>
        <d v="2022-02-01T00:00:00" u="1"/>
        <d v="2022-11-30T00:00:00" u="1"/>
        <d v="2022-02-03T00:00:00" u="1"/>
        <d v="2022-03-01T00:00:00" u="1"/>
        <d v="2022-01-11T00:00:00" u="1"/>
        <d v="2022-03-03T00:00:00" u="1"/>
        <d v="2022-01-13T00:00:00" u="1"/>
        <d v="2022-02-09T00:00:00" u="1"/>
        <d v="2022-04-01T00:00:00" u="1"/>
        <d v="2022-02-11T00:00:00" u="1"/>
        <d v="2022-03-07T00:00:00" u="1"/>
        <d v="2022-01-17T00:00:00" u="1"/>
        <d v="2022-03-09T00:00:00" u="1"/>
        <d v="2022-04-05T00:00:00" u="1"/>
        <d v="2022-01-19T00:00:00" u="1"/>
        <d v="2022-02-15T00:00:00" u="1"/>
        <d v="2022-03-11T00:00:00" u="1"/>
        <d v="2022-04-07T00:00:00" u="1"/>
        <d v="2022-05-03T00:00:00" u="1"/>
        <d v="2022-01-21T00:00:00" u="1"/>
        <d v="2022-02-17T00:00:00" u="1"/>
        <d v="2022-06-01T00:00:00" u="1"/>
        <d v="2022-03-15T00:00:00" u="1"/>
        <d v="2022-04-11T00:00:00" u="1"/>
        <d v="2022-06-03T00:00:00" u="1"/>
        <d v="2022-01-25T00:00:00" u="1"/>
        <d v="2022-02-21T00:00:00" u="1"/>
        <d v="2022-03-17T00:00:00" u="1"/>
        <d v="2022-04-13T00:00:00" u="1"/>
        <d v="2022-05-09T00:00:00" u="1"/>
        <d v="2022-07-01T00:00:00" u="1"/>
        <d v="2022-01-27T00:00:00" u="1"/>
        <d v="2022-02-23T00:00:00" u="1"/>
        <d v="2023-04-15T00:00:00" u="1"/>
        <d v="2022-05-11T00:00:00" u="1"/>
        <d v="2022-06-07T00:00:00" u="1"/>
        <d v="2022-02-25T00:00:00" u="1"/>
        <d v="2022-05-13T00:00:00" u="1"/>
        <d v="2022-06-09T00:00:00" u="1"/>
        <d v="2022-07-05T00:00:00" u="1"/>
        <d v="2022-08-01T00:00:00" u="1"/>
        <d v="2022-01-31T00:00:00" u="1"/>
        <d v="2022-03-23T00:00:00" u="1"/>
        <d v="2022-04-19T00:00:00" u="1"/>
        <d v="2022-07-07T00:00:00" u="1"/>
        <d v="2022-08-03T00:00:00" u="1"/>
        <d v="2022-03-25T00:00:00" u="1"/>
        <d v="2022-04-21T00:00:00" u="1"/>
        <d v="2022-05-17T00:00:00" u="1"/>
        <d v="2022-06-13T00:00:00" u="1"/>
        <d v="2022-08-05T00:00:00" u="1"/>
        <d v="2022-09-01T00:00:00" u="1"/>
        <d v="2022-04-23T00:00:00" u="1"/>
        <d v="2022-05-19T00:00:00" u="1"/>
        <d v="2022-06-15T00:00:00" u="1"/>
        <d v="2022-07-11T00:00:00" u="1"/>
        <d v="2022-03-29T00:00:00" u="1"/>
        <d v="2022-04-25T00:00:00" u="1"/>
        <d v="2022-06-17T00:00:00" u="1"/>
        <d v="2022-07-13T00:00:00" u="1"/>
        <d v="2022-08-09T00:00:00" u="1"/>
        <d v="2022-09-05T00:00:00" u="1"/>
        <d v="2022-03-31T00:00:00" u="1"/>
        <d v="2022-04-27T00:00:00" u="1"/>
        <d v="2022-05-23T00:00:00" u="1"/>
        <d v="2022-07-15T00:00:00" u="1"/>
        <d v="2022-08-11T00:00:00" u="1"/>
        <d v="2022-09-07T00:00:00" u="1"/>
        <d v="2022-10-03T00:00:00" u="1"/>
        <d v="2022-04-29T00:00:00" u="1"/>
        <d v="2022-05-25T00:00:00" u="1"/>
        <d v="2022-06-21T00:00:00" u="1"/>
        <d v="2022-09-09T00:00:00" u="1"/>
        <d v="2022-10-05T00:00:00" u="1"/>
        <d v="2022-11-01T00:00:00" u="1"/>
        <d v="2022-05-27T00:00:00" u="1"/>
        <d v="2022-06-23T00:00:00" u="1"/>
        <d v="2022-07-19T00:00:00" u="1"/>
        <d v="2022-08-15T00:00:00" u="1"/>
        <d v="2022-10-07T00:00:00" u="1"/>
        <d v="2022-11-03T00:00:00" u="1"/>
        <d v="2022-07-21T00:00:00" u="1"/>
        <d v="2022-08-17T00:00:00" u="1"/>
        <d v="2022-09-13T00:00:00" u="1"/>
        <d v="2022-05-31T00:00:00" u="1"/>
        <d v="2022-06-27T00:00:00" u="1"/>
        <d v="2022-08-19T00:00:00" u="1"/>
        <d v="2022-09-15T00:00:00" u="1"/>
        <d v="2022-10-11T00:00:00" u="1"/>
        <d v="2022-11-07T00:00:00" u="1"/>
        <d v="2022-06-29T00:00:00" u="1"/>
        <d v="2022-07-25T00:00:00" u="1"/>
        <d v="2022-10-13T00:00:00" u="1"/>
        <d v="2022-11-09T00:00:00" u="1"/>
        <d v="2022-07-27T00:00:00" u="1"/>
        <d v="2022-08-23T00:00:00" u="1"/>
        <d v="2022-09-19T00:00:00" u="1"/>
        <d v="2022-11-11T00:00:00" u="1"/>
        <d v="2022-07-29T00:00:00" u="1"/>
        <d v="2022-08-25T00:00:00" u="1"/>
        <d v="2022-09-21T00:00:00" u="1"/>
        <d v="2022-10-17T00:00:00" u="1"/>
        <d v="2022-07-31T00:00:00" u="1"/>
        <d v="2022-08-27T00:00:00" u="1"/>
        <d v="2022-09-23T00:00:00" u="1"/>
        <d v="2022-10-19T00:00:00" u="1"/>
        <d v="2022-11-15T00:00:00" u="1"/>
        <d v="2022-08-29T00:00:00" u="1"/>
        <d v="2022-09-25T00:00:00" u="1"/>
        <d v="2022-10-21T00:00:00" u="1"/>
        <d v="2023-10-21T00:00:00" u="1"/>
        <d v="2022-11-17T00:00:00" u="1"/>
        <d v="2022-08-31T00:00:00" u="1"/>
        <d v="2022-09-27T00:00:00" u="1"/>
      </sharedItems>
    </cacheField>
    <cacheField name="Hora Inicio" numFmtId="0">
      <sharedItems containsNonDate="0" containsDate="1" containsString="0" containsBlank="1" minDate="1899-12-30T00:00:00" maxDate="1899-12-30T23:30:00" count="50">
        <d v="1899-12-30T09:00:00"/>
        <d v="1899-12-30T18:00:00"/>
        <d v="1899-12-30T17:00:00"/>
        <d v="1899-12-30T13:00:00"/>
        <d v="1899-12-30T11:00:00"/>
        <d v="1899-12-30T15:00:00"/>
        <d v="1899-12-30T12:00:00"/>
        <d v="1899-12-30T16:00:00"/>
        <d v="1899-12-30T10:00:00"/>
        <d v="1899-12-30T14:00:00"/>
        <d v="1899-12-30T12:30:00"/>
        <d v="1899-12-30T13:30:00"/>
        <d v="1899-12-30T11:30:00"/>
        <d v="1899-12-30T10:30:00"/>
        <d v="1899-12-30T17:30:00"/>
        <d v="1899-12-30T16:30:00"/>
        <d v="1899-12-30T18:30:00"/>
        <d v="1899-12-30T19:00:00"/>
        <d v="1899-12-30T19:30:00"/>
        <d v="1899-12-30T09:30:00"/>
        <d v="1899-12-30T15:30:00"/>
        <d v="1899-12-30T14:30:00"/>
        <d v="1899-12-30T20:00:00"/>
        <d v="1899-12-30T23:30:00"/>
        <d v="1899-12-30T20:30:00"/>
        <d v="1899-12-30T08:00:00"/>
        <d v="1899-12-30T21:30:00"/>
        <d v="1899-12-30T01:00:00"/>
        <d v="1899-12-30T06:30:00"/>
        <d v="1899-12-30T08:30:00"/>
        <d v="1899-12-30T21:00:00"/>
        <d v="1899-12-30T23:00:00"/>
        <d v="1899-12-30T05:00:00"/>
        <d v="1899-12-30T07:00:00"/>
        <d v="1899-12-30T00:00:00"/>
        <d v="1899-12-30T22:00:00"/>
        <d v="1899-12-30T00:14:00"/>
        <d v="1899-12-30T09:08:00"/>
        <d v="1899-12-30T09:02:00"/>
        <d v="1899-12-30T09:03:00"/>
        <d v="1899-12-30T09:05:00"/>
        <d v="1899-12-30T09:10:00"/>
        <d v="1899-12-30T09:12:00"/>
        <d v="1899-12-30T09:09:00"/>
        <d v="1899-12-30T09:06:00"/>
        <d v="1899-12-30T09:01:00"/>
        <d v="1899-12-30T09:07:00"/>
        <d v="1899-12-30T09:04:00"/>
        <m/>
        <d v="1899-12-30T22:30:00" u="1"/>
      </sharedItems>
    </cacheField>
    <cacheField name="Fecha Fin (dd/mm/aaaa)" numFmtId="0">
      <sharedItems containsNonDate="0" containsDate="1" containsString="0" containsBlank="1" minDate="2020-01-02T00:00:00" maxDate="2024-02-07T00:00:00" count="1086">
        <d v="2023-01-02T00:00:00"/>
        <d v="2023-01-03T00:00:00"/>
        <d v="2023-01-04T00:00:00"/>
        <d v="2023-01-05T00:00:00"/>
        <d v="2023-01-06T00:00:00"/>
        <d v="2023-01-09T00:00:00"/>
        <d v="2023-01-10T00:00:00"/>
        <d v="2023-01-11T00:00:00"/>
        <d v="2023-01-12T00:00:00"/>
        <d v="2023-01-13T00:00:00"/>
        <d v="2023-01-16T00:00:00"/>
        <d v="2023-01-17T00:00:00"/>
        <d v="2023-01-18T00:00:00"/>
        <d v="2023-01-19T00:00:00"/>
        <d v="2023-01-20T00:00:00"/>
        <d v="2023-01-23T00:00:00"/>
        <d v="2023-01-24T00:00:00"/>
        <d v="2023-01-25T00:00:00"/>
        <d v="2023-01-26T00:00:00"/>
        <d v="2023-01-27T00:00:00"/>
        <d v="2023-01-30T00:00:00"/>
        <d v="2023-01-31T00:00:00"/>
        <d v="2023-02-01T00:00:00"/>
        <d v="2023-02-02T00:00:00"/>
        <d v="2023-02-03T00:00:00"/>
        <d v="2023-02-07T00:00:00"/>
        <d v="2023-02-08T00:00:00"/>
        <d v="2023-02-09T00:00:00"/>
        <d v="2023-02-10T00:00:00"/>
        <d v="2023-02-13T00:00:00"/>
        <d v="2023-02-14T00:00:00"/>
        <d v="2023-02-15T00:00:00"/>
        <d v="2023-02-16T00:00:00"/>
        <d v="2023-02-17T00:00:00"/>
        <d v="2023-02-20T00:00:00"/>
        <d v="2023-02-21T00:00:00"/>
        <d v="2023-02-22T00:00:00"/>
        <d v="2023-02-23T00:00:00"/>
        <d v="2023-02-24T00:00:00"/>
        <d v="2023-02-28T00:00:00"/>
        <d v="2023-02-27T00:00:00"/>
        <d v="2023-02-04T00:00:00"/>
        <d v="2023-02-05T00:00:00"/>
        <d v="2023-02-06T00:00:00"/>
        <d v="2023-03-01T00:00:00"/>
        <d v="2023-03-02T00:00:00"/>
        <d v="2023-03-03T00:00:00"/>
        <d v="2023-03-06T00:00:00"/>
        <d v="2023-03-07T00:00:00"/>
        <d v="2023-03-08T00:00:00"/>
        <d v="2023-03-09T00:00:00"/>
        <d v="2023-03-10T00:00:00"/>
        <d v="2023-03-13T00:00:00"/>
        <d v="2023-03-14T00:00:00"/>
        <d v="2023-03-15T00:00:00"/>
        <d v="2023-03-16T00:00:00"/>
        <d v="2023-03-17T00:00:00"/>
        <d v="2023-03-21T00:00:00"/>
        <d v="2023-03-22T00:00:00"/>
        <d v="2023-03-23T00:00:00"/>
        <d v="2023-03-24T00:00:00"/>
        <d v="2023-03-27T00:00:00"/>
        <d v="2023-03-28T00:00:00"/>
        <d v="2023-03-29T00:00:00"/>
        <d v="2023-03-30T00:00:00"/>
        <d v="2023-03-31T00:00:00"/>
        <d v="2023-04-10T00:00:00"/>
        <d v="2023-04-11T00:00:00"/>
        <d v="2023-04-12T00:00:00"/>
        <d v="2023-04-13T00:00:00"/>
        <d v="2023-04-14T00:00:00"/>
        <d v="2023-04-17T00:00:00"/>
        <d v="2023-04-18T00:00:00"/>
        <d v="2023-04-19T00:00:00"/>
        <d v="2023-04-20T00:00:00"/>
        <d v="2023-04-21T00:00:00"/>
        <d v="2023-04-24T00:00:00"/>
        <d v="2023-04-25T00:00:00"/>
        <d v="2023-04-26T00:00:00"/>
        <d v="2023-04-27T00:00:00"/>
        <d v="2023-04-28T00:00:00"/>
        <d v="2023-04-03T00:00:00"/>
        <d v="2023-04-04T00:00:00"/>
        <d v="2023-04-05T00:00:00"/>
        <d v="2023-04-06T00:00:00"/>
        <d v="2023-04-07T00:00:00"/>
        <d v="2023-05-02T00:00:00"/>
        <d v="2023-05-03T00:00:00"/>
        <d v="2023-05-04T00:00:00"/>
        <d v="2023-05-08T00:00:00"/>
        <d v="2023-05-09T00:00:00"/>
        <d v="2023-05-10T00:00:00"/>
        <d v="2023-05-11T00:00:00"/>
        <d v="2023-05-12T00:00:00"/>
        <d v="2023-05-15T00:00:00"/>
        <d v="2023-05-16T00:00:00"/>
        <d v="2023-05-17T00:00:00"/>
        <d v="2023-05-18T00:00:00"/>
        <d v="2023-05-19T00:00:00"/>
        <d v="2023-05-22T00:00:00"/>
        <d v="2023-05-23T00:00:00"/>
        <d v="2023-05-24T00:00:00"/>
        <d v="2023-05-25T00:00:00"/>
        <d v="2023-05-26T00:00:00"/>
        <d v="2023-05-29T00:00:00"/>
        <d v="2023-05-30T00:00:00"/>
        <d v="2023-05-31T00:00:00"/>
        <d v="2023-06-01T00:00:00"/>
        <d v="2023-06-02T00:00:00"/>
        <d v="2023-06-05T00:00:00"/>
        <d v="2023-06-06T00:00:00"/>
        <d v="2023-06-07T00:00:00"/>
        <d v="2023-06-08T00:00:00"/>
        <d v="2023-06-09T00:00:00"/>
        <d v="2023-06-12T00:00:00"/>
        <d v="2023-06-13T00:00:00"/>
        <d v="2023-06-14T00:00:00"/>
        <d v="2023-06-15T00:00:00"/>
        <d v="2023-06-16T00:00:00"/>
        <d v="2023-06-19T00:00:00"/>
        <d v="2023-06-20T00:00:00"/>
        <d v="2023-06-21T00:00:00"/>
        <d v="2023-06-22T00:00:00"/>
        <d v="2023-06-23T00:00:00"/>
        <d v="2023-06-26T00:00:00"/>
        <d v="2023-06-27T00:00:00"/>
        <d v="2023-06-28T00:00:00"/>
        <d v="2023-06-29T00:00:00"/>
        <d v="2023-06-30T00:00:00"/>
        <d v="2023-06-24T00:00:00"/>
        <d v="2023-07-03T00:00:00"/>
        <d v="2023-07-04T00:00:00"/>
        <d v="2023-07-05T00:00:00"/>
        <d v="2023-07-06T00:00:00"/>
        <d v="2023-07-07T00:00:00"/>
        <d v="2023-07-10T00:00:00"/>
        <d v="2023-07-11T00:00:00"/>
        <d v="2023-07-12T00:00:00"/>
        <d v="2023-07-13T00:00:00"/>
        <d v="2023-07-14T00:00:00"/>
        <d v="2023-07-17T00:00:00"/>
        <d v="2023-07-18T00:00:00"/>
        <d v="2023-07-19T00:00:00"/>
        <d v="2023-07-20T00:00:00"/>
        <d v="2023-07-21T00:00:00"/>
        <d v="2023-07-24T00:00:00"/>
        <d v="2023-07-25T00:00:00"/>
        <d v="2023-07-26T00:00:00"/>
        <d v="2023-07-27T00:00:00"/>
        <d v="2023-07-28T00:00:00"/>
        <d v="2023-07-31T00:00:00"/>
        <d v="2023-07-29T00:00:00"/>
        <d v="2023-07-30T00:00:00"/>
        <d v="2023-07-15T00:00:00"/>
        <d v="2023-08-01T00:00:00"/>
        <d v="2023-08-02T00:00:00"/>
        <d v="2023-08-03T00:00:00"/>
        <d v="2023-08-04T00:00:00"/>
        <d v="2023-08-07T00:00:00"/>
        <d v="2023-08-08T00:00:00"/>
        <d v="2023-08-09T00:00:00"/>
        <d v="2023-08-10T00:00:00"/>
        <d v="2023-08-11T00:00:00"/>
        <d v="2023-08-14T00:00:00"/>
        <d v="2023-08-15T00:00:00"/>
        <d v="2023-08-16T00:00:00"/>
        <d v="2023-08-17T00:00:00"/>
        <d v="2023-08-18T00:00:00"/>
        <d v="2023-08-21T00:00:00"/>
        <d v="2023-08-22T00:00:00"/>
        <d v="2023-08-23T00:00:00"/>
        <d v="2023-08-24T00:00:00"/>
        <d v="2023-08-25T00:00:00"/>
        <d v="2023-08-28T00:00:00"/>
        <d v="2023-08-29T00:00:00"/>
        <d v="2023-08-30T00:00:00"/>
        <d v="2023-08-31T00:00:00"/>
        <d v="2023-08-05T00:00:00"/>
        <d v="2023-09-01T00:00:00"/>
        <d v="2023-09-04T00:00:00"/>
        <d v="2023-09-05T00:00:00"/>
        <d v="2023-09-06T00:00:00"/>
        <d v="2023-09-07T00:00:00"/>
        <d v="2023-09-08T00:00:00"/>
        <d v="2023-09-11T00:00:00"/>
        <d v="2023-09-12T00:00:00"/>
        <d v="2023-09-13T00:00:00"/>
        <d v="2023-09-14T00:00:00"/>
        <d v="2023-09-15T00:00:00"/>
        <d v="2023-09-18T00:00:00"/>
        <d v="2023-09-19T00:00:00"/>
        <d v="2023-09-20T00:00:00"/>
        <d v="2023-09-21T00:00:00"/>
        <d v="2023-09-22T00:00:00"/>
        <d v="2023-09-25T00:00:00"/>
        <d v="2023-09-26T00:00:00"/>
        <d v="2023-09-27T00:00:00"/>
        <d v="2023-09-28T00:00:00"/>
        <d v="2023-09-29T00:00:00"/>
        <d v="2023-10-02T00:00:00"/>
        <d v="2023-10-03T00:00:00"/>
        <d v="2023-10-04T00:00:00"/>
        <d v="2023-10-05T00:00:00"/>
        <d v="2023-10-06T00:00:00"/>
        <d v="2023-10-09T00:00:00"/>
        <d v="2023-10-10T00:00:00"/>
        <d v="2023-10-11T00:00:00"/>
        <d v="2023-10-12T00:00:00"/>
        <d v="2023-10-13T00:00:00"/>
        <d v="2023-10-16T00:00:00"/>
        <d v="2023-10-17T00:00:00"/>
        <d v="2023-10-18T00:00:00"/>
        <d v="2023-10-19T00:00:00"/>
        <d v="2023-10-20T00:00:00"/>
        <d v="2023-10-23T00:00:00"/>
        <d v="2023-10-24T00:00:00"/>
        <d v="2023-10-25T00:00:00"/>
        <d v="2023-10-26T00:00:00"/>
        <d v="2023-10-27T00:00:00"/>
        <d v="2023-10-30T00:00:00"/>
        <d v="2023-10-31T00:00:00"/>
        <d v="2023-11-01T00:00:00"/>
        <d v="2023-11-03T00:00:00"/>
        <d v="2023-11-06T00:00:00"/>
        <d v="2023-11-07T00:00:00"/>
        <d v="2023-11-08T00:00:00"/>
        <d v="2023-11-09T00:00:00"/>
        <d v="2023-11-10T00:00:00"/>
        <d v="2023-11-13T00:00:00"/>
        <d v="2023-11-14T00:00:00"/>
        <d v="2023-11-15T00:00:00"/>
        <d v="2023-11-16T00:00:00"/>
        <d v="2023-11-17T00:00:00"/>
        <d v="2023-11-21T00:00:00"/>
        <d v="2023-11-22T00:00:00"/>
        <d v="2023-11-23T00:00:00"/>
        <d v="2023-11-24T00:00:00"/>
        <d v="2023-11-27T00:00:00"/>
        <d v="2023-11-28T00:00:00"/>
        <d v="2023-11-29T00:00:00"/>
        <d v="2023-11-30T00:00:00"/>
        <d v="2023-11-02T00:00:00"/>
        <d v="2023-12-01T00:00:00"/>
        <d v="2023-12-04T00:00:00"/>
        <d v="2023-12-05T00:00:00"/>
        <d v="2023-12-06T00:00:00"/>
        <d v="2023-12-07T00:00:00"/>
        <d v="2023-12-08T00:00:00"/>
        <d v="2023-12-11T00:00:00"/>
        <d v="2023-12-12T00:00:00"/>
        <d v="2023-12-13T00:00:00"/>
        <d v="2023-12-14T00:00:00"/>
        <d v="2023-12-15T00:00:00"/>
        <d v="2023-12-18T00:00:00"/>
        <d v="2023-12-19T00:00:00"/>
        <d v="2023-12-20T00:00:00"/>
        <d v="2023-12-21T00:00:00"/>
        <d v="2023-12-22T00:00:00"/>
        <d v="2023-12-26T00:00:00"/>
        <d v="2023-12-27T00:00:00"/>
        <d v="2023-12-28T00:00:00"/>
        <d v="2023-12-29T00:00:00"/>
        <d v="2023-12-03T00:00:00"/>
        <d v="2023-12-09T00:00:00"/>
        <d v="2023-12-10T00:00:00"/>
        <d v="2023-12-16T00:00:00"/>
        <d v="2023-12-17T00:00:00"/>
        <d v="2023-12-23T00:00:00"/>
        <d v="2023-12-24T00:00:00"/>
        <d v="2023-12-25T00:00:00"/>
        <d v="2023-12-30T00:00:00"/>
        <d v="2023-12-31T00:00:00"/>
        <d v="2024-01-01T00:00:00"/>
        <d v="2024-01-02T00:00:00"/>
        <d v="2024-01-03T00:00:00"/>
        <d v="2024-01-04T00:00:00"/>
        <d v="2024-01-05T00:00:00"/>
        <d v="2024-01-06T00:00:00"/>
        <d v="2024-01-07T00:00:00"/>
        <d v="2024-01-08T00:00:00"/>
        <d v="2024-01-09T00:00:00"/>
        <d v="2024-01-10T00:00:00"/>
        <d v="2024-01-11T00:00:00"/>
        <d v="2024-01-12T00:00:00"/>
        <d v="2024-01-13T00:00:00"/>
        <d v="2024-01-14T00:00:00"/>
        <d v="2024-01-15T00:00:00"/>
        <d v="2024-01-16T00:00:00"/>
        <d v="2024-01-17T00:00:00"/>
        <d v="2024-01-18T00:00:00"/>
        <d v="2024-01-19T00:00:00"/>
        <d v="2024-01-20T00:00:00"/>
        <d v="2024-01-21T00:00:00"/>
        <d v="2024-01-22T00:00:00"/>
        <d v="2024-01-23T00:00:00"/>
        <d v="2024-01-24T00:00:00"/>
        <d v="2024-01-25T00:00:00"/>
        <d v="2024-01-26T00:00:00"/>
        <d v="2024-01-27T00:00:00"/>
        <d v="2024-01-28T00:00:00"/>
        <d v="2024-01-29T00:00:00"/>
        <d v="2024-01-30T00:00:00"/>
        <d v="2024-01-31T00:00:00"/>
        <d v="2024-02-01T00:00:00"/>
        <d v="2024-02-02T00:00:00"/>
        <d v="2024-02-03T00:00:00"/>
        <d v="2024-02-04T00:00:00"/>
        <d v="2024-02-05T00:00:00"/>
        <d v="2024-02-06T00:00:00"/>
        <m/>
        <d v="2020-09-29T00:00:00" u="1"/>
        <d v="2021-09-29T00:00:00" u="1"/>
        <d v="2022-09-29T00:00:00" u="1"/>
        <d v="2021-10-25T00:00:00" u="1"/>
        <d v="2022-10-25T00:00:00" u="1"/>
        <d v="2020-12-17T00:00:00" u="1"/>
        <d v="2022-11-21T00:00:00" u="1"/>
        <d v="2021-12-17T00:00:00" u="1"/>
        <d v="2020-10-27T00:00:00" u="1"/>
        <d v="2021-10-27T00:00:00" u="1"/>
        <d v="2020-11-23T00:00:00" u="1"/>
        <d v="2022-10-27T00:00:00" u="1"/>
        <d v="2021-11-23T00:00:00" u="1"/>
        <d v="2022-11-23T00:00:00" u="1"/>
        <d v="2020-10-29T00:00:00" u="1"/>
        <d v="2021-10-29T00:00:00" u="1"/>
        <d v="2020-11-25T00:00:00" u="1"/>
        <d v="2022-10-29T00:00:00" u="1"/>
        <d v="2021-11-25T00:00:00" u="1"/>
        <d v="2020-12-21T00:00:00" u="1"/>
        <d v="2022-11-25T00:00:00" u="1"/>
        <d v="2021-12-21T00:00:00" u="1"/>
        <d v="2020-01-02T00:00:00" u="1"/>
        <d v="2020-11-27T00:00:00" u="1"/>
        <d v="2022-10-31T00:00:00" u="1"/>
        <d v="2020-12-23T00:00:00" u="1"/>
        <d v="2021-12-23T00:00:00" u="1"/>
        <d v="2020-01-04T00:00:00" u="1"/>
        <d v="2021-01-04T00:00:00" u="1"/>
        <d v="2021-11-29T00:00:00" u="1"/>
        <d v="2022-11-29T00:00:00" u="1"/>
        <d v="2020-01-06T00:00:00" u="1"/>
        <d v="2021-01-06T00:00:00" u="1"/>
        <d v="2021-02-02T00:00:00" u="1"/>
        <d v="2022-02-02T00:00:00" u="1"/>
        <d v="2020-12-27T00:00:00" u="1"/>
        <d v="2021-12-27T00:00:00" u="1"/>
        <d v="2020-01-08T00:00:00" u="1"/>
        <d v="2021-01-08T00:00:00" u="1"/>
        <d v="2020-02-04T00:00:00" u="1"/>
        <d v="2021-02-04T00:00:00" u="1"/>
        <d v="2022-02-04T00:00:00" u="1"/>
        <d v="2020-12-29T00:00:00" u="1"/>
        <d v="2021-12-29T00:00:00" u="1"/>
        <d v="2020-01-10T00:00:00" u="1"/>
        <d v="2020-02-06T00:00:00" u="1"/>
        <d v="2022-01-10T00:00:00" u="1"/>
        <d v="2020-03-02T00:00:00" u="1"/>
        <d v="2021-03-02T00:00:00" u="1"/>
        <d v="2022-03-02T00:00:00" u="1"/>
        <d v="2020-12-31T00:00:00" u="1"/>
        <d v="2021-12-31T00:00:00" u="1"/>
        <d v="2021-01-12T00:00:00" u="1"/>
        <d v="2020-02-08T00:00:00" u="1"/>
        <d v="2022-01-12T00:00:00" u="1"/>
        <d v="2021-02-08T00:00:00" u="1"/>
        <d v="2020-03-04T00:00:00" u="1"/>
        <d v="2022-02-08T00:00:00" u="1"/>
        <d v="2021-03-04T00:00:00" u="1"/>
        <d v="2022-03-04T00:00:00" u="1"/>
        <d v="2020-01-14T00:00:00" u="1"/>
        <d v="2021-01-14T00:00:00" u="1"/>
        <d v="2020-02-10T00:00:00" u="1"/>
        <d v="2022-01-14T00:00:00" u="1"/>
        <d v="2021-02-10T00:00:00" u="1"/>
        <d v="2020-03-06T00:00:00" u="1"/>
        <d v="2022-02-10T00:00:00" u="1"/>
        <d v="2020-04-02T00:00:00" u="1"/>
        <d v="2021-04-02T00:00:00" u="1"/>
        <d v="2020-01-16T00:00:00" u="1"/>
        <d v="2020-02-12T00:00:00" u="1"/>
        <d v="2021-02-12T00:00:00" u="1"/>
        <d v="2021-03-08T00:00:00" u="1"/>
        <d v="2022-03-08T00:00:00" u="1"/>
        <d v="2022-04-04T00:00:00" u="1"/>
        <d v="2021-01-18T00:00:00" u="1"/>
        <d v="2020-02-14T00:00:00" u="1"/>
        <d v="2022-01-18T00:00:00" u="1"/>
        <d v="2020-03-10T00:00:00" u="1"/>
        <d v="2022-02-14T00:00:00" u="1"/>
        <d v="2021-03-10T00:00:00" u="1"/>
        <d v="2020-04-06T00:00:00" u="1"/>
        <d v="2022-03-10T00:00:00" u="1"/>
        <d v="2021-04-06T00:00:00" u="1"/>
        <d v="2022-04-06T00:00:00" u="1"/>
        <d v="2022-05-02T00:00:00" u="1"/>
        <d v="2020-01-20T00:00:00" u="1"/>
        <d v="2021-01-20T00:00:00" u="1"/>
        <d v="2022-01-20T00:00:00" u="1"/>
        <d v="2021-02-16T00:00:00" u="1"/>
        <d v="2020-03-12T00:00:00" u="1"/>
        <d v="2022-02-16T00:00:00" u="1"/>
        <d v="2021-03-12T00:00:00" u="1"/>
        <d v="2020-04-08T00:00:00" u="1"/>
        <d v="2021-04-08T00:00:00" u="1"/>
        <d v="2020-05-04T00:00:00" u="1"/>
        <d v="2022-04-08T00:00:00" u="1"/>
        <d v="2021-05-04T00:00:00" u="1"/>
        <d v="2022-05-04T00:00:00" u="1"/>
        <d v="2020-01-22T00:00:00" u="1"/>
        <d v="2021-01-22T00:00:00" u="1"/>
        <d v="2020-02-18T00:00:00" u="1"/>
        <d v="2021-02-18T00:00:00" u="1"/>
        <d v="2022-02-18T00:00:00" u="1"/>
        <d v="2020-04-10T00:00:00" u="1"/>
        <d v="2022-03-14T00:00:00" u="1"/>
        <d v="2020-05-06T00:00:00" u="1"/>
        <d v="2021-05-06T00:00:00" u="1"/>
        <d v="2020-06-02T00:00:00" u="1"/>
        <d v="2022-05-06T00:00:00" u="1"/>
        <d v="2021-06-02T00:00:00" u="1"/>
        <d v="2022-06-02T00:00:00" u="1"/>
        <d v="2020-01-24T00:00:00" u="1"/>
        <d v="2021-01-24T00:00:00" u="1"/>
        <d v="2020-02-20T00:00:00" u="1"/>
        <d v="2022-01-24T00:00:00" u="1"/>
        <d v="2022-02-20T00:00:00" u="1"/>
        <d v="2021-03-16T00:00:00" u="1"/>
        <d v="2022-03-16T00:00:00" u="1"/>
        <d v="2021-04-12T00:00:00" u="1"/>
        <d v="2020-05-08T00:00:00" u="1"/>
        <d v="2022-04-12T00:00:00" u="1"/>
        <d v="2020-06-04T00:00:00" u="1"/>
        <d v="2021-06-04T00:00:00" u="1"/>
        <d v="2021-01-26T00:00:00" u="1"/>
        <d v="2020-02-22T00:00:00" u="1"/>
        <d v="2022-01-26T00:00:00" u="1"/>
        <d v="2021-02-22T00:00:00" u="1"/>
        <d v="2020-03-18T00:00:00" u="1"/>
        <d v="2022-02-22T00:00:00" u="1"/>
        <d v="2021-03-18T00:00:00" u="1"/>
        <d v="2020-04-14T00:00:00" u="1"/>
        <d v="2022-03-18T00:00:00" u="1"/>
        <d v="2021-04-14T00:00:00" u="1"/>
        <d v="2021-05-10T00:00:00" u="1"/>
        <d v="2022-05-10T00:00:00" u="1"/>
        <d v="2021-06-06T00:00:00" u="1"/>
        <d v="2020-07-02T00:00:00" u="1"/>
        <d v="2022-06-06T00:00:00" u="1"/>
        <d v="2021-07-02T00:00:00" u="1"/>
        <d v="2020-01-28T00:00:00" u="1"/>
        <d v="2021-01-28T00:00:00" u="1"/>
        <d v="2020-02-24T00:00:00" u="1"/>
        <d v="2022-01-28T00:00:00" u="1"/>
        <d v="2021-02-24T00:00:00" u="1"/>
        <d v="2020-03-20T00:00:00" u="1"/>
        <d v="2022-02-24T00:00:00" u="1"/>
        <d v="2020-04-16T00:00:00" u="1"/>
        <d v="2021-04-16T00:00:00" u="1"/>
        <d v="2020-05-12T00:00:00" u="1"/>
        <d v="2021-05-12T00:00:00" u="1"/>
        <d v="2020-06-08T00:00:00" u="1"/>
        <d v="2022-05-12T00:00:00" u="1"/>
        <d v="2021-06-08T00:00:00" u="1"/>
        <d v="2022-06-08T00:00:00" u="1"/>
        <d v="2022-07-04T00:00:00" u="1"/>
        <d v="2020-01-30T00:00:00" u="1"/>
        <d v="2020-02-26T00:00:00" u="1"/>
        <d v="2021-02-26T00:00:00" u="1"/>
        <d v="2021-03-22T00:00:00" u="1"/>
        <d v="2022-03-22T00:00:00" u="1"/>
        <d v="2020-05-14T00:00:00" u="1"/>
        <d v="2022-04-18T00:00:00" u="1"/>
        <d v="2021-05-14T00:00:00" u="1"/>
        <d v="2020-06-10T00:00:00" u="1"/>
        <d v="2021-06-10T00:00:00" u="1"/>
        <d v="2020-07-06T00:00:00" u="1"/>
        <d v="2022-06-10T00:00:00" u="1"/>
        <d v="2021-07-06T00:00:00" u="1"/>
        <d v="2022-07-06T00:00:00" u="1"/>
        <d v="2021-08-02T00:00:00" u="1"/>
        <d v="2022-08-02T00:00:00" u="1"/>
        <d v="2020-02-28T00:00:00" u="1"/>
        <d v="2020-03-24T00:00:00" u="1"/>
        <d v="2022-02-28T00:00:00" u="1"/>
        <d v="2021-03-24T00:00:00" u="1"/>
        <d v="2020-04-20T00:00:00" u="1"/>
        <d v="2022-03-24T00:00:00" u="1"/>
        <d v="2021-04-20T00:00:00" u="1"/>
        <d v="2022-04-20T00:00:00" u="1"/>
        <d v="2020-06-12T00:00:00" u="1"/>
        <d v="2022-05-16T00:00:00" u="1"/>
        <d v="2020-07-08T00:00:00" u="1"/>
        <d v="2021-07-08T00:00:00" u="1"/>
        <d v="2020-08-04T00:00:00" u="1"/>
        <d v="2022-07-08T00:00:00" u="1"/>
        <d v="2021-08-04T00:00:00" u="1"/>
        <d v="2022-08-04T00:00:00" u="1"/>
        <d v="2020-03-26T00:00:00" u="1"/>
        <d v="2021-03-26T00:00:00" u="1"/>
        <d v="2020-04-22T00:00:00" u="1"/>
        <d v="2021-04-22T00:00:00" u="1"/>
        <d v="2020-05-18T00:00:00" u="1"/>
        <d v="2022-04-22T00:00:00" u="1"/>
        <d v="2021-05-18T00:00:00" u="1"/>
        <d v="2023-04-22T00:00:00" u="1"/>
        <d v="2022-05-18T00:00:00" u="1"/>
        <d v="2021-06-14T00:00:00" u="1"/>
        <d v="2020-07-10T00:00:00" u="1"/>
        <d v="2022-06-14T00:00:00" u="1"/>
        <d v="2020-08-06T00:00:00" u="1"/>
        <d v="2021-08-06T00:00:00" u="1"/>
        <d v="2020-09-02T00:00:00" u="1"/>
        <d v="2021-09-02T00:00:00" u="1"/>
        <d v="2022-09-02T00:00:00" u="1"/>
        <d v="2021-03-28T00:00:00" u="1"/>
        <d v="2020-04-24T00:00:00" u="1"/>
        <d v="2022-03-28T00:00:00" u="1"/>
        <d v="2020-05-20T00:00:00" u="1"/>
        <d v="2021-05-20T00:00:00" u="1"/>
        <d v="2020-06-16T00:00:00" u="1"/>
        <d v="2022-05-20T00:00:00" u="1"/>
        <d v="2021-06-16T00:00:00" u="1"/>
        <d v="2022-06-16T00:00:00" u="1"/>
        <d v="2021-07-12T00:00:00" u="1"/>
        <d v="2022-07-12T00:00:00" u="1"/>
        <d v="2020-09-04T00:00:00" u="1"/>
        <d v="2022-08-08T00:00:00" u="1"/>
        <d v="2020-03-30T00:00:00" u="1"/>
        <d v="2021-03-30T00:00:00" u="1"/>
        <d v="2022-03-30T00:00:00" u="1"/>
        <d v="2021-04-26T00:00:00" u="1"/>
        <d v="2020-05-22T00:00:00" u="1"/>
        <d v="2022-04-26T00:00:00" u="1"/>
        <d v="2020-06-18T00:00:00" u="1"/>
        <d v="2021-06-18T00:00:00" u="1"/>
        <d v="2020-07-14T00:00:00" u="1"/>
        <d v="2021-07-14T00:00:00" u="1"/>
        <d v="2020-08-10T00:00:00" u="1"/>
        <d v="2022-07-14T00:00:00" u="1"/>
        <d v="2021-08-10T00:00:00" u="1"/>
        <d v="2022-08-10T00:00:00" u="1"/>
        <d v="2021-09-06T00:00:00" u="1"/>
        <d v="2020-10-02T00:00:00" u="1"/>
        <d v="2022-09-06T00:00:00" u="1"/>
        <d v="2020-04-28T00:00:00" u="1"/>
        <d v="2021-04-28T00:00:00" u="1"/>
        <d v="2022-04-28T00:00:00" u="1"/>
        <d v="2021-05-24T00:00:00" u="1"/>
        <d v="2022-05-24T00:00:00" u="1"/>
        <d v="2020-07-16T00:00:00" u="1"/>
        <d v="2022-06-20T00:00:00" u="1"/>
        <d v="2021-07-16T00:00:00" u="1"/>
        <d v="2020-08-12T00:00:00" u="1"/>
        <d v="2021-08-12T00:00:00" u="1"/>
        <d v="2020-09-08T00:00:00" u="1"/>
        <d v="2022-08-12T00:00:00" u="1"/>
        <d v="2021-09-08T00:00:00" u="1"/>
        <d v="2022-09-08T00:00:00" u="1"/>
        <d v="2021-10-04T00:00:00" u="1"/>
        <d v="2022-10-04T00:00:00" u="1"/>
        <d v="2020-04-30T00:00:00" u="1"/>
        <d v="2021-04-30T00:00:00" u="1"/>
        <d v="2020-05-26T00:00:00" u="1"/>
        <d v="2021-05-26T00:00:00" u="1"/>
        <d v="2020-06-22T00:00:00" u="1"/>
        <d v="2022-05-26T00:00:00" u="1"/>
        <d v="2021-06-22T00:00:00" u="1"/>
        <d v="2022-06-22T00:00:00" u="1"/>
        <d v="2020-08-14T00:00:00" u="1"/>
        <d v="2022-07-18T00:00:00" u="1"/>
        <d v="2020-09-10T00:00:00" u="1"/>
        <d v="2021-09-10T00:00:00" u="1"/>
        <d v="2020-10-06T00:00:00" u="1"/>
        <d v="2021-10-06T00:00:00" u="1"/>
        <d v="2020-11-02T00:00:00" u="1"/>
        <d v="2022-10-06T00:00:00" u="1"/>
        <d v="2022-11-02T00:00:00" u="1"/>
        <d v="2020-05-28T00:00:00" u="1"/>
        <d v="2021-05-28T00:00:00" u="1"/>
        <d v="2020-06-24T00:00:00" u="1"/>
        <d v="2021-06-24T00:00:00" u="1"/>
        <d v="2020-07-20T00:00:00" u="1"/>
        <d v="2022-06-24T00:00:00" u="1"/>
        <d v="2021-07-20T00:00:00" u="1"/>
        <d v="2022-07-20T00:00:00" u="1"/>
        <d v="2021-08-16T00:00:00" u="1"/>
        <d v="2022-08-16T00:00:00" u="1"/>
        <d v="2020-10-08T00:00:00" u="1"/>
        <d v="2022-09-12T00:00:00" u="1"/>
        <d v="2021-10-08T00:00:00" u="1"/>
        <d v="2020-11-04T00:00:00" u="1"/>
        <d v="2021-11-04T00:00:00" u="1"/>
        <d v="2022-11-04T00:00:00" u="1"/>
        <d v="2020-06-26T00:00:00" u="1"/>
        <d v="2022-05-30T00:00:00" u="1"/>
        <d v="2020-07-22T00:00:00" u="1"/>
        <d v="2021-07-22T00:00:00" u="1"/>
        <d v="2020-08-18T00:00:00" u="1"/>
        <d v="2022-07-22T00:00:00" u="1"/>
        <d v="2021-08-18T00:00:00" u="1"/>
        <d v="2020-09-14T00:00:00" u="1"/>
        <d v="2022-08-18T00:00:00" u="1"/>
        <d v="2021-09-14T00:00:00" u="1"/>
        <d v="2022-09-14T00:00:00" u="1"/>
        <d v="2020-11-06T00:00:00" u="1"/>
        <d v="2022-10-10T00:00:00" u="1"/>
        <d v="2020-12-02T00:00:00" u="1"/>
        <d v="2021-12-02T00:00:00" u="1"/>
        <d v="2021-06-28T00:00:00" u="1"/>
        <d v="2020-07-24T00:00:00" u="1"/>
        <d v="2022-06-28T00:00:00" u="1"/>
        <d v="2020-08-20T00:00:00" u="1"/>
        <d v="2021-08-20T00:00:00" u="1"/>
        <d v="2021-09-16T00:00:00" u="1"/>
        <d v="2023-08-20T00:00:00" u="1"/>
        <d v="2020-10-12T00:00:00" u="1"/>
        <d v="2021-10-12T00:00:00" u="1"/>
        <d v="2022-10-12T00:00:00" u="1"/>
        <d v="2021-11-08T00:00:00" u="1"/>
        <d v="2020-12-04T00:00:00" u="1"/>
        <d v="2022-11-08T00:00:00" u="1"/>
        <d v="2020-06-30T00:00:00" u="1"/>
        <d v="2021-06-30T00:00:00" u="1"/>
        <d v="2022-06-30T00:00:00" u="1"/>
        <d v="2021-07-26T00:00:00" u="1"/>
        <d v="2022-07-26T00:00:00" u="1"/>
        <d v="2020-09-18T00:00:00" u="1"/>
        <d v="2022-08-22T00:00:00" u="1"/>
        <d v="2020-10-14T00:00:00" u="1"/>
        <d v="2021-10-14T00:00:00" u="1"/>
        <d v="2020-11-10T00:00:00" u="1"/>
        <d v="2022-10-14T00:00:00" u="1"/>
        <d v="2021-11-10T00:00:00" u="1"/>
        <d v="2022-11-10T00:00:00" u="1"/>
        <d v="2021-12-06T00:00:00" u="1"/>
        <d v="2020-07-28T00:00:00" u="1"/>
        <d v="2021-07-28T00:00:00" u="1"/>
        <d v="2020-08-24T00:00:00" u="1"/>
        <d v="2022-07-28T00:00:00" u="1"/>
        <d v="2021-08-24T00:00:00" u="1"/>
        <d v="2022-08-24T00:00:00" u="1"/>
        <d v="2021-09-20T00:00:00" u="1"/>
        <d v="2020-10-16T00:00:00" u="1"/>
        <d v="2022-09-20T00:00:00" u="1"/>
        <d v="2020-11-12T00:00:00" u="1"/>
        <d v="2021-11-12T00:00:00" u="1"/>
        <d v="2020-12-08T00:00:00" u="1"/>
        <d v="2022-11-12T00:00:00" u="1"/>
        <d v="2021-12-08T00:00:00" u="1"/>
        <d v="2020-07-30T00:00:00" u="1"/>
        <d v="2021-07-30T00:00:00" u="1"/>
        <d v="2020-08-26T00:00:00" u="1"/>
        <d v="2021-08-26T00:00:00" u="1"/>
        <d v="2020-09-22T00:00:00" u="1"/>
        <d v="2022-08-26T00:00:00" u="1"/>
        <d v="2021-09-22T00:00:00" u="1"/>
        <d v="2022-09-22T00:00:00" u="1"/>
        <d v="2021-10-18T00:00:00" u="1"/>
        <d v="2022-10-18T00:00:00" u="1"/>
        <d v="2020-12-10T00:00:00" u="1"/>
        <d v="2022-11-14T00:00:00" u="1"/>
        <d v="2021-12-10T00:00:00" u="1"/>
        <d v="2020-08-28T00:00:00" u="1"/>
        <d v="2020-09-24T00:00:00" u="1"/>
        <d v="2021-09-24T00:00:00" u="1"/>
        <d v="2020-10-20T00:00:00" u="1"/>
        <d v="2022-09-24T00:00:00" u="1"/>
        <d v="2021-10-20T00:00:00" u="1"/>
        <d v="2022-10-20T00:00:00" u="1"/>
        <d v="2021-11-16T00:00:00" u="1"/>
        <d v="2022-11-16T00:00:00" u="1"/>
        <d v="2021-08-30T00:00:00" u="1"/>
        <d v="2022-08-30T00:00:00" u="1"/>
        <d v="2020-10-22T00:00:00" u="1"/>
        <d v="2022-09-26T00:00:00" u="1"/>
        <d v="2021-10-22T00:00:00" u="1"/>
        <d v="2020-11-18T00:00:00" u="1"/>
        <d v="2021-11-18T00:00:00" u="1"/>
        <d v="2020-12-14T00:00:00" u="1"/>
        <d v="2022-11-18T00:00:00" u="1"/>
        <d v="2021-12-14T00:00:00" u="1"/>
        <d v="2020-09-28T00:00:00" u="1"/>
        <d v="2021-09-28T00:00:00" u="1"/>
        <d v="2022-09-28T00:00:00" u="1"/>
        <d v="2020-11-20T00:00:00" u="1"/>
        <d v="2022-10-24T00:00:00" u="1"/>
        <d v="2020-12-16T00:00:00" u="1"/>
        <d v="2021-12-16T00:00:00" u="1"/>
        <d v="2020-09-30T00:00:00" u="1"/>
        <d v="2021-09-30T00:00:00" u="1"/>
        <d v="2020-10-26T00:00:00" u="1"/>
        <d v="2022-09-30T00:00:00" u="1"/>
        <d v="2021-10-26T00:00:00" u="1"/>
        <d v="2022-10-26T00:00:00" u="1"/>
        <d v="2021-11-22T00:00:00" u="1"/>
        <d v="2020-12-18T00:00:00" u="1"/>
        <d v="2022-11-22T00:00:00" u="1"/>
        <d v="2020-10-28T00:00:00" u="1"/>
        <d v="2021-10-28T00:00:00" u="1"/>
        <d v="2020-11-24T00:00:00" u="1"/>
        <d v="2022-10-28T00:00:00" u="1"/>
        <d v="2021-11-24T00:00:00" u="1"/>
        <d v="2022-11-24T00:00:00" u="1"/>
        <d v="2021-12-20T00:00:00" u="1"/>
        <d v="2023-01-01T00:00:00" u="1"/>
        <d v="2020-10-30T00:00:00" u="1"/>
        <d v="2020-11-26T00:00:00" u="1"/>
        <d v="2021-11-26T00:00:00" u="1"/>
        <d v="2020-12-22T00:00:00" u="1"/>
        <d v="2021-12-22T00:00:00" u="1"/>
        <d v="2020-01-03T00:00:00" u="1"/>
        <d v="2020-12-24T00:00:00" u="1"/>
        <d v="2022-11-28T00:00:00" u="1"/>
        <d v="2021-12-24T00:00:00" u="1"/>
        <d v="2020-01-05T00:00:00" u="1"/>
        <d v="2021-01-05T00:00:00" u="1"/>
        <d v="2020-02-01T00:00:00" u="1"/>
        <d v="2021-02-01T00:00:00" u="1"/>
        <d v="2022-02-01T00:00:00" u="1"/>
        <d v="2020-11-30T00:00:00" u="1"/>
        <d v="2021-11-30T00:00:00" u="1"/>
        <d v="2020-12-26T00:00:00" u="1"/>
        <d v="2022-11-30T00:00:00" u="1"/>
        <d v="2020-01-07T00:00:00" u="1"/>
        <d v="2021-01-07T00:00:00" u="1"/>
        <d v="2022-01-07T00:00:00" u="1"/>
        <d v="2021-02-03T00:00:00" u="1"/>
        <d v="2022-02-03T00:00:00" u="1"/>
        <d v="2020-12-28T00:00:00" u="1"/>
        <d v="2021-12-28T00:00:00" u="1"/>
        <d v="2020-01-09T00:00:00" u="1"/>
        <d v="2020-02-05T00:00:00" u="1"/>
        <d v="2021-02-05T00:00:00" u="1"/>
        <d v="2020-03-01T00:00:00" u="1"/>
        <d v="2021-03-01T00:00:00" u="1"/>
        <d v="2022-03-01T00:00:00" u="1"/>
        <d v="2020-12-30T00:00:00" u="1"/>
        <d v="2021-12-30T00:00:00" u="1"/>
        <d v="2021-01-11T00:00:00" u="1"/>
        <d v="2020-02-07T00:00:00" u="1"/>
        <d v="2022-01-11T00:00:00" u="1"/>
        <d v="2020-03-03T00:00:00" u="1"/>
        <d v="2022-02-07T00:00:00" u="1"/>
        <d v="2021-03-03T00:00:00" u="1"/>
        <d v="2022-03-03T00:00:00" u="1"/>
        <d v="2020-01-13T00:00:00" u="1"/>
        <d v="2021-01-13T00:00:00" u="1"/>
        <d v="2022-01-13T00:00:00" u="1"/>
        <d v="2021-02-09T00:00:00" u="1"/>
        <d v="2020-03-05T00:00:00" u="1"/>
        <d v="2022-02-09T00:00:00" u="1"/>
        <d v="2021-03-05T00:00:00" u="1"/>
        <d v="2020-04-01T00:00:00" u="1"/>
        <d v="2021-04-01T00:00:00" u="1"/>
        <d v="2022-04-01T00:00:00" u="1"/>
        <d v="2020-01-15T00:00:00" u="1"/>
        <d v="2021-01-15T00:00:00" u="1"/>
        <d v="2020-02-11T00:00:00" u="1"/>
        <d v="2021-02-11T00:00:00" u="1"/>
        <d v="2022-02-11T00:00:00" u="1"/>
        <d v="2020-04-03T00:00:00" u="1"/>
        <d v="2022-03-07T00:00:00" u="1"/>
        <d v="2020-01-17T00:00:00" u="1"/>
        <d v="2020-02-13T00:00:00" u="1"/>
        <d v="2022-01-17T00:00:00" u="1"/>
        <d v="2021-02-13T00:00:00" u="1"/>
        <d v="2020-03-09T00:00:00" u="1"/>
        <d v="2021-03-09T00:00:00" u="1"/>
        <d v="2022-03-09T00:00:00" u="1"/>
        <d v="2021-04-05T00:00:00" u="1"/>
        <d v="2022-04-05T00:00:00" u="1"/>
        <d v="2021-01-19T00:00:00" u="1"/>
        <d v="2020-02-15T00:00:00" u="1"/>
        <d v="2022-01-19T00:00:00" u="1"/>
        <d v="2021-02-15T00:00:00" u="1"/>
        <d v="2020-03-11T00:00:00" u="1"/>
        <d v="2022-02-15T00:00:00" u="1"/>
        <d v="2021-03-11T00:00:00" u="1"/>
        <d v="2020-04-07T00:00:00" u="1"/>
        <d v="2022-03-11T00:00:00" u="1"/>
        <d v="2021-04-07T00:00:00" u="1"/>
        <d v="2022-04-07T00:00:00" u="1"/>
        <d v="2021-05-03T00:00:00" u="1"/>
        <d v="2022-05-03T00:00:00" u="1"/>
        <d v="2020-01-21T00:00:00" u="1"/>
        <d v="2021-01-21T00:00:00" u="1"/>
        <d v="2020-02-17T00:00:00" u="1"/>
        <d v="2022-01-21T00:00:00" u="1"/>
        <d v="2021-02-17T00:00:00" u="1"/>
        <d v="2020-03-13T00:00:00" u="1"/>
        <d v="2022-02-17T00:00:00" u="1"/>
        <d v="2021-04-09T00:00:00" u="1"/>
        <d v="2020-05-05T00:00:00" u="1"/>
        <d v="2021-05-05T00:00:00" u="1"/>
        <d v="2020-06-01T00:00:00" u="1"/>
        <d v="2022-05-05T00:00:00" u="1"/>
        <d v="2021-06-01T00:00:00" u="1"/>
        <d v="2022-06-01T00:00:00" u="1"/>
        <d v="2020-01-23T00:00:00" u="1"/>
        <d v="2020-02-19T00:00:00" u="1"/>
        <d v="2022-01-23T00:00:00" u="1"/>
        <d v="2021-02-19T00:00:00" u="1"/>
        <d v="2022-02-19T00:00:00" u="1"/>
        <d v="2021-03-15T00:00:00" u="1"/>
        <d v="2022-03-15T00:00:00" u="1"/>
        <d v="2020-05-07T00:00:00" u="1"/>
        <d v="2022-04-11T00:00:00" u="1"/>
        <d v="2021-05-07T00:00:00" u="1"/>
        <d v="2020-06-03T00:00:00" u="1"/>
        <d v="2021-06-03T00:00:00" u="1"/>
        <d v="2022-06-03T00:00:00" u="1"/>
        <d v="2021-01-25T00:00:00" u="1"/>
        <d v="2020-02-21T00:00:00" u="1"/>
        <d v="2022-01-25T00:00:00" u="1"/>
        <d v="2020-03-17T00:00:00" u="1"/>
        <d v="2022-02-21T00:00:00" u="1"/>
        <d v="2021-03-17T00:00:00" u="1"/>
        <d v="2020-04-13T00:00:00" u="1"/>
        <d v="2022-03-17T00:00:00" u="1"/>
        <d v="2021-04-13T00:00:00" u="1"/>
        <d v="2022-04-13T00:00:00" u="1"/>
        <d v="2020-06-05T00:00:00" u="1"/>
        <d v="2022-05-09T00:00:00" u="1"/>
        <d v="2020-07-01T00:00:00" u="1"/>
        <d v="2021-07-01T00:00:00" u="1"/>
        <d v="2022-07-01T00:00:00" u="1"/>
        <d v="2020-01-27T00:00:00" u="1"/>
        <d v="2021-01-27T00:00:00" u="1"/>
        <d v="2022-01-27T00:00:00" u="1"/>
        <d v="2021-02-23T00:00:00" u="1"/>
        <d v="2020-03-19T00:00:00" u="1"/>
        <d v="2022-02-23T00:00:00" u="1"/>
        <d v="2021-03-19T00:00:00" u="1"/>
        <d v="2020-04-15T00:00:00" u="1"/>
        <d v="2021-04-15T00:00:00" u="1"/>
        <d v="2020-05-11T00:00:00" u="1"/>
        <d v="2022-04-15T00:00:00" u="1"/>
        <d v="2021-05-11T00:00:00" u="1"/>
        <d v="2023-04-15T00:00:00" u="1"/>
        <d v="2022-05-11T00:00:00" u="1"/>
        <d v="2021-06-07T00:00:00" u="1"/>
        <d v="2020-07-03T00:00:00" u="1"/>
        <d v="2022-06-07T00:00:00" u="1"/>
        <d v="2020-01-29T00:00:00" u="1"/>
        <d v="2021-01-29T00:00:00" u="1"/>
        <d v="2020-02-25T00:00:00" u="1"/>
        <d v="2021-02-25T00:00:00" u="1"/>
        <d v="2020-03-21T00:00:00" u="1"/>
        <d v="2022-02-25T00:00:00" u="1"/>
        <d v="2020-04-17T00:00:00" u="1"/>
        <d v="2022-03-21T00:00:00" u="1"/>
        <d v="2020-05-13T00:00:00" u="1"/>
        <d v="2021-05-13T00:00:00" u="1"/>
        <d v="2020-06-09T00:00:00" u="1"/>
        <d v="2022-05-13T00:00:00" u="1"/>
        <d v="2021-06-09T00:00:00" u="1"/>
        <d v="2022-06-09T00:00:00" u="1"/>
        <d v="2021-07-05T00:00:00" u="1"/>
        <d v="2020-08-01T00:00:00" u="1"/>
        <d v="2022-07-05T00:00:00" u="1"/>
        <d v="2022-08-01T00:00:00" u="1"/>
        <d v="2020-01-31T00:00:00" u="1"/>
        <d v="2020-02-27T00:00:00" u="1"/>
        <d v="2022-01-31T00:00:00" u="1"/>
        <d v="2020-03-23T00:00:00" u="1"/>
        <d v="2021-03-23T00:00:00" u="1"/>
        <d v="2022-03-23T00:00:00" u="1"/>
        <d v="2021-04-19T00:00:00" u="1"/>
        <d v="2020-05-15T00:00:00" u="1"/>
        <d v="2022-04-19T00:00:00" u="1"/>
        <d v="2020-06-11T00:00:00" u="1"/>
        <d v="2021-06-11T00:00:00" u="1"/>
        <d v="2020-07-07T00:00:00" u="1"/>
        <d v="2021-07-07T00:00:00" u="1"/>
        <d v="2020-08-03T00:00:00" u="1"/>
        <d v="2022-07-07T00:00:00" u="1"/>
        <d v="2021-08-03T00:00:00" u="1"/>
        <d v="2022-08-03T00:00:00" u="1"/>
        <d v="2020-02-29T00:00:00" u="1"/>
        <d v="2020-03-25T00:00:00" u="1"/>
        <d v="2021-03-25T00:00:00" u="1"/>
        <d v="2020-04-21T00:00:00" u="1"/>
        <d v="2022-03-25T00:00:00" u="1"/>
        <d v="2021-04-21T00:00:00" u="1"/>
        <d v="2022-04-21T00:00:00" u="1"/>
        <d v="2021-05-17T00:00:00" u="1"/>
        <d v="2022-05-17T00:00:00" u="1"/>
        <d v="2020-07-09T00:00:00" u="1"/>
        <d v="2022-06-13T00:00:00" u="1"/>
        <d v="2021-07-09T00:00:00" u="1"/>
        <d v="2020-08-05T00:00:00" u="1"/>
        <d v="2021-08-05T00:00:00" u="1"/>
        <d v="2020-09-01T00:00:00" u="1"/>
        <d v="2022-08-05T00:00:00" u="1"/>
        <d v="2021-09-01T00:00:00" u="1"/>
        <d v="2022-09-01T00:00:00" u="1"/>
        <d v="2020-03-27T00:00:00" u="1"/>
        <d v="2020-04-23T00:00:00" u="1"/>
        <d v="2021-04-23T00:00:00" u="1"/>
        <d v="2020-05-19T00:00:00" u="1"/>
        <d v="2021-05-19T00:00:00" u="1"/>
        <d v="2020-06-15T00:00:00" u="1"/>
        <d v="2022-05-19T00:00:00" u="1"/>
        <d v="2021-06-15T00:00:00" u="1"/>
        <d v="2022-06-15T00:00:00" u="1"/>
        <d v="2020-08-07T00:00:00" u="1"/>
        <d v="2022-07-11T00:00:00" u="1"/>
        <d v="2021-08-07T00:00:00" u="1"/>
        <d v="2020-09-03T00:00:00" u="1"/>
        <d v="2021-09-03T00:00:00" u="1"/>
        <d v="2021-03-29T00:00:00" u="1"/>
        <d v="2022-03-29T00:00:00" u="1"/>
        <d v="2020-05-21T00:00:00" u="1"/>
        <d v="2022-04-25T00:00:00" u="1"/>
        <d v="2021-05-21T00:00:00" u="1"/>
        <d v="2020-06-17T00:00:00" u="1"/>
        <d v="2021-06-17T00:00:00" u="1"/>
        <d v="2020-07-13T00:00:00" u="1"/>
        <d v="2022-06-17T00:00:00" u="1"/>
        <d v="2021-07-13T00:00:00" u="1"/>
        <d v="2022-07-13T00:00:00" u="1"/>
        <d v="2021-08-09T00:00:00" u="1"/>
        <d v="2022-08-09T00:00:00" u="1"/>
        <d v="2020-10-01T00:00:00" u="1"/>
        <d v="2022-09-05T00:00:00" u="1"/>
        <d v="2021-10-01T00:00:00" u="1"/>
        <d v="2020-03-31T00:00:00" u="1"/>
        <d v="2021-03-31T00:00:00" u="1"/>
        <d v="2020-04-27T00:00:00" u="1"/>
        <d v="2022-03-31T00:00:00" u="1"/>
        <d v="2021-04-27T00:00:00" u="1"/>
        <d v="2022-04-27T00:00:00" u="1"/>
        <d v="2020-06-19T00:00:00" u="1"/>
        <d v="2022-05-23T00:00:00" u="1"/>
        <d v="2020-07-15T00:00:00" u="1"/>
        <d v="2021-07-15T00:00:00" u="1"/>
        <d v="2020-08-11T00:00:00" u="1"/>
        <d v="2022-07-15T00:00:00" u="1"/>
        <d v="2021-08-11T00:00:00" u="1"/>
        <d v="2020-09-07T00:00:00" u="1"/>
        <d v="2022-08-11T00:00:00" u="1"/>
        <d v="2021-09-07T00:00:00" u="1"/>
        <d v="2022-09-07T00:00:00" u="1"/>
        <d v="2022-10-03T00:00:00" u="1"/>
        <d v="2020-04-29T00:00:00" u="1"/>
        <d v="2021-04-29T00:00:00" u="1"/>
        <d v="2020-05-25T00:00:00" u="1"/>
        <d v="2022-04-29T00:00:00" u="1"/>
        <d v="2021-05-25T00:00:00" u="1"/>
        <d v="2022-05-25T00:00:00" u="1"/>
        <d v="2021-06-21T00:00:00" u="1"/>
        <d v="2020-07-17T00:00:00" u="1"/>
        <d v="2022-06-21T00:00:00" u="1"/>
        <d v="2020-08-13T00:00:00" u="1"/>
        <d v="2021-08-13T00:00:00" u="1"/>
        <d v="2020-09-09T00:00:00" u="1"/>
        <d v="2021-09-09T00:00:00" u="1"/>
        <d v="2020-10-05T00:00:00" u="1"/>
        <d v="2022-09-09T00:00:00" u="1"/>
        <d v="2021-10-05T00:00:00" u="1"/>
        <d v="2020-11-01T00:00:00" u="1"/>
        <d v="2022-10-05T00:00:00" u="1"/>
        <d v="2021-11-01T00:00:00" u="1"/>
        <d v="2022-11-01T00:00:00" u="1"/>
        <d v="2020-05-27T00:00:00" u="1"/>
        <d v="2021-05-27T00:00:00" u="1"/>
        <d v="2020-06-23T00:00:00" u="1"/>
        <d v="2022-05-27T00:00:00" u="1"/>
        <d v="2021-06-23T00:00:00" u="1"/>
        <d v="2022-06-23T00:00:00" u="1"/>
        <d v="2021-07-19T00:00:00" u="1"/>
        <d v="2022-07-19T00:00:00" u="1"/>
        <d v="2020-09-11T00:00:00" u="1"/>
        <d v="2022-08-15T00:00:00" u="1"/>
        <d v="2020-10-07T00:00:00" u="1"/>
        <d v="2021-10-07T00:00:00" u="1"/>
        <d v="2020-11-03T00:00:00" u="1"/>
        <d v="2022-10-07T00:00:00" u="1"/>
        <d v="2021-11-03T00:00:00" u="1"/>
        <d v="2022-11-03T00:00:00" u="1"/>
        <d v="2020-05-29T00:00:00" u="1"/>
        <d v="2021-05-29T00:00:00" u="1"/>
        <d v="2020-06-25T00:00:00" u="1"/>
        <d v="2021-06-25T00:00:00" u="1"/>
        <d v="2020-07-21T00:00:00" u="1"/>
        <d v="2021-07-21T00:00:00" u="1"/>
        <d v="2020-08-17T00:00:00" u="1"/>
        <d v="2022-07-21T00:00:00" u="1"/>
        <d v="2021-08-17T00:00:00" u="1"/>
        <d v="2022-08-17T00:00:00" u="1"/>
        <d v="2021-09-13T00:00:00" u="1"/>
        <d v="2020-10-09T00:00:00" u="1"/>
        <d v="2022-09-13T00:00:00" u="1"/>
        <d v="2020-11-05T00:00:00" u="1"/>
        <d v="2021-11-05T00:00:00" u="1"/>
        <d v="2020-12-01T00:00:00" u="1"/>
        <d v="2021-12-01T00:00:00" u="1"/>
        <d v="2021-05-31T00:00:00" u="1"/>
        <d v="2022-05-31T00:00:00" u="1"/>
        <d v="2020-07-23T00:00:00" u="1"/>
        <d v="2022-06-27T00:00:00" u="1"/>
        <d v="2021-07-23T00:00:00" u="1"/>
        <d v="2020-08-19T00:00:00" u="1"/>
        <d v="2021-08-19T00:00:00" u="1"/>
        <d v="2020-09-15T00:00:00" u="1"/>
        <d v="2022-08-19T00:00:00" u="1"/>
        <d v="2021-09-15T00:00:00" u="1"/>
        <d v="2022-09-15T00:00:00" u="1"/>
        <d v="2021-10-11T00:00:00" u="1"/>
        <d v="2022-10-11T00:00:00" u="1"/>
        <d v="2021-11-07T00:00:00" u="1"/>
        <d v="2020-12-03T00:00:00" u="1"/>
        <d v="2022-11-07T00:00:00" u="1"/>
        <d v="2021-12-03T00:00:00" u="1"/>
        <d v="2020-06-29T00:00:00" u="1"/>
        <d v="2021-06-29T00:00:00" u="1"/>
        <d v="2022-06-29T00:00:00" u="1"/>
        <d v="2020-08-21T00:00:00" u="1"/>
        <d v="2022-07-25T00:00:00" u="1"/>
        <d v="2020-09-17T00:00:00" u="1"/>
        <d v="2021-09-17T00:00:00" u="1"/>
        <d v="2020-10-13T00:00:00" u="1"/>
        <d v="2021-10-13T00:00:00" u="1"/>
        <d v="2020-11-09T00:00:00" u="1"/>
        <d v="2022-10-13T00:00:00" u="1"/>
        <d v="2021-11-09T00:00:00" u="1"/>
        <d v="2022-11-09T00:00:00" u="1"/>
        <d v="2020-07-27T00:00:00" u="1"/>
        <d v="2021-07-27T00:00:00" u="1"/>
        <d v="2022-07-27T00:00:00" u="1"/>
        <d v="2021-08-23T00:00:00" u="1"/>
        <d v="2022-08-23T00:00:00" u="1"/>
        <d v="2020-10-15T00:00:00" u="1"/>
        <d v="2022-09-19T00:00:00" u="1"/>
        <d v="2021-10-15T00:00:00" u="1"/>
        <d v="2020-11-11T00:00:00" u="1"/>
        <d v="2021-11-11T00:00:00" u="1"/>
        <d v="2020-12-07T00:00:00" u="1"/>
        <d v="2022-11-11T00:00:00" u="1"/>
        <d v="2021-12-07T00:00:00" u="1"/>
        <d v="2020-07-29T00:00:00" u="1"/>
        <d v="2021-07-29T00:00:00" u="1"/>
        <d v="2020-08-25T00:00:00" u="1"/>
        <d v="2022-07-29T00:00:00" u="1"/>
        <d v="2021-08-25T00:00:00" u="1"/>
        <d v="2020-09-21T00:00:00" u="1"/>
        <d v="2022-08-25T00:00:00" u="1"/>
        <d v="2021-09-21T00:00:00" u="1"/>
        <d v="2022-09-21T00:00:00" u="1"/>
        <d v="2020-11-13T00:00:00" u="1"/>
        <d v="2022-10-17T00:00:00" u="1"/>
        <d v="2020-12-09T00:00:00" u="1"/>
        <d v="2021-12-09T00:00:00" u="1"/>
        <d v="2020-07-31T00:00:00" u="1"/>
        <d v="2020-08-27T00:00:00" u="1"/>
        <d v="2022-07-31T00:00:00" u="1"/>
        <d v="2021-08-27T00:00:00" u="1"/>
        <d v="2020-09-23T00:00:00" u="1"/>
        <d v="2021-09-23T00:00:00" u="1"/>
        <d v="2020-10-19T00:00:00" u="1"/>
        <d v="2022-09-23T00:00:00" u="1"/>
        <d v="2021-10-19T00:00:00" u="1"/>
        <d v="2022-10-19T00:00:00" u="1"/>
        <d v="2020-12-11T00:00:00" u="1"/>
        <d v="2022-11-15T00:00:00" u="1"/>
        <d v="2020-09-25T00:00:00" u="1"/>
        <d v="2022-08-29T00:00:00" u="1"/>
        <d v="2020-10-21T00:00:00" u="1"/>
        <d v="2022-09-25T00:00:00" u="1"/>
        <d v="2021-10-21T00:00:00" u="1"/>
        <d v="2020-11-17T00:00:00" u="1"/>
        <d v="2022-10-21T00:00:00" u="1"/>
        <d v="2021-11-17T00:00:00" u="1"/>
        <d v="2022-11-17T00:00:00" u="1"/>
        <d v="2021-12-13T00:00:00" u="1"/>
        <d v="2020-08-31T00:00:00" u="1"/>
        <d v="2021-08-31T00:00:00" u="1"/>
        <d v="2022-08-31T00:00:00" u="1"/>
        <d v="2021-09-27T00:00:00" u="1"/>
        <d v="2020-10-23T00:00:00" u="1"/>
        <d v="2022-09-27T00:00:00" u="1"/>
        <d v="2020-11-19T00:00:00" u="1"/>
        <d v="2021-11-19T00:00:00" u="1"/>
        <d v="2020-12-15T00:00:00" u="1"/>
        <d v="2021-12-15T00:00:00" u="1"/>
      </sharedItems>
    </cacheField>
    <cacheField name="Hora Fin" numFmtId="0">
      <sharedItems containsNonDate="0" containsDate="1" containsString="0" containsBlank="1" minDate="1899-12-30T00:00:00" maxDate="1899-12-30T23:00:00" count="54">
        <d v="1899-12-30T19:00:00"/>
        <d v="1899-12-30T18:00:00"/>
        <d v="1899-12-30T17:00:00"/>
        <d v="1899-12-30T11:00:00"/>
        <d v="1899-12-30T12:00:00"/>
        <d v="1899-12-30T13:00:00"/>
        <d v="1899-12-30T16:00:00"/>
        <d v="1899-12-30T15:00:00"/>
        <d v="1899-12-30T10:00:00"/>
        <d v="1899-12-30T14:00:00"/>
        <d v="1899-12-30T15:30:00"/>
        <d v="1899-12-30T20:00:00"/>
        <d v="1899-12-30T14:30:00"/>
        <d v="1899-12-30T12:30:00"/>
        <d v="1899-12-30T13:30:00"/>
        <d v="1899-12-30T11:30:00"/>
        <d v="1899-12-30T10:30:00"/>
        <d v="1899-12-30T17:30:00"/>
        <d v="1899-12-30T16:30:00"/>
        <d v="1899-12-30T18:15:00"/>
        <d v="1899-12-30T20:30:00"/>
        <d v="1899-12-30T18:30:00"/>
        <d v="1899-12-30T19:30:00"/>
        <d v="1899-12-30T09:30:00"/>
        <d v="1899-12-30T21:00:00"/>
        <d v="1899-12-30T21:30:00"/>
        <d v="1899-12-30T09:00:00"/>
        <d v="1899-12-30T22:00:00"/>
        <d v="1899-12-30T22:30:00"/>
        <d v="1899-12-30T01:00:00"/>
        <d v="1899-12-30T02:00:00"/>
        <d v="1899-12-30T08:30:00"/>
        <d v="1899-12-30T23:00:00"/>
        <d v="1899-12-30T00:00:00"/>
        <d v="1899-12-30T07:00:00"/>
        <d v="1899-12-30T08:00:00"/>
        <d v="1899-12-30T00:30:00"/>
        <d v="1899-12-30T00:14:00"/>
        <d v="1899-12-30T19:08:00"/>
        <d v="1899-12-30T19:02:00"/>
        <d v="1899-12-30T19:03:00"/>
        <d v="1899-12-30T19:05:00"/>
        <d v="1899-12-30T19:10:00"/>
        <d v="1899-12-30T19:12:00"/>
        <d v="1899-12-30T19:09:00"/>
        <d v="1899-12-30T19:06:00"/>
        <d v="1899-12-30T19:01:00"/>
        <d v="1899-12-30T19:07:00"/>
        <d v="1899-12-30T19:04:00"/>
        <d v="1899-12-30T20:08:00"/>
        <d v="1899-12-30T20:10:00"/>
        <d v="1899-12-30T20:12:00"/>
        <d v="1899-12-30T15:05:00"/>
        <m/>
      </sharedItems>
      <fieldGroup base="12">
        <rangePr groupBy="hours" startDate="1899-12-30T00:00:00" endDate="1899-12-30T23:00:00"/>
        <groupItems count="26">
          <s v="(en blanco)"/>
          <s v="12 a. m."/>
          <s v="01 a. m."/>
          <s v="02 a. m."/>
          <s v="03 a. m."/>
          <s v="04 a. m."/>
          <s v="05 a. m."/>
          <s v="06 a. m."/>
          <s v="07 a. m."/>
          <s v="08 a. m."/>
          <s v="09 a. m."/>
          <s v="10 a. m."/>
          <s v="11 a. m."/>
          <s v="12 p. m."/>
          <s v="01 p. m."/>
          <s v="02 p. m."/>
          <s v="03 p. m."/>
          <s v="04 p. m."/>
          <s v="05 p. m."/>
          <s v="06 p. m."/>
          <s v="07 p. m."/>
          <s v="08 p. m."/>
          <s v="09 p. m."/>
          <s v="10 p. m."/>
          <s v="11 p. m."/>
          <s v="&gt;00/01/1900"/>
        </groupItems>
      </fieldGroup>
    </cacheField>
    <cacheField name="Tiempo_x000a_(Hrs 00/100)" numFmtId="0">
      <sharedItems containsString="0" containsBlank="1" containsNumber="1" minValue="0.5" maxValue="190.5" count="57">
        <n v="8"/>
        <n v="7"/>
        <n v="1"/>
        <n v="6"/>
        <n v="2"/>
        <n v="3"/>
        <n v="5"/>
        <n v="4"/>
        <n v="8.5"/>
        <n v="6.5"/>
        <n v="10"/>
        <n v="9"/>
        <n v="2.5"/>
        <n v="3.5"/>
        <n v="4.5"/>
        <n v="1.5"/>
        <n v="5.5"/>
        <n v="7.25"/>
        <n v="10.5"/>
        <n v="0.5"/>
        <n v="9.5"/>
        <n v="7.5"/>
        <m/>
        <n v="169" u="1"/>
        <n v="29" u="1"/>
        <n v="19" u="1"/>
        <n v="166" u="1"/>
        <n v="80" u="1"/>
        <n v="32" u="1"/>
        <n v="22" u="1"/>
        <n v="14" u="1"/>
        <n v="38.5" u="1"/>
        <n v="190.5" u="1"/>
        <n v="163" u="1"/>
        <n v="25" u="1"/>
        <n v="78" u="1"/>
        <n v="11.999999999999975" u="1"/>
        <n v="28" u="1"/>
        <n v="18" u="1"/>
        <n v="12" u="1"/>
        <n v="37" u="1"/>
        <n v="21" u="1"/>
        <n v="102" u="1"/>
        <n v="23.999999999999989" u="1"/>
        <n v="36" u="1"/>
        <n v="24" u="1"/>
        <n v="15" u="1"/>
        <n v="11.5" u="1"/>
        <n v="112" u="1"/>
        <n v="48" u="1"/>
        <n v="30" u="1"/>
        <n v="20" u="1"/>
        <n v="41" u="1"/>
        <n v="54" u="1"/>
        <n v="40" u="1"/>
        <n v="16" u="1"/>
        <n v="11" u="1"/>
      </sharedItems>
    </cacheField>
    <cacheField name="Estatus" numFmtId="0">
      <sharedItems containsBlank="1" count="7">
        <s v="Terminado"/>
        <s v="En Proceso"/>
        <m/>
        <s v="En proceso " u="1"/>
        <s v="En Espera" u="1"/>
        <s v="Terminada" u="1"/>
        <s v="Terminado " u="1"/>
      </sharedItems>
    </cacheField>
    <cacheField name="Evidencia (URL)" numFmtId="0">
      <sharedItems containsBlank="1" containsMixedTypes="1" containsNumber="1" minValue="0.05" maxValue="0.05" count="312" longText="1">
        <s v="https://172.20.32.217/catalogs/unidadAdmini"/>
        <s v="https://172.20.32.217/catalogs/unidadAdmin"/>
        <s v="https://172.20.32.217/catalogs/strategic-line"/>
        <s v="https://172.20.32.217/catalogs/admin-areas"/>
        <s v="https://172.20.32.217/catalogs/action-lines"/>
        <s v="https://172.20.32.217/catalogs/action-line"/>
        <s v="https://172.20.32.217/catalogs/users"/>
        <s v="https://172.20.32.217/catalogs/menus"/>
        <s v="https://172.20.32.217/catalogs/rol"/>
        <s v="https://172.20.32.217/catalogs"/>
        <s v="https://172.20.32.217/seguimientos"/>
        <s v="https://172.20.32.217/abc-format"/>
        <s v="https://172.20.32.217/activitiess"/>
        <s v="https://172.20.32.217/activities"/>
        <s v="https://172.20.32.217/catalogs/seguimiento"/>
        <s v="https://172.20.32.217/catalogs/activities-bottons"/>
        <s v="https://172.20.32.217/catalogs/activitie-buttons"/>
        <s v="https://172.20.32.217/workflow/response-time-config"/>
        <s v="https://172.20.32.217/workflow/associate-action-lines"/>
        <s v="https://172.20.32.217/activities/seguimieto"/>
        <s v="https://172.20.32.217/activities/alta-actividades"/>
        <s v="https://172.20.32.217/activities/seguimiento"/>
        <s v="https://frontdev.plataformadetransparencia.org.mx/sisai/administracion/configuracion-procesos"/>
        <s v="https://frontdev.plataformadetransparencia.org.mx/sisai/soportes/modificar-fechas"/>
        <s v="https://frontdev.plataformadetransparencia.org.mx/sisai/soportes/modificar-turnado"/>
        <s v="https://frontdev.plataformadetransparencia.org.mx/sisai/soportes/"/>
        <s v="https://frontdev.plataformadetransparencia.org.mx/sisai/administracion/configuracion-pagos/transferencias"/>
        <s v="https://frontdev.plataformadetransparencia.org.mx/sisai/administracion/configuracion-pagos"/>
        <s v="https://frontdev.plataformadetransparencia.org.mx/sisai/soportes/modificar-respuesta"/>
        <s v="https://frontdev.plataformadetransparencia.org.mx/sisai/administracion/cofiguracion-medios-reproduccion"/>
        <s v="https://frontdev.plataformadetransparencia.org.mx/sisai/administracion/cofiguracion-medios-reproduccion/nuevo-medio-reproduccion"/>
        <s v="https://frontdev.plataformadetransparencia.org.mx/sisai/administracion/cofiguracion-medios-reproduccion/editar-medio-reproduccion"/>
        <s v="https://frontdev.plataformadetransparencia.org.mx/sisai/monitor"/>
        <s v="https://frontdev.plataformadetransparencia.org.mx/sisai/monitor/seguimiento-solicitud"/>
        <s v="http://172.20.32.217/"/>
        <s v="https://172.20.32.20/svn/PNT_SISAI_V2/DEV/code/services"/>
        <s v="https://172.20.32.20/svn/Pizarras4/tags/backend"/>
        <m/>
        <s v="https://teams.microsoft.com/l/meetup-join/19%3ameeting_NGM2NDQ2MTctMjZkYi00NTgxLWFkZjUtNzhkY2MxNjcwYWI3%40thread.v2/0?context=%7b%22Tid%22%3a%224e6a317c-9761-4ff0-8de8-4d166927ec3b%22%2c%22Oid%22%3a%2257195589-7096-49aa-a4ed-62b966ed50fc%22%7d"/>
        <s v="https://teams.microsoft.com/l/meetup-join/19%3ameeting_MjkzNGMwMzYtOGNhMi00YTljLWJmNWUtZGZmOWUzNTkyMjRm%40thread.v2/0?context=%7b%22Tid%22%3a%224e6a317c-9761-4ff0-8de8-4d166927ec3b%22%2c%22Oid%22%3a%2257195589-7096-49aa-a4ed-62b966ed50fc%22%7d"/>
        <s v="https://teams.microsoft.com/l/meetup-join/19%3ameeting_NDc1M2ZjNTEtNWExOS00NjgxLWJkNDEtYzc5YmNkMDMxOWQ3%40thread.v2/0?context=%7b%22Tid%22%3a%224e6a317c-9761-4ff0-8de8-4d166927ec3b%22%2c%22Oid%22%3a%22abee1892-ec1b-4a00-9846-e199aa4672c5%22%7d"/>
        <s v="https://172.20.32.20/svn/PNT_V3/trunk/Front-end"/>
        <s v="https://172.20.32.20/svn/PNT_V3/trunk/Front-end/Pnt-front-end-3.0"/>
        <s v="https://172.20.32.20/svn/MIGRACION_LIFERAY73/tags/SISAI/portlets"/>
        <s v="http://repositoriosdgis.ifai.org.mx/Pagina%20Web/Actividades%202023/02-Febrero%202023/Actualizacion%20CEVINAI.docx"/>
        <s v="http://repositoriosdgis.ifai.org.mx/Pagina%20Web/Actividades%202023/02-Febrero%202023/Micrositio%20Certamen.docx"/>
        <s v="http://repositoriosdgis.ifai.org.mx/Pagina%20Web/Actividades%202023/02-Febrero%202023/PROSEDE%202023.docx"/>
        <s v="http://repositoriosdgis.ifai.org.mx/Pagina%20Web/Actividades%202023/02-Febrero%202023/Resoluciones.docx"/>
        <s v="http://repositoriosdgis.ifai.org.mx/Pagina%20Web/Actividades%202023/02-Febrero%202023/Premio%20innovaci%C3%B3n.docx"/>
        <s v="http://repositoriosdgis.ifai.org.mx/Pagina%20Web/Actividades%202023/02-Febrero%202023/Project%20Micrositios.docx"/>
        <s v="http://repositoriosdgis.ifai.org.mx/Pagina%20Web/Forms/AllItems.aspx?RootFolder=%2FPagina%20Web%2FActividades%202023%2F02%2DFebrero%202023"/>
        <s v="http://repositoriosdgis.ifai.org.mx/Pagina%20Web/Actividades%202023/02-Febrero%202023/Actializacion%20de%20Unidad%20de%20Transparencia%20seccion%20de%20Obligaciones%20de%20transparencia.docx"/>
        <s v="http://repositoriosdgis.ifai.org.mx/Pagina%20Web/Actividades%202023/02-Febrero%202023/Actualizaci%C3%B3n%20Comit%C3%A9%20de%20Transparencia.docx"/>
        <s v="http://repositoriosdgis.ifai.org.mx/Pagina%20Web/Actividades%202023/02-Febrero%202023/Project%20Micrositios%202.docx"/>
        <s v="http://repositoriosdgis.ifai.org.mx/Pagina%20Web/Actividades%202023/02-Febrero%202023/Credenciales%20PROSEDE%20%202023.docx"/>
        <s v="http://repositoriosdgis.ifai.org.mx/Pagina%20Web/Actividades%202023/02-Febrero%202023/Actualizacion%20de%20Usuarios.docx"/>
        <s v="http://repositoriosdgis.ifai.org.mx/Pagina%20Web/Actividades%202023/02-Febrero%202023/Cambio%20de%20Certamen%20de%20innovaci%C3%B3n.docx"/>
        <s v="http://repositoriosdgis.ifai.org.mx/Pagina%20Web/Actividades%202023/02-Febrero%202023/Actualizacion%20Micrositio%20CIT23.docx"/>
        <s v="http://repositoriosdgis.ifai.org.mx/Pagina%20Web/Actividades%202023/02-Febrero%202023/Banco%20de%20Practica.docx"/>
        <s v="http://repositoriosdgis.ifai.org.mx/Pagina%20Web/Actividades%202023/02-Febrero%202023/Revisi%C3%B3n%20de%20Micrositio%20contrataci%C3%B3n%20Abierta.docx"/>
        <s v="http://repositoriosdgis.ifai.org.mx/Pagina%20Web/Actividades%202023/02-Febrero%202023/Modificaci%C3%B3n%20Dise%C3%B1o%20Certamen%202023.docx"/>
        <s v="https://sipron.inai.org.mx/login"/>
        <s v="https://sipron.inai.org.mx/"/>
        <s v="http://172.16.33.34:8000/ND%202023/Forms/AllItems.aspx?RootFolder=%2FND%202023%2FAdministraci%C3%B3n%20del%20Servicio%2FEntregables%2FDirecci%C3%B3n%20de%20Sistemas%2FSAI%2FEvidencias%20PRODATOS%2F02%20FEBRERO&amp;InitialTabId=Ribbon%2EDocument&amp;VisibilityContext=WSSTabPersistence"/>
        <s v="https://172.20.32.20/svn/PNT_APPS_V2/DEV/code/App-Movil-v3/PNT-app-1.0.0"/>
        <s v="https://ifai-my.sharepoint.com/:f:/g/personal/samuel_partida_inai_org_mx/EutuUMrVR9BGmwCVIIiGg6EBGlJGKRARU4MdZbLaNNjV-A?e=2N4gbq"/>
        <s v="https://172.20.32.20/svn/Pizarras4/tags"/>
        <s v="https://172.20.32.20/svn/MIGRACION_LIFERAY73/branches/DEV/Portlets/Buscador"/>
        <s v="https://172.20.32.20/svn/PNT_V3/trunk/Back-end/Sigemi-pnt3-api-rest"/>
        <s v="https://devbuscadorinteligente.plataformadetransparencia.org.mx/temas"/>
        <s v="https://devbuscadorinteligente.plataformadetransparencia.org.mx/buscador/results"/>
        <s v="https://172.20.32.20/svn/PNT_mediosImpugnacion/tags/SIGEMI_WS_Version_2.1.0_rc_20230123"/>
        <s v="http://repositoriosdgis.ifai.org.mx/Pagina%20Web/Actividades%202023/03-Marzo-2023/Observaciones%20al%20Micrositio%20Servicio%20Profecional.docx"/>
        <s v="http://repositoriosdgis.ifai.org.mx/Pagina%20Web/Actividades%202023/03-Marzo-2023/ACTUALIZACION%20DE%20PROYECTOS%20DE%20LA%20SEMANA%20DEL%2017%20DE%20MARZO%20AL%2023%20DE%20MARZO%20DEL%202023.docx"/>
        <s v="http://repositoriosdgis.ifai.org.mx/Pagina%20Web/Actividades%202023/03-Marzo-2023/Actualizaci%C3%B3n%20Solicitud%20de%20Informaci%C3%B3n.docx"/>
        <s v="http://repositoriosdgis.ifai.org.mx/Pagina%20Web/Actividades%202023/03-Marzo-2023/Redireccionamiento%20de%20p%C3%A1ginas%20Abramos%20M%C3%A9xico.docx"/>
        <s v="https://www.google.com/url?q=https://teams.microsoft.com/l/meetup-join/19%253ameeting_NDc1M2ZjNTEtNWExOS00NjgxLWJkNDEtYzc5YmNkMDMxOWQ3%2540thread.v2/0?context%3D%257b%2522Tid%2522%253a%25224e6a317c-9761-4ff0-8de8-4d166927ec3b%2522%252c%2522Oid%2522%253a%2522abee1892-ec1b-4a00-9846-e199aa4672c5%2522%257d&amp;sa=D&amp;source=calendar&amp;ust=1679167545876696&amp;usg=AOvVaw0S2jZhpsFSDCN8NmEz0Xn3"/>
        <s v="http://repositoriosdgis.ifai.org.mx/Pagina%20Web/Actividades%202023/03-Marzo-2023/Concurso%20de%20Historieta%20Infantil.docx"/>
        <s v="http://repositoriosdgis.ifai.org.mx/Pagina%20Web/Actividades%202023/03-Marzo-2023/Consejo%20Consultivo.docx"/>
        <s v="http://repositoriosdgis.ifai.org.mx/Pagina%20Web/Actividades%202023/03-Marzo-2023/Lectura%20de%20minutas.docx"/>
        <s v="http://repositoriosdgis.ifai.org.mx/Pagina%20Web/Actividades%202023/03-Marzo-2023/P%C3%A1gina%20web%20Registro%20de%20Eventos.docx"/>
        <s v="http://repositoriosdgis.ifai.org.mx/Pagina%20Web/Actividades%202023/03-Marzo-2023/Micrositio%20Promoci%C3%B3n%20y%20Vinculaci%C3%B3n%20con%20la%20Sociedad.docx"/>
        <s v="http://repositoriosdgis.ifai.org.mx/Pagina%20Web/Actividades%202023/03-Marzo-2023/Directorio%20Pleno%20ni%C3%B1os.docx"/>
        <s v="http://repositoriosdgis.ifai.org.mx/Pagina%20Web/Actividades%202023/03-Marzo-2023/Solicitudes%20%20de%20Usuarios%20Pleno%20ni%C3%B1os%202023.docx"/>
        <s v="http://repositoriosdgis.ifai.org.mx/Pagina%20Web/Actividades%202023/03-Marzo-2023/Actualizaci%C3%B3n%20Micrositio%20Cuento.docx"/>
        <s v="http://repositoriosdgis.ifai.org.mx/Pagina%20Web/Actividades%202023/03-Marzo-2023/Actualizaci%C3%B3n%20liga%20You%20Tube.docx"/>
        <s v="http://repositoriosdgis.ifai.org.mx/Pagina%20Web/Actividades%202023/03-Marzo-2023/Cambio%20de%20imagen%20PROSEDE.docx"/>
        <s v="http://repositoriosdgis.ifai.org.mx/Pagina%20Web/Actividades%202023/03-Marzo-2023/Dise%C3%B1o%20Concurso%20Nacional%20Universitario%202023.docx"/>
        <s v="http://repositoriosdgis.ifai.org.mx/Pagina%20Web/Actividades%202023/03-Marzo-2023/creaci%C3%B3n%20Concurso%20Nacional%20de%20Spot%20de%20Radio.docx"/>
        <s v="http://repositoriosdgis.ifai.org.mx/Pagina%20Web/Actividades%202023/03-Marzo-2023/Actualizaci%C3%B3n%20de%20avance%20de%20proyecto.docx"/>
        <s v="http://repositoriosdgis.ifai.org.mx/Pagina%20Web/Actividades%202023/03-Marzo-2023/Prueba%20EIPDP.docx"/>
        <s v="http://repositoriosdgis.ifai.org.mx/Pagina%20Web/Actividades%202023/03-Marzo-2023/Actualizaci%C3%B3n%20Micrositio%20Trabajo%20Universitario.docx"/>
        <s v="http://repositoriosdgis.ifai.org.mx/Pagina%20Web/Actividades%202023/03-Marzo-2023/Banco%20de%20practicas.docx"/>
        <s v="http://repositoriosdgis.ifai.org.mx/Pagina%20Web/Actividades%202023/03-Marzo-2023/P%C3%A1gina%20Web.docx"/>
        <s v="https://teams.microsoft.com/l/meetup-join/19%3ameeting_ODE2NTZkZDktYWJmNC00YTdiLTk2MjktYWM2MjA0MzQwNTUy%40thread.v2/0?context=%7b%22Tid%22%3a%224e6a317c-9761-4ff0-8de8-4d166927ec3b%22%2c%22Oid%22%3a%2257195589-7096-49aa-a4ed-62b966ed50fc%22%7d"/>
        <s v="http://repositoriosdgis.ifai.org.mx/Pagina%20Web/Actividades%202023/03-Marzo-2023/PRESENTACI%C3%93N%20DE%20INFORME.docx"/>
        <s v="http://repositoriosdgis.ifai.org.mx/Pagina%20Web/Actividades%202023/03-Marzo-2023/Cambios%20en%20sitio%20Informes%20de%20Labores.docx"/>
        <s v="https://www.google.com/url?q=https://teams.microsoft.com/l/meetup-join/19%253ameeting_NTlkYzYzOTAtNjlhNC00Njg0LWE3NGEtOWE2NDZlMWIwYTcz%2540thread.v2/0?context%3D%257b%2522Tid%2522%253a%25224e6a317c-9761-4ff0-8de8-4d166927ec3b%2522%252c%2522Oid%2522%253a%252257195589-7096-49aa-a4ed-62b966ed50fc%2522%257d&amp;sa=D&amp;source=calendar&amp;usd=2&amp;usg=AOvVaw1IDzCNxHwE-F5QvnBEEWsz"/>
        <s v="http://repositoriosdgis.ifai.org.mx/Pagina%20Web/Actividades%202023/03-Marzo-2023/Modificacion%20Banco%20de%20Practica.docx"/>
        <s v="https://teams.microsoft.com/l/meetup-join/19%3ameeting_MTI4NTc1ZWUtM2U2OS00ODVlLThjMjctYjNmMjdlYTkzZGFk%40thread.v2/0?context=%7b%22Tid%22%3a%224e6a317c-9761-4ff0-8de8-4d166927ec3b%22%2c%22Oid%22%3a%2257195589-7096-49aa-a4ed-62b966ed50fc%22%7d"/>
        <s v="https://teams.microsoft.com/l/meetup-join/19%3ameeting_MTMxZWY2ZDItOTUwOS00Nzk0LThmNWUtYzJkMzkwOTAxNTEx%40thread.v2/0?context=%7b%22Tid%22%3a%224e6a317c-9761-4ff0-8de8-4d166927ec3b%22%2c%22Oid%22%3a%2257195589-7096-49aa-a4ed-62b966ed50fc%22%7d"/>
        <s v="https://www.google.com/url?q=https://teams.microsoft.com/l/meetup-join/19%253ameeting_NDc1M2ZjNTEtNWExOS00NjgxLWJkNDEtYzc5YmNkMDMxOWQ3%2540thread.v2/0?context%3D%257b%2522Tid%2522%253a%25224e6a317c-9761-4ff0-8de8-4d166927ec3b%2522%252c%2522Oid%2522%253a%2522abee1892-ec1b-4a00-9846-e199aa4672c5%2522%257d&amp;sa=D&amp;source=calendar&amp;ust=1680114066948899&amp;usg=AOvVaw2IRZsjb6XhxLRT-jh0euQk"/>
        <s v="https://teams.microsoft.com/l/meetup-join/19%3ameeting_MDE1MzExYTctZDFkNy00ZDZjLWJmMzYtZWUyZDM2ODhjZmEx%40thread.v2/0?context=%7b%22Tid%22%3a%224e6a317c-9761-4ff0-8de8-4d166927ec3b%22%2c%22Oid%22%3a%2257195589-7096-49aa-a4ed-62b966ed50fc%22%7d"/>
        <s v="http://repositoriosdgis.ifai.org.mx/Pagina%20Web/Actividades%202023/03-Marzo-2023/Actualizaci%C3%B3n%20Micrositio%20Identidad%20Segura.docx"/>
        <s v="https://172.20.32.20/svn/PNT_SISAI_V2/DEV/code/servicesSISAI2"/>
        <s v="https://172.20.32.20/svn/PNT_FRONT/PNT_BUSCADORINTELIGENTE/branches/buscador-inteligente-app/"/>
        <s v="https://172.20.32.20/svn/Pizarras4/tags/backend/API-RutasImplementacion_v3"/>
        <s v="http://repositoriosdgis.ifai.org.mx"/>
        <s v="https://www.google.com/url?q=https://teams.microsoft.com/l/meetup-join/19%253ameeting_NDc1M2ZjNTEtNWExOS00NjgxLWJkNDEtYzc5YmNkMDMxOWQ3%2540thread.v2/0?context%3D%257b%2522Tid%2522%253a%25224e6a317c-9761-4ff0-8de8-4d166927ec3b%2522%252c%2522Oid%2522%253a%2522abee1892-ec1b-4a00-9846-e199aa4672c5%2522%257d&amp;sa=D&amp;source=calendar&amp;ust=1683684135507459&amp;usg=AOvVaw2Lo_z7CNhLfwnUI6LV8Yr2"/>
        <s v="https://www.google.com/url?q=https://teams.microsoft.com/l/meetup-join/19%253ameeting_NDc1M2ZjNTEtNWExOS00NjgxLWJkNDEtYzc5YmNkMDMxOWQ3%2540thread.v2/0?context%3D%257b%2522Tid%2522%253a%25224e6a317c-9761-4ff0-8de8-4d166927ec3b%2522%252c%2522Oid%2522%253a%2522abee1892-ec1b-4a00-9846-e199aa4672c5%2522%257d&amp;sa=D&amp;source=calendar&amp;ust=1683684141480477&amp;usg=AOvVaw2_WIVPvP1cWhz-6xjd9lLc"/>
        <s v="https://app.powerbi.com/view?r=eyJrIjoiNTJkYThhZDgtZDRiMC00Y2MzLWJlNDYtZDNkNWNmYjc0ZDBlIiwidCI6IjI2ZjlkZDhhLTg2OTEtNGZjZC05MTU5LWI5ODMwZWFjOTk3YiJ9&amp;embedImagePlaceholder=true"/>
        <s v="https://172.20.32.20/svn/MIGRACION_LIFERAY73"/>
        <s v="http://repositoriosdgis.ifai.org.mx/Pagina%20Web/Actividades%202023/05-Mayo-2023/Actualizacion%20micrositio%20DDHIG.docx"/>
        <s v="http://repositoriosdgis.ifai.org.mx/Pagina%20Web/Actividades%202023/05-Mayo-2023/Actualizacion%20comite%20de%20Etica.docx"/>
        <s v="http://repositoriosdgis.ifai.org.mx/Pagina%20Web/Actividades%202023/05-Mayo-2023/Modificacion%20ortografica.docx"/>
        <s v="http://repositoriosdgis.ifai.org.mx/Pagina%20Web/Actividades%202023/05-Mayo-2023/Actualizacion%20micrositio%20de%20innovacion%20y%20buena%20practica.docx"/>
        <s v="http://repositoriosdgis.ifai.org.mx/Pagina%20Web/Actividades%202023/05-Mayo-2023/Actualizacion%20mayo.docx"/>
        <s v="http://repositoriosdgis.ifai.org.mx/Pagina%20Web/Actividades%202023/05-Mayo-2023/validacion%20micrositio.docx"/>
        <s v="http://repositoriosdgis.ifai.org.mx/Pagina%20Web/Actividades%202023/05-Mayo-2023/Actualizacion%20micrositio%20oficina%20de%20control.docx"/>
        <s v="http://repositoriosdgis.ifai.org.mx/Pagina%20Web/Actividades%202023/05-Mayo-2023/actualizacion%20avance%20de%20proyectos.docx"/>
        <s v="http://repositoriosdgis.ifai.org.mx/Pagina%20Web/Actividades%202023/05-Mayo-2023/Reporte%20procede.docx"/>
        <s v="http://repositoriosdgis.ifai.org.mx/Pagina%20Web/Actividades%202023/05-Mayo-2023/Registros.docx"/>
        <s v="http://repositoriosdgis.ifai.org.mx/Pagina%20Web/Actividades%202023/05-Mayo-2023/liga%20certamen.docx"/>
        <s v="http://repositoriosdgis.ifai.org.mx/Pagina%20Web/Actividades%202023/06-%20Junio%202023/actualizacion%20gobierno%20abierto.docx"/>
        <s v="http://repositoriosdgis.ifai.org.mx/Pagina%20Web/Actividades%202023/06-%20Junio%202023/actualizacion%20pleno%20ni%C3%B1os%202023.docx"/>
        <s v="http://repositoriosdgis.ifai.org.mx/Pagina%20Web/Actividades%202023/06-%20Junio%202023/actualizacion%20de%20proyecto%20uno.docx"/>
        <s v="http://repositoriosdgis.ifai.org.mx/Pagina%20Web/Actividades%202023/06-%20Junio%202023/actualizacion%20pdp.docx"/>
        <s v="http://repositoriosdgis.ifai.org.mx/Pagina%20Web/Actividades%202023/06-%20Junio%202023/micrositio%20planeacion.docx"/>
        <s v="http://repositoriosdgis.ifai.org.mx/Pagina%20Web/Actividades%202023/06-%20Junio%202023/carga%20publica.docx"/>
        <s v="http://repositoriosdgis.ifai.org.mx/Pagina%20Web/Actividades%202023/06-%20Junio%202023/modificacion%20sitio%20DGPVS.docx"/>
        <s v="http://repositoriosdgis.ifai.org.mx/Pagina%20Web/Actividades%202023/06-%20Junio%202023/Pagina%20web.docx"/>
        <s v="http://repositoriosdgis.ifai.org.mx/Pagina%20Web/Actividades%202023/06-%20Junio%202023/actualizacion%20comite%20de%20etica%202.docx"/>
        <s v="http://repositoriosdgis.ifai.org.mx/Pagina%20Web/Actividades%202023/06-%20Junio%202023/actualizacion%20sitio%20certamen.docx"/>
        <s v="http://repositoriosdgis.ifai.org.mx/Pagina%20Web/Actividades%202023/06-%20Junio%202023/actualizacion%20avance%20de%20proyecto.docx"/>
        <s v="http://repositoriosdgis.ifai.org.mx/Pagina%20Web/Actividades%202023/06-%20Junio%202023/actualizacion%20Eventos.docx"/>
        <s v="http://repositoriosdgis.ifai.org.mx/Pagina%20Web/Actividades%202023/06-%20Junio%202023/Carga%20ICIC.docx"/>
        <s v="http://repositoriosdgis.ifai.org.mx/Pagina%20Web/Actividades%202023/06-%20Junio%202023/actualizacion%20avance%20de%20proyecto%202.docx"/>
        <s v="http://repositoriosdgis.ifai.org.mx/Pagina%20Web/Actividades%202023/06-%20Junio%202023/Actualizacion%20ICIC.docx"/>
        <s v="http://repositoriosdgis.ifai.org.mx/Pagina%20Web/Actividades%202023/06-%20Junio%202023/actualizacion%20consultas.docx"/>
        <s v="http://repositoriosdgis.ifai.org.mx/Pagina%20Web/Actividades%202023/06-%20Junio%202023/liga%20certamen.docx"/>
        <s v="http://repositoriosdgis.ifai.org.mx/Pagina%20Web/Actividades%202023/06-%20Junio%202023/actualizacion%20micrositio.docx"/>
        <s v="http://repositoriosdgis.ifai.org.mx/Pagina%20Web/Actividades%202023/06-%20Junio%202023/Actividades%20ODOO.docx"/>
        <s v="http://repositoriosdgis.ifai.org.mx/Pagina%20Web/Actividades%202023/06-%20Junio%202023/Consejo%20consultivo.docx"/>
        <s v="http://repositoriosdgis.ifai.org.mx/Pagina%20Web/Actividades%202023/06-%20Junio%202023/unidad%20de%20transparencia.docx"/>
        <s v="http://repositoriosdgis.ifai.org.mx/Pagina%20Web/Actividades%202023/06-%20Junio%202023/actualizacion%20de%20avance%20de%20proyectos.docx"/>
        <s v="http://repositoriosdgis.ifai.org.mx/Pagina%20Web/Actividades%202023/06-%20Junio%202023/actualizacion%20servicio%20profecional.docx"/>
        <s v="http://repositoriosdgis.ifai.org.mx/Pagina%20Web/Actividades%202023/06-%20Junio%202023/gobierno%20abierto.docx"/>
        <s v="http://repositoriosdgis.ifai.org.mx/Pagina%20Web/Actividades%202023/06-%20Junio%202023/Resoluciones.docx"/>
        <s v="http://repositoriosdgis.ifai.org.mx/Pagina%20Web/Actividades%202023/06-%20Junio%202023/Actualizacion%20%20Resoluciones.docx"/>
        <s v="https://172.20.32.20/svn/PNT_V3/trunk/Back-end/Modulo-usuarios-pnt3-api-rest"/>
        <s v="http://repositoriosdgis.ifai.org.mx/Pagina%20Web/Actividades%202023/07-Julio-2023/Expediente%20Resoluciones.docx"/>
        <s v="http://repositoriosdgis.ifai.org.mx/Pagina%20Web/Actividades%202023/07-Julio-2023/Requerimientos%20de%20aplicaciones%20web.docx"/>
        <s v="http://repositoriosdgis.ifai.org.mx/Pagina%20Web/Actividades%202023/07-Julio-2023/actualizacion%20pagina%20inai.docx"/>
        <s v="http://repositoriosdgis.ifai.org.mx/Pagina%20Web/Actividades%202023/07-Julio-2023/actualizacion%20de%20inventario%20de%20micrositios.docx"/>
        <s v="http://repositoriosdgis.ifai.org.mx/Pagina%20Web/Actividades%202023/07-Julio-2023/Actualizacion%20micrositio%20MIPYME.docx"/>
        <s v="http://repositoriosdgis.ifai.org.mx/Pagina%20Web/Actividades%202023/07-Julio-2023/actualizacion%20de%20avance%20de%20proyecto.docx"/>
        <s v="http://repositoriosdgis.ifai.org.mx/Pagina%20Web/Actividades%202023/07-Julio-2023/carga%20de%20responsable%20de%20Resoluciones.docx"/>
        <s v="http://repositoriosdgis.ifai.org.mx/Pagina%20Web/Actividades%202023/07-Julio-2023/Busqueda%20de%20ID%20de%20Resoluciones.docx"/>
        <s v="http://repositoriosdgis.ifai.org.mx/Pagina%20Web/Actividades%202023/07-Julio-2023/actualizacion%20de%20fecha%20de%20micrositio.docx"/>
        <s v="http://repositoriosdgis.ifai.org.mx/Pagina%20Web/Actividades%202023/07-Julio-2023/Actualizacion%20busqueda%20de%20Resoluciones.docx"/>
        <s v="http://repositoriosdgis.ifai.org.mx/Pagina%20Web/Actividades%202023/07-Julio-2023/Apoyo%20en%20formulario%20de%20registros.docx"/>
        <s v="http://repositoriosdgis.ifai.org.mx/Pagina%20Web/Actividades%202023/07-Julio-2023/Actualizacion%20de%20avance%20de%20proyecto%202.docx"/>
        <s v="http://repositoriosdgis.ifai.org.mx/Pagina%20Web/Actividades%202023/07-Julio-2023/Monitoreo%20PNT%20%2017072023.docx"/>
        <s v="http://repositoriosdgis.ifai.org.mx/Pagina%20Web/Actividades%202023/07-Julio-2023/Monitoreo%20PNT%20%2018072023.docx"/>
        <s v="http://repositoriosdgis.ifai.org.mx/Pagina%20Web/Actividades%202023/07-Julio-2023/Reporte%20monitoreo%20PNT%2020230719.docx"/>
        <s v="http://repositoriosdgis.ifai.org.mx/Pagina%20Web/Actividades%202023/07-Julio-2023/Monitoreo%20PNT%20%2020230720.docx"/>
        <s v="http://repositoriosdgis.ifai.org.mx/Pagina%20Web/Actividades%202023/07-Julio-2023/Monitoreo%20PNT%20%2021072023.docx"/>
        <s v="http://repositoriosdgis.ifai.org.mx/Pagina%20Web/Actividades%202023/07-Julio-2023/Monitoreo%20PNT%20%2024072023.docx"/>
        <s v="http://repositoriosdgis.ifai.org.mx/Pagina%20Web/Actividades%202023/07-Julio-2023/Monitoreo%20PNT.docx"/>
        <s v="http://repositoriosdgis.ifai.org.mx/Pagina%20Web/Actividades%202023/07-Julio-2023/Monitoreo%20PNT%2027072023.docx"/>
        <s v="https://ifai-my.sharepoint.com/:w:/r/personal/samuel_partida_inai_org_mx/_layouts/15/Doc.aspx?sourcedoc=%7B02FEEE52-24CD-4F94-BBE7-27EFD149FE59%7D&amp;file=Querys%20Ponencia_MejoraNReyes.docx&amp;action=default&amp;mobileredirect=true"/>
        <s v="https://ifai-my.sharepoint.com/:f:/g/personal/samuel_partida_inai_org_mx/EhnHp-X2lStGg5P2QwlBuq8BbjTg9fMK54TAiA0jZ_ZP8w?e=JrfLBh"/>
        <s v="https://ifai-my.sharepoint.com/:w:/r/personal/samuel_partida_inai_org_mx/_layouts/15/Doc.aspx?sourcedoc=%7B857C1DE6-C80B-4619-955C-110C6CF83906%7D&amp;file=Querys%20SISAI%20Avances%20Mejoras%20Julio23.docx&amp;action=default&amp;mobileredirect=true"/>
        <s v="https://teams.microsoft.com/l/meetup-join/19%3ameeting_ODVhOGVlZjEtNTBiYi00YmZlLWE4YTctNjU1ZWE1MGE3ZDgw%40thread.v2/0?context=%7b%22Tid%22%3a%224e6a317c-9761-4ff0-8de8-4d166927ec3b%22%2c%22Oid%22%3a%2237cb4d22-67dc-4b0b-8a9b-c056152d8661%22%7d"/>
        <s v="https://ifai-my.sharepoint.com/:w:/r/personal/samuel_partida_inai_org_mx/_layouts/15/Doc.aspx?sourcedoc=%7B7B4B462A-5BD6-4703-9C97-9263404EF901%7D&amp;file=PRO-AA-NN-P29-Reporte%20de%20Actividades.docx&amp;action=default&amp;mobileredirect=true"/>
        <s v="https://ifai-my.sharepoint.com/:w:/r/personal/samuel_partida_inai_org_mx/_layouts/15/Doc.aspx?sourcedoc=%7B92F2CF33-67E3-4DC2-9E3B-3E37B65C844D%7D&amp;file=PRO-AA-NN-P29-Reporte%20de%20Actividades%20NRG_210823.docx&amp;action=default&amp;mobileredirect=true"/>
        <s v="https://docs.oracle.com/en/database/oracle/simple-oracle-document-access/"/>
        <s v="https://docs.oracle.com/en/database/oracle/simple-oracle-document-access/adsdi/overview-soda.html#GUID-BE42F8D3-B86B-43B4-B2A3-5760A4DF79FB"/>
        <s v="https://docs.oracle.com/en/database/oracle/simple-oracle-document-access/adsdi/overview-soda-filter-specifications-qbes.html#GUID-CB09C4E3-BBB1-40DC-88A8-8417821B0FBE"/>
        <s v="https://docs.oracle.com/en/database/oracle/simple-oracle-document-access/adsdi/soda-index-specifications-reference.html#GUID-00C06941-6FFD-4CEB-81B6-9A7FBD577A2C"/>
        <s v="https://docs.oracle.com/en/database/oracle/simple-oracle-document-access/adsdi/soda-collection-metadata-components-reference.html#GUID-49EFF3D3-9FAB-4DA6-BDE2-2650383566A3"/>
        <s v="http://172.16.33.34:8000/ND%202023/Forms/AllItems.aspx?RootFolder=%2FND%202023%2FAdministraci%C3%B3n%20del%20Servicio%2FEntregables%2FDirecci%C3%B3n%20de%20Sistemas%2FSAI%2FEvidencias%20PRODATOS%2F08%20AGOSTO%2FVOLUMETRIA&amp;FolderCTID=0x01200053FBB37AD7924441AB8C15E0CC4A0DE4&amp;View={592DB672-1E31-468C-AB01-34C34FC55CBC}"/>
        <s v="http://172.16.33.34:8000/ND%202023/Forms/AllItems.aspx?RootFolder=%2FND%202023%2FAdministraci%C3%B3n%20del%20Servicio%2FEntregables%2FDirecci%C3%B3n%20de%20Sistemas%2FSAI%2FEvidencias%20PRODATOS%2F08%20AGOSTO%2FlOGS&amp;FolderCTID=0x01200053FBB37AD7924441AB8C15E0CC4A0DE4&amp;View={592DB672-1E31-468C-AB01-34C34FC55CBC}"/>
        <s v="http://172.16.33.34:8000/ND%202023/Forms/AllItems.aspx?RootFolder=%2FND%202023%2FAdministraci%C3%B3n%20del%20Servicio%2FEntregables%2FDirecci%C3%B3n%20de%20Sistemas%2FSAI%2FEvidencias%20PRODATOS%2F08%20AGOSTO%2FOPENTEXT&amp;FolderCTID=0x01200053FBB37AD7924441AB8C15E0CC4A0DE4&amp;View={592DB672-1E31-468C-AB01-34C34FC55CBC}"/>
        <s v="http://repositoriosdgis.ifai.org.mx/Pagina%20Web/Actividades%202023/08-Agosto-2023/Actualizacion%20busqueda%20de%20Resoluciones.docx"/>
        <s v="http://repositoriosdgis.ifai.org.mx/Pagina%20Web/Actividades%202023/08-Agosto-2023/certamen%20e%20innovacion.docx"/>
        <s v="http://repositoriosdgis.ifai.org.mx/Pagina%20Web/Actividades%202023/08-Agosto-2023/Reporte%20de%20actividades%20agosto.docx"/>
        <s v="http://repositoriosdgis.ifai.org.mx/Pagina%20Web/Actividades%202023/08-Agosto-2023/Actualizacion%20micrositio%20control%20interno.docx"/>
        <s v="http://repositoriosdgis.ifai.org.mx/Pagina%20Web/Actividades%202023/08-Agosto-2023/Revista%20sociedad%20y%20transparencia.docx"/>
        <s v="http://repositoriosdgis.ifai.org.mx/Pagina%20Web/Actividades%202023/08-Agosto-2023/gobierno%20abierto%20y%20transparencia.docx"/>
        <s v="https://teams.microsoft.com/l/meetup-join/19%3ameeting_MGYwYzBkNjMtMzU0NS00NDk0LWFlYTEtZDdiMDI3NzUwZWZi%40thread.v2/0?context=%7b%22Tid%22%3a%224e6a317c-9761-4ff0-8de8-4d166927ec3b%22%2c%22Oid%22%3a%2257195589-7096-49aa-a4ed-62b966ed50fc%22%7d"/>
        <s v="http://repositoriosdgis.ifai.org.mx/Pagina%20Web/Actividades%202023/08-Agosto-2023/Actualizacion%20SACP.docx"/>
        <s v="http://172.20.32.120:9000"/>
        <s v="http://172.20.32.120:5000"/>
        <s v="http://172.20.32.118:8080"/>
        <s v="172.20.32.113-117"/>
        <s v="172.20.32.120"/>
        <s v="https://172.20.32.20/svn/PNT_MICROSERVICIOS/branches/"/>
        <s v="http://repositoriosdgis.ifai.org.mx/Pagina%20Web/Actividades%202023/09-septiembre-2023/actividades%20mes%20de%20septiembre.docx"/>
        <s v="https://teams.microsoft.com/l/meetup-join/19%3ameeting_M2RiOTY5MjEtNDA5OS00OWE5LTgzNjktNGE5MWU3Y2NlZmEx%40thread.v2/0?context=%7b%22Tid%22%3a%224e6a317c-9761-4ff0-8de8-4d166927ec3b%22%2c%22Oid%22%3a%2257195589-7096-49aa-a4ed-62b966ed50fc%22%7d"/>
        <s v="http://repositoriosdgis.ifai.org.mx/Pagina%20Web/Actividades%202023/09-septiembre-2023/Revista%20sociedad%20y%20transparencia.docx"/>
        <s v="http://repositoriosdgis.ifai.org.mx/Pagina%20Web/Actividades%202023/09-septiembre-2023/Actualizacion%20micrositio%20control%20interno.docx"/>
        <s v="http://repositoriosdgis.ifai.org.mx/Pagina%20Web/Actividades%202023/09-septiembre-2023/miembros%20pleno.docx"/>
        <s v="http://repositoriosdgis.ifai.org.mx/Pagina%20Web/Actividades%202023/09-septiembre-2023/miembros%20adherentes.docx"/>
        <s v="http://repositoriosdgis.ifai.org.mx/Pagina%20Web/Actividades%202023/09-septiembre-2023/Miembro%20observador%20y%20socios%20cooperacion.docx"/>
        <s v="\\vcifs\tercerizado2023\Evidencias Tercerización 2023\Ingeniero de Prueba\Septiembre\Semana 1"/>
        <s v="\\vcifs\tercerizado2023\Evidencias Tercerización 2023\Ingeniero de Prueba\Septiembre\Semana 2"/>
        <s v="\\vcifs\tercerizado2023\Evidencias Tercerización 2023\Ingeniero de Prueba\Septiembre\Semana 3"/>
        <s v="\\vcifs\tercerizado2023\Evidencias Tercerización 2023\Ingeniero de Prueba\Septiembre\Semana 4"/>
        <s v="https://ifai-my.sharepoint.com/:w:/r/personal/samuel_partida_inai_org_mx/_layouts/15/Doc.aspx?sourcedoc=%7BE1C9D5F0-1998-4F6F-AA50-AD0234A43E1F%7D&amp;file=Simple%20Oracle%20Document%20Access%20Information%20NRG.docx&amp;action=default&amp;mobileredirect=true"/>
        <s v="https://ifai-my.sharepoint.com/:w:/r/personal/samuel_partida_inai_org_mx/_layouts/15/Doc.aspx?sourcedoc=%7B98EA4DE4-9A7E-4E1F-9820-3D91C5833AC2%7D&amp;file=MongoDBNoSQL_OrientadaADocumentos_NRG.docx&amp;action=default&amp;mobileredirect=true"/>
        <s v="https://ifai-my.sharepoint.com/personal/samuel_partida_inai_org_mx/_layouts/15/onedrive.aspx?ga=1&amp;id=%2Fpersonal%2Fsamuel%5Fpartida%5Finai%5Forg%5Fmx%2FDocuments%2FOPTIMIZAR%5FQUERYS%5FSISAI%5FSIGEMI%2FMongoDBNoEstructuradas%5FNRG%2Epdf&amp;parent=%2Fpersonal%2Fsamuel%5Fpartida%5Finai%5Forg%5Fmx%2FDocuments%2FOPTIMIZAR%5FQUERYS%5FSISAI%5FSIGEMI"/>
        <s v="https://ifai-my.sharepoint.com/:w:/r/personal/samuel_partida_inai_org_mx/_layouts/15/Doc.aspx?sourcedoc=%7B3E0B597C-177D-4332-BF69-1CAAE80C3BFE%7D&amp;file=Querys_Estadisiticas_Totales.docx&amp;action=default&amp;mobileredirect=true"/>
        <s v="https://ifai-my.sharepoint.com/:w:/r/personal/samuel_partida_inai_org_mx/_layouts/15/Doc.aspx?sourcedoc=%7BB2D2E97A-3869-4BD0-816C-4DC330308770%7D&amp;file=Final%20Ficha%20estad%C3%ADstica%202023.docx&amp;action=default&amp;mobileredirect=true"/>
        <s v="https://ifai-my.sharepoint.com/:w:/r/personal/samuel_partida_inai_org_mx/_layouts/15/Doc.aspx?sourcedoc=%7BE3893BBE-E71E-4A16-B776-AACBCF429F22%7D&amp;file=Querys_Estadisiticas_Totales_NReyes.docx&amp;action=default&amp;mobileredirect=true"/>
        <s v="https://ifai-my.sharepoint.com/:w:/r/personal/samuel_partida_inai_org_mx/_layouts/15/Doc.aspx?sourcedoc=%7BE86B8887-5B44-4E6E-9769-3D4691D4B621%7D&amp;file=Final%20Ficha%20estad%C3%ADstica%202023_NReyes.docx&amp;action=default&amp;mobileredirect=true"/>
        <s v="https://github.com/INAIMexico/pnt-microservicios-estadisticos"/>
        <s v="https://172.20.32.20/svn/FIRMA_ELECTRONICA_2/trunk/Firma-electronica-app-front-end"/>
        <s v="http://repositoriosdgis.ifai.org.mx/Pagina%20Web/Actividades%202023/10-octubre-2023/actividades%20del%20mes%20de%20octubre.docx"/>
        <s v="http://repositoriosdgis.ifai.org.mx/Pagina%20Web/Actividades%202023/10-octubre-2023/actualizacion%20consejo%20consultivo.docx"/>
        <s v="http://repositoriosdgis.ifai.org.mx/Pagina%20Web/Actividades%202023/10-octubre-2023/actualizacion%20RTA%20Cooperacion.docx"/>
        <s v="http://repositoriosdgis.ifai.org.mx/Pagina%20Web/Actividades%202023/10-octubre-2023/Miembro%20observador%20y%20socios%20cooperacion.docx"/>
        <s v="http://repositoriosdgis.ifai.org.mx/Pagina%20Web/Actividades%202023/10-octubre-2023/RTA%20consejo%20directivo.docx"/>
        <s v="http://repositoriosdgis.ifai.org.mx/Pagina%20Web/Actividades%202023/10-octubre-2023/Actualizaciones%20Octubre.docx"/>
        <s v="http://repositoriosdgis.ifai.org.mx/Pagina%20Web/Actividades%202023/10-octubre-2023/actualizacion%20avance%20de%20proyecto%20semana%202.docx"/>
        <s v="http://repositoriosdgis.ifai.org.mx/Pagina%20Web/Actividades%202023/10-octubre-2023/actualizacion%20repositorio.docx"/>
        <s v="http://repositoriosdgis.ifai.org.mx/Pagina%20Web/Actividades%202023/10-octubre-2023/actualizacion%20inventarios%20micrositio.docx"/>
        <s v="http://repositoriosdgis.ifai.org.mx/Pagina%20Web/Actividades%202023/10-octubre-2023/Actualizacion%20SACP.docx"/>
        <s v="http://repositoriosdgis.ifai.org.mx/Pagina%20Web/Actividades%202023/10-octubre-2023/actualizacion%20CIT.docx"/>
        <s v="http://repositoriosdgis.ifai.org.mx/Pagina%20Web/Actividades%202023/10-octubre-2023/actualizaciones%20sitios.docx"/>
        <s v="http://repositoriosdgis.ifai.org.mx/Pagina%20Web/Actividades%202023/10-octubre-2023/Insumo%20criterios%20de%20SNT.docx"/>
        <s v="http://repositoriosdgis.ifai.org.mx/Pagina%20Web/Actividades%202023/10-octubre-2023/actualizacion%20control%20interno.docx"/>
        <s v="http://repositoriosdgis.ifai.org.mx/Pagina%20Web/Actividades%202023/10-octubre-2023/actualizacion%20avance%20de%20preyectos.docx"/>
        <s v="http://repositoriosdgis.ifai.org.mx/Pagina%20Web/Actividades%202023/10-octubre-2023/estatus%20de%20requerimiento.docx"/>
        <s v="https://teams.microsoft.com/l/meetup-join/19%3ameeting_M2U3YzhkZjYtNjFlOS00MjAyLTg0NDQtNmYyNzU5OTQ1NTI3%40thread.v2/0?context=%7b%22Tid%22%3a%224e6a317c-9761-4ff0-8de8-4d166927ec3b%22%2c%22Oid%22%3a%2257195589-7096-49aa-a4ed-62b966ed50fc%22%7d"/>
        <s v="http://repositoriosdgis.ifai.org.mx/Pagina%20Web/Actividades%202023/10-octubre-2023/Modificacion%20de%20control%20de%20cambios.docx"/>
        <s v="http://repositoriosdgis.ifai.org.mx/Pagina%20Web/Actividades%202023/10-octubre-2023/RFC%20Micrositio%20-%20Criterios%20de%20Interpretacio%C3%ACn_actualizado.docx"/>
        <s v="http://repositoriosdgis.ifai.org.mx/Pagina%20Web/Actividades%202023/10-octubre-2023/Ajustes%20al%20sitio%20de%20RTA.docx"/>
        <s v="http://argocd.local.inai.org.mx"/>
        <s v="http://172.20.32.118:8080/"/>
        <s v="\\vcifs\tercerizado2023\Evidencias Tercerización 2023\Ingeniero de Prueba\Octubre\Semana 1"/>
        <s v="\\vcifs\tercerizado2023\Evidencias Tercerización 2023\Ingeniero de Prueba\Octubre\Semana 2"/>
        <s v="\\vcifs\tercerizado2023\Evidencias Tercerización 2023\Ingeniero de Prueba\Octubre\Semana 3"/>
        <s v="\\vcifs\tercerizado2023\Evidencias Tercerización 2023\Ingeniero de Prueba\Octubre\Semana 4"/>
        <s v="\\vcifs\tercerizado2023\Evidencias Tercerización 2023\Ingeniero de Prueba\Octubre\Semana 5"/>
        <s v="http://repositoriosdgis.ifai.org.mx/Pagina%20Web/Actividades%20Ricardo%20Olivares%202023/actividades%20octubre/rfc.png"/>
        <s v="http://repositoriosdgis.ifai.org.mx/Pagina%20Web/Actividades%20Ricardo%20Olivares%202023/actividades%20octubre/catalogos.png"/>
        <s v="http://repositoriosdgis.ifai.org.mx/Pagina%20Web/Actividades%20Ricardo%20Olivares%202023/actividades%20octubre/Basededatos.PNG"/>
        <s v="http://repositoriosdgis.ifai.org.mx/Pagina%20Web/Actividades%20Ricardo%20Olivares%202023/actividades%20octubre/tipoexpedientelistar.png"/>
        <s v="http://repositoriosdgis.ifai.org.mx/Pagina%20Web/Actividades%20Ricardo%20Olivares%202023/actividades%20octubre/tipoexpedienteregistrar.png"/>
        <s v="http://repositoriosdgis.ifai.org.mx/Pagina%20Web/Actividades%20Ricardo%20Olivares%202023/actividades%20octubre/tipoexpedienteeditar.png"/>
        <s v="http://repositoriosdgis.ifai.org.mx/Pagina%20Web/Actividades%20Ricardo%20Olivares%202023/actividades%20octubre/permisos.png"/>
        <s v="http://repositoriosdgis.ifai.org.mx/Pagina%20Web/Actividades%20Ricardo%20Olivares%202023/actividades%20octubre/aniosregistrar.png"/>
        <s v="http://repositoriosdgis.ifai.org.mx/Pagina%20Web/Actividades%20Ricardo%20Olivares%202023/actividades%20octubre/epocaeditar.png"/>
        <s v="http://repositoriosdgis.ifai.org.mx/Pagina%20Web/Actividades%20Ricardo%20Olivares%202023/actividades%20octubre/criterioseditar.png"/>
        <s v="http://repositoriosdgis.ifai.org.mx/Pagina%20Web/Actividades%20Ricardo%20Olivares%202023/actividades%20octubre/entidadeseditar.png"/>
        <s v="http://172.16.33.34:8000/SIPRON%20PIZARRAS%205/Forms/AllItems.aspx?RootFolder=%2FSIPRON%20PIZARRAS%205%2F02%20EJECUCI%C3%93N%2F01%20An%C3%A1lisis&amp;FolderCTID=0x01200022B549C5C30EBB44A4C1E26276D73DDB&amp;View={E9ADF662-9DA5-4848-BEED-BA9860EC1C11}"/>
        <s v="http://172.16.33.34:8000/SIPRON%20PIZARRAS%205/Forms/AllItems.aspx?RootFolder=%2FSIPRON%20PIZARRAS%205%2F02%20EJECUCI%C3%93N%2F02%20Dise%C3%B1o&amp;FolderCTID=0x01200022B549C5C30EBB44A4C1E26276D73DDB&amp;View={E9ADF662-9DA5-4848-BEED-BA9860EC1C11}"/>
        <s v="http://172.16.33.34:8000/SIPRON%20PIZARRAS%205/Forms/AllItems.aspx?RootFolder=%2FSIPRON%20PIZARRAS%205%2F01%20INICIO%20Y%20PLANEACI%C3%93N&amp;FolderCTID=0x01200022B549C5C30EBB44A4C1E26276D73DDB&amp;View={E9ADF662-9DA5-4848-BEED-BA9860EC1C11}"/>
        <s v="http://172.16.33.34:8000/SIPRON%20PIZARRAS%205/Forms/AllItems.aspx?RootFolder=%2FSIPRON%20PIZARRAS%205%2F03%20CONTROL%20Y%20SEGUIMIENTO%2FMEETS&amp;FolderCTID=0x01200022B549C5C30EBB44A4C1E26276D73DDB&amp;View={E9ADF662-9DA5-4848-BEED-BA9860EC1C11}"/>
        <s v="git@github.com:adanmgs/jurisdicfront.git "/>
        <s v="http://repositoriosdgis.ifai.org.mx/Pagina%20Web/Actividades%202023/11-Noviembre-2023/reporte%20actividad%20noviembre.docx"/>
        <s v="http://repositoriosdgis.ifai.org.mx/Pagina%20Web/Actividades%202023/11-Noviembre-2023/actividades%20de%20control%20elementos.docx"/>
        <s v="http://repositoriosdgis.ifai.org.mx/Pagina%20Web/Actividades%202023/11-Noviembre-2023/actividades%20de%20control%20parametro.docx"/>
        <s v="http://repositoriosdgis.ifai.org.mx/Pagina%20Web/Actividades%202023/11-Noviembre-2023/actualizacion%20control%20interno.docx"/>
        <s v="http://repositoriosdgis.ifai.org.mx/Pagina%20Web/Actividades%202023/11-Noviembre-2023/administracion%20de%20riesgos%20parametro.docx"/>
        <s v="http://repositoriosdgis.ifai.org.mx/Pagina%20Web/Actividades%202023/11-Noviembre-2023/ambiente%20de%20control%20principios%20basicos.docx"/>
        <s v="http://repositoriosdgis.ifai.org.mx/Pagina%20Web/Actividades%202023/11-Noviembre-2023/informacion%20y%20comunicacion%20(parametro).docx"/>
        <s v="http://repositoriosdgis.ifai.org.mx/Pagina%20Web/Actividades%202023/11-Noviembre-2023/informacion%20y%20comunicacion%20(principios%20basicos).docx"/>
        <s v="http://repositoriosdgis.ifai.org.mx/Pagina%20Web/Actividades%202023/11-Noviembre-2023/administracion%20de%20riesgos%20principios%20basicos.docx"/>
        <s v="http://repositoriosdgis.ifai.org.mx/Pagina%20Web/Actividades%202023/11-Noviembre-2023/ambiente%20de%20control%20elemento%20de%20control%20inerno.docx"/>
        <s v="http://repositoriosdgis.ifai.org.mx/Pagina%20Web/Actividades%202023/11-Noviembre-2023/administracion%20de%20riesgo%20elemntos%20de%20control%20interno.docx"/>
        <s v="http://repositoriosdgis.ifai.org.mx/Pagina%20Web/Actividades%202023/11-Noviembre-2023/actualizacion%20de%20avance%20de%20proyecto%20nov.docx"/>
        <s v="http://repositoriosdgis.ifai.org.mx/Pagina%20Web/Actividades%20Ricardo%20Olivares%202023/actividades%20octubre/materiasregistrar.png"/>
        <s v="http://repositoriosdgis.ifai.org.mx/Pagina%20Web/Actividades%20Ricardo%20Olivares%202023/actividades%20octubre/informacioneditarresoluciones.png"/>
        <s v="https://172.20.32.20/svn/PNT_APPS_V2/DEV/code/appMovil/pnt"/>
        <s v="\\vcifs\tercerizado2023\Evidencias Tercerización 2023\Ingeniero de Prueba\Noviembre\Semana 1"/>
        <s v="\\vcifs\tercerizado2023\Evidencias Tercerización 2023\Ingeniero de Prueba\Noviembre\Semana 2"/>
        <s v="\\vcifs\tercerizado2023\Evidencias Tercerización 2023\Ingeniero de Prueba\Noviembre\Semana 3"/>
        <s v="\\vcifs\tercerizado2023\Evidencias Tercerización 2023\Ingeniero de Prueba\Noviembre\Semana 4"/>
        <s v="\\vcifs\tercerizado2023\Evidencias Tercerización 2023\Ingeniero de Prueba\Noviembre\Semana 5"/>
        <s v="http://172.16.33.34:8000/SIPRON%20PIZARRAS%205/Forms/AllItems.aspx?RootFolder=%2FSIPRON%20PIZARRAS%205%2F03%20CONTROL%20Y%20SEGUIMIENTO%2FCronograma&amp;FolderCTID=0x01200022B549C5C30EBB44A4C1E26276D73DDB&amp;View={E9ADF662-9DA5-4848-BEED-BA9860EC1C11}"/>
        <s v="http://172.16.33.34:8000/SIPRON%20PIZARRAS%205/Forms/AllItems.aspx?RootFolder=%2FSIPRON%20PIZARRAS%205%2F03%20CONTROL%20Y%20SEGUIMIENTO%2FPlan%20de%20Riesgos&amp;FolderCTID=0x01200022B549C5C30EBB44A4C1E26276D73DDB&amp;View={E9ADF662-9DA5-4848-BEED-BA9860EC1C11}"/>
        <s v="http://172.16.33.34:8000/SIPRON%20PIZARRAS%205/Forms/AllItems.aspx?RootFolder=%2FSIPRON%20PIZARRAS%205%2F03%20CONTROL%20Y%20SEGUIMIENTO%2FReporte%20Semanal%20de%20Avance&amp;FolderCTID=0x01200022B549C5C30EBB44A4C1E26276D73DDB&amp;View={E9ADF662-9DA5-4848-BEED-BA9860EC1C11}"/>
        <s v="http://172.16.33.34:8000/SIPRON%20PIZARRAS%205/Forms/AllItems.aspx?RootFolder=%2FSIPRON%20PIZARRAS%205%2F03%20CONTROL%20Y%20SEGUIMIENTO%2FMinuta%20de%20la%20Reuni%C3%B3n&amp;FolderCTID=0x01200022B549C5C30EBB44A4C1E26276D73DDB&amp;View={E9ADF662-9DA5-4848-BEED-BA9860EC1C11}"/>
        <s v="https://na01.safelinks.protection.outlook.com/?url=https%3A%2F%2F172.20.32.20%2Fsvn%2FPizarras4%2Ftags%2FBI&amp;data=05%7C01%7C%7Cbc3f18f0f1d740074a7d08dbf29e748b%7C84df9e7fe9f640afb435aaaaaaaaaaaa%7C1%7C0%7C638370534612757112%7CUnknown%7CTWFpbGZsb3d8eyJWIjoiMC4wLjAwMDAiLCJQIjoiV2luMzIiLCJBTiI6Ik1haWwiLCJXVCI6Mn0%3D%7C3000%7C%7C%7C&amp;sdata=nXOYof4wQM90Kb4o5IwiZEBbMKgNSVP5rZ4BpLT00gA%3D&amp;reserved=0"/>
        <s v="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s v="https://ifai-my.sharepoint.com/personal/samuel_partida_inai_org_mx/_layouts/15/onedrive.aspx?ga=1&amp;id=%2Fpersonal%2Fsamuel%5Fpartida%5Finai%5Forg%5Fmx%2FDocuments%2FOPTIMIZAR%5FQUERYS%5FSISAI%5FSIGEMI%2FPACK%5FQUEJAS%5FESTADISTICAS%2Ezip&amp;parent=%2Fpersonal%2Fsamuel%5Fpartida%5Finai%5Forg%5Fmx%2FDocuments%2FOPTIMIZAR%5FQUERYS%5FSISAI%5FSIGEMI"/>
        <s v="https://ifai-my.sharepoint.com/personal/samuel_partida_inai_org_mx/_layouts/15/onedrive.aspx?ga=1&amp;id=%2Fpersonal%2Fsamuel%5Fpartida%5Finai%5Forg%5Fmx%2FDocuments%2FOPTIMIZAR%5FQUERYS%5FSISAI%5FSIGEMI%2FPACK%5FRESOLUCIONES%5FESTADISTICAS%2Ezip&amp;parent=%2Fpersonal%2Fsamuel%5Fpartida%5Finai%5Forg%5Fmx%2FDocuments%2FOPTIMIZAR%5FQUERYS%5FSISAI%5FSIGEMI"/>
        <s v="https://172.20.32.20/svn/Pizarras4/tags/frontend/pizarras_v4_frontend"/>
        <s v="https://172.20.32.20/svn/Pizarras4/tags/backend/API-RutasImplementacion"/>
        <s v="http://172.16.33.34:8000/SIPRON%20PIZARRAS%205/Forms/AllItems.aspx?RootFolder=%2FSIPRON%20PIZARRAS%205%2F02%20EJECUCI%C3%93N%2F04%20Pruebas&amp;FolderCTID=0x01200022B549C5C30EBB44A4C1E26276D73DDB&amp;View={E9ADF662-9DA5-4848-BEED-BA9860EC1C11}"/>
        <s v="https://172.20.32.20/"/>
        <s v="http://repositoriosdgis.ifai.org.mx/Pagina%20Web/Actividades%20Ricardo%20Olivares%202023/Actividad%20Diciembre%202023/carga%20de%20archivo%20por%20ftp.docx"/>
        <s v="http://repositoriosdgis.ifai.org.mx/Pagina%20Web/Actividades%20Ricardo%20Olivares%202023/Actividad%20Diciembre%202023/carga%20sitio.docx"/>
        <s v="http://repositoriosdgis.ifai.org.mx/Pagina%20Web/Actividades%20Ricardo%20Olivares%202023/Actividad%20Diciembre%202023/llenado%20de%20orden%20de%20trabajo.docx"/>
        <s v="http://repositoriosdgis.ifai.org.mx/Pagina%20Web/Actividades%20Ricardo%20Olivares%202023/Actividad%20Diciembre%202023/Visualizacion%20de%20sitio%20IP%20de%20prueba.docx"/>
        <s v="https://ifai-my.sharepoint.com/personal/carlos_miranda_inai_org_mx/_layouts/15/onedrive.aspx?ga=1&amp;id=%2Fpersonal%2Fcarlos%5Fmiranda%5Finai%5Forg%5Fmx%2FDocuments%2FProyecto%20Nueva%20Arq%20de%20la%20PNT%20%28Eliminaci%C3%B3n%20de%20Liferay%29%2F9%2E%20Pruebas%2F3%2E%20Seguridad%2FPruebas%2020231110"/>
        <s v="https://github.com/INAIMexico/pnt-microservicios-catalogos-comunes"/>
        <s v="https://github.com/INAIMexico/pnt-microservicios-comunes"/>
        <s v="https://github.com/INAIMexico/pnt-microservicios-buscador-inteligente"/>
        <s v="https://github.com/INAIMexico/pnt-microservicios-datos-abiertos"/>
        <s v="https://github.com/INAIMexico/pnt-microservicios-federado"/>
        <s v="https://github.com/INAIMexico/pnt-microservicios-administracion"/>
        <s v="** compartido en cada uno de los anteriores ( gateway/config-server/eureka)"/>
        <s v="https://github.com/INAIMexico/pnt-microservicios-usuarios"/>
        <s v="\\vcifs\tercerizado2023\Evidencias Tercerización 2023\Ingeniero de Prueba\Diciembre\Semana 1"/>
        <s v="\\vcifs\tercerizado2023\Evidencias Tercerización 2023\Ingeniero de Prueba\Diciembre\Semana 2"/>
        <s v="\\vcifs\tercerizado2023\Evidencias Tercerización 2023\Ingeniero de Prueba\Diciembre\Semana 3"/>
        <s v="\\vcifs\tercerizado2023\Evidencias Tercerización 2023\Ingeniero de Prueba\Diciembre\Semana 4"/>
        <s v="https://ifai-my.sharepoint.com/:w:/r/personal/samuel_partida_inai_org_mx/_layouts/15/Doc.aspx?sourcedoc=%7BA1D90F5F-3565-4282-BD9E-D565696C0BAB%7D&amp;file=Querys_Estadisiticas_Totales_NUEVO_1223NRG.docx&amp;action=default&amp;mobileredirect=true"/>
        <n v="0.05" u="1"/>
      </sharedItems>
    </cacheField>
    <cacheField name="Ingeniero" numFmtId="0">
      <sharedItems containsBlank="1" count="76">
        <s v="Rafael Morales Parra"/>
        <s v="Noé Domínguez Aldana"/>
        <s v="Gabriela Itzel Medrano Carrasco"/>
        <s v="Yara Luz Villalana Morales"/>
        <s v="Ricardo Olivares Velàzquez"/>
        <s v="Felix Omar Sotelo Flores"/>
        <s v="Susana Yadira Almaraz Sibaja"/>
        <s v="Rubén Adrián Vázquez Calzada"/>
        <s v="Gelitzli García González"/>
        <s v="Angel Eustacio Medina Ferretiz"/>
        <s v="Stephany Gabriela Juarez Sanchez"/>
        <s v="Juan Gabriel Romero Ramirez"/>
        <s v="Victor Humberto Rivera Lauyola"/>
        <s v="Carlos Uriel Ortiz Cornejo"/>
        <s v="Claudia García Francisco"/>
        <s v="Miguel Alejandro López Gutiérrez"/>
        <s v="Orlando Vázquez Pintor"/>
        <s v="Enrique Rodriguez Flores"/>
        <s v="Nayeli Ruíz Ortíz"/>
        <s v="Gustavo Didier Vazquez Muníz"/>
        <s v="Paloma Martín del Campo Jiménez"/>
        <s v="Melissa Karen Gonzalez"/>
        <s v="Víctor Jahir Cuevas Contreras"/>
        <s v="Magdalena Garrido Pérez"/>
        <s v="Wendy Elizabeth Bonilla Machuca"/>
        <m/>
        <s v="Laura Gómez Tapia" u="1"/>
        <s v="Juan Jose Flores Arce" u="1"/>
        <s v="Irving Cabrera Chiñas" u="1"/>
        <s v="Diego" u="1"/>
        <s v="Adalberto Larios Villagrán" u="1"/>
        <s v="David Arellano Campos" u="1"/>
        <s v="Ricardo Olivares Velazquez" u="1"/>
        <s v="Ives" u="1"/>
        <s v="Tamara Zambrano Pérez" u="1"/>
        <s v="Fernando Benjamin Vasquez" u="1"/>
        <s v="Rocio Chavez Resendiz" u="1"/>
        <s v="Rocio Chávez Reséndiz" u="1"/>
        <s v="Ruben Layna Ramírez" u="1"/>
        <s v="Félix Omar Sotelo Flores" u="1"/>
        <s v="Miguel Álvarez Nieto" u="1"/>
        <s v="Saúl Adair San Miguel Ayala" u="1"/>
        <s v="José Martin Cortes Sarmiento" u="1"/>
        <s v="José Antonio Chávez Amador" u="1"/>
        <s v="Laura Marcela De la Fuente Pastor" u="1"/>
        <s v="Yanet Vega Segundo" u="1"/>
        <s v="Guadalupe Guerra Ortiz" u="1"/>
        <s v="Reyna Durán Manuel" u="1"/>
        <s v="Iván Rodrigo Hernández Maya" u="1"/>
        <s v="Emigdio Martinez Santamaria" u="1"/>
        <s v="Uriel" u="1"/>
        <s v="Juan Daniel Bombela Rivera" u="1"/>
        <s v="José Antonio Ramírez Apolinar" u="1"/>
        <s v="Javier Islas Hernández" u="1"/>
        <s v="Karla  Monserrat Vera González" u="1"/>
        <s v="Karla Montserrat Vera González" u="1"/>
        <s v="Ramón Natanael Robles Hermosillo" u="1"/>
        <s v="Néstor Reyes Gil" u="1"/>
        <s v="Arquitecto de software" u="1"/>
        <s v="Miguel Cabrera Muñoz" u="1"/>
        <s v="Marina Adame Velasco" u="1"/>
        <s v="Marco Antonio Neri Gómez" u="1"/>
        <s v="Emigdio Martine Santamaria" u="1"/>
        <s v="Luis Fernando Aldana Mendoza" u="1"/>
        <s v="Diana Ibeth Santamaría Cadena" u="1"/>
        <s v="César Serrano García" u="1"/>
        <s v="Juan Victor Sánchez Rodriguez" u="1"/>
        <s v="Edgar Humberto Pinzón Sánchez" u="1"/>
        <s v="Ricardo Olivares Velázquez" u="1"/>
        <s v="Arturo Manzano Sánchez" u="1"/>
        <s v="Daniel" u="1"/>
        <s v="Claudia  García Francisco" u="1"/>
        <s v="Uriel A. Estrada Quintero" u="1"/>
        <s v="Pedro Cortes Carmona" u="1"/>
        <s v="Jesús Martín García Ramírez" u="1"/>
        <s v="Carolina Montoya Palmeros" u="1"/>
      </sharedItems>
    </cacheField>
    <cacheField name="Perfil" numFmtId="0">
      <sharedItems containsBlank="1" count="22">
        <s v="Ingeniero de software (JAVA)"/>
        <s v="Ingeniero de Pruebas"/>
        <s v="Ingeniero de software (SAP-CRM)"/>
        <s v="Experto en experiencia de usuarios y diseño gráfico"/>
        <s v="Ingeniero de software (ANDROID)"/>
        <s v="Ingeniero de software (Business Intelligence)"/>
        <s v="Ingeniero en Oracle"/>
        <s v="Arquitecto de software"/>
        <s v="Ingeniero de software (Micrositios)"/>
        <s v="Analista de procesos"/>
        <s v="Director del proyecto"/>
        <m/>
        <s v="Ingeniero de software (Open Text)" u="1"/>
        <s v="Documentador de Procedimientos" u="1"/>
        <s v="Ingeniero en soporte a aplicativos" u="1"/>
        <s v="Ingeniero de software (Sharepoint)" u="1"/>
        <s v="Ingeniero Oracle" u="1"/>
        <s v="Gerente técnico de servicios de desarrollo y mantenimiento de aplicativos" u="1"/>
        <s v="Ingeniero en soporte a sistemas de negocio" u="1"/>
        <s v="Ingeniero de software (JAVA) Sr" u="1"/>
        <s v="Ingeniero en soporte a aplicativos." u="1"/>
        <s v="Administrador de base de datos (Senior)" u="1"/>
      </sharedItems>
    </cacheField>
    <cacheField name="Severidad" numFmtId="0">
      <sharedItems containsBlank="1"/>
    </cacheField>
    <cacheField name="Complejidad" numFmtId="0">
      <sharedItems containsBlank="1"/>
    </cacheField>
    <cacheField name="Tiempo solución max (hrs)" numFmtId="0">
      <sharedItems containsMixedTypes="1" containsNumber="1" containsInteger="1" minValue="64" maxValue="64"/>
    </cacheField>
    <cacheField name="Cumplimiento" numFmtId="0">
      <sharedItems/>
    </cacheField>
    <cacheField name="Facturación" numFmtId="0">
      <sharedItems containsBlank="1" count="14">
        <s v="enero"/>
        <s v="febrero"/>
        <s v="marzo"/>
        <s v="abril"/>
        <s v="mayo"/>
        <s v="junio"/>
        <s v="julio"/>
        <s v="agosto"/>
        <s v="septiembre"/>
        <s v="octubre"/>
        <s v="noviembre"/>
        <s v="diciembre"/>
        <m/>
        <s v="abri" u="1"/>
      </sharedItems>
    </cacheField>
    <cacheField name="Área" numFmtId="0">
      <sharedItems containsMixedTypes="1" containsNumber="1" containsInteger="1" minValue="0" maxValue="0" count="7">
        <s v="SAI"/>
        <s v="SSI"/>
        <s v="SAW"/>
        <s v="DS"/>
        <s v="SPD"/>
        <s v="SCI"/>
        <n v="0"/>
      </sharedItems>
    </cacheField>
    <cacheField name="Descripción Impresión" numFmtId="0">
      <sharedItems containsBlank="1" count="8000" longText="1">
        <s v="Se modifico y mejor el componente de Integrantes Línea de Acción"/>
        <s v="Se modifico y mejor el componente de Unidades Administrativas"/>
        <s v="Se modificaron y mejoraron las pantallas de  Líneas Estrategicas y Líneas de Acción ya que sus campos eran incorrectos"/>
        <s v="Se ha creado el template inicial para la pantalla de Areas administrativas de Implementación para el menú de Catálogos"/>
        <s v="Ajuste y consumo del Servicio del back end para conectar con el template de Líneas de Acción"/>
        <s v="Se han conectado los servicios obtenidos del back end al Componente de Líneas de Acción"/>
        <s v="Se mejoro la conexión con el back end desde usuario, de manera que los datos se traen de mejor forma"/>
        <s v="Se han conectado con los end points del back end para la consulta de Menú dinamico en base los diferentes perfiles"/>
        <s v="Se han hecho ajustes al componente de Usuarios para la opción de validar por Perfil el acceso a UA o Integrantes"/>
        <s v="Se han realizado ajustes a los Catalogos de Integrantes y Usuarios"/>
        <s v="Se ha dado revisión con el equipo para la logica de Formato Seguimientos"/>
        <s v="Se ha dado revisión con el equipo para la logica de Formato ABC"/>
        <s v="Se han conectado los componentes para la pantalla de Actividades con el BackEnd para consulta y busqueda"/>
        <s v="Se han conectado los componentes para la pantalla de Actividades con el BackEnd para Alta y Baja"/>
        <s v="Se han creado los servicios para la pantalla de Seguimiento para realizar las consultas, bajas, altas"/>
        <s v="Se han creadoel componente necesario para las botoneras de Estatus de Actividades"/>
        <s v="Se han conectado con los end points del back end para el componente de las botoneras, así como implementación en el componente de Actividades"/>
        <s v="Se ha creado el template inicial para la pantalla de  Configuración Tiempo Respuesta para el menú de Flujos"/>
        <s v="Se ha creado el template inicial para la pantalla de Asociar Líneas Acción para el menú de Flujos"/>
        <s v="Se ha conectado y consumido los servicios para Seguimiento, en altas, bajas y consulta"/>
        <s v="Se realizaron correcciones en el Catalogo de Usuarios debido a que se mostraban incorrectamente los campos de Integrantes y UA dependiendo el perfil firmado"/>
        <s v="Se termino de conectar y testear el componente de Seguimientos con back end"/>
        <s v="Modificar Respuestas"/>
        <s v="Modificar Respuestas Contestar"/>
        <s v="Modificar Respuestas Solicitud"/>
        <s v="Modificar Respuestas Recepcion Soporte"/>
        <s v="Modificar Respuestas Transferencia"/>
        <s v="Agregar configuraciones de pago para el componente administración de pagos (muchas reglas de negocio)"/>
        <s v="Modificacion de componente modificar-respuestas solicitud aceptar"/>
        <s v="Modificacion de componente modificar-respuestas solicitud contestar"/>
        <s v="Componente Sustituir Respuesta"/>
        <s v="Componente Sustituir Respuesta Asignar"/>
        <s v="Componente Sustituir Respuesta Sustituir"/>
        <s v="Componente Sustituir Respuesta Contestar"/>
        <s v="Soporte a servicios, menus, diversos componentes"/>
        <s v="Desarrollo del front-end de pizarras"/>
        <s v="Descarga de codigo SISAI Back y configuracion de servidores para ambiente de desarrollo"/>
        <s v="Servicio de modifiacion de turnado de solicitudes en para consumo de PNT - Nuevo"/>
        <s v="Servicio de modifiacion de respuesta de solicitudes en para consumo de PNT - Nuevo"/>
        <s v="Servicio para la sustitución de respuestas, para consumo en PNT - Nuevo"/>
        <s v="Adecuación de bitácoras de soporte para nuevas funcionalidades registradas"/>
        <s v="Descarga de código pizarras Back y análisis de ambiente para desarrollo "/>
        <s v="Mapeo y construcción de servicio de consultas para el módulo de seguimiento"/>
        <s v="Servicio para el alta seguimientos"/>
        <s v="Servicio para la baja de seguimientos"/>
        <s v="Servicios de actualizar, cancelar, enviar y rechazar para el módulo de seguimiento"/>
        <s v="Servicio para realizar la carga de actividades ABC del módulo de actividades"/>
        <s v="Realizar consultas "/>
        <s v="Carga de formatos "/>
        <s v="Control de cambio "/>
        <s v="Revisiones de planes "/>
        <s v="Planeacion carga de archivos "/>
        <s v="Accesos en pagina web "/>
        <s v="Ensayo reportaje"/>
        <s v="Caja de herramientas"/>
        <s v="Parlamento abierto "/>
        <s v="promocion y vinculacion"/>
        <s v="Parlamento abierto 2022"/>
        <s v="avances informes institucionales "/>
        <s v="Rediseño de submenu de pagina web "/>
        <s v="Consultas envio de usuarios"/>
        <s v="Paginas web "/>
        <s v="Desarrollo del sitio"/>
        <s v="Desarrollo e implementación de las soluciones a los hallazgos de vulnerabilidad de la PNT SIGEMI"/>
        <s v="Desarrollo e implementación de las soluciones a los hallazgos de vulnerabilidad de la PNT SISAI"/>
        <s v="Desarrollo e implementación de las soluciones a los hallazgos de vulnerabilidad de la PNT Modulo de Usuarios"/>
        <s v="Desarrollo e implementación de las soluciones a los hallazgos de vulnerabilidad de la PNT SIPOT"/>
        <s v="Implementación funcionalidad descarga obligaciones de transparencia (datos abiertos)"/>
        <s v="Pruebas servicios externos y mejoras validaciones descarga archivos"/>
        <s v=" Se agrega validación (solo solicitante) a iconos actualizar y cambiar datos(componente sidebar)."/>
        <s v="Se refactoriza la carga de datos para los catálogos de estado o federación en pantallas modulo administración"/>
        <s v="Desarrollo modal avisos (home) y refactorización importaciones en el sharedModule. Asi como la creación de archivo de barril para los componentes."/>
        <s v="Se agregan validaciones y roles a rutas aplicación SISAIV3 para los roles  PNT- USUARIO DE RECURSOS FINANCIEROS  y  PNT- DIRECCION GENERAL DE ENLACE. Se hace análisis y estimación de tiempos para la atención de incidencias detectadas en las pruebas de seguridad de código estático."/>
        <s v="Se implementa bandera activa a items del menú del aplicativo PNT V3 y se agregan validaciones con los distintos roles del aplicativo"/>
        <s v="Se agregan validaciones a iconos sidebar y se ajusta redirección datos abiertos"/>
        <s v="Se refactorizan request que incluyen la palabra password en jsp del portlet"/>
        <s v="Se cambian los console.log por console.error en controladores y servicios  portlet administración"/>
        <s v="Se quita código comentado y se cambia la manera de comentar en los archivos jsp"/>
        <s v="Pruebas y actualización angularjs en portlet administración"/>
        <s v="Atención de posibles vulnerabilidades de seguridad en portlet administración"/>
        <s v="Revision de Numeración erronea en casos y ajuste en contadores"/>
        <s v="Access Specifier Manipulation"/>
        <s v="Insecure Randomness"/>
        <s v="Key Management: Hardcoded Encryption Key"/>
        <s v="Log Forging"/>
        <s v="Null Dereference"/>
        <s v="Password Management: Password in Configuration File"/>
        <s v="Path Manipulation"/>
        <s v="Portability Flaw: Locale Dependent Comparison"/>
        <s v="Privacy Violation: Heap Inspection"/>
        <s v="Race Condition: Singleton Member Field"/>
        <s v="Unreleased Resource: Streams"/>
        <s v="Weak Encryption: Insecure Mode of Operation"/>
        <s v="Build Misconfiguration: External Maven Dependency Repository"/>
        <s v="Code Correctness: Byte Array to String Conversion"/>
        <s v="Code Correctness: Class Does Not Implement equals"/>
        <s v="Code Correctness: Comparison of Boxed Primitive Types"/>
        <s v="Code Correctness: Constructor Invokes Overridable Function"/>
        <s v="Modificar paidload que genera Liferay para leer Id que trae el token"/>
        <s v="Agregar funcionalidad para generar token con el Id usuario autenticado en Liferay"/>
        <s v="Programar mecanismo de descifrado de token"/>
        <s v="Integración con mecanismo del token del service builder con el back end"/>
        <s v="Servicios Back Solicitudes"/>
        <s v="Servicios Back Unidad de Transparencia"/>
        <s v="Servicios Back Gestión Interna"/>
        <s v="Actualizacion CEVINAI "/>
        <s v="Micrositio Certamen "/>
        <s v="PROSEDE "/>
        <s v="Migracion de Informacion Resoluciones "/>
        <s v="Carga a micrositio Premio Innovacion "/>
        <s v="Project Micrositios "/>
        <s v="Revision de micrositios "/>
        <s v="Contenido Certamen "/>
        <s v="Actualizacion Unidad de Transparencia "/>
        <s v="Actualizacion Comité de Transparencia "/>
        <s v="Credenciales Prosede "/>
        <s v="Actualizacion de Usuarios SNT "/>
        <s v="Modificacion en Certamen "/>
        <s v="Actualizacion Micrositio del CIT23 "/>
        <s v="Banco de Practicas "/>
        <s v="Micrositio Contratacion Abierta "/>
        <s v="Modificacion Certamen 2023 "/>
        <s v="Analisis y revisión de la guía de remediación de SICOM"/>
        <s v="Se han trabajado y actualizado todos los módulos a petición de los clientes del sistema SIPRON I"/>
        <s v="Se han trabajado y actualizado todos los módulos a petición de los clientes del sistema SIPRON, nos dijeron que trabajaramos Sábado, Domingo y Lunes(Puente), y que sería remunerado con dias extras"/>
        <s v="Se han trabajado y actualizado todos los módulos a petición de los clientes del sistema SIPRON II"/>
        <s v="Se han trabajado y actualizado todos los módulos a petición de los clientes del sistema SIPRON III"/>
        <s v="Se han trabajado y actualizado todos los módulos a petición de los clientes del sistema SIPRON IV"/>
        <s v="Se han trabajado y actualizado todos los módulos a petición de los clientes del sistema SIPRON V"/>
        <s v="Elaboración de propuesta de 3 pantallas de entrada, creación del icono de información inteligente, diseño de pantalla de estadisticas y tendencias, elaboración de pantalla de solicitudes con reacomodo de 5 filtros."/>
        <s v="Elaboración de propuestade la pantalla con carrusel, acomodo de elementos en la pantalla de solicitudes y 2 propuestas de acomodo de solicitudes, propuesta de navegación de 42 temas y sus subtemas, propuesta de 3 iconos para los tema, elaboración y diseño de 3 pantallas de gráficas de los temas más consultados, propuesta de la colocación de datos duros con texto y gráfica circular."/>
        <s v="Propuesta y acomodo de 39 iconos para temas, cambio y propuesta de la sección de temas relacionados ordenados por probabilidad y análisis, propuesta de hoja de la solicitud a la hora de bajar el archivo en PDF, diseño de la propuesta de la vista de los Subtemas, cambio de propuesta para la pantalla de tendencias con 2 opciones: lo mas preguntado y lo más consultado, propuesta de 3 imágenes para gráficas de tendencias."/>
        <s v="Atención a cambios de las propuestas, ajustes de vistas, colores de gráficas y contornos, elaboración de archivos en ptt y pdf para su visto bueno, separación de elementos para la elaboración del HTML."/>
        <s v="Ajuste de contadores de Solicitud de Proteccion de Derechos,    I    Ajuste a casos de Solicitud de Proteccion de Derechos en la corrección de números de expediente"/>
        <s v="Se migra pantalla de login"/>
        <s v="Incorporar servicios de login"/>
        <s v="Se migra pantalla de registro"/>
        <s v="Se recuperar he integran keys para login con redes"/>
        <s v="Se incorpora login de Facebook y se obtienen token de pnt"/>
        <s v="Se incorpora login de Google y se obtienen token de pnt"/>
        <s v="Se incorpora login de Twitter y se obtienen token de pnt"/>
        <s v="Se incorpora login de Apple y se obtienen token de pnt"/>
        <s v="Agregar excepciones para falta de emial en redes sociales y configuracion interceptor "/>
        <s v="Se crea pantalla de home utilizando tabbar"/>
        <s v="Se crea el componente Card para utilizar en los menus de Home y se agrega animacion"/>
        <s v="Se crean listados que sirven como menu en Home"/>
        <s v="Se crea dialogo para mostrar durante la carga de una peticion u operacion"/>
        <s v="Se crea el formulario para Mis Solicitudes"/>
        <s v="Crear selector de sujeto obligado"/>
        <s v="Se genera el listado para los resultados de busqueda de mis solicitudes"/>
        <s v="Se genera vista detalle de mis solicitudes"/>
        <s v="Dentro la vista detalle de mis solicitudes, se agrega la vista para ver el historial de una solicitud"/>
        <s v="Se crea selector multiple para sujetos obligados"/>
        <s v="Eleccion de widget, maquetado del primer paso de formulairo y generacion de validaciones"/>
        <s v="Maquetado de formulario para crear solicitudes"/>
        <s v="Modificar archivos nativos para integracion de plugins para seleccionar archivos"/>
        <s v="Generar listado de notificaciones para el detalle de mis solicitudes"/>
        <s v="Se genera la pantalla de prevencion para el detalle de mis solicitudes"/>
        <s v="Se genera la pantalla de disponibilidad para el detalle de mis solicitudes"/>
        <s v="Se genera la pantalla de quejas para el detalle de mis solicitudes"/>
        <s v="Se genera la pantalla de prevencion parcial/prevencion para el detalle de mis solicitudes"/>
        <s v="Se complementan validaciones para crear solicitud"/>
        <s v="Se generan modelos y servicios faltantes para crear solicitud de informacion publica"/>
        <s v="Se tuvo uns sesión para revisar los reportes de pizarras que se tenían. De igual forma se tomó nota de los cambios que se requerían. Se comenzó a realizar la migración de base de datos."/>
        <s v="Se continuó con la migración a la nueva base de datos y se detectaron algunos campos faltantes."/>
        <s v="Se continuó con la migración a la nueva base de datos y se comenzaron a realizar pruebas de funcionalidad."/>
        <s v="Se concluyó con la migración a la base de datos y se complementó la tabla de entidades con la información del usuario- Se realizaron pruebas de funcionalidad."/>
        <s v="Se realizaron algunas pruebas funcionales además de que se realizaron pruebas de publicación de los reportes."/>
        <s v="Se realizaron los servicios correspondientes al módulo de Seguimiento de Actividades"/>
        <s v="Se realiza el Back de las pantallas de módulo de activdidades ABC, alta, baja, cambios y carga."/>
        <s v="Se terminan las funionalidades faltantes del sistema de Pizarras para presentar al usuario."/>
        <s v="Corrección de incidentes de seguridad, se arreglan hallazgos de vulnerabilidades de seguridad del sistema Buscador General"/>
        <s v="Se da soporte y mantenimiento de las incidencias reportadas por el área usuaria."/>
        <s v="Se da soporte y mantenimiento de las incidencias reportadas por el área usuaria en la capacitación."/>
        <s v="Se trabajan en las incidencias de pizarras. Consulta de actividades ABC, ordenamiento de tabla de actividades, incidencia de consulta de actividades"/>
        <s v="Se trabajan en las incidencias reportadas por el usuario y se vuelve a generar versión de pruebas "/>
        <s v="Se detecta la inicidencia de que se permite la creación de usuarios con el mismo correo y se detectan varios casos en la base"/>
        <s v="Se realiza la corrección y las restricciones en el back para la creación de usuarios"/>
        <s v="Se estudia la documentación proporcionada para la reingeniería del proceoso de quejas"/>
        <s v="Se hace el estudio del store procedure que forma parte del guardado de quejas actual"/>
        <s v="Se descarga el proecto nuevo de quejas y se realizan las conexiones y puebas necesarias para empezar el desarrllo del sistema. Se idetifican los servicios y las tablas necesarias dentro del servicio de guardado de queja"/>
        <s v="Se inicia el mapeo de las clases para iniciar a implmentar el servicio"/>
        <s v="Se realiza el mapeo de catalogos para ws guardado de queja"/>
        <s v="Se realiza el diseño de servicios y repositorios para todos los catalogos y entidades mapeadas"/>
        <s v="Se realiza el diseño de arquitectura para la unifiación de excepciones y validaciones dentro del proyecto"/>
        <s v="Se trabaja en el servicio de guardado de quejas"/>
        <s v="Se realiza la corrección del tamaño de caracteres dentro de los comentarios para actividades, seguimientos y actividades abc"/>
        <s v="Se trabaja con SICOM para mayor conexto del servicio y se resuelven dudas para la creación del nuevo servicio"/>
        <s v="Se da acompañamiento a Adrían para levantar el ambiente de pizarras y se atiende error de fecha de creación en actividades"/>
        <s v="Se realiza diagrama de flujo de lo que se realiza en el servicio de guardar quejas"/>
        <s v="Investigacion para crearla mejor opciónde un  carousel con css y html"/>
        <s v="Maquetado html  pantalla carousel"/>
        <s v="Maquetado css  pantalla carousel"/>
        <s v="Creacion de carousel con mas de una fila de iconos"/>
        <s v="Maquetado html segunda pantalla carousel"/>
        <s v="Maquetado css segunda pantalla carousel"/>
        <s v="Creacion de carousel con una fila de iconos"/>
        <s v="Investigacion de como crear barra lateral solo con html y css"/>
        <s v="Creacion de barra lateral y tabla colapsables"/>
        <s v="Creacion de pantalla  html y css para las 3 graficas"/>
        <s v="Reunión de revisión del HTML"/>
        <s v="Eloboración de paquete y envío de entregable"/>
        <s v="Elaboración de cambios en la maqueta, revisión de maqueta y envío de la maqueta final."/>
        <s v="Incidencia de consulta de actividades-Consulta de Seguimientos "/>
        <s v="Consulta de Actividades ABC, En catálogos líneas de acción se puede poner la numeración y agregar múltiples líneas"/>
        <s v="Ordenamiento de tabla de Actividades-ordenamiento de tabla de seguimientos"/>
        <s v="Generación de filtros en cascada en la parte de búsqueda, y en la creación de nuevo."/>
        <s v="Programación de modulos : Integrantes lineas de accion, Implementaciòn actividades, seguimiento actividades, Formato ABC, Catalogo lineas de accion"/>
        <s v="Reunión, acuerdos y revisión de las tecnologias que se utilizarán  para el desarrollo del Buscador"/>
        <s v="Recepción de  maquetado e inicio del análisis del Buscador"/>
        <s v="Inicio investigacion de la tecnologia Redux con Ngrx"/>
        <s v="Reunión para trabajar con el equipo y banderazo para iniciar con el análisis del desarrollo del Buscador"/>
        <s v="Inicio de capacitación tecnología Redux"/>
        <s v="Validación grupal de accesos al repositorio"/>
        <s v="Maquetado del carrusel principal"/>
        <s v="Conexión con servicios sin aplicar redux para el carrusel princiapal, se mantiene en suspenso el uso del ngrx"/>
        <s v="Diseño de carrousel secundario y analisis de la tarjeta SISAI de la aplicación, daily"/>
        <s v="Implementación del del patrón de diseño Redux, a cards"/>
        <s v="Análisis de los códigos propuestos para la aplicación del patron redux, en equipo y por separado"/>
        <s v="Conexión de un servicio,  sin Redux, para la modificación de las tarjetas como deben mostrarse ya con datos reales"/>
        <s v="Avances en tarjeta probabilidad de analisis, cambios en pagina de resultados"/>
        <s v="Cambios en temas-page, preparacion para subida de graficos, actualizacion de tarjeta SISAI y caruseles"/>
        <s v="Corrección de errores, y cambios solicitados a tarjeta SISAI"/>
        <s v="Cambio en efectos, filtros, input-search, efectos y reducers, tarjeta SISAI"/>
        <s v="Modificaciónes finales, de la tarjeta SISAI, creación de la tarjeta SICOM"/>
        <s v="Finalizacion de la tarjeta SICOM, Avances tarjeta SIPOT"/>
        <s v="Finalizacion tarjeta SIPOT"/>
        <s v="Se analiza y construye la peticion oara generar la solicitud de informacion"/>
        <s v="Se integra nuevo servicio para recuperar datos estadisticos del usuario, relevantes para el alta de solicitud"/>
        <s v="Se agregan validaciones de campos visibles y no visibles de acuerdo a las selecciones del usuario"/>
        <s v="Se crea nueva pantalla donde se podran descargar los acuses generados por una solicitud "/>
        <s v="El cuerpo de las peticiones se adapta a los campos escencialmente requeridos en la app movil, aplica para informacion publica y datos personales"/>
        <s v="Se crea una pantalla para cambiar los datos personales del usuario de cuenta [Controller, model, binding, screen]"/>
        <s v="Se destino tiempo para corregitr problemas de conectividad a la vpn"/>
        <s v="Se agrega el servicio para poder cambiar datos relativos al usuario [Model, request, response]"/>
        <s v="Se agrega el servicio para poder recuperar datos relativos al usuario y colocarlos en el formulario"/>
        <s v="Se agrega el servicio para poder cambiar contraseña deñ usuario [Model, request, response]"/>
        <s v="Se crea una pantalla para cambiar contraseña [Controller, model, binding, screen]"/>
        <s v="Se agregan opciones de envio a domicilio al recurrente de disponibilidad, se agrega listado de paises"/>
        <s v="Se agregan opciones de envio a domicilio al recurrente de disponibilidad, se agrega listado de municipios"/>
        <s v="Se agregan opciones de envio a domicilio al recurrente de disponibilidad, se agrega listado de colonias"/>
        <s v="Se agregan opciones de envio a domicilio al recurrente de disponibilidad, se agrega busqueda de domicilio via codigo postal"/>
        <s v="Se agrega el calco de costo del medio de reproduccion usando su respectivo servicio y el domicilio proporcionado"/>
        <s v="Se verifican validaciones para entrega nacional e internacional, asi tambien las relacionadas con los costos"/>
        <s v="Se genera la peticion y respuesta para responder al recurrente disponibildiad"/>
        <s v="Se genera la peticion para responder al recurrente prevencion, se hace busqueda en el codigo prexistente para rescatar el cuerpo de la peticion"/>
        <s v="Se crea la pantalla de buscador de mis quejas"/>
        <s v="Se crea la pantalla del detalle de mis quejas, lista el resultado de la busqueda"/>
        <s v="Se integra libreria y permisos para escuchar push notifications desde FCM"/>
        <s v="Se integra la reaccion de recibir notificaciones y se dirige las pantallas correspondiente existentes"/>
        <s v="Se crean patanllas faltantes para notificacion de finaliazacion de solicitud"/>
        <s v="Se integra servicio para buscar solicitudes publicas"/>
        <s v="Se crea vista de buscador de solicitudes publicas y sus validaciones"/>
        <s v="Se crea vista del listado de solicitudes publicas y servicio para compartir solicitud"/>
        <s v="Se crea vista de buscador de quejas y sus validaciones"/>
        <s v="Se integra servicio para buscar quejas"/>
        <s v="Se crea vista de buscador de obligaciones y sus validaciones"/>
        <s v="Se crea vista de catalogo para seleccionar Obligaciones disponibles del organo garante"/>
        <s v="Se integra servicio para buscar obligaciones"/>
        <s v="Se crea vista del listado de obligaciones"/>
        <s v="Se crea el item de cada resultado de buscador de acuerdo a la respuesta en forma de Map"/>
        <s v="Creacion de logica para obtener la informaciona mostrar correctamente en cada item"/>
        <s v="Se crea el pdf descargable del resultado del buscador"/>
        <s v="Se agregan las peticiones a servicios de estadistico para los 3 buscadores"/>
        <s v="Se agregan los servicios para descargar archivos adjuntos para solicitudes y quejas, se agrega libreria"/>
        <s v="Se crea vista para configurar datos del perfil"/>
        <s v="Se realizan pruebas a los servicios de buscadores y a los cuerpos de peticion"/>
        <s v="Se crea vista para datos de perfil personales de persona fisica"/>
        <s v="Se crea vista para datos de perfil personales de persona moral"/>
        <s v="Se crea vista para datos de direccion"/>
        <s v="Se crea vista para datos de estadisticos"/>
        <s v="Se crean peticiones para registrar nuevos usuarios"/>
        <s v="Se verifica la funcionalidad general de las pantallas existentes de la app"/>
        <s v="Se agregan validaciones de campos para registro de usuariois"/>
        <s v="Se crea nueva pantalla de registro para migrar el uso de liferay"/>
        <s v="Se agrega peticion para registrar nuevos usuarios"/>
        <s v="Se incorpora el registro con facebook, se recupera informacion publica de la cuenta"/>
        <s v="Se incorpora el registro con google, se recupera informacion publica de la cuenta"/>
        <s v="Se incorpora el registro con twitter, se recupera informacion publica de la cuenta"/>
        <s v="Se crean peticiones e interfaz para los botones de redes sociales"/>
        <s v="Se crea formulario y peticiones para recuperar contraseña con los servicios actuales"/>
        <s v="Se crea formulario y peticiones para recuperar contraseña con los servicios de pnt v3"/>
        <s v="Se atenendieron las remediacións correspondientes con: Null Dereference"/>
        <s v="Se atenendieron las remediacións correspondientes con: Password Management: Hardcoded Password"/>
        <s v="Se atenendieron las remediacións correspondientes con: Password Management: Password in Configuration File"/>
        <s v="Se atenendieron las remediacións correspondientes con: Portability Flaw: Locale Dependent Comparison y Path Manipulation"/>
        <s v="Se atenendieron las remediacións correspondientes con: Race Condition: Singleton Member Field"/>
        <s v="Se atenendieron las remediacións correspondientes con: Unreleased Resource: Streams"/>
        <s v="Se atenendieron las remediacións correspondientes con: Dead Code: Unused Field"/>
        <s v="Se atenendieron las remediacións correspondientes con: Code Correctness: Constructor Invokes Overridable Function"/>
        <s v="Se atenendieron las remediacións correspondientes con: Code Correctness: Dead Code: Unused Field"/>
        <s v="Se atenendieron las remediacións correspondientes con: Code Correctness: Dead Code: Unused Method"/>
        <s v="Se atenendieron las remediacións correspondientes con: Code Correctness: J2EE Bad Practices: Leftover Debug Code"/>
        <s v="Se atenendieron las remediacións correspondientes con: Missing Check against Null"/>
        <s v="Se atenendieron las remediacións correspondientes con: Missing Check for Null Parameter"/>
        <s v="Se atenendieron las remediacións correspondientes con: Object Model Violation: Erroneous clone() Method"/>
        <s v="Se atenendieron las remediacións correspondientes con: Object Model Violation: Just one of equals() and hashCode() Defined"/>
        <s v="Se atenendieron las remediacións correspondientes con: Password Management: Password in Comment"/>
        <s v="Se atenendieron las remediacións correspondientes con: Poor Error Handling: Empty Catch Block"/>
        <s v="Se atenendieron las remediacións correspondientes con: Overly Broad Catch"/>
        <s v="Se atenendieron las remediacións correspondientes con: Poor Error Handling: Overly Broad Catch"/>
        <s v="Se atenendieron las remediacións correspondientes con el levantamiento y revisión del proyecto de pizarras"/>
        <s v="Se ambiento y tramitaron permisos para levantar el proyecto de manera local"/>
        <s v="Modificacion servicio profecional "/>
        <s v="Actualizacion Reportes "/>
        <s v="Avance de proyectos  "/>
        <s v="Pruebas CEVINAI "/>
        <s v="Rediseño de URL "/>
        <s v="Reunion semanal "/>
        <s v="Concurso Historieta Infantil 2023 "/>
        <s v=" Fechas de Platica Informativa "/>
        <s v="Actualizacion micrositio CC-INAI "/>
        <s v="Minutas CEVINAI "/>
        <s v="Servicio profesional "/>
        <s v="Actualizacion solicitud de Informacion"/>
        <s v="Validacion pagina web Registro de eventos "/>
        <s v="Micrositio de Promocion y Vinculacion con la sociedad "/>
        <s v="Reunion CEVINAI "/>
        <s v="Actualizacion micrositio Pleno infantil 2023 "/>
        <s v="Actualizacion micrositio Planeacion "/>
        <s v="pruebas concurso nacional de cuento juvenil 2023 "/>
        <s v="Actualizacion elementos graficos"/>
        <s v="Actualizacion de avance de proyectos "/>
        <s v="Actualizacion micrositio cuentos "/>
        <s v="Actualizacion liga You tube "/>
        <s v="Actualizacion del Micrositio pleno Infantil "/>
        <s v="Modificacion PROSEDE "/>
        <s v="Inicio  Concurso Nacional Universitario 2023"/>
        <s v="seguimiento Concurso Nacional de Spot de Radio "/>
        <s v="Monitoreo EIPDP "/>
        <s v="Pruebas Micrositio Trabajo Universitario "/>
        <s v="Actualizacion Banco de Practica "/>
        <s v="Registro de evento Pagina web &quot;Guia de apoyo&quot;"/>
        <s v="Reunion Sitio de Informes "/>
        <s v="actializacion micrositio trabajo Universitario "/>
        <s v="Actualizaciones micrositio Informes de Labores "/>
        <s v="Solicitudes de Usuarios Pleno niños "/>
        <s v="Cambios micrositio Informes de Labores "/>
        <s v="Seguimuento de proyecto CEVINAI "/>
        <s v="carga de Insumos Banco de Practica "/>
        <s v="Reunion Actualizacion de actividades"/>
        <s v="Reunion Sitios Consultas "/>
        <s v="Reunioln Avance de Proyectos "/>
        <s v="Reunion Revision de Anexo "/>
        <s v="Actualizacion micrositio Identidad segura "/>
        <s v="Modificacion Banco de Practica "/>
        <s v="Actualizacion informacion grafica "/>
        <s v="Validacion Banco de Practica "/>
        <s v="Actualizacion Certamen de Innovacion en Transparencia 2023"/>
        <s v="Solicitudes de Usuarios Pleno "/>
        <s v="Actualizacion concurso nacional de periodismo "/>
        <s v="Reunion avance de proyectos "/>
        <s v="Actualizacion proyectos "/>
        <s v="desarrollo validar acceso a endpoints monitor"/>
        <s v="desarrollo validar acceso a endpoints servicios reportes"/>
        <s v="desarrollo rateLimit en commands solicitudes "/>
        <s v="desarrollo obtener token en clases commands portlet Federado"/>
        <s v="desarrollo ventana modal al superar el límite de peticiones permitidas"/>
        <s v="Ambientación y descarga proyecto Buscador Inteligente"/>
        <s v="Asignación de tiempos, actividades y analisis estructura de carpetas y configuración del proyecto"/>
        <s v="Desarrollo pantalla resultados,desarrollo componente filtro entidad e institución"/>
        <s v="Desarrollo maqueta sección resultados y componente filtros año y rango de fechas"/>
        <s v="Implementación del patrón NGRX para persistir y modificar el request que se envía a la petición http que regresa los resultados"/>
        <s v="Creación interfaces, actions y reducers"/>
        <s v="Creación servicios y effects NGRX,para obtener los datos del back "/>
        <s v="Uso de actions y reducers en componente filtros Temas,subtemas,entidad y sujetos obligados"/>
        <s v="Implementación de checkbox y envío de datos de acuerdo al filtro seleccionado en filtros Temas,subtemas,entidad y sujetos obligados"/>
        <s v="Implementación validaciones para mostrar los filtros de acuerdo a la colección seleccionada "/>
        <s v="Desarrollo filtros para la colección Quejas"/>
        <s v="Desarrollo componente filtros seleccionados"/>
        <s v="Implementación actions y reducers para los filtros de la colección SICOM"/>
        <s v="Mejora en las interfaces y actualización de las mismas,nueva funcionalidad filtros colección SISAI"/>
        <s v="Implementación validaciones para los filtros seleccionados y los filtros no se rendericen una vez que navegas entre páginas."/>
        <s v="Implementación y desarrollo de los filtros para la colección SIPOT, así como el desarrollo del componente tiempo solo por mes y año"/>
        <s v="Mejoras y refactorización de algunos metodos de los componentes filtro"/>
        <s v="Desarrollo de lógica para agrupamiento de información de Solicitudes"/>
        <s v="Modificación de servicio para descarga de Solicitudes y Recursos"/>
        <s v="Desarrollo de lógica para recuperación de información de Solicitudes"/>
        <s v="Desarrollo de lógica para agrupamiento de información de Recursos"/>
        <s v="Desarrollo de lógica para recuperación de información de Recursos"/>
        <s v="Desarrollo de servicios de para buscar textos en contenido de archivos"/>
        <s v="Creación de microservicio para estadístico de SIPOT, SISAI, SICOM"/>
        <s v="Mejoras filtro obligaciones de transparencia"/>
        <s v="Refactorización tablas en  sección detalle cards información pública "/>
        <s v="Tablas responsive en cards y mejoras diseño y responsive a carruseles "/>
        <s v="Validación reset cards al cambiar entre colecciones seleccionadas y filtros seleccionados"/>
        <s v="Implementación skeleton component en filtros y card al estar cargando la información"/>
        <s v="Desarrollo de filtros solicitudes,quejas y obligaciones de transparencia en pagina tendencias."/>
        <s v="Implementación función que permite reconocer el dominio actual de la aplicación para acotar la funcionalidad a solo buscador de género"/>
        <s v="Implementación validaciones en componentes y reducers para buscador de género"/>
        <s v="Ajustes estilos en componente buscador de género "/>
        <s v="Implementación CAVINAI e integra2 en la aplicación"/>
        <s v="Modificación del componente footer y temáticos para la implementación del icono de género"/>
        <s v="Homologación componente home y pruebas funcionalidad en toda la aplicación con los distintos dominios"/>
        <s v="Desarrollo de funcionalidad para filtrar subtemas con base a la integridad referencial de BD"/>
        <s v="Se atenendieron las remediacións correspondientes con: Poor Style: Confusing Naming"/>
        <s v="Se atenendieron las remediacións correspondientes con: Poor Style: Non-final Public Static Field"/>
        <s v="se modificó parte del formato ABC pizarras"/>
        <s v="Se continuó con la modificación de los servicios de guardado para formato ABC"/>
        <s v="Se continuó con la modificación de los servicios de edición para formato ABC"/>
        <s v="Se atenendieron las remediacións correspondientes con: Poor Logging Practice: Multiple Loggers"/>
        <s v="Se atenendieron las remediacións correspondientes con: Poor Logging Practice: Use of a System Output Stream"/>
        <s v="Se atenendieron las remediacións correspondientes con: System Information Leak: Overly Broad SQL Logging"/>
        <s v="atencion de requerimiento abc"/>
        <s v="se revisó flujo de carga de actividades ABC"/>
        <s v="Modificar y dar seguimiento a las actividades en pizarras"/>
        <s v="se modifico parte de la carga de actividades abc"/>
        <s v="atención de requrimiento descritop para edicion de actividades pizarras"/>
        <s v="Se atenendieron las remediacións correspondientes con seguimiento de actividades en formatos en pizarras"/>
        <s v="Se atenendieron las remediacións correspondientes con seguimiento de actividades en pizarras"/>
        <s v="Se atenendieron las remediacións correspondientes con: Poor Style: Value Never Read"/>
        <s v="Analisis de la clase preexistente en java para encontrar sus similares en dart"/>
        <s v="Adaptar logica de cifrado a la logica interna de la app en flutter"/>
        <s v="Se crea metodo para decifrar el texto anterior en base64"/>
        <s v="Correccion en las llaves de cifrado para obtener los mismo resultados en cada decifrado (Investigacion de metodos similares)"/>
        <s v="Se crea estructura base para el alta de quejas"/>
        <s v="Se incorporan widgets necesarios para capturar la queja"/>
        <s v="Se agrega stepper y division de pasos"/>
        <s v="Se agregan validaciones. campos y peticiones"/>
        <s v="Se incorpora servicio para precarga de datos de la queja"/>
        <s v="Se incorpora servicio para alta de queja"/>
        <s v="Pantalla de prouesta para listar los folios generados a partir del registro de solicitudes"/>
        <s v="Se genera clase, peticion y campos para listar los datos personales de perfil"/>
        <s v="Se genera clase, peticion y campos para listar los datos personales de direccion"/>
        <s v="Se cambian mensajes de alerta cuando no hay conexion y se incorporan excepciones personalizadas de acuerdo al codigo http devuelto"/>
        <s v="Se genera clase, peticion y campos para listar los datos personales de estadisticos"/>
        <s v="Se realizan pruebas para validar el funcionamiento de la vpn y el cliente forticlient"/>
        <s v="Se genera clase, peticion y campos para guardar los datos personales de perfil"/>
        <s v="Se genera clase, peticion y campos para guardar los datos direccion de perfil"/>
        <s v="Se realizan pruebas para validar el funcionamiento de la vpn y el cliente forticlient, las pruebas se realizan en diferentes equipos"/>
        <s v="Se realia sesion de apoyo para correccion del problema de conexion del cliente en equipo mac"/>
        <s v="Revision de servicios registro de solicitante y recuperar contraseña. [Respuestas y peticiones]"/>
        <s v="Revision de servicios alta de quejas. [Respuestas y peticiones]"/>
        <s v="Revision de servicios configuracion de cuenta. [Respuestas y peticiones]"/>
        <s v="Se integra servicio para registrar estadisticos [modelo, peticion y respuesta]"/>
        <s v="Revision de pantalla para listar acuses generados por solicitud"/>
        <s v="Se integra servicio para registrar estadisticos, se recuperan los datos almacenados y se colocan en los exixtentyes en pantalla"/>
        <s v="Se integra servicio para registrar direecion [modelo, peticion y respuesta]"/>
        <s v="Se integra servicio para registrar direccion, se recuperan los datos almacenados y se colocan en los exixtentyes en pantalla"/>
        <s v="Se incorporan llamadas de funcion para obtener el cuerpo de peticion cifrada para poder incluirla en las nuevas peticiones"/>
        <s v="Se modifcan las peticiones http para poder adaptarse a la nueva manera de enviar el cuerpo json cifrado y elarchivo adjunto multipart "/>
        <s v="Se agrega servicio para obtener el archivo adjunto alojado externo y se agrega funcionalidad para abrirlo con el navegador nativo del dispositivo [modelo, peticion y respuesta]"/>
        <s v="Se verifica funcionalida y existencia de diversos servicios utilizados en la app v3"/>
        <s v="Correccion de las pantallas de resultados de busqueda de mis quejas y detalle de mis quejas, se corrigen los campos visualizados y diseño de pantalla"/>
        <s v="Se incorpora servicio para poder listar las notificaciones en el detalle de mis quejas"/>
        <s v="Se realizan las observaciones del módulo de seguimientos, alta y edición de seguimientos"/>
        <s v="Se realizan las observaciones del módulo de seguimientos, cambio de estatus y visualización de seguimiento"/>
        <s v="Se realizan las observaciones del módulo de seguimientos,busqueda y tabla de resultados"/>
        <s v="Servicio para consultar a detalle una queja guardada, se obtiene información y archivos"/>
        <s v="Servicio para consultar las notificaciones relacionadas a una queja"/>
        <s v="Servicio para consultar las notificaciones relacionadas a una queja."/>
        <s v="Servicio para la consulta de documentos y archivos. Se cambia tipo base64 a multipart"/>
        <s v="Daily de avances"/>
        <s v="Corrección boton respuesta SISAI, Corrección carrusel principal busqueda, datos adicionales e info adicional e Sisai"/>
        <s v="Desarrollo de componentes especiales para la card SIPOT"/>
        <s v="Estudio y pruebas para graficas de burbuja, con librerias externas o en su caso canvas"/>
        <s v="Cambio para las descargas desde sisai y sicom"/>
        <s v="Creación de componente especial de tabla con paginador que se puede o no cargar en las cards de información, reestructuración de datos para lograr comportamiento"/>
        <s v="Pruebas con componentes existenetes para el desarrollo de las graficas de tendencia"/>
        <s v="El equipo concluyo que no se ajustan a las nececidades los componentes existentes y que el desarrollo de los mismos tiene que ser con CANVAS"/>
        <s v="Análisis y estudio para la creación con Canvas de componentes de graficas estadisticas"/>
        <s v="Desarrollo de grafica circular con Canvas "/>
        <s v="Desarrollo de grafica piramidal con Canvas"/>
        <s v="Desarrollo de grafica de tendencias con Canvas"/>
        <s v="realizar las correcciones necesarias para la gráfica circular, también implementé algunas mejoras adicionales para mejorar su visualización y usabilidad. Por ejemplo, añadí interactividad a la gráfica mediante la inclusión de efectos de animación al pasar el cursor sobre las diferentes secciones de la misma."/>
        <s v="realizar las correcciones necesarias para la gráfica piramidal, también implementé algunas mejoras adicionales para mejorar su visualización y usabilidad. Por ejemplo, añadí interactividad a la gráfica mediante la inclusión de efectos de animación al pasar el cursor sobre las diferentes secciones de la misma."/>
        <s v="realizar las correcciones necesarias para la gráfica tendencias, también implementé algunas mejoras adicionales para mejorar su visualización y usabilidad. Por ejemplo, añadí interactividad a la gráfica mediante la inclusión de efectos de animación al pasar el cursor sobre las diferentes secciones de la misma."/>
        <s v="ajustes a los diseños de las cards, quejas, solicitudes e informacion, carruseles asi como la implementacion de diversas funcionalidades solicitadas por el usuario."/>
        <s v="Creacion de funcionalidad de div 60% a 40% para las coindcidencias en archivos, en todas las cards"/>
        <s v="Optimización de código, eliminación de logs, y repeticiones en solicitudes de información al servidor"/>
        <s v="Pruebas del código propuesto para la optimización y la mejor maera de solicitar información al servidor, se evita las multiples consultas al servidor, mejorando el performance de la aplicación"/>
        <s v="Revisión y pruebas finales de todos los cambios solicitados por el cliente"/>
        <s v="Requerimientos de los id de reportes estadísticos"/>
        <s v="Pruebas de diseño para la solucion de envíos de reportes estadísticos, creación de servicios e imlementación 1/30"/>
        <s v="Pruebas de diseño para la solucion de envíos de reportes estadísticos, creación de servicios e imlementación 9/30"/>
        <s v="Pruebas de diseño para la solucion de envíos de reportes estadísticos, creación de servicios e imlementación 20/30"/>
        <s v="Campos de Perfil "/>
        <s v="actualizacin Concurso Nacional Universitario 2023"/>
        <s v="modificacion Identidad segura "/>
        <s v="Guia de apoyo envios "/>
        <s v="alta usuarios banco de practicas "/>
        <s v="Prosede actualizacion "/>
        <s v="Arcualizacion de archivos "/>
        <s v="modificacion calendario "/>
        <s v="Visualizacion del sitio Guia de apoyo "/>
        <s v="Solicitud de integracion Procede "/>
        <s v="actualizacion PROCEDE "/>
        <s v="Retiro de ventana emergente "/>
        <s v="actualizacion de reportes "/>
        <s v="Recuperacin de usuarios "/>
        <s v="Pagina web carga de documentacion "/>
        <s v="Alta  de usuarios Ensayo Reportaje "/>
        <s v="Reunion semanal de avances "/>
        <s v="Presentacion Odoo "/>
        <s v="revision de minutas "/>
        <s v="Mdificacion micrositio Planeacion "/>
        <s v="Modificacion micrositio Identidad segura "/>
        <s v="Pruebas Osticket "/>
        <s v="Error ligas "/>
        <s v="Mofimicacion Pleno niños "/>
        <s v="Actualizacion Revista "/>
        <s v="Actualizacion Gobierno abierto "/>
        <s v="reunion de avances "/>
        <s v="actualizacion Planeacion "/>
        <s v="Actualizacion Pagina Web "/>
        <s v="Actualizacion Informes 2023 "/>
        <s v="actualizacioin Revista "/>
        <s v="modificaion usuarios Pagina Web "/>
        <s v="Actualizacion directorio RTA "/>
        <s v="acatualizacion de padron de SO "/>
        <s v="Actualizacion comité de etica "/>
        <s v="Actualizacion del sitio SEDE "/>
        <s v="carga de archivos pagina web "/>
        <s v="carga de imágenes PROMOCION Y VINCULACION "/>
        <s v="Recuperacion de usuarios "/>
        <s v="actualizacion PROSEDE "/>
        <s v="Actualizacion Pleno niños "/>
        <s v="Se tuvieron sesiones para validar las observaciones de los usuarios sobre los reportes. También se estuvieron realizando algunos de los ajustes solicitados."/>
        <s v="Se mantuvieron sesiones para revisar los cambios realizados. De igual forma se estuvieron validando las diferentes formas de mostrar las gráficas."/>
        <s v="Se realizaron lkos cambios faltantes y se agregaron los diferentes filtros en un menú para facilitar su acceso a los usuarios."/>
        <s v="Se crea componente manteniendo el diseño actual de los temáticos para el buscador de género"/>
        <s v="Mejoras a componente descripción en cards"/>
        <s v="Mejoras cards y sección archivos de la respuesta"/>
        <s v="Se agrega funcionalidad para poder descargar y mostrar correctamente los archivos de la respuesta y la solicitud "/>
        <s v="Mejoras para que el input de búsqueda principal sea responsive en móviles"/>
        <s v="Se agrega funcionalidad para sombrear palabras que coinciden con la busque del usuario"/>
        <s v="Implementación de palabras (clave) en el resaltado de las coincidencias"/>
        <s v="Mejoras en responsive Input de búsqueda "/>
        <s v="Agrupación de temas y subtemas repetidos en los carousel, así como mejoras en iconos next y prev"/>
        <s v="Mejoras en responsive sección archivos"/>
        <s v="Se quita el id de género para que la búsqueda sea sobre todo el universo de información, y se quita funcionalidad infinito al carousel de temas"/>
        <s v="Se quita el loading para la inserción de estadísticos y se hace la implementación de estadísticos usando ngrx"/>
        <s v="Mejoras función filtro tipo respuesta"/>
        <s v="Mejoras componente loading "/>
        <s v="Mejoras generales buscador de género y pruebas "/>
        <s v="Mejoras servicio que actualiza y obtiene los sujetos obligados, para recuperar e insertar la fecha actualización"/>
        <s v="Implementación campos fecha registro y fecha actualización en vistas sujetos obligados (módulos federado)"/>
        <s v="Implementación servicio para el llenado de las gráficas de acuerdo a la colección seleccionada y mejoras de código"/>
        <s v="Implementación campo dtFechaLimiteRegistroMi a query del servicio actualizar datos solicitud (modulo soportes)"/>
        <s v="Pruebas e implementación campo en la vista jsp"/>
        <s v="Se hacen ajustes, validaciones y pruebas para integrar dos nuevos roles al portlet de soportes y que estos puedan ver el soporte de modificar datos solicitud"/>
        <s v="Implementación columna folio parent y correo electrónico en soporte modificar fechas solicitud"/>
        <s v="Pruebas y despliegue en desarrollo con todas las modificaciones para validar el correcto funcionamiento"/>
        <s v="Mejoras servicio actualizar y modificar datos solicitud"/>
        <s v="Revisión y ajustes de los componentes de Federados"/>
        <s v="Se realiza servicio de consulta de archivos para la descarga de acuses de impugnaciones "/>
        <s v="Se realiza revisión y corrección de incidencia productiva. Carga de rutas de implementación a  Actividades ABC"/>
        <s v="Se realiza el servicio de actualización de estatus para las notificaciones "/>
        <s v="Se realiza el servicio interno de guardado de documentos para el módulo de notificaciones "/>
        <s v="Se realiza servicio de respuesta de notificacion de recurrentes "/>
        <s v="Se prueban campos de envío a sp de guardado de quejas "/>
        <s v="Se realiza el servicio de respuesta de solicitud "/>
        <s v="Se trabaja en el agregado de campos en la comparativa de actividades de ruta de implementación y actividades abc "/>
        <s v="Corrección de reglas de negocio para carga de actividades abc y agregado. "/>
        <s v="Actualizacion de micrositio DDHIG "/>
        <s v="Actualizacion del micrositio Comité de Etica "/>
        <s v="Modificacion de estilos"/>
        <s v="Actualizacioion micrositio Innovacion y buena practica "/>
        <s v="Planeacion carga de metodologia "/>
        <s v="Actualizacion sitio Derechos humanos "/>
        <s v="Cambio de estilos promocion "/>
        <s v="Recuperacion de contraseñas "/>
        <s v="actualizacion avance de proyecto "/>
        <s v="actualizacion micrositio Innovacion y buena practica "/>
        <s v="revision micrositio "/>
        <s v="actualizacion micrositio oficina de control "/>
        <s v="carga de documentacion "/>
        <s v="reporte prosede "/>
        <s v="Liga de registros "/>
        <s v="platica informativa certamen "/>
        <s v="actualizacion servisio profecional "/>
        <s v="actualizacion sistemas de citas "/>
        <s v="actualizacion pleno infantil 2023"/>
        <s v="modificacion procede inai "/>
        <s v="actualizacion servicio profecional "/>
        <s v="apollo a falla de concurso de periodismo "/>
        <s v="actualizacion apartado unidad de transparencia "/>
        <s v="actualizacion micrositio comité de etica "/>
        <s v="actualizacion banco de practicas "/>
        <s v="actualizacion micrositio SEDE- INAI "/>
        <s v="actualizacin avance de proyectos "/>
        <s v="actualizacion servicio profesional "/>
        <s v="actualizacion formato de comisiones "/>
        <s v="actualizacion certamen "/>
        <s v="revision pleno niños "/>
        <s v="Se estuvieron realizando los cambios solicitados en el informe- Asimismo se estuvieron realizando pruebas para validar la funcionalidad del reporte."/>
        <s v="Se continuaron realizando los cambios, se crearon escenarios de pruebas y automatización de la publicación de reportes. Además, se estuvieron haciendo cambios de conectividad de la base de datos."/>
        <s v="Se mostraron los reportes publicados además de concluir pruebas de mostrar la ultima fecha de actualización de los reportes."/>
        <s v="Implementar servicio del registro de estadístico en todo el buscador"/>
        <s v=" Maquetado de formulario de búsqueda de &quot;Mis quejas&quot;"/>
        <s v="Maquetado de grid de listado de quejas"/>
        <s v="Maquetado de funcionalidad de &quot;expando row&quot; para el detalle de quejas"/>
        <s v="Maquetado de la pantalla de seguimiento de la queja"/>
        <s v="Maquetado de la pantalla para prevenir una queja"/>
        <s v="Maquetado de la pantalla para admitir una queja"/>
        <s v="Maquetado de la pantalla para admitir y cerrar una queja"/>
        <s v="Se integra servicio para registrar quejas [modelo, peticion y respuesta]"/>
        <s v="Se da seguimiento y pruebas al error presentado al generar una nueva queja de una solicitud valida"/>
        <s v="Se incorpora servicio para seguimiento de mis quejas (listado, detalle e historial)"/>
        <s v="Se inica el cambio de servicios para pantallas del sisai, tambien se verifican peticiones y respuestas de los servicios"/>
        <s v="Cambio de servicios para pantallas de quejas y buscadores nacionales, tambien se verifican peticiones y respuestas de los servicios"/>
        <s v="Cambio de servicios para pantallas de buscador obligaciones"/>
        <s v="Cambio de servicios para pantallas de buscador quejas"/>
        <s v="Cambio de servicios para pantallas de buscador solicitudes"/>
        <s v="Se ocultan servicios nuevos de usuarios y se reemplazan por sus similares de liferay"/>
        <s v="Correcciones visuales como cambios de colores, conteos de caracteres y presentacion de widgets"/>
        <s v="Se agrega a peticon de solicitud de informacion publica segmento para el medio de notificacion"/>
        <s v="Correcciones visuales como cambios de colores y listado de acuses y SO, correccion al modelo de responder recurrentes"/>
        <s v="Se realiza un cambio al selector multiple de instutuciones, se seleccionan SO de diversos OG"/>
        <s v="Se agregan peticiones faltantes para descargar archivos adjuntos"/>
        <s v="Correcciones visuales como cambios de diseño en cards de acuses, se agrega boton para regresar a inicio en acuses, se agregan campos faltantes al servicio de registrar estadisticos y cambios de formato en detalles de resultados de solicitud e historial"/>
        <s v="Se cambia servicio para mostrar en selector de estados cuando se trate de una direccion"/>
        <s v="Cambios en el servicio de registrar y elimiinar token movil, cambios visuales en la app y se realiza research para problema con falsos resultados de busqueda en mis solicitudes"/>
        <s v="Se realizan ajustes para detalle de quejas, como la incorporacion de notificaciones e historial de quejas"/>
        <s v="Se realiza research para corregir error con las peticiones internas y actualizar el token en posible expiracion"/>
        <s v="Se integra servicio para descarga de adjuntos de queja"/>
        <s v="Se integra servicio para adjuntar archivo a la respuesta de &quot;Prevenciosn&quot; en quejas"/>
        <s v="Se integra servicio para responder la notificcacion de mis quejas"/>
        <s v="Se integra servicio para adjuntar archivo a la respuesta de &quot;Comunicacion&quot; RIA en quejas "/>
        <s v="Se integra servicio para responder la Comunicacion RIA de mis quejas"/>
        <s v="Se realizan pruebas para responder RIA"/>
        <s v="Se realizan pruebas para responder notificaciones"/>
        <s v="Se actualizan url para servicios que apunten a liferay para reemplazarlos por nuevos"/>
        <s v="Se incorpora abrir acuse de registro de la queja en navegador externo"/>
        <s v="Se cambia widget para renderizar html en notificacion de quejas"/>
        <s v="Se corrige problema al crear solicitud de datos personales con una cuenta recien creada"/>
        <s v="Se corrige problema al crear solicitud de datos personales al crear una portabilidad de datos"/>
        <s v="Se incorporan servicios de saimex para alta de quejas, repuesta de quejas y adjuntos"/>
        <s v="Se realzian ajustes visuales a la app, cambiar orden de botones de menu, cambios de texto y cambio de botones"/>
        <s v="Se realzian ajustes visuales a la app, agregar funcionalidad para retroceder en stepper, agregado texto de ayuda en card de mis quejas"/>
        <s v="Se realzian ajustes visuales a la app y se verifica funcionamiento de estadisticos"/>
        <s v="Se realzian ajustes visuales a la app, se cambian colores en snackbar y elementos de app"/>
        <s v="Se realzian ajustes visuales a la app, se agrega snackbar de validaciones en wizard y se agregan validaciones faltantes a forms"/>
        <s v="Se realzian ajustes visuales a la app, se cambian url de redes sociales"/>
        <s v="Se hace revision de plugins de redes sociales pra el registro y autentificacion"/>
        <s v="actualización gobierno abierto "/>
        <s v="Actualización enlace pleno infantil 2023 "/>
        <s v="Actualización de avance de proyectos "/>
        <s v="Alta usuarios premio PDP "/>
        <s v="actualización pleno niños "/>
        <s v="actualización micrositio planeación "/>
        <s v="carga publica "/>
        <s v="Revisión de accesos "/>
        <s v="Modificación sitio DGPVS"/>
        <s v="actualización pagina web "/>
        <s v="actualización micrositio comité de ética"/>
        <s v="actualización micrositio del CIT23"/>
        <s v=" actualización fechas pleno niños "/>
        <s v="actualización avance de proyecto "/>
        <s v="actualización carga publica "/>
        <s v="actualización consultivo "/>
        <s v="actualización eventos "/>
        <s v="Carga ECOS ICIC "/>
        <s v="carga de archivo ICIC "/>
        <s v="Actualización consultas "/>
        <s v="Actualización micrositio certamen"/>
        <s v="Actualización micrositio "/>
        <s v="Actividades ODOO "/>
        <s v="Actualización ICIC "/>
        <s v="Actualización micrositio consejo consultivo."/>
        <s v="Actualización micrositio consultas "/>
        <s v="actualización EIPDP "/>
        <s v="Actualización sitio consultas "/>
        <s v="actualización servicio profesional "/>
        <s v="Actualización micrositio certamen "/>
        <s v="apoyo en pagina web "/>
        <s v="actualización micrositio gobierno abierto "/>
        <s v="Actualización sitio Resoluciones "/>
        <s v="Se instalo el software Forticlient para poder configurar la VPN para conectarme a la red del INAI"/>
        <s v="Se configura la VPN para conectarse a los servidores del INAI, de acuerdo a la información proporcionada el subdirector y se valida la conexión"/>
        <s v="Se revisa el Diccionario de Datos del SISAI con todas las tablas que se manejan"/>
        <s v="Se revisa el Diagrama Entidad-Relación de las tablas del SISAI, para entender la relación de las tablas del sistema"/>
        <s v="Se instala el software Toad for Oracle para poder conectarnos a la base de datos"/>
        <s v="Se configura la conexión para la base de datos de producción para el servidor 172.20.36.91 y se valida la conexión"/>
        <s v="Se valida acceso a carpeta de SharePoint que contienen algunos queris del SISAI y se descargan los documentos"/>
        <s v="Se revisa el archivo 'Querys SISAI' para conocer las 16 consultas que se podrían mejorar u optimizar"/>
        <s v="Se revisa el archivo 'Relación de querys de la PNT a mejorar' con la relación de los querys del SISAI que son prioritarios"/>
        <s v="Se solicito el acceso y el usuario para conectarnos a la base de datos para el ambiente de desarrollo, para lectura y escritura"/>
        <s v="Se valida conexión a basa de datos de desarrollo desde el Toad"/>
        <s v="Se revisa documento 'Querys Ponencia Sisai' para ir comprobando el tipo de consultas que se pueden ir mejorando y para irse familiarizando con las tablas"/>
        <s v="Implementación servicio consulta roles"/>
        <s v="Desarrollo agregar, actualizar y eliminar rol"/>
        <s v="Implementación validación extensiones instaladas en el navegador"/>
        <s v="Implementación y desarrollo para validar extensiones instaladas y agregar header a las peticiones http"/>
        <s v="Implementación servicio consulta usuarios "/>
        <s v="Se agrega funcionalidad para cargar catálogos de acuerdo al usuario logeado"/>
        <s v="Se crea pantalla editar usuario"/>
        <s v="Desarrollo función para convertir archivo tipo application/octet-stream a Excel"/>
        <s v="Implementación servicio y funcionalidad botones agregar y editar"/>
        <s v="Maquetación pantalla registro usuarios internos"/>
        <s v="Maquetación pantalla editar contraseña usuarios internos y columnas dinámicas tabla"/>
        <s v="Implementación servicio master módulo usuarios"/>
        <s v="Implementación servicio registro usuario y actualizar contraseña"/>
        <s v="Implementación lógica catálogos de acuerdo al rol seleccionado y pruebas flujos desarrollados"/>
        <s v="Validación flujos registro y consulta usuario, versionado en SVN"/>
        <s v="Desarrollo pantalla Editar Sujeto Obligado"/>
        <s v="Implementación tabla para el listado de sujetos obligados"/>
        <s v="Implementación botón eliminar múltiples sujetos obligados"/>
        <s v="Implementación carga catálogos por rol"/>
        <s v="Desarrollo pantalla consulta usuarios"/>
        <s v="Pruebas y mejoras para validar las extensiones instaladas en el navegador"/>
        <s v="Investigación ofuscado y minificado de código "/>
        <s v="Pruebas de servicios"/>
        <s v="Implementación modal roles del usuario"/>
        <s v=" Implementación servicio descarga de usuarios"/>
        <s v="Implementación servicio consultar sujetos obligados"/>
        <s v="Pruebas redirect home PNT,mejoras servicio inicio sesión de la app"/>
        <s v="Maquetación pantalla editar usuarios internos"/>
        <s v="Implementación servicio consulta usuarios internos"/>
        <s v="Implementación validaciones formulario"/>
        <s v="Implementación lógica catálogos de acuerdo al rol seleccionado"/>
        <s v="Validaciones catálogos registro usuario"/>
        <s v="Desarrollo pantalla Agregar Sujeto Obligado"/>
        <s v="Implementación servicios agregar y editar sujeto obligado"/>
        <s v="Implementación servicio listar sujetos obligados y limpiar formularios"/>
        <s v="Pruebas y validación (maxlength,minlength,email,pattern teléfono,campos requeridos, implementación alertas, modales de confirmación y acción correcta o fallida en pantallas)"/>
        <s v="Analisis de los diferetes componentes del cluster"/>
        <s v="Se configura la VPN para conectarse a los servidores del INAI, de acuardo a la información proporcionada el subdirector, se valida la conexión con cada uno"/>
        <s v="Se reviso que se tenga acceso y salida de internet de los diferentes servidores"/>
        <s v="Ya con los accesos, se actualizo el SO, ultimo nivel de actualizaciones"/>
        <s v="Se instaló algunas herraientas a utilizar"/>
        <s v="Se quito swap y otras configuraciones necesarias"/>
        <s v="Se dejo a puesto el operator node, es donde todo se va configurar"/>
        <s v="Se agrego el usuario de Oracle en los 7 servidores"/>
        <s v="passwordless login del operator node a todos los demas servidores"/>
        <s v="Se trabaja en el servicio interno de consulta de detalle de queja por idMedioImpugnacion"/>
        <s v="Se trabaja en el servicio interno de obtener notificaciones por idMedio impugnacion"/>
        <s v="Se trabaja en el servicio interno de acutalizacion de estatus de notificacion"/>
        <s v="Se trabaja en el servicio interno de respuesta de solicitud RIA"/>
        <s v="Se trabaja en el servicio interno de consulta de historico"/>
        <s v="Se trabaja en el servicio interno de notificacion recurrente"/>
        <s v="Se realizan pruebas y correcciones para los serivicios internos de guardado de queja"/>
        <s v="Se realizan pruebas y correcciones para los serivicios internos guardado de queja y consultar mis quejas"/>
        <s v="Se realizan los servicios externos para listar quejas y obtener el detalle de la queja."/>
        <s v="Se realiza servicio externo para la consulta de detalle medio impugnacion y listado de notificaciones"/>
        <s v="Se realiza servicio externo para actualizar estatus y response notificacion recurrent. Se realizan prueba sy correcciones a servicios internos"/>
        <s v="Se realiza servicio externo de consulta de historico. Se realizan pruebas y correcciones al serivicio interno consuta Historico"/>
        <s v="Se realiza prueba y correcciones al servicio solitudRia"/>
        <s v="Se realiza prueba y correcciones al servicio getNotificacionRecurrent"/>
        <s v="Se realiza prueba y correcciones al servicio de consulta de documentos"/>
        <s v="Se realiza conexión de servicio del guardado de queja"/>
        <s v="Pruebas de servicios internos notifiacion recurrente o obtener documento"/>
        <s v="Desarrollo pantalla Unidades Administrativas"/>
        <s v="Desarrollo e implementación servicios Back"/>
        <s v="Desarrollo pantalla Agregar Unidades administrativas"/>
        <s v="Desarrollo pantalla Editar Unidades administrativas"/>
        <s v="Desarrollo e implementación servicios agregar y editar  unidades administrativas,mapeo respuestas"/>
        <s v="Desarrollo de tabla para el listado de sujetos obligados"/>
        <s v="Validación para ocultar o mostrar la pantalla de unidades administrativas de acuerdo al rol de usuario"/>
        <s v="Implementación servicio eliminar múltiples unidades administrativas"/>
        <s v="Desarrollo pantalla sub enlaces dashboard"/>
        <s v="Desarrollo servicio listar sub enlaces  y funcionalidad limpiar formulario"/>
        <s v="Desarrollo pantalla agregar sub enlaces"/>
        <s v="Desarrollo pantalla editar sub enlaces"/>
        <s v="Implementación servicios agregar, editar  sub enlaces y mapeo respuestas"/>
        <s v="Implementación tabla para el listado de sub enlaces"/>
        <s v="Validación para ocultar o mostrar la tabla  de sub enlaces"/>
        <s v="Implementación botón eliminar múltiples sub enlaces"/>
        <s v="Microservicios para envíar correo por la modificación de password."/>
        <s v="Microservicios para “Olvide mi contraseña”"/>
        <s v="Microservicios para desactivar cuenta"/>
        <s v="Desarrollar pantalla para actualizar datos de usuarios externos"/>
        <s v="Servicio para reactivar cuentas de usuarios "/>
        <s v="Desarrollar pantalla de aviso de reactivación de cuenta"/>
        <s v="Desarrollo de servicios rest para funcionalidades específicas de los catálogos federados 1ra parte"/>
        <s v="Desarrollo de servicios rest para funcionalidades específicas de los catálogos federados 2da parte"/>
        <s v="Busqueda expediente Resoluciones "/>
        <s v="Actualizacion Requerimiento de aplicaciones web "/>
        <s v="Actualizacion pagina INAI "/>
        <s v="actualizacion de inventario de micrositios"/>
        <s v="Actualizacion de micrositio MIPYMES"/>
        <s v="Carga de responsables de Resoluciones "/>
        <s v="Busqueda de ID Resoluciones"/>
        <s v="Actualizacion de fechas de micrositios"/>
        <s v="Actualizacion busqueda de Resoluciones "/>
        <s v="Apoyo a formulario de Registros"/>
        <s v="Monitoreo de PNT 1"/>
        <s v="Monitoreo de PNT 2"/>
        <s v="Monitoreo de PNT 3"/>
        <s v="Monitoreo de PNT 4"/>
        <s v="Monitoreo de PNT 5"/>
        <s v="Monitoreo de PNT 6"/>
        <s v="Monitoreo de PNT 7"/>
        <s v="Monitoreo de PNT 8"/>
        <s v="Monitoreo de PNT 9"/>
        <s v="Monitoreo de PNT 10"/>
        <s v="Monitoreo de PNT 11"/>
        <s v="Se agregó el usuario Oracle para que pueda tener acceso root y sea el unico que se pueda logear en el sistema operativo"/>
        <s v="Se quitó el usuario root para que pueda loquearse por ssh, por temas de seguridad"/>
        <s v="Se habilitó el repositorio de OLCNE 1.6 y se deshabilitó las versiones anteriores"/>
        <s v="Se configuró Chrony  para temas de NTP"/>
        <s v="Se deshabilitó  calico de pod networking para su uso"/>
        <s v="Se habiltó bridge y netfilter como parte del prerquisito"/>
        <s v="Se configuró Worker nodes ya que lleva una configuracion diferentes al ser los que  corren los conetenedores"/>
        <s v="Se instaló olcne-agent y olcne-utils en cada nodo del cluster, desde el operator node cuando se manda a habilitar o configurar algun modulo de kubernetes, utiliza el agente de cada nodo para hacer la instalacion en los nodos necesarios."/>
        <s v="Se instaló y se configuró HAProxy, los control plane se registran como backend y como frontend los worker node que se van a estar conectando por puerto 6443, tambien se habilito las estadisticas en el puerto 9000"/>
        <s v="Se crearon certificados necesarios para la correcta comunicación entre control plane y worker nodes"/>
        <s v="Se configuraron certificados para poder utilizar la IP externa para los diferentes contenedores"/>
        <s v="Se creó el cluster usando los certificadores creados en el punto anterior"/>
        <s v="Creacion del modulo de k8s"/>
        <s v="Creacion del modulo de calico"/>
        <s v="Creación de todos los pods correctamente"/>
        <s v="Sesión para Revisar Sistema SISAI con subdirector, para conocer el detalle del sistema y como se componen las diversas plataformas"/>
        <s v="Sesión para Profundizar en las tablas del SISAI con director y explicación a detalle de cada objeto"/>
        <s v="Analisis de las tablas para familiarizarce con las necesidades o consultas que se pueden solicitar"/>
        <s v="Se analiza consulta 'Solicitudes por Entidad Federativa - EXCEL' del Archivo Querys Ponencia, se valida en herramienta y propone mejora"/>
        <s v="Se analiza consulta 'Solicitudes por Sujeto Obligado y Entidad Federativa' del Archivo Querys Ponencia, se valida en herramienta y propone mejora"/>
        <s v="Se analiza consulta 'Solicitudes por Entidad Federativa y tipo (acceso - datos personales)' del Archivo Querys Ponencia, se valida en herramienta y propone mejora"/>
        <s v="Se analiza consulta 'Solicitudes totales por tipo (acceso - datos personales) - EXCEL' del Archivo Querys Ponencia, se valida en herramienta y propone mejora"/>
        <s v="Se analiza consulta 'Solicitudes totales por tipo y Entidad Federativa (acceso - datos personales)' del Archivo Querys Ponencia, se valida en herramienta y propone mejora"/>
        <s v="Se analiza consulta 'Solicitudes de datos personales por tipo de derecho' del Archivo Querys Ponencia, se valida en herramienta y propone mejora"/>
        <s v="Se analiza consulta 'Temática de las solicitudes por Entidad federativa y Sujeto obligado' del Archivo Querys Ponencia, se valida en herramienta y propone mejora"/>
        <s v="Se analiza consulta 'Solicitudes app móvil EXCEL' del Archivo Querys Ponencia, se valida en herramienta y propone mejora"/>
        <s v="Se analiza consulta 'Solicitudes de Portabilidad ' del Archivo Querys Ponencia, se valida en herramienta y propone mejora"/>
        <s v="Se revisan configuraciones en herramienta Toad For Oracle para poder utilizar el 'Auto Optimize SQL'"/>
        <s v="Se solicita apoyo del DBA para crear tabla &quot;NREYES&quot;.&quot;QUEST_SL_EXPLAIN1&quot; en el ambiente de Desarrollo para validar si el Auto Optimizador SQL funciona"/>
        <s v="Se solicita apoyo del DBA para otorgar permisos de escritura en usuario NREYES  para validar si el Auto Optimizador SQL funciona"/>
        <s v="Se valida y comprueba que funciona la herramienta de Auto Optimizador de SQL para el ambiente de Desarrollo"/>
        <s v="Se solicita apoyo del DBA para crear tabla &quot;NREYES_RO&quot;.&quot;QUEST_SL_EXPLAIN2&quot; en el ambiente de producción para validar si el Auto Optimizador SQL funciona"/>
        <s v="Se solicita apoyo del DBA para otorgar permisos de escritura en usuario NREYES_RO Temporalmente, para validar si el Auto Optimizador SQL funciona"/>
        <s v="Se valida y comprueba que funciona la herramienta de Auto Optimizador de SQL para el ambiente de Producción"/>
        <s v="Se completaron ultimos detalles de mejoras de Querys Ponencia con apoyo de la herramienta 'Auto Optimice SQL'"/>
        <s v="Se completó el documento de Word 'Querys Ponencia' con el query de mi mejora + la mejora propuesta por la herramienta con bajo costo"/>
        <s v="Se solicitaron permisos para cargar archivos a la ruta del sharepoint"/>
        <s v="Se agregó mi archivo 'Querys Ponencia_MejoraNReyes' con mejoras al sharepoint con los 9 querys y mejoras"/>
        <s v="Se tuvó sesión con el subdirector para comentar pasos siguientes sobre nuevas mejoras al SISAI"/>
        <s v="Se revisó con subdirector la estructura que tendra el paquete del SISAI y como se iran agregando los procedimientos, asi como los parametros"/>
        <s v="Se revisó funcionalidad del 1er query del archivo 'Query SISAI' con una navegación en el aplicativo con el subdirector"/>
        <s v="Se analizó el 1er Query de SISAI '1.Funcionalidad que obtiene el dashboard de Mis Solicitudes del solicitante' y se detectó un tema con el parametro 'idUsuario' ya que debe ser obligatorio"/>
        <s v="Se trabajó para optimizar el 1er Query de SISAI, de la funcionalidad del dashboard de Mis Solicitudes"/>
        <s v="Se revisó a detalle del query1, la tabla 'sisai.sisai_tr_solicitud_general' con la columna 'id_usuario_solicitud' y se propuso creación de INDICE"/>
        <s v="Se intentó crear 1ra versión del paquete y no se tenian los privilegios con mi usuario NREYES en el ambiente de Desarrollo, se le reportó a subdirector"/>
        <s v="Se solicitó apoyo para poder ingresar a mi correo de ND para solicitar peticiones de la Base de Datos"/>
        <s v="Se envió correo a base de datos para que se otorgen los privilegios de escritura en BD para usuario NREYES en el ambiente de Desarrollo"/>
        <s v="Al continuar sin poder crear objetos de BD en Desarrollo, se informó que para crearlo se tendría que solicitar a través del archivo 'CC_TIPO-ticket7105__12072023', se revisó archivo"/>
        <s v="Se proporcionó el usuario SISAI para finalmente poder crear objetos en Desarrollo"/>
        <s v="Se configuró y validó la conexión a través del Toad for Oracle con nuevo usuario SISAI"/>
        <s v="Se trabajó con el Header del Nuevo Paquete 'SISAI.PACK_SISAI2' y se crea con el usuario SISAI"/>
        <s v="Se trabajó con el Body del Nuevo Paquete 'SISAI.PACK_SISAI2' y se crea con el usuario SISAI"/>
        <s v="Se trabajó con el 1er Procedimiento 'FUNC1_DASHBOARDMISSOLICITUDES' y se implimentó SQL Dinamico para condiciones del parametro 'IdEstatus'"/>
        <s v="Se confirmó con Samuel el valor de la constante para el parametro 'IdEstatus', ya que esto es importante para las condiciones en el 1er procedimiento"/>
        <s v="Se validó resultado del 1er Procedimiento dentro del paquete, con una salida en un bloque anonimo para visualizar resultados"/>
        <s v="Se analizó el 2do Query del SISAI '2. Funcionalidad que obtiene la bandera para identificar si un folio es candidato a recurso de revisión.' y este se comenta con subdirección para que lo revisen a profundidad"/>
        <s v="Se modificó el 1er procedimiento 'FUNC1_DASHBOARDMISSOLICITUDES' para convertirlo a SQL dinámico por el tipo de parámetros que se manejan"/>
        <s v="Se realizaron pruebas de las variantes que representa el manejar el Query dinámico en el 1er Procedimiento del paquete"/>
        <s v="Se comprobó salida del query dinámico con bloque anónimo con variable SYS_REFCURSOR y se detectarón errores"/>
        <s v="Se verificó campo por campo del query dinámico de la Funcionalidad 1, para validar el tipo de dato y longitud exactos"/>
        <s v="Se declararon las variables en bloque anónimo con validación exacta de tamaños de tipos de datos, del query de la Funcionalidad 1"/>
        <s v="Se actualizaron las condiciones del query dinámico para detectar errores y se regresó a la mínima expresión de la consulta, para ir validando cada parámetro"/>
        <s v="Se detectó error del procedimiento en las fechas dinámicas por un carácter adicional y se corrigió"/>
        <s v="Se validó el paquete-procedimiento de la funcionalidad # 1 y se tuvo un resultado exitoso con la salida del cursor completo con diversos parámetros"/>
        <s v="Se revisó el 3er query que 'obtiene el detalle de una solicitud en el dashboard del solicitante', se ejecutaron diversas consultas y pruebas con distintos parámetros"/>
        <s v="Se detectaron inconsistencias en Query de Funcionalidad 3, ya que son varios queries pequeños, no se sabe si se tiene que armar un query completo o ir validando paso a paso en los diversos queries"/>
        <s v="Se actualizó el documento 'Query SISAI' con las dudas sobre el Query 3 para revisarlas con Subdirector la próxima semana"/>
        <s v="Se revisó el 5to query para 'exportar las solicitudes del solicitante', se hicieron las primeras ejecuciones con los parámetros para entender su funcionamiento"/>
        <s v="Se optimizó el 5to query para tener una versión mejorada en tiempo de respuesta y costo"/>
        <s v="Se creó el nuevo procedimiento 'FUNC5_EXPORTARSOLICITUDES' en el paquete 'PACK_SISAI2', con la funcionalidad del 5to Query"/>
        <s v="Se verificó campo por campo del query de la Funcionalidad 5, validando el tipo de dato y longitud exactos"/>
        <s v="Se declararon las variables en bloque anónimo con validación exacta de tamaños de tipos de datos, del query de la Funcionalidad 5"/>
        <s v="Se validó el paquete-procedimiento de la funcionalidad # 5 con el bloque anónimo correcto y se tuvo un resultado exitoso con la salida del cursor completo con el único parámetro vID_SOLICITUDDEPENDENCIA"/>
        <s v="Se actualizó el documento 'Query SISAI' con los comentarios sobre el Query 5, por el parámetro de una lista de valores de los id´s para revisarlas con Subdirector la próxima semana, se tendría que aplicar SQL dinámico para resolverlo"/>
        <s v="Se revisó el 6to query para 'obtención del dashboard en la recepción de solicitudes UT', se hicieron las primeras ejecuciones con los parámetros para entender su funcionamiento"/>
        <s v="Se optimizó el 6to query para tener una mejor versión con mejor tiempo de respuesta y costo"/>
        <s v="Se creó nuevo procedimiento 'FUNC6_DASHBRDRECEPCIONSOLICIT_UT' en el paquete 'PACK_SISAI2', con la funcionalidad del 6to Query"/>
        <s v="Se verificó campo por campo del query de la Funcionalidad 6, validando el tipo de dato y longitud exactos"/>
        <s v="Se declararon las variables en bloque anónimo con validación exacta de tamaños de tipos de datos, del query de la Funcionalidad 6"/>
        <s v="Se validó el paquete-procedimiento de la funcionalidad # 6 con el bloque anónimo correcto y se tuvo un resultado exitoso con la salida del cursor completo con los parámetros detectados (FolioSolicitud, EstatusAsignacion y fecha_oficial_recepcion)"/>
        <s v="Se actualizó el documento 'Query SISAI' con los comentarios sobre el Query 6, ya que trae 2 parámetros que no se tiene la certeza si se manejaran o no y si serian obligatorios o no, para revisar lo con Subdirector la próxima semana"/>
        <s v="Se revisó el 7mo query que 'obtiene el detalle de una solicitud en el dashboard de la UT y GI', se hicieron las primeras ejecuciones con los parámetros para entender su funcionamiento"/>
        <s v="Se detectaron inconsistencias en Query de Funcionalidad 7, ya que son varios queries pequeños, no se sabe si se tiene que armar un query completo o ir validando paso a paso en los diversos queries"/>
        <s v="Se actualizó el documento 'Query SISAI' con las dudas sobre el Query 7 para revisarlas con Subdirector esta semana"/>
        <s v="Se revisó el 8vo query que 'permite la exportación de las solicitudes de la UT a formato excel', se hicieron las primeras ejecuciones con los parámetros para entender su funcionamiento"/>
        <s v="Se detectaron inconsistencias en Query de Funcionalidad 8, por parametro de Lista que no se sabe cómo se va a ingresar"/>
        <s v="Se actualizó el documento 'Query SISAI' con las dudas sobre el Query 8 para revisarlas con Subdirector esta semana"/>
        <s v="Se revisó el 9no query que 'obtiene todas las respuestas posibles a aplicar por parte de la UT', se hicieron las primeras ejecuciones con los parámetros para entender su funcionamiento"/>
        <s v="Se detectaron inconsistencias en Query de Funcionalidad 9, por único parámetro y al ser un query pequeño"/>
        <s v="Se actualizó el documento 'Query SISAI' con las dudas sobre el Query 9 para revisarlas con Subdirector esta semana"/>
        <s v="Se revisó el 10mo query que 'obtiene el dashboard en la recepción de solicitudes GI de la UT', se hicieron las primeras ejecuciones con los parámetros para entender su funcionamiento"/>
        <s v="Se detectaron inconsistencias en Query de Funcionalidad 10, por parámetros que no se sabe si son obligatorios y para aclarar parámetros de Estatus Respuesta que manda el aplicativo"/>
        <s v="Se actualizó el documento 'Query SISAI' con las dudas sobre el Query 10 para revisarlas con Subdirector esta semana"/>
        <s v="Se revisó el 11vo query que 'permite el turnado de un folio a unidades administrativas', se hicieron las primeras ejecuciones con los parámetros para entender su funcionamiento"/>
        <s v="Se detectaron inconsistencias en Query de Funcionalidad 11, ya que son varios queries pequeños, no se sabe si se tiene que armar un query completo o ir validando paso a paso en los diversos queries"/>
        <s v="Se actualizó el documento 'Query SISAI' con las dudas sobre el Query 11 para revisarlas con Subdirector esta semana"/>
        <s v="Se revisó el 12vo query que 'obtiene el dashboard con los folios y subfolios pendientes de respuestas de las unidades administrativas', se hicieron las primeras ejecuciones con los parámetros para entender su funcionamiento"/>
        <s v="Se detectaron inconsistencias en Query de Funcionalidad 12, ya que son varios queries y no se sabe el manejo de algunos parámetros"/>
        <s v="Se actualizó el documento 'Query SISAI' con las dudas sobre el Query 12 para revisarlas con Subdirector esta semana"/>
        <s v="Se revisó el 13vo query que 'obtiene el seguimiento de un subfolio de la unidad administrativa', se hicieron las primeras ejecuciones con los parámetros para entender su funcionamiento"/>
        <s v="Se detectaron inconsistencias en Query de Funcionalidad 13, ya que son algunos queries pequeños con parámetros aparentemente obligatorios"/>
        <s v="Se actualizó el documento 'Query SISAI' con las dudas sobre el Query 13 para revisarlas con Subdirector esta semana"/>
        <s v="Se revisó el 14vo query que 'obtiene los movimientos de un subfolio turnado a la unidad administrativa', se hicieron las primeras ejecuciones con los parámetros para entender su funcionamiento"/>
        <s v="Se detectaron inconsistencias en Query de Funcionalidad 14, ya que son algunos queries pequeños con parámetros aparentemente obligatorios"/>
        <s v="Se actualizó el documento 'Query SISAI' con las dudas sobre el Query 14 para revisarlas con Subdirector esta semana"/>
        <s v="Se revisó el 15vo query que 'obtiene el dashboard de las solicitudes asignadas por la unidad de transparencia', se hicieron las primeras ejecuciones con los parámetros para entender su funcionamiento"/>
        <s v="Se detectaron inconsistencias en Query de Funcionalidad 15, ya que el query tiene parámetros aparentemente obligatorios y Estatus de Respuesta que se deben poner fijos"/>
        <s v="Se actualizó el documento 'Query SISAI' con las dudas sobre el Query 15 para revisarlas con Subdirector esta semana"/>
        <s v="Se revisó el 16vo query que 'obtener la integración de respuestas de todos los subfolios por la unidad de transparencia', se hicieron las primeras ejecuciones con los parámetros para entender su funcionamiento"/>
        <s v="Se detectaron inconsistencias en Query de Funcionalidad 16, ya que son algunos queries pequeños con parámetros aparentemente obligatorios"/>
        <s v="Se actualizó el documento 'Query SISAI' con las dudas sobre el Query 16 para revisarlas con Subdirector esta semana"/>
        <s v="Se solicitó sesión con Subdirector para revisar las dudas de las consultas SISAI"/>
        <s v="Se tuvo sesión con Samuel y se aclararon todas las dudas de los querys para seguir trabajando y avanzando"/>
        <s v="Se actualizó paquete de funcionalidad 1 para condición dinámica de 't2.ds_solicitud like'"/>
        <s v="Se validó nuevamente funcionalidad 1 de forma correcta y se muestra en bloque anónimo el campo 'ds_solicitud' para comprobar que si funcione la condición"/>
        <s v="Se actualizó paquete de funcionalidad 5 para pasarlo a query dinámico y de esa forma manejar el parámetro como lista de los Ids"/>
        <s v="Se validó nuevamente la salida del query de funcionalidad 5 de forma correcta al ingresar un filtro con valores enlistados, separados por comas"/>
        <s v="Se creó el nuevo procedimiento 'FUNC3DETSOLDASH_SOLICDEPEN_Q1' en el paquete 'PACK_SISAI2', con la 3ra funcionalidad y el 1ro de los queries pequeños que obtiene las solicitudes de dependencia"/>
        <s v="Se validó el paquete-procedimiento de la funcionalidad # 3 - Query 1 con el bloque anónimo correcto y se tuvo un resultado exitoso con la salida del cursor completo con el único parámetro"/>
        <s v="Se creó el nuevo procedimiento 'FUNC3DETSOLDASH_ADJUNTXSOLIC_Q2' en el paquete 'PACK_SISAI2', con la 3ra funcionalidad y el 2do de los queries pequeños que obtiene los adjuntos por solicitud general"/>
        <s v="Se validó el paquete-procedimiento de la funcionalidad # 3 - Query 2 con el bloque anónimo correcto y se tuvo un resultado exitoso con la salida del cursor completo con el único parámetro"/>
        <s v="Se creó el nuevo procedimiento 'FUNC3DETSOLDASH_RESPXSOLDEP_Q3' en el paquete 'PACK_SISAI2', con la 3ra funcionalidad y el 3ero de los queries pequeños que obtiene las respuestas por solicitud dependencia"/>
        <s v="Se validó el paquete-procedimiento de la funcionalidad # 3 - Query 3 con el bloque anónimo correcto y se tuvo un resultado exitoso con la salida del cursor completo con el único parámetro"/>
        <s v="Se creó el nuevo procedimiento 'FUNC3DETSOLDASH_ADJXIDRESP_Q4' en el paquete 'PACK_SISAI2', con la 3ra funcionalidad y el 4to de los queries pequeños que obtiene los adjuntos por id respuesta"/>
        <s v="Se validó el paquete-procedimiento de la funcionalidad # 3 - Query 4 con el bloque anónimo correcto y se tuvo un resultado exitoso con la salida del cursor completo con el único parámetro"/>
        <s v="Se creó el nuevo procedimiento 'FUNC3DETSOLDASH_COMPETXRESP_Q6' en el paquete 'PACK_SISAI2', con la 3ra funcionalidad y el 6to de los queries pequeños que obtiene la competencia por respuesta"/>
        <s v="Se validó el paquete-procedimiento de la funcionalidad # 3 - Query 6 con el bloque anónimo correcto y se tuvo un resultado exitoso con la salida del cursor completo con el único parámetro"/>
        <s v="Se actualizó paquete de funcionalidad 6 con las ultimas indicaciones de que parámetros van obligatorios u opcionales"/>
        <s v="Se validó nuevamente la salida del query de funcionalidad 6 de forma correcta al ingresar los filtros"/>
        <s v="Se solicitó apoyo para que se modifique la tabla del plan de ayuda de la BD de Desarrollo (&quot;SISAI&quot;.&quot;QUEST_SL_TEMP_EXPLAIN1&quot;.&quot;OBJECT_NAME&quot;)"/>
        <s v="Se creó el nuevo procedimiento 'FUNC3DETSOLDASH_NOTIFDISPONIBXRESP_QF3Q5' en el paquete 'PACK_SISAI2', con la 3ra funcionalidad y el 5to de los queries pequeños que obtiene la notificación disponibilidad por respuesta"/>
        <s v="Se revisó campo por campo de la tabla 'SISAI_TR_NOTIF_DISPONIB' para identificar los tipos de datos y tamaño para validación en bloque anonimo"/>
        <s v="Se validó el paquete-procedimiento de la funcionalidad # 3 - Query 5 con el bloque anónimo correcto y se tuvo un resultado exitoso con la salida del cursor completo con el único parámetro"/>
        <s v="Se optimiza en la herramienta Auto Optimice de Toad el Query de la funcionlidad 3 con todos los subqueries del 1 al 6"/>
        <s v="Se optimiza en la herramienta Auto Optimice de Toad el Query de la funcionlidad 5"/>
        <s v="Se optimiza en la herramienta Auto Optimice de Toad el Query de la funcionlidad 6"/>
        <s v="Desarrollo pantalla detalle queja dividida en secciones (Maquetación)"/>
        <s v="Desarrollo sección datos y detalle de la queja (Maquetación)"/>
        <s v="Desarrollo sección respuestas de la queja (Maquetación)"/>
        <s v="Desarrollo sección lote de sujetos obligados para la creación de más de 33 solicitudes"/>
        <s v="Desarrollo componente tabs y componente picklist (Maquetación)"/>
        <s v="Refactorización código existente del formulario acceso a la información"/>
        <s v="Desarrollo componente modal ayuda (como hacer un lote de solicitudes)"/>
        <s v="Desarrollo sección notificaciones de la queja (Maquetación)"/>
        <s v="Se hace mejoras componente picklist formulario acceso a la información"/>
        <s v="Desarrollo tabla cargas masivas de solicitudes"/>
        <s v="Reestructuración de botón login y sidebar"/>
        <s v="Se reestructura barra búsqueda"/>
        <s v="Se agrega icono cargas masivas a dashboard solicitante"/>
        <s v="Implementación componente lista sujetos obligados formulario acceso a la información"/>
        <s v="Mapeo interfaces e implementación servicios carga masiva"/>
        <s v="Ajustes css componente sidebar y main container"/>
        <s v="Ajustes estilos y posición a componente sidebar"/>
        <s v="Implementación iconos en header y mejoras al icono de la hamburguesa"/>
        <s v="Mejoras y reestructuración componente header"/>
        <s v="Se ajustan estilos al main container y al componente header asi como a la imagen de fondo del header"/>
        <s v="Creación módulos avisos, estadísticas y Maquetación pantallas avisos"/>
        <s v="Maquetación pantallas estadísticas"/>
        <s v="Desarrollo componente mapa interactivo de los estados del país, se crea pantalla con graficas estadísticas por órgano"/>
        <s v="Implementación y pruebas de graficas apexhcart, integración servicio mis cargas masivas "/>
        <s v="Mejoras header pnt frontend Angular"/>
        <s v="Mejoras iconos header  y se agregan imágenes pnt y transparencia al header"/>
        <s v="Implementación servicios pantalla consulta mis cargas masivas"/>
        <s v="Implementación servicios pantalla detalle carga masiva"/>
        <s v="Rediseño detalle de solicitud en el expando row"/>
        <s v="Se agrega logica para la descarga de adjuntos en el detalle de la solicitud ya que al cambiar el rediseño la logica cambio"/>
        <s v="Implementación pantalla seguimiento y consumo servicios descarga archivos"/>
        <s v="   Desarrollar funcionalidad para editar Sector."/>
        <s v="   Desarrollar grid de Sectores."/>
        <s v="   Desarrollar funcionalidad para eliminación de Sectores"/>
        <s v="   Desarrollar pantalla para agregar clasificación."/>
        <s v="   Desarrollar pantalla modal con funcionalidad de edición de Clasificaciones para agregar y editar SubClasificaciones"/>
        <s v="   Desarrollar grid de Clasificaciones"/>
        <s v="   Desarrollar funcionalidad para eliminación de Clasificaciones"/>
        <s v="Desarrollar servicios rest para datos abiertos de solicitudes y quejas"/>
        <s v="Desarrollar servicios rest para datos abiertos de obligaciones de transparencia"/>
        <s v="servicio para recuperación de usuarios, en base a texto (busqueda)"/>
        <s v="servicio para alta de usuarios"/>
        <s v="servicio para edición de usuarios"/>
        <s v="servicio para cambio de contraseña"/>
        <s v="servicio para activar/desactivar usuario"/>
        <s v="Se analizo la actualizacion de OLCNE a 1.7, pero el repositorio no estaba disponible"/>
        <s v="Se tuvo una sesion con los desarrolladores para enseñar lo que se hizo"/>
        <s v="Durante la sesion se pidio que se haga un demo de como seria ya usando el K8s, junto con lo que ya tienen"/>
        <s v="Documentacion de faltante junto con el caso de uso"/>
        <s v="Se esta analizando la instalacion/configuracion de otros ambientes mas grandes"/>
        <s v="Se analizo la mejor herramienta para exponer los servicios de k8s (NodePort, Custom Image)"/>
        <s v="Se actualizo Jenkins, es un herramienta que constantemente tiene actualizaciones"/>
        <s v="Para poder usar ciertos pipelines es necesario instalar el modulo correspondiente"/>
        <s v="Configuracion de pipline y prerequisitos de SO y otro plugins"/>
        <s v="Se revisó el Query 1 de la Funcionalidad 7, para obtener la solicitud dependencia y se encontro reutilización ('FUNC3DETSOLDASH_SOLICDEPEN_QF3Q1')"/>
        <s v="Se actualizó documento Querys SISAI con el detalle encontrado en el Query 1 - Funcionalidad 7"/>
        <s v="Se revisó el Query 2 de la Funcionalidad 7, para obtener adjuntos por solicitud general  y se encontro reutilización ('FUNC3DETSOLDASH_ADJUNTXSOLIC_QF3Q2')"/>
        <s v="Se actualizó documento Querys SISAI con el detalle encontrado en el Query 2 - Funcionalidad 7"/>
        <s v="Se creó el nuevo procedimiento 'FUNC7DETSOLDASHUTGI_ADJUNTOXIDSOLINT_QF7Q3' en el paquete 'PACK_SISAI2', con la 7ma funcionalidad y el 3er de los queries pequeños que obtiene los adjuntos por id solitud gestion interna"/>
        <s v="Se validó campo por campo de la tabla 'SISAI_TR_ADJUNTOS' para identificar los tipos de datos y tamaño para validación en bloque anonimo"/>
        <s v="Se validó el paquete-procedimiento de la funcionalidad # 7 - Query 3 con el bloque anónimo correcto y se tuvo un resultado exitoso con la salida del cursor completo con el único parámetro"/>
        <s v="Se creó el nuevo procedimiento 'FUNC7DETSOLDASHUTGI_SOLGIXSOLDEPEN_QF7Q4' en el paquete 'PACK_SISAI2', con la 7ma funcionalidad y el 4to de los queries pequeños que obtiene las solicitudes de gestión interna por solicitud dependencia"/>
        <s v="Se validó campo por campo de la tabla 'SISAI_TR_GI_SOLICITUDES' para identificar los tipos de datos y tamaño para validación en bloque anonimo"/>
        <s v="Se validó el paquete-procedimiento de la funcionalidad # 7 - Query 4 con el bloque anónimo correcto y se tuvo un resultado exitoso con la salida del cursor completo con el único parámetro"/>
        <s v="Se revisó el Query 5 de la Funcionalidad 7, para obtener respuestas por solicitud dependencia y se encontro reutilización ('FUNC3DETSOLDASH_RESPUXSOLICDEP_QF3Q3')"/>
        <s v="Se actualizó documento Querys SISAI con el detalle encontrado en el Query 5 - Funcionalidad 7"/>
        <s v="Se creó el nuevo procedimiento 'FUNC7DETSOLDASHUTGI_SOLESTADISTICO_QF7Q6' en el paquete 'PACK_SISAI2', con la 7ma funcionalidad y el 6to de los queries pequeños que obtiene la lista solicitud estadístico por solicitud general"/>
        <s v="Se validó campo por campo de la tabla 'SISAI_TR_SOLICITUD_ESTADISTICO' para identificar los tipos de datos y tamaño para validación en bloque anonimo"/>
        <s v="Se validó el paquete-procedimiento de la funcionalidad # 7 - Query 6 con el bloque anónimo correcto y se tuvo un resultado exitoso con la salida del cursor completo con el único parámetro"/>
        <s v="Se creó el nuevo procedimiento 'FUNC7DETSOLDASHUTGI_SOLXACCESIBILIDAD_QF7Q7' en el paquete 'PACK_SISAI2', con la 7ma funcionalidad y el 7mo de los queries pequeños que obtiene la lista de solicitud de accesibilidad por solicitud general"/>
        <s v="Se validó campo por campo de la tabla 'SISAI_TR_SOLICITUD_X_ACCESIBIL' para identificar los tipos de datos y tamaño para validación en bloque anonimo"/>
        <s v="Se validó el paquete-procedimiento de la funcionalidad # 7 - Query 7 con el bloque anónimo correcto y se tuvo un resultado exitoso con la salida del cursor completo con el único parámetro"/>
        <s v="Se revisó el Query 8 de la Funcionalidad 7, para obtener adjunto de la ut por id respuesta y se encontro reutilización ('FUNC3DETSOLDASH_ADJUNTOXIDRESP_QF3Q4')"/>
        <s v="Se actualizó documento Querys SISAI con el detalle encontrado en el Query 8 - Funcionalidad 7"/>
        <s v="Se revisó el Query 9 de la Funcionalidad 7, para obtener la notificación disponibilidad por respuesta de notoria incompetencia y se encontro reutilización ('FUNC3DETSOLDASH_NOTIFDISPONIBXRESP_QF3Q5')"/>
        <s v="Se actualizó documento Querys SISAI con el detalle encontrado en el Query 9 - Funcionalidad 7"/>
        <s v="Se revisó el Query 10 de la Funcionalidad 7, para obtener competencia por sujeto obligado si una solicitud fue canalizada y se encontro reutilización ('FUNC3DETSOLDASH_COMPETENXRESP_QF3Q6')"/>
        <s v="Se actualizó documento Querys SISAI con el detalle encontrado en el Query 10 - Funcionalidad 7"/>
        <s v="Se creó el nuevo procedimiento 'FUNC7DETSOLDASHUTGI_SOLDATOPERSON_QF7Q11' en el paquete 'PACK_SISAI2', con la 7ma funcionalidad y el 11vo de los queries pequeños que obtiene la solicitud datos perso por solicitud dependencia cuando es una solicitud ARCOP"/>
        <s v="Se validó campo por campo de la tabla 'SISAI_TR_SOLICITUD_DATOS_PERSO' para identificar los tipos de datos y tamaño para validación en bloque anonimo"/>
        <s v="Se validó el paquete-procedimiento de la funcionalidad # 7 - Query 11 con el bloque anónimo correcto y se tuvo un resultado exitoso con la salida del cursor completo con el único parámetro"/>
        <s v="Se creó el nuevo procedimiento 'FUNC7DETSOLDASHUTGI_ESTADISTXOCUPA_QF7Q12' en el paquete 'PACK_SISAI2', con la 7ma funcionalidad y el 12vo de los queries pequeños que obtiene el estadístico ocupación por id solicitud estadística"/>
        <s v="Se validó campo por campo de la tabla 'SISAI_TR_ESTADISTICO_X_OCUP' para identificar los tipos de datos y tamaño para validación en bloque anonimo"/>
        <s v="Se validó el paquete-procedimiento de la funcionalidad # 7 - Query 12 con el bloque anónimo correcto y se tuvo un resultado exitoso con la salida del cursor completo con el único parámetro"/>
        <s v="Se creó el nuevo procedimiento 'FUNC7DETSOLDASHUTGI_ACCESIBILIDAD_QF7Q13' en el paquete 'PACK_SISAI2', con la 7ma funcionalidad y el 13vo de los queries pequeños que obtiene el estadístico ocupación por id solicitud estadística"/>
        <s v="Se validó campo por campo de la tabla 'SISAI_TC_ACCESIBILIDAD' para identificar los tipos de datos y tamaño para validación en bloque anonimo"/>
        <s v="Se validó el paquete-procedimiento de la funcionalidad # 7 - Query 13 con el bloque anónimo correcto y se tuvo un resultado exitoso con la salida del cursor completo con el único parámetro"/>
        <s v="Se creó el nuevo procedimiento 'FUNC7DETSOLDASHUTGI_LEYEXIDRESP_QF7Q14' en el paquete 'PACK_SISAI2', con la 7ma funcionalidad y el 14to de los queries pequeños que obtiene leyes por id respuesta"/>
        <s v="Se validó campo por campo de las tablas 'SISAI_TR_LEY_CLASIFICACION' y 'SISAI_TC_LEYES' para identificar los tipos de datos y tamaño para validación en bloque anonimo"/>
        <s v="Se validó el paquete-procedimiento de la funcionalidad # 7 - Query 14 con el bloque anónimo correcto y se tuvo un resultado exitoso con la salida del cursor completo con el único parámetro"/>
        <s v="Se actualizó documento Querys SISAI con los nombres de los procedimientos recien creados sobre los Querys de Funcionalidad 7, que no se reutilizaban"/>
        <s v="Se optimizó en la herramienta Auto Optimice de Toad los Querys de la funcionlidad 7 con todos los subqueries del 1 al 14, sin contemplar los reutilizados"/>
        <s v="Se creó el nuevo procedimiento 'FUNC8EXPSOLICITUDUT_FORMEXCEL_QF8' en el paquete 'PACK_SISAI2', con la 8va funcionalidad que que permite la exportación de las solicitudes de la UT a formato excel"/>
        <s v="Se pasó el procedimiento a query dinamico para poder manejar el parametro de la lista del campo ID_SOLICITUDDEPENDENCIA"/>
        <s v="Se validó campo por campo del query 8 para identificar los tipos de datos y tamaño para validación en bloque anonimo"/>
        <s v="Se validó el paquete-procedimiento de la funcionalidad # 8 con el bloque anónimo correcto y se tuvo un resultado exitoso con la salida del cursor completo con el único parámetro"/>
        <s v="Se creó el nuevo procedimiento 'FUNC9RESPUESTASPOSIBL_UT_QF9' en el paquete 'PACK_SISAI2', con la 9na funcionalidad que obtiene todas las respuestas posibles a aplicar por parte de la UT"/>
        <s v="Se validó campo por campo de la tabla 'SISAI_TR_RESPUESTA' para identificar los tipos de datos y tamaño para validación en bloque anonimo"/>
        <s v="Se validó el paquete-procedimiento de la funcionalidad # 9 con el bloque anónimo correcto y se tuvo un resultado exitoso con la salida del cursor completo con el único parámetro"/>
        <s v="Se actualizó documento Querys SISAI con los nombres de los procedimientos recien creados sobre el Query de Funcionalidad 9, que no se reutilizaban"/>
        <s v="Se creó el nuevo procedimiento 'FUNC10DASHBOARDRECEPSOLICI_GIUT_QF10' en el paquete 'PACK_SISAI2', con la 10ma funcionalidad que obtiene el dashboard en la recepción de solicitudes GI de la UT"/>
        <s v="Se validó campo por campo del select del query de la funcionalidad 10 para identificar los tipos de datos y tamaño para validación en bloque anonimo"/>
        <s v="Se validó el paquete-procedimiento de la funcionalidad # 10 con el bloque anónimo correcto y se tuvo un resultado exitoso con la salida del cursor completo con distintos parámetros"/>
        <s v="Se actualizó documento Querys SISAI con los nombres de los procedimientos recien creados sobre el Query de Funcionalidad 10, que no se reutilizaban"/>
        <s v="Se creó el nuevo procedimiento 'FUNC11TURNAFOLIOUNIAD_SOLIXSOLDEPEN_QF11Q1' en el paquete 'PACK_SISAI2', con el query 1 de la 11va funcionalidad que obtiene las solicitudes por solicitud dependencia para la generación de subfolios"/>
        <s v="Se validó el paquete-procedimiento del query 1 de la funcionalidad # 11 con el bloque anónimo correcto y se tuvo un resultado exitoso con la salida del cursor completo con sus distintos parámetros"/>
        <s v="Se actualizó documento Querys SISAI con los nombres de los procedimientos recien creados sobre el Query 1 de la Funcionalidad 11, que no se reutilizaban"/>
        <s v="Se creó el nuevo procedimiento 'FUNC11TURNAFOLIOUNIAD_CONFIGPLAZOSO_QF11Q2' en el paquete 'PACK_SISAI2', con el query 2 de la 11va funcionalidad que obtiene la configuración de plazos a nivel de sujeto obligado"/>
        <s v="Se validó campo por campo de la tabla 'SISAI_TW_CONFIG_PROCESO' para identificar los tipos de datos y tamaño para validación en bloque anonimo"/>
        <s v="Se validó el paquete-procedimiento del query 2 de la funcionalidad # 11 con el bloque anónimo correcto y se tuvo un resultado exitoso con la salida del cursor completo con el único parámetro"/>
        <s v="Se actualizó documento Querys SISAI con los nombres de los procedimientos recien creados sobre el Query 2 de la Funcionalidad 11, que no se reutilizaban"/>
        <s v="Se creó el nuevo procedimiento 'FUNC11TURNAFOLIOUNIAD_CONFIPROCXORGGTE_QF11Q3' en el paquete 'PACK_SISAI2', con el query 3 de la 11va funcionalidad que obtiene la configuración de procesos por organismo garante"/>
        <s v="Se validó el paquete-procedimiento del query 3 de la funcionalidad # 11 con el bloque anónimo correcto y se tuvo un resultado exitoso con la salida del cursor completo con varios parámetros"/>
        <s v="Se actualizó documento Querys SISAI con los nombres de los procedimientos recien creados sobre el Query 3 de la Funcionalidad 11, que no se reutilizaban"/>
        <s v="Se revisó el Query 4 de la Funcionalidad 11, para obtener solicitudes Gestion interna por solicitud dependencia para generar subfolios y se encontro reutilización ('FUNC7DETSOLDASHUTGI_SOLGIXSOLDEPEN_QF7Q4')"/>
        <s v="Se actualizó documento Querys SISAI con el detalle encontrado en el Query 4 - Funcionalidad 11"/>
        <s v="Se creó el nuevo procedimiento 'FUNC12DASHBOARDFOLIOPENDRPTAUNIADM_QF12Q1' en el paquete 'PACK_SISAI2', con el query 1 de la 12va funcionalidad que obtiene el dashboard con los folios y subfolios pendientes de respuestas de las unidades administrativas"/>
        <s v="Se validó campo por campo del query 1 de la funcionalidad 12 para identificar los tipos de datos y tamaño para validación en bloque anonimo"/>
        <s v="Se validó el paquete-procedimiento del query 1 de la funcionalidad # 12 con el bloque anónimo correcto y se tuvo un resultado exitoso con la salida del cursor completo con varios parametros"/>
        <s v="Se actualizó documento Querys SISAI con los nombres de los procedimientos recien creados sobre el Query 1 de la Funcionalidad 12, que no se reutilizaban"/>
        <s v="Se creó el nuevo procedimiento 'FUNC12DASHBOARDFOLIOPENDRPTASEFOLCOMTRANSPA_QF12Q2' en el paquete 'PACK_SISAI2', con el query 2 de la 12va funcionalidad que se obtiene el seguimiento por cada folio para identificar si pasó por comité de transparencia"/>
        <s v="Se validó campo por campo de la tabla 'SISAI_TR_GI_SEGUIMIENTO' para identificar los tipos de datos y tamaño para validación en bloque anonimo"/>
        <s v="Se validó el paquete-procedimiento del query 2 de la funcionalidad # 12 con el bloque anónimo correcto y se tuvo un resultado exitoso con la salida del cursor completo con el único parámetro"/>
        <s v="Se actualizó documento Querys SISAI con los nombres de los procedimientos recien creados sobre el Query 2 de la Funcionalidad 12, que no se reutilizaban"/>
        <s v="Se creó el nuevo procedimiento 'FUNC12DASHBOARDFOLIOPENDRPTASNOTERMIDIATRANS_QF12Q3' en el paquete 'PACK_SISAI2', con el query 3 de la 12va funcionalidad que se ontiene la información si es que considera sábados el so o el og"/>
        <s v="Se validó campo por campo de las tablas 'sisai_tr_calendario_master y sisai_tr_calendario_so', del query 3, para identificar los tipos de datos y tamaño para validación en bloque anonimo"/>
        <s v="Se validó el paquete-procedimiento del query 3 de la funcionalidad # 12 con el bloque anónimo correcto y se tuvo un resultado exitoso con la salida del cursor completo con varios parámetros"/>
        <s v="Se actualizó documento Querys SISAI con los nombres de los procedimientos recien creados sobre el Query 3 de la Funcionalidad 12, que no se reutilizaban"/>
        <s v="Se creó el nuevo procedimiento 'FUNC12DASHBOARDFOLIOPENDRPTASLTADIAINHABIL_QF12Q4' en el paquete 'PACK_SISAI2', con el query 4 de la 12va funcionalidad que se obtiene la lista de días inhábiles por so o por og"/>
        <s v="Se validó campo por campo de las tablas del query 4, para identificar los tipos de datos y tamaño para validación en bloque anonimo"/>
        <s v="Se validó el paquete-procedimiento del query 4 de la funcionalidad # 12 con el bloque anónimo correcto y se tuvo un resultado exitoso con la salida del cursor completo con un único parámetro"/>
        <s v="Se actualizó documento Querys SISAI con los nombres de los procedimientos recien creados sobre el Query 4 de la Funcionalidad 12, que no se reutilizaban"/>
        <s v="Se revisó el Query 1 de la Funcionalidad 13, para obtener las solicitudes en gestión interna por solicitud dependencia y se encontro reutilización ('FUNC7DETSOLDASHUTGI_SOLGIXSOLDEPEN_QF7Q4')"/>
        <s v="Se actualizó documento Querys SISAI con el detalle encontrado en el Query 1 - Funcionalidad 13"/>
        <s v="Se revisó el Query 2 de la Funcionalidad 13, para obtener el seguimiento de cada subfolio de gestión interna y se encontro reutilización ('FUNC12DASHBOARDFOLIOPENDRPTASEFOLCOMTRANSPA_QF12Q2')"/>
        <s v="Se actualizó documento Querys SISAI con el detalle encontrado en el Query 2 - Funcionalidad 13"/>
        <s v="Se creó el nuevo procedimiento 'FUNC13OBTSEGUISUBFOUNIADXFLUJOSEGSUBFL_QF13Q3' en el paquete 'PACK_SISAI2', con el query 3 de la 13va funcionalidad que se obtiene los adjuntos de cada flujo del seguimiento del subfolio"/>
        <s v="Se validó el paquete-procedimiento del query 3 de la funcionalidad # 13 con el bloque anónimo correcto y se tuvo un resultado exitoso con la salida del cursor completo con un único parámetro"/>
        <s v="Se actualizó documento Querys SISAI con los nombres de los procedimientos recien creados sobre el Query 3 de la Funcionalidad 13, que no se reutilizaban"/>
        <s v="Se revisó el Query 1 de la Funcionalidad 14, para obtener solicitudes gestión interna por id y se encontro reutilización ('FUNC11TURNAFOLIOUNIAD_SOLIXSOLDEPEN_QF11Q1')"/>
        <s v="Se actualizó documento Querys SISAI con el detalle encontrado en el Query 1 - Funcionalidad 14"/>
        <s v="Se revisó el Query 2 de la Funcionalidad 14, para el seguimiento gestión interna por solicitud GI y se encontro reutilización ('FUNC12DASHBOARDFOLIOPENDRPTASEFOLCOMTRANSPA_QF12Q2')"/>
        <s v="Se actualizó documento Querys SISAI con el detalle encontrado en el Query 2 - Funcionalidad 14"/>
        <s v="Se revisó el Query 3 de la Funcionalidad 14, para obtener adjuntos por seguimiento de gestión interna y se encontro reutilización ('FUNC13OBTSEGUISUBFOUNIADXFLUJOSEGSUBFL_QF13Q3')"/>
        <s v="Se actualizó documento Querys SISAI con el detalle encontrado en el Query 3 - Funcionalidad 14"/>
        <s v="Se creó el nuevo procedimiento 'FUNC15DASHSOLASIGUT_SOLPENDXCONTUA_QF15Q1' en el paquete 'PACK_SISAI2', con el query 1 de la 15va funcionalidad que se obtiene solicitudes pendientes por contestar de la UA"/>
        <s v="Se validó campo por campo de las tablas del 1er query de la funcionalidad 15, para identificar los tipos de datos y tamaño para validación en bloque anonimo"/>
        <s v="Se validó el paquete-procedimiento del query 1 de la funcionalidad # 15 con el bloque anónimo correcto y se tuvo un resultado exitoso con la salida del cursor completo con varios parámetros"/>
        <s v="Se actualizó documento Querys SISAI con los nombres de los procedimientos recien creados sobre el Query 1 de la Funcionalidad 15, que no se reutilizaban"/>
        <s v="Se revisó el Query 2 de la Funcionalidad 15, para obtener las solicitudes gestión interna por solicitud dependencia y se encontro reutilización ('FUNC7DETSOLDASHUTGI_SOLGIXSOLDEPEN_QF7Q4')"/>
        <s v="Se actualizó documento Querys SISAI con el detalle encontrado en el Query 2 - Funcionalidad 15"/>
        <s v="Se revisó el Query 3 de la Funcionalidad 15, para obtener la información si es que considera sábados el so o el og y se encontro reutilización ('FUNC12DASHBOARDFOLIOPENDRPTASNOTERMIDIATRANS_QF12Q3'')"/>
        <s v="Se actualizó documento Querys SISAI con el detalle encontrado en el Query 3 - Funcionalidad 15"/>
        <s v="Se revisó el Query 4 de la Funcionalidad 15, para obtener  la lista de días inhábiles por so o por og y se encontro reutilización ('FUNC12DASHBOARDFOLIOPENDRPTASLTADIAINHABIL_QF12Q4')"/>
        <s v="Se actualizó documento Querys SISAI con el detalle encontrado en el Query 4 - Funcionalidad 15"/>
        <s v="Se revisó el Query 1 de la Funcionalidad 16, para obtener las solicitudes gestión interna por solicitud dependencia y se encontro reutilización ('FUNC7DETSOLDASHUTGI_SOLGIXSOLDEPEN_QF7Q4')"/>
        <s v="Se actualizó documento Querys SISAI con el detalle encontrado en el Query 1 - Funcionalidad 16"/>
        <s v="Se revisó el Query 2 de la Funcionalidad 16, para obtener el seguimiento de cada subfolio en gestión interna por solicitud GI y se encontro reutilización ('FUNC12DASHBOARDFOLIOPENDRPTASEFOLCOMTRANSPA_QF12Q2')"/>
        <s v="Se actualizó documento Querys SISAI con el detalle encontrado en el Query 2 - Funcionalidad 16"/>
        <s v="Se revisó el Query 3 de la Funcionalidad 16, para obtener los adjuntos por subfolio de seguimiento y se encontro reutilización ('FUNC11TURNAFOLIOUNIAD_SOLIXSOLDEPEN_QF11Q1')"/>
        <s v="Se revisó el query 1 de la 15va funcionalidad, se aplican mejoras a query para ejecusión más limpia con un costo menor"/>
        <s v="Se revisó el query 1 de la 15va funcionalidad, se analizan alternativas de optimización en la herramienta"/>
        <s v="Se actualizó procedimiento 'FUNC15DASHSOLASIGUT_SOLPENDXCONTUA_QF15Q1' con el query 1 de la fucionalidad 15 mejorado y optimizado"/>
        <s v="Se repasó el query 1 de la Funcionalidad 3 para optimizarlo con ayuda de la herramienta Toad"/>
        <s v="Si se encuentra mejora a menor costo, se actualiza query mejorado en procedimiento 'FUNC3DETSOLDASH_SOLICDEPEN_QF3Q1' de la Funcionalidad 3 "/>
        <s v="Se repasó el query 2 de la Funcionalidad 3 para optimizarlo con ayuda de la herramienta Toad"/>
        <s v="Si se encuentra mejora a menor costo, se actualiza query mejorado en procedimiento 'FUNC3DETSOLDASH_ADJUNTXSOLIC_QF3Q2' de la Funcionalidad 3"/>
        <s v="Se repasó el query 3 de la Funcionalidad 3 para optimizarlo con ayuda de la herramienta Toad"/>
        <s v="Si se encuentra mejora a menor costo, se actualiza query mejorado en procedimiento 'FUNC3DETSOLDASH_RESPUXSOLICDEP_QF3Q3' de la Funcionalidad 3"/>
        <s v="Se repasó el query 4 de la Funcionalidad 3 para optimizarlo con ayuda de la herramienta Toad"/>
        <s v="Si se encuentra mejora a menor costo, se actualiza query mejorado en procedimiento 'FUNC3DETSOLDASH_ADJUNTOXIDRESP_QF3Q4' de la Funcionalidad 3"/>
        <s v="Se repasó el query 5 de la Funcionalidad 3 para optimizarlo con ayuda de la herramienta Toad"/>
        <s v="Si se encuentra mejora a menor costo, se actualiza query mejorado en procedimiento 'FUNC3DETSOLDASH_NOTIFDISPONIBXRESP_QF3Q5' de la Funcionalidad 3"/>
        <s v="Se repasó el query 6 de la Funcionalidad 3 para optimizarlo con ayuda de la herramienta Toad"/>
        <s v="Si se encuentra mejora a menor costo, se actualiza query mejorado en procedimiento 'FUNC3DETSOLDASH_COMPETENXRESP_QF3Q6' de la Funcionalidad 3"/>
        <s v="Se repasó el query 3 de la Funcionalidad 7 para optimizarlo con ayuda de la herramienta Toad"/>
        <s v="Si se encuentra mejora a menor costo, se actualiza query mejorado en procedimiento 'FUNC7DETSOLDASHUTGI_ADJUNTOXIDSOLINT_QF7Q3' de la Funcionalidad 7"/>
        <s v="Se repasó el query 4 de la Funcionalidad 7 para optimizarlo con ayuda de la herramienta Toad"/>
        <s v="Si se encuentra mejora a menor costo, se actualiza query mejorado en procedimiento 'FUNC7DETSOLDASHUTGI_SOLGIXSOLDEPEN_QF7Q4' de la Funcionalidad 7"/>
        <s v="Se repasó el query 6 de la Funcionalidad 7 para optimizarlo con ayuda de la herramienta Toad"/>
        <s v="Si se encuentra mejora a menor costo, se actualiza query mejorado en procedimiento 'FUNC7DETSOLDASHUTGI_SOLESTADISTICO_QF7Q6' de la Funcionalidad 7"/>
        <s v="Se repasó el query 7 de la Funcionalidad 7 para optimizarlo con ayuda de la herramienta Toad"/>
        <s v="Si se encuentra mejora a menor costo, se actualiza query mejorado en procedimiento 'FUNC7DETSOLDASHUTGI_SOLXACCESIBILIDAD_QF7Q7' de la Funcionalidad 7"/>
        <s v="Se repasó el query 11 de la Funcionalidad 7 para optimizarlo con ayuda de la herramienta Toad"/>
        <s v="Si se encuentra mejora a menor costo, se actualiza query mejorado en procedimiento 'FUNC7DETSOLDASHUTGI_SOLDATPERSOXSOLDEP_QF7Q11' de la Funcionalidad 7"/>
        <s v="Se repasó el query 12 de la Funcionalidad 7 para optimizarlo con ayuda de la herramienta Toad"/>
        <s v="Si se encuentra mejora a menor costo, se actualiza query mejorado en procedimiento 'FUNC7DETSOLDASHUTGI_ESTADISTOCUPXIDSOL_QF7Q12' de la Funcionalidad 7"/>
        <s v="Se repasó el query 13 de la Funcionalidad 7 para optimizarlo con ayuda de la herramienta Toad"/>
        <s v="Si se encuentra mejora a menor costo, se actualiza query mejorado en procedimiento 'FUNC7DETSOLDASHUTGI_ACCESIBILIDAD_QF7Q13' de la Funcionalidad 7"/>
        <s v="Se repasó el query 14 de la Funcionalidad 7 para optimizarlo con ayuda de la herramienta Toad"/>
        <s v="Si se encuentra mejora a menor costo, se actualiza query mejorado en procedimiento 'FUNC7DETSOLDASHUTGI_LEYEIDRESP_QF7Q14' de la Funcionalidad 7"/>
        <s v="Se repasó el query 1 de la Funcionalidad 9 para optimizarlo con ayuda de la herramienta Toad"/>
        <s v="Si se encuentra mejora a menor costo, se actualiza query mejorado en procedimiento 'FUNC9RESPUESTASPOSIBL_UT_QF9' de la Funcionalidad 9"/>
        <s v="Se repasó el query 1 de la Funcionalidad 11 para optimizarlo con ayuda de la herramienta Toad"/>
        <s v="Si se encuentra mejora a menor costo, se actualiza query mejorado en procedimiento 'FUNC11TURNAFOLIOUNIAD_SOLIXSOLDEPEN_QF11Q1' de la Funcionalidad 11"/>
        <s v="Se repasó el query 2 de la Funcionalidad 11 para optimizarlo con ayuda de la herramienta Toad"/>
        <s v="Si se encuentra mejora a menor costo, se actualiza query mejorado en procedimiento 'FUNC11TURNAFOLIOUNIAD_CONFIGPLAZOSO_QF11Q2' de la Funcionalidad 11"/>
        <s v="Se repasó el query 3 de la Funcionalidad 11 para optimizarlo con ayuda de la herramienta Toad"/>
        <s v="Si se encuentra mejora a menor costo, se actualiza query mejorado en procedimiento 'FUNC11TURNAFOLIOUNIAD_CONFIPROCXORGGTE_QF11Q3' de la Funcionalidad 11"/>
        <s v="Se repasó el query 2 de la Funcionalidad 12 para optimizarlo con ayuda de la herramienta Toad"/>
        <s v="Si se encuentra mejora a menor costo, se actualiza query mejorado en procedimiento 'FUNC12DASHBOARDFOLIOPENDRPTASEFOLCOMTRANSPA_QF12Q2' de la Funcionalidad 12"/>
        <s v="Se repasó el query 3 de la Funcionalidad 12 para optimizarlo con ayuda de la herramienta Toad"/>
        <s v="Si se encuentra mejora a menor costo, se actualiza query mejorado en procedimiento 'FUNC12DASHBOARDFOLIOPENDRPTASNOTERMIDIATRANS_QF12Q3' de la Funcionalidad 12"/>
        <s v="Se repasó el query 4 de la Funcionalidad 12 para optimizarlo con ayuda de la herramienta Toad"/>
        <s v="Si se encuentra mejora a menor costo, se actualiza query mejorado en procedimiento 'FUNC12DASHBOARDFOLIOPENDRPTASLTADIAINHABIL_QF12Q4' de la Funcionalidad 12"/>
        <s v="Se repasó el query 3 de la Funcionalidad 13 para optimizarlo con ayuda de la herramienta Toad"/>
        <s v="Si se encuentra mejora a menor costo, se actualiza query mejorado en procedimiento 'FUNC13SEGUISUBFOLIOUAADJUNTCFLUJOSEGUISUFL_QF13Q3' de la Funcionalidad 13"/>
        <s v="Se tuvó platica con Samuel para comentarle todo lo trabajado sobre los Querys Sisay, se realizaron un total de 28 procedimientos y se validaron las ejecuciones en bloques anonimos, para visualizar la información que devuelve el proceso"/>
        <s v="Se tuvó platica con Samuel para verificar los pasos siguientes, sobre los querys del Sigemi"/>
        <s v="Se revisó documento compartido por Samuel para documentar los procedimientos creados"/>
        <s v="Se comenzó a llenar el documento 'PRO-AA-NN-P29-Reporte de Actividades' con el Antecedente, Objetivo del Documento e Información del Proyecto"/>
        <s v="Se detalló el contenido del reporte en el documento 'PRO-AA-NN-P29-Reporte de Actividades' y se nombró el paquete 'SISAI.PACK_SISAI2' creado"/>
        <s v="Se documentó el Query 1 de la Funcionalidad 1 en el documento 'PRO-AA-NN-P29-Reporte de Actividades' con el procedimiento FUNC1DASHBOARDMISSOLICITUDES_QF1"/>
        <s v="Se documentó que para la Funcionalidad 2 no se registró query porque se mejorará desde el aplicativo"/>
        <s v="Se documentó el Query 1 de la Funcionalidad 3 en el documento 'PRO-AA-NN-P29-Reporte de Actividades' con el procedimiento FUNC3DETSOLDASH_SOLICDEPEN_QF3Q1"/>
        <s v="Se documentó el Query 2 de la Funcionalidad 3 en el documento 'PRO-AA-NN-P29-Reporte de Actividades' con el procedimiento FUNC3DETSOLDASH_ADJUNTXSOLIC_QF3Q2"/>
        <s v="Se documentó el Query 3 de la Funcionalidad 3 en el documento 'PRO-AA-NN-P29-Reporte de Actividades' con el procedimiento FUNC3DETSOLDASH_RESPUXSOLICDEP_QF3Q3"/>
        <s v="Se documentó el Query 4 de la Funcionalidad 3 en el documento 'PRO-AA-NN-P29-Reporte de Actividades' con el procedimiento FUNC3DETSOLDASH_ADJUNTOXIDRESP_QF3Q4"/>
        <s v="Se documentó el Query 5 de la Funcionalidad 3 en el documento 'PRO-AA-NN-P29-Reporte de Actividades' con el procedimiento FUNC3DETSOLDASH_NOTIFDISPONIBXRESP_QF3Q5"/>
        <s v="Se documentó el Query 6 de la Funcionalidad 3 en el documento 'PRO-AA-NN-P29-Reporte de Actividades' con el procedimiento FUNC3DETSOLDASH_COMPETENXRESP_QF3Q6"/>
        <s v="Se documentó que para la Funcionalidad 4 no se registró query porque ya lo estan desarrollando"/>
        <s v="Se documentó el Query 1 de la Funcionalidad 5 en el documento 'PRO-AA-NN-P29-Reporte de Actividades' con el procedimiento FUNC5EXPORTARSOLICITUDES_QF5"/>
        <s v="Se documentó el Query 1 de la Funcionalidad 6 en el documento 'PRO-AA-NN-P29-Reporte de Actividades' con el procedimiento FUNC6DASHBOARDRECSOLICIT_UT_QF6"/>
        <s v="Se documentó que para el Query 1 de la Funcionalidad 7 se reutilzá el procedimiento FUNC3DETSOLDASH_SOLICDEPEN_QF3Q1, en el documento 'PRO-AA-NN-P29-Reporte de Actividades'"/>
        <s v="Se documentó que para el Query 2 de la Funcionalidad 7 se reutilzá el procedimiento FUNC3DETSOLDASH_ADJUNTXSOLIC_QF3Q2, en el documento 'PRO-AA-NN-P29-Reporte de Actividades'"/>
        <s v="Se documentó el Query 3 de la Funcionalidad 7 en el documento 'PRO-AA-NN-P29-Reporte de Actividades' con el procedimiento FUNC7DETSOLDASHUTGI_ADJUNTOXIDSOLINT_QF7Q3"/>
        <s v="Se documentó el Query 4 de la Funcionalidad 7 en el documento 'PRO-AA-NN-P29-Reporte de Actividades' con el procedimiento FUNC7DETSOLDASHUTGI_SOLGIXSOLDEPEN_QF7Q4"/>
        <s v="Se documentó que para el Query 5 de la Funcionalidad 7 se reutilzá el procedimiento FUNC3DETSOLDASH_RESPUXSOLICDEP_QF3Q3, en el documento 'PRO-AA-NN-P29-Reporte de Actividades'"/>
        <s v="Se documentó el Query 6 de la Funcionalidad 7 en el documento 'PRO-AA-NN-P29-Reporte de Actividades' con el procedimiento FUNC7DETSOLDASHUTGI_SOLESTADISTICO_QF7Q6"/>
        <s v="Se documentó el Query 7 de la Funcionalidad 7 en el documento 'PRO-AA-NN-P29-Reporte de Actividades' con el procedimiento FUNC7DETSOLDASHUTGI_SOLXACCESIBILIDAD_QF7Q7"/>
        <s v="Se documentó que para el Query 8 de la Funcionalidad 7 se reutilzá el procedimiento FUNC3DETSOLDASH_ADJUNTOXIDRESP_QF3Q4, en el documento 'PRO-AA-NN-P29-Reporte de Actividades'"/>
        <s v="Se documentó que para el Query 9 de la Funcionalidad 7 se reutilzá el procedimiento FUNC3DETSOLDASH_NOTIFDISPONIBXRESP_QF3Q5, en el documento 'PRO-AA-NN-P29-Reporte de Actividades'"/>
        <s v="Se documentó que para el Query 10 de la Funcionalidad 7 se reutilzá el procedimiento FUNC3DETSOLDASH_COMPETENXRESP_QF3Q6, en el documento 'PRO-AA-NN-P29-Reporte de Actividades'"/>
        <s v="Se documentó el Query 11 de la Funcionalidad 7 en el documento 'PRO-AA-NN-P29-Reporte de Actividades' con el procedimiento FUNC7DETSOLDASHUTGI_SOLDATPERSOXSOLDEP_QF7Q11"/>
        <s v="Se documentó el Query 12 de la Funcionalidad 7 en el documento 'PRO-AA-NN-P29-Reporte de Actividades' con el procedimiento FUNC7DETSOLDASHUTGI_ESTADISTOCUPXIDSOL_QF7Q12"/>
        <s v="Se documentó el Query 13 de la Funcionalidad 7 en el documento 'PRO-AA-NN-P29-Reporte de Actividades' con el procedimiento FUNC7DETSOLDASHUTGI_ACCESIBILIDAD_QF7Q13"/>
        <s v="Se documentó el Query 14 de la Funcionalidad 7 en el documento 'PRO-AA-NN-P29-Reporte de Actividades' con el procedimiento FUNC7DETSOLDASHUTGI_LEYEIDRESP_QF7Q14"/>
        <s v="Se documentó el Query 1 de la Funcionalidad 8 en el documento 'PRO-AA-NN-P29-Reporte de Actividades' con el procedimiento FUNC8EXPORTARSOLICITUDUTEXCEL_QF8"/>
        <s v="Se documentó el Query 1 de la Funcionalidad 9 en el documento 'PRO-AA-NN-P29-Reporte de Actividades' con el procedimiento FUNC9RESPUESTASPOSIBL_UT_QF9"/>
        <s v="Se documentó el Query 1 de la Funcionalidad 10 en el documento 'PRO-AA-NN-P29-Reporte de Actividades' con el procedimiento FUNC10DASHBOARDRECEPSOLICI_GIUT_QF10"/>
        <s v="Se documentó el Query 1 de la Funcionalidad 11 en el documento 'PRO-AA-NN-P29-Reporte de Actividades' con el procedimiento FUNC11TURNAFOLIOUNIAD_SOLIXSOLDEPEN_QF11Q1"/>
        <s v="Se documentó el Query 2 de la Funcionalidad 11 en el documento 'PRO-AA-NN-P29-Reporte de Actividades' con el procedimiento FUNC11TURNAFOLIOUNIAD_CONFIGPLAZOSO_QF11Q2"/>
        <s v="Se documentó el Query 3 de la Funcionalidad 11 en el documento 'PRO-AA-NN-P29-Reporte de Actividades' con el procedimiento FUNC11TURNAFOLIOUNIAD_CONFIPROCXORGGTE_QF11Q3"/>
        <s v="Se documentó que para el Query 4 de la Funcionalidad 11 se reutilzá el procedimiento FUNC7DETSOLDASHUTGI_SOLGIXSOLDEPEN_QF7Q4, en el documento 'PRO-AA-NN-P29-Reporte de Actividades'"/>
        <s v="Se documentó el Query 1 de la Funcionalidad 12 en el documento 'PRO-AA-NN-P29-Reporte de Actividades' con el procedimiento FUNC12DASHBOARDFOLIOPENDRPTAUNIADM_QF12Q1"/>
        <s v="Se documentó el Query 2 de la Funcionalidad 12 en el documento 'PRO-AA-NN-P29-Reporte de Actividades' con el procedimiento FUNC12DASHBOARDFOLIOPENDRPTASEFOLCOMTRANSPA_QF12Q2"/>
        <s v="Se documentó el Query 3 de la Funcionalidad 12 en el documento 'PRO-AA-NN-P29-Reporte de Actividades' con el procedimiento FUNC12DASHBOARDFOLIOPENDRPTASNOTERMIDIATRANS_QF12Q3"/>
        <s v="Se documentó el Query 4 de la Funcionalidad 12 en el documento 'PRO-AA-NN-P29-Reporte de Actividades' con el procedimiento FUNC12DASHBOARDFOLIOPENDRPTASLTADIAINHABIL_QF12Q4"/>
        <s v="Se documentó que para el Query 1 de la Funcionalidad 13 se reutilzá el procedimiento FUNC7DETSOLDASHUTGI_SOLGIXSOLDEPEN_QF7Q4, en el documento 'PRO-AA-NN-P29-Reporte de Actividades'"/>
        <s v="Se documentó que para el Query 2 de la Funcionalidad 13 se reutilzá el procedimiento FUNC12DASHBOARDFOLIOPENDRPTASEFOLCOMTRANSPA_QF12Q2, en el documento 'PRO-AA-NN-P29-Reporte de Actividades'"/>
        <s v="Se documentó el Query 3 de la Funcionalidad 13 en el documento 'PRO-AA-NN-P29-Reporte de Actividades' con el procedimiento FUNC13SEGUISUBFOLIOUAADJUNTCFLUJOSEGUISUFL_QF13Q3"/>
        <s v="Se documentó que para el Query 1 de la Funcionalidad 14 se reutilzá el procedimiento FUNC11TURNAFOLIOUNIAD_SOLIXSOLDEPEN_QF11Q1, en el documento 'PRO-AA-NN-P29-Reporte de Actividades'"/>
        <s v="Se documentó que para el Query 2 de la Funcionalidad 14 se reutilzá el procedimiento FUNC12DASHBOARDFOLIOPENDRPTASEFOLCOMTRANSPA_QF12Q2, en el documento 'PRO-AA-NN-P29-Reporte de Actividades'"/>
        <s v="Se documentó que para el Query 3 de la Funcionalidad 14 se reutilzá el procedimiento FUNC11TURNAFOLIOUNIAD_SOLIXSOLDEPEN_QF11Q1, en el documento 'PRO-AA-NN-P29-Reporte de Actividades'"/>
        <s v="Se documentó el Query 1 de la Funcionalidad 15 en el documento 'PRO-AA-NN-P29-Reporte de Actividades' con el procedimiento FUNC15DASHSOLASIGXUTSOLPENXCONTUA_QF15Q1"/>
        <s v="Se documentó que para el Query 2 de la Funcionalidad 15 se reutilzá el procedimiento FUNC7DETSOLDASHUTGI_SOLGIXSOLDEPEN_QF7Q4, en el documento 'PRO-AA-NN-P29-Reporte de Actividades'"/>
        <s v="Se documentó que para el Query 3 de la Funcionalidad 15 se reutilzá el procedimiento FUNC12DASHBOARDFOLIOPENDRPTASNOTERMIDIATRANS_QF12Q3, en el documento 'PRO-AA-NN-P29-Reporte de Actividades'"/>
        <s v="Se documentó que para el Query 4 de la Funcionalidad 15 se reutilzá el procedimiento FUNC12DASHBOARDFOLIOPENDRPTASLTADIAINHABIL_QF12Q4’, en el documento 'PRO-AA-NN-P29-Reporte de Actividades'"/>
        <s v="Se documentó que para el Query 1 de la Funcionalidad 16 se reutilzá el procedimiento FUNC7DETSOLDASHUTGI_SOLGIXSOLDEPEN_QF7Q4, en el documento 'PRO-AA-NN-P29-Reporte de Actividades'"/>
        <s v="Se documentó que para el Query 2 de la Funcionalidad 16 se reutilzá el procedimiento FUNC12DASHBOARDFOLIOPENDRPTASEFOLCOMTRANSPA_QF12Q2, en el documento 'PRO-AA-NN-P29-Reporte de Actividades'"/>
        <s v="Se documentó que para el Query 3 de la Funcionalidad 16 se reutilzá el procedimiento FUNC11TURNAFOLIOUNIAD_SOLIXSOLDEPEN_QF11Q1’, en el documento 'PRO-AA-NN-P29-Reporte de Actividades'"/>
        <s v="Se revisa documentación sobre Simple Oracle Document Access (SODA)"/>
        <s v="Se revisarón los ultimos detalles en lo documentado del Query 1 de la Funcionalidad 1 en el documento 'PRO-AA-NN-P29-Reporte de Actividades'"/>
        <s v="Se revisarón los ultimos detalles en lo documentado de los Querys del 1 al 3 de la Funcionalidad 3 en el documento 'PRO-AA-NN-P29-Reporte de Actividades'"/>
        <s v="Se revisarón los ultimos detalles en lo documentado de los Querys del 4 al 6 de la Funcionalidad 3 en el documento 'PRO-AA-NN-P29-Reporte de Actividades'"/>
        <s v="Se revisarón los ultimos detalles en lo documentado del Query 1 de la Funcionalidad 5 en el documento 'PRO-AA-NN-P29-Reporte de Actividades'"/>
        <s v="Se revisarón los ultimos detalles en lo documentado del Query 1 de la Funcionalidad 6 en el documento 'PRO-AA-NN-P29-Reporte de Actividades'"/>
        <s v="Se revisarón los ultimos detalles en lo documentado de los Querys del 1 al 3 de la Funcionalidad 7 en el documento 'PRO-AA-NN-P29-Reporte de Actividades'"/>
        <s v="Se revisarón los ultimos detalles en lo documentado de los Querys del 4 al 6 de la Funcionalidad 7 en el documento 'PRO-AA-NN-P29-Reporte de Actividades'"/>
        <s v="Se revisarón los ultimos detalles en lo documentado de los Querys del 7 al 9 de la Funcionalidad 7 en el documento 'PRO-AA-NN-P29-Reporte de Actividades'"/>
        <s v="Se revisarón los ultimos detalles en lo documentado de los Querys del 10 al 14 de la Funcionalidad 7 en el documento 'PRO-AA-NN-P29-Reporte de Actividades'"/>
        <s v="Se revisarón los ultimos detalles en lo documentado de los Query 1 de la Funcionalidad 8 en el documento 'PRO-AA-NN-P29-Reporte de Actividades'"/>
        <s v="Se revisarón los ultimos detalles en lo documentado de los Query 1 de la Funcionalidad 9 en el documento 'PRO-AA-NN-P29-Reporte de Actividades'"/>
        <s v="Se revisarón los ultimos detalles en lo documentado de los Query 1 de la Funcionalidad 10 en el documento 'PRO-AA-NN-P29-Reporte de Actividades'"/>
        <s v="Se revisarón los ultimos detalles en lo documentado de los Querys 1 y 2 de la Funcionalidad 11 en el documento 'PRO-AA-NN-P29-Reporte de Actividades'"/>
        <s v="Se revisarón los ultimos detalles en lo documentado de los Querys 3 y 4 de la Funcionalidad 11 en el documento 'PRO-AA-NN-P29-Reporte de Actividades'"/>
        <s v="Se revisarón los ultimos detalles en lo documentado de los Querys 1 y 2 de la Funcionalidad 12 en el documento 'PRO-AA-NN-P29-Reporte de Actividades'"/>
        <s v="Se revisarón los ultimos detalles en lo documentado de los Querys 3 y 4 de la Funcionalidad 12 en el documento 'PRO-AA-NN-P29-Reporte de Actividades'"/>
        <s v="Se revisarón los ultimos detalles en lo documentado de los Querys del 1 al 3 de la Funcionalidad 13 en el documento 'PRO-AA-NN-P29-Reporte de Actividades'"/>
        <s v="Se revisarón los ultimos detalles en lo documentado de los Querys del 1 al 3 de la Funcionalidad 14 en el documento 'PRO-AA-NN-P29-Reporte de Actividades'"/>
        <s v="Se revisarón los ultimos detalles en lo documentado de los Querys 1 y 2 de la Funcionalidad 15 en el documento 'PRO-AA-NN-P29-Reporte de Actividades'"/>
        <s v="Se revisarón los ultimos detalles en lo documentado de los Querys 3 y 4 de la Funcionalidad 15 en el documento 'PRO-AA-NN-P29-Reporte de Actividades'"/>
        <s v="Se revisarón los ultimos detalles en lo documentado de los Querys del 1 al 3 de la Funcionalidad 16 en el documento 'PRO-AA-NN-P29-Reporte de Actividades'"/>
        <s v="Se revisó documentación '1. Overview of SODA' de liga compartida de Simple Oracle Document Access (SODA)"/>
        <s v="Se revisó documentación '1.1 Overview of SODA Documents' de liga compartida de Simple Oracle Document Access (SODA)"/>
        <s v="Se revisó documentación '1.2 Overview of SODA Document Collections' de liga compartida de Simple Oracle Document Access (SODA)"/>
        <s v="Se revisó documentación '1.3 Default Naming of a Collection Table' de liga compartida de Simple Oracle Document Access (SODA)"/>
        <s v="Se revisó documentación '1.4 A View of Your SODA Collections' de liga compartida de Simple Oracle Document Access (SODA)"/>
        <s v="Se revisó documentación '1.5 Monitoring SODA Operation Performance' de liga compartida de Simple Oracle Document Access (SODA)"/>
        <s v="Se revisó documentación '2 Overview of SODA Filter Specifications (QBEs)' de liga compartida de Simple Oracle Document Access (SODA)"/>
        <s v="Se revisó documentación '2.1 Sample JSON Documents' de liga compartida de Simple Oracle Document Access (SODA)"/>
        <s v="Se revisó documentación '2.2 Overview of Paths in SODA QBEs' de liga compartida de Simple Oracle Document Access (SODA)"/>
        <s v="Se revisó documentación '2.3 Overview of QBE Comparison Operators' de liga compartida de Simple Oracle Document Access (SODA)"/>
        <s v="Se revisó documentación '2.4 Overview of QBE Operator $not' de liga compartida de Simple Oracle Document Access (SODA)"/>
        <s v="Se revisó documentación '2.5 Overview of QBE Item-Method Operators' de liga compartida de Simple Oracle Document Access (SODA)"/>
        <s v="Se revisó documentación '2.6 Overview of QBE Logical Combining Operators' de liga compartida de Simple Oracle Document Access (SODA)"/>
        <s v="Se revisó documentación '2.7 Overview of Nested Conditions in QBEs' de liga compartida de Simple Oracle Document Access (SODA)"/>
        <s v="Se revisó documentación '2.8 Overview of QBE Operator $id' de liga compartida de Simple Oracle Document Access (SODA)"/>
        <s v="Se revisó documentación '2.9 Overview of QBE Operator $orderby' de liga compartida de Simple Oracle Document Access (SODA)"/>
        <s v="Se revisó documentación '2.10 Overview of QBE Spatial Operators' de liga compartida de Simple Oracle Document Access (SODA)"/>
        <s v="Se revisó documentación '2.11 Overview of QBE Operator $contains' de liga compartida de Simple Oracle Document Access (SODA)"/>
        <s v="Se revisó documentación '2.12 Overview of QBE Operator $textContains' de liga compartida de Simple Oracle Document Access (SODA)"/>
        <s v="Se revisó documentación '6 SODA Index Specifications (Reference)' de liga compartida de Simple Oracle Document Access (SODA)"/>
        <s v="Se revisó documentación '7 SODA Collection Metadata Components (Reference)' de liga compartida de Simple Oracle Document Access (SODA)"/>
        <s v="Se revisó documentación '7.1 Default Collection Metadata' de liga compartida de Simple Oracle Document Access (SODA)"/>
        <s v="Se revisó documentación '7.2 Schema' de liga compartida de Simple Oracle Document Access (SODA)"/>
        <s v="Se revisó documentación '7.3 Table or View' de liga compartida de Simple Oracle Document Access (SODA)"/>
        <s v="Se revisó documentación '7.4 Key Column Name' de liga compartida de Simple Oracle Document Access (SODA)"/>
        <s v="Se revisó documentación '7.5 Key Column Type' de liga compartida de Simple Oracle Document Access (SODA)"/>
        <s v="Se revisó documentación '7.6 Key Column Max Length' de liga compartida de Simple Oracle Document Access (SODA)"/>
        <s v="Reporte Volumetría INAI Prodatos"/>
        <s v="Análisis pérdida de documentos de casos Denuncias Sistema INAI PRODATOS"/>
        <s v="Busqueda de Manuales de auditoria de OpenText por solicitud del subdirector de SAI"/>
        <s v="Actualizacion micrositio Certamen "/>
        <s v="Actualizacion micrositio control interno"/>
        <s v="Actualizacion de pestañas de ganadores"/>
        <s v="Actualizacion portal "/>
        <s v="Actualizacion de micrositio Revista Sociedad y tranparencia "/>
        <s v="Actualizacion Revista Sociedad y Transparencia"/>
        <s v="Falla tecnica en el registro de concurso"/>
        <s v="Actualizaciones IP`S"/>
        <s v="Actualizacion gobierno abierto y transparencia "/>
        <s v="Actualizacion plataforma "/>
        <s v="Actualizacion micrositio de expedientes clasificados "/>
        <s v="Actualizacion de Certamen de Innovacion y Transparencia "/>
        <s v="Presentacion Modulo de envio masivo "/>
        <s v="Reunion SACP "/>
        <s v="Incidencias SACP  "/>
        <s v="Se genera la funcionalidad para limpiar el correo y contraseña del usuario a registrar."/>
        <s v="Se modifica la consulta de usuarios para que no se muestre la columna de roles"/>
        <s v="Se modifica los estilos de los botones para homologar el tema del sistema"/>
        <s v="Se modifca las pantallas de los formularios de consulta para que sean en dos columnas y sean responsivos"/>
        <s v="Se modifican los servicios par abtener los datos del usuario en sesión"/>
        <s v="Se modifica la consulta del campo de usuario, para que se busque en los campos de nombre, correo, etc"/>
        <s v="Se modifica la consulta de los registros de bitácora agregando los campos obligatorios"/>
        <s v="Se modifica el servicio para el registro de la bitácora"/>
        <s v="Se realizan las pruebas para alta y consulta de los servicios de bitácora"/>
        <s v="Se crean los servicios para consultar y modificar los datos del usuario"/>
        <s v="Se prueban los servicios de alta, baja, modificación y consulta en la pantalla de mantenimiento de usuarios"/>
        <s v="Se modifica la consulta de las opciones del usuario"/>
        <s v="Se modifican las etiquetas para las pantallas del módulo de usuario"/>
        <s v="Se genera el componente de formulario que permite seleccionar todos sujetos obligados"/>
        <s v="Se genera el componente de formulario que permite cosntruir el request para multiples sujetos obligados"/>
        <s v="Se genera el componente de formulario que permite seleccionar multiples sujetos obligados"/>
        <s v="Se genera la pantalla para presentar cifras asociadas a la carga masiva"/>
        <s v="Se genera la pantalla para presentar el grid con las cargas masivas asociadas"/>
        <s v="Se genera el grid con flitros de órgano garante y sujeto obligado."/>
        <s v="Análisis y diseño de pantalla para consultar notificaciones"/>
        <s v="Desarrollo de FRONT para consultar notificaciones"/>
        <s v="Desarrollo de logica para recibir servicios del back de notificaciones"/>
        <s v="Desarrollo de pantalla Mis Quejas, analisis y diseño de reglas de negocio"/>
        <s v="Desarrollo de pantalla Mis Quejas, revisión de código y validación de reglas de negocio"/>
        <s v="Desarrollo de pantalla Mis Quejas, programación de funcionalidad de pantalla"/>
        <s v="Desarrollo de pantalla Mis Quejas, programación de funcionalidad de botones"/>
        <s v="Desarrollo de pantalla Mis Quejas, revisión de código y validación de tanda de reglas de negocio"/>
        <s v="Desarrollo de pantalla Mis Quejas, programación de funcionalidad de pantalla de las siguientes reglas de negocio"/>
        <s v="Desarrollo de pantalla Mis Quejas, revisión, validaciones y correcciones"/>
        <s v="Ajustes al servicio de almacenamiento de queja para obtener archivo de SISAI"/>
        <s v="Adecuaciones a la programación de la nueva arquitectura para navegación de la PNT"/>
        <s v="Prueba de concepto para funcionalidad con programación reactiva"/>
        <s v="Análisis y diseño de servicios de pantalla para consultar notificaciones"/>
        <s v="Desarrollo de servicios del back de notificaciones"/>
        <s v="Desarrollo de servicios Mis Quejas, analisis y diseño de reglas de negocio"/>
        <s v="Desarrollo de servicios  Mis Quejas, programación de funcionalidad"/>
        <s v="Análisis y diseño de servicios para programación reactiva PNT"/>
        <s v="Desarrollo de servicios para prueba reactiva"/>
        <s v="Se instalo y configuro sonarqube para el CI/CD"/>
        <s v="Se termino de configurar PODMAN y se levanto el servicio de local registry"/>
        <s v="Se actualizo ya que es un herramienta que constantemente tiene actualizaciones y siempre hay que mantenerlo en la ultima version"/>
        <s v="Al igual los plugins contstantemente piden actualizar, y lo mas recomendado es actualizarlos"/>
        <s v="Se configuro jenkins en tools para que sepa donde esta el sonarcube scanner para que lo podamos utilizar en los pipelines"/>
        <s v="Se configuro maven en jenkins para la compilacion de java en los pipelines"/>
        <s v="Se actualizo OLCNE a la version 1.7 lo cual viene con k8s 1.26.6"/>
        <s v="Se actualizo todos los nodos a la ultima version que trae consigo el ultimo kernel"/>
        <s v="Instalacion y configuracion de agente de jenkins para el consumo de jobs."/>
        <s v="Integración de la  la pantalla que permite visualizar datos estadisticos generales de la PNT, dandola de alta como módulo en el proyecto de front, aasi como construir el sisteama de rutas y de seguridad"/>
        <s v="Análisis y diseño para la integración de la liberia de graficado, para poder ser reactiva y responsiva"/>
        <s v="Desarrollo 12 gráficas de la pantalla de estaditicos generales "/>
        <s v="Desarrollo de la pantalla que permite visualizar datos estadisticos de cada usuario"/>
        <s v="Integración de la  la pantalla que permite visualizar sdatos estadisticos por cada organo garante de la PNT, dandola de alta como módulo en el proyecto de front, aasi como construir el sisteama de rutas y de seguridad"/>
        <s v="Desarrollo de la pantalla que permite visualizar datos estadisticos por cada organo garante, integrando las graficas y su movimiento"/>
        <s v="Integración de la  la pantalla que permite visualizar datos estadisticos por cada sujeto obligado, dandola de alta como módulo en el proyecto de front, aasi como construir el sisteama de rutas y de seguridad"/>
        <s v="Desarrollo de la pantalla que permite visualizar datos estadisticos por cada sujeto obligado"/>
        <s v="Se cambia la responsividad de la pantalla para presentar los avisos en la pantalla de login"/>
        <s v="Análisis y diseño de la tabla de avisos para que permita registrar los 3 tipos de avisos a los distintos roles que contempla la PNT"/>
        <s v="Diseño de pantalla para registrar los 3 distintos tipos de avisos por los distintos roles que contempla la PNT"/>
        <s v="Análisis  de los requerimientos para construir los servicios backend del módulo de avisos"/>
        <s v="Diseño de los requerimientos para construir los servicios backend del módulo de avisos"/>
        <s v="Se generar las clases entidades para el mapeo de las tablas en base de datos"/>
        <s v="Se construye los servicios restfull para el registro de avisos"/>
        <s v="Se gregan las validaciones para la alta y modificación de avisos"/>
        <s v="Se construye los servicios restfull y sea gregan las validaciones para la actualización de avisos"/>
        <s v="Se construye los servicios restfull y sea gregan las validaciones para la consulta de avisos"/>
        <s v="Se construye los servicios restfull y sea gregan las validaciones para la eliminación de avisos"/>
        <s v="Se construye los servicios restfull  para la eliminación de las url de avisos"/>
        <s v="Se hace la configuración para la alta del microservicio avisos en el sevidor de eureka y api gatway, se hacen las configuracion para el docker y docker compose"/>
        <s v="actualizacion pagina consejo consultivo "/>
        <s v="actualizacion cierre registro  "/>
        <s v="actualizacion acceso de usuarios"/>
        <s v="actualizacion control interno "/>
        <s v="actualizacion micrositio institucional "/>
        <s v="actualizacion revista"/>
        <s v="actualizacion SACP "/>
        <s v="actualizacion SNT "/>
        <s v="actualizacion ensayo reportaje "/>
        <s v="actualizacion CLIC "/>
        <s v="actualizacion sociedad y transparencia "/>
        <s v="actualizacion micrositio control interno "/>
        <s v="actualizacion sitio "/>
        <s v="actualizacion parlamento abierto "/>
        <s v="actualizacion consejo consultivo "/>
        <s v="actualizacion miembros pleno "/>
        <s v="actualizacion miembros adherentes "/>
        <s v="actualizacion observador "/>
        <s v="actualizacion socios de cooperacion"/>
        <s v="actualizacion sitio consejo "/>
        <s v="actualizacion sitio consejo consultivo "/>
        <s v="actualizacion consulta curricular"/>
        <s v="actualizacion carga GAyT "/>
        <s v="actualizacion CIT "/>
        <s v="actualizacin ensayo reportaje "/>
        <s v="actualizacion miembros pleno RTA"/>
        <s v="actualizacion miembros adherentes RTA"/>
        <s v="actualizacion observador RTA"/>
        <s v="actualizacion socios de cooperacion RTA"/>
        <s v="actualizacion comite de etica "/>
        <s v="Actualizacion de aplicaciones web "/>
        <s v="Correo con el contenido de la orden de trabajo con la cual se trabajará"/>
        <s v="Se hace el análisis de la OT para realiza su ejecución"/>
        <s v="Se hace la busqueda de manuales, tutoriales y documentación en general para apredizaje de su funcionamiento"/>
        <s v="Documentación sobre los formatos utilizados durante las pruebas y documentación con el proceso de pruebas y como se llevan a cabo"/>
        <s v="Se da seguimiento de la orden de trabajo en el proceso de pruebas"/>
        <s v="se hace la instalación de las paqueterías de la OT para su funcionamiento"/>
        <s v="Se resuelven todas las dudas y pendientes sobre la OT analizada"/>
        <s v="descarga e instalación de herramienta para su utilización durante las pruebas"/>
        <s v="Se da de alta la base de datos para el seguimiento de la OT"/>
        <s v="Se detectó un tema sobre las versiones de las bases de datos"/>
        <s v="seguimiento de la solicitud hecha al equipo de desarrollo para obtener la url faltante en las pruebas"/>
        <s v="Se hace la solicitud para dar de alta el usuario miguel.lopez para accesar a los repositorios SVN"/>
        <s v="Se encontró tema sobre la instalación de angular y estos ya fueron resueltos"/>
        <s v="Se da de alta el usuario miguel.lopez para poder ingresar a los repositorios del archivo FRONT"/>
        <s v="Se hizo el envío de la URL faltante de la solicitud realizada al equipo de desarrollo para poder continuar con las pruebas"/>
        <s v="Registro de evidencias en su formato correspondiente"/>
        <s v="Resolución de la versión de la base de datos ServicioProfesional con la versión correcta de la misma"/>
        <s v="Se hace la ejecución completa del sitio ServicioProfesional con toda su paquetería y su ejecución en portal"/>
        <s v="Registro de evidencias e incidencias sobre los temas encontrados durante su ejecución"/>
        <s v="Creación de usuario para registro de incidencias "/>
        <s v="busqueda de manuales, tutoriales sobre el uso de mantis para realizar el registro de incidencias"/>
        <s v="incidencias encontradas en el funcionamiento y uso del sistema de Inventarios"/>
        <s v="Registro de las actividades realizadas durante el mes para su "/>
        <s v="Se revisó documentación '7.7 Key Column Assignment Method' de liga compartida de Simple Oracle Document Access (SODA)"/>
        <s v="Se revisó documentación '7.8 Key Column Path' de liga compartida de Simple Oracle Document Access (SODA)"/>
        <s v="Se revisó documentación '7.9 Key Column Sequence Name' de liga compartida de Simple Oracle Document Access (SODA)"/>
        <s v="Se revisó documentación '7.10 Content Column Name' de liga compartida de Simple Oracle Document Access (SODA)"/>
        <s v="Se revisó documentación '7.11 Content Column Type' de liga compartida de Simple Oracle Document Access (SODA)"/>
        <s v="Se revisó documentación '7.12 Content Column Format' de liga compartida de Simple Oracle Document Access (SODA)"/>
        <s v="Se revisó documentación '7.13 Content Column Max Length' de liga compartida de Simple Oracle Document Access (SODA)"/>
        <s v="Se revisó documentación '7.14 Content Column JSON Validation' de liga compartida de Simple Oracle Document Access (SODA)"/>
        <s v="Se revisó documentación '7.15 Content Column SecureFiles LOB Compression' de liga compartida de Simple Oracle Document Access (SODA)"/>
        <s v="Se revisó documentación '7.16 Content Column SecureFiles LOB Cache' de liga compartida de Simple Oracle Document Access (SODA)"/>
        <s v="Se revisó documentación '7.17 Content Column SecureFiles LOB Encryption' de liga compartida de Simple Oracle Document Access (SODA)"/>
        <s v="Se revisó documentación '7.18 Version Column Name' de liga compartida de Simple Oracle Document Access (SODA)"/>
        <s v="Se revisó documentación '7.19 Version Column Generation Method' de liga compartida de Simple Oracle Document Access (SODA)"/>
        <s v="Se revisó documentación '7.20 Last-Modified Time Stamp Column Name' de liga compartida de Simple Oracle Document Access (SODA)"/>
        <s v="Se revisó documentación '7.21 Last-Modified Column Index Name' de liga compartida de Simple Oracle Document Access (SODA)"/>
        <s v="Se revisó documentación '7.22 Creation Time Stamp Column Name' de liga compartida de Simple Oracle Document Access (SODA)"/>
        <s v="Se revisó documentación '7.23 Media Type Column Name' de liga compartida de Simple Oracle Document Access (SODA)"/>
        <s v="Se revisó documentación '7.24 Read Only' de liga compartida de Simple Oracle Document Access (SODA)"/>
        <s v="Se revisó documentación '3 Overview of SODA Indexing' de liga compartida de Simple Oracle Document Access (SODA)"/>
        <s v="Se revisó documentación '5 SODA Filter Specifications (Reference)' de liga compartida de Simple Oracle Document Access (SODA)"/>
        <s v="Se revisó documentación '5.1 Composite Filters (Reference)' de liga compartida de Simple Oracle Document Access (SODA)"/>
        <s v="Se revisó documentación '5.1.1 Orderby Clause Sorts Selected Objects' de liga compartida de Simple Oracle Document Access (SODA)"/>
        <s v="Se revisó documentación '5.2 Filter Conditions (Reference)' de liga compartida de Simple Oracle Document Access (SODA)"/>
        <s v="Se revisó documentación '5.2.1 Scalar-Equality Clause (Reference)' de liga compartida de Simple Oracle Document Access (SODA)"/>
        <s v="Se revisó documentación '5.2.2 Field-Condition Clause (Reference)' de liga compartida de Simple Oracle Document Access (SODA)"/>
        <s v="Se revisó documentación '5.2.2.1 Comparison Clause (Reference)' de liga compartida de Simple Oracle Document Access (SODA)"/>
        <s v="Se revisó documentación '5.2.2.2 Not Clause (Reference)' de liga compartida de Simple Oracle Document Access (SODA)"/>
        <s v="Se revisó documentación '5.2.2.3 Item-Method Clause (Reference)' de liga compartida de Simple Oracle Document Access (SODA)"/>
        <s v="Se revisó documentación '5.2.2.4 ISO 8601 Date, Time, and Duration Support' de liga compartida de Simple Oracle Document Access (SODA)"/>
        <s v="Se revisó documentación '5.2.3 Logical Combining Clause (Reference)' de liga compartida de Simple Oracle Document Access (SODA)"/>
        <s v="Se revisó documentación '5.2.3.1 Omitting $and' de liga compartida de Simple Oracle Document Access (SODA)"/>
        <s v="Se revisó documentación '5.2.4 Nested-Condition Clause (Reference)' de liga compartida de Simple Oracle Document Access (SODA)"/>
        <s v="Se revisó documentación '5.2.5 ID Clause (Reference)' de liga compartida de Simple Oracle Document Access (SODA)"/>
        <s v="Se revisó documentación '5.2.6 Text-Contains Clause (Reference)' de liga compartida de Simple Oracle Document Access (SODA)"/>
        <s v="Se revisó documentación '5.2.7 Special-Criterion Clause (Reference)' de liga compartida de Simple Oracle Document Access (SODA)"/>
        <s v="Se revisó documentación '5.2.7.1 Spatial Clause (Reference)' de liga compartida de Simple Oracle Document Access (SODA)"/>
        <s v="Se revisó documentación '5.2.7.2 Contains Clause (Reference)' de liga compartida de Simple Oracle Document Access (SODA)"/>
        <s v="Se revisó documentación '8 SODA Drivers' de liga compartida de Simple Oracle Document Access (SODA)"/>
        <s v="Se revisó documentación '9 SODA Feature Support' de liga compartida de Simple Oracle Document Access (SODA)"/>
        <s v="Se revisó documentación '10 SODA Guidelines and Restrictions' de liga compartida de Simple Oracle Document Access (SODA)"/>
        <s v="Se revisó información de 'MongoDB : todo sobre la base de datos NoSQL orientada a documentos' en portales de internet"/>
        <s v="Se visualizó video de 'MongoDB in 5 minutes with Eliot Horowitz' de portales de internet "/>
        <s v="Se visualizó video de 'How do NoSQL database work? Simply Explained!' de portales de internet "/>
        <s v="Se visualizó video de 'Hystory of Data Bases' de portales de internet' de portales de internet  "/>
        <s v="Se revisó información de 'BASES DE DATOS NO ESTRUCTURADAS - MONGODB' en portales de internet"/>
        <s v="Se revisó información de 'Descripción MongoDB' en portales de internet"/>
        <s v="Se revisó información de 'Alternativas a Mongo DB' en portales de internet"/>
        <s v="Se revisó información de 'Descarga de Mongo DB' en portales de internet"/>
        <s v="Se revisó información de 'MongoDB en Consola' en portales de internet"/>
        <s v="Se revisó información de 'MONGODB' en portales de internet"/>
        <s v="Se revisó información de 'Algunos comandos MongoDB' en portales de internet"/>
        <s v="Se revisó información de 'MongoDB Compass' en portales de internet"/>
        <s v="Se revisó información de 'Bases de datos y colecciones' en portales de internet"/>
        <s v="Se revisó el archivo 'Querys_Estadisiticas_Totales' proporcionado por Samuel"/>
        <s v="Se dio retroalimentación rapida a Samuel sobre cuantos querys se van a trabajar del archivo 'Querys_Estadisiticas_Totales'"/>
        <s v="Se revisó el archivo 'Final Ficha estadística 2023' proporcionado por Samuel"/>
        <s v="Se dio retroalimentación rapida a Samuel sobre cuantos querys se van a trabajar del archivo 'Final Ficha estadística 2023'"/>
        <s v="Se revisó el query 1 de 'TOTAL DE SOLICITUDES DE INFORMACIÓN' del archivo 'Querys_Estadisiticas_Totales' de forma general, para verificar si no hay dudas a revisar con Samuel"/>
        <s v="Se revisó el query 1 de 'TOTAL DE RECURSOS DE REVISIÓN INGRESADOS ' del archivo 'Querys_Estadisiticas_Totales' de forma general, para verificar si no hay dudas a revisar con Samuel"/>
        <s v="Se revisó el query 2 de 'TOTAL DE RECURSOS DE REVISIÓN INGRESADOS ' del archivo 'Querys_Estadisiticas_Totales' de forma general, para verificar si no hay dudas a revisar con Samuel"/>
        <s v="Se revisó el query 3 de 'TOTAL DE RECURSOS DE REVISIÓN INGRESADOS ' del archivo 'Querys_Estadisiticas_Totales' de forma general, para verificar si no hay dudas a revisar con Samuel"/>
        <s v="Se revisó el query 1 de 'TOTAL DE RECURSOS DE REVISIÓN GESTIONADOS' del archivo 'Querys_Estadisiticas_Totales' de forma general, para verificar si no hay dudas a revisar con Samuel"/>
        <s v="Se revisó el query 1 de 'TOTAL DE OBLIGACIONES DE TRANSPARENCIA' del archivo 'Querys_Estadisiticas_Totales' de forma general, para verificar si no hay dudas a revisar con Samuel"/>
        <s v="Se revisó el query 1 de 'TOTAL CONSULTA EN LOS BUSCADORES' del archivo 'Querys_Estadisiticas_Totales' de forma general, para verificar si no hay dudas a revisar con Samuel"/>
        <s v="Se revisó el query 2 de 'TOTAL CONSULTA EN LOS BUSCADORES' del archivo 'Querys_Estadisiticas_Totales' de forma general, para verificar si no hay dudas a revisar con Samuel"/>
        <s v="Se revisó el query 1 de 'En la Plataforma Nacional de Transparencia, las obligaciones más consultadas por los ciudadanos' del archivo 'Final Ficha estadística 2023' de forma general, para verificar si no hay dudas a revisar con Samuel"/>
        <s v="Se revisó el query 1 de 'Términos más utilizados en el Buscador Nacional' del archivo 'Final Ficha estadística 2023' de forma general, para verificar si no hay dudas a revisar con Samuel"/>
        <s v="Se revisó el query 1 de 'Los temas más consultados en la PNT de Sujetos Obligados Federales' del archivo 'Final Ficha estadística 2023' de forma general, para verificar si no hay dudas a revisar con Samuel"/>
        <s v="Se revisó el query 1 de 'Sujetos Obligados federales con más obligaciones cargadas' del archivo 'Final Ficha estadística 2023' de forma general, para verificar si no hay dudas a revisar con Samuel"/>
        <s v="Se revisó el query 1 de 'Sujetos Obligados federales con más solicitudes de información' del archivo 'Final Ficha estadística 2023' de forma general, para verificar si no hay dudas a revisar con Samuel"/>
        <s v="Se revisó el query 1 de 'Sujetos Obligados federales con más recursos de revisión' del archivo 'Final Ficha estadística 2023' de forma general, para verificar si no hay dudas a revisar con Samuel"/>
        <s v="Se revisó el query 1 de 'Total de consultas realizadas a los buscadores temáticos' del archivo 'Final Ficha estadística 2023' de forma general, para verificar si no hay dudas a revisar con Samuel"/>
        <s v="Se revisó el query 2 de 'Total de consultas realizadas a los buscadores temáticos' del archivo 'Final Ficha estadística 2023' de forma general, para verificar si no hay dudas a revisar con Samuel"/>
        <s v="Se revisó el query 1 de 'Consulta a los módulos de la PNT en el buscador Nacional' del archivo 'Final Ficha estadística 2023' de forma general, para verificar si no hay dudas a revisar con Samuel"/>
        <s v="Se comenzó a trabajar con el query 1 'TOTAL DE SOLICITUDES DE INFORMACIÓN' del archivo 'Querys_Estadisiticas_Totales', validando información para analizar forma de mejorar lo"/>
        <s v="Se trabajó con el Header del Nuevo Paquete 'SISAI.PACK_SISAI3' y se crea con el usuario SIAI"/>
        <s v="Se trabajó con el Body del Nuevo Paquete 'SISAI.PACK_SISAI3' y se crea con el usuario SISAI"/>
        <s v="Se revisó el Query #1 del archivo FFE23 para la Funcionalidad 1 'En la Plataforma Nacional de Transparencia, las obligaciones más consultadas por los ciudadanos', se hicieron las primeras ejecuciones con los parámetros para entender su funcionamiento"/>
        <s v="Se optimizó el Query #1 del archivo FFE23 (Funcionalidad 1) para tener una versión mejorada en tiempo de respuesta y costo"/>
        <s v="Se creó el nuevo procedimiento 'FUNC1_PLATANACTRANSPAOBLICONSULTQ1' en el paquete 'PACK_SISAI3', con la funcionalidad del Query #1"/>
        <s v="Se verificó campo por campo del query 1 de la Funcionalidad 1, validando el tipo de dato y longitud exactos"/>
        <s v="Se declararon las variables en bloque anónimo con validación exacta de tamaños de tipos de datos, del query 1 de la Funcionalidad 1"/>
        <s v="Se validó el paquete-procedimiento de la funcionalidad 1 - Query # 1 con el bloque anónimo correcto y se tuvo un resultado exitoso con la salida del cursor completo "/>
        <s v="Se actualizó el documento 'Final Ficha estadística 2023' con los comentarios sobre el Query 1 de la Funcionalidad 1"/>
        <s v="Se revisó el Query #1 del archivo FFE23 para la Funcionalidad 2 'Términos más utilizados en el Buscador Nacional', se hicieron las primeras ejecuciones con los parámetros para entender su funcionamiento"/>
        <s v="Se optimizó el Query #1 del archivo FFE23 (Funcionalidad 2) para tener una versión mejorada en tiempo de respuesta y costo"/>
        <s v="Se creó el nuevo procedimiento 'FUNC2_TERMASUTILBUSCNAC' en el paquete 'PACK_SISAI3', con la funcionalidad del Query #1"/>
        <s v="Se verificó campo por campo del query 1 de la Funcionalidad 2, validando el tipo de dato y longitud exactos"/>
        <s v="Se declararon las variables en bloque anónimo con validación exacta de tamaños de tipos de datos, del query 1 de la Funcionalidad 2"/>
        <s v="Se validó el paquete-procedimiento de la funcionalidad 2 - Query # 1 con el bloque anónimo correcto y se tuvo un resultado exitoso con la salida del cursor completo "/>
        <s v="Se actualizó el documento 'Final Ficha estadística 2023' con los comentarios sobre el Query 1 de la Funcionalidad 2"/>
        <s v="Se revisó el Query #1 del archivo FFE23 para la Funcionalidad 3 'Los temas más consultados en la PNT de Sujetos Obligados Federales', se hicieron las primeras ejecuciones con los parámetros para entender su funcionamiento"/>
        <s v="Se optimizó el Query #1 del archivo FFE23 (Funcionalidad 3) para tener una versión mejorada en tiempo de respuesta y costo"/>
        <s v="Se creó el nuevo procedimiento 'FUNC3_TEMASCONSULPNTSUJOBLIFED' en el paquete 'PACK_SISAI3', con la funcionalidad del Query #1"/>
        <s v="Se verificó campo por campo del query 1 de la Funcionalidad 3, validando el tipo de dato y longitud exactos"/>
        <s v="Se declararon las variables en bloque anónimo con validación exacta de tamaños de tipos de datos, del query 1 de la Funcionalidad 3"/>
        <s v="Se validó el paquete-procedimiento de la funcionalidad 3 - Query # 1 con el bloque anónimo correcto y se tuvo un resultado exitoso con la salida del cursor completo "/>
        <s v="Se actualizó el documento 'Final Ficha estadística 2023' con los comentarios sobre el Query 1 de la Funcionalidad 3"/>
        <s v="Se revisó el Query #1 del archivo FFE23 para la Funcionalidad 4 'Sujetos Obligados federales con más obligaciones cargadas', se hicieron las primeras ejecuciones con los parámetros para entender su funcionamiento"/>
        <s v="Se optimizó el Query #1 del archivo FFE23 (Funcionalidad 4) para tener una versión mejorada en tiempo de respuesta y costo"/>
        <s v="Se creó el nuevo procedimiento 'FUNC4_SUJOBLIFEDEMASOBLICARGA' en el paquete 'PACK_SISAI3', con la funcionalidad del Query #1"/>
        <s v="Se verificó campo por campo del query 1 de la Funcionalidad 4, validando el tipo de dato y longitud exactos"/>
        <s v="Se declararon las variables en bloque anónimo con validación exacta de tamaños de tipos de datos, del query 1 de la Funcionalidad 4"/>
        <s v="Se validó el paquete-procedimiento de la funcionalidad 4 - Query # 1 con el bloque anónimo correcto y se tuvo un resultado exitoso con la salida del cursor completo "/>
        <s v="Se actualizó el documento 'Final Ficha estadística 2023' con los comentarios sobre el Query 1 de la Funcionalidad 4"/>
        <s v="Se revisó el Query #1 del archivo FFE23 para la Funcionalidad 5 'Sujetos Obligados federales con más solicitudes de información', se hicieron las primeras ejecuciones con los parámetros para entender su funcionamiento"/>
        <s v="Se optimizó el Query #1 del archivo FFE23 (Funcionalidad 5) para tener una versión mejorada en tiempo de respuesta y costo"/>
        <s v="Se creó el nuevo procedimiento 'FUNC5_SUJOBLIFEDMASSOLICINFO' en el paquete 'PACK_SISAI3', con la funcionalidad del Query #1"/>
        <s v="Se verificó campo por campo del query 1 de la Funcionalidad 5, validando el tipo de dato y longitud exactos"/>
        <s v="Se declararon las variables en bloque anónimo con validación exacta de tamaños de tipos de datos, del query 1 de la Funcionalidad 5"/>
        <s v="Se validó el paquete-procedimiento de la funcionalidad 5 - Query # 1 con el bloque anónimo correcto y se tuvo un resultado exitoso con la salida del cursor completo "/>
        <s v="Se actualizó el documento 'Final Ficha estadística 2023' con los comentarios sobre el Query 1 de la Funcionalidad 5"/>
        <s v="Se revisó el Query #1 del archivo FFE23 para la Funcionalidad 6 'Sujetos Obligados federales con más recursos de revisión', se hicieron las primeras ejecuciones con los parámetros para entender su funcionamiento"/>
        <s v="Se optimizó el Query #1 del archivo FFE23 (Funcionalidad 6) para tener una versión mejorada en tiempo de respuesta y costo"/>
        <s v="Se creó el nuevo procedimiento 'FUNC6_SUJOBLIFEDMASRECREVI' en el paquete 'PACK_SISAI3', con la funcionalidad del Query #1"/>
        <s v="Se verificó campo por campo del query 1 de la Funcionalidad 6, validando el tipo de dato y longitud exactos"/>
        <s v="Se declararon las variables en bloque anónimo con validación exacta de tamaños de tipos de datos, del query 1 de la Funcionalidad 6"/>
        <s v="Se validó el paquete-procedimiento de la funcionalidad 6 - Query # 1 con el bloque anónimo correcto y se tuvo un resultado exitoso con la salida del cursor completo "/>
        <s v="Se actualizó el documento 'Final Ficha estadística 2023' con los comentarios sobre el Query 1 de la Funcionalidad 6"/>
        <s v="Se revisó el Query #1 del archivo FFE23 para la Funcionalidad 7 'Total de consultas realizadas a los buscadores temáticos', se hicieron las primeras ejecuciones con los parámetros para entender su funcionamiento"/>
        <s v="Se optimizó el Query #1 del archivo FFE23 (Funcionalidad 7) para tener una versión mejorada en tiempo de respuesta y costo"/>
        <s v="Se creó el nuevo procedimiento 'FUNC7_TOTCONSREABUSCATEMAQ1' en el paquete 'PACK_SISAI3', con la funcionalidad del Query #1"/>
        <s v="Se verificó campo por campo del query 1 de la Funcionalidad 7, validando el tipo de dato y longitud exactos"/>
        <s v="Se declararon las variables en bloque anónimo con validación exacta de tamaños de tipos de datos, del query 1 de la Funcionalidad 7"/>
        <s v="Se validó el paquete-procedimiento de la funcionalidad 7 - Query # 1 con el bloque anónimo correcto y se tuvo un resultado exitoso con la salida del cursor completo "/>
        <s v="Se actualizó el documento 'Final Ficha estadística 2023' con los comentarios sobre el Query 1 de la Funcionalidad 7"/>
        <s v="Se revisó el Query #2 del archivo FFE23 para la Funcionalidad 7 'Total de consultas realizadas a los buscadores temáticos', se hicieron las primeras ejecuciones con los parámetros para entender su funcionamiento"/>
        <s v="Se optimizó el Query #2 del archivo FFE23 (Funcionalidad 7) para tener una versión mejorada en tiempo de respuesta y costo"/>
        <s v="Se creó el nuevo procedimiento 'FUNC7_TOTCONSREABUSCATEMAQ2' en el paquete 'PACK_SISAI3', con la funcionalidad del Query #2"/>
        <s v="Se verificó campo por campo del query 2 de la Funcionalidad 7, validando el tipo de dato y longitud exactos"/>
        <s v="Se declararon las variables en bloque anónimo con validación exacta de tamaños de tipos de datos, del query 2 de la Funcionalidad 7"/>
        <s v="Se validó el paquete-procedimiento de la funcionalidad 7 - Query # 2 con el bloque anónimo correcto y se tuvo un resultado exitoso con la salida del cursor completo "/>
        <s v="Se actualizó el documento 'Final Ficha estadística 2023' con los comentarios sobre el Query 2 de la Funcionalidad 7"/>
        <s v="Se revisó el Query #1 del archivo FFE23 para la Funcionalidad 8 'Consulta a los módulos de la PNT en el buscador Nacional', se hicieron las primeras ejecuciones con los parámetros para entender su funcionamiento"/>
        <s v="Se optimizó el Query #1 del archivo FFE23 (Funcionalidad 8) para tener una versión mejorada en tiempo de respuesta y costo"/>
        <s v="Se creó el nuevo procedimiento 'FUNC8_CONSMODPNTBUSCNACQ1' en el paquete 'PACK_SISAI3', con la funcionalidad del Query #1"/>
        <s v="Se verificó campo por campo del query 1 de la Funcionalidad 8, validando el tipo de dato y longitud exactos"/>
        <s v="Se declararon las variables en bloque anónimo con validación exacta de tamaños de tipos de datos, del query 1 de la Funcionalidad 8"/>
        <s v="Se validó el paquete-procedimiento de la funcionalidad 8 - Query # 1 con el bloque anónimo correcto y se tuvo un resultado exitoso con la salida del cursor completo "/>
        <s v="Se actualizó el documento 'Final Ficha estadística 2023' con los comentarios sobre el Query 1 de la Funcionalidad 8"/>
        <s v="Se revisó el Query #1 del archivo IEDEPNI para la Funcionalidad 1 'TOTAL DE SOLICITUDES DE INFORMACIÓN', se hicieron las primeras ejecuciones con los parámetros para entender su funcionamiento"/>
        <s v="Se optimizó el Query #1 del archivo IEDEPNI (Funcionalidad 1) para tener una versión mejorada en tiempo de respuesta y costo"/>
        <s v="Se creó el nuevo procedimiento 'FUNC1_TOTSOLDEINFOQ1' en el paquete 'PACK_SISAI3', con la funcionalidad del Query #1"/>
        <s v="Se tuvó sesión con Samuel para revisar las herramientas de tuneo que se utilizan y el proceso que llevo para optimizar los queries que he trabajado"/>
        <s v="Se actualizó el documento 'Querys_Estadisiticas_Totales' con los comentarios sobre el Query 1 de la Funcionalidad 1"/>
        <s v="Se revisó el Query #1 del archivo IEDEPNI para la Funcionalidad 2 'TOTAL DE RECURSOS DE REVISIÓN INGRESADOS - Recursos de HCOM E INFOMEX', se hicieron las primeras ejecuciones con los parámetros para entender su funcionamiento"/>
        <s v="Se optimizó el Query #1 del archivo IEDEPNI (Funcionalidad 2) para tener una versión mejorada en tiempo de respuesta y costo"/>
        <s v="Se creó el nuevo procedimiento 'FUNC2_TOTRRIHCOMEINFOMEXQ1' en el paquete 'PACK_SISAI3', con la funcionalidad del Query #1"/>
        <s v="Se actualizó el documento 'Querys_Estadisiticas_Totales' con los comentarios sobre el Query 1 de la Funcionalidad 2"/>
        <s v="Se revisó el Query #2 del archivo IEDEPNI para la Funcionalidad 2 'TOTAL DE RECURSOS DE REVISIÓN INGRESADOS - Obtiene los recursos de revisión interpuestos', se hicieron las primeras ejecuciones con los parámetros para entender su funcionamiento"/>
        <s v="Se optimizó el Query #2 del archivo IEDEPNI (Funcionalidad 2) para tener una versión mejorada en tiempo de respuesta y costo"/>
        <s v="Se creó el nuevo procedimiento 'FUNC2_TOTRRIOBTRECREVINTERPUQ2' en el paquete 'PACK_SISAI3', con la funcionalidad del Query #2"/>
        <s v="Se verificó campo por campo del query 2 de la Funcionalidad 2, validando el tipo de dato y longitud exactos"/>
        <s v="Se declararon las variables en bloque anónimo con validación exacta de tamaños de tipos de datos, del query 2 de la Funcionalidad 2"/>
        <s v="Se validó el paquete-procedimiento de la funcionalidad 2 - Query # 2 con el bloque anónimo correcto y se tuvo un resultado exitoso con la salida del cursor completo "/>
        <s v="Se actualizó el documento 'Querys_Estadisiticas_Totales' con los comentarios sobre el Query 2 de la Funcionalidad 2"/>
        <s v="Se revisó el Query #3 del archivo IEDEPNI para la Funcionalidad 2 'TOTAL DE RECURSOS DE REVISIÓN INGRESADOS - Obtiene los recursos de revisión gestionados fuera', se hicieron las primeras ejecuciones con los parámetros para entender su funcionamiento"/>
        <s v="Se optimizó el Query #3 del archivo IEDEPNI (Funcionalidad 2) para tener una versión mejorada en tiempo de respuesta y costo"/>
        <s v="Se creó el nuevo procedimiento 'FUNC2_TOTRRIOBTRECREVGESTFUEQ3' en el paquete 'PACK_SISAI3', con la funcionalidad del Query #3"/>
        <s v="Se verificó campo por campo del query 3 de la Funcionalidad 2, validando el tipo de dato y longitud exactos"/>
        <s v="Se declararon las variables en bloque anónimo con validación exacta de tamaños de tipos de datos, del query 3 de la Funcionalidad 2"/>
        <s v="Se validó el paquete-procedimiento de la funcionalidad 2 - Query # 3 con el bloque anónimo correcto y se tuvo un resultado exitoso con la salida del cursor completo "/>
        <s v="Se actualizó el documento 'Querys_Estadisiticas_Totales' con los comentarios sobre el Query 3 de la Funcionalidad 2"/>
        <s v="Se revisó el Query #1 del archivo IEDEPNI para la Funcionalidad 3 'TOTAL DE RECURSOS DE REVISIÓN GESTIONADOS', se hicieron las primeras ejecuciones con los parámetros para entender su funcionamiento"/>
        <s v="Se optimizó el Query #1 del archivo IEDEPNI (Funcionalidad 3) para tener una versión mejorada en tiempo de respuesta y costo"/>
        <s v="Se creó el nuevo procedimiento 'FUNC3_TOTRECREVGESTIOQ1' en el paquete 'PACK_SISAI3', con la funcionalidad del Query #1"/>
        <s v="Se actualizó el documento 'Querys_Estadisiticas_Totales' con los comentarios sobre el Query 1 de la Funcionalidad 3"/>
        <s v="Se revisó el Query #1 del archivo IEDEPNI para la Funcionalidad 4 'TOTAL DE OBLIGACIONES DE TRANSPARENCIA', se hicieron las primeras ejecuciones con los parámetros para entender su funcionamiento"/>
        <s v="Se optimizó el Query #1 del archivo IEDEPNI (Funcionalidad 4) para tener una versión mejorada en tiempo de respuesta y costo"/>
        <s v="Se creó el nuevo procedimiento 'FUNC4_TOTOBLTRANSPAQ1' en el paquete 'PACK_SISAI3', con la funcionalidad del Query #1"/>
        <s v="Se actualizó el documento 'Querys_Estadisiticas_Totales' con los comentarios sobre el Query 1 de la Funcionalidad 4"/>
        <s v="Se revisó el Query #1 del archivo IEDEPNI para la Funcionalidad 5 'TOTAL CONSULTA EN LOS BUSCADORES - Buscador Nacional', se hicieron las primeras ejecuciones con los parámetros para entender su funcionamiento"/>
        <s v="Se optimizó el Query #1 del archivo IEDEPNI (Funcionalidad 5) para tener una versión mejorada en tiempo de respuesta y costo"/>
        <s v="Se creó el nuevo procedimiento 'FUNC5_TOTCONSBUSCADONACQ1' en el paquete 'PACK_SISAI3', con la funcionalidad del Query #1"/>
        <s v="Se actualizó el documento 'Querys_Estadisiticas_Totales' con los comentarios sobre el Query 1 de la Funcionalidad 5"/>
        <s v="Se revisó el Query #2 del archivo IEDEPNI para la Funcionalidad 5 'TOTAL CONSULTA EN LOS BUSCADORES - Buscadores temáticos', se hicieron las primeras ejecuciones con los parámetros para entender su funcionamiento"/>
        <s v="Se optimizó el Query #2 del archivo IEDEPNI (Funcionalidad 5) para tener una versión mejorada en tiempo de respuesta y costo"/>
        <s v="Se creó el nuevo procedimiento 'FUNC5_TOTCONSBUSCADOTEMATICOQ2' en el paquete 'PACK_SISAI3', con la funcionalidad del Query #2"/>
        <s v="Se verificó campo por campo del query 2 de la Funcionalidad 5, validando el tipo de dato y longitud exactos"/>
        <s v="Se declararon las variables en bloque anónimo con validación exacta de tamaños de tipos de datos, del query 2 de la Funcionalidad 5"/>
        <s v="Se validó el paquete-procedimiento de la funcionalidad 5 - Query # 2 con el bloque anónimo correcto y se tuvo un resultado exitoso con la salida del cursor completo "/>
        <s v="Pantalla para estadísticas de solicitudes"/>
        <s v="Pantalla para estadísticas de quejas"/>
        <s v="Pantalla para estadísticas de resoluciones"/>
        <s v="Modificar pantallas para implementar combos de selección múltiple"/>
        <s v="Pantalla para estadísticas por usuario/solicitudes"/>
        <s v="Pantalla para estadísticas por usuario/quejas"/>
        <s v="Pantalla para estadísticas por usuario/resoluciones"/>
        <s v="Back para estadísticas de solicitudes"/>
        <s v="Back para estadísticas de quejas"/>
        <s v="Back para estadísticas de resoluciones"/>
        <s v="Backs para implementar combos de selección múltiple"/>
        <s v="Back para estadísticas por usuario/solicitudes"/>
        <s v="Back para estadísticas por usuario/quejas"/>
        <s v="Back para estadísticas por usuario/resoluciones"/>
        <s v="Analizar los requerimientos para el proyecto de estadisticos"/>
        <s v="Analizar la obtención de los resultados de los procesos de base de datos"/>
        <s v="Analizar la respuesta de los servicios que consumen los procesos de la base de datos"/>
        <s v="Mapear las tablas de los catálogos de la base de datos en el proyecto de estadisticos"/>
        <s v="Mapear las tablas de los objetos de solicitudes de base de datos para invocar los procesos almacenados."/>
        <s v="Desarrollo e implementación de los metódos para la invocación del proceso para obtener la graficas de solicitudes"/>
        <s v="Desarrollar los servicios para mostrar los catálogos de las solicitudes"/>
        <s v="Desarrollar los servicios para mostrar los catálogos de las quejas"/>
        <s v="Desarrollar los metódos genericos para consumir los procesos almacenados para generar las gráficas de solicitudes"/>
        <s v="Desarrollo e implementación de los servicios para exponer los resultados de los procesos almacenados para generar las gráficas"/>
        <s v="Mapear las tablas de los objetos de quejas de base de datos para invocar los procesos almacenados."/>
        <s v="Desarrollo e implementación de los metódos para la invocación del proceso para obtener la graficas de quejas"/>
        <s v="Codificar la funcionalidad para consultar la ultima respuesta de una solicitud de información en SISAI y registrar su referencia en el sistema de SIGEMI"/>
        <s v="Codificar la funionalidad para registrar en la bitacora de registro de documentos de una queja, la generación del acuse de recepción de una queja"/>
        <s v="Corrección de incidencia que no permitia consumir algunos subreportes que se requieren para generar acuses de registro de quejas"/>
        <s v="Codificación del requerimiento para registrar uno o más RIA's  asociados a una queja"/>
        <s v="Codificar la funcionalidad para generar acuses de respuesta a RIA's"/>
        <s v="Registro de las respuestas de las notificaciones enviadas por un organo garante y respondidas por un solicitante"/>
        <s v="Codificar la funcionalidad para generar acuses de respuesta a notificaciones"/>
        <s v="Modifiación de servicio rest para registrar los requerimientos de comunicación por parte del organismo garante"/>
        <s v="Desarrollo del servicio que permite registrar los requerimientos de comunicación responidos por el solicitante"/>
        <s v="Desarrollo del servicio que permite generar el acuse de registro de &quot;comunicación&quot;"/>
        <s v="Explicación del proyecto, tecnologias a utilizar y lectura de documentación"/>
        <s v="Se realiza el analisis y la implementación de la librería necesaria para poder realizar la verificacion de consistencia"/>
        <s v="Se realiza utileria para generar hashes de acuerdo al certificado "/>
        <s v="Se realiza utileria para generar pkcs7 de acuerdo al certificado "/>
        <s v="Implementación del servicio para Subir archivos para firma unilateral"/>
        <s v="Implementación del servicio para Registrar firma electronica pkcs7"/>
        <s v="Se implementa servicio para Subir archivos para firma multilateral fin firma asociada"/>
        <s v="Se implementa servicio para Subir archivos para firma"/>
        <s v="Implementación de servicio para registrar firma electronica pkcs7"/>
        <s v="Implementacion de servicio para descarga hoja de evidencias"/>
        <s v="Implementacion de servicio para descarga documento firmado"/>
        <s v="Implementacion de servicio para descarga bloque firmado"/>
        <s v="Implementación de servicio para cancelar documentos"/>
        <s v="Se pulierón todos los procedimientos del documento IEDEPNI"/>
        <s v="Se revisó de nuevo el Query #1 del archivo IEDEPNI para la Funcionalidad 1 'TOTAL DE SOLICITUDES DE INFORMACIÓN' para aplicar posibles mejoras"/>
        <s v="Se revalidó el procedimiento 'FUNC1_TOTSOLDEINFOQ1' del paquete 'PACK_SISAI3' para afinar detalles finales"/>
        <s v="Se revisó de nuevo el Query #1 del archivo IEDEPNI para la Funcionalidad 2 'TOTAL DE RECURSOS DE REVISIÓN INGRESADOS - Recursos de HCOM E INFOMEX' para aplicar posibles mejoras"/>
        <s v="Se revalidó el procedimiento 'FUNC2_TOTRRIHCOMEINFOMEXQ1' en el paquete 'PACK_SISAI3' para afinar detalles finales"/>
        <s v="Se revisó de nuevo el Query #2 del archivo IEDEPNI para la Funcionalidad 2 'TOTAL DE RECURSOS DE REVISIÓN INGRESADOS - Obtiene los recursos de revisión interpuestos' para aplicar posibles mejoras"/>
        <s v="Se revalidó el procedimiento 'FUNC2_TOTRRIOBTRECREVINTERPUQ2' en el paquete 'PACK_SISAI3' para afinar detalles finales"/>
        <s v="Se revisó de nuevo el Query #3 del archivo IEDEPNI para la Funcionalidad 2 'TOTAL DE RECURSOS DE REVISIÓN INGRESADOS - Obtiene los recursos de revisión gestionados fuera' para aplicar posibles mejoras"/>
        <s v="Se revalidó el procedimiento 'FUNC2_TOTRRIOBTRECREVGESTFUEQ3' en el paquete 'PACK_SISAI3' para afinar detalles finales"/>
        <s v="Se revisó de nuevo el Query #1 del archivo IEDEPNI para la Funcionalidad 3 'TOTAL DE RECURSOS DE REVISIÓN GESTIONADOS' para aplicar posibles mejoras"/>
        <s v="Se revalidó el procedimiento 'FUNC3_TOTRECREVGESTIOQ1' en el paquete 'PACK_SISAI3' para afinar detalles finales"/>
        <s v="Se revisó de nuevo el Query #1 del archivo IEDEPNI para la Funcionalidad 4 'TOTAL DE OBLIGACIONES DE TRANSPARENCIA' para aplicar posibles mejoras"/>
        <s v="Se revalidó el procedimiento 'FUNC4_TOTOBLTRANSPAQ1' en el paquete 'PACK_SISAI3' para afinar detalles finales"/>
        <s v="Se revisó de nuevo el Query #1 del archivo IEDEPNI para la Funcionalidad 5 'TOTAL CONSULTA EN LOS BUSCADORES - Buscador Nacional' para aplicar posibles mejoras"/>
        <s v="Se revalidó el procedimiento 'FUNC5_TOTCONSBUSCADONACQ1' en el paquete 'PACK_SISAI3' para afinar detalles finales"/>
        <s v="Se revisó de nuevo el Query #2| del archivo IEDEPNI para la Funcionalidad 5 'TOTAL CONSULTA EN LOS BUSCADORES - Buscadores temáticos' para aplicar posibles mejoras"/>
        <s v="Se revalidó el procedimiento 'FUNC5_TOTCONSBUSCADOTEMATICOQ2' en el paquete 'PACK_SISAI3' para afinar detalles finales"/>
        <s v="Se afinó el documento 'Final Ficha estadística 2023' con todos los detalles trabajados"/>
        <s v="Se compartio el documento FFE23 a lider de TI con el detalle de todo lo trabajo"/>
        <s v="Se afinó el documento 'Querys_Estadisiticas_Totales' con todos los detalles trabajados"/>
        <s v="Se compartio el documento IEDEPNI a lider de TI con el detalle de todo lo trabajo"/>
        <s v="Se tocó base con Samuel para el proximo requerimiento"/>
        <s v="Se tuvo sesion con Annel para conocer el proximo requerimiento"/>
        <s v="Se revisarón las 2 vistas materializadas proporcionadas por Annel para entender el funcionamiento de estas"/>
        <s v="Se consultó con Samuel cuales serian los proximos entregables para el tema de los Dashboards que van a requerir los procedimientos"/>
        <s v="Se tuvo sesion con Samuel para revisar la estructura de las tablas 'BI_VWM_SOLICITUDES_ESTADISTICAS' y 'BI_VWM_SOLICITUDES_ESTADISTICAS_DETALLE'"/>
        <s v="Se tuvo sesión con Samuel y el equipo para conocer el alcance del requerimiento y lo que tengo que comenzar a desarrollar, los entregables a trabajar"/>
        <s v="Se tomó nota del como se deben poner los nombres de los procedimientos, así como las variables de entrada y salida"/>
        <s v="Se tomó pantalla de la maqueta de procedimientos inicial que es con la cual se validara el total de los procedimientos"/>
        <s v="Se validó conexión con el usuario BI y se comprueba que si tenga acceso a las vistas del requerimiento"/>
        <s v="Se definio el total de procedimientos y se le da un nombre a cada uno para comenzar a desarrollar el paquete"/>
        <s v="Se creó paquete de la BD 'BI.PACK_SOLICITUDES_ESTADISTICAS' de forma general con su header y su body"/>
        <s v="Se creó el esqueleto de los 15 procedimientos indentificados inicialmente con los parametros de entrada de los IDs de la tabla 'BI_VWM_SOLICITUDES_ESTADISTICAS_DETALLE' y con su respectivo parametro de cursor para la salida"/>
        <s v="Se creó el contenido del procedimiento #1 OBTENER_TIPO_SOLICITUD con la consulta que va a retornar el total por el Tipo de Solicitud de la tabla 'BI_VWM_SOLICITUDES_ESTADISTICAS_DETALLE' con la relación de su respectivo Catalogo para obtener su descripción"/>
        <s v="Se compiló paquete con la primer versión del 1er procedimiento y se valida que no tenga errores"/>
        <s v="Se declararón las variables en bloque anónimo con validación exacta de tamaños de tipos de datos, del query del procdimiento OBTENER_TIPO_SOLICITUD"/>
        <s v="Se validó el paquete-procedimiento 'OBTENER_TIPO_SOLICITUD' con el bloque anónimo correcto y se tuvo un resultado exitoso con la salida del cursor completo "/>
        <s v="Se tuvo sesión con equipo para mostrar avances del paquete y procedimientos creados y para aclarar dudas para continuar avanzando"/>
        <s v="Se concluyó que seran un total de 12 procedimientos y se le comparten al equipo los nombres de los procedimientos"/>
        <s v="Se validó el acceso al video de sesión pasada del viernes 13 para poder visualizar y aclarar cualquier duda"/>
        <s v="Se compartió con el DBA un error en el explain plan que se obtiene al validar el costo de las consultas"/>
        <s v="Se tuvo sesión con equipo solo con Horacio y Antonio y se explicaron algunos cambios a considerar"/>
        <s v="Se tuvo sesión con Samuel y con equipo para nuevos cambios a considerar, se nos compartio que los cambios para la construcción de los procedimientos ya que ahora los parametros de entrada deben recibir mas de 1 valor"/>
        <s v="Se revisó un ejemplo proporcionado por Annel para entender el funcionamiento de los objetos del tipo TAB"/>
        <s v="Se consultó mas detalle sobre el funcionamiento de los objetos TAB para entender el como se declaran"/>
        <s v="Se trabajó en declarar los objetos de tipo TAB en el 1er procedimiento"/>
        <s v="Se revisaron los errores encontrados y se identifico que el problema es porque hace falta crearlos en la BD como objetos de tipo TIPE y como Colecciones -"/>
        <s v="Se crearon todos los objetos del tipo TYPE y Collection Type para poder consumirlos en c/u de los procedimientos"/>
        <s v="Se tocó base con Antonio para validar los nombres de los nuevos objetos y se ajustan algunos de ellos"/>
        <s v="Se tuvo sesión con Samuel y Horacio para revisar los avances hasta el momento"/>
        <s v="Se actualizó el procedimiento para manejar todos los nuevos objetos del tipo TAB"/>
        <s v="Se trabajó en el procedimiento 'OBTENER_TIPO_SOLICITUD' para lograr que funcione con un 1er parametro de tipo TAB declarado"/>
        <s v="Se validó el paquete-procedimiento 'OBTENER_TIPO_SOLICITUD' con el bloque anónimo pero se encuentran errores en la salida del cursor"/>
        <s v="Se revisó a detalle para identificar los posibles errores y encontrar la solución"/>
        <s v="Se identificó problema con la inicialización de las variables TAB al validar con el bloque anonimo"/>
        <s v="Se actualizó bloque anonimo con la forma correcta de inicializar la variable e irle dando los valores que tendra la colección"/>
        <s v="Se logró validar de forma exitosa el procedimiento con el 1er parametro de tipo TAB 'TAB_ENTIDADFEDERATIVA'"/>
        <s v="Se tuvo sesión con Samuel para revisar los avances hasta el momento"/>
        <s v="Se actualizó procedimiento 'OBTENER_TIPO_SOLICITUD' con todas las variables de tipo TAB"/>
        <s v="Se validó el paquete-procedimiento 'OBTENER_TIPO_SOLICITUD' con el bloque anónimo pero se encuentran nuevos errores en la salida del cursor"/>
        <s v="Se identificaron los errores en el procedimiento 'OBTENER_TIPO_SOLICITUD' ya que hay variables del tipo TAB que no se consideraran y esas se tienen que tratar distinto"/>
        <s v="Se ajustó el procedimiento 'OBTENER_TIPO_SOLICITUD' con estas recientes mejoras identificaras y se compila paquete sin errores"/>
        <s v="Se validó el paquete-procedimiento 'OBTENER_TIPO_SOLICITUD' con el bloque anónimo y se comprueba salida con informacion correcta del cursor"/>
        <s v="Se le confirmó al equipo que ya esta listo el 1er procedimiento 'OBTENER_TIPO_SOLICITUD' para comenzar a consumirlo con el aplicativo"/>
        <s v="Se estimaron tiempos de la contrucción de todos los procedimientos nuevos que se deben terminar de construir con las variables del tipo TAB y con sus respectivas validaciones y casos especiales"/>
        <s v="Se construyó la consulta para tratae el 2do procedimiento OBTENER_DERECHO_DP"/>
        <s v="Se validó que la información que retorna la consulta con los distintos parametros sea la correcta"/>
        <s v="Se trabajó en el 2do procedimiento 'OBTENER_DERECHO_DP' con sus respectivas variables TAB y con su consulta previamente validada, se compila sin errores"/>
        <s v="Se validó el paquete-procedimiento 'OBTENER_DERECHO_DP' con el bloque anónimo correcto y se tuvo un resultado exitoso con la salida del cursor completo"/>
        <s v="Se le informó al equipo que ya esta este 2do procedimiento para que lo revisen y consuman desde el aplicativo"/>
        <s v="Se construyó la consulta para tratar el 3er procedimiento OBTENER_MEDIO_ENTRADA"/>
        <s v="Se trabajó en el 3er procedimiento 'OBTENER_MEDIO_ENTRADA' con sus respectivas variables TAB y con su consulta previamente validada, se compila sin errores"/>
        <s v="Se validó el paquete-procedimiento 'OBTENER_MEDIO_ENTRADA' con el bloque anónimo correcto y se tuvo un resultado exitoso con la salida del cursor completo"/>
        <s v="Se le informó al equipo que ya esta este 3er procedimiento para que lo revisen y consuman desde el aplicativo"/>
        <s v="Se construyó la consulta para tratar el 4to procedimiento OBTENER_MODALIDAD_ENTREGA"/>
        <s v="Se trabajó en el 4to procedimiento 'OBTENER_MODALIDAD_ENTREGA' con sus respectivas variables TAB y con su consulta previamente validada, se compila sin errores"/>
        <s v="Se validó el paquete-procedimiento 'OBTENER_MODALIDAD_ENTREGA' con el bloque anónimo correcto y se tuvo un resultado exitoso con la salida del cursor completo"/>
        <s v="Se le informó al equipo que ya esta este 4to procedimiento para que lo revisen y consuman desde el aplicativo"/>
        <s v="Se construyó la consulta para tratar el 5to procedimiento OBTENER_RECIBO_NOTIFICACION"/>
        <s v="Se trabajó en el 5to procedimiento 'OBTENER_RECIBO_NOTIFICACION' con sus respectivas variables TAB y con su consulta previamente validada, se compila sin errores"/>
        <s v="Se validó el paquete-procedimiento 'OBTENER_RECIBO_NOTIFICACION' con el bloque anónimo correcto y se tuvo un resultado exitoso con la salida del cursor completo"/>
        <s v="Se le informó al equipo que ya esta este 5to procedimiento para que lo revisen y consuman desde el aplicativo"/>
        <s v="Se tuvo platica con Antonio para aplicar mejoras a la forma de validar los objetos TAB y contruir los querys dinamicos"/>
        <s v="Se solicitaron cambios en las consultas que contienen los diversos procedimientos para manejarlos como subquerys"/>
        <s v="Se hicieron pruebas de paquete de prueba de Antonio para validar que las mejoras propuestas si retornan información correcta"/>
        <s v="Se aplicaron mejoras propuestas al 5to procedimiento y se valida que la información resultante sea correcta"/>
        <s v="Se construyó la consulta para tratar el 6to procedimiento OBTENER_FG_PRORROGA"/>
        <s v="Se trabajó en el 6to procedimiento 'OBTENER_FG_PRORROGA' con sus respectivas variables TAB y con su consulta previamente validada, se compila sin errores"/>
        <s v="Se validó el paquete-procedimiento 'OBTENER_FG_PRORROGA' con el bloque anónimo correcto y se tuvo un resultado exitoso con la salida del cursor completo"/>
        <s v="Se le informó al equipo que ya esta este 6to procedimiento para que lo revisen y consuman desde el aplicativo"/>
        <s v="Se construyó la consulta para tratar el 7mo procedimiento OBTENER_FG_PREVENCION"/>
        <s v="Se trabajó en el 7mo procedimiento 'OBTENER_FG_PREVENCION' con sus respectivas variables TAB y con su consulta previamente validada, se compila sin errores"/>
        <s v="Se validó el paquete-procedimiento 'OBTENER_FG_PREVENCION' con el bloque anónimo correcto y se tuvo un resultado exitoso con la salida del cursor completo"/>
        <s v="Se le informó al equipo que ya esta este 7mo procedimiento para que lo revisen y consuman desde el aplicativo"/>
        <s v="Se construyó la consulta para tratar el 8vo procedimiento OBTENER_FG_DISPONIBILIDAD"/>
        <s v="Se trabajó en el 8vo procedimiento 'OBTENER_FG_DISPONIBILIDAD' con sus respectivas variables TAB y con su consulta previamente validada, se compila sin errores"/>
        <s v="Se validó el paquete-procedimiento 'OBTENER_FG_DISPONIBILIDAD' con el bloque anónimo correcto y se tuvo un resultado exitoso con la salida del cursor completo"/>
        <s v="Se le informó al equipo que ya esta este 8vo procedimiento para que lo revisen y consuman desde el aplicativo"/>
        <s v="Se construyó la consulta para tratar el 9no procedimiento OBTENER_ULTIMA_RESPUESTA"/>
        <s v="Se trabajó en el 9no procedimiento 'OBTENER_ULTIMA_RESPUESTA' con sus respectivas variables TAB y con su consulta previamente validada, se compila sin errores"/>
        <s v="Se validó el paquete-procedimiento 'OBTENER_ULTIMA_RESPUESTA' con el bloque anónimo correcto y se tuvo un resultado exitoso con la salida del cursor completo"/>
        <s v="Se le informó al equipo que ya esta este 9no procedimiento para que lo revisen y consuman desde el aplicativo"/>
        <s v="Se construyó la consulta para tratar el 10mo procedimiento OBTENER_SOLICITUDESXDIA"/>
        <s v="Se trabajó en el 10mo procedimiento 'OBTENER_SOLICITUDESXDIA' con sus respectivas variables TAB y con su consulta previamente validada, se compila sin errores"/>
        <s v="Se validó el paquete-procedimiento 'OBTENER_SOLICITUDESXDIA' con el bloque anónimo correcto y se tuvo un resultado exitoso con la salida del cursor completo"/>
        <s v="Se le informó al equipo que ya esta este 10mo procedimiento para que lo revisen y consuman desde el aplicativo"/>
        <s v="Se construyó la consulta para tratar el 11vo procedimiento OBTENER_ESTATUS"/>
        <s v="Se trabajó en el 11vo procedimiento 'OBTENER_ESTATUS' con sus respectivas variables TAB y con su consulta previamente validada, se compila sin errores"/>
        <s v="Se validó el paquete-procedimiento 'OBTENER_ESTATUS' con el bloque anónimo correcto y se tuvo un resultado exitoso con la salida del cursor completo"/>
        <s v="Se le informó al equipo que ya esta este 11vo procedimiento para que lo revisen y consuman desde el aplicativo"/>
        <s v="Se toco base con Samuel para definir el catalogo de Tematicas, me aclaro el punto y segui avanzando sin problema"/>
        <s v="Se construyó la consulta para tratar el 12vo procedimiento OBTENER_TEMATICA"/>
        <s v="Se trabajó en el 12vo procedimiento 'OBTENER_TEMATICA' con sus respectivas variables TAB y con su consulta previamente validada, se compila sin errores"/>
        <s v="Se validó el paquete-procedimiento 'OBTENER_TEMATICA' con el bloque anónimo correcto y se tuvo un resultado exitoso con la salida del cursor completo"/>
        <s v="Se le informó al equipo que ya esta este 12vo procedimiento para que lo revisen y consuman desde el aplicativo"/>
        <s v="Se revisaron las consultas de los procedimientos creados para aplicar mejora de subquerys en las consultas que si aplique"/>
        <s v="Se aplicó mejora solicitada en todos los procedimientos para no considerar las banderas como parametros"/>
        <s v="Se tuvo sesión con equipo para nuevos cambios en procedimientos creados"/>
        <s v="Se recolectó 1er cambio para modificar los parametros de salida del cursor por el generito 'P_C_RESULTADO'"/>
        <s v="Se recolectó 2do cambio para unificar las etiquetas de todos los querys a retornar en el cursor, por ID....NOMBRE....TOTAL"/>
        <s v="Se recolectó 3er cambio para incluir el ID en los procedimientos de las Banderas"/>
        <s v="Se trabajó agregando el 1er cambio a todos los procedimientos y se compiló paquete para comprobar que no hay errores"/>
        <s v="Se trabajó agregando el 2do cambio a todos los procedimientos y se compiló paquete para comprobar que no hay errores"/>
        <s v="Se trabajó agregando el 3er cambio a todos los procedimientos y se compiló paquete para comprobar que no hay errores"/>
        <s v="Se validó nuevamente que todos los procedimientos se puedan invocar a través del bloque anónimo correcto y se tenga resultado exitoso con la salida del cursor completo"/>
        <s v="Actualizacion seccion ponente  "/>
        <s v="actualizacion RTA cooperacion "/>
        <s v="actualizacion micrositio RTA observador "/>
        <s v="actualizacion RTA consejo directivo"/>
        <s v="Actualizacion micrositio SNT "/>
        <s v="actualizacion de avance de proyecto "/>
        <s v="actualizacion repositorio "/>
        <s v="actualizacion micrositio "/>
        <s v="actualizacion RTA encuentros "/>
        <s v="actualizacion paginas web "/>
        <s v="actaulizacion micrositio Repositorio"/>
        <s v="actualizacion  Proyecto micrositio "/>
        <s v="actualizacion sitios"/>
        <s v="actualizacion contraeña GAP "/>
        <s v="actualizacion pagina web carga "/>
        <s v="actualizacion micrositios "/>
        <s v="actualizacion contenido INAI "/>
        <s v="actualizacion de inventario micrositio "/>
        <s v="Ajustes sitio RTA "/>
        <s v="Insumos micrositio Criterios del SNT"/>
        <s v="actualizacion cambio de control "/>
        <s v="actualizacion consejo directivo "/>
        <s v="actualizacion contraseña GAP "/>
        <s v="actualizaciones estautus de peticiones "/>
        <s v="actualizacion inventarios micrositios "/>
        <s v="actualizacion resoluciones "/>
        <s v="Actualizacion de estatus de peticiones "/>
        <s v="Reunion Control Interno "/>
        <s v="Actualizacion micrositio RTA consejo directivo "/>
        <s v="actualizacion de inventarios de micrositio"/>
        <s v="modificacion pagina DGPVS"/>
        <s v="actualizacion micrositio sede "/>
        <s v="Insumos graficos micrositio criterios "/>
        <s v="actualizacion criterios SNT "/>
        <s v="actualizacion cc "/>
        <s v="actualizacion micrositio RTA "/>
        <s v="actualizacion de paginas web "/>
        <s v="Actualizacionpagina web "/>
        <s v="ajuste sitio RTA "/>
        <s v="actualizaciones micrositios "/>
        <s v="Actualizacion CIT evaluacion "/>
        <s v="actualizacioncontraseña GAP "/>
        <s v="Se instalo y configuro la herramienta helm que es un manejador de paquetes para k8s"/>
        <s v="Se instalo y configuro el controller ingress traefik para poder controlar todos las salidas de k8s"/>
        <s v="Se instalo el modulo de MetalLb para poder utilizar loadbalancer con ip interna, que a su vez esta ligado traefik"/>
        <s v="Se instalo y configuro ArgoCD para poder hacer el deployment en automatico del las imagenes a k8s una vez que cambia el manifest."/>
        <s v="Se instalo y configuro trivy para escaneo de la imagen que crea podman"/>
        <s v="Se instalo y configuro dependency check top owasp 10 para escanear cualquer vulnerabilidad en cuanto a OWASP"/>
        <s v="Se configuro gradle en jenkins para que se pueda usar para compilar los proyectos de java"/>
        <s v="Se creo el archivo Jenkinsfile que es el que contiene todo el pipleline de CI, este reside en mi github personal, es donde se hizo las pruebas"/>
        <s v="Se creo el archivo Jenkinsfile que es el que contiene todo el pipleline de CD, este reside en mi github personal, es donde se hizo las pruebas"/>
        <s v="Documentación de incidencias de inventarios"/>
        <s v="Se genera la incidencia en mantis una vez con las evidencias de las pruebas"/>
        <s v="Se envía el correo del cierre parcial de la ejecución del sistema de Inventarios"/>
        <s v="Se revisa la versión dos de ServicioProfesional con los cambios realizados en la OT"/>
        <s v="Se recibe correo de nueva OT para su revisión y ejecución llamada GAP"/>
        <s v="Se realiza la ejecución de la OT servicioProfesional"/>
        <s v="Se continua con ejecuta la OT de ServicioProfesional"/>
        <s v="Se da seguimiento a la solicitud al equipo de base de datos de su apoyo para obtener la base de datos de ServicioProfesional"/>
        <s v="El equipo de base de datos entrega la base para continuar con las pruebas de ServicioProfesional"/>
        <s v="Se termina de ejecutar la OT ServicioProfesional con detalles en la conexión"/>
        <s v="Se resuelven los detalles de la OT ServicioProfesional y se completa la ejecución"/>
        <s v="Se recibe correo con la nueva OT llamada Encuentro XXV"/>
        <s v="Se termina la OT ServicioProfesional y se documenta la evidencia"/>
        <s v="Se ejecuta y documenta la OT Encuentro XXV"/>
        <s v="Se envía correo a las personas correspondientes sobre la OT documentada de ServicioProfesional"/>
        <s v="Se dio seguimiento a las insidencias encontradas en la ejecución de la OT del Módulo de Inventarios"/>
        <s v="Se hace el análisis de la documentación del micrositio de Criterios de Interpretación del SNT"/>
        <s v="Se continua con el análsis del documento de Criterios de Interpretación SNT para obtener los casos de prueba"/>
        <s v="Se da de alta el usuario en TestLink para creación de casos de prueba sobre el documento Criterios de Interpretación SNT"/>
        <s v="Análisis de documento SNT para documentación de casos de prueba "/>
        <s v="Se genera en Testlink el espacio de pruebas y se generan los casos de pruebas de Criterios de Interpretación SNT"/>
        <s v="Se hace una sesión con el equipo de desarrollo sobre el funcionamiento del modulo de usuarios y los roles que se estarán manejando"/>
        <s v="Se generan los casos de prueba en Testlink sobre el proyecto RFC Criterios de Interpretación SNT"/>
        <s v="Se hace el análisis del video y documento obtenidos para el módulo de usuarios SNT"/>
        <s v="Se terminan de documentar los casos de prueba de RFC Criterios de Interpretación SNT"/>
        <s v="Se da de alta una nueva carpeta en testlink para la documentación de casos de prueba del módulo de usuarios sobre el proyecto SNT"/>
        <s v="Se da seguimiento y a su vez se van documentando los casos de prueba del modulo de usuarios sobre el proyecto Criterios de Interpretación SNT"/>
        <s v="Se generan los casos de prueba mediante la documentación del módulo de usuarios"/>
        <s v="Se reviso el documento del RFC con la solicitud del requerimiento para el Micrositio del INAI"/>
        <s v="Explicación  de tecnologías a utilizar en el desarrollo del proyecto"/>
        <s v="Revisión de los catálogos para estructurar la base de datos"/>
        <s v="Desarrollo de los  scripts para la base de datos"/>
        <s v="Desarrollo del backend en Laravel"/>
        <s v="Desarrollo del primer modulo de Tipos de expediente"/>
        <s v="Desarrollo del modulo de Administración"/>
        <s v="Desarrollo del modulo de Años"/>
        <s v="Desarrollo del modulo de Épocas"/>
        <s v="Desarrollo del modulo de tipos de criterios"/>
        <s v="Desarrollo del modulo de Entidad Federativa"/>
        <s v="Sesión de levantamiento de información con el cliente, llenado de documento de Análisis, matriz de requerimientos y mockups Requerimientos 1.1,1.2,1.3"/>
        <s v="Sesión de levantamiento de información con el cliente, llenado de documento de Análisis, matriz de requerimientos y mockups Requerimientos 1.4,1.5,1.6"/>
        <s v="Sesión de levantamiento de información con el cliente, llenado de documento de Análisis, matriz de requerimientos y mockups Requerimientos 1.7,1.8,2.4.1"/>
        <s v="Sesión de levantamiento de información con el cliente, llenado de documento de Análisis, matriz de requerimientos y mockups Requerimientos 2.4.2, 2.5.1"/>
        <s v="Sesión de levantamiento de información con el cliente, llenado de documento de Análisis, matriz de requerimientos y mockups Requerimientos 3.1.1,3.2.16, 3.3.9, 3.5.10"/>
        <s v="Sesión de levantamiento de información con el cliente, llenado de documento de Análisis, matriz de requerimientos y mockups Requerimientos 3.2.1, 3.3.7,3.2.2"/>
        <s v="Sesión de levantamiento de información con el cliente, llenado de documento de Análisis, matriz de requerimientos y mockups Requerimientos 3.2.3,3.2.4,3.3.8"/>
        <s v="Sesión de levantamiento de información con el cliente, llenado de documento de Análisis, matriz de requerimientos y mockups Requerimientos 3.2.5,3.2.6,3.2.7"/>
        <s v="Sesión de levantamiento de información con el cliente, llenado de documento de Análisis, matriz de requerimientos y mockups Requerimientos 3.2.8,3.2.9, 3.3.5,3.5.5"/>
        <s v="Sesión de levantamiento de información con el cliente, llenado de documento de Análisis, matriz de requerimientos y mockups Requerimientos 3.2.10,3.3.6,3.5.6"/>
        <s v="Sesión de levantamiento de información con el cliente, llenado de documento de Análisis, matriz de requerimientos y mockups Requerimientos 3.2.11,3.3.1, 3.5.1"/>
        <s v="Sesión de levantamiento de información con el cliente, llenado de documento de Análisis, matriz de requerimientos y mockups Requerimientos 3.2.12,3.3.2,3.5.2"/>
        <s v="Sesión de levantamiento de información con el cliente, llenado de documento de Análisis, matriz de requerimientos y mockups Requerimientos 3.2.13,3.3.3,3.4.2,3.4.3,3.5.3"/>
        <s v="Sesión de levantamiento de información con el cliente, llenado de documento de Análisis, matriz de requerimientos y mockups Requerimientos 3.2.14,3.3.4,3.5.4"/>
        <s v="Sesión de levantamiento de información con el cliente, llenado de documento de Análisis, matriz de requerimientos y mockups Requerimientos 3.2.15, 3.5.7"/>
        <s v="Sesión de levantamiento de información con el cliente, llenado de documento de Análisis, matriz de requerimientos y mockups Requerimientos 3.4.1,3.4.4,3.4.5,3.5.9,3.5.8,1,2,2.1,2.2,2.3,2.4"/>
        <s v="Sesión de levantamiento de información con el cliente, llenado de documento de Análisis, matriz de requerimientos y mockups Requerimientos 2.5,3,3.1,3.2,3.3,3.4,3.5,4,4.1,4.2"/>
        <s v="Revisión de los casos de uso ( Documento de Análisis) para elaboración del Diseño de los Casos de Prueba (Plan de pruebas), Requerimientos: 1.1,1.2,1.3,1.4,1.5,1.6,1.7,1.8,2.4.1,2.4.2,2.5.1"/>
        <s v="Revisión de los casos de uso ( Documento de Análisis) para elaboración del Diseño de los Casos de Prueba (Plan de pruebas), Requerimientos: 3.1.1, 3.2.16,3.3.9,3.5.10,3.2.1,3.3.7,3.2.2,3.2.3,3.2.4,3.3.8,3.2.5,3.2.6,3.2.7,3.2.8,3.2.9,3.3.5,3.5.5,3.2.10,3.3.6,3.5.6"/>
        <s v="Revisión de los casos de uso ( Documento de Análisis) para elaboración del Diseño de los Casos de Prueba (Plan de pruebas), Requerimientos: 3.2.11,3.3.1,3.5.1,3.2.12,3.3.2,3.5.2,3.2.13,3.3.3,3.4.2,3.4.3,3.5.3,3.2.14,3.3.4,3.5.4,3.2.15,3.5.7,3.4.1,3.4.4,3.4.5,3.5.9,3.5.8,1,2"/>
        <s v="Revisión de los casos de uso ( Documento de Análisis) para elaboración del Diseño de los Casos de Prueba (Plan de pruebas), Requerimientos: 2.1,2.2,2.3,2.4,2.5,3,3.1,3.2,3.3,3.4,3.5,4,4.1,4.2"/>
        <s v="Listado de Documentos    I    Plan de Alcance    I    Plan de Trabajo    I    Plan de Comunicaciones    I    Plan de Riesgos"/>
        <s v="Reunión de KickOff con el equipo interno y externo del proyecto"/>
        <s v="Cronograma"/>
        <s v="El usuario mostró el funcionamiento del aplicativo version 4, el cual será al quese le aplicaran las mejoras"/>
        <s v="Monitoreo y control de las sesiones de levantamiento de información del 09 al 13 de octubre 2024"/>
        <s v="Monitoreo y control de las sesiones de levantamiento de información del 09 al 13 de octubre 2025"/>
        <s v="Monitoreo y control de las sesiones de levantamiento de información del 09 al 13 de octubre 2026"/>
        <s v="Monitoreo y control de las sesiones de levantamiento de información del 09 al 13 de octubre 2027"/>
        <s v="Monitoreo y control de las sesiones de levantamiento de información del 16 al 20 de octubre 2024"/>
        <s v="Pantalla para responder notificaciones"/>
        <s v="Pantalla Descarga de archivos"/>
        <s v="Ajustes FRONT para SAIMEX"/>
        <s v="Desarrollar pantalla para estadísticas por usuario/resoluciones"/>
        <s v="Implementar funcionalidad para las estadísticas por usuario (redireccionamiento)"/>
        <s v="Modificar header del buscador inteligente con la nueva versión"/>
        <s v="Implementar estadística de lo mas PREGUNTADO del buscador inteligente"/>
        <s v="Implementar estadística de lo mas CONSULTADO del buscador inteligente"/>
        <s v="Desarrollo de servicios Back de respuesta a notificaciones"/>
        <s v="Desarrollo de servicios back para descarga de archivos"/>
        <s v="Desarrollo de servicios back para integrar SAIMEX a la PNT"/>
        <s v="Desarrollar servicios para generación de estadísticas "/>
        <s v="Modificar servicios back para integrarlos con el FRONT del Buscador Inteligente"/>
        <s v="Modificar el diseño de los temas de los datos detalle del registro"/>
        <s v="Diseñar listado de los OG en el apartado de los filtros por campo orden"/>
        <s v="Modificar servicios de busqueda en servidores SOLR"/>
        <s v="Modificar servicios del buscador general para omitir subtemas"/>
        <s v="Modificar registros &quot;Sin Temática&quot; para omitirlos"/>
        <s v="Modificar filtro de area de resultados"/>
        <s v="En servicio compartir en redes sociales, integrar servicio de X"/>
        <s v="Modificar frame de solicitudes,quejas y obligaciones. "/>
        <s v="Modificar etiquetas Entidad por Estado ó Federación ."/>
        <s v="Modificar etiquetas: Folio por Folio de la solicitud / Descripción de la solicitud por Descripción de la solicitude información / Tipo de solicitud por Tipo de solicitud de información /etc"/>
        <s v="Modificar servicio de fecha de notificacion de admisión al SO"/>
        <s v="Modificar servicio de fecha de envío"/>
        <s v="Modificar input parte superior para buscar por tema"/>
        <s v="Modificar sección de tutoriales"/>
        <s v="Modificar servicio de ordenamiento por conteo en los filtros considerando el total de registros encontrados "/>
        <s v="Modificar servicio de Obligaciones de transparencia cuando se buscar por un tema desde el carrusel"/>
        <s v="Implementar listado completo de subtemas por cada tema"/>
        <s v="Desarrollar servicios para obtener porcentaje de predicción por IA para solicitudes y respuestas en el buscador"/>
        <s v="Desarrollar front para desplegar porcentaje de prediccón por IA para solicitudes y respuestas en el buscador"/>
        <s v="Validación y adecuaciones front y back de acuerdo a observaciones de la DS"/>
        <s v="Implementar y ejecutar herramientas SAST y SCA definidas en el nuevo  proceso SSDLC en el código de la Nueva Arquitectura de la PNT "/>
        <s v="Implementar adecuaciones al código fuente para atender hallazgos del módulo - Catálogos"/>
        <s v="Implementar adecuaciones al código fuente para atender hallazgos del módulo - Commons"/>
        <s v="Implementar adecuaciones al código fuente para atender hallazgos del módulo - Buscador inteligente"/>
        <s v="Implementar adecuaciones al código fuente para atender hallazgos del módulo - Datos Abiertos"/>
        <s v="Implementar adecuaciones al código fuente para atender hallazgos del módulo - Federado"/>
        <s v="Se implementa servicio para obtener la información de un certificado a partir de un base64"/>
        <s v="Se corrige la implementación de la captura de firma"/>
        <s v="Se maneja el error de fecha en el home de la pagina"/>
        <s v="Se remueven validadores para RFC en la vista del perfil de usuario"/>
        <s v="Inducción para el proyecto de jurisdiccional"/>
        <s v="Clonación de proyecto y analisis de codigo"/>
        <s v="Reunion con el equipo para revisar los putos/tareas a trabajar"/>
        <s v="Se realiza un listado de actividades junto con estimaciones, para poder trabajarlas"/>
        <s v="Reunion con el equipo para revisar las actividades"/>
        <s v="Se revisan los modulos dentro del sistema para poder comenzar a implementar cambios"/>
        <s v="Se rediseña la tabla para el modulo de administrador, se ajustan componentes para usar los de primeNG"/>
        <s v="Se ajustan estilos para la tabla, así como para el nav bar aplciarles un selected cuando la navegación apunte al menu"/>
        <s v="Se agrega una nueva ruta al proyecto para poder navegar y así remover el dialog"/>
        <s v="Se agrega una nueva barra de navegación para poder hacer back al location"/>
        <s v="Se migran componentes de la vista de detalle de contrato"/>
        <s v="Se realiza una reestructuración de servicios y manejo de datos de acuerdo a los nuevos componentes"/>
        <s v="Se refactoriza implementación de servicios"/>
        <s v="Cambio en los servicios de solicitudes para que la consulta se por medio de criteria query y no por procesos de base de datos"/>
        <s v="Cambio en los servicios de resoluciones para que la consulta se por medio de criteria query y no por procesos de base de datos"/>
        <s v="Se desarrolla el servicio para obtener el top de sujetos obligados que reciben más solicitudes"/>
        <s v="Se desarrolla el servicio para obtener el top de sujetos obligados que reciben más quejas"/>
        <s v="Se desarrolla el servicio para obtener el top de comisionados que hacen resoluciones"/>
        <s v="Cambio en el mapeo de entidades para obtener la descripción de las solicitudes sin hacer join a tablas externas"/>
        <s v="Cambio en el mapeo de entidades para obtener la descripción de las quejas sin hacer join a tablas externas"/>
        <s v="Cambio en el mapeo de entidades para obtener la descripción de las resoluciones  sin hacer join a tablas externas"/>
        <s v="Desarrollo del servicio para agrupar los totales de INFOMEX ."/>
        <s v="Funcionalidad para  consulta de mis quejas"/>
        <s v="Funcionalidad para registrar quejas"/>
        <s v="Funcionalidad para gestionar acuses"/>
        <s v="Desarrollo para consultar el tracking del avance de la queja"/>
        <s v="Configuración a nivel de sistema operativo para poder invocar subreportes"/>
        <s v="Configuración a nivel de sistema operativo para poder consumir los tipos de letra del sistema operativo"/>
        <s v="Configuración a nivel de jvm  para poder consumir los tipos de letra "/>
        <s v="Desarrollo de servicios angular para consumir front-end en el menu de detalle"/>
        <s v="Desarrollo de servicios angular para consumir front-end en el menu de mis quejas"/>
        <s v="Actualización micrositio SNT "/>
        <s v="Actualización sitio cambio de control "/>
        <s v="Actualización Armonizacion "/>
        <s v="Actualización RTA "/>
        <s v="Actualización prosede "/>
        <s v="Actualización carga de usuarios "/>
        <s v="Actualización subsistema de evaluacion "/>
        <s v="Actualización de administracion deriesgos "/>
        <s v="Actualización de supervision de mejora continua "/>
        <s v="Actualización ambiente de control parametros "/>
        <s v="Actualización ambiente de control principios basicos "/>
        <s v="Actualuzacion elementos de control interno asociado "/>
        <s v="Actualización administracion de riesgos "/>
        <s v="Actualización parametros riesgos "/>
        <s v="Actualización principios basicos riesgos "/>
        <s v="Actualización elementos de control riesgos "/>
        <s v="Actualización de actividades de control "/>
        <s v="Actualización de parametros de control "/>
        <s v="Actualización de principios basicos de control "/>
        <s v="Actualización de elementos de control interno "/>
        <s v="Actualización de informacion de comunicación "/>
        <s v="Actualización de parametro de informacion y comuicacion "/>
        <s v="Actualización principios basicos de informacion y comunicación "/>
        <s v="Actualización informacin y comuicacion de elementos de control inteno "/>
        <s v="actualizacin de supervision y mejora continua"/>
        <s v="Actualización de elementos de control interno y supervisioin de mejora continua "/>
        <s v="Actualización parlamento abierto "/>
        <s v="Actualización revision de usuario "/>
        <s v="Actualización de servicio profesional "/>
        <s v="Actualización de vance de proyecto "/>
        <s v="Actualización micrositio criterios del SNT "/>
        <s v="Actualización pagina DGPVS"/>
        <s v="actualizacin servicio profecional"/>
        <s v="Actualización inventario micrositio "/>
        <s v="Actualización micrositio criterios "/>
        <s v="Actualización control interno "/>
        <s v="Actualización sitio servicio profecional "/>
        <s v="Actualización de avance de proyecto "/>
        <s v="Se desarrolla modulo de materias"/>
        <s v="desarrollo del modulo de Organismo garante"/>
        <s v="desarrollo del modulo de Secciones de tipos de criterios"/>
        <s v="desarrollo del modulo de Informacion"/>
        <s v="desarrollo del modulo de carga de csv"/>
        <s v="Se comprueba la vizualizacon y funcionalidad del buscador de resoluciones"/>
        <s v="se realizan los estilos para el buscador de resoluciones"/>
        <s v="se realiza funcionalidad de filtros de busqueda laterales"/>
        <s v="Se agrega funcionalidad de busqueda por ajax para clave de control"/>
        <s v="Se agrega funcionalidad de botones de descarga"/>
        <s v="Se actualizo version de flutter, plugins y se atienden incidencias surgidas de esto"/>
        <s v="Se actualizaron las url de servicios para la app"/>
        <s v="Se valida el funcionamiento de todos los servicios de la app y se depuran errores"/>
        <s v="Se toma reunion para da seguimiento a los errores detectados en los servicios y depurar "/>
        <s v="Se hace research para obtener datos necesarios para el alta de nueva app de fb para login"/>
        <s v="Se valiada en diferentes tamaños y se corrige segun sea necesario"/>
        <s v="Se hace research para obtener datos necesarios para el alta de nueva app de twitter para login"/>
        <s v="Se valida el funcionamiento de los servicios de buscador de obligaciones"/>
        <s v="Se genera un documento de guia que detalla las acciones a llevar para crear una cuenta y configurarla en Meta developers (facebook) y Twitter developers"/>
        <s v="Se realiza una sesion de review para implementar flutter 3.16 en la app"/>
        <s v="Se actualiza version de android y se solventan errores nativos dentro de la aplicacion"/>
        <s v="Análisis del documento de &quot;modulo de usuarios&quot; para obtener casos de prueba previos a su ejecución"/>
        <s v="Se registran los casos de roles de usuarios en la carpeta de testlink "/>
        <s v="Análisis de todos los casos de prueba de roles de usuario"/>
        <s v="Se hace el registro de los casos de roles del módulo de usuarios en Testlink"/>
        <s v="Se hace un sesión con el equipo de desarrollo sobre el módulo de solicitudes masivas"/>
        <s v="Se hace el registro completo de los casos de pruebas del documento del módulo de usuarios"/>
        <s v="Se continua con el análisis del documento de Modulo de usuarios para obtener casos de prueba previos a su ejecucicón"/>
        <s v="Se termina de registrar en testlink los casos de prueba del documento de modulo de usuarios"/>
        <s v="Se da seguimiento de un correo del equipo de desarrollo sobre las incidencias registradas en mantis sobre el módulo de inventarios"/>
        <s v="Se termina el registro de casos de prueba de roles de usuario en la plataforma de testlink para su ejecución"/>
        <s v="Se generan nuevos casos de prueba a traves de un documento nuevo sobre el módulo de usuarios"/>
        <s v="Se continua con el registro en testlink los nuevos casos del módulo de usuarios "/>
        <s v="Se da seguimiento al correo de la nueva versión del sistema de inventarios para pruebas"/>
        <s v="Se realizan las pruebas de la nueva versión del sistema de inventarios"/>
        <s v="Se terminan de realizar las pruebas de la versión dos del sistema de inventarios"/>
        <s v="Se documentan las evidencias del sistema de inventarios una vez finalizadas las pruebas"/>
        <s v="Se documentan las incidencias encontradas durantelas pruebas de la nueva versión del sistema de inventarios"/>
        <s v="Se documenta y se genera el correo para la liberación parcial de pruebas de "/>
        <s v="Se analiza nueva documentación para casos de prueba del módulo de usuarios"/>
        <s v="Se agregan los pasos para los casos del módulo de usuarios para realizar las pruebas"/>
        <s v="Se agregan más pasos a los casos de prueba con base en la documentación entregada por parte del equipo de desarrollo"/>
        <s v="Se da seguimiento a los enlaces entregados por parte de desarrollo para acceso al sitio del módulo de usuarios previo a las pruebas"/>
        <s v="Se revisa el documento de asignación de pruebas para el módulo de usuarios y se validan los casos asignados"/>
        <s v="Se terminan de revisar los casos de prueba previos al inicio de la ejecución de las pruebas del módulo de usuarios"/>
        <s v="Toma de avance diario y actualización de cronograma"/>
        <s v="Revisión y actualización de Plan de riesgos"/>
        <s v="Generación de Presentación semanal de estatus del proyecto"/>
        <s v="Presentación avance semanal del 01 al 03 de noviembre 2023"/>
        <s v="Presentación avance semanal del 06 al 10 de noviembre 2023"/>
        <s v="Presentación avance semanal del 13 al 17 de noviembre 2023"/>
        <s v="Presentación avance semanal del 20 al 24 de noviembre 2026"/>
        <s v="Desarrollo y reordenamiento del informe general. Se elimina mapas y se segmentan g´raficas y tablas. Se ajustan filtros los cuales se aplicarán en todos los informes."/>
        <s v="Desarrollo de informes que muyestren un resumen general de todos los integrantes del SNT para los porgramas elegido. Se realizan 5 gráficos para esta solución."/>
        <s v="Se realiza un mapa de calor con base en la cobertura de las líneas de acción que ha cumplido el integraante. "/>
        <s v="Se genera una tabla con el total de lineas de acción elegiles y el porcentaje de la cobertura. Contiene una gráfica de barras y una tabla informativa. De igual forma, se agregan los filtros estándar solicitados."/>
        <s v="Se genera un par de tablas que contienen la información sobre las líneas de acción elegibles y la cobertura que se realizó por cada uno de los integrantes (OGL y Federación)"/>
        <s v="Se desarrolla un informe que contiene las actividades realizadas por los inegrantes. Dichas actividades se han separado por semestre."/>
        <s v="Se implementa un reporte con las actividades que se realizaron por cada una de las regiones que se encuentran actualmente en el SNT."/>
        <s v="Se generan un informe con la representación gráfica de las activaciones que se realizaron por parte de los integrantes del SNT."/>
        <s v="Muestra el listado de líneas de acción por cada uno de los integrantes. En este listado contiene un apartado donde muestra las evidencias por medio de un hipervinculo el cuál puede ser consultado por el usuario."/>
        <s v="Muestra una gráfica que contiene el número de actividades que no han sido atendidas por diferentes situaciones imprevistas."/>
        <s v="Se muestra la gráfica con el total de activaciones por estatus de cumplimiento. Así como la segmentación por integrante y eje."/>
        <s v="Muestra dos cuadros comparativos en donde se visualizan los integrantes del SNT y su presupuesto. "/>
        <s v="Se realiza un diseño con un menú el cual contiene acceso a todos los informes de pizarras. De igual forma, permite seleccionar el programa del cual puede consultar la información."/>
        <s v="Se expuso duda de procedimiento &quot;OBTENER_SOLICITUDESXDIA&quot; ya que al no tener el campo para el NOMBRE no se sabe que manejar, se dejó solo el dato del TOTAL"/>
        <s v="Se modificó la estructura de tabla de Quejas 'BI_IMPUGNACIONES_VWM_QUEJAS_ESTADISTICAS' "/>
        <s v="Se nos solicitó que, para los procedimientos de Solicitudes, deben devolver 2 registros, independientemente de que tenga o no datos"/>
        <s v="Se comenzó a trabajar en las consultas del 1er procedimiento de Solicitudes para ver opción de mantener los 2 registros en todos los escenarios"/>
        <s v="Se hicieron más pruebas sobre las consultas del procedimiento OBTENER_FG_PRORROGA para evaluar si con algunos UNIONS se puede respetar el mantener ambos registros "/>
        <s v="Se hicieron más pruebas para determinar si con subqueries es posible resolver el tema de los 2 registros en todo caso"/>
        <s v="Se concluye que con las pruebas realizadas no es posible resolver la situación ya que con el Union solo le pegas 1 registro siempre, pero eso generara que se tengan en ocasiones 3 registros en ocasiones, lo cual es incorrecto"/>
        <s v="Se modifico el procedimiento 'OBTENER_FG_PRORROGA' para dejar solamente 2 registros, aunque solo funcionara cuando el registro de un tipo traia 1 registro solamente, no es solución completa"/>
        <s v="Se tuvo sesión con en Subdirector para revisar la estructura de la tabla de Quejas y analizar el número de procedimientos "/>
        <s v="Se valida que tenga acceso desde usuario BI a las tablas de catalogos como ''FEDERADO.FEDERADO_TC_ENTIDADFEDERATIVA'' "/>
        <s v="Se definió el total de procedimientos y se le da un nombre a cada uno para comenzar a desarrollar el paquete "/>
        <s v="Se creó paquete de la BD 'BI.PACK_QUEJAS_ESTADISTICAS' de forma general con su header y su body "/>
        <s v="Se creó el esqueleto de los 9 procedimientos identificados inicialmente con los parametros de entrada de los IDs de la tabla 'BI_IMPUGNACIONES_VWM_QUEJAS_ESTADISTICAS' y con su respectivo parametro de cursor para la salida "/>
        <s v="Se construyó la consulta para tratar el 1er procedimiento 'OBTENER_ENTIDADFEDERATIVA' "/>
        <s v="Se validó que la información que retorna la consulta con los distintos parametros sea la correcta "/>
        <s v="Se trabajó en el 1er procedimiento 'OBTENER_ENTIDADFEDERATIVA' con sus respectivas variables TAB y con su consulta previamente validada, se compila sin errores"/>
        <s v="Se validó el paquete-procedimiento 'OBTENER_ENTIDADFEDERATIVA' con el bloque anónimo correcto y se tuvo un resultado exitoso con la salida del cursor completo "/>
        <s v="Se tuvo sesión rapida con personal del INAI para aclarar dudas sobre el 1er procedimiento de tabla de Quejas"/>
        <s v="Se actualizo el 1er procedimiento por el nombre correcto 'BI.PACK_QUEJAS_ESTADISTICAS.OBTENER_MEDIOREGISTRO' "/>
        <s v="Se validó el paquete-procedimiento 'OBTENER_MEDIOREGISTRO' con el bloque anónimo correcto y se tuvo un resultado exitoso con la salida del cursor completo"/>
        <s v="Se le explicó al equipo que ya esta esté 1er procedimiento para que lo revisen y consuman desde el aplicativo "/>
        <s v="Se construyó la consulta para tratar el 2do procedimiento 'OBTENER_MEDIONOTIFICACION' "/>
        <s v="Se trabajó en el 2do procedimiento 'OBTENER_MEDIONOTIFICACION' con sus respectivas variables TAB y con su consulta previamente validada, se compila sin errores"/>
        <s v="Se validó el paquete-procedimiento 'OBTENER_MEDIONOTIFICACION' con el bloque anónimo correcto y se tuvo un resultado exitoso con la salida del cursor completo "/>
        <s v="Se le explicó al equipo que ya esta esté 2do procedimiento para que lo revisen y consuman desde el aplicativo "/>
        <s v="Se expuso duda sobre el 3er procedimiento ya que hay que considerar los ID_STATUS mas usados, los 9 más usados ya que tomo esa validación de la tabla 'IMPUGNACIONES.MEDI_TR_MEDIO_IMPUGNACION' "/>
        <s v="Se construyó la consulta para tratar el 3er procedimiento 'OBTENER_TIPOSTATUS' "/>
        <s v="Se trabajó en el 3er procedimiento 'OBTENER_TIPOSTATUS' con sus respectivas variables TAB y con su consulta previamente validada, se compila sin errores "/>
        <s v="Se validó el paquete-procedimiento 'OBTENER_TIPOSTATUS' con el bloque anónimo correcto y se tuvo un resultado exitoso con la salida del cursor completo "/>
        <s v="Se le explicó al equipo que ya esta esté 3er procedimiento para que lo revisen y consuman desde el aplicativo"/>
        <s v="Se construyó la consulta para tratar el 4to procedimiento 'OBTENER_TIPOMEDIOIMPUGNACION' "/>
        <s v="Se validó el paquete-procedimiento 'OBTENER_TIPOMEDIOIMPUGNACION' con el bloque anónimo correcto y se tuvo un resultado exitoso con la salida del cursor completo "/>
        <s v="Se le explicó al equipo que ya esta esté 4to procedimiento para que lo revisen y consuman desde el aplicativo "/>
        <s v="Se construyó la consulta para tratar el 5to procedimiento 'OBTENER_FG_AMPLIADO'"/>
        <s v="Se trabajó en el 5to procedimiento 'OBTENER_FG_AMPLIADO' con sus respectivas variables TAB y con su consulta previamente validada, se compila sin errores"/>
        <s v="Se validó el paquete-procedimiento 'OBTENER_FG_AMPLIADO' con el bloque anónimo correcto y se tuvo un resultado exitoso con la salida del cursor completo "/>
        <s v="Se le esplicó al equipo que ya esta esté 5to procedimiento para que lo revisen y consuman desde el aplicativo "/>
        <s v="Se construyó la consulta para tratar el 6to procedimiento 'OBTENER_FG_ADMITIDO'"/>
        <s v="Se trabajó en el 6to procedimiento 'OBTENER_FG_ADMITIDO' con sus respectivas variables TAB y con su consulta previamente validada, se compila sin errores "/>
        <s v="Se validó el paquete-procedimiento 'OBTENER_FG_ADMITIDO' con el bloque anónimo correcto y se tuvo un resultado exitoso con la salida del cursor completo "/>
        <s v="Se le explicó al equipo que ya esta esté 6to procedimiento para que lo revisen y consuman desde el aplicativo"/>
        <s v="Se construyó la consulta para tratar el 7mo procedimiento 'OBTENER_FG_PREVENIDO'"/>
        <s v="Se trabajó en el 7mo procedimiento 'OBTENER_FG_PREVENIDO' con sus respectivas variables TAB y con su consulta previamente validada, se compila sin errores "/>
        <s v="Se validó el paquete-procedimiento 'OBTENER_FG_PREVENIDO' con el bloque anónimo correcto y se tuvo un resultado exitoso con la salida del cursor completo "/>
        <s v="Se le explicó al equipo que ya esta esté 7mo procedimiento para que lo revisen y consuman desde el aplicativo"/>
        <s v="Se construyó la consulta para tratar el 8vo procedimiento 'OBTENER_FG_DESECHADO' "/>
        <s v="Se trabajó en el 8vo procedimiento 'OBTENER_FG_DESECHADO' con sus respectivas variables TAB y con su consulta previamente validada, se compila sin errores"/>
        <s v="Se validó el paquete-procedimiento 'OBTENER_FG_DESECHADO' con el bloque anónimo correcto y se tuvo un resultado exitoso con la salida del cursor completo "/>
        <s v="Se le explicó al equipo que ya esta esté 8vo procedimiento para que lo revisen y consuman desde el aplicativo "/>
        <s v="Se construyó la consulta para tratar el 9no procedimiento 'OBTENER_FECHAINTERPOSICION' "/>
        <s v="Se trabajó en el 9no procedimiento 'OBTENER_FECHAINTERPOSICION' con sus respectivas variables TAB y con su consulta previamente validada, se compila sin errores "/>
        <s v="Se validó el paquete-procedimiento 'OBTENER_FECHAINTERPOSICION' con el bloque anónimo correcto y se tuvo un resultado exitoso con la salida del cursor completo"/>
        <s v="Se comparten nuevas tablas de los Catalogos a considerar para considerar en los Procedimiento"/>
        <s v="Se actualizo nuevo catálogo en procedimiento 'OBTENER_MEDIOREGISTRO' de Quejas "/>
        <s v="Se actualizo nuevo catálogo en procedimiento 'OBTENER_MEDIONOTIFICACION' de Quejas "/>
        <s v="Se actualizo nuevo catálogo en procedimiento 'OBTENER_TIPOMEDIOIMPUGNACION' de Quejas "/>
        <s v="Se le explicó al equipo que ya estan las actualizaciones de los 3 procedimientos de Quejas para que lo revisen y consuman desde el aplicativo"/>
        <s v="Se revisó estructura de tabla de Resoluciones 'BI.IMPUGNACIONES_VWM_RESOLUCIONES_ESTADISTICAS' "/>
        <s v="Se tuvo sesión con Subdirector para revisar la estructura de la tabla de Resoluciones y analizar el número de procedimientos "/>
        <s v="Se trabajó en declarar los objetos de tipo TAB en el 1er procedimiento "/>
        <s v="Se creó paquete de la BD 'BI.PACK_RESOLUCIONES_ESTADISTICAS' de forma general con su header y su body"/>
        <s v="Se creó el esqueleto de los 7 procedimientos identificados inicialmente con los parametros de entrada de los IDs de la tabla 'IMPUGNACIONES_VWM_RESOLUCIONES_ESTADISTICAS' y con su respectivo parametro de cursor para la salida "/>
        <s v="Se construyó la consulta para tratar el 1er procedimiento 'OBTENER_MEDIOREGISTRO' "/>
        <s v="Se trabajó en el 1er procedimiento 'OBTENER_MEDIOREGISTRO' con sus respectivas variables TAB y con su consulta previamente validada, se compila sin errores "/>
        <s v="Se validó el paquete-procedimiento 'OBTENER_MEDIOREGISTRO' con el bloque anónimo correcto y se tuvo un resultado exitoso con la salida del cursor completo "/>
        <s v="Se construyó la consulta para tratar el 2do procedimiento 'OBTENER_MEDIONOTIFICACION'"/>
        <s v="Se le explicó al equipo que ya esta este 2do procedimiento para que lo revisen y consuman desde el aplicativo"/>
        <s v="Se construyó la consulta para tratar el 3er procedimiento 'OBTENER_TIPOMEDIO'"/>
        <s v="Se trabajó en el 3er procedimiento 'OBTENER_TIPOMEDIO' con sus respectivas variables TAB y con su consulta previamente validada, se compila sin errores "/>
        <s v="Se validó el paquete-procedimiento 'OBTENER_TIPOMEDIO' con el bloque anónimo correcto y se tuvo un resultado exitoso con la salida del cursor completo"/>
        <s v="Se le explicó al equipo que ya esta esté 3er procedimiento para que lo revisen y consuman desde el aplicativo "/>
        <s v="Se construyó la consulta para tratar el 4to procedimiento 'OBTENER_FGTIENEINSTRUCCION' "/>
        <s v="Se trabajó en el 4to procedimiento 'OBTENER_FGTIENEINSTRUCCION' con sus respectivas variables TAB y con su consulta previamente validada, se compila sin errores "/>
        <s v="Se validó el paquete-procedimiento 'OBTENER_FGTIENEINSTRUCCION' con el bloque anónimo correcto y se tuvo un resultado exitoso con la salida del cursor completo "/>
        <s v="Se construyó la consulta para tratar el 5to procedimiento 'OBTENER_SENTIDORESOLUCION' "/>
        <s v="Se trabajó en el 5to procedimiento 'OBTENER_SENTIDORESOLUCION' con sus respectivas variables TAB y con su consulta previamente validada, se compila sin errores "/>
        <s v="Se validó el paquete-procedimiento 'OBTENER_SENTIDORESOLUCION' con el bloque anónimo correcto y se tuvo un resultado exitoso con la salida del cursor completo "/>
        <s v="Se le explicó al equipo que ya esta esté 5to procedimiento para que lo revisen y consuman desde el aplicativo "/>
        <s v="Se construyó la consulta para tratar el 6to procedimiento 'OBTENER_FECHANOTIFICACIONRESOLUCION' "/>
        <s v="Se trabajó en el 6to procedimiento 'OBTENER_FECHANOTIFICACIONRESOLUCION' con sus respectivas variables TAB y con su consulta previamente validada, se compila sin errores"/>
        <s v="Se validó el paquete-procedimiento 'OBTENER_FECHANOTIFICACIONRESOLUCION' con el bloque anónimo correcto y se tuvo un resultado exitoso con la salida del cursor completo "/>
        <s v="Se le explicó al equipo que ya esta esté 6to procedimiento para que lo revisen y consuman desde el aplicativo "/>
        <s v="Se comentó que se tienen que agrerar 2 nuevos procedimientos en los paquetes de Solicitudes y Quejas "/>
        <s v="Se construyó la consulta para tratar el 13vo procedimiento 'OBTENER_FG_QUEJA' de SOLICITUDES "/>
        <s v="Se trabajó en el 13vo procedimiento 'OBTENER_FG_QUEJA' con sus respectivas variables TAB y con su consulta previamente validada, se compila sin errores"/>
        <s v="Se validó el paquete-procedimiento 'OBTENER_FG_QUEJA' con el bloque anónimo correcto y se tuvo un resultado exitoso con la salida del cursor completo "/>
        <s v="Se le explicó al equipo que ya esta esté 13vo procedimiento para que lo revisen y consuman desde el aplicativo "/>
        <s v="Se construyó la consulta para tratar el 10mo procedimiento 'OBTENER_FG_RESOLUCION' de QUEJAS "/>
        <s v="Se trabajó en el 10mo procedimiento 'OBTENER_FG_RESOLUCION' con sus respectivas variables TAB y con su consulta previamente validada, se compila sin errores "/>
        <s v="Se validó el paquete-procedimiento 'OBTENER_FG_RESOLUCION' con el bloque anónimo correcto y se tuvo un resultado exitoso con la salida del cursor completo"/>
        <s v="Se nos compartió que en las 3 tablas de los procesos ya se tiene el campo 'FECHA_ACTUALIZACION', se preguntó si tendría algún cambio para aplicar a los procedimientos o no "/>
        <s v="Se confirmo que No habría cambios a aplicar por esta fecha recientemente agregada de 'FECHA_ACTUALIZACION' "/>
        <s v="Se trabajo en la solución de manejar 2 registros siempre en el caso de los procedimientos de las banderas "/>
        <s v="Se creo el algoritmo como tipo prueba de escritorio para diseñar la solución de los casos condicionales de como ira componiéndose la solución "/>
        <s v="Se define que una primer consulta determinara si la consulta trae 0, 1 o 2 registros, dependiendo del resultado de esta primer consulta se tendra una consulta resultante "/>
        <s v="Se define que, si el resultado fue 2, se tendra una consulta completa con la seguridad que esa información siempre tendra ambos estatus (0 y 1) y siempre se mostraran 2 valores "/>
        <s v="Se define que, si el resultado fue 1, se maneja otra consulta para determinar el valor de la BANDERA que puede ser a su vez 0 o 1, y dependiendo de cada uno de esos valores se tendra finalmente una consulta que retorna 1 solo valor con la bandera en cuestión con su respectivo UNION del registro faltante con total de 0 y viceversa "/>
        <s v="Se define si el resultado fue 0 se tendra consulta por defecto que es una unión de 2 consultas con total igual a 0 "/>
        <s v="Se integran todas las consultas en el paquete y se va tratando cuando sea sql dinamico con valores de TAB o con retorno de valor en variable dependiendo de que se va a evaluar o retornar "/>
        <s v="Se trataron los errores que se encuentran para poder compilar el paquete de forma correcta "/>
        <s v="Se le explicó al equipo que ya esta este procedimiento de banderas 'OBTENER_FG_PRORROGA' para que lo revisen y consuman desde el aplicativo "/>
        <s v="Se comenta que falto procedimiento de COMISIONADOS para las Resoluciones"/>
        <s v="Se construyó la consulta para tratar el 7mo procedimiento 'OBTENER_COMISIONADO' de RESOLUCIONES "/>
        <s v="Se trabajó en el 7mo procedimiento 'OBTENER_COMISIONADO' con sus respectivas variables TAB y con su consulta previamente validada, se compila sin erro"/>
        <s v="Se validó el paquete-procedimiento 'OBTENER_COMISIONADO' con el bloque anónimo correcto y se tuvo un resultado exitoso con la salida del cursor completo "/>
        <s v="Se le explicó al equipo que ya esta esté 7mo procedimiento para que lo revisen y consuman desde el aplicación "/>
        <s v="Se construyeron las distintas consultas para tratar el 7mo procedimiento de banderas 'OBTENER_FG_PREVENCION' de SOLICITUDES, para tratar los condicionales "/>
        <s v="Se validó que la información que retorna de las distintas consultas con los distintos parametros sea la correcta "/>
        <s v="Se trabajó con los ajustes del 7mo procedimiento de banderas 'OBTENER_FG_PREVENCION', con las consultas necesarias de las condicionantes previamente validadas, se compila sin errores "/>
        <s v="Se validó el paquete-procedimiento 'OBTENER_FG_PREVENCION' con el bloque anónimo correcto y se tuvo un resultado exitoso con la salida del cursor completo "/>
        <s v="Se le explicó al equipo que ya estan los ajustes para el 7mo procedimiento de banderas 'OBTENER_FG_PREVENCION',para que lo revisen y consuman desde el aplicativo "/>
        <s v="Se construyeron las distintas consultas para tratar el 8vo procedimiento de banderas 'OBTENER_FG_DISPONIBILIDAD' de SOLICITUDES, para tratar los condicionales "/>
        <s v="Se trabajó con los ajustes del 8vo procedimiento de banderas 'OBTENER_FG_DISPONIBILIDAD', con las consultas necesarias de las condicionantes previamente validadas, se compila sin errores "/>
        <s v="Se validó el paquete-procedimiento 'OBTENER_FG_DISPONIBILIDAD' con el bloque anónimo correcto y se tuvo un resultado exitoso con la salida del cursor completo "/>
        <s v="Se le explicó al equipo que ya estan los ajustes para el 8vo procedimiento de banderas 'OBTENER_FG_DISPONIBILIDAD',para que lo revisen y consuman desde el aplicativo"/>
        <s v="Se construyeron las distintas consultas para tratar el 13vo procedimiento de banderas 'OBTENER_FG_QUEJA' de SOLICITUDES, para tratar los condicionales "/>
        <s v="Se validó que la información que retorna de las distintas consultas con los distintos parametros sea la correcta - "/>
        <s v="Se trabajó con los ajustes del 13vo procedimiento de banderas 'OBTENER_FG_QUEJA', con las consultas necesarias de las condicionantes previamente validadas, se compila sin errores"/>
        <s v="Se construyeron las distintas consultas para tratar el 5to procedimiento de banderas 'OBTENER_FG_AMPLIADO' de QUEJAS, para tratar los condicionales "/>
        <s v="Se trabajó con los ajustes del 5to procedimiento de banderas 'OBTENER_FG_AMPLIADO', con las consultas necesarias de las condicionantes previamente validadas, se compila sin errores"/>
        <s v="Se le explicó al equipo que ya estan los ajustes para el 5to procedimiento de banderas 'OBTENER_FG_AMPLIADO',para que lo revisen y consuman desde el aplicativo "/>
        <s v="Se construyeron las distintas consultas para tratar el 6to procedimiento de banderas 'OBTENER_FG_ADMITIDO' de QUEJAS, para tratar los condicionales"/>
        <s v="Se trabajó con los ajustes del 6to procedimiento de banderas 'OBTENER_FG_ADMITIDO', con las consultas necesarias de las condicionantes previamente validadas, se compila sin errores "/>
        <s v="Se construyerón las distintas consultas para tratar el 7mo procedimiento de banderas 'OBTENER_FG_PREVENIDO' de QUEJAS, para tratar los condicionales"/>
        <s v="Se trabajó con los ajustes del 7mo procedimiento de banderas 'OBTENER_FG_PREVENIDO', con las consultas necesarias de las condicionantes previamente validadas, se compila sin errores "/>
        <s v="Se le explicó al equipo que ya estan los ajustes para el 7mo procedimiento de banderas 'OBTENER_FG_PREVENIDO',para que lo revisen y consuman desde el aplicativo "/>
        <s v="Se construyeron las distintas consultas para tratar el 8vo procedimiento de banderas 'OBTENER_FG_DESECHADO' de QUEJAS, para tratar los condicionales "/>
        <s v="Se trabajó con los ajustes del 8vo procedimiento de banderas 'OBTENER_FG_DESECHADO', con las consultas necesarias de las condicionantes previamente validadas, se compila sin errores "/>
        <s v="Se construyeron las distintas consultas para tratar el 4to procedimiento de banderas 'OBTENER_FGTIENEINSTRUCCION' de RESOLUCIONES, para tratar los condicionales "/>
        <s v="Se trabajó con los ajustes del 4to procedimiento de banderas 'OBTENER_FGTIENEINSTRUCCION', con las consultas necesarias de las condicionantes previamente validadas, se compila sin errores "/>
        <s v="Se le explicó al equipo que ya estan los ajustes para el 4to procedimiento de banderas 'OBTENER_FGTIENEINSTRUCCION',para que lo revisen y consuman desde el aplicativo "/>
        <s v="Se le proporciono bloque anónimo para ejecutar procedimientos de bandera a equipo para que puedan validar los cambios aplicados "/>
        <s v="Se detecto cambio en vista de 'BI.SISAI_VWM_SOLICITUDES_ESTADISTICAS' ya que el campo de 'ID_ULTIMA_RESPUESTA' ya cambio por 'ID_TIPO_RESPUESTA' "/>
        <s v="Se reconstruyeron las consultas del 1er procedimiento de 'OBTENER_TIPO_SOLICITUD' de SOLICITUDES "/>
        <s v="Se trabajó con los ajustes del 1er procedimiento de 'OBTENER_TIPO_SOLICITUD', con el cambio del campo actualizado en la vista materializada, se compila sin errores "/>
        <s v="Se validó el paquete-procedimiento 'OBTENER_TIPO_SOLICITUD' con el bloque anónimo correcto y se tuvo un resultado exitoso con la salida del cursor completo de nuevo "/>
        <s v="Se reconstruyeron las consultas del 2do procedimiento de 'OBTENER_DERECHO_DP' de SOLICITUDES "/>
        <s v="Se trabajó con los ajustes del 2do procedimiento de 'OBTENER_DERECHO_DP', con el cambio del campo actualizado en la vista materializada, se compila sin errores "/>
        <s v="Se validó el paquete-procedimiento 'OBTENER_DERECHO_DP' con el bloque anónimo correcto y se tuvo un resultado exitoso con la salida del cursor completo de nuevo "/>
        <s v="Se reconstruyeron las consultas del 3er procedimiento de 'OBTENER_MEDIO_ENTRADA' de SOLICITUDES "/>
        <s v="Se trabajó con los ajustes del 3er procedimiento de 'OBTENER_MEDIO_ENTRADA', con el cambio del campo actualizado en la vista materializada, se compila sin errores "/>
        <s v="Se validó el paquete-procedimiento 'OBTENER_MEDIO_ENTRADA' con el bloque anónimo correcto y se tuvo un resultado exitoso con la salida del cursor completo de nuevo "/>
        <s v="Se reconstruyeron las consultas del 4to procedimiento de 'OBTENER_MODALIDAD_ENTREGA' de SOLICITUDES "/>
        <s v="Se trabajó con los ajustes del 4to procedimiento de 'OBTENER_MODALIDAD_ENTREGA', con el cambio del campo actualizado en la vista materializada, se compila sin errores "/>
        <s v="Se validó el paquete-procedimiento 'OBTENER_MODALIDAD_ENTREGA' con el bloque anónimo correcto y se tuvo un resultado exitoso con la salida del cursor completo de nuevo "/>
        <s v="Se reconstruyeron las consultas del 5to procedimiento de 'OBTENER_RECIBO_NOTIFICACION' de SOLICITUDES "/>
        <s v="Se trabajó con los ajustes del 5to procedimiento de 'OBTENER_RECIBO_NOTIFICACION', con el cambio del campo actualizado en la vista materializada, se compila sin errores "/>
        <s v="Se validó el paquete-procedimiento 'OBTENER_RECIBO_NOTIFICACION' con el bloque anónimo correcto y se tuvo un resultado exitoso con la salida del cursor completo de nuevo "/>
        <s v="Se reconstruyeron las consultas del 6to procedimiento de 'OBTENER_FG_PRORROGA' de SOLICITUDES "/>
        <s v="Se trabajó con los ajustes del 6to procedimiento de 'OBTENER_FG_PRORROGA', con el cambio del campo actualizado en la vista materializada, se compila sin errores "/>
        <s v="Se validó el paquete-procedimiento 'OBTENER_FG_PRORROGA' con el bloque anónimo correcto y se tuvo un resultado exitoso con la salida del cursor completo de nuevo "/>
        <s v="Se reconstruyeron las consultas del 7mo procedimiento de 'OBTENER_FG_PREVENCION' de SOLICITUDES "/>
        <s v="Se validó el paquete-procedimiento 'OBTENER_FG_PREVENCION' con el bloque anónimo correcto y se tuvo un resultado exitoso con la salida del cursor completo de nuevo "/>
        <s v="Se reconstruyeron las consultas del 8vo procedimiento de 'OBTENER_FG_DISPONIBILIDAD' de SOLICITUDES "/>
        <s v="Se trabajó con los ajustes del 8vo procedimiento de 'OBTENER_FG_DISPONIBILIDAD', con el cambio del campo actualizado en la vista materializada, se compila sin errores "/>
        <s v="Se validó el paquete-procedimiento 'OBTENER_FG_DISPONIBILIDAD' con el bloque anónimo correcto y se tuvo un resultado exitoso con la salida del cursor completo de nuevo "/>
        <s v="Se reconstruyeron las consultas del 9no procedimiento de 'OBTENER_ULTIMA_RESPUESTA' de SOLICITUDES "/>
        <s v="Se trabajó con los ajustes del 9no procedimiento de 'OBTENER_ULTIMA_RESPUESTA', con el cambio del campo actualizado en la vista materializada, se compila sin errores "/>
        <s v="Se reconstruyeron las consultas del 10mo procedimiento de 'OBTENER_SOLICITUDESXDIA' de SOLICITUDES "/>
        <s v="Se trabajó con los ajustes del 10mo procedimiento de 'OBTENER_SOLICITUDESXDIA', con el cambio del campo actualizado en la vista materializada, se compila sin errores "/>
        <s v="Se validó el paquete-procedimiento 'OBTENER_SOLICITUDESXDIA' con el bloque anónimo correcto y se tuvo un resultado exitoso con la salida del cursor completo de nuevo "/>
        <s v="Se reconstruyeron las consultas del 11vo procedimiento de 'OBTENER_ESTATUS' de SOLICITUDES "/>
        <s v="Se trabajó con los ajustes del 11vo procedimiento de 'OBTENER_ESTATUS', con el cambio del campo actualizado en la vista materializada, se compila sin errores "/>
        <s v="Se validó el paquete-procedimiento 'OBTENER_ESTATUS' con el bloque anónimo correcto y se tuvo un resultado exitoso con la salida del cursor completo de nuevo"/>
        <s v="Se trabajó con los ajustes del 12vo procedimiento de 'OBTENER_TEMATICA', con el cambio del campo actualizado en la vista materializada, se compila sin errores "/>
        <s v="Se validó el paquete-procedimiento 'OBTENER_TEMATICA' con el bloque anónimo correcto y se tuvo un resultado exitoso con la salida del cursor completo de nuevo "/>
        <s v="Se reconstruyeron las consultas del 13vo procedimiento de 'OBTENER_FG_QUEJA' de SOLICITUDES "/>
        <s v="Se trabajó con los ajustes del 13vo procedimiento de 'OBTENER_FG_QUEJA', con el cambio del campo actualizado en la vista materializada, se compila sin errores "/>
        <s v="Se validó el paquete-procedimiento 'OBTENER_FG_QUEJA' con el bloque anónimo correcto y se tuvo un resultado exitoso con la salida del cursor completo de nuevo "/>
        <s v="Configuración inicial de los pipeline para los servicios existentes"/>
        <s v="Implementación junto con el equipo de infraestructura de los k8s"/>
        <s v="Continuación configuración de  los pipeline para los servicios que ya se tienen"/>
        <s v="Uso de herramientas para ajustes a pipelines"/>
        <s v="Analisis de gitlab y github para el uso de sub carpetas, resolviendose por medio de sparse checkout"/>
        <s v="Configuración del pipleline de CD para actualizarlo con el &quot;git push&quot;"/>
        <s v="Se configuró argocd para soportar el monitoreo de subcarpeta de github"/>
        <s v="Finalización de pipelines y configuración de dependencias para trabajar de forma nativa con k8s"/>
        <s v="1.1 Agregar pantalla de inicio que dirijan al SIPRON y a Pizarras de Avance de cada uno de los programas."/>
        <s v="1.2 Material de apoyo"/>
        <s v="1.3 Estructura de Programas"/>
        <s v="1.4 Nombre del rol"/>
        <s v="1.5 Cobertura"/>
        <s v="1.6 Funcionalidad de Pestaña &quot;Pizarras&quot; (Valorar visibilidad en 2023)- Inhabilitar en Rol Enlace y UA"/>
        <s v="1.7 Menu "/>
        <s v="1.8 Generar un nuevo menú denominado “blog”"/>
        <s v="2.4.1 Integrar mensajería instantánea (Alerta de mensajes no leídos)"/>
        <s v="2.4.2 esignación de programa por enlace (PROTAI-PRONADATOS, o en su caso, AMBOS)"/>
        <s v="3.1.1.Habilitar campos en Apartado &quot;Nuevo&quot; para la asignación de Líneas de Enlace a UA"/>
        <s v="3.2.1Integrar en los 3 roles, en todas las pantallas, el filtro de Numeración "/>
        <s v="3.2.2 Eliminar filtros de Estrategia"/>
        <s v="3.2.3 Agregar histórico de Estatus actividad"/>
        <s v="3.2.4 Pop-ups que describan la acción a realizar en Formulario de Alta de Actividades"/>
        <s v="3.2.5 Comentarios individuales en cada campo"/>
        <s v="3.2.6 Corregir incidencia en campo &quot;Presupuesto&quot;; no funciona la opción &quot;No Incluido&quot;"/>
        <s v="3.2.7 Agregar campo abierto donde se reporte la cantidad erogada para la actividad"/>
        <s v="3.2.8 Corregir incidencia de datos en los filtros; al aceptar la información, no se guarda correctamente lo seleccionado en combos de filtros."/>
        <s v="3.2.9 Agregar filtros de elección múltiple en los combos, es decir, que se puedan elegir uno o más opciones mediante casillas de verificación."/>
        <s v="3.2.10 Crear nuevo filtro &quot;Región&quot; (Sólo en el rol de Administrador)"/>
        <s v="3.2.11 Crear módulo o botón que permita descargar los reportes en datos abiertos (.csv) en todos los roles de usuarios"/>
        <s v="3.2.12 Modificar opciones de Estatus de &quot;Revisión Integrante y Validado Integrante&quot; a &quot;Revisión Enlace y Validado Enlace&quot;"/>
        <s v="3.2.13 Mensaje al SNT de Alerta de inicio y final de Proceso"/>
        <s v="3.2.14 Nueva columna de fecha y hora de carga; visualización de tabla inicial con actividades más recientes cargadas"/>
        <s v="3.2.15 Activar flechas para ordenar por abreviatura de integrante."/>
        <s v="3.2.16 Habilitar botón para que los Enlaces puedan asignar actividades a las UA una vez que éstas ya han sido creadas"/>
        <s v="3.3.1 Crear módulo o botón que permita descargar los reportes en datos abiertos (.csv) en todos los roles de usuario"/>
        <s v="3.3.2 Modificar opciones de Estatus de &quot;Revisión Integrante y Validado Integrante&quot; a &quot;Revisión Enlace y Validado Enlace&quot;"/>
        <s v="3.3.3 Mensaje al SNT de Alerta de inicio y final de Proceso"/>
        <s v="3.3.4 Nueva columna de fecha y hora de carga; visualización de tabla inicial con actividades más recientes cargadas"/>
        <s v="3.3.5 Agregar filtros de opción múltiple en los combos, es decir, que se puedan elegir más de una opción"/>
        <s v="3.3.6 Crear nuevo filtro &quot;Región&quot; solo para el rol de Administrador"/>
        <s v="3.3.7 Integrar en los 3 roles, en todas las pantallas, el filtro de Numeración para elegir actividad en el formulario"/>
        <s v="3.3.8 Pop-ups que describan la acción a realizar en Formulario de Seguimiento de Actividades"/>
        <s v="3.3.9 Habilitar botón para que los Enlaces puedan asignar actividades a las UA una vez que éstas ya han sido creadas "/>
        <s v="3.4.1 Funcionalidad total del apartado “Configuración de Procesos del SNT” en Rol de Enlace, así como la semaforización conforme al calendario configurado."/>
        <s v="3.4.2 Envío automático de correo electrónico para el inicio y fin de carga en los procesos correspondientes (Ruta de Implementación, Seguimiento y Formato ABC)"/>
        <s v="3.4.3 Mensaje de Alerta de inicio de Proceso"/>
        <s v="3.4.5 Funcionamiento de la apertura y cierre de Procesos en el Sistema para administrador"/>
        <s v="3.5.1 Crear módulo o botón que permita descargar los reportes en datos abiertos (.csv) en todos los roles de usuario"/>
        <s v="3.5.2 Modificar opciones de Estatus de &quot;Revisión Integrante y Validado Integrante&quot; a &quot;Revisión Enlace y Validado Enlace&quot;"/>
        <s v="3.5.3 Mensaje de Alerta de inicio de Proceso"/>
        <s v="3.5.4 Nueva columna de fecha y hora de carga; visualización de tabla inicial con actividades más recientes cargadas"/>
        <s v="3.5.5 Agregar filtros de opción múltiple en los combos, es decir, que se puedan elegir más de una opción"/>
        <s v="3.5.6 Crear nuevo filtro &quot;Región&quot;"/>
        <s v="Se verifico el ambiente de pruebas y se inició con la ejecución de las pruebas Internas del SPRINT 1  (1.1)"/>
        <s v="Ejecución y registro de incidentes de las pruebas Internas del SPRINT 1  (1.1)"/>
        <s v="Ejecución y resgistro de incidentes de las pruebas Internas del SPRINT 1  (1.2)"/>
        <s v="Ejecución y resgistro de incidentes de las pruebas Internas del SPRINT 1  (1.3)"/>
        <s v="Ejecución y registro de las pruebas Internas del SPRINT 1  (1.4)"/>
        <s v="Ejecución y registro de las pruebas Internas del SPRINT 1  (1.5)"/>
        <s v="Ejecución y registro de las pruebas Internas del SPRINT 1  (1.6)"/>
        <s v="Ejecución y registro de las pruebas Internas del SPRINT 1  (1.7)"/>
        <s v="Ejecución y registro de las pruebas Internas del SPRINT 1  (1.8)"/>
        <s v="Ejecución y registro de las pruebas Internas del SPRINT 2 (MODULO DE PIZARRAS 5)"/>
        <s v="Implementar adecuaciones al código fuente para atender hallazgos del módulo - SISAI"/>
        <s v="Implementar adecuaciones al código fuente para atender hallazgos del módulo - SIGEMI"/>
        <s v="Implementar adecuaciones al código fuente para atender hallazgos del módulo - Modulo de Usuarios"/>
        <s v="Implementar adecuaciones al código fuente para atender hallazgos del módulo - Modulo de Reportes"/>
        <s v="Implementar adecuaciones al código fuente para atender hallazgos del módulo - Modulo de Soportes"/>
        <s v="Analisis de Requerimiento STP"/>
        <s v="Modificar los objetos java y de base de datos para incluir la información de email de destinatario, mensaje enviado y nombre de los adjuntos"/>
        <s v="Ajustar los manejadores de persistencia tanto para registrar como para recuperar la formación nueva"/>
        <s v="Ajustar el motor de los acuses para imprimir la información nueva en caso de existir, tanto desde el módulo de consulta de acuses como en caliente al momento de ejecutar un proceso"/>
        <s v="Recuperar durante el proceso de Comunicado de cumplimiento al recurrente y enviarlo al motor de acuses"/>
        <s v="Recuperar durante el proceso de Comunicado de cumplimiento al sujeto obligado y enviarlo al motor de acuses"/>
        <s v="Realizar validación en proceso para informa al usuario que la notificación no se puede hacer ya que el medio de notificación estar fuera de la PNT"/>
        <s v="Integrar servicios para permitir visualizar el mensaje de Vista tal como le llega al recurrente."/>
        <s v="Desarrollar la consulta de base de datos para el reporte"/>
        <s v="Desarrollar el script de base de datos para dar los permisos de acceso al módulo de reportes al personal de la DGCR"/>
        <s v="Integrar el nuevo reporte la vista y el controlador del módulo de reportes"/>
        <s v="Integrar servicios para que las respuestas de los cumplimientos de los sujetos obligados se puedan consultar en una vista pública."/>
        <s v="Analizar RFC"/>
        <s v="Modificación de reporte de turno"/>
        <s v="Desarrollo de formato de Admisión"/>
        <s v="Desarrollo de formato de Prevención "/>
        <s v="Desarrollo de formato de Desechamiento "/>
        <s v="Desarrollo de reporte preparación de proyecto"/>
        <s v="Modificar Objetos Java (Servicios y persistencia) para obtención de datos de plantillas"/>
        <s v="Modificar tabla &quot;medi_tc_plant_acuerdo_conf&quot; para importación de plantillas "/>
        <s v="Modificar las tablas MEDI_TC_MENU_ROL y MEDI_TC_PANTALLA_ROL para permisos a los roles que podran descargar Plantilla Desechamiento y Preparacion Resolucion"/>
        <s v="Recuperar fechas de SISAI (ultima respuesta y limite respuesta) y agregar los dias requeridos para mostrar en plantilla desechamiento en el Service"/>
        <s v="Modificar Servicios para incorporar la plantilla Desechamiento en el Modulo de Generacion de Acuerdos "/>
        <s v="Modificar Servisios para la plantilla de Preparacion de Resolucion e incorporarla en el Modulo de Generación de Acuerdos "/>
        <s v="Se hace la carga del sitio por FTP"/>
        <s v="Se continua con la carga del siito por ftp"/>
        <s v="Se hace la carga de base ded atos y habilitar VH"/>
        <s v="Se hace el llenado de la OT"/>
        <s v="Se vizualiza el sitio y se hacen pruebas de funcionalidad"/>
        <s v="Se valida el funcionamiento de los servicios de registro de quejas para datos personales"/>
        <s v="Se valida el funcionamiento de los servicios de respuesta de solicitudes disponibilidad con costo y rpevencion"/>
        <s v="Se valida el funcionamiento de los servicios de descargar de adjuntos para quejas"/>
        <s v="Se cambian las direcciones url para los servicios que consume la app"/>
        <s v="Se valida el funcionamiento de los servicios de regtsitro de estadisticos en buscadores nacionales"/>
        <s v="Se valida el funcionamiento de los servicios de regtsitro de estadisticos en datos de perfil"/>
        <s v="Se valida el funcionamiento de los servicios de regtsitro de borrado de token movil y registro de token"/>
        <s v="Se realiza el apoyo para realizar un compilado y configuracion de google play store"/>
        <s v="Se realiza el apoyo para realizar un compilados,corregir incidencias registradas por tiendas"/>
        <s v="actualizacin avance de proyecto "/>
        <s v="actualizacion sitio servicio profecional "/>
        <s v="actualizacion micrositio Resoluciones  "/>
        <s v="actualizacion micrositio Buscadores"/>
        <s v="actualizacion pagina web"/>
        <s v="actualizacion servicios profecionales"/>
        <s v="actualizacion revista  PVYS"/>
        <s v="actualizacion micrositio criterios "/>
        <s v="actualizacion micrositio abramos mexico "/>
        <s v="actualizacion revista SyT"/>
        <s v="Actualizacion sitio cambio de control "/>
        <s v="actualizacion estatus de requerimientos "/>
        <s v="actualizacion inventarios de micrositios"/>
        <s v="Actualizacion micrositio criterios del SNT "/>
        <s v="actualizacion elemento de control "/>
        <s v="actualizacion version de SACP "/>
        <s v="actualizacion status de requerimiento "/>
        <s v="actualizacion inventario de micrositio "/>
        <s v="elementos de control interno asociados "/>
        <s v="actualizacion ambiente de control parametros "/>
        <s v="actualizacion AC principios basicos "/>
        <s v="actualizacion ambiente de control asociados "/>
        <s v="actualizacion administracion de riesgos parametros "/>
        <s v="actualizacion admin de riesgos principios basicos "/>
        <s v="actualizacion admin de riesgo elemento de control interno "/>
        <s v="actualizacion de actividad de control parametros "/>
        <s v="actualizacion de actividad de control principios basicos "/>
        <s v="actualizacion de actividad de control elementos de control internos "/>
        <s v="actualizacion de supervision y mejora continua parametros"/>
        <s v="actualizacion de supervision y mejora continua principios basicos"/>
        <s v="actualizacion de supervision y mejora continua de elementos de control interno "/>
        <s v="Ejecutar primer ciclo de pruebas SAST"/>
        <s v="Modificar código para atender vulnerabilidades del módulo  de Catálogos "/>
        <s v="Modificar código para atender vulnerabilidades del módulo  de Commons "/>
        <s v="Modificar código para atender vulnerabilidades del módulo  de Buscador Inteligente "/>
        <s v="Modificar código para atender vulnerabilidades del módulo  de Datos Abiertos "/>
        <s v="Modificar código para atender vulnerabilidades del módulo  de Catálogos Federados"/>
        <s v="Modificar código para atender vulnerabilidades del módulo  de Administración de avisos "/>
        <s v="Modificar código para atender vulnerabilidades del módulo  de Configuración "/>
        <s v="Modificar código para atender vulnerabilidades del módulo  de Usuarios "/>
        <s v="Implementar validaciones para la obligatoriedad de los campos en el registro de la queja "/>
        <s v="Funcionalidad para poner en la comunicación el nombre del adjunto que se subió en sicom"/>
        <s v="Implementar funcionalidad para agregar el flujo de audiencia"/>
        <s v="Funcionalidad para descargar  adjunto de la solicitud "/>
        <s v="Modificar pantalla de las notificacioens para que actualice los datos  cuado se realice el tracking "/>
        <s v="Modificar pantalla para implementar el ordenamiento de mayor a menor en las notificaciones y RIA's"/>
        <s v="Desarrollo para mostrar texto de las notificaciones que se genero en sicom"/>
        <s v="Desarrollo para que en el cierre de instrucción mostrar el texto que se manda desde sigemi "/>
        <s v="Implementar configuración para considerar Fonts de tipo Arial para los reportes de Jasper"/>
        <s v="Se terminan de validar los casos de prueba de testlink para iniciar las pruebas del módulo de usuarios"/>
        <s v="Se da inicio a las pruebas de módulo de usuarios"/>
        <s v="Se hace la detección de incidencias durante las pruebas de módulo de usuarios"/>
        <s v="Se hace la documentación de las incidencias encontradas durante las pruebas de módulo de usuarios"/>
        <s v="Se hace un nuevo seguimiento al dócumento de criterios de interpretación SNT"/>
        <s v="Se hace una validación de la nueva versión del micrositio de criterios de interpretación SNT"/>
        <s v="Se continua con la validación y revisión de los casos para las pruebasde la nueva versión de SNT"/>
        <s v="Se registran nuevos casos de la nueva versión de pruebas SNT"/>
        <s v="Se inician las pruebas del sistema de criterios de interpretación SNT"/>
        <s v="Se realiza la ejecución de las pruebas de sitio de Criterios de Interpretación SNT de la parte de Buscadores"/>
        <s v="Se termina la validación y se documentan las pruebas del sitio Criterios de interpretación SNT Buscadores"/>
        <s v="Se continua con la realización de las pruebas del sitio Criterios de Interpretación SNT Sitio"/>
        <s v="Se documentan las pruebas de criterios de interpretación SNT sitio"/>
        <s v="Se genera el documento de incidencias y se registran en testlink para su revisión con el equipo de desarrollo"/>
        <s v="Se realizo reunion con el equipo para revisiar el nuevo proyecto, ver como levantarlo"/>
        <s v="Se genero el componente para el expediente"/>
        <s v="Se genero el componente para la resolución"/>
        <s v="Se genero el componente para el proyectista"/>
        <s v="Se genero un servicio dummy para la carga de los catalogos"/>
        <s v="Se realiza un analisis para ver como esta implementado el manejo de las rutas dentro del nuevo sistema "/>
        <s v="Se hace uso del componente existente, para esto se analisa como esta la implementación del mismo para poder hacer uso de el"/>
        <s v="Se hace el llamado al servicio existente"/>
        <s v="Se genera la base del servicio para poder realizar el filtrado de expedientes"/>
        <s v="Se hace la implementación para enviar los parametros necesarios de acuerdo al rol que tenga el usuario en sesion"/>
        <s v="Se detecto cambio en vista de 'BI.IMPUGNACIONES_VWM_QUEJAS_ESTADISTICAS' ya que el campo de 'ID_STATUS' ya cambio por 'ID_ESTATUS'"/>
        <s v="Se reconstruyerón las consultas del 1er procedimiento de 'OBTENER_MEDIOREGISTRO' de QUEJAS"/>
        <s v="Se trabajó con los ajustes del 1er procedimiento de 'OBTENER_MEDIOREGISTRO', con el cambio del campo actualizado en la vista materializada, se compila sin errores"/>
        <s v="Se validó el paquete-procedimiento 'OBTENER_MEDIOREGISTRO' con el bloque anónimo correcto y se tuvo un resultado exitoso con la salida del cursor completo de nuevo"/>
        <s v="Se reconstruyerón las consultas del 2do procedimiento de 'OBTENER_MEDIONOTIFICACION' de QUEJAS"/>
        <s v="Se trabajó con los ajustes del 2do procedimiento de 'OBTENER_MEDIONOTIFICACION', con el cambio del campo actualizado en la vista materializada, se compila sin errores"/>
        <s v="Se validó el paquete-procedimiento 'OBTENER_MEDIONOTIFICACION' con el bloque anónimo correcto y se tuvo un resultado exitoso con la salida del cursor completo de nuevo"/>
        <s v="Se reconstruyerón las consultas del 3er procedimiento de 'OBTENER_TIPOSTATUS' de QUEJAS"/>
        <s v="Se trabajó con los ajustes del 3er procedimiento de 'OBTENER_TIPOSTATUS', con el cambio del campo actualizado en la vista materializada, se compila sin errores"/>
        <s v="Se validó el paquete-procedimiento 'OBTENER_TIPOSTATUS' con el bloque anónimo correcto y se tuvo un resultado exitoso con la salida del cursor completo de nuevo"/>
        <s v="Se reconstruyerón las consultas del 4to procedimiento de 'OBTENER_TIPOMEDIOIMPUGNACION' de QUEJAS"/>
        <s v="Se trabajó con los ajustes del 4to procedimiento de 'OBTENER_TIPOMEDIOIMPUGNACION', con el cambio del campo actualizado en la vista materializada, se compila sin errores"/>
        <s v="Se validó el paquete-procedimiento 'OBTENER_TIPOMEDIOIMPUGNACION' con el bloque anónimo correcto y se tuvo un resultado exitoso con la salida del cursor completo de nuevo"/>
        <s v="Se reconstruyerón las consultas del 5to procedimiento de 'OBTENER_FG_AMPLIADO' de QUEJAS"/>
        <s v="Se trabajó con los ajustes del 5to procedimiento de 'OBTENER_FG_AMPLIADO', con el cambio del campo actualizado en la vista materializada, se compila sin errores"/>
        <s v="Se validó el paquete-procedimiento 'OBTENER_FG_AMPLIADO' con el bloque anónimo correcto y se tuvo un resultado exitoso con la salida del cursor completo de nuevo"/>
        <s v="Se reconstruyerón las consultas del 6to procedimiento de 'OBTENER_FG_ADMITIDO' de QUEJAS"/>
        <s v="Se trabajó con los ajustes del 6to procedimiento de 'OBTENER_FG_ADMITIDO', con el cambio del campo actualizado en la vista materializada, se compila sin errores"/>
        <s v="Se validó el paquete-procedimiento 'OBTENER_FG_ADMITIDO' con el bloque anónimo correcto y se tuvo un resultado exitoso con la salida del cursor completo de nuevo"/>
        <s v="Se reconstruyerón las consultas del 7mo procedimiento de 'OBTENER_FG_PREVENIDO' de QUEJAS"/>
        <s v="Se trabajó con los ajustes del 7mo procedimiento de 'OBTENER_FG_PREVENIDO', con el cambio del campo actualizado en la vista materializada, se compila sin errores"/>
        <s v="Se validó el paquete-procedimiento 'OBTENER_FG_PREVENIDO' con el bloque anónimo correcto y se tuvo un resultado exitoso con la salida del cursor completo de nuevo"/>
        <s v="Se reconstruyerón las consultas del 8vo procedimiento de 'OBTENER_FG_DESECHADO' de QUEJAS"/>
        <s v="Se trabajó con los ajustes del 8vo procedimiento de 'OBTENER_FG_DESECHADO', con el cambio del campo actualizado en la vista materializada, se compila sin errores"/>
        <s v="Se validó el paquete-procedimiento 'OBTENER_FG_DESECHADO' con el bloque anónimo correcto y se tuvo un resultado exitoso con la salida del cursor completo de nuevo"/>
        <s v="Se reconstruyerón las consultas del 9no procedimiento de 'OBTENER_FECHAINTERPOSICION' de QUEJAS"/>
        <s v="Se trabajó con los ajustes del 9no procedimiento de 'OBTENER_FECHAINTERPOSICION', con el cambio del campo actualizado en la vista materializada, se compila sin errores"/>
        <s v="Se validó el paquete-procedimiento 'OBTENER_FECHAINTERPOSICION' con el bloque anónimo correcto y se tuvo un resultado exitoso con la salida del cursor completo de nuevo"/>
        <s v="Se reconstruyerón las consultas del 10mo procedimiento de 'OBTENER_FG_RESOLUCION' de QUEJAS"/>
        <s v="Se trabajó con los ajustes del 10mo procedimiento de 'OBTENER_FG_RESOLUCION', con el cambio del campo actualizado en la vista materializada, se compila sin errores"/>
        <s v="Se validó el paquete-procedimiento 'OBTENER_FG_RESOLUCION' con el bloque anónimo correcto y se tuvo un resultado exitoso con la salida del cursor completo de nuevo"/>
        <s v="Se revisó el archivo 'Querys_Estadisiticas_Totales Nuevo' proporcionado por Samuel"/>
        <s v="Se dio retroalimentación rapida a Samuel sobre cuantos querys se van a trabajar del archivo 'Querys_Estadisiticas_Totales Nuevo'"/>
        <s v="Se revisó el query 1 de 'TOTAL DE SOLICITUDES DE INFORMACIÓN' del archivo 'Querys_Estadisiticas_Totales Nuevo' de forma general, para verificar si no hay dudas a revisar con Samuel"/>
        <s v="Se revisó el query 1 de 'TOTAL DE RECURSOS DE REVISIÓN INGRESADOS ' del archivo 'Querys_Estadisiticas_Totales_Nuevo' de forma general, para verificar si no hay dudas a revisar con Samuel"/>
        <s v="Se revisó el query 2 de 'TOTAL DE RECURSOS DE REVISIÓN INGRESADOS ' del archivo 'Querys_Estadisiticas_Totales_Nuevo' de forma general, para verificar si no hay dudas a revisar con Samuel"/>
        <s v="Se revisó el query 3 de 'TOTAL DE RECURSOS DE REVISIÓN INGRESADOS ' del archivo 'Querys_Estadisiticas_Totales_Nuevo' de forma general, para verificar si no hay dudas a revisar con Samuel"/>
        <s v="Se revisó el query 1 de 'TOTAL DE RECURSOS DE REVISIÓN GESTIONADOS' del archivo 'Querys_Estadisiticas_Totales_Nuevo' de forma general, para verificar si no hay dudas a revisar con Samuel"/>
        <s v="Se revisó el query 1 de 'TOTAL DE OBLIGACIONES DE TRANSPARENCIA' del archivo 'Querys_Estadisiticas_Totales_Nuevo' de forma general, para verificar si no hay dudas a revisar con Samuel"/>
        <s v="Se revisó el query 1 de 'TOTAL CONSULTA EN LOS BUSCADORES' del archivo 'Querys_Estadisiticas_Totales_Nuevo' de forma general, para verificar si no hay dudas a revisar con Samuel"/>
        <s v="Se revisó el query 2 de 'TOTAL CONSULTA EN LOS BUSCADORES' del archivo 'Querys_Estadisiticas_Totales_Nuevo' de forma general, para verificar si no hay dudas a revisar con Samuel"/>
        <s v="Se revisó el query 3 de 'TOTAL CONSULTA EN LOS BUSCADORES' del archivo 'Querys_Estadisiticas_Totales_Nuevo' de forma general, para verificar si no hay dudas a revisar con Samuel"/>
        <s v="Se revisó el query 1 de 'TOTAL TEMAS BIG DATA DE LOS REGISTROS DE SOLICITUDES' del archivo 'Querys_Estadisiticas_Totales_Nuevo' de forma general, para verificar si no hay dudas a revisar con Samuel"/>
        <s v="Se revisó el query 1 de 'TEMAS BIG DATA' del archivo 'Querys_Estadisiticas_Totales_Nuevo' de forma general, para verificar si no hay dudas a revisar con Samuel"/>
        <s v="Se revisó el query 1 de 'TOTAL DE SOLICITUDES' del archivo 'Querys_Estadisiticas_Totales_Nuevo' de forma general, para verificar si no hay dudas a revisar con Samuel"/>
        <s v="Se comenzó a trabajar con el query 1 'TOTAL DE SOLICITUDES DE INFORMACIÓN' del archivo 'Querys_Estadisiticas_Totales_Nvo', validando información para analizar forma de mejorar lo"/>
        <s v="Se revisó el Query #1 del archivo IEDEPNT para la Funcionalidad 1 'TOTAL DE SOLICITUDES DE INFORMACIÓN', se hicieron las primeras ejecuciones con los parámetros para entender su funcionamiento"/>
        <s v="Se optimizó el Query #1 del archivo IEDEPNT (Funcionalidad 1) para tener una versión mejorada en tiempo de respuesta y costo"/>
        <s v="Se actualizó el documento 'Querys_Estadisiticas_Totales_Nuevo' con los comentarios sobre el Query 1 de la Funcionalidad 1"/>
        <s v="Se revisó el Query #1 del archivo IEDEPNT para la Funcionalidad 2 'TOTAL DE RECURSOS DE REVISIÓN INGRESADOS - Recursos de HCOM E INFOMEX', se hicieron las primeras ejecuciones con los parámetros para entender su funcionamiento"/>
        <s v="Se optimizó el Query #1 del archivo IEDEPNT (Funcionalidad 2) para tener una versión mejorada en tiempo de respuesta y costo"/>
        <s v="Se actualizó el documento 'Querys_Estadisiticas_Totales_Nuevo' con los comentarios sobre el Query 1 de la Funcionalidad 2"/>
        <s v="Se revisó el Query #2 del archivo IEDEPNT para la Funcionalidad 2 'TOTAL DE RECURSOS DE REVISIÓN INGRESADOS - Obtiene los recursos de revisión interpuestos', se hicieron las primeras ejecuciones con los parámetros para entender su funcionamiento"/>
        <s v="Se optimizó el Query #2 del archivo IEDEPNT (Funcionalidad 2) para tener una versión mejorada en tiempo de respuesta y costo"/>
        <s v="Se actualizó el documento 'Querys_Estadisiticas_Totales_Nuevo' con los comentarios sobre el Query 2 de la Funcionalidad 2"/>
        <s v="Se revisó el Query #3 del archivo IEDEPNT para la Funcionalidad 2 'TOTAL DE RECURSOS DE REVISIÓN INGRESADOS - Obtiene los recursos de revisión gestionados fuera', se hicieron las primeras ejecuciones con los parámetros para entender su funcionamiento"/>
        <s v="Se optimizó el Query #3 del archivo IEDEPNT (Funcionalidad 2) para tener una versión mejorada en tiempo de respuesta y costo"/>
        <s v="Se actualizó el documento 'Querys_Estadisiticas_Totales_Nuevo' con los comentarios sobre el Query 3 de la Funcionalidad 2"/>
        <s v="Se revisó el Query #1 del archivo IEDEPNT para la Funcionalidad 3 'TOTAL DE RECURSOS DE REVISIÓN GESTIONADOS', se hicieron las primeras ejecuciones con los parámetros para entender su funcionamiento"/>
        <s v="Se optimizó el Query #1 del archivo IEDEPNT (Funcionalidad 3) para tener una versión mejorada en tiempo de respuesta y costo"/>
        <s v="Se actualizó el documento 'Querys_Estadisiticas_Totales_Nuevo' con los comentarios sobre el Query 1 de la Funcionalidad 3"/>
        <s v="Se revisó el Query #1 del archivo IEDEPNT para la Funcionalidad 4 'TOTAL DE OBLIGACIONES DE TRANSPARENCIA', se hicieron las primeras ejecuciones con los parámetros para entender su funcionamiento"/>
        <s v="Se optimizó el Query #1 del archivo IEDEPNT (Funcionalidad 4) para tener una versión mejorada en tiempo de respuesta y costo"/>
        <s v="Se actualizó el documento 'Querys_Estadisiticas_Totales_Nuevo' con los comentarios sobre el Query 1 de la Funcionalidad 4"/>
        <s v="Se revisó el Query #1 del archivo IEDEPNT para la Funcionalidad 5 'TOTAL CONSULTA EN LOS BUSCADORES - Buscador Nacional', se hicieron las primeras ejecuciones con los parámetros para entender su funcionamiento"/>
        <s v="Se optimizó el Query #1 del archivo IEDEPNT (Funcionalidad 5) para tener una versión mejorada en tiempo de respuesta y costo"/>
        <s v="Se actualizó el documento 'Querys_Estadisiticas_Totales_Nuevo' con los comentarios sobre el Query 1 de la Funcionalidad 5"/>
        <s v="Se revisó el Query #2 del archivo IEDEPNT para la Funcionalidad 5 'TOTAL CONSULTA EN LOS BUSCADORES - Buscadores temáticos', se hicieron las primeras ejecuciones con los parámetros para entender su funcionamiento"/>
        <s v="Se actualizó el documento 'Querys_Estadisiticas_Totales_Nuevo' con los comentarios sobre el Query 2 de la Funcionalidad 5"/>
        <s v="Se revisó el Query #3 del archivo IEDEPNT para la Funcionalidad 5 'TOTAL CONSULTA EN LOS BUSCADORES - Buscador de Género', se hicieron las primeras ejecuciones con los parámetros para entender su funcionamiento"/>
        <s v="Se optimizó el Query #3 del archivo IEDEPNT (Funcionalidad 5) para tener una versión mejorada en tiempo de respuesta y costo"/>
        <s v="Se creó el nuevo procedimiento 'FUNC5_TOTCONSBUSCADODGENEROQ3' en el paquete 'PACK_SISAI3', con la funcionalidad del Query #2"/>
        <s v="Se verificó campo por campo del query 3 de la Funcionalidad 5, validando el tipo de dato y longitud exactos"/>
        <s v="Se declararon las variables en bloque anónimo con validación exacta de tamaños de tipos de datos, del query 3 de la Funcionalidad 5"/>
        <s v="Se validó el paquete-procedimiento de la funcionalidad 5 - Query # 3 con el bloque anónimo correcto y se tuvo un resultado exitoso con la salida del cursor completo "/>
        <s v="Se actualizó el documento 'Querys_Estadisiticas_Totales_Nuevo' con los comentarios sobre el Query 3 de la Funcionalidad 5"/>
        <s v="Se revisó el Query #1 del archivo IEDEPNT para la Funcionalidad 6 'TOTAL TEMAS BIG DATA DE LOS REGISTROS DE SOLICITUDES', se hicieron las primeras ejecuciones con los parámetros para entender su funcionamiento"/>
        <s v="Se optimizó el Query #1 del archivo IEDEPNT (Funcionalidad 6) para tener una versión mejorada en tiempo de respuesta y costo"/>
        <s v="Se creó el nuevo procedimiento 'FUNC6_TOTTEMBIGDATAREGSOLQ1' en el paquete 'PACK_SISAI3', con la funcionalidad del Query #1"/>
        <s v="Se actualizó el documento 'Querys_Estadisiticas_Totales_Nuevo' con los comentarios sobre el Query 1 de la Funcionalidad 6"/>
        <s v="Se revisó el Query #1 del archivo IEDEPNT para la Funcionalidad 7 'TEMAS BIG DATA', se hicieron las primeras ejecuciones con los parámetros para entender su funcionamiento"/>
        <s v="Se optimizó el Query #1 del archivo IEDEPNT (Funcionalidad 7) para tener una versión mejorada en tiempo de respuesta y costo"/>
        <s v="Se creó el nuevo procedimiento 'FUNC7_TEMBIGDATAQ1' en el paquete 'PACK_SISAI3', con la funcionalidad del Query #1"/>
        <s v="Se actualizó el documento 'Querys_Estadisiticas_Totales_Nuevo' con los comentarios sobre el Query 1 de la Funcionalidad 7"/>
        <s v="Se revisó el Query #1 del archivo IEDEPNT para la Funcionalidad 8 'TOTAL DE SOLICITUDES', se hicieron las primeras ejecuciones con los parámetros para entender su funcionamiento"/>
        <s v="Se optimizó el Query #1 del archivo IEDEPNT (Funcionalidad 8) para tener una versión mejorada en tiempo de respuesta y costo"/>
        <s v="Se creó el nuevo procedimiento 'FUNC8_TOTSOLICITUDESQ1' en el paquete 'PACK_SISAI3', con la funcionalidad del Query #1"/>
        <s v="Se actualizó el documento 'Querys_Estadisiticas_Totales_Nuevo' con los comentarios sobre el Query 1 de la Funcionalidad 8"/>
        <s v="Se revalidaron de forma general las consultas de los queris mejorados para determinar si aún había algo mas a mejorar"/>
        <s v="Se actualizaron algunos de los procedimientos con las ultimas mejoras detectadas"/>
        <s v="Presentación avance semanal del 27 de noviembre al 01 de diciembre 2023"/>
        <s v="Presentación avance semanal del 04 al 08 de diciembre 2023"/>
        <s v="Presentación avance semanal del 11 al 15 de diciembre 2023"/>
        <s v="Presentación avance semanal del 18 al 22 de diciembre 2026"/>
        <s v="Ejecución y registro de incidentes de las pruebas Internas del SPRINT 5"/>
        <s v="Ejecución y registro de incidentes de las pruebas Internas del SPRINT 3"/>
        <s v="Ejecución y resgistro de incidentes de las pruebas Internas del SPRINT 4"/>
        <s v="3.5.7 Activar flechas para ordenar por abreviatura de integrante"/>
        <s v="3.5.8 Agregar un cuadro que lleve el conteo de las altas, bajas o cambios que se van realizando por el integrante, mismo que pueda ser visualizado tanto por este como por el administrador, uno general y uno individual."/>
        <s v="3.5.9 Contar con un control que permita habilitar o deshabilitar el formato ABC"/>
        <s v="3.5.10 Habilitar botón para que los Enlaces puedan asignar actividades a las UA una vez que éstas ya han sido creadas "/>
        <s v="Informe General"/>
        <s v="Tablero"/>
        <s v="Cobertura General"/>
        <s v="Cobertura del Programa por LA"/>
        <s v="Cobertura de Actividades por Eje"/>
        <s v="Cobertura de Acividades"/>
        <s v="Cobertura del programa por Region"/>
        <s v="Estatus Cumplimiento"/>
        <s v="Evidencias"/>
        <s v="Actividades sin avance"/>
        <s v="Avance por Integrante"/>
        <s v="Cuadro Comparativo"/>
        <s v="2.5.1 Cambiar nombre de Integrante por Abreviatura de la Entidad Federativa"/>
        <s v="3.4.4 Activar flechas para ordenar por abreviatura de integrante"/>
        <s v="Análisis de configmap"/>
        <s v="Uso de  Pods para los ConfigMaps como variables de entorno, argumentos de la linea de comandos o como ficheros de configuración en el volumen"/>
        <s v="Desacoplar la configuración del entorno de la imagen de contenedor, para faciltar su portablidad."/>
        <s v="Almacenamiento de  la configuración de otros objetos utilizados"/>
        <s v="Configuración de  claves con un valor simple y otras claves donde el valor tiene un formato de un fragmento de configuración."/>
        <s v=" Gestión del componente máster y de los servicios necesarios para ejecutar pods"/>
        <s v="Análisis de cambio de yaml con configmap"/>
        <s v="Serialización de datos para archivos de configuración en las herramientas y servicios de automatización  DevOps e infraestructura código (IaC)"/>
        <s v="Configuración del explorador para ver archivos YAML"/>
        <s v="Análisis de integración de los servicios con los configmaps"/>
        <s v="Exportar métricas y transacciones y analizar los datos exportados para obtener información significativa"/>
        <s v="Configuración de parámetros mediante un ConfigMap"/>
        <s v="⁠Transformación de archivos yaml a configmap"/>
        <s v="Recopilar varios archivos del entorno de Directory Server existente como preparación para la migración del entorno"/>
        <s v="Recopilar los archivos de esquema actualizados y proporcionarlos al contenedor verify-directory-seed durante la migración."/>
        <s v="Convertir los datos del entorno existente en un formato que pueda utilizar un contenedor verify-directory-server "/>
        <s v="Inicio del contenedor de semilla, proporcionando el archivo de configuración YAML al contenedor"/>
        <s v="Modificación de archivos yaml"/>
        <s v="Configuraión del fichero yml yaml para permtir al usuario tener una mejor lectura de los datos y escritura. "/>
        <s v="Transformacón de  traducciones de SQL con archivos YAML de configuración"/>
        <s v="Subir los archivos YAML de configuración al directorio raíz del bucket de Cloud Storage que contiene los archivos de entrada de traducción de SQL"/>
        <s v="Comparación de los efectos de un YAML de configuración en la traducción de  consultsa en SQL de BigQuery"/>
        <s v=""/>
        <s v="Corrección en constancias" u="1"/>
        <m u="1"/>
        <s v="Instalación Campus Civil para ejecutar instalador" u="1"/>
        <s v="Buenas tardes Moisés, tu petición fue atendida, favor de validar     I        I        I    Sujeto obligado  guiddepartamento    I    Fideicomiso para el Desarrollo Energético Sustentable del Estado de Puebla 20200726-2123-4800-8710-99d117329ba3    I    Agencia de Energía del Estado de Puebla 20200726-2133-0100-8880-7413bdc15f27    I        I        I    Saludos     I        I    Marina Adame Velasco    I        I    Notificación de seguimiento  [  MA2807202005 ]      I        I    Aplicación:                  INFOMEX PUEBLA     I    Tipo de Soporte:         Consulta de datos        I    Estatus:                               Concluido.    I    " u="1"/>
        <s v="Unificación de datos etiquetados" u="1"/>
        <s v="Definición y evaluación de herramienta automatizada para etiquetado" u="1"/>
        <s v="Notificación de seguimiento  [  MA2701202122 ]      I         I         I    Estimado(a):                     Víctor Manuel Díaz Vázquez    I         I         I    Le informamos que su ticket correspondiente a:    I                       I        I    De conformidad con lo dispuesto en el numeral 5 del Procedimiento para alta, baja o modificación de sujetos obligados en el padrón de sujetos obligados en el ámbito federal, en términos de la Ley General de Transparencia y Acceso a la Información Pública (Anexo 1 del oficio INAI/CAI/0447/2016), me permito solicitar, de la manera más atenta, se proceda a generar el alta del Centro Federal de Conciliación y Registro Laboral en los siguientes sistemas…    I        I         I    Aplicación:                  HCOM     I    Tipo de Soporte:         ALTA DEPENDENCIA       I    " u="1"/>
        <s v="Estimada Alejandra, adjunto reporte, favor de validar    I        I    SALUDOS    I        I    MARINA     I        I        I    Notificación de seguimiento  [  MA2104202102 ]      I         I         I    Aplicación:                  INFOMEX BCN    I    " u="1"/>
        <s v="Implementar adecuaciones al código fuente para atender hallazgos del módulo - Configuracion" u="1"/>
        <s v="Se aplica testado de datos al folio: 3670000007120,  36700000013720, 3670000036120 ,  36700000036520 , 3670000038620 , 36700000038820 y 3670000040320 " u="1"/>
        <s v="Evaluación y diseño para grafo de conocimiento particular - jerarquiías, sinónimos, etc." u="1"/>
        <s v="SOLICITUDES REGISTRADAS POR INFOMEX Y PNT EN PERIODO DE TIEMPO SOLICITADO " u="1"/>
        <s v="Funcionalidad de votos particulares/disidentes. " u="1"/>
        <s v="Transferencia de herramientas al servidor de destino" u="1"/>
        <s v="Se apoyo en la elaboración de notas aclaratorias sobre las problemáticas en la gestión de información para la migración al SISAI de las entidades de Ciudad de México y Estado de México" u="1"/>
        <s v="Lista de datos catalogo integrante (Administrador) " u="1"/>
        <s v="Se aplica el testado de datos de la solicitud: 0002700021020" u="1"/>
        <s v="Se orienta usuario para exportar solicitud: 0673800005120." u="1"/>
        <s v="Notificación de seguimiento  [  MA2403202106 ]      I         I         I    Estimado(a):                     Martha Rubí Zaragoza Mora    I         I         I    Le informamos que su ticket correspondiente a:    I                       I    El presente correo es para pedir su amable apoyo para el ajuste de términos de los folios debido al primer periodo vacacional del año 2021 que envió el sujeto obligado con su acuerdo y no se configuro el calendario antes de la llegada de los siguientes…    I        I         I    Aplicación:                  INFOMEX NUEVO LEÓN    I    Tipo de Soporte:         AJUSTE DE PLAZO        I    " u="1"/>
        <s v="Se  testan los datos del folio: 0064101903521" u="1"/>
        <s v="Se  testan los datos del folio: 0000700211621" u="1"/>
        <s v="Creación de los Request para las respuestas de todas las secciones" u="1"/>
        <s v="Buenas tardes Memo, tu petición fue atendida, favor de validar     I        I    Saludos     I        I    Marina Adame Velasco    I        I    Notificación de seguimiento  [  MA1902202009 ]      I        I    Aplicación:                  INFOMEX BCN    I    Tipo de Soporte:         REPORTE DE SOLICITUDES    I    Estatus:                               Concluido.    I        I        I    " u="1"/>
        <s v="Se retoma la tarea para la automatización del proceso de generación de registros Inserts del Excel (SISAI_catalogos_TareaXEdos.xlsx)" u="1"/>
        <s v="Se descarga el proecto nuevo de quejas y se realizan las conexiones y rpuebas necesarias para empezar el desarrllo del sistema. Se idetifican los servicios y las tablas necesarias dentro del servicio de guardado de queja" u="1"/>
        <s v="Se aplica eliminación de formato de pago: 0064101859721" u="1"/>
        <s v="Se sustituye archivo del folio 0064100571721" u="1"/>
        <s v="Buenos días Berenice, tu petición fue atendida, la eliminación de acuses esta en proceso, favor de validar     I        I    Saludos     I        I    Marina Adame Velasco    I        I    Notificación de seguimiento  [  MA1610202003 ]      I        I    Aplicación:                  INFOMEX OAXACA    I    Tipo de Soporte:         AJUSTE DE PLAZOS        I    Estatus:                               Concluido.    I        I    " u="1"/>
        <s v="Permisos administrativos a Erwin Bautista" u="1"/>
        <s v="Se testan los datos  del folio: 0064101367421" u="1"/>
        <s v="    I    Notificación de seguimiento  [  MA2210202006 ]      I         I         I    Estimado(a):                     Alondra Jiménez Hernández    I         I    Le informamos que su ticket correspondiente a:    I                       I        I    Anexo el registro actualizado del certificado del nuevo Titular de la Unidad de Transparencia de AGROASEMEX para que se habilite su acceso en la Herramienta de Comunicación.     I        I         I    Aplicación:                  HCOM    I    Tipo de Soporte:         CAMBIO DE TUT       I    Observaciones:                I         I    Su petición fue atendida    I         I        I         I    " u="1"/>
        <s v="Notificación de seguimiento  [  MA2601202202 ]    I        I    Estimado(a):                Pedro Esquivel Martínez    I        I         I     Le informamos que su ticket correspondiente a:    I                       I    por este medio Anexo el registro actualizado del certificado del Titular de la Unidad de Enlace de la “Instituto Nacional de Electricidad y Energías Limpias”. Lo Anterior a fin de que sus accesos sean habilitados en los otros sistemas que administra este Instituto (HCOM).  CAMBIO DE  TITULAR, en cuanto se reciba la atención en HCOM se realizará la actualización de los demás sistemas correspondientes.    I        I         I    Aplicación:                  HCOM    I    Tipo de Soporte:         CAMBIO TUT       I    " u="1"/>
        <s v="Se crea un objeto generico que servira de base para exporar información de las solicitudes a excel" u="1"/>
        <s v="Notificación de seguimiento  [  MA0203202201 ]    I        I    Estimado(a):                Edgar Michel Loaeza Martínez    I        I         I     Le informamos que su ticket correspondiente a:    I                       I    Por medio del presente solicito su valioso apoyo a efecto de realizar el cambio de Titular de la Unidad de Transparencia del Instituto Politécnico Nacional.    I         I    Para tal efecto, anexo al presente el certificado, y nombramiento, lo anterior, a fin de que sus accesos sean habilitados en los sistemas que administra este Instituto (HCOM).      I        I        I         I    Aplicación:                  HCOM              I    Tipo de Soporte:         CAMBIO DE TUT       I    Observaciones:                I         I    Su petición fue atendida    I         I         I    " u="1"/>
        <s v="Buenas tardes Martha, tu petición fue atendida, favor de validar     I        I    Saludos     I        I    Marina Adame Velasco    I        I    Notificación de seguimiento  [  MA0406202010 ]      I        I    Aplicación:                  INFOMEX NUEVO LEÓN    I    Tipo de Soporte:         AJUSTE DE PLAZOS       I    Estatus:                               Concluido.    I         I    " u="1"/>
        <s v="Buenas tardes Martha, tu petición fue atendida, favor de validar     I        I    Saludos     I        I    Marina Adame Velasco    I        I    Notificación de seguimiento  [  MA0806202001 ]      I        I    Aplicación:                  INFOMEX NUEVO LEÓN    I    Tipo de Soporte:         AJUSTE DE PLAZOS       I    Estatus:                               Concluido.    I         I    " u="1"/>
        <s v="Generación de formato solicitud  para servidores aplicativo " u="1"/>
        <s v="Se aplica eliminación de formato de pago: 22103000107419." u="1"/>
        <s v="Maquetación y funcionalida de busqueda y muestra de resultados de pantalla" u="1"/>
        <s v="Realización de búsqueda para fallos posibles sobre disponibilidad de información SISAI" u="1"/>
        <s v="Se elimina la respuesta del folio: 2210300026121" u="1"/>
        <s v="Se generó certificado para usuario de dependencia PES" u="1"/>
        <s v="Desarrollo de la funcionalidad para implementar la capacidad para crear referencias bancarias por sector en la administración de pagos" u="1"/>
        <s v="Se recupera el acuse de la solicitud: 0064100704120." u="1"/>
        <s v="Estimado Guillermo, tu petición fue atendida, adjunto reportes solicitados,  favor de validar     I        I    Saludos     I        I    Marina Adame Velasco    I        I    Notificación de seguimiento  [  MA2206202003 ]      I        I    Aplicación:                  INFOMEX BCN    I    Tipo de Soporte:         REPORTES       I    Estatus:                               Concluido.    I    " u="1"/>
        <s v="Notificación de seguimiento  [  MA2401202102 ]    I        I    Estimado(a):                Pedro Esquivel Martínez    I        I         I     Le informamos que su ticket correspondiente a:    I                       I    por este medio Anexo el registro actualizado del certificado del Titular de la Unidad de Enlace de la “Consejo Nacional para Prevenir la DiscriminaciónLo Anterior a fin de que sus accesos sean habilitados en los otros sistemas que administra este Instituto (HCOM).  CAMBIO DE  TITULAR, en cuanto se reciba la atención en HCOM se realizará la actualización de los demás sistemas correspondientes.    I        I         I    Aplicación:                  HCOM    I    Tipo de Soporte:         CAMBIO DE TUT       I    Observaciones:                I         I    Su petición fue atendida    I         I         I    " u="1"/>
        <s v="Actualización de procesos, plantillas, reportes de portafolios, programas y proyectos de la PMO" u="1"/>
        <s v="Se aplica el cambio de modalidad a la solicitud: 0064100117020 " u="1"/>
        <s v="Se  testan los datos del folio: 0064101800521" u="1"/>
        <s v="Se aplica testado de datos al folio:   0673800358020" u="1"/>
        <s v="Reunión para revisión del componente tabla historial y modal, asignación de 2 nuevos componentes, y correccion de detalles en tabla historial" u="1"/>
        <s v="Notificación de seguimiento  [  MA1703202107 ]      I         I         I    Estimado(a):                     HUGO GOVI    I         I         I    Le informamos que su ticket correspondiente a:    I                       I    GENERA SCRIPT CON DATOS ESTADISTICOS    I         I    Aplicación:                  INFOMEX CHIAPAS    I    Tipo de Soporte:         SCRIPT       I    " u="1"/>
        <s v="Filtro integrante en vista previa del lado del administrador servicio java" u="1"/>
        <s v="Gneración de etiquetado para tabla SIPOT" u="1"/>
        <s v="Pruebas Quintana Roo" u="1"/>
        <s v="Buenas tardes Francisco, te informo que el respaldo de su base de datos de esta semana ya está en el repositorio…       I        I        I    http://documentos.inai.org.mx/tmp/infomexNL_backup_2020-06-01_0800.bak    I        I        I    NOTA: El respaldo estará disponible una semana.    I        I    " u="1"/>
        <s v="Buenas tardes Francisco, te informo que el respaldo de su base de datos de esta semana ya está en el repositorio…       I        I        I    http://documentos.inai.org.mx/tmp/infomexNL_backup_2020-06-08_0800.bak    I        I        I    NOTA: El respaldo estará disponible una semana.    I        I    " u="1"/>
        <s v="Buenas tardes Francisco, te informo que el respaldo de su base de datos de esta semana ya está en el repositorio…       I        I        I    http://documentos.inai.org.mx/tmp/infomexNL_backup_2020-06-15_0800.bak    I        I        I    NOTA: El respaldo estará disponible una semana.    I        I    " u="1"/>
        <s v="Buenas tardes Francisco, te informo que el respaldo de su base de datos de esta semana ya está en el repositorio…       I        I        I    http://documentos.inai.org.mx/tmp/infomexNL_backup_2020-06-22_0800.bak    I        I        I    NOTA: El respaldo estará disponible una semana.    I        I    " u="1"/>
        <s v="Se cambia el tipo de solicitud del folio: 0064101735821" u="1"/>
        <s v="Se cambió el nombre de la dependecia Fideicomiso a Favor de los Hijos del Personal Adscrito al Estado Mayor Presidencial" u="1"/>
        <s v="Notificación de seguimiento [ MA1501202001 ]     I          I          I     Estimado(a): Lizbeth Adriana Cabrera Ortega    I          I     Le informamos que su ticket correspondiente a:    I          I     Modificar la fecha de interposición al día hábil siguiente    I         I     DEBE DECIR 14 DE ENERO    I         I          I     Aplicación: SIGEMI    I     Tipo de Soporte: Actualización de fechas" u="1"/>
        <s v="Notificación de seguimiento [ MA1501202002 ]     I          I          I     Estimado(a): Lizbeth Adriana Cabrera Ortega    I          I     Le informamos que su ticket correspondiente a:    I          I     Modificar la fecha de interposición al día hábil siguiente    I         I     DEBE DECIR 14 DE ENERO    I         I          I     Aplicación: SIGEMI    I     Tipo de Soporte: Actualización de fechas" u="1"/>
        <s v="Se testan los datos  del folio: 0064101338421" u="1"/>
        <s v="Analisis, diseño, desarrollo y pruebas unitarias del servicio de interoperabilidad con sigemi-sicom para la descarga de documentos" u="1"/>
        <s v="Entrenamiento de modelo universal encoder" u="1"/>
        <s v="Notificación de seguimiento  [  MA2008202001 ]      I         I         I    Estimado(a):                     Edgar Michel Loaeza Martínez    I         I    Le informamos que su ticket correspondiente a:    I                       I    dar de alta el certificado que se adjunta, sujeto obligado de la Secretaria de Economía.    I    " u="1"/>
        <s v="Generación de ambiente de desarrollo, e instalación de Base de datos local" u="1"/>
        <s v="Se aplica eliminación de última respuesta: 0002700042520." u="1"/>
        <s v="Notificación de seguimiento  [  MA1301202101 ]      I         I         I    Estimado(a):                     Martha Rubí Zaragoza Mora    I         I         I    Le informamos que su ticket correspondiente a:    I                       I    ajuste de términos del folio debido al Acuerdo que enviaron los siguientes Sujetos Obligados a la COTAI el 2do periodo vacacional que corresponde del 21 de diciembre de 2020 al 05 de enero 2021; debiéndose considerar los días comprendidos como inhábiles    I         I    Aplicación:                  INFOMEX NL    I    Tipo de Soporte:         AJUSTE DE PLAZOS       I    " u="1"/>
        <s v="Generar certificado para SOs obligados COLMICH" u="1"/>
        <s v="Script migración base de datos Campus Público" u="1"/>
        <s v="Se testan los datos de la solicitud con folio: 0064101515821" u="1"/>
        <s v="    I    Buenas tardes Berenice, tu petición fue atendida, favor de validar     I        I    Saludos     I        I    Marina Adame Velasco    I        I    Notificación de seguimiento  [  MA2110202005 ]      I        I    Aplicación:                  INFOMEX OAXACA    I    Tipo de Soporte:         AJUSTE DE PLAZOS        I    Estatus:                               Concluido.    I        I    " u="1"/>
        <s v="    I    Buenas tardes Berenice, tu petición fue atendida, favor de validar     I        I    Saludos     I        I    Marina Adame Velasco    I        I    Notificación de seguimiento  [  MA2509202004 ]      I        I    Aplicación:                  INFOMEX OAXACA    I    Tipo de Soporte:         AJUSTE DE PLAZOS        I    Estatus:                               Concluido.    I        I    " u="1"/>
        <s v="Se aplica testado de datos al folio: 0064100180020." u="1"/>
        <s v="Notificación de seguimiento  [  MA2702202004 ]      I         I         I    Estimado(a):                     Luis Javier Mendoza Rueda    I         I    Le informamos que su ticket correspondiente a:    I                       I    Solicito su apoyo para realizar cambio de sujeto obligado en el INFOCDMX/RR.IP.0956/2020, con número de solicitud 0106500005820:     I        I    Error: Congreso de la Ciudad de México    I        I    Corrección: SECRETARÍA DE MOVILIDAD.    I        I         I    Aplicación:                  SIGEMI    I    Tipo de Soporte:         Corrección de Sujeto Obligado       I    Observaciones:                I         I    Su petición fue atendida    I         I         I                Favor de validar.    I         I    Estatus:                               Concluido.    I    " u="1"/>
        <s v="Análisis de incidencia en solicitudes generadas con folio incorrecto, depencia CJF clave 3200 y reinició de consecutivo" u="1"/>
        <s v="Estimado Moisés, adjunto la consulta y el script que realice con base a la tabla enviada, tomando como referencia el tipo de solicitud, género y personalidad jurídica, en las solicitudes del año 2020    I        I    Favor de validar     I        I    Saludos     I        I    Marina Adame     I    " u="1"/>
        <s v="Se aplica eliminación de respuesta al folio: 0000900467219." u="1"/>
        <s v="Creación de los filtros para la búsqueda de solicitudes" u="1"/>
        <s v="CAMBIOS DE FECHAS" u="1"/>
        <s v="Se sustituye archivo adjunto del folio: 0064100456021" u="1"/>
        <s v="Se apoya al usuario con solicitud Manual 6440000006820 (UNAM)" u="1"/>
        <s v="Estimacion backend pizarras 4" u="1"/>
        <s v="Se aplica eliminación de respuesta al folio: 0912000001620." u="1"/>
        <s v="Se contunuo con l maquetacion de el fimrulario y con la funcionalidad de los calendarios" u="1"/>
        <s v="Se testan los datos de la solicitud con folio: 0064101526821" u="1"/>
        <s v="Se testan los datos y sustituye archivo adjunto  del folio: 1816400161721 " u="1"/>
        <s v="Se  testan los datos del folio: 0064101905521" u="1"/>
        <s v="Se  testan los datos del folio: 0064101915521" u="1"/>
        <s v="Análisis de incidencia en solicitudes generadas con folio incorrecto, depencia INEGI clave 40100 y reinició de consecutivo" u="1"/>
        <s v="Se aplica eliminación de ultima respuesta al folio: 0001100056220." u="1"/>
        <s v="Notificación de seguimiento  [  MA1703202001 ]      I         I         I    Estimado(a):                     Lizbeth Adriana Cabrera Ortega    I         I    Le informamos que su ticket correspondiente a:    I                       I    DEBE DECIR 13 DE MARZO    I         I    Aplicación:                  SIGEMI    I    Tipo de Soporte:         CAMBIO DE FECHA      I    Observaciones:                I         I    Su petición fue atendida    I        I    " u="1"/>
        <s v="Se aplica testado de datos al folio:  0673800359120" u="1"/>
        <s v="Se cambia el tipo de solicitud del folio: 04111000009321" u="1"/>
        <s v="Adecuación request y creación de métodos para envió del tipo de formato seleccionado en datos abiertos" u="1"/>
        <s v="Generación de la orden de servicio" u="1"/>
        <s v="Se aplica testado de datos al folio: 0064103291020" u="1"/>
        <s v="Se envía seguimiento de la solicitud del folio: 1611100015419." u="1"/>
        <s v="Respaldar curso PNT-Secretaría de Acceso 1 de la plataforma anterior y restaurar en plataforma actual " u="1"/>
        <s v="Respaldar curso PNT-Secretaría de Acceso 2 de la plataforma anterior y restaurar en plataforma actual " u="1"/>
        <s v="Respaldar curso PNT-Secretaría de Acceso 3 de la plataforma anterior y restaurar en plataforma actual " u="1"/>
        <s v="Respaldar curso PNT-Secretaría de Acceso 4 de la plataforma anterior y restaurar en plataforma actual " u="1"/>
        <s v="Respaldar curso PNT-Secretaría de Acceso 5 de la plataforma anterior y restaurar en plataforma actual " u="1"/>
        <s v="Respaldar curso PNT-Secretaría de Acceso 6 de la plataforma anterior y restaurar en plataforma actual " u="1"/>
        <s v="Respaldar curso PNT-Secretaría de Acceso 7 de la plataforma anterior y restaurar en plataforma actual " u="1"/>
        <s v="Respaldar curso PNT-Secretaría de Acceso 8 de la plataforma anterior y restaurar en plataforma actual " u="1"/>
        <s v="Respaldar curso PNT-Secretaría de Acceso 9 de la plataforma anterior y restaurar en plataforma actual " u="1"/>
        <s v="Actualización del  Excel (SISAI_catalogos_TareaXEdos.xlsx).    I    Al no existir más requerimientos respecto a la configuración y generación de datos, este ticket se da por concluido." u="1"/>
        <s v="Notificación de seguimiento  [  MA2207202007 ]      I         I         I    Estimado(a):                     Lizbeth Adriana Cabrera Ortega    I         I    Le informamos que su ticket correspondiente a:    I                       I    Por este medio, me permito solicitar tu invaluable apoyo a efecto de que el archivo electrónico anexo al expediente del recurso de revisión RRD-RCRA 00913/20, sea sustituido por el que ahora se remite.    I        I         I    Aplicación:                  SIGEMI    I    Tipo de Soporte:         CARGA DE ARCHIVO       I    Observaciones:                I         I    Su petición fue atendida     I        I    " u="1"/>
        <s v="Carga Masiva de Audios de Resolución." u="1"/>
        <s v="ALTA DEL SUJETO OBLIGADO RPS" u="1"/>
        <s v="Se aplica eliminación de formato de pago: 1127900001018" u="1"/>
        <s v="Se aplica el testado de datos de la solicitud: 0064100000120." u="1"/>
        <s v="Implementación de servicio para listar los documentos pendientes por firmar multilateral    I    Vista para listar los documentos pendientes por firmar multilateral    I    Implementación de servicio para listar el detalle los documentos pendientes por firmar multilateral    I    Vista para listar el detalle de los documentos pendientes por firmar multilateral" u="1"/>
        <s v="Notificación de seguimiento  [  MA2001202109 ]      I         I         I    Estimado(a):                     Martha Rubí Zaragoza Mora    I         I         I    Le informamos que su ticket correspondiente a:    I                       I    El presente correo es para pedir su amable apoyo para el ajuste de términos del folio debido al Acuerdo que enviaron los siguientes Sujetos Obligados a la COTAI el 2do periodo vacacional que corresponde del 21 de diciembre de 2020 al 05 de enero 2021; debiéndose considerar los días comprendidos como inhábiles.     I        I         I    Aplicación:                  INFOMEX NUEVO LEÓN    I    Tipo de Soporte:         AJUSTE DE PLAZOS       I    " u="1"/>
        <s v="Se sustituye archivo adjunto del folio: 1816800001020." u="1"/>
        <s v="Optimización de los tiempos de descarga de muestras SIPOT" u="1"/>
        <s v="Generar certificado para SOs obligado Fideicomiso DIF-Bosques de las Lomas" u="1"/>
        <s v="Nueva sección Infografías con permisos administrativos a Erwin Bautista" u="1"/>
        <s v="Se sustituye archivo adjunto del folio: 1816900001020." u="1"/>
        <s v="Desarrollo de pantalla Mis Quejas, revisión de código y validación de tanda de reglas de negocio continuación" u="1"/>
        <s v="Meeting explicación migración" u="1"/>
        <s v="Se  testan los datos de la solicitud y modalidad con folio 1816400120221    I         I    " u="1"/>
        <s v="COLSAN-FIDEICOMISO FONDO DE AHORRO DEL PERSONAL DE MANDOS MEDIOS Y SUPERIORES DEL COLEGIO DE SAN LUIS A.C. N° 030057-3Se realiza la baja en el sistema del  SO " u="1"/>
        <s v="Construcción de capas de pre-tratamiento" u="1"/>
        <s v="Se aplica testado de datos personales: 0064100379320." u="1"/>
        <s v="    I    Notificación de seguimiento  [  MA1412202007 ]      I          I    Estimado(a):                     Martha Rubí Zaragoza Mora    I          I    Le informamos que su ticket correspondiente a:    I                       I    ajuste de términos de los folios debido al Acuerdo que enviaron los siguientes Sujetos Obligados a la COTAI por el cual se amplían la fecha del 01 al 18 de diciembre de 2020 y contando también el 2do periodo vacacional del 21 de diciembre 2020 al 5 de Enero 2021; debiéndose considerar los días comprendidos dentro de dicho periodo como inhábiles para evitar la propagación del coronavirus COVID-19.    I        I         I    Aplicación:                  INFOMEX NUEVO LEÓN    I    Tipo de Soporte:         AJUSTE DE PLAZOS        I    " u="1"/>
        <s v="Notificación de seguimiento  [  MA0410202202 ]    I    Estimado(a):                Alondra Jiménez Hernández     I     Le informamos que su ticket correspondiente a:    I    Debido al cambio de responsable de transparencia, les pido sea generado un certificado genérico a nombre del TUT y que con el mismo sea habilitado en la HCOM. Los datos son los siguientes:    I    Clave_x0009_Sujeto obligado_x0009_Siglas HCOM_x0009_Nombre del Titular de la Unidad de Transparencia_x0009_Correo electrónico_x0009_Contraseña    I    10202_x0009_Fideicomiso Plan de Pensiones y Jubilaciones Essa_x0009_ESSA F2_x0009_Sven Itzcoatl Amador Marin_x0009_sven.amador@essa.com.mx    I    Ver archivo adjunto    I        I    Aplicación:                  HCOM    I    Tipo de Soporte         GENERACIÓN DE  CERTIFICADO Y CAMBIO DE TUT      I    Observaciones:                I         I    Su petición fue atendida, se adjunta certificado" u="1"/>
        <s v="Notificación de seguimiento  [  MA3004202001 ]      I         I         I    Estimado(a):                     HUGO GOVI    I         I    Le informamos que su ticket correspondiente a:    I                       I    AJUSTE DE PLAZOS DE CUMPLIMIENTO Y FECHAS LIMITE DE VOTACIÓN    I         I    Aplicación:                  SIGEMI    I    Tipo de Soporte:         AJUSTE DE PLAZOS       I    Observaciones:                I         I    Su petición fue atendida    I         I        I         I                Favor de validar.    I         I    Estatus:                               Concluido.    I    " u="1"/>
        <s v="Instalación y pruebas de funcionalidad de campus Civil 2.1" u="1"/>
        <s v="Implementación de ReCaptcha para el login" u="1"/>
        <s v="Buscador de Google visible para todo mundo" u="1"/>
        <s v="Se hacen pruebas para solicitudes creadas " u="1"/>
        <s v="Actualización de infografía" u="1"/>
        <s v="funcionalidad para calcular fechas límite de respuestas, calculo de semaforos y plazos para respuesta por parte del solicitante" u="1"/>
        <s v="Buenas tardes Horacio, el motivo del correo es contar con la evidencia de la capacitación impartida a los Estados, durante la semana del 5 AL 9 de Octubre, referente al tema de ejecución de scripts para consultas estadísticas    I        I         I        I         I        I    Saludos    I        I         I        I    Marina Adame Velasco    I        I         I        I    Notificación de seguimiento  [  MA0510202012 ]      I        I         I        I    Aplicación:                  INFOMEX BASE    I        I    Tipo de Soporte:         CAPACITACIÓN      I        I    Estatus:                               Concluido.    I        I     " u="1"/>
        <s v="Se aplica testado de datos al folio:  0064100440021" u="1"/>
        <s v="Modificaciones recepción solicitudes" u="1"/>
        <s v="Desarrollo de pantalla de listado de folios pagados y detalle" u="1"/>
        <s v="Definición y evaluación de herramienta para el tratamiento de la información" u="1"/>
        <s v="Realizar funcionalidad de filtros" u="1"/>
        <s v="Presentación de funcionalidad aplicación pnt" u="1"/>
        <s v="Se cambia el tipo de solicitud del folio: 0000600190621" u="1"/>
        <s v="Se aplica testado de datos al folio:  0002700344520" u="1"/>
        <s v="Se aplica eliminación de formato de pago: 1219000002820." u="1"/>
        <s v="Páginas e imagenes restantes" u="1"/>
        <s v="Servicio para restablecer contraseña" u="1"/>
        <s v="Se aplica testado de datos al folio: 0064103374120" u="1"/>
        <s v="Se procede a instalar las tecnologias a ocupar en el desarrollo y preparar el ambiente de trabajo" u="1"/>
        <s v="Se corrige incidencia en solicitud registrada en INFOMEX" u="1"/>
        <s v="Notificación de seguimiento  [  MA2402202102 ]      I         I         I    Estimado(a):                     Berenice Hernández Sumano    I         I         I    Le informamos que su ticket correspondiente a:    I                       I    aplicar las afectaciones a las fechas de vencimiento y la eliminación de los acuses respectivos de las solicitudes señaladas en el archivo adjunto. Toda vez que el Consejo General aprobará en su Décima Novena Sesión Ordinaria celebrada el día 28 de octubre, aprobó la primera fase del levantamiento a la suspensión de plazos derivado de la Contingencia Sanitaria del COVID-19 para un primer grupo de sujetos obligados y la continuidad de la suspensión de plazos para el resto de sujetos obligados hasta el 01 de marzo 2021.    I         I    Aplicación:                  INFOMEX OAXACA    I    Tipo de Soporte:         AJUSTE DE PLAZOS        I    " u="1"/>
        <s v="Ajuste flujo seguimiento de actualizar respuesta queja" u="1"/>
        <s v="Notificación de seguimiento [ MA2901202008 ]     I          I          I     Estimado(a): Lizbeth Adriana Cabrera Ortega    I          I     Le informamos que su ticket correspondiente a:    I          I     Con el fin de atender la petición de la ponencia te pido el cambio de medio de notificación del recurso aludido en el asunto.    I         I     DICE    I         I     CORREO ELECTRÓNICO    I         I     DEBE DECIR    I         I      A través del sistema de gestion de medios de impugnación de la PNT    I         I          I     Aplicación: SIGEMI    I     Tipo de Soporte: CAMBIO DE MEDIO     I     Observaciones:     I          I     Su petición fue atendida" u="1"/>
        <s v="Notificación de seguimiento  [  MA1604202103 ]      I         I         I    Estimado(a):                     Martha Rubí Zaragoza Mora    I         I         I    Le informamos que su ticket correspondiente a:    I                       I    El presente correo es para pedir su amable apoyo para el ajuste de términos de los folios debido al primer periodo vacacional del año 2021 que envió el sujeto obligado con su acuerdo y se configuro el calendario …    I        I    Aplicación:                  INFOMEX NUEVO LEÓN    I    Tipo de Soporte:         AJUSTE DE PLAZO       I    Observaciones:                I         I    Su petición fue atendida    I         I          I                Favor de validar.    I         I    Estatus:                               Concluido.    I        I    " u="1"/>
        <s v="Notificación de seguimiento [ MA1301202001 ]     I          I          I     Estimado(a): Lizbeth Adriana Cabrera Ortega    I          I     Le informamos que su ticket correspondiente a:    I          I     Solicito de su valioso apoyo para cambiar al día hábil siguiente:    I         I     DEBE DECIR 10 DE ENERO    I         I         I          I     Aplicación: SIGEMI    I     Tipo de Soporte: ACTUALIZACIÒN DE FECHAS DE INTERPOSICIÒN" u="1"/>
        <s v="Sesion de avances pizarras 4" u="1"/>
        <s v="Continúa el Apoyo en consultas y validación de la información generada con las bases de datos en custodia (casos de diversos estados) en lo referente principalmente a documentación adjunta.    I    Se sigue apoyando en la recuperación de adjuntos de CDMX vía el aplicativo proporcionado por Luis Fernando (Se reunieron los casos de error de las bitácoras del proceso de recuperación de 814 adjuntos, se realizó el reprocesamiento sobre estos casos recuperando con ello 474 de forma automática ya que el error fue de conexión, de los restantes, se realizó la identificación de códigos y sustitución, con lo que se procedió nuevamente con el proceso, con esto quedó un total de 84 adjuntos por recuperar. De aquí se procedió con la recuperación manual, es decir, de adjunto por adjunto, recuperando un total de 62 adjuntos, el resto (15 no existen en la carpeta, 5 no existe ni la carpeta, 1 escrito con mayúsculas)     I    Continúa el traslado de información recuperada de CDMX al repositorio en la red interna (infomex2019 (\\vcifs) Z:)" u="1"/>
        <s v="Se aplica eliminación de formato de pago: 0001200240221" u="1"/>
        <s v="Se aplica eliminación de formato de pago: 0001600220221" u="1"/>
        <s v="Se sustituye archivo del folio 011000031921" u="1"/>
        <s v="Se cambia el tipo de solicitud del folio: 0001100188521" u="1"/>
        <s v="Despliegue de las diez Resoluciones  " u="1"/>
        <s v="Buenas tardes Martha, tu petición fue atendida, favor de validar     I        I    Saludos     I        I    Marina Adame Velasco    I        I    Notificación de seguimiento  [  MA0204202004 ]      I        I    Aplicación:                  INFOMEX NUEVO LEÓN    I    Tipo de Soporte:         Corrección de plazo       I    Estatus:                               Concluido.    I        I    " u="1"/>
        <s v="    I    Notificación de seguimiento  [  MA1502202108 ]      I         I         I    Estimado(a):                     FRANCISCO LIRA    I          I    Le informamos que su ticket correspondiente a:    I                       I    RESPALDO SEMANAL DE LA BASE DE DATOS INFOMEX    I         I    Aplicación:                  INFOMEX NUEVO LEÓN    I    Tipo de Soporte:         RESPALDO       I    Observaciones:                I         I    Su petición fue atendida, se subió el respaldo de su base de datos de esta semana…    I        I    http://documentos.inai.org.mx/tmp/infomexNL_backup_2021-02-15_0800.bak    I        I    NOTA: El respaldo estará disponible una semana      I          I    " u="1"/>
        <s v="Marcadores en mapa" u="1"/>
        <s v="Se aplica eliminación de última respuesta de la solicitud: 0063700078220." u="1"/>
        <s v="Notificación de seguimiento  [  MA3009202001 ]      I         I         I    Estimado(a):                     Rosalinda Coria Mosqueda    I         I    Le informamos que su ticket correspondiente a:    I                       I    Solicito su valioso apoyo para cambiar el medio de notificación del Recurso RRA 09460/20 de domicilio a correo electrónico, ya que en su escrito libre señaló el siguiente correo electrónico:     I         I        I         I    Aplicación:                  SIGEMI    I    Tipo de Soporte:         REGRESO DE PASOS      I    " u="1"/>
        <s v="Desarrollo de pantalla Mis Quejas, programación de funcionalidad continuación" u="1"/>
        <s v="Se  testan los datos del folio: 0064101917521" u="1"/>
        <s v="Notificación de seguimiento  [  MA2004202116 ]      I         I         I    Estimado(a):                     Moisés Guzmán Arias    I         I         I    Le informamos que su ticket correspondiente a:    I                       I    ampliar el término para prevenirlos     I         I         I    01960320 estableciendo el término al día 20/04/2021 (20 de abril de 2021) (Bienestar)    I    02105820 estableciendo el término al día 20/04/2021 (20 de abril de 2021) (Bienestar)    I    02168420 estableciendo el término al día 20/04/2021 (20 de abril de 2021) (Bienestar)    I    00167621 estableciendo el término al día 20/04/2021 (20 de abril de 2021) (Bienestar)    I         I    Aplicación:                  INFOMEX PUEBLA     I    Tipo de Soporte:         AJUSTE DE PLAZO       I    " u="1"/>
        <s v="Plugin tabla con fechas en orden descendiente" u="1"/>
        <s v="Se aplica testado de datos al folio:  0000700045821 " u="1"/>
        <s v="Notificación de seguimiento  [  MA1308202002 ]      I         I         I    Estimado(a):                     Alondra Jiménez Hernández    I         I    Le informamos que su ticket correspondiente a:    I                       I    Anexo el registro actualizado del certificado del Titular de la Unidad de Transparencia del Fideicomiso de Investigación el Colegio de la Frontera Norte, sujeto obligado indirecto de COLEF, para su renovación en la Herramienta de Comunicación.     I         I         I    Aplicación:                  HCOM     I    Tipo de Soporte:         ACTUALIZACION DE CERTIFICADO      I    Observaciones:                I         I    Su petición fue atendida, se realizó la actualización del certificado del COLEF y COLEF F1, respecto a la contraseña del usuario del COLEF se cambio a hcom2020 ya que no localice la anterior.     I         I         I                Favor de validar.    I         I    Estatus:                               Concluido.    I    " u="1"/>
        <s v="Hola Francisco, este error lo he visto en algunos casos cuando la respuesta del servidor es lenta, por diversas causas, pero como tal no impide la gestión de las solicitudes, ya que se presenta de manera intermitente, en caso de que no se comporte de esta manera favor de comunicárnoslo.    I        I    Quedamos atentos    I        I    Saludos     I        I    MARINA ADAME     I    " u="1"/>
        <s v="Descargar archivos correspondientes a la OT y modificarlos " u="1"/>
        <s v="Notificación de seguimiento  [  MA0402202104 ]      I         I         I    Estimado(a):                     Alejandra Tejeda    I         I         I    Le informamos que su ticket correspondiente a:    I                       I    Antecediendo un cordial saludo, solicito de la manera más atenta su apoyo para la rectificación de la fecha de caducidad del paso del Sujeto Obligado Instituto de Servicios de Salud Pública del Estado de Baja California, respecto de la SAIP 00061421 que actualmente tiene fecha de caducidad el 04 de febrero, se realizó el ajuste a su calendario posterior a la presentación de dicha solicitud, por lo que la fecha real de caducidad es el 05 de febrero.    I        I    Aplicación:                  INFOMEX BCN    I    Tipo de Soporte:         AJUSTE DE PLAZOS       I    " u="1"/>
        <s v="Generación de script de diccionarios de subtemas SIPOT" u="1"/>
        <s v="Se sustituye el archivo adjunto de la solicitud con folio 0063700407021" u="1"/>
        <s v="Cambios área usuaria" u="1"/>
        <s v="    I    Notificación de seguimiento  [  MA2003202001 ]      I         I         I    Estimado(a):                     Lizbeth Adriana Cabrera Ortega    I         I    Le informamos que su ticket correspondiente a:    I                       I    Debe decir 19 de marzo    I        I         I    Aplicación:                  SIGEMI    I    Tipo de Soporte:         CAMBIO DE FECHA       I    Observaciones:                I         I    Su petición fue atendida    I    " u="1"/>
        <s v="Se testan los datos de la solicitud con folio: 0064101643321" u="1"/>
        <s v="    I    Notificación de seguimiento  [  MA2309202005 ]      I         I         I    Estimado(a):                     Lizbeth Adriana Cabrera Ortega    I         I    Le informamos que su ticket correspondiente a:    I                       I    De la lista que tienes a bien enviarme puedo advertir que aún faltan recursos por modificar e ingresar los acuerdos actualizados.    I        I    Lo anterior basta con ver que dicha lista contiene 50 recursos. Amén de que los bloques que envié ayer precisaban:    I        I    • 178 primer bloque    I    • 29 bloque RRD    I    • 75 tercer bloque.    I         I    Aplicación:                  SIGEMI    I    Tipo de Soporte:         ACTUALIZACION DE FECHAS DE INTERPOSICIÓN      I    Observaciones:                I         I    Se notifica que se concluyó el cambio de los bloques 29 bloque RRD y 75 tercer bloque, se adjunta evidencia      I    " u="1"/>
        <s v="Se sustituye archivo adjunto del folio: 0064100739620." u="1"/>
        <s v="    I    Notificación de seguimiento  [  MA0406202126 ]    I        I    Estimado(a):                María Angélica Valdez Islas    I        I         I     Le informamos que su ticket correspondiente a:    I                       I    por este medio Anexo el registro actualizado del certificado del Titular de la Unidad de Enlace de “Consejo Nacional para el Desarrollo y la Inclusión de las Personas con Discapacidad”.  Lo Anterior a fin de que sus accesos sean habilitados en los otros sistemas que administra este Instituto (HCOM).  CAMBIO DE  TITULAR, en cuanto se reciba la atención en HCOM se realizará la actualización de los demás sistemas correspondientes.    I        I         I    Aplicación:                  HCOM    I    Tipo de Soporte:         CAMBIO DE TUT       I    Observaciones:                I         I    Su petición fue atendida    I         I         I    " u="1"/>
        <s v="Se agregan las variables 'denominación o razón social' y 'tipo de derecho' en la administración de acuses" u="1"/>
        <s v="Notificación de seguimiento  [  MA1002202105 ]      I         I         I    Estimado(a):                  Martha Rubí Zaragoza Mora       I         I         I    Le informamos que su ticket correspondiente a:    I                       I    El presente correo es para pedir su amable apoyo para el ajuste de términos de los folios debido al Acuerdo que enviaron los siguientes Sujetos Obligados a la COTAI por el cual tienen como día inhábil el 1 de febrero de 2021.    I        I         I    Aplicación:                  INFOMEX NUEVO LEÓN    I    Tipo de Soporte:         AJUSTE DE PLAZOS       I    Observaciones:                I         I    Su petición fue atendida    I         I          I    " u="1"/>
        <s v="Se mapea y adapta una nueva pantalla desde las notificaciones de quejas" u="1"/>
        <s v="Se sustituye archivo adjunto  del folio:  0064100666821" u="1"/>
        <s v=" Notificación de seguimiento  [  MA2810202004 ]      I        I         I        I         I        I    Estimado(a):                     Pedro Esquivel Martínez    I        I         I        I         I        I    Le informamos que su ticket correspondiente a:    I        I                       I        I    el cambio de Titular para el S.O. CPC SNA, en HCOM: (se adjunta certificado)    I        I         I        I    " u="1"/>
        <s v="Servicio de reportes por plazo de atencion , consulta  para la obtencion de informacion." u="1"/>
        <s v="Se aplica testado de datos al folio:  0002700361720" u="1"/>
        <s v="Crear y mapear la entidades de base de datos." u="1"/>
        <s v="Notificación de seguimiento  [  MA0311202004 ]      I         I         I    Estimado(a):                     David Calderón González    I         I         I    Le informamos que su ticket correspondiente a:    I                       I    El motivo del presente es para solicitar tu apoyo para activar la opción F. Entrega de información vía infomex, a la solicitud 01186520, la cual fué prevenida y después cuando se quiere enviar la información al solicitante, no aparece dicha opción.    I        I    Adjunto imagen que muestra la incidencia.    I         I    Aplicación:                  INFOMEX MICHOACAN    I    Tipo de Soporte:         Eliminar respuesta       I    Observaciones:                I         I    Su petición fue atendida, se eliminó la respuesta para que la puedan volver a utilizar, te comento que no es una incidencia si no una regla de negocio del catalogo de respuestas, para casos similares, se tiene que solicitar la eliminaciòn por bd de la respuesta a reutilizar    I         I          I                Favor de validar.    I    " u="1"/>
        <s v="Se aplica el cambio de modalidad para el folio: 0001100628619." u="1"/>
        <s v="Se cambia el tipo de solicitud del folio: 0001200359321" u="1"/>
        <s v="Prueba uno de unificación de tablas SIPOT y SIPOT DETALLE" u="1"/>
        <s v="Atención de incidencias reportadas por QA" u="1"/>
        <s v="Se sustituye el archivo de la solicitud con  folio 0000600243021" u="1"/>
        <s v="Se sustituye archivo del folio 0064100567821" u="1"/>
        <s v="Se  testan los datos del folio:  0673800065121" u="1"/>
        <s v="Creacón de plantilla dinamica de respuestas, asi como el desarrollo de 6 componentes reutilizables llamados secciones" u="1"/>
        <s v="Notificación de seguimiento  [  MA0405202105 ]      I         I         I    Estimado(a):                     David Calderón González    I         I         I    Le informamos que su ticket correspondiente a:    I                       I    El motivo del presente es para solicitar tu apoyo para activar la opción F en tipo de respuesta de la solicitud con folio 00306121 al sujeto obligado Instituto Electoral de Michoacán.    I         I    Aplicación:                  INFOMEX MICHOACAN    I    Tipo de Soporte:         ELIMINAR RESPUESTA       I    Observaciones:                I         I    Su petición fue atendida    I         I          I                Favor de validar.    I         I    Estatus:                               Concluido.    I    " u="1"/>
        <s v="Se sustituye archivo adjunto  del folio: 0064101306021" u="1"/>
        <s v="Se aplica eliminación de formato de pago manual: 0001200538719." u="1"/>
        <s v="desarrollo para la obtencion de plazos en el acuse información desde la base de datos - setter del domicilio, folio interno cuando el solicitante o usuario que realiza la solicitud tiene perfil del CAS." u="1"/>
        <s v="Revisión de Candidatas a Recurso " u="1"/>
        <s v="El  IMSS reporta problemas para aplicar respuestas." u="1"/>
        <s v="Se orienta a los usuarios para la dependencia: SECRETARÍA DE HACIENDA Y CRÉDITO PÚBLICO (SHCP)" u="1"/>
        <s v="Buenos días Martha, tu petición fue atendida, favor de validar     I        I    Saludos     I        I    Marina Adame Velasco    I        I    Notificación de seguimiento  [  MA0805202001 ]      I        I    Aplicación:                  INFOMEX NUEVO LEÓN    I    Tipo de Soporte:         AJUSTE DE PLAZOS       I    Estatus:                               Concluido.    I    " u="1"/>
        <s v="Rediseño de la pantalla inicial de app" u="1"/>
        <s v="Se aplica eliminación de formato de pago al folio: 0063700543619." u="1"/>
        <s v="Se realiza la baja en el sistema del  SO PRUEBA DE MONITOREO PNT 2016" u="1"/>
        <s v="Creación de servicios para update/save de información en la base de datos." u="1"/>
        <s v="Se aplica testado de datos personales: 0000700059320." u="1"/>
        <s v="Implementación validaciones y redireccionamiento dashboard solicitante" u="1"/>
        <s v="Se sustituye archivo adjunto  del folio: 1117100063821" u="1"/>
        <s v="Notificación de seguimiento  [  MA1111202201 ]    I    Estimado(a):                Alondra Jiménez Hernández    I     Le informamos que su ticket correspondiente a:    I    Debido al cambio de responsable de transparencia del responsable de transparencia, les pido sea generado un certificado genérico a nombre del TUT y que con el mismo sea habilitado en la HCOM. Los datos son los siguientes:    I    Clave_x0009_Sujeto obligado_x0009_Siglas HCOM_x0009_Nombre del Titular de la Unidad de Transparencia_x0009_Correo electrónico_x0009_Contraseña    I    09179_x0009_Administración del Sistema Portuario Nacional Manzanillo, S.A. de C.V._x0009_ASIPONA MANZANILLO_x0009_Alfonso Gil Medina_x0009_amedina@puertomanzanillo.com.mx    I    Ver archivo adjunto    I        I    Aplicación:                 HCOM    I    Tipo de Soporte        GENERACIÓN DE CERTIFICADO Y CAMBIO DE TUT " u="1"/>
        <s v="Realizar correcciones derivadas de las pruebas Implemtación del diseño de la solución (4 ó 1 servicio)" u="1"/>
        <s v="Notificación de seguimiento  [  MA1502202101 ]      I         I         I    Estimado(a):                     Edgar Michel Loaeza Martínez    I         I         I    Le informamos que su ticket correspondiente a:    I                       I    Por medio del presente solicito su valioso apoyo a efecto de realizar la renovación de certificado del sujeto obligado indirecto de la Secretaría de Relaciones Exteriores en el hcom.    I        I    Para tal efecto, anexo al presente los nuevos certificados, lo anterior, a fin de que sus accesos sean habilitados en los sistemas que administra este Instituto.    I         I    Aplicación:                  HCOM    I    Tipo de Soporte:         CAMBIO DE CERTIFICADO       I    " u="1"/>
        <s v="Notificación de seguimiento  [  MA2205202004 ]      I         I         I    Estimado(a):                     Berenice Hernández Sumano    I         I    Le informamos que su ticket correspondiente a:    I                       I    Aplicar un recorrido a la fecha límite de entrega de Información Relacionada con el Cumplimiento y la fecha límite de entrega de Alegatos y manifestaciones, de los recursos señalados en el archivo adjunto.    I        I    Asimismo solicito pueda liberarse la actividad de cumplimiento en el perfil de los sujetos obligados ya que desde SICOM esta actividad se cierra cuando vence el plazo de 10 días y la actividad de entrega de Alegatos vence en un plazo de 7 días.    I        I         I    Aplicación:                  SIGEMI    I    Tipo de Soporte:         ACTUALIZACIÓN DE PLAZOS      I    Observaciones:                I         I    Su petición fue atendida, te comento que se realizó la actualización de fechas de votación y de cumplimiento, respecto a las fechas de envío de alegatos esta en análisis    I         I        I         I                Favor de validar.    I    " u="1"/>
        <s v="Se aplica testado de datos personales: 0000700057420 " u="1"/>
        <s v="Se orienta al usuario de UE para poder dar respuesta al solicitante." u="1"/>
        <s v="Maquetación y preparado del componente mis quejas" u="1"/>
        <s v="Diagnosticar, medir y ajustar del rendimiento de la base de datos" u="1"/>
        <s v="Buenas tardes David, tu petición fue atendida, favor de validar     I        I    Saludos     I        I    Marina Adame Velasco    I        I    Notificación de seguimiento  [  MA1805202005 ]      I        I    Aplicación:                  INFOMEX MICHOACAN    I    Tipo de Soporte:         REPORTE       I    Estatus:                               Concluido.    I        I    " u="1"/>
        <s v="Revisar la informacion que se muestra en el front del  aplicativo comisiones abiertas, validar información en el esquema de base de datos" u="1"/>
        <s v="Generación de script para la descarga de muestra útil de tablas SISAI, SIGEMI-SICOM" u="1"/>
        <s v="Validación de información" u="1"/>
        <s v="Se sustituye archivo adjunto  del folio: 0064100332121" u="1"/>
        <s v="Pruebas unitarias y corrección de registro de nivel en rol" u="1"/>
        <s v="Se habilita a la nueva dependencia, así como el certificado solicitado: Fideicomiso Programa de becas SEP-UNAM-Fundación UNAM." u="1"/>
        <s v="Crear certificado para usuarios del Sujeto Obligado CONADE" u="1"/>
        <s v="Se aplica testado de datos al folio: 0064100545920." u="1"/>
        <s v="El acceso de VPN se tramitó en 3 días." u="1"/>
        <s v="Se corrige el endpoint encargado de crear el login con Twitter" u="1"/>
        <s v="Analisis de Administración " u="1"/>
        <s v="Buenas tardes  José Manuel, te comento que resultado de mis pruebas locales, detecte que el procedimiento utilizado para generar las candidatas es diferente al procedimiento “base” lo que me causaba que no se me mostrará la candidata, hasta que seleccionará el Sujeto Obligado, por lo que actualice el procedimiento y ya funciono, sin embargo también observe que tienen otros procedimientos para candidatas, al respecto me puedes indicar si los están utilizando?, anexo el procedimiento base y con el cual las candidatas funcionan correctamente.    I    Saludos     I        I    Marina Adame Velasco    I        I    Notificación de seguimiento  [  MA2608202002 ]      I        I    Aplicación:                  INFOMEX YUCATAN     I    Tipo de Soporte:         Revisión de incidencia en Candidatas RR       I    Estatus:                               Concluido.    I    " u="1"/>
        <s v="Se aplica la respuesta de manera manual a la solicitud con folio: 0637000002520." u="1"/>
        <s v="Desarrollo y validación del Webservice para la creacion de avisos " u="1"/>
        <s v="Componente catalogo integrante (flujo de implementación servicio rest y respuesta) (Administrador) " u="1"/>
        <s v="    I    Notificación de seguimiento  [  MA2110202007 ]      I         I         I    Estimado(a):                     Lizbeth Adriana Cabrera Ortega    I         I    Le informamos que su ticket correspondiente a:    I                       I    Pido de tu amable apoyo para modificar el folio del RRD 1362/20    I        I    DICE   0120000102820    I        I    DEBE DECIR 0120000108820    I        I        I         I    Aplicación:                  SIGEMI    I    Tipo de Soporte:         CAMBIO DE SOLICITUD      I    Observaciones:                I         I    Su petición fue atendida    I    " u="1"/>
        <s v="    I    Notificación de seguimiento  [  MA2311202009 ]      I          I    Estimado(a):                     Edgar Michel Loaeza Martínez    I         I    Le informamos que su ticket correspondiente a:    I                       I    requieren el cambio de contraseñas de todos sus sujetos obligados que se enlistan     I        I    Aplicación:                  HCOM    I    Tipo de Soporte:         CAMBIO DE CONTRASEÑAS ( 18 )        I    Observaciones:                I         I    Su petición fue atendida, la contraseña para todos es hcomsep2020    I           I                Favor de validar.    I         I    Estatus:                               Concluido.    I    " u="1"/>
        <s v="Buenas tardes Ismael, con el script que adjunto vas a poder localizar el paso o pasos que  vas a modificar y el siguiente para realizar la afectación, ubicando el guidpaso a modificar y las fechas correctas    I        I    UPDATE PASO SET FECHACADUCIDAD = CONVERT(DATETIME,'2020-07-15 23:59:00',102), FECHAAMARILLOROJO = CONVERT(DATETIME,'2020-07-15 23:59:00',102) where GUIDPASO= '20200619-1230-3500-5700-8f1e14c17108';    I        I        I    Notificación de seguimiento  [  MA2306202005 ]      I        I    Aplicación:                  INFOMEX COAHUILA    I    Tipo de Soporte:         SCRIPTS       I    Estatus:                               Concluido.    I    " u="1"/>
        <s v="Notificación de seguimiento  [  MA0308202006 ]      I         I         I    Estimado(a):                     Edgar Michel Loaeza Martínez    I         I    Le informamos que su ticket correspondiente a:    I                       I    CAMBIOS DE TITULAR DE LOS SUJETOS OBLIGADOS INDIRECTOS SHCP    I        I         I    Aplicación:                  HCOM    I    Tipo de Soporte:         CAMBIO DE TUT ( 28 )      I    Observaciones:                I         I    Su petición fue atendida, se realizó la actualización de los siguientes Sujetos Obligados:    I        I    " u="1"/>
        <s v="Notificación de seguimiento  [  MA1901202102 ]      I         I         I    Estimado(a):                     ALEJANDRA TEJEDA OCHOA    I         I         I    Le informamos que su ticket correspondiente a:    I                       I    en seguimiento al reporte de solicitudes 2020 me comentan si hay oportunidad que se incluya el correo electrónico de los solicitantes ya que anteriormente se recibida con ese dato    I         I    Aplicación:                  INFOMEX BCN    I    Tipo de Soporte:         REPORTE       I    Observaciones:                I         I    Su petición fue atendida, te envio los totales de solicitudes 2020 y 2021 con correo incluido, en un rato te envio las que fueron respondidas    I         I          I                Favor de validar.    I         I    Estatus:                               Concluido.    I    " u="1"/>
        <s v="Se orienta a usuario respecto al incidente presentado a PEMEX y que afectaron solicitudes de Información así como los consecutivos." u="1"/>
        <s v="Respaldo BD campus público" u="1"/>
        <s v="    I    Notificación de seguimiento  [  MA2510202101 ]    I        I    Estimado(a):                Jatziry Jiménez Cruz    I        I         I     Le informamos que su ticket correspondiente a:    I                       I    Por este medio solicito su atento apoyo para que por favor se elimine el requerimiento con folio IFAI-REQ-004453-2021, ya que por un error se envió al grupo equivocado de sujetos obligados    I        I         I    Aplicación:                  HCOM    I    Tipo de Soporte:         ELIMINAR REQUERIMIENTO      I    Observaciones:                I         I    Su petición fue atendida    I    " u="1"/>
        <s v="Analisis de Solicitudes. " u="1"/>
        <s v="Se sustituye archivo adjunto del folio: 1816400023521" u="1"/>
        <s v="Modificación mockups línea acción, Objetivos Pizarras 4 de acuerdo con la junta de análisis procesó pizarras 4" u="1"/>
        <s v="Se cambia el tipo de solicitud del folio: 0063700158121" u="1"/>
        <s v="    I    Notificación de seguimiento  [  MA2801202105 ]      I         I         I    Estimado(a):                     Berenice Hernández Sumano    I         I         I    Le informamos que su ticket correspondiente a:    I                       I    Por este medio solicito su apoyo para poder aplicar las afectaciones a las fechas de vencimiento y la eliminación de los acuses respectivos de las solicitudes señaladas en el archivo adjunto. Toda vez que el Consejo General aprobará en su Décima Novena Sesión Ordinaria celebrada el día 28 de octubre, aprobó la primera fase del levantamiento a la suspensión de plazos derivado de la Contingencia Sanitaria del COVID-19 para un primer grupo de sujetos obligados y la continuidad de la suspensión de plazos para el resto de sujetos obligados hasta el 08 de febrero 2021.    I        I         I    Aplicación:                  INFOMEX FEDERAL     I    Tipo de Soporte:         AJUSTE DE PLAZOS       I    " u="1"/>
        <s v="Script BD declaración inicial Maria Reyes" u="1"/>
        <s v="Pantalla principal de los avisos de la pnt." u="1"/>
        <s v="Se corrigió asignacion de DIRECCIÓN del SO FUERZA POR MÉXICO" u="1"/>
        <s v="Reunion de proyectos de datos personales " u="1"/>
        <s v="Carga de avisos de privacidad" u="1"/>
        <s v="Buenas tardes Horacio, envío correo, para contar con la evidencia del análisis realizado en incidencia reportada de Michoacán, en la generación de un acuse se revise las referencias de la base de datos y se realizó la búsqueda de acuse en el servidor para su eliminación y su regeneración    I        I    Saludos     I        I    Notificación de seguimiento  [  MA0307202005]      I        I    Aplicación:                  INFOMEX MICHOACAN    I    Tipo de Soporte:         Revisión de incidencia       I    Estatus:                               Concluido.    I        I    " u="1"/>
        <s v="Creación del modal para mostrar el seguimiento de la solicitud" u="1"/>
        <s v="WordPress - Sección Micrositios" u="1"/>
        <s v="Se aplica desechamiento para: 0002700438019." u="1"/>
        <s v="Notificación de seguimiento [ MA1301202007 ]     I          I          I     Estimado(a): José Mario Valadez González    I          I     Le informamos que su ticket correspondiente a:    I          I     Para la herramienta de comunicación tenemos configurados accesos para nuestra Dirección de Asuntos Jurídicos, sin embargo la titular de una de esas cuentas dejará de laborar con nosotros, por lo que te pido que se dé de baja ese certificado y tramitar otro para la nueva responsable de esos accesos. Te anexo el certificado relacionado con la cuenta que hay que dar de baja.    I          I     Cuenta de Baja: Paola Romero Monterrubio    I          I     Cuenta de Alta: Sonia Nuñez Patlan cact.dga@unam.mx    I          I          I     Aplicación: HCOM    I     Tipo de Soporte: BAJA Y ALTA DE USUARIO     I     Observaciones:     I          I     Su petición fue atendida, la contraseña del nuevo usuario hcom64400" u="1"/>
        <s v="Se agregan url de servicio faltante y se corrige problema con un Bad certificate en las peticiones de android" u="1"/>
        <s v="Esquema de flujo de Declaración patrimonial" u="1"/>
        <s v="Notificación de seguimiento [ MA1501202003 ]     I          I          I     Estimado(a): Nancy Edith Gómez Cisneros     I          I     Le informamos que su ticket correspondiente a:    I          I      Por medio del presente, se requiere su apoyo a efecto de que en el recurso de revisión RRA 0088/20, se registre un correo electrónico diverso al que obra en el sistema, específicamente en la solicitud, debido a que la particular una vez interpuesto el recurso de revisión, manifiesta que esa cuenta está inhabilitada por lo que requiere que las notificaciones se realicen a otro que es kbolivar@protonmail.ch    I         I          I     Aplicación: SIGEMI    I     Tipo de Soporte: CAMBIO DE CORREO" u="1"/>
        <s v="Definición de flujos para infraestructura " u="1"/>
        <s v="Se cambia el tipo de solicitud del folio: 0001200277121 " u="1"/>
        <s v="Desarrollo de logica para recibir servicios del back de notificaciones continuación" u="1"/>
        <s v="Se cambia el tipo de solicitud del folio: 00641003335420" u="1"/>
        <s v="Notificación de seguimiento  [  MA1108202203 ]    I        I        I    Estimado(a):               Fernanda Denise Blanco Alquicira    I        I     Le informamos que su ticket correspondiente a:    I        I    En seguimiento a los correos previos, solicito su valioso apoyo para asignar en la Herramienta de Comunicación el certificado que adjunto al presente, para tal efecto, proporciono a continuación los datos del sujeto obligado en cuestión:    I        I    Clave Única_x0009_Sujeto Obligado_x0009_Nombre_x0009_Correo electrónico_x0009_Contraseña Hcom    I    60153_x0009_SINDICATO INDEPENDIENTE NACIONAL DE TRABAJADORES DEL COLEGIO DE BACHILLERES_x0009_PEDRO GUERRERO DANIEL_x0009_pedro.guerrero@sintcb.org.mx     I     hcom2022    I        I    Aplicación:                  HCOM    I    Tipo de Soporte:        CAMBIO DE TUT " u="1"/>
        <s v="agregar horarios del modulo administracion" u="1"/>
        <s v="Se elimina la respuesta del folio: 0001200403020" u="1"/>
        <s v="Se aplica cambio de modalidad de la solicitud:0064100503620 ." u="1"/>
        <s v="Se realizaron modificaciones solicitadas y corrección a bugs reportados de funcionalidades pasadas" u="1"/>
        <s v="Investigación de folios" u="1"/>
        <s v="Se hace transferencia de conocimiento." u="1"/>
        <s v="Se aplica testado de datos al folio:  1816400059421" u="1"/>
        <s v="    I    Notificación de seguimiento  [  MA2210202003 ]      I         I         I    Estimado(a):                     Ana Paulina González González    I         I    Le informamos que su ticket correspondiente a:    I                       I    cambiar el medio de notificación en el recurso de revisión RRD 01357/20, a efecto de que las comunicaciones se lleven a cabo a través de correo electrónico. Lo anterior, toda vez que el particular proporcionó una cuenta de correo electrónico    I         I    Aplicación:                  SIGEMI    I    Tipo de Soporte:         CAMBIO DE MEDIO       I    Observaciones:                I         I    Su petición fue atendida    I    " u="1"/>
        <s v="Buenas tardes Berenice, tu petición fue atendida, el acuse no se pudo eliminar porque alguien lo esta consultando, necesitamos que lo cierren para eliminarlo, favor de validar     I        I    Saludos     I        I    Marina Adame Velasco    I        I    Notificación de seguimiento  [  MA2005202001]      I        I    Aplicación:                  INFOMEX OAXACA    I    Tipo de Soporte:         AJUSTE DE  PLAZOS       I    Estatus:                               Concluido.    I        I    " u="1"/>
        <s v="Pruebas con casos base" u="1"/>
        <s v="Se sustituye archivo adjunto de los folios enviados por la oficina de presidencia" u="1"/>
        <s v="Buenas tardes Ismael, adjunto scripts para reasignación de solicitudes, con este cambio el responsable del departamento que quedo activo deberá de ver el total de solicitudes, favor de validar      I        I    Saludos     I        I    Marina Adame Velasco    I        I    Notificación de seguimiento  [  MA1806202007 ]      I        I    Aplicación:                  INFOMEX COAHUILA    I    Tipo de Soporte:         Scripts       I    Estatus:                               Concluido.    I        I    " u="1"/>
        <s v="Generación de certificados" u="1"/>
        <s v="Notificación de seguimiento  [  MA2302202110 ]      I         I         I    Estimado(a):                     Edgar Michel Loaeza Martínez    I         I         I    Le informamos que su ticket correspondiente a:    I                       I    Por medio del presente solicito su valioso apoyo a efecto de realizar el cambio de Titular de la Unidad de Transparencia de la Oficina de la Presidencia de la República en hcom.    I         I    Aplicación:                  HCOM    I    Tipo de Soporte:         CAMBIO TUT       I    " u="1"/>
        <s v="Se revisó el acceso de usuario de CAS" u="1"/>
        <s v="Se hacen los cambios necesarios tras detectar el los esquemas nuevos en aquiles. Se validan casos encontrados en aquiles." u="1"/>
        <s v="Notificación de seguimiento  [  MA1203202101 ]      I         I         I    Estimado(a):                     Pedro Esquivel Martínez    I         I         I    Le informamos que su ticket correspondiente a:    I                       I    solicito su valioso apoyo para dar de alta el certificado en relación al siguiente cuadro descriptivo:     I         I    Clave Presupuestal    Sujeto Obligado Titular de la unidad de transparencia    CERTIFICADO A GENERAR    Contraseña    correo HCOM    I    22400      I    Redes Sociales Progresistas Sara Elide Soto García 22400.Sara Elide Soto García HCOM:    I    HCOM22400     I         I    INFOMEX    I    SISI22400     I      sara.soto@ine.mx    I        I          I         I    Aplicación:                  HCOM    I    Tipo de Soporte:         ALTA SUJETO OBLIGADO Y ASIGNACION TUT       I    Observaciones:                I         I    Su petición fue atendida    I        I         I         I          I                Favor de validar.    I         I    Estatus:                               Concluido.    I        I    " u="1"/>
        <s v="Se aplica testado de datos al folio: 1816400079220." u="1"/>
        <s v="se implementa un mount para la descarga de archivos masivos de SISAI, así como registros de prueba en base de datos, para que pase el proceso PL, el cual recupera toda la información de la solicitud, la respuesta, archivos adjuntos, fechas limites, en un archivo dedicado para la explotación de la información" u="1"/>
        <s v="Validación de información " u="1"/>
        <s v="Se aplica testado de datos al folio: 011000009121" u="1"/>
        <s v="    I    Notificación de seguimiento  [  MA1301202106 ]      I         I         I    Estimado(a):                     Martha Rubí Zaragoza Mora    I         I         I    Le informamos que su ticket correspondiente a:    I                       I    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    I         I    Aplicación:                  INFOMEX NL    I    Tipo de Soporte:         AJUSTE DE PLAZOS     I    " u="1"/>
        <s v="Validación de acceso a la información sobre los JSON compartidos para SISAI " u="1"/>
        <s v="Se aplica testado de datos personales: 0064100411920." u="1"/>
        <s v="Generación de script para la descarga de muestra útil de tablas SIPOT y SIPOT DETALLE" u="1"/>
        <s v="Se realizó un análisis de los requeriemientos de el sitio protai, y se preparo un ambien te pruebas en ambiente local para realizar el montaje , aun no se cuenta con el respaldo del sitio" u="1"/>
        <s v="Evalución y diseño de scripts de etiquetado" u="1"/>
        <s v="Se sustituye archivo adjunto del folio: 0064100739220." u="1"/>
        <s v="Se aplica sustitución de archivo de la solicitud: 0064103677319" u="1"/>
        <s v="Se aplica testado de datos al folio:  0064100099621" u="1"/>
        <s v="Analisis general requerimiento front" u="1"/>
        <s v="Testado de datos y sustituir archivo adjunto  del folio:  1816700003221" u="1"/>
        <s v="Buenas tardes Martha, tu petición fue atendida, favor de validar     I        I    Saludos     I        I    Marina Adame Velasco    I        I    Notificación de seguimiento  [  MA1006202010 ]      I        I    Aplicación:                  INFOMEX NUEVO LEÓN    I    Tipo de Soporte:         AJUSTE DE PLAZOS       I    Estatus:                               Concluido    I        I    " u="1"/>
        <s v="Estimación nuevo sitio" u="1"/>
        <s v="Hola Vic, ya quedaron corregidas las referencias del Sujeto Obligado de la solicitud 01093720 en el infomex Oaxaca, favor de validar    I        I    Saludos     I        I    Marina     I    " u="1"/>
        <s v="Se sustituye archivo adjunto  del folio: 0001200128521" u="1"/>
        <s v="Ejecución de OT 4 Campus Garantes" u="1"/>
        <s v="Se  testan los datos y se sustituye archivo de la solicitud con folio 0064101145621    I         I    " u="1"/>
        <s v="Se  testan los datos de la solicitud con folio 0064100816421    I    " u="1"/>
        <s v="Cambio área usuaria" u="1"/>
        <s v="Desarrollo del servicio para la eliminacion de un usuario " u="1"/>
        <s v="Se  testan los datos del folio y se sustituye archivo: 0064101670821" u="1"/>
        <s v="Se aplica testado de datos personales: 0064100361120." u="1"/>
        <s v="    I    Notificación de seguimiento  [  MA0702202007 ]      I         I         I    Estimado(a):                     Sandra Steffany Díaz Sosa    I         I    Le informamos que su ticket correspondiente a:    I                       I    En relación con el recurso de revisión RRD 0233/20 (IMSS), solicito de su invaluable apoyo para que en la Plataforma Nacional de Transparencia se habilite como medio para oír y recibir notificaciones del recurrente el correo electrónico “lidia_ruizvazquez@yahoo.com.mx”    I         I        I         I    Aplicación:                  SIGEMI    I    Tipo de Soporte:         CAMBIO DE MEDIO       I    " u="1"/>
        <s v="Buenas tardes Berenice , tu petición fue atendida, favor de validar     I        I    Saludos     I        I    Marina Adame Velasco    I        I    Notificación de seguimiento  [  MA0306202003 ]      I        I    Aplicación:                  INFOMEX OAXACA    I    Tipo de Soporte:         Ajuste de plazos        I    Estatus:                               Concluido.    I        I    " u="1"/>
        <s v="Buenas tardes Berenice, tu petición fue atendida, favor de validar     I        I    Saludos     I        I    Marina Adame Velasco    I        I    Notificación de seguimiento  [  MA1106202003 ]      I        I    Aplicación:                  INFOMEX OAXACA    I    Tipo de Soporte:         AJUSTES DE PLAZOS        I    Estatus:                               Concluido.    I        I    " u="1"/>
        <s v="Desarrollo del Reporte Estatus, aregando los filtros de periodo de tiempo en el back para los servicios." u="1"/>
        <s v="Configuracion del respnse al consumir el token y devolver estatus 401" u="1"/>
        <s v="Incorporacion de plugin para inicio de sesion con Google" u="1"/>
        <s v="Implementación de Clusterización en 6 Servidores Pre-Productivos Solar" u="1"/>
        <s v="Desarrollo de la funcionalidad para presentar el detalle de los registros para obligaciones" u="1"/>
        <s v="Se cambia el texto que se muestra cuando no existen resultados en buscador de obligaciones" u="1"/>
        <s v="Analisis de reporte de Bitacora de servicios de soporte " u="1"/>
        <s v="Notificación de seguimiento  [  MA1111202006 ]    I        I    Estimado(a):                     José Manuel Flores Robles    I         I    Le informamos que su ticket correspondiente a:    I                       I    eliminación del subfolio 739020-001    I         I    Aplicación:                  INFOMEX QUERÉTARO    I    Tipo de Soporte:         ELIMINAR SUBPROCESO       I    Observaciones:                I         I    Su petición fue atendida    I    " u="1"/>
        <s v="Incorporacion de plugin para inicio de sesion con Twitter" u="1"/>
        <s v="Se testan los datos de la solicitud con folio: 0064101435321" u="1"/>
        <s v="Notificación de seguimiento  [  MA1905202110 ]      I         I         I    Estimado(a):                     Jatziry Jiménez Cruz    I         I         I    Le informamos que su ticket correspondiente a:    I                       I    Por este medio solicito su amable apoyo para realizar la modificación en la Herramienta de Comunicación del .cer del Tribunal Federal de Conciliación y Arbitraje, toda vez que el anterior .cer caducó.     I         I    Aplicación:                  HCOM    I    Tipo de Soporte:         CAMBIO TUT       I    Observaciones:                I         I    " u="1"/>
        <s v="Notificación de seguimiento  [  MA0707202201 ]    I        I        I    Estimado(a):               Lizbeth Adriana Cabrera Ortega    I        I        I        I     Le informamos que su ticket correspondiente a:    I        I    generación DEL EXPEDIENTE BIS del recurso de revisión posteriormente citado.    I         I    Asimismo, te comento que NO DEBERÁ CAMBIAR el sujeto obligado ni el comisionado.    I         I     DICE                                        DEBE DECIR                         SUJETO OBLIGADO           PONENTE    I    RRA 10660_x0009_RRA 858/21-BIS_x0009_CLAUSTRO DE SOR JUANA_x0009_NJRV    I         I    No omito comentarte que el número d expediente que deberá seguir en el consecutivo por turnar en PNT debe ser el RRA 10660/22.    I        I        I        I        I    Aplicación:                  SIGEMI/SICOM    I    Tipo de Soporte:         CAMBIO A BIS" u="1"/>
        <s v="Se sustituye archivo adjunto  del folio:  0673800027021" u="1"/>
        <s v="Respaldar Curso 5 de PA-ENEDA  de la plataforma anterior y restaurar en plataforma actual " u="1"/>
        <s v="Se aplica sustitución de archivo de la solicitud: 0002700016820" u="1"/>
        <s v="Se testan los datos de la solicitud con folio: • 0500100003321    I    • 0500100003421    I    • 0500100003521    I    • 0500100003621 y     I    • 0500100003721    I    " u="1"/>
        <s v="Definición de herramienta para correcta lectura de formatos" u="1"/>
        <s v="Notificación de seguimiento  [  MA0104202201 ]    I        I    Estimado(a):                Abraham Obed Gallardo González    I        I         I     Le informamos que su ticket correspondiente a:    I                       I    CAMBIO DE TITULAR Centro Nacional de Control de Energía (CENACE)    I        I    Aplicación:                  HCOM    I    Tipo de Soporte:         CAMBIO DE TUT       I    Observaciones:                I         I    Su petición fue atendida    I    " u="1"/>
        <s v="Notificación de seguimiento  [  MA1803202110 ]      I         I         I    Estimado(a):                     José Manuel Flores Robles    I         I         I    Le informamos que su ticket correspondiente a:    I                       I    eliminar el subfolio 00200721-001    I         I    Aplicación:                  INFOMEX QUERETARO    I    Tipo de Soporte:         ELIMINAR SUBFOLIO       I    Observaciones:                I         I    Su petición fue atendida    I    " u="1"/>
        <s v="Se sustituye archivo adjunto  del folio:  1816400025621" u="1"/>
        <s v="Atención de las incidencias reportadas por el equipo de calidad y desarrollo del módulo de unidad de transparencia" u="1"/>
        <s v="Modificar login y agregar nuevo modal" u="1"/>
        <s v="Notificación de seguimiento  [  MA0907202001 ]      I         I         I    Estimado(a):                     Betzabé Flores Terán    I         I         I    Le informamos que su ticket correspondiente a:    I                       I    Solicito de su apoyo para actualizar en la Herramienta de Comunicación los certificados de los sujetos obligados de la base que se adjunta, ya que estos han vencido.    I         I         I    Aplicación:                  HCOM       I    Tipo de Soporte:         cambio de TUT   ( 10 )    I    " u="1"/>
        <s v="funcionalidad opciones avanzadas " u="1"/>
        <s v="Se sustituye archivo del folio 0001200127321" u="1"/>
        <s v="Notificación de seguimiento  [  MA0908202108 ]    I        I    Estimado(a):                Gloria Bravo Reyna    I        I         I     Le informamos que su ticket correspondiente a:    I                       I    Solicito su apoyo en esta ocasión para eliminar el comunicado 004597-IFAI-2021.    I        I         I    Aplicación:                  HCOM    I    Tipo de Soporte:         ELIMINAR COMUNICADO       I    Observaciones:                I         I    Su petición fue atendida    I    " u="1"/>
        <s v="Notificación de seguimiento  [  MA1903202102 ]      I         I         I    Estimado(a):                     ALEJANDRA TEJEDA    I         I         I    Le informamos que su ticket correspondiente a:    I                       I    solicito su apoyo con el reporte de solicitudes 2021 con corte al día de hoy.    I         I    Aplicación:                  INFOMEX BCN    I    Tipo de Soporte:         REPORTE       I    Observaciones:                I         I    Su petición fue atendida    I    " u="1"/>
        <s v="Buenas noches Jorge, gusto en saludarte, te adjunto script para que revises el seguimiento de la solicitud y puedas hacer el regreso de pasos por base de datos, el actual lo cambias a 14 y el que vas a activar a estatus 13 en las tablas paso y pasoresponsable    I        I    Cualquier duda estoy a tus ordenes    I        I    Saludos     I        I    Marina     I    " u="1"/>
        <s v="Despliegue de archivos binarios de Resolución almacenados en BD." u="1"/>
        <s v="Se continúa con la consulta y recuperación de adjuntos del estado de Sonora, donde se logran recuperar  un total de 972  adjuntos de 3,268 faltantes.     I    Se inicia el proceso de consultas de adjuntos faltantes del estado de Zacatecas." u="1"/>
        <s v="Notificación de seguimiento  [  MA2107202002 ]      I         I         I    Estimado(a):                     Lizbeth Adriana Cabrera Ortega    I         I    Le informamos que su ticket correspondiente a:    I                       I    detecté que el acuerdo de turno no estaba correcto nuevamente. A pesar de que tú y yo ya habíamos validado en SKYPE que se había efectuado el cambio y quedó correcto.    I        I    Pues CONTINÚA DICIENDO Javier Montiel Ante    I        I    No así Ricardo Rodríguez Zavala    I        I    Pido tu apoyo, pues como te muestro con pantalla, aparece mal el acuerdo de turno.    I        I         I    Aplicación:                  SIGEMI    I    Tipo de Soporte:         Corrección de acuerdo      I    " u="1"/>
        <s v="Se aplica eliminación de respuesta al folio: 0001600508619" u="1"/>
        <s v="Buenas tardes Berenice, tu petición fue atendida, favor de validar     I        I    Saludos     I        I    Marina Adame Velasco    I        I    Notificación de seguimiento  [  MA3006202002 ]      I        I    Aplicación:                  INFOMEX OAXACA    I    Tipo de Soporte:         AJUSTE DE PLAZOS     I    Estatus:                               Concluido.    I        I    " u="1"/>
        <s v="Se localizan datos de la solicitud: 0422000015319." u="1"/>
        <s v="Se aplica testado de datos al folio: 0000700108020." u="1"/>
        <s v="Notificación de seguimiento  [  MA0909202004 ]      I         I         I    Estimado(a):                     Ricardo Marin Gonzalez    I         I    Le informamos que su ticket correspondiente a:    I                       I    TE COMPARTO EL ARCHIVO CON LA VALIDACIÓN DE LOS PLAZOS    I         I    Aplicación:                  SIGEMI    I    Tipo de Soporte:         CAMBIO DE PLAZOS      I    Observaciones:                I         I    Su petición fue atendida, se realizó la modificación de plazos     I         I        I    " u="1"/>
        <s v="Reportan problemas con el proceso de semáforos para desechar solicitudes" u="1"/>
        <s v="Buenas tardes Moisés, tu petición fue atendida, favor de validar     I        I    Saludos     I        I    Marina Adame Velasco    I        I    Notificación de seguimiento  [  MA0309202003 ]      I        I    Aplicación:                  INFOMEX PUEBLA     I    Tipo de Soporte:         Modificacion de plazo        I    Estatus:                               Concluido.    I    " u="1"/>
        <s v="Implementación cálculos por medio reproducción seleccionado" u="1"/>
        <s v="Se  testan los datos del folio:  1816800001921" u="1"/>
        <s v="Se generan 2 certificados para las dependencias con claves: 07151,07152." u="1"/>
        <s v="Baja de Sujeto Obligado &quot;Agencia de Servicios a la Comercialización y Desarrollo de Mercados Agropecuarios”, con número de clave 08100." u="1"/>
        <s v="Se  testan los datos del folio: 3670000018021  " u="1"/>
        <s v="cambio de modalidad solicitud 0064103117720" u="1"/>
        <s v="Se cambian colores de campos deshabilitados en perfil&gt;estaditicos" u="1"/>
        <s v="Pruebas Aplicación PNT " u="1"/>
        <s v="Se sustituye archivo adjunto  del folio:  0673800027521" u="1"/>
        <s v="Se habilita el acceso para dos usuarios: Ana Laura Gómez  y Luis David Trinidad Hernández en prodatos" u="1"/>
        <s v="Buenas tardes José Luis, anexo la información solicitada del Sujeto Obligado H. Ayuntamiento de Puebla    I        I    Quedo atenta a tus comentarios    I        I    Saludos    I        I    Marina Adame Velasco    I    " u="1"/>
        <s v="Notificación de seguimiento [ MA1001202003 ]     I          I          I     Estimado(a): Rafael González    I          I     Le informamos que su ticket correspondiente a:    I          I     Carga de archivo     I         I          I     Aplicación: SIGEMI    I     Tipo de Soporte: CARGA DE TURNO     I     Observaciones:     I          I     Su petición fue atendida    I          I         I          I      Favor de validar.    I          I     Estatus: Concluido." u="1"/>
        <s v="Notificación de seguimiento  [  MA2402202006 ]      I         I         I    Estimado(a):                     Lizbeth Adriana Cabrera Ortega    I         I    Le informamos que su ticket correspondiente a:    I                       I    Me permito solicitar su valioso apoyo a fin de cambiar la fecha de interposición al día hábil siguiente.    I         I    Aplicación:                  SIGEMI    I    Tipo de Soporte:         Actualización de fecha de interposición      I    Observaciones:                I         I    Su petición fue atendida    I    " u="1"/>
        <s v="Desarrollo de frontend" u="1"/>
        <s v="Generar certificado para SOs obligados SEDENA" u="1"/>
        <s v="Creación de tablero principal y su paginación para la opción de “Solicitudes pendientes”" u="1"/>
        <s v="    I    Buenas tardes Rafael, tu petición fue atendida, te comento que en el caso de Michoacan, Guerrero y Queretaro, no hay registros, favor de validar     I        I    Saludos     I        I    Marina Adame Velasco    I        I    Notificación de seguimiento  [  MA3009202005 ]      I        I    Aplicación:                  INFOMEX ( varios)    I    Tipo de Soporte:         CONSULTA DE DATOS        I    Estatus:                               Concluido.    I        I    " u="1"/>
        <s v="Se aplica eliminación de ultima respuesta al folio: 0001200028920." u="1"/>
        <s v="Integrantes del SNT" u="1"/>
        <s v="Analisis de Gestión Interna " u="1"/>
        <s v="Notificación de seguimiento  [  MA1603202112 ]      I         I         I    Estimado(a):                     Edgar Michel Loaeza Martínez    I         I         I    Le informamos que su ticket correspondiente a:    I                       I    Por medio del presente solicito su valioso apoyo a efecto de realizar la renovación de certificado del sujeto obligado indirecto de la Secretaría de Comunicaciones y Transportes en el hcom.    I         I    Aplicación:                  HCOM    I    Tipo de Soporte:         CAMBIO TUT   (8)    I    " u="1"/>
        <s v="Notificación de seguimiento  [  MA0912202102 ]    I        I    Estimado(a):                Jatziry Jiménez Cruz    I        I         I     Le informamos que su ticket correspondiente a:    I                       I    Solicito su apoyo para realizar la actualización en la herramienta de comunicación del .cer que se adjunta, toda vez que dicho certificado se actualizó por vencimiento.     I         I    Aplicación:                  HCOM    I    Tipo de Soporte:         CAMBIO DE TUT      I    Observaciones:                I         I    Su petición fue atendida    I    " u="1"/>
        <s v="Notificación de seguimiento  [  MA0206202111 ]    I        I    Estimado(a):                Edgar Michel Loaeza Martínez    I        I         I     Le informamos que su ticket correspondiente a:    I                       I    Por medio del presente, me permito solicitar su valioso apoyo a efecto de realizar la renovación de certificados de los sujetos obligados indirectos de la Secretaría de la Defensa Nacional en el hcom.    I        I         I    Aplicación:                  HCOM     I    Tipo de Soporte:         CAMBIO DE TUT       I    Observaciones:                I         I    Su petición fue atendida    I         I         I    " u="1"/>
        <s v="Notificación de seguimiento [ MA2101202002 ]     I          I          I     Estimado(a): Yahiziny Pérez Rodríguez    I          I     Le informamos que su ticket correspondiente a:    I          I         I     - Respecto del recurso de revisión RRD 0081/20 interpuesto en contra del IMSS en la pestaña “Información del medio de impugnación” se cambie el medio de notificación a DOMICILIO FISICO, pues el recurrente señaló una dirección física para oír y recibir notificaciones.    I          I          I     Aplicación: SIGEMI    I     Tipo de Soporte: CAMBIO DE MEDIO" u="1"/>
        <s v="Modificar las vistas materializadas para que consulten las nuevas tablas del esquema postges" u="1"/>
        <s v="Se cambia el tipo de solicitud del folio: 0063700361521" u="1"/>
        <s v="Notificación de seguimiento  [  MA1407202205 ]    I        I        I    Estimado(a):               María Fernanda Trejo Vargas    I     Le informamos que su ticket correspondiente a:    I        I    …  la nueva titular es: Paula López Cedillo, esta persona ya está actualizada en el Directorio de TUT, por lo que ya es una información validada.    I        I        I    Aplicación:                  HCOM    I    Tipo de Soporte:        GENERACIÓN DE CERTIFICADO Y CAMBIO DE TUT     I    Observaciones:                I         I    Su petición fue atendida." u="1"/>
        <s v="Se  testan los datos del folio: 0320000423621" u="1"/>
        <s v="Se aplica testado de datos al folio: 0064102874120" u="1"/>
        <s v="Se genero certificado para SENADO" u="1"/>
        <s v="Alta de usuarios:    I    SMONTOYA    I    HVAZQUEZ" u="1"/>
        <s v="Continúa y concluye el proceso para la extracción de adjuntos del estado de Guanajuato vía http. Falta identificar los no recuperados de la bitácora.    I    Continúa el apoyo en consultas y validación de la información generada con las bases de datos en custodia (casos de diversos estados) en lo referente principalmente a documentación adjunta.    I    " u="1"/>
        <s v="Se elimina la respuesta del folio: 1026500024421" u="1"/>
        <s v="Notificación de seguimiento  [  MA1010202201 ]    I        I    Estimado(a):                Edgar Michel Loaeza Martínez     I         I     Le informamos que su ticket correspondiente a:    I         I    Estimados Solicito su apoyo para que dichos certificados sean sustituidos en el sistema Hcom.    I        I    Para tal efecto adjunto base de datos y certificados que amablemente me generaron e hicieron llegar.    I         I         I    Aplicación:                HCOM    I    Tipo de Soporte        Actualización de certificados ( 37 )    I    Observaciones:                I         I    Su petición fue atendida, excepto para los Sujetos Obligados:    I        I    SHCP-Mandato Pago  ( 6053), ya que el usuario titular asignado no es el que se describe en el certificado    I        I    SHCP-Fondo de Apoyo para la Reestructura de Pensiones (FARP)    ( 6028), porque el estatus del SO es BAJA    I         I         I    Favor de validar.    I         I    Estatus:                               Concluido" u="1"/>
        <s v="Se aplica eliminación de formato de pago: 0410000000221" u="1"/>
        <s v="Notificación de seguimiento  [  MA2406202001 ]      I         I         I    Estimado(a):                     PEDRO ESQUIVEL MARTÍNEZ    I         I    Le informamos que su ticket correspondiente a:    I                       I    Por este medio envío los archivos / credenciales para el ajuste correspondiente en HCOM para el Sujeto Obligado: Instituto Nacional de la Infraestructura Física Educativa.    I        I         I    Aplicación:                  HCOM    I    Tipo de Soporte:         CAMBIO TUT      I    Observaciones:                I         I    Su petición fue atendida    I    " u="1"/>
        <s v="Se testan los datos de la solicitud con folio: 0064101439321" u="1"/>
        <s v="Se consultan datos de la solicitud 0064101467121" u="1"/>
        <s v="Se agregan validaciones al momento de genear busqueda" u="1"/>
        <s v="Se  testan los datos del folio:  0064101344021" u="1"/>
        <s v="Se cambia el tipo de solicitud del folio: 0063500045921" u="1"/>
        <s v="Entidad catalogo integrante lado publico " u="1"/>
        <s v="Generar certificados para indirectos SEDENA" u="1"/>
        <s v="Notificación de seguimiento  [  MA0403202003 ]      I         I         I    Estimado(a):                     Rosalinda Coria Mosqueda    I         I    Le informamos que su ticket correspondiente a:    I                       I        I    Agradeceré su apoyo para regresar el recurso RRD 0264/20 en contra del INFONAVIT, a la actividad de admitir/prevenir, toda vez que se adjuntó un archivo diferente.    I        I        I         I    Aplicación:                  SIGEMI    I    Tipo de Soporte:         REGRESO DE PASOS      I    Observaciones:                I         I    Su petición fue atendida    I    " u="1"/>
        <s v="Notificación de seguimiento  [  MA1303202002 ]      I         I         I    Estimado(a):                     Edgar Michel Loaeza Martínez    I         I    Le informamos que su ticket correspondiente a:    I                       I        I    Por medio del presente solicito su valioso apoyo a efecto de realizar la renovación de certificado del Titular de la Unidad de Transparencia de la Secretaría de Turismo.    I         I    Aplicación:                  HCOM    I    Tipo de Soporte:         RENOVACION DE CERTIFICADO       I    Observaciones:                I         I    Su petición fue atendida    I    " u="1"/>
        <s v="Buenas tardes Alan, te informo que el respaldo de su base de datos de esta semana ya está en el repositorio…       I        I        I    http://documentos.inai.org.mx/tmp/infomex_tlaxcala_backup_2020-06-01_0800.bak    I        I        I    NOTA: El respaldo estará disponible una semana.    I    " u="1"/>
        <s v="Buenas tardes Alan, te informo que el respaldo de su base de datos de esta semana ya está en el repositorio…       I        I        I    http://documentos.inai.org.mx/tmp/infomex_tlaxcala_backup_2020-06-08_0800.bak    I        I        I    NOTA: El respaldo estará disponible una semana.    I    " u="1"/>
        <s v="Buenas tardes Alan, te informo que el respaldo de su base de datos de esta semana ya está en el repositorio…       I        I        I    http://documentos.inai.org.mx/tmp/infomex_tlaxcala_backup_2020-06-15_0800.bak    I        I        I    NOTA: El respaldo estará disponible una semana.    I    " u="1"/>
        <s v="Buenas tardes Alan, te informo que el respaldo de su base de datos de esta semana ya está en el repositorio…       I        I        I    http://documentos.inai.org.mx/tmp/infomex_tlaxcala_backup_2020-06-22_0800.bak    I        I        I    NOTA: El respaldo estará disponible una semana.    I    " u="1"/>
        <s v="Buenos días Gilberto, tu petición fue atendida, favor de validar     I        I    UPDATE PHSI SET Cb7c0c665 = NULL WHERE GUIDPROCESO = ( SELECT GUIDPROCESO FROM PROCESO WHERE FOLIO = '00000118');    I        I        I    Saludos     I        I    Marina Adame Velasco    I        I    Notificación de seguimiento  [  MA0608202003 ]      I        I    Aplicación:                  INFOMEX GUANAJUATO    I    Tipo de Soporte:         SCRIPT       I    Estatus:                               Concluido.    I        I    " u="1"/>
        <s v="Notificación de seguimiento  [  MA2008202104 ]    I        I    Estimado(a):                Francisco Javier Lira Pérez    I        I         I     Le informamos que su ticket correspondiente a:    I                       I    A fin de solicitar en el RR/4843/2021, el cambio de sujeto obligado, ya que erróneamente se dirigió a la Secretaría General de Gobierno (DGC), cuando el correcto es a la Secretaría de Seguridad Pública (DGC).    I         I         I    Aplicación:                  SIGEMI    I    Tipo de Soporte:         CAMBIO DE SO      I    Observaciones:                I         I    Su petición fue atendida    I    " u="1"/>
        <s v="Se testan  5 solicitudes del SO CFE" u="1"/>
        <s v="Notificación de seguimiento  [  MA2503202113 ]      I         I         I    Estimado(a):                     Pedro Esquivel Martínez    I         I         I    Le informamos que su ticket correspondiente a:    I                       I    solicito su valioso para asignar en la herramienta de comunicación HCOM de acuerdo al siguiente cuadro descriptivo:     I         I    Clave Presupuestal    Sujeto Obligado Titular de la unidad de transparencia    CERTIFICADO A GENERAR    Contraseña    correo asignado    I    17111      I    Fondo de ahorro capitalizable para los trabajadores operativos del INACIPE Bertha Elena González Hernández   17111.Bertha Elena González Hernández   HCOM:    I    HCOM04950    I         I    INFOMEX    I    SISI04950  bertha.gonzalez@inacipe.gob.mx    I        I        I        I    Aplicación:                  HCOM    I    Tipo de Soporte:         CAMBIO TUT       I    " u="1"/>
        <s v="Evaluación y diseño de scprits para muestreo de etiquetas" u="1"/>
        <s v="Notificación de seguimiento  [  MA1305202201 ]    I        I    Estimado(a):                Abraham Obed Gallardo González    I        I         I     Le informamos que su ticket correspondiente a:    I        I        I    En alcance a la cadena de correos que antecede, como comentamos, solicito tu amable apoyo para actualizar en HCOM al TUT del INSABI con base en la información de certificado provisional que amablemente se crearon para el efecto.    I         I         I    Aplicación:                  HCOM    I    Tipo de Soporte:         CAMBIO DE TUT         I    Observaciones:                I         I    Su petición fue atendida    I    " u="1"/>
        <s v="Modificación de servicos para la consulta de usuarios" u="1"/>
        <s v="Ambientación para campus Organismos Garantes versión 3.7.3" u="1"/>
        <s v="Refactorización detalle solicitud (row expandible)" u="1"/>
        <s v="Se agrega el metodo para eliminar un archivo preexistente antes de descargar uno nuevo" u="1"/>
        <s v="analisis y funcionalidad de los sectores " u="1"/>
        <s v="Se aplica eliminación de formato de pago al folio: 0495000051219" u="1"/>
        <s v="Integración del front-end y back-end para la carga de pagos " u="1"/>
        <s v="Ejecutar el proceso de migracion nuevamente y realizar ajuste al volumen de datos que migra" u="1"/>
        <s v="Ejecución de OT 2 Campus Garantes" u="1"/>
        <s v="Se aplica el testado de datos de la solicitud: 0000700022620" u="1"/>
        <s v="Se aplica eliminación de formato de pago: 0002000124021" u="1"/>
        <s v="Se sustituye archivo adjunto  y se testan datos del folio: 1816400025521" u="1"/>
        <s v="Notificación de seguimiento  [  MA0609202202 ]    I        I    Estimado(a):                Edgar Michel Loaeza Martínez    I        I        I     Le informamos que su ticket correspondiente a:    I                       I    Por medio del presente solicito su valioso apoyo a efecto de realizar cambio del Titular de la Unidad de Transparencia del Servicio de Administración Tributaria.    I        I    Para tal efecto, anexo al presente el certificado correspondiente, cédula de registro y nombramiento, lo anterior, a fin de que sus accesos sean habilitados en los sistemas que administra este Instituto (HCOM).      I        I         I    Aplicación:                  HCOM    I    Tipo de Soporte:         CAMBIO DE TUT     I    Observaciones:                I         I    Su petición fue atendida    I         I         I                 Favor de validar.                                                                                                                                                                        I         I    Estatus:                               Concluido" u="1"/>
        <s v="Se cambia el tipo de solicitud del folio: 0933800012421" u="1"/>
        <s v="Notificación de seguimiento  [  MA2508202006 ]      I         I         I    Estimado(a):                     Laura Mónica Segovia Téllez    I         I    Le informamos que su ticket correspondiente a:    I                       I    regresar el paso de los cierre de instrucción que a continuación mencionare del derivado de que se debe hacer una notificación antes.    I         I    • RRA 06882/20 vs SE    I    • RRA 07112/20 vs COFEPRIS    I    • RRD 00921/20    I        I         I    Aplicación:                  SIGEMI    I    Tipo de Soporte:         ELIMINAR CIERRE ( 3 )      I    Observaciones:                I         I    Su petición fue atendida    I    " u="1"/>
        <s v="Se sustituye archivo adjunto del folio:0064102856720" u="1"/>
        <s v="Actualizar fecha limite de la solicitud 2800100013121" u="1"/>
        <s v="Aumento de tiempo en expiración de token para Veracruz" u="1"/>
        <s v="Se sustituye archivo adjunto del folio: 0064100740520." u="1"/>
        <s v="Se aplica eliminación de formato de pago: 0002000284020" u="1"/>
        <s v="Revision de componentes construidos" u="1"/>
        <s v="Notificación de seguimiento  [  MA0210202006 ]      I        I         I        I         I        I    Estimado(a):                     Lizbeth Adriana Cabrera Ortega    I        I         I        I    Le informamos que su ticket correspondiente a:    I        I                       I        I    Pido tu amable apoyo para modificar sujeto obligado de los dos recursos indicados en el asunto.    I        I         I        I    DEBE DECIR  SINDICATO DE TRABAJADORES ACADÉMICOS DE LA UNIVERSIDAD AUTÓNOMA CHAPINGO    I        I         I        I    Adicional encontrarás los acuerdos de turno con el cambio para que sean incorporados al expediente electrónico.    I        I         I        I    ​    I        I         I        I    Aplicación:                  SIGEMI    I        I    Tipo de Soporte:         CAMBIO DE SO Y ACTUALIZACIÓN DE ARCHIVO ( 2 )     I        I    Observaciones:                I        I         I        I    Su petición fue atendida    I        I         I        I         I        I     " u="1"/>
        <s v=" Buenas tardes Martha, tu petición fue atendida, favor de validar    I        I         I        I    Saludos    I        I         I        I    Marina Adame Velasco    I        I         I        I    Notificación de seguimiento  [  MA2310202008 ]      I        I         I        I    Aplicación:                  INFOMEX NUEVO LEÓN    I        I    Tipo de Soporte:         AJUSTE DE PLAZOS      I        I    Estatus:                               Concluido." u="1"/>
        <s v="Notificación de seguimiento  [  MA2605202004 ]      I         I         I    Estimado(a):                     Rosalinda Coria Mosqueda    I         I    Le informamos que su ticket correspondiente a:    I                       I        I    Agradeceré regresar el recurso RRD 00699/20 a la actividad de admitir/prevenir; toda vez que se hizo una notificación de Prevención el día de ayer, 25 de mayo, y es un sujeto obligado que solicito la suspensión de plazos y le fue otorgada la misma.    I        I         I    Aplicación:                  SIGEMI    I    Tipo de Soporte:         REGRESO DE PASOS      I    Observaciones:                I         I    Su petición fue atendida    I    " u="1"/>
        <s v="Se generó certificado para usuario de dependencia indirectos de SENER" u="1"/>
        <s v="Buenos días, les informo que el respaldo de su base de datos de esta semana ya está en el repositorio…       I        I        I    http://documentos.inai.org.mx/tmp/infomexNL_backup_2021-06-21_0800.bak    I        I        I         I    Saludos Cordiales    I         I    Marina Adame Velasco           I        I        I    Notificación de seguimiento  [  MA2106202102 ]    I         I    Aplicación:                  INFOMEX NUEVO LEÓN     I    Tipo de Soporte:         RESPALDO DE BD      I        I    Estatus:                               Concluido    I        I    " u="1"/>
        <s v="     I    Notificación de seguimiento  [  MA0311202003 ]      I         I         I    Estimado(a):                     Laura Mónica Segovia Tellez    I         I         I    Le informamos que su ticket correspondiente a:    I                       I    regresar el paso del RRA 8767/20 del cierre de instrucción derivado de que se adjuntó un acuerdo que no corresponde.    I         I    Aplicación:                  SIGEMI    I    Tipo de Soporte:         Eliminar cierre de instrucción       I    Observaciones:                I         I    Su petición fue atendida    I         I         I    " u="1"/>
        <s v="Se elimina la respuesta del folio:  1222000033921" u="1"/>
        <s v="Notificación de seguimiento  [  MA0502202008 ]      I         I         I    Estimado(a):                     Alondra Jiménez Hernández    I         I    Le informamos que su ticket correspondiente a:    I                       I         I    Anexo el registro actualizado del certificado del nuevo Titular de la Unidad de Transparencia del INEGI, para que se habilite su acceso en la Herramienta de Comunicación.     I        I         I    Aplicación:                  HCOM       I    Tipo de Soporte:         CAMBIO DE TUT       I    " u="1"/>
        <s v="Notificación de seguimiento  [  MA0103202113 ]      I         I         I    Estimado(a):                     ALONDRA JIMENEZ HERNANDEZ     I         I         I    Le informamos que su ticket correspondiente a:    I                       I    Anexo el registro renovado del certificado del Titular de la Unidad de Transparencia de la Centro de Investigación en Materiales Avanzados, S.C. para que su acceso sea habilitado en la Herramienta de Comunicación.     I         I    Aplicación:                  HCOM    I    Tipo de Soporte:         CAMBIO TUT       I    Observaciones:                I         I    Su petición fue atendida, se realizó el ajuste al titular correcto, con los datos enviados para la renovación de su acceso    I         I          I                Favor de validar.    I         I    Estatus:                               Concluido.    I        I    " u="1"/>
        <s v="Se aplica testado de datos al folio: 0700200001020." u="1"/>
        <s v="Se cambia el tipo de solicitud del folio: 0933800012621" u="1"/>
        <s v="Notificación de seguimiento  [  MA1407202009 ]      I         I         I    Estimado(a):                      JUAN PEDRO RAMIREZ FLORES    I         I    Le informamos que su ticket correspondiente a:    I                       I    A causa de un error involuntario dentro del recurso de revisión RRAIP-726/2020, no se capturó el nombre del recurrente, hecho por el cual me veo en la necesidad de solicitar su ayuda para lograr capturar el nombre de la parte recurrente, el cual es: Leonardo Aguilar Pérez.    I        I         I    Aplicación:                 SIGEMI    I    Tipo de Soporte:        Corrección de datos      I    Observaciones:                I         I    Su petición fue atendida    I    " u="1"/>
        <s v="Buenas tardes José Manuel, tu petición fue atendida, favor de validar     I        I    Saludos     I        I    Marina Adame Velasco    I        I    Notificación de seguimiento  [  MA0406202005 ]      I        I    Aplicación:                  INFOMEX QUERÉTARO     I    Tipo de Soporte:         CONSULTA DE DATOS        I    Estatus:                               Concluido.    I        I    " u="1"/>
        <s v="Respaldar Curso 3 de PA-ENEDA  de la plataforma anterior y restaurar en plataforma actual " u="1"/>
        <s v="Creación de listener y Verificar el buen funcionamiento de la base de datos" u="1"/>
        <s v="Prueba de concepto para funcionalidad con programación reactiva continuación" u="1"/>
        <s v="Notificación de seguimiento  [  MA2810202201 ]    I        I    Estimado(a):                Lizbeth Adriana Cabrera Ortega    I        I        I     Le informamos que su ticket correspondiente a:    I        I    Con el gusto de saludarles me permito solicitar tu valioso apoyo respecto de la generación UN EXPEDIENTE BIS del recurso de revisión posteriormente citado.    I         I    Asimismo, te comento que NO DEBERÁ CAMBIAR el sujeto obligado, ni el Comisionado correspondiente.     I         I     DICE                                        DEBE DECIR                         SUJETO OBLIGADO           PONENTE    I        I    RRD 2280/22_x0009_RRD 1347/21-BIS_x0009_FGR_x0009_NJRV    I         I    No omito comentarte que el número de expediente que deberá seguir en el consecutivo por turnar en PNT debe ser el RRD 2280/22.    I        I    Aplicación:                 SIGEMI/SICOM    I    Tipo de Soporte        CAMBIO A EXPEDIENTE BIS    I        I        I    Observaciones:                I    Su petición fue atendida.    I        I        I    Favor de validar.    I    Estatus:                               Concluido" u="1"/>
        <s v="Modificación módulo de administración para obtención de sentido del nuevo catalogo." u="1"/>
        <s v="Buenas tardes Joel, tu petición fue atendida, favor de validar     I         I     Saludos     I         I     Marina Adame Velasco    I         I     Notificación de seguimiento [ MA1401202003 ]     I         I     Aplicación: INFOMEX COLIMA    I     Tipo de Soporte: Consulta de datos     I     Estatus: Concluido." u="1"/>
        <s v="Notificación de seguimiento  [  MA0810202003 ]      I         I         I    Estimado(a):                     Laura Mónica Segovia Tellez    I         I    Le informamos que su ticket correspondiente a:    I                       I        I    Derivado de la solicitud del particular solicito su amable apoyo a fin de que sea cambiado el medio de notificación al correo electrónico siguiente  solicitudesceaip@gmail.com del recurso RRD 01266/20    I        I         I    Aplicación:                  SIGEMI    I    Tipo de Soporte:         CAMBIO DE MEDIO     I    Observaciones:                I         I    Su petición fue atendida    I        I    " u="1"/>
        <s v="Modificación del módulo de consulta para la obtención del sentido del nuevo catalogo." u="1"/>
        <s v="Se actualizaron valores de Turno " u="1"/>
        <s v="Se cambia el tipo de solicitud del folio: 0933800012821" u="1"/>
        <s v="Código del Recibo de Pago" u="1"/>
        <s v="Notificación de seguimiento  [  MA3011202007 ]      I         I         I    Estimado(a):                     Berenice Hernández Sumano    I         I         I    Le informamos que su ticket correspondiente a:    I                       I    solicito la afectación en base de datos de la fecha de caducidad de las solicitudes    I         I    Aplicación:                  INFOMEX OAXACA    I    Tipo de Soporte:         AJUSTE DE PLAZOS       I    Observaciones:                I         I    Su petición fue atendida    I         I    " u="1"/>
        <s v="Se sustituye archivo adjunto  del folio:  1816400125621" u="1"/>
        <s v="REPORTE DE SOLICITUDES REGISTRADAS" u="1"/>
        <s v="Se  testan los datos de la solicitud con folio 1857200142121    I         I    " u="1"/>
        <s v="Se cambia el tipo de solicitud del folio: 0063700040921 y 0063700041321" u="1"/>
        <s v="Se  testan los datos del folio: 0064101759521" u="1"/>
        <s v="Se cambian la navegacion de pantallas de inicio, la ruta anterior no estara dfisponible al iniciar sesion" u="1"/>
        <s v="Se cambia el tipo de solicitud del folio: 0064101813021 " u="1"/>
        <s v="Notificación de seguimiento  [  MA2309202002 ]      I         I         I    Estimado(a):                     César Iván Orenda Rojas    I         I    Le informamos que su ticket correspondiente a:    I                       I    Poder regresar el paso en la Plataforma Nacional de Transparencia a efecto de practicar la notificación de manera correcta.    I         I    Aplicación:                  SIGEMI    I    Tipo de Soporte:         REGRESO DE PASOS      I    Observaciones:                I         I    Su petición fue atendida    I         I    " u="1"/>
        <s v="Se añade lib de documentacion compodoc, se añade funcionalidad a rol buscar, y rol eliminar" u="1"/>
        <s v="Se procede con la creación del insumo para el procesamiento de recuperación de adjuntos faltantes del proceso del estado de Sonora, donde se requiere recuperar (5,321) adjuntos, se logra recuperar un total de (2,053), se continúa con el análisis para el procesamiento de recuperación de más adjuntos.    I    Se procede con la generación del insumo del estado de Baja California Sur, para el procesamiento de recuperación de 5,475 adjuntos." u="1"/>
        <s v="Instalación en ambiente preproductivo" u="1"/>
        <s v="Junta de modulos de Usuarios y especificación de mapa de actividades y continuacion de revisión de configuracion de querys personalizados" u="1"/>
        <s v="Estimado(a):                     Lizbeth Adriana Cabrera Ortega    I         I    Le informamos que su ticket correspondiente a:    I                       I    Solicito de su amable apoyo a fin de modificar la fecha de interposición al día hábil siguiente, pues son recursos ingresados por INFOMEX en un horario inhábil.    I        I    Debe decir 25 de febrero     I         I    Aplicación:                  SIGEMI    I    Tipo de Soporte:         Cambio de fecha de interposición      I    Observaciones:                I         I    Su petición fue atendida    I    " u="1"/>
        <s v="Notificación de seguimiento  [  MA2909202005 ]      I         I         I    Estimado(a):                     RICARDO MARIN    I         I    Le informamos que su ticket correspondiente a:    I                       I    TE COMPARTO EL ARCHIVO CON LA VALIDACIÓN DE LOS PLAZOS, LAS OBSERVACIONES ESTÁN MARCADAS EN COLOR ROJO. QUEDO PENDIENTE POR CUALQUIER DUDA AL RESPECTO.    I         I    Aplicación:                  SIGEMI    I    Tipo de Soporte:         AJUSTE DE FECHAS       I    Observaciones:                I         I    Su petición fue atendida    I         I    " u="1"/>
        <s v="Se aplica testado de datos al folio:  0002700040921" u="1"/>
        <s v="Se sustituye archivo adjunto y se testan los datos del folio:  1816700000821" u="1"/>
        <s v="Atención de requerimientos DGCR, desarrollo de objetos java, vistas, integraciones y servicios, controladores y todas las configuraciones de código para implementar las especificaciones del requerimiento" u="1"/>
        <s v="Se elimina la respuesta del folio: 0110000041621 " u="1"/>
        <s v="Se cambia el tipo de solicitud del folio:0001200413821 y 0001200413921" u="1"/>
        <s v="Se sustituye archivo adjunto  del folio:  0210000099521" u="1"/>
        <s v="Notificación de seguimiento [ MA2101202004 ]     I          I          I     Estimado(a): Lizbeth Adriana Cabrera Ortega    I          I     Le informamos que su ticket correspondiente a:    I          I     Mucho agradeceré tengas a bien apoyarme con esta solicitud de apoyo, ya que se comunica la Ponencia conmigo que aún no ha quedado atendido el cambio de sujeto obligado, asimismo, nuevamente agrego el acuerdo para que sea adicionado al expediente.    I          I     Aplicación: SIGEMI    I     Tipo de Soporte: ACTUALIZACIÓN DE ARCHIVO Y CAMBIO DE SO" u="1"/>
        <s v="Notificación de seguimiento  [  MA2105202112 ]      I         I         I    Estimado(a):                     Alejandra Tejeda    I         I         I    Le informamos que su ticket correspondiente a:    I                       I    solicito su apoyo para regresar el paso “Evaluación de cumplimiento” dentro del recurso RR/270/2020.    I        I         I    Aplicación:                  SIGEMI    I    Tipo de Soporte:         REGRESO DE PASOS       I    Observaciones:                I         I    Su petición fue atendida    I         I          I                Favor de validar.    I         I    Estatus:                               Concluido.    I    " u="1"/>
        <s v="Se sustituye archivo adjunto y se testan los datos del folio:  1816900000821" u="1"/>
        <s v="Notificación de seguimiento  [  MA1407202202 ]    I        I        I    Estimado(a):               Edgar Michel Loaeza Martínez    I     Le informamos que su ticket correspondiente a:    I        I    Por medio del presente solicito su valioso apoyo a efecto de realizar cambio del Titular de la Unidad de Transparencia de la Agencia Nacional de Aduanas de México (ANAM) con número de clave 06052, lo anterior, en virtud de que, ya cuentan con su propia Unidad de Transparencia.    I        I    Para tal efecto, anexo al presente el certificado correspondiente, cédula de registro y nombramiento, lo anterior, a fin de que sus accesos sean habilitados en los sistemas que administra este Instituto (HCOM).      I        I    Aplicación:                  HCOM    I    Tipo de Soporte:        CAMBIO DE TUT        I    Observaciones:                I         I    Su petición fue atendida.    I        I    " u="1"/>
        <s v="Buenos días, les informo que el respaldo de su base de datos de esta semana ya está en el repositorio…       I        I    http://documentos.inai.org.mx/tmp/infomexGUERRERO_backup_2021-06-21_0800.bak    I        I    Saludos Cordiales    I    Marina Adame Velasco           I        I        I    Notificación de seguimiento  [  MA2106202103 ]    I         I    Aplicación:                  INFOMEX GUERRERO     I    Tipo de Soporte:         RESPALDO DE BD      I        I    Estatus:                               Concluido    I        I    " u="1"/>
        <s v="Se aplica el testado de datos de la solicitud: 1117100231419" u="1"/>
        <s v="Análisis y atención a incidencias presentadas en solicitudes migradas en SISAI - FEDERAL" u="1"/>
        <s v="Validación de acceso a la información sobre los JSON compartidos para SICOM" u="1"/>
        <s v="Respaldar Curso 8  de la plataforma anterior y restaurar en plataforma actual " u="1"/>
        <s v="Corrección liga informes de labores 2010" u="1"/>
        <s v="Notificación de seguimiento  [  MA0303202002 ]      I         I         I    Estimado(a):                     Sergio Rafael Cortés Alpizar    I         I    Le informamos que su ticket correspondiente a:    I                       I    Por este medio solicito su amable apoyo para que se regrese la actividad en la PNT a “Admitir/Prevenir/Desechar”, del siguiente recurso:    I         I    RRA 2141/20 vs BIENESTAR    I         I    Aplicación:                  SIGEMI    I    Tipo de Soporte:         REGRESO DE PASOS      I    Observaciones:                I         I    Su petición fue atendida    I         I        I    " u="1"/>
        <s v="Se aplica el cambio de modalidad para el folio: 0064100040820" u="1"/>
        <s v="Se aplica el testado de datos de la solicitud: 0064100158720." u="1"/>
        <s v="Realizar correcciones derivadas de las pruebas de integración de Custom Queries" u="1"/>
        <s v="Notificación de seguimiento  [  MA2303202105 ]      I         I         I    Estimado(a):                     Pedro Esquivel Martínez    I         I         I    Le informamos que su ticket correspondiente a:    I                       I    se sustituya el presente en la Herramienta de comunicación HCOM, esto en relación al siguiente cuadro descriptivo:    I         I    Clave Presupuestal    Sujeto Obligado Titular de la unidad de transparencia    CERTIFICADO A GENERAR    Contraseña       I    04950      I    Archivo General de la Nación Marco Palafox Schmid 04950.Marco Palafox Schmid HCOM:    I    HCOM04950    I         I    INFOMEX    I    SISI04950     I         I    Aplicación:                  HCOM    I    Tipo de Soporte:         RENOVAR CERTIFICADO       I    Observaciones:                I         I    Su petición fue atendida    I         I          I                Favor de validar.    I         I    Estatus:                               Concluido.    I        I    " u="1"/>
        <s v="Prueba del script de reconocimiento de caracteres dentro de SIGEMI-SICOM" u="1"/>
        <s v="Notificación de seguimiento  [  MA2403202005 ]      I         I         I    Estimado(a):                     Sergio Rafael Cortés Alpizar    I         I    Le informamos que su ticket correspondiente a:    I                       I    Por medio del presente, solicito el regreso de actividad a &quot;Preparación del Proyecto de Resolución&quot; del siguiente recurso de revisión:    I        I    RRA 1756/20 vs COFEPRIS    I         I    Aplicación:                  SIGEMI    I    Tipo de Soporte:         REGRESO DE PASOS      I    Observaciones:                I         I    Su petición fue atendida    I         I    " u="1"/>
        <s v="Se aplica eliminación de formato de pago manual: 0001600008320" u="1"/>
        <s v="Se aplica testado de datos al folio:  0064100053721" u="1"/>
        <s v="Se aplica testado de datos al folio: 0000700080120." u="1"/>
        <s v="Se cambió el tipo de solicitud del folio:  0064101094321" u="1"/>
        <s v="Respaldar Curso 8 de Miscelánea INAI  de la plataforma anterior y restaurar en plataforma actual " u="1"/>
        <s v="Se generaron los scripts para obtener los datos relacionados con los campos definidos de PRECEDENTES" u="1"/>
        <s v="Se aplica el testado de datos de la solicitud: 0000700362919." u="1"/>
        <s v="Se  testan los datos del folio: 0000700180121" u="1"/>
        <s v="Se  testan los datos del folio: 0064101906021" u="1"/>
        <s v="Se realizarón ajustes al sitio acorde al diseño compartido" u="1"/>
        <s v="OT´s para estados que viven en INAI" u="1"/>
        <s v="Se aplica testado de datos al folios: 1816400082820  así como el archivo adjunto." u="1"/>
        <s v="Cambios solicitados a componente mi-historial" u="1"/>
        <s v="Se aplica testado de datos al folio: 1816400015421" u="1"/>
        <s v="Se cambia el tipo de solicitud del folio: 0063700816120" u="1"/>
        <s v="Notificación de seguimiento [ MA1001202001 ]     I          I          I     Estimado(a): Pedro Esquivel Martínez    I          I     Le informamos que su ticket correspondiente a:    I          I     Debido al cambio de Titular de la unidad de Transparencia solicito realizar el cambio de titular y sus datos de accesos en la HCOM para los fideicomisos del IMSS, se anexan certificados     I          I     Aplicación: HCOM    I     Tipo de Soporte: CAMBIO DE TUT ( 7 )" u="1"/>
        <s v="Se testan los datos y se sustituye el archivo de la solicitud con folio: 0064101394521" u="1"/>
        <s v="Se localiza el acuse: 0064102988819." u="1"/>
        <s v="Se aplica eliminación de formato de pago: 1113100054519." u="1"/>
        <s v="Se testan los datos  del folio:0064101375221" u="1"/>
        <s v="Actualización de cartel" u="1"/>
        <s v="Se elmina la respuesta del folio:  1613100016821" u="1"/>
        <s v="Notificación de seguimiento  [  MA0204202005 ]      I         I         I    Estimado(a):                     Alondra Jiménez Hernández    I         I    Le informamos que su ticket correspondiente a:    I                       I    Anexo el registro actualizado del certificado del nuevo Titular de la Unidad de Transparencia del Comisión Nacional de los Derechos Humanos (CNDH) para que su acceso sea habilitado en la Herramienta de Comunicación.     I        I         I    Aplicación:                  HCOM    I    Tipo de Soporte:         CAMBIO DE TUT      I    Observaciones:                I         I    Su petición fue atendida    I         I        I    " u="1"/>
        <s v="Se agrega la mascara para visualizar la contraseña ademas de un componente de ayuda para la seguridad del password que ingresa el usuario " u="1"/>
        <s v="Actualización y pruebas de funcionalidad de campus Público 2.2" u="1"/>
        <s v="componente que tiene como objetivo mostrar cards y efectos de over" u="1"/>
        <s v="    I    Estimado Edwin, te informo que  ya se subió el respaldo de su base de datos de esta semana…    I        I         I        I    http://documentos.inai.org.mx/tmp/infomexOAX_backup_2021-06-14_0800.bak    I        I    " u="1"/>
        <s v="estatus pasos" u="1"/>
        <s v="    I    Notificación de seguimiento  [  MA1102202108 ]      I         I         I    Estimado(a):                     Martha Rubí Zaragoza Mora    I         I     Le informamos que su ticket correspondiente a:    I                       I    El presente correo es para pedir su amable apoyo para el ajuste de términos de los folios debido al Acuerdo     I    enviaron los siguientes Sujetos Obligados a la COTAI por el cual se amplían la fecha del 2 al 28 febrero de 2021 y el sujeto obligado del municipio de General Terán envió su acuerdo del 16 de febrero al 15 de marzo; debiéndose considerar los días comprendidos dentro de dicho periodo como inhábiles para evitar la propagación del coronavirus COVID-19.    I        I    Aplicación:                  INFOMEX NUEVO LEON    I    Tipo de Soporte:         AJUSTE DE PLAZOS       I    " u="1"/>
        <s v="Se elimina la respuesta del folio: 2510100011121" u="1"/>
        <s v="Pruebas Durango" u="1"/>
        <s v="Identificacion de filtro tipo date picker, fecha de sesion " u="1"/>
        <s v="Se  sustituye el archivo adjunto de la solicitud con folio : 1816400199121" u="1"/>
        <s v="pruebas de Integración de validaciones de direcion de Datos de la Pareja (Declaración patrimonial) en Declaranet" u="1"/>
        <s v="Notificación de seguimiento  [  MA0402202012 ]      I         I         I    Estimado(a):                     Alondra Jiménez Hernández    I         I    Le informamos que su ticket correspondiente a:    I                       I    Anexo el registro actualizado del certificado del Titular de la Unidad de Transparencia de CIMAT para su renovación en la Herramienta de Comunicación.    I         I    Aplicación:                  HCOM       I    Tipo de Soporte:         RENOVACIÒN DE CERTIFICADO       I    " u="1"/>
        <s v="Desarrollo para la integración de la funcionalidad del detalle de RIA para las  solicitudes de información de SISAI para SAIMEX " u="1"/>
        <s v="Realizar modulos de niveles" u="1"/>
        <s v="Incidencia File Upload y liberación a producción" u="1"/>
        <s v="Continúa el apoyo en consultas y validación de la información generada con las bases de datos en custodia (casos de diversos estados) en lo referente principalmente a documentación adjunta.    I    Continúa el traslado de información recuperada de CDMX al repositorio en la red interna (infomex2019 (\\vcifs) Z:)    I    De la recuperación de información del Estado de México, se inician las validaciones de los datos, corroborando que el contenido sea congruente, que cumpla con la estructura solicitada. " u="1"/>
        <s v="Se actualiza el procedimiento para descargar archivos del buscador nacional" u="1"/>
        <s v="Análisis de incidencias reportadas, asesorías  y soporte aplicativo durante la CUARTA semana del mes de MAYO de 2020 en los Sistemas infomex Estados" u="1"/>
        <s v="Se aplica el testado de datos de la solicitud: 1117100004420" u="1"/>
        <s v="    I    Notificación de seguimiento  [  MA2105202113 ]      I         I         I    Estimado(a):                     Jorge Dasaev Gómez Cardona    I         I         I    Le informamos que su ticket correspondiente a:    I                       I    gestionar un certificado de acceso a la herramienta de comunicación (HCOM) al funcionario público designado como nuevo responsable de la Unidad de Transparencia de la Cámara de Diputados. El nombre del servicio público es el Maestro Ricardo Álvarez Montiel, en su carácter de Responsable de la Unidad de Transparencia de la Cámara de Diputados     I         I         I    Aplicación:                  HCOM    I    Tipo de Soporte:         CAMBIO TUT       I    Observaciones:                I         I    Su petición fue atendida, se adjunta certificado y contraseña: hcom2021    I         I          I                Favor de validar.    I         I    Estatus:                               Concluido.    I    " u="1"/>
        <s v="Problemas para dar respuesta al folio: 2210000276619." u="1"/>
        <s v="Buenos días Yarenni, te informo que el respaldo semanal de su base ya se encuentra en el repositorio…    I        I    http://documentos.inai.org.mx/tmp/infomexGUERRERO_backup_2020-12_07_0800.bak    I         I    NOTA: El respaldo estará disponible una semana     I         I    Saludos    I          I    Marina Adame Velasco                                     I    " u="1"/>
        <s v="Buenos días Yarenni, te informo que el respaldo semanal de su base ya se encuentra en el repositorio…    I        I    http://documentos.inai.org.mx/tmp/infomexGUERRERO_backup_2020-12_14_0800.bak    I         I    NOTA: El respaldo estará disponible una semana     I         I    Saludos    I          I    Marina Adame Velasco                                     I    " u="1"/>
        <s v="Buenos días Yarenni, te informo que el respaldo semanal de su base ya se encuentra en el repositorio…    I        I    http://documentos.inai.org.mx/tmp/infomexGUERRERO_backup_2020-12_28_0800.bak    I         I    NOTA: El respaldo estará disponible una semana     I         I    Saludos    I          I    Marina Adame Velasco                                     I    " u="1"/>
        <s v="Sección COVID - Corrección menú móvil" u="1"/>
        <s v="Se aplica testado de datos al folio:  1816400030721" u="1"/>
        <s v="Se  testan los datos del folio: 0064100434021" u="1"/>
        <s v="Se cambia el tipo de solicitud del folio: 0063700218521" u="1"/>
        <s v="Cambios e incidencias en producción" u="1"/>
        <s v="Buenas tardes Memo, tu petición fue atendida, favor de validar     I        I    Saludos     I        I    Marina Adame Velasco    I        I    Notificación de seguimiento  [  MA2303202004 ]      I        I    Aplicación:                  INFOMEX BCN    I    Tipo de Soporte:         REPORTE DE SOLICITUDES       I    Estatus:                               Concluido.    I        I        I    " u="1"/>
        <s v="Notificación de seguimiento  [  MA0707202109 ]    I        I    Estimado(a):                Alondra Jiménez Hernández    I        I         I     Le informamos que su ticket correspondiente a:    I                       I    Se solicita la actualización de los certificados, por motivo del cambio de Titular de la Unidad de Transparencia, de los siguientes sujetos obligados, esto para que sean actualizados y se habilite el acceso en la Herramienta de Comunicación de cada uno…    I        I         I    Aplicación:                  HCOM    I    Tipo de Soporte:         CAMBIO DE TUT ( 3)      I    Observaciones:                I         I    Su petición fue atendida    I         I    " u="1"/>
        <s v="Buenos días Martha, tu petición fue atendida, favor de validar     I        I    Saludos     I        I    Marina Adame Velasco    I        I    Notificación de seguimiento  [  MA1108202003 ]      I        I    Aplicación:                  INFOMEX NUEVO LEÓN    I    Tipo de Soporte:         AJUSTE DE PLAZOS        I    Estatus:                               Concluido.    I    " u="1"/>
        <s v="Buenos días Martha, tu petición fue atendida, favor de validar     I        I    Saludos     I        I    Marina Adame Velasco    I        I    Notificación de seguimiento  [  MA1108202005 ]      I        I    Aplicación:                  INFOMEX NUEVO LEÓN    I    Tipo de Soporte:         AJUSTE DE PLAZOS        I    Estatus:                               Concluido.    I    " u="1"/>
        <s v="Buenos días Martha, tu petición fue atendida, favor de validar     I        I    Saludos     I        I    Marina Adame Velasco    I        I    Notificación de seguimiento  [  MA2010202001 ]      I        I    Aplicación:                  INFOMEX NUEVO LEÓN    I    Tipo de Soporte:         AJUSTE DE PLAZOS        I    Estatus:                               Concluido.    I    " u="1"/>
        <s v="Se  testan los datos del folio: 0000700181121" u="1"/>
        <s v="Notificación de seguimiento  [  MA2605202202 ]    I        I    Estimado(a):                Abraham Obed Gallardo González    I        I        I     Le informamos que su ticket correspondiente a:    I        I    Con el gusto de saludarte, solicito tu amable apoyo para, de no mediar inconveniente, generar un certificado provisional para el TUT del CONALEP, ya que nos remitieron un certificado que venció hace unos días y no cuentan con información de un fecha cercana.    I        I        I        I         I    Aplicación:                  HCOM    I    Tipo de Soporte:        ACTUALIZAR CERTIFICADO     I    Observaciones:                I         I    Su petición fue atendida, se anexa certificado, mismo que ya se actualizó en HCOM    I    " u="1"/>
        <s v="Diagnóstico y Definición de herramienta óptima para reconocimiento de información disponible dentro de los archivos  descargables" u="1"/>
        <s v="Soportes de Infomex federal " u="1"/>
        <s v="Configuración variables de entorno,alias a rutas de importación, creación carpetas raiz " u="1"/>
        <s v="Implementación del borrado de Resoluciones Públicas por Tema." u="1"/>
        <s v="Buenos días Martha, tu petición fue atendida, favor de validar     I        I    Saludos     I        I    Marina Adame Velasco    I        I    Notificación de seguimiento  [  MA1504202004 ]      I        I    Aplicación:                  INFOMEX NUEVO LEÓN    I    Tipo de Soporte:         CAMBIO DE PLAZO        I    Estatus:                               Concluido.    I        I    " u="1"/>
        <s v="Desarrollo de adecuaciones para consumo de servicios en SAIMEX" u="1"/>
        <s v="Se aplica testado de datos al folio:  0064100070921" u="1"/>
        <s v="Se genera certificado para usuario del SO SINDICATO NACIONAL INDEPENDIENTE DE TRABAJADORES DE LA SECRETARIA DE BIENESTAR" u="1"/>
        <s v="Pizarras por años lado administrador (Análisis)" u="1"/>
        <s v="Se sustituye archivo adjunto del folio: 0064100740120." u="1"/>
        <s v="Creación de un componente reutilizable de datos estadísticos" u="1"/>
        <s v="Notificación de seguimiento  [  MA2904202111 ]      I         I     Estimado(a):                     Moisés Guzmán Arias    I          I    Le informamos que su ticket correspondiente a:    I                       I    ampliar el término para prevenirlo al 3 de mayo de 2021…    I         I    01566820  estableciendo el término al día 03/05/2021 (03 de mayo de 2021) (CECSNSP)    I    00266321  estableciendo el término al día 03/05/2021 (03 de mayo de 2021) (CECSNSP)    I         I    Aplicación:                  INFOMEX PUEBLA    I    Tipo de Soporte:         AJUSTE DE PLAZO       I    Observaciones:                I         I    Su petición fue atendida    I         I          I                Favor de validar.    I         I    Estatus:                               Concluido.    I    " u="1"/>
        <s v="Se agrega un boton de ayuda " u="1"/>
        <s v="Se sustituye archivo adjunto del folio: 0673800072120 ." u="1"/>
        <s v="Notificación de seguimiento  [  MA2104202108 ]      I         I         I    Estimado(a):                     Nancy Edith Gómez Cisneros    I         I         I    Le informamos que su ticket correspondiente a:    I                       I    solicito tu apoyo para eliminar en PNT-SIGEMI un paso en el recurso de revisión RRA 730/21 en contra del IPN, por error se notificó ayer el Cierre de Instrucción y no corresponde a ese asunto, por lo que se requiere quitar esa notificación y registro correspondiente    I         I    Aplicación:                  SIGEMI    I    Tipo de Soporte:         ELIMINAR CIERRE DE INSTRUCCION       I    Observaciones:                I         I    Su petición fue atendida    I         I    " u="1"/>
        <s v="Se sustituye archivo adjunto del folio: 0064100741520." u="1"/>
        <s v="Notificación de seguimiento  [  MA2903202104 ]      I         I         I    Estimado(a):                     FRANCISCO LIRA    I          I    Le informamos que su ticket correspondiente a:    I                       I    RESPALDO SEMANAL DE LA BASE DE DATOS INFOMEX    I         I    Aplicación:                  INFOMEX NUEVO LEÓN    I    Tipo de Soporte:         RESPALDO       I    Observaciones:                I         I    Su petición fue atendida, se subió el respaldo de su base de datos de esta semana…    I        I    http://documentos.inai.org.mx/tmp/infomexNL_backup_2021-03-29_0800.bak    I    " u="1"/>
        <s v="ACTUALIZAR SUJETO OBLIGADO RPS" u="1"/>
        <s v="Se aplica eliminación de formato de pago: 0064102747820" u="1"/>
        <s v="configuracion de procesos del modulo administracion" u="1"/>
        <s v="Se  sustituye el archivo adjunto de la solicitud con folio : 1117100063921" u="1"/>
        <s v="Se aplica eliminación de formato de pago: 0063700276721" u="1"/>
        <s v="Crear certificado para usuario del Sujeto Obligado Sindicato Nacional de Trabajadores de la Secretaría de Economía" u="1"/>
        <s v="Ambientación para campus Público versión 3.7.3" u="1"/>
        <s v="Respaldar Curso 1 de PA-ENEDA  de la plataforma anterior y restaurar en plataforma actual " u="1"/>
        <s v="Modificación al componente del desglose del ejercicio del presupuesto para la integracion del modo responsivo." u="1"/>
        <s v="creacion del controller para la edicion y creacion de avisos." u="1"/>
        <s v=" Notificación de seguimiento  [  MA2610202005 ]      I        I         I        I         I        I    Estimado(a):                     Laura Mónica Segovia Tellez    I        I         I        I    Le informamos que su ticket correspondiente a:    I        I                       I        I    Solicito su amable apoyo para que sea cambiado el medio de notificación del RRA 10207/20, de domicilio físico a correo electrónico, drjfroman@hotmail.com ya que el domicilio proporcionado no cumple con los elementos para ser notificado por ese medio    I        I         I        I    Aplicación:                  SIGEMI    I        I    Tipo de Soporte:         ACTUALIZACIÓN DE MEDIO Y CORREO       I        I    Observaciones:                I        I         I        I    Su petición fue atendida" u="1"/>
        <s v="Notificación de seguimiento [ MA2901202001 ]     I          I          I     Estimado(a): Luis Alberto Velázquez Olvera    I          I     Le informamos que su ticket correspondiente a:    I          I     Por medio del presente, solicito de la forma más atenta que, respecto del RRA 16306/19 sea regresado al paso “cierre de insturcción” toda vez que se notificó en el SIGEMI de manera incorrecta.    I          I     En razón de ello es que se requiere que se regrese el paso, a efecto de una pronta notificación con el archivo correcto.    I          I     Quedo en espera de su, siempre tan pronta, respuesta.    I          I     Aplicación: SIGEMI    I     Tipo de Soporte: Elimina Cierre de Instrucción     I     Observaciones:     I          I     Su petición fue atendida    I          I          I      Favor de validar.    I          I     Estatus: Concluido." u="1"/>
        <s v="Se realizó la preparación del ambiente y usuarios  para la capacitación de usuarios y se estuvo esperando en la cita y no se presentaron" u="1"/>
        <s v="Notificación de seguimiento  [  MA1905202002 ]      I         I         I    Estimado(a):                     RAFAEL GONZALEZ     I         I    Le informamos que su ticket correspondiente a:    I                       I    Actualizar fechas de aplicación y actualización de acuses de los recursos RRD 00628/20 en contra del ISSSTE y RRD 00423/20 en contra de CFE    I        I         I    Aplicación:                  SIGEMI    I    Tipo de Soporte:         Actualización de fechas       I    Observaciones:                I         I    Su petición fue atendida     I    " u="1"/>
        <s v="Se habilita el acceso para: Vania Italia Ayala Pulido." u="1"/>
        <s v="Continúa el apoyo en consultas y validación de la información generada con las bases de datos en custodia (casos de diversos estados) en lo referente principalmente a documentación adjunta.    I    Continúa el traslado de información recuperada de CDMX al repositorio en la red interna (infomex2019 (\\vcifs) Z:)    I    De la recuperación de información del Estado de México, se inician las validaciones de los datos corroborando que el contenido sea congruente, que cumpla con la estructura solicitada.     I    Se generan los correspondientes scripts para la carga de catálogos del Estado de México y se procede con su carga.  Se notifica y entrega el script acumulado. Se espera retro." u="1"/>
        <s v="Se cambia el tipo de solicitud del folio: 0001200230721" u="1"/>
        <s v="    I    Notificación de seguimiento  [  MA2210202007 ]      I         I         I    Estimado(a):                     Berenice Hernández Sumano    I         I    Le informamos que su ticket correspondiente a:    I                       I    Se requiere para los recursos con cumplimiento:    I    1. Modificar la fecha de notificación de la resolución con cumplimiento a la fecha de notificación de cumplimiento del cuadro 1.    I    2. Modificar la fecha de vencimiento de cumplimiento de los recursos a la fecha límite de cumplimiento del cuadro 1.    I    3. Modificar la fecha de estado de los recursos a la fecha de notificación del cumplimiento del cuadro 1.    I    4. Modificar la fecha de los documentos generados como acuses a la fecha señalada en el cuadro 3.    I        I    Se requiere para los recursos sin cumplimiento:    I    1. Modificar la fecha de notificación de la resolución a la fecha de notificación de resolución del cuadro 2.    I    2. Modificar la fecha de estado de los recursos a la fecha de notificación de la resolución del cuadro 2.    I    3. Modificar la fecha de los documentos generados como acuses a la fecha señalada en el cuadro 3.    I        I    Se requiere para las comunicaciones notificadas:    I    1. Modificar la fecha de realización de la actividad &quot;Vista del cumplimiento al recurrente&quot; a la fecha de la columna fecha de notificación del cuadro 4.    I         I    Aplicación:                  SIGEMI    I    Tipo de Soporte:         ACTUALIZACIÓN DE FECHAS Y ACUSES      I    " u="1"/>
        <s v="Se  testan los datos del folio: 0064101515521" u="1"/>
        <s v="    I    Notificación de seguimiento  [  MA1802202007 ]      I         I         I    Estimado(a):                     Rafael González    I         I    Le informamos que su ticket correspondiente a:    I                       I    De acuerdo al oficio INAI/SE/043/2020 entregado a la DGTI, donde se indica aplicar los días 20 y 21 de enero de 2020 como días inhábiles, para el Sujeto Obligado Junta Federal de Conciliación y Arbitraje.    I        I         I    Aplicación:                  SIGEMI    I    Tipo de Soporte:         Modificación de plazos       I    Observaciones:                I         I    Su petición fue atendida, se realizó una búsqueda de los procesos asociados a ese Sujeto Obligado, del análisis de concluyó que solo se debía afectar las fechas de cumplimiento que estuvieran vigentes. Se anexa archivo con el detalle de los recursos detectados, los plazos que se revisaron y los cambios realizados.    I         I         I                Favor de validar.    I         I    Estatus:                               Concluido.    I    " u="1"/>
        <s v="Integración de funciones de descarga de información - SIPOT" u="1"/>
        <s v="Se desbloquea la cuenta CBOCANEGRA" u="1"/>
        <s v="Se aplica testado de datos al folio: 0000700089220" u="1"/>
        <s v="Actualización y pruebas de funcionalidad de campus Organismos Garantes 3.7.3" u="1"/>
        <s v="Desarrollo de tablas para el módulo de Servicios" u="1"/>
        <s v="Problemas en producción" u="1"/>
        <s v="Buenas tardes Berenice, tu petición fue atendida, favor de validar     I        I    Saludos     I        I    Marina Adame Velasco    I        I    Notificación de seguimiento  [  MA2506202003 ]      I        I    Aplicación:                  INFOMEX OAXACA     I    Tipo de Soporte:         AJUSTE DE PLAZOS        I    Estatus:                               Concluido.    I    " u="1"/>
        <s v="    I    Notificación de seguimiento  [  MA1711202008 ]      I         I         I    Estimado(a):                     Edgar Michel Loaeza     I          I    Le informamos que su ticket correspondiente a:    I         I        I    sea actualizado el certificado del Titular de la Unidad de Transparencia del  Centro Nacional de Inteligencia.    I         I    Aplicación:                  HCOM    I    Tipo de Soporte:         CAMBIO DE CERTIFICADO      I    Observaciones:                I         I    Su petición fue atendida    I    " u="1"/>
        <s v="Cambio de TUT de NAFIN y sus Fideicomisos " u="1"/>
        <s v="Notificación de seguimiento  [  MA1607202007 ]      I         I         I    Estimado(a):                    Sergio Rafael Cortés Alpizar    I         I    Le informamos que su ticket correspondiente a:    I                       I    Por medio del presente, solicito se regrese la actividad a &quot;Preparación del Proyecto de Resolución&quot;  y se borren los desechamientos para volver a mandar los acuerdos de los siguientes recursos de revisión:    I        I    RRA 06166/20 vs CFE    I    RRA 06551/20  vs ASEA    I        I    Lo anterior se debe a que se corrigieron los acuerdos y se volverán a enviar.    I         I    Aplicación:                  SIGEMI    I    Tipo de Soporte:         REGRESO DE PASOS  (2)    I    Observaciones:                I         I    Su petición fue atendida    I         I        I    " u="1"/>
        <s v="Se ajustan los plazos de la dependencia de PETROLEOS MEXICANOS." u="1"/>
        <s v="Se aplica el cambio de modalidad a la solicitud: 0411100009920." u="1"/>
        <s v="Se cambia el tipo de solicitud del folio: 0933800009521" u="1"/>
        <s v="Generación de plan para la solución modelos predictivos, métodos estadísticos, Machine Learning y técnicas de atomzatización de procesos" u="1"/>
        <s v="Se actualizan datos del SO Organismo Coordinador de las Universidades para el Bienestar Benito Juárez García" u="1"/>
        <s v="Se aplica el testado de datos de la solicitud: 1410000000220." u="1"/>
        <s v="    I    Notificación de seguimiento  [  MA1708202003 ]      I         I         I    Estimado(a):                     Gloria Bravo Reyna    I         I    Le informamos que su ticket correspondiente a:    I                       I    cancelar el número de comunicado HCOM 003021-IFAI-2020, por un error lo envíe por comunicado debiendo ser Requerimiento     I        I        I    Aplicación:                  HCOM    I    Tipo de Soporte:         ELIMINAR COMUNICADO       I    Observaciones:                I         I    Su petición fue atendida    I    " u="1"/>
        <s v="Se aplica el cambio de modalidad para el folio: 0064103596319, 0064103596819." u="1"/>
        <s v="Se consultan datos de la solicitud 0001700151021" u="1"/>
        <s v="    I    Notificación de seguimiento  [  MA2105202111 ]      I         I         I    Estimado(a):                     Alejandra Tejeda    I         I         I    Le informamos que su ticket correspondiente a:    I                       I    Antecediendo un cordial saludo, por medio del presente solicito su apoyo para el regreso de paso del expediente RR/165/2021 a su etapa de admisión, hubo un error por parte del proyectista y le dio trámite por error.    I         I         I    Aplicación:                  SIGEMI    I    Tipo de Soporte:         REGRESO DE PASOS       I    " u="1"/>
        <s v="    I    Buenas tardes Martha, tu petición fue atendida, favor de validar     I        I    Saludos     I        I    Marina Adame Velasco    I        I    Notificación de seguimiento  [  MA1009202007 ]      I        I    Aplicación:                  INFOMEX NUEVO LEÓN    I    Tipo de Soporte:         AJUSTE DE PLAZOS        I    Estatus:                               Concluido.    I    " u="1"/>
        <s v="    I    Buenas tardes Martha, tu petición fue atendida, favor de validar     I        I    Saludos     I        I    Marina Adame Velasco    I        I    Notificación de seguimiento  [  MA1009202012 ]      I        I    Aplicación:                  INFOMEX NUEVO LEÓN    I    Tipo de Soporte:         AJUSTE DE PLAZOS        I    Estatus:                               Concluido.    I    " u="1"/>
        <s v="    I    Buenas tardes Martha, tu petición fue atendida, favor de validar     I        I    Saludos     I        I    Marina Adame Velasco    I        I    Notificación de seguimiento  [  MA1310202008 ]      I        I    Aplicación:                  INFOMEX NUEVO LEÓN    I    Tipo de Soporte:         AJUSTE DE PLAZOS        I    Estatus:                               Concluido.    I    " u="1"/>
        <s v="    I    Buenas tardes Martha, tu petición fue atendida, favor de validar     I        I    Saludos     I        I    Marina Adame Velasco    I        I    Notificación de seguimiento  [  MA1407202006 ]      I        I    Aplicación:                  INFOMEX NUEVO LEÓN    I    Tipo de Soporte:         AJUSTE DE PLAZOS        I    Estatus:                               Concluido.    I    " u="1"/>
        <s v="    I    Buenas tardes Martha, tu petición fue atendida, favor de validar     I        I    Saludos     I        I    Marina Adame Velasco    I        I    Notificación de seguimiento  [  MA3009202008 ]      I        I    Aplicación:                  INFOMEX NUEVO LEÓN    I    Tipo de Soporte:         AJUSTE DE PLAZOS        I    Estatus:                               Concluido.    I    " u="1"/>
        <s v="Hola Berenice, lo ideal si sería verlo directamente en el diagrama, porque es más visual y fácil de ubicar, sin embargo no tenemos un ambiente montado para su lectura, por lo que a falta de este hay que buscar las referencias en la base de datos.     I        I    Te comento que revise las solicitudes que se registraron a partir de abril a la fecha, que han seleccionado la prórroga ( anexo relación de solicitudes revisadas)  y en las que no se ha modificado el plazo por base de datos, se están contando 15 días a partir de la fecha de registro de la solicitud, que es lo que tiene definido el proceso     I        I         I        I    Las que fueron modificadas, la fecha de caducidad el conteo de días ya es variable.     I        I    Mi recomendación es que no se modifique la configuración del proceso, ya que el cálculo de la fecha es una regla de negocio del sistema, considero más adecuado con base a tu  revisión de folios que se adjuntan, determinar que fechas hay que modificar y realizarlo por base de datos.    I        I    Me quedo atenta a tus comentarios    I        I    Saludos    I        I    Marina Adame    I    " u="1"/>
        <s v="Notificación de seguimiento  [  MA2710202002 ]      I        I         I        I         I        I    Estimado(a):                      Luis Javier Mendoza Rueda     I        I         I        I    Le informamos que su ticket correspondiente a:    I        I                       I        I    se ha generado el Ticket #PNT003448 así mismo por este medio solicito tu apoyo ya que en el registro manual de 2 recurso en SIGEMI se omitió capturar el número de folio en el apartado de folio de la solicitud, motivo por el cual solicito tu apoyo para integrar dicho número y no salga como INEXISTENTE.    I        I         I        I    A continuación, te indico en que recursos esta la omisión.    I        I         I        I    RECURSO DE REVISION: INFOCDMX/RR.IP.1943/2020    I        I    Folio que se debe agregar solicitud: 0417000122320    I        I         I        I    RECURSO DE REVISION:    I        I    INFOCDMX/RR.IP.1944/2020    I        I    Folio de la solicitud: 0417000122420    I        I         I        I         I        I    Aplicación:                  SIGEMI    I        I    Tipo de Soporte:         CAMBIO DE FOLIOS DE SOLICITUD ( 2 )     I        I    Observaciones:                I        I         I        I    Su petición fue atendida    I        I     " u="1"/>
        <s v="Se elmina la respuesta del folio: 0000400105021." u="1"/>
        <s v="Notificación de seguimiento  [  MA0903202201 ]    I        I    Estimado(a):                JUAN PEDRO RAMIREZ FLORES    I        I         I     Le informamos que su ticket correspondiente a:    I                       I    solicito su ayuda para que dentro de la Plataforma Nacional de Transparencia SICOM - SIGEMI se logre conocer las razones y en su caso dar solución, al recurso de revisión RRAIP-94/2022,  ya que se registró bajo el año 2021 siendo que este recurso en su forma física y legal pertenece al año 2022, como se puede advertir dentro de las documentales del recurso en mención    I        I         I    Aplicación:                  SICOM    I    Tipo de Soporte:         CORRECCIÓN DE NÚMERO DE EXPEDIENTE      I    Observaciones:                I         I    Su petición fue atendida    I         I    " u="1"/>
        <s v="Notificación de seguimiento  [  MA2311202101 ]    I        I    Estimado(a):                Pedro Esquivel Martínez    I        I         I     Le informamos que su ticket correspondiente a:    I                       I    por este medio Anexo el registro actualizado del certificado del Titular de la Unidad de Enlace de la “Hospital General de México Dr. Eduardo Liceaga”.  Lo Anterior a fin de que sus accesos sean habilitados en los otros sistemas que administra este Instituto (HCOM).  CAMBIO DE  TITULAR, en cuanto se reciba la atención en HCOM se realizará la actualización de los demás sistemas correspondientes.    I         I    Aplicación:                  HCOM    I    Tipo de Soporte:         CAMBIO DE TITULAR       I    Observaciones:                I         I    Su petición fue atendida    I         I    " u="1"/>
        <s v="Actualizaciones urgentes" u="1"/>
        <s v="      I    Notificación de seguimiento  [  MA1112202006 ]      I          I    Estimado(a):                     Martha Rubí Zaragoza Mora    I          I    Le informamos que su ticket correspondiente a:    I                       I         I    Espero se encuentre muy bien. El presente correo es para pedir su amable apoyo para el ajuste de términos de los folios debido al Acuerdo que enviaron los siguientes Sujetos Obligados a la COTAI por el cual se amplían la fecha del 01 al 18 de diciembre de 2020 y contando también el 2do periodo vacacional del 21 de diciembre 2020 al 5 de Enero 2021; debiéndose considerar los días comprendidos dentro de dicho periodo como inhábiles para evitar la propagación del coronavirus COVID-19.    I         I    Aplicación:                  INFOMEX NUEVO LEÓN       I    Tipo de Soporte:         AJUSTE DE PLAZOS        I    Observaciones:                I         I    Su petición fue atendida    I    " u="1"/>
        <s v="Notificación de seguimiento  [  MA0705202006 ]      I         I         I    Estimado(a):                     Abraham Obed Gallardo González     I        I        I    Le informamos que su ticket correspondiente a:    I                       I        I    En conclusión, respecto del RIA del RRA 02777/20 de acuerdo al computo de días tenemos que, la Fecha de notificación (Fecha de estado) fue el 17/03/2020, y contando los 5 días hábiles siguientes a la notificación del INAI (adjunto para pronta referencia), esta vencía el 24 de marzo de 2020, no obstante, ya que se suspendieron los plazos desde el 23 de marzo de 2020, la nueva fecha límite conforme al penúltimo Acuerdo del Pleno del INAI, correspondía al 5 de mayo de 2020, y considerando el último Acuerdo del Pleno del INAI, y que esta misma semana se detallarán a los sujetos obligados que les aplica la reanudación de plazos para atender las SAI y medios de impugnación, por lo tanto, NO se encuentra actualizada la fecha en referencia.    I        I    Por lo anterior, solicito tu amable apoyo para la actualización de la fecha citada, conforme a lo antes señalado para los efectos conducentes.    I        I         I    Aplicación:                  SIGEMI    I    Tipo de Soporte:         CORRECCIÓN DE FECHA       I    " u="1"/>
        <s v="Se desarrollò la pàgina de Reglas de integridad dentro del sitio de comite de etica, agregando la informaciòn compartida con base en el diseño compartido" u="1"/>
        <s v="Revisión en móviles y scroll en tablas" u="1"/>
        <s v="Se cambia el tipo de solicitud del folio: 0933800009721" u="1"/>
        <s v="Buenas tardes Martha, tu petición fue atendida, favor de validar     I        I    Saludos     I        I    Marina Adame Velasco    I        I    Notificación de seguimiento  [ MA0505202003 ]    I        I    Aplicación:                  INFOMEX NUEVO LEÓN    I    Tipo de Soporte:         AJUSTE DE PLAZOS        I    Estatus:                               Concluido.    I    " u="1"/>
        <s v="Notificación de seguimiento  [  MA0711202008 ]      I         I    Estimado(a):                     Guillermo Delgado Ibarra    I        I    Le informamos que su ticket correspondiente a:    I                       I    aplicar suspensión de plazos a un SO, solo que esto modifica las fechas de vencimiento de sus solicitudes, y por este medio quiero solicitar tu apoyo para cambiar dichas fechas, te anexo tabla de las solicitudes afectadas    I         I    Aplicación:                  INFOMEX BCN    I    Tipo de Soporte:         AJUSTE DE PLAZOS       I    Observaciones:                I         I    Su petición fue atendida    I          I    " u="1"/>
        <s v="    I    Notificación de seguimiento  [  MA0902202113 ]      I         I         I    Estimado(a):                     Pedro Esquivel Martínez    I         I         I    Le informamos que su ticket correspondiente a:    I                       I    Anexo el registro actualizado del certificado del Titular de la Unidad de Enlace del  “Centro Nacional de Metrología” Lo anterior a fin de que sus accesos sean habilitados en los otros sistemas que administra este Instituto (HCOM).  Cambio de Titular, no omito señalar que en cuanto se reciba la atención en HCOM se realizará la actualización de los demás sistemas correspondientes.    I         I    Aplicación:                  HCOM    I    Tipo de Soporte:         CAMBIO TUT       I    " u="1"/>
        <s v="Se aplica testado de datos al folio:  0064100067521" u="1"/>
        <s v="    I    Notificación de seguimiento  [  MA2603202102 ]      I         I         I    Estimado(a):                     Edgar Michel Loaeza Martínez    I         I         I    Le informamos que su ticket correspondiente a:    I                       I    Para tal efecto, anexo al presente el nuevos certificado; lo anterior, a fin de que sus accesos sean habilitados en los sistemas que administra este Instituto.    I        I    DEPENDENCIA/ENTIDAD CLAVE DE SUJETO OBLIGADO TITULAR DE UNIDAD DE TRANSPARENCIA CERTIFICADO ACTUAL CORREO ELECTRÓNICO    I    Fid. 122.- BENJAMÍN HILL TRABAJADORES F.F.C.C. SONORA-BAJA CALIFORNIA 09003     I    María del Rocio Bello Castillo 09003.Maria.Bello.Castillo. maria.bello@sct.gob.mx    I        I        I         I    Aplicación:                  HCOM    I    Tipo de Soporte:         CAMBIO TUT       I    " u="1"/>
        <s v="Se  elimina ultima respuesta  del folio:  0912000023721" u="1"/>
        <s v="Solicitud de cambio  iconos de idiomas (se analizó que los iconos estaban dañados)" u="1"/>
        <s v="Notificación de seguimiento  [  MA2804202109 ]      I         I         I    Estimado(a):                     Pedro Esquivel Martínez    I         I         I    Le informamos que su ticket correspondiente a:    I                       I    por este medio Anexo el registro actualizado del certificado del Titular de la Unidad de Enlace de “TELECOMUNICACIONES DE MÉXICO”.  Lo Anterior a fin de que sus accesos sean habilitados en los otros sistemas que administra este Instituto (HCOM).  CAMBIO DE  TITULAR, en cuanto se reciba la atención en HCOM se realizará la actualización de los demás sistemas correspondientes.    I         I    Aplicación:                  HCOM    I    Tipo de Soporte:         CAMBIO TUT       I    Observaciones:                I         I    Su petición fue atendida    I         I          I                Favor de validar.    I         I    Estatus:                               Concluido.    I    " u="1"/>
        <s v="Notificación de seguimiento  [  MA2906202005 ]      I         I         I    Estimado(a):                     Betzabé Flores Terán    I         I    Le informamos que su ticket correspondiente a:    I                       I    Anexo el registro actualizado del certificado de la Titular de la Unidad de Transparencia de la Junta Federal de Conciliación y Arbitraje, toda vez que el anterior venció el pasado 13 de junio del presente.    I        I    Lo anterior a fin de que sea habilitado su acceso en el sistema HERRAMIENTA DE COMUNICACIÓN (HCOM).    I        I         I    Aplicación:                  HCOM    I    Tipo de Soporte:         CAMBIO DE CERTIFICADO      I    Observaciones:                I         I    Su petición fue atendida, la contraseña del usuario es hcom2020    I         I        I         I                Favor de validar.    I         I    Estatus:                               Concluido.    I    " u="1"/>
        <s v="Se cambio el ajuste de texto del pdf, la fuente de texto se modifica a una que soporte unicode y se realizan cambios en el formato de colores del pdf" u="1"/>
        <s v="Revisión y análisis del módulo configuracion de procesos " u="1"/>
        <s v="Se aplica testado de datos al folio:  0064100067721" u="1"/>
        <s v="Análisis de incidencia en Sujeto Obligado duplicado " u="1"/>
        <s v="Se sustituye el archivo adjunto de la solicitud con folio 1114100138919" u="1"/>
        <s v="Desarrollo de servicios para prueba reactiva continuación" u="1"/>
        <s v="    I    Notificación de seguimiento  [  MA2303202103 ]      I         I         I    Estimado(a):                     Pedro Esquivel Martínez    I         I         I    Le informamos que su ticket correspondiente a:    I                       I    Anexo el registro actualizado del certificado del Titular de la Unidad de Enlace del  “Instituto Nacional de Ciencias Penales”. Lo anterior a fin de que sus accesos sean habilitados en los otros sistemas que administra este Instituto (HCOM).  Cambio de Titular, no omito señalar que en cuanto se reciba la atención en HCOM se realizará la actualización de los demás sistemas correspondientes.    I        I         I    Aplicación:                  HCOM    I    Tipo de Soporte:         CAMBIO TUT       I    " u="1"/>
        <s v="Cambio de archivo del folio:  1410000087621" u="1"/>
        <s v="Respaldar Curso 6 de Miscelánea INAI  de la plataforma anterior y restaurar en plataforma actual " u="1"/>
        <s v="Se elimina la respuesta del folio:0001200213921" u="1"/>
        <s v="Se cambia el tipo de solicitud del folio: 0933800009921" u="1"/>
        <s v="Se testan los datos de la solicitud con folio 0064101503821" u="1"/>
        <s v="Creación de cuenta y configuración de admimnistración Obligaciones de Transparencia" u="1"/>
        <s v="Actualizacion sitio consultas " u="1"/>
        <s v=" Notificación de seguimiento  [  MA1504202001 ]      I         I         I    Estimado(a):                     GUILLERMO DELGADO IBARRA    I         I    Le informamos que su ticket correspondiente a:    I                       I                    Buen día Rafael, antes que nada deseando te encuentres bien, oye una duda y solicitud, fíjate que ocupamos de tu apoyo, te envió unos acuses de los RR que se turnaron el día de hoy y el detalle que estamos observando es en las fechas, la semana pasada se hizo una actualización para el regreso a labores por la situación actual al 4 de mayo, y en el acuse nos presenta dos fechas distintas, una si con el 4 de mayo, pero la otra con fecha del 20 de abril, y según nosotros ambas deberían coincidir, y si es así nos puedes ayudar para corregir en sistema dichas fechas, o porque sale con fecha del  20 de abril?    I         I    Aplicación:                  SIGEMI    I    Tipo de Soporte:         Actualización de fecha      I    Observaciones:                I         I    Su petición fue atendida, se realizó el ajuste tanto en la referencia que se encuentra en la base de datos como en los documentos de turno    I         I    " u="1"/>
        <s v="No se pueden generar solicitudes de Información." u="1"/>
        <s v="Notificación de seguimiento  [  MA1208202119 ]    I        I    Estimado(a):                Betzabé Flores Terán    I        I         I     Le informamos que su ticket correspondiente a:    I                       I    Solicito de su apoyo para actualizar la contraseña  de acceso a la herramienta del siguiente SO toda vez que no recuerda la contraseña, no omito comentar que el .cer se actualizo el año pasado.    I        I    Clave SIGLAS CERTIFICADOACTUAL VALIDACIÓN CONTRASEÑA    I    60206 SNTTFJFA GiselldelSocorroContrerasHerrera.cer Certificado Válido hcom2021    I        I         I    Aplicación:                  HCOM    I    Tipo de Soporte:         ACTUALIZAR CONTRASEÑA      I    " u="1"/>
        <s v="Instalación Campus Civil en ambiente productivo" u="1"/>
        <s v="Instalación y configuración de plugin para look and feel campus Civil" u="1"/>
        <s v="Notificación de seguimiento  [  MA0812202101 ]    I        I    Estimado(a):                Edgar Michel Loaeza Martínez    I        I         I     Le informamos que su ticket correspondiente a:    I                       I    Solicito su apoyo para poder sustituir en el sistema hcom, los certificados que se adjuntan, los cuales corresponden a lo sujetos obligados indirectos del Instituto Politécnico Nacional.    I        I    Clave Sujeto obligado Titular de la Unidad de Transparencia    I    11006 XE- IPN Canal Once (oncetv) Lic. Federico Anaya Gallardo    I    11172 Fondo de Investigación científica y Desarrollo Tecnológico del IPN Lic. Federico Anaya Gallardo    I        I         I    Aplicación:                  HCOM    I    Tipo de Soporte:         CAMBIO DE TUT       I    Observaciones:                I         I    Su petición fue atendida    I         I    " u="1"/>
        <s v="Se aplica el testado de datos de la solicitud: 0110000003020 así como el archivo adjunto." u="1"/>
        <s v="Revisión de problemas de los servicios de quejas" u="1"/>
        <s v="Buenas tardes Berenice, tu petición fue atendida, se actualizaron los xml que generan los acuses de recibo por los que enviaste,favor de validar     I        I    Saludos     I        I    Marina Adame Velasco    I        I    Notificación de seguimiento  [  MA0505202008 ]      I        I    Aplicación:                  INFOMEX OAXACA    I    Tipo de Soporte:         Actualización de formatos de acuses       I    Estatus:                               Concluido.    I    " u="1"/>
        <s v="Notificación de seguimiento  [  MA2308202112 ]    I        I    Estimado(a):                Alondra Jiménez Hernández    I        I         I     Le informamos que su ticket correspondiente a:    I                       I    Se solicita la actualización de los certificados, por motivo del cambio de Titular de la Unidad de Transparencia, de los siguientes sujetos obligados, esto para que sean actualizados y se habilite el acceso en la Herramienta de Comunicación de cada uno.    I        I         I    Aplicación:                  HCOM    I    Tipo de Soporte:         CAMBIO DE TUT  ( 7 )     I    Observaciones:                I         I    Su petición fue atendida, excepto para el Sujeto Obligado Fondo de Capitalización e Inversión del Sector Rural, debido a que el certificado enviado expiró    I         I         I    " u="1"/>
        <s v="Se  testan los datos del folio: 0064100882621" u="1"/>
        <s v="Notificación de seguimiento  [  MA2001202118 ]      I         I         I    Estimado(a):                     Marco Antonio Contreras Uribe    I         I         I    Le informamos que su ticket correspondiente a:    I                       I    Por este medio solicito tu valioso apoyo a efecto cancelar los siguientes envíos de información  de los requerimientos No. IFAI-REQ-000389-2021, IFAI-REQ-000393-2021 y IFAI-REQ-000395-2021, toda vez que por un error realice esta actividad, sin percatarme que ya le habían dado la indicación a otra persona de la Dirección.    I        I         I    Aplicación:                  HCOM    I    Tipo de Soporte:         REGRESO DE PASOS       I    " u="1"/>
        <s v="Análisis de microservicios" u="1"/>
        <s v="Se testan los datos de la solicitud con folio: 1816400162121" u="1"/>
        <s v="Definición de herramienta para descarga automatizada de solicitudes" u="1"/>
        <s v="Se sustituye archivo adjunto del folio: 1816400017921" u="1"/>
        <s v="El usuario del área de Verificación, realiza el mismo reporte del error de fechas del calendario. Se realizó el ajuste de todos los casos de Denuncia en cuanto a las fechas calculadas erróneamente. Se le envió el listado al usuario para que confirmara si se debían cambiar documentos del expediente electrónico, confirmando que se queden igual." u="1"/>
        <s v="Se  testan los datos del folio:0063700303521" u="1"/>
        <s v="Se elmina la respuesta del folio:  0001600051721" u="1"/>
        <s v="Se habilita la opción de pagos para el Sujeto Obligado Corredor Interoceánico del Istmo de Tehuantepec" u="1"/>
        <s v="Revisión y análisis documentación proporcionada: ejemplos ECU" u="1"/>
        <s v="    I    Notificación de seguimiento  [  MA1902202007 ]      I         I         I    Estimado(a):                     Lizbeth Adriana Cabrera Ortega    I         I    Le informamos que su ticket correspondiente a:    I                       I         I    Solicito de tu apoyo a fin de modificar el archivo adjunto de recurso de revisión del recurso RRA 01737/20.    I         I    Lo anterior ya que la carga de dicho recurso la realicé yo, y por un error adjunte un archivo distinto.     I        I        I    Tipo de Soporte:         Actualización de archivo       I    Observaciones:                I         I    Su petición fue atendida    I    " u="1"/>
        <s v="Se aplica el testado de datos de la solicitud: 0064100289220." u="1"/>
        <s v="Se sustituye archivo adjunto  del folio:  011000053521 " u="1"/>
        <s v="Notificación de seguimiento [ MA2301202007 ]     I          I          I     Estimado(a): Abraham Obed Gallardo González    I          I     Le informamos que su ticket correspondiente a:    I          I     Con motivo de la emisión del Dictamen de baja del sujeto obligado Lotería Nacional Para la Asistencia Pública con clave 06750, se solicita su apoyo a fin de que nos proporcionen el listado de solicitudes de información y recursos de revisión que tiene pendientes de atención al día de hoy dicho sujeto obligado en los Sistemas de la PNT, Infomex y Hcom.    I         I          I     Aplicación: SIGEMI / HCOM    I     Tipo de Soporte: CONSULTA DE DATOS     I     Observaciones:     I          I     Su petición fue atendida, adjunto a este correo la información solicitada, le comento que en el caso de PNT se localizó el estatus que guarda el recurso y para los resultados de HCOM son los que tienen actividades pendientes    I          I          I      Favor de validar.    I          I     Estatus: Concluido." u="1"/>
        <s v="Generación de script de etiquetado automatizado SIPOT" u="1"/>
        <s v="Implemtación del diseño de la solución (4 ó 1 servicio)" u="1"/>
        <s v="Se envia respuesta e historial de la solicitud: 0001600323920" u="1"/>
        <s v="Buenos días, les informo que el respaldo de su base de datos de esta semana ya está en el repositorio…       I        I        I    http://documentos.inai.org.mx/tmp/infomexNL_backup_2021-06-28_0800.bak    I        I        I    Saludos Cordiales    I         I    Marina Adame Velasco           I        I        I    Notificación de seguimiento  [  MA2806202102 ]    I         I    Aplicación:                  INFOMEX NUEVO LEÓN     I    Tipo de Soporte:         RESPALDO DE BD      I        I    Estatus:                               Concluido    I        I    " u="1"/>
        <s v="Versión de sistemas operativos" u="1"/>
        <s v="Descarga y visualización (pdf) de archivos para el modulo de quejas(detalle, detalle historial) corrección de color de tema dinámico, en modulo de quejas y mis solicitudes    I    Corregir funcionalidad del componente snackbar al crear una solicitud    I    Revisión login redes sociales facebook, twitter, google" u="1"/>
        <s v="Notificación de seguimiento  [  MA3108202104 ]    I        I    Estimado(a):                Pedro Esquivel Martínez    I        I         I     Le informamos que su ticket correspondiente a:    I                       I    por este medio solicito su valioso apoyo con la actualización de los certificados a cargo de los sujetos obligados a cargo del INDEP en la herramienta de comunicación HCOM; se anexan certificados y cuadro descriptivo.    I         I    Aplicación:                  HCOM    I    Tipo de Soporte:         CAMBIO DE TUT ( 18 )       I    Observaciones:                I         I    Su petición fue atendida, excepto para el INDEP, ya que ya se había realizado la actualización el día 27 de agosto con los datos enviados    I         I         I        I                 Favor de validar.    I         I    Estatus:                               Concluido    I    " u="1"/>
        <s v="Se cambia el tipo de solicitud del folio: 0001200284221" u="1"/>
        <s v="Semblanza y agenda 2020" u="1"/>
        <s v="Se aplica sustitución de archivo adjunto: 0064100175320." u="1"/>
        <s v="Se aplicó el cambio de modalidad así como la sustitución de archivo adjunto de la solicitud: 0002700017020." u="1"/>
        <s v="Análisis del caso CDMX donde se observa el nombre del archivo dentro del campo URL y su corrección." u="1"/>
        <s v="Ajustes al servicio de almacenamiento de queja para obtener archivo de SISAI continuación" u="1"/>
        <s v="Se aplica testado de datos al folio:  0064103290220" u="1"/>
        <s v="Se sustituye archivo del folio 011000041821" u="1"/>
        <s v="Notificación de seguimiento [ MA2001202006 ]     I          I          I     Estimado(a): Lizbeth Adriana Cabrera Ortega    I          I     Le informamos que su ticket correspondiente a:    I          I     Solciitando de su valioso apoyo para cargar un exp manual cuyo domicilio no me lo permite agregar la PNT, pues al cargar el C.P. no se adjunta dato alguno inclusive se borra el número.    I          I          I     CENTRO FEDERAL DE READAPTACIÓN SOCIAL NÚMERO 2 OCCIDENTE.    I          I     Carretera Libre a Zapotlanejo, Km. 17.5    I     C.P. 45420, Puente Grande, Jalisco    I          I     Aplicación: SIGEMI    I     Tipo de Soporte: AGREGAR CP" u="1"/>
        <s v="Se testan datos y se sustituye archivo del folio: 0064102351121" u="1"/>
        <s v="Se corrigen detalles de los webservices y se realizan pruebas con la base de datos." u="1"/>
        <s v="Se testan datos del folio: 0002700151521" u="1"/>
        <s v="Se realiza la carga de archivo mediante control " u="1"/>
        <s v="    I    Notificación de seguimiento  [  MA3009202004 ]      I         I         I    Estimado(a):                     Alma Lizbeth Peguero Rivera    I         I    Le informamos que su ticket correspondiente a:    I                       I    Por medio de presente, solicito de la manera más atenta, su apoyo para retroceder los pasos en el sistema SIGEMI-SICOM en la PNT del siguiente asunto RRA 06464/20 OMGF, hasta la actividad “Registrar información de la sesión del pleno”; sin más por el momento, quedo en espera de sus comentarios.    I        I         I    Aplicación:                  SIGEMI    I    Tipo de Soporte:         REGRESO DE PASOS      I    Observaciones:                I         I    Su petición fue atendida    I         I         I    " u="1"/>
        <s v="Se procede con la automatización del proceso para la generación de registros Inserts del Excel  Tarea_estatus_Estados.xlsx (32 Hojas de procesamiento)" u="1"/>
        <s v="Notificación de seguimiento  [  MA0207202008 ]      I         I         I    Estimado(a):                     Pedro Esquivel Martínez    I         I    Le informamos que su ticket correspondiente a:    I                       I    el cambio de certificado para los Fideicomisos a cargo de CONACYT; se anexan certificados    I        I                     I         I    Aplicación:                  HCOM    I    Tipo de Soporte:         CAMBIO TUT   (4)    I    Observaciones:                I         I    Su petición fue atendida, se realizó el cambio de Titular de los siguientes ...    I    " u="1"/>
        <s v="Integración de nuevos campos en la seccion de Datos generales (Declaracion patrimonial) en Declaranet" u="1"/>
        <s v="Se aplica eliminación de última respuesta al folio: 1222300007520." u="1"/>
        <s v="    I    Notificación de seguimiento  [  MA0602202009 ]      I         I         I    Estimado(a):                     Yenifer Sthephanie Martínez Rivera    I         I    Le informamos que su ticket correspondiente a:    I                       I    Solicito tu amable intervención para que el expediente electrónico RRA 6284/19 LOTENAL en la Plataforma Nacional de Transparencia para que se regrese el paso “Evaluación de Cumplimiento”, con la finalidad de estar en posibilidad de evaluar el cumplimiento.     I        I         I    Aplicación:                  SIGEMI    I    Tipo de Soporte:         REGRESO DE PASOS      I    Observaciones:                I         I    Su petición fue atendida    I    " u="1"/>
        <s v="Notificación de seguimiento  [  MA3011202006 ]      I          I    Estimado(a):                     Sergio Rafael Cortés Alpizar    I          I    Le informamos que su ticket correspondiente a:    I                       I    Por medio del presente, solicito el regreso de actividad a &quot; Admitir / Prevenir / Desechar&quot; y se eliminen la notificación de prevención del siguiente recurso de revisión:    I         I    RRA 13121/20 vs PRESIDENCIA    I         I    Lo anterior se debe a que por un error involuntario se anexo un archivo mal y se enviara de nuevo el acuerdo correcto, ya las partes están enteradas.    I         I    Aplicación:                  SIGEMI    I    Tipo de Soporte:         REGRESO DE PASOS        I    Observaciones:                I         I    Su petición fue atendida    I           I    " u="1"/>
        <s v="Se ajustaron y reemplazaron algnos links del sitio " u="1"/>
        <s v="Se aplica testado de datos al folio: 011000015421" u="1"/>
        <s v="Pruebas unitarias de generación de Token" u="1"/>
        <s v="Análisis y generación de scripts para datos de recursos en infomex Estados" u="1"/>
        <s v="Diagnóstico y Definición de herramienta para la descompresión óptima para evaluación de archivos" u="1"/>
        <s v="Notificación de seguimiento  [  MA0711202203 ]    I        I        I    Estimado(a):                Ricardo González Cano    I        I     Le informamos que su ticket correspondiente a:    I        I        I    En seguimiento a los correos previos, solicito su valioso apoyo para asignar en la Herramienta de Comunicación los  certificados que adjunto al presente, para tal efecto, proporciono a continuación los datos de los sujetos obligados en cuestión:    I    Clave Única_x0009_Sujeto Obligado_x0009_Nombre_x0009_Correo electrónico_x0009_Contraseña    I    HCOM    I    60225_x0009_Sindicato Nacional de Trabajadores de la Comisión Nacional de los Salarios Mínimos_x0009_PAULO CÉSAR NERI LÓPEZ _x0009_pcesar@conasami.gob.mx     I    hcom2022    I        I    Aplicación:                 HCOM    I    Tipo de Soporte        GENERACIÓN DE CERTIFICADO Y CAMBIO DE TUT " u="1"/>
        <s v="Componente catalogo integrante lado publico " u="1"/>
        <s v="Se sustituye el archivo adjunto de la solicitud con folio 0063700406421" u="1"/>
        <s v="Creación de formulario &quot;Registro de propuestas&quot;" u="1"/>
        <s v="Configuración de tuneo" u="1"/>
        <s v="Login twitter completo" u="1"/>
        <s v="Se testan datos del folio: 0000700256421 " u="1"/>
        <s v="    I    Buenas tardes Martha, tu petición fue atendida, favor de validar     I        I    Saludos                                                    I        I    Marina Adame Velasco    I        I    Notificación de seguimiento  [  MA2704202007 ]      I        I    Aplicación:                  INFOMEX NUEVO LEÓN    I    Tipo de Soporte:         AJUSTE DE PLAZOS       I    Estatus:                               Concluido.    I         I    " u="1"/>
        <s v="Integración de los servicios del API con los servicios del front end. Desarrollo de validaciones en el api y en el front end" u="1"/>
        <s v="prueba de SISAI 2, con los Organismos Garantes " u="1"/>
        <s v="Revisión CDMX acceso anónimo" u="1"/>
        <s v="Se generaron 6 certificados para la dependencias: 06572,06573,06574,06575,06576,06577." u="1"/>
        <s v="Se procede con la actualización de la automatización del proceso para la generación de registros Inserts del Excel (SISAI_catalogos_TareaXEdos.xlsx)" u="1"/>
        <s v="Se aplica el testado de datos de las solicitudes: 0673800011020 y 0673800011120." u="1"/>
        <s v="    I    Notificación de seguimiento  [  MA2502202007 ]      I         I         I    Estimado(a):                     Laura Mónica Segovia Tellez    I         I    Le informamos que su ticket correspondiente a:    I                       I        I    Solicito su amable apoyo a fin de que sea cambiado el medio de notificación de RRA 01937/20 de portal a correo electrónico, ya que el particular en su escrito libre solicita que sea notificado por este medio.    I        I         I    Aplicación:                  SIGEMI    I    Tipo de Soporte:         CAMBIO DE MEDIO       I    Observaciones:                I         I    Su petición fue atendida    I        I    " u="1"/>
        <s v="Se aplica eliminación de última respuesta de la solicitud: 1621100129320" u="1"/>
        <s v="Se  testan los datos del folio: 0210000070221, 0210000070321 y 0210000070421" u="1"/>
        <s v="Buenas tardes Guillermo, se realizó el ajuste de fechas solicitado, la eliminación de acuses para su regeneración está en proceso, favor de validar    I        I         I    Saludos    I         I    Marina Adame Velasco    I         I    Notificación de seguimiento  [  MA2603202004 ]    I        I    " u="1"/>
        <s v="Se sustituye archivo adjunto  del folio: 0002700160521 " u="1"/>
        <s v="Resolver incidentes reportados por usuarios y QA" u="1"/>
        <s v="Generación de script de unificación de tablas SISAI, SIGEMI-SICOM" u="1"/>
        <s v="se generan el servicio de auth que controlara la sesion, y el GUARD que controlara el acceso a las rutas de la aplicación solicitando siempre tener una sesion activa" u="1"/>
        <s v="Se realizó el cambio de a cuerdo a tu petición." u="1"/>
        <s v="Se elimina la respuesta del folio: 00006000146521" u="1"/>
        <s v="Notificación de seguimiento  [  MA2610202001 ]      I         I         I    Estimado(a):                     Ricardo Marin Gonzalez    I         I    Le informamos que su ticket correspondiente a:    I                       I    regresar el paso del Sistema de Gestión de Medios de Impugnación (SIGEMI) en la asignación de Recursos de Revisión, toda vez, que el Recurso con número de folio 00767620 corresponde a la ponencia del Comisionado José Orlando Espinosa Rodríguez, y se encuentra asignado a la ponencia de la Comisionada Cintia Yrazu De la Torre Villanueva. Es importante señalar que aunque se ha generado el acuerdo de turno, este no ha sido enviado a la ponencia    I         I    De igual manera, ya se encuentra en la Ponencia de la Comisionada Cintia Yrazu De la Torre Villanueva el recurso de revisión con número de expediente PNTRR/218-20  sin embargo se encuentran mal las siglas correspondientes a la Comisionada en mención, siendo las que están actualmente CYDLT, y debe ser CYDV, por lo que solicito su corrección    I         I     " u="1"/>
        <s v="Se modifican los datos en solicitud  0063700381821" u="1"/>
        <s v="Publicación de Resoluciones en materia de Protección de Datos Personales derivadas de la LGPDPPSO (sector público)" u="1"/>
        <s v="Desarrollo e implementación de las soluciones a los hallazgos de vulnerabilidad de la PNT" u="1"/>
        <s v="Notificación de seguimiento  [  MA1003202007 ]      I         I         I    Estimado(a):                     Lizbeth Adriana Cabrera Ortega    I         I    Le informamos que su ticket correspondiente a:    I                       I    DEBE DECIR 9 DE MARZO    I        I    06/03/2020 06/03/2020 20:28 PM ADELYN RANGEL PREVENCIÓN Y READAPTACIÓN SOCIAL 3670000005720    I    06/03/2020 06/03/2020 22:21 PM LEVY GOMEZ ORTEGA AUTORIDAD EDUCATIVA FEDERAL EN LA CIUDAD DE MEXICO 2510100000820    I        I        I    DEBE DECIR 10 DE MARZO    I        I    09/03/2020 09/03/2020 18:31 PM ISABELLA AMADOR TRIBUNAL FEDERAL DE JUSTICIA ADMINISTRATIVA 3210000023220    I    09/03/2020 09/03/2020 18:31 PM ENRIQUE HERNÁNDEZ JIMÉNEZ COMISIÓN FEDERAL PARA LA PROTECCIÓN CONTRA RIESGOS SANITARIOS 1215100099320    I    09/03/2020 09/03/2020 18:59 PM DIEGO ORLANDO CARRASCO HINOJOSA SECRETARÍA DE EDUCACIÓN PÚBLICA 0001100070220    I        I         I    Aplicación:                  SIGEMI    I    Tipo de Soporte:         cambio de fechas de interposición      I    Observaciones:                I         I    Su petición fue atendida    I        I    " u="1"/>
        <s v="Se cambia el tipo de solicitud del folio: 0063500159221" u="1"/>
        <s v="Se sustituye archivo adjunto  del folio:  0064100860721" u="1"/>
        <s v="Se elimina la ultima respuesta del folio 0130000024721 " u="1"/>
        <s v="Generación de script para el tratamiento de la información" u="1"/>
        <s v="Actualización y pruebas de funcionalidad de campus Organismos Garantes 2.2" u="1"/>
        <s v="Problema de carga en servidor" u="1"/>
        <s v="Se corrige query que obtiene solicitudes en soporte de reemplazo de archivos. Se corrige renombrado de archivo al momento de ser reemplazado" u="1"/>
        <s v="Desarrollo de servicio de cambio de contraseña" u="1"/>
        <s v="Se aplica testado de datos al folio:  0002700357020" u="1"/>
        <s v="Se aplica cambio de modalidad de la solicitud EN 9 FOLIOS" u="1"/>
        <s v="Desarrollo de servicios Mis Quejas, programación de funcionalidad continuación" u="1"/>
        <s v="Actualización y pruebas de funcionalidad de campus Organismos Garantes 3.2" u="1"/>
        <s v="Notificación de seguimiento  [  MA1002202003 ]      I         I         I    Estimado(a):                     Lizbeth Adriana Cabrera Ortega    I         I    Le informamos que su ticket correspondiente a:    I                       I    Solicito de su valioso apoyo    I        I    Debe decir 7 febrero    I    " u="1"/>
        <s v="Revisión de entrega" u="1"/>
        <s v="Implementación componente toolbar search" u="1"/>
        <s v="    I    Notificación de seguimiento  [  MA2311202012 ]      I         I         I    Estimado(a):                     Alan Apolinar Razo Morales    I         I         I    Le informamos que su ticket correspondiente a:    I                       I    A través del presente correo, solicito su invaluable apoyo para regresar al paso anterior consistente en el registro &quot;Registrar si la Prevención fue desahogada&quot; en el Sistema de Gestión de Medios de Impugnación de la PNT para el recurso de revisión RRD 01553/20 en contra de SEP. Lo anterior debido a un error al ejecutar dicho paso.          I        I        I         I    Aplicación:                  SIGEMI    I    Tipo de Soporte:         REGRESO DE PASOS        I    Observaciones:                I         I    Su petición fue atendida    I    " u="1"/>
        <s v="Ambientación para campus Organismos Garantes versión 2.2" u="1"/>
        <s v="Se  testan los datos del folio: 0000700093121" u="1"/>
        <s v="Se elimina la respuesta del folio: 0001100178121" u="1"/>
        <s v="Se aplica testado de datos al folio:  0064102725020" u="1"/>
        <s v="Accesos banners en el home" u="1"/>
        <s v="Se  testan los datos del folio: 0064101362521" u="1"/>
        <s v="Ambientación para campus Organismos Garantes versión 2.7" u="1"/>
        <s v="Revisar dias inhabiles aplicados" u="1"/>
        <s v="Se cambia el tipo de solicitud del folio: 0673800058121" u="1"/>
        <s v="Actualización y pruebas de funcionalidad de campus Iniciativa Privada  2.7" u="1"/>
        <s v="Preparación y Apertura: Instalacion del grupo impulsory elaboracion y aprobacion de los primeros insumos " u="1"/>
        <s v="Respaldar Curso 4  de la plataforma anterior y restaurar en plataforma actual " u="1"/>
        <s v="Nuevo mapa para Follow the Money" u="1"/>
        <s v="Se rediseño el sitio de encuesta 2021 y se realizarón ajustes solicitados" u="1"/>
        <s v="Modificación de métodos y desarrollo de funcionalidades" u="1"/>
        <s v="Se sustituye archivo adjunto  del folio: 0064101040321" u="1"/>
        <s v="Se cambia la modalidad en la solicitud con folio: 0063500210821 y 0063500210921" u="1"/>
        <s v="Actualización de comisionados" u="1"/>
        <s v="Se sustituye el archivo adjunto de la solicitud con folio 0064101778621" u="1"/>
        <s v="Respaldar Curso 4 de Miscelánea INAI  de la plataforma anterior y restaurar en plataforma actual " u="1"/>
        <s v="    I    Notificación de seguimiento  [  MA2806202106 ]    I        I    Estimado(a):                Berenice Hernández Sumano    I        I         I     Le informamos que su ticket correspondiente a:    I                       I    Por este medio solicito su apoyo para poder aplicar las afectaciones a las fechas de vencimiento y la eliminación de los acuses respectivos de la solicitud:    I    00290420 fecha de vencimiento 25/06/2021.    I         I    Aplicación:                  INFOMEX OAXACA    I    Tipo de Soporte:         AJUSTE DE PLAZOS       I    Observaciones:                I         I    Su petición fue atendida    I         I    " u="1"/>
        <s v="Notificación de seguimiento  [  MA0306202005 ]      I         I         I    Estimado(a):                     Rosa María Rivas Rangel    I         I    Le informamos que su ticket correspondiente a:    I                       I    El sujeto obligado indica que respecto a la Agencia Mexicana de Cooperación Internacional para el Desarrollo (AMEXCID), se advierte lo siguiente:    I    • Se recibieron del Recurso de Revisión RRA 02974/20 dos notificaciones (Notificación de Cierre de Instrucción y Notificación de Acuerdo de Ampliación) en las cuales se advierte como fecha de estado 01/06/2020 y debe de ser 15/06/2020     I    • Además un Envío de Alcance del Recurso de Revisión RRA 03123/20 con fecha de estado 01/06/2020 y debe de ser 15/06/2020.    I    • Asimismo, en cuanto al Cumplimiento de la Resolución del expediente RRA 0534/20 actualmente se encuentra al 03/06/2020, cuando lo correcto es que debería ser al 17/06/2020     I        I    Derivado de lo anterior, el sujeto obligado solicita de su valioso apoyo para que TODAS LAS ACTUACIONES DEL SUJETO OBLIGADO SRE- AGENCIA MEXICANA DE COOPERACIÓN INTERNACIONAL PARA EL DESARROLLO (AMEXCID), se suspendan en el SIGEMI-SICOM dirigidas al hasta en tanto fenezca el plazo de conformidad con el acuerdo antes aludido    I         I    Aplicación:                  SIGEMI    I    Tipo de Soporte:         AJUSTE DE FECHAS      I    Observaciones:                I         I    Su petición fue atendida, se realizarón los ajustes solicitados    I    " u="1"/>
        <s v="Realizar pruebas de modulos y subir a servidr de desarrollo" u="1"/>
        <s v="Buenas tardes Martha, tu petición fue atendida, favor de validar     I        I    Saludos     I        I    Marina Adame Velasco    I        I    Notificación de seguimiento  [  MA0705202004 ]      I        I    Aplicación:                  INFOMEX NUEVO LEÓN    I        I    Tipo de Soporte:         AJUSTE DE PLAZOS    I           I    Estatus:                               Concluido.    I         I         I    " u="1"/>
        <s v="Desarrollo servicio de zipkin" u="1"/>
        <s v="Se cambia el tipo de solicitud del folio: 0064101488621" u="1"/>
        <s v="Desarrollo de pantalla Mis Quejas, revisión de código y validación de la segunda tanda de reglas de negocio" u="1"/>
        <s v="Se  testan los datos del folio: 0064100317021" u="1"/>
        <s v="Buenas tardes Doris, te comento que no tenemos un script para cambios masivos, sin embargo si hemos realizado cambios a las fechas de semáforos que son los que comentas que no se han estado modificando, así como la fecha de inicio de la solicitud, te envío los scripts utilizados…    I        I        I    UPDATE PROCESO SET FECHAINICIOCONTEO= CONVERT(DATETIME,'2020-04-20 09:00:00.000',102), FECHAINICIO= CONVERT(DATETIME,'2020-04-20 09:00:00.000',102) WHERE FOLIO ='00131120';    I        I        I        I    UPDATE PASO SET FECHAINICIOREAL= CONVERT(DATETIME,'2020-04-20 09:00:00.000',102), FECHAINICIO= CONVERT(DATETIME,'2020-04-20 09:00:00.000',102), FECHACADUCIDAD = CONVERT(DATETIME,'2020-04-28 09:00:00.000',102), FECHAAMARILLOROJO = CONVERT(DATETIME,'2020-04-28 09:00:00.000',102),FECHAVERDEAMARILLO = CONVERT(DATETIME,'2020-04-24 09:00:00.000',102) where GUIDPROCESO= ( SELECT GUIDPROCESO FROM PROCESO WHERE FOLIO ='00131120');    I        I        I    Saludos     I        I    Marina Adame Velasco    I        I    Notificación de seguimiento  [  MA3006202004 ]      I        I    Aplicación:                  INFOMEX TABASCO    I    Tipo de Soporte:         Scripts     I    Estatus:                               Concluido.    I    " u="1"/>
        <s v="Se consulta información del folio asociado al recurso RRA 8181/21." u="1"/>
        <s v="WordPress - Íconos de idioma" u="1"/>
        <s v="Se orienta al usuario para seguimiento de folio: 0002700438919." u="1"/>
        <s v="Notificación de seguimiento  [  MA0407202203 ]    I        I    Estimado(a):               Abraham Obed Gallardo González    I        I     Le informamos que su ticket correspondiente a:    I        I        I    actualizar el certificado de la nueva TUT de la Unidad de Transparencia de TGM    I        I    Aplicación:                  HCOM    I    Tipo de Soporte:         CAMBIO DE TUT     I    Observaciones:                I         I    Su petición fue atendida, la consetraseña del usuario es hcom2022    I    " u="1"/>
        <s v="Se cambia el tipo de solicitud del folio: 3210000008721" u="1"/>
        <s v="Se  testan los datos del folio: 0064101373521" u="1"/>
        <s v="Se sustituye archivo adjunto  del folio:  011000044421" u="1"/>
        <s v="solicitud, análisis e implementación de responses en JSON" u="1"/>
        <s v="Servicio de autentificación en SIPOT (Analisis de Solucion Tecnica)" u="1"/>
        <s v="Se Construccion json de pruebas y modelo para resultados busqueda servidores publicos sancionados" u="1"/>
        <s v="Notificación de seguimiento  [  MA2707202001 ]      I         I         I    Estimado(a):                     Tiara Gethsemanni Miranda Fuentes    I         I    Le informamos que su ticket correspondiente a:    I                       I    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    I         I    RRD 00794/20    I        I         I    Aplicación:                  SIGEMI    I    Tipo de Soporte:         REGRESO DE PASOS      I    " u="1"/>
        <s v="Hola Berenice, se restableció la validación en respuestas, favor de validar    I        I    Saludos    I        I    Marina Adame    I    " u="1"/>
        <s v="Se cambia el tipo de solicitud del folio: 0001200314621." u="1"/>
        <s v="Se construyeron las distintas consultas para tratar el 4to procedimiento de banderas 'OBTENER_FGTIENEINSTRUCCION' de QUEJAS, para tratar los condicionales " u="1"/>
        <s v="Ajuste de sesión con twitter en ios" u="1"/>
        <s v="Se  testan los datos del folio: 0064100866621" u="1"/>
        <s v="Notificación de seguimiento  [  MA1603202111 ]      I         I         I    Estimado(a):                     Moisés Guzmán Arias    I         I         I    Le informamos que su ticket correspondiente a:    I                       I    ampliar el término para prevenir de los folios     I        I    Aplicación:                  INFOMEX PUEBLA    I    Tipo de Soporte:         AJUSTE DE PLAZO       I    Observaciones:                I         I    Su petición fue atendida    I    " u="1"/>
        <s v="    I    Notificación de seguimiento  [  MA2311202005 ]      I         I         I    Estimado(a):                     GUILLERMO DELGADO     I         I    Le informamos que su ticket correspondiente a:    I                       I    1.- el reporte de solicitudes hasta la fecha    I    2.- el reporte de solicitudes referente a COVIT, CORONAVIRUS, y me solicitan agregar dos palabras a la búsqueda, (EMERGENCIA y PANDEMIA) además descripción de la respuesta y el estatus de cada solicitud    I         I    Aplicación:                  INFOMEX BCN    I    Tipo de Soporte:         REPORTE       I    Observaciones:                I         I    Su petición fue atendida    I         I    " u="1"/>
        <s v="Se aplica eliminación de formato de pago manual: 0063700096820." u="1"/>
        <s v="    I    Notificación de seguimiento  [  MA0103202102 ]      I         I         I    Estimado(a):                     BERENICE HERNÁNDEZ SUMANO    I          I    Le informamos que su ticket correspondiente a:    I                       I    RESPALDO SEMANAL DE LA BASE DE DATOS INFOMEX    I         I    Aplicación:                  INFOMEX OAXACA    I    Tipo de Soporte:         RESPALDO       I    Observaciones:                I         I    Su petición fue atendida, se subió el respaldo de su base de datos de esta semana…    I        I        I    http://documentos.inai.org.mx/tmp/infomexOAX_backup_2021-03-01_0800.bak    I        I        I    NOTA: El respaldo estará disponible una semana      I    " u="1"/>
        <s v="Se aplica testado de datos al folio: 1816400079120." u="1"/>
        <s v="Se generaron 6 certificados " u="1"/>
        <s v="Notificación de seguimiento  [  MA1201202102 ]      I         I         I    Estimado(a):                     BERENICE HERNANDEZ    I         I         I    Le informamos que su ticket correspondiente a:    I                       I    ajustar las fechas de caducidad de los folios siguientes…    I         I    Aplicación:                  INFOMEX OAXACA    I    Tipo de Soporte:         AJUSTE DE PLAZOS        I    Observaciones:                I         I    Su petición fue atendida    I    " u="1"/>
        <s v="Se aplica testado de datos al folio: 0002700091220" u="1"/>
        <s v="Corrección de íconode compartir de comunicados en home" u="1"/>
        <s v="Se sustituye archivo adjunto del folio: 0064100619220." u="1"/>
        <s v="Eliminacion de audios de resoluciones publicas " u="1"/>
        <s v="Continúa el apoyo en consultas y validación de la información generada con las bases de datos en custodia (casos de diversos estados) en lo referente principalmente a documentación adjunta.      I    Análisis comparativo de la información de los catálogos de municipio, colonias y código postal de entre VUT y Federado.    I    Se generan los inserts de las tablas tomando como base la información de VUT unificando las banderas recolectadas de Federado. " u="1"/>
        <s v="En alcance a mi correo anterior les envío lo que localice como procesos de POSITIVA FICTA o recursos de revisión por falta de respuesta por parte del Sujeto Obligado    I        I    Saludos     I        I    " u="1"/>
        <s v="Notificación de seguimiento  [  MA0403202002 ]      I         I         I    Estimado(a):                     Tiara Gethsemanni Miranda Fuentes    I         I    Le informamos que su ticket correspondiente a:    I                       I    Al momento de dar trámite a al Recurso de Revisión que se enlista a continuación, en el sistema SIGEMI-SICOM en la PNT, este me aparece activo varias veces, se encuentra repetido el siguiente paso “Registrar información de la sesión del pleno, por lo que solicito de la manera más atenta, eliminar uno de estos pasos y dejar solo una vez los siguientes pasos “Registrar información de la sesión del pleno” y dejar el paso de “Notificar por otro Medio”. Sin más por el momento, quedo en espera de tus comentarios.    I        I         I    Aplicación:                  SIGEMI    I    Tipo de Soporte:         CORRECCION DE INCIDENCIA      I    Observaciones:                I         I    Su petición fue atendida    I         I        I    " u="1"/>
        <s v="Implementación de los componentes para descargar Acuses." u="1"/>
        <s v="Se  testan los datos del folio: 1816400148221" u="1"/>
        <s v="Se  testan los datos del folio: 0064101663021" u="1"/>
        <s v="    I    Notificación de seguimiento  [  MA0610202006 ]      I         I         I    Estimado(a):                     Sergio Rafael Cortés Alpizar    I         I    Le informamos que su ticket correspondiente a:    I                       I    Por medio del presente, solicito el regreso de actividad a &quot; Registrar si la prevención fue desahogada&quot; del siguiente recurso de revisión:    I        I    RRA 8671/20 vs SUTERM    I        I    Lo anterior se debe a que el recurrente no desahogo la prevención y se va a desechar.    I         I    Aplicación:                  SIGEMI    I    Tipo de Soporte:         REGRESO DE PASOS      I    Observaciones:                I         I    Su petición fue atendida    I         I    " u="1"/>
        <s v="Se  testan los datos de la solicitud con folio 0000600067521" u="1"/>
        <s v="    I    Notificación de seguimiento  [  MA3004202007 ]      I         I         I    Estimado(a):                     Sergio Rafael Cortés Alpizar    I         I    Le informamos que su ticket correspondiente a:    I                       I    Buen día, por medio del presente solicito su apoyo para que se cambie el correo electrónico del particular en la Plataforma Nacional de Transparencia del recurso de revisión:    I         I    RRD 0640/20 vs IMSS    I         I    Lo anterior se debe a que el recurrente lo solicito mediante su recurso, anexo texto.     I         I     “[…] LA RESPUESTA NO ESTA FUNDADA NI MOTIVADA, NO ES LO QUE SOLICITE Solicito que la información se envíe a ,i e-mail santillajavi@gmail.com [..]” (sic)    I         I         I    Aplicación:                  SIGEMI    I    Tipo de Soporte:         CAMBIO DE CORREO       I    Observaciones:                I         I    Su petición fue atendida    I    " u="1"/>
        <s v="Se  testan los datos del folio: 0064101344521" u="1"/>
        <s v="Notificación de seguimiento  [  MA2702202001 ]      I         I         I    Estimado(a):                     Laura Mónica Segovia Tellez    I         I    Le informamos que su ticket correspondiente a:    I                       I        I    Solicito su amable apoyo a fin de que sea cambiado el correo electrónico del recurso de revisión RRA 01877/20 ya que el particular señaló el cambio al siguiente correo  dianasanrey@hotmail.com    I        I        I        I         I    Aplicación:                  SIGEMI    I    Tipo de Soporte:         CAMBIO DE CORREO       I    Observaciones:                I         I    Su petición fue atendida    I        I    " u="1"/>
        <s v="Se aplica el cambio de modalidad para el folio: 0001100628119." u="1"/>
        <s v="Se realiza el desarrollo de la nueva funcionalidad del sistema para la firma electrónica de documentos de resolución por medio de los servicios proporcionados por el sistema FELINAI, entre estas actividades están, construcción de tablas de base de datos, así como su llenado correspondiente, construcción de objetos java para mapear los datos de las tablas, construcción de vistas y controladores además de la construcción de las interfaces y servicios correspondientes al proceso" u="1"/>
        <s v="Corrección de incidencia en semáforo de solicitud 0001200213921 " u="1"/>
        <s v="Notificación de seguimiento  [  MA2610202002 ]      I        I         I        I         I        I    Estimado(a):                     Adriana Elizabeth Hernández Garcia    I        I         I        I    Le informamos que su ticket correspondiente a:    I        I                       I        I    Por medio del presente te comento que en el paso denominado Registro de la Resolución Firmada relativo al recurso RRD 00538-20 aparece duplicado el paso.    I        I    Al respecto, te solicito, si para ello no existe inconveniente, se elimine uno de los dos registros para estar en condición de cargar las fechas y continuar la notificación de la resolución.    I        I         I        I    Aplicación:                  SIGEMI    I        I    Tipo de Soporte:         Quitar duplicado     I        I    Observaciones:                I        I         I        I    Su petición fue atendida    I        I     " u="1"/>
        <s v="Se genera y habilita el certificado del usuario: Yicel Flor Miranda Venegas." u="1"/>
        <s v="Se  testan los datos del folio de la solicitud 0063700307721 " u="1"/>
        <s v="    I    Notificación de seguimiento  [  MA0210202001 ]      I         I         I    Estimado(a):                     Alma Lizbeth Peguero Rivera    I         I    Le informamos que su ticket correspondiente a:    I                       I    Por medio de presente, solicito de la manera más atenta, su apoyo para retroceder los pasos en el sistema SIGEMI-SICOM en la PNT del siguiente  asunto RRA 5485/19 BIS FJALL, hasta la actividad “Registrar información de la sesión del pleno”; sin más por el momento, quedo en espera de sus comentarios.    I         I    Aplicación:                  SIGEMI    I    Tipo de Soporte:         REGRESO DE PASOS      I    Observaciones:                I         I    Su petición fue atendida    I         I    " u="1"/>
        <s v="Ocultar acceso a Leyes Locales" u="1"/>
        <s v="Se cambia el tipo de solicitud del folio: 0064100551121" u="1"/>
        <s v="Notificación de seguimiento  [  MA0203202012 ]      I         I         I    Estimado(a):                     Lizbeth Adriana Cabrera Ortega    I        I         I    Le informamos que su ticket correspondiente a:    I                       I    FAVOR DE CAMBIAR LA FECHA DE INTERPOSICIÓN DEL RECURSO AL DÍA 27 DE FEBRERO PUES ENTRO EL ÚLTIMO DÍA DE SU INTERPOSICIÓN.    I        I        I    DICE     I        I    28 DE FEBRERO     I        I    DEBE DECIR    I        I    27 DE FEBRERO    I    " u="1"/>
        <s v="Buenos días Moisés, se realizó el cambio, me quedo al pendiente de tus resultados     I        I        I    De: Moisés Guzmán Arias [mailto:moises.guzman@itaipue.org.mx]     I    Enviado el: martes, 4 de agosto de 2020 06:54 p. m.    I    Para: Marina Adame Velasco &lt;marina.adame@inai.org.mx&gt;    I    Asunto: RE: Impresión de pantalla     I        I    Si claro, intenta con la 01002320 que es del instituto, ya esa le amplie el termino al 07 de agosto de 2020, si gustas amplíala 72 hrs para que quede como 10 de agosto y me dices    I        I    " u="1"/>
        <s v="Notificación de seguimiento  [  MA1303202008 ]  Debe decir MA1303202010    I         I         I    Estimado(a):                     Luis Javier Mendoza Rueda    I         I    Le informamos que su ticket correspondiente a:    I                       I    se solicita eliminar el correo sabinocervantes@yahoo.com.mx ya que este no corresponde a dicha solicitud     I         I    Aplicación:                  SIGEMI    I    Tipo de Soporte:         CAMBIO DE CORREO     I    Observaciones:                I         I    Su petición fue atendida    I    " u="1"/>
        <s v="Se ajusta la fecha limite de varias solicitudes" u="1"/>
        <s v="Creación de cuenta y configuración de admimnistración Comisionada NJRV" u="1"/>
        <s v="Notificación de seguimiento  [  MA1612202009 ]      I         I         I    Estimado(a):                     Pedro Esquivel Martínez    I          I    Le informamos que su ticket correspondiente a:    I                      I    actualización del mismo en la Herramienta de comunicación HCOM; al respecto el S.O. &quot;Partido Revolucionario Institucional&quot; solicita nuevamente dicho cambio; se anexa cuadro descriptivo.    I    " u="1"/>
        <s v="Notificación de seguimiento  [  MA1102202104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del 2 al 28 febrero de 2021; debiéndose considerar los días comprendidos dentro de dicho periodo como inhábiles para evitar la propagación del coronavirus COVID-19.    I         I    Aplicación:                  INFOMEX NUEVO LEÓN    I    Tipo de Soporte:         AJUSTE DE PLAZOS       I    " u="1"/>
        <s v="Instalación ambiente local - Continuación" u="1"/>
        <s v="Header y grecas en 2019" u="1"/>
        <s v="Notificación de seguimiento  [  MA1005202201 ]    I        I    Estimado(a):                Oscar Manuel Alvarado Hernández    I        I         I     Le informamos que su ticket correspondiente a:    I        I        I    Solicito de su muy apreciable apoyo para actualizar el certificado de HCOM, por lo que envío los archivos necesarios para dicha tarea.    I         I         I    Aplicación:                  HCOM    I    Tipo de Soporte:         CAMBIO DE TUT         I    Observaciones:                I         I    Su petición fue atendida    I    " u="1"/>
        <s v="Generación de scripts para descarga de información cruda por batches" u="1"/>
        <s v="Notificación de seguimiento  [  MA1702202006 ]      I          I    Estimado(a):                     Sergio Rafael Cortés Alpizar    I         I    Le informamos que su ticket correspondiente a:    I                       I    Buen día, por medio del presente solicito su apoyo para que se cambie el medio de notificación a correo electrónico y se incluya el correo de la recurrente en la Plataforma Nacional de Transparencia del recurso de revisión:    I         I    RRD 0187/20 vs ISSSTE    I         I    El correo es: peque200305@hotmail.com.    I         I    Ya que lo solicitó la recurrente a través de un alcance a su recurso de revisión.    I        I         I    Aplicación:                  SIGEMI    I    Tipo de Soporte:         Cambio de medio y actualización de correo     I    Observaciones:                I         I    " u="1"/>
        <s v="Creación de sección COVID-19" u="1"/>
        <s v="    I    Notificación de seguimiento  [  MA1202202003 ]      I         I         I    Estimado(a):                     Pedro Esquivel Martínez    I         I    Le informamos que su ticket correspondiente a:    I                       I    Anexo el registro actualizado del certificado del Titular de la Unidad de Enlace del  “Comisión Ejecutiva de Atención a Víctimas” Lo Anterior a fin de que sus accesos sean habilitados en los otros sistemas que administra este Instituto (HCOM).  CAMBIO DE TITULAR, en cuanto se reciba la atención en HCOM se realizará la actualización de los demás sistemas correspondientes.    I        I         I    Aplicación:                  HCOM    I    Tipo de Soporte:         CAMBIO DE TITULAR      I    " u="1"/>
        <s v="Servicio para cambiar contraseña, sin token" u="1"/>
        <s v="Definición de herramienta para la descompresión óptima para evaluación de archivos" u="1"/>
        <s v="Notificación de seguimiento  [  MA1308202001 ]      I         I         I    Estimado(a):                     Alondra Jiménez Hernández    I         I    Le informamos que su ticket correspondiente a:    I                       I    Anexo el registro actualizado del certificado del Titular de la Unidad de Transparencia del Fideicomiso de Investigación Científica y de Desarrollo Tecnológico, sujeto obligado indirecto de CIATEJ, para su renovación en la Herramienta de Comunicación.     I         I         I    Aplicación:                  HCOM       I    Tipo de Soporte:         CAMBIO DE CERTIFICADO      I    Observaciones:                I         I    Su petición fue atendida    I         I        I    " u="1"/>
        <s v="Se localiza el acuse: 6012800002419" u="1"/>
        <s v="Continúa el análisis de procesos y generación de la automatización de inserción de registros. (Excel SISAI_catalogos.xls  y Tarea_estatus_Estados.xlsx)" u="1"/>
        <s v="Se aplica la después de manera manual a la solicitud: 1123300000120." u="1"/>
        <s v="Continúa el apoyo en consultas y validación de la información generada con las bases de datos en custodia (casos de diversos estados) en lo referente principalmente a documentación adjunta.      I    Se apoyó con la validación de distintos valores de consulta dentro de los querys que se utilizan en varios de los estados." u="1"/>
        <s v="Se sustituye archivo adjunto del folio: 0064102816120" u="1"/>
        <s v="Se aplica el testado de datos de la solicitud: 0000700007420." u="1"/>
        <s v="Notificación de seguimiento [ MA3101202001 ]     I          I          I     Estimado(a): Lizbeth Adriana Cabrera Ortega    I          I     Le informamos que su ticket correspondiente a:    I          I     PIDIENDO SU VALIOSO APOYO    I         I     DEBE DECIR 30 ENERO    I         I          I     Aplicación: SIGEMI    I     Tipo de Soporte: Actualizacion de fecha     I     Observaciones:     I          I     Su petición fue atendida" u="1"/>
        <s v="Notificación de seguimiento  [  MA1603202104 ]      I         I         I    Estimado(a):                     Martha Rubí Zaragoza Mora    I         I         I    Le informamos que su ticket correspondiente a:    I                       I    El presente correo es para pedir su amable apoyo para el ajuste de términos de los folios debido a un error del sujeto obligado al momento de capturar los folios    I         I    Aplicación:                  INFOMEX NUEVO LEÒN    I    Tipo de Soporte:         AJUSTE DE PLAZOS       I    Observaciones:                I         I    Su petición fue atendida    I    " u="1"/>
        <s v="Notificación de seguimiento  [  MA1703202201 ]    I        I        I    Estimado(a):                Alondra Jiménez Hernández    I        I         I     Le informamos que su ticket correspondiente a:    I                       I    Anexo el registro actualizado del certificado del nuevo Titular de la Unidad de Transparencia del AGROASEMEX para que su acceso sea habilitado en la Herramienta de Comunicación.     I        I         I    Aplicación:                  HCOM    I    Tipo de Soporte:         CAMBIO DE TUT       I    Observaciones:                I         I    Su petición fue atendida    I    " u="1"/>
        <s v="Notificación de seguimiento  [  MA2004202106 ]      I         I         I    Estimado(a):                     Moisés Guzmán Arias    I         I         I    Le informamos que su ticket correspondiente a:    I                       I    ampliar el término para prevenirlo al 20 de abril de 2020    I         I    00617820 estableciendo el término al día 20/04/2021 (20 de abril de 2021) (Economía)    I         I         I    Aplicación:                  INFOMEX PUEBLA     I    Tipo de Soporte:         AJUSTE DE PLAZO        I    Observaciones:                I         I    Su petición fue atendida    I    " u="1"/>
        <s v="Se aplica testado de datos al folio:0064100837120." u="1"/>
        <s v="Implementación de la búsqueda y despliegue de Resoluciones Privadas por Tema para su borrado y/o modificación." u="1"/>
        <s v="Implementación de la búsqueda y despliegue de Resoluciones Públicas por Tema para su borrado y/o modificación." u="1"/>
        <s v="Selección de identificadores de prueba" u="1"/>
        <s v="Se sustituye archivo adjunto y se testan los datos del folio:  0064103319820" u="1"/>
        <s v="Se sustituye archivo adjunto del folio: 0673800020821, 0673800020921, 0673800021021, 0673800021121, 0673800021221, 0673800021321, 0673800021421, 0673800021521" u="1"/>
        <s v="Notificación de seguimiento [ MA2201202006 ]     I          I          I     Estimado(a): Yanet Aguayo Lara    I          I     Le informamos que su ticket correspondiente a:    I          I     solicito apoyo para que se realice el regreso del paso de evaluación de cumplimiento del RRA 2864/19, en la PNT.    I          I     Aplicación: SIGEMI    I     Tipo de Soporte: REGRESO DE PASOS     I     Observaciones:     I          I     Su petición fue atendida" u="1"/>
        <s v="Notificación de seguimiento  [  MA0806202102 ]    I        I    Estimado(a):                Edgar Michel Loaeza Martínez    I        I         I     Le informamos que su ticket correspondiente a:    I                       I    Por medio del presente, me permito solicitar su valioso apoyo a efecto de realizar el cambio de TUT del sujeto obligado relativo al Servicio Nacional de Inspección y Certificación de Semillas en el hcom.    I        I         I    Aplicación:                  HCOM    I    Tipo de Soporte:         CAMBIO DE TUT       I    Observaciones:                I         I    Su petición fue atendida    I    " u="1"/>
        <s v="Notificación de seguimiento  [  MA1802202008 ]      I         I         I    Estimado(a):                     Sergio Rafael Cortés Alpizar    I         I    Le informamos que su ticket correspondiente a:    I                       I    Por este medio solicito se elimine el paso de Cierre de instrucción en la PNT y se vuelva habilitar el mismo para volverlo a generar, el recurso es:    I         I    RRA 16360/19 vs SEP    I         I    Aplicación:                  SIGEMI    I    Tipo de Soporte:         ELIMINAR CIERRE DE INSTRUCCIÓN      I    Observaciones:                I         I    Su petición fue atendida    I    " u="1"/>
        <s v="Notificación de seguimiento  [  MA1902202004 ]      I         I         I    Estimado(a):                     Luis Javier Mendoza Rueda    I         I    Le informamos que su ticket correspondiente a:    I                       I    Solicito su apoyo para que sea eliminado de la bandeja de turnado el folio de la solicitud 0315000001920    I    y así evitar asignar erróneamente un recurso de revisión.    I        I         I    Aplicación:                  SIGEMI    I    Tipo de Soporte:         Eliminar registro de la bandeja de turnado    I    Observaciones:                I         I    Su petición fue atendida    I    " u="1"/>
        <s v="Notificación de seguimiento  [  MA2408202109 ]    I        I    Estimado(a):                Alondra Jiménez Hernández    I        I         I     Le informamos que su ticket correspondiente a:    I                       I    Anexo el registro actualizado del certificado del Titular de la Unidad de Transparencia del CENTRO DE INVESTIGACIONES EN ÓPTICA, A.C. (CIO), para su actualización en la Herramienta de Comunicación.     I        I         I    Aplicación:                  HCOM    I    Tipo de Soporte:         CAMBIO DE CERTIFICADO       I    Observaciones:                I         I    Su petición fue atendida    I    " u="1"/>
        <s v="Reunión y revision requerimientos MGD-RTA y AGDA" u="1"/>
        <s v="Creación de formulario de registro" u="1"/>
        <s v="Configuración del ambiente de desarrollo para las vistas" u="1"/>
        <s v="Revisión de archivos JSON  " u="1"/>
        <s v="Se testan los datos  del folio: 0064101340521" u="1"/>
        <s v="Notificación de seguimiento  [  MA2805202001 ]      I         I         I    Estimado(a):                     Guadalupe Oropeza Torres    I         I    Le informamos que su ticket correspondiente a:    I        I        I    En relación con el recurso de revisión RRA 04524/20 vs SEDENA, se observa en la Plataforma Nacional de Transparencia que, el recurrente señaló un correo electrónico para oír y recibir notificaciones. Sin embargo, en el apartado denominado &quot;Medio de notificación&quot; aparece la leyenda &quot;Domicilio Físico: Por mensajeria o correo certificado&quot;…    I                       I    En ese sentido, solicito de su apoyo para que en la PNT se actualice el medio de notificación que eligió el recurrente, a saber, la cuenta de correo electrónico: amadorcervantes.1@gmail.com. Ello con el propósito de notificar el acuerdo de admisión del 25 de mayo de 2020, mismo que se adjunta al presente.     I        I         I    Aplicación:                  SIGEMI    I    Tipo de Soporte:         CAMBIO DE MEDIO       I    Observaciones:                I         I    Su petición fue atendida    I        I    " u="1"/>
        <s v="Se sustituye archivo adjunto  del folio: 0064101356021" u="1"/>
        <s v="    I    Notificación de seguimiento  [  MA2704202002 ]      I         I         I    Estimado(a):                     ALVARO DIAZ    I         I    Le informamos que su ticket correspondiente a:    I        I    Hola buen día, tuvimos un detalle con dos recurso de revisión, cuando se turnaron, los consecutivo que debieron salir en  el  expediente son IZAI-RR-75/202 y IZAI-RR-76/2020 pero en lugar de ello salieron así -&gt; IZAI-RR-76/2020 y IZAI-RR-77/2020. Solicitamos su apoyo para poder adaptarlos.     I         I    Aplicación:                  SIGEMI    I    Tipo de Soporte:         AJUSTE DE FOLIOS        I    Observaciones:                I         I    Su petición fue atendida    I         I        I         I                Favor de validar.    I        I    " u="1"/>
        <s v="Cambios área usuaria - ligas" u="1"/>
        <s v="Notificación de seguimiento  [  MA1412202005 ]      I         I         I    Estimado(a):                     Luis Javier Mendoza Rueda    I         I    Le informamos que su ticket correspondiente a:    I                       I    solicito tu apoyo para colocar el folio de la solicitud para el expediente: INFOCDMX/RR.IP.2217/2020 ya que no se registró y aparece como INEXISTENTE.     I         I    El folio para colocar seria: 0107500048320    I         I    Aplicación:                  SIGEMI    I    Tipo de Soporte:         CAMBIO DE FOLIO DE SOLICITUD    I    Observaciones:                I         I    Su petición fue atendida    I    " u="1"/>
        <s v="Se actualiza la dependencia en catálogo de pagos: clave: 28001, Guardia Nacional." u="1"/>
        <s v="Buenas tardes Moisés, tu petición fue atendida, se realizó la actualización de fechas de los folios 01140620 y  00675920, al 8 de Septiembre, favor de validar     I        I    Saludos     I        I    Marina Adame Velasco    I        I    Notificación de seguimiento  [  MA0809202009 ]      I        I    Aplicación:                  INFOMEX PUEBLA     I    Tipo de Soporte:         AJUSTE DE FECHAS       I    Estatus:                               Concluido.    I        I    " u="1"/>
        <s v="Feedback de tiendas/pruebas en dispositivos IPhone (app store)" u="1"/>
        <s v="Se aplica sustitución de archivo de la solicitud: 0673800008020." u="1"/>
        <s v="Creación clases service y dao para catalogo estado o federación" u="1"/>
        <s v="Se genera certificado para: Mónica Leticia Mendoza." u="1"/>
        <s v="    I    Notificación de seguimiento  [  MA2510202105 ]    I        I    Estimado(a):                Pedro Esquivel Martínez    I        I         I     Le informamos que su ticket correspondiente a:    I                       I    por este medio Anexo el registro actualizado del certificado del Titular de la Unidad de Enlace de la “INSTITUTO NACIONAL PARA LA EDUCACIÓN DE LOS ADULTOS”.  Lo Anterior a fin de que sus accesos sean habilitados en los otros sistemas que administra este Instituto (HCOM).  CAMBIO DE  TITULAR, en cuanto se reciba la atención en HCOM se realizará la actualización de los demás sistemas correspondientes.    I        I        I         I    Aplicación:                  HCOM              I    Tipo de Soporte:         CAMBIO DE TUT       I    Observaciones:                I         I    Su petición fue atendida    I         I    " u="1"/>
        <s v="Se sustituye archivo adjunto del folio: 0002700089020." u="1"/>
        <s v="Respaldar Curso 6 de la plataforma anterior y restaurar en plataforma actual " u="1"/>
        <s v="Evaluación y diseño de tokenización de texto" u="1"/>
        <s v="Notificación de seguimiento  [  MA1709202008 ]      I         I         I    Estimado(a):                     Rosalinda Coria Mosqueda    I         I    Le informamos que su ticket correspondiente a:    I                       I    Agradeceré su apoyo para regresar a la actividad de admitir/desechar el recurso RRA 8755/20, pues es un asunto de SEMARNAT, y en los meses anteriores se había notificado una admisión, pero están suspendidos los plazos para ese Sujeto Obligado    I         I    Aplicación:                  SIGEMI    I    Tipo de Soporte:         REGRESO DE PASOS      I    Observaciones:                I         I    Su petición fue atendida    I    " u="1"/>
        <s v="Se  testan los datos del folio: 0064101356521" u="1"/>
        <s v="Se  testan los datos del folio: 0064101376521" u="1"/>
        <s v="Respaldar Curso 2  de la plataforma anterior y restaurar en plataforma actual " u="1"/>
        <s v="Realizar la clase Controller, Service, Dao para la operación de consulta de ejes" u="1"/>
        <s v="Se cambia el tipo de solicitud del folio: 1116100004921 " u="1"/>
        <s v="Pruebas de regresión y de flujos completos de datos" u="1"/>
        <s v="    I    Notificación de seguimiento  [  MA0912202004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del 01 al 18 de diciembre de 2020 y contando también el 2do periodo vacacional; debiéndose considerar los días comprendidos dentro de dicho periodo como inhábiles para evitar la propagación del coronavirus COVID-19.    I         I    Aplicación:                  INFOMEX NUEVO LEÓN    I    Tipo de Soporte:         AJUSTE DE PLAZOS       I    Observaciones:                I         I    Su petición fue atendida    I         I    " u="1"/>
        <s v="Buenos días Guillermo, tu petición fue atendida, favor de validar     I        I    Saludos     I        I    Marina Adame Velasco    I        I    Notificación de seguimiento  [  MA1008202006 ]      I        I    Aplicación:                  INFOMEX BCN     I    Tipo de Soporte:         Reporte       I    Estatus:                               Concluido.    I    " u="1"/>
        <s v="Se solicitó apoyo por medio de un correo, para que se modifique la tabla del plan de ayuda de la BD de Desarrollo (&quot;SISAI&quot;.&quot;QUEST_SL_TEMP_EXPLAIN1&quot;.&quot;OBJECT_NAME&quot;)" u="1"/>
        <s v="Complemento documento plan de administración pnt" u="1"/>
        <s v="Script BD para corregir incidencias de Gabriel Téllez" u="1"/>
        <s v="Se aplica testado de datos al folio: 0000700084320" u="1"/>
        <s v="Respaldar Curso 2 de Miscelánea INAI  de la plataforma anterior y restaurar en plataforma actual " u="1"/>
        <s v="    I    Notificación de seguimiento  [  MA0407202205 ]    I        I    Estimado(a):               Abraham Obed Gallardo González    I        I     Le informamos que su ticket correspondiente a:    I        I        I    CAMBIO DE TITULAR. En cuanto se reciba la atención en HCOM se realizará la actualización de los demás sistemas correspondientes.    I        I    Aplicación:                  HCOM    I    Tipo de Soporte:         CAMBIO DE TUT     I    Observaciones:                I         I    Su petición fue atendida, la contraseña del usuario es hcom2022" u="1"/>
        <s v="Se  generaron certificados para diversos SO " u="1"/>
        <s v="CONSULTAR HISTORICO de solicitudes 1215100015520 y 1215100015820 " u="1"/>
        <s v="Se cambia el tipo de solicitud del folio: 0064101448621" u="1"/>
        <s v="Modificaciones al menú lateral" u="1"/>
        <s v="Agregar y quitar validacioones, pruenas a todos los cambios" u="1"/>
        <s v="Integración de los componentes de SISAI y Federado, se construyen y compilan de acuerdo al rol y se suben al ambiente de desarrollo para su validación" u="1"/>
        <s v="Se elimina la ultima respuesta del folio 0002700100021" u="1"/>
        <s v="Notificación de seguimiento [ MA2301202009 ]     I          I          I     Estimado(a): Lizbeth Adriana Cabrera Ortega    I          I     Le informamos que su ticket correspondiente a:    I          I     Solicito tu amable apoyo para supirmir de la bandeja de turno de datos personales el recurso citado a continuación, pues fue cargado de forma duplicada por la suscrita    I         I         I     22/01/2020 23/01/2020 12:46 PM Gloria Alicia Gastelum Gaxiola CFE 1816400359419 Protección de Datos Personales Manual Ver detalle    I         I         I          I     Aplicación: SIGEMI    I     Tipo de Soporte: ELIMINAR RECURSO MANUAL" u="1"/>
        <s v="Pruebas de servicio para usuario tiene solicitudes pendientes, se cambia query del servicio a hql y se maneja exception para el servicio " u="1"/>
        <s v="    I    Estimado(a):                Francisco Javier Lira Pérez    I        I         I     Le informamos que su ticket correspondiente a:    I                       I    PODRÍAS APOYARME CON ESTE ASUNTO RR/2428/2021 ME APARECE REPETIDO, COMO ADMITIR/PREVENIR, PERO YA SE ACORDÓ Y ESTA PREVENIDO    I         I    Aplicación:                  SIGEMI    I    Tipo de Soporte:         QUITAR ACTIVIDAD DUPLICADA      I    Observaciones:                I         I    Su petición fue atendida    I         I        I    Estimado(a):                Francisco Javier Lira Pérez    I        I         I     Le informamos que su ticket correspondiente a:    I                       I    PODRÍAS APOYARME CON ESTE ASUNTO RR/2428/2021 ME APARECE REPETIDO, COMO ADMITIR/PREVENIR, PERO YA SE ACORDÓ Y ESTA PREVENIDO    I         I    Aplicación:                  SIGEMI    I    Tipo de Soporte:         QUITAR ACTIVIDAD DUPLICADA      I    Observaciones:                I         I    Su petición fue atendida    I         I    " u="1"/>
        <s v="Se testan los datos y se sustituye el archivo de la solicitud con folio: 0000700195221" u="1"/>
        <s v="Se sustituye archivo adjunto  del folio:  011000040421" u="1"/>
        <s v="Se aplica el testado de datos de la solicitud: 1816400021520." u="1"/>
        <s v="Se cambia metodo que descarga el recibo de pago en el portlet, por metodo que convierte base64 a pdf de Javascript" u="1"/>
        <s v="Se  testan los datos del folio:  0673800080021" u="1"/>
        <s v="Segundo desbloqueo a la cuenta CBOCANEGRA y se indica recomendaciones de sesión HTTPS " u="1"/>
        <s v="Se generó certificado para usuario de dependencia sujeto obligado Sindicato Nacional de Arquitectos Conservadores del Patrimonio Cultural de la Secretaría de Cultura - Instituto Nacional de Antropología e Historia" u="1"/>
        <s v="Reuniones  para tratar el tema de la actualización de los servicios de validación de Efirma SAT antes FIEL    I    Apoyo en la extracción de estadistica de casos para llenado de C¿Volumetría" u="1"/>
        <s v="Se genero certificado para usuario del CAS" u="1"/>
        <s v="Se  testan los datos del folio: 0064101357521" u="1"/>
        <s v="Se testan los datos de la solicitud con folio: 0064101428421" u="1"/>
        <s v="Se activan pagos para la dependencia: SEGURIDAD ALIMENTARIA MEXICANA." u="1"/>
        <s v="Notificación de seguimiento  [  MA2810202006 ]     I         I         I    Estimado(a):                     Laura Segovia    I         I    Le informamos que su ticket correspondiente a:    I                      I        I    El recurso RRA 4942/20 viene doble el paso del cierre de instrucción    I         I        I         I         I    Aplicación:                  SIGEMI    I    Tipo de Soporte:         ELIMINACION DE CIERRE    I    Observaciones:               I         I    Su petición fue atendida" u="1"/>
        <s v="Se cambia el tipo de solicitud del folio: 0610100283420" u="1"/>
        <s v="Buenos días Memo, tu petición fue atendida, favor de validar     I        I    Saludos     I        I    Marina Adame Velasco    I        I    Notificación de seguimiento  [  MA1702202003 ]      I        I    Aplicación:                  INFOMEX BCN    I        I    Tipo de Soporte:         REPORTE   DE SOLICITUDES    I        I    Estatus:                               Concluido.    I        I    " u="1"/>
        <s v="Se  testan los datos del 11 solicitudes del SO CFE" u="1"/>
        <s v="Se realiza la actualización de solicitudes migradas a SISAI, terminandolas en la aplicación SISAI" u="1"/>
        <s v="Buenas tardes Guillermo, tu petición fue atendida, aclaro que el estatus de la solicitud en el infomex es en proceso o terminada cuando ya se concluyeron todos los pasos    I        I    Saludos     I        I    Marina Adame Velasco    I        I    Notificación de seguimiento  [  MA2804202002 ]      I        I    Aplicación:                  INFOMEX BCN    I    Tipo de Soporte:         REPORTE       I    Estatus:                               Concluido.    I         I    " u="1"/>
        <s v="Notificación de seguimiento [ MA1701202002 ]     I          I          I     Estimado(a): Sandra Robles Carrasco    I          I     Le informamos que su ticket correspondiente a:    I          I     En relación con el recurso de revisión RRD 0086/20 (IMSS), solicito de su invaluable apoyo para que en la PNT se habilite como medio para oír y recibir notificaciones de la recurrente la opción de domicilio físico (calle Fray Fernando de Landa, número 284, colonia Quintas del Marqués, Santiago de Querétaro, Querétaro, código postal 76047).    I         I          I     Aplicación: SIGEMI    I     Tipo de Soporte: ACTUALIZACION DE DOMICILIO" u="1"/>
        <s v="Se aplica eliminación de formato de pago manual: 0002700400419." u="1"/>
        <s v="Se aplica el testado de datos de la solicitud: 1117100007220." u="1"/>
        <s v="Notificación de seguimiento  [  MA1106202007 ]      I         I         I    Estimado(a):                     Sergio Rafael Cortés Alpizar    I         I    Le informamos que su ticket correspondiente a:    I                       I    Por medio del presente, solicito el regreso de actividad a &quot; Admitir / Prevenir / Desechar&quot; del siguiente recurso de revisión:    I        I    RRA 4676/20 vs SEDENA    I        I    Lo anterior se debe a que se anexo un archivo mal y se enviara de nuevo el acuerdo correcto.    I        I    Ya están avisadas ambas partes.    I        I         I    Aplicación:                  SIGEMI    I    Tipo de Soporte:         REGRESO DE PASOS      I    Observaciones:                I         I    Su petición fue atendida    I    " u="1"/>
        <s v="Se  testan los datos del folio: 021000000675" u="1"/>
        <s v="Se realizó ajuste de query para obtención de datos de recursos en el infomex Oaxaca para PRECEDENTES" u="1"/>
        <s v="Implementación de la adición del archivo de audio de una Resolución." u="1"/>
        <s v="Modificación de todos los campos " u="1"/>
        <s v="    I    Notificación de seguimiento  [  MA1906202003 ]      I         I         I    Estimado(a):                     Tiara Gethsemanni Miranda Fuentes    I         I    Le informamos que su ticket correspondiente a:    I                       I    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    I         I    RRD 00 678/20    I         I    Aplicación:                  SIGEMI    I    Tipo de Soporte:         REGRESO DE PASOS      I    Observaciones:                I         I    Su petición fue atendida    I         I        I    " u="1"/>
        <s v="Se solicita el alta de: Yicel Flor Miranda Venegas." u="1"/>
        <s v="Envío de respaldo semanal de la base de datos " u="1"/>
        <s v="Desarrollo de nueva implementación para envio de sms para el registro de solicitudes al Organo Grante de la CDMX" u="1"/>
        <s v="Notificación de seguimiento  [  MA0208202201 ]    I        I        I    Estimado(a):               Rosalinda Coria Mosqueda    I        I     Le informamos que su ticket correspondiente a:    I        I    cancelar la actividad de ampliación en el recurso RRD 1438/22, toda vez que por equivocación se notificó acuerdo que no corresponde al mismo.    I        I    Aplicación:                  SICOM/SIGEMI    I    Tipo de Soporte:        ELIMINAR AMPLIACIÓN  " u="1"/>
        <s v="Se sustituye el archivo adjunto de la solicitud con folio 0064101750021" u="1"/>
        <s v="Soporte Baja California Sur" u="1"/>
        <s v="Notificación de seguimiento  [  MA2407202003 ]      I         I         I    Estimado(a):                     Tiara Gethsemanni Miranda Fuentes    I         I    Le informamos que su ticket correspondiente a:    I                       I    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    I         I    RRA 05920/20    I        I        I         I    Aplicación:                  SIGEMI    I    Tipo de Soporte:         REGRESO DE PASOS      I    Observaciones:                I         I    Su petición fue atendida    I    " u="1"/>
        <s v="Se cambia el tipo de solicitud del folio: 0001200298421" u="1"/>
        <s v="    I    Notificación de seguimiento  [  MA0411202009 ]      I         I         I    Estimado(a):                     LUIS HERRERA LEOS    I         I         I    Le informamos que su ticket correspondiente a:    I                       I    Agradeceré su apoyo a efecto de realizar el cambio necesario para modificar el medio de notificación que aparece en la PNT del Recurso de Revisión RRA 11710/20 en contra de la Secretaría de Economía de “Portal: A través del Sistema de Gestión de Medios de Impugnación de la PNT.” a correo electrónico, toda vez que en su escrito así lo solicito la parte recurrente.    I         I    Aplicación:                  SIGEMI    I    Tipo de Soporte:         CAMBIO DE MEDIO       I    Observaciones:                I         I    Su petición fue atendida    I        I    " u="1"/>
        <s v="Se implementan recursos como ofuscacion de codigo para seguridad" u="1"/>
        <s v="Buenas tardes Yarenni, revise los casos que comentas y el seguimiento se ve correcto, lo que podemos hacer es que modifiquemos el plazo por medio de la base a la fecha a la que debió cambiar, si tienes la fecha pasamela para realizar la corrección    I        I    Quedo atenta    I        I    Saludos     I        I    Marina Adame Velasco    I    " u="1"/>
        <s v="Corrección incidencia en fecha de cierre de registros" u="1"/>
        <s v="Comprobación y acceso a la base de datos de Oracle con permisos de lectura y escritura" u="1"/>
        <s v="Se  testan los datos del folio: 0064101358521" u="1"/>
        <s v="Se aplica testado de datos personales: 0064100547920." u="1"/>
        <s v="Se  testan los datos de la solicitud con folio 1816400092821" u="1"/>
        <s v="Buenos días Berenice, tu petición fue atendida, favor de validar     I        I    Saludos     I        I    Marina Adame Velasco    I        I    Notificación de seguimiento  [  MA0708202007 ]      I        I    Aplicación:                  INFOMEX OAXACA    I    Tipo de Soporte:         AJUSTE DE PLAZOS       I    Estatus:                               Concluido.    I        I    " u="1"/>
        <s v="Se sustituye archivo adjunto  del folio:   011000028121" u="1"/>
        <s v="Error Excel Services" u="1"/>
        <s v="Analisis del codigo fuente y flujo de datos" u="1"/>
        <s v="Transferencia de conocimiento de SAP - DGTI" u="1"/>
        <s v="Se aplica testado de datos personales: 0064100548920." u="1"/>
        <s v="Se sustituye archivo adjunto  del folio:  0673800035921" u="1"/>
        <s v="Respaldar Curso 1 de un minuto  de la plataforma anterior y restaurar en plataforma actual " u="1"/>
        <s v="Componente catalogo integrante (ts) (Administrador) " u="1"/>
        <s v="Notificación de seguimiento  [  MA3110202202 ]    I        I    Estimado(a):                David Mondragón Centeno    I        I        I     Le informamos que su ticket correspondiente a:    I        I    EL CERTIFICADO DE HCOM DEBE QUEDAR A NOMBRE DE RICARDO DEL CASTILLO CÁRDENAS, A QUIEN TENEMOS REGISTRADO COMO TITULAR DELA UNIDAD DE TRANSPARENCIA DEL SUJETO OBLIGADO 60307  SINDICATO ÚNICO DE TRABAJADORES DEL INSTITUTO NACIONAL DE BELLAS ARTES Y LITERATURA (SUTINBAL).    I        I    Aplicación:                 HCOM    I    Tipo de Soporte        CAMBIO DE TUT     I    " u="1"/>
        <s v="Notificación de seguimiento  [  MA0410202203 ]    I        I    Estimado(a):                Alondra Jiménez Hernández     I        I     Le informamos que su ticket correspondiente a:    I        I    Anexo el registro actualizado del certificado del nuevo Titular de la Unidad de Transparencia de Exportadora de Sal, S.A. de C.V. para que su acceso sea habilitado en la Herramienta de Comunicación.     I        I        I    Aplicación:                  HCOM    I    Tipo de Soporte          CAMBIO DE TUT      I    Observaciones:                I         I    Su petición fue atendida" u="1"/>
        <s v="Notificación de seguimiento  [  MA1210202005 ]      I         I         I    Estimado(a):                     Luis Herrera Leos    I         I    Le informamos que su ticket correspondiente a:    I                       I    Nuevamente, solicito su apoyo para modificar el correo electrónico (como medio de notificación) en el recurso RRA 10105/20 COFEPRIS toda vez que en la PNT aparece el correo erwin.cruz.saldivar@gmail.com; sin embargo, el particular señaló el siguiente: gvillarreal700@gmail.com    I        I    Lo anterior, toda vez que de la revisión a la PNT aún no se realiza el cambio solicitado.     I        I        I         I    Aplicación:                  SIGEMI    I    Tipo de Soporte:         CAMBIO DE CORREO     I    Observaciones:                I         I    Su petición fue atendida    I    " u="1"/>
        <s v="Notificación de seguimiento  [  MA1802202005 ]      I         I         I    Estimado(a):                     Lizbeth Adriana Cabrera Ortega    I         I    Le informamos que su ticket correspondiente a:    I                       I    SOLICITO DE TU APOYO A FIN DE ATENDER EL REQUERIMIENTO SOLCIITADO POR LA PONENCIA RESPECTO A LA FECHA DE INTERPOSICIÓN DEL RECURSO RRA 1906/20.    I         I    DEBE DECIR 31 DE ENERO DE 2020.    I         I    ASIMISMO TE REMTIO EL ACUERDO DE TURNO, EN EL QUE SE DA CUENTA DE LA RECEPCION DEL RECURSO EL DÍA 31 DE ENERO DE 2020 Y DE SU TURNO EL DÍA 13 DE FEBRERO.    I         I    Aplicación:                  SIGEMI    I    Tipo de Soporte:         Actualización de Fecha de Interposición      I    Observaciones:                I         I    Su petición fue atendida    I    " u="1"/>
        <s v="Modificaciones al servicio de cambio de contraseña y pruebas" u="1"/>
        <s v="Se sustituye el archivo adjunto de la solicitud con folio 0320000503121    I        I    " u="1"/>
        <s v="Estimado José Manuel , adjunto reporte solicitado     I        I    Saludos    I        I    Marina     I        I        I        I    Notificación de seguimiento  [  MA0807202114 ]    I        I    Aplicación:                  INFOMEX QUERETARO    I    Tipo de Soporte:         CONSULTA DE DATOS      I    " u="1"/>
        <s v="Se aplica eliminación de última respuesta de la solicitud: 0064103060920" u="1"/>
        <s v="Pruebas de mdbootstrap con bootstrap normal para metodo de busqueda sobre una tabla    I    Pantalla firma multilateral y configuración mdbootstrap    I    Se agrega componente de numero de registros por indice" u="1"/>
        <s v="Se testan los datos  del folio: 0064101363521" u="1"/>
        <s v="    I    Notificación de seguimiento  [  MA1706202006 ]    I        I         I    Estimado(a):                     ERIKA AGUILAR    I         I    Le informamos que su ticket correspondiente a:    I                       I    AJUSTES DE FECHAS DE VOTACIÓN, CUMPLIMIENTOS Y REGRESOS DE PASOS    I         I    Aplicación:                  SIGEMI    I    Tipo de Soporte:         AJUSTES DE PLAZOS      I    Observaciones:                I         I    Su petición fue atendida    I         I        I    " u="1"/>
        <s v="Se  testan los datos del folio: 0064101638021" u="1"/>
        <s v="Aplicar cambios de análisis heurístico (textos, subrayado pizarra seleccionada) en el administrador y publico " u="1"/>
        <s v="Notificación de seguimiento  [  MA1902202006 ]      I         I         I    Estimado(a):                     Moisés Guzmán Arias    I         I    Le informamos que su ticket correspondiente a:    I                       I    se modifique la fecha de cumplimiento a petición e instrucción de la Coordinación Jurídica por ampliación para el cumplimiento del recurso    I         I    RR-643/2019 Nueva fecha para cumplimiento 20  de febrero de 2020 y activarla para que pueda ser vista desde la bandeja de entrada del sujeto obligado ya que en la ampliación solicitada anteriormente no tomaron en cuenta los 3 días que tiene el sujeto obligado para poder enviar el informe y derivado de ello me están pidiendo que nuevamente se ajuste    I         I    Aplicación:                  SIGEMI    I    Tipo de Soporte:         AMPLIAR FECHA DE CUMPLIMIENTO       I    Observaciones:                I         I    Su petición fue atendida    I         I        I    " u="1"/>
        <s v="Notificación de seguimiento  [  MA2010202201 ]    I        I    Estimado(a):                Betzabé Flores Terán    I        I         I     Le informamos que su ticket correspondiente a:    I         I    Solicito su apoyo para realizar la modificación del nombre del TUT en la herramienta de comunicación toda vez que tal como se muestra en la pantalla que adjunta el SO aparece el nombre de José Armando Nieto Barajas, sin embargo, debe decir Jorge Armando Nieto Barajas, toda vez que es el nombre correcto del TUT.    I        I         I    Aplicación:                 HCOM    I    Tipo de Soporte        ACTUALIZACIÓN DE DATOS    I    Observaciones:                I         I    Su petición fue atendida.    I    " u="1"/>
        <s v="Notificación de seguimiento  [  MA0712202003 ]      I          I    Estimado(a):                     Hugo Montero Saldaña    I          I    Le informamos que su ticket correspondiente a:    I                       I    En relación con el recurso de revisión RRA 13433/20 vs Secretaría de Hacienda y Crédito Público, se notificó un acuerdo de prevención, a través del paso de admisión.    I        I    En razón de lo anterior, solicito su valioso apoyo a efecto de que, de ser posible, se regrese al paso anterior, para notificar por el paso de prevención. En caso de no ser posible, quedo atento a cualquier instrucción de su parte.    I        I         I    Aplicación:                  SIGEMI    I    Tipo de Soporte:         REGRESO DE PASOS        I    Observaciones:                I         I    Su petición fue atendida    I    " u="1"/>
        <s v="Notificación de seguimiento  [  MA1003202009  ]      I         I         I    Estimado(a):                     Pedro Esquivel Martínez    I         I    Le informamos que su ticket correspondiente a:    I                       I    Anexo el registro actualizado del certificado del Titular de la Unidad de Enlace del  “INSTITUTO DE SEGURIDAD Y SERVICIOS SOCIALES DE LOS TRABAJADORES DEL ESTADO” Lo Anterior a fin de que sus accesos sean habilitados en los otros sistemas que administra este Instituto (HCOM).  CAMBIO DE CERTIFICADO, en cuanto se reciba la atención en HCOM se realizará la actualización de los demás sistemas correspondientes.    I         I    Aplicación:                  HCOM    I    Tipo de Soporte:         CAMBIO DE CERTIFICADO      I    Observaciones:                I         I    Su petición fue atendida    I    " u="1"/>
        <s v="Notificación de seguimiento  [  MA1504202113 ]      I         I         I    Estimado(a):                     Ing. J. Alexandro Sandoval L    I         I         I    Le informamos que su ticket correspondiente a:    I                       I    Se dieron cuenta de un par de errores en las fechas de interposición de 2 recursos, y queríamos pedirte si se pudieran cambiar estas fechas:    I    RR-ICHITAIP-240-2021    I    Fecha actual: 16 de Marzo 8:00 Hrs    I    Fecha correcta: 8 de Abril 12:05 Hrs    I    RR-ICHITAIP-241-2021    I    Fecha actual: 22 de Marzo 8:00 Hrs    I    Fecha correcta: 12 de Abril 12:28 Hrs    I         I    Aplicación:                  SIGEMI/SICOM    I    Tipo de Soporte:         Actualizar fecha de interposición       I    Observaciones:                I         I    Su petición fue atendida    I    " u="1"/>
        <s v="Se realiza la baja “Fideicomiso de Investigación Científica y de Desarrollo Tecnológico”, con número de clave 11303" u="1"/>
        <s v="SUSTITUCIÓN TEXTO Y ADJUNTO EN SOLICITUD DE INFORMACION CON FOLIO 1816400129821" u="1"/>
        <s v="Gestión de información en vistas de tablas acotadas proporcionadas por el equipo INAI" u="1"/>
        <s v="Seguimiento, monitoreo de los recursos involucrados en la atención del servicio" u="1"/>
        <s v="Estimado Andrés, me da gusto saludarte y espero que también te encuentres bien, fíjate que como tal en el infomex no existe ese soporte en el aplicativo, pero si se puede cambiar la referencia en la base de datos, tienes que realizar lo siguiente…" u="1"/>
        <s v="Se aplica el cambio de modalidad a la solicitud: 0063700080020 y 0063700080220." u="1"/>
        <s v="Notificación de seguimiento  [  MA2611202007 ]      I         I         I    Estimado(a):                     Lizbeth Adriana Cabrera Ortega    I         I         I    Le informamos que su ticket correspondiente a:    I                       I    Pido tu apoyo para modificar el recurso indicado en el asunto:    I         I    Dice: Sindicato Nacional de Trabajadores del Instituto Nacional de Bellas Artes y Literatura (SNTINBAL),    I         I    DEBE DECIR: SINDICATO NACIONAL DEMOCRÁTICO DE TRABAJADORES DE LA SECRETARÍA DE CULTURA.    I         I    Asimismo, de ser factible podrías apoyarme a que el Acuerdo de Turno pueda ser modificado con tales datos.    I        I         I    Aplicación:                  SIGEMI    I    Tipo de Soporte:         CAMBIO SO    I    Observaciones:                I         I    Su petición fue atendida    I    " u="1"/>
        <s v="Buenas tardes Martha, tu petición fue atendida, favor de validar     I        I    Saludos     I        I    Marina Adame Velasco    I        I    Notificación de seguimiento  [  MA0402202006 ]      I        I    Aplicación:                  INFOMEX NUEVO LEÓN    I    Tipo de Soporte:         Actualizar Logo       I    Estatus:                               Concluido.    I    " u="1"/>
        <s v="Reporte de solicitudes registradas por PNT e INFOMEX" u="1"/>
        <s v="Se sustituye archivo adjunto  del folio: 1816400078221" u="1"/>
        <s v="Notificación de seguimiento  [  MA0202202106 ]      I         I         I    Estimado(a):                     ANA MARIA VALLE LE VINSON    I         I         I    Le informamos que su ticket correspondiente a:    I                       I    ACTUALIZAR AVISO    I         I    Aplicación:                  INFOMEX SLP    I    Tipo de Soporte:         Actualizar aviso        I    " u="1"/>
        <s v="Levantar ambiente local" u="1"/>
        <s v="Se actualiza certificado para la dependencia: Sindicato.Nacional.de.Cultura." u="1"/>
        <s v="Se cambia diseño de pantalla principal" u="1"/>
        <s v="Generación de script para el reconocimiento de formatos" u="1"/>
        <s v="Notificación de seguimiento  [  MA1202202109 ]      I         I         I    Estimado(a):                     Alondra Jiménez Hernández    I         I         I    Le informamos que su ticket correspondiente a:    I                       I    Anexo el registro actualizado del certificado del nuevo Titular de la Unidad de Transparencia del Administración Portuaria Integral de Tuxpan, S.A. de C.V. para que su acceso sea habilitado en la Herramienta de Comunicación.     I         I    Aplicación:                  HCOM    I    Tipo de Soporte:         CAMBIO TUT       I    " u="1"/>
        <s v="Buenas tardes Guillermo, tu petición fue atendida, favor de validar     I        I    Saludos     I        I    Marina Adame Velasco    I        I    Notificación de seguimiento  [  MA0906202003 ]      I        I    Aplicación:                  INFOMEX BCN    I    Tipo de Soporte:         REPORTES    I    Estatus:                               Concluido.    I        I    " u="1"/>
        <s v="Buenas tardes Martha, tu petición fue atendida, favor de validar     I        I    Saludos     I        I    Marina Adame Velasco    I        I    Notificación de seguimiento  [  MA0705202002 ]      I        I    Aplicación:                  INFOMEX NUEVO LEÓN    I        I    Tipo de Soporte:         AJUSTE DE PLAZOS    I           I    Estatus:                               Concluido.    I    " u="1"/>
        <s v="Buenas tardes Martha, tu petición fue atendida, favor de validar     I        I    Saludos     I        I    Marina Adame Velasco    I        I    Notificación de seguimiento  [  MA0705202003 ]      I        I    Aplicación:                  INFOMEX NUEVO LEÓN    I        I    Tipo de Soporte:         AJUSTE DE PLAZOS    I           I    Estatus:                               Concluido.    I    " u="1"/>
        <s v="Identificar sección a editar de la plantilla" u="1"/>
        <s v="Revisión de cambios" u="1"/>
        <s v="Se aplica eliminación de formato de pago: 0063700444220 " u="1"/>
        <s v="Se desarrolla la funcionalidad de administración de la firma de los documentos de resolución, para administración conjunta tanto del representante de la DGAP y los firmantes del documento" u="1"/>
        <s v="Notificación de seguimiento  [  MA0309202004 ]      I         I         I    Estimado(a):                     Pedro Esquivel Martínez    I         I    Le informamos que su ticket correspondiente a:    I                       I    por este medio Anexo el registro actualizado del certificado del Titular de la Unidad de Enlace del “Fondo de investigación científica y desarrollo tecnológico de El Colegio de la Frontera Sur Fid. 784”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ACTUALIZACIÓN DE CERTIFICADO       I    Observaciones:                I         I    Su petición fue atendida    I    " u="1"/>
        <s v="Modificaciones al servicicio de consultar informacion" u="1"/>
        <s v="Notificación de seguimiento  [  MA2907202004 ]      I         I         I    Estimado(a):                     Edgar Michel Loaeza Martínez    I         I    Le informamos que su ticket correspondiente a:    I                       I    alta el certificado que se adjunta, sujeto obligado de la Secretaría de Educación Pública.    I         I    Aplicación:                  HCOM    I    Tipo de Soporte:         CAMBIO DE TUT ( 4 )       I    Observaciones:                I         I    Su petición fue atendida, la contraseña de los nuevos titulares es hcom2020    I         I    " u="1"/>
        <s v="Se sustituye archivo adjunto  del folio: 0000600012021 y 0000600012121" u="1"/>
        <s v="Se construyeron las distintas consultas para tratar el 10mo procedimiento de banderas 'OBTENER_FG_PREVENIDO' de QUEJAS, para tratar los condicionales " u="1"/>
        <s v="Desarrollo del ordenamiento para los registros" u="1"/>
        <s v="Se  testan los datos del folio: 0064101669021" u="1"/>
        <s v="Desarrollo del paginador al pie de pagina" u="1"/>
        <s v="Pruebas y ajustes, entrega de todos los insumos" u="1"/>
        <s v="Buenas tardes Martha, tu petición fue atendida, favor de validar     I        I    Saludos     I        I    Marina Adame Velasco    I        I    Notificación de seguimiento  [  MA2204202005 ]      I        I    Aplicación:                  INFOMEX NUEVO LEÓN    I    Tipo de Soporte:         AJUSTE DE PLAZOS        I    " u="1"/>
        <s v="Se aplica testado de datos al folio:  0000700036821" u="1"/>
        <s v="se generan componentes formulario reactivo de rol, se implementa el modal de rol" u="1"/>
        <s v="Carga de archivos a WordPress" u="1"/>
        <s v="Revisión videos de procesos PNT    I    Lectura de documentación" u="1"/>
        <s v="Cambios área usuaria en cuestionario interactivo" u="1"/>
        <s v="Notificación de seguimiento  [  MA1007202003 ]      I         I         I    Estimado(a):                     Betzabé Flores Terán    I         I         I    Le informamos que su ticket correspondiente a:    I                       I    Solicito de su apoyo para actualizar en la Herramienta de Comunicación los certificados de los sujetos obligados de la base que se adjunta, ya que estos han vencido.    I         I         I    Aplicación:                  HCOM       I    Tipo de Soporte:         cambio de TUT   ( 13 )    I    " u="1"/>
        <s v="Terminar diapositiva 20 (se agrega un componente de autocomplete)    I    Validar header de administración para que dependiendo del rol aparezca o no la opción de &quot;Adminstración&quot;    I    Se agrega un componente de autocomplete registrar/editar grupo    I    Se valida el formulario de grupo en registrar/editar grupo" u="1"/>
        <s v="Generación de certificado para: Julio César Pérez Santacruz." u="1"/>
        <s v="Administración Estadísticas PDP" u="1"/>
        <s v="Conclusión del desarrollo y pruebas en el módulo de administración de descarga de información de SISAI de la funcionalidad para la descarga de adjuntos de la solicitud y adjuntos de las respuestas, considerando la configuración y el estatus en el tracking de la misma" u="1"/>
        <s v="Se  testan los datos del folio: 0210200003121" u="1"/>
        <s v="Notificación de seguimiento  [  MA2311202007 ]      I         I         I    Estimado(a):                     Pedro Esquivel Martínez    I         I         I    Le informamos que su ticket correspondiente a:    I                       I    cambio de Titular, anexo el registro actualizado del certificado del Titular de la Unidad de Enlace del  “Comisión Nacional de los Salarios Mínimos” Lo Anterior a fin de que sus accesos sean habilitados en los otros sistemas que administra este Instituto (HCOM).  CAMBIO DE TITULAR, en cuanto se reciba la atención en HCOM se realizará la actualización de los demás sistemas correspondientes.    I         I    Aplicación:                  HCOM    I    Tipo de Soporte:         CAMBIO TUT       I    Observaciones:                I         I    Su petición fue atendida    I         I          I    " u="1"/>
        <s v="Notificación de seguimiento  [  MA1003202201 ]    I        I    Estimado(a):                Edgar Michel Loaeza Martínez    I        I         I     Le informamos que su ticket correspondiente a:    I                       I    realizar el cambio de certificados de los sujetos obligados indirectos del Instituto Politécnico Nacional en el sistema HCOM    I    Para tal efecto, anexo los certificados y base de datos, lo anterior, a fin de que sus accesos sean habilitados.      I        I        I    Clave Sujeto obligado Encargada de la Unidad de Transparencia    I    11006 XE-IPN Canal 11 (*) Lic. Nalleli Corro Aviña    I    11172 Fideicomiso fondo de investigación científica y desarrollo tecnológico del IPN Lic. Nalleli Corro Aviña    I         I    Aplicación:                  HCOM    I    Tipo de Soporte:         CAMBIO DE TUT ( 2)      I    Observaciones:                I         I    Su petición fue atendida    I    " u="1"/>
        <s v="Testado de datos  del folio: 3670000018121" u="1"/>
        <s v="Se habilitan los pagos para la dependencia: 28001, SSPC-GUARDIA NACIONAL." u="1"/>
        <s v="Continuar documento de Análisis de la Solución,    I    casos de Uso:    I    CU-5: Registrar nuevo usuario mediante Twitter    I    CU-6: Recuperar contraseña    I    CU-7: Autenticación con usuario y contraseña    I    CU-8: Autenticación con cuenta de Facebook    I    CU-9: Autenticación con cuenta de Twitter    I    CU-10: Autenticación con cuenta de Google    I    " u="1"/>
        <s v="Se modifica la fecha limite de respuesta de la solicitud del folio: 1857200304020 y 1857200291620" u="1"/>
        <s v="Se  testan los datos del folio: 0064101516021" u="1"/>
        <s v="Se sustituye el archivo adjunto de la solicitud con folio 0063700368221" u="1"/>
        <s v="Se actualizan los plazos de la solicitud: 0413100156319." u="1"/>
        <s v="Notificación de seguimiento  [  MA0203202003 ]      I         I         I    Estimado(a):                     Pedro Esquivel Martínez    I         I    Le informamos que su ticket correspondiente a:    I                       I    RENOVACIÓN DE CERTIFICADO DEL TITULAR DEL SUJETO OBLIGADO CONAZA    I        I         I    Aplicación:                  HCOM    I    Tipo de Soporte:         RENOVACIÓN DE CERTIFICADO    I    Observaciones:                I         I    Su petición fue atendida    I         I         I                Favor de validar.    I         I    Estatus:                               Concluido.    I    " u="1"/>
        <s v="Agregadas validaciones al cambiar sujeto obligado y ejercicio" u="1"/>
        <s v="Se aplica el cambio de modalidad para el folio: 0064103585619." u="1"/>
        <s v="Pantalla de registro de nuevo usuario" u="1"/>
        <s v="Definición de herramienta para realizar la extracción de los 8 millones de información disponible dentro de la PNT" u="1"/>
        <s v="Se reconstruyeron las consultas del 12vo procedimiento de 'OBTENER_TEMATICA' de SOLICITUDES " u="1"/>
        <s v="Introducción al sistema de pizarras" u="1"/>
        <s v="Se corrigieron incidencias en solicitudes migradas de Infomex Tabasco a SISAI " u="1"/>
        <s v="Notificación de seguimiento  [  MA2503202105 ]      I         I         I    Estimado(a):                     Martha Rubí Zaragoza Mora    I         I         I    Le informamos que su ticket correspondiente a:    I                       I    El presente correo es para pedir su amable apoyo para el ajuste de términos de los folios debido al primer periodo vacacional del año 2021 que envió el sujeto obligado con su acuerdo y se configuro el calendario correspondiente     I        I        I    Aplicación:                  INFOMEX FEDERAL     I    Tipo de Soporte:         AJUSTE DE PLAZOS        I    Observaciones:                I         I    " u="1"/>
        <s v="Notificación de seguimiento  [  MA2408202006 ]      I         I         I    Estimado(a):                     Lizbeth Adriana Cabrera Ortega    I         I    Le informamos que su ticket correspondiente a:    I                       I    Pido de tu apoyo a fin de que en el recurso RRA 8650/20 obre como fecha de interposición el 18 de agosto por ser el último día de plazo para interponer el recurso de revisión.    I         I    A razón de lo anterior deberá adicionarse el acuerdo que se remite adjunto a este correo, el cual ya tiene la fecha de 18 de agosto.    I         I    Con respecto al medio de notificación, deberá ser modificado y decir CORREO ELECTRÓNICO     I         I    gwashington1920@gmail.com    I         I        I         I    Aplicación:                  SIGEMI    I    Tipo de Soporte:         ACTUALIZACIÓN DE FECHA DE INTERPOSICIÓN Y MEDIO       I    Observaciones:                I         I    Su petición fue atendida    I    " u="1"/>
        <s v="Se aplica el testado de datos de la solicitud: 1117100231519" u="1"/>
        <s v="Se ajustan plazos de solicitudes en infomex Nuevo León" u="1"/>
        <s v="Notificación de seguimiento  [  MA0306202116 ]    I        I    Estimado(a):                Jessica Mendoza Partido    I        I         I     Le informamos que su ticket correspondiente a:    I                       I    cancelando la notificación referida. La fecha del pleno limite sin ampliar fue este 02 de junio de 2021.    I         I    Aplicación:                  SIGEMI    I    Tipo de Soporte:         ELIMINAR AMPLIACIÓN      I    Observaciones:                I         I    Su petición fue atendida    I         I         I        I                 Favor de validar.    I         I    Estatus:                               Concluido    I    " u="1"/>
        <s v="Se  testan los datos de la solicitud con folio 0064101152221    I         I    " u="1"/>
        <s v="    I    Notificación de seguimiento  [  MA2711202001 ]      I         I         I    Estimado(a):                     Oswaldo Santillán Cortés    I         I         I    Le informamos que su ticket correspondiente a:    I                       I    regrese el paso en el SIGEMI, respecto del expediente RRD 1793/20.    I         I         I    Aplicación:                  SIGEMI    I    Tipo de Soporte:         REGRESO DE PASOS        I    Observaciones:                I         I    Su petición fue atendida    I    " u="1"/>
        <s v="Se aplica el testado de datos de la solicitud:  0064103596519." u="1"/>
        <s v="Buenas tardes Martha, te comento que se realizó la corrección de plazo al 30 de Septiembre, en caso de que requieran modifican algún otro dato estoy a sus ordenes, favor de validar     I        I    Saludos     I        I    Marina Adame Velasco    I        I    Notificación de seguimiento  [  MA2109202005 ]      I        I    Aplicación:                  INFOMEX NUEVO LEÓN    I    Tipo de Soporte:         Corrección de fecha de caducidad       I    Estatus:                               Concluido.    I    " u="1"/>
        <s v="Opciones de la PNT" u="1"/>
        <s v="Se localiza el acuse del folio: 0630600001819" u="1"/>
        <s v="Notificación de seguimiento  [  MA2710202007 ]      I        I         I        I         I        I    Estimado(a):                     Laura Mónica Segovia Tellez    I        I         I        I    Le informamos que su ticket correspondiente a:    I        I                       I        I    El recurso RRD 1251/20 viene doble en el tablero.    I        I         I        I    Creo que podríamos eliminar el primero.    I        I         I        I         I        I    Aplicación:                  SIGEMI    I        I    Tipo de Soporte:         Quitar duplicado     I        I    Observaciones:                I        I         I        I    Su petición fue atendida" u="1"/>
        <s v="Notificación de seguimiento  [  MA2704202107 ]      I          I    Estimado(a):                     Alondra Jiménez Hernández    I          I    Le informamos que su ticket correspondiente a:    I                       I    Anexo el registro actualizado del certificado del Titular de la Unidad de Transparencia de CIDETEQ  para su renovación en la HCOM.      I         I    Aplicación:                  HCOM    I    Tipo de Soporte:         RENOVACION DE CERTIFICADO       I    Observaciones:                I         I    Su petición fue atendida    I         I          I                Favor de validar.    I         I    Estatus:                               Concluido.    I    " u="1"/>
        <s v="Se  testan los datos del folio: 0064101902621" u="1"/>
        <s v="Análisis para generación de reporte estadístico solicitado " u="1"/>
        <s v="    I    Notificación de seguimiento  [  MA2605202005 ]      I         I         I    Estimado(a):                     Rosalinda Coria Mosqueda    I         I    Le informamos que su ticket correspondiente a:    I                       I    cambiar el medio de comunicación en el recurso RRA 04375/20, de PNT a correo electrónico: ppjuarez53@hotmail.com    I        I         I    Aplicación:                  SIGEMI    I    Tipo de Soporte:         CAMBIO DE MEDIO     I    Observaciones:                I         I    Su petición fue atendida    I    " u="1"/>
        <s v="Se aplica sustitución de archivo de la solicitud: 0064100012120" u="1"/>
        <s v="Se crean los services en el front para la pantalla de busqueda." u="1"/>
        <s v="Se realiza la baja “Fideicomiso CIATEC”, con número de clave 11306 " u="1"/>
        <s v="Notificación de seguimiento  [  MA1612202023 ]      I         I         I    Estimado(a):                     José Manuel Flores Robles    I         I         I    Le informamos que su ticket correspondiente a:    I                       I    - Cuántas solicitudes se han presentado, preguntando datos sobre la situación actual, con el siguiente criterio de búesqueda:  “pandemia”, “COVID19”, “COVID-19” y “coronavirus”. El periodo a consultar sería del 1 de diciembre de 2020 al 17 de diciembre del 2020. El resultado igual que la última vez: Sujeto Obligado que recibió la solicitud y el texto de la misma.    I        I         I    Aplicación:                  INFOMEX QUERETARO     I    Tipo de Soporte:         Reporte       I    " u="1"/>
        <s v="Se cambio la ruta que se comparte en redes sociales para accesar a lasolicitud o queja" u="1"/>
        <s v="Notificación de seguimiento  [  MA1211202008 ]      I         I         I    Estimado(a):                     HORACIO ALEMAN    I         I         I    Le informamos que su ticket correspondiente a:    I                       I    APOYAR AL ADMINISTRADOR DEL INFOMEX DURANGO CON LA MIGRACIÓN DE ARCHIVOS A OTRA UNIDAD DE ALMACENAMIENTO    I         I    Aplicación:                  INFOMEX DURANGO    I    Tipo de Soporte:         Apoyo con cambio de configuración       I    Observaciones:                I         I    Te informó que se concluyó exitosamente el apoyo brindado en los trabajos de cambio de configuración y actualización de rutas que solicito el administrador del sistema    I         I          I                Favor de validar.    I         I    Estatus:                               Concluido.    I        I    " u="1"/>
        <s v="Revisión de solicitud de campos vacíos" u="1"/>
        <s v="Notificación de seguimiento  [  MA2910202001 ]      I        I         I        I         I        I    Estimado(a):                     Lizbeth Adriana Cabrera Ortega    I        I         I        I    Le informamos que su ticket correspondiente a:    I        I                       I        I    generación UN EXPEDIENTE del recurso de revisión posteriormente citado.    I        I         I        I    Asimismo, te comento que NO DEBERÁ CAMBIAR el sujeto obligado, ni el Comisionado correspondiente.    I        I         I        I     DICE                                        DEBE DECIR                         SUJETO OBLIGADO           PONENTE    I        I    RRD 01505/20    I        I    RRD 0683/19-BIS    I        I    PEMEX    I        I    FJAL    I        I         I        I    No omito comentarte que el número de expediente que deberá seguir en el consecutivo por turnar en PNT debe ser el RRD 01505/20    I        I         I        I         I        I    Aplicación:                  SIGEMI    I        I    Tipo de Soporte:         CAMBIO A BIS     I        I    Observaciones:                I        I         I        I    Su petición fue atendida" u="1"/>
        <s v="Se cambia el tipo de solicitud del folio: 3210000039121" u="1"/>
        <s v="     I    Buenas tardes Martha, tu petición fue atendida, favor de validar     I        I    Saludos     I        I    Marina Adame Velasco    I        I    Notificación de seguimiento  [  MA1106202005 ]      I        I    Aplicación:                  INFOMEX NUEVO LEÓN     I    Tipo de Soporte:         Corrección de nombre de archivo adjunto       I    Estatus:                               Concluido.    I    " u="1"/>
        <s v="Notificación de seguimiento  [  MA1311202001 ]      I         I     Estimado(a):                     Berenice Hernández Sumano     I          I    Le informamos que su ticket correspondiente a:    I                       I    Por este medio solicito su apoyo para poder aplicar las afectaciones a las fechas:  Entrega de información relacionada con el Cumplimiento y Entrega de Alegatos y manifestaciones, de los recursos señalados en este correo. Toda vez que el Consejo General aprobará en su Décima Novena Sesión Ordinaria celebrada el día 28 de octubre, aprobó la primera fase del levantamiento a la suspensión de plazos derivado de la Contingencia Sanitaria del COVID-19 para un primer grupo de sujetos obligados y la continuidad de la suspensión de plazos para el resto de sujetos obligados hasta el 23 de noviembre.    I     Aplicación:     SIGEMI                 I        I    Tipo de Soporte:         AJUSTE DE FECHAS       I    Observaciones:                I         I    Su petición fue atendida    I    " u="1"/>
        <s v="Notificación de seguimiento  [  MA2809202007 ]      I         I         I    Estimado(a):                     Pedro Esquivel Martínez    I         I    Le informamos que su ticket correspondiente a:    I                       I        I    Con el gusto de saludarte y por este medio solicito tu valioso apoyo con el acceso a la Herramienta de Comunicación HCOM para el S.O. &quot;Fondo sectorial de investigación Secretaría de Relaciones Exteriores&quot; a cargo del CONACYT, ya que al seleccionar el certificado y contraseña arroja el error de password incorrecto;    I        I    11566 CONACYT F55 Fondo sectorial de investigación Secretaría de Relaciones Exteriores Raymundo Espinoza Hernández 11566.Raymundo Espinoza Hernández SISI11566 HCOM11566 http://ueapf.org.mx    I    http://herrcom.ifai.org.mx    I        I        I         I    Aplicación:                  HCOM    I    Tipo de Soporte:         ACTUALIZACIÓN DE CONTRASEÑA      I    Observaciones:                I         I    Su petición fue atendida    I    " u="1"/>
        <s v="Modificación del servicio que ejecuta el cambio del tipo de solicitud, incluye recalculo de plazo de antención y cambia el estatus de la solicitud." u="1"/>
        <s v="Soporte Tamaulipas" u="1"/>
        <s v="Correcciones al componente, creación de componentes reutilizables app-domicilio-u" u="1"/>
        <s v="Se  testan los datos del folio: 0064101174521" u="1"/>
        <s v="Buenas tardes Miguel, Alexandro, les adjunto la consulta solicitada, favor de validar     I        I    Saludos     I        I    Marina Adame Velasco    I        I    Notificación de seguimiento  [  MA0206202011 ]      I        I    Aplicación:                  INFOMEX CHIHUAHUA    I    Tipo de Soporte:         Script       I    Estatus:                               Concluido.    I    " u="1"/>
        <s v="Notificación de seguimiento [ MA2901202003]    I          I     Estimado(a): Sergio Rafael Cortés Alpizar    I          I     Le informamos que su ticket correspondiente a:    I          I     Por este medio solicito se elimine el Cierre de instrucción en la PNT y se vuelva habilitar el paso para volverlo a generar del siguiente recurso:    I          I     RRA 15947/19 vs SSPC    I          I     Lo anterior se debe a que por un error involuntario se adjuntó mal el archivo de cierre de instrucción.    I         I          I     Aplicación: SIGEMI    I     Tipo de Soporte: ELIMINA CIERRE     I     Observaciones:     I          I     Su petición fue atendida    I          I         I          I      Favor de validar.    I          I     Estatus: Concluido." u="1"/>
        <s v="Buenos días Berenice, envío la información que solicitas…    I        I    FOLIO CORREO_ELECTRÓNICO    I    647820 santamzacatepec@gmail.com    I        I    647920 santotjalieza@gmail.com    I        I    648020 sanpapostol@gmail.com    I        I    649620 union.hidalgo@oaxaca.gob.mx    I        I        I    Saludos    I        I    Marina Adame Velasco    I    " u="1"/>
        <s v="Se  testan los datos del folio: 1816400200821" u="1"/>
        <s v="Se  testan los datos del folio: 0064101340021" u="1"/>
        <s v="Revisión de error al generar PDF" u="1"/>
        <s v="Se realiza la baja en el sistema del SO Fideicomiso SEP-UNAM-Fundación UNAM" u="1"/>
        <s v="Atención a incidencias, mejoras y funcionalidades de los tickets de la Mesa de Ayuda de la PNT" u="1"/>
        <s v="Se aplicó el cambio de modalidad así como el adjunto de la solicitud con folio: 0002700016420." u="1"/>
        <s v="Se agregan y cambian validaciones para levantar una solicitud" u="1"/>
        <s v="Notificación de seguimiento  [  MA1107202205 ]    I        I        I    Estimado(a):               María Fernanda Trejo Vargas    I        I     Le informamos que su ticket correspondiente a:    I        I    Solicito su amable apoyo para asignar en la Herramienta de comunicación, el certificado adjunto al presente SO que se precisa a continuación:    I         I    Clave _x0009_Sujeto obligado _x0009_Siglas hcom _x0009_Nombre del titular del sujeto obligado _x0009_Correo electrónico  _x0009_Contraseña para hcom     I    60313 _x0009_Sindicato Revolucionario Nacional de Trabajadores de la Secretaría de Comunicaciones y Transportes _x0009_SRTSCT _x0009_SONIA OVIEDO BAUTISTA_x0009_soviedosony@gmail.com; soviedob@sct.gob.mx     I    hcom2022     I        I        I        I    Aplicación:                  HCOM    I    Tipo de Soporte:         CAMBIO DE TUT      I    Observaciones:                I         I    Su petición fue atendida " u="1"/>
        <s v="Script BD declaración inicial Rocio Fierro" u="1"/>
        <s v="Módulo para la configuración de constancias." u="1"/>
        <s v="Se aplica sustitución de archivo al folio: 0064100254820." u="1"/>
        <s v="Se realizó una revisión al código y debugeo del programa que genera el folio y Se detectó un error en calendario de fábrica de SAP para el año 2021, se ajustó al año 2030; así como también se ajustaron los folios  que indicó el área de Sustaciación.    I    Así como también se ajustaron todos los casos de SPD,  en las Fechas del sistema que se calcularon erróneamente." u="1"/>
        <s v="    I    Notificación de seguimiento  [  MA0708202001 ]      I         I         I    Estimado(a):                     Laura Mónica Segovia Téllez    I         I    Le informamos que su ticket correspondiente a:    I                       I    se solicita registrar el correo electrónico indicado en su escrito libre, pues esa dirección fue la señalada expresamente para recibir notificaciones.     I        I         I    Aplicación:                  SIGEMI    I    Tipo de Soporte:         CAMBIO DE MEDIO        I    Observaciones:                I         I    Su petición fue atendida    I    " u="1"/>
        <s v="Alta de usuarios:    I    AGARCÍA" u="1"/>
        <s v="Notificación de seguimiento  [  MA1305202106 ]      I         I         I    Estimado(a):                     Alma Lizbeth Peguero Rivera    I         I         I    Le informamos que su ticket correspondiente a:    I                       I    eliminar el siguiente recurso RRA 1572/21 OMGF, debido a que se encuentra doble en la PNT para poder trabajar mi actividad, sin más por el momento, quedo pendiente.    I         I    Aplicación:                  SIGEMI    I    Tipo de Soporte:         CANCELAR ACTIVIDAD DUPLICADA       I    Observaciones:                I         I    Su petición fue atendida    I         I          I                Favor de validar.    I         I    Estatus:                               Concluido.    I    " u="1"/>
        <s v="Se  testan los datos del folio: 0064101444021" u="1"/>
        <s v="Se sustituye archivo adjunto del folio: 0000700007121" u="1"/>
        <s v="Se testan datos y se sustituye archivo del folio 0064100834621" u="1"/>
        <s v="Buenas tardes Moisés, tu petición fue atendida, favor de validar     I         I     Saludos     I         I     Marina Adame Velasco    I         I     Notificación de seguimiento [ MA3101202004 ]     I         I     Aplicación: INFOMEX PUEBLA     I     Tipo de Soporte: Corrección de PLAZOS     I     Estatus: Concluido." u="1"/>
        <s v="Se aplica eliminación de formato de pago: 1613100025321" u="1"/>
        <s v="    I    Notificación de seguimiento  [  MA1604202002 ]      I         I         I    Estimado(a):                     Alondra Jiménez Hernández    I         I    Le informamos que su ticket correspondiente a:    I                       I    Anexo el registro actualizado del certificado del nuevo Titular de la Unidad de Transparencia de API VALLARTA para que su acceso sea habilitado en la Herramienta de Comunicación.     I         I    Aplicación:                  HCOM    I    Tipo de Soporte:         CAMBIO DE TUT       I    Observaciones:                I         I    Su petición fue atendida    I    " u="1"/>
        <s v="Se aplica testado de datos al folio:   0064103276920" u="1"/>
        <s v="Notificación de seguimiento  [  MA1105202006 ]      I         I         I    Estimado(a):                     Alondra Jiménez Hernández    I         I    Le informamos que su ticket correspondiente a:    I                       I    Se solicita la renovación del certificado del Titular de la Unidad de Transparencia del CNSNS en la Herramienta de Comunicación.    I        I         I    Aplicación:                  HCOM                              I    Tipo de Soporte:         CAMBIO DE CERTIFICADO       I    Observaciones:                I         I    Su petición fue atendida    I         I        I         I    " u="1"/>
        <s v="Se apoya al solicitante para que pueda exportar solicitud de Informe a SISITUR." u="1"/>
        <s v="Se  testan los datos del folio: 0000700221721" u="1"/>
        <s v="Se cambia el tipo de solicitud del folio: .  0610100260220" u="1"/>
        <s v="Se aplica eliminación de formato de pago: 0064100017721" u="1"/>
        <s v="    I    Notificación de seguimiento  [  MA1111202002 ]      I         I         I    Estimado(a):                     Alondra Jiménez    I         I         I    Le informamos que su ticket correspondiente a:    I                       I    Anexo el registro actualizado del certificado del Titular de la Unidad de Transparencia de Estudios Churubusco Azteca, S.A., para su renovación en la Herramienta de Comunicación.     I         I    Aplicación:                  HCOM    I    Tipo de Soporte:         CAMBIO DE CERTIFICADO      I    Observaciones:                I         I    Su petición fue atendida    I    " u="1"/>
        <s v="    I    Notificación de seguimiento  [  MA2502202006 ]      I         I         I    Estimado(a):                     Rosalinda Coria Mosqueda    I         I    Le informamos que su ticket correspondiente a:    I                       I    Agradeceré su ayuda para cancelar el paso de prevenir en el recurso RRA 1835/20 en contra de SEGOB, toda vez que se trata de un desechamiento y por error seleccioné Prevenir.    I        I         I    Aplicación:                  SIGEMI    I    Tipo de Soporte:         REGRESO DE PASOS      I    Observaciones:                I         I    Su petición fue atendida    I    " u="1"/>
        <s v="Notificación de seguimiento  [  MA2307202002 ]      I         I         I    Estimado(a):                     Edgar Michel Loaeza Martínez    I         I    Le informamos que su ticket correspondiente a:    I                       I    Por medio del presente solicito su valioso apoyo a efecto de dar de alta los certificados de Titular de la Unidad de Transparencia de los sujetos obligados que se enlistan a continuación y que pertenecen a la Secretaría de Hacienda y Crédito Público    I         I    Aplicación:                  HCOM    I    Tipo de Soporte:         CAMBIO DE TUT (5)    I    Observaciones:                I         I    Se realizó el cambio de titulares de los siguientes Sujetos Obligados, sin embargo en los marcados en rojo no fue posible realizar la actualización del certificado, ya que envía el mensaje de que el certificado ya esta asignado a otro usuario, por lo que necesitamos que nos envíen un nuevo certificado.    I    " u="1"/>
        <s v="Notificación de seguimiento  [  MA0204202002 ]      I         I         I    Estimado(a):                     Rafael González García    I         I    Le informamos que su ticket correspondiente a:    I                       I    actualizar la fecha de interposición (oficial) de los recursos que se muestran en el correo    I        I         I    Aplicación:                  SIGEMI    I    Tipo de Soporte:         Actualizar fecha interposición      I    Observaciones:                I         I    Su petición fue atendida, te comento que en los json generadas, no había referencia de la fecha de interposición    I         I         I        I                 Favor de validar.    I         I    Estatus:                               Concluido.    I    " u="1"/>
        <s v="Reestablecimiento del sitio" u="1"/>
        <s v="Se sustituye el archivo adjunto de la solicitud con folio 0063700406721" u="1"/>
        <s v="Buenas tardes Guillermo, te comento que se realizó la asignación de las solicitudes con folio 01034120 y 01045720, al Ayuntamiento de Tijuana, favor de validar    I         I    Saludos    I         I    Marina Adame Velasco    I         I    Notificación de seguimiento  [  MA2910202004 ]      I         I    Aplicación:                  INFOMEX BCN    I    Tipo de Soporte:         Corrección de Sujeto Obligado      I    Estatus:                               Concluido." u="1"/>
        <s v="Se sustituye archivo adjunto  del folio:   0063700213121 " u="1"/>
        <s v="Se cambia el tipo de solicitud del folio: 0002700103621" u="1"/>
        <s v="Notificación de seguimiento  [  MA1803202004 ]      I         I         I    Estimado(a):                     María Guadalupe Beltrán Martínez    I         I    Le informamos que su ticket correspondiente a:    I                       I    Buen día, por este medio se solicita, con relación al recurso de revisión RRA 03344/20 se elimine el registro de prevenir, es decir, se regresen los pasos a “Admitir/Prevenir”, a efecto de que el personal de ésta ponencia notifique la admisión del recurso de revisión para poder continuar con la sustanciación del recurso en comento.     I         I    Aplicación:                  SIGEMI    I    Tipo de Soporte:         REGRESO DE PASOS      I    Observaciones:                I         I    Su petición fue atendida    I         I        I         I                Favor de validar.    I         I    Estatus:                               Concluido.    I        I    " u="1"/>
        <s v="Analisis y funcionalidad sector Niveles " u="1"/>
        <s v="Desarrollo login en la aplicación con datos de google" u="1"/>
        <s v="Limpieza del texto y aplicación de lematización" u="1"/>
        <s v="Desarrollo componte listado de sujetos obligados" u="1"/>
        <s v="    I    Notificación de seguimiento  [  MA1607202015 ]      I         I         I    Estimado(a):                     Pedro Esquivel Martínez    I         I    Le informamos que su ticket correspondiente a:    I                       I    asignar el certificado al nuevo S.O.     I    " u="1"/>
        <s v="Presentación de notificaciones vertical en mis solicitudes" u="1"/>
        <s v="Hola Berenice, ya se subió el respaldo de su base de datos de esta semana…    I        I        I    http://documentos.inai.org.mx/tmp/infomexOAX_backup_2020-11-30_0800.bak    I        I    NOTA: El respaldo estará disponible una semana      I         I         I    Saludos    I        I                                                                                                                                                                                    I    Marina Adame Velasco    I         I                                                                                                                                                                                                                     I    " u="1"/>
        <s v="Se envía datos de la solicitud con folio: 0310000002020." u="1"/>
        <s v="Notificación de seguimiento  [  MA2407202001 ]      I         I         I    Estimado(a):                     Gustavo Cuevas Romero    I         I    Le informamos que su ticket correspondiente a:    I                       I    Por instrucciones del Dr. Luis Felipe Nava Gomar, Director General de Enlace con los Poderes Legislativo y Judicial, me permito solicitar su valioso apoyo, a efecto de realizar modificaciones sobre las fechas de vencimiento de algunos requerimientos realizados mediante HCOM    I         I    Aplicación:                  HCOM    I    Tipo de Soporte:         Actualización de fechas en requerimientos       I    Observaciones:                I         I    Su petición fue atendida    I         I        I    " u="1"/>
        <s v="Notificación de seguimiento  [  MA3008202201 ]    I        I    Estimado(a):                Edgar Michel Loaeza Martínez    I        I     Le informamos que su ticket correspondiente a:    I                       I    crear el certificado de la Procuraduría Federal de Protección al Ambiente, en razón de que el certificado de la actúa TUT se encuentra vencido.    I        I    Para tal efecto, anexo base de datos, lo anterior, a fin de que sus certificado sea creado y habilitado.    I        I    Clave_x0009_Sujeto obligado_x0009_Titular de la Unidad de Transparencia    I    16131_x0009_Procuraduría Federal de Protección al Ambiente_x0009_Lic. Elvira del Carmen Yañez Oropeza    I        I        I         I    Aplicación:                  HCOM    I    Tipo de Soporte:         GENERAR Y ACTUALIZAR CERTIFICADO    I    Observaciones:                I         I    Su petición fue atendida" u="1"/>
        <s v="Se testan datos del folio: 1816400241021" u="1"/>
        <s v="Notificación de seguimiento  [  MA1208202002 ]      I         I         I    Estimado(a):                     Lizbeth Adriana Cabrera Ortega    I         I    Le informamos que su ticket correspondiente a:    I                       I    que en el expediente electrónico del RRA 08076/20 conste como fecha de interposición oficial el 5 de agosto, ello inclusive en el acuerdo de turno, el cual para dar celeridad te envío para que sea adjuntado.    I        I         I    Aplicación:                  SIGEMI    I    Tipo de Soporte:         ACTUALIZACIÓN DE FECHA Y ARCHIVO      I    Observaciones:                I         I    Su petición fue atendida    I         I         I         I                Favor de validar.    I         I    Estatus:                               Concluido.    I    " u="1"/>
        <s v="Corrección archivos múltiple Hidalgo" u="1"/>
        <s v="Se  testan los datos de la solicitud con folio 0064101078421    I    " u="1"/>
        <s v="Se agregó respuesta a la solicitud mediante control de cambios, se  incluyo archivo, folio:  0933800021420" u="1"/>
        <s v="Se atiende petición, favor de validar    I        I         I    Saludos    I         I    Marina Adame Velasco    I        I    Notificación de seguimiento  [  MA1011202201_SICOM ]    I    " u="1"/>
        <s v="Hola Lisset, para realizar el cambio guíate con el resultado del script de seguimiento, del resultado vas a tomar los datos para realizar el desbloqueo…    I        I    1. Cambia el estatus del proceso a 13    I        I    UPDATE SET GUIDSTATUS = '13' FROM PROCESO WHERE FOLIO = '00000120'    I        I    2. Entra al modulo de REGRESO DE PASOS y selecciona la actividad que necesitan se reestablesca    I        I    3. Cambia el plazo de la solicitud con el siguiente script    I        I    UPDATE PASO SET FECHACADUCIDAD = CONVERT(DATETIME,'2020-10-01 23:59:00',102), FECHAAMARILLOROJO = CONVERT(DATETIME,'2020-10-01 23:59:00',102)  where GUIDPROCESO= ( SELECT GUIDPROCESO FROM PROCESO WHERE FOLIO ='01116920');    I    Me quedo atenta    I    " u="1"/>
        <s v="Se  testan los datos del folio: 0064101904621" u="1"/>
        <s v="Creación de cuentas y configuración de acceso a página de Oscar Guerra" u="1"/>
        <s v="     I    Hola Berenice, ya se subió el respaldo de su base de datos de esta semana…    I        I        I    http://documentos.inai.org.mx/tmp/infomexOAX_backup_2020-12_07_0800.bak    I        I         I    NOTA: El respaldo estará disponible una semana      I         I         I    Saludos    I         I                                                                                                                                                                                    I    Marina Adame Velasco    I    " u="1"/>
        <s v="     I    Hola Berenice, ya se subió el respaldo de su base de datos de esta semana…    I        I        I    http://documentos.inai.org.mx/tmp/infomexOAX_backup_2020-12_14_0800.bak    I        I         I    NOTA: El respaldo estará disponible una semana      I         I         I    Saludos    I         I                                                                                                                                                                                    I    Marina Adame Velasco    I    " u="1"/>
        <s v="     I    Hola Berenice, ya se subió el respaldo de su base de datos de esta semana…    I        I        I    http://documentos.inai.org.mx/tmp/infomexOAX_backup_2020-12_28_0800.bak    I        I         I    NOTA: El respaldo estará disponible una semana      I         I         I    Saludos    I         I                                                                                                                                                                                    I    Marina Adame Velasco    I    " u="1"/>
        <s v="proceso-ejercicio" u="1"/>
        <s v="Se realizó la preparación del ambiente, usuarios, casos " u="1"/>
        <s v="Identificacion del campo del tipo lista pegable de Comisionado ponente " u="1"/>
        <s v="Modificaciones en vista de consutas, se agregó nombre de sujeto obligado en CRUD." u="1"/>
        <s v="Se elimina la respuesta del folio: 0001200163521" u="1"/>
        <s v="Notificación de seguimiento  [  MA1106202001 ]      I         I         I    Estimado(a):                     Lizbeth Adriana Cabrera Ortega    I         I    Le informamos que su ticket correspondiente a:    I                       I    PIDO TU APOYO YA QUE NO PUEDO CARGAR ESTE DOMICILIO EN PNT, PARA EL REGSITRO DE UN RECURSO MANUAL..    I         I         I    Aplicación:                  SIGEMI    I    Tipo de Soporte:         CONSULTA DE DATOS       I    Observaciones:                I         I    Se realizó una búsqueda del Código Postal mencionando, encontrándose la siguiente coincidencia…    I    " u="1"/>
        <s v="Se aplica eliminación de última respuesta de la solicitud: 0064100198121" u="1"/>
        <s v="Se aplica testado de datos al folio:  0064100066421" u="1"/>
        <s v="Soporte Estadísticas PNT" u="1"/>
        <s v="    I    Notificación de seguimiento  [  MA1712202001 ]      I         I         I    Estimado(a):                     Berenice Hernández Sumano    I         I    Le informamos que su ticket correspondiente a:    I                       I    ejecutando el siguiente script en el manejador de datos de la base de Infomex Oaxaca    I         I    Aplicación:                  INFOMEX OAXACA    I    Tipo de Soporte:         CONSULTA DE DATOS       I    " u="1"/>
        <s v="Se sustituye archivo adjunto  del folio:  1215101045820" u="1"/>
        <s v="    I    Notificación de seguimiento  [  MA2409202002 ]      I         I         I    Estimado(a):                     Pedro Esquivel Martínez    I         I    Le informamos que su ticket correspondiente a:    I                       I    por este medio Anexo el cuadro descriptivo para realizar el cambio de los S.O. a cargo del INEEL, Lo Anterior a fin de que sus accesos sean habilitados en los otros sistemas que administra este Instituto (HCOM).  CAMBIO DE  TITULAR, en cuanto se reciba la atención en HCOM se realizará la actualización de los demás sistemas correspondientes. (se anexan certificados)    I        I         I    Aplicación:                  HCOM       I    Tipo de Soporte:         CAMBIO DE TUT       I    Observaciones:                I         I    Su petición fue atendida    I         I        I    " u="1"/>
        <s v="Se aplica testado de datos al folio:  0064100066521" u="1"/>
        <s v="Se testan los datos de la solicitud con folio: 0000700188121" u="1"/>
        <s v="Buenas tardes Berenice, tu petición fue atendida, la eliminación de acuses esta en proceso, favor de validar     I        I    Saludos     I        I    Marina Adame Velasco    I        I    Notificación de seguimiento  [  MA0608202006 ]      I        I    Aplicación:                  INFOMEX OAXACA    I    Tipo de Soporte:         Ajuste de plazos        I    Estatus:                               Concluido.    I        I    " u="1"/>
        <s v="Buenas tardes Berenice, tu petición fue atendida, la eliminación de acuses esta en proceso, favor de validar     I        I    Saludos     I        I    Marina Adame Velasco    I        I    Notificación de seguimiento  [  MA2408202013 ]      I        I    Aplicación:                  INFOMEX OAXACA    I    Tipo de Soporte:         AJUSTE DE PLAZOS        I    Estatus:                               Concluido.    I        I    " u="1"/>
        <s v="Buenas tardes Berenice, tu petición fue atendida, la eliminación de acuses esta en proceso, favor de validar     I        I    Saludos     I        I    Marina Adame Velasco    I        I    Notificación de seguimiento  [  MA2808202009 ]      I        I    Aplicación:                  INFOMEX OAXACA    I    Tipo de Soporte:         AJUSTE DE PLAZOS        I    Estatus:                               Concluido.    I        I    " u="1"/>
        <s v="Se aplica testado de datos personales: 1816400057020." u="1"/>
        <s v="     I    Notificación de seguimiento  [  MA1310202006 ]      I         I         I    Estimado(a):                     Lizbeth Adriana Cabrera Ortega    I         I    Le informamos que su ticket correspondiente a:    I                       I    Pido tu apoyo para atender la petición de la Ponencia, en la Herramienta obra un acuerdo que no corresponde al recurso.    I        I    Es decir, cuando actualizaron los acuerdos con la fecha del 18 de septiembre, incorporaron al expediente electrónico un acuerdo que no correspondía al recurso 664.    I         I    Te hago llegar nuevamente el acuerdo de turno para que lo adicionen al exp. Electrónico.    I        I         I    Aplicación:                  SIGEMI    I    Tipo de Soporte:         actualización de archivo       I    Observaciones:                I         I    Su petición fue atendida    I    " u="1"/>
        <s v="Buenas tardes Memo, tu petición fue atendida, favor de validar     I         I     Saludos     I         I     Marina Adame Velasco    I         I     Notificación de seguimiento [ MA0901202002 ]     I         I     Aplicación: INFOMEX BCN    I     Tipo de Soporte: CONSULTA DE SOLICITUDES     I     Estatus: Concluido." u="1"/>
        <s v="Se aplica eliminación de última respuesta: 0002700043920." u="1"/>
        <s v="Se elmina la respuesta del folio: 0001600108921" u="1"/>
        <s v="Reestructuración de mapa de sitio" u="1"/>
        <s v="Respaldos de campus" u="1"/>
        <s v="Se  testan los datos del folio: 0064101362021" u="1"/>
        <s v="    I    Notificación de seguimiento  [  MA0803202109 ]      I         I         I    Estimado(a):                     BERENICE HERNÁNDEZ SUMANO    I          I    Le informamos que su ticket correspondiente a:    I                       I    RESPALDO SEMANAL DE LA BASE DE DATOS INFOMEX    I         I    Aplicación:                  INFOMEX OAXACA    I    Tipo de Soporte:         RESPALDO       I    Observaciones:                I         I    Su petición fue atendida, se subió el respaldo de su base de datos de esta semana…    I        I        I    http://documentos.inai.org.mx/tmp/infomexOAX_backup_2021-03-08_0800.bak    I        I        I    NOTA: El respaldo estará disponible una semana      I        I          I                Favor de validar.    I         I    Estatus:                               Concluido.    I        I    " u="1"/>
        <s v="Validación de proceso de limpieza de información no estructurada" u="1"/>
        <s v="Consumo servicio facebook, login" u="1"/>
        <s v="Reporte de error de carga masiva de usuarios " u="1"/>
        <s v="Se aplica el cambio para la solicitud: 0064300006920." u="1"/>
        <s v="Evaluación y diseño de pre-procesamiento de limpieza de texto" u="1"/>
        <s v="Analisis de la solicitud de proteccion de datos personales " u="1"/>
        <s v="Se aplica testado de datos al folio: 0000700352520" u="1"/>
        <s v="Construcción de End Point para Líneas de Acción" u="1"/>
        <s v="Prueba dos de descarga de datos SIPOT" u="1"/>
        <s v="Se aplica el testado de datos de la solicitud: 0064103596719." u="1"/>
        <s v="Notificación de seguimiento  [  MA0503202007 ]      I         I         I    Estimado(a):                     José Mario Valadez González    I         I    Le informamos que su ticket correspondiente a:    I                       I    Buenas tardes Marina, apreciaría me puedas enviar el certificado del  “Sindicato Nacional de Profesores de Investigación Científica y Docencia del INAH”, lo anterior en razón de que hubo cambio del Secretario General y el anterior Comité lo extravió.    I         I    Aplicación:                  HCOM    I    Tipo de Soporte:         CAMBIO DE CERTIFICADO      I    Observaciones:                I         I    Su petición fue atendida, se actualizo el certificado con el que se anexa, no se cambio la contraseña.    I         I        I         I                Favor de validar.    I         I    Estatus:                               Concluido.    I    " u="1"/>
        <s v="Desarrollo de servicios del back de notificaciones continuación" u="1"/>
        <s v="Configuración de plugins " u="1"/>
        <s v="Ajuste flujo Historial de quejas por propiedades del response" u="1"/>
        <s v="    I    Notificación de seguimiento  [  MA2311202011 ]      I         I         I    Estimado(a):                     Alma Lizbeth Peguero Rivera    I         I         I    Le informamos que su ticket correspondiente a:    I                       I    Por medio de presente, solicito de la manera más atenta, su apoyo para retroceder los pasos en el sistema SIGEMI-SICOM en la PNT del siguiente asunto RRA 09992/20 JRV DEL PLENO 18-11-20, hasta la actividad “Registrar información de la sesión del pleno”; sin más por el momento, quedo en espera de sus comentarios.    I         I    Aplicación:                  SIGEMI    I    Tipo de Soporte:         REGRESO DE PASOS        I    Observaciones:                I         I    Su petición fue atendida    I    " u="1"/>
        <s v="Notificación de seguimiento  [  MA0306202114 ]    I        I    Estimado(a):                ALEJANDRA TEJEDA    I        I         I     Le informamos que su ticket correspondiente a:    I                       I    reporte de solicitudes 2021 con el dato de nombre del solicitante y correo electrónico    I         I    Aplicación:                  INFOMEX BCN    I    Tipo de Soporte:         REPORTE      I    Observaciones:                I         I    Su petición fue atendida    I         I         I    " u="1"/>
        <s v="Se cambia el tipo de solicitud del folio: 0064101848021, 0064101848421" u="1"/>
        <s v="Se aplica testado de datos al folio: 0064100688920." u="1"/>
        <s v="Se sustituye archivo adjunto  del folio: 0064100930321" u="1"/>
        <s v="Se sustituye archivo se cambio el tipo de solicitud del folio 0064100428621" u="1"/>
        <s v="Notificación de seguimiento  [  MA0402202002 ]      I         I         I    Estimado(a):                     Alondra Jiménez Hernández    I         I    Le informamos que su ticket correspondiente a:    I                       I    Anexo el registro actualizado del certificado del Titular de la Unidad de Transparencia de COFECE para su renovación en la Herramienta de Comunicación.    I        I         I    Aplicación:                  HCOM    I    Tipo de Soporte:         RENOVAR CERTIFICADO     I    " u="1"/>
        <s v="Reinicio de Contraseña" u="1"/>
        <s v="Se aplica testado de datos al folio:  0064100083421" u="1"/>
        <s v="Notificación de seguimiento  [  MA1603202110 ]      I         I         I    Estimado(a):                     ALAN GARCÍA    I          I    Le informamos que su ticket correspondiente a:    I                       I    RESPALDO SEMANAL DE LA BASE DE DATOS INFOMEX    I         I    Aplicación:                  INFOMEX TLAXCALA    I    Tipo de Soporte:         RESPALDO       I    " u="1"/>
        <s v="Notificación de seguimiento  [  MA2203202114 ]      I         I         I    Estimado(a):                     ALAN GARCÍA    I          I    Le informamos que su ticket correspondiente a:    I                       I    RESPALDO SEMANAL DE LA BASE DE DATOS INFOMEX    I         I    Aplicación:                  INFOMEX TLAXCALA    I    Tipo de Soporte:         RESPALDO       I    " u="1"/>
        <s v="Notificación de seguimiento  [  MA0206202003 ]      I         I         I    Estimado(a):                     Ricardo Marín González    I         I    Le informamos que su ticket correspondiente a:    I                       I    “EN ESTE MISMO SENTIDO, COMUNICARLES QUE SE HA CONFIGURADO EL CALENDARIO DEL SIGEMI-SICOM CON LOS DÍAS QUE EL PLENO ESTABLECIÓ EN EL ACUERDO REFERIDO, PARA QUE SE PROCEDA A REALIZAR LOS AJUSTES CORRESPONDIENTES POR SU PARTE.  DE IGUAL MANERA QUE EL CALENDARIO DE DÍAS INHÁBILES DEL SISTEMA INFOMEX QUINTANA ROO, HA SIDO CONFIGURADO CON ESTAS CONSIDERACIONES. ”    I        I         I    Aplicación:                  SIGEMI    I    Tipo de Soporte:         revisión de fechas      I    Observaciones:                I         I    Anexo a este correo las fechas limite de votación y los cumplimientos de 2020, en el caso de las fechas de votación requerimos que nos valides la nueva fecha y en el caso de los cumplimientos si las fechas limite son correctas     I    " u="1"/>
        <s v="Adecuación de campos de tipo number en cada una de las pantallas del  portlet Gestión Interna" u="1"/>
        <s v="Plugin para desplegar PDF" u="1"/>
        <s v="Descarga de declaraciones por RFC" u="1"/>
        <s v="    I    Notificación de seguimiento  [  MA1607202005 ]      I         I         I    Estimado(a):                     Tiara Gethsemanni Miranda Fuentes    I         I    Le informamos que su ticket correspondiente a:    I                       I    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    I         I    RRA 05730/20    I        I         I    Aplicación:                  SIGEMI    I    Tipo de Soporte:         REGRESO DE PASOS      I    Observaciones:                I         I    Su petición fue atendida    I    " u="1"/>
        <s v="Desarrollo de servicio eureka" u="1"/>
        <s v="Cambio en visualizacion del texto a buscar, se resalta la palabra buscada" u="1"/>
        <s v="Se aplica el cambio de modalidad de las solicitudes con folios: 0064100301520 y 0064100483320." u="1"/>
        <s v="Corrección en el captcha" u="1"/>
        <s v="Análisis de datos de solicitudes pendientes en infomex, semana del 12 al 16 de julio" u="1"/>
        <s v="Se consultan datos de la solicitud 1236000025321" u="1"/>
        <s v="Buenas tardes Francisco, te envío el dato solicitado …    I        I    NOMBRE                                                                                             GUIDDEPARTAMENTO                                                  FechaUltimaModif    I    Instituto de Movilidad y Accesibilidad de Nuevo León      20201127-1039-4000-0660-70f45d6ac22c              2020-11-27 00:00:00.000    I        I    Saludos     I        I    Marina     I    " u="1"/>
        <s v="Se  testan los datos del folio: 0110000068121" u="1"/>
        <s v="Notificación de seguimiento  [  MA2601202106 ]      I         I         I    Estimado(a):                     Pedro Esquivel Martínez    I         I         I    Le informamos que su ticket correspondiente a:    I                       I    Por medio del presente solicito su valioso apoyo a efecto de realizar la sustitución de certificado de los sujetos obligado denominado Instituto Nacional de Antropología e Historia en el hcom.    I        I    Lo anterior, en virtud de que el certificado que se encuentra actualmente dado de alta ya expiró.     I        I    Para tal efecto, anexo al presente el nuevo certificado, lo anterior, a fin de que sus accesos sean habilitados en los sistemas que administra este Instituto.    I         I    Aplicación:                  HCOM    I    Tipo de Soporte:         ACTUALIZACION DE CERTIFICADO      I    " u="1"/>
        <s v="Reactivación de registro para validaciones del área usuaria" u="1"/>
        <s v="    I    Notificación de seguimiento  [  MA1407202005 ]      I         I         I    Estimado(a):                     Tiara Gethsemanni Miranda Fuentes    I         I    Le informamos que su ticket correspondiente a:    I                       I        I    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    I         I    RRA 05008/20    I         I        I         I    Aplicación:                  SIGEMI    I    Tipo de Soporte:         REGRESO DE PASOS      I    Observaciones:                I         I    Su petición fue atendida    I    " u="1"/>
        <s v="Se elimina formato de pago del folio 1113100039820" u="1"/>
        <s v="Notificación de seguimiento  [  MA1103202114 ]      I         I         I    Estimado(a):                     Lizbeth Adriana Cabrera Ortega    I         I         I    Le informamos que su ticket correspondiente a:    I                       I    generación UN EXPEDIENTE del recurso de revisión posteriormente citado.    I         I    Asimismo, te comento que NO DEBERÁ CAMBIAR el sujeto obligado, ni el Comisionado correspondiente.     I         I     DICE                                        DEBE DECIR                         SUJETO OBLIGADO           PONENTE    I    RRA 3206 RRA  8793/19-BIS ISSSTE FJAL    I         I    No omito comentarte que el número de expediente que deberá seguir en el consecutivo por turnar en PNT debe ser el RRA 3206/21    I         I    Aplicación:                  SIGEMI    I    Tipo de Soporte:         CAMBIO A BIS     I    Observaciones:                I         I    Su petición fue atendida    I         I          I                Favor de validar.    I         I    Estatus:                               Concluido.    I        I    " u="1"/>
        <s v="Se realizaron ajustes al sitio de comite de etica, para actualizar las tablas de nosmatividad y la tabla de reconocimiento a las mejores practicas" u="1"/>
        <s v="Modificar " u="1"/>
        <s v="Publicación de acuerdos" u="1"/>
        <s v="Notificación de seguimiento  [  MA0209202004 ]      I         I         I    Estimado(a):                     HUGO GOVI    I         I    Le informamos que su ticket correspondiente a:    I                       I    …para los efectos pertinentes en la PNT y el SICOM-SIGEMI    I         I    Aplicación:                  SIGEMI    I    Tipo de Soporte:         revisión de plazos       I    " u="1"/>
        <s v="Notificación de seguimiento  [  MA2608202001 ]      I         I         I    Estimado(a):                     David Mendoza Oliva    I         I    Le informamos que su ticket correspondiente a:    I                       I    cambio en la fecha de término en la Herramienta de Comunicación para el listado que se adjunta en archivo Excel de los sujetos obligados a  quienes les fue notificado sus Dictámenes de Incumplimiento correspondiente a la verificación vinculante de las obligaciones de transparencia establecidas en la Ley General de Transparencia y Acceso a la Información Pública, y la Ley Federal de Transparencia y Acceso a la Información Pública del año dos mil veinte.    I         I    Aplicación:                  HCOM    I    Tipo de Soporte:         CAMBIO DE FECHAS EN REQUERIMIENTOS     I    Observaciones:                I         I    Su petición fue atendida    I         I        I    " u="1"/>
        <s v="Se cambió el tipo de solicitud del folio:  0002700145021" u="1"/>
        <s v="Notificación de seguimiento  [  MA0402202011 ]      I         I         I    Estimado(a):                     Sergio Rafael Cortés Alpizar    I         I    Le informamos que su ticket correspondiente a:    I                       I    Buenas tardes, por medio del presente solicito su apoyo para que se cambie el medio de notificación a domicilio del particular y se incluya la dirección del domicilio del recurrente en la Plataforma Nacional de Transparencia del recurso de revisión:    I         I    RRD 0040/20 vs IMSS    I         I    El domicilio es: Calle Tolon, Número 103, Colonia Sauces, Santiago de Querétaro.    I         I    Ya que lo solicitó el recurrente en su recurso de revisión.    I         I    Aplicación:                  SIGEMI    I    Tipo de Soporte:         ACTUALIZACIÓN DE DOMICILIO Y CAMBIO DE MEDIO       I    " u="1"/>
        <s v="Menu de Avisos de la PNT en el modulo de Administracion y a la base de datos para los permisos de usuarios." u="1"/>
        <s v="Notificación de seguimiento  [  MA2802202006 ]      I         I         I    Estimado(a):                     Moisés Guzmán Arias    I         I    Le informamos que su ticket correspondiente a:    I                       I    Antes que nada, buenos días, les escribo ya que necesito pedirles que por favor se retroceda el paso (Des haga el paso) de envío de resolución al pleno (última actividad de la ponencia) del recurso RR-963/2019 ya que por error  se adjuntó un archivo incorrecto.    I        I        I         I    Aplicación:                  SIGEMI    I    Tipo de Soporte:         REGRESO DE PASOS      I    Observaciones:                I         I    Su petición fue atendida, se realizó el regreso a Preparación del Proyecto de Resolución    I         I    " u="1"/>
        <s v="Notificación de seguimiento  [  MA0402202010 ]      I         I         I    Estimado(a):                     Pedro Esquivel Martínez    I         I    Le informamos que su ticket correspondiente a:    I                       I    Anexo el registro actualizado del certificado del Titular de la Unidad de Enlace del  “INSTITUTO NACIONAL DE PSIQUIATRÍA RAMÓN DE LA FUENTE MUÑIZ”.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RENOVACIÓN DE CERTIFICADO       I    " u="1"/>
        <s v="    I    Notificación de seguimiento  [  MA2502202004 ]      I         I         I    Estimado(a):                     Laura Mónica Segovia Tellez    I         I    Le informamos que su ticket correspondiente a:    I                       I    Anexo el registro actualizado del certificado del Titular de la Unidad de Enlace del  “Comisión Nacional para la Mejora Continua de la Educación” Lo Anterior a fin de que sus accesos sean habilitados en los otros sistemas que administra este Instituto (HCOM).  CAMBIO DE TITULAR, en cuanto se reciba la atención en HCOM se realizará la actualización de los demás sistemas correspondientes.    I         I    Aplicación:                  HCOM    I    Tipo de Soporte:         CAMBIO DE TITULAR       I    Observaciones:                I         I    Su petición fue atendida    I    " u="1"/>
        <s v="Cambios en etiquetas y mensajes" u="1"/>
        <s v="Se modifican los nativos de android para evitar que los servicios de google respalden el cache de la app y se muestra un mensaje en algunas versiones de android para eliminar los datos residuales" u="1"/>
        <s v="Se  testan los datos del folio: 1816400190821" u="1"/>
        <s v="Cambio leyendas y ajustes css portlet datos abiertos(obligaciones de transparencia)" u="1"/>
        <s v="Evalución y diseño de los posibles modelos predictivos" u="1"/>
        <s v="Se  testan los datos del folio: 0064101354021" u="1"/>
        <s v="    I    Notificación de seguimiento  [  MA1002202009 ]      I         I         I    Estimado(a):                     Jassel Natali Córdova Guzmán    I         I    Le informamos que su ticket correspondiente a:    I                       I    Por este medio les solicito de su atención para poder eliminar el requerimiento con folio IFAI-REQ-000295-2020-CC, el cual se envió a PROMÉXICO como parte de un requerimiento masivo. Sin embargo, este sujeto obligado ya no se encuentra adscrito a esta Dirección General de Enlace, razón por la cual el requerimiento es inadecuado. El requerimiento fue enviado por esta servidora    I        I        I         I    Aplicación:                  HCOM    I    Tipo de Soporte:         Eliminación del requerimiento      I    Observaciones:                I         I    Su petición fue atendida    I    " u="1"/>
        <s v="Se ajustan los plazos de la solicitud: 0001600073420." u="1"/>
        <s v="Pruebas ingesta de solicitudes calificadas" u="1"/>
        <s v="Se  actualizan las fechas de las solicitudes con folio: 0063700331321 y 0063700336721 " u="1"/>
        <s v="Notificación de seguimiento  [  MA2710202003 ]      I        I         I        I         I        I    Estimado(a):                     Laura Mónica Segovia Tellez    I        I         I        I    Le informamos que su ticket correspondiente a:    I        I                       I        I    regresar el paso del RRA 04942/20 del cierre de instrucción derivado de que se adjuntó un acuerdo que no corresponde    I        I         I        I         I        I    Aplicación:                  SIGEMI    I        I    Tipo de Soporte:         Eliminación de cierre de instrucción     I        I    Observaciones:                I        I         I        I    Su petición fue atendida" u="1"/>
        <s v="Notificación de seguimiento  [  MA2409202007 ]      I         I         I    Estimado(a):                     Berenice Hernández Sumano    I         I    Le informamos que su ticket correspondiente a:    I                       I    Por este medio solicito la afectación en base de datos de los siguientes procedimientos en el Sistema de Comunicaciones entre Organismos Garantes y Sujetos Obligados SICOM , toda vez que el Consejo General del IAIPO aprobó el término a la suspensión de plazos de los procedimientos relacionados con COVID-19, SISMO DEL 23 DE JUNIO, PROGRAMAS SOCIALES DERIVADOS DE LA EMERGENCIA SANITARIA, PROCEDIMIENTOS DE ADJUDICACIÓN, INVITACIÓN RESTRINGIDA Y LICITACIÓN DE CUALQUIER NATURALEZA.    I        I    Se requiere:    I        I    1. Modificar la fecha de cumplimiento de los siguientes recursos a la fecha límite de cumplimiento.    I    2. Modificar la fecha de estado de los siguientes recursos a la fecha de aplicación de la actividad notificación del cumplimiento.    I    3. Modificar la fecha de los documentos generados como acuses a la fecha de aplicación.    I         I    Aplicación:                  SIGEMI    I    Tipo de Soporte:         AJUSTE DE FECHAS Y ARCHIVOS       I    Observaciones:                I         I    Su petición fue atendida    I    " u="1"/>
        <s v="    I    Notificación de seguimiento  [  MA2409202011 ]      I         I         I    Estimado(a):                     Ludwing Salas Cisneros    I         I    Le informamos que su ticket correspondiente a:    I                       I    Por este medio, solicito atentamente se pueda regresar el paso del cierre de instrucción, tanto al particular como al sujeto obligado, del recurso RRA 03426/20 en contra de la SEP, ello atendiendo a que el particular aún cuenta con término para emitir manifestaciones en el presente asunto.    I        I    Agradezco de antemano la atención, y quedo al pendiente de cualquier comunicación al respecto.    I        I         I    Aplicación:                  SIGEMI    I    Tipo de Soporte:         ELIMINAR CIERRE DE INSTRUCCIÓN      I    Observaciones:                I         I    Su petición fue atendida    I    " u="1"/>
        <s v="Se le informó al equipo que ya esta esté 1er procedimiento para que lo revisen y consuman desde el aplicativo" u="1"/>
        <s v="Se le informó al equipo que ya esta esté 3er procedimiento para que lo revisen y consuman desde el aplicativo" u="1"/>
        <s v="Se le informó al equipo que ya esta esté 6to procedimiento para que lo revisen y consuman desde el aplicativo" u="1"/>
        <s v="Se le informó al equipo que ya esta esté 7mo procedimiento para que lo revisen y consuman desde el aplicativo" u="1"/>
        <s v="Definición de métricas para validar porcentaje de efectividad etiquetas top 5" u="1"/>
        <s v="Se generó certificado para usuario de dependencia FIFONAFE (2)" u="1"/>
        <s v="Se  testan los datos del folio: 0000600141721" u="1"/>
        <s v="Notificación de seguimiento  [  MA2402202103 ]      I         I         I    Estimado(a):                     Martha Rubí Zaragoza Mora    I         I         I    Le informamos que su ticket correspondiente a:    I                       I    El presente correo es para pedir su amable apoyo para el ajuste de términos de los folios debido al un error de dedo del Sujeto Obligado    I         I    Aplicación:                  INFOMEX NUEVO LEÓN    I    Tipo de Soporte:         AJUSTE DE PLAZOS        I    " u="1"/>
        <s v="Se continuo con el desarrollo de los interiores del sitio" u="1"/>
        <s v="Se testan los datos de la solicitud con folio: 0064101642521" u="1"/>
        <s v="Cambios solicitados" u="1"/>
        <s v="    I    Notificación de seguimiento  [  MA1910202003 ]      I         I         I    Estimado(a):                     Alan Apolinar Razo Morales    I         I    Le informamos que su ticket correspondiente a:    I                       I    Esperando que se encuentren muy bien, y con relación al correo que antecede, en el que solicité su invaluable apoyo para realizar la modificación de la fecha en que se registró por error el desahogo de un Requerimiento de Información Adicional (Paso 8) al sujeto obligado dentro del expediente del Recurso de Revisión  RRA 04379/20  vs Pemex, ello pues la fecha límite de desahogo quedó registrado el &quot;19 de octubre de 2020&quot; en la PNT    I         I    Aplicación:                  SIGEMI    I    Tipo de Soporte:         MODIFICACIÓN DE FECHA       I    Observaciones:                I         I    Su petición fue atendida    I    " u="1"/>
        <s v="Se sustituye archivo adjunto  del folio: 1857200075521" u="1"/>
        <s v="Eliminar respuesta de la solicitud con folio 0002700158621" u="1"/>
        <s v="implementación de funcionalidad con programación reactiva" u="1"/>
        <s v="Notificación de seguimiento  [  MA1306202202 ]    I        I    Estimado(a):                Alondra Jiménez Hernández    I        I         I     Le informamos que su ticket correspondiente a:    I        I        I    Anexo el registro del certificado del nuevo Titular de la Unidad de Transparencia de FONATUR CONSTRUCTORA para que su acceso sea habilitado en la Herramienta de Comunicación.     I         I        I         I    Aplicación:                  HCOM    I    Tipo de Soporte:         CAMBIO DE TUT          I    Observaciones:                I         I    Su petición fue atendida    I         I         I    " u="1"/>
        <s v="Creación de un componente reutilizable de row expand" u="1"/>
        <s v="Se ajusta turno del folio: 1113100016021" u="1"/>
        <s v="Se  testan los datos del folio: 0063700151321" u="1"/>
        <s v="corrección en  registro de solicitudes del Sujeto Obligado Tribunal Federal y Conciliación y Arbitraje" u="1"/>
        <s v="Notificación de seguimiento [ MA3101202005 ]     I          I          I     Estimado(a): Lizbeth Adriana Cabrera Ortega    I          I     Le informamos que su ticket correspondiente a:    I          I     SOLCIITO DE SU VALIOSO APOYO PARA CAMBIAR LA FECHA AL DÍA HÁBIL SIGUIENTE    I         I     DEBE DECIR EL PRIMERO 29 DE ENERO Y 28 DE ENERO EL SEGUNDO Y TERCERO.    I         I         I          I     Aplicación: SIGEMI    I     Tipo de Soporte: cambio de fecha     I     Observaciones:     I          I     Su petición fue atendida" u="1"/>
        <s v="Estimado Alan, buenas tardes, te informo que el respaldo de su base de datos de esta semana ya está en el repositorio…       I    http://documentos.inai.org.mx/tmp/infomex_tlaxcala_backup_2021-06-14_0800.bak    I        I    Saludos Cordiales    I    Marina Adame Velasco           I        I        I    Notificación de seguimiento  [  MA1406202113 ]    I         I    Aplicación:                  INFOMEX TLAXCALA     I    Tipo de Soporte:         RESPALDO DE BD      I        I    Estatus:                               Concluido    I        I    " u="1"/>
        <s v="Se  testan los datos del folio:   0000600076621" u="1"/>
        <s v="Se cambia el tipo de solicitud del folio: 0001500044621" u="1"/>
        <s v="Se indica al usuario la baja de de Dependencias en los módulos solicitantes y Unidad de enlace IFAI." u="1"/>
        <s v="    I    Notificación de seguimiento  [  MA0910202115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del 1º al 31 de marzo 2021 y contando también el periodo vacacional de semana santa; debiéndose considerar los días comprendidos dentro de dicho periodo como inhábiles para evitar la propagación del coronavirus COVID-19.    I        I         I    Aplicación:                  INFOMEX FEDERAL     I    Tipo de Soporte:         AJUSTE DE PLAZOS       I    Observaciones:                I         I    Su petición fue atendida    I         I          I                Favor de validar.    I         I    Estatus:                               Concluido.    I        I    " u="1"/>
        <s v="Se renombran 5 dependencias con claves: 6812, 64402,6800,11323,21161." u="1"/>
        <s v="Se cambia el tipo de solicitud del folio: 0002700244421 " u="1"/>
        <s v="Se realizan ajustes al sitio" u="1"/>
        <s v="Creación de Service para Roles, Usuarios, Integrantes, Ejes, Objetivos, Rutas Implementación y Areas administrativas" u="1"/>
        <s v="Se aplica el testado de datos de la solicitud: 1816400029820" u="1"/>
        <s v="Se crean clases base para el consumo de servicio en el portlet" u="1"/>
        <s v="Se cambió el tipo de solicitud del folio: 0000500063521" u="1"/>
        <s v="Se aplica testado de datos al folio:  0000600002021" u="1"/>
        <s v="Atención y seguimiento a tickets y correos respecto al acceso de usuarios a la PNT.  (Análisis)" u="1"/>
        <s v="Se generó certificado para usuario de dependencia Comisión Nacional de Áreas Naturales Protegidas." u="1"/>
        <s v="Notificación de seguimiento  [  MA3103202005 ]      I         I         I    Estimado(a):                     Alondra Jiménez Hernández    I         I    Le informamos que su ticket correspondiente a:    I                       I    Se solicita la actualización del certificado por motivo del cambio de Titular de la Unidad de Transparencia del siguiente sujeto obligado indirecto que es responsabilidad de la Unidad de Transparencia de FOCIR.     I        I    Me refiero a los siguientes fideicomisos:    I        I    CLAVE SUJETO OBLIGADO    I    06578 Fondo de Inversión de Capital en Agronegocios Infraestructura    I        I         I    Aplicación:                  HCOM                             I    Tipo de Soporte:         CAMBIO DE TUT      I    " u="1"/>
        <s v="Se aplica testado de datos al folio: 0002700025621" u="1"/>
        <s v="Ambientación para campus Iniciativa Privada  versión 3.7.3" u="1"/>
        <s v="    I    Notificación de seguimiento  [  MA0802202103 ]      I         I         I    Estimado(a):                     BERENICE HERNÁNDEZ SUMANO    I          I    Le informamos que su ticket correspondiente a:    I                       I    RESPALDO SEMANAL DE LA BASE DE DATOS INFOMEX    I         I    Aplicación:                  INFOMEX OAXACA    I    Tipo de Soporte:         RESPALDO       I    Observaciones:                I         I    Su petición fue atendida, se subió el respaldo de su base de datos de esta semana…    I        I        I    http://documentos.inai.org.mx/tmp/infomexOAX_backup_2021-02-08_0800.bak    I        I        I    NOTA: El respaldo estará disponible una semana      I        I    " u="1"/>
        <s v="    I    Notificación de seguimiento  [  MA0411202010 ]      I         I         I    Estimado(a):                     Moisés Guzmán Arias    I         I         I    Le informamos que su ticket correspondiente a:    I                       I    un respaldo de la base de datos del Sistema Infomex del Estado de Puebla    I        I         I    Aplicación:                  INFOMEX PUEBLA     I    Tipo de Soporte:         RESPALDO       I    Observaciones:                I         I    Su petición fue atendida    I        I    http://documentos.inai.org.mx/tmp/infomexPUEBLA_backup_2020-11-04_1817.bak    I        I         I          I                Favor de validar.    I         I    Estatus:                               Concluido.    I        I    " u="1"/>
        <s v="Desarrollo para la integración de los servicios de SAIMEX en SISAI" u="1"/>
        <s v="Actualización y pruebas de funcionalidad de campus Iniciativa Privada 3.7.3" u="1"/>
        <s v="Integración de nuevos campos en la seccion de Datos Experiencia Laboral (Declaracion patrimonial) en Declaranet" u="1"/>
        <s v="Notificación de seguimiento  [  MA1711202203 ]    I        I    Estimado(a):                David Mondragón Centeno    I        I     Le informamos que su ticket correspondiente a:    I        I        I    Cambio de Titular de SNDTSC    I         I        I    Aplicación:                 HCOM    I    Tipo de Soporte         CAMBIO DE TUT    I        I        I    Su petición fue atendida, la contraseña del nuevo titular es hcom2022    I        I    Favor de validar.    I    " u="1"/>
        <s v="    I    Notificación de seguimiento  [  MA1303202007 ]      I         I         I    Estimado(a):                     Pedro Esquivel Martínez    I         I    Le informamos que su ticket correspondiente a:    I                       I    Por este medio solicito solo el cambio de contraseña que se describe a continuación; para el sujeto Obligado  “Fondo de la Financiera Rural”    I         I         I    SISTEMA CONTRASEÑA LIGA    I    Herramienta de Comunicación (HCOM) Hcom954292 http://herrcom.ifai.org.mx    I        I         I         I    Aplicación:                  HCOM       I    Tipo de Soporte:         CAMBIO DE CONTRASEÑA       I    " u="1"/>
        <s v="Buenas tardes Moisés, tu petición fue atendida, favor de validar     I        I    Saludos     I        I    Marina Adame Velasco    I        I    Notificación de seguimiento  [  MA0702202004 ]      I        I    Aplicación:                  INFOMEX PUEBLA     I    Tipo de Soporte:         Actualización de plazo        I    Estatus:                               Concluido.    I    " u="1"/>
        <s v="    I    Notificación de seguimiento  [  MA2403202006 ]      I         I         I    Estimado(a):                     Rafael González García    I         I    Le informamos que su ticket correspondiente a:    I                       I    Actualizar el dato de los 30 días    I        I         I    Aplicación:                  SIGEMI    I    Tipo de Soporte:         Modificación de valor       I    Observaciones:                I         I    Su petición fue atendida, se actualizaron las referencias de dias de cumplimiento para el recurso RRA 14374/19, tanto en la tabla donde se guarda la referencia como en los archivos json     I         I    " u="1"/>
        <s v="Buenos días Memo, tu petición fue atendida, favor de validar     I        I    Saludos     I        I    Marina Adame Velasco    I        I    Notificación de seguimiento  [  MA0603202003 ]      I        I    Aplicación:                  INFOMEX BCN    I    Tipo de Soporte:         REPORTE       I    Estatus:                               Concluido.    I        I        I    " u="1"/>
        <s v="Implementación modal registro respuesta y descarga de acuse" u="1"/>
        <s v="Eliminar respuesta del folio 1410000044321" u="1"/>
        <s v="Se aplica cambio de modalidad de la solicitud: 0210000029920 y 0210000035720" u="1"/>
        <s v="Notificación de seguimiento  [  MA0508202107 ]      I         I         I    Estimado(a):                     MOISES GUZMAN    I         I         I    Le informamos que su ticket correspondiente a:    I                       I    MANUAL DE ADMINISTRACIÓN    I         I    Aplicación:                  INFOMEX PUEBLA    I    Tipo de Soporte:         ASESORIA        I    Observaciones:                I         I          I                Favor de validar.    I         I    Estatus:                               Concluido.    I    " u="1"/>
        <s v="Se agrega validacion para diferenciar entra saimex y los demas organos garantes" u="1"/>
        <s v="Se aplica testado de datos al folio:  0673800022321" u="1"/>
        <s v="Creación de scripts de calificación" u="1"/>
        <s v="    I    Notificación de seguimiento  [  MA2411202002 ]      I         I         I    Estimado(a):                     Lizbeth Adriana Cabrera Ortega    I         I         I    Le informamos que su ticket correspondiente a:    I                       I    Asimismo, te comento que NO DEBERÁ CAMBIAR el sujeto obligado, ni el Comisionado correspondiente.     I         I     DICE                                        DEBE DECIR                         SUJETO OBLIGADO           PONENTE    I    RRA 13198/20 RRA 2410/19-BIS  SEP RMC    I         I    No omito comentarte que el número de expediente que deberá seguir en el consecutivo por turnar en PNT debe ser el RRA 13198/20    I         I         I    Aplicación:                  SIGEMI    I    Tipo de Soporte:         CAMBIO A BIS     I    Observaciones:                I         I    Su petición fue atendida    I         I          I    " u="1"/>
        <s v="    I    Notificación de seguimiento  [  MA2101202105 ]      I         I         I    Estimado(a):                     Alejandra Tejeda    I         I         I    Le informamos que su ticket correspondiente a:    I                       I    Rectificación de suspensión de plazos de un Sujeto obligado, específicamente Congreso del Estado de Baja California, dicho cambio modificaría las fechas de vencimiento de las solicitudes, las mismas se enlistan a continuación…    I         I    Aplicación:                  INFOMEX BCN    I    Tipo de Soporte:         AJUSTE DE PLAZOS        I    " u="1"/>
        <s v="     I    Notificación de seguimiento [ MA1102202005]      I        I         I    Estimado(a):                     JUAN PEDRO RAMIREZ FLORES    I         I    Le informamos que su ticket correspondiente a:    I                       I    Compañero con el gusto de saludarte, solicito tu apoyo para lograr cambiar el nombre del proyectista dentro de la Plataforma Nacional de Transparencia sobre el recurso de revisión RRAIP-230/2020, toda vez que por un error involuntario se agregó a la Licenciada Esmeralda Santa Rosa Navarrete, siendo que el proyectista correcto a asignar el presente medio de impugnación es el licenciado Christian Adrian Fonseca.    I        I         I    Aplicación:                  SIGEMI    I    Tipo de Soporte:         Actualizar proyectista      I    Observaciones:                I         I    Su petición fue atendida    I    " u="1"/>
        <s v="Respaldar Curso 6 de Aliados INAI  de la plataforma anterior y restaurar en plataforma actual " u="1"/>
        <s v="Se sustituye archivo del folio 0064100757521" u="1"/>
        <s v="Se  testan los datos del folio: 0000700153721" u="1"/>
        <s v="Se sustituye archivo adjunto del folio: 0673800300020" u="1"/>
        <s v="Se  testan los datos del folio:   0002700048821, 0002700048921 y 0002700049021" u="1"/>
        <s v="Notificación de seguimiento  [  MA3105202202 ]    I        I    Estimado(a):                Jatziry Jiménez Cruz    I        I        I     Le informamos que su ticket correspondiente a:    I        I    Solicito su apoyo para realizar la actualización en la Herramienta de comunicación del .cer que se adjunta, toda vez que dicho certificado se actualizó por vencimiento.    I        I         I    Aplicación:                  HCOM    I    Tipo de Soporte:        CAMBIO DE CERTIFICADO      I    Observaciones:                I         I    Su petición fue atendida.    I    " u="1"/>
        <s v="Buenas tardes Guillermo, tu petición fue atendida, favor de validar     I         I    Saludos     I         I    Marina Adame Velasco    I         I    Notificación de seguimiento  [  MA0709202004 ]      I         I    Aplicación:                  INFOMEX BCN    I    Tipo de Soporte:         REPORTES       I    Estatus:                               Concluido.    I    " u="1"/>
        <s v="Buscadores Tematicos, servidores publicos (Busqueda avanzada por campo) " u="1"/>
        <s v="Seccion 0 UT" u="1"/>
        <s v="Se aplica el testado de datos de la solicitud: 0063700051120." u="1"/>
        <s v="Se aplica eliminación de última respuesta de la solicitud: 0000400423819." u="1"/>
        <s v="Se sustituye archivo adjunto  del folio: 1816700002921 " u="1"/>
        <s v="Se aplica eliminación de última respuesta de la solicitud: 0000500065120." u="1"/>
        <s v="Ambientación para campus Iniciativa Privada  versión 2.2" u="1"/>
        <s v="Se testan datos y se sustituye el archivo del folio: 0000700264721" u="1"/>
        <s v="Testado de datos y sustituir archivo adjunto  del folio:  0000500092121" u="1"/>
        <s v="Ambientación para campus Iniciativa Privada  versión 2.7" u="1"/>
        <s v="Realizar la clase Controller, Service, Dao para la operación consulta de linea-accion-estrategica" u="1"/>
        <s v="actualizacion micrositio comité de etica" u="1"/>
        <s v="Desarrollo para la integración de la funcionalidad del seguimiento de  solicitudes de información de SISAI para SAIMEX " u="1"/>
        <s v="Soporte Jalisco" u="1"/>
        <s v="Incidencia Registro Emilio Chávez" u="1"/>
        <s v="Buenas tardes Martha, tu petición fue atendida, favor de validar     I        I    Saludos     I        I    Marina Adame Velasco    I        I    Notificación de seguimiento  [  MA0107202011 ]      I        I    Aplicación:                  INFOMEX NUEVO LEÓN     I    Tipo de Soporte:         AJUSTE DE PLAZOS        I    Estatus:                               Concluido.    I        I    " u="1"/>
        <s v="Buenas tardes Martha, tu petición fue atendida, favor de validar     I        I    Saludos     I        I    Marina Adame Velasco    I        I    Notificación de seguimiento  [  MA1106202004 ]      I        I    Aplicación:                  INFOMEX NUEVO LEÓN     I    Tipo de Soporte:         AJUSTE DE PLAZOS        I    Estatus:                               Concluido.    I        I    " u="1"/>
        <s v="Buenas tardes Martha, tu petición fue atendida, favor de validar     I        I    Saludos     I        I    Marina Adame Velasco    I        I    Notificación de seguimiento  [  MA1506202003 ]      I        I    Aplicación:                  INFOMEX NUEVO LEÓN     I    Tipo de Soporte:         AJUSTE DE PLAZOS        I    Estatus:                               Concluido.    I        I    " u="1"/>
        <s v="Se elmina la respuesta del folio: 0310000005021" u="1"/>
        <s v="Responsive componente home y toolbar" u="1"/>
        <s v="Se sustituye archivo adjunto  del folio:  0064100765721" u="1"/>
        <s v="Notificación de seguimiento  [  MA0206202108 ]    I        I    Estimado(a):                ALEJANDRA TEJEDA    I         I     Le informamos que su ticket correspondiente a:    I                       I    reportes de solicitudes de 2016 y 2017, con el dato de tipo de solicitud    I        I         I    Aplicación:                  INFOMEX BCN    I    Tipo de Soporte:         REPORTE      I    Observaciones:                I         I    Su petición fue atendida    I         I    " u="1"/>
        <s v="    I    Notificación de seguimiento  [  MA0112202004 ]      I          I    Estimado(a):                     Lizbeth Adriana Cabrera Ortega    I          I    Le informamos que su ticket correspondiente a:    I                       I    Con el gusto de saludarte me permito solicitar tu valioso apoyo respecto de la generación UN EXPEDIENTE del recurso de revisión posteriormente citado.    I         I    Asimismo, te comento que NO DEBERÁ CAMBIAR el sujeto obligado, ni el Comisionado correspondiente.     I         I     DICE                                        DEBE DECIR                         SUJETO OBLIGADO           PONENTE    I    RRA 13531/20 RRA 4549/18-BIS COFEPRIS BLIC    I         I    No omito comentarte que el número de expediente que deberá seguir en el consecutivo por turnar en PNT debe ser el RRA 13531/20    I         I         I    Aplicación:                  SIGEMI    I    Tipo de Soporte:         IMPUGNACIONES       I    Observaciones:                I         I    Su petición fue atendida    I    " u="1"/>
        <s v="Se  testan los datos del folio: 0064101357021" u="1"/>
        <s v="Se  testan los datos del folio: 0064101367021" u="1"/>
        <s v="Se cambia estatus y id de respuesta de la solicitud del folio: 0933800022721" u="1"/>
        <s v="Corrección al generar declaración simplificada" u="1"/>
        <s v="Se  testan los datos de la solicitud con folio 0064100892621    I    " u="1"/>
        <s v="Se aplica testado de datos al folio: 1816400010421" u="1"/>
        <s v="Buenas tardes José Manuel, tu petición fue atendida, favor de validar     I        I    Saludos     I        I    Marina Adame Velasco    I        I    Notificación de seguimiento  [  MA2304202003 ]      I        I    Aplicación:                  INFOMEX QUERÉTARO     I    Tipo de Soporte:         Reportes       I    Estatus:                               Concluido.    I    " u="1"/>
        <s v="    I    Buenas tardes Guillermo, tu petición fue atendida, favor de validar     I        I    Saludos     I        I    Marina Adame Velasco    I        I    Notificación de seguimiento  [  MA2505202010 ]      I        I    Aplicación:                  INFOMEX BCN    I    Tipo de Soporte:         REPORTES       I    Estatus:                               Concluido.    I        I    " u="1"/>
        <s v="Testado de datos y sustituir archivo adjunto  del folio: 1816400099821" u="1"/>
        <s v="Notificación de seguimiento  [  MA0110202004 ]      I         I         I    Estimado(a):                     Lizbeth Adriana Cabrera Ortega    I         I    Le informamos que su ticket correspondiente a:    I                       I    Pido de tu amable apoyo a fin de modificar la dirección de correo señalada por el recurrente como medio de notificación.    I        I    Lo anterior ya que en los datos que constaban en el expediente de solicitud precisaban la dirección que consta actualmente y él remite precisión de cambio de correo.    I        I    Gracias de antemano y saludos.    I        I    Dice: erwin.cruz.saldivar@gmail.com    I        I        I    Debe decir: erwincruzsaldivar@hotmail.com    I        I        I         I    Aplicación:                  SIGEMI    I    Tipo de Soporte:         CAMBIO DE CORREO  ( 13)      I    " u="1"/>
        <s v="Se modifica la vista para ser mas amigable con el usuario" u="1"/>
        <s v="Prueba uno de script de etiquetado automatizado en solicitudes" u="1"/>
        <s v="Ajuste de plazos de la solicitud con folio 1117100069821" u="1"/>
        <s v="Notificación de seguimiento  [  MA1811202001 ]      I         I         I    Estimado(a):                     Rosalinda Coria Mosqueda    I         I         I    Le informamos que su ticket correspondiente a:    I                       I    regresar a la actividad de ampliación el recurso RRA 3490/20.    I        I         I    Aplicación:                  SIGEMI    I    Tipo de Soporte:         ELIMINACIÓN DE AMPLIACIÓN       I    Observaciones:                I         I    Su petición fue atendida    I         I    " u="1"/>
        <s v="    I    Notificación de seguimiento  [  MA2109202008 ]      I         I         I    Estimado(a):                     Jorge Roselini Salgado Alday    I         I    Le informamos que su ticket correspondiente a:    I                       I    Por medio del presente, atentamente solicitamos de tu amable apoyo para que, de no haber inconveniente alguno, se realicen los ajustes necesarios en la Herramienta de Comunicación, a fin de extender la fecha de vencimiento del requerimiento IFAI-REQ-000984-2020 (relativo al envío del listado de información de interés público de las personas físicas y morales a las que otorgó recursos públicos o facultó para realizar actos de autoridad durante el ejercicio 2019) y que se cita en el archivo que se adjunta el presente, de manera que el último día que tengan los sujetos obligados para responder, sea el 16 de octubre de 2020.    I        I         I    Aplicación:                  HCOM    I    Tipo de Soporte:         CAMBIO DE FECHA       I    Observaciones:                I         I    Su petición fue atendida    I    " u="1"/>
        <s v="Testado de datos y sustituir archivo adjunto  del folio: 1816800002121" u="1"/>
        <s v="Impresión de documentos en el detalle de historial para las quejas    I    Impresion de documentos de archivo adjunto a la solicitud para saimex    I    Cambio de titulo del listado de las quejas, organo garante por sujeto obligado    I    Agregar quejas a las solicitudes de saimex    I    " u="1"/>
        <s v="Se cambia el tipo de solicitud del folio: 0001200392021" u="1"/>
        <s v="Resoluciones de recursos de revision " u="1"/>
        <s v="Se cambia el tipo de solicitud del folio: 0063700297921" u="1"/>
        <s v="Notificación de seguimiento  [  MA1908202011 ]      I         I         I    Estimado(a):                     Edgar Michel Loaeza Martínez    I         I    Le informamos que su ticket correspondiente a:    I                       I    dar de alta el certificado que se adjunta, sujeto obligado de la Comisión Nacional del Agua.    I        I         I    Aplicación:                  HCOM    I    Tipo de Soporte:         CAMBIO DE CERTIFICADO       I    Observaciones:                I         I    Su petición fue atendida    I         I    " u="1"/>
        <s v="Se  testan los datos del folio: 1816400194821" u="1"/>
        <s v="Notificación de seguimiento  [  MA0308202113 ]    I        I    Estimado(a):                Pedro Esquivel Martínez    I        I         I     Le informamos que su ticket correspondiente a:    I                       I    por este medio Anexo el registro actualizado del certificado del Titular de la Unidad de Enlace de la “TALLERES GRÁFICOS DE MÉXICO”.  Lo Anterior a fin de que sus accesos sean habilitados en los otros sistemas que administra este Instituto (HCOM).  CAMBIO DE  TITULAR, en cuanto se reciba la atención en HCOM se realizará la actualización de los demás sistemas correspondientes.    I        I         I    Aplicación:                  HCOM    I    Tipo de Soporte:         CAMBIO DE TUT      I    " u="1"/>
        <s v="    I    Notificación de seguimiento  [  MA1006202122 ]    I        I    Estimado(a):                Francisco Javier Lira Pérez    I        I         I     Le informamos que su ticket correspondiente a:    I                       I    Favor de proporcionarnos la Llave Única para nuevo SO denominado:    I        I    Fideicomiso Irrevocable de Administración y Medio de Pago denominado “Fondo para la Planeación Estratégica 71479”    I        I         I    Aplicación:                  INFOMEX NUEVO LEÓN    I    Tipo de Soporte:         CONSULTA DE DATOS       I    Observaciones:                I         I    Su petición fue atendida    I        I        I    SUJETO_OBLIGADO CLAVE    I    Fideicomiso Irrevocable de Administración y Medio de Pago denominado “Fondo para la Planeación Estratégica 71479” 20210610-1505-5800-8790-3d5486804a05    I        I         I         I        I                 Favor de validar.    I         I    Estatus:                               Concluido    I    " u="1"/>
        <s v="Instalar herramientas de ajuste del rendimiento para recopilar información" u="1"/>
        <s v="Se atendieron tickets de la mesa de ayuda" u="1"/>
        <s v="WS Quejas" u="1"/>
        <s v="Se cambia el tipo de solicitud del folio: 1410000023321 " u="1"/>
        <s v="Desarrollo para modulo de menu de grupos    I    Desarrollo para modulo de registro de grupos    I    Desarrollo para modulo de listado de grupos    I    Desarrollo para modulo de registro de usuarios" u="1"/>
        <s v="Notificación de seguimiento  [  MA2502202003 ]      I         I         I    Estimado(a):                     Lizbeth Adriana Cabrera Ortega    I         I    Le informamos que su ticket correspondiente a:    I                       I    SOLICITO DE TU VALIOSO APOYO A FIN DE SUPRIMIR LOS SIGUIENTES RECURSOS DE LA BANDEJA DE TURNO, PUES LOS CARGUE DUPLICADOS DE FORMA MANUAL.    I        I    GRACIAS DE ANTEMANO    I        I    21/02/2020 24/02/2020 19:46 PM Zulema Mosri RAN 0063700009620 Acceso a la Información Manual Ver detalle    I        I    17/02/2020 17/02/2020 13:32 PM Gabriela Omaña Luna UAM 6430000055519 Acceso a la Información Manual Ver detalle    I        I        I        I         I    Aplicación:                  SIGEMI    I    Tipo de Soporte:         Suprimir recursos de la bandeja de turno      I    " u="1"/>
        <s v="Se  testan los datos del folio: 0002700119721" u="1"/>
        <s v="Notificación de seguimiento  [  MA0303202005 ]      I         I         I    Estimado(a):                     HUGO GOVI    I         I    Le informamos que su ticket correspondiente a:    I                       I    CANCELACIÓN DE TURNADO DE  LA SIGUIENTE LISTA  SON 10 RECURSOS  DE REVISION YA QUE ENPIZAN CON LA  B Y DEBERIA EMPEZAR CON LA A    I         I         I    Aplicación:                  SIGEMI    I    Tipo de Soporte:         Eliminación de Turno      I    Observaciones:                I         I    Su petición fue atendida    I         I        I         I                Favor de validar.    I         I    Estatus:                               Concluido.    I    " u="1"/>
        <s v="Se  testan los datos del folio: 0002700201221" u="1"/>
        <s v="Se aplica eliminación de última respuesta: 1106500000320." u="1"/>
        <s v="Se testan datos del folio: 0064102260421" u="1"/>
        <s v="Se aplica sustitución de archivo adjunto: 0064103640619." u="1"/>
        <s v="Activación de cuenta" u="1"/>
        <s v="Notificación de seguimiento  [  MA1712202006 ]      I         I         I    Estimado(a):                     Berenice Hernández Sumano    I         I         I    Le informamos que su ticket correspondiente a:    I                       I    aplicar las afectaciones a las fechas:  Entrega de Alegatos y manifestaciones, de los recursos señalados en este correo.    I        I         I    Aplicación:                  SIGEMI    I    Tipo de Soporte:         Reasignación de plazos SICOM    I    Observaciones:                I         I    Su petición fue atendida    I         I    " u="1"/>
        <s v="Notificación de seguimiento  [  MA2105202110 ]      I         I         I    Estimado(a):                     Alexandro Sandoval    I         I         I    Le informamos que su ticket correspondiente a:    I                       I    La solicitud de información 125842020 se registró doble (anexo imagen) me piden si puedes por fvora eliminar el registro duplicado que no esta turnado    I         I    Aplicación:                  SIGEMI    I    Tipo de Soporte:         CANCELAR REGISTRO DUPLICADO       I    Observaciones:                I         I    Su petición fue atendida    I         I    " u="1"/>
        <s v="Notificación de seguimiento  [  MA2904202002 ]      I         I         I    Estimado(a):                     Edgar Michel Loaeza Martínez    I         I    Le informamos que su ticket correspondiente a:    I                       I    Por medio del presente solicito su valioso apoyo a efecto de dar de alta el certificado de Titular de la Unidad de Transparencia del “SHCP-FONDO METROPOLITANO”    I        I        I    Aplicación:                  HCOM    I    Tipo de Soporte:         CAMBIO DE TUT      I    Observaciones:                I         I    Su petición fue atendida    I         I    " u="1"/>
        <s v="refactorizacion del dropdown para permitir el uso de catalogos y sea este componente el encargado de su gestion" u="1"/>
        <s v="Creación de componente back para la carga de catálogos de ejercicio en el formato de ejercicio del presupuesto. " u="1"/>
        <s v="Se sustituye archivo adjunto del folio: 1410000072920" u="1"/>
        <s v="Se  testan los datos del folio: 0064101339021" u="1"/>
        <s v="Inicia el análisis de procesos y generación de la automatización de inserción de registros.  (Excel SISAI_catalogos.xls  y Tarea_estatus_Estados.xlsx)" u="1"/>
        <s v="Se  testan los datos del folio: 0064101359021" u="1"/>
        <s v="Correccion para nativos de iOS para implementar inicio de sesion con twitter" u="1"/>
        <s v="Se finaliza con el desarrollo del modulo de Administracion" u="1"/>
        <s v="Notificación de seguimiento  [  MA1203202112 ]      I         I         I    Estimado(a):                     ALEJANDRA TEJEDA    I         I         I    Le informamos que su ticket correspondiente a:    I                       I    solicito de la manera más atenta su apoyo para la rectificación de la fecha de caducidad del paso del Sujeto Obligado Secretaria del trabajo y previsión social de Baja California    I        I    Aplicación:                  INFOMEX BCN    I    Tipo de Soporte:         AJUSTE  DE PLAZO       I    Observaciones:                I         I    Su petición fue atendida    I         I    " u="1"/>
        <s v="Semáforo de implementación para 2020" u="1"/>
        <s v="Se  testan datos y sustituye el archivo de la solicitud con folio: 011000061921" u="1"/>
        <s v="Definición y analisis creación arquetipo PNT" u="1"/>
        <s v="Notificación de seguimiento  [  MA0803202111 ]      I         I         I    Estimado(a):                     FRANCISCO LIRA    I          I    Le informamos que su ticket correspondiente a:    I                       I    RESPALDO SEMANAL DE LA BASE DE DATOS INFOMEX    I         I    Aplicación:                  INFOMEX NUEVO LEÓN    I    Tipo de Soporte:         RESPALDO       I    Observaciones:                I         I    Su petición fue atendida, se subió el respaldo de su base de datos de esta semana…    I    http://documentos.inai.org.mx/tmp/infomexNL_backup_2021-03-08_0800.bak    I    NOTA: El respaldo estará disponible una semana      I          I                Favor de validar.    I         I    Estatus:                               Concluido.    I        I    " u="1"/>
        <s v="Notificación de seguimiento  [  MA1108202204 ]    I        I        I    Estimado(a):               Abraham Obed Gallardo González    I        I     Le informamos que su ticket correspondiente a:    I        I    en seguimiento a la actualización de la vigencia del .cer del TUT del ININ, remito el certificado remitido por el personal de la unidad de transparencia de ese sujeto obligado con vigencia hasta el año 2024, lo anterior, con la finalidad de darlo de alta en el sistema HCOM.    I        I    Aplicación:                  HCOM    I    Tipo de Soporte:        ACTUALIZAR CERTIFICADO " u="1"/>
        <s v="Se agregan modelo. vistas y metodos para recibir notificaciones push de quejas" u="1"/>
        <s v="Analisis RFC Repositorio de Investigaciones " u="1"/>
        <s v="Notificación de seguimiento  [  MA0707202002 ]      I         I         I    Estimado(a):                     Lizbeth Adriana Cabrera Ortega    I         I    Le informamos que su ticket correspondiente a:    I                       I    Solicito tu valioso apoyo a fin de apoyar a la ponencia incorporando el número de folio de solicitud al RRD 0789/20.    I         I    DICE INEXISTENTE    I         I    DEBE DECIR 0064100556220    I         I    Aplicación:                  SIGEMI    I    Tipo de Soporte:         Corrección de datos       I    Observaciones:                I         I    Su petición fue atendida    I         I    " u="1"/>
        <s v="Notificación de seguimiento  [  MA2505202121 ]    I        I        I    Estimado(a):                Alma Rosa Ramírez Herrera    I        I         I     Le informamos que su ticket correspondiente a:    I                       I    regresar el último paso en la PNT del asunto RRA 3152/21, este fue una comunicación al recurrente, ya que, por un error, se envió esa comunicación que corresponde a otro recurso de revisión.    I        I         I    Aplicación:                  SIGEMI    I    Tipo de Soporte:         Eliminar prevención      I    Observaciones:                I         I    Su petición fue atendida    I         I    " u="1"/>
        <s v="Notificación de seguimiento  [  MA1203202010 ]      I         I         I    Estimado(a):                     Mariana Aguila Jimenez    I         I    Le informamos que su ticket correspondiente a:    I                       I    Por este medio requiero de tu valioso apoyo a efecto de que en relación al recurso de revisión RRA 01294-20 , puedas regresar los pasos en la Plataforma Nacional de Transparencia en la parte donde aún no se ha SUBIDO LA VERSIÓN FINAL O EL PROYECTO FINAL, derivado a que dicho asunto se bajó en la sesión del día de ayer.     I         I    Aplicación:                  SIGEMI    I    Tipo de Soporte:         REGRESO DE PASOS      I    Observaciones:                I         I    Su petición fue atendida    I         I    " u="1"/>
        <s v="Observaciones área usuaria" u="1"/>
        <s v="Comprobar conexión a red local" u="1"/>
        <s v="Corrección de query para generación de reporte" u="1"/>
        <s v="Dudas y comentarios y cuentas ára el comité técnico" u="1"/>
        <s v="Desarrollo de pantalla Mis Quejas, programación de funcionalidad de pantalla continuación" u="1"/>
        <s v="Query para validar migración de tabla" u="1"/>
        <s v="Se continuo con el desarrollo del home del sitio" u="1"/>
        <s v="Evaluación de volumen de datos en PNT" u="1"/>
        <s v="Buenas tardes Guillermo, tu petición fue atendida, favor de validar     I        I    Saludos     I        I    Marina Adame Velasco    I        I    Notificación de seguimiento  [  MA1805202004 ]      I        I    Aplicación:                  INFOMEX BCN    I    Tipo de Soporte:         REPORTES       I    Estatus:                               Concluido.    I    " u="1"/>
        <s v="Buenas tardes Guillermo, tu petición fue atendida, favor de validar     I        I    Saludos     I        I    Marina Adame Velasco    I        I    Notificación de seguimiento  [  MA2304202003 ]      I        I    Aplicación:                  INFOMEX BCN    I    Tipo de Soporte:         Reportes       I    Estatus:                               Concluido.    I    " u="1"/>
        <s v="Buenas tardes Guillermo, tu petición fue atendida, favor de validar     I        I    Saludos     I        I    Marina Adame Velasco    I        I    Notificación de seguimiento  [  MA2906202004 ]      I        I    Aplicación:                  INFOMEX BCN    I    Tipo de Soporte:         Reportes       I    Estatus:                               Concluido.    I    " u="1"/>
        <s v="Se retoma la tarea para la automatización del proceso de generación de registros Inserts del Excel (SISAI_catalogos_TareaXEdos.xlsx) Validación del contenido proporcionado en el EXCEL vs Lo contenido en la Base de Datos." u="1"/>
        <s v="Petición del DG de Investigación y Verificación del Sector Privado, para hacer la verificación de las denuncias que ingresaron en el sistema PRODATOS" u="1"/>
        <s v="Cambio de Titulares de Sujeto Obligado SEP y sus indirectos" u="1"/>
        <s v="Se aplica testado así como el archivo adjunto de la solicitud: 0064103505619 así como el folio." u="1"/>
        <s v="Aplicación de escritorio FTP CDMX - Cambios" u="1"/>
        <s v="Se  testan los datos del folio: 1816400176821" u="1"/>
        <s v="Notificación de seguimiento  [  MA1011202009 ]      I          I    Estimado(a):                     ROSALINDA CORIA MOSQUEDA     I         I    Le informamos que su ticket correspondiente a:    I                       I    regresar a la actividad de admitir/prevenir el recurso RRA 12135/20, toda vez que se corregirá el acuerdo de admisión.    I         I    Aplicación:                  SIGEMI    I    Tipo de Soporte:         REGRESO DE PASOS        I    Observaciones:                I         I    Su petición fue atendida    I           I                Favor de validar.    I    " u="1"/>
        <s v="Se sustituye archivo adjunto  del folio: 0063700092121" u="1"/>
        <s v="Se cambia el tipo de solicitud del folio: 0933800011021" u="1"/>
        <s v="Se  testan los datos del folio: 3670000024821" u="1"/>
        <s v="SUSTITUCIÓN TEXTO Y ADJUNTO EN SOLICITUD DE INFORMACION CON FOLIO 0064100739721" u="1"/>
        <s v="Notificación de seguimiento  [  MA0410202101 ]    I        I    Estimado(a):                Edgar Michel Loaeza Martínez    I        I         I     Le informamos que su ticket correspondiente a:    I                       I    Por medio del presente solicito su valioso apoyo a efecto de realizar el cambio de Titular de la Unidad de Instituto Nacional de Bellas Artes y Literatura.    I        I    Para tal efecto, anexo al presente el certificado y nombramiento, lo anterior, a fin de que sus accesos sean habilitados en los sistemas que administra este Instituto (INFOMEX y HCOM).      I        I        I    Aplicación:                  HCOM     I    Tipo de Soporte:         CAMBIO TUT       I    Observaciones:                I         I    Su petición fue atendida    I         I    " u="1"/>
        <s v="Notificación de seguimiento  [  MA3007202002 ]      I         I         I    Estimado(a):                     Tiara Gethsemanni Miranda Fuentes    I         I    Le informamos que su ticket correspondiente a:    I                       I        I    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    I         I    RRA 06701/20    I         I         I    Aplicación:                  SIGEMI    I    Tipo de Soporte:         REGRESO DE PASOS      I    Observaciones:                I         I    Su petición fue atendida    I         I    " u="1"/>
        <s v="Respaldar Curso 4 de Aliados INAI  de la plataforma anterior y restaurar en plataforma actual " u="1"/>
        <s v="Se agrega un mensaje informativo para cuando la app no se encuentra en la ultima version disponible" u="1"/>
        <s v="Se elmina la respuesta del folio:  6430000003121" u="1"/>
        <s v="Se aplica el cambio de modalidad para el folio: 0064103596519" u="1"/>
        <s v="Notificación de seguimiento  [  MA2804202101 ]      I         I         I    Estimado(a):                     Alondra Jiménez Hernández    I         I         I    Le informamos que su ticket correspondiente a:    I                       I    Anexo el registro actualizado del certificado del nuevo Titular de la Unidad de Transparencia de la INSTITUTO NACIONAL PARA EL DESARROLLO DE CAPACIDADES DEL SECTOR RURAL A.C. para que su acceso sea habilitado en la Herramienta de Comunicación.     I         I    Aplicación:                  HCOM    I    Tipo de Soporte:         CAMBIO TUT       I    Observaciones:                I         I    Su petición fue atendida    I         I          I                Favor de validar.    I         I    Estatus:                               Concluido.    I    " u="1"/>
        <s v="Notificación de seguimiento  [  MA2702202002 ]      I         I         I    Estimado(a):                     Gloria Bravo Reyna    I         I    Le informamos que su ticket correspondiente a:    I                       I    eliminar de la HCOM el folio 001132-IFAI-2020.    I         I         I    Aplicación:                  HCOM    I    Tipo de Soporte:         Eliminar proceso       I    Observaciones:                I         I    Su petición fue atendida    I    " u="1"/>
        <s v="Generación de Documento resultados de extracción" u="1"/>
        <s v="Ejecución de OT 4 Campus Privada" u="1"/>
        <s v="Se sustituye archivo adjunto  del folio:  0064101007721" u="1"/>
        <s v="Se sustituye archivo adjunto  del folio:  011000061821" u="1"/>
        <s v="Notificación de seguimiento  [  MA1005202115 ]      I         I         I    Estimado(a):                     Edwin Robles Hernández    I         I         I    Le informamos que su ticket correspondiente a:    I                       I    Por este medio solicito de su valioso apoyo para poder aplicar las afectaciones a las fechas de vencimiento y la eliminación de los acuses respectivos de las solicitudes señaladas en el archivo adjunto. Toda vez que el Consejo General aprobará mediante Acuerdo ACDO/CG/IAIP/021/2020.     I        I    Aplicación:                  INFOMEX OAXACA    I    Tipo de Soporte:         AJUSTE DE PLAZOS       I    Observaciones:                I         I    Su petición fue atendida    I         I          I                Favor de validar.    I         I    Estatus:                               Concluido.    I        I    " u="1"/>
        <s v="respalda la base de datos de comisiones (Mysql)" u="1"/>
        <s v="Buenas tardes Guillermo, tu petición fue atendida, favor de validar     I        I    Saludos     I        I    Marina Adame Velasco    I        I    Notificación de seguimiento  [  MA1704202002 ]      I        I    Aplicación:                  INFOMEX BCN    I    Tipo de Soporte:         Reportes solicitados        I    Estatus:                               Concluido.    I        I    " u="1"/>
        <s v="Buenas tardes Guillermo, tu petición fue atendida, favor de validar     I        I    Saludos     I        I    Marina Adame Velasco    I        I    Notificación de seguimiento  [  MA2004202002 ]      I        I    Aplicación:                  INFOMEX BCN    I    Tipo de Soporte:         Reportes solicitados        I    Estatus:                               Concluido.    I        I    " u="1"/>
        <s v="Notificación de seguimiento  [  MA1409202011 ]      I         I         I    Estimado(a):                     Pedro Esquivel Martínez    I         I    Le informamos que su ticket correspondiente a:    I                       I    por este medio Anexo el registro actualizado del certificado del Titular de la Unidad de Enlace del “Partido de la Revolución Democrática” Lo Anterior a fin de que sus accesos sean habilitados en los otros sistemas que administra este Instituto (HCOM).  CAMBIO DE  TITULAR, en cuanto se reciba la atención en HCOM se realizará la actualización de los demás sistemas correspondientes.    I        I        I         I    Aplicación:                  HCOM    I    Tipo de Soporte:         CAMBIO DE TUT      I    Observaciones:                I         I    Su petición fue atendida    I         I    " u="1"/>
        <s v="Se aplica cambio de modalidad a las solicitudes: 0000600029120" u="1"/>
        <s v=" funcionalidad del mantenimiento de Bitacora " u="1"/>
        <s v="Notificación de seguimiento [ MA2201202003 ]     I          I          I     Estimado(a): Lizbeth Adriana Cabrera Ortega    I          I     Le informamos que su ticket correspondiente a:    I          I     Solicito de tu valioso apoyo a fin de suprimir del recurso citado en el asunto al REPRESETANTE LEGAL.    I          I     Asimismo, agregar el acuerdo de turno que remito y que suprime la referencia de dicho Representante.    I         I          I     Aplicación: SIGEMI    I     Tipo de Soporte: Actualización de datos y archivo" u="1"/>
        <s v="Se cambia el tipo de solicitud del folio: 0933800011321" u="1"/>
        <s v="Se testan los datos  del folio: 0064101439021" u="1"/>
        <s v="Configuración y preubas descarga de documentos en ios 4.5 horas    I    quitar el modal de que no hay notificaciones    I    agregar modal de que el documento no esta disponible    I    arreglar lo de el detalle cuando hay mas de un sujeto obligado en el snackbar" u="1"/>
        <s v="    I    Buenas tardes Berenice, tu petición fue atendida, favor de validar     I        I    Saludos     I        I    Marina Adame Velasco    I        I    Notificación de seguimiento  [  MA0810202005 ]      I        I    Aplicación:                  INFOMEX OAXACA    I    Tipo de Soporte:         AJUSTE DE PLAZOS      I    Estatus:                               Concluido.    I        I    " u="1"/>
        <s v="    I    Buenas tardes Memo, tu petición fue atendida, favor de validar     I        I    Saludos     I        I    Marina Adame Velasco    I        I    Notificación de seguimiento  [  MA1003202001 ]      I        I    Aplicación:                  INFOMEX BCN    I    Tipo de Soporte:         Reporte de solicitudes       I    Estatus:                               Concluido.    I        I    " u="1"/>
        <s v="    I    Buenas tardes Moisés, tu petición fue atendida, favor de validar     I        I    Saludos     I        I    Marina Adame Velasco    I        I    Notificación de seguimiento  [  MA0508202006 ]      I        I    Aplicación:                  INFOMEX PUEBLA     I    Tipo de Soporte:         Ajuste de fechas       I    Estatus:                               Concluido.    I        I    " u="1"/>
        <s v="    I    Buenas tardes Moisés, tu petición fue atendida, favor de validar     I        I    Saludos     I        I    Marina Adame Velasco    I        I    Notificación de seguimiento  [  MA2409202007 ]      I        I    Aplicación:                  INFOMEX PUEBLA     I    Tipo de Soporte:         Ajuste de fechas       I    Estatus:                               Concluido.    I        I    " u="1"/>
        <s v="Se aplica eliminación de formato de pago: 1215100097421" u="1"/>
        <s v="Buenas tardes Guillermo, tu petición fue atendida, favor de validar     I        I    Te comento que el identificador del departamento que recibe las solicitudes del Instituto es este …  3c67c780-e68d-4e59-96a2-267e768ef6d2    I        I    TIPO DE SOLICITUD Número de solicitudes    I    DATOS PERSONALES 4    I    INFORMACIÓN PUBLICA 198    I        I        I    Saludos     I        I    Marina Adame Velasco    I        I    Notificación de seguimiento  [  MA1806202004 ]      I        I    Aplicación:                  INFOMEX BCN    I    Tipo de Soporte:         AJUSTE DE PLAZOS        I    Estatus:                               Concluido.    I    " u="1"/>
        <s v="Implementar las modificaciones a las Vistas Materializadas para poder hacer pruebas en Oracle" u="1"/>
        <s v="Notificación de seguimiento  [  MA2505202201 ]    I        I    Estimado(a):                Edgar Michel Loaeza Martínez    I        I         I     Le informamos que su ticket correspondiente a:    I        I    Por medio del presente solicito su valioso apoyo a efecto de realizar la renovación de Certificado de la Titular de la Unidad de Transparencia de la Secretaría de Desarrollo Agrario Territorial y Urbano, lo anterior, en virtud de que, el certificado actual se encuentra vencido.    I        I        I        I         I    Aplicación:                  HCOM    I    Tipo de Soporte:         ACTUALIZACIÓN DE CERTIFICADO         I    Observaciones:                I         I    Su petición fue atendida    I         I    " u="1"/>
        <s v="Notificación de seguimiento  [  MA1903202002 ]      I         I         I    Estimado(a):                     Pedro Esquivel Martínez    I         I    Le informamos que su ticket correspondiente a:    I                       I    Anexo el registro actualizado del certificado del Titular de la Unidad de Enlace del  “Consejo Nacional de Evaluación de la Política de Desarrollo Social ”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CAMBIO DE CERTIFICADO      I    Observaciones:                I         I    Su petición fue atendida    I         I    " u="1"/>
        <s v="Se aplica eliminación de última respuesta: 0001200031520." u="1"/>
        <s v="Se aplica eliminación de última respuesta de la solicitud: 1116100002420 y 1116100002520" u="1"/>
        <s v="Sesión recorrido flujos en PNT.    I    Ingreso perfil SISAI, seguimiento a la solicitud." u="1"/>
        <s v="Notificación de seguimiento  [  MA2501202111 ]      I         I         I    Estimado(a):                     Pedro Esquivel Martínez    I         I         I    Le informamos que su ticket correspondiente a:    I                       I    por este medio Anexo el registro actualizado del certificado del Titular de la Unidad de Enlace del  “Instituto de Seguridad Social para las Fuerzas Armadas Mexicanas” Lo Anterior a fin de que sus accesos sean habilitados en los otros sistemas que administra este Instituto (HCOM).  CAMBIO DE  CERTIFICADO, en cuanto se reciba la atención en HCOM se realizará la actualización de los demás sistemas correspondientes.    I         I    Aplicación:                  HCOM    I    Tipo de Soporte:         CAMBIO DE CERTIFICADO     I    " u="1"/>
        <s v="Notificación de seguimiento  [  MA1911202002 ]      I         I         I    Estimado(a):                     SERGIO RAFAEL CORTÉS ALPIZAR    I         I         I    Le informamos que su ticket correspondiente a:    I                       I    Por medio del presente, solicito se regrese la actividad a &quot;Preparación del Proyecto de Resolución&quot;  del siguiente recurso de revisión:    I        I    RRA 12126/20 vs Registro Agrario Nacional    I        I    Lo anterior se debe a que se va a corregir el archivo de desechamiento y se volverá a enviar.    I        I         I    Aplicación:                  SIGEMI    I    Tipo de Soporte:         REGRESO DE PASOS       I    Observaciones:                I         I    Su petición fue atendida    I    " u="1"/>
        <s v="Notificación de seguimiento  [  MA2708202005 ]      I         I         I    Estimado(a):                     Guillermo Delgado Ibarra    I         I    Le informamos que su ticket correspondiente a:    I                       I    cambio para que quede correctamente asignado al sujeto obligado correspondiente    I    El recurso es    I         I    RR/254/2020      esta asignado al Ayuntamiento de Mexicali    I                                   Pero debe ser al Ayuntamiento de Ensenada    I         I    Amarillo incorrecto    I    Verde correcto    I         I    Aplicación:                  SIGEMI    I    Tipo de Soporte:         CAMBIO DE SUJETO OBLIGADO      I    Observaciones:                I         I    Su petición fue atendida    I    " u="1"/>
        <s v="Generar certificado para SOs obligado FIDEICOMISO IFT" u="1"/>
        <s v="Actualización de archivos 2020" u="1"/>
        <s v="Revisión de permisos de usuario" u="1"/>
        <s v="Comprobar si la base de datos es funcional" u="1"/>
        <s v="Generar base de datos y tablas para el proyecto" u="1"/>
        <s v="Notificación de seguimiento  [  MA1009202004 ]      I         I         I    Estimado(a):                     David Mendoza Oliva    I         I    Le informamos que su ticket correspondiente a:    I                       I    Se envía en el archivo adjunto en formato Excel, el cual contiene el listado de los sujetos con sus respectivas claves, nombres del Sujeto Obligado, fecha y folio de notificación, plazo de término, así como el nuevo plazo de término que se tiene que ajustar para cada uno de ellos en la Herramienta de Comunicación    I         I    Aplicación:                  HCOM    I    Tipo de Soporte:         CAMBIO DE FECHA DE ATENCIÓN      I    Observaciones:                I         I    Su petición fue atendida    I         I    " u="1"/>
        <s v="Notificación de seguimiento  [  MA1604202106 ]      I         I         I    Estimado(a):                     Moisés Guzmán Arias    I          I    Le informamos que su ticket correspondiente a: ampliar el término para prevenirlos     I        I    00167521 estableciendo el término al día 19/04/2021 (19 de abril de 2021) (Economía)    I    00901920 estableciendo el término al día 19/04/2021 (19 de abril de 2021) (Economía)    I    00522521 estableciendo el término al día 19/04/2021 (19 de abril de 2021) (Economía)    I                     I         I    Aplicación:                  INFOMEX PUEBLA    I    Tipo de Soporte:         AJUSTE DE PLAZO       I    Observaciones:                I         I    Su petición fue atendida    I         I    " u="1"/>
        <s v="Notificación de seguimiento  [  MA2303202118 ]      I         I         I    Estimado(a):                     Moisés Guzmán Arias    I         I         I    Le informamos que su ticket correspondiente a:    I                       I    ampliar el término para prevenir de los folios     I         I    00199021 estableciendo el término al día 23/03/2021 (23 de marzo de 2021)    I    00402921 estableciendo el término al día 23/03/2021 (23 de marzo de 2021)    I    00422121 estableciendo el término al día 23/03/2021 (23 de marzo de 2021)    I         I    Aplicación:                  INFOMEX PUEBLA    I    Tipo de Soporte:         AJUSTE DE PLAZOS        I    Observaciones:                I         I    Su petición fue atendida    I         I    " u="1"/>
        <s v="Se cambia el tipo de solicitud del folio: 0933800011521" u="1"/>
        <s v="Se cambia el tipo de solicitud del folio: 1410000036221" u="1"/>
        <s v="Desarrollo de los estilos para los registros de una sola colección " u="1"/>
        <s v="Se aplica el cambio de modalidad para el folio: 0064103596719." u="1"/>
        <s v="Notificación de seguimiento  [  MA1707202004 ]      I         I         I    Estimado(a):                     Tiara Gethsemanni Miranda Fuentes    I         I    Le informamos que su ticket correspondiente a:    I                       I    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    I         I    RRA 02883/20    I         I         I    Aplicación:                  SIGEMI    I    Tipo de Soporte:         REGRESO DE PASOS      I    Observaciones:                I         I    Su petición fue atendida    I    " u="1"/>
        <s v="Notificación de seguimiento  [  MA2206202005 ]      I         I         I    Estimado(a):                     Tiara Gethsemanni Miranda Fuentes    I         I    Le informamos que su ticket correspondiente a:    I                       I    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    I         I    RRA 05197/20    I         I         I    Aplicación:                  SIGEMI    I    Tipo de Soporte:         REGRESO DE PASOS      I    Observaciones:                I         I    Su petición fue atendida    I    " u="1"/>
        <s v="Se aplica eliminación de formato de pago: 0064101560521" u="1"/>
        <s v="Modificar leyendas y agregar nuevas" u="1"/>
        <s v="Optimización de script de transformación de formatos" u="1"/>
        <s v="Se  testan los datos del folio: 0002700098721" u="1"/>
        <s v="se aplica eliminación de última respuesta: 1215101123519." u="1"/>
        <s v="CAS - Actualización de infografías" u="1"/>
        <s v="Se testan datos del folio: 0064102384121" u="1"/>
        <s v="funcionalidad sector mixto " u="1"/>
        <s v="Notificación de seguimiento  [  MA1810202201 ]    I        I    Estimado(a):                Lizbeth Adriana Cabrera Ortega    I         I     Le informamos que su ticket correspondiente a:    I         I    generación UN EXPEDIENTE BIS del recurso de revisión posteriormente citado.    I         I    Asimismo, te comento que NO DEBERÁ CAMBIAR el sujeto obligado, ni el Comisionado correspondiente.     I         I     DICE                                        DEBE DECIR                         SUJETO OBLIGADO           PONENTE    I        I    RRA 17053/22_x0009_RRA 09464/20-BIS_x0009_SEDENA_x0009_AAM    I         I    No omito comentarte que el número de expediente que deberá seguir en el consecutivo por turnar en PNT debe ser el RRA 17053/22    I        I         I    Aplicación:                 SICOM    I    Tipo de Soporte        CAMBIO A EXPEDIENTE BIS" u="1"/>
        <s v="Notificación de seguimiento  [  MA0411202005 ]      I         I         I    Estimado(a):                     Rosa María Rivas Rangel    I         I         I    Le informamos que su ticket correspondiente a:    I                       I    • Toda vez que en el RRA 07607/20, el plazo para atender la resolución del INAI vence el día de hoy, la notificación del cumplimiento fue enviada a través de correo electrónico (se adjunta al presente), por lo que se  solicita en el rubro actividad se visualice “entregar información relacionada con el cumplimiento y en el rubro estatus del proceso se coloque “en evaluación”.    I    • En el RRA 07960/20, ya no aparece en la PNT, por lo que se solicita se agregue, el acuerdo de ampliación de plazo fue notificado el 19 de octubre, por lo que la fecha debe moverse al 03 de noviembre,  en el rubro actividad se visualice “entregar información relacionada con el cumplimiento y en el rubro estatus del proceso se coloque “en espera de la información de cumplimiento”.    I         I    Aplicación:                  SIGEMI    I    Tipo de Soporte:         Actualización de estatus de actividades       I    Observaciones:                I         I    Su petición fue atendida, se reactivó el paso entregar información relacionada con el cumplimiento, respecto al estatus dependiendo de la actividad es como se actualiza, del recurso RRA 07960/20 se verificó la fecha y esta al 3 de noviembre     I        I    " u="1"/>
        <s v="Notificación de seguimiento  [  MA0809202006 ]      I         I         I    Estimado(a):                     Moisés Guzmán Arias    I         I    Le informamos que su ticket correspondiente a:    I                       I    Por este medio me permito solicitar tu apoyo a fin de que se lleve a cabo la eliminación de una prevención que se hizo sobre un recurso, el cual está interpuesto contra un sujeto obligado que se encuentra en suspensión y por error lo previnieron.    I        I    El recurso es: RR-0200/2020 y el estado debe ser regresado a “Recibe entrada”.    I         I    Aplicación:                  SIGEMI    I    Tipo de Soporte:         REGRESO DE PASOS      I    Observaciones:                I         I    Su petición fue atendida    I         I    " u="1"/>
        <s v="Notificación de seguimiento  [  MA3004202002 ]      I         I         I    Estimado(a):                     Rosa María Rivas Rangel    I         I    Le informamos que su ticket correspondiente a:    I                       I    El sujeto obligado señala que ya aparece en la bandeja de cumplimientos la resolución 01085/20, sin embargo, el Estatus dice &quot;En evaluación&quot;, pero todavía está en seguimos dentro del término de cumplimiento, ya que no se ha subido ningún documentación alguna que dé cumplimiento. (Se anexa pantalla para mayor referencia)    I        I         I    Aplicación:                  SIGEMI    I    Tipo de Soporte:         ACTUALIZACIÓN DE ESTATUS      I    Observaciones:                I         I    Su petición fue atendida    I         I    " u="1"/>
        <s v="Notificación de seguimiento  [  MA0311202001 ]      I         I         I    Estimado(a):                     Pedro Esquivel Martínez    I         I         I    Le informamos que su ticket correspondiente a:    I                       I    por este medio solicito tu valioso apoyo al haber cambio de Titular, anexo el registro actualizado del certificado del Titular de la Unidad de Enlace del  “Instituto Nacional del Suelo Sustentable” Lo Anterior a fin de que sus accesos sean habilitados en los otros sistemas que administra este Instituto (HCOM).  CAMBIO DE TITULAR, en cuanto se reciba la atención en HCOM se realizará la actualización de los demás sistemas correspondientes.    I        I         I    Aplicación:                  HCOM    I    Tipo de Soporte:         CAMBIO TUT       I    Observaciones:                I         I    Su petición fue atendida    I         I    " u="1"/>
        <s v="Notificación de seguimiento  [  MA0712202102 ]    I        I    Estimado(a):                Pedro Esquivel Martínez    I        I         I     Le informamos que su ticket correspondiente a:    I                       I    actualización correspondiente en la herramienta de comunicación HCOM; adjunto cuadro descriptivo.    I        I        I        I    Clave Presupuestal Fideicomiso Siglas Actual Titular CERTIFICADO A GENERAR Contraseña    I    HCOM Contraseña    I    HCOM     I    11291 Fideicomiso de investigación científica y desarrollo tecnológico No. 1750-2 INAOEP F1 Miguel Ángel Barrera Márquez 11291.Miguel.Ángel.Barrera.Márquez HCOM1pNt7 SISI1pNt7     I        I         I    Aplicación:                  HCOM    I    Tipo de Soporte:         ACTUALIZACIÓN DE CERTIFICADO       I    Observaciones:                I         I    Su petición fue atendida    I         I    " u="1"/>
        <s v="Notificación de seguimiento  [  MA2705202131 ]    I        I    Estimado(a):                Pedro Esquivel Martínez    I        I         I     Le informamos que su ticket correspondiente a:    I                       I    actualización del .cer en el HCOM, se adjunta cuadro descriptivo    I        I    Clave Presupuestal    Sujeto Obligado Titular de la unidad de transparencia    CERTIFICADO A GENERAR    Contraseña       I    22410      I    Fuerza por México Julio Antonio Saucedo Ramírez 22410.Julio Antonio Saucedo Ramírez HCOM:    I    HCOM22410    I         I    INFOMEX    I    SIS22410    I         I    correo comisiontransparencia@fuerzapormexico.org.mx     I          I        I         I    Aplicación:                  HCOM    I    Tipo de Soporte:         CAMBIO DE TUT       I    Observaciones:                I         I    Su petición fue atendida    I         I    " u="1"/>
        <s v="Se aplica el testado de datos de la solicitud: 1117100007320." u="1"/>
        <s v="Se  sustituye el archivo de la solicitud con folio: 0002700174721" u="1"/>
        <s v="Se  testan los datos del folio: 0320000423721" u="1"/>
        <s v="Notificación de seguimiento  [  MA1210202001 ]      I         I         I    Estimado(a):                     Sergio Rafael Cortés Alpizar    I         I    Le informamos que su ticket correspondiente a:    I                       I    Por medio del presente, solicito el regreso de actividad a &quot;Preparación del Proyecto de Resolución&quot; y se elimine el cierre de instrucción para volverlo a mandar del siguiente recurso de revisión:    I        I    RRA 9436/20 vs SEGOB    I        I    Lo anterior se debe a que se anexo un archivo mal y se enviara de nuevo el cierre correcto.    I         I    Aplicación:                  SIGEMI    I    Tipo de Soporte:         ELIMINACION DE CIERRE DE INSTRUCCIÓN       I    Observaciones:                I         I    Su petición fue atendida    I    " u="1"/>
        <s v="Buenas tardes Guillermo, tu petición fue atendida, favor de validar     I        I    Saludos     I        I    Marina Adame Velasco    I        I    Notificación de seguimiento  [  MA0909202002 ]      I        I    Aplicación:                  INFOMEX BCN    I    Tipo de Soporte:         REPORTE       I    Estatus:                               Concluido.    I    " u="1"/>
        <s v="Buenas tardes Guillermo, tu petición fue atendida, favor de validar     I        I    Saludos     I        I    Marina Adame Velasco    I        I    Notificación de seguimiento  [  MA1409202007 ]      I        I    Aplicación:                  INFOMEX BCN    I    Tipo de Soporte:         REPORTE       I    Estatus:                               Concluido.    I    " u="1"/>
        <s v="Buenas tardes Guillermo, tu petición fue atendida, favor de validar     I        I    Saludos     I        I    Marina Adame Velasco    I        I    Notificación de seguimiento  [  MA1708202008 ]      I        I    Aplicación:                  INFOMEX BCN    I    Tipo de Soporte:         REPORTE       I    Estatus:                               Concluido.    I    " u="1"/>
        <s v="Buenas tardes Guillermo, tu petición fue atendida, favor de validar     I        I    Saludos     I        I    Marina Adame Velasco    I        I    Notificación de seguimiento  [  MA2007202005 ]      I        I    Aplicación:                  INFOMEX BCN    I    Tipo de Soporte:         REPORTE       I    Estatus:                               Concluido.    I    " u="1"/>
        <s v="Se cambia el tipo de solicitud del folio: 0933800011721" u="1"/>
        <s v="Montar el aplicativo en local y ajustar los colores,imagenes, botones y tablas" u="1"/>
        <s v="La Entrevista: Periodismo y derecho a saber " u="1"/>
        <s v="Se testan los datos  del folio:0064101442321" u="1"/>
        <s v="Se aplica el cambio de modalidad de la solicitud: 0001200052720." u="1"/>
        <s v="Notificación de seguimiento  [  MA0409202002 ]      I          I    Estimado(a):                     Moisés Guzmán Arias    I         I    Le informamos que su ticket correspondiente a:    I                       I    se puede llevar a cabo la fecha límite de cumplimiento para el recurso RR-994/2019, la nueva fecha límite para cumplimiento es 11 septiembre de 2020.    I        I        I     Aplicación:                  SIGEMI    I    Tipo de Soporte:         REGRESO DE PASOS      I    Observaciones:                I         I    Su petición fue atendida    I    " u="1"/>
        <s v="Notificación de seguimiento  [  MA1507202101 ]    I        I    Estimado(a):                Pedro Esquivel Martínez    I        I         I     Le informamos que su ticket correspondiente a:    I                       I    Con el gusto de saludarles y por este medio pido su valioso apoyo con la actualización del certificado del Titular de la unidad de transparencia del “Fondo de ahorro capitalizable para los trabajadores operativos del INACIPE”.  Lo Anterior a fin de que sus accesos sean habilitados en los otros sistemas que administra este Instituto (HCOM).  CAMBIO DE  TITULAR, se anexa cuadro descriptivo.    I        I         I    Aplicación:                  HCOM    I    Tipo de Soporte:         CAMBIO DE TUT      I    Observaciones:                I         I    Su petición fue atendida    I    " u="1"/>
        <s v="Notificación de seguimiento  [  MA2503202001 ]      I         I         I    Estimado(a):                     Tiara Gethsemanni Miranda Fuentes    I         I    Le informamos que su ticket correspondiente a:    I                       I    Por medio de presente, solicito de la manera más atenta, su apoyo para retroceder los pasos en el sistema SIGEMI-SICOM en la PNT de los asuntos que se enlistan a continuación; hasta la actividad “Registrar información de la sesión del pleno”; sin más por el momento, quedo en espera de sus comentarios.    I         I    • RRA 02707/20    I    • RRA 02804/20    I         I        I         I    Aplicación:                  SIGEMI    I    Tipo de Soporte:         REGRESO DE PASOS      I    Observaciones:                I         I    Su petición fue atendida    I    " u="1"/>
        <s v="Se  testan los datos del folio: 1816400178821" u="1"/>
        <s v="Notificación de seguimiento  [  MA0203202009 ]      I         I         I    Estimado(a):                     Rafael González García    I         I    Le informamos que su ticket correspondiente a:    I                       I    BAJA DEL SUJETO OBLIGADO CONADE-Fideicomiso para la infraestructura deportiva    I         I    Aplicación:                  HCOM    I    Tipo de Soporte:         BAJA DE SUJETO OBLIGADO       I    Observaciones:                I         I    Su petición fue atendida conforme a lo descrito al oficio anexo    I        I         I                Favor de validar.    I         I    Estatus:                               Concluido.    I        I    " u="1"/>
        <s v="    I    Buenas tardes Gilberto, adjunto scripts de lo que entendí te solicitan, favor de validar     I        I    Saludos     I        I    Marina Adame Velasco    I        I    Notificación de seguimiento  [  MA2107202006 ]      I        I    Aplicación:                  INFOMEX Guanajuato    I    Tipo de Soporte:         Scripts       I    Estatus:                               Concluido.    I        I    " u="1"/>
        <s v="Notificación de seguimiento  [  MA1406202103 ]    I        I    Estimado(a):                Alejandra Tejeda    I        I         I     Le informamos que su ticket correspondiente a:    I                       I    reporte de solicitudes 2021 con el dato de nombre del solicitante y correo electrónico    I         I    Aplicación:                  INFOMEX BCN    I    Tipo de Soporte:         REPORTE DE SOLICITUDES      I    Observaciones:                I         I    Su petición fue atendida, se anexa reporte    I    " u="1"/>
        <s v="Notificación de seguimiento  [  MA1703202203 ]    I        I        I    Estimado(a):                Alondra Jiménez Hernández    I        I         I     Le informamos que su ticket correspondiente a:    I                       I    Anexo el registro actualizado del certificado del nuevo Titular de la Unidad de Transparencia de LICONSA para que su acceso sea habilitado en la Herramienta de Comunicación.    I         I    Aplicación:                  HCOM    I    Tipo de Soporte:         CAMBIO DE TUT       I    Observaciones:                I         I    Su petición fue atendida    I         I         I    " u="1"/>
        <s v="Se testan datos del folio: 0064102384221" u="1"/>
        <s v="Se cambia el tipo de solicitud del folio: 0933800011821" u="1"/>
        <s v="Notificación de seguimiento  [  MA1409202202 ]    I        I    Estimado(a):                Lizbeth Adriana Cabrera Ortega    I        I        I     Le informamos que su ticket correspondiente a:    I        I        I                       I    la generación UN EXPEDIENTE BIS del recurso de revisión posteriormente citado.    I         I    Asimismo, te comento que NO DEBERÁ CAMBIAR el sujeto obligado, ni el Comisionado correspondiente.     I         I     DICE                                        DEBE DECIR                         SUJETO OBLIGADO           PONENTE    I        I    RRA 13851/22    I    _x0009_RRA 0115/18-BIS_x0009_FGR_x0009_FJAL    I         I    No omito comentarte que el número de expediente que deberá seguir en el consecutivo por turnar en PNT debe ser el RRA 13851/22    I        I    Aplicación:                  SIGEMI/SICOM    I    Tipo de Soporte:        CAMBIO A BIS " u="1"/>
        <s v="Evaluación y diseño de scripts de muestreo, etiquetado y validaciones" u="1"/>
        <s v="Buenos días Yarenni, te informo que el respaldo semanal de su base ya se encuentra en el repositorio…    I        I        I    http://documentos.inai.org.mx/tmp/infomexGUERRERO_backup_2020-10-05_0800.bak    I        I        I    NOTA: El respaldo estará disponible una semana     I         I    Saludos    I         I        I    Marina Adame Velasco                                                                                                                                                     I         I    " u="1"/>
        <s v="Buenos días Yarenni, te informo que el respaldo semanal de su base ya se encuentra en el repositorio…    I        I        I    http://documentos.inai.org.mx/tmp/infomexGUERRERO_backup_2020-10-12_0800.bak    I        I        I    NOTA: El respaldo estará disponible una semana     I         I    Saludos    I         I        I    Marina Adame Velasco                                                                                                                                                     I         I    " u="1"/>
        <s v="Buenos días Yarenni, te informo que el respaldo semanal de su base ya se encuentra en el repositorio…    I        I        I    http://documentos.inai.org.mx/tmp/infomexGUERRERO_backup_2020-10-19_0800.bak    I        I        I    NOTA: El respaldo estará disponible una semana     I         I    Saludos    I         I        I    Marina Adame Velasco                                                                                                                                                     I         I    " u="1"/>
        <s v="Buenos días Yarenni, te informo que el respaldo semanal de su base ya se encuentra en el repositorio…    I        I        I    http://documentos.inai.org.mx/tmp/infomexGUERRERO_backup_2020-10-26_0800.bak    I        I        I    NOTA: El respaldo estará disponible una semana     I         I    Saludos    I         I        I    Marina Adame Velasco                                                                                                                                                     I         I    " u="1"/>
        <s v="Buenos días Yarenni, te informo que el respaldo semanal de su base ya se encuentra en el repositorio…    I        I        I    http://documentos.inai.org.mx/tmp/infomexGUERRERO_backup_2020-11-02_0800.bak    I        I        I    NOTA: El respaldo estará disponible una semana     I         I    Saludos    I         I        I    Marina Adame Velasco                                                                                                                                                     I         I    " u="1"/>
        <s v="Buenos días Yarenni, te informo que el respaldo semanal de su base ya se encuentra en el repositorio…    I        I        I    http://documentos.inai.org.mx/tmp/infomexGUERRERO_backup_2020-11-09_0800.bak    I        I        I    NOTA: El respaldo estará disponible una semana     I         I    Saludos    I         I        I    Marina Adame Velasco                                                                                                                                                     I         I    " u="1"/>
        <s v="Buenos días Yarenni, te informo que el respaldo semanal de su base ya se encuentra en el repositorio…    I        I        I    http://documentos.inai.org.mx/tmp/infomexGUERRERO_backup_2020-11-16_0800.bak    I        I        I    NOTA: El respaldo estará disponible una semana     I         I    Saludos    I         I        I    Marina Adame Velasco                                                                                                                                                     I         I    " u="1"/>
        <s v="Buenos días Yarenni, te informo que el respaldo semanal de su base ya se encuentra en el repositorio…    I        I        I    http://documentos.inai.org.mx/tmp/infomexGUERRERO_backup_2020-11-23_0800.bak    I        I        I    NOTA: El respaldo estará disponible una semana     I         I    Saludos    I         I        I    Marina Adame Velasco                                                                                                                                                     I         I    " u="1"/>
        <s v="Buenos días Yarenni, te informo que el respaldo semanal de su base ya se encuentra en el repositorio…    I        I        I    http://documentos.inai.org.mx/tmp/infomexGUERRERO_backup_2020-11-30_0800.bak    I        I        I    NOTA: El respaldo estará disponible una semana     I         I    Saludos    I         I        I    Marina Adame Velasco                                                                                                                                                     I         I    " u="1"/>
        <s v="Se Construccion json de pruebas y modelo para resultados busqueda Padron de beneficiarios" u="1"/>
        <s v="Notificación de seguimiento  [  MA1805202102 ]      I         I         I    Estimado(a):                     Pedro Esquivel Martínez    I         I         I    Le informamos que su ticket correspondiente a:    I                       I    por este medio Anexo el registro actualizado del certificado del Titular de la Unidad de Enlace de “HOSPITAL JUÁREZ DE MÉXICO”.  Lo Anterior a fin de que sus accesos sean habilitados en los otros sistemas que administra este Instituto (HCOM).  CAMBIO DE  TITULAR, en cuanto se reciba la atención en HCOM se realizará la actualización de los demás sistemas correspondientes.    I         I    Aplicación:                  HCOM    I    Tipo de Soporte:         CAMBIO TUT       I    Observaciones:                I         I    Su petición fue atendida    I         I    " u="1"/>
        <s v="Notificación de seguimiento  [  MA0607202112 ]    I        I    Estimado(a):                Betzabé Flores Terán    I        I         I     Le informamos que su ticket correspondiente a:    I                       I    Solicito de apoyo para eliminar el requerimiento IFAI-REQ-003713-2021 enviado a la unidad de transparencia de la UAM, el SO ya tiene conocimiento de esta petición    I        I         I    Aplicación:                  HCOM    I    Tipo de Soporte:         ELIMINAR REQUERIMIENTO      I    Observaciones:                I         I    Su petición fue atendida    I    " u="1"/>
        <s v="actualizacion eventos " u="1"/>
        <s v="Desarrollo de la bandeja de entrada para inconformidades" u="1"/>
        <s v="Buenas tardes Guillermo, tu petición fue atendida, favor de validar     I        I    Resultado consulta 1 : 29    I        I    Resultado consulta 2 : 3005    I        I    Resultado consulta 3 : 3034    I        I        I    Saludos     I        I    Marina Adame Velasco    I        I    Notificación de seguimiento  [  MA0807202009 ]      I        I    Aplicación:                  INFOMEX BCN    I    Tipo de Soporte:         Consulta de datos        I    Estatus:                               Concluido.    I    " u="1"/>
        <s v="Validación de conexión de red para módulos alta de recurrente, flujo completo de quejas" u="1"/>
        <s v="Notificación de seguimiento  [  MA1509202004 ]      I         I         I    Estimado(a):                     Edgar Michel Loaeza Martínez    I         I    Le informamos que su ticket correspondiente a:    I                       I    Por medio del presente solicito su valioso apoyo a efecto de renovar el certificado de Titular de la Unidad de Transparencia de la Comisión Nacional de Áreas Naturales Protegidas.    I        I    Para tal efecto, anexo al presente el certificado renovado del Titular, lo anterior, a fin de que sus accesos sean habilitados en los sistemas que administra este Instituto (INFOMEX y HCOM).      I        I         I    Aplicación:                  HCOM    I    Tipo de Soporte:         CAMBIO DE CERTIFICADO      I    Observaciones:                I         I    Su petición fue atendida    I    " u="1"/>
        <s v="Mejoras en código de Catalogo Areas administrativas, Relacion Rutas Implementación, mejores practicas y código limpio" u="1"/>
        <s v="Se aplica eliminación de formato de pago: 0063700821619" u="1"/>
        <s v="Se aplica el testado de datos de la solicitud: 0000700011820" u="1"/>
        <s v="Notificación de seguimiento  [  MA2502202107 ]      I         I         I    Estimado(a):                     ARMANDO ORTIZ LUNA     I         I         I    Le informamos que su ticket correspondiente a:    I                       I    asignar en la Herramienta de Comunicación el certificado que adjunto al presente, al sujeto obligado que se precisa a continuación…     I    Aplicación:                  HCOM    I    Tipo de Soporte:         CAMBIO TUT       I    " u="1"/>
        <s v="Se  testan los datos del folio:  0063700210221" u="1"/>
        <s v="Se sustituye archivo adjunto y se testan los datos del folio: 0064103181020" u="1"/>
        <s v="Notificación de seguimiento  [  MA0505202001 ]      I         I         I    Estimado(a):                     Moisés Guzmán Arias    I         I    Le informamos que su ticket correspondiente a:    I                       I    eliminar una actividad en sicom, es el recurso RR-0162/2020, se debe eliminar la última acción realizada que es un envío de información de la secretaria de instrucción al sujeto obligado.    I         I    Aplicación:                  SIGEMI    I    Tipo de Soporte:         REGRESO DE PASOS      I    Observaciones:                I         I    Su petición fue atendida    I    " u="1"/>
        <s v="Estimada Alejandra, anexo la información solicitada, te comento que el punto 4 y 9 se pueden obtener de la pestaña que dice SOLICITUDES POR AÑO    I        I    Favor de validar     I        I        I    Saludos     I        I    Marina Adame     I        I        I    Notificación de seguimiento  [  MA1208202105 ]    I        I    Aplicación:                  INFOMEX BCN    I    " u="1"/>
        <s v="Definición de script para muestra de etiquetas" u="1"/>
        <s v="Se aplica eliminación de respuesta al folio: 1621100000620" u="1"/>
        <s v="Se testan los datos  del folio: 0064101377021" u="1"/>
        <s v="Se  testan los datos del folio: 0064101175021" u="1"/>
        <s v="Notificación de seguimiento  [  MA0203202004 ]      I         I         I    Estimado(a):                     Pedro Esquivel Martínez    I         I    Le informamos que su ticket correspondiente a:    I                       I    Anexo el registro actualizado del certificado del Titular de la Unidad de Enlace del  “SECRETARÍA EJECUTIVA DEL SISTEMA NACIONAL ANTICORRUPCIÓN” Lo Anterior a fin de que sus accesos sean habilitados en los otros sistemas que administra este Instituto (HCOM).  CAMBIO DE CERTIFICADO, en cuanto se reciba la atención en HCOM se realizará la actualización de los demás sistemas correspondientes.    I        I        I         I    Aplicación:                  HCOM    I    Tipo de Soporte:         CAMBIO DE CERTIFICADO       I    Observaciones:                I         I    Su petición fue atendida    I         I    " u="1"/>
        <s v="Notificación de seguimiento  [  MA1208202001 ]      I         I         I    Estimado(a):                     María Guadalupe Beltrán Martínez    I         I    Le informamos que su ticket correspondiente a:    I                       I    Buen día, por este medio se solicita, con relación al recurso de revisión RRA 06454/20, se elimine el registro de prevenir, es decir, se regresen los pasos a “Admitir/Prevenir”, a efecto de que el personal de ésta ponencia notifique la prevención de los recursos de revisión, derivado de que se registró dentro del plazo en que Petróleos Mexicanos, el sujeto obligado, tenía suspensión de plazos.     I        I        I    Aplicación:                  SIGEMI    I    Tipo de Soporte:         REGRESO DE PASOS      I    Observaciones:                I         I    Su petición fue atendida    I         I    " u="1"/>
        <s v="Notificación de seguimiento  [  MA1202202001 ]      I         I         I    Estimado(a):                     Lizbeth Adriana Cabrera Ortega    I         I    Le informamos que su ticket correspondiente a:    I                       I    generación UN EXPEDIENTE del recurso de revisión posteriormente citado.    I         I    Asimismo, te comento que NO DEBERÁ CAMBIAR el sujeto obligado, ni el Comisionado correspondiente.     I         I     DICE                                        DEBE DECIR                         SUJETO OBLIGADO           PONENTE    I    RRD 267/20 RRD 0299/19-BIS IMSS FJAL    I         I    No omito comentarte que el número de expediente que deberá seguir en el consecutivo por turnar en PNT debe ser el RRD 0267/20    I        I         I    Aplicación:                  SIGEMI    I    Tipo de Soporte:         CAMBIO A BIS URGENTE      I    Observaciones:                I         I    Su petición fue atendida    I         I    " u="1"/>
        <s v="Realizar la clase Controller, Service, Dao para la operación consulta de roles" u="1"/>
        <s v="Se aplica eliminación de última respuesta: 1227000003720." u="1"/>
        <s v="Se aplica el testado de datos de la solicitud: 0000700022820" u="1"/>
        <s v="Se  testan los datos del folio: 1816400149821" u="1"/>
        <s v="Se sustituye el archivo adjunto de la solicitud con folio 0064101758421" u="1"/>
        <s v="Notificación de seguimiento  [  MA0107202004 ]      I          I    Estimado(a):                     JOEL IBAÑEZ    I         I    Le informamos que su ticket correspondiente a:    I                       I    Si efectivamente quieren que se regrese el paso a: &quot;Admitir/Prevenir/Desechar&quot;.    I         I    Aplicación:                  SIGEMI    I    Tipo de Soporte:         REGRESO DE PASOS  (2)    I    Observaciones:                I         I    Su petición fue atendida    I    " u="1"/>
        <s v="Notificación de seguimiento  [  MA1910202001 ]      I         I         I    Estimado(a):                     Lizbeth Adriana Cabrera Ortega    I         I    Le informamos que su ticket correspondiente a:    I                       I    Eliminar espacio en folio BIS RRA 4739/18-BIS    I        I         I    Aplicación:                  SIGEMI    I    Tipo de Soporte:         AJUSTE DE FOLIO       I    Observaciones:                I         I    Su petición fue atendida    I    " u="1"/>
        <s v="Notificación de seguimiento  [  MA2405202113 ]    I        I          I    Estimado(a):                     Alfredo Iván Moreno Pérez    I        I         I     Le informamos que su ticket correspondiente a:    I                       I    ACTUALIZAR FECHA DE CUMPLIMIENTO     I        I        I         I    Aplicación:                  SIGEMI    I    Tipo de Soporte:         Actualizar fecha      I    Observaciones:                I         I    Su petición fue atendida    I    " u="1"/>
        <s v="Se  testan los datos del folio: 0064101674621" u="1"/>
        <s v="Notificación de seguimiento  [  MA3011202005 ]      I          I    Estimado(a):                     Sergio Rafael Cortés Alpizar    I          I    Le informamos que su ticket correspondiente a:    I                       I    Por este medio solicito adelantar los pasos en la Plataforma Nacional del Transparencia hasta “Preparación del Proyecto de Resolución” del recurso de revisión:    I         I    RRA 0737/19-BIS vs NAFIN    I         I    Lo anterior se debe a que se dictó un amparo y deja sin efectos la resolución del pleno.    I          I    Aplicación:                  SIGEMI    I    Tipo de Soporte:         Adelantar pasos        I    Observaciones:                I         I    Su petición fue atendida    I           I    " u="1"/>
        <s v="Reunión avances " u="1"/>
        <s v="Validaciones en el front" u="1"/>
        <s v="    I    Notificación de seguimiento  [  MA2311202010 ]      I         I         I    Estimado(a):                     Pedro Esquivel Martínez    I          I    Le informamos que su ticket correspondiente a:    I                       I    Cambio de TUT del Sujeto Obligado Consejo de Promoción Turística de México, S.A. de C. V.    I         I    Aplicación:                  HCOM    I    Tipo de Soporte:         CAMBIO TUT       I    Observaciones:                I         I    Su petición fue atendida    I         I    " u="1"/>
        <s v="Notificación de seguimiento  [  MA1405202104 ]      I     Estimado(a):                     Lizbeth Adriana Cabrera Ortega    I     Le informamos que su ticket correspondiente a:    I    Me puedes apoyar en modificar la fecha de interposición del recurso por haber entrado en su último día para la interposición.    I    Dice 4 de mayo    I    Debe decir 3 de mayo    I    Asimismo, podemos actualizar la fecha en el acuerdo de turno.    I         I    Aplicación:                  SIGEMI    I    Tipo de Soporte:         ACTUALIZACIÓN DE FECHA INTERPOSICION Y TURNO      I    Observaciones:                I     Su petición fue atendida    I    " u="1"/>
        <s v="Respaldar curso LGPDPPSO-IBERO 1  de la plataforma anterior y restaurar en plataforma actual " u="1"/>
        <s v="Respaldar curso LGPDPPSO-IBERO 2  de la plataforma anterior y restaurar en plataforma actual " u="1"/>
        <s v="Respaldar curso LGPDPPSO-IBERO 3  de la plataforma anterior y restaurar en plataforma actual " u="1"/>
        <s v="Respaldar curso LGPDPPSO-IBERO 4  de la plataforma anterior y restaurar en plataforma actual " u="1"/>
        <s v="Respaldar curso LGPDPPSO-IBERO 5  de la plataforma anterior y restaurar en plataforma actual " u="1"/>
        <s v="Respaldar curso LGPDPPSO-IBERO 6  de la plataforma anterior y restaurar en plataforma actual " u="1"/>
        <s v="Respaldar curso LGPDPPSO-IBERO 7  de la plataforma anterior y restaurar en plataforma actual " u="1"/>
        <s v="Análisis de incidencia en solicitudes generadas con folio incorrecto, reinicio de folios en dependencias" u="1"/>
        <s v="Notificación de seguimiento  [  MA2804202201 ]    I        I    Estimado(a):                Alondra Jiménez Hernández    I        I         I     Le informamos que su ticket correspondiente a:    I                       I    Debido al vencimiento del certificado, te pido sea generado un certificado genérico a nombre del TUT y que con el mismo sea habilitado en la HCOM. Los datos son los siguientes:    I    Clave Sujeto obligado Nombre del Titular de la Unidad de Transparencia Correo electrónico Contraseña    I    12277 Laboratorios de Biológicos y Reactivos de México, S.A. de C.V. Beatriz Romero Valderrama bromerov@birmex.gob.mx    I    Ver archivo adjunto    I        I        I    Aplicación:                  HCOM    I    Tipo de Soporte:         GENERACIÓN DE CERTIFICADO Y ACTUALIZACIÓN     I    Observaciones:                I         I    Su petición fue atendida    I    " u="1"/>
        <s v="Se  testan los datos del folio: 0064101820121" u="1"/>
        <s v="Notificación de seguimiento  [  MA2311202002 ]      I         I     Estimado(a):                     Berenice Hernández    I         I     Le informamos que su ticket correspondiente a:    I                       I    solicito la afectación en base de datos de la fecha de caducidad de las solicitudes    I         I    Aplicación:                  INFOMEX OAXACA    I    Tipo de Soporte:         AJUSTE DE PLAZOS        I    Observaciones:                I         I    Su petición fue atendida    I    " u="1"/>
        <s v="Se generó certificado para usuarios de ISSFAM F1" u="1"/>
        <s v="Se agrega texto de ayuda al campo folio en buscador nacional" u="1"/>
        <s v="Cambio de tipo de solicitud en solicitud registrada en Infomex" u="1"/>
        <s v="Análisis y diseño de servicios para programación reactiva PNT (continuación)" u="1"/>
        <s v="Creación de componentes Java Script para la interacción e invocación del modal del padrón de beneficiarios." u="1"/>
        <s v="Continúan consulta general en todos los estados con adjuntos faltantes a razón de incrementar la cantidad de adjuntos recuperados." u="1"/>
        <s v="Se  testan los datos del folio: 0064101116021" u="1"/>
        <s v="Buenas tardes Martha, tu petición fue atendida, favor de validar     I        I    Saludos     I        I    Marina Adame Velasco    I        I    Notificación de seguimiento  [  MA0206202010 ]      I        I    Aplicación:                  INFOMEX NUEVO LEÓN    I    Tipo de Soporte:         AJUSTE DE PLAZOS        I    Estatus:                               Concluido.    I    " u="1"/>
        <s v="Buenas tardes Martha, tu petición fue atendida, favor de validar     I        I    Saludos     I        I    Marina Adame Velasco    I        I    Notificación de seguimiento  [  MA0607202003 ]      I        I    Aplicación:                  INFOMEX NUEVO LEÓN    I    Tipo de Soporte:         AJUSTE DE PLAZOS        I    Estatus:                               Concluido.    I    " u="1"/>
        <s v="Buenas tardes Martha, tu petición fue atendida, favor de validar     I        I    Saludos     I        I    Marina Adame Velasco    I        I    Notificación de seguimiento  [  MA0607202007 ]      I        I    Aplicación:                  INFOMEX NUEVO LEÓN    I    Tipo de Soporte:         AJUSTE DE PLAZOS        I    Estatus:                               Concluido.    I    " u="1"/>
        <s v="Buenas tardes Martha, tu petición fue atendida, favor de validar     I        I    Saludos     I        I    Marina Adame Velasco    I        I    Notificación de seguimiento  [  MA0607202008 ]      I        I    Aplicación:                  INFOMEX NUEVO LEÓN    I    Tipo de Soporte:         AJUSTE DE PLAZOS        I    Estatus:                               Concluido.    I    " u="1"/>
        <s v="Buenas tardes Martha, tu petición fue atendida, favor de validar     I        I    Saludos     I        I    Marina Adame Velasco    I        I    Notificación de seguimiento  [  MA0805202005 ]      I        I    Aplicación:                  INFOMEX NUEVO LEÓN    I    Tipo de Soporte:         AJUSTE DE PLAZOS        I    Estatus:                               Concluido.    I    " u="1"/>
        <s v="Buenas tardes Martha, tu petición fue atendida, favor de validar     I        I    Saludos     I        I    Marina Adame Velasco    I        I    Notificación de seguimiento  [  MA0807202001 ]      I        I    Aplicación:                  INFOMEX NUEVO LEÓN    I    Tipo de Soporte:         AJUSTE DE PLAZOS        I    Estatus:                               Concluido.    I    " u="1"/>
        <s v="Buenas tardes Martha, tu petición fue atendida, favor de validar     I        I    Saludos     I        I    Marina Adame Velasco    I        I    Notificación de seguimiento  [  MA0807202002 ]      I        I    Aplicación:                  INFOMEX NUEVO LEÓN    I    Tipo de Soporte:         AJUSTE DE PLAZOS        I    Estatus:                               Concluido.    I    " u="1"/>
        <s v="Buenas tardes Martha, tu petición fue atendida, favor de validar     I        I    Saludos     I        I    Marina Adame Velasco    I        I    Notificación de seguimiento  [  MA0807202004 ]      I        I    Aplicación:                  INFOMEX NUEVO LEÓN    I    Tipo de Soporte:         AJUSTE DE PLAZOS        I    Estatus:                               Concluido.    I    " u="1"/>
        <s v="Buenas tardes Martha, tu petición fue atendida, favor de validar     I        I    Saludos     I        I    Marina Adame Velasco    I        I    Notificación de seguimiento  [  MA1007202001 ]      I        I    Aplicación:                  INFOMEX NUEVO LEÓN    I    Tipo de Soporte:         Ajuste de plazos        I    Estatus:                               Concluido.    I    " u="1"/>
        <s v="Buenas tardes Martha, tu petición fue atendida, favor de validar     I        I    Saludos     I        I    Marina Adame Velasco    I        I    Notificación de seguimiento  [  MA1109202002 ]      I        I    Aplicación:                  INFOMEX NUEVO LEÓN    I    Tipo de Soporte:         AJUSTE DE PLAZOS        I    Estatus:                               Concluido.    I    " u="1"/>
        <s v="Buenas tardes Martha, tu petición fue atendida, favor de validar     I        I    Saludos     I        I    Marina Adame Velasco    I        I    Notificación de seguimiento  [  MA1109202003 ]      I        I    Aplicación:                  INFOMEX NUEVO LEÓN    I    Tipo de Soporte:         AJUSTE DE PLAZOS        I    Estatus:                               Concluido.    I    " u="1"/>
        <s v="Buenas tardes Martha, tu petición fue atendida, favor de validar     I        I    Saludos     I        I    Marina Adame Velasco    I        I    Notificación de seguimiento  [  MA1409202002 ]      I        I    Aplicación:                  INFOMEX NUEVO LEÓN     I    Tipo de Soporte:         AJUSTE DE PLAZOS       I    Estatus:                               Concluido.    I    " u="1"/>
        <s v="Buenas tardes Martha, tu petición fue atendida, favor de validar     I        I    Saludos     I        I    Marina Adame Velasco    I        I    Notificación de seguimiento  [  MA1708202004 ]      I        I    Aplicación:                  INFOMEX NUEVO LEÓN    I    Tipo de Soporte:         AJUSTE DE PLAZOS        I    Estatus:                               Concluido.    I    " u="1"/>
        <s v="Buenas tardes Martha, tu petición fue atendida, favor de validar     I        I    Saludos     I        I    Marina Adame Velasco    I        I    Notificación de seguimiento  [  MA1910202006 ]      I        I    Aplicación:                  INFOMEX NUEVO LEÓN    I    Tipo de Soporte:         AJUSTE DE PLAZOS        I    Estatus:                               Concluido.    I    " u="1"/>
        <s v="Buenas tardes Martha, tu petición fue atendida, favor de validar     I        I    Saludos     I        I    Marina Adame Velasco    I        I    Notificación de seguimiento  [  MA2004202001 ]      I        I    Aplicación:                  INFOMEX NUEVO LEÓN    I    Tipo de Soporte:         Ajuste de plazos        I    Estatus:                               Concluido.    I    " u="1"/>
        <s v="Buenas tardes Martha, tu petición fue atendida, favor de validar     I        I    Saludos     I        I    Marina Adame Velasco    I        I    Notificación de seguimiento  [  MA2105202001 ]      I        I    Aplicación:                  INFOMEX NUEVO LEÓN    I    Tipo de Soporte:         AJUSTE DE PLAZOS        I    Estatus:                               Concluido.    I    " u="1"/>
        <s v="Buenas tardes Martha, tu petición fue atendida, favor de validar     I        I    Saludos     I        I    Marina Adame Velasco    I        I    Notificación de seguimiento  [  MA2204202004 ]      I        I    Aplicación:                  INFOMEX NUEVO LEÓN    I    Tipo de Soporte:         AJUSTE DE PLAZOS        I    Estatus:                               Concluido.    I    " u="1"/>
        <s v="Buenas tardes Martha, tu petición fue atendida, favor de validar     I        I    Saludos     I        I    Marina Adame Velasco    I        I    Notificación de seguimiento  [  MA2404202004 ]      I        I    Aplicación:                  INFOMEX NUEVO LEÓN    I    Tipo de Soporte:         AJUSTE DE PLAZOS        I    Estatus:                               Concluido.    I    " u="1"/>
        <s v="Buenas tardes Martha, tu petición fue atendida, favor de validar     I        I    Saludos     I        I    Marina Adame Velasco    I        I    Notificación de seguimiento  [  MA2807202010 ]      I        I    Aplicación:                  INFOMEX NUEVO LEÓN    I    Tipo de Soporte:         Ajuste de plazos        I    Estatus:                               Concluido.    I    " u="1"/>
        <s v="Buenas tardes Martha, tu petición fue atendida, favor de validar     I        I    Saludos     I        I    Marina Adame Velasco    I        I    Notificación de seguimiento  [  MA3107202004 ]      I        I    Aplicación:                  INFOMEX NUEVO LEÓN    I    Tipo de Soporte:         Ajuste de plazos        I    Estatus:                               Concluido.    I    " u="1"/>
        <s v="Buenas tardes Martha, tu petición fue atendida, favor de validar     I        I    Saludos     I        I    Marina Adame Velasco    I        I    Notificación de seguimiento  [  MA3108202002 ]      I        I    Aplicación:                  INFOMEX NUEVO LEÓN    I    Tipo de Soporte:         AJUSTE DE PLAZOS        I    Estatus:                               Concluido.    I    " u="1"/>
        <s v="Buenas tardes Martha, tu petición fue atendida, favor de validar     I        I    Saludos     I        I    Marina Adame Velasco    I        I    Notificación de seguimiento  [  MA3108202005 ]      I        I    Aplicación:                  INFOMEX NUEVO LEÓN     I    Tipo de Soporte:         Ajuste de plazo        I    Estatus:                               Concluido.    I    " u="1"/>
        <s v="Creación de secciones y páginas para administradores" u="1"/>
        <s v="Creación de sitio - Fase 1 y 2" u="1"/>
        <s v="Se corrigió incidencia en SISITUR" u="1"/>
        <s v="Notificación de seguimiento  [  MA1201202114 ]      I         I         I    Estimado(a):                     Pedro Esquivel Martínez    I         I         I    Le informamos que su ticket correspondiente a:    I                       I    Inclusive de ser posible sean asignados de igual manera en HCOM    I         I    Aplicación:                  HCOM    I    Tipo de Soporte:         ACTUALIZACIÓN DE CERTIFICADOS ( 3)       I    " u="1"/>
        <s v="Notificación de seguimiento  [  MA2502202106 ]      I         I         I    Estimado(a):                     EDGAR MICHEL LOAEZA MARTÍNEZ     I         I         I    Le informamos que su ticket correspondiente a:    I                       I    Por medio del presente solicito su valioso apoyo a efecto de realizar la renovación de certificado del sujeto obligado indirecto de la Oficina de la Presidencia de la República en el hcom.    I         I    Aplicación:                  HCOM    I    Tipo de Soporte:         CAMBIO TUT       I    " u="1"/>
        <s v="Notificación de seguimiento  [  MA1002202004 ]      I         I         I    Estimado(a):                     Cristian Hernández Ramírez    I         I    Le informamos que su ticket correspondiente a:    I                       I    Solicito tu amable apoyo para poder regresar los pasos del recurso de revisión RRA 15975/19 en la Plataforma Nacional de Transparencia, dado que por un error de un servidor, se subió una versión final del recurso cuando todavía no estaba aprobado.    I        I         I    Aplicación:                  SIGEMI    I    Tipo de Soporte:         REGRESO DE PASOS      I    Observaciones:                I         I    Su petición fue atendida    I    " u="1"/>
        <s v="Notificación de seguimiento  [  MA1207202114 ]    I        I    Estimado(a):                Alondra Jiménez Hernández    I        I         I     Le informamos que su ticket correspondiente a: Se solicita la actualización de los certificados, por motivo del cambio de Titular de la Unidad de Transparencia, de los siguientes sujetos obligados, esto para que sean actualizados y se habilite el acceso en la Herramienta de Comunicación de cada uno.    I        I                       I        I         I    Aplicación:                  HCOM    I    Tipo de Soporte:         CAMBIO DE TUT ( 2 )       I    Observaciones:                I         I    Su petición fue atendida    I    " u="1"/>
        <s v="Notificación de seguimiento  [  MA1308202104 ]    I        I    Estimado(a):                Edgar Michel Loaeza Martínez    I        I         I     Le informamos que su ticket correspondiente a:    I                       I    Estimados Solicito su apoyo para reestablecer la contraseña del sistema hcom.    I        I    Al respecto el sujeto obligado informa que no tienen acceso al sistema después de que la reestablecieron y no ha recibido correo alguno que indique cual es la nueva.    I         I    Aplicación:                  HCOM    I    Tipo de Soporte:         CAMBIO DE CONTRASEÑA      I    Observaciones:                I         I    Su petición fue atendida    I    " u="1"/>
        <s v="Notificación de seguimiento  [  MA2008202003 ]      I         I         I    Estimado(a):                     Moisés Guzmán Arias    I         I    Le informamos que su ticket correspondiente a:    I                       I    cambio de un cambio de nombre del recurrente de un recurso en el SICOM, me indican lo siguiente:    I         I    Número de recurso: RR-272/2020    I    El nombre actualmente dice: José Noé Linares Nolasco    I    DEBE DECIR: Ángel Linares Nolasco    I        I         I    Aplicación:                  SIGEMI    I    Tipo de Soporte:         MODIFICACIÓN DE DATOS       I    Observaciones:                I         I    Su petición fue atendida    I    " u="1"/>
        <s v="Se agregaron dos secciones (Congreso Abierto y Justicia abierta) al sitio de Gobierno abierto y se agregaron las opciones al menu principal" u="1"/>
        <s v="Actualizar la contraseña de usuario solicitante" u="1"/>
        <s v="Ocultar/Mostrar Resolución Pública." u="1"/>
        <s v="Buenas tardes Joel, tu petición fue atendida, favor de validar     I        I    Saludos     I        I    Marina Adame Velasco    I        I    Notificación de seguimiento  [  MA1006202004 ]      I        I    Aplicación:                  INFOMEX COLIMA    I    Tipo de Soporte:         AJUSTE DE PLAZOS       I    Estatus:                               Concluido.    I    " u="1"/>
        <s v="Buenas tardes Joel, tu petición fue atendida, favor de validar     I        I    Saludos     I        I    Marina Adame Velasco    I        I    Notificación de seguimiento  [  MA2404202001 ]      I        I    Aplicación:                  INFOMEX COLIMA    I    Tipo de Soporte:         AJUSTE DE PLAZOS       I    Estatus:                               Concluido.    I    " u="1"/>
        <s v="Buenas tardes Joel, tu petición fue atendida, favor de validar     I        I    Saludos     I        I    Marina Adame Velasco    I        I    Notificación de seguimiento  [  MA2404202002 ]      I        I    Aplicación:                  INFOMEX COLIMA    I    Tipo de Soporte:         AJUSTE DE PLAZOS       I    Estatus:                               Concluido.    I    " u="1"/>
        <s v="Buenas tardes Joel, tu petición fue atendida, favor de validar     I        I    Saludos     I        I    Marina Adame Velasco    I        I    Notificación de seguimiento  [  MA2801202007 ]      I        I    Aplicación:                  INFOMEX COLIMA    I    Tipo de Soporte:         AJUSTE DE PLAZOS       I    Estatus:                               Concluido.    I    " u="1"/>
        <s v="Subir cambios a servidor y configurar server de desarrollo paramod_rewrite" u="1"/>
        <s v="Se retoma la tarea para la automatización del proceso de generación de registros Inserts del Excel (SISAI_catalogos_TareaXEdos.xlsx) Validación del contenido proporcionado en el EXCEL vs Lo contenido en la Base de Datos.    I    Validación de la generación de scripts para la inserción de datos en las tablas de trabajo." u="1"/>
        <s v="Respaldar Curso 2 de Aliados INAI  de la plataforma anterior y restaurar en plataforma actual " u="1"/>
        <s v="Se testan los datos  del folio:0064101444521" u="1"/>
        <s v="Se ajusta el plazo de la solicitud: 0610000055220" u="1"/>
        <s v="Se elimina la respuesta del folio:  1011100024721" u="1"/>
        <s v="Notificación de seguimiento  [  MA1911202004 ]      I         I         I    Estimado(a):                     Berenice Hernández    I        I        I    Le informamos que su ticket correspondiente a:    I                       I    por este medio solicito la afectación en base de datos de la fecha de caducidad de las solicitudes, toda vez que el Consejo General del IAIPO aprobó TÉRMINO DE SUSPENSIÓN DE PLAZOS DE LOS PROCEDIMIENTOS CUYO CONTENIDO ESTÉ RELACIONADO A LOS TEMAS COVID-19 (01/05/2020), SISMO DEL 23 DE JUNIO Y PROGRAMAS SOCIALES DERIVADOS DE LA EMERGENCIA SANITARIA (30/06/2020), PROCEDIMIENTOS DE ADJUDICACIÓN DIRECTA, INVITACIÓN RESTRINGIDA Y LICITACIÓN DE CUALQUIER NATURALEZA (28/08/2020).    I         I    Aplicación:                  INFOMEX OAXACA    I    Tipo de Soporte:         AJUSTE DE PLAZOS        I    Observaciones:                I         I    Su petición fue atendida    I         I    " u="1"/>
        <s v="Notificación de seguimiento  [  MA1711202004 ]      I         I         I    Estimado(a):                     Berenice Hernández Sumano    I         I         I    Le informamos que su ticket correspondiente a:    I                       I    Por este medio solicito el cambio de los acuses utilizados para generar el comprobante de solicitud de Acceso a la Información y Datos Personales en el sistema Infomex Oaxaca. adjunto a este correo encontrará el formato .xml de cada uno ellos.    I        I         I    Aplicación:                  INFOMEX OAXACA    I    Tipo de Soporte:         CAMBIO DE FORMATOS XML      I    Observaciones:                I         I    Su petición fue atendida    I    " u="1"/>
        <s v="Notificación de seguimiento  [  MA1802202012 ]      I         I         I    Estimado(a):                     Rosalinda Coria Mosqueda    I         I    Le informamos que su ticket correspondiente a:    I                       I    Agradeceré su apoyo para cancelar la actividad en el Recurso RRA 01550/20 en contra de Comisión Federal de Electricidad, toda vez que se encuentra duplicado.    I        I    Cabe mencionar que ya se trabajó en uno de ellos y se trata de  un desechamiento.    I        I         I    Aplicación:                  SIGEMI    I    Tipo de Soporte:         cancelar actividad duplicada      I    Observaciones:                I         I    Su petición fue atendida    I    " u="1"/>
        <s v="Notificación de seguimiento  [  MA1908202201 ]    I        I        I    Estimado(a):               Ricardo González Cano    I     Le informamos que su ticket correspondiente a:    I    Se corrobora el dato con el sujeto obligado y el titular de la UT es Joel Munguía Vázquez. Favor de generar los accesos para el sujeto con ese nombre.    I        I    Aplicación:                  HCOM    I    Tipo de Soporte:        GENERAR CERTIFICADO Y ACTUALIZACIÓN EN HCOM " u="1"/>
        <s v="Notificación de seguimiento  [  MA1808202201 ]    I        I    Estimado(a):               Alondra Jiménez Hernández    I        I     Le informamos que su ticket correspondiente a:    I    … sea generado un certificado a nombre del TUT para cada sujeto obligado enlistado, y que con el mismo sea habilitado en la HCOM. Los datos son los siguientes…    I    Aplicación:                  HCOM    I    Tipo de Soporte:  GENERACIÓN DE CERTIFICADOS Y CAMBIO DE TUT  ( 2) " u="1"/>
        <s v="Generación de script para el reconocimiento de caracteres" u="1"/>
        <s v="Cambios para apuntar a Oaxaca" u="1"/>
        <s v="Se aplica cambio de modalidad a las solicitudes: 0000500026820" u="1"/>
        <s v="Ejecución de OT 2 Campus Privada" u="1"/>
        <s v="Se revisa la lsita de reportes de PRODATOS, se revisa que estén ejecutándose correctamente y se envía listado para revisión de la DGTI" u="1"/>
        <s v="Se hacen flujos completos de la parte de reportes, se verifica su funcionamiento haciendo flujos de todo el modulo." u="1"/>
        <s v="Se sustituye archivo adjunto del folio: 0064100448620." u="1"/>
        <s v="Se aplica la carga de pagos del mes de diciembre del 2019." u="1"/>
        <s v="Notificación de seguimiento  [  MA0402202009 ]      I         I         I    Estimado(a):                     Omar Antonio Méndez Mendoza    I         I    Le informamos que su ticket correspondiente a:    I                       I    Me permito solicitar tu valioso apoyo, a efecto de eliminar el comunicado realizado por HCOM, con los folios siguientes: IFAI-REQ-000255-2020 y IFAI-REQ-000255-2020-A    I        I    Lo anterior, toda vez que por un error involuntario se envió un documento que no correspondía.    I        I        I         I    Aplicación:                  HCOM    I    Tipo de Soporte:         Eliminar comunicados       I    " u="1"/>
        <s v="Notificación de seguimiento  [  MA2905202003 ]      I         I         I    Estimado(a):                     Pedro Esquivel Martínez    I         I    Le informamos que su ticket correspondiente a:    I                       I    Antes que nada recibe un cordial saludo, por otra parte solicito tu valioso apoyo con unos RRA que se anexan en documento en excel ya que la U.T no puede visualizar dichos recursos    I         I    Aplicación:                  SIGEMI    I    Tipo de Soporte:         REVISIÓN DE ESTATUS       I    Observaciones:                I         I    Te comento que de la revisión realizada, los recursos enlistados se encuentran en evaluación por DGCR, esta dirección les puede solicitar la información a través de SICOM.    I        I    " u="1"/>
        <s v="Cambio en adjuntar archivos, se actualiza plugin para adjuntar archivos para android" u="1"/>
        <s v="Se aplica el testado de datos de la solicitud: 1117100230619" u="1"/>
        <s v="Se  testan los datos del folio: 0064101915121" u="1"/>
        <s v="Se aplica testado de datos al folios: 0064100611920." u="1"/>
        <s v="Se actualiza contador del Sujeto Obligado MOVIMIENTO CIUDADANO " u="1"/>
        <s v="Notificación de seguimiento  [  MA1304202103 ]      I         I         I    Estimado(a):                     Betzabé Flores Terán    I         I         I    Le informamos que su ticket correspondiente a:    I                       I    realizar la modificación en la herramienta de comunicación del .cer que se adjunta, toda vez que hubo un cambio en el Titular de la Unidad de Transparencia.    I         I    Aplicación:                  HCOM    I    Tipo de Soporte:         CAMBIO TUT       I    Observaciones:                I         I    Su petición fue atendida    I    " u="1"/>
        <s v="Notificación de seguimiento  [  MA2901202105 ]      I         I         I    Estimado(a):      Moisés Guzmán Arias                   I         I         I    Le informamos que su ticket correspondiente a:    I                       I    consulta que me permita recuperar solicitudes de un periodo de tiempo en el cual yo defina si quiero que sean las de datos o de derechos arco.    I        I         I    Aplicación:                  INFOMEX PUEBLA    I    Tipo de Soporte:         SCRIPT       I    Observaciones:                I         I    Su petición fue atendida    I    " u="1"/>
        <s v="Instalación Campus Civil en ambiente local Windows" u="1"/>
        <s v="Se aplica el testado de datos de la solicitud: 0064100163120" u="1"/>
        <s v="Se  testan los datos del folio: 0000600263221" u="1"/>
        <s v="Notificación de seguimiento  [  MA0904202109 ]      I         I         I    Estimado(a):                     Yenifer Sthephanie Martínez Rivera    I         I         I    Le informamos que su ticket correspondiente a:    I                       I    Solicito tu amable intervención para que el expediente electrónico RRD 00966/20 SEPOMEX en la Plataforma Nacional de Transparencia para que se regrese el paso “Evaluación de Cumplimiento”, con la finalidad de estar en posibilidad de evaluar el cumplimiento.     I         I    Aplicación:                  SIGEMI    I    Tipo de Soporte:         REGRESO DE PASOS        I    " u="1"/>
        <s v="Notificación de seguimiento  [  MA1301202103 ]      I         I         I    Estimado(a):                     Martha Rubí Zaragoza Mora    I         I         I    Le informamos que su ticket correspondiente a:    I                       I    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    I         I    Aplicación:                  INFOMEX NL    I    Tipo de Soporte:         AJUSTE DE PLAZOS       I    Observaciones:                I         I    Su petición fue atendida    I    " u="1"/>
        <s v="Se elimina la respuesta del folio:  1201000000221" u="1"/>
        <s v="Se generó certificado para usuario de dependencia Sindicato Único de Trabajadores del Instituto Mexicano de la Propiedad Industrial " u="1"/>
        <s v="Se aplica eliminación de última respuesta de la solicitud: 0000600067120." u="1"/>
        <s v="Se testan datos y sustituye el archivo adjunto de la solicitud con folio 1816400187021" u="1"/>
        <s v="Evaluación etiquetas - solicitudes" u="1"/>
        <s v="Se realiza el proceso de búsqueda de adjuntos en los infomex estatales consultando folio a folio,  tratando de ubicar los faltantes de recuperar. Consulta y procesos del Estado de  Guanajuato, donde se lograron recuperar 760 adjuntos de 767. También se identificaron casos recuperables del Estado de Sonora, se consulta e inicia el análisis de recuperación." u="1"/>
        <s v="Se cambia el tipo de solicitud del folio: 0063700151221" u="1"/>
        <s v="Estimada Berenice, envío el dato solicitado…    I        I    folio CORREO    I    104921 g-ramirez@outloock.com    I        I        I    Saludos    I        I    Marina    I    Estimada Berenice, envío el dato solicitado…    I        I    folio CORREO    I    104921 g-ramirez@outloock.com    I        I        I    Saludos    I        I    Marina    I    " u="1"/>
        <s v="Notificación de seguimiento  [  MA0306202112 ]    I        I        I    Estimado(a):                Edwin Robles Hernández    I        I         I     Le informamos que su ticket correspondiente a:    I                       I    Por este medio solicito de su valioso apoyo para poder aplicar las afectaciones a las fechas de notificación a la resolución y los acuses al sujeto obligado y recurrente respectivos señaladas en la tabla siguiente del expediente R.R.A.I 0469/2020/SICOM. Toda vez que el Consejo General aprobará mediante Acuerdo ACDO/CG/IAIP/021/2020…    I         I    Aplicación:                  SIGEMI    I    Tipo de Soporte:         ACTUALIZAR FECHAS      I    Observaciones:                I         I    Su petición fue atendida    I    " u="1"/>
        <s v="Notificación de seguimiento  [  MA0312202001 ]      I          I    Estimado(a):                     Edgar Michel Loaeza Martínez    I          I    Le informamos que su ticket correspondiente a:    I                       I    Por medio del presente, solicito su apoyo para hacer el cambio de contraseña en el sistema hcom, del siguiente sujeto obligado que pertenece a la Secretaría de Educación Pública:    I        I    - FONDO DE RETIRO DE LOS TRABAJADORES DE LA SEP (FORTE)    I        I    Al respecto, se solicita que la contraseña sea la siguiente: hcomsep2020    I         I    Aplicación:                  HCOM    I    Tipo de Soporte:         CAMBIO CONTRASEÑA    I    Observaciones:                I         I    Su petición fue atendida    I    " u="1"/>
        <s v="Notificación de seguimiento  [  MA1003202008 ]      I         I         I    Estimado(a):                      Janet Ana Silvia Juárez Espinosa    I         I    Le informamos que su ticket correspondiente a:    I                       I    registrar en la Plataforma Nacional de Transparencia un domicilio diverso al señalado inicialmente por el particular para realizar las notificaciones correspondientes al expediente RRD 0337/20, toda vez que el recurrente señaló, mediante escrito libre,  un nuevo correo electrónico, tal como se muestra a continuación…    I         I    Aplicación:                  SIGEMI    I    Tipo de Soporte:         CAMBIO DE MEDIO Y CORREO     I    Observaciones:                I         I    Su petición fue atendida    I    " u="1"/>
        <s v="Notificación de seguimiento  [  MA1210202006 ]      I         I         I    Estimado(a):                     Mario Alberto Sánchez Cedeño    I         I    Le informamos que su ticket correspondiente a:    I                       I    Hola muy buenas tardes, me permito solicitar su valioso apoyo para que en el Recurso de Revisión RRD 01294/20 se cambie el medio de notificación a la parte solicitante, de sistema de gestión de medios de impugnación al de correo electrónico siendo el señalado por la parte recurrente el siguiente angy.ramirez.escamilla2@gmail.com    I         I    Aplicación:                  SIGEMI    I    Tipo de Soporte:         CAMBIO DE MEDIO       I    Observaciones:                I         I    Su petición fue atendida    I    " u="1"/>
        <s v="Notificación de seguimiento  [  MA1706202010 ]      I         I         I    Estimado(a):                     Laura Mónica Segovia Téllez    I         I    Le informamos que su ticket correspondiente a:    I                       I    Solicito su amable apoyo a fin de que sea cambiado el medio de notificación de domicilio físico a correo electrónico, ya que inicialmente el particular en la interposición del recurso proporcionó un correo electrónico y este también corresponde a la comunicación inicial.    I        I    El correo es grlidia@hotmail.com     I         I    Aplicación:                  SIGEMI    I    Tipo de Soporte:         CAMBIO DE MEDIO Y CORREO       I    Observaciones:                I         I    Su petición fue atendida    I    " u="1"/>
        <s v="Notificación de seguimiento  [  MA2403202001 ]      I         I         I    Estimado(a):                     Rosalinda Coria Mosqueda    I         I    Le informamos que su ticket correspondiente a:    I                       I    Agradeceré agregar como archivo adjunto el correo electrónico que se anexa en el recurso RRA 02420/20 interpuesto en contra de la CNDH, el cual se encuentra en la carpeta electrónica de los recursos asignados a la Comisionada Blanca Lilia Ibarra Cadena, en virtud de que se advirtió que no se encuentra cargado.    I        I         I    Aplicación:                  SIGEMI    I    Tipo de Soporte:         Actualizar archivo de recurso       I    Observaciones:                I         I    Su petición fue atendida    I    " u="1"/>
        <s v="entidad federativa" u="1"/>
        <s v="Se aplica el testado de datos de la solicitud: 1117100231619" u="1"/>
        <s v="Integracion de Service Builder Token (Sql), Integración de Consulta para validar usuario token existente" u="1"/>
        <s v="Se habilita el usuario y baja." u="1"/>
        <s v="Notificación de seguimiento  [  MA0107202006 ]      I         I         I    Estimado(a):                     Ricardo Marin González    I         I    Le informamos que su ticket correspondiente a:    I                       I    “EN ESTE MISMO SENTIDO, COMUNICARLES QUE SE HA CONFIGURADO EL CALENDARIO DEL SIGEMI-SICOM CON LOS DÍAS QUE EL PLENO ESTABLECIÓ EN EL ACUERDO REFERIDO, PARA QUE SE PROCEDA A REALIZAR LOS AJUSTES CORRESPONDIENTES POR SU PARTE.  DE IGUAL MANERA QUE EL CALENDARIO DE DÍAS INHÁBILES DEL SISTEMA INFOMEX QUINTANA ROO, HA SIDO CONFIGURADO CON ESTAS CONSIDERACIONES. CABE ACLARAR QUE TAMBIÉN SE APLICÓ EL PERÍODO VACIONAL DEL ÓRGANO GARÁNTE QUE SERÁ DEL 20 AL 31 DE JULIO, PARA SER CONSIDERADO EN SU CASO.    I    ”    I        I         I    Aplicación:                  SIGEMI    I    Tipo de Soporte:         revisión de fechas      I    " u="1"/>
        <s v="Flujo historial quejas saimex    I    Descarga de adjunto de la queja    I    Descarga de archivo historial de la queja    I    Descarga de archivo seguimiento de la queja    I    Mensaje de respuesta para cuando no hay quejas general    I    Flujo de precarga de datos para alta de quejas saimex    I    Flujo de respuesta para seguimiento queja saimex" u="1"/>
        <s v="Integracion de campo homoclave en captura de Declaración de Conflicto de intereses" u="1"/>
        <s v="Notificación de seguimiento  [  MA0710202003 ]      I         I         I    Estimado(a):                     Edgar Michel Loaeza Martínez    I         I    Le informamos que su ticket correspondiente a:    I                       I    Estimados, solicito su apoyo para dar de alta el certificado que se adjunta, sujeto obligado de la Secretaria de Economía.    I        I    Clave Dependencia/entidad Titular de la unidad de transparencia actual    I    10006 SE-Fideicomiso de Microcréditos para el Bienestar Jorge Luis Silva Mendez    I        I         I    Aplicación:                  HCOM    I    Tipo de Soporte:         ACTUALIZACIÓN DE CERTIFICADO       I    Observaciones:                I         I    Su petición fue atendida, se realizó la actualización del certificado y contraseña enviados    I    " u="1"/>
        <s v="Se cambia el tipo de solicitud del folio: 0063700151321" u="1"/>
        <s v="Se sustituye archivo adjunto del folio: 0064102965420" u="1"/>
        <s v="Notificación de seguimiento  [  MA0708202006 ]      I         I         I    Estimado(a):                     Alondra Jiménez Hernández    I         I    Le informamos que su ticket correspondiente a:    I                       I         I    Anexo el registro actualizado del certificado del nuevo Titular de la Unidad de Transparencia de API VALLARTA para que se habilite su acceso en la Herramienta de Comunicación.     I        I         I    Aplicación:                  HCOM     I    Tipo de Soporte:         CAMBIO DE TUT       I    Observaciones:                I         I    Su petición fue atendida    I    " u="1"/>
        <s v="Notificación de seguimiento  [  MA2105202108 ]      I         I         I    Estimado(a):                     Pedro Esquivel Martínez    I         I         I    Le informamos que su ticket correspondiente a:    I                       I    actualización del certificado, al haber un cambio de Titular del siguiente cuadro descriptivo; inclusive actualizando los datos del sujeto obligado alopezm@institutomora.edu.mx en el HCOM.    I         I    Aplicación:                  HCOM    I    Tipo de Soporte:         CAMBIO TUT   (2)    I    Observaciones:                I         I    Su petición fue atendida    I    " u="1"/>
        <s v="Se realiza el proceso de búsqueda de adjuntos en los infomex estatales consultando folio a folio,  tratando de ubicar los faltantes de recuperar.    I    Estados de ( Querétaro, Quintana Roo, San Luis Potosí, Sinaloa, Tabasco, Tamaulipas, Tlaxcala y Baja California Sur.)" u="1"/>
        <s v="Testado de datos y sustituir archivo adjunto  del folio: 1816400119521 " u="1"/>
        <s v="Busqueda y muestra de resultados para la pantalla de Recepción de Solicitudes de Subenlace de UT" u="1"/>
        <s v="Construcción de output muestra" u="1"/>
        <s v="Reunion de generadores y Buscadores" u="1"/>
        <s v="Notificación de seguimiento  [  MA2406202005 ]      I         I         I    Estimado(a):                     Pedro Esquivel Martínez    I         I    Le informamos que su ticket correspondiente a:    I                       I    solicitando tu valioso apoyo, con el cambio de certificado en HCOM, en relación al siguiente: (se adjunta certificado)    I        I         I    clave SIGLAS Sujeto Obligado Titular de la U.T. Certificado a Crear Claves    I    22300 MORENA Morena Fabiola Margarita López Moncayo     22300.Fabiola Margarita López Moncayo sisi22300    I    hcom22300    I        I         I    Aplicación:                  HCOM    I    Tipo de Soporte:         CAMBIO DE TUT      I    Observaciones:                I         I    Su petición fue atendida    I    " u="1"/>
        <s v="RV: Oaxaca URGENTE: Ajuste de plazos de vencimiento por COVID-19 hasta el 10-05-2020" u="1"/>
        <s v="Generar certificado para usuario de Administración Portuaria Integral de Puerto Madero, S.A. de C.V." u="1"/>
        <s v="Sesión de acompañamiento para compilación de código iOS y Android con redes sociales" u="1"/>
        <s v="Se aplica eliminación de formato de pago: 0410000016420" u="1"/>
        <s v="Validación de acceso a la información sobre los JSON compartidos para SISAI, SIPOT y SIGEI-SICOM" u="1"/>
        <s v="creacion de la lógica del componente domicilio" u="1"/>
        <s v="Modificación mockups línea acción, Objetivos Pizarras 4 de acuerdo con la junta de análisis proceso pizarras 4" u="1"/>
        <s v="Notificación de seguimiento  [  MA2308202111 ]    I        I    Estimado(a):                Berenice Hernández Sumano    I        I         I     Le informamos que su ticket correspondiente a:    I                       I    Por este medio solicito su ayuda para visualizar correctamente en el Sistema Infomex Oaxaca los archivos adjuntos cargados por el solicitante, debido a que el nombre del archivo integra acentos el aplicativo no puede recuperar la ruta de acceso al documento y genera un error de lectura, impidiendo que la Unidad de transparencia de atención a la solicitud…    I        I         I    Aplicación:                  INFOMEX OAXACA    I    Tipo de Soporte:         CORRECCIÒN DE ACUSES       I    Observaciones:                I         I    Su petición fue atendida    I    " u="1"/>
        <s v="Notificación de seguimiento  [  MA2807202011 ]      I         I         I    Estimado(a):                     Sergio Rafael Cortés Alpizar    I         I    Le informamos que su ticket correspondiente a:    I                       I        I    Por medio del presente, solicito el regreso de actividad a &quot; Admitir / Prevenir / Desechar&quot; y se eliminen las notificaciones de admisión del siguiente recurso de revisión:    I         I    RRA 7501/20 vs COFEPRIS    I         I    Lo anterior se debe a que por un error involuntario se anexo un archivo mal y se enviara de nuevo el acuerdo correcto.    I        I         I    Aplicación:                  SIGEMI    I    Tipo de Soporte:         REGRESO DE PASOS      I    Observaciones:                I         I    Su petición fue atendida    I    " u="1"/>
        <s v="programa" u="1"/>
        <s v="Maquetación pantalla editar usuario y creación modal cambio de contraseña proyecto PNT v4" u="1"/>
        <s v="Notificación de seguimiento  [  MA1211202002 ]      I          I    Estimado(a):                     LAURA SEGOVIA    I         I     Le informamos que su ticket correspondiente a:    I                       I    Solicito su amable apoyo para que sea cambiado el medio de notificación del RRD 01531/20 y RRD 01536/20  de portal a correo electrónico bufeteenriqueostos@yahoo.com, ya que en su escrito libre expone que quiere ser notificado por correo electrónico    I         I    Aplicación:                  SIGEMI    I    Tipo de Soporte:         CAMBIO DE MEDIO ( 2)    I    Observaciones:                I         I    Su petición fue atendida    I    " u="1"/>
        <s v="Cuentas de correo electrónico para pruebas de cambio de contraseña" u="1"/>
        <s v="Se  testan los datos del folio: 0064101996121" u="1"/>
        <s v="Buenas tardes Berenice, tu petición fue atendida, favor de validar     I        I    Saludos     I        I    Marina Adame Velasco    I        I    Notificación de seguimiento  [  MA0505202004 ]      I        I    Aplicación:                  INFOMEX OAXACA    I    Tipo de Soporte:         AJUSTE DE PLAZOS       I    Estatus:                               Concluido.    I    " u="1"/>
        <s v="Buenas tardes Berenice, tu petición fue atendida, favor de validar     I        I    Saludos     I        I    Marina Adame Velasco    I        I    Notificación de seguimiento  [  MA0607202006 ]      I        I    Aplicación:                  INFOMEX OAXACA    I    Tipo de Soporte:         AJUSTE DE PLAZOS       I    Estatus:                               Concluido.    I    " u="1"/>
        <s v="Buenas tardes Berenice, tu petición fue atendida, favor de validar     I        I    Saludos     I        I    Marina Adame Velasco    I        I    Notificación de seguimiento  [  MA0806202004 ]      I        I    Aplicación:                  INFOMEX OAXACA    I    Tipo de Soporte:         AJUSTE DE PLAZOS       I    Estatus:                               Concluido.    I    " u="1"/>
        <s v="Buenas tardes Berenice, tu petición fue atendida, favor de validar     I        I    Saludos     I        I    Marina Adame Velasco    I        I    Notificación de seguimiento  [  MA0809202003 ]      I        I    Aplicación:                  INFOMEX OAXACA    I    Tipo de Soporte:         AJUSTE DE PLAZOS       I    Estatus:                               Concluido.    I    " u="1"/>
        <s v="Buenas tardes Berenice, tu petición fue atendida, favor de validar     I        I    Saludos     I        I    Marina Adame Velasco    I        I    Notificación de seguimiento  [  MA1206202001 ]      I        I    Aplicación:                  INFOMEX OAXACA    I    Tipo de Soporte:         AJUSTE DE PLAZOS       I    Estatus:                               Concluido.    I    " u="1"/>
        <s v="Buenas tardes Berenice, tu petición fue atendida, favor de validar     I        I    Saludos     I        I    Marina Adame Velasco    I        I    Notificación de seguimiento  [  MA1905202001 ]      I        I    Aplicación:                  INFOMEX OAXACA     I    Tipo de Soporte:         AJUSTE DE PLAZO       I    Estatus:                               Concluido.    I    " u="1"/>
        <s v="Buenas tardes Berenice, tu petición fue atendida, favor de validar     I        I    Saludos     I        I    Marina Adame Velasco    I        I    Notificación de seguimiento  [  MA2104202004 ]      I        I    Aplicación:                  INFOMEX OAXACA    I    Tipo de Soporte:         AJUSTE DE PLAZOS       I    Estatus:                               Concluido.    I    " u="1"/>
        <s v="Buenas tardes Berenice, tu petición fue atendida, favor de validar     I        I    Saludos     I        I    Marina Adame Velasco    I        I    Notificación de seguimiento  [  MA2205202002 ]      I        I    Aplicación:                  INFOMEX OAXACA    I    Tipo de Soporte:         AJUSTE DE PLAZOS       I    Estatus:                               Concluido.    I    " u="1"/>
        <s v="Buenas tardes Berenice, tu petición fue atendida, favor de validar     I        I    Saludos     I        I    Marina Adame Velasco    I        I    Notificación de seguimiento  [  MA2207202002 ]      I        I    Aplicación:                  INFOMEX OAXACA    I    Tipo de Soporte:         AJUSTE DE PLAZOS       I    Estatus:                               Concluido.    I    " u="1"/>
        <s v="Buenas tardes Berenice, tu petición fue atendida, favor de validar     I        I    Saludos     I        I    Marina Adame Velasco    I        I    Notificación de seguimiento  [  MA2602202003 ]      I        I    Aplicación:                  INFOMEX OAXACA    I    Tipo de Soporte:         CAMBIO DE PLAZOS       I    Estatus:                               Concluido.    I    " u="1"/>
        <s v="Conferencia con CDMX" u="1"/>
        <s v="Notificación de seguimiento  [  MA1304202201 ]    I        I    Estimado(a):                Edgar Michel Loaeza Martínez    I        I         I     Le informamos que su ticket correspondiente a:    I                       I    Por medio del presente solicito su valioso apoyo a efecto de realizar el cambio de certificado del sujeto obligado indirecto de la Secretaría de Hacienda y Crédito Público en el sistema HCOM.    I        I    Para tal efecto, anexo los certificados y base de datos, lo anterior, a fin de que sus accesos sean habilitados.      I        I    Clave Sujeto obligado Titular de la Unidad de Transparencia    I    06052 SHCP-Agencia Nacional de Aduanas de México (ANAM) Juan Carlos Reyes Ballesteros    I        I         I    Aplicación:                  HCOM    I    Tipo de Soporte:         ACTUALIZACIÓN DE TUT     I    Observaciones:                I         I    Su petición fue atendida    I         I         I        I                 Favor de validar.    I         I    Estatus:                               Concluido    I        I    " u="1"/>
        <s v="    I    Notificación de seguimiento  [  MA0503202001 ]      I         I         I    Estimado(a):                     Laura Mónica Segovia Téllez    I         I    Le informamos que su ticket correspondiente a:    I                       I        I    Solcito su amable apoyo a fin de que sea regresado el paso a preparación del proyecto del RRA 01507/20 ya que se adjuntó mal un documentos    I        I        I         I    Aplicación:                  SIGEMI    I    Tipo de Soporte:         REGRESO DE PASOS      I    Observaciones:                I         I    Su petición fue atendida    I    " u="1"/>
        <s v="Revision de accesos " u="1"/>
        <s v="Se  testan los datos del folio:0064101564421" u="1"/>
        <s v="Actualización de certificados vencidos a un plazo extra" u="1"/>
        <s v="    I    Notificación de seguimiento  [  MA0912202001 ]      I         I         I    Estimado(a):                     Luis Javier Mendoza Rueda    I         I         I    Le informamos que su ticket correspondiente a:    I                       I    Solicito tu apoyo en el sistema SIGEMI para que sea eliminado de la bandeja de &quot;Turnado de medios de impugnación&quot; el folio: 0106500182320 a nombre de FERMIN SANTOS URQUIZA. Lo anterior se debe a un error de captura en el medio de impugnación.     I        I         I    Aplicación:                  IMPUGNACIONES    I    Tipo de Soporte:         ELIMINAR REGISTRO       I    Observaciones:                I         I    Su petición fue atendida    I         I    " u="1"/>
        <s v="Se cambia el tipo de solicitud del folio: 0001100125221 " u="1"/>
        <s v="Se aplica sustitución de archivo al folio: 1507500007920." u="1"/>
        <s v="Se  testan los datos de la solicitud con folio 0000700148221    I    " u="1"/>
        <s v="    I    Notificación de seguimiento  [  MA0110202007 ]      I         I         I    Estimado(a):                     Laura Mónica Segovia Tellez    I         I    Le informamos que su ticket correspondiente a:    I                       I    Solicito su amable apoyo, para regresar el paso del RRD 0836/20 a registrar si la prevención fue desahogada derivado de que se escribió de manera incorrecta el desechamiento    I         I    Aplicación:                  SIGEMI    I    Tipo de Soporte:         REGRESO DE PASOS      I    Observaciones:                I         I    Su petición fue atendida    I         I    " u="1"/>
        <s v="Generación de script para descarga de datos SISAI" u="1"/>
        <s v="Se testan datos del folio: 0064102369321" u="1"/>
        <s v="    I    Notificación de seguimiento  [  MA2311202003 ]      I         I         I    Estimado(a):                  Alma Lizbeth Peguero Rivera       I         I         I    Le informamos que su ticket correspondiente a:    I                       I    retroceder los pasos en el sistema SIGEMI-SICOM en la PNT del siguiente asunto RRA 05270/20 BLIC del pleno 18-11-20, hasta la actividad “Registrar información de la sesión del pleno”    I        I         I    Aplicación:                  SIGEMI    I    Tipo de Soporte:         REGRESO DE PASOS        I    Observaciones:                I         I    Su petición fue atendida    I    " u="1"/>
        <s v="Se  testan los datos del folio: 0064102011521" u="1"/>
        <s v="Se testan los datos de la solicitud con folio: 006410168021" u="1"/>
        <s v="Se generan 1 certificados para la dependencia: 17110,Instituto Nacional de Ciencias Penales." u="1"/>
        <s v="Se elimina la respuesta del folio: 0064100563721" u="1"/>
        <s v="Se aplica la carga del mes de NOVIEMBRE del 2019." u="1"/>
        <s v="    I    Notificación de seguimiento  [  MA1507202002 ]      I         I         I    Estimado(a):                     Betzabé Flores Terán    I         I    Le informamos que su ticket correspondiente a:    I                       I    Solicito su apoyo para realizar la modificación en la herramienta de comunicación del .cer que se adjunta, toda vez que hubo un cambio en el Titular de la Unidad de Transparencia.    I        I         I    Aplicación:                  HCOM    I    Tipo de Soporte:         CAMBIO DE TUT      I    Observaciones:                I         I    Su petición fue atendida    I         I    " u="1"/>
        <s v="Se agrega configuracion adicional para descargar archivos via https" u="1"/>
        <s v="Notificación de seguimiento  [  MA2907202003 ]      I         I         I    Estimado(a):                     Edgar Michel Loaeza Martínez    I         I    Le informamos que su ticket correspondiente a:    I                       I    solicito su apoyo para dar de alta el certificado que se adjunta, sujeto obligado de la Secretaría de Educación Pública.    I        I    CLAVE DE SUJETO OBLIGADO SUEJO OBLIGADO TITULAR DE UNIDAD DE ENLACE O SUPLENTE DESIGNADO CERTIFICADO ACTUAL CORREO ELECTRÓNICO CONTRASEÑA INFOMEX CONTRASEÑA HCOM    I    11005 Universidad Abierta y a Distancia de México    I     LIC. ENRIQUE QUIROZ ACOSTA 11005.Enrique.Quiroz.Acosta.cer unidaddeenlace@sep.gob.mx    I     sisi11005 hcom11005    I    11004 Tecnológico Nacional de México    I     LIC. ENRIQUE QUIROZ ACOSTA 11004.Enrique.Quiroz.Acosta.cer unidaddeenlace@sep.gob.mx    I    sisi11004 hcom11004    I        I         I    Aplicación:                  HCOM     I    Tipo de Soporte:         CAMBIO DE TUT ( 2 )    I    Observaciones:                I         I    Su petición fue atendida    I         I    " u="1"/>
        <s v="Se aplica testado de datos al folio:  0064100065321" u="1"/>
        <s v="Notificación de seguimiento  [  MA0902202103 ]      I          I    Estimado(a):                     Martha Rubí Zaragoza Mora    I         I    Le informamos que su ticket correspondiente a:    I                       I    El presente correo es para pedir su amable apoyo para el ajuste de términos de los folios debido al Acuerdo que enviaron los siguientes Sujetos Obligados a la COTAI por el cual tienen como día inhábil el 1 y 5 de febrero de 2021; debiéndose considerar los días comprendidos dentro de dicho periodo como inhábiles para evitar la propagación del coronavirus COVID-19. Hoy enviaron su acuerdo y calendario el cual ya fue configurado en INFOMEX.    I         I    Aplicación:                  INFOMEX NUEVO LEÓN     I    Tipo de Soporte:         AJUSTE DE PLAZOS        I    Observaciones:                I         I    Su petición fue atendida    I    " u="1"/>
        <s v="Notificación de seguimiento  [  MA2102202001 ]      I         I         I    Estimado(a):                     David Mendoza Oliva    I         I    Le informamos que su ticket correspondiente a:    I                       I    Con motivo de las autorizaciones a la baja del padrón de sujetos obligados del ámbito federal del sujeto obligado cuya clave es: 10201, Fideicomiso Fondo de Ahorro Obreros (ESSA 1) mediante visto bueno del Secretario de Acceso a la Información.     I        I    Se les solicita muy respetuosamente la baja en todos los sistemas INFOMEX, Sistema de Solicitudes de Información; así también en los Sistemas SIGEMI-SICOM y HCOM.    I        I    Para mayor referencia se adjuntan copia del acuses de los oficios INAI/SAI/DGOAEEF/094/2020 al Director General de Tecnologías de la Información que soportan a esta petición.    I        I        I         I    Aplicación:                  HCOM    I    Tipo de Soporte:         BAJA DE SUJETO OBLIGADO       I    " u="1"/>
        <s v="Se  testan los datos del folio: 0064101554621" u="1"/>
        <s v="Buenos días Francisco, te informo que el respaldo de su base de datos de esta semana ya está en el repositorio…       I        I        I    http://documentos.inai.org.mx/tmp/infomexNL_backup_2020-07-06_0800.bak    I        I        I        I    NOTA: El respaldo estará disponible una semana.    I    " u="1"/>
        <s v="Buenos días Francisco, te informo que el respaldo de su base de datos de esta semana ya está en el repositorio…       I        I        I    http://documentos.inai.org.mx/tmp/infomexNL_backup_2020-07-13_0800.bak    I        I        I        I    NOTA: El respaldo estará disponible una semana.    I    " u="1"/>
        <s v="Buenos días Francisco, te informo que el respaldo de su base de datos de esta semana ya está en el repositorio…       I        I        I    http://documentos.inai.org.mx/tmp/infomexNL_backup_2020-07-20_0800.bak    I        I        I        I    NOTA: El respaldo estará disponible una semana.    I    " u="1"/>
        <s v="Buenos días Francisco, te informo que el respaldo de su base de datos de esta semana ya está en el repositorio…       I        I        I    http://documentos.inai.org.mx/tmp/infomexNL_backup_2020-07-27_0800.bak    I        I        I        I    NOTA: El respaldo estará disponible una semana.    I    " u="1"/>
        <s v="Buenos días Francisco, te informo que el respaldo de su base de datos de esta semana ya está en el repositorio…       I        I        I    http://documentos.inai.org.mx/tmp/infomexNL_backup_2020-08-03_0800.bak    I        I        I        I    NOTA: El respaldo estará disponible una semana.    I    " u="1"/>
        <s v="Buenos días Francisco, te informo que el respaldo de su base de datos de esta semana ya está en el repositorio…       I        I        I    http://documentos.inai.org.mx/tmp/infomexNL_backup_2020-08-10_0800.bak    I        I        I        I    NOTA: El respaldo estará disponible una semana.    I    " u="1"/>
        <s v="Buenos días Francisco, te informo que el respaldo de su base de datos de esta semana ya está en el repositorio…       I        I        I    http://documentos.inai.org.mx/tmp/infomexNL_backup_2020-08-24_0800.bak    I        I        I        I    NOTA: El respaldo estará disponible una semana.    I    " u="1"/>
        <s v="Buenos días Francisco, te informo que el respaldo de su base de datos de esta semana ya está en el repositorio…       I        I        I    http://documentos.inai.org.mx/tmp/infomexNL_backup_2020-08-31_0800.bak    I        I        I        I    NOTA: El respaldo estará disponible una semana.    I    " u="1"/>
        <s v="Buenos días Francisco, te informo que el respaldo de su base de datos de esta semana ya está en el repositorio…       I        I        I    http://documentos.inai.org.mx/tmp/infomexNL_backup_2020-09-07_0800.bak    I        I        I        I    NOTA: El respaldo estará disponible una semana.    I    " u="1"/>
        <s v="Buenos días Francisco, te informo que el respaldo de su base de datos de esta semana ya está en el repositorio…       I        I        I    http://documentos.inai.org.mx/tmp/infomexNL_backup_2020-09-14_0800.bak    I        I        I        I    NOTA: El respaldo estará disponible una semana.    I    " u="1"/>
        <s v="Buenos días Francisco, te informo que el respaldo de su base de datos de esta semana ya está en el repositorio…       I        I        I    http://documentos.inai.org.mx/tmp/infomexNL_backup_2020-09-21_0800.bak    I        I        I        I    NOTA: El respaldo estará disponible una semana.    I    " u="1"/>
        <s v="Buenos días Francisco, te informo que el respaldo de su base de datos de esta semana ya está en el repositorio…       I        I        I    http://documentos.inai.org.mx/tmp/infomexNL_backup_2020-09-28_0800.bak    I        I        I        I    NOTA: El respaldo estará disponible una semana.    I    " u="1"/>
        <s v="Se  testan los datos del folio:  1816400140021" u="1"/>
        <s v="Se elmina la respuesta del folio: 3210000010321" u="1"/>
        <s v="Continúa el Apoyo en consultas y validación de la información generada con las bases de datos en custodia (casos de diversos estados) en lo referente principalmente a documentación adjunta.    I    Se sigue apoyando en la recuperación de adjuntos de CDMX vía el aplicativo proporcionado por Luis Fernando." u="1"/>
        <s v="    I    Notificación de seguimiento  [  MA1709202007 ]      I         I         I    Estimado(a):                     David Mendoza Oliva    I         I    Le informamos que su ticket correspondiente a:    I                       I    El pasado 10 de septiembre se nos comunicó mediante correo electrónico la aplicación de una corrección a las fechas de requerimientos hechos en la Herramienta de Comunicación.    I         I    No obstante, un sujeto obligado nos reporta una peculiaridad, que aunque el plazo se marca su atención hasta el 15 de octubre de 2020, la realidad es que esta marcando semáforo amarillo y genera confusión en el sujeto obligado, la cual fue aclarada mediante llamada telefónica pero quería reportar esta situación del semáforo para pedirles su orientación respecto a esa “advertencia” del color del semáforo faltando tanto tiempo para la atención del requerimiento.    I         I    Aplicación:                  HCOM    I    Tipo de Soporte:         AJUSTE DE SEMÁFORO      I    Observaciones:                I         I    Se realizó el ajuste de semáforo ha verde, este cambiará a amarillo en esos requerimientos el día 12 de Octubre de 2020    I         I        I         I    " u="1"/>
        <s v="Creación de grafos de conocimiento" u="1"/>
        <s v="Entrenamiento modelo secuencial" u="1"/>
        <s v="Desarrollo de login con twitter" u="1"/>
        <s v="Notificación de seguimiento  [  MA1610202005 ]      I         I         I    Estimado(a):                     Sergio Rafael Cortés Alpizar    I         I    Le informamos que su ticket correspondiente a:    I                       I    Por medio del presente, solicito se regrese la actividad a &quot;Preparación del Proyecto de Resolución&quot;  del siguiente recurso de revisión:    I        I    RRA 10116/20 vs Secretaría de Bienestar    I        I    Lo anterior se debe a que se va a corregir el archivo de desechamiento y se volverá a enviar.    I         I    Aplicación:                  SIGEMI    I    Tipo de Soporte:         REGRESO DE PASOS      I    Observaciones:                I         I    Su petición fue atendida    I    " u="1"/>
        <s v="Notificación de seguimiento  [  MA3107202001 ]      I         I         I    Estimado(a):                     Adriana Salazar González    I         I    Le informamos que su ticket correspondiente a:    I                       I    Por este medio solicito su valioso apoyo para efecto de regresar el recurso de revisión RRA 7375/20 vs Hospital General &quot;Dr. Manuel Gea González&quot; al paso de admitir, en virtud de que fue cargado un archivo diverso al que correspondía, para poder hacer la carga del correcto, quedo atenta.     I        I        I         I    Aplicación:                  SIGEMI    I    Tipo de Soporte:         REGRESO DE PASOS      I    Observaciones:                I         I    Su petición fue atendida    I    " u="1"/>
        <s v="Modificar los datos del usuario loggeado" u="1"/>
        <s v="    I    Notificación de seguimiento  [  MA1202202005 ]      I         I         I    Estimado(a):                     Alondra Jiménez Hernández    I         I    Le informamos que su ticket correspondiente a:    I                       I    Anexo el registro actualizado del certificado del Titular de la Unidad de Transparencia de FONATUR Infraestructura, S.A. de C.V para su renovación en la Herramienta de Comunicación.    I        I         I    Aplicación:                  HCOM    I    Tipo de Soporte:         RENOVACIÓN DE CERTIFICADO      I    Observaciones:                I         I    Su petición fue atendida    I         I    " u="1"/>
        <s v="Notificación de seguimiento  [  MA2404202001 ]      I         I         I    Estimado(a):                     Guillermo Alvarado Montañez    I         I    Le informamos que su ticket correspondiente a:    I                       I    Ya modifiqué el calendario, por favor trata de localizar los casos que se vean afectados para su reasignación de fechas.    I        I         I    Aplicación:                  SIGEMI    I    Tipo de Soporte:         CONSULTA DE DATOS      I    Observaciones:                I         I    Su petición fue atendida, adjunto resultados encontrados, quedamos atentos     I        I         I                Favor de validar.    I         I    Estatus:                               Concluido.    I    " u="1"/>
        <s v="Notificación de seguimiento  [  MA0603202001 ]      I         I         I    Estimado(a):                     Rafael González García    I         I    Le informamos que su ticket correspondiente a:    I                       I    se solicita dar de alta en el padrón de sujetos obligados, así como en todos los sistemas electrónicos y así se encuentres en posibilidades de dar cumplimiento a lo que dispone la ley General de Transparencia y Acceso a la información Pública y la Ley Federal de Transparencia y Acceso a la Información Pública, de los siguientes sujetos obligados:    I    A) SCT-Agencia Federal de Aviación Civil (AFAC) con clave presupuestal designada 09012.    I    B) SEDATU-Fondo de mejoramiento urbano, (FOMEUR) con clave presupuestal designada 15009.    I         I    C) SHCP-Fondo metropolitano, (FONMETRO) con clave presupuestal designada 06051.    I    D) CONAGUA-Mandato para la realización de actos previos a la enajenación de las aeronaves al servicio de la Comisión Nacional del Agua, (MANAEROCONAGUA) con clave presupuestal designada 16104.    I         I    Aplicación:                  HCOM       I    Tipo de Soporte:         ALTA DE SUJETOS OBLIGADOS ( 4)    I    " u="1"/>
        <s v="    I    Notificación de seguimiento  [  MA0902202111 ]      I         I     Estimado(a):                     Alondra Jiménez Hernández     I          I    Le informamos que su ticket correspondiente a:    I                       I    Debido al cambio de Titular de la Unidad de Transparencia de Exportadora de Sal, S.A. de C.V. (ESSA) anexo los registros actualizados de los certificados para que sean actualizados y se habilite su acceso en la Herramienta de Comunicación de cada uno.     I         I    Aplicación:                  HCOM    I    Tipo de Soporte:         CAMBIO TUT   ( 2)     I    Observaciones:                I         I    Su petición fue atendida    I    " u="1"/>
        <s v="Notificación de seguimiento  [  MA1603202105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del 1º al 31 de marzo 2021 y contando también el periodo vacacional de semana santa; debiéndose considerar los días comprendidos dentro de dicho periodo como inhábiles para evitar la propagación del coronavirus COVID-19.    I         I    Aplicación:                  INFOMEX NUEVO LEÒN    I    Tipo de Soporte:         AJUSTE DE PLAZOS       I    Observaciones:                I         I    Su petición fue atendida    I         I          I                Favor de validar.    I         I    Estatus:                               Concluido.    I        I    " u="1"/>
        <s v="Se aplica testado de datos al folio: 0600600000420." u="1"/>
        <s v="Se aplica testado de datos al folio: 0000700081320." u="1"/>
        <s v="    I    Notificación de seguimiento  [  MA2411202007 ]      I         I         I    Estimado(a):                     Sandra Robles Carrasco    I         I         I    Le informamos que su ticket correspondiente a:    I                       I    Deseando que se encuentren bien, en seguimiento a la petición de apoyo de cambio de medio de notificación en la PNT en relación con el recurso de revisión RRA 12804/20 (adjunta para pronta referencia como correo de arrastre), por medio del presente solicito de nueva cuenta de su invaluable apoyo a fin de que puedan realizar el cambio en comento, ello toda vez que el día de hoy es la fecha límite para notificar el acuerdo de admisión en el referido medio de impugnación.    I        I         I    Aplicación:                  sigemi    I    Tipo de Soporte:         CAMBIO DE MEDIO Y ACTUALIZACIÓN DE CORREO        I    Observaciones:                I         I    Su petición fue atendida, se realizó la actualización a uno de los correos, ya que el campo no permite dos    I    " u="1"/>
        <s v="Servicio para verificación de correo electrónico y activación de cuenta" u="1"/>
        <s v="    I    Notificación de seguimiento  [  MA1709202002 ]      I         I         I    Estimado(a):                     Lizbeth Adriana Cabrera Ortega    I         I    Le informamos que su ticket correspondiente a:    I                       I    que sean modificadas las fechas de interposición de todos los recursos en mención al día 18 de septiembre de 2020 y puedan quedar habilitados para las actuaciones inherentes a las sustanciación.    I        I         I    Aplicación:                  SIGEMI    I    Tipo de Soporte:         Actualización de fechas de interposición      I    Observaciones:                I         I    Su petición fue atendida    I         I    " u="1"/>
        <s v="Implementar la obtención y presentación de catálogos" u="1"/>
        <s v="Incidencia límite de vista" u="1"/>
        <s v="Se aplica testado de datos al folio:  0064100065821" u="1"/>
        <s v="Se envía respaldo de base de datos " u="1"/>
        <s v="Notificación de seguimiento  [  MA1802202002 ]      I         I         I    Estimado(a):                     María Guadalupe Rodríguez Morales    I         I    Le informamos que su ticket correspondiente a:    I                       I    En relación con el recurso de revisión RRD 0288/20, interpuesto en contra del Tribunal Federal de Conciliación y Arbitraje, solicito de su invaluable apoyo para que a la brevedad en la PNT se corrija como medio para oír y recibir notificaciones de la parte recurrente, el correo electrónico kappatau120478@gmail.com     I         I        I         I    Aplicación:                  SIGEMI    I    Tipo de Soporte:         CAMBIO DE CORREO       I    Observaciones:                I         I    Su petición fue atendida    I    " u="1"/>
        <s v="Notificación de seguimiento  [  MA3003202102 ]      I         I         I    Estimado(a):                     YARENNI ADAME    I         I         I    Le informamos que su ticket correspondiente a:    I                       I    SE CORRIJAN LAS FECHAS DE VENCIMIENTO POR LOS DIAS DE DESCANSO DE LOS SIGUIENTES FOLIOS:  00145621, 00151921 Y 00153221    I        I    ADJUNTO A ESTE CORREO CAPTURA DE PANTALLA DEL SISTEMA ENVIADA POR EL SUJEOT OBLIGADO, EN LA CUAL SE PUEDE CORROBORAR QUE LOS TERMINOS NO SE SUSPENDIEORN PARA DAR RESPUESTA A LAS SOLICITUDES.    I        I         I    Aplicación:                  INFOMEX GUERRERO    I    Tipo de Soporte:         AJUSTE DE PLAZO       I    Observaciones:                I         I    Su petición fue atendida    I    " u="1"/>
        <s v="Notificación de seguimiento  [  MA3011202001 ]      I          I    Estimado(a):              Guillermo Delgado Ibarra           I          I    Le informamos que su ticket correspondiente a:    I                       I    con 2 peticiones     I    Nota.- Agregando el campo de tipo de solicitud (Datos/Información)    I    1.- el reporte de solicitudes hasta la fecha    I    2.- el reporte de solicitudes referente a COVIT, CORONAVIRUS, y me solicitan agregar dos palabras a la búsqueda, (EMERGENCIA y PANDEMIA) además descripción de la respuesta y el estatus de cada solicitud    I         I    Aplicación:                  INFOMEX BCN    I    Tipo de Soporte:         REPORTE       I    Observaciones:                I         I    Su petición fue atendida    I    " u="1"/>
        <s v="Se  testan los datos del folio:0064101550221" u="1"/>
        <s v="OT para nueva instalación con corrección de indicencias en producción" u="1"/>
        <s v="Se cambia el tipo de solicitud del folio: 0673800097421" u="1"/>
        <s v="Ejecucion de Pruebas unitarias de usuarios y correciones de hallazgos encontrados" u="1"/>
        <s v="Prueba del script de conectores de extracción" u="1"/>
        <s v="Notificación de seguimiento  [  MA2903202101 ]      I         I         I    Estimado(a):                     Moisés Guzmán Arias    I         I         I    Le informamos que su ticket correspondiente a:    I                       I    Buenas tardes, por este medio me permito dirigir a ustedes a fin de solicitar su apoyo para que me puedan proporcionar identificador de Infomex (ID_INFOMEX) de nuestro sistema Infomex de los siguientes sujetos obligados de nueva creación:    I        I    1.- Instituto Poblano de los Pueblos Indígenas    I    2.- Instituto Poblano del Deporte    I         I    Aplicación:                  INFOMEX PUEBLA    I    Tipo de Soporte:         CONSULTA DE DATOS       I    " u="1"/>
        <s v="Crear certificado para usuario del Sujeto Obligado Fondo de ahorro capitalizable para los trabajadores operativos del INACIPE " u="1"/>
        <s v="Se testan datos y se sustituye archivo del folio: 0063700500021" u="1"/>
        <s v="proceso" u="1"/>
        <s v="Notificación de seguimiento  [  MA2402202007 ]      I         I         I    Estimado(a):                     Edgar Michel Loaeza Martínez    I         I    Le informamos que su ticket correspondiente a:    I                       I    Por medio del presente solicito su valioso apoyo a efecto de hacer cambio de Titular de la Unidad de Transparencia de la Comisión Nacional del Sistema de Ahorro para el Retiro.    I        I         I    Aplicación:                  HCOM    I    Tipo de Soporte:         CAMBIO DE TITULAR       I    Observaciones:                I         I    Su petición fue atendida    I         I        I    " u="1"/>
        <s v="    I    Notificación de seguimiento  [  MA1203202002 ]      I         I         I    Estimado(a):                     Pedro Esquivel Martínez    I         I    Le informamos que su ticket correspondiente a:    I                       I    Anexo el registro actualizado del certificado del Titular de la Unidad de Enlace del  “COMISIÓN NACIONAL FORESTAL” Lo Anterior a fin de que sus accesos sean habilitados en los otros sistemas que administra este Instituto (HCOM).  CAMBIO DE CERTIFICADO, en cuanto se reciba la atención en HCOM se realizará la actualización de los demás sistemas correspondientes.    I        I        I         I    Aplicación:                  HCOM    I    Tipo de Soporte:         RENOVACION DE CERTIFICADO      I    Observaciones:                I         I    Su petición fue atendida    I         I    " u="1"/>
        <s v="Estimado Alan, buenos días, te informo que el respaldo de su base de datos de esta semana ya está en el repositorio…       I    http://documentos.inai.org.mx/tmp/infomex_tlaxcala_backup_2021-06-28_0800.bak    I    Saludos Cordiales    I    Marina Adame Velasco           I        I        I    Notificación de seguimiento  [  MA2806202104 ]    I         I    Aplicación:                  INFOMEX TLAXCALA     I    Tipo de Soporte:         RESPALDO DE BD      I        I    Estatus:                               Concluido    I    " u="1"/>
        <s v="Notificación de seguimiento  [  MA0109202002 ]      I         I         I    Estimado(a):                     Pedro Esquivel Martínez    I         I    Le informamos que su ticket correspondiente a:    I                       I    por este medio Anexo el registro actualizado del certificado del Titular de la Unidad de Enlace del “Fideicomiso de investigación para el desarrollo del programa de aprovechamiento del atún y protección de delfines y otros en torno a especies acuáticas protegidas”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CAMBIO DE CERTIFICADO      I    Observaciones:                I         I    Su petición fue atendida    I    " u="1"/>
        <s v="Definición de hardware" u="1"/>
        <s v="Se corrige problema al adjuntar archivo al registrar una queja" u="1"/>
        <s v="    I    Notificación de seguimiento  [  MA2608202004 ]      I         I         I    Estimado(a):                     Sergio Rafael Cortés Alpizar    I         I    Le informamos que su ticket correspondiente a:    I                       I    Por medio del presente, solicito el regreso de actividad a &quot; Admitir / Prevenir / Desechar&quot; del siguiente recurso de revisión:    I         I    RRA 8036/20 vs ISSSTE    I         I    Lo anterior se debe a que se va a corregir el acuerdo de desechamiento se enviara de nuevo el correcto.    I        I         I    Aplicación:                  SIGEMI    I    Tipo de Soporte:         REGRESO DE PASOS      I    Observaciones:                I         I    Su petición fue atendida    I    " u="1"/>
        <s v="Analisis del Plan de Alcance " u="1"/>
        <s v="Se sustituye archivo adjunto  del folio:  011000053421 " u="1"/>
        <s v="Actividades de configuración de SISAI 2.0" u="1"/>
        <s v="Notificación de seguimiento  [  MA0804202203 ]    I        I    Estimado(a):                Lizbeth Adriana Cabrera Ortega    I        I         I     Le informamos que su ticket correspondiente a:    I                       I    Me permito solicitar de su amable apoyo para realizar la reconducción que solicita la ponencia, o en su caso, cambiar la denominación del BIS para quedar RRA 09617/20-BIS.}    I    .    I         I    Aplicación:                  SIGEMI    I    Tipo de Soporte:         RECONDUCCION      I    Observaciones:                I         I    Su petición fue atendida    I         I         I        I                 Favor de validar.    I         I    Estatus:                               Concluido    I    " u="1"/>
        <s v="Reporte solicitado por el usuario " u="1"/>
        <s v="Se elimina la respuesta del folio:  6031800000421" u="1"/>
        <s v="Respaldar Curso 20  de la plataforma anterior y restaurar en plataforma actual " u="1"/>
        <s v="Respaldar Curso 21  de la plataforma anterior y restaurar en plataforma actual " u="1"/>
        <s v="Cambios en la parte responsiva en la seccion de preguntas y ajuste en el menu principal en modo responsivo" u="1"/>
        <s v="Respaldar Curso 22  de la plataforma anterior y restaurar en plataforma actual " u="1"/>
        <s v="Respaldar Curso 23  de la plataforma anterior y restaurar en plataforma actual " u="1"/>
        <s v="Respaldar Curso 24  de la plataforma anterior y restaurar en plataforma actual " u="1"/>
        <s v="Notificación de seguimiento  [  MA1303202003 ]      I         I         I    Estimado(a):                     Luis Javier Mendoza Rueda    I         I    Le informamos que su ticket correspondiente a:    I                       I    solicito su apoyo para realizar corrección en el INFOCDMX/RR.IP.1131/2020, con número de solicitud 3700000017220:    I        I        I    Error en Número de Solicitud: INEXISTENTE    I        I    Corrección: 3700000017220.    I        I         I    Aplicación:                  SIGEMI    I    Tipo de Soporte:         Corrección de solicitud       I    Observaciones:                I         I    Su petición fue atendida    I         I        I    " u="1"/>
        <s v="Respaldar Curso 25  de la plataforma anterior y restaurar en plataforma actual " u="1"/>
        <s v="Buenas noches, adjunto los scripts con el filtro de fecha de Inicio del proceso     I        I    Cualquier observación estoy a sus ordenes    I        I    Saludos     I        I    Marina Adame    I    " u="1"/>
        <s v="Cambio mensajes de error en Excepciones de toda la app" u="1"/>
        <s v="Respaldar Curso 26  de la plataforma anterior y restaurar en plataforma actual " u="1"/>
        <s v="Respaldar Curso 27  de la plataforma anterior y restaurar en plataforma actual " u="1"/>
        <s v="Respaldar Curso 28  de la plataforma anterior y restaurar en plataforma actual " u="1"/>
        <s v="Respaldar Curso 29  de la plataforma anterior y restaurar en plataforma actual " u="1"/>
        <s v="Ajustes para SAIMEX" u="1"/>
        <s v="Notificación de seguimiento  [  MA1402202201 ]    I        I    Estimado(a):                Claudia Marbella Collí Peña    I        I         I     Le informamos que su ticket correspondiente a:    I                       I    Esperando te encuentres bien, solicito tu apoyo para regresar el paso de ampliación de paso en la PNT, correspondiente al RRA 13756/21, toda vez que por un error involuntario no se adjuntó el acuerdo de ampliación.    I         I    Aplicación:                  SICOM    I    Tipo de Soporte:         ELIMINAR AMPLIACIÓN      I    Observaciones:                I         I    Su petición fue atendida    I         I    " u="1"/>
        <s v="Notificación de seguimiento  [  MA2105202109 ]    I        I          I    Estimado(a):                     Edgar Michel Loaeza Martínez    I        I         I     Le informamos que su ticket correspondiente a:    I                       I    Por medio del presente solicito su valioso apoyo a efecto de realizar la sustitución de certificado y cambio de TUT del sujeto obligado denominado Instituto Politécnico Nacional en el sistema hcom.    I        I         I    Aplicación:                  HCOM    I    Tipo de Soporte:         CAMBIO DE TUT    I    Observaciones:                I         I    Su petición fue atendida    I         I    " u="1"/>
        <s v="Ajuste de archivo adjunto a la queja" u="1"/>
        <s v="Se aplica testado de datos al folio:  0000700355220" u="1"/>
        <s v="Se sustituye archivo adjunto  del folio:  0064103161120" u="1"/>
        <s v="Notificación de seguimiento [ MA2101202003 ]     I          I          I     Estimado(a): Adriana Elizabeth Hernández Garcia    I          I     Le informamos que su ticket correspondiente a:    I          I     … retroceso de paso del expediente relacionado con la resolución RRA 15047/19 al paso denominado “Registro de la Resolución Firmada” en la (PNT), ello a efecto de cargar el archivo correcto.     I         I          I     Aplicación: SIGEMI    I     Tipo de Soporte: REGRESO DE PASOS     I     Observaciones:" u="1"/>
        <s v="    I    Notificación de seguimiento  [  MA1406202116 ]    I        I    Estimado(a):                Edwin Robles Hernández    I        I         I     Le informamos que su ticket correspondiente a:    I                       I        I    Por este medio solicito de su valioso apoyo para poder aplicar las afectaciones a las fechas de vencimiento y la eliminación de los acuses respectivos de las solicitudes señaladas en el archivo adjunto. Toda vez que el Consejo General aprobará mediante Acuerdo ACDO/CG/IAIP/021/2020...    I         I    Aplicación:                  INFOMEX OAXACA    I    Tipo de Soporte:         AJUSTE DE PLAZOS       I    Observaciones:                I         I    Su petición fue atendida    I         I    " u="1"/>
        <s v="    I    Notificación de seguimiento  [  MA1510202001 ]      I         I         I    Estimado(a):                     Alma Lizbeth Peguero Rivera    I         I    Le informamos que su ticket correspondiente a:    I                       I    Por medio de presente, solicito de la manera más atenta, su apoyo para retroceder los pasos en el sistema SIGEMI-SICOM en la PNT del siguiente asunto RRA 10113/20 FJALL , hasta la actividad “Registrar información de la sesión del pleno”; sin más por el momento, quedo en espera de sus comentarios.    I        I         I    Aplicación:                  SIGEMI    I    Tipo de Soporte:         REGRESO DE PASOS      I    Observaciones:                I         I    Su petición fue atendida    I         I    " u="1"/>
        <s v="Notificación de seguimiento  [  MA1101202101 ]      I         I         I    Estimado(a):                     BERENICE HERNÁNDEZ SUMANO    I          I    Le informamos que su ticket correspondiente a:    I                       I    RESPALDO SEMANAL DE LA BASE DE DATOS INFOMEX    I         I    Aplicación:                  INFOMEX OAXACA    I    Tipo de Soporte:         RESPALDO       I    Observaciones:                I         I    Su petición fue atendida, se subió el respaldo de su base de datos de esta semana…    I        I        I    http://documentos.inai.org.mx/tmp/infomexOAX_backup_2021-01-11_0800.bak    I        I        I    NOTA: El respaldo estará disponible una semana      I        I          I                Favor de validar.    I         I    Estatus:                               Concluido.    I    " u="1"/>
        <s v="Se cambia el tipo de solicitud del folio: 04111000008921" u="1"/>
        <s v="Se adaptaron los objetos que se utilizan dentro de la app contra los que responde el endpoint" u="1"/>
        <s v="Se aplica testado de datos al folio:  011000016821" u="1"/>
        <s v="Evaluación de diccionarios proporcionados por el INAI, " u="1"/>
        <s v="Notificación de seguimiento  [  MA1905202109 ]      I         I         I    Estimado(a):                     Edgar Michel Loaeza Martínez    I         I         I    Le informamos que su ticket correspondiente a:    I                       I    Por medio del presente, me permito solicitar su valioso apoyo a efecto de realizar la renovación de certificado del sujeto obligado indirecto de  la Secretaría de la Defensa Nacional en el hcom.    I         I    Aplicación:                  HCOM    I    Tipo de Soporte:         CAMBIO TUT  (1) RENOVAR CERTIFICADO ( 2 )     I    Observaciones:                I         I    Su petición fue atendida    I         I    " u="1"/>
        <s v="Definición de flujo para modelos" u="1"/>
        <s v="Desarrollo servicio de gateway" u="1"/>
        <s v="Se aplica el testado de datos de la solicitud: 0064100227420." u="1"/>
        <s v="    I    Notificación de seguimiento  [  MA1310202001 ]      I         I         I    Estimado(a):                     Alma Lizbeth Peguero Rivera    I         I    Le informamos que su ticket correspondiente a:    I                       I        I    Por medio de la presente, solicito de la manera más atenta, su apoyo para retroceder los pasos en el sistema SIGEMI-SICOM en la PNT de los siguientes asuntos RRD 1055/20 RMC, hasta la actividad “Registrar información de la sesión del pleno”, sin más por el momento, quedo en espera de sus comentarios    I         I    Aplicación:                  SIGEMI    I    Tipo de Soporte:         REGRESO DE PASOS      I    Observaciones:                I         I    Su petición fue atendida    I         I    " u="1"/>
        <s v="Se testan datos y sustituye el archivo adjunto de la solicitud con folio 1816400187221" u="1"/>
        <s v="Notificación de seguimiento  [  MA2807202008 ]      I         I         I    Estimado(a):                     Edgar Michel Loaeza Martínez    I         I    Le informamos que su ticket correspondiente a:    I                       I    Por medio del presente solicito su valioso apoyo a efecto de hacer cambio de Titular de la Unidad de Transparencia del Colegio Superior Agropecuario del Estado de Guerrero.    I        I    Para tal efecto, anexo al presente el certificado, nombramiento y cédula de registro, lo anterior, a fin de que sus accesos sean habilitados en los sistemas que administra este Instituto (HCOM e INFOMEX).      I        I         I    Aplicación:                  HCOM      I    Tipo de Soporte:         CAMBIO DE TUT      I    " u="1"/>
        <s v="Notificación de seguimiento  [  MA1702202001 ]      I         I         I    Estimado(a):                     David Mendoza Oliva    I         I    Le informamos que su ticket correspondiente a:    I                       I    Se solicita la eliminación del requerimiento en HCOM con folio IFAI-REQ-000295-2020, el cual se envió de manera masiva a los sujetos obligados adscritos de la DGOAEEF el pasado 10 de febrero de 2020. Esto debido a que posee un anexo con información poco clara, la cual fue solventada en un alcance que se envió el día de hoy. El envío se realizó con el certificado .cer de Jassel Natali Córdova Guzmán.    I         I    Se adjunta acuse del envío masivo en HCOM.    I         I    Agradeciendo esto pueda quedar el día de hoy o a más tardar el próximo lunes 17 de febrero de 2020.    I         I         I    Aplicación:                  HCOM    I    Tipo de Soporte:         Eliminar req.      I    Observaciones:                I         I    Su petición fue atendida    I    " u="1"/>
        <s v="    I    Notificación de seguimiento  [  MA1707202003 ]      I         I         I    Estimado(a):                     Tiara Gethsemanni Miranda Fuentes    I         I    Le informamos que su ticket correspondiente a:    I                       I    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    I         I    RRD 00804/20    I         I         I         I    Aplicación:                  SIGEMI    I    Tipo de Soporte:         REGRESO DE PASOS      I    Observaciones:                I         I    Su petición fue atendida    I    " u="1"/>
        <s v="Se sustituye archivo adjunto y se testan los datos del folio:  0000700359220 " u="1"/>
        <s v="Notificación de seguimiento  [  MA1009202009 ]      I         I         I    Estimado(a):                     Edgar Michel Loaeza Martínez    I         I    Le informamos que su ticket correspondiente a:    I                       I    Dar de alta el certificado que se adjunta, sujeto obligado indirecto de la Comisión Nacional del Agua.    I        I    " u="1"/>
        <s v="Se cambian validaciones en buscador nacional" u="1"/>
        <s v="Notificación de seguimiento  [  MA1107202202 ]    I        I        I    Estimado(a):               Edgar Michel Loaeza Martínez    I        I     Le informamos que su ticket correspondiente a:    I        I    Por medio del presente solicito su valioso apoyo a efecto de realizar cambio temporal del  Titular de la Unidad de Transparencia del Secretariado Ejecutivo del Sistema Nacional de Seguridad Pública, lo anterior, en virtud de que, se realizaron cambios en la UT.    I        I    Para tal efecto, anexo al presente el certificado correspondiente, cédula de registro y nombramiento, lo anterior, a fin de que sus accesos sean habilitados en los sistemas que administra este Instituto (HCOM).      I        I        I        I    Aplicación:                  HCOM    I    Tipo de Soporte:         ACTUALIZACIÓN DE CERTIFICADO     I    Observaciones:                I         I    Su petición fue atendida     I    " u="1"/>
        <s v="Notificación de seguimiento  [  MA0303202202 ]    I        I    Estimado(a):                Lizbeth Adriana Cabrera Ortega    I        I         I     Le informamos que su ticket correspondiente a:    I                       I    Con el gusto de saludarles me permito solicitar tu valioso apoyo respecto de la generación UN EXPEDIENTE BIS del recurso de revisión posteriormente citado.    I         I    Asimismo, te comento que NO DEBERÁ CAMBIAR el sujeto obligado, ni el Comisionado correspondiente.     I         I     DICE                                        DEBE DECIR                         SUJETO OBLIGADO           PONENTE    I    RRA 2874/22 RRA 00054/20- BIS NAFIN NJRV    I         I    No omito comentarte que el número de expediente que deberá seguir en el consecutivo por turnar en PNT debe ser el RRA 2873/22.    I        I        I        I    Aplicación:                  SICOM    I    Tipo de Soporte:         CAMBIO A BIS      I    Observaciones:                I         I    Su petición fue atendida    I         I         I    " u="1"/>
        <s v="Notificación de seguimiento  [  MA1708202007 ]      I         I         I    Estimado(a):                     Rosalinda Coria Mosqueda    I         I    Le informamos que su ticket correspondiente a:    I                       I         I    Agradeceré su apoyo para actualizar el medio de comunicación en el recurso RRA 06500/20, toda vez que el recurrente solicita de domicilio físico a un correo electrónico, el cual es hcf.vnagroup@gmail.com    I         I         I    Aplicación:                  SIGEMI    I    Tipo de Soporte:         CAMBIO DE MEDIO Y ACTUALIZACIÓN DE CORREO       I    Observaciones:                I         I    Su petición fue atendida    I         I    " u="1"/>
        <s v="Buenas tardes Memo, tu petición fue atendida, favor de validar     I         I     Saludos     I         I     Marina Adame Velasco    I         I     Notificación de seguimiento [ MA1301202006 ]     I         I     Aplicación: INFOMEX BCN    I     Tipo de Soporte: Consulta de datos     I     Estatus: Concluido." u="1"/>
        <s v="Buenas tardes Memo, tu petición fue atendida, favor de validar     I         I     Saludos     I         I     Marina Adame Velasco    I         I     Notificación de seguimiento [ MA2201202005 ]     I         I     Aplicación: INFOMEX BCN    I     Tipo de Soporte: CONSULTA DE DATOS     I     Estatus: Concluido." u="1"/>
        <s v="Buenas tardes Memo, tu petición fue atendida, favor de validar     I         I     Saludos     I         I     Marina Adame Velasco    I         I     Notificación de seguimiento [ MA2701202007 ]     I         I     Aplicación: INFOMEX BCN    I     Tipo de Soporte: CONSULTA DE DATOS     I     Estatus: Concluido." u="1"/>
        <s v="    I    Notificación de seguimiento  [  MA1607202006 ]      I         I         I    Estimado(a):                     Tiara Gethsemanni Miranda Fuentes    I         I    Le informamos que su ticket correspondiente a:    I                       I    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    I         I    RRA 05640/20    I        I         I    Aplicación:                  SIGEMI    I    Tipo de Soporte:         REGRESO DE PASOS      I    Observaciones:                I         I    Su petición fue atendida    I         I    " u="1"/>
        <s v="    I    Notificación de seguimiento  [  MA2809202004 ]      I         I         I    Estimado(a):                     Mario Medrano    I         I    Le informamos que su ticket correspondiente a:    I                       I    corregir dentro del SIGEMI el regresar un paso en el recursos de revisión  número RR/296/20 que corresponden a la ponencia de la Comisionada Paulina Compean, ya que por error se seleccionó que el recurrente sí atendió la prevención, pasando a la etapa de admisión, sin embargo, a efecto de desecharlo es que se solicita esta acción de devolver el último paso    I         I    Aplicación:                  SIGEMI    I    Tipo de Soporte:         REGRESO DE PASOS      I    Observaciones:                I         I    Su petición fue atendida    I         I    " u="1"/>
        <s v="Se generó certificado para usuario del CAS" u="1"/>
        <s v="Se aplica testado de datos al folio:  0064100248021" u="1"/>
        <s v="Implementación del borrado de Resoluciones Públicas." u="1"/>
        <s v="Revisión y análisis del módulo eliminacion de asigacion de solicitudes." u="1"/>
        <s v="Notificación de seguimiento  [  MA0203202006 ]      I         I         I    Estimado(a):                     Tiara Gethsemanni Miranda Fuentes    I         I    Le informamos que su ticket correspondiente a:    I                       I    Al momento de dar trámite a al Recurso de Revisión que se enlista a continuación, en el sistema SIGEMI-SICOM en la PNT, este me aparece activo varias veces, se encuentra repetido el siguiente paso “Registrar información de la sesión del pleno, por lo que solicito de la manera más atenta, eliminar uno de estos pasos y dejar solo una vez los siguientes pasos “Registrar información de la sesión del pleno” y dejar el paso de “Notificar por otro Medio”. Sin más por el momento, quedo en espera de tus comentarios.    I         I    RRA 14826/19    I    RRA 15033/19    I        I        I         I    Aplicación:                  SIGEMI    I    Tipo de Soporte:         Corrección de incidencia       I    Observaciones:                I         I    Su petición fue atendida    I    " u="1"/>
        <s v="Notificación de seguimiento  [  MA2601202204 ]    I        I    Estimado(a):                Pedro Esquivel Martínez    I        I         I     Le informamos que su ticket correspondiente a:    I                       I        I    apoyo con las actualizaciones del certificado en la HCOM, lo anterior debido al vencimiento de los mismos; se adjunta cuadro descriptivo y certificados correspondientes.    I        I         I    Aplicación:                  HCOM    I    Tipo de Soporte:         CAMBIO CERTIFICADO (2)    I    " u="1"/>
        <s v="Notificación de seguimiento  [  MA2805202102 ]    I        I    Estimado(a):                HUGO GOVI    I        I         I     Le informamos que su ticket correspondiente a:    I                       I    ESTA A NOMBRE DEL SUJETO OBLIGADO AYUNTAMIENTO DE TUXTLA GUTIERREZ - SMAPA    I         I     Folio: 00204221    I         I    Sujeto obligado correcto mando su id y clave del sujeto obligado      I    Sindicato de Trabajadores al Servicio del Sistema de Agua Potable y Alcantarillado Municipal -SITRASSAPAM    I         I    ID DEL SUJETO OBLIGADO:24237    I        I         I    Aplicación:                  SIGEMI    I    Tipo de Soporte:         CORRECCIÓN DE SUJETO OBLIGADO       I    Observaciones:                I         I    Su petición fue atendida    I         I         I        I                 Favor de validar.    I         I    Estatus:                               Concluido    I        I    " u="1"/>
        <s v="Notificación de seguimiento  [  MA1802202009 ]      I         I         I    Estimado(a):                     Edgar Michel Loaeza Martínez    I         I    Le informamos que su ticket correspondiente a:    I                       I    “…Por medio del presente hago de su conocimiento que se realizó un cambio de contraseña en la Herramienta de Comunicación (Hcom) de la Secretaría de Relaciones Exteriores (SRE), no obstante en razón de que la contraseña asignada por el Hcom contiene muchos caracteres, solicito su valioso apoyo para realizar la modificación de la misma para quedar de forma siguiente:    I        I    Asignada por el Hcom: 709650c4b543    I    Propuesta de SRE: hcom2020    I        I         I    Aplicación:                  SIGEMI    I    Tipo de Soporte:         CAMBIO DE CONTRASEÑA       I    Observaciones:                I         I    Su petición fue atendida, la contraseña es hcom2020    I         I    " u="1"/>
        <s v="Se aplica testado de datos al folio:  0064100351521" u="1"/>
        <s v="Notificación de seguimiento  [  MA2303202109 ]      I         I         I    Estimado(a):                     CRISTIAN DE JESUS AVENDAÑO PALACIOS    I         I         I    Le informamos que su ticket correspondiente a:    I                       I    aplicar las afectaciones a las fechas de vencimiento y la eliminación de los acuses respectivos de las solicitudes señaladas en el archivo adjunto. Toda vez que el Consejo General aprobará mediante la Quinta Sesión Ordinaria 2021.    I        I         I    Aplicación:                  INFOMEX OAXACA    I    Tipo de Soporte:         AJUSTE DE PLAZO       I    Observaciones:                I         I    Su petición fue atendida    I         I    " u="1"/>
        <s v="Soporte a servicios, menus, etc" u="1"/>
        <s v="Se generaron 2 certificados para los sujetos obligados indirectos de la Secretaría de Comunicaciones y Transportes" u="1"/>
        <s v="Notificación de seguimiento [ MA0901202001]     I          I          I     Estimado(a): Lizbeth Adriana Cabrera Ortega    I          I     Le informamos que su ticket correspondiente a:    I          I     TURNE EL ÚLTIMO RECURSO RRD DEL AÑO 2019, Y ME APARECE YA CON AÑO 2020.    I          I     PODEMOS HACER EL AJUSTE    I          I     AHORITA LO REVISÉ Y APARECIÓ YA CON EL AÑO 2020    I          I     RRD 00001/20    I          I         I         I          I     Aplicación: SIGEMI    I     Tipo de Soporte: CAMBIO DE NÙMERO DE EXPEDIENTE Y AJUSTE DE CONSECUTIVO     I     Observaciones:     I          I     Su petición fue atendida" u="1"/>
        <s v="Se sustituye archivo adjunto  del folio:  0110000004021" u="1"/>
        <s v="Reinstalación campus privado desde cero" u="1"/>
        <s v="Incidencia Bienes Terceros" u="1"/>
        <s v="Corrección incidencia 3143" u="1"/>
        <s v="Correcciones en pantallas de recurrente prevencion y prevencion parcial" u="1"/>
        <s v="Corrección incidencia 3144" u="1"/>
        <s v="Revisión de Modelado para persistencia de Bitacora" u="1"/>
        <s v="Notificación de seguimiento  [  MA0709202005 ]      I         I         I    Estimado(a):                     DAVID MENDOZA OLIVA    I         I    Le informamos que su ticket correspondiente a:    I                       I    Se adjunta el último correo enviado al Ing. Santana a efecto de apoyarnos con la actualización solicitada. Ya que este fue el primero de otros tres correos y oficios enviados al Director General de Tecnologías de la Información.    I        I         I    Aplicación:                  HCOM       I    Tipo de Soporte:         CAMBIO DE FECHA DE ATENCIÓN      I    Observaciones:                I         I    Su petición fue atendida, se realizó el ajuste al día 8 de Octubre del 2020 como se describe en el archivo adjunto     I    " u="1"/>
        <s v="Actualizacion micrositio consultas " u="1"/>
        <s v="Subir propuesta con laravel y mysql  a sevidor de desarrollo " u="1"/>
        <s v="Notificación de seguimiento  [  MA1606202005 ]      I         I         I    Estimado(a):                     Rosa María Rivas Rangel    I         I    Le informamos que su ticket correspondiente a:    I                       I    El sujeto obligado indica que del Recurso de Revisión RDA 0257/16 que fue atendido en la ponencia del  Comisionado Rosendoevguini Monterrey Chepov, se solicita su eliminación de la Herramienta de Comunicación, toda vez que el mismo se encuentra en ella desde de mayo de 2016.    I        I         I    Aplicación:                  HCOM    I    Tipo de Soporte:         Cancelación de Recurso      I    Observaciones:                I         I    Su petición fue atendida    I         I    " u="1"/>
        <s v="Notificación de seguimiento  [  MA2705202003 ]      I         I         I    Estimado(a):                      Alondra Jiménez Hernández    I         I    Le informamos que su ticket correspondiente a:    I                       I    Anexo el registro actualizado del certificado del Titular de la Unidad de Transparencia del Fondo de Infraestructura y Equipamiento del Instituto Federal de Telecomunicaciones, sujeto obligado indirecto de la IFT, para que su renovación en la Herramienta de Comunicación.     I        I        I         I    Aplicación:                  HCOM    I    Tipo de Soporte:         CAMBIO DE TUT      I    Observaciones:                I         I    Su petición fue atendida    I         I    " u="1"/>
        <s v="    I    Buenas tardes David, tu petición fue atendida, favor de validar     I        I    Saludos     I        I    Marina Adame Velasco    I        I    Notificación de seguimiento  [  MA2809202003 ]      I        I    Aplicación:                  INFOMEX MICHOACAN    I    Tipo de Soporte:         REPORTE        I    Estatus:                               Concluido.    I        I    " u="1"/>
        <s v="Se cambio en los nativos de Android y iOS para mostrar el icono correcto del launcher" u="1"/>
        <s v="Correccion en modelo para agregar campos relacionados con accesibilidad y discapacidades, se eliminan campos default y se modifica vista de datos personales" u="1"/>
        <s v="Notificación de seguimiento  [  MA1612202010 ]      I         I         I    Estimado(a):                     Martha Rubí Zaragoza Mora    I         I         I    Le informamos que su ticket correspondiente a:    I                       I    ajuste de términos de los folios    I         I    Aplicación:                  INFOMEX NUEVO LEÓN    I    Tipo de Soporte:         AJUSTE DE PLAZOS        I    " u="1"/>
        <s v="    I    Notificación de seguimiento  [  MA1803202111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del 1º al 31 de marzo 2021; debiéndose considerar los días comprendidos dentro de dicho periodo como inhábiles para evitar la propagación del coronavirus COVID-19.    I         I    Aplicación:                  INFOMEX NUEVO LEON     I    Tipo de Soporte:         AJUSTE DE PLAZOS       I    Observaciones:                I         I    Su petición fue atendida    I         I    " u="1"/>
        <s v="Buenas tardes Guillermo, tu petición fue atendida, favor de validar     I        I    Saludos     I        I    Marina Adame Velasco    I        I    Notificación de seguimiento  [  MA0206202004 ]      I        I    Aplicación:                  INFOMEX BCN    I    Tipo de Soporte:         REPORTES       I    Estatus:                               Concluido.    I        I        I    " u="1"/>
        <s v="Buenas tardes Guillermo, tu petición fue atendida, favor de validar     I        I    Saludos     I        I    Marina Adame Velasco    I        I    Notificación de seguimiento  [  MA3108202003 ]      I        I    Aplicación:                  INFOMEX BCN    I    Tipo de Soporte:         REPORTES       I    Estatus:                               Concluido.    I        I        I    " u="1"/>
        <s v="Se agrega la opcion para recuperar y escuchar las notificaciones pendientes al momento de abrir la app" u="1"/>
        <s v="Se habilitaron 5 dependencias, una modificación y una baja de dependencia." u="1"/>
        <s v="Capacitación Mesa de Servicio INAI, parte Técnica PRODATOS, continuación.     I    Valida ambientes, creación de casos, continuidad capacitación" u="1"/>
        <s v="    I    Notificación de seguimiento  [  MA1011202002 ]      I          I    Estimado(a):                     GILBERTO MARTIN RAMIREZ    I          I    Le informamos que su ticket correspondiente a:    I                       I    script que me arroje el numero de solicitudes que se han recibido por tema.    I         I    Aplicación:                  INFOMEX GUANAJUATO    I    Tipo de Soporte:         SCRIPT       I    Observaciones:                I         I    Su petición fue atendida, anexo script     I    " u="1"/>
        <s v="Notificación de seguimiento  [  MA2707202008 ]      I         I         I    Estimado(a):                     Sergio Rafael Cortés Alpizar     I        I        I    Le informamos que su ticket correspondiente a:    I                       I    Por medio del presente, solicito se regrese la actividad a &quot;Preparación del Proyecto de Resolución&quot;  del siguiente recurso de revisión:    I        I    RRA 4316/20 vs Secretaría de la Defensa Nacional    I        I    Lo anterior se debe a que se va a corregir el acuerdo y se volverá a enviar.    I        I         I    Aplicación:                  SIGEMI    I    Tipo de Soporte:         REGRESO DE PASOS      I    " u="1"/>
        <s v="Notificación de seguimiento  [  MA0710202001 ]      I         I         I    Estimado(a):                     Alma Lizbeth Peguero Rivera    I         I    Le informamos que su ticket correspondiente a:    I                       I    Por medio de presente, solicito de la manera más atenta, su apoyo para retroceder los pasos en el sistema SIGEMI-SICOM en la PNT del siguiente asunto RRD 1098/20 OMGF, hasta la actividad “Registrar información de la sesión del pleno”; sin más por el momento, quedo en espera de sus comentarios.    I        I         I    Aplicación:                  SIGEMI    I    Tipo de Soporte:         REGRESO DE PASOS      I    Observaciones:                I         I    Su petición fue atendida    I         I    " u="1"/>
        <s v="Notificación de seguimiento  [  MA1203202109 ]      I         I         I    Estimado(a):                     Lizbeth Adriana Cabrera Ortega    I         I         I    Le informamos que su ticket correspondiente a:    I                       I    para que el expediente BIS CREADO, sea cambiado su número de expediente:    I        I    Dice RRA  8793/19-BIS    I        I    Debe decir: RRA 4609/18-BIS    I         I    Aplicación:                  SIGEMI    I    Tipo de Soporte:         CAMBIO EXPEDIENTE     I    " u="1"/>
        <s v="Se actualizan los plazos de las solicitudes con Pago realizado" u="1"/>
        <s v="Notificación de seguimiento  [  MA1808202001 ]      I         I         I    Estimado(a):                     Luis Pedro González Solís    I         I    Le informamos que su ticket correspondiente a:    I                       I    A través del presente solicito su valioso apoyo para la cancelación en la Herramienta de Comunicación del folio IFAI-REQ-001043-2020, notificado a la Comisión Federal de Electricidad el día 17 de Agosto de 2020 a las 09:00 hrs.    I        I    Se anexa al presente el respectivo acuse de notificación.    I        I         I    Aplicación:                  HCOM    I    Tipo de Soporte:         ELIMINACIÓN DE REQUERIMIENTO      I    Observaciones:                I         I    Su petición fue atendida    I         I        I    " u="1"/>
        <s v="    I    Notificación de seguimiento  [  MA2602202009 ]      I         I         I    Estimado(a):                     Ana Patricia Flores González    I         I    Le informamos que su ticket correspondiente a:    I                       I        I    Por este medio solicito amablemente su apoyo a efecto de que se lleven a cabo las gestiones necesarias para, lo más pronto posible, estar en aptitud de poder cargar el proyecto de resolución en la PNT del recurso de revisión RRA 2411/19-BIS, sin notificar admisión a las partes. Lo anterior, toda vez que se trata de una reposición ordenada por un Juez de Distrito.     I        I        I         I    Aplicación:                  SIGEMI    I    Tipo de Soporte:         Cancelar notificaciones      I    Observaciones:                I         I    Su petición fue atendida    I         I    " u="1"/>
        <s v="Actualizacion micrositio consejo consultivo." u="1"/>
        <s v="    I    Notificación de seguimiento  [  MA0206202112 ]    I        I    Estimado(a):                Alondra Jiménez Hernández    I        I         I     Le informamos que su ticket correspondiente a:    I                       I    Les pido su ayuda para eliminar el requerimiento 003363-IFAI-2021, el cual contiene en su envío documentación con datos erróneos. Acabo de informar la acción a la unidad de transparencia.    I        I         I    Aplicación:                  HCOM    I    Tipo de Soporte:         Eliminar requerimiento     I    Observaciones:                I         I    Su petición fue atendida    I    " u="1"/>
        <s v="    I    Notificación de seguimiento  [  MA2004202202 ]    I        I    Estimado(a):                Alondra Jiménez Hernández    I        I         I     Le informamos que su ticket correspondiente a:    I                       I    Anexo el registro del certificado del nuevo Titular de la Unidad de Transparencia de El Colegio de la Frontera Norte, A.C.. para que su acceso sea habilitado en la Herramienta de Comunicación.     I         I         I    Aplicación:                  HCOM    I    Tipo de Soporte:         CAMBIO DE TUT       I    Observaciones:                I         I    Su petición fue atendida    I    " u="1"/>
        <s v="Validación de usuario y registro de  información. (Jalisco)" u="1"/>
        <s v="integracion de servicio búsqueda de usuarios por unidad Admin    I    " u="1"/>
        <s v="Se elimina sujeto obligado de las validaciones al hacer busqueda y se adapta al nuevo endpoint" u="1"/>
        <s v="Notificación de seguimiento  [  MA2707202103 ]    I        I    Estimado(a):                Francisco Javier Lira Pérez    I        I         I     Le informamos que su ticket correspondiente a:    I                       I    nos pueden apoyar con Querys para consultar la siguiente información para una respuesta    I         I    Aplicación:                  INFOMEX NUEVO LEÓN    I    Tipo de Soporte:         GENERAR SCRIPT      I    Observaciones:                I         I    Su petición fue atendida, para el punto 1 el dato para saber el Estado al cual pertenece el solicitante es un dato no requerido por lo que el número de solicitudes en que se registra es minimo.    I        I    Para el punto 2 usar el script SOLICITUDES SIN RESPUESTA     I        I    Para el punto 3 usar el script SOLICITUDES _MATERIA SOLICITUD_CONTEO    I        I         I                 Favor de validar.    I         I    Estatus:                               Concluido    I        I    " u="1"/>
        <s v="Se realiza la eliminación del formato de pago del folio 1113100039820" u="1"/>
        <s v="Se cambia el tipo de solicitud del folio: 0001200127321 " u="1"/>
        <s v="    I    Buenas tardes Martha, tu petición fue atendida, favor de validar     I        I    Saludos     I        I    Marina Adame Velasco    I        I    Notificación de seguimiento  [  MA0710202004 ]      I        I    Aplicación:                  INFOMEX NUEVO LEÓN    I    Tipo de Soporte:         AJUSTE DE PLAZOS        I    Estatus:                               Concluido.    I        I    " u="1"/>
        <s v="    I    Buenas tardes Martha, tu petición fue atendida, favor de validar     I        I    Saludos     I        I    Marina Adame Velasco    I        I    Notificación de seguimiento  [  MA1009202011 ]      I        I    Aplicación:                  INFOMEX NUEVO LEÓN    I    Tipo de Soporte:         AJUSTE DE PLAZOS        I    Estatus:                               Concluido.    I        I    " u="1"/>
        <s v="    I    Buenas tardes Martha, tu petición fue atendida, favor de validar     I        I    Saludos     I        I    Marina Adame Velasco    I        I    Notificación de seguimiento  [  MA1709202003 ]      I        I    Aplicación:                  INFOMEX NUEVO LEÓN    I    Tipo de Soporte:         AJUSTE DE PLAZOS        I    Estatus:                               Concluido.    I        I    " u="1"/>
        <s v="    I    Buenas tardes Martha, tu petición fue atendida, favor de validar     I        I    Saludos     I        I    Marina Adame Velasco    I        I    Notificación de seguimiento  [  MA1906202001 ]      I        I    Aplicación:                  INFOMEX NUEVO LEÓN    I    Tipo de Soporte:         AJUSTE DE PLAZOS        I    Estatus:                               Concluido.    I        I    " u="1"/>
        <s v="    I    Buenas tardes Martha, tu petición fue atendida, favor de validar     I        I    Saludos     I        I    Marina Adame Velasco    I        I    Notificación de seguimiento  [  MA1910202004 ]      I        I    Aplicación:                  INFOMEX NUEVO LEÓN    I    Tipo de Soporte:         AJUSTE DE PLAZOS        I    Estatus:                               Concluido.    I        I    " u="1"/>
        <s v="Notificación de seguimiento  [  MA1501202109 ]      I         I         I    Estimado(a):                     Martha Rubí Zaragoza Mora    I         I         I    Le informamos que su ticket correspondiente a:    I                       I    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    I         I    Aplicación:                  INFOMEX NUEVO LEÓN     I    Tipo de Soporte:         AJUSTE DE PLAZOS        I    Observaciones:                I         I    Su petición fue atendida    I         I    " u="1"/>
        <s v="Notificación de seguimiento [ MA2701202001 ]     I          I          I     Estimado(a): Lizbeth Adriana Cabrera Ortega    I          I     Le informamos que su ticket correspondiente a:    I          I     CON EL PROPÓSITO DE ATENDER LA PETICIÓN DE LA PONENCIA, MUCHO AGRADECERÉ TENGAS A BIEN COLOCAR EN EL EXPEDIENTE ELECTRÓNICO DEL EXPEDIENTE RRD 0103/2020 EL ACUERDO ADJUNTO AL PRESENTE CORREO, QUE DA CUENTA DEL INGRESO DEL RECURSO EL 8 DE ENERO AL INAI Y QUE EL TURNO SE EFECTUÓ UNA VEZ QUE LLEGÓ A ESTA DGAP EL 15 DE ENERO.    I         I          I     Aplicación: SIGEMI    I     Tipo de Soporte: ACTUALIZACIÒN DE ARCHIVO     I     Observaciones:     I          I     Su petición fue atendida" u="1"/>
        <s v="Se  testan los datos del folio:  0064100921521" u="1"/>
        <s v="Se testan los datos y se sustituye el archivo de la solicitud con folio: 0110000057221" u="1"/>
        <s v="Notificación de seguimiento  [  MA2011202001 ]      I         I     Estimado(a):                     Adriana Elizabeth Hernández Garcia    I          I    Le informamos que su ticket correspondiente a:    I                       I    Por medio del presente te comento que al validar el paso denominado Registro de la Resolución Firmada relativo al recurso:     I        I    RRD 01221/20 la PNT se queda pasmada y NO APARECEN las ventanas donde se registran las fechas de firma de los comisionados; de tal manera que queda en blanco.      I    Al respecto, te solicito se realicen las gestiones necesarias a efecto de que se pueda validar el paso referido y estar en condición de continuar con el proceso de notificación de la resolución.    I         I    Aplicación:                  SIGEMI    I    Tipo de Soporte:         CORRECCIÓN DE INCIDENCIA        I    Observaciones:                I         I    Su petición fue atendida    I    " u="1"/>
        <s v="Se generan 16 certificados para la dependencias." u="1"/>
        <s v="Se  testan los datos del folio: 0064101340621" u="1"/>
        <s v="Se sustituye archivo adjunto  del folio: 0001600085921" u="1"/>
        <s v="Notificación de seguimiento  [  MA2608202005 ]      I         I         I    Estimado(a):                     Betzabé Flores Terán    I         I    Le informamos que su ticket correspondiente a:    I                       I    Solicito su apoyo para realizar un cambio en la contraseña de acceso a la herramienta de comunicación para la Junta Federal de Conciliación y Arbitraje por la siguiente:    I        I    Contraseña: hcom14100    I        I         I    Aplicación:                  HCOM    I    Tipo de Soporte:         CAMBIO DE CONTRASEÑA      I        I    Observaciones:         I                I    Su petición fue atendida    I          I    " u="1"/>
        <s v="Revisión de flujo de declaración de Intereses, Integracion de campo homoclave en captura de Declaración de Conflicto de intereses" u="1"/>
        <s v="Notificación de seguimiento  [  MA0203202008 ]      I         I         I    Estimado(a):                     Rafael González García    I         I    Le informamos que su ticket correspondiente a:    I                       I    BAJA DEL SUJETO OBLIGADO Instituto Nacional de la Infraestructura Física Educativa    I         I    Aplicación:                  HCOM    I    Tipo de Soporte:         BAJA DE SUJETO OBLIGADO       I    Observaciones:                I         I    Su petición fue atendida conforme a lo descrito al oficio anexo    I        I         I                Favor de validar.    I         I    Estatus:                               Concluido.    I        I    " u="1"/>
        <s v="Mostrar lista de catálogo integrante en la interfaz gráfica de pizarra global como combo box" u="1"/>
        <s v="Notificación de seguimiento  [  MA2107202003 ]      I         I         I    Estimado(a):                     Sergio Rafael Cortés Alpizar    I         I    Le informamos que su ticket correspondiente a:    I                       I    Por medio del presente, solicito se regrese la actividad a &quot;Preparación del Proyecto de Resolución&quot;  de los siguientes recursos de revisión:    I        I    RRA 05171/20 vs CRE    I    RRA 05191/20 vs ISSSTE    I    RRA 05381/20 vs HRAEY    I        I    Lo anterior se debe a que se van a corregir los acuerdos y se volverá a enviar.    I         I    Aplicación:                  SIGEMI    I    Tipo de Soporte:         REGRESO DE PASOS  ( 3 )    I    Observaciones:                I         I    Su petición fue atendida    I         I    " u="1"/>
        <s v="Accesos a Estadísticas AIP" u="1"/>
        <s v="Se  testan los datos del folio: 0110000075721" u="1"/>
        <s v="Notificación de seguimiento  [  MA2508202001 ]      I         I         I    Estimado(a):                     José Fermín Aguilar Mandujano    I         I    Le informamos que su ticket correspondiente a:    I                       I    proporcionar el acuse o explicar que fue lo que ocurrió, cabe señalar que como antecedente en esta consulta se había regresado el paso como se observa en correo adjuntos mencionados líneas abajo, por lo cual , no sé si esto afecto la generación del acuse.    I         I         I    Aplicación:                  HCOM    I    Tipo de Soporte:         CONSULTA      I    Observaciones:                I         I    Su petición fue atendida, se adjunta acuse localizado     I    " u="1"/>
        <s v="Se  testan los datos del folio: 0000700175221" u="1"/>
        <s v="Notificación de seguimiento  [  MA1506202007 ]      I         I         I    Estimado(a):                     Pedro Esquivel Martínez    I         I    Le informamos que su ticket correspondiente a:    I                       I    Anexo el registro actualizado del certificado del Titular de la Unidad de Enlace del  “Comisión Nacional para la Mejora Continua de la Educación” Lo Anterior a fin de que sus accesos sean habilitados en los otros sistemas que administra este Instituto (HCOM).  CAMBIO DE CERTIFICADO, en cuanto se reciba la atención en HCOM se realizará la actualización de los demás sistemas correspondientes.    I    su amable apoyo a fin de que sea regresado el paso del recurso de revisión RRA 7303/19  al paso admitir/prevenir/desechar    I        I         I    Aplicación:                  HCOM    I    Tipo de Soporte:         CAMBIO DE CERTIFICADO       I    Observaciones:                I         I    Su petición fue atendida    I    " u="1"/>
        <s v="Se  testan los datos del folio: 0064100853721" u="1"/>
        <s v="Notificación de seguimiento  [  MA0604202002 ]      I         I         I    Estimado(a):                     Tiara Gethsemanni Miranda Fuentes    I         I    Le informamos que su ticket correspondiente a:    I                       I        I    Por medio de presente, solicito de la manera más atenta, su apoyo para retroceder los pasos en el sistema SIGEMI-SICOM en la PNT del asunto que se enlista a continuación; hasta la actividad “Registrar información de la sesión del pleno”; sin más por el momento, quedo en espera de sus comentarios.    I        I    RRA-RCRD 02677/20.    I        I         I    Aplicación:                  SIGEMI    I    Tipo de Soporte:         REGRESO DE PASOS      I    Observaciones:                I         I    Su petición fue atendida    I         I        I    " u="1"/>
        <s v="Notificación de seguimiento  [  MA2202202127 ]      I         I         I    Estimado(a):                     Gloria Bravo Reyna    I         I         I    Le informamos que su ticket correspondiente a:    I                       I    se actualice la contraseña de ingreso a Herramienta de Comunicación del sujeto obligado INAI, para quedar como Inai06738     I        I         I    Aplicación:                  HCOM    I    Tipo de Soporte:         CAMBIO DE CONTRASEÑA     I    " u="1"/>
        <s v="Se testan los datos de la solicitud con folio: 0064101642621" u="1"/>
        <s v="Se aplica el testado de datos de la solicitud: 1816400028920" u="1"/>
        <s v="Se testan los datos de la solicitud con folio: 0064101662621" u="1"/>
        <s v="actualizacion carga publica " u="1"/>
        <s v="Activación del motor de busqueda para archivos" u="1"/>
        <s v="Se aplica testado de datos al folio: 0064103275220" u="1"/>
        <s v="Notificación de seguimiento  [  MA1411202202 ]    I        I    Estimado(a):                Alondra Jiménez Hernández    I        I     Le informamos que su ticket correspondiente a:    I        I        I    Se solicita la renovación del certificado del Titular de la Unidad de Transparencia de la Secretaría de Energía, en la Herramienta de Comunicación. Se precisa que se conservará la misma contraseña.     I        I    Clave_x0009_Sujeto obligado_x0009_SIGLAS_x0009_Nombre del responsable de transparencia_x0009_Correo electrónico del responsable de transparencia    I    00018_x0009_Secretaría de Energía_x0009_SENER_x0009_Marcela Pozos Jerónimo_x0009_mpozos@energia.gob.mx     I        I    Aplicación:                 HCOM    I    Tipo de Soporte        ACTUALIZACIÓN DE CERTIFICADO    I    Observaciones:           I    Su petición fue atendida    I        I    Favor de validar.    I    Estatus:                               Concluido    I    " u="1"/>
        <s v="Notificación de seguimiento  [  MA1102202006 ]      I         I         I    Estimado(a):                     Adriana Elizabeth Hernández García    I         I    Le informamos que su ticket correspondiente a:    I                       I    Por medio del presente te comento que al validar el paso denominado Registro de la Resolución Firmada relativo al recurso:     I        I    RRA 15305/19    I        I    la PNT se queda pasmada y NO APARECEN las ventanas donde se registran las fechas de firma de los comisionados; de tal manera que queda en blanco.      I    Al respecto, te solicito se realicen las gestiones necesarias a efecto de que se pueda validar el paso referido y así estar en condición de cargar las fechas y que pueda ser notificada la resolución.    I        I         I    Aplicación:                  SIGEMI    I    Tipo de Soporte:         Corrección de incidencia       I    Observaciones:                I         I    Su petición fue atendida    I    " u="1"/>
        <s v="Notificación de seguimiento  [  MA1509202010 ]      I         I         I    Estimado(a):                     Lorena Martínez González    I         I    Le informamos que su ticket correspondiente a:    I                       I    Buen día, por medio del presente solicito su apoyo para que, respecto del recurso de revisión  RRA 08923/20, se realicen las actuaciones pertinentes en la Plataforma Nacional de Transparencia a fin de registrar como medio de notificación del recurrente, el correo electrónico:     I    m.cedillo@microxperts.com.mx     I        I    Lo anterior, toda vez que el particular señaló el mismo como medio de notificación en su recurso de revisión y si bien en la PNT se registró dicho medio, el correo electrónico que se encuentra registrado está incompleto.     I         I    Aplicación:                  SIGEMI    I    Tipo de Soporte:         CAMBIO DE MEDIO       I    Observaciones:                I         I    Su petición fue atendida    I    " u="1"/>
        <s v="Incidencia con los menús en mobile" u="1"/>
        <s v="Resolución de incidencias " u="1"/>
        <s v="Reporte de solicitudes con corte del 18 de Mayo" u="1"/>
        <s v="proceso de construcción: metodologia y documentos " u="1"/>
        <s v="    I    Notificación de seguimiento  [  MA1302202003 ]      I          I    Estimado(a):                     Lizbeth Adriana Cabrera Ortega    I         I    Le informamos que su ticket correspondiente a:    I                       I    Podrían apoyarme en suprimir el recurso que cargue manualmente de forma duplicada.    I        I    11/02/2020 13/02/2020 10:25 AM nelson Jesús miguel obregón mejía SHCP 0000600025920 Protección de Datos Personales Manual Ver detalle    I        I        I         I    Aplicación:                  SIGEMI    I    Tipo de Soporte:         SUPRIMIR RECURSO       I    Observaciones:                I         I    Su petición fue atendida    I    " u="1"/>
        <s v="Mensaje en el home" u="1"/>
        <s v="Se sustituye archivo adjunto del folio: 1117100048720." u="1"/>
        <s v="Creación de VM para emular el ambiente del sistema Archive server" u="1"/>
        <s v="Se aplica testado de datos al folio: 1816400085520." u="1"/>
        <s v="Análisis de incidencias" u="1"/>
        <s v="Se elmina la respuesta del folio:  0673800037221" u="1"/>
        <s v="Se testan 16 solicitudes del SO IMSS" u="1"/>
        <s v="Notificación de seguimiento  [  MA2806202107 ]    I        I    Estimado(a):                Pedro Esquivel Martínez    I        I         I     Le informamos que su ticket correspondiente a:    I                       I    por este medio Anexo el registro actualizado del certificado del Titular de la Unidad de Enlace de “Comisión Nacional de Libros de Texto Gratuitos”.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CAMBIO DE CERTIFICADO      I    Observaciones:                I         I    Su petición fue atendida    I         I    " u="1"/>
        <s v="    I    Notificación de seguimiento  [  MA2409202001 ]      I         I         I    Estimado(a):                     Edgar Nicolás Flores Salguero    I         I    Le informamos que su ticket correspondiente a:    I        I    Estimados compañeros buenas tardes, en alcance al correo que antecede enviado el día de ayer al correo &quot;gestión recursos INAI&quot; con la finalidad de recibir su amable atención en apoyarnos en regresar un paso en la PNT, a efecto de dejar insubsistente el cierre de instrucción del recurso de revisión RRA 8591/20 y estar en posibilidad de notificar al sujeto obligado un Requerimiento de Información Adicional.    I                      I        I    Aplicación:                  SIGEMI    I    Tipo de Soporte:         ELIMINAR CIERRE DE   INSTRUCCIÓN     I    Observaciones:                I         I    Su petición fue atendida    I         I        I    " u="1"/>
        <s v="Notificación de seguimiento  [  MA1404202123 ]      I         I         I    Estimado(a):                     Pedro Esquivel Martínez    I         I         I    Le informamos que su ticket correspondiente a:    I                       I    realizar la actualización del titular del sujeto obligado &quot;Redes Sociales Progresistas&quot; en la Herramienta de comunicación, se adjunta cuadro descriptivo y certificado .cer    I        I         I    Clave Presupuestal    Sujeto Obligado Titular de la unidad de transparencia    CERTIFICADO A GENERAR    Contraseña    Correo    I    22400      I    Redes Sociales Progresistas Livia Lizbeth Guerrero Maldonado 22400.Livia Lizbeth Guerrero Maldonado HCOM:    I    HCOM22400     I         I    INFOMEX    I    SISI22400     I      transparencia@redessocialesprogresistas.org    I        I         I         I    Aplicación:                  HCOM    I    Tipo de Soporte:         CAMBIO TUT       I    Observaciones:                I         I    Su petición fue atendida    I    " u="1"/>
        <s v="    I    Notificación de seguimiento  [  MA2602202013 ]      I         I         I    Estimado(a):                     María Guadalupe Rodríguez Morales    I         I    Le informamos que su ticket correspondiente a:    I                       I    En relación con el recurso de revisión  RRD 00338/20 UNAM OMGF, solicito de su invaluable apoyo para que a la brevedad en la PNT se regrese al paso “Admitir/Prevenir/Desechar”, toda vez que por error se eligió la opción “Desechar”, siendo que el recurso será prevenido.    I         I          I    En ese sentido, solicito que se haga el cambio correspondiente para poder realizar la notificación del acuerdo de prevención dentro de los plazos previstos en la ley.    I        I         I    Aplicación:                  SIGEMI    I    Tipo de Soporte:         REGRESO DE PASOS      I    Observaciones:                I         I    Su petición fue atendida    I         I    " u="1"/>
        <s v="    I    Notificación de seguimiento  [  MA2602202008 ]      I         I         I    Estimado(a):                     Lizbeth Adriana Cabrera Ortega    I         I    Le informamos que su ticket correspondiente a:    I                       I    Puedo solicitar tu valioso apoyo a fin de modificar la fecha de interposición al día hábil siguiente del recurso de INFOMEX que detallo a continuación:    I         I    25/02/2020 25/02/2020 18:03 PM Carlos Carabaña REGISTRO AGRARIO NACIONAL 1511100114919    I        I         I    Aplicación:                  SIGEMI    I    Tipo de Soporte:         Cambio de fecha de interposición      I    Observaciones:                I         I    Su petición fue atendida    I    " u="1"/>
        <s v="Notificación de seguimiento  [  MA0508202009 ]      I         I         I    Estimado(a):                     Edgar Michel Loaeza Martínez    I         I    Le informamos que su ticket correspondiente a:    I                       I    dar de alta los certificados que se adjuntan, sujeto obligado de la Secretaría de Hacienda y Crédito Público.    I        I        I         I    Aplicación:                  HCOM    I    Tipo de Soporte:         Actualización de certificados     I    Observaciones:                I         I    Su petición fue atendida, se realizó la actualización de certificados con los enviados el día de hoy.    I        I    El cambio de titular del Sujeto Obligado Fideicomiso para el Fondo Regional (FIFONREGIÓN) se realizó con el certificado 06015.Raul.Munoz.Cordova, sin embargo la clave correcta del SO es 06921, no la 6015 como se señalo en la petición    I        I         I                Favor de validar.    I         I    Estatus:                               Concluido.    I    " u="1"/>
        <s v="Buenos días Martha, tu petición fue atendida, favor de validar     I        I    Saludos     I        I    Marina Adame Velasco    I        I    Notificación de seguimiento  [  MA1009202001 ]      I        I    Aplicación:                  INFOMEX NUEVO LEÓN    I    Tipo de Soporte:         AJUSTE DE PLAZOS        I    Estatus:                               Concluido.    I        I    " u="1"/>
        <s v="Reporte de solicitudes" u="1"/>
        <s v="Buenas tardes Guillermo, tu solicitud fue atendida, favor de validar    I        I    Saludos    I        I    Marina Adame Velasco    I        I    Notificación de seguimiento  [  MA3010202003 ]    I        I        I    SISTEMA [  INFOMEX BCN ]    I    " u="1"/>
        <s v="    I    Notificación de seguimiento  [  MA0112202001 ]      I         I         I    Estimado(a):                     Guillermo Delgado Ibarra    I         I         I    Le informamos que su ticket correspondiente a:    I                       I    modificar las fechas de inicio de plazos para las siguientes solicitudes, eso por motivo de la contigencia y requerimiento del SO    I         I    Aplicación:                  INFOMEX BCN    I    Tipo de Soporte:         AJUSTE DE PLAZOS        I    Observaciones:                I         I    Su petición fue atendida    I    " u="1"/>
        <s v="Notificación de seguimiento [ MA2701202009 ]     I          I          I     Estimado(a): Sergio Rafael Cortés Alpizar    I          I     Le informamos que su ticket correspondiente a:    I          I     Por este medio solicito su apoyo para que se cancele o borre la actividad de “Acceso a información clasificada” que viene en la opción 9 de notificación de audiencia en la Plataforma Nacional del Transparencia del siguiente recurso de revisión:    I         I     RRA 14883/19 vs INE    I         I     Lo anterior se debe a que se anexo una acuerdo erróneo y se va a volver a enviar el archivo correcto.    I         I         I          I     Aplicación: SIGEMI    I     Tipo de Soporte: cancelar actividad en historico    I     Observaciones:     I          I     Su petición fue atendida" u="1"/>
        <s v="Configuración de dos instancias de Moodle " u="1"/>
        <s v="    I    Notificación de seguimiento  [  MA2311202013 ]      I         I         I    Estimado(a):                     JUAN PEDRO RAMIREZ FLORES    I         I         I    Le informamos que su ticket correspondiente a:    I                       I    eliminar los turnos RRAIP-1342/2020, RRAIP-1343/2020 y RRAIP-1344/2020     I        I    Aplicación:                  HCOM    I    Tipo de Soporte:         CAMBIO TUT       I    Observaciones:                I         I    Su petición fue atendida, se ajusto el consecutivo para que el nuevo turno sea el 1342    I         I    " u="1"/>
        <s v="Se elimina la respuesta del folio:  1102200000521, 1102200000621 y 1102200000721 " u="1"/>
        <s v="Realizar la clase Controller, Service, Dao para la operación de consulta de linea estrategica" u="1"/>
        <s v="Notificación de seguimiento  [  MA2104202002 ]      I         I         I    Estimado(a):                     Martha Rubí Zaragoza Mora    I         I    Le informamos que su ticket correspondiente a:    I                       I    AJUSTE DE PLAZOS REQUERIDOS     I        I         I    Aplicación:                  INFOMEX NUEVO LEÓN    I    Tipo de Soporte:         AJUSTE DE PLAZOS       I    Observaciones:                I         I    Su petición fue atendida    I         I         I                Favor de validar.    I         I    Estatus:                               Concluido.    I        I    " u="1"/>
        <s v="Notificación de seguimiento  [  MA1802202003 ]      I         I         I    Estimado(a):                     MARIO MEDRANO     I         I    Le informamos que su ticket correspondiente a:    I                       I    rescatar el número de recurso RR/60/20 con los datos del ahora recurso RR/061/20    I         I    Aplicación:                  SIGEMI    I    Tipo de Soporte:         Ajuste de consecutivo y folio       I    Observaciones:                I         I    Su petición fue atendida, se realizó la actualización del expediente RR/061/20 quedando como el RR/060/20, el siguiente turno que se generará será el RR/061/20    I         I         I                Favor de validar.    I         I    Estatus:                               Concluido.    I        I    " u="1"/>
        <s v="procesos snt pasos" u="1"/>
        <s v="Script BD declaración inicial Pedro Gallegos" u="1"/>
        <s v="Maquetación de la sección 9 de UT respuestas" u="1"/>
        <s v="    I    Notificación de seguimiento  [  MA2311202004 ]      I         I         I    Estimado(a):                     Iván Emmanuel Sánchez Morales    I         I         I    Le informamos que su ticket correspondiente a:    I                       I    se regrese el paso de “notificación de admisión”, respecto del recurso de revisión RRD 01582/20 del Instituto Mexicano del Seguro Social. Lo anterior, para estar en condiciones de notificar la prevención correspondiente a través del paso respectivo.    I        I    En virtud de lo señalado, hago de tu conocimiento que por un error involuntario, se gestionó el paso de admisión en vez del paso de prevención.    I        I    En este sentido, te informo que el sujeto obligado ya fue notificado del error involuntario.    I         I    Aplicación:                  SIGEMI    I    Tipo de Soporte:         REGRESO DE PASOS        I    Observaciones:                I         I    Su petición fue atendida    I         I    " u="1"/>
        <s v="    I    Notificación de seguimiento  [  MA1706202004 ]      I         I         I    Estimado(a):                     Sergio Rafael Cortés Alpizar    I         I    Le informamos que su ticket correspondiente a:    I                       I    Por medio del presente, solicito el regreso de actividad a &quot; Admitir / Prevenir / Desechar&quot; del siguiente recurso de revisión:    I        I    RRA 5001/20 vs SCT    I        I    Lo anterior se debe a que se anexo un archivo mal y se enviara de nuevo el acuerdo correcto.    I        I    Ya están avisadas ambas partes.    I         I    Aplicación:                  SIGEMI    I    Tipo de Soporte:         REGRESO DE PASOS      I    Observaciones:                I         I    Su petición fue atendida    I    " u="1"/>
        <s v="Generación de script para el reconocimiento de caracteres dentro del SISAI" u="1"/>
        <s v="Notificación de seguimiento  [  MA1303202001 ]      I         I         I    Estimado(a):                     Rafael Gonzalez    I         I    Le informamos que su ticket correspondiente a:    I                       I    Actualización de fecha de Interposición en archivos json    I         I    Aplicación:                  SIGEMI    I    Tipo de Soporte:         Revisión de fechas  (20 archivos)    I    Observaciones:                I         I    Su petición fue atendida, se revisaron los archivos json relacionados con los recursos cuya fecha se cambio del 5 al 6 de marzo, sin embargo en ninguno viene la referencia de la fecha de interposición    I         I         I                Favor de validar.    I         I    Estatus:                               Concluido.    I        I    " u="1"/>
        <s v="Validación de etiquetado final" u="1"/>
        <s v="Se aplica testado de datos al folio: 0000700084420." u="1"/>
        <s v="Se agregan modelo. vistas y metodos para recibir notificaciones push de avisos" u="1"/>
        <s v="Se corrigió incidencia en FOLIO INTERNO" u="1"/>
        <s v="Se buscan los datos y parametros necesarios para abrir pantallas de detalle al llegar una push notification" u="1"/>
        <s v="Se sustituye archivo adjunto y se testan los datos del folio:  1816400005821" u="1"/>
        <s v="Se envian de forma local notificaciones al generar solicitudes unicamente para iOS" u="1"/>
        <s v="Se orienta a la usuaria para su ingreso al sistema precedentes." u="1"/>
        <s v="Se  testan los datos del folio:   0064100358021" u="1"/>
        <s v="Se sustituye archivo adjunto  del folio: 0064103310620" u="1"/>
        <s v="Reunion para ver temas de problemas con desbordamiento de memoria en JBOSS    I    " u="1"/>
        <s v="Se realizo el home de CBPR" u="1"/>
        <s v="Notificación de seguimiento  [  MA1702202202 ]    I        I    Estimado(a):                Alondra Jiménez Hernández    I        I         I     Le informamos que su ticket correspondiente a:    I                       I    Como te comenté en mi correo inicial, se trata de un sujeto obligado indirecto de la FGR, por lo que el certificado de TUT ya se encuentra registrado para la FGR. Por esta razón, te pido sea generado un certificado genérico a nombre de la TUT para el nuevo sujeto obligado y así lo puedas habilitar en los sistemas. Los datos son los siguientes:    I    Clave Sujeto obligado Nombre del Titular de la Unidad de Transparencia Correo electrónico    I    17010 Fondo para el Mejoramiento de la Procuración de Justicia Adi Loza Barrera aloza@pgr.gob.mx    I        I         I    Aplicación:                  HCOM    I    Tipo de Soporte:         GENERACIÓN Y ACTUALIZACIÓN DE CERTIFICADO       I    Observaciones:                I         I    Su petición fue atendida, la contraseña es HCOM2022, se adjunta certificado     I         I    " u="1"/>
        <s v="Buenas tardes Jaime, tu petición fue atendida, favor de validar     I        I    Saludos     I        I    Marina Adame Velasco    I        I    Notificación de seguimiento  [  MA0306202008 ]      I        I    Aplicación:                  INFOMEX ZACATECAS    I    Tipo de Soporte:         Script       I    Estatus:                               Concluido.    I    " u="1"/>
        <s v="Notificación de seguimiento  [  MA0402202004 ]    I        I         I    Estimado(a):                     Ricardo Marin González    I         I    Le informamos que su ticket correspondiente a:    I                       I    LAS SIGLAS AL FINAL DEL EXPEDIENTE NO SE MODIFICARON, DICE PNTRR/015-20/CYDV Y DEBE DECIR PNTRR/015-20/NJLB. NOS PUEDEN APOYAR CON ESO?    I        I         I    Aplicación:                  SIGEMI    I    Tipo de Soporte:         AJUSTE DE FOLIO      I    " u="1"/>
        <s v="    I    Buenas tardes Martha, tu petición fue atendida, favor de validar     I        I    Saludos     I        I    Marina Adame Velasco    I        I    Notificación de seguimiento  [  MA0204202007 ]      I        I    Aplicación:                  INFOMEX NUEVO LEÓN    I    Tipo de Soporte:         Corrección de PLAZOS       I    Estatus:                               Concluido.    I        I    " u="1"/>
        <s v="    I    Buenas tardes Martha, tu petición fue atendida, favor de validar     I        I    Saludos     I        I    Marina Adame Velasco    I        I    Notificación de seguimiento  [  MA3103202001 ]      I        I    Aplicación:                  INFOMEX NUEVO LEÓN    I    Tipo de Soporte:         Corrección de plazos       I    Estatus:                               Concluido.    I        I    " u="1"/>
        <s v="Notificación de seguimiento  [  MA2408202014 ]      I         I         I    Estimado(a):                     Giovanna Elizabeth Méndez Esquivel    I         I    Le informamos que su ticket correspondiente a:    I                       I    retroceder los pasos en el sistema SIGEMI-SICOM en la PNT de los asuntos que se enlistan a continuación; hasta la actividad “Registrar información de la sesión del pleno     I         I    Aplicación:                  SIGEMI    I    Tipo de Soporte:         REGRESO DE PASOS  ( 39 )     I    Observaciones:                I         I    Su petición fue atendida    I         I         I    " u="1"/>
        <s v="Analisis de Buscadores " u="1"/>
        <s v="Avance mockups segumiento de actividades" u="1"/>
        <s v="Se desarrollò la pàgina de Principios dentro del sitio de comite de etica, agregando la informaciòn compartida con base en el diseño compartido" u="1"/>
        <s v="Buenas tardes Martha, tu petición fue atendida, favor de validar     I        I    Saludos     I        I    Marina Adame Velasco    I        I    Notificación de seguimiento  [  MA0109202004 ]      I        I    Aplicación:                  INFOMEX NUEVO LEÓN     I    Tipo de Soporte:         AJUSTE DE PLAZOS        I    Estatus:                               Concluido.    I    " u="1"/>
        <s v="Buenas tardes Martha, tu petición fue atendida, favor de validar     I        I    Saludos     I        I    Marina Adame Velasco    I        I    Notificación de seguimiento  [  MA1407202003 ]      I        I    Aplicación:                  INFOMEX NUEVO LEÓN     I    Tipo de Soporte:         Ajuste de plazos        I    Estatus:                               Concluido.    I    " u="1"/>
        <s v="Buenas tardes Martha, tu petición fue atendida, favor de validar     I        I    Saludos     I        I    Marina Adame Velasco    I        I    Notificación de seguimiento  [  MA1506202001 ]      I        I    Aplicación:                  INFOMEX NUEVO LEÓN     I    Tipo de Soporte:         AJUSTE DE PLAZOS        I    Estatus:                               Concluido.    I    " u="1"/>
        <s v="Buenas tardes Martha, tu petición fue atendida, favor de validar     I        I    Saludos     I        I    Marina Adame Velasco    I        I    Notificación de seguimiento  [  MA1708202006 ]      I        I    Aplicación:                  INFOMEX NUEVO LEÓN     I    Tipo de Soporte:         AJUSTE DE PLAZOS        I    Estatus:                               Concluido.    I    " u="1"/>
        <s v="Buenas tardes Martha, tu petición fue atendida, favor de validar     I        I    Saludos     I        I    Marina Adame Velasco    I        I    Notificación de seguimiento  [  MA2905202005 ]      I        I    Aplicación:                  INFOMEX NUEVO LEÓN     I    Tipo de Soporte:         AJUSTE DE PLAZOS        I    Estatus:                               Concluido.    I    " u="1"/>
        <s v="Definición de herramienta para realizar la extracción de datos" u="1"/>
        <s v="Implementación de ambiente de trabajo de Consulta Publica (Declaranet)" u="1"/>
        <s v="Notificación de seguimiento [ MA2901202005]     I         I         I          I     Estimado(a): Lizbeth Adriana Cabrera Ortega    I          I     Le informamos que su ticket correspondiente a:    I         I         I          I     Con el gusto de saludarte y a fin de atender la petición de la ponencia me permito solicitar tu valioso apoyo para que el expediente correspondiente al recurso de revisión RRD 00153/20 conste como fecha de interposición 21 de enero.    I         I          I     Aplicación: SIGEMI    I     Tipo de Soporte: Actualización de datos y archivo     I     Observaciones:     I          I     Su petición fue atendida    I          I         I          I      Favor de validar.    I          I     Estatus: Concluido." u="1"/>
        <s v="Se aplica el testado de datos de la solicitud: 0000700002620." u="1"/>
        <s v="Se aplica testado de datos al folio: 1816400076920." u="1"/>
        <s v="Se cambia el tipo de solicitud del folio: 0130000004521" u="1"/>
        <s v="Notificación de seguimiento  [  MA1610202001 ]      I         I         I    Estimado(a):                     Lizbeth Adriana Cabrera Ortega    I         I    Le informamos que su ticket correspondiente a:    I                       I    generación de TRES EXPEDIENTES BIS, de los recursos citados a continuación.    I         I    Asimismo, te comento que NO DEBERÁ CAMBIAR el sujeto obligado, ni el Comisionado correspondiente.      I         I     DICE                                        DEBE DECIR                         SUJETO OBLIGADO           PONENTE    I    RRA 10790/20 RRA 8036/18-BIS PREVENCIÓN Y READAPTACIÓN SOCIAL FJAL    I    RRA 10791/20 RRA 5784/19-BIS SENADO DE LA REPÚBLICA JRV    I    RRA 10792/20     I    RRA 4739/18 -BIS Policía Federal JRV    I         I        I    No omito comentarte que el número de expediente que deberá seguir en el consecutivo por turnar en PNT debe ser el RRA 10790/20.    I        I    ASIMISMO, SI ME LO PERMITES, QUE LOS EXPEDIENTES BIS NO LLEVEN 0 A LA IZQUIERDA, QUE QUEDEN A 4 POSICIONES POR FAVOR.    I        I        I         I    Aplicación:                  SIGEMI    I    Tipo de Soporte:         cambio a BIS ( 3 )      I    Observaciones:                I         I    Su petición fue atendida    I    " u="1"/>
        <s v="Se desarrollò la pàgina de Acciones realizadas programas dentro del sitio de comite de etica, agregando la informaciòn compartida con base en el diseño compartido" u="1"/>
        <s v="Se desarrollò la pàgina de marco normativo institucional dentro del sitio de comite de etica, agregando la informaciòn compartida con base en el diseño compartido" u="1"/>
        <s v="Se desarrollò la pàgina de marco normativo internacional dentro del sitio de comite de etica, agregando la informaciòn compartida con base en el diseño compartido" u="1"/>
        <s v="Módulo para la carga masiva de usuarios." u="1"/>
        <s v="Desarrollo y validación de webservice para la actualizacion de avisos " u="1"/>
        <s v="Se validó el paquete-procedimiento 'OBTENER_ULTIMA_RESPUESTA' con el bloque anónimo correcto y se tuvo un resultado exitoso con la salida del cursor completo de nuevo" u="1"/>
        <s v="    I    Notificación de seguimiento  [  MA2409202005 ]      I         I         I    Estimado(a):                     Rosalinda Coria Mosqueda    I         I    Le informamos que su ticket correspondiente a:    I                       I    Regreso de paso en el recurso RRA 1895/20    I        I         I    Aplicación:                  SIGEMI    I    Tipo de Soporte:         REGRESO DE PASOS      I    Observaciones:                I         I    Su petición fue atendida    I         I    " u="1"/>
        <s v="Construccion vista para resultados busqueda Sueldos, tambien se construye un modelo y json de pruebas" u="1"/>
        <s v="Se testan los datos de la solicitud con folio:0064101582621" u="1"/>
        <s v="Evaluación de datos estructurados, semi-estructurados y no estructurados" u="1"/>
        <s v="Se  testan los datos de la solicitud con folio 0064100812721    I    " u="1"/>
        <s v="    I    Notificación de seguimiento  [  MA0810202006 ]      I         I         I    Estimado(a):                     Betzabé Flores Terán    I         I    Le informamos que su ticket correspondiente a:    I                       I    Solicito su apoyo para eliminar el requerimiento IFAI-REQ-002475-2020 enviado el día de hoy.    I        I         I    Aplicación:                  HCOM    I    Tipo de Soporte:         ELIMINAR REQUERIMIENTO      I    Observaciones:                I         I    Su petición fue atendida    I         I        I    " u="1"/>
        <s v="Actualización del  Excel (SISAI_catalogos_TareaXEdos.xlsx)  con la incorporación de nuevos registros de plantillas, por lo que se debió actualizar el proceso completo de inserts de las 32 entidades de la tabla SISAI_TW_CONFIG_RESPUESTAS, pero quedó pendiente de validar debido a que 2 registros identifiqué duplicados y otros dos registros la secuencia causó dudas, por tanto se consultó con Samuel quién dijo se deberá consultar con Roberto." u="1"/>
        <s v="Buenas tardes Yarenni, te comento que el error reportado se debe a que la configuración de los calendarios es incorrecta, para corregirlo hay que marcar en la parte de abajo un horario de atención, en todos los calendarios donde se haya eliminado, ya que esta configuración es necesaria e independiente de la configuración de días inhabiles, favor de validar     I        I    " u="1"/>
        <s v="    I    Notificación de seguimiento  [  MA1509202005 ]      I         I         I    Estimado(a):                     Ricardo Marin Gonzalez    I         I    Le informamos que su ticket correspondiente a:    I                       I    AMPLÍA LA SUSPENSIÓN DE LOS PLAZOS Y TRÁMITES PARA LAS SOLICITUDES DE ACCESO A LA INFORMACIÓN, LAS SOLICITUDES PARA EL EJERCICIO DE LOS DERECHOS ARCO, LOS RECURSOS DE REVISIÓN RESPECTIVOS, Y DENUNCIAS POR INCUMPLIMIENTO A LAS OBLIGACIONES DE TRANSPARENCIA, HASTA EL DIA 2 DE OCTUBRE DE 2020.    I        I         I    Aplicación:                  SIGEMI    I    Tipo de Soporte:         REVISIÓN DE PLAZOS       I    Observaciones:                I         I    Su petición fue atendida, anexo el calculo de plazos para las fechas de votación para su validación    I         I         I                Favor de validar.    I         I    Estatus:                               Concluido.    I        I    " u="1"/>
        <s v="Generación de script de lematización de texto" u="1"/>
        <s v="Corrección de Queries y pruebas en producción" u="1"/>
        <s v="Notificación de seguimiento  [  MA2904202008 ]      I         I         I    Estimado(a):                     Berenice Hernández Sumano    I         I    Le informamos que su ticket correspondiente a:    I                       I    Estimados compañeros, por este medio solicito su apoyo para poder aplicar un recorrido a la fecha límite de entrega de Información Relacionada con el Cumplimiento y la fecha límite de entrega de Alegatos y manifestaciones, de los recursos señalados en el archivo adjunto.    I        I    Asimismo solicito pueda liberarse la actividad de cumplimiento en el perfil de los sujetos obligados ya que desde SICOM esta actividad se cierra cuando vence el plazo de 10 días y la actividad de entrega de Alegatos vence en un plazo de 7 días.    I         I    Aplicación:                  SIGEMI    I    Tipo de Soporte:         AJUSTE DE PLAZOS      I    Observaciones:                I         I    Su petición fue atendida    I         I    " u="1"/>
        <s v="En este contexto, y derivado de esta primera etapa de implementación en México, hoy contamos con diversas opciones para el público en general, las cuales tienen el propósito de difundir información pública y estadística," u="1"/>
        <s v="Continúa la extracción de adjuntos del estado de Zacatecas vía http.    I    Continúa el apoyo en consultas y validación de la información generada con las bases de datos en custodia (casos de diversos estados) en lo referente principalmente a documentación adjunta." u="1"/>
        <s v="Se aplica testado de datos al folio:  011000019921" u="1"/>
        <s v="Análisis para la configuración de Sistema Operativo de Jboss" u="1"/>
        <s v="Continúa el apoyo en consultas y validación de la información generada con las bases de datos en custodia (casos de diversos estados) en lo referente principalmente a documentación adjunta.      I    Continúa el proceso de análisis comparativo de la información de los catálogos de municipio, colonias y código postal de entre VUT y Federado, terminado esto se iniciará la confronta contra el productivo." u="1"/>
        <s v="Se elimina la respuesta del folio: 0064100685221" u="1"/>
        <s v="Interfaz login redes sociales" u="1"/>
        <s v="Generación de scripts para unificación del texto a etiquetar" u="1"/>
        <s v="    I    Notificación de seguimiento  [  MA2409202004 ]      I         I         I    Estimado(a):                     Rosalinda Coria Mosqueda    I         I    Le informamos que su ticket correspondiente a:    I                       I    Agradeceré su apoyo para regresar a la actividad de admitir/desechar el recurso RRA 03900/20, pues es un Sujeto Obligado con actividades no esenciales y en los meses anteriores se había notificado una admisión, pero están suspendidos los plazos para este Sujeto Obligado    I        I         I    Aplicación:                  SIGEMI    I    Tipo de Soporte:         REGRESO DE PASOS      I    Observaciones:                I         I    Su petición fue atendida    I    " u="1"/>
        <s v="Notificación de seguimiento  [  MA0403202107 ]      I         I         I    Estimado(a):                     Berenice Hernández Sumano    I         I         I    Le informamos que su ticket correspondiente a:    I                       I    aplicar las afectaciones a las fechas de vencimiento y la eliminación de los acuses respectivos de las solicitudes señaladas en el archivo adjunto. Toda vez que el Consejo General aprobará en su Décima Novena Sesión Ordinaria celebrada el día 28 de octubre, aprobó la primera fase del levantamiento a la suspensión de plazos derivado de la Contingencia Sanitaria del COVID-19 para un primer grupo de sujetos obligados y la continuidad de la suspensión de plazos para el resto de sujetos obligados hasta el 22 de marzo 2021.    I        I         I    Aplicación:                  INFOMEX FEDERAL    I    Tipo de Soporte:         AJUSTE DE PLAZOS       I    Observaciones:                I         I    Su petición fue atendida    I         I    " u="1"/>
        <s v="Se aplica eliminación de formato de pago: 0063700203220." u="1"/>
        <s v="Notificación de seguimiento  [  MA0202202101 ]      I         I         I    Estimado(a):                     BERENICE HERNÁNDEZ SUMANO    I          I    Le informamos que su ticket correspondiente a:    I                       I    RESPALDO SEMANAL DE LA BASE DE DATOS INFOMEX    I         I    Aplicación:                  INFOMEX OAXACA    I    Tipo de Soporte:         RESPALDO       I    Observaciones:                I         I    Su petición fue atendida, se subió el respaldo de su base de datos de esta semana…    I        I        I    http://documentos.inai.org.mx/tmp/infomexOAX_backup_2021-02-01_0800.bak    I        I        I    NOTA: El respaldo estará disponible una semana      I    " u="1"/>
        <s v="Configuración de servidor para el día del evento" u="1"/>
        <s v=" Notificación de seguimiento  [  MA2001202110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    I        I         I    Aplicación:                  INFOMEX NUEVO LEÓN    I    Tipo de Soporte:         AJUSTE DE PLAZOS       I    " u="1"/>
        <s v="Se  testan los datos del folio:  0064101440021" u="1"/>
        <s v="Documentación de la configuración y Arranque del sistema" u="1"/>
        <s v="    I    Notificación de seguimiento  [  MA2509202001 ]      I         I         I    Estimado(a):                     Alma Lizbeth Peguero Rivera    I         I    Le informamos que su ticket correspondiente a:    I                       I        I    Por medio de presente, solicito de la manera más atenta, su apoyo para eliminar los siguientes recursos RRA 09336 ya que se encuentra doble   y RRA 02374 ya que se encuentra triple para trabajar en mi paso en la PNT ; sin más por el momento, quedo en espera de sus comentarios.    I        I         I    Aplicación:                  SIGEMI    I    Tipo de Soporte:         REGRESO DE PASOS      I    Observaciones:                I         I    Su petición fue atendida    I    " u="1"/>
        <s v="Notificación de seguimiento  [  MA0704202115 ]      I         I         I    Estimado(a):                     RAFAEL GONZALEZ    I         I         I    Le informamos que su ticket correspondiente a:    I                       I    Lo anterior pues fue determinado que ingresaron en el último día para la presentación del recurso de revisión.    I        I    FECHA DE INTERPOSICIÓN DICE: 24 DE MARZO    I         I    DEBE DECIR: 23 DE MARZO    I         I        I         I    Aplicación:                  SIGEMI    I    Tipo de Soporte:         ACTUALIZAR JSON       I    " u="1"/>
        <s v="Notificación de seguimiento  [  MA1708202009 ]      I         I         I    Estimado(a):                     Rosalinda Coria Mosqueda    I         I    Le informamos que su ticket correspondiente a:    I                       I    regresar a la actividad de admitir/prevenir el recurso RRA 08045/20, toda vez que active desecha y no es correcto.    I         I        I    Aplicación:                  SIGEMI    I    Tipo de Soporte:         REGRESO DE PASOS      I    Observaciones:                I         I    Su petición fue atendida    I         I    " u="1"/>
        <s v="Se aplica testado de datos al folio: 0064100135321" u="1"/>
        <s v="Configuración servidor Flujos" u="1"/>
        <s v="Se elimina la ultima respuesta del folio 0002800051421" u="1"/>
        <s v="Revisión de pendientes finales e inicio de creación de documento de referencia sobre el uso de la librería AMCharts para la creación de gráficas" u="1"/>
        <s v="Verificar instalación en ambient de QA " u="1"/>
        <s v="Notificación de seguimiento  [  MA1812202004 ]      I         I         I    Estimado(a):                     Martha Rubí Zaragoza Mora    I         I         I    Le informamos que su ticket correspondiente a:    I                       I    AJUSTE DE PLAZOS EN SOLICITUDES ENVIADAS    I         I    Aplicación:                 INFOMEX NUEVO LEÓN    I    Tipo de Soporte:         AJUSTE DE PLAZOS        I    Observaciones:                I         I    Su petición fue atendida    I         I    " u="1"/>
        <s v="Notificación de seguimiento  [  MA1812202005 ]      I         I         I    Estimado(a):                     Martha Rubí Zaragoza Mora    I         I         I    Le informamos que su ticket correspondiente a:    I                       I    AJUSTE DE PLAZOS EN SOLICITUDES ENVIADAS    I         I    Aplicación:                 INFOMEX NUEVO LEÓN    I    Tipo de Soporte:         AJUSTE DE PLAZOS        I    Observaciones:                I         I    Su petición fue atendida    I         I    " u="1"/>
        <s v="Se  testan los datos del folio: 0064101374621" u="1"/>
        <s v="Se aplica testado de datos al folio: 0064103304820" u="1"/>
        <s v="Adecuación del tema para implementar la funcionalidad del dinamísmo en todas las páginas tanto publicas como privada de liferay, así como las pruebas locales, en desarrollo y puesta en producción." u="1"/>
        <s v="Se sustituye archivo del folio 0002700095521 " u="1"/>
        <s v="Notificación de seguimiento  [  MA2508202004 ]      I         I         I    Estimado(a):                     Ana Paulina González González    I         I    Le informamos que su ticket correspondiente a:    I                       I        I    Podrían apoyarme con el regreso del paso en el RRA 05358/20 en contra de SEDATU, para poder notificar el Acuerdo de cierre de instrucción, por favor?    I         I    Se notificó un Acuerdo erróneo y por eso se solicita el regreso del paso.    I         I         I    Aplicación:                  SIGEMI    I    Tipo de Soporte:         ELIMINAR CIERRE DE INSTRUCCIÓN       I    Observaciones:                I         I    Su petición fue atendida    I         I        I         I    " u="1"/>
        <s v="Recuperar información del servicio rest catalogo integrante " u="1"/>
        <s v="Elaboración y reunión para entregar recursos java, configuración y war para el proyecto de pizarras para los lideres de proyecto y jefe del proyecto" u="1"/>
        <s v="Definición de herramienta para la descompresión de archivos" u="1"/>
        <s v="Testado de datos y sustituir archivo adjunto  del folio: 1816900003021" u="1"/>
        <s v="Se elimina popup del home" u="1"/>
        <s v="Documento de actividades para el plan de trabajo " u="1"/>
        <s v="Actualización respuesta-solicitante estilos modificados, uploadFile modificado y pulido" u="1"/>
        <s v="Se programo un boton de descarga para las presentaciones de las capacitaciones en linea" u="1"/>
        <s v="Notificación de seguimiento  [  MA2506202001 ]      I         I         I    Estimado(a):                     Pedro Esquivel Martínez    I         I    Le informamos que su ticket correspondiente a:    I                       I         I    Anexo el registro actualizado del certificado del Titular de la Unidad de Enlace del  “INSTITUTO PARA DEVOLVER AL PUEBLO LO ROBADO&quot; ANTES &quot;SERVICIO DE ADMINISTRACIÓN Y ENAJENACIÓN DE BIENES” Lo Anterior a fin de que sus accesos sean habilitados en los otros sistemas que administra este Instituto (HCOM).  CAMBIO DE TITULAR , en cuanto se reciba la atención en HCOM se realizará la actualización de los demás sistemas correspondientes.    I         I        I         I    Aplicación:                  HCOM    I    Tipo de Soporte:         CAMBIO DE TUT         I    Observaciones:                I         I    Su petición fue atendida    I         I        I    " u="1"/>
        <s v="    I    Notificación de seguimiento  [  MA2909202004 ]      I         I         I    Estimado(a):                     Alma Lizbeth Peguero Rivera    I         I    Le informamos que su ticket correspondiente a:    I                       I    Por medio de presente, solicito de la manera más atenta, su apoyo para retroceder los pasos en el sistema SIGEMI-SICOM en la PNT de los siguientes  asuntos RRA 06602/20 JRV, RRA 06645/20 BLIC, RRA 07477/20 JRV, hasta la actividad “Registrar información de la sesión del pleno”; sin más por el momento, quedo en espera de sus comentarios.    I        I         I    Aplicación:                  SIGEMI    I    Tipo de Soporte:         REGRESO DE PASOS  ( 3 )     I    Observaciones:                I         I    Su petición fue atendida    I    " u="1"/>
        <s v="Se  testan los datos del folio: 0064102191021" u="1"/>
        <s v="Evaluación y diseño para análisis de ontología" u="1"/>
        <s v="Se testan los datos de la solicitud con folio:  0064101376021" u="1"/>
        <s v="Se  testan los datos del folio: 0064102265021" u="1"/>
        <s v="Se testan los datos  del folio: 0064101453621" u="1"/>
        <s v="Notificación de seguimiento  [  MA1606202113 ]    I        I        I    Estimado(a):                Betzabé Flores Terán    I        I         I     Le informamos que su ticket correspondiente a:    I                       I    Solicito su apoyo para realizar la modificación en la herramienta de comunicación del .cer que se adjunta, toda vez que hubo un cambio en el Titular de la Unidad de Transparencia.    I        I         I    Aplicación:                  HCOM    I    Tipo de Soporte:         CAMBIO DE TUT      I    Observaciones:                I         I    Su petición fue atendida    I         I    " u="1"/>
        <s v="Notificación de seguimiento  [  MA1801202201 ]    I        I    Estimado(a):                Alondra Jiménez Hernández    I        I         I     Le informamos que su ticket correspondiente a:    I                       I    La Unidad de Transparencia del INAI solicita el cambio de contraseña de la HCOM. Adjunto al correo encontrará en archivo txt. la nueva contraseña que requiere la UT.    I        I         I    Aplicación:                  HCOM              I    Tipo de Soporte:         CAMBIO DE CONTRASEÑA       I    Observaciones:                I         I    Su petición fue atendida    I         I    " u="1"/>
        <s v="    I    Notificación de seguimiento  [  MA2708202003 ]      I         I         I    Estimado(a):                     Alondra Jiménez Hernández    I         I    Le informamos que su ticket correspondiente a:    I                       I    Anexo el registro actualizado de los certificados del Titular de la Unidad de Transparencia de los siguientes sujetos obligados para su renovación en la Herramienta de Comunicación    I         I    Aplicación:                  HCOM    I    Tipo de Soporte:         CAMBIO DE TUT ( 2 )       I    Observaciones:                I         I    Su petición fue atendida    I         I    " u="1"/>
        <s v="Se aplica testado de datos al folio: 0064100062221" u="1"/>
        <s v="Buenas tardes Moisés, tu petición fue atendida, favor de validar     I        I    Saludos     I        I    Marina Adame Velasco    I        I    Notificación de seguimiento  [  MA1109202006 ]      I        I    Aplicación:                  INFOMEX PUEBLA     I    Tipo de Soporte:         Ajuste de fechas       I    Estatus:                               Concluido.    I    " u="1"/>
        <s v="Buenas tardes Moisés, tu petición fue atendida, favor de validar     I        I    Saludos     I        I    Marina Adame Velasco    I        I    Notificación de seguimiento  [  MA2209202007 ]      I        I    Aplicación:                  INFOMEX PUEBLA     I    Tipo de Soporte:         Ajuste de fechas       I    Estatus:                               Concluido.    I    " u="1"/>
        <s v="Buenas tardes Moisés, tu petición fue atendida, favor de validar     I        I    Saludos     I        I    Marina Adame Velasco    I        I    Notificación de seguimiento  [  MA2508202008 ]      I        I    Aplicación:                  INFOMEX PUEBLA     I    Tipo de Soporte:         AJUSTE DE FECHAS       I    Estatus:                               Concluido.    I    " u="1"/>
        <s v="Se testan datos y se sustituye archivo del folio 011000032121" u="1"/>
        <s v="Se solicita la recuperación de una lista de usuarios en un ambiente de calidad, y recuperación de contraseñas." u="1"/>
        <s v="    I    Notificación de seguimiento  [  MA1011202005 ]      I          I    Estimado(a):                     Martha Rubí Zaragoza Mora    I         I     Le informamos que su ticket correspondiente a:    I                       I    El presente correo es para pedir su amable apoyo para el ajuste de términos de los folios debido al Acuerdo que enviaron los siguientes Sujetos Obligados a la COTAI por el cual se amplían la fecha del 01 al 30 de noviembre de 2020; debiéndose considerar los días comprendidos dentro de dicho periodo como inhábiles para evitar la propagación del coronavirus COVID-19.    I         I    Aplicación:                  INFOMEX NUEVO LEÓN    I    Tipo de Soporte:         AJUSTE DE PLAZOS        I    Observaciones:                I         I    Su petición fue atendida    I    " u="1"/>
        <s v="autenticación con Chrome" u="1"/>
        <s v="Se aplica testado de datos al folio:   0064103100520" u="1"/>
        <s v="Definición del proceso para lograr la conexión de forma segura a la PNT" u="1"/>
        <s v="Notificación de seguimiento  [  MA1702202007 ]      I         I         I    Estimado(a):                     Lizbeth Adriana Cabrera Ortega    I         I    Le informamos que su ticket correspondiente a:    I                       I    Rafa solicitando de tu apoyo a fin de atender la petición de la Ponencia quienes me refirieron que, de la revisión del recurso, advirtieron que el recurrente refiere haber recibido el recurso en una fecha distinta a la que da cuenta el infomex, desprendiendo con ello que el recurrente interpuso en su último día el recurso de revisión.    I        I    Por tanto, agradeceré se cambie la fecha de interposición a fin de que conste el día límite para la interposición del recurso.    I        I    DEBE DECIR 10 DE FEBRERO DE 2019.    I        I    Asimismo te remito el archivo del acuerdo ya con la fecha de 10 de febrero    I        I         I    Aplicación:                  SIGEMI    I    Tipo de Soporte:         Actualización fecha de interposición  y archivo    I    Observaciones:                I         I    Su petición fue atendida    I         I    " u="1"/>
        <s v="Se  testan los datos del folio: 0064101439621" u="1"/>
        <s v="Se corrige la descarga del adjunto en el recurrente prevencion" u="1"/>
        <s v="Instalación Campus Privado " u="1"/>
        <s v="Se continua con el desarrollo del mosulo de Tipos de Expediente" u="1"/>
        <s v="    I    Notificación de seguimiento  [  MA0603202008 ]      I         I         I    Estimado(a):                     ADRIANA ELIZABETH HERNANDEZ GARCIA    I         I    Le informamos que su ticket correspondiente a:    I                       I    Por medio del presente te comento que al validar el paso denominado Registro de la Resolución Firmada relativo al recurso:     I        I    RRA 00595/20    I        I    la PNT se queda pasmada y NO APARECEN las ventanas donde se registran las fechas de firma de los comisionados; de tal manera que queda en blanco.      I    Al respecto, te solicito se realicen las gestiones necesarias a efecto de que se pueda validar el paso referido y así estar en condición de cargar las fechas y que pueda ser notificada la resolución.    I        I         I    Aplicación:                  SIGEMI    I    Tipo de Soporte:         Corrección de incidencia      I    Observaciones:                I         I    Su petición fue atendida    I    " u="1"/>
        <s v="Buenas tardes Alfonso, tu petición fue atendida, se realizó la eliminación de la solicitud 01385119, favor de validar     I        I    Saludos     I        I    Marina Adame Velasco    I        I    Notificación de seguimiento  [  MA1102202008 ]      I        I    Aplicación:                  INFOMEX SLP    I    Tipo de Soporte:         Eliminar solicitud        I    Estatus:                               Concluido.    I    " u="1"/>
        <s v="creacion html, css comonente compartido" u="1"/>
        <s v="Notificación de seguimiento  [  MA0906202103 ]    I        I    Estimado(a):                Moisés Guzmán Arias    I        I         I     Le informamos que su ticket correspondiente a:    I                       I    adecuar el término para prevención de acuerdo a las fechas que se indican en cada folio    I        I         I    Aplicación:                  INFOMEX PUEBLA    I    Tipo de Soporte:         AJUSTE DE PLAZOS       I    Observaciones:                I         I    Su petición fue atendida    I         I    " u="1"/>
        <s v="Generar certificado para SO obligado Instituto de Investigaciones Dr. José María Luis Mora" u="1"/>
        <s v="Notificación de seguimiento  [  MA0807202008 ]      I         I         I    Estimado(a):         Rosa María Rivas Rangel                I         I    Le informamos que su ticket correspondiente a:    I                       I    El sujeto obligado indica que respecto a la Agencia Mexicana de Cooperación Internacional para el Desarrollo (AMEXCID), se advierte que no fueron ajustadas las fechas de conformidad con el Acuerdo ACT-PUB/30/06/2020.05 y el ACT-PUB/30/06/2020.04     I        I        I    Aplicación:                  SIGEMI    I    Tipo de Soporte:         Revisión de fechas       I    Observaciones:                I         I    Se realizó la revisión del fechas reportadas, sin embargo de acuerdo al calendario de Sujetos Obligados con actividades NO ESENCIALES que se muestra a continuación y al cual  pertenece la AMEXCID,  las fechas actuales son correctas    I    " u="1"/>
        <s v="Notificación de seguimiento  [  MA1602202201 ]    I        I    Estimado(a):                Alondra Jiménez Hernández    I        I         I     Le informamos que su ticket correspondiente a:    I                       I    Solicito la renovación del certificado en la Herramienta de Comunicación de la Administración del Sistema Portuario Nacional Tampico, S.A. de C.V.    I        I        I        I    Aplicación:                  HCOM    I    Tipo de Soporte:         CAMBIO DE CERTIFICADO      I    Observaciones:                I         I    Su petición fue atendida    I         I    " u="1"/>
        <s v="Notificación de seguimiento  [  MA0709202001 ]      I         I         I    Estimado(a):                     David Mendoza Oliva    I         I    Le informamos que su ticket correspondiente a:    I                       I    Se reitera que se envía en el archivo adjunto en formato Excel, el cual contiene el listado de los sujetos con sus respectivas claves, nombres del Sujeto Obligado, fecha y folio de notificación, plazo de término, así como el nuevo plazo de término que se tiene que incorporar en la Herramienta de Comunicación considerando que las y los CC. Comisionados del INAI tuvieron a bien asentir el acuerdo ACT-PUB/26/08/2020.08. del veintiséis de agosto de dos mil veinte, se aprobaron las modificaciones y adiciones a los diversos ACT-EXTPUB/20/03/2020.02, ACT-EXT-PUB/20/03/2020.04, ACT-PUB/15/04/2020.02, ACT-PUB/30/04/2020.02, incluyendo los acuerdos ACT-PUB/27/05/2020.04, ACT-PUB/10/06/2020.04, ACT-PUB/30/06/2020.05, ACT-PUB/14/07/2020.06, ACT-PUB/28/07/2020.04, ACT-PUB/11/08/2020.06 y ACT-PUB/19/08/2020.04 en el sentido de ampliar sus efectos al 02 de septiembre del año en curso inclusive.     I         I        I         I    Aplicación:                  SIGEMI    I    Tipo de Soporte:         CAMBIO DE FECHA DE ATENCIÓN      I    " u="1"/>
        <s v="Se testan datos del folio: 0064102323721" u="1"/>
        <s v="Realizar la clase Controller, Service, Dao para la operación de actualizacion de ejes" u="1"/>
        <s v="Creación enum roles y creación ajustes estructura servicio de autentcación" u="1"/>
        <s v="Se aplica testado de datos al folio:  1816400063121 " u="1"/>
        <s v="Se realizó la baja del Sujeto Obligado 11087    Fondo de Investigación Científica y Tecnológico del CINVESTAV" u="1"/>
        <s v="Desarrollo e implementación de las descripciones a nivel ciudadano de la bitacora del sistema de SISAI" u="1"/>
        <s v="Reunión Diaria de Seguimiento Pizarras etapa 4" u="1"/>
        <s v="Se aplica eliminación de formato de pago: 0063700212921" u="1"/>
        <s v="Se testan datos del folio 0000400039621 Y 0000400039721     I    " u="1"/>
        <s v="Notificación de seguimiento  [  MA2001202101 ]      I         I         I    Estimado(a):                     ALONDRA JIMENEZ HERNANDEZ    I         I         I    Le informamos que su ticket correspondiente a:    I                       I    Anexo el registro actualizado del certificado del nuevo Titular de la Unidad de Transparencia del Instituto del Fondo Nacional de la Vivienda para los Trabajadores para que su acceso sea habilitado en la Herramienta de Comunicación.     I         I    Aplicación:                  HCOM    I    Tipo de Soporte:         CAMBIO TUT       I    Observaciones:                I         I    Su petición fue atendida    I         I    " u="1"/>
        <s v="Desarrollo login en la aplicación con datos de facebook" u="1"/>
        <s v="Notificación de seguimiento  [  MA1306202005 ]      I         I         I    Estimado(a):                     Betzabé Flores Terán    I         I    Le informamos que su ticket correspondiente a:    I                       I    Solicito de su apoyo para actualizar en la Herramienta de Comunicación los certificados de los sujetos obligados de la base que se adjunta, ya que estos han vencido.    I         I         I    Aplicación:                  HCOM       I    Tipo de Soporte:         CAMBIO DE CERTIFICADO       I    Observaciones:                I         I    Su petición fue atendida    I         I    " u="1"/>
        <s v="Notificación de seguimiento  [  MA1306202007 ]      I         I         I    Estimado(a):                     Lizbeth Adriana Cabrera Ortega    I         I    Le informamos que su ticket correspondiente a:    I                       I         I    Solicito de tu valioso apoyo a fin de que quede incorporado el acuerdo de TURNO adjunto al expediente electrónico del recurso de revisión RRA 6917/20.    I         I         I    Aplicación:                  SIGEMI    I    Tipo de Soporte:         ACTUALIZAR ARCHIVO      I    Observaciones:                I         I    Su petición fue atendida    I         I    " u="1"/>
        <s v="Notificación de seguimiento  [  MA3006202003 ]      I         I         I    Estimado(a):                      Rosalinda Coria Mosqueda    I         I    Le informamos que su ticket correspondiente a:    I                      I        I    Agradeceré su apoyo para regresar a la actividad de admitir/prevenir el recurso RRA 06000/20, toda vez que se envió como admisión, debiendo ser una PREVENCIÓN.    I         I         I    Aplicación:                  SIGEMI    I    Tipo de Soporte:         REGRESO DE PASOS      I    Observaciones:                I         I    Su petición fue atendida    I         I    " u="1"/>
        <s v="Confirmación de candidatos que podrían ser los causantes del error" u="1"/>
        <s v="Creación desarrollo y flujos para el componente" u="1"/>
        <s v="Desarrollo para la funcinalidad cuando solo viene una colección en la respuesta" u="1"/>
        <s v="    I    Notificación de seguimiento  [  MA2110202008 ]      I         I         I    Estimado(a):                     Sergio Rafael Cortés Alpizar    I         I    Le informamos que su ticket correspondiente a:    I                       I    Por medio del presente, solicito el regreso de actividad a &quot; Registrar si la prevención fue desahogada&quot; del siguiente recurso de revisión:    I        I    RRD 1260/20 vs IMSS    I        I    Lo anterior se debe a que el recurrente no desahogo la prevención y se va a desechar.    I        I         I    Aplicación:                  SIGEMI    I    Tipo de Soporte:         REGRESO DE PASOS      I    Observaciones:                I         I    Su petición fue atendida    I         I        I    " u="1"/>
        <s v="Reunión de dos horas para lo requerimientos de los id de reportes estadísticos" u="1"/>
        <s v="Se aplica eliminación de formato de pago: 1816400016721" u="1"/>
        <s v="Se da solucion al problema de mantener un SO que no pertenece al mismo OG, se limpia el buscador" u="1"/>
        <s v="Notificación de seguimiento  [  MA1210202002 ]      I         I         I    Estimado(a):                     MOISÉS GUZMÁN    I         I    Le informamos que su ticket correspondiente a:    I                       I    Estimado Rafa: Por este medio me permito solicitar tu amable apoyo a fin de que me puedas ayudar con los siguientes casos:    I    1.      RR-0319/2020 dicho recurso está suspendido, podrás retroceder el Acuerdo de Prevención de fecha dieciocho de septiembre y el acuerdo de  Admisión de fecha cinco de octubre, por favor. (Ultimas dos actuaciones)      I    2.      Al RR-0137/2020 el sujeto sigue suspendido podrás retroceder el acuerdo de fecha cinco de octubre “Enviar información” que es la última actuación ejecutada al momento.      I    3.      Del recurso RR-0218/2020  te quiero pedir si por favor pues hacer la revisión del recurso pues tiene asignado el calendario “Calendario Puebla”, y al hacerle un requerimiento aplicó un calendario diferente, te quiero pedir la adecuación ya que actualmente el desahogo al requerimiento no lo puede ver la ponencia y el sujeto obligado le informa y envía el acuse de que ya lo respondió, para ello te quiero pedir apoyo para que me apoyes corrigiendo las fechas del recurso en base al calendario que tiene asignado y que la ponencia pueda visualizar el desahogo que llevó a cabo el sujeto obligado con respecto al requerimiento que se le hizo.     I    Saludos, quedo al pendiente en caso de cualquier duda.     I        I    Aplicación:                  SIGEMI    I    Tipo de Soporte:         REGRESO DE PASOS      I    " u="1"/>
        <s v="Se agrega acuerdo en normatividad de protección de datos personales" u="1"/>
        <s v="Buenas tardes Berenice, tu petición fue atendida, favor de validar     I        I    Saludos     I        I    Marina Adame Velasco    I        I    Notificación de seguimiento  [  MA0209202001 ]      I        I    Aplicación:                  INFOMEX OAXACA    I    Tipo de Soporte:         AJUSTE DE PLAZOS        I    Estatus:                               Concluido.    I    " u="1"/>
        <s v="Buenas tardes Berenice, tu petición fue atendida, favor de validar     I        I    Saludos     I        I    Marina Adame Velasco    I        I    Notificación de seguimiento  [  MA0807202007 ]      I        I    Aplicación:                  INFOMEX OAXACA    I    Tipo de Soporte:         Ajuste de plazos        I    Estatus:                               Concluido.    I    " u="1"/>
        <s v="Buenas tardes Berenice, tu petición fue atendida, favor de validar     I        I    Saludos     I        I    Marina Adame Velasco    I        I    Notificación de seguimiento  [  MA0906202005 ]      I        I    Aplicación:                  INFOMEX OAXACA    I    Tipo de Soporte:         AJUSTE DE PLAZOS        I    Estatus:                               Concluido.    I    " u="1"/>
        <s v="Buenas tardes Berenice, tu petición fue atendida, favor de validar     I        I    Saludos     I        I    Marina Adame Velasco    I        I    Notificación de seguimiento  [  MA1307202006 ]      I        I    Aplicación:                  INFOMEX OAXACA    I    Tipo de Soporte:         AJUSTE DE PLAZOS        I    Estatus:                               Concluido.    I    " u="1"/>
        <s v="Buenas tardes Berenice, tu petición fue atendida, favor de validar     I        I    Saludos     I        I    Marina Adame Velasco    I        I    Notificación de seguimiento  [  MA2204202003 ]      I        I    Aplicación:                  INFOMEX OAXACA    I    Tipo de Soporte:         AJUSTE DE PLAZOS        I    Estatus:                               Concluido.    I    " u="1"/>
        <s v="Buenas tardes Berenice, tu petición fue atendida, favor de validar     I        I    Saludos     I        I    Marina Adame Velasco    I        I    Notificación de seguimiento  [  MA2407202006 ]      I        I    Aplicación:                  INFOMEX OAXACA    I    Tipo de Soporte:         Ajuste de plazos        I    Estatus:                               Concluido.    I    " u="1"/>
        <s v="Buenas tardes Berenice, tu petición fue atendida, favor de validar     I        I    Saludos     I        I    Marina Adame Velasco    I        I    Notificación de seguimiento  [  MA2508202005 ]      I        I    Aplicación:                  INFOMEX OAXACA    I    Tipo de Soporte:         AJUSTE DE PLAZOS        I    Estatus:                               Concluido.    I    " u="1"/>
        <s v="Buenas tardes Berenice, tu petición fue atendida, favor de validar     I        I    Saludos     I        I    Marina Adame Velasco    I        I    Notificación de seguimiento  [  MA3108202006 ]      I        I    Aplicación:                  INFOMEX OAXACA    I    Tipo de Soporte:         AJUSTE DE PLAZOS        I    Estatus:                               Concluido.    I    " u="1"/>
        <s v="Notificación de seguimiento  [  MA1607202012 ]      I         I         I    Estimado(a):                     Laura Mónica Segovia Tellez    I         I    Le informamos que su ticket correspondiente a:    I                       I    Solicito tu amable apoyo a fin de que sea cambiado el medio de notificación del RRA 06827/20, de estrados a correo electrónico.    I         I    Aplicación:                  SIGEMI    I    Tipo de Soporte:         cambio de medio       I    Observaciones:                I         I    Su petición fue atendida    I         I    " u="1"/>
        <s v="Notificación de seguimiento  [  MA2508202003 ]      I         I         I    Estimado(a):                     Laura Mónica Segovia Téllez    I         I    Le informamos que su ticket correspondiente a:    I                       I    regresar el paso del cierre de instrucción del RRA 6432/20 derivado de que se debe hacer una notificación antes.    I         I    Aplicación:                  SIGEMI    I    Tipo de Soporte:         ELIMINAR CIERRE DE INSTRUCCIÓN       I    Observaciones:                I         I    Su petición fue atendida    I         I    " u="1"/>
        <s v="Notificación de seguimiento  [  MA2903202201 ]    I        I    Estimado(a):                Edgar Michel Loaeza Martínez    I        I         I     Le informamos que su ticket correspondiente a:    I                       I    adjunto el cuadro donde se encuentra la contraseña, y adjunto el certificado correspondiente.    I        I        I         I    Aplicación:                  HCOM    I    Tipo de Soporte:         ACTUALIZACIÓN DE CERTIFICADO Y CONTRASEÑA      I    Observaciones:                I         I    Su petición fue atendida    I         I    " u="1"/>
        <s v="Apoyo en las consultas y validación de la información cargada por usuarios en SIPOT." u="1"/>
        <s v="Se  testan los datos del folio: 0064101366621" u="1"/>
        <s v="Ejecutar scripts de BD en las 2 BD y montar los nuevos WAR" u="1"/>
        <s v="Se aplica eliminación de formato de pago: 0002700332420" u="1"/>
        <s v="    I    Notificación de seguimiento  [  MA1809202005 ]      I         I         I    Estimado(a):                     Jorge Roselini Salgado Alday    I         I    Le informamos que su ticket correspondiente a:    I                       I    Por medio del presente, atentamente solicitamos de tu amable apoyo para que, de no haber inconveniente alguno, se realicen los ajustes necesarios en la Herramienta de Comunicación, a fin de extender la fecha de vencimiento de los 97 requerimientos que se citan en el archivo que se adjunta el presente, de manera que el último día que tengan para responder los sujetos obligados correspondientes, sea el 16 de octubre de 2020.    I        I         I    Aplicación:                  SIGEMI    I    Tipo de Soporte:         CAMBIO DE FECHA DE ATENCIÓN      I    Observaciones:                I         I    Su petición fue atendida    I    " u="1"/>
        <s v="Buenas tardes José Manuel, tu petición fue atendida, favor de validar     I        I    Saludos     I        I    Marina Adame Velasco    I        I    Notificación de seguimiento  [  MA1304202002 ]      I        I    Aplicación:                  INFOMEX QUERÉTARO    I    Tipo de Soporte:         REPORTE DE SOLICITUDES       I    Estatus:                               Concluido.    I    " u="1"/>
        <s v="Inducción al proyecto de Apps Moviles" u="1"/>
        <s v="Notificación de seguimiento  [  MA1102202007 ]    I        I         I    Estimado(a):                     Sergio Rafael Cortés Alpizar    I         I    Le informamos que su ticket correspondiente a:    I                       I    Por este medio solicito se elimine el paso de Cierre de instrucción en la PNT y se vuelva habilitar el mismo para volverlo a generar, el recurso es:    I         I    RRA 14731/19 vs SEGOB    I        I         I    Aplicación:                  SIGEMI    I    Tipo de Soporte:         Eliminar cierre      I    Observaciones:                I         I    Su petición fue atendida    I         I    " u="1"/>
        <s v="Notificación de seguimiento  [  MA2411202001 ]      I         I         I    Estimado(a):                     Laura Mónica Segovia    I         I         I    Le informamos que su ticket correspondiente a:    I                       I    regresar el paso del RRA 5296/20 del cierre de instrucción derivado de que la ponencia del Comisionado Monterrey, realizó el cierre de instrucción y se returno a esta ponencia.    I        I         I    Aplicación:                  SIGEMI    I    Tipo de Soporte:         CIERRE DE INSTRUCCIÓN       I    Observaciones:                I         I    Su petición fue atendida    I         I    " u="1"/>
        <s v="Continúa el apoyo en consultas y validación de la información generada con las bases de datos en custodia (casos de diversos estados) en lo referente principalmente a documentación adjunta.      I    Se realizó la población de las tablas derivadas de los catálogos de VUT.    I    Se inicia la extracción de información del estado de México, documentación adjunta 2008" u="1"/>
        <s v="Implementación de descarga de archivos" u="1"/>
        <s v="Notificación de seguimiento  [  MA1006202001 ]      I         I         I    Estimado(a):                     Edgar Michel Loaeza Martínez    I         I    Le informamos que su ticket correspondiente a:    I                       I    Por medio del presente solicito su valioso apoyo a efecto de realizar el cambio de Titular de la Unidad de Transparencia de la Secretaría de Cultura.    I         I    Aplicación:                  HCOM    I    Tipo de Soporte:         CAMBIO DE TUT       I    Observaciones:                I         I    Su petición fue atendida    I         I    " u="1"/>
        <s v="Buenas tardes Berenice, tu petición fue atendida, favor de validar     I        I    Saludos     I        I    Marina Adame Velasco    I        I    Notificación de seguimiento  [  MA0907202010 ]      I        I    Aplicación:                  INFOMEX OAXACA    I    Tipo de Soporte:         AJUSTE DE PLAZOS       I    Estatus:                               Concluido.    I        I    " u="1"/>
        <s v="Buenas tardes Berenice, tu petición fue atendida, favor de validar     I        I    Saludos     I        I    Marina Adame Velasco    I        I    Notificación de seguimiento  [  MA0909202003 ]      I        I    Aplicación:                  INFOMEX OAXACA    I    Tipo de Soporte:         AJUSTE DE PLAZOS       I    Estatus:                               Concluido.    I        I    " u="1"/>
        <s v="Buenas tardes Berenice, tu petición fue atendida, favor de validar     I        I    Saludos     I        I    Marina Adame Velasco    I        I    Notificación de seguimiento  [  MA2406202002 ]      I        I    Aplicación:                  INFOMEX OAXACA    I    Tipo de Soporte:         AJUSTE DE PLAZOS       I    Estatus:                               Concluido.    I        I    " u="1"/>
        <s v="Buenas tardes Berenice, tu petición fue atendida, favor de validar     I        I    Saludos     I        I    Marina Adame Velasco    I        I    Notificación de seguimiento  [  MA2707202003 ]      I        I    Aplicación:                  INFOMEX OAXACA    I    Tipo de Soporte:         Ajuste de plazos       I    Estatus:                               Concluido.    I        I    " u="1"/>
        <s v="Buenas tardes Berenice, tu petición fue atendida, favor de validar     I        I    Saludos     I        I    Marina Adame Velasco    I        I    Notificación de seguimiento  [  MA2904202007 ]      I        I    Aplicación:                  INFOMEX OAXACA    I    Tipo de Soporte:         AJUSTE DE PLAZOS       I    Estatus:                               Concluido.    I        I    " u="1"/>
        <s v="Buenas tardes Berenice, tu petición fue atendida, favor de validar     I        I    Saludos     I        I    Marina Adame Velasco    I        I    Notificación de seguimiento  [  MA2905202002 ]      I        I    Aplicación:                  INFOMEX OAXACA    I    Tipo de Soporte:         AJUSTE DE PLAZOS       I    Estatus:                               Concluido.    I        I    " u="1"/>
        <s v="Desarrollo de la interoperabilidad de los sistemas PNT y SAIMEX." u="1"/>
        <s v="seccion 3 UT" u="1"/>
        <s v="Notificación de seguimiento  [  MA1211202003 ]      I          I    Estimado(a):                     MARTHA RUBI ZARAGOZA  MORA    I          I    Le informamos que su ticket correspondiente a:    I                       I    El siguiente folio: 014021020 esta incorrecto y vence hoy. Lo enviaron con error de dedo, por lo que solicitamos que se pueda modificar con la nueva fecha de vencimiento en la tabla siguiente está el correcto    I         I    Aplicación:                  INFOMEX NUEVO LEÓN    I    Tipo de Soporte:         AJUSTE DE PLAZOS        I    Observaciones:                I         I    Su petición fue atendida    I         I    " u="1"/>
        <s v="Notificación de seguimiento  [  MA0809202202 ]    I        I    Estimado(a):                Alondra Jiménez Hernández    I        I     Le informamos que su ticket correspondiente a:    I        I        I                       I    Debido al cambio de Titular de la Unidad de Transparencia, te pido sea generado un certificado a nombre del TUT para el sujeto obligado  y que con el mismo sea habilitado en la HCOM. Los datos son los siguientes:    I    Clave_x0009_Sujeto obligado_x0009_Nombre del Titular de la Unidad de Transparencia_x0009_Correo electrónico_x0009_Contraseña    I    11148_x0009_Compañía Operadora del Centro Cultural y Turístico de Tijuana, S.A. de C.V._x0009_Kitzia Alheli Yovanelly Enriquez Alvarez_x0009_unidadenlace@cecut.gob.mx    I    Ver archivo adjunto    I        I         I    Aplicación:                  HCOM    I    Tipo de Soporte:        GENERACIÓN DE CERTIFICADO Y  CAMBIO DE TUT     I    Observaciones:                I         I    Su petición fue atendida, se adjunta certificado generado     I         I         I                 Favor de validar.                                                                                                                                                                        I         I    Estatus:                               Concluido    I    " u="1"/>
        <s v="Generación de script para el reconocimiento de caracteres dentro del SIPOT" u="1"/>
        <s v="Se testan los datos  del folio: 0064101361621" u="1"/>
        <s v="Evaluación y diseño de script para lematización" u="1"/>
        <s v="Estimada Marina, si me permitío hacer la prevención, pero pues esta solicitud no ha pasado de los 5 días para prevenirse de manera natural, las que estamos ampliando y tratando de prevenir, de alguna manera ya caducó la prevención y se están ampliando los términos para poder prevenir después de que han caducado dichos términos, al parecer alguna parte de la base de datos e marca y no permite hacer el paso aun cuando se regrese y se amplíe." u="1"/>
        <s v="Implementación funcionalidad múltiples instituciones en pantalla agregar, editar y clonar calendario" u="1"/>
        <s v="Notificación de seguimiento  [  MA1402202005 ]      I         I         I    Estimado(a):                     Alondra Jiménez Hernández    I         I    Le informamos que su ticket correspondiente a:    I                       I    Anexo el registro actualizado del certificado del Titular de la Unidad de Transparencia de BIRMEX para su renovación en la Herramienta de Comunicación.    I        I         I    Aplicación:                  HCOM    I    Tipo de Soporte:         RENOVACIÓN DE CERTIFICADO      I    Observaciones:                I         I    Su petición fue atendida    I         I    " u="1"/>
        <s v="Se aplica eliminación de formato de pago: 2510100011521" u="1"/>
        <s v="Lista de datos catalogo integrante lado publico " u="1"/>
        <s v="Atención y seguimiento a tickets y correos respecto al acceso de usuarios a la PNT.  (Análisis) Reinicios de contraseña" u="1"/>
        <s v="Se aplica testado de datos al folio: 0000600424020" u="1"/>
        <s v="Implementación de Ajax" u="1"/>
        <s v="Notificación de seguimiento  [  MA1705202128 ]    I         I    Estimado(a):                     Moisés Guzmán Arias    I         I    Le informamos que su ticket correspondiente a:    I                       I    ampliar el término para prevención de acuerdo a las fechas que se indican en cada folio    I         I    01468520 estableciendo el término al día 17/05/2021 (17 de mayo de 2021) (SAdministración)    I         I    Aplicación:                  INFOMEX PUEBLA    I    Tipo de Soporte:         AJUSTE DE PLAZO       I    Observaciones:                I         I    Su petición fue atendida    I         I    " u="1"/>
        <s v="Notificación de seguimiento  [  MA1802202006 ]      I         I         I    Estimado(a):                     Fernando Sigfrido Corona Robles    I         I    Le informamos que su ticket correspondiente a:    I                       I    Por este medio solicito ayuda, para regresar un paso en la PNT. Lo anterior a efecto de poder evaluar el cumplimiento respectivo del recurso de revisión RRA 7688/19 SHCP.     I        I         I    Aplicación:                  SIGEMI    I    Tipo de Soporte:         REGRESO DE PASOS      I    Observaciones:                I         I    Su petición fue atendida    I         I    " u="1"/>
        <s v="Ajustes desarrollo flujos 2" u="1"/>
        <s v="Problemas en infomex." u="1"/>
        <s v="Aplicar cambios de análisis heurístico, validación de combos en el administrador " u="1"/>
        <s v="Generación de script de descarga de archivos - SIPOT" u="1"/>
        <s v="Generación de script de tratamiento de palabras para el proceso de etiquetado" u="1"/>
        <s v="Se  testan los datos del folio: 0064101367621" u="1"/>
        <s v="Se  testan los datos del folio: 0064101377621" u="1"/>
        <s v="Notificación de seguimiento  [  MA0308202203 ]    I        I        I    Estimado(a):               Leopoldo Alejandro Cruz Vásquez    I     Le informamos que su ticket correspondiente a:    I        I    …renovación de los certificados de acceso a la herramienta de comunicación “HCOM”.    I        I    Aplicación:                  HCOM    I    Tipo de Soporte:        GENERACIÓN DE CERTIFICADO Y RENOVACIÓN EN HCOM  ( 7 )" u="1"/>
        <s v="    I    Notificación de seguimiento  [  MA2909202001 ]      I         I         I    Estimado(a):                     Edgar Michel Loaeza Martínez    I         I    Le informamos que su ticket correspondiente a:    I                       I    Por medio del presente solicito su valioso apoyo a efecto de realizar el cambio de Titular de la Unidad de Transparencia de la Secretaría de Bienestar.    I        I    Para tal efecto, anexo al presente el nuevo certificado del Titular, lo anterior, a fin de que sus accesos sean habilitados en los sistemas que administra este Instituto (INFOMEX y HCOM).      I        I         I    Aplicación:                  HCOM    I    Tipo de Soporte:         CAMBIO DE TUT       I    Observaciones:                I         I    Su petición fue atendida    I         I        I    " u="1"/>
        <s v="Web Service Desencriptar Password" u="1"/>
        <s v="Se testan los datos de la solicitud con folio: 0064101488621" u="1"/>
        <s v="Se aplica eliminación de última respuesta de la solicitud: 0000900071820." u="1"/>
        <s v="Optimización de script de tratamiento de diccionarios para el proceso de etiquetado" u="1"/>
        <s v="Notificación de seguimiento  [  MA0303202106 ]      I         I         I    Estimado(a):                     ALEJANDRA TEJEDA    I         I         I    Le informamos que su ticket correspondiente a:    I                       I    rectificación de suspensión de plazos de un Sujeto obligado, específicamente Congreso del Estado de Baja California, dicho cambio modificaría las fechas de vencimiento de las solicitudes.     I        I         I    Aplicación:                  INFOMEX BCN    I    Tipo de Soporte:         AJUSTE DE PLAZOS        I    Observaciones:                I         I    Su petición fue atendida    I         I    " u="1"/>
        <s v="Notificación de seguimiento  [  MA1305202202 ]    I        I    Estimado(a):                Alondra Jiménez Hernández    I        I         I     Le informamos que su ticket correspondiente a:    I        I        I    Anexo el registro del certificado del nuevo Titular de la Unidad de Transparencia de Compañía Mexicana de Exploraciones, S.A. de C.V. para que su acceso sea habilitado en la Herramienta de Comunicación.     I        I        I         I    Aplicación:                  HCOM    I    Tipo de Soporte:         CAMBIO DE TUT         I    Observaciones:                I         I    Su petición fue atendida    I         I    " u="1"/>
        <s v="Notificación de seguimiento  [  MA2808202002 ]      I         I         I    Estimado(a):                     Alondra Jiménez Hernández    I         I    Le informamos que su ticket correspondiente a:    I                       I         I    Anexo el registro actualizado del certificado del Titular de la Unidad de Transparencia del Comisión Nacional de Hidrocarburos, para su renovación en la Herramienta de Comunicación.     I        I         I    Aplicación:                  HCOM    I    Tipo de Soporte:         CAMBIO DE CERTIFICADO       I    Observaciones:                I         I    Su petición fue atendida    I         I    " u="1"/>
        <s v="Corrección de orden comunicados home" u="1"/>
        <s v="Se sustituye archivo adjunto  del folio: 011000023621" u="1"/>
        <s v="Notificación de seguimiento  [  MA1111202202 ]    I    Estimado(a):                Alondra Jiménez Hernández    I     Le informamos que su ticket correspondiente a:    I    Debido al cambio de responsable de transparencia, les pido sea generado un certificado genérico a nombre del TUT y que con el mismo sea habilitado en la HCOM. Los datos son los siguientes:    I    Clave_x0009_Sujeto obligado_x0009_Siglas HCOM_x0009_Nombre del Titular de la Unidad de Transparencia_x0009_Correo electrónico_x0009_Contraseña    I    09451_x0009_Aeropuerto Internacional de la Ciudad de México, S.A. de C.V._x0009_AICM_x0009_Francisco Jose Martinez Berriel_x0009_fmartinezb@aicm.com.mx    I    Ver archivo adjunto    I    09448_x0009_Servicios Aeroportuarios de la Ciudad de México, S.A. de C.V._x0009_SACM_x0009_Francisco Jose Martinez Berriel_x0009_fmartinezb@aicm.com.mx    I        I         I    Aplicación:                 HCOM    I    Tipo de Soporte        GENERACIÓN DE CERTIFICADO Y CAMBIO DE TUT  (2 )" u="1"/>
        <s v="DAO catalogo integrante lado publico " u="1"/>
        <s v="Se aplica RIAS a solicitudes:     I    0612100047919,0612100048019,0612100048119,0612100048219." u="1"/>
        <s v="Notificación de seguimiento  [  MA0208202202 ]    I         I         I    Estimado(a):               Ricardo González Cano    I     Le informamos que su ticket correspondiente a:    I         I    En atención al correo que antecede, te confirmo que estos son los nombres correctos para el cambio de TUT.    I        I    Siglas_x0009_Nombre del TUT    I    SNTTFJA_x0009_Alejandro Crisantos Tejeda    I    SUT INP_x0009_Mario Everardo Alpízar Hernández    I    SUNTINPED_x0009_Manuel Vicente Aquino    I         I    Aplicación:                  HCOM    I    Tipo de Soporte:        CAMBIO DE TUT   (3)    I        I    Observaciones:     la contraseña es HCOM2022       " u="1"/>
        <s v="Se  testan los datos del folio: 0210000070221" u="1"/>
        <s v="Notificación de seguimiento  [  MA2901202106 ]      I         I         I    Estimado(a):                     Alondra Jiménez Hernández    I         I         I    Le informamos que su ticket correspondiente a:    I                       I    Anexo el registro actualizado del certificado del Titular de la Unidad de Transparencia de la Administración Portuaria Integral de Mazatlán, S.A. de C.V., para su renovación en la Herramienta de Comunicación.     I         I    Aplicación:                  HCOM    I    Tipo de Soporte:         Actualizar certificado       I    Observaciones:                I         I    Su petición fue atendida    I         I    " u="1"/>
        <s v="Se agregan cabeceras faltantes en la respuesta de quejas de saimex" u="1"/>
        <s v="Se  testan los datos  y se sustituye archivo del folio: 0064101881921" u="1"/>
        <s v="Eliminar Turno del OG Puebla" u="1"/>
        <s v="Notificación de seguimiento  [  MA1205202117 ]      I         I         I    Estimado(a):                     Pedro Esquivel Martínez    I         I         I    Le informamos que su ticket correspondiente a:    I                       I    Por este medio Anexo el registro actualizado del certificado para la actualización correspondiente para el Sujeto Obligado: “Fondo de la Financiera Rural”.  Lo Anterior a fin de que sus accesos sean habilitados en los otros sistemas que administra este Instituto (HCOM).     I        I         I    Clave Presupuestal    Sujeto Obligado Titular de la unidad de transparencia    CERTIFICADO A GENERAR    Contraseña       I    06566      I    Fondo de la Financiera Rural Carlos Gerardo Pedraza Balboa 06566.Carlos Gerardo Pedraza Balboa HCOM:    I    HCOM06566     I         I    INFOMEX    I    SIS06566     I         I         I    Aplicación:                  HCOM    I    Tipo de Soporte:         RENOVAR CERTIFICADO       I    Observaciones:                I         I    Su petición fue atendida    I         I          I                Favor de validar.    I         I    Estatus:                               Concluido.    I        I    " u="1"/>
        <s v="Generar certificado para Administración Portuaria Integral de Salina Cruz, S.A. de C.V" u="1"/>
        <s v="Crear funcionalidad para crear PDF" u="1"/>
        <s v="Crear certificado para usuario del Sujeto Obligado Sindicato Independiente de Trabajadores de la Cámara de Senadores" u="1"/>
        <s v="    I    Estimada Alejandra, se realize el ajuste de fecha, favor de validar     I         I    Saludos    I         I    Marina Adame Velasco    I         I    Notificación de seguimiento  [  MA0710202103 ]    I    " u="1"/>
        <s v="Se elimina la respuesta del folio: 0001300119121" u="1"/>
        <s v="Verificar instalación en ambient de QA" u="1"/>
        <s v="    I    Notificación de seguimiento  [  MA1604202001 ]      I         I         I    Estimado(a):                     Edgar Michel Loaeza Martínez    I         I    Le informamos que su ticket correspondiente a:    I                       I    “solicitar su apoyo para acceder a la Herramienta de Comunicación, ya que no cuento con la contraseña actualmente. El lunes 13 de abril, utilicé la opción &quot;olvidé contraseña&quot; en el sistema pero hasta el momento no me ha llegado correo electrónico alguno para restablecerla.” (sic)    I         I    Aplicación:                  HCOM    I    Tipo de Soporte:         CAMBIO DE CONTRASEÑA      I    Observaciones:                I         I    Su petición fue atendida, la nueva contraseña es hcom2020    I    " u="1"/>
        <s v="Notificación de seguimiento  [  MA0708202005 ]      I         I         I    Estimado(a):                     Alondra Jiménez Hernández    I         I    Le informamos que su ticket correspondiente a:    I                       I    Se solicita nuevamente la renovación del certificado del Titular de la Unidad de Transparencia de PEMEX FERTILIZANTES en la Herramienta de Comunicación, toda vez que el anterior certificado tenía un error en su configuración.     I        I         I    Aplicación:                  HCOM    I    Tipo de Soporte:         ACTUALIZACIÓN DE CERTIFICADO    I    Observaciones:                I         I    Su petición fue atendida    I         I    " u="1"/>
        <s v="Notificación de seguimiento  [  MA0906202107 ]    I        I    Estimado(a):                Edgar Michel Loaeza Martínez    I        I         I     Le informamos que su ticket correspondiente a:    I                       I    Por medio del presente, me permito solicitar su valioso apoyo a efecto de realizar la sustitución de certificado del TUT del sujeto obligado denominado Instituto Nacional De Estudios Históricos De Las Revoluciones Mexicanas en el hcom.    I        I         I    Aplicación:                  HCOM    I    Tipo de Soporte:         ACTUALIZAR CERTIFICADO      I    Observaciones:                I         I    Su petición fue atendida    I         I    " u="1"/>
        <s v="Notificación de seguimiento  [  MA1506202002 ]      I         I         I    Estimado(a):                     Lizbeth Adriana Cabrera Ortega    I         I    Le informamos que su ticket correspondiente a:    I                       I    Solcito su valioso apoyo a fin de incorporar el archivo adjunto al expediente electrónico del recurso de revisión RRD 0792/20.    I         I    Lo anterior ya que no se cargó completo el documento al hacer la carga manual.    I         I    Aplicación:                  SIGEMI    I    Tipo de Soporte:         ACTUALIZACIÓN DE ARCHIVO    I        I    Observaciones:                I         I    Su petición fue atendida    I         I    " u="1"/>
        <s v="Notificación de seguimiento  [  MA2408202008 ]      I         I         I    Estimado(a):                     Rosalinda Coria Mosqueda    I         I    Le informamos que su ticket correspondiente a:    I                       I        I    Agradeceré su apoyo para actualizar el recurso RRD 00659/20 mismo que fue sustanciado y votado en Sesión de Pleno del 17 de junio, y sigue apareciendo en admitir/Prevenir, por lo cual solicito su cancelación.     I        I        I         I    Aplicación:                  SIGEMI    I    Tipo de Soporte:         CANCELACIÓN DE ACTIVIDAD      I    Observaciones:                I         I    Su petición fue atendida    I         I    " u="1"/>
        <s v="Envío de constancia automáticamente" u="1"/>
        <s v="Notificación de seguimiento  [  MA2801202202 ]    I        I    Estimado(a):                Alondra Jiménez Hernández    I        I         I     Le informamos que su ticket correspondiente a:    I                       I    Anexo el registro actualizado del certificado del nuevo Titular de la Unidad de Transparencia de BIRMEX para que sus accesos sean habilitados en la Herramienta de Comunicación.     I        I         I    Aplicación:                  HCOM    I    Tipo de Soporte:         CAMBIO DE TUT       I    " u="1"/>
        <s v="Se  testan los datos de la solicitud con folio 0002700086621    I         I    " u="1"/>
        <s v="Líneas Estrategicas" u="1"/>
        <s v="Mejoras en consulta pública" u="1"/>
        <s v="Script BD declaración inicial Humbelina Lopez" u="1"/>
        <s v="Notificación de seguimiento  [  MA1712202101 ]    I        I    Estimado(a):                Pedro Esquivel Martínez    I        I         I     Le informamos que su ticket correspondiente a:    I                       I    solicito su valioso apoyo con las actualizaciones del certificado en la HCOM, lo anterior debido al vencimiento de los mismos; se adjunta cuadro descriptivo y certificados correspondientes.    I        I    Clave Presupuestal Fideicomiso    I      Siglas    I      Actual Titular    I      CERTIFICADO A GENERAR Contraseña    I    HCOM Contraseña     I    18674 Fideicomiso para apoyo a la investigación científica y desarrollo tecnológico IMP F1 Jorge Aurelio Ochoa Morales 18674.Jorge.Aurelio.Ochoa.Morales HCOM18674 SISI18674     I    18675 Fideicomiso para pensionados del IMP IMP F2 Jorge Aurelio Ochoa Morales 18675.Jorge Aurelio Ochoa Morales     I    HCOM18675 SISI18675     I    18676 Fideicomiso plan de pensiones para el personal activo del IMP IMP F3 Jorge Aurelio Ochoa Morales 18676.Jorge Aurelio Ochoa Morales     I    HCOM18676 SISI18676     I    18677 Fondo de ahorro IMP F4 Jorge Aurelio Ochoa Morales 18677.Jorge Aurelio Ochoa Morales HCOM18677 SISI18677     I    .    I         I    Aplicación:                  HCOM    I    Tipo de Soporte:         ACTUALIZAR CERTIFICADO ( 4 )      I    Observaciones:                I         I    Su petición fue atendida    I         I         I        I                 Favor de validar.    I         I    Estatus:                               Concluido    I    " u="1"/>
        <s v="Actualización archivos normatividad nacional" u="1"/>
        <s v="Notificación de seguimiento  [  MA0307202004 ]      I         I         I    Estimado(a):                     Betzabé Flores Terán    I         I         I    Le informamos que su ticket correspondiente a:    I                       I    Solicito de su apoyo para actualizar en la Herramienta de Comunicación los certificados de los sujetos obligados de la base que se adjunta, ya que estos han vencido.    I         I         I    Aplicación:                  HCOM       I    Tipo de Soporte:         cambio de TUT   ( 5 )    I    Observaciones:                I         I    Le comento que se comenzó el cambio de titulares solicitados, conforme se vayan realizando las actualizaciones se les notificarán los cambios     I         I    Se realizó la actualización de los siguientes...    I    " u="1"/>
        <s v="Se  testan los datos del folio: 0110000061221" u="1"/>
        <s v="Se sustituye archivo adjunto  del folio: 0064100473421" u="1"/>
        <s v="Desarrollo de servicios rest para funcionalidades específicas de los catálogos federados" u="1"/>
        <s v="Desbloqueo de usuario MMARTINEZ" u="1"/>
        <s v="Notificación de seguimiento  [  MA2711202005 ]      I         I         I    Estimado(a):                     Alondra Jiménez Hernández    I         I         I    Le informamos que su ticket correspondiente a:    I                       I    Anexo el registro actualizado del certificado del nuevo Titular de la Unidad de Transparencia del Administración Portuaria Integral de Altamira, S.A de C.V (API ALTAMIRA) para que su acceso sea habilitado en la Herramienta de Comunicación.     I         I        I         I    Aplicación:                  HCOM    I    Tipo de Soporte:         CAMBIO TUT       I    Observaciones:                I         I    Su petición fue atendida    I         I    " u="1"/>
        <s v="Estimada Alondra, se realizó el cambio de nombre al que mencionas en el correo anexo y se verificó el acceso con la contraseña y certificado enviados    I        I    Quedamos atentos    I        I    Saludos    I        I    Marina Adame     I    " u="1"/>
        <s v="Se aplica testado de datos al folio: 1816400341720" u="1"/>
        <s v="Se sustituye archivo adjunto  del folio:  00027128821 " u="1"/>
        <s v="SUSTITUCIÓN TEXTO Y ADJUNTO EN SOLICITUD DE INFORMACION CON FOLIO 0002700149421" u="1"/>
        <s v="Ambientación de un liferay dxp de desarrollo integral apuntando a una sola base de datos con los esquemas correspondiente por aplicativo, así como el consumo de token estándar, menú dínamico, theme" u="1"/>
        <s v="Meeting" u="1"/>
        <s v="Se testan los datos  del folio: 0000500108221" u="1"/>
        <s v="Estimado Alan, buenos días, te informo que el respaldo de su base de datos de esta semana ya está en el repositorio…       I    http://documentos.inai.org.mx/tmp/infomex_tlaxcala_backup_2021-06-21_0800.bak    I    Saludos Cordiales    I    Marina Adame Velasco           I        I        I    Notificación de seguimiento  [  MA2106202104 ]    I         I    Aplicación:                  INFOMEX TLAXCALA     I    Tipo de Soporte:         RESPALDO DE BD      I        I    Estatus:                               Concluido    I        I    " u="1"/>
        <s v="Notificación de seguimiento  [  MA0609202201 ]    I        I    Estimado(a):                Carlos Alejandro Borja Castillo    I        I     Le informamos que su ticket correspondiente a:    I                       I    GENERAR Y ACTUALIZAR CERTIFICADO DEL USUARIO CARLOS ALEJANDRO BORJA CASTILLO    I         I    Aplicación:                  HCOM    I    Tipo de Soporte:         GENERAR Y ACTUALIZAR CERTIFICADO    I    Observaciones:                I         I    Su petición fue atendida, se anexa certificado provisional , la contraseña es hcom2022    I         I         I                 Favor de validar.                                                                                                                                                                        I         I    Estatus:                               Concluido" u="1"/>
        <s v="Funcionalidad para seleccion multiple en el detalle de los documentos pendientes por firmar multilateral    I    Desarrollo de modulo Visor de seguimiento de Bloque de documentos    I    Desarrollo de modulo Detalle de documentos firmados y/o cancelados    I    Desarrollo de modulo Detalle de seguimiento de firmantes    I    Corrección de los servicios de detalle y modal    I    Corrección del alineamiento de los botones" u="1"/>
        <s v="Se  testan los datos del folio:   0064101091921" u="1"/>
        <s v="Buenos días Berenice, tu petición fue atendida, favor de validar     I        I    Saludos     I        I    Marina Adame Velasco    I        I    Notificación de seguimiento  [  MA2206202001 ]      I        I    Aplicación:                  INFOMEX OAXACA    I    Tipo de Soporte:         AJUSTE DE PLAZOS        I    Estatus:                               Concluido.    I    " u="1"/>
        <s v="Se envía seguimiento de la solicitud: 1215101150319." u="1"/>
        <s v="Generación de métricas de efectividad de los modelos" u="1"/>
        <s v="    I    Notificación de seguimiento  [  MA1507202009 ]      I         I         I    Estimado(a):                     Berenice Hernández Sumano    I         I    Le informamos que su ticket correspondiente a:    I                       I    ajuste de SICOM, adjunto el archivo con los procesos que requieren afectarse: Cumplimientos y Admisiones    I        I         I    Aplicación:                  SIGEMI    I    Tipo de Soporte:         AJUSTE DE PLAZOS       I    Observaciones:                I         I    Su petición fue atendida, se realizó el ajuste en las fechas de cumplimiento y fechas limite de votación    I         I         I    " u="1"/>
        <s v="Notificación de seguimiento  [  MA1908202002 ]      I         I         I    Estimado(a):                     Berenice Hernández Sumano    I         I    Le informamos que su ticket correspondiente a:    I                       I    Por este medio solicito su apoyo para poder aplicar las afectaciones a las fechas:  Entrega de información relacionada con el Cumplimiento y Entrega de Alegatos y manifestaciones, de los recursos señalados en el archivo adjunto. Toda vez que el Consejo General aprobará en su Décima Cuarta Sesión Ordinaria 2020, el ACUERDO POR EL CUAL EL CONSEJO GENERAL DEL INSTITUTO DE ACCESO A LA INFORMACIÓN PÚBLICA Y PROTECCIÓN DE DATOS PERSONALES, APRUEBA LA MODIFICACIÓN DEL RESOLUTIVO SEGUNDO DEL ACUERDO APROBADO EN LA DÉCIMA SESIÓN ORDINARIA, CELEBRADA EL TREINTA DE JUNIO DEL AÑO DOS MIL VEINTE, EN EL SENTIDO DE AMPLIAR SUS EFECTOS AL 01 DE OCTUBRE DEL AÑO EN CURSO, CON MOTIVO DE LA EMERGENCIA SANITARIA POR CAUSA DE FUERZA MAYOR, GENERADA POR EL VIRUS SARS-CoV2 (COVID-19)    I    http://iaipoaxaca.org.mx/site/descargas/acuerdos/ACUERDO_SUSPENSION_DE_PLAZOS_CONTINGENCIA_SANITARIA_01_10_2020.pdf    I         I    Aplicación:                  SIGEMI    I    Tipo de Soporte:         AJUSTE DE FECHAS      I    Observaciones:                I         I    Su petición fue atendida    I         I    " u="1"/>
        <s v="Buenas tardes Doris, dando seguimiento a la conversión telefónica del día de hoy, anexo ejemplo de archivo con referencias a modificación de plazos por folio, también te envío las líneas a modificar en el archivo CONFIGCOMPONENTE, en caso de que lo consideres necesario     I        I    &lt;Configuración Control=&quot;SeleccionRespuesta&quot; Regla=&quot;RespuestasExcluyentes&quot; ID=&quot;H_Prevencion&quot; Descripción=&quot;H&quot; DiasDisponible=&quot;5&quot;  ExcluyeConID=&quot;I_Prorroga&quot; /&gt;    I      &lt;Configuración Control=&quot;SeleccionRespuesta&quot; Regla=&quot;RespuestasExcluyentes&quot; ID=&quot;E_Publica&quot; Descripción=&quot;E&quot; DiasDisponible=&quot;5&quot;  ExcluyeConID=&quot;&quot; /&gt;    I      &lt;Configuración Control=&quot;SeleccionRespuesta&quot; Regla=&quot;RespuestasExcluyentes&quot; ID=&quot;A_NoCompetencia&quot; Descripción=&quot;A&quot; DiasDisponible=&quot;3&quot;  ExcluyeConID=&quot;&quot; /&gt;    I          I        I    Saludos     I        I    Marina Adame Velasco    I        I    Notificación de seguimiento  [  MA1707202005 ]      I        I    Aplicación:                  INFOMEX TABASCO     I    Tipo de Soporte:         Configuración Infomex       I    Estatus:                               Concluido.    I        I    " u="1"/>
        <s v="Se aplica testado de datos al folio: 0064100210421" u="1"/>
        <s v="Notificación de seguimiento  [  MA1702202008 ]      I         I         I    Estimado(a):                     Lizbeth Adriana Cabrera Ortega    I         I    Le informamos que su ticket correspondiente a:    I                       I    PARA MODIFICAR LA FECHA AL 17 DE FEBRERO    I        I    " u="1"/>
        <s v="Adecuación del BUS de servicios para redireccionar u orquestar a los web services proporcionados por el equipo técnico del Estado de México." u="1"/>
        <s v="Crear metodos daos y servicios para obtener la informacion" u="1"/>
        <s v="Soporte Sinaloa" u="1"/>
        <s v="Notificación de seguimiento  [  MA2805202002 ]      I         I         I    Estimado(a):                     Lizbeth Adriana Cabrera Ortega    I         I    Le informamos que su ticket correspondiente a:    I                       I    Solicito de su valioso apoyo a fin de suprimir el recurso de la SCJN indicado líneas abajo, ello pues será remitido al SO para el análisis legal respectivo.    I        I        I    01/06/2020 26/05/2020 13:20 PM Luis Villarreal SCJN 0330000241319 Acceso a la Información Electrónico Ver detalle    I        I        I         I    Aplicación:                  SIGEMI    I    Tipo de Soporte:         SUPRIMIR RECURSO      I    Observaciones:                I         I    Su petición fue atendida    I         I    " u="1"/>
        <s v="Se testan 18 solicitudes del SO IMSS" u="1"/>
        <s v="Se elimina la respuesta del folio: 0673800133121" u="1"/>
        <s v="Se localiza el acuse de la solicitud con folio: 0063500107120." u="1"/>
        <s v="Implementación servicio total de quejas" u="1"/>
        <s v="Configuracion de horarios del modulo administracion" u="1"/>
        <s v="Las Unidades de Enlace reportan problemas de Ingreso a Infomex Unidad de Enlace." u="1"/>
        <s v="Notificación de seguimiento  [  MA1612202024 ]      I         I         I    Estimado(a):                     José Manuel Flores Robles    I         I         I    Le informamos que su ticket correspondiente a:    I                       I    cantidad de solicitudes que se han recibido del 1 de diciembre del 2020 al 17 de diciembre del 2020, tanto de información como de datos personales, y de ser posible ponerlo como en la imagen    I        I         I    Aplicación:                  INFOMEX QUERETARO     I    Tipo de Soporte:         REPORTE       I    " u="1"/>
        <s v="Se  testan los datos del folio:  0000700107621 " u="1"/>
        <s v="Copia carpeta cursos en campus público en producción" u="1"/>
        <s v="Se testan los datos de 15 solicitudes del Sujeto Obligado IMSS" u="1"/>
        <s v="Notificación de seguimiento  [  MA1903202104 ]      I         I         I    Estimado(a):                     Alondra Jiménez Hernández    I         I         I    Le informamos que su ticket correspondiente a:    I                       I    Anexo el registro actualizado del certificado del Titular de la Unidad de Transparencia de la ADMINISTRACION PORTUARIA INTEGRAL DE PUERTO MADERO, S.A. DE C.V.  para su renovación en la HCOM.      I         I    Aplicación:                  HCOM    I    Tipo de Soporte:         RENOVAR CERTIFICADO       I    " u="1"/>
        <s v="Se testan los datos de la solicitud con folio:  0064101377321" u="1"/>
        <s v="Se testan los datos  del folio: 0064101344621" u="1"/>
        <s v="Se actualiza certificado para la dependencia: Secretaría de Turismo." u="1"/>
        <s v="Notificación de seguimiento  [  MA0504202104 ]      I         I         I    Estimado(a):                     BERENICE HERNÁNDEZ SUMANO    I          I    Le informamos que su ticket correspondiente a:    I                       I    RESPALDO SEMANAL DE LA BASE DE DATOS INFOMEX    I         I    Aplicación:                  INFOMEX OAXACA    I    Tipo de Soporte:         RESPALDO       I    Observaciones:                I         I    Su petición fue atendida, se subió el respaldo de su base de datos de esta semana…    I        I    http://documentos.inai.org.mx/tmp/infomexOAX_backup_2021-04-05_1106.bak    I        I        I    NOTA: El respaldo estará disponible una semana      I        I    " u="1"/>
        <s v="Notificación de seguimiento  [  MA1502202106 ]      I         I         I    Estimado(a):                     BERENICE HERNÁNDEZ SUMANO    I          I    Le informamos que su ticket correspondiente a:    I                       I    RESPALDO SEMANAL DE LA BASE DE DATOS INFOMEX    I         I    Aplicación:                  INFOMEX OAXACA    I    Tipo de Soporte:         RESPALDO       I    Observaciones:                I         I    Su petición fue atendida, se subió el respaldo de su base de datos de esta semana…    I        I    http://documentos.inai.org.mx/tmp/infomexOAX_backup_2021-02-15_0800.bak    I        I        I    NOTA: El respaldo estará disponible una semana      I        I    " u="1"/>
        <s v="Notificación de seguimiento  [  MA1904202103 ]      I         I         I    Estimado(a):                     BERENICE HERNÁNDEZ SUMANO    I          I    Le informamos que su ticket correspondiente a:    I                       I    RESPALDO SEMANAL DE LA BASE DE DATOS INFOMEX    I         I    Aplicación:                  INFOMEX OAXACA    I    Tipo de Soporte:         RESPALDO       I    Observaciones:                I         I    Su petición fue atendida, se subió el respaldo de su base de datos de esta semana…    I        I    http://documentos.inai.org.mx/tmp/infomexOAX_backup_2021-04-19_0800.bak    I        I        I    NOTA: El respaldo estará disponible una semana      I        I    " u="1"/>
        <s v="Revisión y análisis de requerimientos " u="1"/>
        <s v="se generan los servicios de objetivos y los componentes de Objetivos: formulario, modal, busqueda, vista" u="1"/>
        <s v="Se aplica sustitución de archivo de la solicitud: 0110000003320" u="1"/>
        <s v="Notificación de seguimiento  [  MA2607202106 ]    I        I    Estimado(a):                Francisco Javier Lira Pérez    I        I         I     Le informamos que su ticket correspondiente a:    I                       I    la modificación del nombre del recurrente en el RR/1971/2021;    I        I    Nombre actual que aparece en el RR Nombre correcto que debe aparecer en el RR    I    Eduardo Sánchez Treviño Damar López Blanco    I        I    Anexo carpeta del RR001404121 numero con el cual se identificó en INFOMEX.  Para corroborar el nombre que debe de venir en el RR.    I        I         I    Aplicación:                  SIGEMI    I    Tipo de Soporte:         ACTUALIZAR DATOS      I    Observaciones:                I         I    Su petición fue atendida    I         I    " u="1"/>
        <s v="Continúa la automatización del proceso para la generación de registros Inserts del Excel (SISAI_catalogos_TareaXEdos.xlsx)" u="1"/>
        <s v="Notificación de seguimiento  [  MA1906202002 ]      I         I         I    Estimado(a):                     Sergio Rafael Cortés Alpizar     I        I    Le informamos que su ticket correspondiente a:    I                       I    Por medio del presente, solicito el regreso de actividad a &quot; Admitir / Prevenir / Desechar&quot; del siguiente recurso de revisión:    I        I    RRA 5656/20 vs CRE    I        I    Lo anterior se debe a que se anexo un archivo mal y se enviara de nuevo el acuerdo correcto.    I        I         I    Aplicación:                  SIGEMI    I    Tipo de Soporte:         REGRESO DE PASOS      I    Observaciones:                I         I    Su petición fue atendida    I         I        I         I    " u="1"/>
        <s v="Correccion de login con Red social Google" u="1"/>
        <s v="Se aplica eliminación de última respuesta: 0310000002020." u="1"/>
        <s v="Se  testan los datos y se sustituye el archivo del folio: 0000700213221" u="1"/>
        <s v="    I    Notificación de seguimiento  [  MA1006202121 ]    I        I    Estimado(a):                Moisés Guzmán Arias    I        I         I     Le informamos que su ticket correspondiente a:    I                       I    adecuar el término para prevención de acuerdo a las fechas que se indican en cada folio    I         I    00453621 estableciendo el término para prevención al día 11/06/2021 (11 de junio de 2021) (Agenda digital)    I        I         I    Aplicación:                  INFOMEX PUEBLA    I    Tipo de Soporte:         AJUSTE DE PLAZOS       I    Observaciones:                I         I    Su petición fue atendida    I         I         I        I                 Favor de validar.    I         I    Estatus:                               Concluido    I    " u="1"/>
        <s v="Se aplica testado de datos al folio:  0000700340520" u="1"/>
        <s v="Continúan las consultas de folios del estado de Sonora a fin de recuperar los adjuntos faltantes." u="1"/>
        <s v="Buenas tardes Martha, tu petición fue atendida, favor de validar     I        I    Saludos     I        I    Marina Adame Velasco    I        I    Notificación de seguimiento  [  MA0405202002 ]      I        I    Aplicación:                  INFOMEX NL    I    Tipo de Soporte:         AJUSTE DE PLAZOS        I    Estatus:                               Concluido.    I    " u="1"/>
        <s v="Cambios en el formulario de registro" u="1"/>
        <s v="Se aplica eliminación de respuesta al folio: 4010000109019" u="1"/>
        <s v="Notificación de seguimiento  [  MA1009202002 ]      I         I         I    Estimado(a):                     David Mendoza Oliva    I         I    Le informamos que su ticket correspondiente a:    I                       I    Te remito el correo con una observación de Petróleos Mexicanos en cuanto a la suspensión aplicada en lo referente a la etapa de sustanciación.    I        I    Sin otro particular, agradezco la atención.    I        I         I    Aplicación:                  SIGEMI    I    Tipo de Soporte:         AJUSTE DE PLAZO      I    Observaciones:                I         I    Su petición fue atendida, se realizó el ajuste al día 5 de Septiembre en los dos recursos señalados en la pantalla enviada    I         I        I         I    " u="1"/>
        <s v="Desarrollo de nueva funcionalidad para el registro de solicitudes a SISAI" u="1"/>
        <s v="Notificación de seguimiento [ MA1501202008 ]     I          I          I     Estimado(a): Rogelio García Álvarez    I          I     Le informamos que su ticket correspondiente a:    I          I     Buena tarde, solicito que por favor en el recurso RRA 00072/19 se regrese el paso para poder admitir el recurso ya que por un error involuntario se seleccionó la opción de prevenir; cabe decir que el recurrente no señaló correo electrónico para notificar por lo que la Plataforma Nacional de Transparencia no arrojó ningún acuse.     I     Agradezco la atención que le brinde al presente.     I         I         I          I     Aplicación: SIGEMI    I     Tipo de Soporte: REGRESO DE PASOS" u="1"/>
        <s v="Adecuación a plantilla de diseño para los dos campos" u="1"/>
        <s v="Se elimina la ultima respuesta del folio 1621100011321" u="1"/>
        <s v="Se presenta problemas para aplicar prorroga." u="1"/>
        <s v="Se generó certificado para usuario de dependencia Fideicomiso Plan de Pensiones y Jubilaciones Essa" u="1"/>
        <s v="Buenos días Berenice, tu petición fue atendida, se incluyó el acuse  Acuse de Información Parcial al contenido de la carpeta Infomex Oaxaca, favor de validar     I        I    Saludos     I        I    Marina Adame Velasco    I        I    Notificación de seguimiento  [  MA1202202002 ]      I        I    Aplicación:                  INFOMEX OAXACA    I    Tipo de Soporte:         Corrección de ACUSE       I    Estatus:                               Concluido.    I    " u="1"/>
        <s v="Realizar la clase Controller, Service, Dao para la operación alta de roles" u="1"/>
        <s v="Notificación de seguimiento  [  MA1602202105 ]      I         I         I    Estimado(a):                     Pedro Esquivel Martínez    I          I    Le informamos que su ticket correspondiente a:    I                       I    Anexo el registro actualizado del certificado del Titular de la Unidad de Enlace del  “INSTITUTO NACIONAL DE LAS PERSONAS ADULTAS MAYORES” Lo anterior a fin de que sus accesos sean habilitados en los otros sistemas que administra este Instituto (HCOM).  Cambio de Titular, no omito señalar que en cuanto se reciba la atención en HCOM se realizará la actualización de los demás sistemas correspondientes.    I         I    Aplicación:                  HCOM    I    Tipo de Soporte:         CAMBIO TUT       I    Observaciones:                I         I    Su petición fue atendida    I         I    " u="1"/>
        <s v="Notificación de seguimiento  [  MA1702202201 ]    I        I    Estimado(a):                Edgar Michel Loaeza Martínez    I        I         I     Le informamos que su ticket correspondiente a:    I                       I    Por medio del presente solicito su valioso apoyo a efecto de realizar el cambio de Titular de la Unidad de Transparencia de la Comisión Nacional para la Protección Contra Riesgos Sanitarios.    I         I    Para tal efecto, anexo al presente el certificado, nombramiento y cédula de registro, lo anterior, a fin de que sus accesos sean habilitados en los sistemas que administra este Instituto (INFOMEX y HCOM).      I    Aplicación:                  HCOM    I    Tipo de Soporte:         CAMBIO DE TUT      I    Observaciones:                I         I    Su petición fue atendida    I         I    " u="1"/>
        <s v="Analisis de solicitudes atendidas y pendientes " u="1"/>
        <s v="Se aplica el testado de datos de la solicitud: 1117100230719" u="1"/>
        <s v="Se aplica testado de datos al folio:   0110000011020 y 0110000011120" u="1"/>
        <s v="configuracion de proceso" u="1"/>
        <s v="Notificación de seguimiento [ MA2901202004 ]     I          I          I     Estimado(a): GILBERTO MARTIN RAMIREZ VILLEGAS    I          I     Le informamos que su ticket correspondiente a:    I          I     cambiar el número de folio dentro del recurso de revisión de número RRAIP-156/2020 puesto que por un error involuntario se capturó como número de folio el 03290719, siendo que el folio correcto es 03290119.    I         I          I     Aplicación: SIGEMI    I     Tipo de Soporte: ACTUALIZACION DE DATOS     I     Observaciones:     I          I     Su petición fue atendida    I          I         I          I      Favor de validar.    I          I     Estatus: Concluido." u="1"/>
        <s v="Analisis BD seguimiento actividades" u="1"/>
        <s v="Notificación de seguimiento  [  MA0104202002 ]      I         I         I    Estimado(a):                     Rafael González García    I         I    Le informamos que su ticket correspondiente a:    I                       I    Revisión de plazos del Sindicato Independiente de Trabajadores de El Colegio de Postgraduados (SINTCOP)    I        I         I    Aplicación:                  SIGEMI    I    Tipo de Soporte:         Revisión de plazos       I    Observaciones:                I         I    Su petición fue atendida, te comento que se revisó la fecha limite de votación, fecha de cumplimiento y fecha de envió de alegatos en los folios detectados de este Sujeto Obligado, sin embargo en ninguno de los casos se encontró referencia, los expedientes localizados son:    I        I    RRA 6038/18    I    RRA 6005/19    I        I    Tres recursos aún no están turnados     I        I    6015000000218    I    6015000000118    I    6015000000318    I         I        I         I                Favor de validar.    I         I    Estatus:                               Concluido.    I        I        I    " u="1"/>
        <s v="Ajuste de sesión con facebook en ios" u="1"/>
        <s v="Se eliminaron atributos sobrantes y tambien se implemento null safety para los ya existentes" u="1"/>
        <s v="Notificación de seguimiento  [  MA1706202107 ]    I        I    Estimado(a):                Berenice Hernández Sumano    I        I         I     Le informamos que su ticket correspondiente a:    I                       I    Por este medio solicito su apoyo para poder aplicar las afectaciones a las fechas de vencimiento y la eliminación de los acuses respectivos de las solicitudes señaladas en el archivo adjunto. Toda vez que el Consejo General aprobará en su Décima Primera Sesión Ordinaria 2021 celebrada el día 15 de junio, aprobó el levantamiento total a la suspensión de plazos derivado de la Contingencia Sanitaria del COVID-19.    I         I    Aplicación:                  INFOMEX OAXACA    I    Tipo de Soporte:         AJUSTE DE PLAZOS       I    Observaciones:                I         I    Su petición fue atendida    I         I    " u="1"/>
        <s v="se generan componente de usuario: formulario, modal, vista, busqueda" u="1"/>
        <s v="    I    Notificación de seguimiento  [  MA1005202203 ]    I        I    Estimado(a):                Julia Yuridia Pacheco Hernández    I        I         I     Le informamos que su ticket correspondiente a:    I        I        I    Atentamente solicito su apoyo para asignar en la Herramienta de Comunicación, el certificado que adjunto al presente al SO que se precisa a continuación:    I        I    clave sujeto obligado siglas hcom nombre del titular correo electrónico Contraseña para hcom    I    60274 Sindicato Nacional de Trabajadores de la Procuraduría Federal del Consumidor SNTPROFECTO MANUEL LOPEZ ORTIZ mlopezo@profeco.gob.mx    I    hcom2022    I        I        I         I    Aplicación:                  HCOM    I    Tipo de Soporte:         CAMBIO DE TUT         I    " u="1"/>
        <s v="Creación de cuenta y configuración permisos a Sandra Sandoval" u="1"/>
        <s v="Carga de audios en BD de los recursos requeridos." u="1"/>
        <s v="Buenas tardes Isaac, tu petición fue atendida, favor de validar     I        I    Saludos     I        I    Marina Adame Velasco    I        I    Notificación de seguimiento  [  MA1408202006 ]      I        I    Aplicación:                  INFOMEX OAXACA     I    Tipo de Soporte:         AJUSTE DE PLAZOS        I    Estatus:                               Concluido    I    " u="1"/>
        <s v="Reesctructuración servicio registro de pagos" u="1"/>
        <s v="Se testan los datos de la solicitud con folio: 064101427021" u="1"/>
        <s v="Se  testan los datos del folio: 011000023721" u="1"/>
        <s v="desarrollo funcionalidad turnar solicitud" u="1"/>
        <s v="Junta con Oracle para ver a detalle la propuesta de arquitectura y para aclaracion de dudas." u="1"/>
        <s v="Se realiza el apoyo en la identificación del error que emite el proceso de generación de datos vía web del estado de Tamaulipas, donde se gestionan diversos querys para pruebas locales." u="1"/>
        <s v="Notificación de seguimiento [ MA2801202007 ]     I          I          I     Estimado(a): Leticia Pérez Calderón    I          I     Le informamos que su ticket correspondiente a:    I          I     Atentamente solicito tu apoyo a fin de regresar al paso de evaluación de cumplimiento el recurso de revisión RRD 0521/19.    I         I          I     Aplicación: SIGEMI    I     Tipo de Soporte: REGRESO DE PASOS     I     Observaciones:     I          I     Su petición fue atendida    I          I         I          I      Favor de validar.    I          I     Estatus: Concluido." u="1"/>
        <s v="    I    Notificación de seguimiento  [  MA2402202109 ]      I         I         I    Estimado(a):                     Fernanda Denise Blanco Alquicira    I         I         I    Le informamos que su ticket correspondiente a:    I                       I    eliminar el requerimiento número IFAI-REQ-001068-2021 enviado el día de hoy mediante la Herramienta de comunicación, lo anterior debido a que hubo un error en los archivos adjuntos. Adjunto el acuse de envío para pronta referencia.     I        I         I    Aplicación:                  HCOM    I    Tipo de Soporte:         ELIMINAR REQUERIMIENTO        I    " u="1"/>
        <s v="Se aplica eliminación de última respuesta de la solicitud: 0001600073420." u="1"/>
        <s v="seccion 14 UT" u="1"/>
        <s v="Se terminan de configurar llaves en consola de firebase" u="1"/>
        <s v="Notificación de seguimiento  [  MA2605202203 ]    I        I    Estimado(a):                Lizbeth Adriana Cabrera Ortega    I        I        I     Le informamos que su ticket correspondiente a:    I        I    generación UN EXPEDIENTE BIS del recurso de revisión posteriormente citado.    I         I    Asimismo, te comento que NO DEBERÁ CAMBIAR el sujeto obligado PERO SI EL COMISIONADO A JRV.    I         I     DICE                                        DEBE DECIR                         SUJETO OBLIGADO           PONENTE    I    RRD 1223/22 RRD 0090/20-BIS CONSAR JRV    I         I    No omito comentarte que el número d expediente que deberá seguir en el consecutivo por turnar en PNT debe ser el RRD 1223/22    I        I        I         I    Aplicación:                  SIGEMI    I    Tipo de Soporte:        CAMBIO A BIS     I    " u="1"/>
        <s v="Notificación de seguimiento  [  MA2511202007 ]      I         I    Estimado(a):                     Berenice Hernández Sumano    I          I    Le informamos que su ticket correspondiente a:    I                       I    Por este medio solicito su apoyo para poder aplicar las afectaciones a las fechas de vencimiento y la eliminación de los acuses respectivos de las solicitudes señaladas en el archivo adjunto. Toda vez que el Consejo General aprobará en su Décima Novena Sesión Ordinaria celebrada el día 28 de octubre, aprobó la primera fase del levantamiento a la suspensión de plazos derivado de la Contingencia Sanitaria del COVID-19 para un primer grupo de sujetos obligados y la continuidad de la suspensión de plazos para el resto de sujetos obligados hasta el 14 de diciembre.    I        I    Aplicación:                  INFOMEX OAXACA    I    Tipo de Soporte:         AJUSTE DE PLAZOS        I    Observaciones:                I         I    Su petición fue atendida, la eliminación de acuses esta en proceso    I         I    " u="1"/>
        <s v="Se  testan los datos del folio:   0064100391521" u="1"/>
        <s v="Se aplica testado de datos al folio:  0002700051921" u="1"/>
        <s v="Se elimina la respuesta del folio: 0912000014521" u="1"/>
        <s v="Se  testan los datos de la solicitud con folio 0064100773221    I    " u="1"/>
        <s v="Revisión y análisis de la  Administracion de Calendarios, horarios,acuses y respuestas. " u="1"/>
        <s v="Problemas en Calendarios de la dependencia: SEP-XE-IPN CANAL 11 (*)." u="1"/>
        <s v="Se genera certificado para: Blas.Rodriguez.Ortiz." u="1"/>
        <s v="Se sustituye archivo adjunto del folio: 1816400066320." u="1"/>
        <s v="Notificación de seguimiento  [  MA0906202201 ]    I        I    Estimado(a):                Alondra Jiménez Hernández    I        I        I     Le informamos que su ticket correspondiente a:    I        I    Anexo el registro del certificado del nuevo Titular de la Unidad de Transparencia de FONATUR Tren Maya, S.A. de C.V. para que su acceso sea habilitado en la Herramienta de Comunicación.     I        I         I    Aplicación:                  HCOM    I    Tipo de Soporte:        CAMBIO DE TUT    I    Observaciones:                I         I    Su petición fue atendida.    I         I    " u="1"/>
        <s v="Se procede con la creación de un nuevo insumo para el procesamiento de recuperación de adjuntos faltantes del estado de Morelos (Se requiere recuperar (9,161) adjuntos). Para esto se realizó previamente consultas folio a folio en la entidad, donde se observa un dato distinto en la consulta de URL de Origen.  https://infomexmorelos.mx/ donde dice DescargarSinGuardar, y este dato se utiliza para la nueva consulta." u="1"/>
        <s v="Se  testan los datos de la solicitud con folio 1816400146621    I         I    " u="1"/>
        <s v="Se  testan los datos del folio: 0064101174621" u="1"/>
        <s v="Notificación de seguimiento  [  MA0411202007 ]      I         I         I    Estimado(a):                     BERENICE HERNÁNDEZ    I         I         I    Le informamos que su ticket correspondiente a:    I                       I    por este medio solicito la afectación en base de datos de la fecha de caducidad de las solicitudes, toda vez que el Consejo General del IAIPO aprobó TÉRMINO DE SUSPENSIÓN DE PLAZOS DE LOS PROCEDIMIENTOS CUYO CONTENIDO ESTÉ RELACIONADO A LOS TEMAS COVID-19 (01/05/2020), SISMO DEL 23 DE JUNIO Y PROGRAMAS SOCIALES DERIVADOS DE LA EMERGENCIA SANITARIA (30/06/2020), PROCEDIMIENTOS DE ADJUDICACIÓN DIRECTA, INVITACIÓN RESTRINGIDA Y LICITACIÓN DE CUALQUIER NATURALEZA (28/08/2020).    I         I    Aplicación:                  INFOMEX OAXACA    I    Tipo de Soporte:         AJUSTE DE PLAZOS        I    Observaciones:                I         I    Su petición fue atendida    I         I    " u="1"/>
        <s v="Notificación de seguimiento  [  MA1710202203 ]    I        I    Estimado(a):                Rosalinda Coria Mosqueda    I         I     Le informamos que su ticket correspondiente a:    I         I    … dejar en prevenir el recurso RRA 15387/22, toda vez que active el no desahogo, y debió ser sólo la prevención.    I        I         I    Aplicación:                SIGEMI    I    Tipo de Soporte        REGRESO DE PASOS     I    Observaciones:                I         I    Su petición fue atendida." u="1"/>
        <s v="Modificaciones al servicio de cambio de contraseña" u="1"/>
        <s v="Envío de carpeta themes para su reemplazo" u="1"/>
        <s v="Notificación de seguimiento  [  MA1008202201 ]    I        I        I    Estimado(a):               Ricardo González Cano    I        I     Le informamos que su ticket correspondiente a:    I        I    Creo que lo conveniente sería actualizarlos a “HCOM2022” y sería para los sujetos siguientes:    I        I    Clave_x0009_Sujeto obligado_x0009_SIGLAS HCOM    I    60194_x0009_Sindicato Nacional de Trabajadores del Banco del Ahorro Nacional y Servicios Financieros_x0009_SNTBANSEFI    I    60162_x0009_Sindicato Nacional de Trabajadores de DICONSA_x0009_SNTDICONSA    I    60239_x0009_Sindicato Único de Trabajadores del Instituto Mexicano de Cinematografía_x0009_SUTIMCINE    I        I        I        I    Aplicación:                  HCOM    I    Tipo de Soporte:        CAMBIO DE CONTRASEÑAS     I    " u="1"/>
        <s v="Google Analytics" u="1"/>
        <s v="Se sustituye el archivo adjunto de la solicitud con folio  0064101335721" u="1"/>
        <s v="    I    Notificación de seguimiento  [  MA3009202009 ]      I         I         I    Estimado(a):                     Karen Nayelli Muñiz Rebolledo    I         I    Le informamos que su ticket correspondiente a:    I                       I         I    Solicito su apoyo para que me ayuden a regresar los pasos en el recurso RRD 01142/20 vs IMSS, a efecto de que el asunto se tenga por no presentado.    I        I         I    Aplicación:                  SIGEMI    I    Tipo de Soporte:         REGRESO DE PASOS      I    Observaciones:                I         I    Su petición fue atendida    I         I    " u="1"/>
        <s v="Se elimina la respuesta del folio: 0001200274821" u="1"/>
        <s v="Notificación de seguimiento  [  MA0103202106 ]      I         I         I    Estimado(a):                     ALAN GARCIA    I         I         I    Le informamos que su ticket correspondiente a:    I                       I    actualizar la fecha de finalización de las solicitudes de información que se registraron durante el periodo que estuvieron suspendidos los plazos.    I         I    Aplicación:                  INFOMEX TLAXCALA    I    Tipo de Soporte:         AJUSTE DE FECHA        I    " u="1"/>
        <s v="Se aplica eliminación de formato de pago: 0673800089121" u="1"/>
        <s v="Definicion de tiempo de vida de cuanta de usuarios" u="1"/>
        <s v="Se aplica eliminación de formato de pago: 0002700263420" u="1"/>
        <s v="Se  testan los datos del folio: 0064100853221" u="1"/>
        <s v="Revisar y corregir el error en consulta de solicitudes" u="1"/>
        <s v="    I    Buenos días Berenice, tu petición fue atendida, favor de validar     I        I    Saludos     I        I    Marina Adame Velasco    I        I    Notificación de seguimiento  [  MA2809202001 ]      I        I    Aplicación:                  INFOMEX OAXACA     I    Tipo de Soporte:         AJUSTE DE PLAZOS        I    Estatus:                               Concluido.    I    " u="1"/>
        <s v="Hola Berenice, ya se subió el respaldo de su base de datos de esta semana…    I        I        I    http://documentos.inai.org.mx/tmp/infomexOAX_backup_2020-06-01_0800.bak    I        I        I         I    NOTA: El respaldo estará disponible una semana      I         I         I    Saludos    I        I                                                                                                                                                                                    I    Marina Adame Velasco    I    " u="1"/>
        <s v="Hola Berenice, ya se subió el respaldo de su base de datos de esta semana…    I        I        I    http://documentos.inai.org.mx/tmp/infomexOAX_backup_2020-06-08_0800.bak    I        I        I         I    NOTA: El respaldo estará disponible una semana      I         I         I    Saludos    I        I                                                                                                                                                                                    I    Marina Adame Velasco    I    " u="1"/>
        <s v="Hola Berenice, ya se subió el respaldo de su base de datos de esta semana…    I        I        I    http://documentos.inai.org.mx/tmp/infomexOAX_backup_2020-06-15_0800.bak    I        I        I         I    NOTA: El respaldo estará disponible una semana      I         I         I    Saludos    I        I                                                                                                                                                                                    I    Marina Adame Velasco    I    " u="1"/>
        <s v="Hola Berenice, ya se subió el respaldo de su base de datos de esta semana…    I        I        I    http://documentos.inai.org.mx/tmp/infomexOAX_backup_2020-06-22_0800.bak    I        I        I         I    NOTA: El respaldo estará disponible una semana      I         I         I    Saludos    I        I                                                                                                                                                                                    I    Marina Adame Velasco    I    " u="1"/>
        <s v="Notificación de seguimiento  [  MA1409202008 ]      I         I         I    Estimado(a):         Lizbeth Adriana Cabrera Ortega                I         I    Le informamos que su ticket correspondiente a:    I                       I    PIDO DE TU AMABLE APOYO PARA QUE SEAN CORRECTAMENTE INCORPORADOS LOS ACUERDOS DE TURNO A LOS EXPEDIENTES ELECTRÓNICOS DEL INSABIL    I         I    LO ANTERIOR YA QUE DE LA PONENCIA DEL COMISIONADO OMGF, LA PROYECTISTA MARIANA AGUILA ME PRECISA QUE EL RECURSO RRA 8734/20, ME ENVÍA LA IMAGEN DEL ACUERDO QUE APARECE Y DICE 11 DE SEPTIEMBRE.    I         I    COMO PUEDES VER EN LOS ACUERDOD DE TURNO QUE ENVÍE EN EL CORREO DE 10 DE SEPTIEMBRE A LAS 19:58 TODOS CONTIENEN LA FECHA DEL 10 DE SEPTIEMBRE. MISMOS QUE ADJUNTO NUEVAMENTE AL CORREO QUE NOS OCUPA. (VER HISTORIAL DE CORREOS.    I         I    QUEDO PENDIENTE Y MANDO PANTALLA QUE ME HIZO LLEGAR LA ´PONENCIA DEL COMISONADO GUERRA.    I         I    Aplicación:                  SIGEMI    I    Tipo de Soporte:         Actualización de acuerdos de turno      I    Observaciones:                I         I    Su petición fue atendida, se realizó la actualización de los acuerdos con fecha al 10 de Septiembre de 2020    I    " u="1"/>
        <s v="Se  testan los datos del folio: 0064101528121" u="1"/>
        <s v="Notificación de seguimiento [ MA2801202005 ]     I          I          I     Estimado(a): Tiara Gethsemanni Miranda Fuentes    I          I     Le informamos que su ticket correspondiente a:    I          I     Por medio de presente, solicito de la manera más atenta, su apoyo para retroceder los pasos en el sistema SIGEMI-SICOM en la PNT del asunto que se enlista a continuación; hasta la actividad “Registrar información de la sesión del pleno”; sin más por el momento, quedo en espera de sus comentarios.    I          I          I     • RRA 15546/19    I          I          I     Aplicación: SIGEMI    I     Tipo de Soporte: REGRESO DE PASOS     I     Observaciones:     I          I     Su petición fue atendida    I          I         I          I      Favor de validar.    I          I     Estatus: Concluido." u="1"/>
        <s v="Buenas tardes Berenice, tu petición fue atendida, favor de validar     I        I    Saludos     I        I    Marina Adame Velasco    I        I    Notificación de seguimiento  [  MA0906202007]      I        I    Aplicación:                  INFOMEX OAXACA    I    Tipo de Soporte:         AJUSTE DE PLAZOS        I    Estatus:                               Concluido.    I         I        I        I    " u="1"/>
        <s v="Notificación de seguimiento  [  MA1410202201 ]    I        I    Estimado(a):                Lizbeth Adriana Cabrera Ortega    I         I     Le informamos que su ticket correspondiente a:    I         I    Con el gusto de saludarles me permito solicitar tu valioso apoyo respecto de la generación UN EXPEDIENTE BIS del recurso de revisión posteriormente citado.    I         I    Asimismo, te comento que NO DEBERÁ CAMBIAR el sujeto obligado, ni el Comisionado correspondiente.     I         I     DICE                                        DEBE DECIR                         SUJETO OBLIGADO           PONENTE    I        I    RRA 16785/22_x0009_RRA 7765/21-BIS_x0009_INMEGEN_x0009_AAM    I         I    No omito comentarte que el número de expediente que deberá seguir en el consecutivo por turnar en PNT debe ser el RRA 16785/22.    I        I         I         I    Aplicación:                SIGEMI    I    Tipo de Soporte        CAMBIO A EXPEDIENTE BIS" u="1"/>
        <s v="Búsqueda de información de arquitectura PRODATOS" u="1"/>
        <s v="    I    Notificación de seguimiento  [  MA0411202008 ]      I         I         I    Estimado(a):                     ALMA LIZBETH PEGUERO    I         I         I    Le informamos que su ticket correspondiente a:    I                       I    solicito de su valioso apoyo para la eliminación del siguiente recurso RRA 03273/20, debido a que se encuentra doble en la PNT, para trabajar en mi paso, quedo atenta, sin más por el momento.    I        I        I    Aplicación:                  SIGEMI    I    Tipo de Soporte:         CANCELAR DUPLICADO        I    Observaciones:                I         I    Su petición fue atendida    I         I    " u="1"/>
        <s v="    I    Notificación de seguimiento  [  MA2809202006 ]      I         I         I    Estimado(a):                     Rosalinda Coria Mosqueda    I         I    Le informamos que su ticket correspondiente a:    I                       I        I    Agradeceré su apoyo para regresar el recurso RRD 00457/20 a la actividad de preparación del proyecto, toda vez que se trata de un returno asignado a la Comisionada Blanca Lilia Ibarra Cadena.    I        I         I    Aplicación:                  SIGEMI    I    Tipo de Soporte:         REGRESO DE PASOS      I    Observaciones:                I         I    Su petición fue atendida    I         I    " u="1"/>
        <s v="Se  elimina respuesta del folio: 1100300009621 " u="1"/>
        <s v="Se aplica testado de datos al folio: 0000700007121" u="1"/>
        <s v="Notificación de seguimiento  [  MA0412202003 ]      I         I         I    Estimado(a):                     Adriana Elizabeth Hernández Garcia    I         I         I    Le informamos que su ticket correspondiente a:    I                       I    Por medio del presente te comento que al validar el paso denominado Registro de la Resolución Firmada relativo al recurso:     I        I    RRA 11915/20    I        I    la PNT se queda pasmada y NO APARECEN las ventanas donde se registran las fechas de firma de los comisionados; de tal manera que queda en blanco.      I    Al respecto, te solicito se realicen las gestiones necesarias a efecto de que se pueda validar el paso referido y estar en condición de continuar con el proceso de notificación de la resolución.    I         I    Aplicación:                  SIGEMI    I    Tipo de Soporte:         CORRECCIÓN DE INCIDENCIA     I    Observaciones:                I         I    Su petición fue atendida    I         I    " u="1"/>
        <s v="WordPress - ¿Qué es el CAS?" u="1"/>
        <s v="Notificación de seguimiento  [  MA1108202201 ]    I        I        I    Estimado(a):               Abraham Obed Gallardo González    I     Le informamos que su ticket correspondiente a:    I        I    Con el gusto de saludarles y en espera de que todo marche bien, por instrucciones del Lic. Pedro González Benítez, Director General, por este medio Anexo el registro actualizado del certificado del Titular de la Unidad de Transparencia del INFONACOT.      I         I    Lo Anterior, a fin de que sus accesos sean habilitados en los sistemas que administra este Instituto (HCOM).  CAMBIO DE TITULAR. En cuanto se reciba la atención en HCOM se realizará la actualización de los demás sistemas correspondientes.    I        I        I    Aplicación:                  HCOM    I    Tipo de Soporte:        CAMBIO DE TUT     I    Observaciones:          La contraseña asignada es HCOM2022" u="1"/>
        <s v="Prueba uno de descarga de datos SIPOT" u="1"/>
        <s v="Enlazar modulos de busqueda avanzada" u="1"/>
        <s v="Se cambia el tipo de solicitud del folio:  0001200056821" u="1"/>
        <s v="Se corrige un problema de navegacion al responder quejas, ahora dirige al usuario a la pantalla home" u="1"/>
        <s v="Implementación del borrado de Subtemas" u="1"/>
        <s v="Se modifican validaciones en solicitud de datos personales" u="1"/>
        <s v="Carga de acuerdos" u="1"/>
        <s v="Notificación de seguimiento  [  MA1706202008 ]      I         I         I    Estimado(a):                     Edgar Michel Loaeza Martínez    I         I    Le informamos que su ticket correspondiente a:    I                       I    Estimados En alcance al correo que anteceden les comparto que existe un error en el texto del correo pues se señala que es para la UPN sin embargo, el correcto es para la Secretaría de Seguridad y Protección Ciudadana:    I        I    DICE:    I        I    Estimados todos:    I        I    Por medio del presente solicito su valioso apoyo a efecto de realizar el cambio de Titular de la Unidad de Transparencia de la Universidad Pedagógica Nacional.    I        I    Para tal efecto, anexo al presente el certificado, cédula de registro y nombramiento del Titular, lo anterior, a fin de que sus accesos sean habilitados en los sistemas que administra este Instituto (INFOMEX y HCOM).      I        I         I    Aplicación:                  HCOM    I    Tipo de Soporte:         CAMBIO TUT      I    Observaciones:                I         I    Su petición fue atendida    I         I    " u="1"/>
        <s v="SUSTITUCIÓN DEL ADJUNTO EN SOLICITUD DE INFORMACION CON FOLIO 0064101070821" u="1"/>
        <s v="Se elimina solicitud del SISITUR para volverla a cargar en el sistema" u="1"/>
        <s v="    I    Notificación de seguimiento  [  MA0311202005 ]      I         I         I    Estimado(a):                     ALONDRA JIMENEZ    I         I         I    Le informamos que su ticket correspondiente a:    I                       I    Para eliminar el comunicado 004355-IFAI-2020, el cual contiene en su envío documentación con datos erróneos. Acabo de informar la acción a la unidad de transparencia.    I         I    Aplicación:                  HCOM    I    Tipo de Soporte:         Eliminar comunicado       I    Observaciones:                I         I    Su petición fue atendida    I         I    " u="1"/>
        <s v="Se  testan los datos del folio: 0064101341121" u="1"/>
        <s v="Se testan los datos de la solicitud con folio: 0064101354121" u="1"/>
        <s v="Revisión problema de carga" u="1"/>
        <s v="Se aplica cambio de modalidad a las solicitudes: 0001100041420" u="1"/>
        <s v="Actualizacion orden de servicio" u="1"/>
        <s v="Se aplica testado de datos al folio: 0064103099720" u="1"/>
        <s v="Se cambia el tipo de solicitud del folio: 0063700102621" u="1"/>
        <s v="Se orienta al usuario para seguimiento de calendarios para la dependencia: Secretaría de Relaciones Exteriores." u="1"/>
        <s v="Se aplica testado de datos al folios: 0002700087420." u="1"/>
        <s v="Se aplica testado de datos personales: 0064100163420." u="1"/>
        <s v="    I    Notificación de seguimiento  [  MA2704202106 ]      I          I    Estimado(a):                     Martha Rubí Zaragoza Mora    I          I    Le informamos que su ticket correspondiente a:    I                       I    El presente correo es para pedir su amable apoyo para el ajuste de términos de los folios debido al Acuerdo que enviaron los siguientes Sujetos Obligados a la COTAI por el cual se amplían la fecha del 09 al 30 de abril 2021; debiéndose considerar los días comprendidos dentro de dicho periodo como inhábiles para evitar la propagación del coronavirus COVID-19.    I        I    Aplicación:                  INFOMEX NUEVO LEÓN    I    Tipo de Soporte:         AJUSTE DE PLAZO       I    Observaciones:                I         I    Su petición fue atendida    I          I                Favor de validar.    I     Estatus:                               Concluido.    I        I    " u="1"/>
        <s v="Notificación de seguimiento  [  MA0702202006 ]      I         I         I    Estimado(a):                     Recurso de revisión    I         I    Le informamos que su ticket correspondiente a:    I                       I    Solicito de su valioso apoyo ya que el recurso mencionado en el asunto establece como fecha de interposición el 22 de enero tal como se aprecia en la pantalla 1.    I        I    Sin embargo el acuerdo de turno estipula como fecha de presentación del recurso el 21 de enero, como se aprecia en la pantalla 2..    I        I    Dicho recurso fue interpuesto por la herramienta electrónica.    I        I    En este sentido  a razón de que el acuerdo de turno, determinaba la fecha del 21 de enero, la ponencia me comenta haber dictado LA ADMISIÓN CON ESA FECHA.     I        I    Consecuencia de lo anterior, pido que aparezca en el expediente electrónico la fecha de 21 de enero como fecha de interposición así como el los pasos que deba obrar.    I        I         I    Aplicación:                  SIGEMI    I    Tipo de Soporte:         Actualizar fecha       I    " u="1"/>
        <s v="Se elimina la respuesta del folio:  1816400113521" u="1"/>
        <s v="Apoyo directo para Antonio Pérez ( Validación de la generación de diversas URL´s que no están siendo identificadas en las rutas de carpetas de archivos, esto respecto a CDMX. Visita a InfoDF)" u="1"/>
        <s v="Se elimina la respuesta del folio 0610100059821" u="1"/>
        <s v="Se sustituye archivo adjunto  del folio: 0002700129221" u="1"/>
        <s v="Se cambia el tipo de solicitud del folio: 0063700102721" u="1"/>
        <s v="Configuracion de registro de Usuarios " u="1"/>
        <s v="Se hacen modificaciones a los mapeos de las entidades control descarga datos abiertos" u="1"/>
        <s v="Crear diagrama de gantt con tiempos aproximados de desarrollo" u="1"/>
        <s v="Análisis para la configuración de Jboss" u="1"/>
        <s v="Notificación de seguimiento  [  MA2210202001 ]      I         I         I    Estimado(a):                     Alondra Jiménez Hernández    I         I    Le informamos que su ticket correspondiente a:    I                       I         I    Anexo el registro actualizado del certificado del Titular de la Unidad de Transparencia del  Fideicomiso Irrevocable de Administración e Inversión del Fondo de Pensiones o Jubilaciones o Primas de Antigüedad de los Trabajadores del Banco Nacional del Ejército, Fuerza Aérea y Armada, S.N.C., sujeto obligado indirecto de CIATEJ, para su renovación en la Herramienta de Comunicación.     I         I    Aplicación:                  HCOM    I    Tipo de Soporte:         CAMBIO DE CERTIFICADO     I    Observaciones:                I         I    Su petición fue atendida    I         I        I    " u="1"/>
        <s v="Notificación de seguimiento  [  MA1006202009 ]      I         I         I    Estimado(a):                     Karen Nayelli Muñiz Rebolledo    I         I    Le informamos que su ticket correspondiente a:    I                       I         I    Solicito su apoyo para que me ayuden a regresar los pasos en el recurso RRA 04788/20 vs IMSS, toda vez, que se adjuntó una resolución errónea.    I        I         I    Aplicación:                  SIGEMI    I    Tipo de Soporte:         REGRESO DE PASOS      I    Observaciones:                I         I    Su petición fue atendida    I         I        I         I                Favor de validar.    I         I    Estatus:                               Concluido.    I        I        I    " u="1"/>
        <s v="Integración de los componentes de SISAI y federado, tanto en desarrollo como la descarga del SVN validando que compilen y funcionen correctamente." u="1"/>
        <s v="Se  testan los datos de la solicitud con folio 0063700211821    I         I    " u="1"/>
        <s v="Se  testan los datos de la solicitud con folio 0673800079721" u="1"/>
        <s v="Se testan los datos  del folio: 0064101440121" u="1"/>
        <s v="    I    Notificación de seguimiento  [  MA0311202007 ]      I         I         I    Estimado(a):                     José Manuel Flores Robles    I         I         I    Le informamos que su ticket correspondiente a:    I                       I    la cantidad de solicitudes que se han recibido del 1 de enero del 2020 al 30 de noviembre del 2020, tanto de información como de datos personales    I         I    Aplicación:                  INFOMEX QUERÉTARO    I    Tipo de Soporte:         REPORTE       I    Observaciones:                I         I    Su petición fue atendida    I         I    " u="1"/>
        <s v="Se generó certificado para usuario de SO UAM" u="1"/>
        <s v="Se elimina la respuesta del folio: 0001200268521" u="1"/>
        <s v="    I    Notificación de seguimiento  [  MA2611202005 ]      I         I         I    Estimado(a):                     Julia Yuridia Pacheco Hernández    I         I         I    Le informamos que su ticket correspondiente a:    I                       I    solicitar su apoyo para el borrado, a la brevedad posible, de una comunicación incorrecta realizada en la Herramienta de Comunicación.    I         I    El folio del comunicado es: 004823-IFAI-2020    I        I         I    Aplicación:                  HCOM    I    Tipo de Soporte:         eliminar comunicado        I    Observaciones:                I         I    Su petición fue atendida    I         I    " u="1"/>
        <s v="Se generó certificado para usuario de dependencia indirecto OPR" u="1"/>
        <s v="Se cambiaron validaciones en buscador de obligaciones" u="1"/>
        <s v="Se aplica sustitución de archivo de la solicitud: 0064102398919." u="1"/>
        <s v="Se agregan detalles extra a la vista de Notificacion para finalizar solicitudes de datos personales y de informacion publica" u="1"/>
        <s v="Se aplica eliminación de formato de pago: 0001600040320." u="1"/>
        <s v="Se aplica eliminación de formato de pago: 1215100494820" u="1"/>
        <s v="Se aplica cambio de modalidad a las solicitudes: 0000500028920." u="1"/>
        <s v="Notificación de seguimiento  [  MA0904202106 ]      I         I         I    Estimado(a):                     Moisés Guzmán Arias    I         I         I    Le informamos que su ticket correspondiente a:    I                       I    respaldo de la base de datos del Sistema Infomex del Estado de Puebla.    I         I         I    Aplicación:                  INFOMEX PUEBLA    I    Tipo de Soporte:         CAMBIO TUT       I    Observaciones:                I         I    Su petición fue atendida    I        I    http://documentos.inai.org.mx/tmp/infomexPUEBLA_backup_2021-04-09_1044.bak    I         I    " u="1"/>
        <s v="Ajuste de filtros mis quejas" u="1"/>
        <s v="analisis y funcionalidad de ejercicios " u="1"/>
        <s v="Se  testan los datos del folio:  0064100472821" u="1"/>
        <s v="Creación de nuevo instalable y actualización de OT" u="1"/>
        <s v="    I    Buenos días Berenice, tu petición fue atendida, favor de validar     I        I    Saludos     I        I    Marina Adame Velasco    I        I    Notificación de seguimiento  [  MA1310202002 ]      I        I    Aplicación:                  INFOMEX OAXACA    I    Tipo de Soporte:         AJUSTE DE PLAZOS        I    Estatus:                               Concluido.    I    " u="1"/>
        <s v="Implementación modal instituciones competentes, descarga adjuntos y leyes" u="1"/>
        <s v="Realizar la clase Controller, Service, Dao para la operación actualizacion de linea estrategica" u="1"/>
        <s v="Implementación modal descarga de recibo de pago generado" u="1"/>
        <s v="Desarrollo de componentes backend y fronted" u="1"/>
        <s v="Se generan 1 certificados para la dependencias." u="1"/>
        <s v="Buenas tardes Martha, tu petición fue atendida, favor de validar     I        I    Saludos     I        I    Marina Adame Velasco    I        I    Notificación de seguimiento  [  MA3006202007 ]      I        I    Aplicación:                  INFOMEX NUEVO LEÓN    I        I    Tipo de Soporte:         AJUSTE DE PLAZOS    I           I    Estatus:                               Concluido.    I        I    " u="1"/>
        <s v="    I    Notificación de seguimiento  [  MA1204202104 ]      I         I         I    Estimado(a):                     ALAN GARCÍA    I          I    Le informamos que su ticket correspondiente a:    I                       I    RESPALDO SEMANAL DE LA BASE DE DATOS INFOMEX    I         I    Aplicación:                  INFOMEX TLAXCALA    I    Tipo de Soporte:         RESPALDO       I    " u="1"/>
        <s v="Se  testan los datos del folio: 0064101891721" u="1"/>
        <s v="Diseño de scripts para migración de usuarios de SIAMEX" u="1"/>
        <s v="Ambientación del sistema" u="1"/>
        <s v="apoyo actividades PMO " u="1"/>
        <s v="Se comenzó con el desarrollo del home del sitio" u="1"/>
        <s v="actializacion EIPDP " u="1"/>
        <s v="Buenas tardes Guillermo, la solicitud que mencionas estaba sin responder, con el paso Selecciona las unidades internas pendiente, este se avanzó el día 19/08/2020  03:38:20 p. m. e inicio automáticamente el siguiente paso que es DETERMINA RESPUESTA, como bien sabes el infomex permite responder aunque las solicitudes estén fuera de plazo     I        I    Cualquier duda o comentario al respecto estoy a sus ordenes    I        I    SALUDOS     I        I    Marina Adame Velasco    I        I    Notificación de seguimiento  [  MA0210202004 ]      I        I    Aplicación:                  INFOMEX BCN    I    Tipo de Soporte:         REVISIÓN DE INCIDENCIA        I    Estatus:                               Concluido.    I    " u="1"/>
        <s v="Testado de datos y sustituir archivo adjunto  del folio:  1107500002521" u="1"/>
        <s v="Se testan los datos  del folio: 0064101339621" u="1"/>
        <s v="Se cambia el tipo de solicitud del folio: 0001100129921" u="1"/>
        <s v="Implementación de la búsqueda y despliegue de Resoluciones Públicas para la especificación del archivo del acta correspondiente" u="1"/>
        <s v="Notificación de seguimiento  [  MA0502202105 ]      I         I         I    Estimado(a):                     ALEJANDRA TEJEDA    I         I         I    Le informamos que su ticket correspondiente a:    I                       I    solicito de la manera más atenta su apoyo para la rectificación de suspensión de plazos de un Sujeto obligado, específicamente Congreso del Estado de Baja California    I         I    Aplicación:                  INFOMEX BCN    I    Tipo de Soporte:         AJUSTE DE PLAZOS       I    " u="1"/>
        <s v="Notificación de seguimiento  [  MA2607202105 ]    I        I    Estimado(a):                Moisés Guzmán Arias    I        I         I     Le informamos que su ticket correspondiente a:    I                       I    una consulta que me regrese las solicitud cuyo tipo de respuesta fue notoria incompetencia dentro de un periodo de tiempo.    I        I         I    Aplicación:                  INFOMEX PUEBLA    I    Tipo de Soporte:         SCRIPT      I    Observaciones:                I         I    Su petición fue atendida, el paso del nombre en la consulta debe coincidir con el nombre de la actividad donde dan la respuesta     I         I         I        I                 Favor de validar.    I         I    Estatus:                               Concluido    I    " u="1"/>
        <s v="Carga de estudios" u="1"/>
        <s v="    I    Notificación de seguimiento  [  MA2411202003 ]      I         I         I    Estimado(a):                     BERENICE HERNÁNDEZ    I         I         I    Le informamos que su ticket correspondiente a:    I                       I    realizar un regreso de pasos del expediente R.R.A.I 0040/2019, en la actividad Envío de recordatorio.  Ya que el área de cumplimientos por error notificó un documento incorrecto.     I        I    Requerimos que se elimine la actividad notificada y se libere para su nuevo uso.    I         I    Aplicación:                  SIGEMI    I    Tipo de Soporte:         REGRESO DE PASOS        I    Observaciones:                I         I    Su petición fue atendida    I         I    " u="1"/>
        <s v="Se sustituye archivo adjunto  del folio: 0000500036721, 0000500060321 y 0000500060421  " u="1"/>
        <s v="Buenas tardes Guillermo, tu petición fue atendida, favor de validar     I        I    Saludos     I        I    Marina Adame Velasco    I        I    Notificación de seguimiento  [  MA3103202003 ]      I        I    Aplicación:                  INFOMEX BAJA CALIFORNIA    I    Tipo de Soporte:         Corrección de plazos       I    Estatus:                               Concluido.    I        I    " u="1"/>
        <s v="Se  testan los datos del folio: 0064101363121" u="1"/>
        <s v="Notificación de seguimiento  [  MA1204202101 ]      I         I         I    Estimado(a):                     BERENICE HERNÁNDEZ SUMANO    I          I    Le informamos que su ticket correspondiente a:    I                       I    RESPALDO SEMANAL DE LA BASE DE DATOS INFOMEX    I         I    Aplicación:                  INFOMEX OAXACA    I    Tipo de Soporte:         RESPALDO       I    " u="1"/>
        <s v="Notificación de seguimiento  [  MA1603202107 ]      I         I         I    Estimado(a):                     BERENICE HERNÁNDEZ SUMANO    I          I    Le informamos que su ticket correspondiente a:    I                       I    RESPALDO SEMANAL DE LA BASE DE DATOS INFOMEX    I         I    Aplicación:                  INFOMEX OAXACA    I    Tipo de Soporte:         RESPALDO       I    " u="1"/>
        <s v="Notificación de seguimiento  [  MA2203202111 ]      I         I         I    Estimado(a):                     BERENICE HERNÁNDEZ SUMANO    I          I    Le informamos que su ticket correspondiente a:    I                       I    RESPALDO SEMANAL DE LA BASE DE DATOS INFOMEX    I         I    Aplicación:                  INFOMEX OAXACA    I    Tipo de Soporte:         RESPALDO       I    " u="1"/>
        <s v="Se  testan los datos del folio: 0064100816221" u="1"/>
        <s v="Implementación de la pantalla para mostrar el seguimiento de la solicitud " u="1"/>
        <s v="Se agrega analytics" u="1"/>
        <s v="Creación de componentes Java Script para la interacción e invocación del modal del formato de ejercicio del presupuesto." u="1"/>
        <s v="Se aplica el cambio de modalidad de la solicitud: 1410000005820." u="1"/>
        <s v="Notificación de seguimiento  [  MA0302202106 ]      I         I         I    Estimado(a):                     Pedro Esquivel Martínez    I         I         I    Le informamos que su ticket correspondiente a:    I                       I    solicito su valioso apoyo con la asignación del certificado en HCOM para el sujeto obligado de acuerdo al siguiente cuadro descriptivo…    I         I    Aplicación:                  HCOM    I    Tipo de Soporte:         CAMBIO TUT       I    " u="1"/>
        <s v="Se cambia el tipo de solicitud en folio 1215100930321" u="1"/>
        <s v="Modificación de servicios para la consulta de resoluciones " u="1"/>
        <s v="Configuración de bloques en la nueva plataforma" u="1"/>
        <s v="Analisis de  funcionalidad de Bitacora de Usuarios " u="1"/>
        <s v="Se ajustan etiquetas de la pantalla en general asi como de botones " u="1"/>
        <s v="Optimización del flujo del código de sisai para adecuar los data access object y services EJB, la inyección de los lookups y el flujo desde el cliente rest hasta llegar a la base de datos, pasando por  el consumo de todas las capas" u="1"/>
        <s v="Revisión de errores presentados en infomex " u="1"/>
        <s v="Notificación de seguimiento  [  MA0808202204 ]    I        I        I    Estimado(a):               Abraham Obed Gallardo González    I     Le informamos que su ticket correspondiente a:    I        I    …por este medio Anexo el registro actualizado del certificado del Titular de la Unidad de Transparencia de la FND.      I        I        I    Aplicación:                  HCOM    I    Tipo de Soporte:        RENOVACIÓN DE CERTIFICADO     I    " u="1"/>
        <s v="Se ajusta el plazo de la solicitud: 1816400282320" u="1"/>
        <s v="Crear certificado para usuarios del Sujeto Obligado SSPC" u="1"/>
        <s v="    I    Notificación de seguimiento  [  MA1410202003 ]      I         I         I    Estimado(a):                     Lizbeth Adriana Cabrera Ortega    I         I    Le informamos que su ticket correspondiente a:    I                       I    Pido de su amable apoyo a fin de modificar el SO de RRA 1470-20    I        I    DICE FUNCIÓN PÚBLICA    I        I    DEBE DECIR GUARDIA NACIONAL     I        I    Se adiciona el acuerdo respectivo con el SO modificado.    I        I         I    Aplicación:                  SIGEMI    I    Tipo de Soporte:         CAMBIO DE SUJETO OBLIGADO  Y ACUERDO    I    Observaciones:                I         I    Su petición fue atendida, Se realizó el cambio solicitado en el recurso  RRA 10470    I    " u="1"/>
        <s v="Se  testan los datos del folio: 011000024921," u="1"/>
        <s v="Actualización de listas en el orden de día. (Se realizó el análisis observando que ya en las tablas de conocimiento no se tiene información respecto a las ordenes del día actuales, así se notificó a Rafael G. mediante Correo)" u="1"/>
        <s v="Buenas tardes Berenice, tu petición fue atendida, favor de validar     I        I    Saludos     I        I    Marina Adame Velasco    I        I    Notificación de seguimiento  [  MA2206202004 ]      I        I    Aplicación:                  INFOMEX OAXACA    I    Tipo de Soporte:         Corrección de PLAZOS       I    Estatus:                               Concluido.    I        I    " u="1"/>
        <s v="RESPALDO SEMANAL DE LA BD INFOMEX" u="1"/>
        <s v="Levantar campus privada en servidores de ND para exportar cursos" u="1"/>
        <s v="Búsqueda y descarga de documentos firmados con FIEL en prodatos" u="1"/>
        <s v="Se cambia el tipo de solicitud del folio: 0001100006521" u="1"/>
        <s v="Se cambia el tipo de solicitud del folio: 0063700296121" u="1"/>
        <s v="    I    Notificación de seguimiento  [  MA1610202002 ]      I         I         I    Estimado(a):                     Lizbeth Adriana Cabrera Ortega    I         I    Le informamos que su ticket correspondiente a:    I                       I    Te comento que el expediente RRA 10792/20 POR ERROR LE DIMOS ENVIAR    I        I    Puedes apoyarme en retrotraerlo para que se pueda crear la carpeta bis en ese.    I        I    Gracias de antemano.    I        I    RRA 10792/20     I    RRA 4739/18 -BIS Policía Federal JRV    I         I    Aplicación:                  SIGEMI    I    Tipo de Soporte:         REGRESO DE PASOS      I    Observaciones:                I         I    Su petición fue atendida, se realizó el regreso de pasos en el recurso mencionado, así como se verificó que el  RRA 4739/18 –BIS ya está creado     I         I    " u="1"/>
        <s v="Se  testan los datos del folio:  0064101271321" u="1"/>
        <s v="Migración componentes liferay 7.1 a 7.3" u="1"/>
        <s v="Se finaliza con el desarrollo del modulo de Años" u="1"/>
        <s v="Notificación de seguimiento  [  MA2807202012 ]      I         I         I    Estimado(a):                     Alondra Jiménez Hernández    I         I    Le informamos que su ticket correspondiente a:    I                       I    Anexo el registro actualizado del certificado del Titular de la Unidad de Transparencia de los siguientes sujeto obligados para su renovación en la Herramienta de Comunicación:    I        I    Clave Sujeto obligado    I    11180 Fideicomiso Centro de Investigaciones en Óptica, A.C. No. 040026-8    I    11181 Fideicomiso para el Pago de las Obligaciones Laborales de los Trabajadores del Centro de Investigaciones en Óptica, A.C.    I        I        I         I    Aplicación:                  HCOM    I    Tipo de Soporte:         Cambio de certificado ( 2)       I    " u="1"/>
        <s v="Descarga de archivos" u="1"/>
        <s v="Importar base de datos y código a ambiente local" u="1"/>
        <s v="Actualización de archivos y fechas " u="1"/>
        <s v="Buenas tardes Joel, tu petición fue atendida, favor de validar     I        I    Saludos     I        I    Marina Adame Velasco    I        I    Notificación de seguimiento  [  MA3003202003 ]      I        I    Aplicación:                  INFOMEX COLIMA    I    Tipo de Soporte:         Corrección de plazos       I    Estatus:                               Concluido.    I    " u="1"/>
        <s v="Captura de texto de aviso de privacidad en campus Servidores Públicos" u="1"/>
        <s v="Se modifica peticion y modelo para consumir medios de reproduccion en la parte de crear solicitud de informacion publcia" u="1"/>
        <s v="Se testan los datos de la solicitud con folio: 0064101642721" u="1"/>
        <s v="Buenas tardes Francisco, tu petición fue atendida, favor de validar     I        I    Saludos     I        I    Marina Adame Velasco    I        I    Notificación de seguimiento  [  MA2003202004 ]      I        I    Aplicación:                  INFOMEX NUEVO LEÓN     I    Tipo de Soporte:         Corrección de plazo       I    Estatus:                               Concluido.    I        I    " u="1"/>
        <s v="Notificación de seguimiento  [  MA2807202013 ]      I         I         I    Estimado(a):                     Alondra Jiménez Hernández    I         I    Le informamos que su ticket correspondiente a:    I                       I    Anexo el registro actualizado del certificado del Titular de la Unidad de Transparencia de los siguientes sujeto obligados para su renovación en la Herramienta de Comunicación:    I         I    Clave Sujeto obligado    I    53223 Fideicomiso Fondo de Ahorro del Personal de Mandos Medios y Superiores del Colegio de San Luis A.C. N° 030057-3    I    53224 Fondo de Investigación Científica y Desarrollo Tecnológico de El Colegio de San Luis, A.C.    I        I        I         I    Aplicación:                  HCOM       I    Tipo de Soporte:         CAMBIO DE CERTIFICADO ( 2)       I    " u="1"/>
        <s v="Se  testan los datos del folio:0064101648121" u="1"/>
        <s v="Se realiza el proceso de búsqueda de adjuntos en los infomex estatales consultando folio a folio,  tratando de ubicar los faltantes de recuperar. Consulta y procesos de recuperación del Estado de Sonora, donde la lectura de folios fue satisfactoria y se inician análisis de recuperación de información." u="1"/>
        <s v="Se cambia el tipo de solicitud del folio: 0064100611921 " u="1"/>
        <s v="Reinicio de usuario VGOYTIA" u="1"/>
        <s v="Se sustituye archivo adjunto  del folio: 1816400048621" u="1"/>
        <s v="Notificación de seguimiento  [  MA2709202201 ]    I        I    Estimado(a):                Edgar Michel Loaeza Martínez    I         I     Le informamos que su ticket correspondiente a:    I        I    sustitución de certificado del Titular de la Unidad de Transparencia del Tribunal Federal de Justicia Administrativa.    I        I    Clave_x0009_Sujeto obligado_x0009_Titular de la Unidad de Transparencia    I    32100_x0009_Tribunal Federal de Justicia administrativa_x0009_Lic. Rebeca Hernández Zamora    I        I    Para tal efecto, anexo al presente los certificados correspondientes, lo anterior, a fin de que sus accesos sean habilitados    I         I    Aplicación:                  HCOM    I    Tipo de Soporte:         CAMBIO DE TUT     I    Observaciones:                I         I    Su petición fue atendida." u="1"/>
        <s v="Se aplica eliminación de formato de pago al folio:  0002700362619" u="1"/>
        <s v="Se  testan los datos del folio:0064101515621" u="1"/>
        <s v="Desarrollo de backend" u="1"/>
        <s v="Desarrollo de vinculación" u="1"/>
        <s v="Se retoma la tarea para la automatización del proceso de generación de registros Inserts del Excel (SISAI_catalogos_TareaXEdos.xlsx) Validación del contenido proporcionado en el EXCEL vs Lo contenido en la Base de Datos.    I    Validación de la generación de scripts para la inserción de datos en las tablas de trabajo. (Se realiza la carga de información de 1ra vez y se detectó un error con la el id_tareaestatus de la tabla sisai_tw_tarea_estatus. Se consulta del caso con Samuel y Horacio.)" u="1"/>
        <s v="Desarrollo de la vista para la modificación de usuarios" u="1"/>
        <s v="    I    Buenos días Guillermo, respecto a lo que te reportan, INICIALIZAR VALORES se utiliza en las actividades de configuración, en este caso en el subproceso, es decir esa actividad no afecta a la respuesta del solicitante, si tu usuario requiere algún dato adicional relacionada estoy a sus ordenes     I        I    Saludos     I        I    Marina Adame Velasco    I        I    Notificación de seguimiento  [  MA2509202003 ]      I        I    Aplicación:                  INFOMEX BCN     I    Tipo de Soporte:         Revisión de incidencia reportada       I    Estatus:                               Concluido.    I        I    " u="1"/>
        <s v="Loader en tablas" u="1"/>
        <s v="Se aplica eliminación de formato de pago al folio: 0002000263119." u="1"/>
        <s v="Se genera certificado para SO SINDICATO ÚNICO DE TRABAJADORES ACADÉMICOS DE LA UNIVERSIDAD AUTÓNOMA AGRARIA ANTONIO NARRO" u="1"/>
        <s v="Buenas tardes Memo, tu petición fue atendida, adjunto scripts solicitados, para el caso de la edad, no hay como tal un campo, pero si la fecha de nacimiento      I        I    Saludos     I        I    Marina Adame Velasco    I        I    Notificación de seguimiento  [  MA0506202002 ]      I        I    Aplicación:                  INFOMEX DURANGO    I    Tipo de Soporte:         SCRIPTS      I    Estatus:                               Concluido.    I        I    " u="1"/>
        <s v="Pruebas y correciones para el collaps en registros" u="1"/>
        <s v="Carga y cambios en acciones de inconstitucionalidad" u="1"/>
        <s v="Se sustituye el archivo adjunto de la solicitud con folio 0000600243021    I        I    " u="1"/>
        <s v="Se aplica eliminación de respuesta al folio: 1222300001320." u="1"/>
        <s v="Notificación de seguimiento [ MA2201202004 ]     I          I          I     Estimado(a): Sergio Rafael Cortés Alpizar    I          I     Le informamos que su ticket correspondiente a:    I          I     Por este medio solicito su amable apoyo para que se regrese la actividad en la PNT a “Admitir/Prevenir/Desechar”, del siguiente recurso:    I          I     RRA 0236/20 vs PEMEX TRI    I         I     Lo anterior se debe a que se va a admitir.    I         I          I     Aplicación: SIGEMI    I     Tipo de Soporte: REGRESO DE PASOS" u="1"/>
        <s v="Se migro el codigo existente y paquetes a la version 2.0.5 de Flutter" u="1"/>
        <s v="Análisis y diseño de servicios de pantalla para consultar notificaciones continuación" u="1"/>
        <s v="Agregar timeout en los modal de carga(post)    I    Una vez que se registra una queja, implementar un redirect a la pantalla principal con un snackbar, tal y como se hace al registrar una solicitud de información. El servicio ya se encuentra habilitado.    I    Construir la solicitud de alta de quejas Saimex (request, response, petición y logica de respuesta)" u="1"/>
        <s v="Se aplica eliminación de última respuesta: 6430000009720" u="1"/>
        <s v="Notificación de seguimiento [ MA0602202001]      I        I         I    Estimado(a):                     HUGO GOVI    I         I    Le informamos que su ticket correspondiente a:    I                       I    CAMBIO DE SUJETOS OBLIGADOS EN RECURSOS     I        I         I    Aplicación:                  SIGEMI    I    Tipo de Soporte:         CAMBIO SO ( 2)       I    Observaciones:                I         I    Su petición fue atendida    I    " u="1"/>
        <s v="Configuración Servicios Oauth" u="1"/>
        <s v="Se  testan los datos del folio: 0064101375121" u="1"/>
        <s v="Estimada Alejandra, te envío el reporte solicitado    I        I    Favor de validar     I        I    Saludos    I        I    Marina Adame    I        I        I    Notificación de seguimiento  [  MA2105202118 ]      I          I    Aplicación:                  INFOMEX BCN    I    " u="1"/>
        <s v="Diagnóstico de acceso a la información sobre los JSON compartidos para SIGEMI" u="1"/>
        <s v="Generación de script muestreo etiquetas - solicitudes" u="1"/>
        <s v="Se  actualizan los datos del SO FONDO DE SALUD PARA EL BIENESTAR" u="1"/>
        <s v="Desarrollo e implementación de mejoras para el performances de los servidores de aplicación EAP Jboss 7.1 y Wildfliy 16, optimizando los MAX POST SIZE" u="1"/>
        <s v="Generación de reportes estadistico solicitado " u="1"/>
        <s v="Análisis filtro integrante (Administrador)" u="1"/>
        <s v="Activación plugin wp file manager pro" u="1"/>
        <s v="Buenas tardes Guillermo, tu petición fue atendida, favor de validar    I        I         I        I    Saludos    I        I         I        I    Marina Adame Velasco    I        I         I        I    Notificación de seguimiento  [  MA2710202005 ]      I        I         I        I    Aplicación:                  INFOMEX BCN    I        I    Tipo de Soporte:         REPORTE      I        I    Estatus:                               Concluido.    I        I     " u="1"/>
        <s v="Se sustituye archivo adjunto  del folio:  1117100064021" u="1"/>
        <s v="Buenas tardes Guillermo, tu petición fue atendida, favor de validar     I        I    Saludos     I        I    Marina Adame Velasco    I        I    Notificación de seguimiento  [  MA1105202005 ]      I        I    Aplicación:                  INFOMEX BCN    I    Tipo de Soporte:         REPORTES SOLICITADOS       I    Estatus:                               Concluido.    I        I    " u="1"/>
        <s v="Avance login con twitter" u="1"/>
        <s v="Se hacen pruebas para solicitudes creadas en saimex" u="1"/>
        <s v="Notificación de seguimiento  [  MA2502202105 ]      I         I         I    Estimado(a):                     Moisés Guzmán Arias    I         I         I    Le informamos que su ticket correspondiente a:    I                       I    proporcionar identificador de Infomex (ID_INFOMEX) del sujeto obligado denominado Universidad de la Salud del Estado de Puebla de nuestro Infomex para poder darlo de alta en la PNT.    I         I    Aplicación:                  INFOMEX PUEBLA    I    Tipo de Soporte:         CONSULTA DE DATOS        I    " u="1"/>
        <s v="Creación de Wireframes de vista principal, busqueda avanzada y resultados" u="1"/>
        <s v="Buenos días, les informo que el respaldo de su base de datos de esta semana ya está en el repositorio…       I        I    http://documentos.inai.org.mx/tmp/infomexGUERRERO_backup_2021-06-28_0800.bak    I    Saludos Cordiales    I    Marina Adame Velasco           I        I        I    Notificación de seguimiento  [  MA2806202103 ]    I         I    Aplicación:                  INFOMEX GUERRERO     I    Tipo de Soporte:         RESPALDO DE BD      I        I    Estatus:                               Concluido    I    " u="1"/>
        <s v="Se elimina la respuesta del folio: 0673800145921" u="1"/>
        <s v="Realizar modul de ejercicios" u="1"/>
        <s v="Presentación de notificaciones vertical en mis quejas" u="1"/>
        <s v="Se identifica el acuse de la solicitud: 0001500162219." u="1"/>
        <s v="Analisis de Requerimiento del RFC  Micrositio " u="1"/>
        <s v="Se sustituye archivo adjunto  del folio:  1117100064221" u="1"/>
        <s v="Se implementa en el front los cambios para reporte estatus para que se muestren los filtros de periodo de tiempo y muestre el reporte por fechas determinadas. " u="1"/>
        <s v="Se subio el sitio con los cambios realizados al subdominio principal de micrositios" u="1"/>
        <s v="Se cambia el tipo de solicitud del folio: 0063700033121" u="1"/>
        <s v="Se implementa un botòn de descarga dentro de los resultados del Buscador Nacional" u="1"/>
        <s v="Se aplica eliminación de formato de pago: 0002000175218." u="1"/>
        <s v="funcionalidad del los filtros de devolver a su valor por defecto " u="1"/>
        <s v="Se  testan los datos del folio: 0064101376121" u="1"/>
        <s v="Se aplica testado de datos al folio: 1117100106820" u="1"/>
        <s v="Se aplica eliminación de respuesta al folio: 0000600556419." u="1"/>
        <s v="Análisis de incidencias reportadas en los infomex Estados y soporte aplicativo" u="1"/>
        <s v="Buenas tardes Isaac, tu petición fue atendida, favor de validar     I        I    Saludos     I        I    Marina Adame Velasco    I        I    Notificación de seguimiento  [  MA1208202005 ]      I        I    Aplicación:                  INFOMEX OAXACA    I    Tipo de Soporte:         AJUSTE DE PLAZOS        I    Estatus:                               Concluido.    I        I    " u="1"/>
        <s v="Buenas tardes Isaac, tu petición fue atendida, favor de validar     I        I    Saludos     I        I    Marina Adame Velasco    I        I    Notificación de seguimiento  [  MA1509202007 ]      I        I    Aplicación:                  INFOMEX OAXACA    I    Tipo de Soporte:         AJUSTE DE PLAZOS        I    Estatus:                               Concluido.    I        I    " u="1"/>
        <s v="Errores con el ambiente de Calidad" u="1"/>
        <s v="Revision de dynamic Query para integrar servicio de roles por orden jerárquico Migracion de Usuarios" u="1"/>
        <s v="Campo extra en registro" u="1"/>
        <s v="Se sustituye archivo adjunto y se testan los datos del folio: 0002700338420" u="1"/>
        <s v="Continúa el apoyo en consultas y validación de la información generada con las bases de datos en custodia (casos de diversos estados) en lo referente principalmente a documentación adjunta.      I    Se realizó la población de las tablas derivadas de los catálogos de VUT.    I    Se inicia la extracción de información del estado de México, documentación adjunta 2008 y 2009.    I    Validación de la información extraída del estado de México vs los catálogos ya generados con la información de 2008, e insertada en los catálogos de proceso." u="1"/>
        <s v="Se elimina la respuesta del folio: 0002800109221 " u="1"/>
        <s v="Notificación de seguimiento  [  MA0407202202 ]    I        I    Estimado(a):               Abraham Obed Gallardo González    I        I     Le informamos que su ticket correspondiente a:    I        I        I    actualizar el certificado del Titular de la Unidad de Transparencia de SEPOMEX, el cual no remiten con nuevo periodo de vigencia.    I        I        I    Aplicación:                  HCOM    I    Tipo de Soporte:         GENERACIÓN DE CERTIFICADO     I    Observaciones:                I         I    Su petición fue atendida    I    " u="1"/>
        <s v="Se genera certificado para la dependencia:" u="1"/>
        <s v="Se sustituye archivo adjunto  del folio:  1215101104420" u="1"/>
        <s v="Busqueda de complementos a actualizar certificados" u="1"/>
        <s v="Se aplica eliminación de última respuesta de la solicitud: 0001300035420." u="1"/>
        <s v="Realizar modificaciones de limites de datos en catálogos" u="1"/>
        <s v="Revision de proceso historico en declaracion de patrimonial" u="1"/>
        <s v="Estimada Alejandra, te envío el reporte solicitado    I        I    Favor de validar    I        I    Saludos    I        I    Marina     I        I        I    Notificación de seguimiento  [  MA2604202110 ]      I         I    Aplicación:                  INFOMEX BCN    I    " u="1"/>
        <s v="Notificación de seguimiento [ MA1501202009 ]     I          I          I     Estimado(a): Sandra Steffany Díaz Sosa    I          I     Le informamos que su ticket correspondiente a:    I          I      En relación con el recurso de revisión RRD 0044/20 (IMSS), solicito de su invaluable apoyo para que en la Plataforma Nacional de Transparencia se habilite como medio para oír y recibir notificaciones del recurrente los “Estados del INAI”.    I          I          I     Aplicación: SIGEMI    I     Tipo de Soporte: CAMBIO DE MEDIO" u="1"/>
        <s v="Se aplica el testado de datos de la solicitud: 0000700002720." u="1"/>
        <s v="Se cambia el tipo de solicitud del folio: 1201100015421" u="1"/>
        <s v="Se aplica el alta de la nueva dependencia con clave: 08003 y nombre SEGURIDAD ALIMENTARIA MEXICANA" u="1"/>
        <s v="Hola Moisés, para consultar el tipo de respuesta asignada a una solicitud ejecuta este script:    I        I    select P.FOLIO,CC.NOMBRE RESPUESTA FROM PROCESO P JOIN PSI ON PSI.GUIDPROCESO = P.GUIDPROCESO     I    JOIN CAMPOCONFIGURABLE CC ON CC.GUIDVALOR = PSI.Cb7c0c665    I        I    Y para consultar el catalogo ejecuta la siguiente:    I        I        I    select NOMBRE from campoconfigurable where guidcampo = ( select guidcampo from campo where nombre = 'respuesta')    I        I        I    Saludos     I        I    Marina Adame Velasco    I        I    Notificación de seguimiento  [  MA1103202008 ]      I        I    Aplicación:                  INFOMEX PUEBLA     I    Tipo de Soporte:         Consulta de datos        I    Estatus:                               Concluido.    I    " u="1"/>
        <s v="Se aplica el cambio de modalidad para el folio: 1100400100719" u="1"/>
        <s v="Configuracion de Entorno NetBeans ID, GlassFish (Pool de conexion Oracle)" u="1"/>
        <s v="Buenas tardes Guillermo, tu petición fue atendida, favor de validar     I        I    Saludos     I        I    Marina Adame Velasco    I        I    Notificación de seguimiento  [  MA0405202005 ]      I        I    Aplicación:                  INFOMEX BCN    I    Tipo de Soporte:         AJUSTE DE PLAZOS       I    Estatus:                               Concluido.    I        I    " u="1"/>
        <s v="Buenas tardes Guillermo, tu petición fue atendida, favor de validar     I        I    Saludos     I        I    Marina Adame Velasco    I        I    Notificación de seguimiento  [  MA0907202003 ]      I        I    Aplicación:                  INFOMEX BCN    I    Tipo de Soporte:         AJUSTE DE PLAZO        I    Estatus:                               Concluido.    I        I    " u="1"/>
        <s v="Buenas tardes Guillermo, tu petición fue atendida, favor de validar     I        I    Saludos     I        I    Marina Adame Velasco    I        I    Notificación de seguimiento  [  MA0907202006 ]      I        I    Aplicación:                  INFOMEX BCN    I    Tipo de Soporte:         AJUSTE DE PLAZOS       I    Estatus:                               Concluido.    I        I    " u="1"/>
        <s v="Buenas tardes Guillermo, tu petición fue atendida, favor de validar     I        I    Saludos     I        I    Marina Adame Velasco    I        I    Notificación de seguimiento  [  MA2307202003 ]      I        I    Aplicación:                  INFOMEX BCN    I    Tipo de Soporte:         Ajuste de plazos       I    Estatus:                               Concluido.    I        I    " u="1"/>
        <s v="Buenas tardes Guillermo, tu petición fue atendida, favor de validar     I        I    Saludos     I        I    Marina Adame Velasco    I        I    Notificación de seguimiento  [  MA2906202002 ]      I        I    Aplicación:                  INFOMEX BCN    I    Tipo de Soporte:         Ajuste de plazos       I    Estatus:                               Concluido.    I        I    " u="1"/>
        <s v="Se sustituye archivo adjunto  del folio: 0002700047521" u="1"/>
        <s v="Implementación de despliegue de sentidos, para borrado o modificación." u="1"/>
        <s v="Se sustituye el archivo adjunto de la solicitud con folio 0063700474021" u="1"/>
        <s v="se agregan assets, se generan componentes base, header, footer, modificacion de estilos" u="1"/>
        <s v="Creación de apartado y tabla de días inhábiles en contáctanos" u="1"/>
        <s v="Se modifica la pantalla de perfil para organizar los campos de Tipo de persona y Sexo" u="1"/>
        <s v="    I    Notificación de seguimiento  [  MA0510202004 ]      I         I         I    Estimado(a):                     Adriana Elizabeth Hernández Garcia    I         I    Le informamos que su ticket correspondiente a:    I                       I    Por medio del presente te comento que al validar el paso denominado Registro de la Resolución Firmada relativo al recurso:     I        I    RRA 07315/20    I        I    la PNT se queda pasmada y NO APARECEN las ventanas donde se registran las fechas de firma de los comisionados; de tal manera que queda en blanco.      I    Al respecto, te solicito se realicen las gestiones necesarias a efecto de que se pueda validar el paso referido y estar en condición de continuar con el proceso de notificación de la resolución.    I        I         I    Aplicación:                  SIGEMI    I    Tipo de Soporte:         Corrección de incidencia       I    Observaciones:                I         I    Su petición fue atendida    I         I    " u="1"/>
        <s v="    I    Notificación de seguimiento  [  MA1006202008 ]      I         I         I    Estimado(a):                Adriana Elizabeth Hernández García         I         I    Le informamos que su ticket correspondiente a:    I                       I    Por medio del presente te comento que al validar el paso denominado Registro de la Resolución Firmada relativo al recurso:     I        I    RRA 02490/20    I        I    la PNT se queda pasmada y NO APARECEN las ventanas donde se registran las fechas de firma de los comisionados; de tal manera que queda en blanco.      I    Al respecto, te solicito se realicen las gestiones necesarias a efecto de que se pueda validar el paso referido y estar en condición de continuar con el proceso de notificación de la resolución.    I        I         I    Aplicación:                  SIGEMI    I    Tipo de Soporte:         Corrección de incidencia       I    Observaciones:                I         I    Su petición fue atendida    I         I    " u="1"/>
        <s v="Se cambia el plazo y semáforo de la solicitud 0210000062121." u="1"/>
        <s v="Se aplica testado de datos al folio: 0064100384120." u="1"/>
        <s v="Analisis y funcionalidad sector Ejercicios " u="1"/>
        <s v="Se aplica testado de datos al folio:  0064103381321" u="1"/>
        <s v="Notificación de seguimiento  [  MA2508202101 ]    I        I    Estimado(a):                Betzabé Flores Terán    I        I         I     Le informamos que su ticket correspondiente a:    I                       I    Solicito su apoyo para realizar la modificación en la herramienta de comunicación del .cer que se adjunta, toda vez que hubo un cambio en el Titular de la Unidad de Transparencia.    I        I    Aplicación:                  HCOM    I    Tipo de Soporte:         CAMBIO DE TUT       I    Observaciones:                I         I    Su petición fue atendida    I    " u="1"/>
        <s v="Notificación de seguimiento  [  MA2904202001 ]      I         I         I    Estimado(a):                     Alondra Jiménez Hernández    I         I    Le informamos que su ticket correspondiente a:    I                       I         I    Se solicita la renovación del certificado del Titular de la Unidad de Transparencia del CIBNOR en la Herramienta de Comunicación.    I         I         I         I    Aplicación:                  HCOM    I    Tipo de Soporte:        CAMBIO DE CERTIFICADO      I    Observaciones:                I         I    Su petición fue atendida    I    " u="1"/>
        <s v="Se han trabajado y actualizado todos los módulos a petición de los clientes del sistema SIPRON" u="1"/>
        <s v="    I    Notificación de seguimiento  [  MA0710202002 ]      I         I         I    Estimado(a):                     Alondra Jiménez Hernández    I         I    Le informamos que su ticket correspondiente a:    I                       I    Debido al cambio de Titular de la Unidad de Transparencia de INFOTEC anexo los registros actualizados de los certificados de dicho sujeto obligado y del sujeto indirecto que coordina para que sean actualizados y se habilite su acceso en la Herramienta de Comunicación de cada uno.     I        I         I    Aplicación:                  HCOM    I    Tipo de Soporte:         CAMBIO DE TUT ( 2 )      I    Observaciones:                I         I    Su petición fue atendida    I         I        I    " u="1"/>
        <s v="Se aplica eliminación de formato de pago: 0064101047121" u="1"/>
        <s v="Hola Hugo, modifique los scripts para quitar la función concatenar y lo agregue en el encabezado de los scripts, los anexo    I        I    Cualquier duda estoy a tus ordenes    I        I    Saludos     I        I    Marina     I    " u="1"/>
        <s v="Analisis, diseño e implementación de encriptado de parametros url" u="1"/>
        <s v="Configuración de liferay para las pruebas de redes sociales" u="1"/>
        <s v="Buenos días Isaac, tu petición fue atendida, favor de validar     I        I    Saludos     I        I    Marina Adame Velasco    I        I    Notificación de seguimiento  [  MA2907202002 ]      I        I    Aplicación:                  INFOMEX OAXACA    I    Tipo de Soporte:         Ajuste de plazos        I    Estatus:                               Concluido.    I    " u="1"/>
        <s v="replicar funcionalidad para los demas tipos de usuario, pruebas y generar OT" u="1"/>
        <s v="Se testan los datos  del folio: 1117100048621" u="1"/>
        <s v="Búsqueda por Estado o Federación, Institución y año de la resolución. Esta sección siempre debe permanecer visible. " u="1"/>
        <s v="Se sustituye el archivo adjunto de la solicitud con folio 0000700258721" u="1"/>
        <s v="Se sustituye archivo adjunto  del folio:  1117100007321" u="1"/>
        <s v="Notificación de seguimiento  [  MA0608202115 ]    I        I    Estimado(a):                Betzabé Flores Terán    I        I         I     Le informamos que su ticket correspondiente a:    I                       I    Solicito su apoyo para realizar la modificación en la herramienta de comunicación del .cer que se adjunta, toda vez que hubo un cambio en el Titular de la Unidad de Transparencia.    I        I        I         I    Aplicación:                  HCOM    I    Tipo de Soporte:         CAMBIO DE TUT       I    Observaciones:                I         I    Su petición fue atendida    I    " u="1"/>
        <s v="Se sustituye archivo adjunto  del folio: 011000036621" u="1"/>
        <s v="Se aplica eliminación de última respuesta de la solicitud: 0002700038820." u="1"/>
        <s v="Informe de labores" u="1"/>
        <s v="Analisis  y funcionalidad de Consultas Relevantes administrador " u="1"/>
        <s v="Observaciones área usuaria - Administración" u="1"/>
        <s v="Notificación de seguimiento  [  MA1903202003 ]      I         I         I    Estimado(a):                     Betzabé Flores Terán    I         I    Le informamos que su ticket correspondiente a:    I        I    Sindicato Nacional Independiente de Trabajadores de la Secretaria de Desarrollo Agrario Territorial y Urbano    I                       I    Reasignación de certificado: Alta en HCOM    I    Contraseña:hcom2020    I        I         I    Aplicación:                  HCOM    I    Tipo de Soporte:         CAMBIO DE TITULAR       I    Observaciones:                I         I    Su petición fue atendida    I    " u="1"/>
        <s v="Notificación de seguimiento  [  MA0206202201 ]    I        I    Estimado(a):                Lizbeth Adriana Cabrera Ortega    I        I        I     Le informamos que su ticket correspondiente a:    I        I    Con el gusto de saludarles me permito solicitar tu valioso apoyo respecto de la generación DE  DOS EXPEDIENTES BIS del recurso de revisión posteriormente citado.    I         I    Asimismo, te comento que NO DEBERÁ CAMBIAR el sujeto obligado ni el comisionado.    I         I     DICE                                        DEBE DECIR                         SUJETO OBLIGADO           PONENTE    I    RRA 8265 RRA 10298/19-BIS BANXICO AAM    I    RRA 8266 RRA 12731/20-BIS CONSAR FJAL    I         I    No omito comentarte que el número d expediente que deberá seguir en el consecutivo por turnar en PNT debe ser el RRA 8265/22    I        I         I    Aplicación:                  SIGEMI    I    Tipo de Soporte:        CAMBIO A BIS ( 2 )       I    " u="1"/>
        <s v="Se genero certificado para indirerectos  SO SER" u="1"/>
        <s v="Se aplica testado de datos al folio:  0000400313020" u="1"/>
        <s v="Se sustituye el archivo adjunto de la solicitud con folio 0610100141821" u="1"/>
        <s v="Notificación de seguimiento  [  MA0803202117 ]      I         I         I    Estimado(a):                     Alejandra Tejeda    I         I         I    Le informamos que su ticket correspondiente a:    I                       I    solicito su apoyo con el reporte de solicitudes 2021 con corte al día de hoy.    I         I    Aplicación:                  INFOMEX BCN    I    Tipo de Soporte:         REPORTE       I    Observaciones:                I         I    Su petición fue atendida    I         I    " u="1"/>
        <s v="Se aplica sustitución de archivo al folio: 0064103667719" u="1"/>
        <s v="Se aplica el cambio de modalidad para el folio: 1111200005820." u="1"/>
        <s v="Se  testan los datos del folio: 0000700105621 " u="1"/>
        <s v="Se elmina la respuesta del folio:  0001200516920" u="1"/>
        <s v="Se agrega opcion de seleccionar año al buscador" u="1"/>
        <s v="Se sustituye archivo adjunto  del folio: 0064100406421" u="1"/>
        <s v="Se cambia el tipo de solicitud del folio: 0933800010121" u="1"/>
        <s v="Actualizacion sitio Resoluciones " u="1"/>
        <s v="Implementación de la funcionalidad para exportar solicitudes a Excel." u="1"/>
        <s v="Buenas tardes Moisés, tu petición fue atendida, favor de validar     I        I    Saludos     I        I    Marina Adame Velasco    I        I    Notificación de seguimiento  [  MA0909202005 ]      I        I    Aplicación:                  INFOMEX PUEBLA     I    Tipo de Soporte:         Modificación de configuración proceso       I    Estatus:                               Concluido.    I    " u="1"/>
        <s v="Notificación de seguimiento  [  MA1510202003 ]      I         I         I    Estimado(a):                     Adriana Elizabeth Hernández Garcia    I         I    Le informamos que su ticket correspondiente a:    I                       I    Por medio del presente te solicito, si no existe inconveniente, el retroceso de paso del expediente RRD 00680/20  al paso denominado “Registro de la Resolución Firmada” en la (PNT), ello a efecto de cargar el archivo correcto.      I         I    Aplicación:                  SIGEMI    I    Tipo de Soporte:         REGRESO DE PASOS      I    Observaciones:                I         I    Su petición fue atendida    I    " u="1"/>
        <s v="Crear certificado para usuario del Sujeto Obligado Fideicomiso Público de Administración y Pago ASEA" u="1"/>
        <s v="Búsqueda en la pantalla (modal) para mostrar el resumen de la información de la resolución. " u="1"/>
        <s v="Despliegue de la sección Permite canalización en las respuestas con la sección configurada." u="1"/>
        <s v="Configuración de docker" u="1"/>
        <s v="Implementación componente loading y loading routes " u="1"/>
        <s v="Realizar modul de institución de pertenencia" u="1"/>
        <s v="Notificación de seguimiento  [  MA1802202111 ]      I         I         I    Estimado(a):                     Pedro Esquivel Martínez    I         I         I    Le informamos que su ticket correspondiente a:    I                       I    comparto el Oficio donde se indica el Id. 18114 para el S.O.    I         I    Aplicación:                  HCOM    I    Tipo de Soporte:         CAMBIO TUT       I    Observaciones:                I         I    Su petición fue atendida, le comento que se realizó la corrección de la clave y nombre del Sujeto Obligado de acuerdo a la descripción del oficio adjunto    I    " u="1"/>
        <s v="Se empieza el desarrollo del modulo de Administracion" u="1"/>
        <s v="Notificación de seguimiento  [  MA0907202005 ]      I         I         I    Estimado(a):                     Edgar Michel Loaeza Martínez    I         I    Le informamos que su ticket correspondiente a:    I                       I    Por medio del presente solicito su valioso apoyo a efecto de dar de alta los certificados de Titular de la Unidad de Transparencia de los sujetos obligados que se enlistan a continuación y que pertenecen al Servicio de Administración Tributaria    I        I         I    Aplicación:                  HCOM    I    Tipo de Soporte:         CAMBIO DE TUT  ( 2 )    I    Observaciones:                I         I    Su petición fue atendida    I    " u="1"/>
        <s v="Integración de Service Builder Token (Sql)" u="1"/>
        <s v="Se agrega aviso en el módulo de solicitantes." u="1"/>
        <s v="Notificación de seguimiento  [  MA2705202001 ]      I         I         I    Estimado(a):                     Laura Mónica Segovia Tellez    I         I    Le informamos que su ticket correspondiente a:    I                       I    sea cambiado el correo electrónico del particular del RRA 03087/20, el cual pidió ese correo miriamreyes21@live.com.mx    I         I    Aplicación:                  SIGEMI    I    Tipo de Soporte:         CAMBIO DE MEDIO       I    Observaciones:                I         I    Su petición fue atendida    I        I    " u="1"/>
        <s v="Se cambia el tipo de solicitud del folio: 0933800010321" u="1"/>
        <s v="Se testan los datos de la solicitud con folio 0064101374221" u="1"/>
        <s v="Se cambia el tipo de solicitud del folio: 1215101104420" u="1"/>
        <s v="Notificación de seguimiento  [  MA1706202108 ]    I        I    Estimado(a):                Moisés Guzmán Arias    I        I         I     Le informamos que su ticket correspondiente a:    I                       I    se lleve a cabo la asignación correcta de dichos folios a sus sujetos obligados para que puedan ser visualizadas por los mismos    I         I    Aplicación:                  INFOMEX PUEBLA    I    Tipo de Soporte:         REASIGNACIÓN DE SOLICITUDES      I    Observaciones:                I         I    Su petición fue atendida    I         I    " u="1"/>
        <s v="Se aplica cambio de modalidad de la solicitud: 0001100450420" u="1"/>
        <s v="Evolución e implementación del componente reutilizable Row-expanse" u="1"/>
        <s v="Notificación de seguimiento  [  MA1910202010 ]      I         I         I    Estimado(a):                     Lizbeth Adriana Cabrera Ortega    I         I    Le informamos que su ticket correspondiente a:    I                       I    Pido tu valioso apoyo a fin de que sea atendida la solicitud formulada por la Ponencia, te remito la carpeta zip de los acuerdos de turno con la fecha del 18 de septiembre.    I        I    Asimismo, solicito el ajuste de los expedientes electrónicos.    I        I         I    Aplicación:                  SIGEMI    I    Tipo de Soporte:         ACTUALIZACIÓN DE ACUERDOS       I    Observaciones:                I         I    Su petición fue atendida    I    " u="1"/>
        <s v="Validaciones para fechas de las evaluaciones del lado del admin, instructor y usuario" u="1"/>
        <s v="Analisis y funcionalidad sector Inst de Procedencia " u="1"/>
        <s v="Implementación de componente de turnado de solicitud" u="1"/>
        <s v="Se  testan los datos del folio: 0064101359121" u="1"/>
        <s v="Servicio para LOGIN POR REDES SOCIALES(Facebook)" u="1"/>
        <s v="Notificación de seguimiento  [  MA0710202201 ]    I        I    Estimado(a):                Armando Ortiz Luna    I        I        I     Le informamos que su ticket correspondiente a:    I        I        I                       I    Atentamente solicito de su valioso apoyo para asignar en la Herramienta de Comunicación los certificados que adjunto al presente, a los sujetos obligados que se precisan a continuación:    I    Clave_x0009_Sujeto Obligado_x0009_Siglas HCOM_x0009_Nombre del Titular_x0009_Correo electrónico_x0009_Contraseña para HCOM    I    60212_x0009_Sindicato Nacional Democrático de Trabajadores de los Tribunales Agrarios_x0009_SINADETTA_x0009_Santa Sonia Meneses Cedillo_x0009_sinadetta.transparencia@tribunalesagrarios.gob.mx    I    hcom60212    I    60305_x0009_Sindicato Nacional de Grupos Artísticos del Instituto Nacional de Bellas Artes y Literatura_x0009_SNGA-INBA_x0009_Lila Del Carmen Gutiérrez Martínez_x0009_cedgruposartis@yahoo.com.mx    I    Hcom60305    I        I        I    Aplicación:                 HCOM    I    Tipo de Soporte:        CAMBIO DE TUT " u="1"/>
        <s v="Modificación de fechas de interposición" u="1"/>
        <s v="Se realizaron ajustes en las secciones de acciones realizacadas, capacitación y buzón" u="1"/>
        <s v="Se sustituye archivo adjunto del folio: 0110000010720." u="1"/>
        <s v="Se aplica eliminación de última respuesta: 0000600031420" u="1"/>
        <s v="GENERA CERTIFICADO DE SO Fondo de ahorro capitalizable para los trabajadores operativos del INACIPE " u="1"/>
        <s v="Notificación de seguimiento  [  MA2802202009 ]      I         I         I    Estimado(a):                     Miguel Armando Hernández Hernández    I         I    Le informamos que su ticket correspondiente a:    I                       I    Por conducto del presente, solicito de su amable colaboración a efecto de gestionar un regreso del paso en la Plataforma Nacional de Transparencia al status “admitir/prevenir/desechar”. En este sentido, les informo que la parte promovente, ya está enterada del regreso correspondiente.    I         I    Aplicación:                  SIGEMI    I    Tipo de Soporte:         REGRESO DE PASOS      I    Observaciones:                I         I    Su petición fue atendida    I    " u="1"/>
        <s v="Se aplica testado de datos al folio: 0000700107320." u="1"/>
        <s v="Se cambia el tipo de solicitud del folio: 0933800010521" u="1"/>
        <s v="Validación de información disponible dentro de la base de SISAI" u="1"/>
        <s v="Notificación de seguimiento [ MA1701202001 ]     I          I          I     Estimado(a): Yoloxochitl Díaz Maldonado    I          I     Le informamos que su ticket correspondiente a:    I          I     Mediante el presente solicitó de su apoyo a efecto de que en el SIGEMI se realicen los siguientes cambios:    I          I     - Respecto del recurso de revisión RRD 0032/20 interpuesto en contra del INFONAVIT en la pestaña “Información del medio de impugnación” se cambie el medio de notificación a DOMICILIO FISICO, pues el recurrente señaló una dirección física para oír y recibir notificaciones.    I          I         I          I     Aplicación: SIGEMI    I     Tipo de Soporte: CAMBIO DE MEDIO" u="1"/>
        <s v="Buscadores Tematicos (Busquda General) " u="1"/>
        <s v="Notificación de seguimiento  [  MA2303202108 ]      I         I         I    Estimado(a):                     DAVID CALDERON     I         I         I    Le informamos que su ticket correspondiente a:    I                       I    &quot;Número total de Solicitudes de Acceso a Información y de Datos Personales presentadas en la entidad federativa  (Período del 1ro de enero al 31 de diciembre de 2020&quot;.    I         I    Aplicación:                  INFOMEX MICHOACAN    I    Tipo de Soporte:         REPORTE       I    Observaciones:                I         I    Su petición fue atendida    I         I    " u="1"/>
        <s v="Notificación de seguimiento  [  MA2506202103 ]    I        I    Estimado(a):                Betzabé Flores Terán    I        I         I     Le informamos que su ticket correspondiente a:    I                       I    Solicito su apoyo para realizar la modificación en la herramienta de comunicación del .cer que se adjunta, toda vez que hubo un cambio en el Titular de la Unidad de Transparencia.    I        I         I    Aplicación:                  HCOM    I    Tipo de Soporte:         CAMBIO DE TUT      I    Observaciones:                I         I    Su petición fue atendida    I         I    " u="1"/>
        <s v="Configuración del ambiente de desarrollo para los servicios" u="1"/>
        <s v="Del proceso que se ejecutó para los estados de Aguascalientes (347) y Quintana Roo (222) concluyó sin recuperar ningún adjuntos adicional a los recuperados en la ejecución original.     I    Continúa el análisis por entidad en consulta directa (Ingreso al sitio, consulta por folio y validación del adjunto)  para tratar de ubicar el método de identificación de adjuntos y proceder con la recuperación de faltantes de los estados con menor numero de faltantes donde no se localizaron un total de ( 3,825 ) adjuntos. " u="1"/>
        <s v="Notificación de seguimiento  [  MA0909202006 ]      I         I         I    Estimado(a):                     Berenice Hernández Sumano    I         I    Le informamos que su ticket correspondiente a:    I                      I    1.      La fecha de cumplimiento del recurso R.R.A.I 0254/2020/SICOM  se cambie al 21/09/2020    I    2.      La fecha de estado de los siguientes recursos se cambie a la fecha de aplicación de la actividad notificación del cumplimiento    I    3.  Los acuses se modifiquen a la fecha de aplicación    I         I    Aplicación:                  SIGEMI    I    Tipo de Soporte:         MODIFICACIÓN DE PLAZOS  Y ACUSES      I    Observaciones:                I         I    Su petición fue atendida    I    " u="1"/>
        <s v="Notificación de seguimiento  [  MA2705202006 ]      I         I         I    Estimado(a):                     Lizbeth Adriana Cabrera Ortega    I         I    Le informamos que su ticket correspondiente a:    I                       I    Solicito de tu valioso apoyo a fin de modificar la dirección de correo electrónico para recibir notificaciones que obra en el Exp.. Electrónico de PNT del RECURSO RRD 494/20    I        I    DICE    I    r_ontiveros.aldana@gmail.com    I        I    DEBBE DECIR    I    r.ontiveros.aldana@gmail.com    I        I         I    Aplicación:                  SIGEMI    I    Tipo de Soporte:         CAMBIO DE CORREO       I    Observaciones:                I         I    Su petición fue atendida    I    " u="1"/>
        <s v="Notificación de seguimiento  [  MA2202202108 ]      I         I         I    Estimado(a):                     ALAN GARCÍA    I          I    Le informamos que su ticket correspondiente a:    I                       I    RESPALDO SEMANAL DE LA BASE DE DATOS INFOMEX    I         I    Aplicación:                  INFOMEX TLAXCALA    I    Tipo de Soporte:         RESPALDO       I    Observaciones:                I         I    Su petición fue atendida, se subió el respaldo de su base de datos de esta semana…    I        I        I    http://documentos.inai.org.mx/tmp/infomex_tlaxcala_backup_2021-02-22_0800.bak    I        I    " u="1"/>
        <s v="se aplica eliminación de última respuesta: 0610100015720." u="1"/>
        <s v="se repara un bug en los botones de busqueda te todos los catalogos y se realizan cambios de estilos" u="1"/>
        <s v="Se aplica testado de datos al folio:  0064100564321" u="1"/>
        <s v="Se testan los datos de la solicitud con folio: 0064101405721" u="1"/>
        <s v="Se  testan los datos del folio: 1816400146721 " u="1"/>
        <s v="Notificación de seguimiento  [  MA2705202005 ]      I         I         I    Estimado(a):                     Rafael González García    I         I    Le informamos que su ticket correspondiente a:    I                       I    baja en los sistemas informáticos que opera el INAI del sujeto obligado indirecto denominado: Fideicomiso irrevocable de administración No. 10055 (L@Red de la Gente), con número de clave 06803    I         I    Aplicación:                  HCOM    I    Tipo de Soporte:         BAJA DE DEPARTAMENTO    I    Observaciones:                I         I    Su petición fue atendida    I         I    " u="1"/>
        <s v="Se cambia el tipo de solicitud del folio: 0933800010721" u="1"/>
        <s v="Notificación de seguimiento  [  MA2605202008 ]      I         I         I    Estimado(a):                     Rafael González García     I        I        I    Le informamos que su ticket correspondiente a:    I                       I    Eliminar  SO en HCOM     I        I        I    Aplicación:                  HCOM    I    Tipo de Soporte:         Eliminar departamento      I    Observaciones:                I         I    Su petición fue atendida    I         I    " u="1"/>
        <s v="Notificación de seguimiento  [  MA2403202114 ]      I         I         I    Estimado(a):                     CRISTIAN DE JESUS AVENDAÑO PALACIOS    I         I         I    Le informamos que su ticket correspondiente a:    I                       I         I    Por este medio solicito de su valioso apoyo para poder aplicar las afectaciones a las fechas de vencimiento y la eliminación de los acuses respectivos de las solicitudes señaladas en el archivo adjunto. Toda vez que el Consejo General aprobará mediante Acuerdo ACDO/CG/IAIP/021/2020.    I        I         I    Aplicación:                  INFOMEX OAXACA    I    Tipo de Soporte:         AJUSTE DE PLAZOS        I    Observaciones:                I         I    Su petición fue atendida    I    " u="1"/>
        <s v="Implementación de ambiente de trabajo de Porlets (SISAI)" u="1"/>
        <s v="Notificación de seguimiento [ MA1601202010 ]     I          I          I     Estimado(a): Lizbeth Adriana Cabrera Ortega    I          I     Le informamos que su ticket correspondiente a:    I          I     suprimir el recurso citado a continuación, el cual cargue manualmente duplicado, en la bandeja de datos presonales.    I         I          I     Aplicación: SIGEMI    I     Tipo de Soporte: suprimir recurso" u="1"/>
        <s v="Manual general de usuario" u="1"/>
        <s v="Se empieza el desarrollo del primer modulo de Tipos de expediente" u="1"/>
        <s v="Buenos días Memo, tu petición fue atendida, favor de validar     I        I    Saludos     I        I    Marina Adame Velasco    I        I    Notificación de seguimiento  [  MA0303202003 ]      I        I    Aplicación:                  INFOMEX BCN    I    Tipo de Soporte:         reporte de solicitudes       I    Estatus:                               Concluido.    I        I    " u="1"/>
        <s v="Se  testan los datos del folio: 0064102306621" u="1"/>
        <s v="Se  testan los datos del folio: 3670000024921" u="1"/>
        <s v=" Notificación de seguimiento  [  MA1011202004 ]      I          I    Estimado(a):                     Martha Rubí Zaragoza Mora    I         I     Le informamos que su ticket correspondiente a:    I                       I    Espero se encuentre muy bien. El presente correo es para pedir su amable apoyo para el ajuste de términos de los folios debido al Acuerdo que enviaron los siguientes Sujetos Obligados a la COTAI por el cual se amplían la fecha del 01 al 30 de noviembre de 2020; debiéndose considerar los días comprendidos dentro de dicho periodo como inhábiles para evitar la propagación del coronavirus COVID-19.    I         I    El Folio No. 1174520 de Santa Catarina se envía debido a un error de dedo por parte del Sujeto Obligado al momento de enviar los folios para el ajuste de fecha en el mes de octubre de 2020, por lo que solicitamos su apoyo para modificarlo.    I         I    Aplicación:                  INFOMEX NUEVO LEÓN    I    Tipo de Soporte:         AJUSTE DE PLAZOS        I    Observaciones:                I         I    Su petición fue atendida    I    " u="1"/>
        <s v="Configuración columna FC y Homoclave oculta" u="1"/>
        <s v="Buenas tardes Joel, tu petición fue atendida, favor de validar     I        I    Saludos     I        I    Marina Adame Velasco    I        I    Notificación de seguimiento  [  MA2608202003 ]      I        I    Aplicación:                  INFOMEX COLIMA    I    Tipo de Soporte:         AJUSTE DE PLAZOS        I    Estatus:                               Concluido.    I        I    " u="1"/>
        <s v="Reunion Avance actividades Pizarras 4 para mostrar los servicios web pizarras" u="1"/>
        <s v="Notificación de seguimiento  [  MA1307202008 ]      I         I         I    Estimado(a):                     Rosalinda Coria Mosqueda    I         I    Le informamos que su ticket correspondiente a:    I                       I    Agradeceré su apoyo para regresar a la actividad de admitir/prevenir, el Recurso RRA 06785/20, toda vez que se trata de una prevención y el acuerdo es de fecha 14 de julio, y no debí haber notificado.    I        I         I    Aplicación:                  SIGEMI    I    Tipo de Soporte:         REGRESO DE PASOS      I    Observaciones:                I         I    Su petición fue atendida    I         I    " u="1"/>
        <s v="Se sustituye archivo adjunto  del folio:  0001500140320" u="1"/>
        <s v="Notificación de seguimiento  [  MA2503202101 ]      I         I         I    Estimado(a):                     ALEJANDRA TEJEDA     I         I         I    Le informamos que su ticket correspondiente a:    I                       I    solicito de la manera más atenta su apoyo para la rectificación de la fecha de caducidad del paso del Sujeto Obligado Instituto de Seguridad y Servicios Sociales de los Trabajadores del Gobierno y Municipios del Estado de Baja California, se realizó el ajuste a su calendario posterior a la presentación de las siguientes solicitudes    I        I         I    Aplicación:                  INFOMEX BCN    I    Tipo de Soporte:         AJUSTE DE PLAZOS        I    Observaciones:                I         I    Su petición fue atendida    I    " u="1"/>
        <s v="Identificacion del campo del tipo lista despegable Dependencia o entidad " u="1"/>
        <s v="Se modifica la implementacion al mostrar PDF adjunto, para disminuir tiempos espera" u="1"/>
        <s v="Transparencia Judicial y Legislativa:casos paradigmaticos del poder judicial de la federacion en materia de acceso a la informacion y proteccion de dato. " u="1"/>
        <s v="    I    Notificación de seguimiento  [  MA1507202001 ]      I         I         I    Estimado(a):                     Sergio Rafael Cortés Alpizar    I         I    Le informamos que su ticket correspondiente a:    I                       I    Por medio del presente, solicito se regrese la actividad a &quot;Preparación del Proyecto de Resolución&quot;  de los siguiente recurso de revisión:    I        I    RRA 5051/20 vs SSA    I    RRA 5996/20 vs CME    I    RRA 6101/20 vs ISSSTE    I    RRD 0835/20 vs IMSS    I        I    Lo anterior se debe a que se van a corregir los acuerdos y se volverá a enviar.    I        I         I    Aplicación:                  SIGEMI    I    Tipo de Soporte:         REGRESO DE PASOS  ( 4)    I    " u="1"/>
        <s v="Se cambia el tipo de solicitud del folio: 0933800010921" u="1"/>
        <s v="Notificación de seguimiento  [  MA2104202201 ]    I        I    Estimado(a):                Alondra Jiménez Hernández    I        I         I     Le informamos que su ticket correspondiente a:    I                       I    Anexo el registro del certificado del nuevo Titular de la Unidad de Transparencia de Administración del Sistema Portuario Nacional Puerto Chiapas, S.A. de C.V. para que su acceso sea habilitado en la Herramienta de Comunicación.     I         I         I    Aplicación:                  HCOM    I    Tipo de Soporte:         CAMBIO DE TUT       I    Observaciones:                I         I    Su petición fue atendida    I         I    " u="1"/>
        <s v="Notificación de seguimiento  [  MA2407202004 ]      I         I         I    Estimado(a):                     Sergio Rafael Cortés Alpizar    I         I    Le informamos que su ticket correspondiente a:    I                       I    se borre la notificación de cierre de instrucción.    I        I         I    Aplicación:                  SIGEMI    I    Tipo de Soporte:         Eliminar cierre de instrucción      I    Observaciones:                I         I    Su petición fue atendida    I         I    " u="1"/>
        <s v="Se aplica eliminación de respuesta al folio: 0000600568919." u="1"/>
        <s v="Buenas tardes Berenice, tu petición fue atendida, favor de validar     I        I    Saludos     I        I    Marina Adame Velasco    I        I    Notificación de seguimiento  [  MA2602202007 ]      I        I    Aplicación:                  INFOMEX OAXACA    I    Tipo de Soporte:         Corrección de PLAZO       I    Estatus:                               Concluido.    I    " u="1"/>
        <s v="Buenas tardes Berenice, tu petición fue atendida, favor de validar    I         I    Saludos    I         I    Marina Adame Velasco    I         I    Notificación de seguimiento  [  MA2710202006 ]      I         I    Aplicación:                  INFOMEX OAXACA    I    Tipo de Soporte:         AJUSTE DE PLAZOS        I    Estatus:                               Concluido.    I    " u="1"/>
        <s v="Se  testan los datos del folio: 1114100041921" u="1"/>
        <s v="Notificación de seguimiento  [  MA2802202008 ]      I         I         I    Estimado(a):                     Lizbeth Adriana Cabrera Ortega    I         I    Le informamos que su ticket correspondiente a:    I                       I    DEBE DECIR 27 FEBRERO    I    " u="1"/>
        <s v="Notificación de seguimiento  [  MA1607202008 ]      I         I         I    Estimado(a):                     JUAN PEDRO RAMIREZ FLORES    I         I    Le informamos que su ticket correspondiente a:    I                       I    ACTUALIZACIÓN DE FECHAS DE CUMPLIMIENTO DE RECURSOS DEL ESTADO DE GUANAJUATO    I        I         I    Aplicación:                  SIGEMI    I    Tipo de Soporte:         AJUSTE DE FECHAS       I    Observaciones:                I         I    Su petición fue atendida    I         I    " u="1"/>
        <s v="Se testan los datos  del folio: 0064101429121" u="1"/>
        <s v="Notificación de seguimiento  [  MA0806202101 ]    I        I    Estimado(a):                Alondra Jiménez Hernández    I        I         I     Le informamos que su ticket correspondiente a:    I                       I    Se solicita la actualización de los certificados, por motivo del cambio de Titular de la Unidad de Transparencia, de los siguientes sujetos obligados, esto para que sean actualizados y se habilite el acceso en la Herramienta de Comunicación de cada uno.    I         I    Aplicación:                  HCOM    I    Tipo de Soporte:         CAMBIO DE TUT ( 8 )      I    Observaciones:                I         I    Su petición fue atendida    I         I    " u="1"/>
        <s v="Notificación de seguimiento  [  MA2605202127 ]    I        I    Estimado(a):                Lizbeth Adriana Cabrera Ortega    I        I         I     Le informamos que su ticket correspondiente a:    I                       I    modificar la fecha de interposición de los recursos siguientes al día 21 de mayo de 2021, pues ingresaron en el último día de interposición.    I        I    Adiciono los acuerdos de turno con la fecha modificada al 21 de mayo.    I        I         I    Aplicación:                  SIGEMI    I    Tipo de Soporte:         CORRECCIÓN DE ACUERDO DE TURNO     I    Observaciones:                I         I    Su petición fue atendida    I         I    " u="1"/>
        <s v="Se  testan los datos del folio: 1117100035121" u="1"/>
        <s v="Implementación de mejoras  portlet reportes y soportes" u="1"/>
        <s v="Se  testan los datos del folio: 1117100045121" u="1"/>
        <s v="se generan los servicios de Area administrativa y los componentes de Area administrativa: formulario, modal, busqueda, vista" u="1"/>
        <s v="Se aplica testado de datos al folio: 0064100713720." u="1"/>
        <s v="Se aplica testado de datos al folio:   0064103062520" u="1"/>
        <s v="Notificación de seguimiento  [  MA0610202202 ]    I        I    Estimado(a):                Alondra Jiménez Hernández     I        I        I     Le informamos que su ticket correspondiente a:    I        I    Anexo el registro actualizado del certificado del nuevo Titular de la Unidad de Transparencia de Banco del Bienestar, S.N.C. para que su acceso sea habilitado en la Herramienta de Comunicación.     I        I        I        I    Aplicación:                  HCOM    I    Tipo de Soporte        CAMBIO DE TUT     I    Observaciones:                I         I    Su petición fue atendida" u="1"/>
        <s v="Se cambia el tipo de solicitud del folio: 0411100019321" u="1"/>
        <s v="Se aplica eliminación de última respuesta de la solicitud: 0001200085020." u="1"/>
        <s v="Se aplica testado de datos personales: 0064100336620." u="1"/>
        <s v="Se aplica sustitución de archivo al folio: 0064103667519." u="1"/>
        <s v="Implementación componente Home(cards) " u="1"/>
        <s v="Notificación de seguimiento  [  MA0406202006 ]      I         I         I    Estimado(a):                     Laura Mónica Segovia Téllez    I         I    Le informamos que su ticket correspondiente a:    I                       I    sea regresado un paso del RRD 0526/20 a elaboración del proyecto, esto con el fin de adjuntar otra versión final    I         I    Aplicación:                  SIGEMI    I    Tipo de Soporte:         REGRESO DE PASOS      I    Observaciones:                I         I    Su petición fue atendida    I         I    " u="1"/>
        <s v="Notificación de seguimiento  [  MA1002202007 ]      I         I         I    Estimado(a):                     Rosalinda Coria Mosqueda    I         I    Le informamos que su ticket correspondiente a:    I                       I    Agradeceré su apoyo para cancelar el Recurso RRD 0220/20 en contra del IMSS, toda vez que aparece duplicado y sólo se envió una prevención.    I         I         I    Tipo de Soporte:         Quitar actividad duplicada      I    Observaciones:                I         I    Su petición fue atendida    I         I    " u="1"/>
        <s v="Notificación de seguimiento  [  MA1612202101 ]    I        I    Estimado(a):                Edgar Michel Loaeza Martínez    I        I         I     Le informamos que su ticket correspondiente a:    I                       I    Solicito su apoyo para poder sustituir en el sistema Hcom el certificado que se adjunta, el cual corresponde al sujeto obligado indirecto de la Universidad Pedagógica Nacional.    I        I    Clave Sujeto obligado Titular de la Unidad de Transparencia    I    29011 Fondo de Fomento para la Investigación Científica y el Desarrollo Tecnológico de la Universidad Pedagógica Nacional Lic. Yiseth Osorio Osorio    I        I    Aplicación:                  HCOM    I    Tipo de Soporte:         ACTUALIZAR CERTIFICADO       I    Observaciones:                I         I    Su petición fue atendida    I    " u="1"/>
        <s v="Notificación de seguimiento  [  MA2002202003 ]      I         I         I    Estimado(a):                     Pedro Esquivel Martínez    I         I    Le informamos que su ticket correspondiente a:    I                       I         I    Anexo el registro actualizado del certificado del Titular de la Unidad de Enlace del  “INSTITUTO NACIONAL DE LENGUAS INDÍGENAS( INALI )”. Lo anterior a fin de que sus accesos sean habilitados en los otros sistemas que administra este Instituto (HCOM).  CAMBIO DE CERTIFICADO, en cuanto se reciba la atención en HCOM se realizará la actualización de los demás sistemas correspondientes.    I        I         I    Aplicación:                  SIGEMI    I    Tipo de Soporte:         CAMBIO DE CERTIFICADO       I    Observaciones:                I         I    Su petición fue atendida    I    " u="1"/>
        <s v="Se sustituye el archivo adjunto de la solicitud con folio 0000700255821" u="1"/>
        <s v="Se  testan los datos del folio:  0000700086121 " u="1"/>
        <s v="Se generan scripts de carga base para plantillas tipo respuesta en prod y carga base para configuración de secciones en todos los registros de sisai_tw_config_proc_resp." u="1"/>
        <s v="Se desarrollo  servicio que listaba las solciitudes a las que se les puede modificar el &quot;Tipo solicitud&quot;" u="1"/>
        <s v="Se aplica el cambio de modalidad para el folio: 1857200004720." u="1"/>
        <s v="Se  testan los datos del folio: 0000700200321" u="1"/>
        <s v="Buenas tardes Oscar, tu petición fue atendida, favor de validar     I        I    Saludos     I        I    Marina Adame Velasco    I        I    Notificación de seguimiento  [  MA0210202007 ]      I        I    Aplicación:                  INFOMEX ESTADOS    I    Tipo de Soporte:         CONSULTA ESTADISTICA       I    Estatus:                               Concluido.    I    " u="1"/>
        <s v="Notificación de seguimiento  [  MA1409202003 ]      I         I         I    Estimado(a):                     Alondra Jiménez Hernández    I         I    Le informamos que su ticket correspondiente a:    I                       I    Anexo el registro actualizado del certificado del Titular de la Unidad de Transparencia de Estudios Churubusco Azteca, S.A., para su renovación en la Herramienta de Comunicación.     I         I    Sin más por el momento me despido, quedo atenta a cualquier situación.    I        I         I    Aplicación:                  HCOM       I    Tipo de Soporte:         CAMBIO DE CERTIFICADO       I    Observaciones:                I         I    Su petición fue atendida    I         I    " u="1"/>
        <s v="Notificación de seguimiento  [  MA1506202201 ]    I        I    Estimado(a):                Abraham Obed Gallardo González    I        I         I     Le informamos que su ticket correspondiente a:    I        I        I    para actualizar, en HCOM, el acceso para el Fondo de Capital de Trabajo del CENACE, con base en la información que se adjunta.     I        I         I    Aplicación:                  HCOM    I    Tipo de Soporte:         CAMBIO DE TUT          I    Observaciones:                I         I    Su petición fue atendida, se anexa certificado y se realizó el cambio de TUT     I         I    " u="1"/>
        <s v="Notificación de seguimiento  [  MA0207202006 ]      I         I         I    Estimado(a):                     Pedro Esquivel Martínez    I         I    Le informamos que su ticket correspondiente a:    I                       I    Actualizar datos del TUT del INSABI    I        I         I    Aplicación:                  SIGEMI    I    Tipo de Soporte:         ACTUALIZACIÓN DE CERTIFICADO       I    Observaciones:                I         I    Su petición fue atendida, la contraseña asignada es hcom2020    I         I    " u="1"/>
        <s v="Notificación de seguimiento  [  MA1111202012 ]      I         I     Estimado(a):                     GUILLERMO DELGADO    I         I     Le informamos que su ticket correspondiente a:    I                       I    si pudiéramos cambiar la fecha a la del 2017, o que pasa que el SO lo ve como ruido en sus pendientes, y esa en su tiempo creo que no fue atendida    I         I    Aplicación:                  INFOMEX BCN    I    Tipo de Soporte:         CAMBIO DE STATUS    I    Observaciones:                I         I    Su petición fue atendida    I         I    " u="1"/>
        <s v="Notificación de seguimiento  [  MA1304202005 ]      I         I         I    Estimado(a):                     Pedro Esquivel Martínez     I         I    Le informamos que su ticket correspondiente a:    I                       I        I    Anexo el registro actualizado del certificado del Titular de la Unidad de Enlace del  “INSTITUTO PARA EL DESARROLLO TÉCNICO DE LAS HACIENDAS PÚBLICAS” Lo Anterior a fin de que sus accesos sean habilitados en los otros sistemas que administra este Instituto (HCOM).  CAMBIO DE CERTIFICADO, en cuanto se reciba la atención en HCOM se realizará la actualización de los demás sistemas correspondientes.    I        I        I         I    Aplicación:                  HCOM    I    Tipo de Soporte:         CAMBIO DE CERTIFICADO      I    Observaciones:                I         I    Su petición fue atendida    I    " u="1"/>
        <s v="Notificación de seguimiento  [  MA2303202107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del 16 al 26 de marzo 2021 y contando el 1er periodo vacacional; debiéndose considerar los días comprendidos dentro de dicho periodo como inhábiles para evitar la propagación del coronavirus COVID-19.    I        I         I    Aplicación:                  INFOMEX NUEVO LEÓN    I    Tipo de Soporte:         AJUSTE DE PLAZO      I    Observaciones:                I         I    Su petición fue atendida    I    " u="1"/>
        <s v="Se genera y habilita el certificado del usuario: Marco Antonio Pereyra Rodríguez" u="1"/>
        <s v="Notificación de seguimiento  [  MA1204202103 ]      I         I         I    Estimado(a):                     FRANCISCO LIRA    I          I    Le informamos que su ticket correspondiente a:    I                       I    RESPALDO SEMANAL DE LA BASE DE DATOS INFOMEX    I         I    Aplicación:                  INFOMEX NUEVO LEÓN    I    Tipo de Soporte:         RESPALDO       I    " u="1"/>
        <s v="Notificación de seguimiento  [  MA1603202109 ]      I         I         I    Estimado(a):                     FRANCISCO LIRA    I          I    Le informamos que su ticket correspondiente a:    I                       I    RESPALDO SEMANAL DE LA BASE DE DATOS INFOMEX    I         I    Aplicación:                  INFOMEX NUEVO LEÓN    I    Tipo de Soporte:         RESPALDO       I    " u="1"/>
        <s v="Notificación de seguimiento  [  MA2203202113 ]      I         I         I    Estimado(a):                     FRANCISCO LIRA    I          I    Le informamos que su ticket correspondiente a:    I                       I    RESPALDO SEMANAL DE LA BASE DE DATOS INFOMEX    I         I    Aplicación:                  INFOMEX NUEVO LEÓN    I    Tipo de Soporte:         RESPALDO       I    " u="1"/>
        <s v="Se sustituye archivo adjunto  del folio: 011000046221" u="1"/>
        <s v="Plugin y configuración de Google Analytics" u="1"/>
        <s v="Correccion al codigo del plugin permission handler para descarga de pdf y permisos de almacenamiento" u="1"/>
        <s v="Seguimientos de etapas: porcentaje de avances, etapas y acciones y estatus." u="1"/>
        <s v="Se continuo con lamaquetacion de el fomulario y de la seccion de resultados de la búsqueda" u="1"/>
        <s v="Generación de script de transformación de formatos" u="1"/>
        <s v="Se  testan los datos del folio: 0320000423821" u="1"/>
        <s v="Servicio para LOGIN POR REDES SOCIALES(Gmail)" u="1"/>
        <s v="Se testan los datos  del folio: 0064101366121" u="1"/>
        <s v="Menu Rol" u="1"/>
        <s v="Se generó certificado para usuario de dependencia AICM-SACM" u="1"/>
        <s v="Buenas tardes Berenice, tu solicitud fue atendida, favor de validar    I        I         I    Saludos    I         I    Marina Adame Velasco    I         I    Notificación de seguimiento  [  MA3010202002 ]    I        I        I    SISTEMA [  INFOMEX OAXACA ]    I    " u="1"/>
        <s v="Notificación de seguimiento  [  MA0106202007 ]      I         I         I    Estimado(a):                     JUAN PEDRO RAMIREZ FLORES    I         I    Le informamos que su ticket correspondiente a:    I                       I    una vez más recorre el plazo de días inhábiles para el instituto. Comparto relación de recursos vs fechas de cumplimiento para los ajustes pertinentes.    I         I    Aplicación:                  SIGEMI    I    Tipo de Soporte:         AJUSTE DE PLAZOS       I    Observaciones:                I         I    Su petición fue atendida    I         I    " u="1"/>
        <s v="Notificación de seguimiento  [  MA1908202003 ]      I         I         I    Estimado(a):                     Edgar Michel Loaeza Martínez    I         I    Le informamos que su ticket correspondiente a:    I                       I    dar de alta en los sistemas los siguientes certificados de la Secretaría de Hacienda y Crédito Público.    I        I         I    Aplicación:                  HCOM    I    Tipo de Soporte:         CAMBIO DE TUT ( 1 ) y ACTUALIZACIÓN DE CERTIFICADO (1 )      I    Observaciones:                I         I    Su petición fue atendida    I         I    " u="1"/>
        <s v="Notificación de seguimiento  [  MA2201202104 ]      I         I         I    Estimado(a):                     Alondra Jiménez Hernández    I         I         I    Le informamos que su ticket correspondiente a:    I                       I    Se anexa el certificado del Titular de la Unidad de Transparencia de los siguientes sujetos obligados para su renovación en la Herramienta de Comunicación…     I    Aplicación:                  HCOM    I    Tipo de Soporte:         CAMBIO TUT   (2)    I    Observaciones:                I         I    Su petición fue atendida    I         I    " u="1"/>
        <s v="Notificación de seguimiento  [  MA0508202005 ]      I         I         I    Estimado(a):                     Rosalinda Coria Mosqueda    I         I    Le informamos que su ticket correspondiente a:    I                       I        I    Agradeceré su ayuda para cambiar el medio de comunicación en el Recurso     I    RRA 4900-20 [ya que la pieza postal fue devuelta por lo que se solicita el cambio de notificación al correo electrónico].     I        I    • El correo electrónico es: israelvargasperez@hotmail.com     I        I    En ese sentido, solicito su apoyo para que se haga el cambio del medio en la PNT, de domicilio físico a correo electrónico.    I        I        I         I    Aplicación:                  SIGEMI    I    Tipo de Soporte:         cambio de medio       I    Observaciones:                I         I    Su petición fue atendida    I    " u="1"/>
        <s v="Atención a incidencias, mejoras y funcionalidades de SISAI 2.0" u="1"/>
        <s v="Generar catálogos del sistema" u="1"/>
        <s v="Notificación de seguimiento  [  MA2001202104 ]      I         I         I    Estimado(a):                     Edgar Michel Loaeza Martínez    I         I         I    Le informamos que su ticket correspondiente a:    I                       I    Por medio del presente, me permito solicitar su valioso apoyo a efecto de que sean creados los certificados que se señalan a continuación, sujeto obligado indirecto de la Secretaría de Comunicaciones y Transportes.    I        I    Asimismo, anexo los registros actualizados de los sujetos obligados indirectos, a efecto de que se generen unos nuevos y estar en posibilidades de habilitar sus accesos en los Sistemas que administra este Instituto.     I         I    Aplicación:                  HCOM     I    Tipo de Soporte:         CAMBIO TUT   (2)    I    " u="1"/>
        <s v="Buenas noches Horacio, el motivo del correo es contar con la evidencia de la capacitación impartida a Chiapas, referente al tema de infomex     I        I    Saludos     I        I    Marina Adame Velasco    I        I    Notificación de seguimiento  [  MA0710202006 ]      I        I    Aplicación:                  INFOMEX CHIAPAS    I    Tipo de Soporte:         CAPACITACIÓN       I    Estatus:                               Concluido.    I        I    " u="1"/>
        <s v="Notificación de seguimiento [ MA2801202004 ]     I          I          I     Estimado(a): Alondra Jiménez Hernández    I          I     Le informamos que su ticket correspondiente a:    I          I     Anexo el registro actualizado del certificado del Titular de la Unidad de Transparencia de BANCOMEXT para su renovación en la Herramienta de Comunicación.    I         I          I     Aplicación: HCOM    I     Tipo de Soporte: ACTUALIZACIÒN DE CERTIFICADO     I     Observaciones:     I          I     Su petición fue atendida    I          I         I          I      Favor de validar.    I          I     Estatus: Concluido." u="1"/>
        <s v="Notificación de seguimiento  [  MA0610202001 ]      I         I         I    Estimado(a):                     Alma Lizbeth Peguero Rivera    I         I    Le informamos que su ticket correspondiente a:    I                       I         I    Por medio de presente, solicito de la manera más atenta, su apoyo para retroceder los pasos en el sistema SIGEMI-SICOM en la PNT del siguiente asunto RRA 1908/19 y RRA 1052 FJALL,hasta la actividad “Registrar información de la sesión del pleno”; sin más por el momento, quedo en espera de sus comentarios.    I         I    Aplicación:                  SIGEMI    I    Tipo de Soporte:         REGRESO DE PASOS  ( 2 )    I    Observaciones:                I         I    Su petición fue atendida    I         I    " u="1"/>
        <s v="Notificación de seguimiento  [  MA1606202002 ]      I         I         I    Estimado(a):                     JUAN PEDRO RAMIREZ FLORES    I         I    Le informamos que su ticket correspondiente a:    I                       I    Hola estimados compañeros, hemos recorrido una vez más el plazo de días inhábiles en el módulo de SICOM. En virtud de lo anterior me permito remitir el listado de la relación de los recursos vs fecha nueva de cumplimiento a fin de solicitar su apoyo para realizar los ajustes correspondientes.    I        I         I    Aplicación:                  SIGEMI    I    Tipo de Soporte:         AJUSTE DE FECHAS DE CUMPLIMIENTO  (98)    I    Observaciones:                I         I    Su petición fue atendida    I         I    " u="1"/>
        <s v="Notificación de seguimiento  [  MA1203202004 ]      I         I         I    Estimado(a):                     Edgar Michel Loaeza Martínez    I         I    Le informamos que su ticket correspondiente a:    I                       I    Por medio del presente solicito su valioso apoyo a efecto de realizar la renovación de certificado del Titular de la Unidad de Transparencia de la comisión Nacional de Arbitraje Médico.    I        I    Para tal efecto, anexo al presente el certificado, cédula de registro y nombramiento del Titular, lo anterior, a fin de que sus accesos sean habilitados en los sistemas que administra este Instituto (INFOMEX y HCOM).      I        I         I    Aplicación:                  HCOM    I    Tipo de Soporte:         CAMBIO DE TITULAR       I    " u="1"/>
        <s v="Recepcion de solicitudes subenlace rechazar" u="1"/>
        <s v="Notificación de seguimiento  [  MA0510202106 ]    I        I    Estimado(a):                Betzabé Flores Terán    I        I         I     Le informamos que su ticket correspondiente a:    I                       I    Solicito su apoyo para realizar la modificación en la herramienta de comunicación del .cer que se adjunta, toda vez que hubo un cambio en el Titular de la Unidad de Transparencia.    I         I    Aplicación:                  HCOM              I    Tipo de Soporte:         CAMBIO DE TUT      I    Observaciones:                I         I    Su petición fue atendida    I         I    " u="1"/>
        <s v="Realizar funcionalidad de busqueda avanzada" u="1"/>
        <s v="Se aplica testado de datos al folio: 0064100615420." u="1"/>
        <s v="Se cambia el metodo de descarga para archivos adjuntos y acuses en quejas" u="1"/>
        <s v="Generar certificados para INDIRECTOS de SECTUR" u="1"/>
        <s v="Se finalizó la maquetacion del fomrulario y se comaprtio a Erick para su imlementacion " u="1"/>
        <s v="Se aplica eliminación de formato de pago: 0063700051921" u="1"/>
        <s v="Continúa el apoyo en consultas y validación de la información generada con las bases de datos en custodia (casos de diversos estados) en lo referente principalmente a documentación adjunta.      I    Se realizó la población de las tablas derivadas de los catálogos de VUT.    I    Se inicia la extracción de información del estado de México, documentación adjunta 2008 y 2009." u="1"/>
        <s v="Diagnóstico de acceso a la información sobre los JSON compartidos para SISAI " u="1"/>
        <s v="Desarrollo de la funcionalidad en el testeo de información para abrir las solicitudes terminadas" u="1"/>
        <s v="Notificación de seguimiento  [  MA2505202005 ]      I         I         I    Estimado(a):                     Sergio Rafael Cortés Alpizar    I         I    Le informamos que su ticket correspondiente a:    I                       I    Por este medio solicito adelantar los pasos en la Plataforma Nacional del Transparencia hasta “Preparación del Proyecto de Resolución” del recurso de revisión:    I         I    RRA 2784/16-BIS vs BANCOMEXT    I         I    Lo anterior se debe a que se dictó un amparo y deja sin efectos la resolución del pleno.    I        I         I    Aplicación:                  SIGEMI    I    Tipo de Soporte:         CAMBIO DE ESTATUS DE ACTIVIDADES      I    Observaciones:                I         I    Su petición fue atendida    I         I    " u="1"/>
        <s v="Se aplica testado de datos al folio:  1816700001121" u="1"/>
        <s v="Notificación de seguimiento  [  MA0206202006 ]      I         I         I    Estimado(a):                     Laura Mónica Segovia Téllez    I         I    Le informamos que su ticket correspondiente a:    I                       I    Solcito su amable apoyo para que sea regresado el paso del recurso RRA 03512/20 en el rubro de cierre de instrucción, ya que se adjuntó un archivo que no corresponde     I        I         I    Aplicación:                  SIGEMI    I    Tipo de Soporte  :      Eliminar cierre de instrucción      I    Observaciones:                I         I    Su petición fue atendida    I         I    " u="1"/>
        <s v="Revision requerimientos MGD-RTA" u="1"/>
        <s v="Validación de proceso de limpieza de información estructurada" u="1"/>
        <s v="Servicio Master para usuarios internos, la asignacion de valores en los combos 1 de 2" u="1"/>
        <s v="Actualización queries incidencia en SLP Producción" u="1"/>
        <s v="Notificación de seguimiento [ MA2201202001 ]     I          I          I     Estimado(a): Lizbeth Adriana Cabrera Ortega    I          I     Le informamos que su ticket correspondiente a:    I          I     PODRÍA MODIFICARSE EL FOLIO DEL RECURSO INDICADO EN EL ASUNTO.    I          I          I     DEBE DECIR    I          I     FOLIO 0064103497219    I          I          I     ASIMISMO ADJUNTO EL ACUERDO CON LA ADICIÓN SOLCIITADA PARA QUE OBRE EN EL EXP. ELECTRÓNICO.    I          I         I          I     Aplicación: SIGEMI    I     Tipo de Soporte: Actualizar dato y archivo" u="1"/>
        <s v="Notificación de seguimiento  [  MA0305202204 ]    I        I    Estimado(a):                Abraham Obed Gallardo González    I        I         I     Le informamos que su ticket correspondiente a:    I                       I    Por este medio me permito anexar el registro actualizado del certificado del Titular de la Unidad de Enlace del Instituto Nacional para la Educación de los Adultos.  Lo Anterior a fin de que sus accesos sean habilitados en los otros sistemas que administra este Instituto (HCOM).  CAMBIO DE TITULAR, en cuanto se reciba la atención en HCOM se realizará la actualización de los demás sistemas correspondientes.    I        I         I         I    Aplicación:                  HCOM    I    Tipo de Soporte:         ACTUALIZACIÓN DE CERTIFICADO        I    Observaciones:                I         I    " u="1"/>
        <s v="Se comenzo con el desarrollo de micrositio de juegos infantiles" u="1"/>
        <s v="Notificación de seguimiento  [  MA1402202001 ]      I         I         I    Estimado(a):                     Brayan Román Martínez Lara    I         I    Le informamos que su ticket correspondiente a:    I                       I    En relación al recurso de revisión RRA 00280/20 previamente se cargó en la PNT la versión final del mismo y el cierre de instrucción; no obstante, éste no ha sido votado por el Pleno del Instituto, en ese sentido se requiere que el recurso de revisión referido sea regresado un paso atrás para cargar nuevamente la versión final del mismo, así como para poder volver a cargar el cierre de instrucción, toda vez que los tiempos que estipula la Ley de la materia, así lo requiere.    I         I         I    Aplicación:                  SIGEMI    I    Tipo de Soporte:         Eliminar cierre de instrucción      I    Observaciones:                I         I    Su petición fue atendida    I    " u="1"/>
        <s v="Se cambia el tipo de solicitud del folio: 0063700010221" u="1"/>
        <s v="Notificación de seguimiento  [  MA0108202203 ]    I        I        I    Estimado(a):               Julia Yuridia Pacheco Hernández    I     Le informamos que su ticket correspondiente a:    I        I    para la actualización y nuevo certificado para el Sindicato de Trabajadores del Centro de Investigación y Docencia Económicas, A.C., lo anterior derivado del cambio del titular de la unidad de transparencia, es importante mencionar que este SO se encuentra habilitado en todos los sistemas.    I         I    Clave Única_x0009_Sujeto Obligado_x0009_Nombre_x0009_Correo electrónico_x0009_contraseña    I    60221_x0009_Sindicato Único de Personal Técnico y Administrativo del Centro de Investigaciones Biológicas del Noroeste    I        I    _x0009_BRENDA FRANCISCA DE LA PEÑA ORTEGA_x0009_bdelapena@cibnor.mx    I    hcom60221    I        I        I    Aplicación:                  HCOM    I    Tipo de Soporte:        GENERACIÓN DE CERTIFICADO Y CAMBIO DE TUT EN HCOM  " u="1"/>
        <s v="Cambios solicitados a componente domicilio" u="1"/>
        <s v="Se genera y habilita el certificado del usuario: Brenda Zarraga Narváez ." u="1"/>
        <s v="Notificación de seguimiento  [  MA1402202002 ]      I         I         I    Estimado(a):                     Edgar Michel Loaeza Martínez    I         I    Le informamos que su ticket correspondiente a:    I                       I        I    Por medio del presente solicito su valioso apoyo a efecto de realizar la renovación del certificado de Titular de la Unidad de Transparencia del “Fideicomiso irrevocable de administración y fuente de pago, No. 1928.- para apoyar el proyecto de saneamiento del Valle de México” y “Mandato del Túnel Emisor Oriente (TEO”).    I        I        I         I    Aplicación:                  HCOM    I    Tipo de Soporte:         CAMBIO DE TITULAR ( 2 )       I    Observaciones:                I         I    " u="1"/>
        <s v="Configuracion de instancias nuevas para los campus Iniciativa Privada " u="1"/>
        <s v="Se localizan archivos adjuntos en el filesystem" u="1"/>
        <s v="Se cambia el tipo de solicitud del folio: 0063700010321" u="1"/>
        <s v="Notificación de seguimiento  [  MA1211202006 ]      I          I    Estimado(a):                     GUILLERMO DELGADO    I          I    Le informamos que su ticket correspondiente a:    I                       I    el cambio de fecha de vencimiento de una solicitud que no sabemos por qué nos quitó días    I         I    Folio 01053320    I    La fecha de vencimiento deberá ser el 17/11/2020    I         I         I    Y viene con fecha del 13/11/2020    I         I    Aplicación:                  INFOMEX BCN    I    Tipo de Soporte:         CAMBIO DE PLAZO       I    Observaciones:                I         I    Su petición fue atendida    I         I    " u="1"/>
        <s v="Se  testan los datos del folio: 0064101694721" u="1"/>
        <s v="Se aplica eliminación de formato de pago: 0945100019221" u="1"/>
        <s v="se generanlos servicios de integrante, entidad federativa" u="1"/>
        <s v="Se aplica eliminación de última respuesta: 1200800002820, 1200800002920 y 1200800003020" u="1"/>
        <s v="Optimización de proceso de limpieza de información no estructurada" u="1"/>
        <s v="Adecuar vista final en la sección de filtros de acuerdo a las modificaciones de las consultas" u="1"/>
        <s v="Notificación de seguimiento  [  MA1108202103 ]    I        I    Estimado(a):                Pedro Esquivel Martínez    I        I         I     Le informamos que su ticket correspondiente a:    I                       I    la actualización del acceso al HCOM de acuerdo al cuadro siguiente:    I        I    No Clave Presupuestal Fideicomiso    I      Siglas    I      TITULAR DE LA U.T.    I      NOMBRE DEL CERTIFICADO A GENERAR Contraseña INFOMEX y HCOM    I    1 00638 Fondo de ayuda, asistencia y reparación integral CEAV F1 Marcela Soto Alarcón 00638. Marcela Soto Alarcón      I    SISI00638    I         I    HCOM00638    I        I         I    Aplicación:                  HCOM    I    Tipo de Soporte:         CAMBIO DE TUT       I    Observaciones:                I         I    Su petición fue atendida    I         I    " u="1"/>
        <s v="Notificación de seguimiento  [  MA2502202005 ]      I         I         I    Estimado(a):                     Pedro Esquivel Martínez    I         I    Le informamos que su ticket correspondiente a:    I                       I    Anexo el registro actualizado del certificado del Titular de la Unidad de Enlace del  “INSTITUTO NACIONAL DE CIENCIAS PENALES”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RENOVAR CERTIFICADO       I    Observaciones:                I         I    Su petición fue atendida    I         I    " u="1"/>
        <s v="Notificación de seguimiento  [  MA1509202008 ]      I         I         I    Estimado(a):                     Rosalinda Coria Mosqueda    I         I    Le informamos que su ticket correspondiente a:    I                       I    Agradeceré su apoyo para regresar a la actividad de admitir/desechar el recurso RRA 4010/20, pues es un asunto de PEMEX, y en los meses anteriores se había notificado una admisión, pero están suspendidos los plazos para ese Sujeto Obligado    I        I         I    Aplicación:                  SIGEMI    I    Tipo de Soporte:         REGRESO DE PASOS      I    Observaciones:                I         I    Su petición fue atendida    I         I    " u="1"/>
        <s v="Reporte de solicitudes generadas en diciembre 2020" u="1"/>
        <s v="Se aplica el cambio de modalidad para el folio: 0610100300119." u="1"/>
        <s v="Buenas tardes Francisco, anexo script con la fecha de nacimiento, ya que tal cual no existe el dato de edad, favor de validar     I        I    Saludos     I        I    Marina Adame Velasco    I        I    Notificación de seguimiento  [  MA1509202006 ]      I        I    Aplicación:                  INFOMEX NUEVO LEÓN    I    Tipo de Soporte:         SCRIPT       I    Estatus:                               Concluido.    I    " u="1"/>
        <s v="Notificación de seguimiento  [  MA0504202113 ]      I         I         I    Estimado(a):                     ALEJANDRA TEJEDA    I         I         I    Le informamos que su ticket correspondiente a:    I                       I    reporte de solicitudes 2021 con corte al día de hoy.    I        I         I    Aplicación:                  INFOMEX BCN    I    Tipo de Soporte:         REPORTE       I    Observaciones:                I         I    Su petición fue atendida    I         I    " u="1"/>
        <s v="Se genera certificado para: Omar.Orozco.Ramirez." u="1"/>
        <s v="Desarrollo de la funcionalidad para  estadística  de rubro temática para catalogar las solicitudes" u="1"/>
        <s v="Notificación de seguimiento  [  MA1411202203 ]    I        I    Estimado(a):                Edgar Michel Loaeza Martínez    I        I        I     Le informamos que su ticket correspondiente a:    I        I        I    Por medio del presente solicito su valioso apoyo a efecto de realizar cambio del Titular de la Unidad de Transparencia del Tribunal Superior Agrario.    I        I    Para tal efecto, anexo al presente el certificado correspondiente, cédula de registro y nombramiento, lo anterior, a fin de que sus accesos sean habilitados en los sistemas que administra este Instituto (HCOM).      I        I         I        I    Aplicación:                 HCOM    I    Tipo de Soporte         CAMBIO DE TUT     I    Su petición fue atendida" u="1"/>
        <s v="Nueva sección en guías para titulares" u="1"/>
        <s v="Implementación componente barra de busqueda header con  redirect a buscador " u="1"/>
        <s v="Buenas tardes Guillermo, tu petición fue atendida, favor de validar     I        I    Saludos     I        I    Marina Adame Velasco    I        I    Notificación de seguimiento  [  MA0510202006 ]      I        I    Aplicación:                  INFOMEX BCN     I    Tipo de Soporte:         REPORTE       I    Estatus:                               Concluido.    I        I    " u="1"/>
        <s v="Buenas tardes Guillermo, tu petición fue atendida, favor de validar     I        I    Saludos     I        I    Marina Adame Velasco    I        I    Notificación de seguimiento  [  MA0707202001 ]      I        I    Aplicación:                  INFOMEX BCN    I    Tipo de Soporte:         REPORTES       I    Estatus:                               Concluido.    I        I    " u="1"/>
        <s v="Buenas tardes Guillermo, tu petición fue atendida, favor de validar     I        I    Saludos     I        I    Marina Adame Velasco    I        I    Notificación de seguimiento  [  MA1910202009 ]      I        I    Aplicación:                  INFOMEX BCN     I    Tipo de Soporte:         REPORTE       I    Estatus:                               Concluido.    I        I    " u="1"/>
        <s v="Buenas tardes Guillermo, tu petición fue atendida, favor de validar     I        I    Saludos     I        I    Marina Adame Velasco    I        I    Notificación de seguimiento  [  MA2209202008 ]      I        I    Aplicación:                  INFOMEX BCN    I    Tipo de Soporte:         REPORTES       I    Estatus:                               Concluido.    I        I    " u="1"/>
        <s v="Buenas tardes Guillermo, tu petición fue atendida, favor de validar     I        I    Saludos     I        I    Marina Adame Velasco    I        I    Notificación de seguimiento  [  MA2408202007 ]      I        I    Aplicación:                  INFOMEX BCN     I    Tipo de Soporte:         REPORTE       I    Estatus:                               Concluido.    I        I    " u="1"/>
        <s v="Notificación de seguimiento  [  MA1505202001 ]      I         I     Estimado(a):                     RAFAEL GONZÁLEZ    I     Le informamos que su ticket correspondiente a:    I                       I    REVISIÓN DE PLAZOS DE SUJETOS OBLIGADOS     I         I    Aplicación:                  SIGEMI    I    Tipo de Soporte:         Revisión de Plazos       I    Observaciones:                I         I    Rafael, de la revisión de plazos te comento lo siguiente:    I        I    Para los SO  siguientes las fechas de cumplimiento y fechas limite de votación no estan en las fechas señaladas, se adjunta resultados     I    Cámara de Diputados: jueves 19 y viernes 20 de marzo de 2020    I    Instituto Politécnico Nacional: miércoles 18, jueves 19 y viernes 20 de marzo de 2020, No se encontraron fechas de cumplimiento     I    Tribunal Federal de Conciliación y Arbitraje: miércoles 18, jueves 19 y viernes 20 de marzo de 2020    I        I        I    Para los SO siguientes no se encontraron recursos     I    Sindicato de Trabajadores del Tribunal Federal de Conciliación y Arbitraje: miércoles 18, jueves 19 y viernes 20 de marzo de 2020    I    Sindicato Nacional Democrático de Trabajadores de los Tribunales Agrarios: jueves 19 y viernes 20 de marzo de 2020    I        I    Para los SO siguientes los recursos encontrados tienen fechas anteriores a los plazos señalados     I        I    Tribunal Superior Agrario: jueves 19 y viernes 20 de marzo de 2020    I    Universidad Pedagógica Nacional: miércoles 18, jueves 19 y viernes 20 de marzo de 2020.&quot;    I        I    Para el SO siguiente no se localizó en la lista de Sujetos Obligados     I    Comisión de Operación y Fomento de Actividades Académicas del Instituto Politécnico Nacional: martes 17, miércoles 18, jueves 19 y viernes 20 de marzo de 2020    I        I         I                Favor de validar.    I         I    Estatus:                               Concluido.    I    " u="1"/>
        <s v="Se  testan los datos del folio: 0064101501721" u="1"/>
        <s v="Se cambia el tipo de solicitud del folio: 0063700010621" u="1"/>
        <s v="Se  testan los datos y se sustituye el archivo del folio: 0000600199721" u="1"/>
        <s v="Implementación consumo servicio logueo,guardado del token y redirect dependiendo el tipo de rol" u="1"/>
        <s v="Notificación de seguimiento  [  MA0607202001 ]      I         I         I    Estimado(a):                     ALONDRA JIMÉNEZ HERNÁNDEZ    I         I    Le informamos que su ticket correspondiente a:    I                       I    Anexo el registro actualizado del certificado del Titular de la Unidad de Transparencia del Fideicomiso de Investigación Científica y Desarrollo Tecnológico del Centro Publico de Investigación y Desarrollo Tecnológico en Electroquímica, S.C., en Materia de Electroquímica, Agua, Procesos, Materiales Ambiente y Ciencias Afines, sujeto obligado indirecto de CIDETEQ, para su renovación en la Herramienta de Comunicación.     I        I         I    Aplicación:                  HCOM       I    Tipo de Soporte:         CAMBIO DE CERTIFICADO       I    Observaciones:                I         I    Su petición fue atendida    I         I    " u="1"/>
        <s v="Se aplica cambio de modalidad a las solicitudes: 0001100045720." u="1"/>
        <s v="Buenos días Francisco, tu petición fue atendida, adjunto script modificado, favor de validar     I         I     Saludos     I         I     Marina Adame Velasco    I         I     Notificación de seguimiento [ MA1401202001 ]     I         I     Aplicación: INFOMEX NUEVO LEÓN     I     Tipo de Soporte: Modificación de script     I     Estatus: Concluido." u="1"/>
        <s v="Se aplica testado de datos personales: 0064100323320." u="1"/>
        <s v="Notificación de seguimiento  [  MA1902202005 ]      I         I         I    Estimado(a):                     Luis Javier Mendoza Rueda    I         I    Le informamos que su ticket correspondiente a:    I                       I    Solicito su apoyo para realizar el cambio de sujeto obligado en el INFOCDMX/RR.IP.0134/2020, sin número de solicitud (INEXISTENTE):    I        I        I    Dice: Procuraduría General de Justicia    I        I    Debe decir: SECRETARÍA DE ADMINISTRACIÓN Y FINANZAS.    I        I         I    Aplicación:                  SIGEMI    I    Tipo de Soporte:         Cambio de Sujeto Obligado       I    Observaciones:                I         I    Su petición fue atendida    I         I    " u="1"/>
        <s v="Notificación de seguimiento  [  MA1211202004 ]      I         I         I    Estimado(a):                     BERENICE HERNÁNDEZ    I         I         I    Le informamos que su ticket correspondiente a:    I                       I    Por este medio solicito su apoyo para poder aplicar las afectaciones a las fechas de vencimiento y la eliminación de los acuses respectivos de las solicitudes señaladas en el archivo adjunto. Toda vez que el Consejo General aprobará en su Décima Novena Sesión Ordinaria celebrada el día 28 de octubre, aprobó la primera fase del levantamiento a la suspensión de plazos derivado de la Contingencia Sanitaria del COVID-19 para un primer grupo de sujetos obligados y la continuidad de la suspensión de plazos para el resto de sujetos obligados hasta el 23 de noviembre.    I         I    Aplicación:                  INFOMEX OAXACA    I    Tipo de Soporte:         AJUSTE DE PLAZOS        I    Observaciones:                I         I    Su petición fue atendida    I    " u="1"/>
        <s v="Avance Generacion Entidades" u="1"/>
        <s v="Prueba uno de script de tratamiento y limpieza de SIPOT unificada" u="1"/>
        <s v="Se aplica eliminación de formato de pago: 0410000015620" u="1"/>
        <s v="Revisión y análisis, eliminación de ultima respuesta de solicitudes. " u="1"/>
        <s v="Se corrige un scroll sobre los resultados del buscador" u="1"/>
        <s v="Se crea ws para validar folio en recibo de pagos manuales." u="1"/>
        <s v="Notificación de seguimiento  [  MA0307202003 ]      I         I         I    Estimado(a):                     Sergio Rafael Cortés Alpizar    I         I    Le informamos que su ticket correspondiente a:    I                       I    Por medio del presente, solicito se regrese la actividad a &quot;Preparación del Proyecto de Resolución&quot; para volver a mandar el acuerdo del siguiente recurso de revisión:    I        I    RRA 3721/20 vs SHCP    I        I    Lo anterior se debe a que se corrigió el acuerdo y se volverá a enviar.    I        I         I    Aplicación:                  SIGEMI    I    Tipo de Soporte:         REGRESO DE PASOS      I    Observaciones:                I         I    Su petición fue atendida    I         I    " u="1"/>
        <s v="Notificación de seguimiento  [  MA0907202114 ]    I        I    Estimado(a):                Fernanda Denise Blanco Alquicira    I        I         I     Le informamos que su ticket correspondiente a:    I                       I    Por medio del presente solicito atentamente su apoyo para eliminar el requerimiento número IFAI-REQ-003740-2021, enviado el día de hoy mediante la Herramienta de comunicación, lo anterior debido a que hubo un error en los archivos adjuntos. Adjunto el acuse de envío para pronta referencia.     I        I         I    Aplicación:                  HCOM    I    Tipo de Soporte:         ELIMINAR REQUERIMIENTO       I    Observaciones:                I         I    Su petición fue atendida    I         I    " u="1"/>
        <s v="validación de cambios de integración de Homoclave en Declaración de Conflicto de intereses" u="1"/>
        <s v="Revisión de Fechas de notificación" u="1"/>
        <s v="Se  testan los datos del folio: 0064101759721" u="1"/>
        <s v="Se conecto el End Point de Líneas de Acción con el Back End para mostrar los registros en la Pagina correctamente" u="1"/>
        <s v="    I    Notificación de seguimiento  [  MA2402202105 ]      I         I         I    Estimado(a):                     Alondra Jiménez Hernández    I         I         I    Le informamos que su ticket correspondiente a:    I                       I    Por motivo del cambio de Titular de la Unidad de Transparencia, se solicita la actualización de los certificados en la Herramienta de Comunicación de cada uno.     I        I    Me refiero a los siguientes:    I        I    09451 Aeropuerto Internacional de la Ciudad de México, S.A. de C.V.    I    09448 Servicios Aeroportuarios de la Ciudad de México, S.A. de C.V.    I         I    Aplicación:                  HCOM (2)    I    Tipo de Soporte:         CAMBIO TUT       I    " u="1"/>
        <s v="Cuentas de comité técnico" u="1"/>
        <s v="Se aplica testado de datos al folio:  0002700050721" u="1"/>
        <s v="Validación de etiquetas asignadas  a solicitudes de manera automatizada" u="1"/>
        <s v="Se  sustituye archivo de folio  1816400188721" u="1"/>
        <s v="Notificación de seguimiento  [  MA2411202008 ]      I         I         I    Estimado(a):                     SERGIO RAFAEL CORTÉS ALPIZAR     I         I         I    Le informamos que su ticket correspondiente a:    I                       I    Por este medio solicito adelantar los pasos en la Plataforma Nacional del Transparencia hasta “Preparación del Proyecto de Resolución” del recurso de revisión:    I         I    RRA 2410/19-BIS vs SEP    I         I    Lo anterior se debe a que se dictó un amparo y deja sin efectos la resolución del pleno.    I         I    Aplicación:                  SIGEMI    I    Tipo de Soporte:         REGRESO DE PASOS        I    Observaciones:                I         I    Su petición fue atendida    I         I    " u="1"/>
        <s v="Notificación de seguimiento  [  MA2611202009 ]      I         I         I    Estimado(a):                     Luis Herrera Leos    I         I         I    Le informamos que su ticket correspondiente a:    I                       I    Agradeceré su apoyo para modificar el correo electrónico (como medio de notificación) en el recurso RRA 12975/20 vs Pemex Exploración y Producción, toda vez que en la PNT aparece el correo arescorcia@gmail.com; sin embargo, el particular señaló en su escrito el siguiente: armando.escorcia@integralprojectit.com    I        I         I    Aplicación:                  SIGEMI    I    Tipo de Soporte:         CAMBIO DE CORREO       I    Observaciones:                I         I    Su petición fue atendida    I         I    " u="1"/>
        <s v="Se aplica el testado de datos de la solicitud: 1117100230819" u="1"/>
        <s v="Buenos días Memo, tu petición fue atendida, favor de validar     I        I    Saludos     I        I    Marina Adame Velasco    I        I    Notificación de seguimiento  [  MA1002202002 ]      I        I    Aplicación:                  INFOMEX BCN    I    Tipo de Soporte:         REPORTE       I    Estatus:                               Concluido.    I    " u="1"/>
        <s v="Notificación de seguimiento  [  MA2511202001 ]      I          I    Estimado(a):                     Edgar Michel Loaeza Martínez    I          I    Le informamos que su ticket correspondiente a:    I                       I    Por medio del presente solicito su valioso apoyo a efecto de hacer cambio de Titular de la Unidad de Transparencia de la Secretaría de Gobernación.    I        I     Aplicación:                  HCOM    I    Tipo de Soporte:         CAMBIO TUT       I    Observaciones:                I         I    Su petición fue atendida    I         I    " u="1"/>
        <s v="seccion 13 UT" u="1"/>
        <s v="Se aplica el cambio de modalidad a la solicitud: 0064100014220." u="1"/>
        <s v="Nuevamente reinstalación Campus Publico para ejecutar instalador" u="1"/>
        <s v="Se cambia el metodo para descargar archivos, se generan los archivos con base64 y se realizan pruebas con recurrentes" u="1"/>
        <s v="Análisis de requerimiento y elaboración de scripts" u="1"/>
        <s v="Configuración de Sistema Operativo de Jboss" u="1"/>
        <s v="Se aplica testado de datos al folio:  0002700050921" u="1"/>
        <s v="Se  testan los datos de la solicitud con folio 0064101151521    I         I    " u="1"/>
        <s v="Implementación del servicio rest catalogo integrante " u="1"/>
        <s v="Desarrollo del flujo para el seguimiento de una queja" u="1"/>
        <s v="Se elmina la respuesta del folio: 1215100474021 " u="1"/>
        <s v="Notificación de seguimiento  [  MA2401202103 ]    I        I    Estimado(a):                Armando Ortiz Luna    I        I         I     Le informamos que su ticket correspondiente a:    I                       I    asignar en la Herramienta de Comunicación los certificados que adjunto al presente, a los sujetos obligados que se precisan a continuación.    I         I    Aplicación:                  HCOM    I    Tipo de Soporte:         CAMBIO DE TUT ( 3) , CAMBIO DE CERTIFICADO ( 1)       I    Observaciones:                I         I    Su petición fue atendida    I         I    " u="1"/>
        <s v="Se  testan los datos de la solicitud con folio 1816400144721    I         I    " u="1"/>
        <s v="Se aplica testado de datos a 8 solicitudes" u="1"/>
        <s v="Ajustes a clases css para el desing responsive" u="1"/>
        <s v="Se actualizó la fecha en la solicitud 0064100216621" u="1"/>
        <s v="Notificación de seguimiento  [  MA1403202202 ]    I        I    Estimado(a):                Lizbeth Adriana Cabrera Ortega    I        I         I     Le informamos que su ticket correspondiente a:    I                       I    la generación UN EXPEDIENTE BIS del recurso de revisión posteriormente citado.    I         I    Asimismo, te comento que NO DEBERÁ CAMBIAR el sujeto obligado, ni el Comisionado correspondiente.     I         I     DICE                                        DEBE DECIR                         SUJETO OBLIGADO           PONENTE    I    RRA 3449/22 RRA 12604/19-BIS SEDATU FJAL    I         I    No omito comentarte que el número de expediente que deberá seguir en el consecutivo por turnar en PNT debe ser el RRA 3449/22    I         I    Aplicación:                  SICOM    I    Tipo de Soporte:         CAMBIO A BIS      I    Observaciones:                I         I    Su petición fue atendida    I         I    " u="1"/>
        <s v="Notificación de seguimiento  [  MA2408202101 ]    I        I    Estimado(a):                Pedro Esquivel Martínez    I        I         I     Le informamos que su ticket correspondiente a:    I                       I    por este medio Anexo el registro actualizado del certificado del Titular de la Unidad de Enlace de la “Agencia Espacial Mexicana”.  Lo Anterior a fin de que sus accesos sean habilitados en los otros sistemas que administra este Instituto (HCOM).  CAMBIO DE  TITULAR, en cuanto se reciba la atención en HCOM se realizará la actualización de los demás sistemas correspondientes.    I         I    Aplicación:                  HCOM    I    Tipo de Soporte:         CAMBIO DE TUT      I    Observaciones:                I         I    Su petición fue atendida    I         I    " u="1"/>
        <s v="Creación de cuentas comité técnico" u="1"/>
        <s v="Se sustituye archivo adjunto del folio: 0002700087420 se solicita por segunda vez el testado y sustitución de archivo." u="1"/>
        <s v="Se continua con el desarrollo del modulo de tipos de criterios" u="1"/>
        <s v="Se cambia el tipo de solicitud del folio: 2012000000621" u="1"/>
        <s v="Notificación de seguimiento  [  MA2810202003 ]      I        I         I        I         I        I    Estimado(a):                     Sergio Rafael Cortés Alpizar    I        I         I        I         I        I    Le informamos que su ticket correspondiente a:    I        I                       I        I    solicitando la cancelación de la reconducción que le solicite en un principio del recurso RRA 11476/20, por lo que al día de hoy no se ve reflejado el cambio en la PNT y necesitamos notificar la admisión, por lo que solicito tu apoyo para hacer el cambio y quede como recurso de acceso RRA.    I        I         I        I         I        I    Aplicación:                  SIGEMI    I        I    Tipo de Soporte:         AJUSTE DE FOLIO     I        I    Observaciones:                I        I         I        I    Su petición fue atendida" u="1"/>
        <s v="Se aplica eliminación de última respuesta de la solicitud: 0001200077420." u="1"/>
        <s v="Buenas tardes Joel, tu petición fue atendida, favor de validar     I        I    Saludos     I        I    Marina Adame Velasco    I        I    Notificación de seguimiento  [  MA3003202005 ]      I        I    Aplicación:                  INFOMEX COLIMA    I    Tipo de Soporte:         Corrección de plazos       I    Estatus:                               Concluido.    I        I    " u="1"/>
        <s v="Buenas tardes Joel, tu petición fue atendida, favor de validar     I        I    Saludos     I        I    Marina Adame Velasco    I        I    Notificación de seguimiento  [  MA3103202002 ]      I        I    Aplicación:                  INFOMEX COLIMA    I    Tipo de Soporte:         Corrección de plazos       I    Estatus:                               Concluido.    I        I    " u="1"/>
        <s v="Documentar el manual de usuario" u="1"/>
        <s v="analisis y funcionalidad del campo menu " u="1"/>
        <s v="Se testan los datos de la solicitud con folio 0064101498621" u="1"/>
        <s v="Notificación de seguimiento  [  MA1803202003 ]      I         I         I    Estimado(a):                     Moisés Guzmán Arias    I         I    Le informamos que su ticket correspondiente a:    I                       I    Por este medio me permito comunicar con Ustedes a fin de pedir su amable apoyo para que el recurso RR-0059/2020  se retroceda al proceso de sustanciación (Deshacer el último paso realizado en donde se presenta al pleno)    I        I         I    Aplicación:                  SIGEMI    I    Tipo de Soporte:         REGRESO DE PASOS      I    Observaciones:                I         I    Su petición fue atendida    I         I         I                Favor de validar.    I         I    Estatus:                               Concluido.    I    " u="1"/>
        <s v="Ajuste de plazos en solicitudes enviadas" u="1"/>
        <s v="Buenas tardes José Manuel, tu petición fue atendida, favor de validar     I        I    Saludos     I        I    Marina Adame Velasco    I        I    Notificación de seguimiento  [  MA102505202009 ]      I        I    Aplicación:                  INFOMEX QUERÉTARO    I    Tipo de Soporte:         REPORTE       I    Estatus:                               Concluido.    I        I    " u="1"/>
        <s v="Pantalla consulta usuarios" u="1"/>
        <s v="Notificación de seguimiento  [  MA1305202002 ]      I         I         I    Estimado(a):                     PEDRO ESQUIVEL MARTÍNEZ    I         I    Le informamos que su ticket correspondiente a:    I                       I    Anexo el registro actualizado del certificado del Titular de la Unidad de Enlace del  “Comisión Ejecutiva de Atención a Víctimas” Lo Anterior a fin de que sus accesos sean habilitados en los otros sistemas que administra este Instituto (HCOM).  CAMBIO DE CERTIFICADO, en cuanto se reciba la atención en HCOM se realizará la actualización de los demás sistemas correspondientes.    I         I    Aplicación:                  HCOM      I    Tipo de Soporte:         CAMBIO DE CERTIFICADO      I    Observaciones:                I         I    Su petición fue atendida    I         I    " u="1"/>
        <s v="Notificación de seguimiento  [  MA2901202104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    I         I    Aplicación:                  INFOMEX  NUEVO LEÓN    I    Tipo de Soporte:         AJUSTE DE PLAZOS       I    Observaciones:                I         I    Su petición fue atendida    I         I    " u="1"/>
        <s v="Definición de script para catálogo de etiquetas" u="1"/>
        <s v="Se desarrollò la pàgina de Valores dentro del sitio de comite de etica, agregando la informaciòn compartida con base en el diseño compartido" u="1"/>
        <s v="respaldo de BD NUEVO LEÓN 25 DE MAYO DE 2021" u="1"/>
        <s v="Se elimina valor default al enviar solicitudes de informacion publica" u="1"/>
        <s v="Notificación de seguimiento  [  MA0303202004 ]      I         I         I    Estimado(a):                     Lizbeth Adriana Cabrera Ortega    I         I    Le informamos que su ticket correspondiente a:    I                       I    modificar el sujeto obligado que cargue manualmente con error.    I         I    Debe decir    I         I    Secretaría de Gobernación    I        I         I    Aplicación:                  SIGEMI    I    Tipo de Soporte:         Modificación del Sujeto Obligado y actualización de archivo      I    Observaciones:                I         I    Su petición fue atendida    I         I    " u="1"/>
        <s v="Notificación de seguimiento  [  MA2210202002 ]      I         I         I    Estimado(a):                     Alondra Jiménez Hernández    I         I    Le informamos que su ticket correspondiente a:    I                       I         I    Anexo el registro actualizado del certificado del nuevo Titular de la Unidad de Transparencia de API ENSENADA para que se habilite su acceso en la Herramienta de Comunicación.     I         I         I    Aplicación:                  HCOM    I    Tipo de Soporte:         CAMBIO DE TUT       I    Observaciones:                I         I    Su petición fue atendida    I         I    " u="1"/>
        <s v="Servicio para solicitar restablecer contraseñas, envío de correos" u="1"/>
        <s v="Se testan los datos y se sustituye el archivo de la solicitud con folio: 0002700187721 " u="1"/>
        <s v="Se cambia el tipo de solicitud del folio:1220000017221" u="1"/>
        <s v="Se aplica eliminación de última respuesta: 0673800033320." u="1"/>
        <s v="Revisión de elementos faltantes para la Integración de declaración de Intereses" u="1"/>
        <s v="Notificación de seguimiento  [  MA1802202010 ]      I         I         I    Estimado(a):                     Adriana Elizabeth Hernández García    I         I    Le informamos que su ticket correspondiente a:    I                       I    Por medio del presente te comento que al validar el paso denominado Registro de la Resolución Firmada relativo al recurso:     I        I    RRA 16014/19    I        I    la PNT se queda pasmada y NO APARECEN las ventanas donde se registran las fechas de firma de los comisionados; de tal manera que queda en blanco.      I    Al respecto, te solicito se realicen las gestiones necesarias a efecto de que se pueda validar el paso referido y así estar en condición de cargar las fechas y que pueda ser notificada la resolución.    I        I         I    Aplicación:                  SIGEMI    I    Tipo de Soporte:         Corrección de incidencia       I    " u="1"/>
        <s v="Se guarda archivo adjunto recibido de la respuesta del endpoint" u="1"/>
        <s v="    I    Notificación de seguimiento  [  MA2001202106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    I        I         I    Aplicación:                  INFOMEX NUEVO LEÓN    I    Tipo de Soporte:         AJUSTE DE PLAZOS       I    " u="1"/>
        <s v="Notificación de seguimiento  [  MA0503202003 ]      I         I         I    Estimado(a):         Luis Javier Mendoza Rueda                I        I         I    Le informamos que su ticket correspondiente a:    I                       I    Se gen ero el Ticket #PNT003427    I         I    Estimados    I        I    Solicito su apoyo para realizar cambio de sujeto obligado en el INFOCDMX/RR.IP.1009/2020, con número de solicitud 5003000188619:     I        I        I    Error: Alcaldía Xochimilco    I        I    Corrección: CONGRESO DE LA CIUDAD DE MÉXICO.    I         I    Aplicación:                  SIGEMI    I    Tipo de Soporte:         CAMBIO DE SUJETO OBLIGADO      I    " u="1"/>
        <s v="Incidencia carga elementor" u="1"/>
        <s v="Reunion asesoria Flujos EIPDP" u="1"/>
        <s v="SUSTITUCIÓN DE ADJUNTO EN SOLICITUD DE INFORMACION CON FOLIO 2510100011721" u="1"/>
        <s v="Notificación de seguimiento  [  MA1303202005 ]      I         I         I    Estimado(a):                     Tiara Gethsemanni Miranda Fuentes    I         I    Le informamos que su ticket correspondiente a:    I                       I    Al momento de dar trámite a al Recurso de Revisión que se enlista a continuación, en el sistema SIGEMI-SICOM en la PNT, este me aparece activo varias veces, se encuentra repetido el siguiente paso “Registrar información de la sesión del pleno, por lo que solicito de la manera más atenta, eliminar uno de estos pasos y dejar solo una vez los siguientes pasos “Registrar información de la sesión del pleno” y dejar el paso de “Notificar por otro Medio”. Sin más por el momento, quedo en espera de tus comentarios.    I         I    RRA 01842/20    I        I         I    Aplicación:                  SIGEMI    I    Tipo de Soporte:         Corrección de incidencia       I    Observaciones:                I         I    Su petición fue atendida    I         I    " u="1"/>
        <s v="Definición de modelo 1" u="1"/>
        <s v="Notificación de seguimiento  [  MA2808202001 ]      I         I    Estimado(a):                     Guadalupe Oropeza Torres    I         I    Le informamos que su ticket correspondiente a:    I                       I    En relación con el recurso de revisión RRD 01058/20 (IMSS), se observó que la recurrente no señaló algún medio para oír y recibir notificaciones, por lo que con fundamento en el artículo 98, fracción IV, de la Ley General de Protección de Datos Personales en Posesión de Sujetos Obligados, las notificaciones del presente asunto se realizarán por los estrados del Instituto Nacional de Transparencia, Acceso a la Información y Protección de Datos Personales.    I        I    En ese sentido, solicito de su invaluable apoyo para que en la PNT se cambie el medio para recibir notificaciones de la parte recurrente a los estrados de este Instituto, a efecto de continuar con la sustanciación del referido recurso de revisión.    I         I    Aplicación:                  SIGEMI    I    Tipo de Soporte:         CAMBIO DE MEDIO       I    Observaciones:                I         I    Su petición fue atendida    I    " u="1"/>
        <s v="Definición de modelo 2" u="1"/>
        <s v="Definición de modelo 3" u="1"/>
        <s v="Definición de modelo 4" u="1"/>
        <s v="Creación de los servicios del módulo de usuarios" u="1"/>
        <s v="Actualización de datos del usuario del CAS" u="1"/>
        <s v="Definición de modelo 5" u="1"/>
        <s v="Se aplica testado de datos  y se sustituyo el archivo al folio:  1816400062421" u="1"/>
        <s v="Cambio de paquete del proyecto" u="1"/>
        <s v="Definición de modelo 6" u="1"/>
        <s v="Buenas tardes Horacio, te envío los datos localizados en infomex relacionados con la tabla de campos que envió Gil, la mayoría no se localizaron en la base de datos que utilice de referencia, es decir puede ser que en algún infomex estatal exista alguno de los datos que no se localizaron, esto es porque el proceso de Recurso de Revisión puede variar de un infomex a otro, adjunto también script para la consulta de dichos campos.     I        I    Cualquier duda o comentarios estoy a sus ordenes    I        I    Saludos     I        I    Marina Adame Velasco    I    " u="1"/>
        <s v="Notificación de seguimiento  [  MA2608202105 ]    I        I    Estimado(a):                Berenice Hernández Sumano    I        I        I         I     Le informamos que su ticket correspondiente a:    I                       I    verifique la descarga de los folios que me apoyaste en modificar los nombres de los archivos adjuntos y pude verlos y bajarlos sin problemas. Sin embargo el sujeto obligado me acaba de reportar que ya no puede ver los archivos, realice nuevamente la revisión y efectivamente el sistema envia un error al intentar abrir o descargar el archivo.    I         I    Aplicación:                  INFOMEX OAXACA    I    Tipo de Soporte:         Corrección de incidencia      I    Observaciones:                I         I    Su petición fue atendida    I         I    " u="1"/>
        <s v="Estimado Abraham, de la revisión de los datos del formato para el cambio de Titular, el que se detalla como nuevo titular, es el que está actualmente registrado en HCOM, LEO RENÉ  MARTÍNEZ RAMÍREZ, por lo que se realizó únicamente cambio de datos de acceso ( certificado y contraseña)    I        I    Favor de validar     I        I        I        I    Notificación de seguimiento  [  MA2903202202 ]    I        I    Aplicación:                  HCOM    I    Tipo de Soporte:         ACTUALIZACIÓN DE CONTRASEÑA Y CERTIFICADO       I    " u="1"/>
        <s v="Notificación de seguimiento  [  MA2603202104 ]      I         I         I    Estimado(a):             Alondra Jiménez Hernández            I          I    Le informamos que su ticket correspondiente a:    I                       I    Debido al cambio de Titular de la Unidad de Transparencia de Exportadora de Sal, S.A. de C.V. (ESSA) anexo los registros actualizados de los certificados para que sean actualizados y se habilite su acceso en la Herramienta de Comunicación de cada uno.     I         I    Aplicación:                  HCOM    I    Tipo de Soporte:         CAMBIO TUT   (2)    I    Observaciones:                I         I    Su petición fue atendida    I         I    " u="1"/>
        <s v="Creación de componente/servicio en front end para envío de archivos mul tipart al backend." u="1"/>
        <s v="Se  testan los datos del folio: 0000700171321" u="1"/>
        <s v="Desarrollo del flujo para el seguimiento de una queja, 9 respuestas" u="1"/>
        <s v="Se  testan los datos del folio:  0063700151221" u="1"/>
        <s v="Notificación de seguimiento  [  MA1810202101 ]    I        I    Estimado(a):                Pedro Esquivel Martínez    I        I         I     Le informamos que su ticket correspondiente a:    I                       I    por este medio Anexo el registro actualizado del certificado del Titular de la Unidad de Enlace de la “Centro Nacional de Metrología”.  Lo Anterior a fin de que sus accesos sean habilitados en los otros sistemas que administra este Instituto (HCOM).  CAMBIO DE  CERTIFICADO, en cuanto se reciba la atención en HCOM se realizará la actualización de los demás sistemas correspondientes.    I         I    Aplicación:                  HCOM    I    Tipo de Soporte:         CAMBIO DE CERTIFICADO       I    Observaciones:                I         I    Su petición fue atendida    I         I    " u="1"/>
        <s v="Notificación de seguimiento  [  MA3003202202 ]    I        I    Estimado(a):                Abraham Obed Gallardo González     I        I        I     Le informamos que su ticket correspondiente a:    I                       I    Por este medio me permito anexar el registro actualizado del certificado del Titular de la Unidad de Enlace del Instituto Nacional de Pesca.  Lo Anterior a fin de que sus accesos sean habilitados en los otros sistemas que administra este Instituto (HCOM).  CAMBIO DE TITULAR, en cuanto se reciba la atención en HCOM se realizará la actualización de los demás sistemas correspondientes.    I         I    Aplicación:                  HCOM    I    Tipo de Soporte:         CAMBIO DE TUT       I    Observaciones:                I         I    Su petición fue atendida    I         I    " u="1"/>
        <s v="Notificación de seguimiento  [  MA2207202005 ]      I         I         I    Estimado(a):                     Alondra Jiménez Hernández    I         I    Le informamos que su ticket correspondiente a:    I                       I    Debido al cambio de Titular de la Unidad de Transparencia de Exportadora de Sal, S.A. de C.V. (ESSA) anexo los registros actualizados de los certificados para que sean actualizados y se habilite su acceso en la Herramienta de Comunicación de cada uno. Al respecto comento que la Unidad de Transparencia está operando con los certificados genéricos que creo el INAI, y debido al cambio de responsable de transparencia se solicita su actualización.    I        I         I    Aplicación:                  HCOM    I    Tipo de Soporte:         CAMBIO DE TUT ( 2 )      I    Observaciones:                I         I    Su petición fue atendida    I         I    " u="1"/>
        <s v="Se inició con la recuperación de información del estado de Zacatecas, esto mediante el programa generado por Luis Fernando, con lo cual se pretende recuperar más de 26,064 Adjuntos.    I    Continúa el apoyo en consultas y validación de la información generada con las bases de datos en custodia (casos de diversos estados) en lo referente principalmente a documentación adjunta.    I    A petición de Horacio y Antonio, se realizó un respaldo particionado de la base de datos de Hidalgo y le fue enviado a Luis Fernando.    I    " u="1"/>
        <s v="Se aplica testado de datos al folio: 0064103290220" u="1"/>
        <s v="Se testan los datos  30 solicitudes registradas para el Sujeto Obligado IMSS" u="1"/>
        <s v="Notificación de seguimiento  [  MA1203202001 ]      I         I         I    Estimado(a):                     Rosalinda Coria Mosqueda    I         I    Le informamos que su ticket correspondiente a:    I                       I        I    Nuevamente solicito su apoyo, en relación al Recurso RRD 0349/20 en contra de CONADIC, en virtud de tratarse de una Prevención se requiere regresar el recurso a la actividad de prevenir/admitir, para poder realizarlo con el correo que fue actualizado.    I        I         I    Aplicación:                  SIGEMI    I    Tipo de Soporte:         REGRESO DE PASOS      I    Observaciones:                I         I    Su petición fue atendida    I         I    " u="1"/>
        <s v="Notificación de seguimiento  [  MA2906202009 ]      I         I         I    Estimado(a):                     Omar Antonio Méndez Mendoza    I         I    Le informamos que su ticket correspondiente a:    I                       I    Derivado del término de vigencia de los certificados para el acceso de HCOM de la Suprema Corte de Justicia de la Nación y de los fondos y fideicomisos a su cargo, me permito solicitar su valioso apoyo a efecto de que se habiliten los certificados renovados    I         I    Aplicación:                  HCOM    I    Tipo de Soporte:         CAMBIO DE CERTIFICADO ( 7 )      I    Observaciones:                I         I    Su petición fue atendida    I         I    " u="1"/>
        <s v="    I    Notificación de seguimiento  [  MA1703202010 ]      I         I         I    Estimado(a):                     Laura Mónica Segovia Tellez    I         I    Le informamos que su ticket correspondiente a:    I                       I    que sea cambiado el correo electrónico del particular con el recurso de revisión RRD 00506/20 ya que en su archivo adjunto especifica otro correo.    I         I    Aplicación:                  SIGEMI    I    Tipo de Soporte:         CAMBIO DE CORREO       I    Observaciones:                I         I    Su petición fue atendida    I        I    " u="1"/>
        <s v="Funcionalidad sector glosario" u="1"/>
        <s v="Buenas tardes Guillermo, tu petición fue atendida, favor de validar     I        I    Saludos     I        I    Marina Adame Velasco    I        I    Notificación de seguimiento  [  MA0408202004 ]      I        I    Aplicación:                  INFOMEX BCN     I    Tipo de Soporte:         REPORTES       I    Estatus:                               Concluido.    I    " u="1"/>
        <s v="Notificación de seguimiento  [  MA1702202002 ]      I         I         I    Estimado(a):                     Moisés Guzmán Arias    I         I    Le informamos que su ticket correspondiente a:    I                       I    Por este medio me permito solicitar de tu apoyo a fin de que se modifique la fecha de cumplimiento a petición e instrucción de la Coordinación Jurídica por ampliación para el cumplimiento del recurso    I        I    RR-643/2019 Nueva fecha para cumplimiento 17  de febrero de 2020    I        I         I    Aplicación:                  SIGEMI    I    Tipo de Soporte:         Actualización de fecha      I    Observaciones:                I         I    Su petición fue atendida    I        I    " u="1"/>
        <s v="Notificación de seguimiento  [  MA0506202005 ]      I         I         I    Estimado(a):                     Sergio Rafael Cortés Alpizar    I         I    Le informamos que su ticket correspondiente a:    I                       I    Por medio del presente, solicito el regreso de actividad a &quot;Preparación del Proyecto de Resolución&quot; y se elimine el cierre de instrucción para volverlo a mandar del siguiente recurso de revisión:    I         I    RRA 1656/20 vs Secretaría de Comunicaciones y Transportes    I         I    Lo anterior se debe a que se anexo un archivo mal y se enviara de nuevo el cierre correcto.    I         I    Aplicación:                  SIGEMI    I    Tipo de Soporte:         Eliminar cierre  de instrucción    I    Observaciones:                I         I    Su petición fue atendida    I         I    " u="1"/>
        <s v="Notificación de seguimiento  [  MA0705202001 ]      I         I         I    Estimado(a):                     Pedro Esquivel Martínez    I         I    Le informamos que su ticket correspondiente a:    I                       I    Anexo el registro actualizado del certificado del Titular de la Unidad de Enlace del  “Instituto Nacional de Investigaciones Nucleares”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CAMBIO DE CERTIFICADO       I    Observaciones:                I         I    Su petición fue atendida    I         I    " u="1"/>
        <s v="Usuarios registrados" u="1"/>
        <s v="Ajuste de sesión con google en ios" u="1"/>
        <s v="Implementación de la especificación del archivo de acta de una Resolución" u="1"/>
        <s v="Ambientación para campus Civil versión 3.2" u="1"/>
        <s v="Notificación de seguimiento  [  MA0906202004 ]      I         I         I    Estimado(a):                     Adriana Elizabeth Hernández García    I         I    Le informamos que su ticket correspondiente a:    I                       I    Por medio del presente te solicito, si para ello no existe inconveniente, el retroceso de paso en el expediente relacionado con la resolución RRA 00522/20 al paso denominado “Registro de la Resolución Firmada” en la (PNT), ello a efecto de cargar el archivo correcto.      I        I         I    Aplicación:                  SIGEMI    I    Tipo de Soporte:         REGRESO DE PASOS      I    Observaciones:                I         I    Su petición fue atendida    I         I    " u="1"/>
        <s v="Se aplica testado de datos al folio:0064103316020" u="1"/>
        <s v="Buenas tardes Memo, tu petición fue atendida, favor de validar     I        I    Saludos     I        I    Marina Adame Velasco    I        I    Notificación de seguimiento  [  MA0203202005 ]  debe decir MA0203202013    I        I    Aplicación:                  INFOMEX BCN    I    Tipo de Soporte:         REPORTE DE SOLICITUDES       I    Estatus:                               Concluido.    I        I    " u="1"/>
        <s v="Se  testan los datos del folio: 0064101668721" u="1"/>
        <s v="Se aplica el testado de datos de la solicitud: 1816400029020" u="1"/>
        <s v="Optimización de proceso de limpieza de información estructurada" u="1"/>
        <s v="Notificación de seguimiento [ MA2701202010 ]     I          I          I     Estimado(a): Lizbeth Adriana Cabrera Ortega    I          I     Le informamos que su ticket correspondiente a:    I          I     No PUEDO VISUALIZAR EL RDA 0791/12-TER DE LA COMISIONADA BLIC EN LA BANDEJA DE ENVÍO ENTRADA Y ACUERDO     I          I     Aplicación: SIGEMI    I     Tipo de Soporte: REGRESO DE PASOS     I     Observaciones:     I          I     Su petición fue atendida" u="1"/>
        <s v="Buenas tardes Hugo, anexo instrucciones para agregar el aviso, favor de validar     I        I    Saludos     I        I    Marina Adame Velasco    I        I    Notificación de seguimiento  [  MA2303202002 ]      I        I    Aplicación:                  INFOMEX CHIAPAS     I    Tipo de Soporte:         Asesoria        I    Estatus:                               Concluido.    I        I        I    " u="1"/>
        <s v="Se dio de alta los siguientes usuarios:    I        I    Eliseo Gutiérrez = EGUTIERREZ    I    Pamela Cruz  = PCRUZ" u="1"/>
        <s v="Se aplica testado de datos al folio:  0064100163621" u="1"/>
        <s v="Se cambia el tipo de solicitud del folio: 0001200039321" u="1"/>
        <s v="Se  testan los datos del folio: 0064102415121" u="1"/>
        <s v="Evaluación y diseño de normalización de texto al español" u="1"/>
        <s v="Se  testan los datos del folio: 1201100018121" u="1"/>
        <s v="Componente catalogo integrante (scss) (Administrador) " u="1"/>
        <s v="Pruebas unitarias " u="1"/>
        <s v="Se  testan los datos de la solicitud con folio 0064100855121    I         I    " u="1"/>
        <s v="Se  testan los datos del folio: 0064102022621" u="1"/>
        <s v="    I    Notificación de seguimiento  [  MA2110202001 ]      I         I         I    Estimado(a):                     Laura Mónica Segovia Tellez    I         I    Le informamos que su ticket correspondiente a:    I                       I    Derivado de la solicitud del particular solicito su amable apoyo a fin de que sea cambiado el medio de notificación al correo electrónico siguiente  cjavier757@yahoo.com del recurso RRD 01286/20.    I        I         I    Aplicación:                  SIGEMI    I    Tipo de Soporte:         CAMBIO DE MEDIO       I    Observaciones:                I         I    Su petición fue atendida    I        I    " u="1"/>
        <s v="Se aplica eliminación de última respuesta: 0001200028720" u="1"/>
        <s v="Se aplica eliminación de ultima respuesta al folio: 0000400388319." u="1"/>
        <s v="Notificación de seguimiento [ MA2401202004 ]     I          I          I     Estimado(a): Alondra Jiménez Hernández    I          I     Le informamos que su ticket correspondiente a:    I          I     Anexo el registro actualizado del certificado del nuevo Titular de la Unidad de Transparencia del Centro de Investigación en Materiales Avanzados, S.C., para que se habilite su acceso en la Herramienta de Comunicación.     I         I         I          I     Aplicación: HCOM    I     Tipo de Soporte: Actualización de certificado     I     Observaciones:     I          I     Su petición fue atendida" u="1"/>
        <s v="Se  testan los datos del folio: 0064101515721" u="1"/>
        <s v="Se aplica testado de datos al folio:  0064103183820" u="1"/>
        <s v="Se elmina la respuesta del folio:  0001200126321" u="1"/>
        <s v="Notificación de seguimiento  [  MA0203202103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del 1º al 26 de marzo 2021 y contando también el periodo vacacional de semana santa; debiéndose considerar los días comprendidos dentro de dicho periodo como inhábiles para evitar la propagación del coronavirus COVID-19.    I         I    Aplicación:                  INFOMEX NUEVO LEÓN    I    Tipo de Soporte:         AJUSTE DE PLAZOS        I    " u="1"/>
        <s v="Notificación de seguimiento  [  MA0303202103 ]      I         I         I    Estimado(a):                     ALEJANDRA TEJEDA    I         I         I    Le informamos que su ticket correspondiente a:    I                       I    El presente correo es para pedir su amable apoyo para el ajuste de términos de los folios debido al Acuerdo que enviaron los siguientes Sujetos Obligados a la COTAI por el cual se amplían la fecha del 1º al 26 de marzo 2021 y contando también el periodo vacacional de semana santa; debiéndose considerar los días comprendidos dentro de dicho periodo como inhábiles para evitar la propagación del coronavirus COVID-19.    I        I         I    Aplicación:                  INFOMEX NUEVO LEÓN    I    Tipo de Soporte:         AJUSTE DE PLAZOS        I    " u="1"/>
        <s v="Definición de infraestructura para desarrollo " u="1"/>
        <s v="Se aplica el testado de datos de la solicitud: 1117100227819" u="1"/>
        <s v="Notificación de seguimiento  [  MA0408202009 ]      I         I         I    Estimado(a):                     Laura Mónica Segovia Téllez    I         I    Le informamos que su ticket correspondiente a:    I                       I    Anteponiendo un saludo,  espero de que estén muy bien ustedes y sus familias con muchas salud, les solicito su amable apoyo a fin de que sean regresado los pasos en la Plataforma Nacional de Transparencia de los Recursos RRA 07467/20 y RRA 7762/20 al paso de admitir-prevenir-desechar.     I        I    Cabe mencionar que las partes tienen conocimiento de que será notificado el acuerdo de admisión cuando se reanuden los plazos de estos sujetos obligados.    I        I         I    Aplicación:                  SIGEMI    I    Tipo de Soporte:         REGRESO DE PASOS  ( 2 )    I    Observaciones:                I         I    Su petición fue atendida    I         I    " u="1"/>
        <s v="Notificación de seguimiento  [  MA2210202005 ]      I         I         I    Estimado(a):                     Alondra Jiménez Hernández    I         I    Le informamos que su ticket correspondiente a:    I                       I    Debido al cambio de Titular de la Unidad de Transparencia de Exportadora de Sal, S.A. de C.V. (ESSA) anexo los registros actualizados de los certificados para que sean actualizados y se habilite su acceso en la Herramienta de Comunicación de cada uno.     I        I    Me refiero a los siguientes sujetos obligados:    I        I    CLAVE DEPENDENCIA/ENTIDAD    I    10101 Exportadora de Sal, S.A. de C.V.    I    10202 Fideicomiso Plan de Pensiones y Jubilaciones Essa    I         I    Aplicación:                  HCOM      I    Tipo de Soporte:         CAMBIO DE TUT ( 2)       I    Observaciones:                I         I    Su petición fue atendida    I         I    " u="1"/>
        <s v="Notificación de seguimiento  [  MA3003202201 ]    I        I    Estimado(a):                Abraham Obed Gallardo González     I        I        I     Le informamos que su ticket correspondiente a:    I                       I    Con el gusto de saludarles y en espera de que todo marche bien, por este medio Anexo el registro actualizado del certificado del Titular de la Unidad de Enlace del sujeto obligado denominado Seguridad Alimentaria Mexicana.      I        I    Lo Anterior, a fin de que sus accesos sean habilitados en los sistemas que administra este Instituto (HCOM).  CAMBIO DE TITULAR. En cuanto se reciba la atención en HCOM se realizará la actualización de los demás sistemas correspondientes.    I         I    Aplicación:                  HCOM    I    Tipo de Soporte:         CAMBIO DE TUT       I    Observaciones:                I         I    Su petición fue atendida    I         I    " u="1"/>
        <s v="Automatización del proceso de generación de registros Inserts del Excel (SISAI_catalogos_TareaXEdos.xlsx)     I    Validación del contenido proporcionado en el EXCEL vs lo contenido en la Base de Datos.    I    Al no haber recibido observaciones en la entrega del pasado 26 de febrero, Para control general se cierra este ticket." u="1"/>
        <s v="SUSTITUCIÓN TEXTO Y ADJUNTO EN SOLICITUD DE INFORMACION 0064100430021" u="1"/>
        <s v="Se dio de alta los siguientes usuarios:    I        I    Mario Torres Contreras = MTORRES    I    Miguel Novoa Gómez  = MNOVOA    I    Ricardo Torres Vargas = RTORRES" u="1"/>
        <s v="Notificación de seguimiento  [  MA1310202102 ]    I        I    Estimado(a):                Edgar Michel Loaeza Martínez    I        I         I     Le informamos que su ticket correspondiente a:    I                       I    Por medio del presente solicito su valioso apoyo a efecto de realizar el cambio de Titular de la Unidad de Transparencia de Instituto Politécnico Nacional.    I         I    Para tal efecto, anexo al presente el certificado y nombramiento, lo anterior, a fin de que sus accesos sean habilitados en los sistemas que administra este Instituto (INFOMEX y HCOM).      I         I    Aplicación:                  HCOM    I    Tipo de Soporte:         RENOVACION DE CERTIFICADO       I    Observaciones:                I         I    Su petición fue atendida    I         I    " u="1"/>
        <s v="Actualizacion consultas " u="1"/>
        <s v="Resultados del sector seleccionado " u="1"/>
        <s v="Validación de OT entregada por ND" u="1"/>
        <s v=" En el módulo de administración, agregar la opción de ocultar proyectos, tal cual se hace con las resoluciones " u="1"/>
        <s v="Se consultan datos de la solicitud 1215100219121" u="1"/>
        <s v="Se pasa query JPA  a query nativo para poder hacer Joins" u="1"/>
        <s v="Mejoras en Líneas Estrategicas en Template y funcionalidad" u="1"/>
        <s v="seccion 27 UT" u="1"/>
        <s v="Optimización de script de etiquetado automatizado" u="1"/>
        <s v="Creación de cuenta y configuración permisos a Guadalupe Lobera" u="1"/>
        <s v="Notificación de seguimiento  [  MA0712202101 ]    I        I    Estimado(a):                Pedro Esquivel Martínez    I        I         I     Le informamos que su ticket correspondiente a:    I                       I     por este medio Anexo el registro actualizado del certificado del Titular de la Unidad de Enlace de la “Procuraduría de la Defensa del Contribuyente”.  Lo Anterior a fin de que sus accesos sean habilitados en los otros sistemas que administra este Instituto (HCOM).  CAMBIO DE  TITULAR, en cuanto se reciba la atención en HCOM se realizará la actualización de los demás sistemas correspondientes.    I         I    Aplicación:                  HCOM    I    Tipo de Soporte:         CAMBIO DE TUT       I    Observaciones:                I         I    Su petición fue atendida    I         I    " u="1"/>
        <s v="Desarrollo de pantalla Mis Quejas, programación de funcionalidad de pantalla de las segundas reglas de negocio" u="1"/>
        <s v="Notificación de seguimiento [ MA2701202003 ]     I          I          I     Estimado(a): Alondra Jiménez Hernández    I          I     Le informamos que su ticket correspondiente a:    I          I     Debido al cambio de Titular de la Unidad de Transparencia del Centro de Investigación en Materiales Avanzados, S.C. (CIMAV) anexo el registro actualizado del certificado del siguiente sujeto indirecto que coordina para que sea actualizado y se habilite su acceso en la Herramienta de Comunicación:    I         I     CLAVE DEPENDENCIA/ENTIDAD    I     11089 Fideicomiso Centro de Investigación en Materiales Avanzados, S.C. (CIMAV)    I         I          I     Aplicación: HCOM     I     Tipo de Soporte: CAMBIO DE TUT" u="1"/>
        <s v="Se aplica testado de datos al folio:  0064100263021" u="1"/>
        <s v="Se consultan datos de la solicitud 0064101041721" u="1"/>
        <s v="Implementación obtener token en clases commands portlet Federado" u="1"/>
        <s v="Se aplica testado de datos al folio:  0002700353220" u="1"/>
        <s v="Se aplica testado de datos al folio: 1816400077020." u="1"/>
        <s v="Capacitación de temas de Administración del Sistema" u="1"/>
        <s v="    I    Notificación de seguimiento  [  MA0608202008 ]      I         I         I    Estimado(a):                     Rosalinda Coria Mosqueda    I         I    Le informamos que su ticket correspondiente a:    I                       I    regresar a la actividad de admitir/prevenir el recurso RRA 7765/20, toda vez que maque admisión y se trata de una PREVENCIÓN.    I         I    Aplicación:                  SIGEMI    I    Tipo de Soporte:         REGRESO DE PASOS      I    Observaciones:                I         I    Su petición fue atendida    I         I    " u="1"/>
        <s v="Se aplica eliminación de formato de pago: 0063700131320" u="1"/>
        <s v="Se le informó al equipo que ya esta esté 7mo procedimiento para que lo revisen y consuman desde el aplicación " u="1"/>
        <s v="Se agrega aviso para la dependencia: en informe Federal" u="1"/>
        <s v="Definición de herramienta óptima para reconocimiento de información disponible dentro de los archivos  descargables" u="1"/>
        <s v="Notificación de seguimiento  [  MA2906202006 ]      I         I         I    Estimado(a):                     Sergio Rafael Cortés Alpizar    I         I    Le informamos que su ticket correspondiente a:    I                       I    Buen día, por medio del presente solicito su apoyo para que se cambie el medio de notificación a domicilio físico y se anexe el mismo en la Plataforma Nacional de Transparencia del recurso de revisión:    I         I    RRA 4356/20 vs Administración Portuaria Integral de Mazatlán, S.A. de C.V.    I         I    Lo anterior se debe a que lo solicito en su recurso de revisión.    I         I         I    Aplicación:                  SIGEMI    I    Tipo de Soporte:         cambio de medio y domicilio      I    Observaciones:                I         I    Su petición fue atendida    I         I    " u="1"/>
        <s v="Se solicita habilitar a dos dependencias con claves: 6750,11140" u="1"/>
        <s v="Notificación de seguimiento  [  MA1506202009 ]      I         I         I    Estimado(a):                     Adriana Elizabeth Hernández García    I         I    Le informamos que su ticket correspondiente a:    I                       I    Por medio del presente te comento que al validar el paso denominado Registro de la Resolución Firmada relativo al recurso:     I        I    RRA 02511/20    I    RRA 02561/20    I    RRD 00355/20    I        I    la PNT se queda pasmada y NO APARECEN las ventanas donde se registran las fechas de firma de los comisionados; de tal manera que queda en blanco.      I    Al respecto, te solicito se realicen las gestiones necesarias a efecto de que se pueda validar el paso referido y estar en condición de continuar con el proceso de notificación de la resolución.    I        I        I         I    Aplicación:                  SIGEMI    I    Tipo de Soporte:         Corregir incidencia ( 3 )      I    Observaciones:                I         I    Su petición fue atendida    I         I    " u="1"/>
        <s v="Notificación de seguimiento  [  MA2603202109 ]      I         I         I    Estimado(a):                     ALEJANDRA TEJEDA     I         I         I    Le informamos que su ticket correspondiente a:    I                       I    Me comenta el Ayuntamiento de Mexicali que al querer general el sub folio a la unidad administrativa encargada de dar respuesta le arroja el mensaje que se observa en las imágenes adjuntas al presente.    I         I    Aplicación:                  INFOMEX BCN    I    Tipo de Soporte:         REVISIÓN DE INCIDENCIA        I    Observaciones:                I         I    Su petición fue atendida, te comento que se monto un ambiente de pruebas para realizar la revisión y no se replico el error, por lo que mi recomendación es que se revise la configuración de fecha del equipo de la usuaria y se eliminen las cookies de su navegador, quedo atenta a sus comentarios     I    " u="1"/>
        <s v="    I    Buenas tardes Guillermo, tu petición fue atendida, favor de validar     I        I    Saludos     I        I    Marina Adame Velasco    I        I    Notificación de seguimiento  [  MA0204202003 ]      I        I    Aplicación:                  INFOMEX BCN    I    Tipo de Soporte:         Corrección de PLAZO       I    Estatus:                               Concluido.    I        I          I    " u="1"/>
        <s v="Cambios en cuestionario interactivo" u="1"/>
        <s v="Se agrega una validacion de interaccion de app-usuario, campos de estadisticos se mantienen deshabilitados hasta que se marque el check de consentimiento" u="1"/>
        <s v="Buenas tardes Berenice, tu petición fue atendida, favor de validar     I        I    Saludos     I        I    Marina Adame Velasco    I        I    Notificación de seguimiento  [  MA1106202011 ]      I        I    Aplicación:                  INFOMEX OAXACA     I    Tipo de Soporte:         AJUSTE DE PLAZOS     I    Estatus:                               Concluido.    I        I    " u="1"/>
        <s v="Buenas tardes Berenice, tu petición fue atendida, favor de validar     I        I    Saludos     I        I    Marina Adame Velasco    I        I    Notificación de seguimiento  [  MA2406202007 ]      I        I    Aplicación:                  INFOMEX OAXACA    I    Tipo de Soporte:         AJUSTE DE PLAZO       I    Estatus:                               Concluido.    I        I    " u="1"/>
        <s v="Script BD para eliminar declaraciones Victor Ponce" u="1"/>
        <s v="Se soluciona una null exception para notificaciones" u="1"/>
        <s v="Se  testan los datos de la solicitud con folio 0001200238321    I    " u="1"/>
        <s v="Se cambia el tipo de solicitud del folio: 1407500003021" u="1"/>
        <s v="Se elimina la respuesta del folio:  0002700174821" u="1"/>
        <s v="Notificación de seguimiento  [  MA1407202203 ]    I        I        I    Estimado(a):               David Mondragón Centeno    I        I     Le informamos que su ticket correspondiente a:    I        I    ACTUALIZACIÓN DEL CERTIFICADO DE LA HCOM DEL SUJETO OBLIGADO 60123 (SITIMTA) “SINDICATO DE TRABAJADORES DEL INSTITUTO MEXICANO DE TECNOLOGÍA DEL AGUA”, EN VIRTUD DE QUE YA SE ENCUENTRA VENCIDO, POR LO QUE MUCHO AGRADECERÉ LA PRONTA REMISIÓN DE DICHO CERTIFICADO ACTUALIZADO.      I        I    Aplicación:                  HCOM    I    Tipo de Soporte:        GENERACIÓN DE CERTIFICADO Y ACTUALIZACIÓN EN HCOM      I    Observaciones:                I         I    Su petición fue atendida, se cambió la contraseña, ya que no permitía la actualización en HCOM, quedando la siguiente hcom2022, sin embargo si el usuario requiere el anterior, favor de enviar el dato para realizar el cambio. Se anexa el certificado actualizado." u="1"/>
        <s v="Se elimina la respuesta del folio: 0063700110321" u="1"/>
        <s v="Ambientación para campus Público versión 2.7" u="1"/>
        <s v="Notificación de seguimiento [ MA08012020-04 ]     I          I          I     Estimado(a): Tiara Gethsemanni Miranda Fuentes    I          I     Le informamos que su ticket correspondiente a:    I          I     Por medio de presente, solicito de la manera más atenta, su apoyo para retroceder los pasos en el sistema SIGEMI-SICOM en la PNT del asunto que se enlista a continuación; hasta la actividad “Registrar información de la sesión del pleno”; sin más por el momento, quedo en espera de sus comentarios.    I          I          I     • RRA 13539/19    I          I          I     Aplicación: SIGEMI    I     Tipo de Soporte: REGRESO DE PASOS     I     Observaciones:     I          I     Su petición fue atendida" u="1"/>
        <s v="    I    Notificación de seguimiento  [  MA2605202007 ]      I         I         I    Estimado(a):                     Lizbeth Adriana Cabrera Ortega    I         I    Le informamos que su ticket correspondiente a:    I                       I    Actualización de archivo con fecha correcta, del recurso RRA 4648/20 y debe ser 22 de mayo    I         I    Aplicación:                  SIGEMI    I    Tipo de Soporte:         Actualización de archivo      I    Observaciones:                I         I    Su petición fue atendida    I         I    " u="1"/>
        <s v="Se aplica eliminación de formato de pago: 0000500089321" u="1"/>
        <s v="    I    Notificación de seguimiento  [  MA2605202010 ]      I         I         I    Estimado(a):                     Alondra Jiménez Hernández    I         I    Le informamos que su ticket correspondiente a:    I                       I        I    Anexo el registro actualizado del certificado del nuevo Titular de la Unidad de Transparencia de IFT para que se habilite su acceso en la Herramienta de Comunicación.     I        I         I    Aplicación:                  HCOM    I    Tipo de Soporte:         CAMBIO DE TUT       I    Observaciones:                I         I    Su petición fue atendida    I         I    " u="1"/>
        <s v="Se cambia el tipo de solicitud del folio: 1857200064021" u="1"/>
        <s v="Notificación de seguimiento  [  MA0411202201 ]    I        I    Estimado(a):                Abraham Obed Gallardo González    I        I        I     Le informamos que su ticket correspondiente a:    I        I    actualizar en el sistema HCOM el certificado de se adjunta con base en la siguiente información:    I        I    Sujeto Obligado: INMEGEN    I    Nombre del TUT: Carlos Calderón Hernández    I    Correo electrónico: ccalderon@inmegen.gob.mx    I        I    Aplicación:                 HCOM    I    Tipo de Soporte        CAMBIO DE TUT     I    " u="1"/>
        <s v="Se aplica eliminación de última respuesta: 12000000820." u="1"/>
        <s v="Notificación de seguimiento  [  MA2306202104 ]    I        I        I    Estimado(a):                Pedro Esquivel Martínez    I        I         I     Le informamos que su ticket correspondiente a:    I                       I     por este medio Anexo los archivos y el registro actualizado del certificado del Titular de la Unidad de Enlace de la “Lotería Nacional para la Asistencia Pública (en proceso de desincorporación por fusión)”.  Lo Anterior a fin de que sus accesos sean habilitados en los otros sistemas que administra este Instituto (HCOM).  CAMBIO DE  TITULAR, en cuanto se reciba la atención en HCOM se realizará la actualización de los demás sistemas correspondientes.    I        I         I    Aplicación:                  HCOM    I    Tipo de Soporte:         CAMBIO DE TUT       I    Observaciones:                I         I    Su petición fue atendida    I         I    " u="1"/>
        <s v="Ambientación para campus Civil versión 2.1" u="1"/>
        <s v="Se  testan los datos del folio:  1816400108621" u="1"/>
        <s v="Creación ambiente local" u="1"/>
        <s v="Buenas tardes Berenice, tu petición fue atendida, favor de validar     I        I    Saludos     I        I    Marina Adame Velasco    I        I    Notificación de seguimiento  [  MA0104202001 ]      I        I    Aplicación:                  INFOMEX OAXACA    I    Tipo de Soporte:         Corrección de PLAZOS       I    Estatus:                               Concluido.    I    " u="1"/>
        <s v="Se  testan los datos del folio: 1816400104221 " u="1"/>
        <s v="Entrenamiento con XGBoost" u="1"/>
        <s v="Se  orienta al titular de Enlace respecto a los plazos." u="1"/>
        <s v="Notificación de seguimiento  [  MA2307202007 ]      I         I         I    Estimado(a):                     Lizbeth Adriana Cabrera Ortega    I         I    Le informamos que su ticket correspondiente a:    I                       I    Al respecto y en relación con el cumplimiento del punto de acuerdo OCTAVO, te hago llegar los acuerdos de turno de los recursos de revisión en materia de acceso interpuestos en este periodo de contingencia en contra de la respuesta brindada por los Sujetos Obligados con Actividades No Esenciales, mismos que ya contienen modificada la fecha al día 3 DE AGOSTO.    I         I    No omito precisar la importancia de que en la Herramienta, se realicen todos los ajustes que resulten indispensables en cada uno de los expedientes electrónicos de tales recursos, ello para que aparezca la fecha instruida por el Pleno y pueda llevarse a cabo su inmediata sustanciación.    I         I    Adicional al presente correo, encontraras la lista de recursos MATRIX RRA que contiene la distinción de los recursos tanto de SO esenciales y no, ello para que sirva como referencia ya que coincide con los acuerdos que también remito.    I        I         I    Aplicación:                  SIGEMI    I    Tipo de Soporte:         Actualización de fechas y acuerdos de turno     I    Observaciones:                I         I    Su petición fue atendida    I    " u="1"/>
        <s v="Notificación de seguimiento  [  MA1610202006 ]      I        I         I        I         I        I    Estimado(a):                     Berenice Hernández Sumano    I        I         I        I    Le informamos que su ticket correspondiente a:    I        I                       I        I    Se requiere para los recursos con cumplimiento:    I    1. Modificar la fecha de notificación de la resolución con cumplimiento a la fecha de notificación de cumplimiento del cuadro 1.    I    2. Modificar la fecha de vencimiento de cumplimiento de los recursos a la fecha límite de cumplimiento del cuadro 1.    I    2. Modificar la fecha de estado de los recursos a la fecha de notificación del cumplimiento del cuadro 1.    I    3. Modificar la fecha de los documentos generados como acuses a la fecha señalada en el cuadro 3.    I        I    Se requiere para los recursos sin cumplimiento:    I    1. Modificar la fecha de notificación de la resolución a la fecha de notificación de resolución del cuadro 2.    I    2. Modificar la fecha de estado de los recursos a la fecha de notificación de la resolución del cuadro 2.    I    3. Modificar la fecha de los documentos generados como acuses a la fecha señalada en el cuadro 3.    I    ​    I        I         I        I    Aplicación:                  SIGEMI    I        I    Tipo de Soporte:         ACTUALIZACIÓN DE FECHAS Y ACUSES     I        I    Observaciones:                I        I         I        I    Su petición fue atendida    I        I         I        I         I        I         I        I                Favor de validar.    I        I         I        I    Estatus:                               Concluido.    I        I         I        I     " u="1"/>
        <s v="Definición de Sistema Operativo" u="1"/>
        <s v="Desarrollo componente dinamico compartido catalogo organos garante, sujetos obligados y unidades de transparencia" u="1"/>
        <s v="Desarrollo componente dinámico compartido catalogo órganos garante, sujetos obligados y unidades de transparencia" u="1"/>
        <s v="Se sustituye archivo adjunto  del folio:  1215100588620 " u="1"/>
        <s v="    I    Buenas tardes Martha, tu petición fue atendida, favor de validar     I        I    Saludos     I        I    Marina Adame Velasco    I        I    Notificación de seguimiento  [  MA1310202010 ]      I        I    Aplicación:                  INFOMEX NUEVO LEÓN    I    Tipo de Soporte:         AJUSTE DE PLAZOS        I    Estatus:                               Concluido.    I        I        I    " u="1"/>
        <s v="Buenas tardes José Manuel, me da gusto saludarte, te comento que lo que tienes que revisar es lo siguiente:    I        I    Que en la base de datos  el paso tenga referencia en la tabla PROCESOTIPOPASOPROPIEDAD    I        I        I    select * from procesotipopaso where nombre = 'Determina el tipo de respuesta'     I    and guidprocesotipo = ( select guidprocesotipo from procesotipo where activo = 1 and clave ='SI' and ultimaversion = 1 )    I        I        I    Con el resultado de la consulta anterior, tomar el guidprocesotipopaso para consultar lo siguiente:    I        I        I    select * from ProcesoTipoPasoPropiedad where guidprocesotipopaso = '20160329-1338-3700-0310-5a23d670c78f'    I        I    Si no existe hay que agregar el registro, considerando el guidprocesotipopaso …    I    " u="1"/>
        <s v="    I    Notificación de seguimiento  [  MA2802202010 ]      I         I         I    Estimado(a):                     GLORIA BRAVO    I         I    Le informamos que su ticket correspondiente a:    I                       I    Antes que nada quiero agradecer su apoyo para la eliminación de folios y recurro nuevamente a ustedes para solicitar la eliminación de los siguientes folios…    I         I    Aplicación:                  HCOM    I    Tipo de Soporte:         ELIMINAR FOLIOS      I    Observaciones:                I         I    Su petición fue atendida    I         I    " u="1"/>
        <s v="Cambios solicitados a componente mi-perfil" u="1"/>
        <s v="Desarrollo funcionalidad descarga de archivos" u="1"/>
        <s v="Notificación de seguimiento  [  MA1404202125 ]      I         I         I    Estimado(a):                     Moisés Guzmán Arias    I         I         I    Le informamos que su ticket correspondiente a:    I                       I    envío este segundo paquete de folios para los cuales te pido si por favor me puedes poyar con ampliar el término para prevenir los siguientes folios    I        I        I    00832120 estableciendo el término al día 19/04/2021 (19 de abril de 2021)    I    00895520 estableciendo el término al día 19/04/2021 (19 de abril de 2021)    I    00934020 estableciendo el término al día 19/04/2021 (19 de abril de 2021)    I    01896220 estableciendo el término al día 19/04/2021 (19 de abril de 2021)    I    00765820 estableciendo el término al día 19/04/2021 (19 de abril de 2021)    I    00483221 estableciendo el término al día 19/04/2021 (19 de abril de 2021)    I    01952520 estableciendo el término al día 19/04/2021 (19 de abril de 2021)    I        I        I         I    Aplicación:                  INFOMEX PUEBLA    I    Tipo de Soporte:         AJUSTE DE PLAZO        I    " u="1"/>
        <s v="Notificación de seguimiento [ MA3001202001 ]     I          I          I     Estimado(a): Rafael González García    I          I     Le informamos que su ticket correspondiente a:    I          I     Turnaron 20 recursos, hay que deshacer el turno y actualizar el consecutivo.    I          I     Aplicación: SIGEMI    I     Tipo de Soporte: Eliminación de turnos     I     Observaciones:     I          I     Su petición fue atendida    I          I         I          I      Favor de validar.    I          I     Estatus: Concluido." u="1"/>
        <s v="probando validación y agregar correciones" u="1"/>
        <s v="Buenas tardes Berenice, tu solicitud fue atendida, favor de validar    I        I         I    Saludos    I         I    Marina Adame Velasco    I        I         I         I        I         I    Notificación de seguimiento  [  MA2910202006 ]    I        I         I          I         I    SISTEMA [  INFOMEX OAXACA ]    I    " u="1"/>
        <s v="    I    Notificación de seguimiento  [  MA0511202001 ]      I         I         I    Estimado(a):                     GUSTAVO CUEVAS     I         I         I    Le informamos que su ticket correspondiente a:    I                       I    Derivado del término de vigencia del certificado para el acceso de HCOM de esta Dirección General de Enlace, me permito solicitar tu valioso apoyo a efecto de que se habilite el certificado renovado que se adjunta al presente.    I         I    Aplicación:                  HCOM    I    Tipo de Soporte:         CAMBIO DE CERTIFICADO      I    Observaciones:                I         I    Su petición fue atendida    I         I    " u="1"/>
        <s v="Incidencia Adeudos José Baldenas" u="1"/>
        <s v="Se aplica cambio de modalidad a las solicitudes: 0610100028120." u="1"/>
        <s v="Entrega de respaldo de base de datos semanal del infomex Guerrero" u="1"/>
        <s v="Generación del documento que enlista todas las URLs registradas en los infomex Estatales con motivo de la recuperación de la información en las nuevas carpetas asignadas, así también y derivado de lo anterior, la corrección de URLs con minúsculas y espacio en el caso Zacatecas donde se observa el nombre del archivo dentro del campo URL y su corrección." u="1"/>
        <s v="Buenas tardes Berenice, tu petición fue atendida, la eliminación de acuses esta en proceso,favor de validar     I        I    Saludos     I        I    Marina Adame Velasco    I        I    Notificación de seguimiento  [  MA0709202002 ]      I        I    Aplicación:                  INFOMEX OAXACA    I    Tipo de Soporte:         AJUSTE DE PLAZOS        I    Estatus:                               Concluido.    I    " u="1"/>
        <s v="Buenas tardes Berenice, tu petición fue atendida, la eliminación de acuses esta en proceso,favor de validar     I        I    Saludos     I        I    Marina Adame Velasco    I        I    Notificación de seguimiento  [  MA1210202003 ]      I        I    Aplicación:                  INFOMEX OAXACA    I    Tipo de Soporte:         AJUSTE DE PLAZOS        I    Estatus:                               Concluido.    I    " u="1"/>
        <s v="Se aplica testado de datos al folio: 0000700084220." u="1"/>
        <s v="    I    Notificación de seguimiento  [  MA0712202005 ]      I         I         I    Estimado(a):                     Berenice Hernández Sumano    I         I         I    Le informamos que su ticket correspondiente a:    I                       I    les solicito por este medio de forma urgente aplicar los siguientes ajustes en la base de datos del Sistema Infomex Oaxaca, dado que las fechas actuales de vencimiento corresponde a un primer ajuste solicitado    I        I         I    Aplicación:                  INFOMEX OAXACA    I    Tipo de Soporte:         AJUSTE DE PLAZOS        I    Observaciones:                I         I    Su petición fue atendida    I         I    " u="1"/>
        <s v="    I    Notificación de seguimiento  [  MA2602202001 ]      I         I         I    Estimado(a):                     Ariadna Sánchez Guadarrama    I         I    Le informamos que su ticket correspondiente a:    I                       I    Buenas noches, solicito su amable intervención toda vez que el recurso de revisión identificado con el número RRD 0015/20 se encuentra duplicado en la Plataforma Nacional de Transparencia, tal y como se muestra a continuación…    I        I         I    Aplicación:                  SIGEMI    I    Tipo de Soporte:         Eliminar duplicado      I    Observaciones:                I         I    Su petición fue atendida    I         I    " u="1"/>
        <s v="Se agregan las configuraciones a consola de firebase y se modifican los nativos de ios y android para conectar con firebase y demas aplicaciones" u="1"/>
        <s v="Notificación de seguimiento  [  MA1111202005 ]      I         I         I    Estimado(a):                     MARTHA RUBI ZARAGOZA     I         I         I    Le informamos que su ticket correspondiente a:    I                       I    El presente correo es para pedir su amable apoyo para el ajuste de términos de los folios debido al Acuerdo que enviaron los siguientes Sujetos Obligados a la COTAI por el cual se amplían la fecha del 01 al 30 de noviembre de 2020; debiéndose considerar los días comprendidos dentro de dicho periodo como inhábiles para evitar la propagación del coronavirus COVID-19. Anteriormente los enviaron, pero están equivocadas las fechas de vencimiento por lo que solicitó su apoyo nuevamente.    I        I         I    Aplicación:                  INFOMEX NUEVO LEÓN     I    Tipo de Soporte:         AJUSTE DE PLAZOS        I    Observaciones:                I         I    Su petición fue atendida    I         I    " u="1"/>
        <s v="Se elimina la ultima respuesta del folio 0001200101221" u="1"/>
        <s v="Notificación de seguimiento  [  MA0308202102 ]    I        I    Estimado(a):                Alondra Jiménez Hernández    I        I         I     Le informamos que su ticket correspondiente a:    I                       I    Se solicita la actualización de los certificados de los siguientes sujetos obligados en la Herramienta de Comunicación de cada uno.     I        I    Me refiero a los siguientes fideicomisos:    I        I    10103 Plan de Pensiones de Contribución Definida para el Personal de Mando del FIFOMI    I    10104 Plan de Pensiones Personal Operativo    I    10105 Prima de Antigüedad    I        I         I    Aplicación:                  HCOM    I    Tipo de Soporte:         ACTUALIZAR CERTIFICADOS ( 3)       I    " u="1"/>
        <s v="Funcionalidad Nivel Recursos Internacionales " u="1"/>
        <s v="Se testan los datos de la solicitud con folio: 0064101642821" u="1"/>
        <s v="Notificación de seguimiento [ MA2901202002 ]     I          I          I     Estimado(a): Oscar Graciano Aranda Leonel    I          I     Le informamos que su ticket correspondiente a:    I          I     Mediante el presente solicitó de su apoyo a efecto de que en el PNT se realicen los siguientes cambios:    I         I     - Respecto del recurso de revisión RRA 16394/19 interpuesto en contra de la CFE, en la pestaña “Información del Recurrente”, se registre el siguiente correo electrónico: ximpatricia@outlook.com y en la pestaña “Información del medio de impugnación” se cambie el medio de notificación a CORREO ELECTRONICO.    I         I     Lo anterior a efecto de poder realizar las notificaciones respectivas.    I         I          I     Aplicación: SIGEMI    I     Tipo de Soporte: CAMBIO DE MEDIO Y CORREO" u="1"/>
        <s v="Se relizan las pantallas de buscador de obligaciones y selector de obligacion y se agrega funcionalidad en controladores y modelos" u="1"/>
        <s v="Notificación de seguimiento  [  MA2506202006 ]      I         I         I    Estimado(a):                     Abraham Obed Gallardo González    I         I    Le informamos que su ticket correspondiente a:    I                       I    En atención a la petición realzada, te comparto la respuesta que nos hace llegar el personal de la Unidad de Transparencia del INE, por medio del cual nos cometan las fechas que a su consideración debieran tomarse en cuenta.    I         I    Aplicación:                  SIGEMI    I    Tipo de Soporte:         AJUSTE DE PLAZO    I    Observaciones:                I         I    Su petición fue atendida, se realizó el ajuste del plazo de cumplimiento a la fecha indicada en el correo del usuario    I    " u="1"/>
        <s v="Ambientación para campus Civil versión 2.2" u="1"/>
        <s v="    I    Notificación de seguimiento  [  MA2509202008 ]      I         I         I    Estimado(a):                     Ana Paula Vásquez Galván    I         I    Le informamos que su ticket correspondiente a:    I                       I         I    Buenas tardes, por medio del presente solicitamos su amable apoyo en regresar el paso en la Plataforma Nacional de Transparencia, a efecto de poder volver a cargar la versión final de la resolución RRA 9291/20, en razón de que se cargó una errónea.    I         I    Aplicación:                  SIGEMI    I    Tipo de Soporte:         REGRESO DE PASOS      I    Observaciones:                I         I    Su petición fue atendida    I         I    " u="1"/>
        <s v="Se aplica eliminación de formato de pago manual: 0064100256820." u="1"/>
        <s v="Definición de métricas para validar porcentaje de efectividad top 20" u="1"/>
        <s v="    I    Notificación de seguimiento  [  MA0110202006 ]      I         I         I    Estimado(a):                     Alma Lizbeth Peguero Rivera     I        I        I    Le informamos que su ticket correspondiente a:    I                       I    Por medio de presente, solicito de la manera más atenta, su apoyo para eliminar los siguientes recursos RRD 0279 ya que se encuentra doble para trabajar en mi paso en la PNT ; sin más por el momento, quedo en espera de sus comentarios.    I        I        I         I    Aplicación:                  SIGEMI    I    Tipo de Soporte:         ELIMINAR DUPLICADO       I    Observaciones:                I         I    Su petición fue atendida    I         I    " u="1"/>
        <s v="Se ralizan cambios en las peticiones del buscador de obligaciones" u="1"/>
        <s v="    I    Notificación de seguimiento  [  MA1803202007 ]      I         I         I    Estimado(a):                     Lizbeth Adriana Cabrera Ortega    I         I    Le informamos que su ticket correspondiente a:    I                       I        I    Pido su amable apoyo a fin de suprimir el recurso cargado manualmente de forma duplicada que a continuación cito:    I        I    13/03/2020 13/03/2020 15:45 PM Raymundo Muñoz LEYVA INE 2210000284417 Acceso a la Información Manual Ver detalle    I        I        I         I    Aplicación:                  SIGEMI    I    Tipo de Soporte:         Eliminar recurso       I    Observaciones:                I         I    Su petición fue atendida    I         I    " u="1"/>
        <s v="Notificación de seguimiento  [  MA2305202201 ]    I        I    Estimado(a):                Edgar Michel Loaeza Martínez    I        I         I     Le informamos que su ticket correspondiente a:    I        I        I    Estimados todos:    I    Por medio del presente solicito su valioso apoyo a efecto de realizar la renovación de Certificado de la Titular de la Unidad de Transparencia de la Comisión Nacional del Sistema de Ahorro para el Retiro, lo anterior, en virtud de que, el certificado actual se encuentra vencido.    I    Clave Sujeto obligado Encargada de la Unidad de Transparencia    I    06121 Comisión Nacional del Sistema de Ahorro para el Retiro Lic. Sonia Salazar Ham    I        I    Para tal efecto, anexo al presente el certificado correspondiente, lo anterior, a fin de que sus accesos sean habilitados en los sistemas que administra este Instituto (HCOM).      I         I    Aplicación:                  HCOM    I    Tipo de Soporte:         ACTUALIZACIÓN DE CERTIFICADO         I    Observaciones:                I         I    Su petición fue atendida    I         I    " u="1"/>
        <s v="Se cambió el tipo de solicitud del folio:  0000500039921" u="1"/>
        <s v="Buenas tardes Moisés, tu petición fue atendida, te comento respecto a la fecha de ampliación, aún no se registran pasos de esa actividad, la referencia del acuse, lo calcula directamente de la configuración de este,favor de validar     I         I     Saludos     I         I     Marina Adame Velasco    I         I     Notificación de seguimiento [ MA2801202001 ]     I         I     Aplicación: INFOMEX PUEBLA     I     Tipo de Soporte: Corrección de datos     I     Estatus: Concluido." u="1"/>
        <s v="    I    Notificación de seguimiento  [  MA0406202002 ]      I         I         I    Estimado(a):                     Edgar Michel Loaeza Martínez    I         I    Le informamos que su ticket correspondiente a:    I                       I    Por medio del presente solicito su valioso apoyo a efecto de realizar la renovación del certificado de Titular de la Unidad de Transparencia del “Fideicomiso para la asistencia legal de los miembros de la junta de gobierno y servidores públicos de la Comisión Nacional de Seguros y Fianzas.”    I         I    Aplicación:                  HCOM    I    Tipo de Soporte:         cambio TUT      I    Observaciones:                I         I    Su petición fue atendida    I         I    " u="1"/>
        <s v="Se sustituye archivo adjunto  del folio: 1816400149921 " u="1"/>
        <s v="Lectura de la documentación proporcionada por el cliente, para su analisis" u="1"/>
        <s v="    I    Notificación de seguimiento  [  MA0710202005 ]      I         I         I    Estimado(a):                     Pedro Esquivel Martínez    I         I    Le informamos que su ticket correspondiente a:    I                       I    por este medio solicito tu valioso apoyo al haber cambio de Titular, anexo el registro actualizado del certificado del Titular de la Unidad de Enlace del  “INSTITUTO NACIONAL DE CARDIOLOGÍA IGNACIO CHÁVEZ” Lo Anterior a fin de que sus accesos sean habilitados en los otros sistemas que administra este Instituto (HCOM).  CAMBIO DE TITULAR, en cuanto se reciba la atención en HCOM se realizará la actualización de los demás sistemas correspondientes.    I         I    Aplicación:                  HCOM       I    Tipo de Soporte:         CAMBIO DE TUT       I    Observaciones:                I         I    Su petición fue atendida    I         I    " u="1"/>
        <s v="Buenas tardes Berenice, tu petición fue atendida, favor de validar     I        I        I    http://documentos.inai.org.mx/tmp/infomexOAX_backup_2020-07-02_1504.bak    I        I        I    Saludos     I        I    Marina Adame Velasco    I        I    Notificación de seguimiento  [  MA0207202004 ]      I        I    Aplicación:                  INFOMEX OAXACA    I    Tipo de Soporte:         RESPALDO       I    Estatus:                               Concluido.    I    " u="1"/>
        <s v="Se genera certificado para usuario del INAI Sergio Cortés" u="1"/>
        <s v="    I    Notificación de seguimiento  [  MA1706202003 ]      I         I         I    Estimado(a):                     Lizbeth Adriana Cabrera Ortega    I         I    Le informamos que su ticket correspondiente a:    I                       I    Solicito de tu apoyo a fin de modificar el SUJETO OBLIGADO DEL RRA 05294/20.    I         I    DICE Secretaría del Trabajo y Previsión Social.    I         I    DEBE DECIR Procuraduría Federal de la Defensa del Trabajo    I         I    Asimismo deberá incluirse el folio 1411100012620.    I         I    Aplicación:                  SIGEMI    I    Tipo de Soporte:         MODIFICACIÓN DE DATOS     I    Observaciones:                I         I    Su petición fue atendida    I         I    " u="1"/>
        <s v="Prueba dos de etiquetado automatizado SIPOT" u="1"/>
        <s v="Se  testan los datos del folio: 0064101361721" u="1"/>
        <s v="Notificación de seguimiento  [  MA0405202006 ]      I         I         I    Estimado(a):                     Ismael Alberto Rios Delgado    I         I    Le informamos que su ticket correspondiente a:    I                       I    revisar nuevamente en SIGEMI para los recursos      I         I    Aplicación:                  SIGEMI    I    Tipo de Soporte:         REVISIÓN DE PLAZOS       I    Observaciones:                I         I    Tu petición fue atendida, se anexa plazos de fecha limite de votación, no se localizaron procesos de cumplimientos pendientes, quedamos atentos a si requieren algún ajuste de plazo en los recursos que se anexan      I         I        I         I                Favor de validar.    I    " u="1"/>
        <s v="Notificación de seguimiento  [  MA1510202006 ]      I         I         I    Estimado(a):                     Ricardo Marin Gonzalez    I         I    Le informamos que su ticket correspondiente a:    I                       I    NOS REPORTA LA SECRETARÍA EJECUTIVA DEL INSTITUTO, QUE POR EQUIVOCACIÓN TURNÓ UN EXPEDIENTE A UN COMISIONADO QUE NO LE CORRESPONDIA, POR LO QUE SOLICITAMOS TU VALIOSO APOYO PARA PODER REALIZAR LA REASIGNACIÓN A LA COMISIONADA CORRECTA. LOS DATOS SON:    I        I    EXPEDIENTE: PNTRR/218-20/JOER    I    TURNADO A: COMISIONADO JOSÉ ORLANDO ESPINOSA RODRÍGUEZ    I    ESTADO: ADMITIR/PREVENIR    I        I    DEBE SER:    I    EXPEDIENTE: PNTRR/218-20/CYDV    I    TURNADO A: COMISIONADA CINTIA YRAZU DE LA TORRE VILLANUEVA.    I    ESTADO: ADMITIR/PREVENIR.    I        I         I    Aplicación:                  SIGEMI    I    Tipo de Soporte:         Cambio de Comisionado en turnado      I    " u="1"/>
        <s v="Buenas tardes Martha, tu petición fue atendida, favor de validar     I         I     Saludos     I         I     Marina Adame Velasco    I         I     Notificación de seguimiento [ MA08012020-02 ]     I         I     Aplicación: INFOMEX NUEVO LEÒN     I     Tipo de Soporte: Ajuste de plazos     I     Estatus: Concluido." u="1"/>
        <s v="Se elmina la respuesta del folio:  0001200264421" u="1"/>
        <s v="Anlisis de funcionalidad del mantenimiento de rolles " u="1"/>
        <s v="Configuración de Jboss con liferay,despliegue de portles, maquetación de modal de ayuda" u="1"/>
        <s v="Desarrollo componente listado de instituciones seleccionadas a las que les solicitas información" u="1"/>
        <s v="Continúa el Apoyo en consultas y validación de la información generada con las bases de datos en custodia (casos de diversos estados) en lo referente principalmente a documentación adjunta.    I    Se sigue apoyando en la recuperación de adjuntos de CDMX vía el aplicativo proporcionado por Luis Fernando.    I    Continúa el traslado de información recuperada de CDMX al repositorio en la red interna (infomex2019 (\\vcifs) Z:)" u="1"/>
        <s v="Notificación de seguimiento  [  MA0605202203 ]    I        I    Estimado(a):                Abraham Obed Gallardo González    I        I         I     Le informamos que su ticket correspondiente a:    I        I        I    Con el gusto de saludarles y en espera de que todo marche bien, por instrucciones del Lic. Pedro González Benítez, Director General, por este medio Anexo el registro actualizado del certificado del Titular de la Unidad de Transparencia del Colegio Nacional de Educación Profesional Técnica.      I         I    Lo Anterior, a fin de que sus accesos sean habilitados en los sistemas que administra este Instituto (HCOM).  CAMBIO DE TITULAR. En cuanto se reciba la atención en HCOM se realizará la actualización de los demás sistemas correspondientes.    I        I         I         I    Aplicación:                  HCOM    I    Tipo de Soporte:         CAMBIO DE TUT         I    Observaciones:                I         I    " u="1"/>
        <s v="Buenas tardes Moisés, tu petición fue atendida, favor de validar     I         I     Saludos     I         I     Marina Adame Velasco    I         I     Notificación de seguimiento [ MA1501202005 ]     I         I     Aplicación: INFOMEX PUEBLA     I     Tipo de Soporte: Actualización costos medio     I     Estatus: Concluido." u="1"/>
        <s v="Notificación de seguimiento  [  MA1612202015 ]      I         I         I    Estimado(a):                     Martha Rubí Zaragoza Mora    I         I         I    Le informamos que su ticket correspondiente a:    I                       I    ajuste de términos de los folios debido al Acuerdo que enviaron los siguientes Sujetos Obligados a la COTAI por el cual se amplían la fecha del 01 al 18 de diciembre de 2020 y contando también el 2do periodo vacacional del 21 de diciembre 2020 al 5 de Enero 2021    I         I    Aplicación:                  INFOMEX NUEVO LEÓN    I    Tipo de Soporte:         AJUSTE DE PLAZOS        I    " u="1"/>
        <s v="Buenos días Berenice, tu petición fue atendida, favor de validar     I        I    Saludos     I        I    Marina Adame Velasco    I        I    Notificación de seguimiento  [  MA2603202001 ]      I        I    Aplicación:                  INFOMEX OAXACA    I    Tipo de Soporte:         Modificación de plazos       I    Estatus:                               Concluido.    I        I    " u="1"/>
        <s v="Notificación de seguimiento  [  MA3004202003 ]      I         I         I    Estimado(a):                     Marco Antonio Pereyra Rodríguez    I         I    Le informamos que su ticket correspondiente a:    I                       I    Adjunto el nuevo certificado del SUTCICESE_60285, lo anterior para los efectos que se consideren pertinentes.    I        I         I    Aplicación:                  HCOM    I    Tipo de Soporte:         CAMBIO DE CERTIFICADO      I    Observaciones:                I         I    Su petición fue atendida, la contraseña es hcom2020    I         I        I    " u="1"/>
        <s v="Ajustes del modulo de Acuses" u="1"/>
        <s v="Realización de búsqueda para fallos posibles sobre disponibilidad de información" u="1"/>
        <s v="Notificación de seguimiento  [  MA1811202002 ]      I         I         I    Estimado(a):                     Edgar Michel Loaeza M.    I         I         I    Le informamos que su ticket correspondiente a:    I                       I    solicito su apoyo para dar de alta los certificados que corresponden sujetos obligados indirectos de la Secretaría de Economía     I        I        I    Aplicación:                  HCOM    I    Tipo de Soporte:         CAMBIO TUT   ( 2)     I    Observaciones:                I         I    Su petición fue atendida    I         I          I    " u="1"/>
        <s v="Incidencia declaraciones testadas" u="1"/>
        <s v="Se aplica sustitución de archivo de la solicitud:  0064100091820" u="1"/>
        <s v="Notificación de seguimiento  [  MA0909202201 ]    I        I    Estimado(a):                Ricardo González Cano    I        I        I     Le informamos que su ticket correspondiente a:    I        I        I                       I    En seguimiento a los correos previos, solicito su valioso apoyo para asignar en la Herramienta de Comunicación los  certificados que adjunto al presente, para tal efecto, proporciono a continuación los datos de los sujetos obligados en cuestión:    I         I    Clave Única_x0009_Sujeto Obligado_x0009_Nombre_x0009_Correo electrónico_x0009_Contraseña Hcom    I    60263_x0009_Sindicato Independiente de Trabajadores Académicos de Oaxaca, SITAC-OAX_x0009_Liliana Kaly Gómez Ramírez_x0009_grupositac039@gmail.com    I     hcom2022    I    60299_x0009_Sindicato Nacional de Trabajadores de la Industria Láctea, Alimenticia, Similares y Conexos de la República Mexicana_x0009_Priscilla Ahuja de la Riva_x0009_sindilac@hotmail.com    I    hcom2022    I    60227_x0009_Sindicato Único de Trabajadores de la Productora Nacional de Biológicos Veterinarios_x0009_Rafael Hilario Velázquez García_x0009_sindicato@pronabive.gob.mx    I    hcom2022    I         I        I    Aplicación:                  HCOM    I    Tipo de Soporte:        2 ACTUALIZACIONES DE CERTIFICADO  Y  1 CAMBIO DE TUT " u="1"/>
        <s v="Se sustituye archivo adjunto y se cambia la modalidad  del folio: 0000600147521" u="1"/>
        <s v="Validación de volumetrías en información compartida sobre SISAI" u="1"/>
        <s v="    I    Notificación de seguimiento  [  MA0503202004 ]      I         I         I    Estimado(a):                     Lizbeth Adriana Cabrera Ortega    I         I    Le informamos que su ticket correspondiente a:    I                       I    SOLCIITO DE TU APOYO A FIN DE CAMBIAR EL NÚMERO DE FOLIO DE SOLICITUD DEL  RECURSO RRA-RCRD 2376/20    I         I    DICE    I    0817000012617    I         I         I    DEBE DECIR    I         I    0817000002018    I         I         I    ASIMSIMO TE REMITO EL ACUERDO DONDE CONSTA EL FOLIO SOLICITADO.    I        I         I    Aplicación:                  SIGEMI    I    Tipo de Soporte:         cambio de solicitud y actualización de archivo       I    Observaciones:                I         I    Su petición fue atendida    I         I    " u="1"/>
        <s v="Validación de usuario y registro de  información. (Cambio de UA)" u="1"/>
        <s v="Diseño del servicio de respuesta de tokens a diferentes backend" u="1"/>
        <s v="Estimada Martha, de los nombres enviados solo se localizaron 2, por lo que mejor te envío la consulta completa a la tabla de departamentos     I        I    Saludos     I        I    Marina     I        I    Notificación de seguimiento  [  MA0608202104 ]    I         I    Aplicación:                  INFOMEX NL    I    Tipo de Soporte:         CONSULTA DE DATOS        I        I    " u="1"/>
        <s v="Se aplica eliminación de formato de pago: 0064100410221" u="1"/>
        <s v="Se  testan los datos del folio: 0064101362721" u="1"/>
        <s v="Se aplica testado de solicitud: 0002700081420, así como el archivo adjunto." u="1"/>
        <s v="Se aplica testado de solicitud: 0002700081920, así como el archivo adjunto." u="1"/>
        <s v="Se aplica testado de solicitud: 0002700082820, así como el archivo adjunto." u="1"/>
        <s v="Se aplica testado de solicitud: 1816400083220, así como el archivo adjunto." u="1"/>
        <s v="Se aplica testado de solicitud: 1816400083420, así como el archivo adjunto." u="1"/>
        <s v="Realización de pruebas unitarias de generación del Token" u="1"/>
        <s v="La Ventana: ejercicio de los derechos ARCO en el sector privado. " u="1"/>
        <s v="Implementación guards a rutas de la aplicación " u="1"/>
        <s v="Buenas días Berenice, tu petición fue atendida, favor de validar     I        I    Saludos     I        I    Marina Adame Velasco    I        I    Notificación de seguimiento  [  MA0702202001 ]      I        I    Aplicación:                  INFOMEX OAXACA    I    Tipo de Soporte:         Incluir validación de plazos        I    Estatus:                               Concluido.    I    " u="1"/>
        <s v="Se  testan los datos del folio: 0002700097321" u="1"/>
        <s v="Eliminar respuesta de la solicitud con folio 0310000017121. " u="1"/>
        <s v="Se genera y habilita el certificado del usuario: Jhonatan Peguero Romero." u="1"/>
        <s v="Se aplica eliminación de última respuesta: 0000500021020" u="1"/>
        <s v="Se  testan los datos del folio: 0064102047621" u="1"/>
        <s v="Se testan los datos de la solicitud con folio: 0064101636821" u="1"/>
        <s v="Implementación de búsqueda de sentidos, para borrado o modificación." u="1"/>
        <s v="Se generó certificado para usuario de dependencia  Mandato para la Estrategia de Fortalecimiento para la Atención a Mexicanos en Estados Unidos" u="1"/>
        <s v="Se aplica sustitución de archivo al folio: 0064100217220" u="1"/>
        <s v="Se aplica testado de datos al folio:  0000700068121 " u="1"/>
        <s v="Desarrollar funcionalidad back para las estadísticas por usuario (redireccionamiento)" u="1"/>
        <s v="Se continua con el desarrollo del modulo deEntidad Federativa" u="1"/>
        <s v="    I    Notificación de seguimiento  [  MA1911202003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del 01 al 30 de noviembre de 2020; debiéndose considerar los días comprendidos dentro de dicho periodo como inhábiles para evitar la propagación del coronavirus COVID-19.    I        I         I    Aplicación:                  INFOMEX NUEVO LEÓN    I    Tipo de Soporte:         AJUSTE DE PLAZOS        I    Observaciones:                I         I    Su petición fue atendida    I         I    " u="1"/>
        <s v="Notificación de seguimiento  [  MA0502202001 ]      I         I         I    Estimado(a):                     Lizbeth Adriana Cabrera Ortega    I         I    Le informamos que su ticket correspondiente a:    I                       I    SOLCIITO DE SU VALIOSO APOYO A FIN DE MODIFICAR AL FECHA DE INTERPOSICIÓN AL 4 DE FEBRERO.    I        I         I    Aplicación:                  SIGEMI    I    Tipo de Soporte:         Actualización de fechas      I    " u="1"/>
        <s v="ajustes a las respuestas para el envio de e mail para el ciudadano." u="1"/>
        <s v="Pruebas de instancia publicas " u="1"/>
        <s v="Se  testan los datos del folio y se sustituye archivo de folio  0064101714821" u="1"/>
        <s v="Notificación de seguimiento  [  MA1211202007 ]      I         I         I    Estimado(a):                     Martha Rubí Zaragoza Mora     I        I    Le informamos que su ticket correspondiente a:    I                       I    Espero se encuentre muy bien. El presente correo es para pedir su amable apoyo para el ajuste de términos de los folios debido al Acuerdo que enviaron los siguientes Sujetos Obligados a la COTAI por el cual se amplían la fecha del 01 al 30 de noviembre de 2020; debiéndose considerar los días comprendidos dentro de dicho periodo como inhábiles para evitar la propagación del coronavirus COVID-19.    I         I    Aplicación:                  INFOMEX NUEVO LEÓN    I    Tipo de Soporte:         CAMBIO DE PLAZO     I    Observaciones:                I         I    Su petición fue atendida    I         I          I    " u="1"/>
        <s v="Se  ajusto el ultimo numero de folio registrado para el Sujeto Obligado MORENA" u="1"/>
        <s v="Junta de módulos de Usuarios y revision de actividades no integradas en el plan de trabajo, integración de configuracion de para integrar querys personalizados en Modulo de usuarios" u="1"/>
        <s v="Se aplica testado de datos personales: 0000600044620, así como el cambio de modalidad del mismo." u="1"/>
        <s v="Se testan datos del folio: 0064101881921" u="1"/>
        <s v="Botón para descargar el programa" u="1"/>
        <s v="Buenas tardes Berenice, tu petición fue atendida, se modificó la fecha del paso Contestación del SO,  favor de validar     I        I    Saludos     I        I    Marina Adame Velasco    I        I    Notificación de seguimiento  [  MA1606202007 ]      I        I    Aplicación:                  INFOMEX OAXACA    I    Tipo de Soporte:         Ajuste de plazo       I    Estatus:                               Concluido.    I        I    " u="1"/>
        <s v="Se aplica el testado de datos de la solicitud: 0000700003820." u="1"/>
        <s v="Se agrega Google Analytics" u="1"/>
        <s v="Se realiza ordenamiento de campos en tabla datos de banco que se muestra en el recibo de pago" u="1"/>
        <s v="Se  testan los datos del folio:  0064101303821" u="1"/>
        <s v="Documentación formal CDMX" u="1"/>
        <s v="Se generó certificado para usuario de dependencia con clave 06831, 18114 y 18702" u="1"/>
        <s v="Se agrega nueva mecanica para descargar archivos via GET" u="1"/>
        <s v="Se desarrollo una encuesta desde cero en Wordpress" u="1"/>
        <s v="Implementación botón movimientos disponibles en pantalla mi historial" u="1"/>
        <s v="    I    Notificación de seguimiento  [  MA1105202108 ]      I         I         I    Estimado(a):                     Edwin Robles Hernández    I         I         I    Le informamos que su ticket correspondiente a:    I                       I    Por este medio solicito de su valioso apoyo para poder aplicar las afectaciones a las fechas de vencimiento y la eliminación de los acuses respectivos de las solicitudes señaladas en el archivo adjunto. Toda vez que el Consejo General aprobará mediante Acuerdo ACDO/CG/IAIP/021/2020.    I        I         I    Aplicación:                  INFOMEX OAXACA    I    Tipo de Soporte:         AJUSTE DE PLAZO       I    Observaciones:                I         I    Su petición fue atendida    I         I          I                Favor de validar.    I         I    Estatus:                               Concluido.    I    " u="1"/>
        <s v="Implementación servicio consulta usuarios" u="1"/>
        <s v="Notificación de seguimiento  [  MA0804202103 ]      I         I         I    Estimado(a):                     Alondra Jiménez Hernández    I         I         I    Le informamos que su ticket correspondiente a:    I                       I    Anexo el registro actualizado del certificado del nuevo Titular de la Unidad de Transparencia del Administración Portuaria Integral de Veracruz, S.A. de C.V. para que su acceso sea habilitado en la Herramienta de Comunicación.     I         I    Aplicación:                  HCOM    I    Tipo de Soporte:         CAMBIO TUT       I    " u="1"/>
        <s v="Se  testan los datos del folio: 0064101663221" u="1"/>
        <s v="Notificación de seguimiento  [  MA1806202005 ]      I         I         I    Estimado(a):                     Betzabé Flores Terán    I         I    Le informamos que su ticket correspondiente a:    I                       I    Solicito de su apoyo para actualizar en la Herramienta de Comunicación los certificados de los sujetos obligados de la base que se adjunta, ya que estos han vencido.    I        I         I    Aplicación:                  HCOM       I    Tipo de Soporte:         ACTUALIZACIÓN DE CERTIFICADOS       I    Observaciones:                I         I    Le comento que se comenzó la actualización de certificados solicitados, conforme se vayan realizando las actualizaciones se les notificara…    I        I    Se realizó la actualización de los siguientes:    I    " u="1"/>
        <s v="SUSTITUCIÓN TEXTO Y ADJUNTO EN SOLICITUD DE INFORMACION 0064100841421" u="1"/>
        <s v="Análisis de ontologías" u="1"/>
        <s v="OT" u="1"/>
        <s v="Instalación y revisión de entrega ND" u="1"/>
        <s v="Notificación de seguimiento  [  MA1504202105 ]      I         I         I    Estimado(a):                     Alondra Jiménez Hernández    I         I         I    Le informamos que su ticket correspondiente a:    I                       I    Anexo el registro actualizado del certificado del Titular de la Unidad de Transparencia de la ADMINISTRACION PORTUARIA INTEGRAL DE TOPOLOBAMPO, S.A. DE C.V.  para su renovación en la HCOM.      I         I    Aplicación:                  HCOM    I    Tipo de Soporte:        RENOVAR CERTIFICADO       I    Observaciones:                I         I    Su petición fue atendida    I    " u="1"/>
        <s v="Se aplica eliminación de última respuesta de la solicitud: 1200400006820" u="1"/>
        <s v="Validación de congruencia de etiquetado SIPOT" u="1"/>
        <s v="Se  testan los datos del folio: 0064101344721" u="1"/>
        <s v="    I    Notificación de seguimiento  [  MA2611202002 ]      I         I         I    Estimado(a):                     Sergio Rafael Cortés Alpizar    I         I         I    Le informamos que su ticket correspondiente a:    I                       I    se elimine la ampliación y se active la misma en la Plataforma Nacional de Transparencia, del recurso RRA 9941/20 en contra de Autoridad Educativa Federal en la Ciudad de México, ya que por un error involuntario se anexo un acuerdo de ampliación incorrecto y se volverá a enviar.    I         I    Aplicación:                  SIGEMI    I    Tipo de Soporte:         ELIMINAR AMPLIACION        I    Observaciones:                I         I    Su petición fue atendida    I         I    " u="1"/>
        <s v="Publicación de trabajos ganadores" u="1"/>
        <s v="Notificación de seguimiento  [  MA1303202006 ]      I         I         I    Estimado(a):                     Moisés Guzmán Arias    I         I    Le informamos que su ticket correspondiente a:    I                       I    Por este medio me permito comunicar con Ustedes a fin de requerirles su apoyo para que el recurso RR-909/2019  se retroceda al proceso de sustanciación (Deshacer el último paso realizado en donde se presenta al pleno)    I        I         I    Aplicación:                  SIGEMI    I    Tipo de Soporte:         REGRESO DE PASOS      I    Observaciones:                I         I    Su petición fue atendida    I    " u="1"/>
        <s v="Notificación de seguimiento  [  MA2603202003 ]      I         I         I    Estimado(a):                     Laura Mónica Segovia Tellez    I         I    Le informamos que su ticket correspondiente a:    I                       I    Solicito su amable apoyo para hacer el cambio de medio de notificación del RRD 00441/20, ya que el particular pidió que sea cambiado el correo electrónico al siguiente correo: luismaquintero@gmail.com    I        I        I         I    Aplicación:                  SIGEMI    I    Tipo de Soporte:         CAMBIO DE MEDIO       I    Observaciones:                I         I    Su petición fue atendida    I    " u="1"/>
        <s v="Se aplica el testado de datos de la solicitud: 0000700035820." u="1"/>
        <s v="Análisis y aplicación de solución para ambientes locales de actualización moodle en sus diferentes fases y creación de OT para su aplicación een producción" u="1"/>
        <s v="Se aplica sustitución de archivo al folio: 2210300110119." u="1"/>
        <s v="Creación de la nueva sección de cambio de datos en el módulo de usuarios" u="1"/>
        <s v="Notificación de seguimiento  [  MA1707202002 ]      I         I         I    Estimado(a):                     Olga Guadalupe Cristino Sicairos    I         I    Le informamos que su ticket correspondiente a:    I                       I    Tratándose del RRA 2879/20 CNBV, solicito atentamente se regrese el último paso que realicé “preparación del proyecto de resolución”, debido a que el archivo y datos que asenté corresponden a un recurso diferente.    I         I        I         I    Aplicación:                  SIGEMI    I    Tipo de Soporte:         REGRESO DE PASOS      I    Observaciones:                I         I    Su petición fue atendida    I    " u="1"/>
        <s v="Se  testan los datos del folio: 1816400075421" u="1"/>
        <s v="Se aplica eliminación de formato de pago: 0001700142521" u="1"/>
        <s v="Se  testan los datos de la solicitud con folio 1816400093121" u="1"/>
        <s v="Se aplica eliminación de formato de pago manual: 1113700012619 por segunda ocasión." u="1"/>
        <s v="Implementación validar acceso a endpoints monitor" u="1"/>
        <s v="Se aplica respuesta a la solicitud: 1123300000620." u="1"/>
        <s v="Se cambió el tipo de solicitud del folio:  0063700073321" u="1"/>
        <s v="Estimado Sergio, se reactivó tu usuario, la contraseña es hcom2022, se anexa certificado.    I        I    Favor de validar    I        I    Saludos    I        I    Marina Adame    I        I        I        I    Notificación de seguimiento  [  MA1904202202 ]    I        I    Aplicación:                  HCOM    I    Tipo de Soporte:         GENERAR CERTIFICADO Y ACTUALIZAR DATOS DE ACCESO       I         I    Estatus:                               Concluido    I        I        I    " u="1"/>
        <s v="Análisis de formato tecnológico" u="1"/>
        <s v="Se  testan los datos del folio: 0064101221721" u="1"/>
        <s v="Notificación de seguimiento  [  MA3009202003 ]      I         I         I    Estimado(a):                     Ludwing Salas Cisneros    I         I    Le informamos que su ticket correspondiente a:    I                       I    Por este medio se solicita su apoyo para cambiar el medio de notificación al recurrente en el recurso de revisión RRA 09951/20 en contra de PROFECO, toda vez que el particular solicitó se le hicieran llegar a su correo electrónico registrado en la PNT, gracias.    I         I    Aplicación:                  SIGEMI    I    Tipo de Soporte:         CAMBIO DE MEDIO       I    Observaciones:                I         I    Su petición fue atendida    I    " u="1"/>
        <s v="Notificación de seguimiento [ MA1002202006]    I         I         I    Estimado(a):                     Recurso de Revisión    I         I    Le informamos que su ticket correspondiente a:    I                       I    Como te comenté vía telefónica, pido de tu apoyo ya que este recurso debe retrotraerse pues  debía ser para el comisionado RMC y se reiteró  el turno a BLIC.    I        I    RRA 1501 1857500002420 Servio Tulio Rosado Pérez PEMEX EXPLORACIÓN Y PRODUCCIÓN     I        I         I    Aplicación:                  SIGEMI    I    Tipo de Soporte:         Eliminación de turno       I    Observaciones:                I         I    Su petición fue atendida    I    " u="1"/>
        <s v="Se testan los datos  del folio: 0064101443721" u="1"/>
        <s v="BUSQUEDA AVANZADA POR CAMPO (buscadores tematicos2)" u="1"/>
        <s v="Resolución de incidencias reportadas por el equipo de calidad" u="1"/>
        <s v="Optimización del script de etiquetado automatizado SIPOT" u="1"/>
        <s v="Actualización y pruebas de funcionalidad de campus Público 3.7.3" u="1"/>
        <s v="Para la extracción de adjuntos de Guanajuato, se realizaron las pruebas del aplicativo de extracción pero no fue posible recuperar la información de la entidad, por tanto, se notificó a Luis Fernando quién realizó una versión nueva del programa para la extracción en tipo http y no ftp.    I    Se inicia la extracción de adjuntos del estado de Guanajuato vía http.    I    Continúa el apoyo en consultas y validación de la información generada con las bases de datos en custodia (casos de diversos estados) en lo referente principalmente a documentación adjunta.  " u="1"/>
        <s v="Crear modulo de niveles y temas" u="1"/>
        <s v="Se testan los datos de la solicitud con folio: 0064101434821" u="1"/>
        <s v="Notificación de seguimiento  [  MA0802202111 ]      I         I         I    Estimado(a):                     Alejandra Tejeda    I         I         I    Le informamos que su ticket correspondiente a:    I                       I    solicito de la manera más atenta su apoyo para la rectificación de suspensión de plazos de un Sujeto obligado, específicamente Congreso del Estado de Baja California, dicho cambio modificaría las fechas de vencimiento de las solicitudes    I         I    Aplicación:                  INFOMEX BCN    I    Tipo de Soporte:         AJUSTE DE PLAZOS       I    Observaciones:                I         I    Su petición fue atendida, se ajustaron los plazos de las solicitudes que faltaban    I         I          I                Favor de validar.    I    " u="1"/>
        <s v="Se aplica eliminación de formato de pago: 0002700331820" u="1"/>
        <s v="Se le informó al equipo que ya estan los ajustes para el 8vo procedimiento de banderas 'OBTENER_FG_DISPONIBILIDAD',para que lo revisen y consuman desde el aplicativo" u="1"/>
        <s v="    I    Notificación de seguimiento  [  MA0904202105 ]      I         I         I    Estimado(a):                     Alondra Jiménez Hernández    I         I         I    Le informamos que su ticket correspondiente a:    I                       I    Anexo el registro actualizado del certificado del Titular de la Unidad de Transparencia de la ADMINISTRACION PORTUARIA INTEGRAL DE PROGRESO, S.A. DE C.V.  para su renovación en la HCOM.      I         I    Aplicación:                  HCOM    I    Tipo de Soporte:         RENOVAR CERTIFICADO       I    " u="1"/>
        <s v="Se aplica cambio de modalidad de la solicitud: 0063700137120." u="1"/>
        <s v="Notificación de seguimiento  [  MA0306202113 ]    I        I    Estimado(a):                Laura Mónica Segovia Tellez    I        I         I     Le informamos que su ticket correspondiente a:    I                       I    Solicito su amable apoyo para que sea eliminada del sistema la respuesta al requerimiento de información adicional realizada el día de ayer en el recurso RRA 5593/21, ya que la información no corresponde con lo solicitado, y también que el plazo para el desahogo continúe conforme al acuerdo.     I        I         I    Aplicación:                  SIGEMI    I    Tipo de Soporte:         REGRESO DE PASOS      I    Observaciones:                I         I    Su petición fue atendida    I    " u="1"/>
        <s v="Carga de acta del pleno" u="1"/>
        <s v="Validación de acceso a la información" u="1"/>
        <s v="Ambientación para campus Civil versión 2.7" u="1"/>
        <s v="Se agregan nuevos formularios de busqueda en tematicos" u="1"/>
        <s v="Se aplica eliminación de formato de pago: 1215100505120" u="1"/>
        <s v="Se sustituye archivo adjunto y se testan los datos del folio:  0064101094321" u="1"/>
        <s v="Notificación de seguimiento  [  MA1401202105 ]      I         I         I    Estimado(a):                     Berenice Hernández Sumano    I         I         I    Le informamos que su ticket correspondiente a:    I                       I    ajustar las fechas de caducidad de los folios siguientes, dado que por error no fueron considerados en el tercer recorrido de plazos aplicado a los SO del Edo. Oaxaca que continúan en suspensión por la contingencia sanitaria. Asimismo solicito se borren los archivos PDF de los acuses generados.    I         I    Aplicación:                  INFOMEX OAXACA    I    Tipo de Soporte:         AJUSTE DE PLAZOS        I    Observaciones:                I         I    Su petición fue atendida    I    " u="1"/>
        <s v="Notificación de seguimiento [ MA1001202001 ]     I          I          I     Estimado(a): Sandra Robles Carrasco    I          I     Le informamos que su ticket correspondiente a:    I          I     En relación con el recurso de revisión RRD 1881/19 (IMSS), solicito de su invaluable apoyo para que en la PNT se incorpore como parte del recurso de revisión el mensaje de correo electrónico adjunto al presente, así como sus anexos.    I          I     Lo anterior, ya que a través del correo de referencia y que fue enviado a la cuenta recursoderevision@inai.org.mx, el recurrente remitió a este Instituto un alcance a su escrito recursal, mismo con el que se debe correr traslado al sujeto obligado al momento de notificarle el acuerdo de admisión.    I          I          I     Aplicación: SIGEMI    I     Tipo de Soporte: CAMBIO DE CORREO" u="1"/>
        <s v="Analisis de Soporte " u="1"/>
        <s v="Recuperación de contraseña" u="1"/>
        <s v="Instalación y creación de base de datos sample" u="1"/>
        <s v="Se  testan los datos del folio: 0064100651821" u="1"/>
        <s v="Prueba dos de extracción de datos útiles de tablas SIPOT Y SIPOT DETALLE" u="1"/>
        <s v="Creación vistas para cada rutas de la plantilla PNT" u="1"/>
        <s v="SUSTITUCIÓN TEXTO Y ADJUNTO EN SOLICITUD DE INFORMACION CON FOLIO 0000600080021. " u="1"/>
        <s v="Revisión del flujo de declaracion de patrimonio y corrección de hallazgo al momento de FUP" u="1"/>
        <s v="Se revisó estructura de tabla de Quejas 'BI_IMPUGNACIONES_VWM_QUEJAS_ESTADISTICAS' " u="1"/>
        <s v="Notificación de seguimiento  [  MA0411202004 ]      I         I         I    Estimado(a):                     Martha Rubí Zaragoza Mora    I         I         I    Le informamos que su ticket correspondiente a:    I                       I    Ajuste de términos de los folios debido al Acuerdo que enviaron los siguientes Sujetos Obligados a la COTAI por el cual se amplían la fecha del 01 al 30 de noviembre de 2020; debiéndose considerar los días comprendidos dentro de dicho periodo como inhábiles para evitar la propagación del coronavirus COVID-19.    I         I    Aplicación:                  INFOMEX NUEVO LEÓN    I    Tipo de Soporte:         AJUSTE DE PLAZOS        I    Observaciones:                I         I    Su petición fue atendida    I    " u="1"/>
        <s v="Notificación de seguimiento [ MA1601202004 ]     I          I          I     Estimado(a): Lizbeth Adriana Cabrera Ortega    I          I     Le informamos que su ticket correspondiente a:    I          I     Solicito de tu valioso apoyo a fin de que sea modificado el expediente electrónico del recurso RRA 16399/19 a fin de que la fecha de interposición sea     I          I     19 DE DICIEMBRE DE 2019.    I          I     Lo anterior ya que entró en su último día para la interposición del recurso en un horario inhábil.    I          I     Asimismo, te remito el acuerdo correspondiente en el cual ya consta la fecha del 19 de diciembre de 2019 para que sea adjuntado en el exp. Electrónico.    I          I         I          I     Aplicación: SIGEMI    I     Tipo de Soporte: ACTUALIZACIÓN DE FECHA DE INTERPOSICIÓN Y REEMPLAZO DE ARCHIVO" u="1"/>
        <s v="Integración de nuevos campos en la seccion de Datos Curriculares (Declaración patrimonial) en Declaranet" u="1"/>
        <s v="Se  testan los datos del folio: 0064100755821" u="1"/>
        <s v="    I    Notificación de seguimiento  [  MA1806202008 ]      I         I         I    Estimado(a):                     Alondra Jiménez Hernández    I         I    Le informamos que su ticket correspondiente a:    I                       I    Anexo el registro actualizado del certificado del nuevo Titular de la Unidad de Transparencia de FONATUR Tren Maya, S.A. de C.V. para que se habilite su acceso en la Herramienta de Comunicación.     I        I         I    Aplicación:                  HCOM    I    Tipo de Soporte:         CAMBIO DE TUT       I    Observaciones:                I         I    Su petición fue atendida    I         I        I    " u="1"/>
        <s v="Se realiza nuevo flujo para generar los datos servicio y referencia en caso de que el OG sea Federación." u="1"/>
        <s v="Se  testan los datos del folio: 0064101366721" u="1"/>
        <s v="Actualización de liga de biblioteca digital en micrositios" u="1"/>
        <s v="Eliminar respuesta de la solicitud con folio 0310000015521. " u="1"/>
        <s v="Se  testan los datos del folio: 0064101376721" u="1"/>
        <s v="Creación de componente constestar UT" u="1"/>
        <s v="Notificación de seguimiento  [  MA1203202009 ]      I         I         I    Estimado(a):                     Lizbeth Adriana Cabrera Ortega    I         I    Le informamos que su ticket correspondiente a:    I                       I    Solicito de tu amable apoyo a fin de modificar la fecha del recurso RRA 02635/20 en la PNT YA QUE INGRESÓ EN UN HORARIO INHÁBIL Y NO SE REGISTRÓ EL CAMBIO DE FECHA SOLICITADO.    I         I    DEBE SER LA FECHA 26 DE FEBRERO DE 2020    I         I    ASIMISMO TE AGRADECERÉ CAMBIAR EL ACUERDO DE TURNO QUE SE ADICIONA AL PRESENTE CORREO.    I         I         I    Aplicación:                  SIGEMI    I    Tipo de Soporte:         cambio de fecha       I    Observaciones:                I         I    Su petición fue atendida    I    " u="1"/>
        <s v="Notificación de seguimiento  [  MA2007202009 ]      I         I         I    Estimado(a):                     Lizbeth Adriana Cabrera Ortega    I         I    Le informamos que su ticket correspondiente a:    I                       I    Nuevamente solicito de su amable apoyo con el fin de estar en posibilidad de atender el requerimiento de la ponencia de la Comisionada Ibarra.    I        I    No soy omisa en adicionar correo electrónico en el cual el Proyectista de la ponencia expone Urgencia en la atención del cambio requerido.    I        I         I    Aplicación:                  SIGEMI    I    Tipo de Soporte:         CAMBIO DE NOMBRE DE RECURRENTE Y ACTUALIZACIÓN DE ARCHIVO      I    Observaciones:                I         I    Su petición fue atendida    I    " u="1"/>
        <s v="Creación de servicios e interfaces para  formulario registro de solicitudes de información pública" u="1"/>
        <s v="Analisis de RFC Micrositio" u="1"/>
        <s v="Generación de respaldo de la iniciativa privada " u="1"/>
        <s v="Notificación de seguimiento  [  MA0203202102 ]      I         I         I    Estimado(a):                     Pedro Esquivel Martínez    I         I         I    Le informamos que su ticket correspondiente a:    I                       I    solicito su valioso apoyo con la asignación del certificado en HCOM de acuerdo al siguiente cuadro descriptivo: (se anexa .cer y cedula de datos)    I         I         I    Aplicación:                  HCOM    I    Tipo de Soporte:         CAMBIO TUT       I    " u="1"/>
        <s v="Script BD para eliminar declaración inicial y de modificación" u="1"/>
        <s v="Notificación de seguimiento  [  MA2802202011 ]      I         I         I    Estimado(a):                     Lizbeth Adriana Cabrera Ortega    I         I    Le informamos que su ticket correspondiente a:    I                       I    Con el gusto de saludarte me permito solicitar tu valioso apoyo respecto de la generación UN EXPEDIENTE del recurso de revisión posteriormente citado.    I         I    Asimismo, te comento que NO DEBERÁ CAMBIAR el sujeto obligado, ni el Comisionado correspondiente.     I         I     DICE                                        DEBE DECIR                         SUJETO OBLIGADO           PONENTE    I    RRA 02716/20 RRA 795/17-BIS BANCOMEXT, SNC RMC    I         I    No omito comentarte que el número de expediente que deberá seguir en el consecutivo por turnar en PNT debe ser el RRA 2716/20.    I        I         I    Aplicación:                  SIGEMI    I    Tipo de Soporte:         CAMBIO A BIS       I    " u="1"/>
        <s v="Analisis SISAI2 " u="1"/>
        <s v="Se sustituye archivo adjunto  del folio: 1857200224421" u="1"/>
        <s v=" Desarrollo de adecuaciones para la interconexión entre SISAI y SAIMEX" u="1"/>
        <s v="Se aplica testado de datos al folio: 0000700106920." u="1"/>
        <s v="Eliminar respuesta de la solicitud con folio 1215100109121; 1215100109521; 1215100110421 Y 1215100110521." u="1"/>
        <s v="Configuracion de token con username , quitando el password " u="1"/>
        <s v="Se cambia el tipo de solicitud del folio: 0064101014621" u="1"/>
        <s v="Se  testan los datos de la solicitud y modalidad con folio 1816400120021    I         I    " u="1"/>
        <s v="    I    Notificación de seguimiento  [  MA1408202005 ]      I         I         I    Estimado(a):       Ricardo Marin González                  I        I         I    Le informamos que su ticket correspondiente a:    I                       I    POR ESTE MEDIO LES HAGO LLEGAR EL ACUERDO EMITIDO POR EL PLENO DEL IDAIPQROO REFERENTE A LA AMPLIACIÓN LOS PLAZOS Y TRÁMITES HASTA EL TREINTA Y UNO DE AGOSTO DE 2020, ANTE LA EMERGENCIA SANITARIA DERIVADA DEL COVID-19, PARA QUE SEA ADICIONADO EN EL APARTADO CORRESPONDIENTE EN LA PNT.    I        I    ACUERDO ACT/PLENO/13/08/20 MEDIANTE EL CUAL EL PLENO DEL INSTITUTO DE ACCESO A LA INFORMACIÓN Y PROTECCIÓN DE DATOS PERSONALES DE QUINTANA ROO (IDAIPQROO), AMPLÍA LA SUSPENSIÓN DE LOS PLAZOS Y TRÁMITES PARA LAS SOLICITUDES DE ACCESO A LA INFORMACIÓN, LAS SOLICITUDES PARA EL EJERCICIO DE LOS DERECHOS ARCO, LOS RECURSOS DE REVISIÓN RESPECTIVOS, Y DENUNCIAS POR INCUMPLIMIENTO A LAS OBLIGACIONES DE TRANSPARENCIA, HASTA EL DIA TREINTA Y UNO DE AGOSTO DE 2020 ANTE LA EMERGENCIA SANITARIA DERIVADA DEL COVID-19.     I    http://www.idaipqroo.org.mx/archivos/institucion/comunicados/comunicado_act_sesion_13_de_agosto.pdf    I        I    EN ESTE MISMO SENTIDO, COMUNICARLES QUE SE HA CONFIGURADO EL CALENDARIO DEL SIGEMI-SICOM CON LOS DÍAS QUE EL PLENO ESTABLECIÓ EN EL ACUERDO REFERIDO, PARA QUE SE PROCEDA A REALIZAR LOS AJUSTES CORRESPONDIENTES POR SU PARTE.  DE IGUAL MANERA QUE EL CALENDARIO DE DÍAS INHÁBILES DEL SISTEMA INFOMEX QUINTANA ROO, HA SIDO CONFIGURADO CON ESTAS CONSIDERACIONES.     I        I         I    Aplicación:                  SIGEMI    I    Tipo de Soporte:         REVISIÓN DE PLAZOS       I    Observaciones:                I         I    Anexo las fechas limite de votación localizadas, para realizar el cambio necesitamos de su validación, respecto a casos de cumplimientos, envios de requerimientos no detectamos casos    I         I         I                Favor de validar.    I         I    " u="1"/>
        <s v="Se sustituye archivo adjunto  del folio:  0922100003821" u="1"/>
        <s v="Definición de métricas para validar porcentaje de efectividad top15" u="1"/>
        <s v="Se aplica eliminación de formato de pago:  0063700605920" u="1"/>
        <s v="Definición de unidades muestrales" u="1"/>
        <s v="Notificación de seguimiento  [  MA2809202202 ]    I        I    Estimado(a):                Gloria Bravo Reyna    I        I         I     Le informamos que su ticket correspondiente a:    I        I    confirmo la generación del certificado para el sujeto obligado FGR - Fondo de Auxilio Económico a Familias de las Mujeres Víctimas de Homicidio en Ciudad Juárez, considerando la misma contraseña  hcom17007    I        I         I    Aplicación:                  HCOM    I    Tipo de Soporte:         GENERACIÓN Y ACTUALIZACIÓN DE CERTIFICADO Y CONTRASEÑA    I    Observaciones:                I         I    Su petición fue atendida, se adjunta certificado generado." u="1"/>
        <s v="Notificación de seguimiento  [  MA2508202007 ]      I         I         I    Estimado(a):                     Rogelio García Álvarez    I         I    Le informamos que su ticket correspondiente a:    I                       I    se solicita, con relación al recurso de revisión RRA 6799/20 interpuesto en contra del Instituto Nacional de Transparencia, Acceso a la Información y Protección de Datos Personales, se elimine el registro del desahogo del requerimiento de información, toda vez que mediante acuerdo del catorce de julio del año en curso se informó al sujeto obligado que dicha actuación sería eliminada una vez analizada.    I        I         I    Aplicación:                  SIGEMI    I    Tipo de Soporte:         REGRESO DE PASOS      I    Observaciones:                I         I    Su petición fue atendida    I    " u="1"/>
        <s v="Se cambia el tipo de solicitud del folio: 6440000091521" u="1"/>
        <s v="Se aplica sustitución de archivo de la solicitud: 1867900076819." u="1"/>
        <s v="Se realiz el servicio de consulta de quejas externo " u="1"/>
        <s v="Se cambia el tipo de solicitud del folio: 0411100117920." u="1"/>
        <s v="Reunion Avances Pizarras" u="1"/>
        <s v="Notificación de seguimiento  [  MA0802202106 ]      I         I         I    Estimado(a):                     ALAN GARCÍA    I          I    Le informamos que su ticket correspondiente a:    I                       I    RESPALDO SEMANAL DE LA BASE DE DATOS INFOMEX    I         I    Aplicación:                  INFOMEX TLAXCALA    I    Tipo de Soporte:         RESPALDO       I    Observaciones:                I         I    Su petición fue atendida, se subió el respaldo de su base de datos de esta semana…    I        I        I        I    http://documentos.inai.org.mx/tmp/infomex_tlaxcala_backup_2021-02-08_0800.bak    I        I        I        I    NOTA: El respaldo estará disponible una semana      I    " u="1"/>
        <s v="Estimado José Manuel, te comento que la solicitud fue registrada desde Infomex, el usuario que la registro tiene el login nadyab2875    I        I         I        I    Saludos    I        I    Marina Adame    I        I    Notificación de seguimiento  [  MA1105202106 ]      I    Aplicación:                  INFOMEX QUERÉTARO    I    Tipo de Soporte:         CONSULTA DE DATOS       I        I    " u="1"/>
        <s v="Desarrollo de ltheme y del home de liferay tanto para 6.2 como para 7.1 adecuando  para la liberación del buscador nacional de transparencia  y de los buscadores temáticos" u="1"/>
        <s v="Se aplica eliminación de formato de pago manual: 0063700714319 y 0063700629719." u="1"/>
        <s v="Se corrige incidencia en folio  0933800022721" u="1"/>
        <s v="Notificación de seguimiento  [  MA2101202115 ]      I         I         I    Estimado(a):                     Pedro Esquivel Martínez    I         I         I    Le informamos que su ticket correspondiente a:    I                       I    por este medio Anexo el registro actualizado del certificado del Titular de la Unidad de Enlace del  “Servicio Geológico Mexicano” Lo Anterior a fin de que sus accesos sean habilitados en los otros sistemas que administra este Instituto (HCOM).  CAMBIO DE  CERTIFICADO, en cuanto se reciba la atención en HCOM se realizará la actualización de los demás sistemas correspondientes.    I         I    Aplicación:                  HCOM    I    Tipo de Soporte:         CAMBIO DE CERTIFICADO       I    " u="1"/>
        <s v="Pruebas" u="1"/>
        <s v="Se testan los datos de la solicitud con folio: 0064101439821" u="1"/>
        <s v="Se testan los datos de la solicitud con folio: 0064101449821" u="1"/>
        <s v="    I    Notificación de seguimiento  [  MA2509202006 ]      I         I        I    Estimado(a):                     Mario Alberto Sánchez Cedeño    I         I    Le informamos que su ticket correspondiente a:    I                       I        I    Hola muy buenas tardes, por instrucciones superiores, me permito solicitar su valioso apoyo para que en el Recurso de Revisión RRA 9610/20 se cambie el medio de notificación a la parte solicitante, de domicilio físico al de correo electrónico siendo el señalado por la parte recurrente el siguiente seguridadsindical@aol.com    I        I    Lo anterior, toda vez que presentó su recurso de revisión a través de un correo electrónico por medio del cual señaló dicho medio de notificación.    I         I    Aplicación:                  SIGEMI    I    Tipo de Soporte:          CAMBIO DE MEDIO  Y ACTUALIZACIÓN DE CORREO     I    Observaciones:                I         I    Su petición fue atendida    I         I    " u="1"/>
        <s v="Se  realiza baja del Sujeto Obligado Fideicomiso N° 030051-4" u="1"/>
        <s v="analisis de los rquerimientos para la creacion de componentes para los movimiento s disponibles" u="1"/>
        <s v="Se sustituye archivo adjunto  del folio:  067380024621" u="1"/>
        <s v="Buenas tardes José Manuel, tu petición fue atendida, favor de validar     I        I    Saludos     I        I    Marina Adame Velasco    I        I    Notificación de seguimiento  [  MA1702202005 ]      I        I    Aplicación:                  INFOMEX QUERÉTARO    I    Tipo de Soporte:         REPORTE DE SOLICITUDES       I    Estatus:                               Concluido.    I        I    " u="1"/>
        <s v="    I    Notificación de seguimiento  [  MA0106202119 ]    I        I    Estimado(a):                Edwin Robles Hernández    I        I         I     Le informamos que su ticket correspondiente a:    I                       I    Por este medio solicito de su valioso apoyo para poder aplicar las afectaciones a las fechas de vencimiento y la eliminación de los acuses respectivos de las solicitudes señaladas en el archivo adjunto. Toda vez que el Consejo General aprobará mediante Acuerdo ACDO/CG/IAIP/021/2020.    I         I    Aplicación:                  INFOMEX OAXACA    I    Tipo de Soporte:         AJUSTE DE PLAZOS     I    Observaciones:                I         I    Su petición fue atendida    I         I         I    " u="1"/>
        <s v="Notificación de seguimiento  [  MA1605202202 ]    I        I    Estimado(a):                María Fernanda Trejo Vargas    I        I         I     Le informamos que su ticket correspondiente a:    I        I        I    Solicito su amable apoyo para asignar en la Herramienta de comunicación, el certificado adjunto al presente SO que se precisa a continuación:    I        I    Clave  Sujeto obligado  Siglas hcom  Nombre del titular del sujeto obligado  Correo electrónico   Contraseña para hcom     I    60237  Sindicato Único de Trabajadores del Hospital General &quot;Dr. Manuel Gea González&quot;  SUT HGMGG  Félix Rafael Hernández Utrera  sindicatogea1822@gmail.com     I    hcom2022     I        I         I         I    Aplicación:                  HCOM    I    Tipo de Soporte:         CAMBIO DE TUT         I    " u="1"/>
        <s v="Implementación controlvalueaccesor librería calendario" u="1"/>
        <s v="    I    Notificación de seguimiento  [  MA2108202001 ]      I         I         I    Estimado(a):                     Lizbeth Adriana Cabrera Ortega    I         I    Le informamos que su ticket correspondiente a:    I                       I    Pido tu amable apoyo ya que el recurso ingreso duplicado en la herramienta.    I        I    20/08/2020 20/08/2020 10:52 AM Emilio Romo samperio SECRETARÍA DE SALUD 0001200262220 Acceso a la Información Electrónico 21/07/2020    I    20/08/2020 20/08/2020 10:52 AM Emilio Romo samperio SECRETARÍA DE SALUD 0001200262220 Acceso a la Información Electrónico 21/07/2020    I        I        I         I    Aplicación:                  SIGEMI    I    Tipo de Soporte:         CANCELACIÓN DE RECURSO       I    " u="1"/>
        <s v="Servicio Web Adjuntos" u="1"/>
        <s v="Se sustituye archivo adjunto  del folio: 0064101063821" u="1"/>
        <s v="Se cambia el tipo de solicitud del folio: 0411100027621" u="1"/>
        <s v="Script migración base de datos Campus Organismos" u="1"/>
        <s v="Se  testan los datos del folio: 0064101338721" u="1"/>
        <s v="Se cambia el tipo de solicitud del folio: 0063700281721" u="1"/>
        <s v="Evaluación y diseño de scripts para descarga de datos SIGEI-SICOM" u="1"/>
        <s v="Notificación de seguimiento [ MA1601202002 ]     I          I          I     Estimado(a): Lizbeth Adriana Cabrera Ortega    I          I     Le informamos que su ticket correspondiente a:    I          I     Agradecería se modificara la fecha de interposición al día hábil siguiente de los recursos a continuación citados:    I         I         I     14/01/2020 14/01/2020 23:09 PM Chgarli Méndez Méndez SENADO DE LA REPÚBLICA 0130000199719    I     14/01/2020 14/01/2020 22:13 PM Aurea Miranda Luqueño SECRETARÍA DE BIENESTAR 0002000311319    I         I     14/01/2020 14/01/2020 19:08 PM Jader Hernández Aguilera SECRETARÍA DE EDUCACIÓN PÚBLICA 0001100606319    I     14/01/2020 14/01/2020 21:14 PM Ricardo G UNIVERSIDAD NACIONAL AUTÓNOMA DE MÉXICO 6440000280119    I         I          I     Aplicación: SIGEMI    I     Tipo de Soporte: ACTUALIZACIÓN DE FECHAS" u="1"/>
        <s v="Buscador en mapa" u="1"/>
        <s v="Notificación de seguimiento [ MA2001202004 ]     I          I      Estimado(a): Tiara Gethsemanni Miranda Fuentes    I          I     Le informamos que su ticket correspondiente a:    I          I     Por medio de presente, solicito de la manera más atenta, su apoyo para retroceder los pasos en el sistema SIGEMI-SICOM en la PNT de los asuntos que se enlistan a continuación; hasta la actividad “Registrar información de la sesión del pleno”; sin más por el momento, quedo en espera de sus comentarios.     I          I     • RRA 14631/19    I     • RRA 14694/19    I     • RRA 14848/19    I         I      Aplicación: SIGEMI    I     Tipo de Soporte: REGRESO DE PASOS (3)" u="1"/>
        <s v="Prueba app con los OG Zona Sureste  " u="1"/>
        <s v="Se genera certificado para la dependencia: RaulJavier.Munoz.Cordova." u="1"/>
        <s v="Actualizacion micrositio certamen" u="1"/>
        <s v="Se cambia el tipo de solicitud del folio: 0063700224321" u="1"/>
        <s v="Captura de texto de aviso de privacidad en campus iniciativa privada" u="1"/>
        <s v="Sesión presentación y explicación de la PNT.     I    Recorrido levantamiento solicitud." u="1"/>
        <s v="Se consultan datos de la solicitud 1857200117721" u="1"/>
        <s v="    I    Notificación de seguimiento  [  MA2201202105 ]      I         I         I    Estimado(a):                     ALEJANDRA TEJEDA    I         I         I    Le informamos que su ticket correspondiente a:    I                       I    REPORTE DE SOLICITUDES     I         I    Aplicación:                  INFOMEX BCN    I    Tipo de Soporte:         REPORTE       I    Observaciones:                I         I    Su petición fue atendida    I    " u="1"/>
        <s v="Diagnóstico de acceso a la información sobre los JSON compartidos para SICOM" u="1"/>
        <s v="Notificación de seguimiento  [  MA2204202002 ]      I         I         I    Estimado(a):                     Edgar Michel Loaeza Martínez    I         I    Le informamos que su ticket correspondiente a:    I                       I    Solicito su amable apoyo a fin de que sea regresado el paso del recurso de revisión RRA 7303/19  al paso admitir/prevenir/desechar Por medio del presente solicito su valioso apoyo a efecto de dar de alta el certificado de Titular de la Unidad de Transparencia del “Agencia Federal de Aviación Civil”    I        I    Para tal efecto, anexo al presente el certificado, lo anterior, a fin de que sus accesos sean habilitados en los sistemas que administra este Instituto (HCOM).      I        I         I    Aplicación:                  HCOM    I    Tipo de Soporte:         CAMBIO DE TUT       I    Observaciones:                I         I    Su petición fue atendida    I    " u="1"/>
        <s v="Notificación de seguimiento [ MA3001202003 ]     I          I          I     Estimado(a): Raúl Gustavo Flores Cruz    I          I     Le informamos que su ticket correspondiente a:    I          I     regreso del paso de evaluación de cumplimiento del RRA 2262/19, en la PNT.    I         I          I     Aplicación: SIGEMI    I     Tipo de Soporte: REGRESO DE PASOS     I     Observaciones:     I          I     Su petición fue atendida    I          I         I          I      Favor de validar.    I          I     Estatus: Concluido." u="1"/>
        <s v="Busqueda avanzada. Mediante filtros probar por cada uno de los campos y el total de los filtros." u="1"/>
        <s v="Se aplica eliminación de última respuesta de la solicitud: 0610100050820." u="1"/>
        <s v="Se aplica el testado de datos de la solicitud: 0673800020620." u="1"/>
        <s v="Se cambia el tipo de solicitud del folio: 0063700224421" u="1"/>
        <s v="Se  testan los datos del folio: 0064101121721" u="1"/>
        <s v="Se sustituye archivo adjunto  del folio: 0002700108821" u="1"/>
        <s v="Se recibe el respaldo de la base de datos del Estado de Tabasco y se procede con su carga y generación de procesos." u="1"/>
        <s v="Se testan los datos y se sustituye el archivo adjunto de la solicitud con folio  0064101648121" u="1"/>
        <s v="Notificación de seguimiento  [  MA2408202011 ]      I         I         I    Estimado(a):                     Berenice Hernández Sumano    I         I    Le informamos que su ticket correspondiente a:    I                       I    tengo un problema con los Cumplimientos, en la cuenta de las Unidades de Transparencia no aparecen.    I        I    El cumplimiento del R.R.A.I 0059/2020/SICOM de Cd. Ixtepec, la actividad de Notificación de Resolución con Cumplimiento ya no está disponible en su cuenta y este cumplimiento vence hasta el 01/10/2020 y al área de cumplimientos y a mi como administrador nos aparece la actividad de Evaluación del cumplimiento con la leyenda &quot;El sujeto obligado no entregó la respuesta y el sistema concluyó automáticamente la actividad&quot;.    I        I    Por favor necesito que se valide la liberación de las actividades que son para la Entrega de Alegatos y Entrega de cumplimientos en las cuentas de los sujetos obligados.    I        I    Marina también tengo problemas con las fechas que aparecen en los Alegatos que se calculan automáticamente, por ejemplo el expediente R.R.A.I 0128/2020/SICOM fue admitido en día 10/03/2020 y su fecha de vencimiento debía ser 02/10/2020 y en la pantalla de sujeto obligado me está dando más días, dejando al Sujeto obligado el vencimiento de la actividad hasta el 12/10/2020. (Me esta contando 7 días pero a partir del levantamiento de plazos que tengo configurada y no esta tomando los días hábiles que ya corrieron, mi plazo de suspensión esta del 20/03/2020 al 01/10/2020).    I        I         I    Aplicación:                  SIGEMI    I    Tipo de Soporte:         Modificación de fecha     I    " u="1"/>
        <s v="Se elimina la respuesta del folio: 1410000040521" u="1"/>
        <s v="Modificación en la funcionalidad para las funciones resultadoAjaxPost para los formatos de padrón de beneficiarios y servidores publicos sancionados para el procesamiento de json enviado por el back." u="1"/>
        <s v="Buenas tardes Moisés, te comento que se realizó el ajuste de las referencias existentes del archivo mencionado, que son las tablas históricas, puedes checar si  ya lo vez correcto?    I        I    Me quedo atenta    I        I    Saludos     I        I    Marina Adame    I        I    Notificación de seguimiento  [  MA0411202003 ]    I    Sistema  [  INFOMEX PUEBLA  ]    I        I    " u="1"/>
        <s v="Servidor local para capacitación" u="1"/>
        <s v="Se aplica testado de datos al folio: 0000700086320. " u="1"/>
        <s v="Se desechan solicitudes de manera manual: 0673800267419," u="1"/>
        <s v="Generación de script para tokenización de texto" u="1"/>
        <s v="Iniciar el proceso de migración a travez de API, validar la correcta migración de la información." u="1"/>
        <s v="Se aplica testado de datos al folio: 0002700116920." u="1"/>
        <s v="Se aplica testado de datos al folio: 0000700088720." u="1"/>
        <s v="Se sustituye el archivo adjunto de la solicitud con folio 2700179521 y 2700179621 " u="1"/>
        <s v="Implementar la funcionalidad de recalculos de plazos para las fechas de recepción y  limite de atención" u="1"/>
        <s v="Se aplica testado de datos al folios: 0064100868920." u="1"/>
        <s v="Ejecución de OT 5 Campus Garantes" u="1"/>
        <s v="Se orienta a los usuarios para su acceso al sistema Infomex." u="1"/>
        <s v="Asesoria del funcionamiento del módulo de creación de acuses" u="1"/>
        <s v="Se consultan datos de la solicitud 0063700249021" u="1"/>
        <s v="Buenas tardes Guillermo, tu petición fue atendida, favor de validar     I        I    Saludos     I        I    Marina Adame Velasco    I        I    Notificación de seguimiento  [  MA0605202004 ]      I        I    Aplicación:                  INFOMEX BCN    I    Tipo de Soporte:         REPO       I    Estatus:                               Concluido.    I        I    " u="1"/>
        <s v="Notificación de seguimiento  [  MA2003202003 ]      I         I         I    Estimado(a):                     Adriana Elizabeth Hernández Garcia    I         I    Le informamos que su ticket correspondiente a:    I                       I    Por medio del presente te comento que al validar el paso denominado Registro de la Resolución Firmada relativo al recurso:     I        I    RRD 0275/20    I        I    la PNT se queda pasmada y NO APARECEN las ventanas donde se registran las fechas de firma de los comisionados; de tal manera que queda en blanco.      I    Al respecto, te solicito se realicen las gestiones necesarias a efecto de que se pueda validar el paso referido y así estar en condición de cargar las fechas y que pueda ser notificada la resolución.    I         I    Aplicación:                  SIGEMI    I    Tipo de Soporte:         Corrección de incidencia       I    Observaciones:                I         I    Su petición fue atendida    I    " u="1"/>
        <s v="Notificación de seguimiento [ MA08012020-01 ]     I          I          I     Estimado(a): Lizbeth Adriana Cabrera Ortega    I          I     Le informamos que su ticket correspondiente a:    I          I         I     SOLICITANDO DE TU VALIOSO APOYO PARA RETROTRAER TURNO DE RECURSOS DE ACCESO QUE DE ACUERDO A LA FECHA DE INTERPOSICIÓN OFICIAL CORRESPONDEN AL AÑO 2020.    I         I     AL REPECTO ME PERMITO PRECISAR QUE SERÍAN LOS CITADOS EN LA LISTA COLOCADA EN LA PARTE FINAL, QUE SON DEL RRA 16464/19 AL RRA 16538/19.    I         I     ATENDIENDO A LO ANTERIOR A FIN DE EFECTUAR ADECUADAMENTE SU TURNO DEBE AJUSTARSE EL CONSECURTIVO ÚNICAMENTE DE LOS RECURSOS DE ACCESO AL RECURSO RRA 1/20.    I         I     NO OMITO COMENTARTE QUE SE LES DÍO ENVIAR A LAS BANDEJAS..    I         I          I     Aplicación: SIGEMI    I     Tipo de Soporte: eliminación de turnos y ajuste de consecutivo     I     Observaciones:     I          I     Su petición fue atendida" u="1"/>
        <s v="Se  testan los datos de la solicitud con folio 0002700101321    I         I    " u="1"/>
        <s v="Se aplica el testado de datos de la solicitud: 0064100171420" u="1"/>
        <s v="seccion 12 UT" u="1"/>
        <s v="Meeting para organizar prioridades" u="1"/>
        <s v="Notificación de seguimiento  [  MA0607202004 ]      I         I         I    Estimado(a):                     Berenice Hernández Sumano    I         I    Le informamos que su ticket correspondiente a:    I                       I    Buen día chic@s, por este medio solicito la afectación en base de datos de la fecha de caducidad para la entrega de Alegatos y Manifestaciones del Recurso de Revisión presentado en el SICOM    I         I    Aplicación:                  SIGEMI    I    Tipo de Soporte:         Actualización de fecha aplicación      I    Observaciones:                I         I    Su petición fue atendida, se realizó el cambio de fecha de aplicación de envío de alegatos     I         I    " u="1"/>
        <s v="Notificación de seguimiento  [  MA1202202004 ]      I         I         I    Estimado(a):                     Pedro Esquivel Martínez    I         I    Le informamos que su ticket correspondiente a:    I                       I    Anexo el registro actualizado del certificado del Titular de la Unidad de Enlace del  “Fondo de ayuda, asistencia y reparación integral” Lo Anterior a fin de que sus accesos sean habilitados en los otros sistemas que administra este Instituto (HCOM).  CAMBIO DE TITULAR, en cuanto se reciba la atención en HCOM se realizará la actualización de los demás sistemas correspondientes.    I        I    1 00638 Fondo de ayuda, asistencia y reparación integral CEAV F1 Laura Edith Covarrubias Martínez 00638. Laura.Edith.Covarrubias. Martínez HCOM00638    I        I        I         I    Aplicación:                  HCOM    I    Tipo de Soporte:         CAMBIO DE TITULAR       I    Observaciones:                I         I    Su petición fue atendida    I    " u="1"/>
        <s v="Actualización de página Obligaciones de Transparencia" u="1"/>
        <s v="Notificación de seguimiento  [  MA1208202004 ]      I         I         I    Estimado(a):                     Edgar Michel Loaeza Martínez    I         I    Le informamos que su ticket correspondiente a:    I                       I    dar de alta los certificados que se adjuntan, sujeto obligado de la Secretaria de Gobernación     I         I    Aplicación:                  HCOM    I    Tipo de Soporte:         CAMBIO DE TUT ( 8 )       I    Observaciones:                I         I    Su petición fue atendida    I         I         I                Favor de validar.    I         I    Estatus:                               Concluido.    I    " u="1"/>
        <s v="Eliminar respuesta de lo folios 00027002258021, 0002700226021, 0002700227521, 0002700228221, 0002700230021 y 0002700230221" u="1"/>
        <s v="Se testan los datos  del folio: 0064101354721" u="1"/>
        <s v="Se cambia el tipo de solicitud del folio: 2240000000121." u="1"/>
        <s v="Buenas tardes Berenice, tu petición fue atendida….    I    Notificación de seguimiento  [  MA0607202005 ]      I    Aplicación:                  INFOMEX OAXACA    I    Tipo de Soporte:         Modificación de aviso       I    Estatus:                               Concluido.    I        I    " u="1"/>
        <s v="Maquetación pantallas recibo de pago manual" u="1"/>
        <s v="Usuarios" u="1"/>
        <s v="Se testan los datos de la solicitud con folio: 0320000660820" u="1"/>
        <s v="Se agreago una librería para que los slider se viualizaran correctamente" u="1"/>
        <s v="Analisis de Plugins a Actualizar " u="1"/>
        <s v="Se sustituye archivo adjunto del folio: 1816400323220" u="1"/>
        <s v="Se elmina la respuesta del folio:  0064100057921" u="1"/>
        <s v="Buenas noches Fernando, te comento que de la revisión realizada el folio 01127920, tiene un plazo correcto ya que se registro el día 19 de Octubre en horario hábil, por lo que el conteo comenzó el día 20 de  octubre,  al 3 de Noviembre, son los 10 días que tienen definido en su proceso. No sucede lo mismo con el folio 01129720 por lo que para realizar la corrección del plazo requiero de su autorización para hacer el ajuste así como que me indiquen cual es la fecha de caducidad correcta.    I    " u="1"/>
        <s v="Notificación de seguimiento  [  MA2907202007 ]      I         I         I    Estimado(a):                     Cynthia Michelle Domínguez Jiménez    I         I    Le informamos que su ticket correspondiente a:    I                       I    con relación al recurso de revisión RRA 04689/20 interpuesto en contra del Instituto Nacional de Transparencia, Acceso a la Información y Protección de Datos Personales, se elimine el registro del desahogo del requerimiento de información, toda vez que mediante acuerdo del veintisiete de julio del año en curso se informó al sujeto obligado que dicha actuación sería eliminada una vez analizada.    I         I    Aplicación:                  SIGEMI    I    Tipo de Soporte:         Eliminar paso del histórico       I    Observaciones:                I         I    Su petición fue atendida, se eliminó del histórico la actividad Recibe respuesta       I        I    " u="1"/>
        <s v="Respaldar Curso 6 de PA-ENEDA  de la plataforma anterior y restaurar en plataforma actual " u="1"/>
        <s v="    I    Notificación de seguimiento  [  MA0904202108 ]      I         I         I    Estimado(a):                     Pedro Esquivel Martínez    I         I         I    Le informamos que su ticket correspondiente a:    I                       I    cambio de responsable para el sujeto obligado &quot;Fideicomiso de Administración y Pago CENAGAS-BANCOMEXT número 10637&quot;    I         I    Aplicación:                  HCOM    I    Tipo de Soporte:         CAMBIO TUT       I    Observaciones:                I         I    Su petición fue atendida    I    " u="1"/>
        <s v=" Notificación de seguimiento  [  MA1404202130 ]      I         I         I    Estimado(a):                     Moisés Guzmán Arias    I         I         I    Le informamos que su ticket correspondiente a:    I                       I    te envío este tercer paquete de folios para los cuales te pido si por favor me puedes poyar con ampliar el término para prevenir los siguientes folios    I         I         I    00246221 estableciendo el término al día 19/04/2021 (19 de abril de 2021)    I    01367220 estableciendo el término al día 19/04/2021 (19 de abril de 2021)    I        I        I         I    Aplicación:                  INFOMEX PUEBLA    I    Tipo de Soporte:         AJUSTE DE PLAZO        I    Observaciones:                I         I    Su petición fue atendida    I         I          I    " u="1"/>
        <s v="Análisis proceso pizarras 4" u="1"/>
        <s v="Notificación de seguimiento  [  MA0608202002 ]      I         I         I    Estimado(a):                     Michelle Fuentes Pereyra    I         I    Le informamos que su ticket correspondiente a:    I                       I    Al momento de dar trámite a los Recurso de Revisión que se enlistan a continuación, en el sistema SIGEMI-SICOM en la PNT, estos me aparecen activos varias veces, se encuentran repetidos en el siguiente paso “Registrar información de la sesión del pleno, por lo que solicito de la manera más atenta, eliminar uno de estos pasos y dejar solo una vez los siguientes pasos “Registrar información de la sesión del pleno” y dejar el paso de “Notificar por otro Medio”. Sin más por el momento, quedo en espera de tus comentarios.    I         I    1. RRA 06574/20    I    2. RRA 06659/20    I         I    Aplicación:                  SIGEMI    I    Tipo de Soporte:         Eliminar duplicados     I    Observaciones:                I         I    Su petición fue atendida    I    " u="1"/>
        <s v="Se  testan los datos del folio:   0064101367121" u="1"/>
        <s v="Notificación de seguimiento  [  MA0602202002 ]      I         I         I    Estimado(a):                     Lizbeth Adriana Cabrera Ortega    I         I    Le informamos que su ticket correspondiente a:    I                       I    Por medio del presente, solicito tu apoyo para que se haga la corrección tanto en el turno como en la Plataforma Nacional de Transparencia la fecha de recurso en el recurso de revisión RRD 0194/20 vs Consejo de la Judicatura Federal, ya que tiene fecha del 2019 en el turno y diciembre en la fecha del de entrada del recurso en mención.    I        I         I    Aplicación:                  SIGEMI    I    Tipo de Soporte:         Actualización de exp. y fecha de interposición       I    Observaciones:                I         I    Su petición fue atendida    I         I        I         I    " u="1"/>
        <s v="Evaluación y diseño de script de creación de vocabulario" u="1"/>
        <s v="Notificación de seguimiento  [  MA2303202005 ]      I         I         I    Estimado(a):                     Betzabé Flores Terán    I         I    Le informamos que su ticket correspondiente a:    I                       I    Renovación del certificado del Sujeto Obligado Sindicato Nacional de Grupos Artísticos del Instituto Nacional de Bellas Artes y Literatura    I        I         I    Aplicación:                  HCOM    I    Tipo de Soporte:         CAMBIO DE CERTIFICADO       I    Observaciones:                I         I    Su petición fue atendida    I         I        I    " u="1"/>
        <s v="     I    Notificación de seguimiento  [  MA1202202007 ]      I         I         I    Estimado(a):                     HUGO GOVI    I         I    Le informamos que su ticket correspondiente a:    I                       I    POR ESTE MEDIO SOLICITO A SI PERSONA SE REINICIE EL CONTEO DE LOS RECURSO DE REVISION QUE ESTAN EN LA BANDEJA DE TURNAN RECURSO  DE SOLICITUDES DE INFORMACION Y DE DATOS PERSONALES    I    CON LA MISMA NOMENCLATURA DEL AÑO PASADO    I         I    IP/PNT/001/2020-A    I    IP/PNT/002/2020-B    I    IP/PNT/003/2020-C    I         I    DP/PNT/001/2020-A    I    DP/PNT/002/2020-B    I    DP/PNT/003/2020-C    I        I         I    Aplicación:                  SIGEMI    I    Tipo de Soporte:         Ajuste de consecutivo      I    " u="1"/>
        <s v="Se generan 2 certificados para la dependencia: 16102 y 16103." u="1"/>
        <s v="Se cambia el tipo de solicitud del folio: 0063700195121" u="1"/>
        <s v="Definición de Etiquetado de tabla SISAI" u="1"/>
        <s v="Se sustituye archivo adjunto  del folio: 0673800049621" u="1"/>
        <s v="Evidencias de problema con memoria" u="1"/>
        <s v="Inicio pizarras 4 reunión de inicio" u="1"/>
        <s v="Se  testan los datos del folio:   0064101367721" u="1"/>
        <s v="Se aplica el testado de datos de la solicitud: 1117100230919" u="1"/>
        <s v="Se habilita a las dependencias 10005,09012,15009,06051,16104 y baja: 04007,6050,9004, 15007." u="1"/>
        <s v="Se sustituye archivo adjunto del folio:  1816400342020" u="1"/>
        <s v="Notificación de seguimiento  [  MA1805202201 ]    I        I    Estimado(a):                Lizbeth Adriana Cabrera Ortega    I        I         I     Le informamos que su ticket correspondiente a:    I        I        I    Con el gusto de saludarles me permito solicitar tu valioso apoyo respecto de la generación UN EXPEDIENTE BIS del recurso de revisión posteriormente citado.    I         I    Asimismo, te comento que NO DEBERÁ CAMBIAR el sujeto obligado, ni el Comisionado correspondiente.     I         I     DICE                                        DEBE DECIR                         SUJETO OBLIGADO           PONENTE    I    RRA 7482/22 RRA 07869/20-BIS CONSAR FJAL    I         I    No omito comentarte que el número de expediente que deberá seguir en el consecutivo por turnar en PNT debe ser el RRA 7482/22.    I         I         I    Aplicación:                  SICOM/SIGEMI    I    Tipo de Soporte:         CAMBIO DE EXPEDIENTE A BIS          I    Observaciones:                I         I    Su petición fue atendida    I    " u="1"/>
        <s v="Se aplica cambio de modalidad de la solicitud: 006410034342020." u="1"/>
        <s v="Se adapto el buscador para consumir servicio que recupera formatos por sujeto obligado" u="1"/>
        <s v="esperando retroalimentacion" u="1"/>
        <s v="Modificación en los servicios de descarga y de reportes en SIPOT" u="1"/>
        <s v="Se desarrollò la pàgina de Glosario dentro del sitio de comite de etica, agregando la informaciòn compartida con base en el diseño compartido" u="1"/>
        <s v="Se genera y habilita el certificado del usuario: Juan Francisco Escobedo Delgado." u="1"/>
        <s v="Se realiza una revisión de Excel (SISAI_catalogos_TareaXEdos.xlsx) Validando nuevamente las funcionalidades del proceso de generación de insumos y su confiabilidad." u="1"/>
        <s v="Se sustituye archivo adjunto  del folio: 0673800068221" u="1"/>
        <s v="Se aplica eliminación de formato de pago manual: 1215100523419 y 1215100745719." u="1"/>
        <s v="    I    Notificación de seguimiento  [  MA1103202116 ]      I         I         I    Estimado(a):                     Pedro Esquivel Martínez    I         I         I    Le informamos que su ticket correspondiente a:    I                       I    Aplicar día inhabil en Fideicomiso del sistema de protección social en salud para aplicarle el dia inhabil 15 lunes     I    clave presupuestal 12103     I         I    Aplicación:                  INFOMEX FEDERAL     I    Tipo de Soporte:         aplicar dia inhabil        I    Observaciones:                I         I    Su petición fue atendida    I    " u="1"/>
        <s v=" Carga masiva de usuarios 1ra parte " u="1"/>
        <s v="Creación de cuentas y configuración de administradores" u="1"/>
        <s v="Busqueda y muestra de resultados para la pantalla de recibo de pago manual de UT" u="1"/>
        <s v="Desarrollo del catalogo de Temática y subtematica, considerando el rol de administración de organismo garante " u="1"/>
        <s v="Definición de posibles candidatos a error, estructura, gramática, caracteres distintos, artículos, etc" u="1"/>
        <s v="Se desarrolla el servicio para saber si un usuario cuenta con solicitudes pendientes o no para su eliminación" u="1"/>
        <s v="Se aplica testado de datos personales: 0210000025120 , 0210000025220 , 0210000025420 así como el archivo adjunto." u="1"/>
        <s v="Se comeinza con el desarrollo del backend en laravel" u="1"/>
        <s v="Se elimina asignación: 1123200002619." u="1"/>
        <s v="Implementación respuesta en espera de forma entrega solicitante" u="1"/>
        <s v="Se elimina la respuesta  de 4 folio del Sujeto Obligado IMPI por medio de control de cambios en bd" u="1"/>
        <s v="Buenas tardes Joel, tu petición fue atendida, favor de validar     I        I    Saludos     I        I    Marina Adame Velasco    I        I    Notificación de seguimiento  [  MA2603202002 ]      I        I    Aplicación:                  INFOMEX COLIMA    I    Tipo de Soporte:         Modificación de plazos        I    Estatus:                               Concluido.    I    " u="1"/>
        <s v="    I    Buenas tardes Berenice, tu petición fue atendida, favor de validar     I        I    http://documentos.inai.org.mx/tmp/infomexOAX_backup_2020-10-01_1045.bak    I        I        I    Saludos     I        I    Marina Adame Velasco    I        I    Notificación de seguimiento  [  MA0110202003 ]      I        I    Aplicación:                  INFOMEX OAXACA    I    Tipo de Soporte:         RESPALDO BD       I    Estatus:                               Concluido.    I    " u="1"/>
        <s v="Buenas tardes Berenice, tu petición fue atendida, favor de validar     I        I    Saludos     I        I    Marina Adame Velasco    I        I    Notificación de seguimiento  [  MA0207202005 ]      I        I    Aplicación:                  INFOMEX OAXACA    I    Tipo de Soporte:         AJUSTE DE PLAZOS        I    Estatus:                               Concluido.    I        I    " u="1"/>
        <s v="Buenas tardes Berenice, tu petición fue atendida, favor de validar     I        I    Saludos     I        I    Marina Adame Velasco    I        I    Notificación de seguimiento  [  MA0508202004 ]      I        I    Aplicación:                  INFOMEX OAXACA    I    Tipo de Soporte:         Ajuste de plazos        I    Estatus:                               Concluido.    I        I    " u="1"/>
        <s v="Buenas tardes Berenice, tu petición fue atendida, favor de validar     I        I    Saludos     I        I    Marina Adame Velasco    I        I    Notificación de seguimiento  [  MA0605202006 ]      I        I    Aplicación:                  INFOMEX OAXACA    I    Tipo de Soporte:         AJUSTE DE PLAZOS        I    Estatus:                               Concluido.    I        I    " u="1"/>
        <s v="Buenas tardes Berenice, tu petición fue atendida, favor de validar     I        I    Saludos     I        I    Marina Adame Velasco    I        I    Notificación de seguimiento  [  MA0807202005 ]      I        I    Aplicación:                  INFOMEX OAXACA    I    Tipo de Soporte:         AJUSTE DE PLAZOS        I    Estatus:                               Concluido.    I        I    " u="1"/>
        <s v="Buenas tardes Berenice, tu petición fue atendida, favor de validar     I        I    Saludos     I        I    Marina Adame Velasco    I        I    Notificación de seguimiento  [  MA0906202006 ]      I        I    Aplicación:                  INFOMEX OAXACA    I    Tipo de Soporte:         AJUSTE DE PLAZOS        I    Estatus:                               Concluido.    I        I    " u="1"/>
        <s v="Buenas tardes Berenice, tu petición fue atendida, favor de validar     I        I    Saludos     I        I    Marina Adame Velasco    I        I    Notificación de seguimiento  [  MA0907202007 ]      I        I    Aplicación:                  INFOMEX OAXACA    I    Tipo de Soporte:         AJUSTE DE PLAZOS        I    Estatus:                               Concluido.    I        I    " u="1"/>
        <s v="Buenas tardes Berenice, tu petición fue atendida, favor de validar     I        I    Saludos     I        I    Marina Adame Velasco    I        I    Notificación de seguimiento  [  MA1405202002 ]      I        I    Aplicación:                  INFOMEX OAXACA     I    Tipo de Soporte:         Ajuste de plazos       I    Estatus:                               Concluido.    I        I    " u="1"/>
        <s v="Buenas tardes Berenice, tu petición fue atendida, favor de validar     I        I    Saludos     I        I    Marina Adame Velasco    I        I    Notificación de seguimiento  [  MA1408202003 ]      I        I    Aplicación:                  INFOMEX OAXACA    I    Tipo de Soporte:         AJUSTE DE PLAZOS        I    Estatus:                               Concluido.    I        I    " u="1"/>
        <s v="Buenas tardes Berenice, tu petición fue atendida, favor de validar     I        I    Saludos     I        I    Marina Adame Velasco    I        I    Notificación de seguimiento  [  MA1507202003 ]      I        I    Aplicación:                  INFOMEX OAXACA    I    Tipo de Soporte:         AJUSTE DE PLAZOS        I    Estatus:                               Concluido.    I        I    " u="1"/>
        <s v="Buenas tardes Berenice, tu petición fue atendida, favor de validar     I        I    Saludos     I        I    Marina Adame Velasco    I        I    Notificación de seguimiento  [  MA1606202006 ]      I        I    Aplicación:                  INFOMEX OAXACA    I    Tipo de Soporte:         AJUSTE DE PLAZOS        I    Estatus:                               Concluido.    I        I    " u="1"/>
        <s v="Buenas tardes Berenice, tu petición fue atendida, favor de validar     I        I    Saludos     I        I    Marina Adame Velasco    I        I    Notificación de seguimiento  [  MA2107202001 ]      I        I    Aplicación:                  INFOMEX OAXACA    I    Tipo de Soporte:         Ajuste de plazos        I    Estatus:                               Concluido.    I        I    " u="1"/>
        <s v="Buenas tardes Berenice, tu petición fue atendida, favor de validar     I        I    Saludos     I        I    Marina Adame Velasco    I        I    Notificación de seguimiento  [  MA2705202004 ]      I        I    Aplicación:                  INFOMEX OAXACA    I    Tipo de Soporte:         AJUSTE DE PLAZOS        I    Estatus:                               Concluido.    I        I    " u="1"/>
        <s v="Buenas tardes Berenice, tu petición fue atendida, favor de validar     I        I    Saludos     I        I    Marina Adame Velasco    I        I    Notificación de seguimiento  [  MA2705202009 ]      I        I    Aplicación:                  INFOMEX OAXACA    I    Tipo de Soporte:         AJUSTE DE PLAZOS        I    Estatus:                               Concluido.    I        I    " u="1"/>
        <s v="Soporte Chihuahua" u="1"/>
        <s v="Se  testan los datos de la solicitud con folio 1816400145821    I         I    " u="1"/>
        <s v="Soporte el día del evento" u="1"/>
        <s v="Se actualizan las fechas limites de 5 solicitudes" u="1"/>
        <s v="Se testan los datos de la solicitud con  folio 0002700223821 " u="1"/>
        <s v="Se aplica testado de datos al folio: 0064100650220" u="1"/>
        <s v="Analisis de funcionalidad del mantenimiento de usuarios " u="1"/>
        <s v="Implementación validaciones por roles de usuario en sesión" u="1"/>
        <s v="Cambio del status code cuando las credenciales son invalidad" u="1"/>
        <s v="Entrega de respaldo de base de datos semanal del infomex Nuevo León" u="1"/>
        <s v="    I    Notificación de seguimiento  [  MA0511202002 ]      I         I         I    Estimado(a):                     BERENICE HERNÁNDEZ     I         I         I    Le informamos que su ticket correspondiente a:    I                       I    liberar las respuestas siguiente en el sistema Infomex Oaxaca.     I    • A. La solicitud corresponde a otra dependencia (3 días)    I    • E. Información gubernamental (5 días)    I    • H. Prevención (5 días)    I    Ya que me reportan que no son visibles, puesto que validan días hábiles que por el período de suspensión a algunos sujetos obligados les empiezan a correr a partir de hoy. Requiero que estén disponibles durante el día de hoy y hasta el día 11 de noviembre.    I         I    Aplicación:                  INFOMEX OAXACA    I    Tipo de Soporte:         CAMBIO DE CONFIGURACIÓN     I    Observaciones:                I         I    Su petición fue atendida    I         I          I    " u="1"/>
        <s v="Se aplica testado de datos al folio:  0064102966220" u="1"/>
        <s v="Se generó certificado para usuarios de FIDEICOMISOS CAPUFE" u="1"/>
        <s v="Se aplica testado de datos al folio:  0002700046421" u="1"/>
        <s v="Se analizó la incidencia reportada en  el folio:  1613100127920" u="1"/>
        <s v="Scrip BD campus privado" u="1"/>
        <s v="Se cambia el tipo de solicitud del folio: 0002700201021" u="1"/>
        <s v="Actualización y pruebas de funcionalidad de campus Civil 2.2" u="1"/>
        <s v="Evaluación y diseño de script para extracción del texto a etiquetar" u="1"/>
        <s v="Buenas tardes Esmeralda, te comento que revise los scripts de las solicitudes y me coinciden los números, lo unico diferente es que puse las fechas cerradas sin hora, anexo mi evidencia, te envío también la consulta solicitada …    I         I         I     select distinct p.folio, d.nombre as SUJETO_OBLIGADO, cc.nombre TIPO_SOLICITUD, p.fechainicio     I     from PROCESO P     I     join psi on p.guidproceso = psi.guidproceso    I     JOIN PDSI ON Psi.Cd7643056 = PDSI.GUIDLLAVE    I     JOIN DEPARTAMENTO D ON PDSI.IDELEMENTOCATALOGO = D.GUIDDEPARTAMENTO    I     join psi psi2 on p.guidproceso = psi2.guidproceso    I     join campoconfigurable cc on psi2.C090e33d7 =cc.guidvalor     I     WHERE p.FechaInicio between '20190101' and '20191231'    I     order by p.fechainicio,p.folio    I         I     Saludos     I         I     Marina Adame Velasco    I         I     Notificación de seguimiento [ MA2201202010 ]     I         I     Aplicación: INFOMEX Veracruz    I     Tipo de Soporte: Revisión de scripts     I     Estatus: Concluido." u="1"/>
        <s v="Se  testan los datos del folio: 0002700180921" u="1"/>
        <s v="Se testan los datos  del folio: 0064101356721" u="1"/>
        <s v="Buenas tardes Berenice, tu petición fue atendida, favor de validar     I        I    Saludos     I        I    Marina Adame Velasco    I        I    Notificación de seguimiento  [  MA1607202009 ]      I        I    Aplicación:                  INFOMEX OAXACA    I    Tipo de Soporte:         Ajuste de plazos en Recursos       I    Estatus:                               Concluido.    I        I    " u="1"/>
        <s v="Actualización y pruebas de funcionalidad de campus Civil 2.7" u="1"/>
        <s v="Generación de scripts para muestreo, etiquetado y validaciones" u="1"/>
        <s v="Optimización de script de unificación de tablas SIPOT y SIPOT DETALLE" u="1"/>
        <s v="Generar vista y consulta para filtrar información" u="1"/>
        <s v="Se  testan los datos de la solicitud con folio 0064100757521" u="1"/>
        <s v="Respaldar curso Presencial 1 de la plataforma anterior y restaurar en plataforma actual " u="1"/>
        <s v="Respaldar curso Presencial 2 de la plataforma anterior y restaurar en plataforma actual " u="1"/>
        <s v="Respaldar curso Presencial 3 de la plataforma anterior y restaurar en plataforma actual " u="1"/>
        <s v="Respaldar curso Presencial 4 de la plataforma anterior y restaurar en plataforma actual " u="1"/>
        <s v="Respaldar curso Presencial 5 de la plataforma anterior y restaurar en plataforma actual " u="1"/>
        <s v="Respaldar curso Presencial 6 de la plataforma anterior y restaurar en plataforma actual " u="1"/>
        <s v="Respaldar curso Presencial 7 de la plataforma anterior y restaurar en plataforma actual " u="1"/>
        <s v="Respaldar curso Presencial 8 de la plataforma anterior y restaurar en plataforma actual " u="1"/>
        <s v="Corrección Request Response mis quejas saimex    I    Corrección Request Response detalle quejas saimex    I    Corrección Request Response historico quejas saimex    I    Corrección Request Response notificaciones quejas saimex    I    Flujo listado quejas saimex    I    Flujo detalle queja saimex    I    Flujo notificaciones queja saimex" u="1"/>
        <s v="    I    Notificación de seguimiento  [  MA0602202005 ]      I         I         I    Estimado(a):                     Laura Mónica Segovia Tellez    I         I    Le informamos que su ticket correspondiente a:    I                       I    Solicito su amable apoyo para que sea cambiado el medio de notificación de domicilio físico al correo electrónico sessanday@gmail.com del recurso de revisión RRA 01077/20 en contra de la Secretaría de la Defensa Nacional, ya que la particular solicitó el cambio el día de ayer por la tarde.     I        I    Esto con el fin de que se le notifique los acuerdos correspondientes tanto a la Secretaría de la Defensa como al particular.    I        I         I    Aplicación:                  SIGEMI    I    Tipo de Soporte:         cambio de medio       I    " u="1"/>
        <s v="Se sustituye archivo adjunto del folio: 1816400083220." u="1"/>
        <s v=" Definición de vocabulario" u="1"/>
        <s v="Se ajusta ultimo folio del Sujeto obligado SEP-TECNOLÓGICO NACIONAL DE MÉXICO (*)" u="1"/>
        <s v="Se aplica el testado de datos de la solicitud: 1117100004920" u="1"/>
        <s v="Se  testan los datos de la solicitud con folio 0064100748521" u="1"/>
        <s v="Soporte Campeche" u="1"/>
        <s v="    I    Notificación de seguimiento  [  MA1712202002 ]      I          I    Estimado(a):                     Berenice Hernández Sumano    I         I    Le informamos que su ticket correspondiente a:    I                       I    aplicar las afectaciones a las fechas de vencimiento y la eliminación de los acuses respectivos de las solicitudes señaladas en el archivo adjunto. Toda vez que el Consejo General aprobará en su Décima Novena Sesión Ordinaria celebrada el día 28 de octubre, aprobó la primera fase del levantamiento a la suspensión de plazos derivado de la Contingencia Sanitaria del COVID-19 para un primer grupo de sujetos obligados y la continuidad de la suspensión de plazos para el resto de sujetos obligados hasta el 15 de enero 2021.    I         I    Aplicación:                  INFOMEX OAXACA    I    Tipo de Soporte:         AJUSTE DE PLAZOS        I    " u="1"/>
        <s v="Configuración de Jboss con liferay,despliegue de portles, maquetación de modal" u="1"/>
        <s v="Implementación de Servicios para Líneas de Acción, conectandolo con su Interceptor y modulos" u="1"/>
        <s v="Se revisan los plazos de la dependencia SER reportan problemas en la fecha límite de las solicitudes." u="1"/>
        <s v="Notificación de seguimiento  [  MA1904202203 ]    I        I    Estimado(a):                Abraham Obed Gallardo González    I        I         I     Le informamos que su ticket correspondiente a:    I                       I    Con el gusto de saludarte y en espera de que todo marche bien, solicito tu amable apoyo para que nos proporcionen un certificado adicional, ya que el correspondiente al titular de la unidad de transparencia del IMER aún no se ha actualizado.    I        I    Aplicación:                  HCOM    I    Tipo de Soporte:         Generación de certificado y actualización       I    Observaciones:                I         I    Su petición fue atendida, se actualizó el certificado, se anexa a este correo.    I         I         I        I                 Favor de validar.    I         I    Estatus:                               Concluido    I    " u="1"/>
        <s v="Optimización del script de extracción de datos útiles de tablas SIPOT y SIIPOT DETALLE" u="1"/>
        <s v="Se elimina la respuesta del folio: 1511100058421 y 1511100059521" u="1"/>
        <s v="SUSTITUCIÓN TEXTO Y ADJUNTO EN SOLICITUD DE INFORMACION CON FOLIO 0000700163321…" u="1"/>
        <s v="Avance mockups Roles, Usuarios Pizarras 4" u="1"/>
        <s v="Ejecución de OT 3 Campus Garantes" u="1"/>
        <s v="Buenas tardes Moisés, tu petición fue atendida, favor de validar     I        I    Saludos     I        I    Marina Adame Velasco    I        I    Notificación de seguimiento  [  MA0602202003 ]      I        I    Aplicación:                  INFOMEX PUEBLA     I    Tipo de Soporte:         Actualizar plazo       I    Estatus:                               Concluido.    I        I    " u="1"/>
        <s v="Buenas tardes Moisés, tu petición fue atendida, favor de validar     I        I    Saludos     I        I    Marina Adame Velasco    I        I    Notificación de seguimiento  [  MA1708202010 ]      I        I    Aplicación:                  INFOMEX PUEBLA     I    Tipo de Soporte:         Ajuste de fechas       I    Estatus:                               Concluido.    I        I    " u="1"/>
        <s v="Se tuvo una reunión con Juan Carlos para revisar las solicitudes del sitio de Conferencias Covid y der continuar con ese proyecto" u="1"/>
        <s v="Notificación de seguimiento  [  MA2602202101 ]      I         I         I    Estimado(a):                     DAVID MENDOZA OLIVA    I         I         I    Le informamos que su ticket correspondiente a:    I                       I    cancelación de los siguientes folios de requerimientos en la Herramienta de Comunicación    I         I    Aplicación:                  HCOM    I    Tipo de Soporte:         ELIMINAR REQUERIMIENTOS        I    Observaciones:                I         I    Su petición fue atendida    I         I    " u="1"/>
        <s v="webservice para la busqueda de los avisos que se encuentren activos." u="1"/>
        <s v="Se  testan los datos de la solicitud con folio 011000051221    I         I    " u="1"/>
        <s v="Apoyo en las consultas y validación de la información generada con las bases de datos en custodia (casos de diversos estados)" u="1"/>
        <s v="Buenas tardes Quique, te deseo lo misma para ti, que tengas un excelente año 2020, respecto a tu petición, te envío el script solicitado, favor de validar     I         I     select P.FOLIO,CC.NOMBRE TIPO_DP FROM PROCESO P JOIN PSI ON PSI.GUIDPROCESO = P.GUIDPROCESO     I     JOIN CAMPOCONFIGURABLE CC ON CC.GUIDVALOR = PSI.C916eb5bb    I     WHERE FECHAINICIO BETWEEN '20200101' AND '20200131'    I         I         I     Saludos     I         I     Marina Adame Velasco    I         I     Notificación de seguimiento [ MA0901202008 ]     I         I     Aplicación: INFOMEX MORELOS    I     Tipo de Soporte: Script para consulta     I     Estatus: Concluido." u="1"/>
        <s v="Se  testan los datos del folio: 0064101800821" u="1"/>
        <s v="Se aplica eliminación de formato de pago manual: 1610100440419." u="1"/>
        <s v="Notificación de seguimiento  [  MA1011202007 ]      I          I    Estimado(a):                     BERENICE HERNÁNDEZ     I          I    Le informamos que su ticket correspondiente a:    I                       I    ajustando las fechas de vencimiento de los siguientes folios que se fueron a prórroga y no se han actualizado sus fechas de caducidad.    I         I    Aplicación:                  SIGEMI    I    Tipo de Soporte:         CAMBIO DE PLAZO     I    Observaciones:                I         I    Su petición fue atendida    I         I    " u="1"/>
        <s v="Error en la navegacion al registrar usuario, el problema radica en una intermitencia con el servicio que proporciona el token de seguridad" u="1"/>
        <s v="Buenas tardes Moisés, tu petición fue atendida, favor de validar     I         I     Saludos     I         I     Marina Adame Velasco    I         I     Notificación de seguimiento [ MA2801202002 ]     I         I     Aplicación: INFOMEX PUEBLA     I     Tipo de Soporte: Corrección de datos     I     Estatus: Concluido." u="1"/>
        <s v="Se generan 2 certificados para la dependencia: Mayolo.Luis.Aguilar." u="1"/>
        <s v="Se cambia el tipo de solicitud del folio: 0063700810120, 0063700817720 " u="1"/>
        <s v="    I    Notificación de seguimiento  [  MA2704202009 ]      I         I         I    Estimado(a):                     JUAN PEDRO RAMIREZ FLORES    I         I    Le informamos que su ticket correspondiente a:    I                       I    AJUSTE DE FECHAS DE CUMPLIMIENTO     I        I         I    Aplicación:                  SIGEMI    I    Tipo de Soporte:         AJUSTE DE FECHAS       I    Observaciones:                I         I    Su petición fue atendida, se realizó la fecha de cumplimiento que indicaba la lista enviada    I         I    " u="1"/>
        <s v="Se  testan los datos del folio:  0000700092421 " u="1"/>
        <s v="Evaluación y Definición de herramienta para realizar la extracción de los 8 millones de información disponible dentro de la PNT" u="1"/>
        <s v="Se  testan los datos de la solicitud con folio 0064100777421    I    " u="1"/>
        <s v="Validación de acceso a la información sobre los JSON compartidos para SIGEMI" u="1"/>
        <s v="Se aplica testado de datos al folio:  1816400036621" u="1"/>
        <s v="Notificación de seguimiento  [  MA2907202005 ]      I         I         I    Estimado(a):                     Edgar Michel Loaeza Martínez    I         I    Le informamos que su ticket correspondiente a:    I                       I    Proporciono de nueva cuenta los primeros 5 certificados para que sean dados de alta en el sistema.    I        I        I         I    Aplicación:                  HCOM       I    Tipo de Soporte:         Actualización de certificados   (5)    I    Observaciones:                I         I    Su petición fue atendida    I         I    " u="1"/>
        <s v="Se aplica el testado de datos de la solicitud: 0064100215720." u="1"/>
        <s v="Actualización al reporte de sistematización" u="1"/>
        <s v="Se atendieron soportes de solicitudes registradas en infomex" u="1"/>
        <s v="Se  testan los datos del folio:0064101997121" u="1"/>
        <s v="Respaldar Curso 4 de PA-ENEDA  de la plataforma anterior y restaurar en plataforma actual " u="1"/>
        <s v="Se testan los datos  del folio: 0064101358721" u="1"/>
        <s v="Se aplica testado de datos al folio:  0064103348520" u="1"/>
        <s v="Buenas tardes José Manuel, te envío la información solicitada, realice la consulta en la lista de Sujetos Obligados coincidieran con el nombre Sindicatos, que se anexa en el reporte favor de validar     I        I    El total de solicitudes de los Sindicatos con corte 13 de julio de 2020 es de 66    I        I    Saludos     I        I    Marina Adame Velasco    I        I    Notificación de seguimiento  [  MA1307202010 ]      I        I    Aplicación:                  INFOMEX QUERÉTARO    I    Tipo de Soporte:         REPORTE       I    Estatus:                               Concluido.    I        I    " u="1"/>
        <s v="Modificaciones de la OT y validar pasos en el server" u="1"/>
        <s v="Se elmina la respuesta del folio: 0001200148521" u="1"/>
        <s v="Componente catalogo integrante (service, dto) (Administrador) " u="1"/>
        <s v="Bug al dar detalle de la solicitud(Mis Solicitudes)    I    Bug no se puede descargar los adjuntos a una solicitud    I    Cambiar los ups por la etiqueta  atención    I    En el modal de buscador tener el mismo tamaño los iconos    I    Verificar que salga la petición para recargar aviso de privacidad    I    Cuando no encuentra quejas con los criterios de búsqueda cambiar modal    I    Cuando no encuentra solicitudes con los criterios de búsqueda cambiar modal    I    Quitar La opción de Edo mex del listado de Órganos Garantes de datos personales    I    Agregar modal al scrollear en buscador solicitudes  y quejas" u="1"/>
        <s v="Revisión de datos generados de recursos de revisión" u="1"/>
        <s v="Notificación de seguimiento [ MA2301202001 ]     I          I          I     Estimado(a): David Mendoza Oliva    I          I     Le informamos que su ticket correspondiente a:    I          I     Te remito los recursos que pide PEMEX se realicen los ajustes a los calendarios de las actividades pendientes de los recursos de revisión que enlista Pemex.    I          I     Adicionando los siguientes:    I          I     • RRA 13837/19 vs PEMEX TI.     I     • RRA 15321/19 vs PEMEX.     I         I          I     Aplicación: SIGEMI    I     Tipo de Soporte: CAMBIO DE ESTATUS     I     Observaciones:     I          I     Su petición fue atendida, se activo el ENVIO DE ALEGATOS en ambos recursos, es importante mencionar que dicha actividad estará abierta hasta las 6 p.m del día de hoy.     I         I          I      Favor de validar.    I          I     Estatus: Concluido." u="1"/>
        <s v="Se corrige error presente en revision de tienda con ios 14.7.1" u="1"/>
        <s v="Creación de cuenta y configuración de admimnistración Estadísticas e Indicadores" u="1"/>
        <s v="Se  testan los datos del folio:   0064101152521" u="1"/>
        <s v="Revisión de dudas para el seguimiento de recurso de revisión" u="1"/>
        <s v="Notificación de seguimiento  [  MA2901202107 ]      I         I         I    Estimado(a):                     Alondra Jiménez Hernández    I         I         I    Le informamos que su ticket correspondiente a:    I                       I    Anexo el registro actualizado del certificado del nuevo Titular de la Unidad de Transparencia del COMESA para que su acceso sea habilitado en la Herramienta de Comunicación.     I         I    Aplicación:                  HCOM    I    Tipo de Soporte:         CAMBIO TUT       I    " u="1"/>
        <s v="Implementación de la búsqueda y despliegue de Resoluciones Privadas para su borrado y/o modificación." u="1"/>
        <s v="Se testan los datos de la solicitud con folio: 0064101396321" u="1"/>
        <s v="Notificación de seguimiento  [  MA1406202117 ]    I        I    Estimado(a):                Verónica Velázquez Hernández    I        I         I     Le informamos que su ticket correspondiente a:    I                       I    eliminación urgente de la siguiente lista de requerimientos que fueron notificados el día de hoy a través de la Herramienta de Comunicación. Son un total de 30…    I        I         I    Aplicación:                  HCOM    I    Tipo de Soporte:         Eliminar requerimientos ( 30)      I    Observaciones:                I         I    Su petición fue atendida    I         I    " u="1"/>
        <s v="Estimada Alejandra, adjunto reporte solicitado.       I        I                  I     Notificación de seguimiento  [  MA2408202110 ]    I        I    Aplicación:                  INFOMEX BCN    I    Tipo de Soporte:         REPORTE       I    Observaciones:                I         I    Su petición fue atendida    I    " u="1"/>
        <s v="Buenas tardes Francisco, tu petición fue atendida, favor de validar …    I         I     NOMBRE GUIDDEPARTAMENTO    I     Personas Físicas o Morales 20191017-1548-2300-7290-999a3f1ca148    I     Organismos Autónomos aaaaaaaa-bbbb-cccc-dddd-eeeeeee00002    I     Poder Ejecutivo aaaaaaaa-bbbb-cccc-dddd-eeeeeee00011    I     Poder Judicial aaaaaaaa-bbbb-cccc-dddd-eeeeeee00126    I     Poder Legislativo aaaaaaaa-bbbb-cccc-dddd-eeeeeee00135    I     Municipios aaaaaaaa-bbbb-cccc-dddd-eeeeeee00140    I     Fondos y Fideicomisos aaaaaaaa-bbbb-cccc-dddd-eeeeeee00275    I     Partidos Políticos aaaaaaaa-bbbb-cccc-dddd-eeeeeee00334    I     Sindicatos aaaaaaaa-bbbb-cccc-dddd-eeeeeee00353    I         I         I     Saludos     I         I     Marina Adame Velasco    I         I     Notificación de seguimiento [ MA2101202005 ]     I         I     Aplicación: INFOMEX NL    I     Tipo de Soporte: Consulta de datos" u="1"/>
        <s v="desarrollo de servicios para Datos Abiertos" u="1"/>
        <s v="Se aplica eliminación de formato de pago manual: 0063700022620." u="1"/>
        <s v="Se  testan los datos del folio: 0064101891821" u="1"/>
        <s v="Creación de grafo de conocimiento particular" u="1"/>
        <s v="Se  testan los datos del folio:  0000700158621 " u="1"/>
        <s v="Notificación de seguimiento  [  MA0109202001 ]      I         I         I    Estimado(a):                     Pedro Esquivel Martínez    I         I    Le informamos que su ticket correspondiente a:    I                       I    por este medio Anexo el registro actualizado del certificado del Titular de la Unidad de Enlace del  “Fideicomiso Centro de Ingeniería y Desarrollo Industrial No. 135826-8”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CAMBIO DE CERTIFICADO      I    Observaciones:                I         I    Su petición fue atendida    I         I        I    " u="1"/>
        <s v="Notificación de seguimiento  [  MA2408202010 ]      I         I         I    Estimado(a):                     Lizbeth Adriana Cabrera Ortega    I         I    Le informamos que su ticket correspondiente a:    I                       I    Pido tu apoyo pues el recuro citado a continuación se encuentra duplicado.    I        I         I    Aplicación:                  SIGEMI    I    Tipo de Soporte:         CANCELAR DUPLICADO       I    Observaciones:                I         I    Su petición fue atendida    I    " u="1"/>
        <s v="Se sustituye archivo adjunto  del folio:  1816400005921" u="1"/>
        <s v="Notificación de seguimiento  [  MA2309202006 ]      I         I         I    Estimado(a):                     María Angélica Valdez Islas    I         I    Le informamos que su ticket correspondiente a:    I                       I    Estimado Rafael González García, esperando que te encuentres bien de salud tu y los tuyos, por instrucciones del Lic. Pedro González Benítez, Director General de Enlace con Organismos Electorales y Descentralizados, por  medio del presente, atentamente solicitamos de tu amable apoyo para que, de no haber inconveniente alguno, se realicen los ajustes necesarios en la Herramienta de Comunicación, a fin de extender la fecha de vencimiento de 89 requerimientos, correspondientes a la notificación del Incumplimiento de la Verificación Vinculante 2020, que fueron notificados con fecha 17 de agosto de 2020, y que se cita en archivo adjuntando al presente en la que se señala relación de sujetos, números de requerimiento de los cuales solicitamos ajuste, de manera que el último día que tengan los sujetos obligados correspondientes para responder, sea el 16 de octubre de 2020.     I         I    Aplicación:                  HCOM    I    Tipo de Soporte:         ACTUALIZACIÓN DE FECHA      I    Observaciones:                I         I    Su petición fue atendida    I    " u="1"/>
        <s v="Realizar documento de Análisis de la Solución,    I    conclusión casos de Uso:    I    CU-1 Operaciones y redirecciones a sistemas     I    CU-5: Registrar nuevo usuario mediante Twitter    I    CU-6: Recuperar contraseña    I    CU-7: Autenticación con usuario y contraseña    I    CU-8: Autenticación con cuenta de Facebook    I    CU-9: Autenticación con cuenta de Twitter    I    CU-10: Autenticación con cuenta de Google    I    " u="1"/>
        <s v="seccion 9 UT" u="1"/>
        <s v="Se consultan datos de la solicitud 0064101790821" u="1"/>
        <s v="Se aplica el cambio de modalidad para el folio: 0000600022520" u="1"/>
        <s v="Se agrega elementos extras al scafold y notificacicones para las solicitudes" u="1"/>
        <s v="Notificación de seguimiento  [  MA2810202001 ]      I        I         I        I         I        I    Estimado(a):                     Pedro Esquivel Martínez    I        I         I        I         I        I    Le informamos que su ticket correspondiente a:    I        I                       I        I    cambio de Titular, anexo el registro actualizado del certificado del Titular de la Unidad de Enlace del  “Instituto de Salud para el Bienestar” Lo Anterior a fin de que sus accesos sean habilitados en los otros sistemas que administra este Instituto (HCOM).  CAMBIO DE TITULAR, en cuanto se reciba la atención en HCOM se realizará la actualización de los demás sistemas correspondientes.    I        I         I        I    Aplicación:                  HCOM    I        I    Tipo de Soporte:         CAMBIO DE TUT   " u="1"/>
        <s v="Notificación de seguimiento  [  MA1706202002 ]      I         I         I    Estimado(a):                     Recurso de Revisión    I         I    Le informamos que su ticket correspondiente a:    I                       I    solicito de tu valioso apoyo a fin de suprimir de la bandeja de turno los recursos citados a continuación.    I        I         I    Aplicación:                  SIGEMI    I    Tipo de Soporte:         SUPRIMIR RECURSOS      I    Observaciones:                I         I    Su petición fue atendida    I    " u="1"/>
        <s v="Se aplica testado de datos al folio:  0000700053921 " u="1"/>
        <s v="Analisis de Reportes " u="1"/>
        <s v="Se genera el acceso y el alta de usuario como Unidad de Enlace en la dependencia de Monitoreo." u="1"/>
        <s v="Se agregó respuesta en solicitud con folio 0063700110321" u="1"/>
        <s v="Envío de respaldo de infomex Nuevo León" u="1"/>
        <s v="Notificación de seguimiento  [  MA2106202201 ]    I        I    Estimado(a):                Abraham Obed Gallardo González    I        I         I     Le informamos que su ticket correspondiente a:    I        I    , solicito tu amable apoyo para actualizar el certificado de la nueva TUT de la Unidad de Transparencia de CONAPRED, ya que el personal de la misma manifiesta que no le ha sido posible entrar con el certificado señalado en el Excel que se adjunta.    I        I        I         I    Aplicación:                  HCOM    I    Tipo de Soporte:         CAMBIO DE CERTIFICADO    I    Observaciones:                I         I    Su petición fue atendida.    I    " u="1"/>
        <s v="Notificación de seguimiento  [  MA2204202102 ]      I         I         I    Estimado(a):                     Alondra Jiménez Hernández    I         I         I    Le informamos que su ticket correspondiente a:    I                       I    Anexo el registro actualizado del certificado del Titular de la Unidad de Transparencia de la ADMINISTRACION PORTUARIA INTEGRAL DE SALINA CRUZ, S.A. DE C.V.  para su renovación en la HCOM.      I         I    Aplicación:                  HCOM    I    Tipo de Soporte:         RENOVACIÓN CERTIFICADO       I    Observaciones:                I         I    Su petición fue atendida    I         I          I    " u="1"/>
        <s v="Respaldar Curso 9  de la plataforma anterior y restaurar en plataforma actual " u="1"/>
        <s v="URL agregadas en constantes y se hace referencia en las peticiones http" u="1"/>
        <s v="Notificación de seguimiento  [  MA0604202113 ]      I          I    Estimado(a):                     Martha Rubí Zaragoza Mora    I          I    Le informamos que su ticket correspondiente a:    I                       I    El presente correo es para pedir su amable apoyo para el ajuste de términos de los folios debido al primer periodo vacacional del año 2021 que envió el sujeto obligado con su acuerdo y se configuro el calendario correspondiente    I         I    Aplicación:                  INFOMEX NUEVO LEÓN    I    Tipo de Soporte:         AJUSTE DE PLAZO        I    Observaciones:                I         I    Su petición fue atendida    I         I    " u="1"/>
        <s v="Notificación de seguimiento  [  MA2212202009 ]      I         I         I    Estimado(a):                     Laura Mónica Segovia Tellez    I         I         I    Le informamos que su ticket correspondiente a:    I                       I    Les comento que se realizó el cierre de instrucción del RRD 1236/20 pero no me generó los acuses, por lo anterior solicito su amable apoyo para que sea regresado el paso para intentar notificarlo de nuevo.    I         I    Aplicación:                  SIGEMI    I    Tipo de Soporte:         ELIMINAR CIERRE DE INSTRUCCIÓN       I    Observaciones:                I         I    Su petición fue atendida    I         I    " u="1"/>
        <s v="Buenas tardes Berenice, tu petición fue atendida, favor de validar     I        I    Saludos     I        I    Marina Adame Velasco    I        I    Notificación de seguimiento  [  MA0810202002 ]      I        I    Aplicación:                  INFOMEX OAXACA    I    Tipo de Soporte:         AJUSTE DE PLAZOS       I    Estatus:                               Concluido.    I        I        I    " u="1"/>
        <s v="Buenas tardes Berenice, tu petición fue atendida, favor de validar     I        I    Saludos     I        I    Marina Adame Velasco    I        I    Notificación de seguimiento  [  MA1806202002 ]      I        I    Aplicación:                  INFOMEX Oaxaca    I    Tipo de Soporte:         Ajuste de plazos       I    Estatus:                               Concluido.    I        I        I    " u="1"/>
        <s v="Se crean los endpoint en los enum de Administración" u="1"/>
        <s v="Corrección incidencia con páginas y elementor" u="1"/>
        <s v="Se elimina la respuesta del folio: 1410000047821" u="1"/>
        <s v="Reestructuración pantalla datos abiertos obligaciones de transparencia" u="1"/>
        <s v="Actualizar fecha limite de la solicitud 1200200006721" u="1"/>
        <s v="Se  testan los datos del folio: 0064101363021 " u="1"/>
        <s v="Validación del caso y notificación de asignación.    I    Notificación de seguimiento PNT003426, PNT003420, PNT003408 y PNT003407." u="1"/>
        <s v="Se cambia el tipo de solicitud y se elimina respuesta del folio : 0673800083621" u="1"/>
        <s v="Se aplica el testado de datos de la solicitud: 0000700346619" u="1"/>
        <s v="Notificación de seguimiento  [  MA0507202105 ]    I        I    Estimado(a):                Pedro Esquivel Martínez    I        I         I     Le informamos que su ticket correspondiente a:    I                       I    cambio de la denominación correcta en los sistemas que administra este instituto (INFOMEX y HCOM) y que se enlistan a continuación…    I        I         I    Aplicación:                  HCOM    I    Tipo de Soporte:         ACTUALIZAR DATOS       I    Observaciones:                I         I    Su petición fue atendida    I    " u="1"/>
        <s v="Buenos días José Manuel, tu petición fue atendida, favor de validar     I          I     Saludos     I          I     Marina Adame Velasco     I          I     Notificación de seguimiento [ MA2101202001 ]     I          I     Aplicación: INFOMEX QUERÈTARO    I     Tipo de Soporte: Consulta de datos     I     Estatus: Concluido." u="1"/>
        <s v="Continúa la extracción de adjuntos del estado de Sonora vía http.    I    Continúa el apoyo en consultas y validación de la información generada con las bases de datos en custodia (casos de diversos estados) en lo referente principalmente a documentación adjunta." u="1"/>
        <s v="Se  testan los datos del folio: 0064100856321" u="1"/>
        <s v="Se testan los datos de la solicitud con  folio 0000700249421" u="1"/>
        <s v="Se cambia el tipo de solicitud del folio: 0610100189721" u="1"/>
        <s v="Notificación de seguimiento  [  MA0804202109 ]      I         I         I    Estimado(a):                     Alondra Jiménez Hernández    I         I         I    Le informamos que su ticket correspondiente a:    I                       I    Debido al cambio de Titular de la Unidad de Transparencia del CIDE anexo los registros actualizados de los certificados para que sean actualizados y se habilite su acceso en la Herramienta de Comunicación de cada sujeto obligado correspondiente.    I         I    Aplicación:                  HCOM    I    Tipo de Soporte:         CAMBIO TUT  (3)     I    Observaciones:                I         I    Su petición fue atendida    I         I    " u="1"/>
        <s v="Reportan problemas por estatus de 4 solicitudes de información para la dependencia: 4001_x0009_OPR-CENTRO DE PRODUCCIÓN DE PROGRAMAS INFORMATIVOS Y ESPECIALES (*)" u="1"/>
        <s v="SUSTITUCIÓN TEXTO Y ADJUNTO EN SOLICITUD DE INFORMACION CON FOLIO 1816400086721" u="1"/>
        <s v="Notificación de seguimiento  [  MA2605202101 ]    I        I        I    Estimado(a):                Moisés Guzmán Arias    I        I         I     Le informamos que su ticket correspondiente a:    I                       I    eliminar una comunicación al RR-101-2020, el cual se encuentra suspendido, solicitan retroceder dicho movimiento, ya que lo enviado era para otro sujeto obligado.    I    Aplicación:                  SIGEMI    I    Tipo de Soporte:         Eliminar prevenvión    I    Observaciones:                I         I    Su petición fue atendida    I    " u="1"/>
        <s v="Notificación de seguimiento  [  MA2705202130 ]    I        I    Estimado(a):                Francisco Javier Lira Pérez    I        I         I     Le informamos que su ticket correspondiente a:    I                       I    clave única para nuevo Sujeto Obligado denominado:    I        I    Partido de la Revolución Democrática en el Estado de Nuevo León    I        I         I    Aplicación:                  INFOMEX NUEVO LEÓN    I    Tipo de Soporte:         CONSULTA DE DATOS       I    Observaciones:                I         I    Su petición fue atendida    I    " u="1"/>
        <s v="Se aplica testado de datos personales: 0673800033120" u="1"/>
        <s v="    I     Buenas tardes Martha, tu petición fue atendida, favor de validar     I        I    Saludos     I        I    Marina Adame Velasco    I        I    Notificación de seguimiento  [  MA0406202008 ]      I        I    Aplicación:                  INFOMEX NUEVO LEÓN    I    Tipo de Soporte:         AJUSTE DE PLAZOS       I    Estatus:                               Concluido.    I        I    " u="1"/>
        <s v="Buenos días Isaac, tu petición fue atendida, favor de validar     I        I    Saludos     I        I    Marina Adame Velasco    I        I    Notificación de seguimiento  [  MA3107202002 ]      I        I    Aplicación:                  INFOMEX OAXACA     I    Tipo de Soporte:         Ajuste de plazos        I    Estatus:                               Concluido.    I        I    " u="1"/>
        <s v="Buenos días Isaac, tu petición fue atendida, favor de validar     I        I    Saludos     I        I    Marina Adame Velasco    I        I    Notificación de seguimiento  [  MA3107202003 ]      I        I    Aplicación:                  INFOMEX OAXACA     I    Tipo de Soporte:         Ajuste de plazos        I    Estatus:                               Concluido.    I        I    " u="1"/>
        <s v="Notificación de seguimiento  [  MA0405202001 ]      I         I         I    Estimado(a):                     David Morales Muñoz    I         I    Le informamos que su ticket correspondiente a:    I                       I    escribo para solicitar tu apoyo en relación a que en la PNT se encuentra un archivo cargado que corresponde a un acuerdo diverso.    I         I    Por lo que se me solicitó cargar el correcto que es el que se encuentra adjunto al presente correo electrónico.    I        I         I    Aplicación:                  SIGEMI    I    Tipo de Soporte:         ACTUALIZACIÓN DE ARCHIVO      I    Observaciones:                I         I    Su petición fue atendida    I         I    " u="1"/>
        <s v="Se implementa url_launch para quejas saimex" u="1"/>
        <s v="Se sustituye archivo adjunto  del folio:  1117100063021" u="1"/>
        <s v="Definición de métricas para validar porcentaje de efectividad top 10" u="1"/>
        <s v="Buenas tardes Alejandra,  anexo reporte solicitado, favor de validar     I         I    Saludos    I         I    Marina Adame Velasco    I         I    Notificación de seguimiento  [  MA0306202116 ]    I    " u="1"/>
        <s v="Se desarrollò la pàgina de marco normativo nacional dentro del sitio de comite de etica, agregando la informaciòn compartida con base en el diseño compartido" u="1"/>
        <s v="Ajuste en menú de navegación" u="1"/>
        <s v="Generación del script de concatenación de datos SISAI, SIGEMI-SICOM" u="1"/>
        <s v="Notificación de seguimiento  [  MA2708202103 ]    I        I    Estimado(a):                Betzabé Flores Terán    I        I         I     Le informamos que su ticket correspondiente a:    I                       I    Solicito su apoyo para realizar la modificación en la herramienta de comunicación del .cer que se adjunta, toda vez que hubo un cambio en el Titular de la Unidad de Transparencia.    I        I         I    Aplicación:                  HCOM    I    Tipo de Soporte:         CAMBIO DE TUT      I    Observaciones:                I         I    Su petición fue atendida    I         I         I        I    " u="1"/>
        <s v="Se agregan 2 periciones de token movil para push notification, la primera para registrar token al login y la segunda para eliminar token al cerrar sesion" u="1"/>
        <s v="Notificación de seguimiento  [  MA1304202108 ]      I         I         I    Estimado(a):                     Moisés Guzmán Arias    I         I         I    Le informamos que su ticket correspondiente a:    I                       I    ampliar el término para prevenir el folio siguiente:    I         I    01957620  estableciendo el término al día 19/04/2021 (19 de abril de 2021)    I         I         I    Aplicación:                  INFOMEX PUEBLA    I    Tipo de Soporte:         AJUSTE DE PLAZO       I    Observaciones:                I         I    Su petición fue atendida    I    " u="1"/>
        <s v="Se generó certificado para usuario de dependencia fuerza por México" u="1"/>
        <s v="Desarrollo de la paguinación para los registrso secundarios en información " u="1"/>
        <s v="Se aplica testado de datos al folio: 0064100214721" u="1"/>
        <s v="Se sustituye archivo adjunto  del folio:  1117100063121" u="1"/>
        <s v="    I    Buenos días Guillermo, tu petición fue atendida, favor de validar     I        I    Saludos     I        I    Marina Adame Velasco    I        I    Notificación de seguimiento  [  MA1604202003 ]      I        I    Aplicación:                  INFOMEX BCN    I    Tipo de Soporte:         Corrección de plazos       I    Estatus:                               Concluido.    I        I    " u="1"/>
        <s v="Se revisaron los archivos del sitio para intentar levantarlo en un ambiente local" u="1"/>
        <s v="Se modifica la fecha limite de respuesta de la solicitud del folio: 1857200298820" u="1"/>
        <s v="Buenas tardes Ismael, adjunto script, lo capture el poder judicial pero si requieres consultar algún otro, cambiale el nombre, favor de validar     I        I    Saludos     I        I    Marina Adame Velasco    I        I    Notificación de seguimiento  [  MA3006202005 ]      I        I    Aplicación:                  INFOMEX COAHUILA    I    Tipo de Soporte:         SCRIPT       I    Estatus:                               Concluido.    I    " u="1"/>
        <s v="Notificación de seguimiento [ MA1601202005 ]     I          I          I     Estimado(a): Lizbeth Adriana Cabrera Ortega    I          I     Le informamos que su ticket correspondiente a:    I          I     Solicito de tu valioso apoyo a fin de poder hacer una modificación a los expedientes electrónicos correspondientes a los recursos de datos personales RRD 54 AL RRD 64 todos del año 2020.    I          I     Deberá constar como fecha de interposición la del 8 DE ENERO DE 2020, pues es la fecha límite de interposición del recurso de revisión.    I         I     Asimismo, deberán subirse los Acuerdos de turno a cada carpeta electrónica, razón por la cual, me permito enviarte para mayor celeridad, dichos acuerdos.    I          I         I          I     Aplicación: SIGEMI    I     Tipo de Soporte: ACTUALIZACIÓN DE FECHAS DE INTERPOSICIÓN Y REEMPLAZO DE ARCHIVOS" u="1"/>
        <s v="Se  testan los datos del folio: 0064101354221" u="1"/>
        <s v="Se aplica eliminación de formato de pago: 0632000031820" u="1"/>
        <s v="Se sustituye archivo adjunto  del folio:  1117100063221" u="1"/>
        <s v="Desarrollo componente listado instituciones seleccionadas" u="1"/>
        <s v="Datos Abiertos Solicitudes " u="1"/>
        <s v="Se cambia el tipo de solicitud del folio:0064102197421" u="1"/>
        <s v="Cambios solicitados por el usuario" u="1"/>
        <s v="Notificación de seguimiento  [  MA1501202108 ]      I         I         I    Estimado(a):                     JOEL IBAÑEZ DELGADO     I         I         I    Le informamos que su ticket correspondiente a:    I                       I    relación del número total de solicitudes por PNT e Infomex, el número de Recursos de SI y de DP realizados en el año 2020.    I         I    Aplicación:                  INFOMEX COLIMA     I    Tipo de Soporte:         REPORTE        I    Observaciones:                I         I    Su petición fue atendida, anexo reporte, aclaro que el reporte incluye la cantidad de recursos registrados por INFOMEX, NO incluye los registrados por SICOM/SIGEMI    I         I          I                Favor de validar.    I         I    Estatus:                               Concluido.    I        I    " u="1"/>
        <s v="Notificación de seguimiento  [  MA1711202202 ]    I        I    Estimado(a):                Edgar Michel Loaeza Martínez    I        I        I     Le informamos que su ticket correspondiente a:    I        I        I    Estimados solicito su apoyo para que dicho certificado sea sustituido en el sistema Hcom.    I        I    Para tal efecto adjunto base de datos y certificado que amablemente me generaron e hicieron llegar.    I        I    Clave_x0009_Dependencia/entidad_x0009_Titular de la unidad de transparencia actual    I    16152_x0009_CONANP- Fideicomiso de administración, inversión y pago número 013 ANP Valle de Bravo_x0009_LILIANA LIZÁRRAGA MORALES    I        I         I        I    Aplicación:                 HCOM    I    Tipo de Soporte         ACTUALIZACIÓN DE CERTIFICADO      I    " u="1"/>
        <s v="Se cambia el tipo de solicitud del folio 0610100093721" u="1"/>
        <s v="Configuración de micrositio informativo." u="1"/>
        <s v="Notificación de seguimiento  [  MA1003202002 ]      I         I         I    Estimado(a):                     Lizbeth Adriana Cabrera Ortega    I         I    Le informamos que su ticket correspondiente a:    I                       I    MODIFICAR LA FECHA DE INTERPOSICIÓN AL DÍA HÁBIL SIGUIENTE, ES EL CASO, 6 DE MARZO.    I        I    05/03/2020 05/03/2020 19:24 PM Rosa María Anaya Vázquez IMSS 0064100555320    I        I         I    Aplicación:                  SIGEMI    I    Tipo de Soporte:         cambio de fecha de interposición      I    Observaciones:                I         I    Su petición fue atendida    I    " u="1"/>
        <s v="Notificación de seguimiento  [  MA1103202112 ]      I         I         I    Estimado(a):                     EDGAR MICHEL LOAEZA     I         I         I    Le informamos que su ticket correspondiente a:    I                       I    Por medio del presente solicito su valioso apoyo a efecto de realizar el cambio de Titular de la Unidad de Transparencia de la Comisión Federal para la Protección Contra Riesgos Sanitarios.    I        I        I         I    Aplicación:                  HCOM    I    Tipo de Soporte:         CAMBIO TUT       I    Observaciones:                I         I    Su petición fue atendida    I    " u="1"/>
        <s v="Notificación de seguimiento  [  MA1308202110 ]    I        I    Estimado(a):                Alondra Jiménez Hernández    I        I         I     Le informamos que su ticket correspondiente a:    I                       I        I    Anexo el registro actualizado del certificado del Titular de la Unidad de Transparencia de CENTRO DE INNOVACIÓN APLICADA EN TECNOLOGÍAS COMPETITIVAS para su renovación en la Herramienta de Comunicación.    I         I    Aplicación:                  HCOM    I    Tipo de Soporte:         RENOVAR CERTIFICADO       I    Observaciones:                I         I    Su petición fue atendida    I    " u="1"/>
        <s v="Notificación de seguimiento  [  MA2402202001 ]      I         I         I    Estimado(a):                     Laura Mónica Segovia Tellez    I         I    Le informamos que su ticket correspondiente a:    I                       I    Solicito su amable apoyo a fin de que sea cambiado el correo electrónico de la particular, del recurso de revisión RRD 0311/20 el correo aparece diferente al capturado en la Plataforma.     I        I         I    Aplicación:                  SIGEMI    I    Tipo de Soporte:         ACTUALIZACIÓN DE CORREO       I    Observaciones:                I         I    Su petición fue atendida    I    " u="1"/>
        <s v="Meeting Teams" u="1"/>
        <s v="Se testan los datos de la solicitud con folio: 0064101642921" u="1"/>
        <s v="Buenas tardes Martha, tu petición fue atendida, favor de validar     I        I    Saludos     I        I    Marina Adame Velasco    I        I    Notificación de seguimiento  [  MA1006202003 ]      I        I    Aplicación:                  INFOMEX NUEVO LEÓN    I    Tipo de Soporte:         AJUSTE DE PLAZOS       I    Estatus:                               Concluido    I        I         I    " u="1"/>
        <s v="Notificación de seguimiento  [  MA2909202002 ]      I         I         I    Estimado(a):                     Rosalinda Coria Mosqueda    I         I    Le informamos que su ticket correspondiente a:    I                       I        I    Agradeceré su apoyo para regresar el recurso RRD 0257/20 a la actividad de preparación de proyecto, con la activación de la función 8 (envío de requerimiento de información), toda vez que se trata de un returno asignado a la Comisionada Blanca Lilia Ibarra y se necesita enviar un Requerimiento de información.    I        I        I     Aplicación:                  SIGEMI    I    Tipo de Soporte:         REGRESO DE PASOS      I    Observaciones:                I         I    Su petición fue atendida    I         I    " u="1"/>
        <s v="Uso del master setup para la instalación de arhcive server y parametros adicionales" u="1"/>
        <s v="integración con el formulario de registro" u="1"/>
        <s v="Ejecución de OT 1 Campus Garantes" u="1"/>
        <s v="Se agregan textos, cambian elementos de recurrente_solicitud, se cambia modelo para envio de datos" u="1"/>
        <s v="Notificación de seguimiento  [  MA0806202110 ]    I        I    Estimado(a):                Alondra Jiménez Hernández    I        I         I     Le informamos que su ticket correspondiente a:    I                       I    Anexo el registro actualizado del certificado del nuevo Titular de la Unidad de Transparencia del Administración Portuaria Integral de Veracruz, S.A. de C.V. para que su acceso sea habilitado en la Herramienta de Comunicación.     I        I         I    Aplicación:                  HCOM    I    Tipo de Soporte:         CAMBIO DE TUT       I    Observaciones:                I         I    Su petición fue atendida    I    " u="1"/>
        <s v="Notificación de seguimiento  [  MA1109202004 ]      I         I         I    Estimado(a):                     Lizbeth Adriana Cabrera Ortega    I         I    Le informamos que su ticket correspondiente a:    I                       I    La fecha de interposición de todos los recursos del INSABI que obran en la herramienta así como los de nueva interposición, deberán tener como fecha de interposición de 11 de setiembre    I        I         I    Aplicación:                  SIGEMI    I    Tipo de Soporte:         Cambio de fechas de interposición y acuses      I    Observaciones:                I         I    Su petición fue atendida    I    " u="1"/>
        <s v="Notificación de seguimiento  [  MA1507202005 ]      I         I         I    Estimado(a):                     Cynthia Michelle Domínguez Jiménez    I         I    Le informamos que su ticket correspondiente a:    I                       I    En alcance al correo previo, se solicita se elimine también el registro del requerimiento de información del recurso RRA 04899/20 interpuesto en contra de la Secretaría de la Defensa Nacional.     I        I         I    Aplicación:                  SIGEMI    I    Tipo de Soporte:         Eliminación de requerimiento       I    Observaciones:                I         I    Su petición fue atendida    I    " u="1"/>
        <s v="Implementación de ambiente de trabajo de Operaciones (Declaranet)" u="1"/>
        <s v="    I    Notificación de seguimiento  [  MA0112202006 ]      I         I         I    Estimado(a):                     Berenice Hernández Sumano    I         I         I    Le informamos que su ticket correspondiente a:    I                       I    por este medio solicito a quien corresponda proporcionarnos la cuenta de correo electrónico con la cuál se realizaron las siguientes solicitudes desde SISAI.     I        I    Aplicación:                  INFOMEX OAXACA    I    Tipo de Soporte:         CONSULTA DE DATOS        I    Observaciones:                I         I    Su petición fue atendida, anexo correos    I         I          I    " u="1"/>
        <s v="Se empieza el desarrollo del modulo de Años" u="1"/>
        <s v="Configuración de bindings y rutas administradas" u="1"/>
        <s v="Buenos días Berenice, tu petición fue atendida, favor de validar     I        I    Saludos     I        I    Marina Adame Velasco    I        I    Notificación de seguimiento  [  MA1607202014 ]      I        I    Aplicación:                  INFOMEX OAXACA    I    Tipo de Soporte:         AJUSTE DE PLAZOS        I    Estatus:                               Concluido.    I        I    " u="1"/>
        <s v="Generación de scipt para normalización de texto al español" u="1"/>
        <s v="CAS - Actualización de liga" u="1"/>
        <s v="Notificación de seguimiento  [  MA0106202001 ]      I         I         I    Estimado(a):                     Tiara Gethsemanni Miranda Fuentes    I         I    Le informamos que su ticket correspondiente a:    I                       I        I    Por medio de presente, solicito de la manera más atenta, su apoyo para retroceder los pasos en el sistema SIGEMI-SICOM en la PNT del asunto que se enlista a continuación; hasta la actividad “Registrar información de la sesión del pleno”; sin más por el momento, quedo en espera de sus comentarios.    I         I    RRA 02453/20.    I         I    Aplicación:                  SIGEMI    I    Tipo de Soporte:         REGRESO DE PASOS      I    Observaciones:                I         I    Su petición fue atendida    I         I    " u="1"/>
        <s v="Notificación de seguimiento  [  MA0311202007 ]      I         I         I    Estimado(a):                     Lizbeth Adriana Cabrera Ortega    I         I         I    Le informamos que su ticket correspondiente a:    I                       I    Pido de tu amable apoyo para modificar el recurso de datos indicado en el asunto.    I        I    Dice     I         I    FOLIO 0064102499320.    I         I    Debe decir    I         I    Folio 0064102499720    I         I    Asimismo, pido si me haces favor de ingresar el acuerdo adjunto que contiene la modificación.    I        I         I    Aplicación:                  SIGEMI    I    Tipo de Soporte:         cambio de datos       I    Observaciones:                I         I    Su petición fue atendida    I         I    " u="1"/>
        <s v="Se programo una nueva tabla para presentar lso estados financieros, con base en el diseño solicitado" u="1"/>
        <s v="Se sustituye archivo adjunto del folio: 0064100740320." u="1"/>
        <s v="Proceso de entrega y tranferencia del conocimiento del front" u="1"/>
        <s v="Se elimina el fondo en los iconos de laucher para Android y iOS" u="1"/>
        <s v="Se sustituye archivo adjunto  del folio:  1117100063521" u="1"/>
        <s v="Notificación de seguimiento  [  MA0312202002 ]      I         I         I    Estimado(a):                     Sergio Cortés    I         I         I    Le informamos que su ticket correspondiente a:    I                       I     Por medio del presente, solicito se regrese la actividad a &quot;Preparación del Proyecto de Resolución&quot;  de los dos siguientes recursos de revisión:    I        I    RRA 10426/20 vs INSUS    I        I    RRA 12956/20 vs PEMEX    I        I        I        I    Aplicación:                  SIGEMI    I    Tipo de Soporte:         REGRESO DE PASOS (2)       I    Observaciones:                I         I    Su petición fue atendida    I    " u="1"/>
        <s v="Notificación de seguimiento  [  MA2101202101 ]      I         I         I    Estimado(a):                     Alondra Jiménez Hernández    I         I         I    Le informamos que su ticket correspondiente a:    I                       I    Anexo el registro actualizado del certificado del Titular de la Unidad de Transparencia de la Centro de Investigación en Ciencias de Información Geoespacial, A.C., para su renovación en la Herramienta de Comunicación.     I         I    Aplicación:                  HCOM    I    Tipo de Soporte:         CAMBIO DE CERTIFICADO Y CONTRASEÑA     I    Observaciones:                I         I    Su petición fue atendida    I    " u="1"/>
        <s v="Se aplica testado de datos al folio: 0064100160221" u="1"/>
        <s v="Desarrollo e implementacion en el módulo de administración de acuses, el default por organismo garante, será el encargado de validar que siempre exista una imagen al ingresar un acuse, así como la implementación de la barra de herramientas por secciones dinámicas de acuses" u="1"/>
        <s v="Se  testan los datos del folio: 0064101345221" u="1"/>
        <s v="Se  testan los datos del folio: 0064101740821" u="1"/>
        <s v="Se  testan los datos del folio: 0064101355221" u="1"/>
        <s v="Notificación de seguimiento  [  MA3007202001 ]      I         I         I    Estimado(a):                     Tiara Gethsemanni Miranda Fuentes    I         I    Le informamos que su ticket correspondiente a:    I                       I        I    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    I         I    RRA 06496/20    I         I        I         I    Aplicación:                  SIGEMI    I    Tipo de Soporte:         REGRESO DE PASOS      I    Observaciones:                I         I    Su petición fue atendida    I         I    " u="1"/>
        <s v="Cerrar solicitud migrada a SISAI" u="1"/>
        <s v="Generación de reporte estadistico solicitado " u="1"/>
        <s v="    I    Notificación de seguimiento  [  MA0408202010 ]      I         I         I    Estimado(a):                     Alondra Jiménez Hernández    I         I    Le informamos que su ticket correspondiente a:    I                       I    renovación del certificado del Titular de la Unidad de Transparencia del PEMEX FERTILIZANTES en la Herramienta de Comunicación.    I         I    Aplicación:                  HCOM    I    Tipo de Soporte:         ACTUALIZACIÓN DE CERTIFICADO      I    Observaciones:                I         I    Su petición fue atendida    I         I        I    " u="1"/>
        <s v="Se sustituye archivo adjunto  del folio:  1117100063621" u="1"/>
        <s v="Se aplica cambio de modalidad a las solicitudes: 0001100053420." u="1"/>
        <s v="Se testan los datos de la solicitud con folio 0064101513421" u="1"/>
        <s v="Tratamiento de datos esenciales para clasificación" u="1"/>
        <s v="Desarrollo de tablas para el módulo de Directorios" u="1"/>
        <s v="Copia de archivos campus público a la nube" u="1"/>
        <s v="Creación de contollers " u="1"/>
        <s v="Respaldar Curso 2 de PA-ENEDA  de la plataforma anterior y restaurar en plataforma actual " u="1"/>
        <s v="Notificación de seguimiento  [  MA0802202113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del 2 al 28 febrero de 2021; debiéndose considerar los días comprendidos dentro de dicho periodo como inhábiles para evitar la propagación del coronavirus COVID-19.    I         I    Aplicación:                  INFOMEX NUEVO LEÓN    I    Tipo de Soporte:         AJUSTE DE PLAZOS       I    Observaciones:                I         I    Su petición fue atendida    I         I    " u="1"/>
        <s v="Notificación de seguimiento  [  MA1502202110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del 2 al 28 febrero de 2021; debiéndose considerar los días comprendidos dentro de dicho periodo como inhábiles para evitar la propagación del coronavirus COVID-19.    I        I    Aplicación:                  INFOMEX NUEVO LEÓN    I    Tipo de Soporte:         AJUSTE DE PLAZOS        I    Observaciones:                I         I    Su petición fue atendida    I         I    " u="1"/>
        <s v="    I    Notificación de seguimiento  [  MA2910202003 ]      I        I         I        I         I        I    Estimado(a):                     Lizbeth Adriana Cabrera Ortega    I        I         I        I    Le informamos que su ticket correspondiente a:    I        I                       I        I    corregir la fecha del turno del RRD 01464/20, ya que señala que el 23 de octubre de 2014, sin embargo según documento adjunto en la PNT, éste fue presentado a través de correo electrónico el sábado 24 de octubre de 2020, por lo que la fecha del turno debiera ser del lunes 26 de octubre de 2020​    I        I         I        I    Aplicación:                  SIGEMI    I        I    Tipo de Soporte:         Actualizar fecha y acuerdo     I        I    Observaciones:                I        I         I        I    Su petición fue atendida    I        I     " u="1"/>
        <s v="Se ajusta servicio que registra la configuración de pagos" u="1"/>
        <s v="GENERA CERTIFICADO DE SO Fid. 122.- BENJAMÍN HILL TRABAJADORES F.F.C.C. SONORA-BAJA CALIFORNIA" u="1"/>
        <s v="Prueba descompresión de formatos encontrados" u="1"/>
        <s v="Implementación del alta de Resoluciones Públicas por Tema." u="1"/>
        <s v="se generan los componentes de integrante: formulario, busqueda, modal, vista" u="1"/>
        <s v="Notificación de seguimiento  [  MA3009202201 ]    I    Estimado(a):                Alondra Jiménez Hernández    I        I     Le informamos que su ticket correspondiente a:    I    … sea generado un certificado genérico a nombre del TUT para cada sujeto enlistado y que con el mismo sea habilitado en la HCOM. Los datos son los siguientes...    I        I    Aplicación:                  HCOM    I    Tipo de Soporte        GENERACIÓN Y  ACTUALIZACIÓN DE CERTIFICADOS ( 4)     I    Observaciones:                I         I    Su petición fue atendida    I                 Favor de validar." u="1"/>
        <s v="Notificación de seguimiento  [  MA0503202006 ]      I         I         I    Estimado(a):                     Rosalinda Coria Mosqueda    I         I    Le informamos que su ticket correspondiente a:    I                       I        I    Agradeceré cambiar el correo electrónico en el recurso RRA 01865/20 en contra de Fiscalía General de la República, toda vez que el recurrente menciono tres correos adicionales, por lo que el que está habilitado para recibir notificaciones es cbuendia@ghs.com.mx.     I        I         I    Aplicación:                  SIGEMI    I    Tipo de Soporte:         CAMBIO DE CORREO       I    Observaciones:                I         I    Su petición fue atendida    I    " u="1"/>
        <s v="Modificación de header con ligas" u="1"/>
        <s v="Se  testan los datos del folio:0064101709321" u="1"/>
        <s v="Notificación de seguimiento  [  MA1710202202 ]    I        I    Estimado(a):                Rosalinda Coria Mosqueda    I         I     Le informamos que su ticket correspondiente a:    I         I    …cancelar la prevención y dejar en admitir, el acuerdo el RRA 15882/22, es un acuerdo de admisión, pero se notificó como prevención, por la denominación del archivo.    I        I         I    Aplicación:                SIGEMI    I    Tipo de Soporte        REGRESO DE PASOS     I    Observaciones:                I         I    Su petición fue atendida." u="1"/>
        <s v="Se sustituye archivo adjunto  del folio:  011000014121" u="1"/>
        <s v="Analisis y funcionalidad Usuarios " u="1"/>
        <s v="Correción flujo detalle quejas saimex, cambio de peticion post a get    I    Correción de boton queja en mis solicitudes, cuando candidata viene en 0    I    Implementar un redireccionamiento a la pantalla principal de la app, una vez que se ha registrado una queja a saimex    I    Cuando se registra una queja, enviar el archivo adjunto cuando éste sea cargado por el usuario.    I    Cuando se registre un adjunto en la alta de la queja, se debe poder descargar el archivo en la pantalla de detalle." u="1"/>
        <s v="Notificación de seguimiento  [  MA2206202106 ]    I        I    Estimado(a):                Pedro Esquivel Martínez    I        I         I     Le informamos que su ticket correspondiente a:    I                       I    por este medio Anexo el registro actualizado del certificado del Titular de la Unidad de Enlace del  “Instituto Nacional del Suelo Sustentable (Insus)”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CAMBIO DE CERTIFICADO       I    Observaciones:                I         I    Su petición fue atendida    I         I    " u="1"/>
        <s v="Notificación de seguimiento  [  MA2505202013 ]      I         I         I    Estimado(a):                     Pedro Esquivel Martínez    I         I    Le informamos que su ticket correspondiente a:    I                       I    Anexo el registro actualizado del certificado del Titular de la Unidad de Enlace del  “Instituto Nacional de Neurología y Neurocirugía Manuel Velasco Suárez” Lo Anterior a fin de que sus accesos sean habilitados en los otros sistemas que administra este Instituto (HCOM).  CAMBIO DE TITULAR, en cuanto se reciba la atención en HCOM se realizará la actualización de los demás sistemas correspondientes.    I        I         I    Aplicación:                  HCOM    I    Tipo de Soporte:         CAMBIO DE TUT      I    Observaciones:                I         I    Su petición fue atendida    I         I    " u="1"/>
        <s v="Adecuaciones al servicio que descargaba las respuestas registradas por parte de los Sujetos obligados en SISAI" u="1"/>
        <s v="Se  testan los datos del folio:   0064101366521" u="1"/>
        <s v="Integración de los componentes de  SISAI: portlets, servicios, procesos automáticos, scripts de base de datos, configuraciones iniciales." u="1"/>
        <s v="Se testan los datos  del folio: 0064101434221" u="1"/>
        <s v="Se  testan los datos del folio: 0064100651321" u="1"/>
        <s v="Se  da de alta al Sujeto Obligado Fuerza por México" u="1"/>
        <s v="Los semáforos no funcionan y se requiere corrección y revisión de logs." u="1"/>
        <s v="Generación de listado de sujetos obligados incluyendo claves de Sujeto, Sector y clasificación." u="1"/>
        <s v="Notificación de seguimiento  [  MA2311202001 ]      I         I         I    Estimado(a):                     Alma Lizbeth Peguero Rivera    I          I    Le informamos que su ticket correspondiente a:    I                       I    Por medio de presente, solicito de la manera más atenta, su apoyo para retroceder los pasos en el sistema SIGEMI-SICOM en la PNT del siguiente asunto RRA 09224/20 OMGF, hasta la actividad “Registrar información de la sesión del pleno”; sin más por el momento, quedo en espera de sus comentarios.    I         I    Aplicación:                  SIGEMI    I    Tipo de Soporte:         REGRESO DE PASOS        I    Observaciones:                I         I    Su petición fue atendida    I    " u="1"/>
        <s v="Notificación de seguimiento  [  MA2611202101 ]    I        I    Estimado(a):                Alondra Jiménez Hernández    I        I         I     Le informamos que su ticket correspondiente a:    I                       I    Solicito la renovación en la Herramienta de Comunicación del certificado del siguiente sujeto obligado:    I        I    Clave Sujeto obligado    I    06920 Seguros de Crédito a la Vivienda SHF, S.A. de C.V.    I    06610 Fondo de Operación y Financiamiento Bancario a la Vivienda    I        I        I        I    Aplicación:                  HCOM    I    Tipo de Soporte:         ACTUALIZAR CERTIFICADO ( 2 )       I    Observaciones:                I         I    Su petición fue atendida    I    " u="1"/>
        <s v="Generar certificado para usuario de Archivo General de la Nación" u="1"/>
        <s v="Buenas tardes Alejandro, tu petición fue atendida, se adjuntan script solicitados,favor de validar     I         I     Saludos     I         I     Marina Adame Velasco    I         I     Notificación de seguimiento [ MA130120203 ]     I         I     Aplicación: INFOMEX TAMAULIPAS    I     Tipo de Soporte: Script para consulta de datos     I     Estatus: Concluido." u="1"/>
        <s v="Se  testan los datos del folio: 0064100735321" u="1"/>
        <s v="Vacaciones" u="1"/>
        <s v="Buenas tardes Francisco, tu petición fue atendida, favor de validar     I        I    SUJETO_OBLIGADO CLAVE    I    Fideicomiso para la Administración, Arrendamiento y Adecuación de oficinas alternas de la COTAI No. 851-01987 20200618-1345-2400-3730-1f3fd3a0ab8a    I        I        I    Saludos     I        I    Marina Adame Velasco    I        I    Notificación de seguimiento  [  MA1806202006 ]      I        I    Aplicación:                  INFOMEX NUEVO LEÓN    I    Tipo de Soporte:         Consulta de datos       I    Estatus:                               Concluido.    I    " u="1"/>
        <s v="Se  testan los datos del folio: 0064101366221" u="1"/>
        <s v="Notificación de seguimiento  [  MA2708202004 ]      I         I         I    Estimado(a):                     Sergio Rafael Cortés Alpizar    I         I    Le informamos que su ticket correspondiente a:    I                       I    Por medio del presente, solicito se regrese la actividad a &quot;Preparación del Proyecto de Resolución&quot;  del siguiente recurso de revisión:    I        I    RRA 7876/20 vs Comisión Reguladora de Energía    I        I    Lo anterior se debe a que se va a corregir el proyecto de resolución y se volverá a enviar.    I        I         I    Aplicación:                  SIGEMI    I    Tipo de Soporte:         REGRESO DE PASOS      I    Observaciones:                I         I    Su petición fue atendida    I    " u="1"/>
        <s v="Se  testan los datos del folio: 0064101376221" u="1"/>
        <s v="Se sustituye archivo adjunto y se testan los datos del folio: 0064100114221 " u="1"/>
        <s v="Buenas tardes Fernando, revisando la configuración del Sujeto Obligado, el usuario responsable es José Luis Mendoza Pérez con login joselmp, la contraseña del usuario ustedes la pueden reestablecer desde su cuenta de administrador.    I        I    Cualquier duda o comentario estoy a sus ordenes    I        I    Saludos     I        I    Marina Adame     I    " u="1"/>
        <s v="Recepcion solicitudes aceptar" u="1"/>
        <s v="Notificación de seguimiento  [  MA2807202002 ]      I         I         I    Estimado(a):                     Edgar Michel Loaeza Martínez    I         I    Le informamos que su ticket correspondiente a:    I                       I    Por medio del presente solicito su valioso apoyo a efecto de dar de alta los certificados de Titular de la Unidad de Transparencia de los sujetos obligados que se enlistan a continuación y que pertenecen a la Secretaría de Hacienda y Crédito Público    I         I    Aplicación:                  HCOM    I    Tipo de Soporte:         CAMBIO DE TUT (5) y actualización de certificados ( 5 )    I    " u="1"/>
        <s v="Estimada Alejandra    I        I    Su petición fue atendida, adjunto el reporte solicitado    I         I          I                Favor de validar.    I         I    Estatus:                               Concluido.    I        I        I    Notificación de seguimiento  [  MA0505202109 ]      I    Aplicación:                  INFOMEX BCN    I    Tipo de Soporte:         AJUSTE DE PLAZOS       I        I    " u="1"/>
        <s v="Buenas tardes Moisés, tu petición fue atendida, favor de validar     I        I        I    http://documentos.inai.org.mx/tmp/infomexPuebla_backup_2020-10-16_0948.bak    I        I        I        I    Saludos     I        I    Marina Adame Velasco    I        I    Notificación de seguimiento  [  MA1610202004 ]      I        I    Aplicación:                  INFOMEX PUEBLA     I    Tipo de Soporte:         ENVIO DE RESPALDO BD       I    Estatus:                               Concluido.    I        I    " u="1"/>
        <s v="Sitio en WordPress" u="1"/>
        <s v="Buenas tardes Berenice, tu petición fue atendida, favor de validar     I        I    Saludos     I        I    Marina Adame Velasco    I        I    Notificación de seguimiento  [  MA0409202001 ]      I        I    Aplicación:                  INFOMEX OAXACA    I    Tipo de Soporte:         AJUSTE DE PLAZOS        I    Estatus:                               Concluido.    I        I         I    " u="1"/>
        <s v="Se cambia el tipo de solicitud del folio: 0001200007721" u="1"/>
        <s v="Se adapta proceso para la respuesta esperada en la peticion, se contestan las quejas de saimex, enviando archivo adjunto junto al content.type" u="1"/>
        <s v="Se  sustituye archivo de folio  1816400190821" u="1"/>
        <s v="Notificación de seguimiento  [  MA2402202111 ]      I         I         I    Estimado(a):                     ALEJANDRA TEJEDA    I         I         I    Le informamos que su ticket correspondiente a:    I                       I    reportes de solicitudes de 2018 y 2019 que contenga el dato de tipo de solicitudes (información pública y datos personales), para poder atender una solicitud presentada ante este Órgano Garante.    I        I         I    Aplicación:                  INFOMEX BCN    I    Tipo de Soporte:         REPORTE       I    " u="1"/>
        <s v="análisis del módulo configuracion de procesos " u="1"/>
        <s v="Se sustituye archivo adjunto y se testan los datos del folio:  1816700000721" u="1"/>
        <s v="La usuaria Claudia reporta problemas para visualizar opentext desde su VPN." u="1"/>
        <s v="Se cambia el buscar por colonia con base a estado y municipio a listar colonias por CP" u="1"/>
        <s v="Se agrega validación  para tomar en cuenta la fecha recepción tipeada en formulario  de solicitudes manuales." u="1"/>
        <s v="Notificación de seguimiento  [  MA1111202008 ]      I         I         I    Estimado(a):                     Alma Lizbeth Peguero Rivera    I         I         I    Le informamos que su ticket correspondiente a:    I                       I    Por medio de presente, solicito de la manera más atenta, su apoyo para retroceder los pasos en el sistema SIGEMI-SICOM en la PNT del siguiente asunto RRA 08179/20 OMGF DEL PLENO 03-11-20 , hasta la actividad “Registrar información de la sesión del pleno”; sin más por el momento, quedo en espera de sus comentarios.    I        I         I    Aplicación:                  SIGEMI    I    Tipo de Soporte:         REGRESO DE PASOS        I    Observaciones:                I         I    Su petición fue atendida    I    " u="1"/>
        <s v="Desarrollo de servicio compartir la información entre componentes" u="1"/>
        <s v="Seccion 1 UT" u="1"/>
        <s v="Cambios en fechas" u="1"/>
        <s v="Se aplica eliminación de formato de pago: 2210300083920" u="1"/>
        <s v="Consulta de solicitudes registradas en infomex federal en periodo de tiempo solicitado " u="1"/>
        <s v="Se testan los datos  del folio: 0064101341221" u="1"/>
        <s v="Atención y seguimiento a tickets y correos respecto al acceso de usuarios a la PNT. Reinicio de contraseña" u="1"/>
        <s v="Se sustituye archivo adjunto y se testan los datos del folio:  1816900000721" u="1"/>
        <s v="Se solicitó ajustar dos casos de Imposición de Sanciones donde la nomenclatura pertenecía al año 2020 y no a 2021. Se realizó el ajuste en el Folio, no, de serie y no. De expediente" u="1"/>
        <s v="Se aplica el cambio de modalidad para el folio: 0001100013220." u="1"/>
        <s v="Continúa el apoyo en consultas y validación de la información generada con las bases de datos en custodia (casos de diversos estados) en lo referente principalmente a documentación adjunta.    I    Continúa el traslado de información recuperada de CDMX al repositorio en la red interna (infomex2019 (\\vcifs) Z:)     I    De la recuperación de información del Estado de México, se inician las validaciones de los datos corroborando que el contenido sea congruente, que cumpla con la estructura solicitada.     I    Continúa la revisión de los datos contenidos con el fin de notificar las posibles anomalías que presente la información cargada del Estado de México. Adicional.    I    Validar las URL´s remotas de todos los órganos garantes que genera el buscador para corroborar su actualización, confirmando que en los casos de Morelos, Baja California y Baja California Sur no presenta información. Se logra realizar la conexión con Morelos reconstruyendo la ruta URL final, pero en la validación se observó que no se tiene la información de 2014 y parte de 2015 en línea, también se logró construir la URL del caso de Baja California, donde las pruebas fue satisfactoria. Para el caso de Baja California Sur, este sigue en proceso de identificación.    I    Se inicia un proceso de análisis comparativo de la información de los catálogos de municipio, colonias y código postal de entre VUT y Federado." u="1"/>
        <s v="Se cambia el tipo de solicitud del folio: 0002700086621" u="1"/>
        <s v="Respaldar Curso 7  de la plataforma anterior y restaurar en plataforma actual " u="1"/>
        <s v="Buenas tardes Isaac, tu petición fue atendida, favor de validar     I        I    Saludos     I        I    Marina Adame Velasco    I        I    Notificación de seguimiento  [  MA1308202005 ]      I        I    Aplicación:                  INFOMEX OAXACA     I    Tipo de Soporte:         AJUSTE DE PLAZOS        I    Estatus:                               Concluido.    I    " u="1"/>
        <s v="    I    Notificación de seguimiento  [  MA1203202015 ]      I         I         I    Estimado(a):                     Erika Priscyla Casas Carvallo    I         I    Le informamos que su ticket correspondiente a:    I                       I    Por este conducto informo que el registro del RRD 00508/20 se encuentra duplicado en la Plataforma, por lo que se solicita se elimine uno de los registros para evitar incidencias posteriores.    I        I         I    Aplicación:                  SIGEMI    I    Tipo de Soporte:         Corrección de incidencia       I    Observaciones:                I         I    Su petición fue atendida     I         I        I         I                Favor de validar.    I         I    Estatus:                               Concluido.    I    " u="1"/>
        <s v="Actualización de logos en el footer" u="1"/>
        <s v="Listado plugins línea de tiempo" u="1"/>
        <s v="Notificación de seguimiento  [  MA0309202007 ]      I         I         I    Estimado(a):                     María Guadalupe Beltrán Martínez    I         I    Le informamos que su ticket correspondiente a:    I                       I    El motivo de mi correo es para solicitar su ayuda para cambiar en la Plataforma Nacional de Transparencia el medio de notificación de un recurrente, lo anterior de conformidad con el acuerdo de veintiocho de agosto de dos mil veinte, a través del cual se autoriza como medio para recibir toda clase de notificaciones en el Recurso de Revisión RRA 6499/20 el correo electrónico a_mov_med_20-20@protonmail.com.    I         I    Aplicación:                  SIGEMI    I    Tipo de Soporte:         CAMBIO DE MEDIO       I    Observaciones:                I         I    Su petición fue atendida    I        I    " u="1"/>
        <s v="Notificación de seguimiento  [  MA0203202002 ]      I         I         I    Estimado(a):                     Pedro Esquivel Martínez    I         I    Le informamos que su ticket correspondiente a:    I                       I    Anexo el registro actualizado del certificado del Titular de la Unidad de Enlace del  “CONSEJO NACIONAL DE FOMENTO EDUCATIVO” Lo Anterior a fin de que sus accesos sean habilitados en los otros sistemas que administra este Instituto (HCOM).  CAMBIO DE TITULAR, en cuanto se reciba la atención en HCOM se realizará la actualización de los demás sistemas correspondientes.    I        I         I    Aplicación:                  HCOM    I    Tipo de Soporte:         CAMBIO DE TITULAR       I    Observaciones:                I         I    Su petición fue atendida    I    " u="1"/>
        <s v="Notificación de seguimiento  [  MA1502202126 ]      I         I         I    Estimado(a):                     Martha Rubí Zaragoza Mora    I          I    Le informamos que su ticket correspondiente a:    I                       I    El presente correo es para pedir su amable apoyo para el ajuste de términos de los folios debido al Acuerdo que enviaron los siguientes Sujetos Obligados a la COTAI por el cual se amplían la fecha del 2 al 28 febrero de 2021; debiéndose considerar los días comprendidos dentro de dicho periodo como inhábiles para evitar la propagación del coronavirus COVID-19.    I         I    Aplicación:                  INFOMEX NUEVO LEÓN    I    Tipo de Soporte:         AJUSTE DE PLAZOS        I    Observaciones:                I         I    Su petición fue atendida    I    " u="1"/>
        <s v="Se  testan los datos del folio:  0064101439921" u="1"/>
        <s v="Respaldar Curso 7 de Miscelánea INAI  de la plataforma anterior y restaurar en plataforma actual " u="1"/>
        <s v="Notificación de seguimiento  [  MA2909202201 ]    I        I    Estimado(a):                Abraham Obed Gallardo González    I         I     Le informamos que su ticket correspondiente a:    I        I    actualizar el certificado de acceso a la HCOM del sujeto obligado INCMNSZ, ya que su vigencia ha expirado.    I        I         I    Aplicación:                  HCOM    I    Tipo de Soporte         ACTUALIZACIÓN DE CERTIFICADO " u="1"/>
        <s v="Se  testan los datos del folio: 0064101367221" u="1"/>
        <s v="Implementación check all en árbol obligaciones de transparencia" u="1"/>
        <s v="Se  testan los datos del folio: 0064101762821" u="1"/>
        <s v="Se  testan los datos del folio:  0000600121021" u="1"/>
        <s v="Implementacion plugin pdf viewer" u="1"/>
        <s v="Desarrollo de  pantalla recepción de solicitudes " u="1"/>
        <s v="Se aplica testado de datos al folio: 0064103167720" u="1"/>
        <s v="Se sustituye archivo adjunto  del folio: 011000023521" u="1"/>
        <s v="Notificación de seguimiento  [  MA0906202109 ]    I        I    Estimado(a):                Verónica Velázquez Hernández    I        I         I     Le informamos que su ticket correspondiente a:    I                       I    Te escribo el presente para solicitarte ayuda en la eliminación de los requerimientos realizados a través de la Herramienta con números IFAI-REQ-002904-2021 y IFAI-REQ-002905-2021 realizados al Fondo de ayuda, asistencia y reparación integral (CEAV F1) y al Fondo de la Financiera Rural (FND F1) respectivamente. Lo anterior debido a que se notificó la información de forma errónea.     I        I         I    Aplicación:                  HCOM    I    Tipo de Soporte:         ELIMINAR REQUERIMIENTO (2)      I    Observaciones:                I         I    Su petición fue atendida    I    " u="1"/>
        <s v="Se  testan los datos del folio: 0000600208921" u="1"/>
        <s v="Buenas tardes Guillermo, tu petición fue atendida, favor de validar     I        I    Saludos     I        I    Marina Adame Velasco    I        I    Notificación de seguimiento  [  MA0107202010 ]      I        I    Aplicación:                  INFOMEX BCN    I    Tipo de Soporte:         Ajuste de plazos        I    Estatus:                               Concluido.    I    " u="1"/>
        <s v="Buenas tardes Guillermo, tu petición fue atendida, favor de validar     I        I    Saludos     I        I    Marina Adame Velasco    I        I    Notificación de seguimiento  [  MA0607202002 ]      I        I    Aplicación:                  INFOMEX BCN    I    Tipo de Soporte:         Ajuste de plazos        I    Estatus:                               Concluido.    I    " u="1"/>
        <s v="Buenas tardes Guillermo, tu petición fue atendida, favor de validar     I        I    Saludos     I        I    Marina Adame Velasco    I        I    Notificación de seguimiento  [  MA0607202010 ]      I        I    Aplicación:                  INFOMEX BCN    I    Tipo de Soporte:         AJUSTE DE PLAZOS        I    Estatus:                               Concluido.    I    " u="1"/>
        <s v="Buenas tardes Guillermo, tu petición fue atendida, favor de validar     I        I    Saludos     I        I    Marina Adame Velasco    I        I    Notificación de seguimiento  [  MA0607202012 ]      I        I    Aplicación:                  INFOMEX BCN    I    Tipo de Soporte:         AJUSTE DE PLAZOS        I    Estatus:                               Concluido.    I    " u="1"/>
        <s v="Buenas tardes Guillermo, tu petición fue atendida, favor de validar     I        I    Saludos     I        I    Marina Adame Velasco    I        I    Notificación de seguimiento  [  MA0906202002 ]      I        I    Aplicación:                  INFOMEX BCN    I    Tipo de Soporte:         AJUSTE DE PLAZOS        I    Estatus:                               Concluido.    I    " u="1"/>
        <s v="Buenas tardes Guillermo, tu petición fue atendida, favor de validar     I        I    Saludos     I        I    Marina Adame Velasco    I        I    Notificación de seguimiento  [  MA1407202002 ]      I        I    Aplicación:                  INFOMEX BCN    I    Tipo de Soporte:         Ajuste de plazos        I    Estatus:                               Concluido.    I    " u="1"/>
        <s v="Buenas tardes Guillermo, tu petición fue atendida, favor de validar     I        I    Saludos     I        I    Marina Adame Velasco    I        I    Notificación de seguimiento  [  MA1607202002 ]      I        I    Aplicación:                  INFOMEX BCN    I    Tipo de Soporte:         AJUSTE DE PLAZOS        I    Estatus:                               Concluido.    I    " u="1"/>
        <s v="Buenas tardes Guillermo, tu petición fue atendida, favor de validar     I        I    Saludos     I        I    Marina Adame Velasco    I        I    Notificación de seguimiento  [  MA1706202001 ]      I        I    Aplicación:                  INFOMEX BCN    I    Tipo de Soporte:         AJUSTE DE PLAZOS        I    Estatus:                               Concluido.    I    " u="1"/>
        <s v="Buenas tardes Guillermo, tu petición fue atendida, favor de validar     I        I    Saludos     I        I    Marina Adame Velasco    I        I    Notificación de seguimiento  [  MA2004202003 ]      I        I    Aplicación:                  INFOMEX BCN    I    Tipo de Soporte:         Ajuste de plazos        I    Estatus:                               Concluido.    I    " u="1"/>
        <s v="Buenas tardes Guillermo, tu petición fue atendida, favor de validar     I        I    Saludos     I        I    Marina Adame Velasco    I        I    Notificación de seguimiento  [  MA2007202008 ]      I        I    Aplicación:                  INFOMEX BCN    I    Tipo de Soporte:         Ajuste de plazos        I    Estatus:                               Concluido.    I    " u="1"/>
        <s v="Buenas tardes Guillermo, tu petición fue atendida, favor de validar     I        I    Saludos     I        I    Marina Adame Velasco    I        I    Notificación de seguimiento  [  MA2707202007 ]      I        I    Aplicación:                  INFOMEX BCN    I    Tipo de Soporte:         Ajuste de plazos        I    Estatus:                               Concluido.    I    " u="1"/>
        <s v="Buenas tardes Guillermo, tu petición fue atendida, favor de validar     I        I    Saludos     I        I    Marina Adame Velasco    I        I    Notificación de seguimiento  [  MA2807202004 ]      I        I    Aplicación:                  INFOMEX BCN    I    Tipo de Soporte:         Ajuste de plazos        I    Estatus:                               Concluido.    I    " u="1"/>
        <s v="Se cambia el tipo de solicitud 6 Solicitudes de la UNAM" u="1"/>
        <s v="Configuración del módulo de reportes." u="1"/>
        <s v="Se aplica eliminación de última respuesta de la solicitud: 1511100024420." u="1"/>
        <s v="Buenas tardes Lisset, tu petición fue atendida, adjunto script solicitados, te comento que en la base no existe un campo que guarde el dato de edad del solicitante, solo la fecha de nacimiento, mañana te envío el del punto 1,favor de validar     I        I    Saludos     I        I    Marina Adame Velasco    I        I    Notificación de seguimiento  [  MA2309202007 ]      I        I    Aplicación:                  INFOMEX TABASCO    I    Tipo de Soporte:         Corrección de nombre de archivo adjunto       I    Estatus:                               Concluido.    I    " u="1"/>
        <s v="Notificación de seguimiento  [  MA0305202201 ]    I        I    Estimado(a):                Abraham Obed Gallardo González    I        I         I     Le informamos que su ticket correspondiente a:    I                       I    Por este medio me permito anexar el registro actualizado del certificado del Titular de la Unidad de Enlace de la Comisión Nacional Forestal.  Lo Anterior a fin de que sus accesos sean habilitados en los otros sistemas que administra este Instituto (HCOM).  CAMBIO DE TITULAR, en cuanto se reciba la atención en HCOM se realizará la actualización de los demás sistemas correspondientes.    I        I         I         I    Aplicación:                  HCOM    I    Tipo de Soporte:         ACTUALIZACIÓN DE CERTIFICADO        I    Observaciones:                I         I    Su petición fue atendida    I    " u="1"/>
        <s v="Evidencias incidencia MD5" u="1"/>
        <s v="Correcion de servicio busqueda de usuarios por unidad Admin     I    " u="1"/>
        <s v="Se aplica eliminación de última respuesta de la solicitud: 0001500135720" u="1"/>
        <s v="CRUD de subenlaces terminando con el servicio para la crecaion de un subenlaces " u="1"/>
        <s v="    I    Notificación de seguimiento  [  MA2310202001 ]      I         I         I    Estimado(a):                     Lizbeth Adriana Cabrera Ortega    I         I    Le informamos que su ticket correspondiente a:    I                       I    Que sea modificado el acuerdo de turno del recurso RRD 01289/20.    I         I    Aplicación:                  SIGEMI    I    Tipo de Soporte:         Actualizar archivo      I    Observaciones:                I         I    Su petición fue atendida    I         I    " u="1"/>
        <s v="Se aplica el testado de datos de la solicitud: 0000700004920." u="1"/>
        <s v="Buenas tardes David, tu petición fue atendida, te envío resultado de consulta realizada a su base de datos, con la descripción que solicitas, favor de validar     I        I    Saludos     I        I    Marina Adame Velasco    I        I    Notificación de seguimiento  [  MA0604202004 ]      I        I    Aplicación:                  INFOMEX MICHOACAN    I    Tipo de Soporte:         REPORTE DE SOLICITUDES       I    Estatus:                               Concluido.    I        I    " u="1"/>
        <s v="Se aplicó la respuesta de manera manual a la solicitud: 2210000013320." u="1"/>
        <s v="Actualización de la orden del día" u="1"/>
        <s v="Creacion de vista inicial y para buscador Directorio" u="1"/>
        <s v="Aplicar cambios de análisis heurístico, cambio de imágenes grises en las pizarras, banner en el administrador y publico " u="1"/>
        <s v="Buenos días César, tu petición fue atendida, favor de validar     I        I    Saludos     I        I    Marina Adame Velasco    I        I    Notificación de seguimiento  [  MA1906202004 ]      I        I    Aplicación:                  INFOMEX BCS    I        I    Tipo de Soporte:         SCRIPT       I    Estatus:                               Concluido.    I    " u="1"/>
        <s v="Evaluación y diseño para etiquetado" u="1"/>
        <s v="Integración de funciones de descarga de información - Solicitudes" u="1"/>
        <s v="Notificación de seguimiento  [  MA0206202103 ]    I        I    Estimado(a):                Edgar Michel Loaeza Martínez    I        I         I     Le informamos que su ticket correspondiente a:    I                       I    Por medio del presente solicito su valioso apoyo a efecto de hacer el cambio del Titular de la Unidad de Transparencia de la Secretaría de la Defensa Nacional.    I        I    Para tal efecto, anexo al presente el certificado, nombramiento, lo anterior, a fin de que sus accesos sean habilitados en los sistemas que administra este Instituto (HCOM e INFOMEX).      I        I         I    Aplicación:                  HCOM    I    Tipo de Soporte:         Cambio de TUT      I    " u="1"/>
        <s v="Se sustituye archivo adjunto  del folio:  0002700046521" u="1"/>
        <s v="    I    Notificación de seguimiento  [  MA2409202003 ]      I         I         I    Estimado(a):                     Lizbeth Adriana Cabrera Ortega    I         I    Le informamos que su ticket correspondiente a:    I                       I    generación de dos expedientes BIS de los recursos de revisión posteriormente citados.    I         I    Aplicación:                  SIGEMI    I    Tipo de Soporte:         CAMBIO A BIS (2)      I    Observaciones:                I         I    Su petición fue atendida    I         I    " u="1"/>
        <s v="Implementación de la modificación de Subtemas." u="1"/>
        <s v="Se  testan los datos del folio: 0064101763821" u="1"/>
        <s v="Pruebas unitarias y corrección de incidencias" u="1"/>
        <s v="Generación de respaldo de los campus." u="1"/>
        <s v="Se testan los datos de la solicitud con folio: 0064101452921" u="1"/>
        <s v="Apoyo ambiente de calidad" u="1"/>
        <s v="Script BD para usuario declaración inicial" u="1"/>
        <s v="Objetivos" u="1"/>
        <s v="Validación de volumetrías en información compartida sobre SIPOT" u="1"/>
        <s v="Implementación de ReCaptcha para la pantalla de recuperación de contraseña" u="1"/>
        <s v="Notificación de seguimiento  [  MA1805202003 ]      I         I         I    Estimado(a):                     Lizbeth Adriana Cabrera Ortega    I         I    Le informamos que su ticket correspondiente a:    I                       I    Solicito tu valioso apoyo a fin de atender la petición de la ponencia, ya que se trata de un recurso que ingresó vía INFOMEX el día 20 de marzo a las 16:31 horas.     I        I    Sin embargo, el documento de turno fue generado por la herramienta con fecha 22 de marzo como muestro con copia de pantalla.    I        I    Pido de ser posible se hagan los ajustes relativos en la herramienta y se suba el documento de turno.    I        I         I    Aplicación:                  SIGEMI    I    Tipo de Soporte:         ACTUALIZACIÓN DE ARCHIVO Y FECHA DE INTERPOSICIÓN      I    Observaciones:                I         I    Su petición fue atendida    I    " u="1"/>
        <s v="Se elimina respuesta  de la solicitud con  folio 0001200407621" u="1"/>
        <s v="    I    Notificación de seguimiento  [  MA1706202201 ]    I        I    Estimado(a):                JUAN PEDRO RAMIREZ FLORES    I        I         I     Le informamos que su ticket correspondiente a:    I        I    Buenas tardes, favor de cambiar el número de expediente con número RRAIP-1115/2022 por  RRAIP-440/2022-Bis.  siendo que este medio de impugnación fue desechado de origen por este Órgana garante local, sin embargo y toda vez que por mandato emitido por el Instituto Nacional de Transparencia y Protección de Datos Personales INAI, decreta la admisión del recurso de revisión     I        I         I    Aplicación:                  SIGEMI/SICOM    I    Tipo de Soporte:         CAMBIO A BIS     I    Observaciones:                I         I    Su petición fue atendida.     I         I         I        I                 Favor de validar.    I         I    Estatus:                               Concluido    I    " u="1"/>
        <s v="Revisión de avances" u="1"/>
        <s v="Derivado del error anterior, se ajusto folio, contadores" u="1"/>
        <s v="Desarrollo de componente Drag and Drop para el modulo de acuses en INAI" u="1"/>
        <s v="Buenas tardes Memo, tu petición fue atendida, favor de validar     I        I    Saludos     I        I    Marina Adame Velasco    I        I    Notificación de seguimiento  [  MA2905202006 ]      I        I    Aplicación:                  INFOMEX BCN     I    Tipo de Soporte:         AJUSTE DE PLAZOS        I    Estatus:                               Concluido.    I        I    " u="1"/>
        <s v="Notificación de seguimiento  [  MA1412202009 ]      I         I         I    Estimado(a):                     Guillermo Delgado Ibarra    I         I     Le informamos que su ticket correspondiente a:    I                       I    con 2 peticiones     I    Nota.- Agregando el campo de tipo de solicitud (Datos/Información)    I    1.- el reporte de solicitudes hasta la fecha    I    2.- el reporte de solicitudes referente a COVIT, CORONAVIRUS, y me solicitan agregar dos palabras a la búsqueda, (EMERGENCIA y PANDEMIA) además descripción de la respuesta y el estatus de cada solicitud    I         I    Aplicación:                  INFOMEX BCN    I    Tipo de Soporte:         REPORTE       I    " u="1"/>
        <s v="Se aplica cambio de tipo de solicitud  al  folio:  0001200480020" u="1"/>
        <s v="Notificación de seguimiento  [  MA1603202203 ]    I        I    Estimado(a):                Edgar Michel Loaeza Martínez    I        I         I     Le informamos que su ticket correspondiente a:    I                       I    Por medio del presente solicito su valioso apoyo a efecto de realizar la renovación de Certificado de la Titular de la Unidad de Transparencia del Colegio Superior Agropecuario del Estado de Guerrero, lo anterior, en virtud de que se encuentra activo actualmente, ya se encuentra vencido.    I        I    Para tal efecto, anexo al presente el certificado, y nombramiento, lo anterior, a fin de que sus accesos sean habilitados en los sistemas que administra este Instituto (HCOM).      I        I         I    Aplicación:                  HCOM    I    Tipo de Soporte:         CAMBIO DE CERTIFICADO      I    Observaciones:                I         I    Su petición fue atendida    I    " u="1"/>
        <s v="Se continua con el desarrollo del modulo de Administracion" u="1"/>
        <s v="Buenas tardes Francisco, adjunto resultados de la consulta,  favor de validar     I        I        I    Saludos     I        I    Marina Adame Velasco    I        I    Notificación de seguimiento  [  MA1208202007 ]      I        I    Aplicación:                  INFOMEX NUEVO LEÓN    I    Tipo de Soporte:         Consulta       I    Estatus:                               Concluido.    I        I    " u="1"/>
        <s v="Script BD declaración inicial Alvaro Diaz" u="1"/>
        <s v="Generación de script de concatenación de datos SISAI, SIGEMI-SICOM" u="1"/>
        <s v="Se  testan los datos del folio: 0064101339221" u="1"/>
        <s v="Se  testan los datos del folio: 3670000023821 " u="1"/>
        <s v="Se cambia el tipo de solicitud del folio: 0610100109021" u="1"/>
        <s v="Notificación de seguimiento  [  MA1402202004 ]      I         I    Estimado(a):                     Alfredo Iván Moreno Pérez    I         I    Le informamos que su ticket correspondiente a:    I                       I    Solicito su apoyo para la modificación del plazo de cumplimiento en la PNT del RRA 14374/19 ya que se indicó como plazo para su cumplimiento 10 días pero el plazo correcto es de 30 días por lo que de estar dentro de sus posibilidades solicitaría de la manera más atenta se añadan 20 días al plazo de cumplimiento que le resta al Sujeto Obligado.    I        I    Para facilitar la modificación solicitada, les menciono que el día en el que vence el cumplimiento de la resolución es el 25 de marzo del presente.    I        I         I    Aplicación:                  SIGEMI    I    Tipo de Soporte:         CAMBIO DE PLAZO       I    Observaciones:                I         I    Su petición fue atendida    I    " u="1"/>
        <s v="Menus" u="1"/>
        <s v="Se aplica eliminación de formato de pago manual: 0002700379519." u="1"/>
        <s v="Definición de Etiquetado de tabla SIPOT" u="1"/>
        <s v="Buenas tardes a todos, adjunto a este correo, los scripts con las modificaciones que se definieron y que son las siguientes:    I        I    Quitar la referencia al archivo de respuesta de la solicitud    I    Quitar la referencia a la ruta del archivo de respuesta de la solicitud    I    Agregar el campo acto recurrido    I        I    Cualquier observación estoy a sus ordenes    I        I    Saludos    I        I    Marina Adame    I        I    " u="1"/>
        <s v="Revisión y análisis del módulo Administracion de Pagos Administracion tematica solicitud." u="1"/>
        <s v="Mostrar donde estan los archivos adjuntos de los registros" u="1"/>
        <s v="Se aplica testado de datos al folio: 1117100100320" u="1"/>
        <s v="    I    Notificación de seguimiento  [  MA1311202004 ]      I          I    Estimado(a):                     LIZBETH  CABRERA    I          I    Le informamos que su ticket correspondiente a:    I                       I    Actualizar datos y turnos de los recursos RRA 12285 y RRA 12286    I        I         I    Aplicación:                  SIGEMI    I    Tipo de Soporte:         ACTUALIZACIÓN DE DATOS        I    Observaciones:                I         I    Su petición fue atendida    I    " u="1"/>
        <s v="Orientación para la solicitud: 1111500036219." u="1"/>
        <s v="Se testan los datos y se sustituye el archivo de la solicitud con folio: 0064101406021" u="1"/>
        <s v="Mapear tabla donde se van a insertar los registros" u="1"/>
        <s v="Hola Fer y Toño, adjunto la ultima versión de los scripts, como lo platicamos, se quitaron los SIN INFORMACIÓN, para que en caso de no existir dato se vaya vacío y no afecte a la validación que están realizando.    I        I    Quedo atenta    I        I    Saludos     I        I    Marina Adame    I    " u="1"/>
        <s v="Prueba de volumetrías de tablas SIPOT y SIPOT DETALLE" u="1"/>
        <s v="Buenas tardes Guillermo, tu petición fue atendida, favor de validar     I        I    Saludos     I        I    Marina Adame Velasco    I        I    Notificación de seguimiento  [  MA2408202005 ]      I        I    Aplicación:                  INFOMEX BCN     I    Tipo de Soporte:         REPORTES       I    Estatus:                               Concluido.    I        I    " u="1"/>
        <s v="Configuración del nuevo portlet para el desarrollo del la pantalla" u="1"/>
        <s v="Notificación de seguimiento  [  MA2608202007 ]      I         I         I    Estimado(a):                     Alondra Jiménez Hernández    I         I    Le informamos que su ticket correspondiente a:    I                       I    utilizar el certificado que adjunto para el siguiente sujeto obligado en lugar del que te remití anteriormente. Lo que sucede es que acaban de enviar el certificado personal de la TUT:    I        I    CLAVE DEPENDENCIA/ENTIDAD    I    00017 Fiscalía General de la República    I        I         I    Aplicación:                  HCOM    I    Tipo de Soporte:         CAMBIO DE CERTIFICADO       I    " u="1"/>
        <s v="Se testan los datos  del folio: 0064101428221" u="1"/>
        <s v="Se crea una pagina con el listado de las solicitudes de informacion al llegar notificacion push" u="1"/>
        <s v="    I    Notificación de seguimiento  [  MA0112202003 ]      I         I         I    Estimado(a):                     María del Rosario Díaz Aguilar    I         I         I    Le informamos que su ticket correspondiente a:    I                       I    Solicito de su apoyo con la asignación del certificado que adjunto, al Sindicato de Trabajadores del Poder Judicial de la Federación, la contraseña por asignar es: hcom2020    I         I    Aplicación:                  HCOM    I    Tipo de Soporte:         CAMBIO DE CERTIFICADO Y CONTRASEÑA       I    Observaciones:                I         I    Su petición fue atendida    I         I    " u="1"/>
        <s v="Se cambia el texto mostrado en el buscador nacional" u="1"/>
        <s v="Notificación de seguimiento  [  MA2306202202 ]    I        I    Estimado(a):               Abraham Obed Gallardo González    I        I         I     Le informamos que su ticket correspondiente a:    I        I    Con el gusto de saludarte y en espera de que todo marche bien, solicito tu amable apoyo para la actualización del Certificado del TUT del CIDESI, ya que nos ha indicado que se terminó la vigencia del anterior y nos envía el actual.    I        I         I    Aplicación:                  HCOM    I    Tipo de Soporte:         CAMBIO CERTIFICADO    I    Observaciones:                I         I    Su petición fue atendida.    I         I         I    " u="1"/>
        <s v="Corrección y entrega de componente de tabla historial" u="1"/>
        <s v="Búsqueda de resoluciones públicas para habilitación/des habilitación de resoluciones." u="1"/>
        <s v="Se  testan los datos del folio: 0064101735821" u="1"/>
        <s v="Se orienta al usuario para seguimiento de folio: 0000500381319 y la dependencia de la SECRETARIA DE  RELACIONES EXTERIORES" u="1"/>
        <s v="Notificación de seguimiento  [  MA1612202022 ]      I         I         I    Estimado(a):                     Berenice Hernández Sumano    I         I         I    Le informamos que su ticket correspondiente a:    I                       I    la afectación en base de datos de la fecha de caducidad de las solicitudes, toda vez que el Consejo General del IAIPO aprobó TÉRMINO DE SUSPENSIÓN DE PLAZOS DE LOS PROCEDIMIENTOS CUYO CONTENIDO ESTÉ RELACIONADO A LOS TEMAS COVID-19 (01/05/2020), SISMO DEL 23 DE JUNIO Y PROGRAMAS SOCIALES DERIVADOS DE LA EMERGENCIA SANITARIA (30/06/2020), PROCEDIMIENTOS DE ADJUDICACIÓN DIRECTA, INVITACIÓN RESTRINGIDA Y LICITACIÓN DE CUALQUIER NATURALEZA (28/08/2020).    I         I    Aplicación:                  INFOMEX OAXACA    I    Tipo de Soporte:         AJUSTE DE PLAZOS        I    " u="1"/>
        <s v="Se aplica eliminación de última respuesta de la solicitud: 0002700353220" u="1"/>
        <s v="Buenos días Isaac, tu petición fue atendida, la eliminación de acuses esta en proceso, te enviaré correo cuando me notifiquen que se concluyó, favor de validar     I        I    Saludos     I        I    Marina Adame Velasco    I        I    Notificación de seguimiento  [  MA0308202001 ]      I        I    Aplicación:                  INFOMEX OAXACA     I    Tipo de Soporte:         AJUSTE DE PLAZOS        I    Estatus:                               Concluido.    I        I    " u="1"/>
        <s v="Se elmina la respuesta del folio: 0001700063021" u="1"/>
        <s v="Se testan los datos de la solicitud con folio: 0064101456921" u="1"/>
        <s v="Feedback de tiendas/pruebas en dispositivos Android (play store)" u="1"/>
        <s v="Se aplica testado de datos al folio: 0110000022320." u="1"/>
        <s v="request y endpoint para consumo del front" u="1"/>
        <s v="    I    Notificación de seguimiento  [  MA0110202009 ]      I         I         I    Estimado(a):                     Laura Mónica Segovia Tellez    I         I    Le informamos que su ticket correspondiente a:    I                       I    Solicito su amable apoyo, para regresar el paso del RRA 09722/20 admitir prevenir desechar derivado de que se es una admisión y no un desechamiento    I        I    Muchas gracias por todo su apoyo y reciba un saludo muy afectuoso.    I        I         I    Aplicación:                  SIGEMI    I    Tipo de Soporte:         REGRESO DE PASOS      I    Observaciones:                I         I    Su petición fue atendida    I         I    " u="1"/>
        <s v="    I    Notificación de seguimiento  [  MA1703202007 ]      I         I         I    Estimado(a):                     Laura Mónica Segovia Tellez    I         I    Le informamos que su ticket correspondiente a:    I                       I    Solicito su amable apoyo, a fin de regresar el paso del cierre de instrucción del RRA 01997/20 ya que por la suspensión de plazos de la Secretaría de Economía el recurso todavía está en tiempo de realizar alegatos    I        I         I    Aplicación:                  SIGEMI    I    Tipo de Soporte:         Eliminación de cierre de instrucción    I    Observaciones:                I         I    Su petición fue atendida    I         I    " u="1"/>
        <s v="Migración de cursos campus garantes" u="1"/>
        <s v="Reunión, para conocer cual es el siguiente componente a desarrollar" u="1"/>
        <s v="Se le informó al equipo que ya estan los ajustes para el 10mo procedimiento de banderas 'OBTENER_FG_PREVENIDO',para que lo revisen y consuman desde el aplicativo " u="1"/>
        <s v="Se le informó al equipo que ya estan los ajustes para el 7mo procedimiento de banderas 'OBTENER_FG_PREVENCION',para que lo revisen y consuman desde el aplicativo " u="1"/>
        <s v="No se muestra/guarda campo ¿Cual? cuando se selecciona Pertenece a un pueblo indigena" u="1"/>
        <s v="Se Construccion vista para resultados busqueda Contratos" u="1"/>
        <s v="    I    Notificación de seguimiento  [  MA1103202004 ]      I         I         I    Estimado(a):                     Sergio Rafael Cortés Alpizar    I         I    Le informamos que su ticket correspondiente a:    I                       I    Buena tarde, por medio del presente solicito su apoyo para que se cambie el medio de notificación a correo electrónico y se incluya el mismo en la Plataforma Nacional de Transparencia del recurso de revisión:    I         I    RRD 0455/20 vs IMSS    I         I    El correo es: gaude.garcia@hotmail.com    I         I    Aplicación:                  SIGEMI    I    Tipo de Soporte:         CAMBIO DE MEDIO       I    Observaciones:                I         I    Su petición fue atendida    I        I    " u="1"/>
        <s v="Respaldar Curso 5  de la plataforma anterior y restaurar en plataforma actual " u="1"/>
        <s v="Instalación app para conectar VPN.     I    Verificar conexión a VPN INAI    I    Verificar ingreso a ambiente de pruebas, realizar pruebas de registro, notas de pruebas" u="1"/>
        <s v="Se  testan los datos del folio: 0320000422921" u="1"/>
        <s v="Carga de audio y version estenográfica" u="1"/>
        <s v="Se aplica testado de datos al folio:  0002700031321" u="1"/>
        <s v="Se sustituye archivo adjunto del folio: 0064103106320" u="1"/>
        <s v="Se sustituye archivo adjunto  del folio:  0064103311420" u="1"/>
        <s v="Se aplica eliminación de formato de pago: 0000500128321 " u="1"/>
        <s v="Transferencia de conocimiento para el login en PNT utilizando reyes sociales tomando como base la implementación actual.    I    Integración de Service para obtener Rol jerárquico" u="1"/>
        <s v="Se aplica testado de datos al folio:  0002700031421" u="1"/>
        <s v="Se genera certificado para las dependencias: 06572,06573,06574,06575,06576,06577." u="1"/>
        <s v="Buenas tardes Moisés, tu petición fue atendida, favor de validar     I        I        I    http://documentos.inai.org.mx/tmp/infomex_puebla_backup_2020-08-18_1343.bak    I        I    Saludos     I        I    Marina Adame Velasco    I        I        I        I    Notificación de seguimiento  [  MA1808202003 ]      I        I    Aplicación:                  INFOMEX PUEBLA     I    Tipo de Soporte:         Respaldo     I    Estatus:                               Concluido.    I    " u="1"/>
        <s v="Notificación de seguimiento  [  MA2107202112 ]    I        I    Estimado(a):                Moisés Guzmán Arias    I        I         I     Le informamos que su ticket correspondiente a:    I                       I    respaldo de la base de datos del sistema INFOMEX del estado de puebla.    I         I    Aplicación:                  INFOMEX PUEBLA    I    Tipo de Soporte:         RESPALDO      I    Observaciones:                I         I    Su petición fue atendida    I        I    http://documentos.inai.org.mx/tmp/infomexPUEBLA_backup_2021-07-21_1826.bak    I        I        I        I                 Favor de validar.    I         I    Estatus:                               Concluido    I    " u="1"/>
        <s v="Ajuste Web Service Desencriptar Password" u="1"/>
        <s v="Diseño de mockups ya con el modelo de la base de datos" u="1"/>
        <s v="Eliminar respuesta mediante control a bases de datos del folio 2210300044221" u="1"/>
        <s v="Respaldar Curso 5 de Miscelánea INAI  de la plataforma anterior y restaurar en plataforma actual " u="1"/>
        <s v="Notificación de seguimiento  [  MA1702202010 ]      I         I         I    Estimado(a):                     Berenice Hernández Sumano    I         I    Le informamos que su ticket correspondiente a:    I                       I    Buena tarde Marina y Horacio, no recibí el correo adjunto dónde me informaron que los diagramas enviados no empataban con la configuración de producción.    I        I    Confirmo a través de este medio que se ejecute en ambiente productivo el cambio compartido en la consulta SQL para afectación del plazo en el paso contestación SO proceso Recurso de Revisión, con el fin de homologar los sistemas Infomex y SICOM.     I        I    -- Actualiza 1 registro     I    UPDATE PROCESOTIPOPASO SET TIEMPOVERDEAMARILLO = 4, TIEMPOAMARILLOROJO = 7,     I    TIEMPOALERTA = 3, TIEMPOCADUCIDAD = 7,GUIDCALENDARIO = 'b293d09f-bed2-4bdd-a04b-dfee9e968ef9'    I    WHERE GUIDPROCESOTIPOPASO = '20160811-1322-2500-1630-a6d0c5ccf923'    I        I         I    Aplicación:                  INFOMEX OAXACA    I    " u="1"/>
        <s v="Notificación de seguimiento  [  MA1702202105 ]      I         I         I    Estimado(a):                     ALEJANDRA TEJEDA    I         I         I    Le informamos que su ticket correspondiente a:    I                       I    reporte de solicitudes 2021 con corte al día de hoy.    I         I    Aplicación:                  INFOMEX BCN    I    Tipo de Soporte:         REPORTE       I    Observaciones:                I         I    Su petición fue atendida    I         I    " u="1"/>
        <s v="Se aplica testado de datos al folio:  0064103316020" u="1"/>
        <s v="Notificación de seguimiento  [  MA2610202201 ]    I        I    Estimado(a):                Edgar Michel Loaeza Martínez    I        I     Le informamos que su ticket correspondiente a:    I        I    Estimados solicito su apoyo para que dicho certificado sea sustituido en el sistema Hcom.    I        I    Para tal efecto adjunto base de datos y certificados que amablemente me generaron e hicieron llegar.    I        I    SUJETO OBLIGADO_x0009_CLAVE_x0009_    I    CERTIFICADO_x0009_    I    CORREO ELECTRÓNICO_x0009_TITULAR DE LA UNIDAD DE TRANSPARENCIA_x0009_Contraseña    I    Fideicomiso Preventivo_x0009_04011_x0009_04011.Facundo.Santillan.Julian.cer_x0009_transparencia@sspc.gob.mx ; facundo.santillan@sspc.gob.mx     I    Mtro.Facundo Santillán Julián_x0009_hcom2022    I        I        I        I        I    Aplicación:                 HCOM    I    Tipo de Soporte        CAMBIO DE TUT     I        I        I    Observaciones:                I    Su petición fue atendida.    I    " u="1"/>
        <s v="se generan los servicios de Menu y los componentes de  Menu: formulario, modal, busqueda, vista" u="1"/>
        <s v="Notificación de seguimiento  [  MA0704202201 ]    I        I    Estimado(a):                Alondra Jiménez Hernández    I        I         I     Le informamos que su ticket correspondiente a:    I                       I    Debido al cambio de Titular de la Unidad de Transparencia, te pido sea generado un certificado genérico a nombre del TUT y que con el mismo sea habilitado en la HCOM. Los datos son los siguientes:    I    Clave Sujeto obligado Nombre del Titular de la Unidad de Transparencia Correo electrónico Contraseña    I    09174 Administración del Sistema Portuario Nacional Topolobampo, S.A. de C.V. Paul Estrella Zamora jdjuridico@puertotopolobampo.com.mx    I    Ver archivo adjunto    I         I         I    Aplicación:                  HCOM    I    Tipo de Soporte:         CAMBIO DE TUT       I    Observaciones:                I         I    Su petición fue atendida    I         I         I        I                 Favor de validar.    I         I    " u="1"/>
        <s v="Mejoras a los services builder de los cátalogos de federado" u="1"/>
        <s v="Notificación de seguimiento  [  MA0408202007 ]    I        I         I    Estimado(a):                     Berenice Hernández Sumano    I         I    Le informamos que su ticket correspondiente a:    I                       I    Por este medio solicito su apoyo para poder aplicar las afectaciones a las fechas:  Entrega de información relacionada con el Cumplimiento y Entrega de Alegatos y manifestaciones, de los recursos señalados en el archivo adjunto.Toda vez que el Consejo General aprobará en su Décima Tercera Sesión Ordinaria 2020, el ACUERDO POR EL CUAL EL CONSEJO GENERAL DEL INSTITUTO DE ACCESO A LA INFORMACIÓN PÚBLICA Y PROTECCIÓN DE DATOS PERSONALES, APRUEBA LA MODIFICACIÓN DEL RESOLUTIVO SEGUNDO DEL ACUERDO APROBADO EN LA DÉCIMA SESIÓN ORDINARIA, CELEBRADA EL TREINTA DE JUNIO DEL AÑO DOS MIL VEINTE, EN EL SENTIDO DE AMPLIAR SUS EFECTOS AL DIECIOCHO DE AGOSTO DEL AÑO EN CURSO, CON MOTIVO DE LA EMERGENCIA SANITARIA POR CAUSA DE FUERZA MAYOR, GENERADA POR EL VIRUS SARS-CoV2 (COVID-19)    I    http://www.iaipoaxaca.org.mx/site/descargas/acuerdos/ACDO-CG-005-SUSPENCION.pdf    I        I    Asimismo solicitó pueda liberarse la actividad de cumplimiento en el perfil de los sujetos obligados ya que desde SICOM esta actividad se cierra cuando vence el plazo de 10 días y la actividad de entrega de alegatos que vence en un plazo de 7 días.    I         I    Aplicación:                  SIGEMI    I    Tipo de Soporte:         AJUSTE DE PLAZOS       I    Observaciones:                I         I    Su petición fue atendida se realizó la actualización de fechas de cumplimiento y fechas limite de votación    I         I         I                Favor de validar.    I         I    " u="1"/>
        <s v="Notificación de seguimiento  [  MA2209202003 ]      I         I         I    Estimado(a):                     Lizbeth Adriana Cabrera Ortega    I         I    Le informamos que su ticket correspondiente a:    I                       I    De la revisión formulada a lo que han realizado en PNT, te comento que faltan de incorporar los acuerdos que adjunto al presente. (son los tres archivos zip)    I        I        I    ACLARACIÓN    I    No omito comentarte que los adjuntos fueron enviados y solicitada su incorporación vía correo electrónico de alcance del 17 de septiembre, enviado a Rafa.    I    El archivo RRA PRIMER BLOQUE son esos acuerdos que te comentaba que no se ZIPEARON pero que por favor deben incorporarse    I        I    Adicionalmente, encontrarás las bases de datos MATRIX, tanto de RRA y RRD para que puedan ir llevando su control de modificaciones.    I        I         I    Aplicación:                  SIGEMI    I    Tipo de Soporte:         CAMBIOS DE FECHAS DE INTERPOSICIÓN      I    " u="1"/>
        <s v="Crear certificado para usuario del Sujeto Obligado FIDEICOMISOS FIFOMI" u="1"/>
        <s v="Notificación de seguimiento  [  MA2903202106 ]      I         I         I    Estimado(a):                     Martha Rubí Zaragoza Mora    I         I         I    Le informamos que su ticket correspondiente a:    I                       I    El presente correo es para pedir su amable apoyo para el ajuste de términos de los folios debido al primer periodo vacacional del año 2021 que envió el sujeto obligado con su acuerdo y se configuro el calendario correspondiente:    I         I    FOLIO SUJETO OBLIGADO FECHA DE RECEPCIÓN NUEVA FECHA DE VENCIMIENTO POR ACUERDO ENVIADO DE LOS SO    I    00323221 Apodaca 25/03/2021 22/04/2021    I    00323321 Apodaca 25/03/2021 22/04/2021    I        I         I    Aplicación:                  INFOMEX NUEVO LEÓN    I    Tipo de Soporte:         AJUSTE DE PLAZO       I    " u="1"/>
        <s v="pruebas al servico de tarea programda" u="1"/>
        <s v="Se revisa en busca de problemas las integraciones con las redes sociales FB, Twitter y Google" u="1"/>
        <s v="Se aplica testado de datos al folios: 0000700067520." u="1"/>
        <s v="Elaboración documento Análisis de la Solución" u="1"/>
        <s v="Se sustituye archivo adjunto y se testan los datos del folio:  0673800010221" u="1"/>
        <s v="Revision de funcionalidad de Usuarios " u="1"/>
        <s v="analisis y funcionalidad  de recursos " u="1"/>
        <s v="    I    Notificación de seguimiento  [  MA2207202001 ]      I         I         I    Estimado(a):                     César Alva    I         I    Le informamos que su ticket correspondiente a:    I                       I    regreso de pasos de unos recursos de revisión, ya que, admitieron los mismos cuando mas bien iban a rechazarlos.    I    Los recursos son:     I    - 0209/2020    I    - 0210/2020    I    - 0236/2020    I        I        I         I    Aplicación:                  SIGEMI    I    Tipo de Soporte:         REGRESO DE PASOS  ( 3 )    I    " u="1"/>
        <s v="    I    Notificación de seguimiento  [  MA1002202111 ]      I         I         I    Estimado(a):                     Pedro Esquivel Martínez    I         I         I    Le informamos que su ticket correspondiente a:    I                       I    Con el gusto de saludarte y en relación al correo que antecede, te comento que usaran el mismo certificado el cual adjunto al presente y el nombre del titular será el que se anexa al cuadro descriptivo    I        I    Clave SIGLAS Sujeto Obligado Titular de la Unidad de Transparencia    I    47002 CPC SNA Comité de Participación Ciudadana del Sistema Nacional Anticorrupción  Jorge Alberto Alatorre Flores    I         I    Aplicación:                  HCOM    I    Tipo de Soporte:         CAMBIO TUT       I    Observaciones:                I         I    Su petición fue atendida, la contraseña es hcom2021    I    " u="1"/>
        <s v="Se sustituye archivo adjunto  del folio:  0410000017220." u="1"/>
        <s v="Se elimina la respuesta  de la solicitud con folio 0001600290321." u="1"/>
        <s v="Corrección en Template de Líneas de Acción, funcionalidad de Estilos" u="1"/>
        <s v="Se actualizan todos las sentencias sql nativas a JPA en flujo de vinculación." u="1"/>
        <s v="Análisis de requerimientos, para la solución de una plantilla dinamica de respuesta" u="1"/>
        <s v="Extracción  de datos útiles y congruentes SIPOT" u="1"/>
        <s v="Se aplica el cambio de modalidad de manera manual ya que el sistema no lo permite realizar: 0064103698619." u="1"/>
        <s v="Notificación de seguimiento  [  MA0311202002 ]      I         I         I    Estimado(a):                     Pedro Esquivel Martínez    I         I         I    Le informamos que su ticket correspondiente a:    I                       I    realizar el cambio de Titular para el &quot;Fondo de ahorro para los trabajadores de CORETT &quot; a cargo del INSUS    I         I    Aplicación:                  HCOM    I    Tipo de Soporte:         CAMBIO TUT       I    Observaciones:                I         I    Su petición fue atendida    I         I    " u="1"/>
        <s v="Realizar modul de institución de procedencia" u="1"/>
        <s v="Continúa el Apoyo en las consultas y validación de la información generada con las bases de datos en custodia (casos de diversos estados) en lo referente principalmente a documentación adjunta.    I    Se está apoyando con la recuperación de adjuntos de CDMX vía el aplicativo proporcionado por Luis Fernando ( 2 procesos ) 1 concluido con 8GB." u="1"/>
        <s v="Desarrollo e implementación del flujo de descarga acuse con el sistema del estado de méxico SAIMEX" u="1"/>
        <s v="Buenas tardes Álvaro, disculpa que apenas responda a tu correo, anexo script modificado, de las solicitudes en proceso estoy revisando aún, entiendo que las que necesitas son las que no han tenido una respuesta, me ayudas a  validar por favor     I        I    Saludos     I        I    Marina Adame Velasco    I        I    Notificación de seguimiento  [  MA0109202006 ]      I        I    Aplicación:                  INFOMEX NAYARIT    I    Tipo de Soporte:         SCRIPT       I    Estatus:                               Concluido.    I    " u="1"/>
        <s v="Página con funcionalidad para declaraciones" u="1"/>
        <s v="Se sustituye el archivo adjunto de la solicitud con folio 0064101851421" u="1"/>
        <s v="Se identifican y se recuperan acuses de las solicitudes: 0064100546020,0064100546320" u="1"/>
        <s v="    I    Notificación de seguimiento  [  MA0206202002 ]      I         I         I    Estimado(a):                     Adriana Elizabeth Hernández García    I         I    Le informamos que su ticket correspondiente a:    I                       I    Por medio del presente te solicito, si no existe inconveniente, el retroceso de paso del expediente relacionado con la resolución RRA 00953/20 al paso denominado “Registro de la Resolución Firmada” en la (PNT), ello a efecto de cargar el archivo correcto.     I         I    Aplicación:                  SIGEMI    I    Tipo de Soporte:         REGRESO DE PASOS      I    Observaciones:                I         I    Su petición fue atendida    I         I        I    " u="1"/>
        <s v="Buenas tardes Isaac, tu petición fue atendida, favor de validar     I        I    Saludos     I        I    Marina Adame Velasco    I        I    Notificación de seguimiento  [  MA2707202006 ]      I        I    Aplicación:                  INFOMEX OAXACA    I    Tipo de Soporte:         Ajuste de plazos       I    Estatus:                               Concluido    I        I    " u="1"/>
        <s v="Obtener capturas Iphone" u="1"/>
        <s v="corrección del Sujeto Obligado Fondo de Salud para el Bienestar    I    " u="1"/>
        <s v="Notificación de seguimiento  [  MA1407202201 ]    I        I        I    Estimado(a):               Edgar Michel Loaeza Martínez    I     Le informamos que su ticket correspondiente a:    I        I    …realizar la renovación de Certificados de los sujetos obligados indirectos de la Secretaría de la Defensa Nacional.    I        I    Clave_x0009_Sujeto obligado_x0009_Encargada de la Unidad de Transparencia    I    00007_x0009_Secretaría de la Defensa Nacional_x0009_Gral. Brig.D.E.M. Marco Antonio Gómez Nava    I    07002_x0009_Fideicomiso público de administración y pago de equipo militar_x0009_Gral. Brig.D.E.M. Marco Antonio Gómez Nava    I    07001_x0009_Fideicomiso de apoyo a deudos de militares fallecidos o a militares que hayan adquirido una inutilidad en primera categoría en actos  servicio considerado de alto riesgo._x0009_Gral. Brig.D.E.M. Marco Antonio Gómez Nava    I    02102_x0009_Fideicomiso a favor de los hijos del personal adscrito al Estado Mayor Presidencial_x0009_Gral. Brig.D.E.M. Marco Antonio Gómez Nava    I        I    Para tal efecto, anexo al presente el certificado correspondiente, lo anterior, a fin de que sus accesos sean habilitados en los sistemas que administra este Instituto (HCOM).      I        I    Aplicación:                  HCOM    I    Tipo de Soporte:        CAMBIO DE TUT   ( 4) " u="1"/>
        <s v="Estimada Alejandra, Su petición fue atendida    I         I    Aplicación:                  INFOMEX BCN    I    Tipo de Soporte:         AJUSTE DE PLAZOS       I    Notificación de seguimiento  [  MA1607202109 ]    I    Estimada Alejandra, Su petición fue atendida    I         I    Aplicación:                  INFOMEX BCN    I    Tipo de Soporte:         AJUSTE DE PLAZOS       I    Notificación de seguimiento  [  MA1607202109 ]    I    " u="1"/>
        <s v="    I    Notificación de seguimiento  [  MA1606202009 ]      I         I         I    Estimado(a):                     Sergio Rafael Cortés Alpizar    I         I    Le informamos que su ticket correspondiente a:    I                       I    Por medio del presente, solicito el regreso de actividad a &quot;Preparación del Proyecto de Resolución&quot; y se elimine el desechamiento para volverlo a mandar del siguiente recurso de revisión:    I        I    RRA 3026/20 vs Aeropuerto Internacional de la Ciudad de México S.A. de C.V.    I        I    Lo anterior se debe a que se anexo un archivo mal y se enviara de nuevo el cierre correcto.    I        I        I         I    Aplicación:                  SIGEMI    I    Tipo de Soporte:         REGRESO DE PASOS      I    Observaciones:                I         I    Su petición fue atendida    I         I        I    " u="1"/>
        <s v="Carga de cumplimientos" u="1"/>
        <s v="Se  testan los datos del folio: 0000600221421" u="1"/>
        <s v="Se cambia el tipo de solicitud del folio: 0000700362120. " u="1"/>
        <s v="Se aplica el alta para: Jhonatan Peguero Romero." u="1"/>
        <s v="Se aplica testado de datos personales: 0064100308320." u="1"/>
        <s v="seccion 11 UT" u="1"/>
        <s v="Se aplican 4 RIAS manualmente" u="1"/>
        <s v="Funcionalidad Obras Dictaminadas " u="1"/>
        <s v="Se cambia el tipo de solicitud del folio: 0064101063821." u="1"/>
        <s v="Notificación de seguimiento  [  MA2807202201 ]    I        I        I    Estimado(a):               Ricardo González Cano    I     Le informamos que su ticket correspondiente a:    I        I    la actualización de certificados de los sujetos obligados enlistados en la relación que se adjunta, en la Herramienta de Comunicación, lo anterior, en virtud de que se encuentran vencidos, por lo que mucho agradeceré la pronta remisión de dichos certificados actualizados.     I        I    Aplicación:                  HCOM    I    Tipo de Soporte:        GENERACIÓN DE CERTIFICADO ( 5)  Y ACTUALIZACIÓN EN HCOM  ( 2)    I    Observaciones:                I         I        I    Estimado Ricardo, adjunto certificados solicitados, se realizó la actualización solo en los siguientes, se cambio también la contraseña ya que la anterior no permitía la actualización, la contraseña es HCOM2022" u="1"/>
        <s v="Se  testan los datos del folio: 0064101175221" u="1"/>
        <s v="Así es, ya que la referencia que se debe de afectar se guarda por versión cargada del proceso     I        I    De: moises.guzman@itaipue.org.mx [mailto:moises.guzman@itaipue.org.mx]     I    Enviado el: jueves, 30 de julio de 2020 02:52 p. m.    I    Para: Marina Adame Velasco &lt;marina.adame@inai.org.mx&gt;    I    Asunto: Re: Seguimiento caso ampliación para prevención    I        I    Al decirme que a todos los procesos te refieres a todas las solicitudes que están en proceso    I    Get Outlook for Android    I        I    ________________________________________    I    From: Marina Adame Velasco &lt;marina.adame@inai.org.mx&gt;    I    Sent: Thursday, July 30, 2020 2:24:44 PM    I    To: Moisés Guzmán Arias &lt;moises.guzman@itaipue.org.mx&gt;    I    Subject: RE: Seguimiento caso ampliación para prevención     I         I    Buenas tardes Moisés, de la revisión que realice, si se elimina el tiempo del paso 3 días para prevenir, se logra realizar la prevención, solo que este cambio afectaría a todos los procesos, me quedo atenta a tus comentarios.    I         I    Saludos     I         I    Marina    I    " u="1"/>
        <s v="Se  testan los datos de la solicitud con folio 0064100734821    I         I    " u="1"/>
        <s v="    I    Notificación de seguimiento  [  MA1302202004 ]      I         I         I    Estimado(a):                     Lizbeth Adriana Cabrera Ortega    I         I    Le informamos que su ticket correspondiente a:    I                       I    Me permito solicitar su valioso apoyo a fin de que el recurso RRA 01144/20 interpuesto en la PNT el día 29/01/2020 a las 19:42 PM, permanezca con la fecha del 29 de enero como fecha de interposición.    I        I    Lo anterior atiene al hecho de que fue presentado en el último día para la interposición del RECURSO y, la herramienta hizo el cambio en automático al día hábil siguiente a las 9:00 a. m.    I        I    Agradezco de antemano su apoyo y no soy omisa en comentar que remito el acuerdo de turno anexo,  con la fecha modificada al día hábil previo..    I        I         I    Aplicación:                  SIGEMI    I    Tipo de Soporte:         Actualización de fecha y archivo      I    Observaciones:                I         I    Su petición fue atendida    I         I        I         I                Favor de validar.    I         I    Estatus:                               Concluido.    I    " u="1"/>
        <s v="Se testan los datos de la solicitud con folio: 0064101513421" u="1"/>
        <s v="Fase 3 y 4" u="1"/>
        <s v="Se aplica eliminación de formato de pago: 0064101638021" u="1"/>
        <s v="Notificación de seguimiento  [  MA0206202202 ]    I        I    Estimado(a):                Julia Yuridia Pacheco Hernández    I        I        I     Le informamos que su ticket correspondiente a:    I        I    Efectivamente los datos del TUT cambiaron, toda vez que el 23 de mayo se recibió en la oficialía de partes del INAI el oficio en el cual se nombra a Gustavo  Rivera Ruiz como nuevo Titular y encargado de la Unidad de Transparencia. Anexo oficio correspondiente.    I        I         I    Aplicación:                  HCOM    I    Tipo de Soporte:        CAMBIO DE TUT      I    Observaciones:                I         I    Su petición fue atendida.    I    " u="1"/>
        <s v="Realizar la clase Controller, Service, Dao para la operación alta de linea-accion-estrategica" u="1"/>
        <s v="Notificación de seguimiento  [  MA1703202202 ]    I        I        I    Estimado(a):                Alondra Jiménez Hernández    I        I         I     Le informamos que su ticket correspondiente a:    I                       I    Anexo el registro actualizado del certificado del nuevo Titular de la Unidad de Transparencia del BIRMEX para que su acceso sea habilitado en la Herramienta de Comunicación.     I        I         I    Aplicación:                  HCOM    I    Tipo de Soporte:         CAMBIO DE TUT       I    Observaciones:                I         I    Su petición fue atendida    I         I    " u="1"/>
        <s v="Creación de página administrativa para Directorio UT y validación de accesos oscar.aranda" u="1"/>
        <s v="Notificación de seguimiento  [  MA1310202004 ]      I         I         I    Estimado(a):                      Lizbeth Adriana Cabrera Ortega    I         I    Le informamos que su ticket correspondiente a:    I                       I    generación UN EXPEDIENTE del recurso de revisión posteriormente citado.    I         I    Asimismo, te comento que NO DEBERÁ CAMBIAR el sujeto obligado, ni el Comisionado correspondiente.     I         I     DICE                                        DEBE DECIR                         SUJETO OBLIGADO           PONENTE    I    RRA 10619/20 RRA 05487/19-BIS TFJA BLIC    I         I    No omito comentarte que el número de expediente que deberá seguir en el consecutivo por turnar en PNT debe ser el RRA 10619/20.    I    " u="1"/>
        <s v="Se aplica eliminación de formato de pago al folio: 1811100040019." u="1"/>
        <s v="Reinstalación campus público con nueva BD" u="1"/>
        <s v="Notificación de seguimiento  [  MA2904202003 ]      I         I         I    Estimado(a):                     Edgar Michel Loaeza Martínez    I         I    Le informamos que su ticket correspondiente a:    I                       I    Por medio del presente solicito su valioso apoyo a efecto de realizar el cambio de certificado del Titular de la Unidad de Transparencia de la Comisión Nacional de Seguros y Fianzas.    I         I         I    Aplicación:                  HCOM    I    Tipo de Soporte:         CAMBIO DE CERTIFICADO       I    Observaciones:                I         I    Su petición fue atendida    I         I    " u="1"/>
        <s v="Se actualiza clave de SO " u="1"/>
        <s v="Apoyo directo para Antonio Pérez ( Validación de diversas URL´s que no están siendo identificadas en las rutas de carpetas de archivos, esto respecto a CDMX.) Generación de información en formatos de Excel con las posibles estructuras URLs en las que podrían encontrarse los adjuntos registrados. " u="1"/>
        <s v="    I     Notificación de seguimiento  [  MA0712202009 ]      I         I         I    Estimado(a):                     Moisés Guzmán Arias    I         I         I    Le informamos que su ticket correspondiente a:    I                       I    Por este medio me permito dirigir a Usted con la finalidad de pedir su apoyo para que se lleve a cabo el cambio de nombre del recurrente que se encuentra capturado en sistema    I         I    Recurso: RR-0472/2020    I    DEBE DECIR: José Carlos Cosme González Feria    I        I    Aplicación:                  SIGEMI    I    Tipo de Soporte:         CAMBIO DE RECURRENTE    I    Observaciones:                I         I    Su petición fue atendida    I    " u="1"/>
        <s v="Desarrollo de trabajos: Instalacion del grupo especializado y la ejecucion de las acciones para la construccion. " u="1"/>
        <s v="Notificación de seguimiento  [  MA2104202001 ]      I         I         I    Estimado(a):                     Martha Rubí Zaragoza Mora    I         I    Le informamos que su ticket correspondiente a:    I                       I    AJUSTE DE PLAZOS REQUERIDOS     I        I         I    Aplicación:                  INFOMEX NUEVO LEÓN    I    Tipo de Soporte:         AJUSTE DE PLAZOS       I    Observaciones:                I         I    Su petición fue atendida    I    " u="1"/>
        <s v="Al modificar los datos proncipales se obtiene la inforación guardada del usuario al cargar la pantalla" u="1"/>
        <s v="    I    Notificación de seguimiento  [  MA1404202003 ]      I         I         I    Estimado(a):                     Alondra Jiménez Hernández    I         I    Le informamos que su ticket correspondiente a:    I                       I         I    Se solicita la renovación del certificado del Titular de la Unidad de Transparencia del Comisión Nacional de los Derechos Humanos (CNDH) en la Herramienta de Comunicación, toda vez que el anterior certificado presenta un error en su configuración, razón por la cual permanece la misma contraseña.     I        I        I         I    Aplicación:                  HCOM    I    Tipo de Soporte:         CAMBIO DE CERTIFICADO       I    Observaciones:                I         I    Su petición fue atendida    I    " u="1"/>
        <s v="Se testan los datos de la solicitud con folio: 0064101285921" u="1"/>
        <s v="Análisis, diseño e implementación de las mejoras detectadas por los organismos garantes durante la capacitación de SISAI 2.0" u="1"/>
        <s v="Buenas tardes Ricardo, te comento que de la revisión realizada, tanto la configuración del proceso actual como el folio en específico, tienen 10 días para la respuesta del solicitante a la prevención, en el Excel marque en amarillo la fecha de notificación de la prevención, que fue el 19 de Noviembre y con fecha de caducidad para dar respuesta a la prevención hasta el 3 de diciembre de 2020, es decir el conteo de la prevención es a partir del día después  de la notificación,que fue el 20 de Noviembre al 3 de diciembre, son 10 días hábiles.    I        I    La configuración del plazo para la respuesta del solicitante tiene definido 10 días como se muestra en la imagen:    I        I         I        I    Me quedo atenta a tus comentarios     I        I    Saludos     I        I    Marina Adame     I        I        I    Notificación de seguimiento  [  MA0912202007 ]      I         I    Aplicación:                  INFOMEX QUINTANA ROO    I    Tipo de Soporte:         Revisión de incidencia        I    " u="1"/>
        <s v="SUSTITUCIÓN TEXTO Y ADJUNTO EN SOLICITUD DE INFORMACION CON FOLIO 1816400137121 " u="1"/>
        <s v="Reunion proyectos por terceros " u="1"/>
        <s v="Crear certificado para usuario del Sujeto Obligado FIDECINE y FOPROCINE" u="1"/>
        <s v="seguimiento solicitudes" u="1"/>
        <s v="Crear sólo un tipo de respuesta en SISAI, desarrollo personalizado para la CDMX que identifique si es una Prevención Total o Parcial, que al pertenecer el plazo determine si se dará por presentada o no." u="1"/>
        <s v="Integracion de endpoints para login via redes sociales via google y facebook" u="1"/>
        <s v="Se cambia el tipo de solicitud del folio: 2800100036521" u="1"/>
        <s v="Mejoras en código de Catalogo Objetivos, Líneas Estrategicas, mejores practicas y código limpio" u="1"/>
        <s v="Se cambia el tipo de solicitud del folio: 1220000003721" u="1"/>
        <s v="Notificación de seguimiento  [  MA0202202103 ]      I         I         I    Estimado(a):                     FRANCISCO LIRA    I          I    Le informamos que su ticket correspondiente a:    I                       I    RESPALDO SEMANAL DE LA BASE DE DATOS INFOMEX    I         I    Aplicación:                  INFOMEX NUEVO LEÓN    I    Tipo de Soporte:         RESPALDO       I    Observaciones:                I         I    Su petición fue atendida, se subió el respaldo de su base de datos de esta semana…    I    http://documentos.inai.org.mx/tmp/infomexNL_backup_2021-02-01_0800.bak    I        I    NOTA: El respaldo estará disponible una semana      I    " u="1"/>
        <s v="Notificación de seguimiento  [  MA1105202107 ]      I         I         I    Estimado(a):                     Moisés Guzmán Arias    I         I         I    Le informamos que su ticket correspondiente a:    I                       I    ampliar el término para prevención de acuerdo a las fechas que se indican en cada folio…    I         I    Aplicación:                  INFOMEX PUEBLA    I    Tipo de Soporte:         AJUSTE DE PLAZO       I    Observaciones:                I         I    Su petición fue atendida    I         I          I                Favor de validar.    I         I    Estatus:                               Concluido.    I    " u="1"/>
        <s v="Notificación de seguimiento  [  MA1205202110 ]      I         I         I    Estimado(a):                     Moisés Guzmán Arias    I         I         I    Le informamos que su ticket correspondiente a:    I                       I    ampliar el término para prevención de acuerdo a las fechas que se indican en cada folio…    I         I    Aplicación:                  INFOMEX PUEBLA    I    Tipo de Soporte:         AJUSTE DE PLAZO       I    Observaciones:                I         I    Su petición fue atendida    I         I          I                Favor de validar.    I         I    Estatus:                               Concluido.    I    " u="1"/>
        <s v="Notificación de seguimiento  [  MA1305202104 ]      I         I         I    Estimado(a):                     Moisés Guzmán Arias    I         I         I    Le informamos que su ticket correspondiente a:    I                       I    ampliar el término para prevención de acuerdo a las fechas que se indican en cada folio…    I         I    Aplicación:                  INFOMEX PUEBLA    I    Tipo de Soporte:         AJUSTE DE PLAZO       I    Observaciones:                I         I    Su petición fue atendida    I         I          I                Favor de validar.    I         I    Estatus:                               Concluido.    I    " u="1"/>
        <s v="Se aplica eliminación de última respuesta de la solicitud: 0064100709120." u="1"/>
        <s v="Se aplica el testado de datos de la solicitud: 0064100192520" u="1"/>
        <s v="Se cambia el tipo de solicitud del folio: 1222300018221" u="1"/>
        <s v="Creación de componentes para la interpretación de url en el modal del formato de los presupuesto anual asignado." u="1"/>
        <s v="Notificación de seguimiento [ MA2401202001 ]     I          I          I     Estimado(a): Lizbeth Adriana Cabrera Ortega    I          I     Le informamos que su ticket correspondiente a:    I          I     Solicitando de tu apoyo para suprimir de la bandeja de turno de recursos de acceso el siguiente recurso que duplique en su carga manual.    I         I         I     23/01/2020 23/01/2020 14:04 PM María Guadalupe García Luna CFE 1816400355519 Acceso a la Información Manual Ver detalle    I         I         I         I          I     Aplicación: SIGEMI    I     Tipo de Soporte: Eliminación de recurso" u="1"/>
        <s v="Corrección en generación de PDF" u="1"/>
        <s v="Notificación de seguimiento [ MA2001202002 ]     I          I          I     Estimado(a): Edgar Michel Loaeza Martínez    I          I     Le informamos que su ticket correspondiente a:    I          I     Por medio del presente solicito su valioso apoyo a efecto de sustituir el certificado del Titular de la Unidad de Transparencia de la Secretaría de Marina, en virtud de que e certificado registrado actualmente se encuentra vencido.    I         I          I     Aplicación: HCOM     I     Tipo de Soporte: CAMBIO DE CERTIFICADO" u="1"/>
        <s v="Cambios en el flujo" u="1"/>
        <s v="Se aplica la carga de pagos del mes de ENERO." u="1"/>
        <s v="Respaldar Curso 3  de la plataforma anterior y restaurar en plataforma actual " u="1"/>
        <s v="Se realizó la verificación para la creación de todos los pods correctamente" u="1"/>
        <s v="Realizar la clase Controller, Service, Dao para la operación actualización de linea-accion-estrategica" u="1"/>
        <s v="Se  testan los datos del folio: 0000700213421" u="1"/>
        <s v="Implementar adecuaciones al código fuente para atender hallazgos del módulo - Usuarios" u="1"/>
        <s v="Se  testan los datos del folio: 0064101915321" u="1"/>
        <s v="Se elimina la respuesta del folio:  0002800052121 " u="1"/>
        <s v="Realizar la clase Controller, Service, Dao para la operación de consulta de objetivos" u="1"/>
        <s v="Actualizacion ICIC " u="1"/>
        <s v="Instrumentos tecnicos de evaluacion, CAVINAI,9°edicion prosede INAI 2022, Certamen de evaluacion y transparencia " u="1"/>
        <s v="Notificación de seguimiento  [  MA2604202101 ]      I         I         I    Estimado(a):                     ADMINISTRADOR INFOMEX OAXACA    I          I    Le informamos que su ticket correspondiente a:    I                       I    RESPALDO SEMANAL DE LA BASE DE DATOS INFOMEX    I         I    Aplicación:                  INFOMEX OAXACA    I    Tipo de Soporte:         RESPALDO       I    Observaciones:                I         I    Su petición fue atendida, se subió el respaldo de su base de datos de esta semana…    I        I        I    http://documentos.inai.org.mx/tmp/infomexOAX_backup_2021-04-26_0800.bak    I        I        I    NOTA: El respaldo estará disponible una semana      I    " u="1"/>
        <s v="Se le informó al equipo que ya estan los ajustes para el 13vo procedimiento de banderas 'OBTENER_FG_QUEJA', para que lo revisen y consuman desde el aplicativo " u="1"/>
        <s v="validacion con html y jquery" u="1"/>
        <s v="Respaldar Curso 3 de Miscelánea INAI  de la plataforma anterior y restaurar en plataforma actual " u="1"/>
        <s v="Notificación de seguimiento  [  MA0702202008 ]      I         I         I    Estimado(a):                     Tiara Gethsemanni Miranda Fuentes    I         I    Le informamos que su ticket correspondiente a:    I                       I    Al momento de dar trámite a los Recurso de Revisión que se enlistan a continuación, en el sistema SIGEMI-SICOM en la PNT, este me aparece activo varias veces, se encuentra repetido el siguiente paso “Registrar información de la sesión del pleno, por lo que solicito de la manera más atenta, eliminar uno de estos pasos y dejar solo una vez los siguientes pasos “Registrar información de la sesión del pleno” y dejar el paso de “Notificar por otro Medio”. Sin más por el momento, quedo en espera de tus comentarios.    I         I    RRA 14071/19    I    RRA 15625/19    I    RRA 13951/19    I    RRA 16177/19    I        I         I    Aplicación:                  SIGEMI    I    Tipo de Soporte:         Eliminar duplicados       I    " u="1"/>
        <s v="Preparación de pre-requisitos para archive server y Instalación y creación de base de datos sample" u="1"/>
        <s v="    I    Buenas tardes José Manuel, tu petición fue atendida, favor de validar     I        I    Saludos     I        I    Marina Adame Velasco    I        I    Notificación de seguimiento  [  MA0304202003 ]      I        I    Aplicación:                  INFOMEX QUERÉTARO    I    Tipo de Soporte:         REPORTE DE SOLICITUDES        I    Estatus:                               Concluido.    I        I    " u="1"/>
        <s v="Analisis script base de datos proporcionado por el INAI" u="1"/>
        <s v="Validación de usuario y registro de  información. (Yucatán)" u="1"/>
        <s v="Se agregan funcionalidades para compartir busqueda y enviar estadisticos" u="1"/>
        <s v="Se  testan los datos de la solicitud con folio 0000700109721" u="1"/>
        <s v="Notificación de seguimiento  [  MA2605202009 ]      I         I         I    Estimado(a):                     Alondra Jiménez Hernández    I         I    Le informamos que su ticket correspondiente a:    I                       I    Se solicita la renovación del certificado del Titular de la Unidad de Transparencia del COLMEX en la Herramienta de Comunicación.    I        I         I    Aplicación:                  HCOM    I    Tipo de Soporte:         RENOVACION DE CERTIFICADO      I    Observaciones:                I         I    Su petición fue atendida    I    " u="1"/>
        <s v="Continúa el análisis por entidad en consulta directa (Ingreso al sitio, consulta por folio y validación del adjunto)  para tratar de ubicar el método de identificación de adjuntos y proceder con la recuperación de faltantes de los estados con menor numero de faltantes donde no se localizaron un total de ( 3,825 ) adjuntos. " u="1"/>
        <s v="Se da un estilo de acuerdo a los guidelines de apple" u="1"/>
        <s v="Notificación de seguimiento  [  MA1910202007 ]      I         I         I    Estimado(a):                     Alma Lizbeth Peguero Rivera    I         I    Le informamos que su ticket correspondiente a:    I                       I    Por medio de la presente, solicito de la manera más atenta, su apoyo para retroceder los pasos en el sistema SIGEMI-SICOM en la PNT de los siguientes asuntos RRD 02642/20 JRV, hasta la actividad “Registrar información de la sesión del pleno”, sin más por el momento, quedo en espera de sus comentarios.    I        I         I    Aplicación:                  SIGEMI    I    Tipo de Soporte:         REGRESO DE PASOS      I    Observaciones:                I         I    Su petición fue atendida    I         I    " u="1"/>
        <s v="Se  testan los datos de la solicitud con folio 0064101152721    I         I    " u="1"/>
        <s v="Buenas tardes Berenice, tu petición fue atendida, el password es infomex, favor de validar     I         I     Saludos     I         I     Marina Adame Velasco    I         I     Notificación de seguimiento [ MA1301202005]     I         I     Aplicación: INFOMEX OAXACA    I     Tipo de Soporte: Cambio de contraseña     I     Estatus: Concluido." u="1"/>
        <s v="Notificación de seguimiento  [  MA0203202010 ]      I         I         I    Estimado(a):                     Moisés Guzmán Arias    I         I    Le informamos que su ticket correspondiente a:    I                       I    1. Se elimine el recurso completamente     I    2. Y que el próximo folio de recurso a turnar sea el RR-0120/2020    I         I        I         I    Aplicación:                  SIGEMI    I    Tipo de Soporte:         Eliminar turno      I    Observaciones:                I         I    Su petición fue atendida    I         I        I         I                Favor de validar.    I         I    Estatus:                               Concluido.    I        I    " u="1"/>
        <s v="Se aplica eliminación de formato de pago: 18679000072119" u="1"/>
        <s v="Buenas tardes Moisés, tu petición fue atendida, favor de validar     I        I        I    http://documentos.inai.org.mx/tmp/infomexpuebla_backup_2020-09-14_1638.bak    I        I        I    Saludos     I        I    Marina Adame Velasco    I        I    Notificación de seguimiento  [  MA1409202010 ]      I        I    Aplicación:                  INFOMEX PUEBLA     I    Tipo de Soporte:         RESPALDO DE BD       I    Estatus:                               Concluido.    I        I    " u="1"/>
        <s v="Se aplica eliminación de respuesta al folio: 0064100093620." u="1"/>
        <s v="Elaboración de scripts en los Infomex para obtención de datos en de solicitudes pendientes y revisión de resultados " u="1"/>
        <s v="Se eliminan pláticas informativas" u="1"/>
        <s v="Notificación de seguimiento  [  MA0602202010 ]      I         I         I    Estimado(a):                     JUAN PEDRO RAMIREZ FLORES    I         I    Le informamos que su ticket correspondiente a:    I                       I    Cambio de fechas de término para su cumplimiento.    I         I    Aplicación:                  SIGEMI    I    Tipo de Soporte:         Actualización de fechas  ( 57 )    I    Observaciones:                I         I    Su petición fue atendida    I         I         I                Favor de validar.    I         I    Estatus:                               Concluido.    I    " u="1"/>
        <s v="Se elimina la respuesta del folio: 0001200213921" u="1"/>
        <s v="Se aplica eliminación de última respuesta de la solicitud: 0063700820820" u="1"/>
        <s v="    I    Notificación de seguimiento  [  MA0608202001 ]      I         I         I    Estimado(a):                     Lorena Martínez González    I         I    Le informamos que su ticket correspondiente a:    I                       I    Buen día, por medio del presente solicito su apoyo para que, respecto del recurso de revisión  RRA 07783/20, se realicen las actuaciones pertinentes en la Plataforma Nacional de Transparencia a fin de registrar como medio de notificación del recurrente, el correo electrónico: lic.adrian.pa.gob.mx@hotmail.com    I        I    Lo anterior, toda vez que el particular cambió el medio de notificación a través de su recurso de revisión.     I        I         I    Aplicación:                  SIGEMI    I    Tipo de Soporte:         CAMBIO DE MEDIO       I    Observaciones:                I         I    Su petición fue atendida    I    " u="1"/>
        <s v="Notificación de seguimiento  [  MA2004202004 ]      I         I         I    Estimado(a):                     Lizbeth Adriana Cabrera Ortega    I         I    Le informamos que su ticket correspondiente a:    I                       I    Me permito enviar la incidencia detectada por la Ponencia del Comisionado Guerra, quien en la consulta de recurso advierte que fue interpuesto en la HERRAMIENTA, de manera duplicada un recurso de revisión que impugna el mismo folio de solicitud.    I        I    Asimismo, al revisar es posible desprender que ambos recursos que obran en la PNT guardan identidad de PARTES, FOLIOS, SO y existen segundos de diferencia.    I    " u="1"/>
        <s v="Actualización de certificados INDIRECTOS DE SHCP" u="1"/>
        <s v="Generación de script para descarga de impugnaciones" u="1"/>
        <s v="Creación de servicios, maquetación y funcionalidades del componente reutilizable doimilio" u="1"/>
        <s v="Buenos días José Manuel, adjunto reporte, favor de validar    I        I    Saludos    I        I    Marina    I        I    Notificación de seguimiento  [  MA2104202101 ]      I         I     Aplicación:                  INFOMEX QUERETARO    I    Tipo de Soporte:         REPORTE       I    " u="1"/>
        <s v="Notificación de seguimiento  [  MA2707202010 ]      I         I         I    Estimado(a):                     Isaac García Quevedo    I         I    Le informamos que su ticket correspondiente a:    I                       I    Por este medio solicito la afectación en base de datos de la fecha de caducidad para la entrega de Alegatos y Manifestaciones del Recurso de Revisión presentado en el SICOM, toda vez que el Consejo General del IAIPO aprobó el término a la suspensión de plazos de los procedimientos relacionados con COVID-19, SISMO DEL 23 DE JUNIO y PROGRAMAS SOCIALES DERIVADOS DE LA EMERGENCIA SANITARIA, http://iaipoaxaca.org.mx/site/descargas/acuerdos/ACUERDO-TERMINO-DE-SUSPENSION-30-06-2020.pdf    I        I    Recurso de revisión: R.R.A.I 0244/2020/SICOM    I    Sujeto obligado: SECRETARÍA DE FINANZAS    I    Fecha de estado: 24/07/2020    I    Fecha de vencimiento de Entrega de Alegatos y Manifestaciones o límite de ejecución: 04/08/2020    I    Fecha límite de votación: 18/09/2020     I        I        I    Aplicación:                  SIGEMI    I    Tipo de Soporte:         Actualización de fechas      I    " u="1"/>
        <s v="Se  testan los datos del folio: 0064101074221" u="1"/>
        <s v="Se aplica testado de datos al folio:  0064100430021" u="1"/>
        <s v="Ambientación frontend Pizarras 4 con proyecto Angular versión 14" u="1"/>
        <s v="Desarrollo para el testado de solicitud para mostrar las solicitudes terminadas" u="1"/>
        <s v="Pruebas con todos los usuarios y realización de la OT" u="1"/>
        <s v="Se aplica eliminación de formato de pago: 0063700316221" u="1"/>
        <s v="Actualización y pruebas de funcionalidad de campus Civil 3.2" u="1"/>
        <s v="Se  testan los datos del folio:0064101953021" u="1"/>
        <s v="Creación de cuenta y configuración de admimnistración Transparencia Proactiva" u="1"/>
        <s v="Notificación de seguimiento  [  MA1709202001 ]      I         I         I    Estimado(a):                     Lizbeth Adriana Cabrera Ortega    I         I    Le informamos que su ticket correspondiente a:    I                       I    Pido de tu amable apoyo a fin de atender la petición formulada por la ponencia y modificar la fecha de interposición del recurso indicado del asunto.    I         I    DEBE DECIR 7 DE SEPTIEMBRE.    I         I    Asimismo te remito el acuerdo con el cambio de fecha para que sea incorporado en el expediente electrónico.    I        I         I    Aplicación:                  SIGEMI    I    Tipo de Soporte:         Cambio de fecha de interposición      I    Observaciones:                I         I    Su petición fue atendida    I         I    " u="1"/>
        <s v="    I    Notificación de seguimiento  [  MA0502202106 ]      I         I         I    Estimado(a):                     ALEJANDRA TEJEDA    I         I         I    Le informamos que su ticket correspondiente a:    I                       I    REPORTE SEMANAL DE SOLICITUDES REGISTRADAS 2021    I         I    Aplicación:                  INFOMEX BCN    I    Tipo de Soporte:         REPORTE       I    " u="1"/>
        <s v="Notificación de seguimiento  [  MA0610202203 ]    I        I    Estimado(a):                Alondra Jiménez Hernández     I        I        I     Le informamos que su ticket correspondiente a:    I        I    Se solicita la renovación del certificado del Titular de la Unidad de Transparencia de la Administración del Sistema Portuario Nacional Dos Bocas, S.A. de C.V., en la Herramienta de Comunicación. Se precisa que se conservará la misma contraseña.     I        I    Clave_x0009_Sujeto obligado_x0009_SIGLAS_x0009_Nombre del responsable de transparencia_x0009_Correo electrónico del responsable de transparencia    I    09180_x0009_Administración del Sistema Portuario Nacional Dos Bocas, S.A. de C.V._x0009_ASIPONA DOS BOCAS_x0009_Antonio Gaytán Ornelas_x0009_gjuridica@puertodosbocas.com.mx    I        I        I    Aplicación:                  HCOM    I    Tipo de Soporte        ACTUALIZAR CERTIFICADO " u="1"/>
        <s v="Implementación de la modificación de Resoluciones Públicas." u="1"/>
        <s v="Servicio para Registrar nuevo usuario externo" u="1"/>
        <s v="Se  testan los datos del folio:0064101964421" u="1"/>
        <s v="Notificación de seguimiento  [  MA0510202103 ]    I        I    Estimado(a):                Edgar Michel Loaeza Martínez    I        I         I     Le informamos que su ticket correspondiente a:    I                       I    Solicito su apoyo para reestablecer la contraseña del sistema hcom del sujeto obligado denominado Autoridad Educativa Federal en la Ciudad de México    I        I    Al respecto el sujeto obligado informa que no es posible tener acceso ya que el sistema señala que la contraseña incorrecta.    I         I    Aplicación:                  HCOM    I    Tipo de Soporte:         CAMBIO DE CONTRASEÑA      I    Observaciones:                I         I    Su petición fue atendida, se realizó la actualización de contraseña del actual Titular    I         I         I    " u="1"/>
        <s v="Comprobación y acceso a la base de datos de Oracle" u="1"/>
        <s v="    I    Buenas tardes Alan, tu petición fue atendida, favor de validar     I        I    Saludos     I        I    Marina Adame Velasco    I        I    Notificación de seguimiento  [  MA0610202005 ]      I        I    Aplicación:                  INFOMEX TLAXCALA    I    Tipo de Soporte:         AJUSTE DE PLAZOS        I    Estatus:                               Concluido.    I    " u="1"/>
        <s v="    I    Buenas tardes Moisés, tu petición fue atendida, favor de validar     I        I    Saludos     I        I    Marina Adame Velasco    I        I    Notificación de seguimiento  [  MA2409202006 ]      I        I    Aplicación:                  INFOMEX PUEBLA     I    Tipo de Soporte:         Ajuste de fechas       I    Estatus:                               Concluido.    I    " u="1"/>
        <s v="    I    Buenas tardes Moisés, tu petición fue atendida, favor de validar     I        I    Saludos     I        I    Marina Adame Velasco    I        I    Notificación de seguimiento  [  MA2409202009 ]      I        I    Aplicación:                  INFOMEX PUEBLA     I    Tipo de Soporte:         Ajuste de fechas       I    Estatus:                               Concluido.    I    " u="1"/>
        <s v="Notificación de seguimiento  [  MA2907202102 ]    I        I    Estimado(a):                Francisco Javier Lira Pérez    I        I         I     Le informamos que su ticket correspondiente a:    I                       I    QUISIERA VER SI ME PODRÍAS APOYAR CON ESTE ASUNTO, ES UN DESECHAMIENTO QUE YA SE NOTIFICÓ Y ME SIGUE APARECIENDO EN MI LISTADO DE ASUNTOS COMO ADMITIR/PREVENIR    I        I    RR/2396/2021    I        I         I    Aplicación:                  SIGEMI    I    Tipo de Soporte:         QUITAR ACTIVIDAD DUPLICADA      I    Observaciones:                I         I    Su petición fue atendida    I    " u="1"/>
        <s v="    I    Notificación de seguimiento  [  MA0912202101 ]    I        I    Estimado(a):                Alondra Jiménez Hernández    I        I         I     Le informamos que su ticket correspondiente a:    I                       I    Solicito la renovación en la Herramienta de Comunicación del certificado del siguiente sujeto obligado:    I        I    Clave Sujeto obligado    I    21161 FONATUR Solar, S.A. DE C.V. (Antes Espacios Públicos y Equipamiento Urbano, S.A. de C.V.)    I    21162 Fideicomiso Barrancas del Cobre.    I    21163 Fideicomiso de Reserva para el Pago de Pensiones o Jubilaciones y Primas de Antigüedad.    I    21164 Fideicomiso para los Trabajadores del Hotel Exconvento Santa Catarina.    I        I    Aplicación:                  HCOM    I    Tipo de Soporte:         ACTUALIZAR CERTIFICADOS ( 4)      I    Observaciones:                I         I    Su petición fue atendida    I    " u="1"/>
        <s v="Notificación de seguimiento  [  MA0405202003 ]      I         I         I    Estimado(a):                     Edgar Michel Loaeza Martínez    I         I    Le informamos que su ticket correspondiente a:    I                       I    Por medio del presente solicito su valioso apoyo a efecto de realizar el cambio de certificado del Titular de la Unidad de Transparencia de la Policía Federal.    I        I    Para tal efecto, anexo al presente el certificado y nombramiento del Titular, lo anterior, a fin de que sus accesos sean habilitados en los sistemas que administra este Instituto (INFOMEX y HCOM    I         I    Aplicación:                  HCOM      I    Tipo de Soporte:         CAMBIO DE TUT     I    Observaciones:                I         I    Su petición fue atendida    I         I    " u="1"/>
        <s v="Notificación de seguimiento  [  MA2702202003 ]      I         I         I    Estimado(a):                     Rafa González    I         I    Le informamos que su ticket correspondiente a:    I                       I    Modificar acuerdos    I        I         I    Aplicación:                  SIGEMI    I    Tipo de Soporte:         Actualización de archivos       I    Observaciones:                I         I    Su petición fue atendida, te comento que Ricardo le respondió a Lizbeth de la atención del requerimiento      I        I         I                Favor de validar.    I         I    Estatus:                               Concluido.    I        I        I    " u="1"/>
        <s v="Se  testan los datos del folio:0064101977821" u="1"/>
        <s v="Testado de datos  del folio:  021000063221" u="1"/>
        <s v="Notificación de seguimiento  [  MA1501202106 ]      I         I         I    Estimado(a):                     JOSÉ MANUEL FLORES ROBLES     I         I         I    Le informamos que su ticket correspondiente a:    I                       I    - Cuántas solicitudes se han presentado, preguntando datos sobre la situación actual, con el siguiente criterio de búesqueda:  “pandemia”, “COVID19”, “COVID-19” y “coronavirus”. El periodo a consultar sería del 1 de diciembre de 2020 al 31 de diciembre del 2020. El resultado igual que la última vez: Sujeto Obligado que recibió la solicitud y el texto de la misma.    I        I         I    Aplicación:                  INFOMEX QUERÉTARO    I    Tipo de Soporte:         REPORTE        I    Observaciones:                I         I    Su petición fue atendida    I         I    " u="1"/>
        <s v="Avance Template Pagina Principal" u="1"/>
        <s v="Se cambia el tipo de solicitud del folio: 0064103365220" u="1"/>
        <s v="Implementación de la búsqueda y despliegue de Subtemas para su borrado y/o modificación." u="1"/>
        <s v="Buenas tardes José Manuel, gracias e igualmente, que este año tengas mucha salud. Sobre tu petición, adjunto resultado de la consulta realizada a su base de datos, favor de validar     I         I     Saludos     I         I     Marina Adame Velasco    I         I     Notificación de seguimiento [ MA1301202004 ]     I         I     Aplicación: INFOMEX QUERÉTARO    I     Tipo de Soporte: Consulta de datos     I     Estatus: Concluido." u="1"/>
        <s v="Se cambia el tipo de solicitud del folio: 0001200038721" u="1"/>
        <s v="Seccion 25 UT" u="1"/>
        <s v="Se aplica cambio de modalidad de la solicitud: 0000400284920" u="1"/>
        <s v="Se  elimina el formato de pago del folio:  No. 0000500184721    I    No. 0000500173121    I    " u="1"/>
        <s v="Notificación de seguimiento  [  MA1102202001 ]      I         I         I    Estimado(a):                     Lizbeth Adriana Cabrera Ortega    I         I    Le informamos que su ticket correspondiente a:    I                       I    Me permito hacer referencia al Acuerdo dictado por la Ponencia Sustanciadora del Recurso RRA 15564/19 el pasado 6 de febrero del 2020.    I         I    En éste, dentro de los puntos de acuerdo SEGUNDO TERCERO Y QUINTO hacen mención al hecho de que el recurso fue presentado por DIEGO MACHUCHA ROJAS, sin embargo aclaran que fue en representación del  C. FRANCISCO JAVIER FRANCO AVILA.    I         I    No obstante, cabe la aclaración que el acuerdo de turno que obra en el expediente electrónico del recurso en mención, únicamente precisa entre paréntesis el nombre de  (JESÚS ALBERTO PADILLA) que fue el dato que importó la PNT al hacer la carga manual;  nombre  que corresponde a la persona que presentó la solicitud de información, como consta en el sistema INFOMEX.     I         I    En este tenor, a fin de atender lo acordado por la ponencia, mucho agradeceré se modifique el expediente electrónico para quedar:    I         I    INFORMACIÓN DEL RECURRENTE:    I         I    DEBE DECIR    I         I    DIEGO MACHUCA ROJAS (FRANCISCO JAVIER FRANCO ÁVILA)    I        I         I    Aplicación:              SIGEMI    I    Tipo de Soporte:     Actualización de solicitante          I    Observaciones:                I         I    Su petición fue atendida    I         I    " u="1"/>
        <s v="Instalación y pruebas de funcionalidad de campus Público 2.1" u="1"/>
        <s v="Script BD para activar usuario Enrique Sibaja" u="1"/>
        <s v="Respaldar Curso 2 de un minuto  de la plataforma anterior y restaurar en plataforma actual " u="1"/>
        <s v="Se  testan los datos del folio: 0002700155421" u="1"/>
        <s v="Descarga de solicitudes" u="1"/>
        <s v="Se aplica cambio de modalidad a las solicitudes: 0001100073020 y 0001100091420." u="1"/>
        <s v="Buenas tardes Martha, tu petición fue atendida, favor de validar     I        I    Saludos     I        I    Marina Adame Velasco    I        I    Notificación de seguimiento  [  MA0107202002 ]      I        I    Aplicación:                  INFOMEX NUEVO LEÓN    I    Tipo de Soporte:         Corrección de nombre de archivo adjunto       I    Estatus:                               Concluido.    I        I    " u="1"/>
        <s v="Buenas tardes Martha, tu petición fue atendida, favor de validar     I        I    Saludos     I        I    Marina Adame Velasco    I        I    Notificación de seguimiento  [  MA1708202005 ]      I        I    Aplicación:                  INFOMEX NUEVO LEÓN    I    Tipo de Soporte:         Corrección de nombre de archivo adjunto       I    Estatus:                               Concluido.    I        I    " u="1"/>
        <s v="Buenas tardes Martha, tu petición fue atendida, favor de validar     I        I    Saludos     I        I    Marina Adame Velasco    I        I    Notificación de seguimiento  [  MA2310202003 ]      I        I    Aplicación:                  INFOMEX NUEVO LEÓN    I    Tipo de Soporte:         Corrección de nombre de archivo adjunto       I    Estatus:                               Concluido.    I        I    " u="1"/>
        <s v="Se aplica eliminación de formato de pago: 0063700728820" u="1"/>
        <s v="Notificación de seguimiento  [  MA1905202105 ]      I         I         I    Estimado(a):                     Gustavo Cuevas Romero    I         I         I    Le informamos que su ticket correspondiente a:    I                       I    realizar la eliminación del requerimiento IFAI-REQ-002792-2021, toda vez que por un error involuntario se notificó a un Sujeto Obligado diverso.    I         I    Aplicación:                  HCOM    I    Tipo de Soporte:         Eliminar requerimiento        I    Observaciones:                I         I    Su petición fue atendida    I         I          I                Favor de validar.    I         I    Estatus:                               Concluido.    I    " u="1"/>
        <s v="Notificación de seguimiento  [  MA1102202201 ]    I        I    Estimado(a):                Pedro Esquivel Martínez    I        I         I     Le informamos que su ticket correspondiente a:    I                       I    Con el gusto de saludarles y en relación al correo que antecede solicito su valioso apoyo, con la actualización de los certificados en la herramienta de comunicación HCOM; de los sujetos obligados a cargo del IMSS; se anexan certificados y cuadro descriptivo…    I         I    Aplicación:                  HCOM    I    Tipo de Soporte:         CAMBIO DE CERTIFICADOS ( 7 )      I    Observaciones:                I         I    Su petición fue atendida    I    " u="1"/>
        <s v="Notificación de seguimiento  [  MA3011202004 ]      I         I         I    Estimado(a):                     Alma Lizbeth Peguero Rivera    I         I         I    Le informamos que su ticket correspondiente a:    I                       I    Espero se encuentren bien, solicito su valioso apoyo para la eliminar el siguiente recurso RRA 10936/20 del pleno del pasado 24-11-20, ya que se encuentra doble en la PNT para poder trabajar mi actividad, sin más por el momento, quedo pendiente.    I         I    Aplicación:                  SIGEMI    I    Tipo de Soporte:         QUITAR DUPLICADO        I    Observaciones:                I         I    Su petición fue atendida    I    " u="1"/>
        <s v="Revisión de código y prueba de conexión al ambiente de desarrollo" u="1"/>
        <s v="Notificación de seguimiento  [  MA2901202111 ]      I         I         I    Estimado(a):                     ALEJANDRA TEJEDA    I         I         I    Le informamos que su ticket correspondiente a:    I                       I    REPORTE SEMANAL DE SOLICITUDES DE INFORMACIÓN, CORTE 29 DE ENERO 2021 A LAS 14:00    I         I    Aplicación:                  INFOMEX BCN    I    Tipo de Soporte:         REPORTE       I    Observaciones:                I         I    Su petición fue atendida    I         I    " u="1"/>
        <s v="Análisis, diseño y Desarrollo en el módulo de administración de descarga de información de SISAI de la funcionalidad para la descarga de adjuntos de la solicitud y adjuntos de las respuestas, considerando la configuración y el estatus en el tracking de la misma" u="1"/>
        <s v="Se genera certificado para usuario del Fondo de Capitalización e Inversión del Sector Rural" u="1"/>
        <s v="funcionalidad del mantenimiento de Bitacora " u="1"/>
        <s v="Se sustituye archivo adjunto  del folio: 22103000022621" u="1"/>
        <s v="Se aplica el cambio de modalidad a la solicitud: 0063700044820" u="1"/>
        <s v="Se agrega funcionalidad para mostrar contraseña cuando se escribe en login y registro" u="1"/>
        <s v="Se  testan los datos del folio: 0063700349021" u="1"/>
        <s v="Se aplica eliminación de respuesta al folio: 0681000018320" u="1"/>
        <s v="Notificación de seguimiento  [  MA1205202109 ]      I          I    Estimado(a):                     Edgar Michel Loaeza Martínez    I          I    Le informamos que su ticket correspondiente a:    I                       I    Por medio del presente, me permito solicitar su valioso apoyo a efecto de realizar la renovación de certificado del sujeto obligado indirecto de  la Secretaría de Turismo en el hcom.    I         I    Aplicación:                  HCOM    I    Tipo de Soporte:         CAMBIO TUT   ( 9 )    I    Observaciones:                I         I    Su petición fue atendida    I         I          I                Favor de validar.    I         I    Estatus:                               Concluido.    I    " u="1"/>
        <s v="Se aplica eliminación de formato de pago: 0063700581819" u="1"/>
        <s v="Estimado Edwin, te informo que  ya se subió el respaldo de su base de datos de esta semana…    I        I        I    http://documentos.inai.org.mx/tmp/infomexOAX_backup_2021-06-21_0800.bak    I        I        I         I    NOTA: El respaldo estará disponible una semana      I         I         I    Saludos    I         I                                                                                                                                                                                    I    Marina Adame Velasco    I         I    " u="1"/>
        <s v="Documentación para cambio en producción" u="1"/>
        <s v="Desarrollo y pruebas en el proceso de migración del BUS de servicios para el manejo de los códigos de errores y manejo de excepciones en el flujo completo desde la petición por parte del job PL, hasta el consumo de los webservices en los infomex" u="1"/>
        <s v="Se  testan  los datos y se sustituye el archivo  del folio: 1117100065121" u="1"/>
        <s v="Se  testan los datos de la solicitud con folio 1816400119921    I         I    " u="1"/>
        <s v="Reinstalación campus público en desarrollo" u="1"/>
        <s v="Se  testan los datos del folio: 0064102032721" u="1"/>
        <s v="Notificación de seguimiento  [  MA1602202114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del 2 al 28 febrero de 2021 y para el municipio de China NL su acuerdo amplia del 16 de febrero al 15 de marzo; debiéndose considerar los días comprendidos dentro de dicho periodo como inhábiles para evitar la propagación del coronavirus COVID-19.    I         I    Aplicación:                  INFOMEX FEDERAL     I    Tipo de Soporte:         AJUSTE DE PLAZOS       I    Observaciones:                I         I    Su petición fue atendida    I         I    " u="1"/>
        <s v="Notificación de seguimiento  [  MA2608202001 ]      I         I         I    Estimado(a):                     David Mendoza Oliva    I         I    Le informamos que su ticket correspondiente a:    I                       I    cambio en la fecha de término en la Herramienta de Comunicación para el listado que se adjunta en archivo Excel de los sujetos obligados a  quienes les fue notificado sus Dictámenes de Incumplimiento correspondiente a la verificación vinculante de las obligaciones de transparencia establecidas en la Ley General de Transparencia y Acceso a la Información Pública, y la Ley Federal de Transparencia y Acceso a la Información Pública del año dos mil veinte.    I         I    Aplicación:                  HCOM    I    Tipo de Soporte:         CAMBIO DE FECHAS EN REQUERIMIENTOS     I    Observaciones:                I         I    Su petición fue atendida    I         I    " u="1"/>
        <s v="Se ajusto la fecha para solicitudes del IMSS,626 solicitudes" u="1"/>
        <s v="Se ajusta semáforo y fecha del folio: 0063700110321" u="1"/>
        <s v="Se crea nuevo portlet para administración PNT" u="1"/>
        <s v="Corrección de errores en producción campus civil" u="1"/>
        <s v="Se aplica el cambio de modalidad de la solicitud: 0001100093420." u="1"/>
        <s v="Notificación de seguimiento  [  MA0305202101 ]      I         I         I    Estimado(a):                     Pedro Esquivel Martínez    I         I         I    Le informamos que su ticket correspondiente a:    I                       I    cambio de titular y la actualización de certificados en la Herramienta de comunicación HCOM para los sujetos obligados en relación al siguiente cuadro descriptivo. (se adjuntan certificados correspondientes)…    I         I    Aplicación:                  HCOM    I    Tipo de Soporte:         CAMBIO TUT  (11)     I    Observaciones:                I         I    Su petición fue atendida    I         I          I                Favor de validar.    I         I    Estatus:                               Concluido.    I    " u="1"/>
        <s v="Desarrollo de componentes" u="1"/>
        <s v="Notificación de seguimiento  [  MA1003202003 ]      I         I         I    Estimado(a):                     Jaime Enrique López Muñoz    I         I    Le informamos que su ticket correspondiente a:    I                       I    Buen día, por este medio se solicita, con relación al recurso de revisión RRA 02669/20 se elimine el registro de “ADMISIÓN DEL RECURSO”, es decir, se regresen los pasos a “Admitir/Prevenir”, en virtud de que por error involuntario se adjuntó un acuerdo a dicho registro y se dio el paso de admitir el mismo.    I        I         I    Aplicación:                  SIGEMI    I    Tipo de Soporte:         REGRESO DE PASOS      I    Observaciones:                I         I    Su petición fue atendida    I    " u="1"/>
        <s v="Notificación de seguimiento  [  MA1203202003 ]      I         I         I    Estimado(a):                     Sergio Rafael Cortés Alpizar    I         I    Le informamos que su ticket correspondiente a:    I                       I    Por este medio solicito se regrese la actividad en la PNT a “Preparación del Proyecto de Resolución”, del siguiente recurso de revisión:    I         I    RRA 1631/20 vs INMEGEN    I        I    Lo anterior se debe a que falto hacer el paso de cierre de instrucción, posteriormente la volvemos a enviar.    I         I         I    Aplicación:                  SIGEMI    I    Tipo de Soporte:         REGRESO DE PASOS      I    Observaciones:                I         I    Su petición fue atendida    I    " u="1"/>
        <s v="Notificación de seguimiento  [  MA2805202003 ]      I         I         I    Estimado(a):                     Karen Nayelli Muñiz Rebolledo    I         I    Le informamos que su ticket correspondiente a:    I                       I    Solicito su apoyo para que me ayuden a regresar los pasos en los siguientes recursos, a efecto de subir de nueva cuenta las versiones finales :    I        I    RRA 01353/20 vs IMSS    I    RRA 01953/20 vs CRE    I    RRA 01963/20 vs CRE    I    RRA 02103/20 vs CRE    I    RRA 02213/20 Y ACUM vs CRE    I        I         I    Aplicación:                  SIGEMI    I    Tipo de Soporte:         REGRESO DE PASOS (5)     I    Observaciones:                I         I    Su petición fue atendida    I    " u="1"/>
        <s v="Se aplica eliminación de formato de pago: 0064100795921" u="1"/>
        <s v="Se elimina la respuesta del folio: 00006000232421" u="1"/>
        <s v="Se  testan los datos de la solicitud con folio 0064100816321    I         I    " u="1"/>
        <s v="Se revisaron y analizaron los docuentos compartidos para enviar los sitios a que se den de alta" u="1"/>
        <s v="    I    Buenas tardes Francisco, tu petición fue atendida, favor de validar     I        I    NOMBRE GUIDDEPARTAMENTO    I    Servi Museos A.C. 20201013-1214-5100-0310-1b17c3fa0504    I    Fundación México Monterrey 2010, A.C. 20201013-1308-5500-8760-b1ca9175bf00    I        I        I    Saludos     I        I    Marina Adame Velasco    I        I    Notificación de seguimiento  [  MA2110202003 ]      I        I    Aplicación:                  INFOMEX NUEVO LEÓN    I    Tipo de Soporte:         CONSULTA DE DATOS        I    Estatus:                               Concluido.    I        I    " u="1"/>
        <s v="Se aplica el cambio de modalidad a la solicitud: 1857200014120." u="1"/>
        <s v="Se realiza el proceso de búsqueda de adjuntos en los infomex estatales consultando folio a folio,  tratando de ubicar los faltantes de recuperar. Consulta y procesos del Estado de  Guanajuato donde la lectura fue satisfactoria y se inician análisis de recuperación de información." u="1"/>
        <s v="Notificación de seguimiento  [  MA1204202102 ]      I         I         I    Estimado(a):                     YARENNI ADAME    I          I    Le informamos que su ticket correspondiente a:    I                       I    RESPALDO SEMANAL DE LA BASE DE DATOS INFOMEX    I         I    Aplicación:                  INFOMEX GUERRERO    I    Tipo de Soporte:         RESPALDO       I    " u="1"/>
        <s v="Notificación de seguimiento  [  MA1603202108 ]      I         I         I    Estimado(a):                     YARENNI ADAME    I          I    Le informamos que su ticket correspondiente a:    I                       I    RESPALDO SEMANAL DE LA BASE DE DATOS INFOMEX    I         I    Aplicación:                  INFOMEX GUERRERO    I    Tipo de Soporte:         RESPALDO       I    " u="1"/>
        <s v="Notificación de seguimiento  [  MA2203202112 ]      I         I         I    Estimado(a):                     YARENNI ADAME    I          I    Le informamos que su ticket correspondiente a:    I                       I    RESPALDO SEMANAL DE LA BASE DE DATOS INFOMEX    I         I    Aplicación:                  INFOMEX GUERRERO    I    Tipo de Soporte:         RESPALDO       I    " u="1"/>
        <s v="Notificación de seguimiento  [  MA3103202101 ]      I         I         I    Estimado(a):                     José Manuel Flores Robles    I         I         I    Le informamos que su ticket correspondiente a:    I                       I    Se comunicó un solicitante con nosotros, porque no recuerda el correo que usa para entrar a la PNT ¿podrías ayudarme a rastrear el usuario?     I    La solicitud es la N° folio: 00224421      I        I         I    Aplicación:                  INFOMEX QUERETARO    I    Tipo de Soporte:         CONSULTA DE DATOS       I    " u="1"/>
        <s v="Gestión de información acotada para valoración" u="1"/>
        <s v="Continuar documento de Análisis de la Solución    I    Recopilación reglas de negocio, Requerimientos generales de los videos de recorrido" u="1"/>
        <s v="Atencion a observaciones" u="1"/>
        <s v="Notificación de seguimiento  [  MA2706202202 ]    I        I    Estimado(a):               Abraham Obed Gallardo González    I        I         I     Le informamos que su ticket correspondiente a:    I        I    …solicito tu amable apoyo para la actualización del Certificado del TUT del CETI, ya que nos ha indicado que se terminó la vigencia del anterior y nos envía el actual.    I        I         I    Aplicación:                  HCOM    I    Tipo de Soporte:         CAMBIO CERTIFICADO    I    Observaciones:                I         I    Su petición fue atendida, se anexa certificado provisional generado y asignado en HCOM    I         I    " u="1"/>
        <s v="Notificación de seguimiento  [  MA1801202101 ]      I         I         I    Estimado(a):                     ALEJANDRA TEJEDA    I         I         I    Le informamos que su ticket correspondiente a:    I                       I    solicito de la manera más atenta su apoyo para la rectificación de suspensión de plazos de un Sujeto obligado, específicamente Ayuntamiento de Tijuana, dicho cambio modificaría las fechas de vencimiento de las solicitudes    I         I    Aplicación:                  INFOMEX FEDERAL    I    Tipo de Soporte:         AJUSTE DE PLAZOS       I    Observaciones:                I         I    Su petición fue atendida    I         I          I                Favor de validar.    I         I    Estatus:                               Concluido.    I    " u="1"/>
        <s v="Notificación de seguimiento  [  MA1910202011 ]      I         I         I    Estimado(a):                      JUAN PEDRO RAMIREZ FLORES    I         I    Le informamos que su ticket correspondiente a:    I                       I    Regreso de pasos hasta el proceso de &quot;Envío de Entrada y Acuerdo&quot; respecto al recurso de revisión en materia de datos personales  RRPDP-7/2020 dentro de la  Plataforma Nacional de Transparencia, SIGEMI - SICOM, toda vez que por mandato jurisdiccional se debe realizar de nuevo toda la sustanciación del medio de impugnación de mérito.    I         I    Aplicación:                  SIGEMI    I    Tipo de Soporte:         REGRESO DE PASOS      I    Observaciones:                I         I    Su petición fue atendida    I    " u="1"/>
        <s v="Notificación de seguimiento  [  MA1202202009 ]      I         I         I    Estimado(a):                     IVONE ALEJANDRA RAMIREZ MACIAS    I         I    Le informamos que su ticket correspondiente a:    I                       I    Buenas tardes Rafael, el día de hoy turnamos varios recursos en grupo por error incluso se nos fue uno del año pasado, se quedaron en el paso donde hay que cargar al archivo de turno, será posible que puedan regresar a la bandeja donde aparecen los recursos cuando recién ingresan?? Sería a partir del RAI 0035/2020 y hasta el RAI 0037/2020.    I        I         I    Aplicación:                  SIGEMI    I    Tipo de Soporte:         Eliminación de turno y ajuste de consecutivo       I    Observaciones:                I         I    Su petición fue atendida, se eliminaron los turnos correspondientes al  RAI 0036/2020 y RAI 0037/2020, el turno RAI 0035/2020 no se localizó. Con el ajuste realizado el siguiente turno que se genere será el 0035    I         I        I         I                Favor de validar.    I         I    Estatus:                               Concluido.    I    " u="1"/>
        <s v="Respaldar Curso 1  de la plataforma anterior y restaurar en plataforma actual " u="1"/>
        <s v="Se aplica eliminación de formato de pago: 0064102140021" u="1"/>
        <s v="Se aplica el cambio de modalidad para el folio: 0673800007520 ." u="1"/>
        <s v="Conexión de API de facebook para obtener información del usaurio logueado de facebook" u="1"/>
        <s v="Analizar los documentos proporcionados por el INAI" u="1"/>
        <s v="Se cambia el tipo de solicitud del folio: 0001200311821." u="1"/>
        <s v="Se sustituye archivo adjunto  del folio:  0673800015121" u="1"/>
        <s v="Adecuar servicios ya existentes de SISAI, en respuesta a los cambios aplicados en la generación de acuses y descarga de archivos adjuntos" u="1"/>
        <s v="Se aplica testado de datos al folio: 0064100078121" u="1"/>
        <s v="Se aplica testado de datos personales: 0064100272420." u="1"/>
        <s v="Notificación de seguimiento  [  MA2206202002 ]      I         I         I    Estimado(a):                     Sergio Rafael Cortés Alpizar    I         I    Le informamos que su ticket correspondiente a:    I                       I    Buen día, por medio del presente solicito su apoyo para que se cambie el medio de notificación a correo electrónico del particular en la Plataforma Nacional de Transparencia del recurso de revisión:    I         I    RRA 5316/20 vs CONAPESCA    I         I    Lo anterior se debe a que no se tiene domicilio y se le notificara por correo electrónico.     I         I    Aplicación:                  SIGEMI    I    Tipo de Soporte:         cambio de medio       I    Observaciones:                I         I    Su petición fue atendida    I    " u="1"/>
        <s v="Notificación de seguimiento  [  MA1309202201 ]    I        I    Estimado(a):                Abraham Obed Gallardo González    I        I     Le informamos que su ticket correspondiente a:    I        I        I                       I    Con el gusto de saludarles y en espera de que todo marche bien, por instrucciones del Lic. Pedro González Benítez, Director General de Enlace con Partidos Políticos, Organismos Electorales y Descentralizados, por este medio anexo el registro del certificado del nuevo Titular de la Unidad de Transparencia de la PRONAVIBE.    I         I    Lo Anterior, a fin de que sus accesos sean habilitados en los sistemas que administra este Instituto (HCOM).  CAMBIO DE TITULAR. En cuanto se reciba la atención en HCOM se realizará la actualización de los demás sistemas correspondientes.    I        I    Aplicación:                  HCOM    I    Tipo de Soporte:        1 CAMBIO DE TUT " u="1"/>
        <s v="Se cambió el tipo de solicitud del folio:  0001100046121" u="1"/>
        <s v="Se localiza solicitudes en proceso para la dependencia: CONSEJO DE PROMOCIÓN TURÍSTICA DE MÉXICO S.A. DE C.V." u="1"/>
        <s v="Notificación de seguimiento  [  MA2502202201]    I        I    Estimado(a):                Edgar Michel Loaeza Martínez    I        I         I     Le informamos que su ticket correspondiente a:    I                       I    Solicito su apoyo para poder dar de alta los certificados en el sistema Hcom, de los siguientes sujetos obligados indirectos de la Comisión Nacional Bancaria y de Valores    I        I         I    Aplicación:                  HCOM    I    Tipo de Soporte:         CAMBIO DE TUT ( 3)       I    Observaciones:                I         I    Su petición fue atendida    I         I    " u="1"/>
        <s v="Se eliminan dos última respuestas a los folios: 1026500022320 y 1026500022420." u="1"/>
        <s v="Respaldar Curso 1 de Miscelánea INAI  de la plataforma anterior y restaurar en plataforma actual " u="1"/>
        <s v="Se consultan datos del folio: 0120000019721" u="1"/>
        <s v="    I    Notificación de seguimiento  [  MA1412202002 ]      I          I    Estimado(a):                     Moisés Guzmán Arias    I          I    Le informamos que su ticket correspondiente a:    I                       I    Por este medio me permito solicitar su apoyo a fin de que me puedan apoyar con un respaldo de la base de datos del sistema infomex del estado de puebla.    I         I    Aplicación:                  INFOMEX PUEBLA     I    Tipo de Soporte:         RESPALDO       I    " u="1"/>
        <s v="Continúan consulta general en todos los estados con adjuntos faltantes a razón de incrementar la cantidad de adjuntos recuperados.    I    Preparación y entrega de los procedimientos utilizados para la generación de los datos para la carga inicial de información.    I    Preparación y entrega de los procedimientos para la extracción de información vía los servicios web." u="1"/>
        <s v="Notificación de seguimiento  [  MA1101202104 ]      I         I         I    Estimado(a):                     ALAN GARCÍA    I          I    Le informamos que su ticket correspondiente a:    I                       I    RESPALDO SEMANAL DE LA BASE DE DATOS INFOMEX    I         I    Aplicación:                  INFOMEX TLAXCALA    I    Tipo de Soporte:         RESPALDO       I    Observaciones:                I         I    Su petición fue atendida, se subió el respaldo de su base de datos de esta semana…    I        I        I    http://documentos.inai.org.mx/tmp/infomex_tlaxcala_backup_2021-01-11_0800.bak    I        I        I    NOTA: El respaldo estará disponible una semana      I        I          I                Favor de validar.    I         I    Estatus:                               Concluido.    I    " u="1"/>
        <s v="Notificación de seguimiento  [  MA2204202103 ]      I         I         I    Estimado(a):                     ALEJANDRA TEJEDA    I         I         I    Le informamos que su ticket correspondiente a:    I                       I    Me comenta el Sujeto Obligado Congreso del Estado que presentaron prorroga a la solicitud identificada con número de folio 00317121, pero el sistema de solicitudes no realizo el computo de términos correctamente, les arroja una fecha límite para dar respuesta distinta, debiendo ser 28 de abril del año en curso; por lo cual se solicita el ajuste manual de la misma.    I         I    Aplicación:                  INFOMEX BCN    I    Tipo de Soporte:         AJUSTE DE PLAZO        I    Observaciones:                I         I    Su petición fue atendida    I    " u="1"/>
        <s v="Notificación de seguimiento  [  MA2408202112 ]    I        I    Estimado(a):                Berenice Hernández Sumano    I        I         I     Le informamos que su ticket correspondiente a:    I                       I    Por este medio solicito su ayuda para visualizar correctamente en el Sistema Infomex Oaxaca los archivos adjuntos cargados por el solicitante, debido a que el nombre del archivo integra acentos el aplicativo no puede recuperar la ruta de acceso al documento y genera un error de lectura, impidiendo que la Unidad de transparencia de atención a la solicitud.    I         I    Aplicación:                  INFOMEX OAXACA    I    Tipo de Soporte:         CORRECCIÓN DE NOMBRES DE ACUSES       I    Observaciones:                I         I    Su petición fue atendida    I    " u="1"/>
        <s v="Se corrige excepcion null al realizar cambios en los datos de tipo de persona en perfil" u="1"/>
        <s v="Continúa el apoyo en consultas y validación de la información generada con las bases de datos en custodia (casos de diversos estados) en lo referente principalmente a documentación adjunta.      I    Continúa el proceso de análisis comparativo de la información de los catálogos de municipio, colonias y código postal de entre VUT y Federado, terminado esto se iniciará la confronta contra el productivo.    I    Validar y crear las vistas para los inserts de población de las tablas derivadas de los catálogos de VUT." u="1"/>
        <s v="Notificación de seguimiento  [  MA2403202113 ]      I         I         I    Estimado(a):                     CRISTIAN DE JESUS AVENDAÑO PALACIOS    I         I         I    Le informamos que su ticket correspondiente a:    I                       I    Por este medio solicito de su valioso apoyo para poder aplicar las afectaciones a las fechas de vencimiento y la eliminación de los acuses respectivos de las solicitudes señaladas en el archivo adjunto. Toda vez que el Consejo General aprobará en su Décima Novena Sesión Ordinaria celebrada el día 28 de octubre, aprobó la primera fase del levantamiento a la suspensión de plazos derivado de la Contingencia Sanitaria del COVID-19 para un primer grupo de sujetos obligados y la continuidad de la suspensión de plazos para el resto de sujetos obligados hasta el 19 de abril 2021.    I        I         I    Aplicación:                  INFOMEX OAXACA    I    Tipo de Soporte:         AJUSTE DE PLAZOS        I    Observaciones:                I         I    Su petición fue atendida    I         I          I                Favor de validar.    I         I    Estatus:                               Concluido.    I    " u="1"/>
        <s v="Verificación de procesos y flujo de pizarras 4" u="1"/>
        <s v="Notificación de seguimiento  [  MA2008202106 ]    I        I    Estimado(a):                Francisco Javier Lira Pérez    I        I         I     Le informamos que su ticket correspondiente a:    I         I    A fin de solicitar en el RR/4839/2021, el cambio de sujeto obligado ya que erróneamente se dirigió a la Secretaría General de Gobierno (DGC), cuando el correcto es a la Secretaría de Seguridad Pública (DGC).    I        I         I    Aplicación:                  SIGEMI    I    Tipo de Soporte:         CAMBIO DE SO       I    Observaciones:                I         I    Su petición fue atendida    I         I    " u="1"/>
        <s v="Notificación de seguimiento  [  MA2502202001 ]      I         I         I    Estimado(a):                     Lizbeth Adriana Cabrera Ortega    I         I    Le informamos que su ticket correspondiente a:    I                       I    SOLCIITO SU APOYO PARA SUPRIMIR DE LA BANDEJA DE TURNO DE ACCESO LOS SIGUIENTES RECURSOS QUE CORRESPONDEN A LA SCJN 5 Y DOS QUE FUERON CARGADOS DUPLICADOS MANUALMENTE.    I         I    Aplicación:                  SIGEMI    I    Tipo de Soporte:         CANCELAR RECURSOS DE BANDEJA DE TURNO      I    Observaciones:                I         I    Su petición fue atendida    I         I    " u="1"/>
        <s v="Notificación de seguimiento  [  MA2701202113 ]      I         I         I    Estimado(a):                     Edgar Michel Loaeza Martínez    I         I         I    Le informamos que su ticket correspondiente a:    I                       I    Por medio del presente solicito su valioso apoyo a efecto de realizar el cambio de Titular de la Unidad de Transparencia del sujeto obligado denominado Comisión Nacional del Agua en hcom.    I         I    Aplicación:                  HCOM    I    Tipo de Soporte:         CAMBIO TUT       I    Observaciones:                I         I    Su petición fue atendida    I         I    " u="1"/>
        <s v="Buenos días Guillermo, tu petición fue atendida, favor de validar     I        I    Saludos     I        I    Marina Adame Velasco    I        I    Notificación de seguimiento  [  MA051020201 ]      I        I    Aplicación:                  INFOMEX BCN    I    Tipo de Soporte:         CONSULTA DE DATOS        I    Estatus:                               Concluido.    I        I    " u="1"/>
        <s v="Generación de script para la descompresión de archivos" u="1"/>
        <s v="Notificación de seguimiento [ MA2201202011 ]     I          I          I     Estimado(a): Ana Patricia Flores González    I          I     Le informamos que su ticket correspondiente a:    I          I     Por este medio te solicito amablemente se regrese el paso del recurso de revisión RRA 00560/20, toda vez que se le asignó el paso “desechar”, siendo que lo correcto es admitir. Aunado al hecho de que el documento que se cargó (acuerdo de desechamiento) corresponde a un recurso de revisión diverso.     I         I          I     Aplicación: SIGEMI    I     Tipo de Soporte: REGRESO DE PASOS" u="1"/>
        <s v="Notificación de seguimiento  [  MA0308202201 ]    I        I        I    Estimado(a):               Alondra Jiménez Hernández    I        I     Le informamos que su ticket correspondiente a:    I        I    la renovación del certificado del Titular de la Unidad de Transparencia del IPICYT en la Herramienta de Comunicación.    I        I        I    Aplicación:                  HCOM    I    Tipo de Soporte:        GENERACIÓN DE CERTIFICADO Y RENOVACIÓN EN HCOM  " u="1"/>
        <s v="Notificación de seguimiento  [  MA1008202005 ]      I         I         I    Estimado(a):                     Pedro Esquivel Martínez    I         I    Le informamos que su ticket correspondiente a:    I                       I    cambiar las siglas del Sujeto Obligado: Instituto Nacional de los Pueblos Indígenas a “CDI” en los sistemas HCOM e INFOMEX; inclusive en la manera de lo posible pido de igual manera su apoyo con un reporte de Siglas de nuestros sujetos obligados, esto con el propósito de realizar la revisión y posteriormente el ajuste correspondiente en las siglas de nuestros sujetos obligados    I         I    Aplicación:                  HCOM      I    Tipo de Soporte:         MODIFICACIÓN Y CONSULTA  DE DATOS    I    Observaciones:                I         I    Su petición fue atendida    I    " u="1"/>
        <s v="Notificación de seguimiento  [  MA3008202107 ]    I        I    Estimado(a):                Pedro Esquivel Martínez    I        I         I     Le informamos que su ticket correspondiente a:    I                       I    por este medio Anexo el registro actualizado del certificado del Titular de la Unidad de Enlace de la “Instituto Nacional de Lenguas Indígenas”.  Lo Anterior a fin de que sus accesos sean habilitados en los otros sistemas que administra este Instituto (HCOM).  CAMBIO DE  CERTIFICADO, en cuanto se reciba la atención en HCOM se realizará la actualización de los demás sistemas correspondientes.    I         I    Aplicación:                  HCOM    I    Tipo de Soporte:         actualización de certificado    I    Observaciones:                I         I    Su petición fue atendida    I    " u="1"/>
        <s v="Se aplica eliminación de formato de pago de los folios 1215100097321, 1215100097521 y 1215100097621  " u="1"/>
        <s v="Notificación de seguimiento  [  MA1204202105 ]      I         I         I    Estimado(a):                     Alondra Jiménez Hernández    I         I         I    Le informamos que su ticket correspondiente a:    I                       I    Anexo el registro actualizado del certificado del Titular de la Unidad de Transparencia de la Instituto Potosino de Investigación Científica y Tecnológica, A.C.  para su renovación en la HCOM.      I         I    Aplicación:                  HCOM    I    Tipo de Soporte:         RENOVACIÓN DE CERTIFICADO       I    Observaciones:                I         I    Su petición fue atendida    I         I    " u="1"/>
        <s v="Documentacion de MOODLE para la generacion de reportes" u="1"/>
        <s v="    I    Notificación de seguimiento  [  MA2511202006 ]      I          I    Estimado(a):                     María Angélica Valdez Islas    I          I    Le informamos que su ticket correspondiente a:    I                       I    eliminar del HCOM el  Requerimiento Número IFAI-REQ-002620-2020, que se notifico al Sujeto SEPOMEX     I        I    Aplicación:                  HCOM    I    Tipo de Soporte:         ELIMINAR REQUERIMIENTO        I    Observaciones:                I         I    Su petición fue atendida    I         I    " u="1"/>
        <s v="Se elmina la respuesta del folio:  1026500006021 y 1026500006121 " u="1"/>
        <s v="Notificación de seguimiento  [  MA2805202101 ]    I        I        I        I    Estimado(a):                Juan Carlos Chávez García    I        I         I     Le informamos que su ticket correspondiente a:    I                       I    Solicito atentamente realizar corrección en el SUJETO OBLIGADO del recurso:     I    INFOCDMX/RR.IP.0686/2021 Solicitud: 6001000027221,     I    Error: Consejería Jurídica y de Servicios Legales.    I        I    SUJETO OBLICADO CORRECTO: Consejo de la Judicatura de la Ciudad de México    I        I         I    Aplicación:                  SIGEMI    I    Tipo de Soporte:         CORRECCIÓN DE SUJETO OBLIGADO      I    Observaciones:                I         I    Su petición fue atendida    I         I         I        I                 Favor de validar.    I         I    Estatus:                               Concluido    I        I    " u="1"/>
        <s v="Se habilita a la usuaria:" u="1"/>
        <s v="Eliminar recibo de pago en solicitud registrada en Infomex" u="1"/>
        <s v="Notificación de seguimiento  [  MA0602202008 ]      I         I         I    Estimado(a):                     Yenifer Sthephanie Martínez Rivera    I         I    Le informamos que su ticket correspondiente a:    I                       I    Solicito tu amable intervención para que el expediente electrónico RRA 6277/19 LOTENAL y RRD-RCRA 0797/19 AFSECDMX en la Plataforma Nacional de Transparencia para que se regrese el paso “Evaluación de Cumplimiento”, con la finalidad de estar en posibilidad de evaluar el cumplimiento.     I        I        I         I    Aplicación:                  SIGEMI    I    Tipo de Soporte:         REGRESO DE PASOS  ( 2 )     I    Observaciones:                I         I    Su petición fue atendida    I          I                Favor de validar.    I         I    Estatus:                               Concluido.    I    " u="1"/>
        <s v="Notificación de seguimiento  [  MA1205202116 ]      I         I         I    Estimado(a):                     Edwin Robles Hernández    I         I         I    Le informamos que su ticket correspondiente a:    I                       I    Por este medio solicito de su valioso apoyo para poder aplicar las afectaciones a las fechas de vencimiento y la eliminación de los acuses respectivos de las solicitudes señaladas en el archivo adjunto. Toda vez que el Consejo General aprobará mediante Acuerdo ACDO/CG/IAIP/021/2020.    I        I         I    Aplicación:                  INFOMEX OAXACA    I    Tipo de Soporte:         AJUSTE DE PLAZOS       I    Observaciones:                I         I    Su petición fue atendida    I         I          I                Favor de validar.    I         I    Estatus:                               Concluido.    I    " u="1"/>
        <s v="Desarrollo de componente Arbol de opciones del menu Usuarios en INAI" u="1"/>
        <s v="Reestructuración queryes para obetener obligaciones base " u="1"/>
        <s v="Implementar adecuaciones al código fuente para atender hallazgos del módulo - Administracion de avisos" u="1"/>
        <s v="Notificación de seguimiento  [  MA0402202001 ]      I         I         I    Estimado(a):                     Brayan Román Martínez Lara    I         I    Le informamos que su ticket correspondiente a:    I                       I    Por medio del presente, solicito de la forma más atenta que, respecto del RRA 00574/20 y RRA 00469/20 sean regresados al paso “Admitir/Prevenir/Desechar” toda vez que se notificaron en el SIGEMI de manera incorrecta.    I        I    En razón de ello es que se requiere que se regrese el paso, a efecto de una pronta notificación con el archivo correcto.    I        I        I    Aplicación:                  SIGEMI    I    Tipo de Soporte:         REGRESO DE PASOS  ( 2 )     I    " u="1"/>
        <s v="Continúa la extracción de adjuntos del estado de Guanajuato vía http.    I    Continúa el apoyo en consultas y validación de la información generada con las bases de datos en custodia (casos de diversos estados) en lo referente principalmente a documentación adjunta." u="1"/>
        <s v="Notificación de seguimiento  [  MA0303202201 ]    I        I    Estimado(a):                Lizbeth Adriana Cabrera Ortega    I        I         I     Le informamos que su ticket correspondiente a:    I                       I    Con el gusto de saludarles me permito solicitar tu valioso apoyo respecto de la generación UN EXPEDIENTE BIS del recurso de revisión posteriormente citado.    I         I    Asimismo, te comento que NO DEBERÁ CAMBIAR el sujeto obligado, ni el Comisionado correspondiente.     I         I     DICE                                        DEBE DECIR                         SUJETO OBLIGADO           PONENTE    I    RRA 2873/22 RRA 00056/20- BIS NAFIN AAM    I         I    No omito comentarte que el número de expediente que deberá seguir en el consecutivo por turnar en PNT debe ser el RRA 2873/22.    I    Aplicación:                  SICOM    I    Tipo de Soporte:         CAMBIO A BIS      I    Observaciones:                I         I    Su petición fue atendida    I         I    " u="1"/>
        <s v="Se  testan los datos del folio:0064101940021" u="1"/>
        <s v="Se cambió el tipo de solicitud del folio:1031500043921." u="1"/>
        <s v="Se aplica el testado de datos de la solicitud: 0700200000320" u="1"/>
        <s v="Notificación de seguimiento  [  MA0902202105 ]      I          I    Estimado(a):                     Martha Rubí Zaragoza Mora    I         I    Le informamos que su ticket correspondiente a:    I                       I    El presente correo es para pedir su amable apoyo para el ajuste de términos de los folios debido al Acuerdo que enviaron los siguientes Sujetos Obligados a la COTAI por el cual tienen como día inhábil el 1 de febrero de 2021.    I         I    Aplicación:                  INFOMEX NUEVO LEÓN     I    Tipo de Soporte:         AJUSTE DE PLAZOS        I    Observaciones:                I         I    Su petición fue atendida    I         I    " u="1"/>
        <s v="Notificación de seguimiento  [  MA2505202006 ]      I         I         I    Estimado(a):                     Adriana Elizabeth Hernández Garcia    I         I    Le informamos que su ticket correspondiente a:    I                       I    Por medio del presente te solicito, si no existe inconveniente, el retroceso de paso en la PNT del expediente relacionado con la resolución RRA 04359/20 al denominado “Registro Información de la sesión del Pleno”.    I        I         I    Aplicación:                  SIGEMI    I    Tipo de Soporte:         REGRESO DE PASOS      I    Observaciones:                I         I    Su petición fue atendida    I         I    " u="1"/>
        <s v="Generación de respaldo de la iniciativa publica " u="1"/>
        <s v="Reunion de estatus" u="1"/>
        <s v="Generacción de  usuario en sistema" u="1"/>
        <s v="Se recupera la contraseña del usuario: CROMERO." u="1"/>
        <s v="Se retoma la tarea para la automatización del proceso de generación de registros Inserts del Excel (SISAI_catalogos_TareaXEdos.xlsx) Validación del contenido proporcionado en el EXCEL vs Lo contenido en la Base de Datos.    I    Validación de la generación de scripts para la inserción de datos en las tablas de trabajo. Derivado del caso del día anterior se recibe correo de Samuel para sustanciar las respuesta de Jalisco, se notifican sus posibles equivalencias y Samuel autoriza la carga en estatus de confirmar posteriormente. (Se realizan los cambios que derivaron de la actualización, se genera nuevamente el insumo de scripts y se procede con la carga de información por 2da vez)." u="1"/>
        <s v="Notificación de seguimiento  [  MA2403202115 ]      I         I         I    Estimado(a):                     Martha Rubí Zaragoza Mora    I         I         I    Le informamos que su ticket correspondiente a:    I                       I    El presente correo es para pedir su amable apoyo para el ajuste de términos de los folios debido al primer periodo vacacional del año 2021 que envió el sujeto obligado con su acuerdo y se configuro el calendario correspondiente    I         I    Aplicación:                  INFOMEX NUEVO LEÓN    I    Tipo de Soporte:         AJUSTE DE PLAZO        I    Observaciones:                I         I    Su petición fue atendida    I         I    " u="1"/>
        <s v="Componente Header (Slider principal de la pagina)" u="1"/>
        <s v="    I    Notificación de seguimiento  [  MA0812202002 ]      I          I    Estimado(a):                     Alma Lizbeth Peguero Rivera    I         I    Le informamos que su ticket correspondiente a:    I                       I    eliminar el siguiente recurso RRD 01611/20 del pleno del pasado 02-12-20, ya que se encuentra doble en la PNT para poder trabajar mi actividad    I         I    Aplicación:                  SIGEMI    I    Tipo de Soporte:         QUITAR DUPLICADO       I    Observaciones:                I         I    Su petición fue atendida    I         I    " u="1"/>
        <s v="    I    Notificación de seguimiento  [  MA2701202112 ]      I         I         I    Estimado(a):                     Omar Antonio Méndez Mendoza    I         I         I    Le informamos que su ticket correspondiente a:    I                       I    solicitar tu valioso apoyo para que por favor se asigne el certificado, adjunto al presente, en la Herramienta de Comunicación HCOM    I         I    Aplicación:                  HCOM    I    Tipo de Soporte:         CAMBIO TUT       I    Observaciones:                I         I    Su petición fue atendida    I         I    " u="1"/>
        <s v="    I    Notificación de seguimiento  [  MA2909202007 ]      I         I         I    Estimado(a):                     Edgar Michel Loaeza Martínez    I         I    Le informamos que su ticket correspondiente a:    I                       I    dar de alta los certificados que se adjuntan, sujetos obligados indirectos de la Secretaría de Comunicaciones y Transportes    I         I    Aplicación:                  HCOM    I    Tipo de Soporte:         CAMBIO DE CERTIFICADOS ( 5 )      I    Observaciones:                I         I    Su petición fue atendida    I         I    " u="1"/>
        <s v="Se aplica eliminación de formato de pago: 1613100065020" u="1"/>
        <s v="Se realiza la baja Fid. 66.- Gobierno Federal para Créditos    I    Especiales”, con número de clave 06002" u="1"/>
        <s v="Implementación del alta de Resoluciones Privadas por Tema." u="1"/>
        <s v="Generación de script para el reconocimiento de formatos en SIPOT" u="1"/>
        <s v="Script de migración de colación campus público" u="1"/>
        <s v="Notificación de seguimiento  [  MA0809202008 ]      I         I         I    Estimado(a):                     Mariana Aguila Jimenez    I         I    Le informamos que su ticket correspondiente a:    I                       I    En relación con el recurso de revisión RRD 01088/20 vs IMSS el recurrente NO señaló DE MANERA EXPRESA medio de notificación, POR LO QUE SE DETERMINÓ TENER POR SEÑALADO COMO MEDIO LOS ESTRADOS DE ESTE INSTITUTO; por lo que se solicita su valioso apoyo a efecto de que en la Plataforma Nacional de Transparencia (PNT) se cambie el medio de notificación del recurrente a ESTRADOS, a efecto de que SE REALICEN las notificaciones correspondientes.     I        I         I    Aplicación:                  SIGEMI    I    Tipo de Soporte:         cambio de medio       I    Observaciones:                I         I    Su petición fue atendida    I    " u="1"/>
        <s v="Buenas tardes Martha, tu petición fue atendida, favor de validar     I        I    Saludos     I        I    Marina Adame Velasco    I        I    Notificación de seguimiento  [  MA2204202006 ]      I        I    Aplicación:                  INFOMEX NUEVO LEÓN    I    Tipo de Soporte:         AJUSTE DE PLAZOS        I    Estatus:                               Concluido.    I          I    " u="1"/>
        <s v="Notificación de seguimiento  [  MA2802202003 ]      I         I         I    Estimado(a):                     Gloria Bravo Reyna    I         I    Le informamos que su ticket correspondiente a:    I                       I    eliminación de los siguientes folios en HCOM.    I        I         I    Aplicación:                  HCOM    I    Tipo de Soporte:         Eliminar folios  ( 9 )    I    Observaciones:                I         I    Su petición fue atendida    I         I    " u="1"/>
        <s v="Buscadores Tematicos, servidores publicos (Busqueda General)" u="1"/>
        <s v="    I    Notificación de seguimiento  [  MA0812202003 ]      I         I    Estimado(a):                     Alma Lizbeth Peguero Rivera    I         I    Le informamos que su ticket correspondiente a:    I                       I    retroceder los pasos en el sistema SIGEMI-SICOM en la PNT del siguiente asunto RRA 13327/20 NJRV, hasta la actividad “Registrar información de la sesión del pleno”    I        I    Aplicación:                  SIGEMI    I    Tipo de Soporte:         REGRESO DE PASOS       I    Observaciones:                I         I    Su petición fue atendida    I         I    " u="1"/>
        <s v="    I    Notificación de seguimiento  [  MA1102202003 ]      I         I         I    Estimado(a):                     Raúl Gustavo Flores Cruz    I         I    Le informamos que su ticket correspondiente a:    I                       I    Por medio de la presente, solicito apoyo para que se realice el regreso del paso de evaluación de cumplimiento del RRA 3113/19, en la PNT.    I        I        I         I    Aplicación:                  SIGEMI    I    Tipo de Soporte:         REGRESO DE PASOS      I    Observaciones:                I         I    Su petición fue atendida    I         I    " u="1"/>
        <s v="Se envía seguimiento de la solicitud del folio: 0001600390519." u="1"/>
        <s v="    I    Notificación de seguimiento  [  MA1509202201 ]    I        I    Estimado(a):                Armando Ortiz Luna    I        I        I     Le informamos que su ticket correspondiente a:    I        I        I                       I    Atentamente solicito de su valioso apoyo para asignar en la Herramienta de Comunicación los certificados que adjunto al presente, a los sujetos obligados que se precisan a continuación:    I    Clave_x0009_Sujeto Obligado_x0009_Siglas HCOM_x0009_Nombre del Titular_x0009_Correo electrónico_x0009_Contraseña para HCOM    I    60212_x0009_Sindicato Nacional Democrático de Trabajadores de los Tribunales Agrarios_x0009_SINADETTA_x0009_Santa Sonia Meneses Cedillo_x0009_sinadetta.transparencia@tribunalesagrarios.gob.mx    I    hcom60212    I    60305_x0009_Sindicato Nacional de Grupos Artísticos del Instituto Nacional de Bellas Artes y Literatura_x0009_SNGA-INBA_x0009_Lila Del Carmen Gutiérrez Martínez_x0009_cedgruposartis@yahoo.com.mx    I    Hcom60305    I        I        I    Aplicación:                 HCOM    I    Tipo de Soporte:        RENOVACIÓN DE CERTIFICADO    I    Observaciones:                I        I        I         I    Su petición fue atendida para el Sujeto Obligado Sindicato Nacional de Grupos Artísticos del Instituto Nacional de Bellas Artes y Literatura, para el Sujeto Obligado con clave 60212 no se realizó el cambio ya que el nombre del titular no coincide con el que esta actualmente en HCOM, por lo que necesitamos nos valides si se realiza el cambio de TUT    I        I         I     " u="1"/>
        <s v="Notificación de seguimiento  [  MA1003202114 ]      I         I         I    Estimado(a):                     Moisés Guzmán Arias    I         I         I    Le informamos que su ticket correspondiente a:    I                       I    Por este medio me permito solicitar su valioso apoyo a fin de que me puedan proporcionar el respaldo de la base de datos infomex  del estado de Puebla.    I         I    Aplicación:                  INFOMEX PUEBLA     I    Tipo de Soporte:         RESPALDO       I    Observaciones:                I         I    Su petición fue atendida    I        I    http://documentos.inai.org.mx/tmp/infomexPUEBLA_backup_2021-03-07_2300.bak    I         I          I                Favor de validar.    I         I    " u="1"/>
        <s v="Desarrollo de los endpoints SISAI customizados para las respuestas con secciones dinamicas de los sujetos obligados, las configuraciones y pruebas con los organismos garantes" u="1"/>
        <s v="Notificación de seguimiento  [  MA0602202004 ]      I         I         I    Estimado(a):                     Lizbeth Adriana Cabrera Ortega    I         I    Le informamos que su ticket correspondiente a:    I                       I    RAFA    I        I    PODEMOS ATENDER LA PETICIÓN DE LA PONENCIA DICEN QUE NO PUEDEN VER ESTE RETURNO    I        I    ENTONCES ME AYUDAS APOYANDO PARA QUE PUEDAN TRABAJAR Y VER EL EXPEDIENTE.    I        I         I    Aplicación:                  SIGEMI    I    Tipo de Soporte:         REGRESO DE PASOS      I    " u="1"/>
        <s v="Se generó certificado para usuario de dependencia FONSABI" u="1"/>
        <s v="Notificación de seguimiento  [  MA2705202008 ]      I         I         I    Estimado(a):                     Alfredo Iván Moreno Pérez    I         I    Le informamos que su ticket correspondiente a:    I                       I    Solicitando su apoyo, en virtud de que hace unos momentos se notificó la resolución del expediente RRD 0376/20, mismo que su sentido es de modifica con una instrucción de cumplimiento de 20 días; sin embargo, por un error la misma al momento de darla de alta le fue colocado &quot;sin instrucción&quot;, por ende al momento de notificarla se fue sin periodo de cumplimiento, solicitándoles de la manera más atenta se le pueda colocar la instrucción de 20 días para cumplimiento.    I         I    Aplicación:                  SIGEMI    I    Tipo de Soporte:         REGRESO DE PASOS      I    Observaciones:                I         I    Su petición fue atendida    I    " u="1"/>
        <s v="Se aplica sustitución de archivo de la solicitud: 0064103677319." u="1"/>
        <s v="Notificación de seguimiento  [  MA1707202001 ]      I         I         I    Estimado(a):                     Pedro González Benitez    I         I    Le informamos que su ticket correspondiente a:    I                       I    Alta en el Sistema de Solicitudes de Información (SISI), la Herramienta de Comunicación (HCOM), el Sistema de Portales de Obligaciones de Transparencia (SIPOT) y el Sistema de Comunicación entre Organismos Garantes y Sujetos Obligados (SICOM), al siguiente sujeto obligado    I    " u="1"/>
        <s v="Se  testan los datos del folio: 0000600105421" u="1"/>
        <s v="Se  testan los datos del folio: 0064101340821" u="1"/>
        <s v="Notificación de seguimiento  [  MA2611202008 ]      I          I    Estimado(a):                     Berenice Hernández Sumano    I         I     Le informamos que su ticket correspondiente a:    I                       I    Por este medio solicito de su apoyo para revisar y corregir el funcionamiento de las prórrogas admitidas en el Sistema Infomex, ya tengo reportes confirmados que el plazo de prórroga reflejado en el sistema infomex se están calculando al día siguientes hábil de la presentación de la solicitud sin el ajuste de días inhábiles que se realizaron en los calendarios.    I         I    Aplicación:                  INFOMEX OAXACA    I    Tipo de Soporte:         AJUSTE DE PLAZOS        I    Observaciones:                I         I    Su petición fue atendida, respecto al conteo incorrecto que se menciona se realizará una revisión de lo comentado.    I         I          I                Favor de validar.    I         I    Estatus:                               Concluido.    I        I    " u="1"/>
        <s v="Soporte Hidalgo" u="1"/>
        <s v="Revisión incidencia área usuaria mapa" u="1"/>
        <s v="Buenas tardes Memo, tu petición fue atendida, favor de validar     I     Saludos     I         I     Marina Adame Velasco    I         I     Notificación de seguimiento [ MA3001202002 ]     I         I     Aplicación: INFOMEX BCN    I     Tipo de Soporte: Consulta de datos     I     Estatus: Concluido." u="1"/>
        <s v=" EGRESOS PRESUPUESTARIOS(buscadores tematicos 2)" u="1"/>
        <s v="Notificación de seguimiento  [  MA2802202013 ]      I         I         I    Estimado(a):                     Lizbeth Adriana Cabrera Ortega    I         I    Le informamos que su ticket correspondiente a:    I                       I    Pido de su amable apoyo para hacer Cambio de fecha al día hábil siguiente de los recursos que interpusieron por INFOMEX en horario inhábil.    I        I        I    DEBE DECIR 28 DE FEBRERO    I        I    " u="1"/>
        <s v="Generar certificado para SOs obligado FONDO IPICYT" u="1"/>
        <s v="Selección de arquitecturas de aprendizaje profundo" u="1"/>
        <s v="Notificación de seguimiento  [  MA2803202202 ]    I        I    Estimado(a):                Lizbeth Adriana Cabrera Ortega    I        I         I     Le informamos que su ticket correspondiente a:    I                       I    el número expediente RRD 391/2- BIS sea modificado al número RRD 391/21- BIS.    I         I    Aplicación:                  SIGEMI    I    Tipo de Soporte:         actualización de expediente BIS    I    Observaciones:                I         I    Su petición fue atendida    I         I    " u="1"/>
        <s v="Notificación de seguimiento  [  MA2010202003 ]      I         I         I    Estimado(a):                     Alma Lizbeth Peguero Rivera    I         I    Le informamos que su ticket correspondiente a:    I                       I    Por medio de presente, solicito de la manera más atenta, su apoyo para retroceder los pasos en el sistema SIGEMI-SICOM en la PNT del siguiente asunto RRA 08540/20 BLIC , hasta la actividad “Registrar información de la sesión del pleno”; sin más por el momento, quedo en espera de sus comentarios.    I        I         I    Aplicación:                  SIGEMI    I    Tipo de Soporte:         REGRESO DE PASOS      I    Observaciones:                I         I    Su petición fue atendida    I         I    " u="1"/>
        <s v="Se  testan los datos del folio: 1816800001521" u="1"/>
        <s v="Se  testan los datos de la solicitud con folio 0000700107621 " u="1"/>
        <s v="Reunion Avance actividades Pizarras 4 para muestra de los muckups" u="1"/>
        <s v="Notificación de seguimiento  [  MA0504202107 ]      I         I         I    Estimado(a):                     ALAN GARCÍA    I          I    Le informamos que su ticket correspondiente a:    I                       I    RESPALDO SEMANAL DE LA BASE DE DATOS INFOMEX    I         I    Aplicación:                  INFOMEX TLAXCALA    I    Tipo de Soporte:         RESPALDO       I    Observaciones:                I         I    Su petición fue atendida, se subió el respaldo de su base de datos de esta semana…    I        I        I    http://documentos.inai.org.mx/tmp/infomex_tlaxcala_backup_2021-04-05_1106.bak    I        I        I    NOTA: El respaldo estará disponible una semana      I        I    " u="1"/>
        <s v="Probar la respuesta del servicio de notificaciones de SIGEMI con los folios de queja del usuario: saimex@gmaill.com    I    Request Response mis quejas saimex    I    Request Response detalle quejas saimex    I    Request Response historico quejas saimex    I    Request Response notificaciones quejas saimex" u="1"/>
        <s v="Notificación de seguimiento  [  MA2606202004 ]      I         I         I    Estimado(a):                     Pedro Esquivel Martínez    I         I    Le informamos que su ticket correspondiente a:    I                       I    el cambio de certificado para los Fideicomisos a cargo de CONACYT; se anexan certificados    I        I                     I         I    Aplicación:                  HCOM    I    Tipo de Soporte:         CAMBIO TUT   (5)    I    Observaciones:                I         I    Su petición fue atendida, se realizó el cambio de Titular de los siguientes     I    " u="1"/>
        <s v="Notificación de seguimiento  [  MA2906202001 ]      I         I         I    Estimado(a):                     Pedro Esquivel Martínez    I         I    Le informamos que su ticket correspondiente a:    I                       I    el cambio de certificado para los Fideicomisos a cargo de CONACYT; se anexan certificados    I        I                     I         I    Aplicación:                  HCOM    I    Tipo de Soporte:         CAMBIO TUT   (6)    I    Observaciones:                I         I    Su petición fue atendida, se realizó el cambio de Titular de los siguientes     I    " u="1"/>
        <s v="Análisis de incidencia en solicitudes generadas con folio incorrecto, depencia 14100  Junta Federal de Conciliación y Arbitraje y reinició de consecutivo" u="1"/>
        <s v="Notificación de seguimiento  [  MA2506202002 ]      I         I         I    Estimado(a):                     Omar Antonio Méndez Mendoza    I         I    Le informamos que su ticket correspondiente a:    I                       I    Por instrucciones del Dr. Luis Felipe Nava Gomar, Director General de Enlace con los Poderes Legislativo y Judicial, me permito solicitar su valioso apoyo, a efecto de realizar modificaciones sobre las fechas de vencimiento de algunos requerimientos realizados mediante HCOM, de conformidad con los siguientes datos:    I        I         I    Aplicación:                  HCOM    I    Tipo de Soporte:         ACTUALIZAR PLAZO       I    Observaciones:                I         I    Su petición fue atendida    I         I    " u="1"/>
        <s v="Crear módulo de institución de procedencia" u="1"/>
        <s v="Generación de script de etiquetado automatizado" u="1"/>
        <s v="Buenas tardes Martha, tu petición fue atendida, favor de validar     I        I    Saludos     I        I    Marina Adame Velasco    I        I    Notificación de seguimiento  [  MA2807202006 ]      I        I    Aplicación:                  INFOMEX BCN    I    Tipo de Soporte:         Ajuste de plazos        I    Estatus:                               Concluido.    I         I    " u="1"/>
        <s v="    I    Notificación de seguimiento  [  MA1310202005 ]      I         I         I    Estimado(a):                     HUGO GOVI    I         I    Le informamos que su ticket correspondiente a:    I                       I    favor de elimiar los recursos de revision con los folios siguientes:    I    00767220    I    00734120    I        I    ya que se agregaron de manera manual y se duplicaron debe quedar uno solo gracias  anexo imagen    I         I    Aplicación:                  SIGEMI    I    Tipo de Soporte:         eliminar recursos duplicados       I    Observaciones:                I         I    Su petición fue atendida    I         I    " u="1"/>
        <s v="Se cambia el tipo de solicitud del folio: 0001200324721" u="1"/>
        <s v="Hola Francisco, te envío las referencias para incluirlas en tu consulta    I        I    Tipo de solicitud     I        I    JOIN CAMPOCONFIGURABLE CC  ON PSI.C090e33d7 = CC.GUIDVALOR ; el valor a consultar sería cc.nombre    I        I    Tipo de captura    I        I    JOIN CAMPOCONFIGURABLE CC1  ON PSI.C3B8C3B4C = CC1.GUIDVALOR ; el valor a consultar sería cc1.nombre    I        I    No lo incluí en la consulta que me envías porque no me regresa resultados en mi base de pruebas    I        I    Cualquier duda estoy a tus ordenes    I        I    Saludos     I        I    Marina Adame Velasco    I    " u="1"/>
        <s v="Notificación de seguimiento  [  MA2303202104 ]      I         I         I    Estimado(a):                     Pedro Esquivel Martínez    I         I         I    Le informamos que su ticket correspondiente a:    I                       I    se sustituya el presente en la Herramienta de comunicación HCOM, esto en relación al siguiente cuadro descriptivo:    I        I    Clave Presupuestal    Sujeto Obligado Titular de la unidad de transparencia    CERTIFICADO A GENERAR    Contraseña       I    11280      I    Instituto de Investigaciones &quot;Dr. José María Luis Mora&quot; Ernesto Quezada Sevilla 11280.Ernesto Quezada Sevilla HCOM:    I    HCOM11280    I         I    INFOMEX    I    SISI11280      I         I    Aplicación:                  HCOM    I    Tipo de Soporte:         CAMBIO TUT       I    " u="1"/>
        <s v="Se aplica testado de datos al folio:  1816400338220" u="1"/>
        <s v="Se cambia el tipo de solicitud del folio: 2800100013821" u="1"/>
        <s v="Evaluación y diseño de script para unificación del texto a etiquetar" u="1"/>
        <s v="    I    Notificación de seguimiento  [  MA0504202106 ]      I         I         I    Estimado(a):                     FRANCISCO LIRA    I          I    Le informamos que su ticket correspondiente a:    I                       I    RESPALDO SEMANAL DE LA BASE DE DATOS INFOMEX    I         I    Aplicación:                  INFOMEX NUEVO LEÓN    I    Tipo de Soporte:         RESPALDO       I    Observaciones:                I         I    Su petición fue atendida, se subió el respaldo de su base de datos de esta semana…    I    http://documentos.inai.org.mx/tmp/infomexNL_backup_2021-04-05_1106.bak    I    NOTA: El respaldo estará disponible una semana      I    " u="1"/>
        <s v="Revisión y análisis del módulo Administracion de Pagos, Administracion tematica solicitud." u="1"/>
        <s v="Implementación de stopword en criterios de búsqueda" u="1"/>
        <s v="Notificación de seguimiento  [  MA1203202110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del 1º al 31 de marzo 2021 y contando también el periodo vacacional de semana santa; debiéndose considerar los días comprendidos dentro de dicho periodo como inhábiles para evitar la propagación del coronavirus COVID-19.    I         I    Aplicación:                  INFOMEX NUEVO LEON    I    Tipo de Soporte:         AJUSTE  DE PLAZO       I    Observaciones:                I         I    Su petición fue atendida    I         I          I                Favor de validar.    I    " u="1"/>
        <s v="Generación de script para la descarga de archivos" u="1"/>
        <s v="Se aplica eliminación de respuesta al folio: 1816400027720" u="1"/>
        <s v="Se  testan los datos del folio: 1857200251721" u="1"/>
        <s v="Se  testan los datos del folio: 0064101361821" u="1"/>
        <s v="Se sustituye archivo adjunto del folio: 0064100607520 así como el testado de datos." u="1"/>
        <s v="Notificación de seguimiento  [  MA0106202005 ]      I         I         I    Estimado(a):                     JUAN PEDRO RAMIREZ FLORES    I         I    Le informamos que su ticket correspondiente a:    I                       I    Me permito notificar que estaremos reanudando labores  el día 15 de junio, esto para atender los trámites de recursos de revisión y cumplimento de los mismos. Cabe mencionar que ya realizamos el ajuste en calendario de SICOM.    I        I    Les comparto el listado de recursos vs fechas de cumplimiento para que realicen el ajuste manual de los mismos.    I        I         I    Aplicación:                  SIGEMI    I    Tipo de Soporte:         ACTUALIZAR FECHAS      I    Observaciones:                I         I    Su petición fue atendida    I         I    " u="1"/>
        <s v="Se  testan los datos del folio: 0064100854921" u="1"/>
        <s v="Página de contador de usuarios registrados" u="1"/>
        <s v="Se aplica testado de datos al folio:  0000600394220" u="1"/>
        <s v="homologacion de Sujeto Obligado a Institucion en cada portlet del proyecto , en etiquetas y titulos de dashboards asi como en titulos de detalles de solicitudes." u="1"/>
        <s v="campo implementacion seguimiento" u="1"/>
        <s v="Crear certificado para usuario del Sujeto Obligado Organismo Coordinador de las Universidades para el Bienestar Benito Juárez García" u="1"/>
        <s v="Se  testan los datos del folio: 1816900002321 " u="1"/>
        <s v="Notificación de seguimiento  [  MA1008202012 ]      I         I         I    Estimado(a):                     Michelle Fuentes Pereyra    I         I    Le informamos que su ticket correspondiente a:    I                       I    Al momento de dar trámite al Recurso de Revisión que se enlista a continuación, en el sistema SIGEMI-SICOM en la PNT, este me aparece activo varias veces, se encuentra repetidos en el siguiente paso “Registrar información de la sesión del pleno, por lo que solicito de la manera más atenta, eliminar estos pasos y dejar solo una vez el siguiente paso “Registrar información de la sesión del pleno” y dejar el paso de “Notificar por otro Medio”. Sin más por el momento, quedo en espera de tus comentarios.    I         I    1. RRA 07884/20    I        I        I         I    Aplicación:                  SIGEMI    I    Tipo de Soporte:         Corrección de incidencia      I    Observaciones:                I         I    Su petición fue atendida    I    " u="1"/>
        <s v="Se sustituye archivo adjunto  del folio:  0064100854921" u="1"/>
        <s v="    I    Notificación de seguimiento  [  MA1502202109 ]      I         I         I    Estimado(a):                     ALAN GARCÍA    I          I    Le informamos que su ticket correspondiente a:    I                       I    RESPALDO SEMANAL DE LA BASE DE DATOS INFOMEX    I         I    Aplicación:                  INFOMEX TLAXCALA    I    Tipo de Soporte:         RESPALDO       I    Observaciones:                I         I    Su petición fue atendida, se subió el respaldo de su base de datos de esta semana…    I        I        I    http://documentos.inai.org.mx/tmp/infomex_tlaxcala_backup_2021-02-15_0800.bak    I        I        I    NOTA: El respaldo estará disponible una semana      I    " u="1"/>
        <s v="    I    Notificación de seguimiento  [  MA2604202104 ]      I         I         I    Estimado(a):                     ALAN GARCÍA    I          I    Le informamos que su ticket correspondiente a:    I                       I    RESPALDO SEMANAL DE LA BASE DE DATOS INFOMEX    I         I    Aplicación:                  INFOMEX TLAXCALA    I    Tipo de Soporte:         RESPALDO       I    Observaciones:                I         I    Su petición fue atendida, se subió el respaldo de su base de datos de esta semana…    I        I        I    http://documentos.inai.org.mx/tmp/infomex_tlaxcala_backup_2021-04-26_0800.bak    I        I        I    NOTA: El respaldo estará disponible una semana      I    " u="1"/>
        <s v="Ajuste request para exportación de archivo excel con los catálogos " u="1"/>
        <s v="Notificación de seguimiento  [  MA2602202011 ]      I         I         I    Estimado(a):                     Pedro Esquivel Martínez    I         I    Le informamos que su ticket correspondiente a:    I                       I    Anexo el registro actualizado del certificado del Titular de la Unidad de Enlace del  “Instituto Nacional de Pediatría”.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RENOVACIÓN DE CERTIFICADO       I    Observaciones:                I         I    Su petición fue atendida    I         I    " u="1"/>
        <s v="Se aplica testado de datos personales: 0700100001120." u="1"/>
        <s v="Desarrollo de funcionalidad de  catálogos órganos garantes y sujetos obligados " u="1"/>
        <s v="Actualización y pruebas de funcionalidad de campus Iniciativa Privada  2.2" u="1"/>
        <s v="Se  testan los datos del folio: 0064101651321" u="1"/>
        <s v="Notificación de seguimiento  [  MA2402202110 ]      I          I    Estimado(a):                     Pedro Esquivel Martínez    I         I     Le informamos que su ticket correspondiente a:    I                       I    Anexo el registro actualizado del certificado del Titular de la Unidad de Enlace del  “CAMINOS Y PUENTES FEDERALES DE INGRESOS Y SERVICIOS CONEXOS”. Lo anterior a fin de que sus accesos sean habilitados en los otros sistemas que administra este Instituto (HCOM).  Cambio de Titular, no omito señalar que en cuanto se reciba la atención en HCOM se realizará la actualización de los demás sistemas correspondientes.    I         I    Aplicación:                  HCOM    I    Tipo de Soporte:         CAMBIO TUT       I    " u="1"/>
        <s v="Notificación de seguimiento  [  MA2505202004 ]      I         I         I    Estimado(a):                     Rosalinda Coria Mosqueda    I         I    Le informamos que su ticket correspondiente a:    I                       I    Agradeceré su apoyo para regresar a la actividad de admitir/prevenir el recurso RRA 03925/20 de SFP, toda vez que el archivo decía admisión, debiendo ser una prevención, por lo que solicito regresar la actividad, para poder notificar el acuerdo de prevención.    I        I        I         I    Aplicación:                  SIGEMI    I    Tipo de Soporte:         REGRESO DE PASOS      I    Observaciones:                I         I    Su petición fue atendida    I         I        I    " u="1"/>
        <s v="Cambios en el menú" u="1"/>
        <s v="Notificación de seguimiento  [  MA1111202007 ]      I          I    Estimado(a):                     Martha Rubí Zaragoza Mora    I         I    Le informamos que su ticket correspondiente a:    I                       I    Espero se encuentre muy bien. El presente correo es para pedir su amable apoyo para el ajuste de términos de los folios debido al Acuerdo que enviaron los siguientes Sujetos Obligados a la COTAI por el cual se amplían la fecha del 01 al 30 de noviembre de 2020; debiéndose considerar los días comprendidos dentro de dicho periodo como inhábiles para evitar la propagación del coronavirus COVID-19.    I         I    Aplicación:                  INFOMEX NUEVO LEÓN     I    Tipo de Soporte:         AJUSTE DE PLAZO        I    Observaciones:                I         I    Su petición fue atendida    I         I    " u="1"/>
        <s v="Notificación de seguimiento  [  MA2204202001 ]      I         I         I    Estimado(a):                     Pedro Esquivel Martínez    I         I    Le informamos que su ticket correspondiente a:    I                       I                    I         I    Anexo el registro actualizado del certificado del Titular de la Unidad de Enlace del  “Servicio Postal Mexicano”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CAMBIO DE CERTIFICADO       I    Observaciones:                I         I    Su petición fue atendida    I         I    " u="1"/>
        <s v="Se aplica el cambio para la solicitud: 0064100554820." u="1"/>
        <s v="Validación de congruencia de información SIPOT unificada" u="1"/>
        <s v="Se corrige navegacion en el boton de detalle en las pantallas de notificacion" u="1"/>
        <s v="Notificación de seguimiento  [  MA1803202005 ]      I         I         I    Estimado(a):                     Pedro Esquivel Martínez    I         I    Le informamos que su ticket correspondiente a:    I                       I    Anexo el registro actualizado del certificado del Titular de la Unidad de Enlace del  “INSTITUTO PARA DEVOLVER AL PUEBLO LO ROBADO ANTES SERVICIO DE ADMINISTRACIÓN Y ENAJENACIÓN DE BIENES” Lo Anterior a fin de que sus accesos sean habilitados en los otros sistemas que administra este Instituto (HCOM).  CAMBIO DE TITULAR, en cuanto se reciba la atención en HCOM se realizará la actualización de los demás sistemas correspondientes.    I        I         I    Aplicación:                  HCOM    I    Tipo de Soporte:         CAMBIO DE TITULAR Y CAMBIO DE NOMBRE DE SUJETO OBLIGADO      I    Observaciones:                I         I    Su petición fue atendida, adicionalmente al cambio de de titular se realizó el cambio de nombre del Sujeto Obligado con base al oficio entregado INAI/SAI/DGEPPOED/0472/2020    I         I                Favor de validar.    I         I    Estatus:                               Concluido.    I    " u="1"/>
        <s v="Actualización y pruebas de funcionalidad de campus Iniciativa Privada  3.2" u="1"/>
        <s v="Revisión de incidencia área usuaria mapa" u="1"/>
        <s v="Notificación de seguimiento  [  MA0106202102 ]    I        I    Estimado(a):                Pedro Esquivel Martínez    I        I         I     Le informamos que su ticket correspondiente a:    I                       I    Acabamos de subir la respuesta a la 41621 pero quedo como en espera de forma de entrega, esa forma en la PNT nos ha causado muchos problemas crees que me puedas apoyar a bajarla para que la deje como concluida por este medio Anexo el registro actualizado del certificado del Titular de la Unidad de Enlace de “Instituto Nacional de Lenguas Indígenas”.  Lo Anterior a fin de que sus accesos sean habilitados en los otros sistemas que administra este Instituto (HCOM).  CAMBIO DE  TITULAR, en cuanto se reciba la atención en HCOM se realizará la actualización de los demás sistemas correspondientes.    I        I        I         I    Aplicación:                  HCOM    I    Tipo de Soporte:         CAMBIO DE TUT       I    Observaciones:                I         I    Su petición fue atendida    I    " u="1"/>
        <s v="MOVIMIENTO 9 DE MARZO" u="1"/>
        <s v="Se aplica testado de datos y archivo  al folio:  0064102786820" u="1"/>
        <s v="Realizar pruebas en los 4 campusCorrección de errores derivados de Pruebas de usuario" u="1"/>
        <s v="Notificación de seguimiento  [  MA2001202202 ]    I        I    Estimado(a):                Pedro Esquivel Martínez    I        I         I     Le informamos que su ticket correspondiente a:    I                       I    por este medio Anexo el registro actualizado del certificado del Titular de la Unidad de Enlace de la “Instituto de Seguridad y Servicios Sociales de los Trabajadores del Estado”.  Lo Anterior a fin de que sus accesos sean habilitados en los otros sistemas que administra este Instituto (HCOM).  CAMBIO DE  TITULAR, en cuanto se reciba la atención en HCOM se realizará la actualización de los demás sistemas correspondientes.    I         I    Aplicación:                  HCOM              I    Tipo de Soporte:         CAMBIO DE TUT       I    Observaciones:                I         I    Su petición fue atendida    I         I    " u="1"/>
        <s v="Se aplica testado de datos al folio: 0064100198121" u="1"/>
        <s v="Validación de información contra diccionarios proporcionados por el equipo INAI" u="1"/>
        <s v="analisis y funcionalidad de temas " u="1"/>
        <s v="Se generó certificado para usuario de dependencia Centro de Investigación y Desarrollo Tecnológico en Electroquímica, S.C." u="1"/>
        <s v="Se atendió la incidencia reportada en  el folio:  0673800009621" u="1"/>
        <s v="Instalación de JAVA, Postgresql, Eclipse SQL Devloper,creación del proyecto" u="1"/>
        <s v="Se  testan los datos de la solicitud con folio 0064100480321    I         I    " u="1"/>
        <s v="Buenos días Berenice, tu petición fue atendida, favor de validar     I        I    Saludos     I        I    Marina Adame Velasco    I        I    Notificación de seguimiento  [  MA0805202002 ]      I        I    Aplicación:                  INFOMEX OAXACA    I    Tipo de Soporte:         AJUSTE DE PLAZOS       I    Estatus:                               Concluido.    I    " u="1"/>
        <s v="Revision de carga de cursos y definicion de insumos " u="1"/>
        <s v="Se aplica eliminación de última respuesta de la solicitud: 0064103301620" u="1"/>
        <s v="Script consulta catalogo integrante (Administrador)" u="1"/>
        <s v="Cambios OIC y menú" u="1"/>
        <s v="Buenas tardes Joel, tu petición fue atendida, favor de validar     I        I    Saludos     I        I    Marina Adame Velasco    I        I    Notificación de seguimiento  [  MA2801202006 ]      I        I    Aplicación:                  INFOMEX COLIMA    I    Tipo de Soporte:         AJUSTE DE PLAZOS       I    Estatus:                               Concluido.    I        I    " u="1"/>
        <s v="Generación de script de unificación de tablas SIPOT Y SIPOT DETALLE" u="1"/>
        <s v="Se ajusto una imagen para version mobile y se colocó una etieuta de audio" u="1"/>
        <s v="Se aplica eliminación de formato de pago al folio: 0495000050319." u="1"/>
        <s v="Notificación de seguimiento  [  MA1310202201 ]    I        I    Estimado(a):                Alondra Jiménez Hernández    I        I         I     Le informamos que su ticket correspondiente a:    I         I    Anexo el registro actualizado del certificado del nuevo Titular de la Unidad de Transparencia de INFOTEC Centro de Investigación e Innovación en Tecnologías de la Información y Comunicación para que su acceso sea habilitado en la Herramienta de Comunicación.     I         I         I         I    Aplicación:                HCOM    I    Tipo de Soporte        CAMBIO DE TUT     I    Observaciones:                I         I    Su petición fue atendida.    I         I         I    Favor de validar.    I         I    Estatus:                               Concluido" u="1"/>
        <s v="Implementación de la modificación de Resoluciones Públicas por Tema." u="1"/>
        <s v="Buenas tardes Guillermo , tu petición fue atendida, favor de validar     I        I    Saludos     I        I    Marina Adame Velasco    I        I    Notificación de seguimiento  [  MA0306202001 ]      I        I    Aplicación:                  INFOMEX BCN    I    Tipo de Soporte:         Ajuste de plazos        I    Estatus:                               Concluido.    I        I    " u="1"/>
        <s v="Buenas tardes Guillermo, tu petición fue atendida, favor de validar     I        I    Saludos     I        I    Marina Adame Velasco    I        I    Notificación de seguimiento  [  MA0107202009 ]      I        I    Aplicación:                  INFOMEX BCN     I    Tipo de Soporte:         AJUSTE DE PLAZOS        I    Estatus:                               Concluido.    I        I    " u="1"/>
        <s v="Buenas tardes Guillermo, tu petición fue atendida, favor de validar     I        I    Saludos     I        I    Marina Adame Velasco    I        I    Notificación de seguimiento  [  MA0408202005 ]      I        I    Aplicación:                  INFOMEX BCN     I    Tipo de Soporte:         AJUSTE DE PLAZOS        I    Estatus:                               Concluido.    I        I    " u="1"/>
        <s v="Buenas tardes Guillermo, tu petición fue atendida, favor de validar     I        I    Saludos     I        I    Marina Adame Velasco    I        I    Notificación de seguimiento  [  MA1205202001 ]      I        I    Aplicación:                  INFOMEX BCN     I    Tipo de Soporte:         Ajuste de plazos        I    Estatus:                               Concluido.    I        I    " u="1"/>
        <s v="Se aplica testado de datos al folio:  0064100189721" u="1"/>
        <s v="Se sustituye archivo adjunto del folio: 0064100519820." u="1"/>
        <s v="Se  testan los datos del folio: 0064101726321" u="1"/>
        <s v="Notificación de seguimiento [ MA08012020-03 ]     I          I          I     Estimado(a): Sergio Rafael Cortés Alpizar    I          I     Le informamos que su ticket correspondiente a:    I          I     Por este medio solicito su apoyo para que se corrija el correo electrónico del recurrente en la Plataforma Nacional de Transparencia del recurso de revisión:    I          I     RRA 16129/19 vs CONAFOR    I          I     El correo es: rappellerjhh@yahoo.com.mx    I         I     Lo anterior se debe a que el recurrente solicito la corrección en un alcance.    I         I         I          I     Aplicación: SIGEMI    I     Tipo de Soporte: CAMBIO DE CORREO" u="1"/>
        <s v="Configuración de diseño campus iniciativa privada" u="1"/>
        <s v="Se aplica testado de datos al folio:  0064103301520" u="1"/>
        <s v="Se testan los datos de la solicitud con folio: 0320000284921" u="1"/>
        <s v="Se agrega opcion para visualizar contraseñas y se cambian estilos en las opciones de ver contraseña" u="1"/>
        <s v="Revision de procesos PMO " u="1"/>
        <s v="Notificación de seguimiento  [  MA0505202002 ]      I         I         I    Estimado(a):                     JUAN PEDRO RAMIREZ FLORES    I         I    Le informamos que su ticket correspondiente a:    I                       I    , hemos recorrido una vez más el plazo de días inhábiles en el módulo de SICOM. En virtud de lo anterior me permito remitir el listado de la relación de los recursos vs fecha nueva de cumplimiento a fin de solicitar su apoyo para realizar los ajustes correspondientes.    I        I         I    Aplicación:                  SIGEMI    I    Tipo de Soporte:         AJUSTE DE FECHAS      I    Observaciones:                I         I    Su petición fue atendida    I         I    " u="1"/>
        <s v="Desarrollo de servicio oauth" u="1"/>
        <s v="Se le informó al equipo que ya estan los ajustes para el 5to procedimiento de banderas 'OBTENER_FG_AMPLIADO',para que lo revisen y consuman desde el aplicativo " u="1"/>
        <s v="Se le informó al equipo que ya estan los ajustes para el 6to procedimiento de banderas 'OBTENER_FG_ADMITIDO',para que lo revisen y consuman desde el aplicativo " u="1"/>
        <s v="Se aplica el cambio de modalidad de la solicitud: 0063700080020." u="1"/>
        <s v="Definición del tiempo de vida de cuenta de los usuarios " u="1"/>
        <s v="Modificación de referencias de fechas de interposición" u="1"/>
        <s v="Se cambia el tipo de solicitud en folio 0063700414021" u="1"/>
        <s v="Notificación de seguimiento  [  MA1805202008 ]      I         I         I    Estimado(a):                     Lizbeth Adriana Cabrera Ortega    I         I    Le informamos que su ticket correspondiente a:    I                       I    Actualización de fecha de aplicación y fecha de estado del recurso RRA 03979/20    I         I    Aplicación:                  SIGEMI    I    Tipo de Soporte:         Actualización de fechas       I    Observaciones:                I         I    Su petición fue atendida    I         I        I         I                Favor de validar.    I         I    Estatus:                               Concluido.    I        I        I    " u="1"/>
        <s v="Notificación de seguimiento  [  MA1904202110 ]      I         I         I    Estimado(a):                     Dirección de Tecnologías de Transparencia IAIPO    I         I         I    Le informamos que su ticket correspondiente a:    I                       I    aplicar las afectaciones a las fechas de vencimiento y la eliminación de los acuses respectivos de las solicitudes señaladas en el archivo adjunto. Toda vez que el Consejo General aprobará en su Décima Novena Sesión Ordinaria celebrada el día 28 de octubre    I         I    Aplicación:                  INFOMEX OAXACA    I    Tipo de Soporte:         AJUSTE DE PLAZO       I    Observaciones:                I         I    Su petición fue atendida    I         I    " u="1"/>
        <s v="se aplica eliminación de última respuesta: 0001700082120" u="1"/>
        <s v="Buenos días Guillermo, tu petición fue atendida, favor de validar     I        I    Saludos     I        I    Marina Adame Velasco    I        I    Notificación de seguimiento  [  MA2403202002 ]      I        I    Aplicación:                  INFOMEX BCN    I    Tipo de Soporte:         REPORTE DE SOLICITUDES     I    Estatus:                               Concluido.    I        I    " u="1"/>
        <s v="Explicacion nuevos requerimientos" u="1"/>
        <s v="Definición de posibles candidatos a error" u="1"/>
        <s v="Ajuste filtros consulta mis quejas" u="1"/>
        <s v="Se cambia el tipo de solicitud del folio: 0001100084221" u="1"/>
        <s v="Se cambio organizacion de los elementos en buscador de obligaciones y se eliminan los en desuso" u="1"/>
        <s v="Se testan los datos de la solicitud con folio 0002700093921" u="1"/>
        <s v="Notificación de seguimiento  [  MA1409202009 ]      I         I         I    Estimado(a):                     Lizbeth Adriana Cabrera Ortega    I         I    Le informamos que su ticket correspondiente a:    I                       I    Pido de tu amable apoyo a fin de modificar la fecha de interposición del recurso indicado en el asunto al 7 de septiembre de 2020.    I         I    Asimismo pido si me hacen favor, adicionar el acuerdo de turno modificado según la solicitud de la ponencia.    I         I    Aplicación:                  SIGEMI    I    Tipo de Soporte:         cambio de fecha de interposición y actualización de acuerdo de turno       I    Observaciones:                I         I    Su petición fue atendida    I         I    " u="1"/>
        <s v="Notificación de seguimiento  [  MA1510202002 ]      I         I         I    Estimado(a):                     HUGO GOVI    I         I    Le informamos que su ticket correspondiente a:    I                       I    solicito se agregue el nombre del sujeto obligado en el recurso de revisión con el folio que se describe en el cuerpo de este correo    I         I    SUJETO OBLIGADO: Instituto de Elecciones y Participación Ciudadana    I    FOLIO: 00154020    I    ID INFOMEX:    I    20160427-1251-0400-9010-94fe90b705b0    I        I         I    Aplicación:                  SIGEMI    I    Tipo de Soporte:         Corrección en datos de solicitud      I    Observaciones:                I         I    Su petición fue atendida    I         I    " u="1"/>
        <s v="Plugin para tabla" u="1"/>
        <s v="Comprobar funcionamiento de servicios" u="1"/>
        <s v="Realizar funcionalidad de busqueda general" u="1"/>
        <s v="Se testan datos del folio: 0110000076321" u="1"/>
        <s v="Verificación de cuenta de usuario" u="1"/>
        <s v="Se elimina la respuesta del folio: 0000900083721" u="1"/>
        <s v="Se  testan los datos del folio: 0064101344821" u="1"/>
        <s v="Se testan los datos de la solicitud con  folio 0000700249321." u="1"/>
        <s v="Se  testan los datos de la solicitud con folio 0673800081221    I         I    " u="1"/>
        <s v="Se recupera el acuse de la solicitud: 0110000021020." u="1"/>
        <s v="Se aplica cambio de modalidad a las solicitudes: 0000400040420." u="1"/>
        <s v="Carga de archivo en solicitud 0002700239321" u="1"/>
        <s v="Se  testan los datos del folio: 0064101374821" u="1"/>
        <s v="Busqueda y muestra de resultados para la pantalla de respuesta de solicitudes asignadas de GI" u="1"/>
        <s v="Notificación de seguimiento  [  MA1606202008 ]      I         I         I    Estimado(a):                     Sergio Rafael Cortés Alpizar    I         I    Le informamos que su ticket correspondiente a:    I                       I    Por medio del presente, solicito el regreso de actividad a &quot; Admitir / Prevenir / Desechar&quot; del siguiente recurso de revisión:    I        I    RRD 0580/20 vs IMSS    I        I    Lo anterior se debe a que se anexo un archivo mal y se enviara de nuevo el acuerdo correcto.    I        I    Ya están avisadas ambas partes.    I        I         I    Aplicación:                  SIGEMI    I    Tipo de Soporte:         REGRESO DE PASOS      I    Observaciones:                I         I    Su petición fue atendida    I         I    " u="1"/>
        <s v="Recuperación de cuenta" u="1"/>
        <s v="Se retira un placeholder en campo de perfil page" u="1"/>
        <s v="Notificación de seguimiento  [  MA0308202003 ]      I         I         I    Estimado(a):                     María Guadalupe Beltrán Martínez    I         I    Le informamos que su ticket correspondiente a:    I                       I    Buen día, por este medio se solicita, con relación a los recursos de revisión RRA 7529/20, RRA 7569/20 y RRA 7609/20, se elimine el registro de admitir, es decir, se regresen los pasos a “Admitir/Prevenir”, a efecto de que el personal de ésta ponencia notifique la admisión de los recursos de revisión, derivado de que se registró de manera errónea la fecha del acuerdo de admisión, por lo que el conteo en la Plataforma Nacional de Transparencia no sería correcto.     I        I        I         I    Aplicación:                  SIGEMI    I    Tipo de Soporte:         REGRESO DE PASOS      I    " u="1"/>
        <s v="CAPACITACIÓN PARA ELABORACIÓN DE CARPETAS DE EVALUACIÓN, Semana 1" u="1"/>
        <s v="Se adjuntan los plazos de la solicitud: 1215100047820." u="1"/>
        <s v="Se aplica testado de datos para los folios: 0002700038720, 0002700038820,0002700038920, 0002700039020,0002700039120, 0002700039220,0002700039320." u="1"/>
        <s v="Envío de listado de sitios en servidores" u="1"/>
        <s v="Se genera certificado para: LIDIA IRIS RODRÍGUEZ RODRÍGUEZ." u="1"/>
        <s v="Se aplica testado de datos al folio:   0064103183820" u="1"/>
        <s v="SUSTITUCIÓN DEL ADJUNTO EN SOLICITUD DE INFORMACION CON FOLIO 0064100986421" u="1"/>
        <s v="Se aplica cambio de modalidad de la solicitud: 0063700126320." u="1"/>
        <s v="Finalización y subida de detalles en tabla y modal en historial" u="1"/>
        <s v="Se sustituye archivo adjunto  del folio: 2510100011521" u="1"/>
        <s v="Notificación de seguimiento  [  MA2307202006 ]      I         I         I    Estimado(a):                     Pedro Esquivel Martínez    I         I    Le informamos que su ticket correspondiente a:    I                       I    Anexo el registro actualizado del certificado del Titular de la Unidad de Enlace del  “Hospital General de México Dr. Eduardo Liceaga” Lo Anterior a fin de que sus accesos sean habilitados en los otros sistemas que administra este Instituto (HCOM).  CAMBIO DE TITULAR, en cuanto se reciba la atención en HCOM se realizará la actualización de los demás sistemas correspondientes.    I         I    Aplicación:                  HCOM    I    Tipo de Soporte:         CAMBIO DE TUT       I    Observaciones:                I         I    Su petición fue atendida    I         I    " u="1"/>
        <s v="Se cambian los mensajes de error al iniciar sesion" u="1"/>
        <s v="Se aplica testado de datos al folio: 1816400083320, así como el archivo adjunto." u="1"/>
        <s v="Revision de requerimiento" u="1"/>
        <s v="Buenas tardes Martha, tu petición fue atendida, favor de validar     I        I    Saludos     I        I    Marina Adame Velasco    I        I    Notificación de seguimiento  [  MA2907202008 ]      I        I    Aplicación:                  INFOMEX NL    I    Tipo de Soporte:         Ajuste de plazos       I    Estatus:                               Concluido.    I    " u="1"/>
        <s v="Buenas tardes Martha, tu petición fue atendida, favor de validar     I        I    Saludos     I        I    Marina Adame Velasco    I        I    Notificación de seguimiento  [  MA2907202009 ]      I        I    Aplicación:                  INFOMEX NL    I    Tipo de Soporte:         Ajuste de plazos       I    Estatus:                               Concluido.    I    " u="1"/>
        <s v="Se genero certificado para el SO API MAZATLAN" u="1"/>
        <s v="Se aplica testado de datos al folio: 0064100568320." u="1"/>
        <s v="Buenas tardes Francisco, te comento que revise ambos resultados y la razón que uno muestre más registros es porque en la que se consulta el paso de documentación de la respuesta, se puede mostrar dos registros por folio en el caso de que existe una prevención o ampliación más una respuesta terminal     I        I         I        I    Adjunto el script que consulta si es registro de PNT o INFOMEX, modifique algunos join por left join     I        I    Me quedo atenta    I        I    Saludos     I        I        I    Notificación de seguimiento  [  MA2511202009 ]      I        I    Aplicación:                  INFOMEX NUEVO LEÓN    I        I    " u="1"/>
        <s v="Notificación de seguimiento  [  MA0904202113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del 12 de abril al 14 de junio 2021; debiéndose considerar los días comprendidos dentro de dicho periodo como inhábiles para evitar la propagación del coronavirus COVID-19.     I        I    Aplicación:                  INFOMEX NUEVO LEÓN    I    Tipo de Soporte:         AJUSTE DE PLAZO       I    Observaciones:                I         I    Su petición fue atendida    I         I    " u="1"/>
        <s v="Notificación de seguimiento  [  MA1702202004 ]      I         I    Estimado(a):                     Pedro Esquivel Martínez    I         I    Le informamos que su ticket correspondiente a:    I                       I    Anexo el registro actualizado del certificado del Titular de la Unidad de Enlace del  “Instituto Nacional de Ecología y Cambio Climático”.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RENOVACIÒN DE CERTIFICADO       I    Observaciones:                I         I    Su petición fue atendida    I         I    " u="1"/>
        <s v="Agregar clave valor a la respuesta de Custom SQL para la obtención de Usuarios por Rol y la Roles por jerarquía" u="1"/>
        <s v="Se  testan los datos del folio: 0064101375821" u="1"/>
        <s v="Notificación de seguimiento  [  MA1307202201 ]    I        I        I    Estimado(a):               Erika Priscyla Casas Carvallo    I        I     Le informamos que su ticket correspondiente a:    I        I    actualización de certificados de los sujetos obligados enlistados en la relación que se adjunta, en la Herramienta de Comunicación, lo anterior, en virtud de que se encuentran próximos a vencer, por lo que mucho agradeceré la pronta remisión de dichos certificados actualizados.     I         I         I        I    Aplicación:                  HCOM    I    Tipo de Soporte:        GENERACIÓN DE CERTIFICADO Y ACTUALIZACIÓN EN HCOM  (17)" u="1"/>
        <s v="Se aplica eliminación de formato de pago: 0063700124821" u="1"/>
        <s v="Se aplica sustitución de archivo al folio: 0110000013320." u="1"/>
        <s v="Los archivos adjuntos solo se visializaban otros organos garantes, excepto saimex, se implementa un metodo nuevo y validaciones para unificar esta parte" u="1"/>
        <s v="Se generó certificado para usuario de dependencia PRD" u="1"/>
        <s v="    I    Notificación de seguimiento  [  MA0110202008 ]      I         I         I    Estimado(a):                     Rosalinda Coria Mosqueda    I         I    Le informamos que su ticket correspondiente a:    I                       I        I    Agradeceré su apoyo para regresar al paso de admisión/prevención el recurso RRA 09760/20, toda vez que activé admisión, debiendo ser una PREVENCIÓN.    I        I         I    Aplicación:                  SIGEMI    I    Tipo de Soporte:         REGRESO DE PASOS      I    Observaciones:                I         I    Su petición fue atendida    I         I    " u="1"/>
        <s v="Transpilación de modelo a arquitectura de implementación" u="1"/>
        <s v="Notificación de seguimiento  [  MA1404202001 ]      I         I         I    Estimado(a):                     Pedro Esquivel Martínez    I         I    Le informamos que su ticket correspondiente a:    I                       I         I    Anexo el registro actualizado del certificado del Titular de la Unidad de Enlace del  “PROCURADURÍA DE LA DEFENSA DEL CONTRIBUYENTE” Lo Anterior a fin de que sus accesos sean habilitados en los otros sistemas que administra este Instituto (HCOM).  CAMBIO DE CERTIFICADO, en cuanto se reciba la atención en HCOM se realizará la actualización de los demás sistemas correspondientes.    I        I        I         I    Aplicación:                  HCOM    I    Tipo de Soporte:         CAMBIO DE CERTIFICADO       I    Observaciones:                I         I    Su petición fue atendida    I         I    " u="1"/>
        <s v="Notificación de seguimiento  [  MA2602202004 ]      I         I         I    Estimado(a):                     Pedro Esquivel Martínez    I         I    Le informamos que su ticket correspondiente a:    I                       I    Anexo el registro actualizado del certificado del Titular de la Unidad de Enlace del  “CONSEJO NACIONAL PARA PREVENIR Y ELIMINAR LA DISCRIMINACION”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RENOVACION DE CERTIFICADO       I    Observaciones:                I         I    Su petición fue atendida    I         I    " u="1"/>
        <s v="Se aplica el cambio de modalidad de la solicitud: 0063700080220." u="1"/>
        <s v="Creación de la modal para la descarga de archivos " u="1"/>
        <s v="Se agregan textos de ayuda para notificaciones recurrentes" u="1"/>
        <s v="Se aplica sustitución de archivo de la solicitud: 0002700000920." u="1"/>
        <s v="Se aplica eliminación de formato de pago:  0002100094119" u="1"/>
        <s v="Desarrollo de adecuaciones identificadas solicitadas por el usuario back-end" u="1"/>
        <s v="    I    Notificación de seguimiento  [  MA2503202111 ]      I         I         I    Estimado(a):                     Edgar Michel Loaeza Martínez    I         I         I    Le informamos que su ticket correspondiente a:    I                       I    eliminar el comunicado número 001845-IFAI-2021, el cual se notificó el 19 de Marzo de 2021, ya que por un error involuntario se notificó un archivo incorrecto.    I        I         I    Aplicación:                  HCOM    I    Tipo de Soporte:         ELIMINAR COMUNICADO        I    Observaciones:                I         I    Su petición fue atendida    I         I    " u="1"/>
        <s v="Se  testan los datos del folio:  0673800035821" u="1"/>
        <s v="Notificación de seguimiento  [  MA0206202012 ]      I         I         I    Estimado(a):                     Erika Aguilar    I         I    Le informamos que su ticket correspondiente a:    I                       I    base de datos que considere los campos     I    Nombre del sujeto obligado    I    número de expediente    I    fecha de notificación de admisión     I    fecha de notificación envío de alegatos    I    fecha de notificación cierre de instrucción     I    fecha de notificación resolución     I    fecha de notificación algún requerimiento     I    que comprenda todos los sujetos obligados por el periodo desde el primer expediente generado en esta plataforma hasta el ultimo que encuentres.    I        I         I    Aplicación:                  SIGEMI    I    Tipo de Soporte:         CONSULTA DE DATOS       I    Observaciones:                I         I    Su petición fue atendida, envío los datos solicitados      I    " u="1"/>
        <s v="Crear certificados para usuarios del Sujeto Obligado CIMAT" u="1"/>
        <s v="    I    Notificación de seguimiento  [  MA1701202202 ]    I        I    Estimado(a):                Pedro Esquivel Martínez    I        I         I     Le informamos que su ticket correspondiente a:    I                       I    por este medio Anexo el registro actualizado del certificado del Titular de la Unidad de Enlace de la “AGENCIA ESPACIAL MEXICANA”.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CAMBIO DE CERTIFICADO       I    Observaciones:                I         I    Su petición fue atendida    I    " u="1"/>
        <s v=" Buenas tardes José Manuel, se localizó la respuesta que se menciona como adjunta en el subfolio mencionado    I        I    Quedo atenta a tus comentarios     I        I    Saludos     I        I    Marina Adame     I         I    " u="1"/>
        <s v="Se aplica sustitución de archivo de la solicitud: 1816400369819" u="1"/>
        <s v="Integración de validaciones de direcion de Datos de la Pareja (Declaracion patrimonial) en Declaranet" u="1"/>
        <s v="Se consultan datos de la solicitud 0064100888821, 0064101101621, 0064101448421" u="1"/>
        <s v="Agregado arrows para navegacion detalle solicitud" u="1"/>
        <s v="    I    Notificación de seguimiento  [  MA1809202004 ]      I         I         I    Estimado(a):                     Sergio Rafael Cortés Alpizar    I         I    Le informamos que su ticket correspondiente a:    I                       I    Buen día, por medio del presente solicito su apoyo para que se cambie el medio de notificación a correo electrónico y se anexe el mismo en la Plataforma Nacional de Transparencia del recurso de revisión:    I         I    RRA 3636/20 vs INBAL    I         I    Correo electrónico: seguridadsindical@aol.com    I         I    Lo anterior se debe a que lo solicito en su recurso de revisión.     I        I         I    Aplicación:                  SIGEMI    I    Tipo de Soporte:         cambio de medio       I    Observaciones:                I         I    Su petición fue atendida    I    " u="1"/>
        <s v="Implementación de la funcionalidad para exportar solicitudes a texto." u="1"/>
        <s v="Mejora en la funcionalidad de archivos en quejas" u="1"/>
        <s v=" Buenos días Martha, tu petición fue atendida, favor de validar    I        I         I        I    Saludos    I        I         I        I    Marina Adame Velasco    I        I         I        I    Notificación de seguimiento  [  MA2810202007 ]      I        I         I        I    Aplicación:                  INFOMEX NUEVO LEÓN    I        I    Tipo de Soporte:         AJUSTE DE PLAZOS        I        I    Estatus:                               Concluido.    I        I     " u="1"/>
        <s v="Notificación de seguimiento  [  MA2402202009 ]      I         I         I    Estimado(a):                     Adriana Elizabeth Hernández García    I         I    Le informamos que su ticket correspondiente a:    I                       I    Por medio del presente te comento que al validar el paso denominado Registro de la Resolución Firmada relativo al recurso:     I        I    RRA 15572/19    I        I    la PNT se queda pasmada y NO APARECEN las ventanas donde se registran las fechas de firma de los comisionados; de tal manera que queda en blanco.      I    Al respecto, te solicito se realicen las gestiones necesarias a efecto de que se pueda validar el paso referido y así estar en condición de cargar las fechas y que pueda ser notificada la resolución.    I        I        I         I    Aplicación:                  SIGEMI    I    Tipo de Soporte:         Corrección de incidencia      I    Observaciones:                I         I    Su petición fue atendida    I         I        I    " u="1"/>
        <s v="Revisión de configuración del servidor de infomex" u="1"/>
        <s v="Implementación del alta de Subtemas." u="1"/>
        <s v="Se  eliminan solicitudes del SISITUR    I    " u="1"/>
        <s v="Se aplica el testado de datos de la solicitud: 0064103486719." u="1"/>
        <s v="Se aplica testado de datos al folio:   0064103214920" u="1"/>
        <s v="    I    Notificación de seguimiento  [  MA0603202006 ]      I         I         I    Estimado(a):                     JOSÉ MARIO VALADEZ    I         I    Le informamos que su ticket correspondiente a:    I                       I    Te agradecería realizar el cambio de contraseña en la Herramienta de Comunicación a petición del Secretario General del Sindicato de Trabajadores de la Cámara de Diputados del H. Congreso de la Unión, adjunto su certificado, Refiero evidencia y la petición del sujeto obligado.    I        I         I    Aplicación:                  HCOM      I    Tipo de Soporte:         CAMBIO DE CONTRASEÑA       I    Observaciones:                I         I    Su petición fue atendida, la contraseña es hcom202    I         I        I         I                Favor de validar.    I         I    Estatus:                               Concluido.    I    " u="1"/>
        <s v="CAPACITACIÓN PARA ELABORACIÓN DE CARPETAS DE EVALUACIÓN, Semana 2" u="1"/>
        <s v="SUSTITUCIÓN TEXTO Y ADJUNTO EN SOLICITUD DE INFORMACION CON FOLIO 0063700235421" u="1"/>
        <s v="Seccion 4 UT" u="1"/>
        <s v="Revision RFC Micro sitio " u="1"/>
        <s v="Buenas tardes Moisés, tu petición fue atendida, favor de validar     I         I     Saludos     I         I     Marina Adame Velasco    I         I     Notificación de seguimiento [ MA1701202005]    I         I         I         I     Aplicación: INFOMEX PUEBLA     I     Tipo de Soporte: Consulta de datos     I     Estatus: Concluido." u="1"/>
        <s v="Notificación de seguimiento  [  MA1510202004 ]      I         I         I    Estimado(a):                     Adriana Elizabeth Hernández Garcia    I         I    Le informamos que su ticket correspondiente a:    I                       I    Por medio del presente te comento que en el paso denominado Registro de la Resolución Firmada relativo al recurso RRD 00669-20 aparece duplicado el paso.     I    Al respecto, te solicito, si para ello no existe inconveniente, se elimine uno de los dos registros para estar en condición de cargar las fechas y continuar la notificación de la resolución.    I    Quedo atenta para cualquier duda o comentario al respecto.    I    Anexo imagen para mayor referencia.     I         I    Aplicación:                  SIGEMI    I    Tipo de Soporte:         Eliminar actividad duplicada      I    Observaciones:                I         I    Su petición fue atendida    I         I    " u="1"/>
        <s v="Modificación mockups asignacion integrante-unidad administrativa" u="1"/>
        <s v="Se  sustituye el archivo de la solicitud con folio: 0000700195121" u="1"/>
        <s v="Instalación Campus Organismos para ejecutar instalador" u="1"/>
        <s v="Se aplica testado de datos al folio: 0064100054621" u="1"/>
        <s v="Desarrollo para la integración de la funcionalidad de registro de una solicitud de información de SISAI para SAIMEX " u="1"/>
        <s v="Desarrollo del servicio REST que re-expedirá el acuse de registro de solicitud." u="1"/>
        <s v="    I    Notificación de seguimiento  [  MA1809202002 ]      I         I         I    Estimado(a):                     Sergio Rafael Cortés Alpizar     I         I    Le informamos que su ticket correspondiente a:    I                       I    Por medio del presente, solicito el regreso de actividad a &quot;Preparación del Proyecto de Resolución&quot; y se elimine el cierre de instrucción para volverlo a mandar del siguiente recurso de revisión:    I         I    RRA 2356/20 vs CJF    I         I        I         I    Aplicación:                  SIGEMI    I    Tipo de Soporte:         eliminación de cierre      I    Observaciones:                I         I    Su petición fue atendida    I         I    " u="1"/>
        <s v="Se aplica testado de datos al folio:  0000700027921" u="1"/>
        <s v="Cambio en solicitud para token, se pide 5 veces el token antes de mostrar error" u="1"/>
        <s v="Se  testan los datos del folio: 0064100716921" u="1"/>
        <s v="Correcciones en navegación" u="1"/>
        <s v="Modificar consultas para mostrar información de acuerdo a los filtros seleccionados" u="1"/>
        <s v="Se cambian validaciones en crear solicitud y se agrega un texto de ayuda en perfil" u="1"/>
        <s v="Se genero certificados para INDIRECTOS DE CONAGUA" u="1"/>
        <s v="Notificación de seguimiento  [  MA1307202010 ]      I         I         I    Estimado(a):                     Sergio Rafael Cortés Alpizar    I         I    Le informamos que su ticket correspondiente a:    I                       I    Por medio del presente, solicito se regrese la actividad a &quot;Preparación del Proyecto de Resolución&quot;  y se borre el cierre de instrucción para volver a mandar el acuerdo del siguiente recurso de revisión:    I         I    RRA 5381/20 vs HRAEPY    I         I    Lo anterior se debe a que se corrigió el acuerdo de cierre de instrucción y se volverá a enviar.    I        I         I    Aplicación:                  SIGEMI    I    Tipo de Soporte:         Eliminar cierre de instrucción      I    Observaciones:                I         I    Su petición fue atendida, el paso PREPARACIÓN DEL PROYECTO DE RESOLUCIÓN al momento de la revisión esta activo    I         I        I         I    " u="1"/>
        <s v="Se  testan los datos del folio: 0064101377821" u="1"/>
        <s v="Notificación de seguimiento  [  MA1803202008 ]      I         I         I    Estimado(a):                     Lizbeth Adriana Cabrera Ortega    I         I    Le informamos que su ticket correspondiente a:    I                      I        I    Debe DECIR 18 MARZO.    I        I         I    Aplicación:                  SIGEMI    I    Tipo de Soporte:         CAMBIO DE FECHA      I    Observaciones:                I         I    Su petición fue atendida    I    " u="1"/>
        <s v="Reinstalación Campus Privado con nueva BD" u="1"/>
        <s v="Analisis de reporte de solicitudes por estatus." u="1"/>
        <s v="Soporte Morelos" u="1"/>
        <s v="Notificación de seguimiento  [  MA1111202004 ]      I         I         I    Estimado(a):                     ROSALINDA CORIA    I         I     Le informamos que su ticket correspondiente a:    I                       I    regresar a la actividad de admitir/prevenir el recurso RRA 12090/20    I         I    Aplicación:                  SIGEMI    I    Tipo de Soporte:         REGRESO DE PASOS        I    Observaciones:                I         I    Su petición fue atendida    I    " u="1"/>
        <s v="Se sustituye archivo adjunto  del folio: 0000600129521 " u="1"/>
        <s v="Seccion 10 UT" u="1"/>
        <s v="Desarrollo de adecuaciones identificadas para la funcionalidad de carga de pagos" u="1"/>
        <s v="Se atienden issues encontrados por QA" u="1"/>
        <s v="Se cambia la fecha en la solicitud con  folio: 1857200176321" u="1"/>
        <s v="Se aplica eliminación de formato de pago: 0001600009820 y 0001600059121" u="1"/>
        <s v="Se testan los datos  del folio: 0064101362821" u="1"/>
        <s v="Mejoras al modulo de reportes." u="1"/>
        <s v="Se sustituye el archivo adjunto de la solicitud con folio 0000500180021    I        I    " u="1"/>
        <s v="Se  testan los datos del folio: 0064102194221" u="1"/>
        <s v="Notificación de seguimiento  [  MA2411202201 ]    I        I    Estimado(a):                Abraham Obed Gallardo González    I        I     Le informamos que su ticket correspondiente a:    I        I    … actualizar el certificado del sujeto obligado denominado CINVESTAV, con base en la siguiente información:    I        I    Nombre del Titular de la Unidad de Transparencia: Patricia Pérez Cruz    I    Correo electrónico: pperezc@cinvestav.mx    I        I    Cabe precisar que el sujeto obligado señala que no le es posible entrar ya que le aparece un mensaje que dice certificado no valido.    I        I        I    Aplicación:                  HCOM    I    Tipo de Soporte          actualización de contraseña    I    Observaciones:                I         I    Su petición fue atendida, no se realizó cambio de contraseña" u="1"/>
        <s v="Se cambian mensajes de error en providers, se agrega un mensaje generico de error" u="1"/>
        <s v="Se actualizó la fecha en 130 solicitudes del SO IMSS" u="1"/>
        <s v="Se adaptan los modelos para los nuevos parametros incluidos" u="1"/>
        <s v="Se aplica el cambio de modalidad para el folio: 0064100095120" u="1"/>
        <s v="Desarrollo funcionalidad descarga links en formato csv portlet" u="1"/>
        <s v="Reunion Continuación revisión Mockups para muestra de los muckups" u="1"/>
        <s v="Desarrollo de la funcionalidad para la exportación de la información de los sujetos obligados perteneciente al módulo de federado" u="1"/>
        <s v="Corrección Declaración Fiscal" u="1"/>
        <s v="Pendientes WordPress" u="1"/>
        <s v="documentación." u="1"/>
        <s v="Se localiza acuse de la solicitud: '0064100687120','0064100687420'." u="1"/>
        <s v="Componente catalogo integrante (HTML) (Administrador) " u="1"/>
        <s v="Notificación de seguimiento  [  MA0410202103 ]    I        I    Estimado(a):                Martha Rubí Zaragoza Mora    I        I         I     Le informamos que su ticket correspondiente a:    I                       I    ajuste de términos de un folio de este sujeto obligado por Acuerdo de días inhábiles    I        I         I    Aplicación:                  INFOMEX NUEVO LEÓN     I    Tipo de Soporte:         AJUSTE DE PLAZO       I    Observaciones:                I         I    Su petición fue atendida    I    " u="1"/>
        <s v="    I    Notificación de seguimiento  [  MA1106202012 ]      I         I         I    Estimado(a):                     Adriana Elizabeth Hernández García    I         I    Le informamos que su ticket correspondiente a:    I                       I    Por medio del presente te comento que al validar el paso denominado Registro de la Resolución Firmada relativo al recurso:     I        I    RRA 02290/20    I        I    la PNT se queda pasmada y NO APARECEN las ventanas donde se registran las fechas de firma de los comisionados; de tal manera que queda en blanco.      I    Al respecto, te solicito se realicen las gestiones necesarias a efecto de que se pueda validar el paso referido y estar en condición de continuar con el proceso de notificación de la resolución.    I         I    Aplicación:                  SIGEMI    I    Tipo de Soporte:         Corrección de incidencia       I    Observaciones:                I         I    Su petición fue atendida    I         I        I         I                Favor de validar.    I         I    Estatus:                               Concluido.    I    " u="1"/>
        <s v="Parametrización del proyecto" u="1"/>
        <s v="Se aplica sustitución de archivo al folio: 0210000027720." u="1"/>
        <s v="Analisis  y funcionalidad de Consultas Relevantes " u="1"/>
        <s v="Se aplica eliminación de formato de pago: 12151000153620" u="1"/>
        <s v="Se aplica testado de datos al folio: 0000700013321" u="1"/>
        <s v="Error en los mapas interactivos" u="1"/>
        <s v="Se  testan los datos del folio:  0064100633421" u="1"/>
        <s v="Se  testan los datos del folio: 0320000418421" u="1"/>
        <s v="Notificación de seguimiento  [  MA2501202201 ]    I        I    Estimado(a):                Pedro Esquivel Martínez    I        I         I     Le informamos que su ticket correspondiente a:    I                       I    actualización de certificados y titular al haber un cambio del mismo, lo anterior en la HCOM, adjunto archivos    I        I        I         I    Aplicación:                  HCOM    I    Tipo de Soporte:         CAMBIO DE TUT (2)      I    Observaciones:                I         I    Su petición fue atendida    I    " u="1"/>
        <s v="Reunion Actividades PMO " u="1"/>
        <s v="CAPACITACIÓN PARA ELABORACIÓN DE CARPETAS DE EVALUACIÓN, Semana 3" u="1"/>
        <s v="El Panóptico: Periodismo y la proteccion de datos personales. " u="1"/>
        <s v="Notificación de seguimiento  [  MA2707202101 ]    I        I    Estimado(a):                Moisés Guzmán Arias    I        I         I     Le informamos que su ticket correspondiente a:    I                       I    Reactivación del paso del proyecto de resolución    I        I         I    Aplicación:                  SIGEMI    I    Tipo de Soporte:         REGRESO DE PASOS      I    Observaciones:                I         I    Su petición fue atendida    I         I    " u="1"/>
        <s v="Notificación de seguimiento  [  MA3006202001 ]      I         I         I    Estimado(a):                     Betzabé Flores Terán    I         I         I    Le informamos que su ticket correspondiente a:    I                       I    Solicito de su apoyo para actualizar en la Herramienta de Comunicación los certificados de los sujetos obligados de la base que se adjunta, ya que estos han vencido.    I         I         I    Aplicación:                  HCOM       I    Tipo de Soporte:         cambio de TUT   ( 5 )    I    Observaciones:                I         I    Le comento que se comenzó el cambio de titulares solicitados, conforme se vayan realizando las actualizaciones se les notificarán los cambios     I         I    Se realizó la actualización de los siguientes:    I        I    " u="1"/>
        <s v="Se  testan los datos del folio: 0064101618321" u="1"/>
        <s v="    I    Notificación de seguimiento  [  MA2312202007 ]      I         I         I    Estimado(a):                     Alondra Jiménez Hernández    I         I         I    Le informamos que su ticket correspondiente a:    I                       I    Se anexa el certificado del Titular de la Unidad de Transparencia para su renovación en la Herramienta de Comunicación    I         I         I    Aplicación:                  HCOM    I    Tipo de Soporte:         CAMBIO DE CERTIFICADO Y CONTRASEÑA      I    Observaciones:                I         I    Su petición fue atendida    I         I    " u="1"/>
        <s v="Se redirecciona al usuario a la pantalla principal al actualizar perfil" u="1"/>
        <s v="corrección en  registro de solicitudes del Sujeto Obligado AUTORIDAD EDUCATIVA FEDERAL EN LA CIUDAD DE MEXICO" u="1"/>
        <s v="Se agrega token de autorizacion para peticiones de concurso" u="1"/>
        <s v="Implementación validaciones y funcionalidad envió a domicilio" u="1"/>
        <s v="Estadistica de solicitudes registradas por infomex y PNT  de 2016 a 2021" u="1"/>
        <s v="Se cambia el tipo de solicitud del folio:  0411100027221" u="1"/>
        <s v="servicio para eliminar usuario" u="1"/>
        <s v="Se testan los datos  del folio: 0064101437821" u="1"/>
        <s v="Instalación y configuración de plugin para look and feel campus Organismos Garantes" u="1"/>
        <s v="Se generó certificado para usuario de dependencia Tribunal Superior Agrario" u="1"/>
        <s v="Entrega versión final del sitio" u="1"/>
        <s v="Desarrollo y adecuación del soporte de organismo garante que ajusta los cambios realizas en las entidades de base de datos los cuales son: Cambio de tipo de solicitud, testeo de información, cambio de documento adjunto, " u="1"/>
        <s v="Se elmina la respuesta del folio: 122260009621" u="1"/>
        <s v="Revisión de fechas de expiración de certificados" u="1"/>
        <s v="Ajustes de visualización de datos para el detalle de una queja e historial" u="1"/>
        <s v="Se reinicia nuevamente usuario CBOCANEGRA" u="1"/>
        <s v="Buenas tardes Horacio, adjunto a este correo la presentación modificada, donde incluí los pasos para la ejecución de scripts en la base de datos, también adjunto carpeta que incluye los scripts, misma que se menciona en la presentación.    I        I    Me quedo atenta a tus comentarios     I        I    Saludos     I        I    Marina Adame Velasco    I    " u="1"/>
        <s v="Envio masivo de correos " u="1"/>
        <s v="Se aplica testado de datos al folios: 0000700100920 así como el archivo adjunto." u="1"/>
        <s v="Buenas tardes Martha, tu petición fue atendida, favor de validar     I        I    Saludos     I        I    Marina Adame Velasco    I        I    Notificación de seguimiento  [  MA0107202003 ]      I        I    Aplicación:                  INFOMEX NUEVO LEÓN    I    Tipo de Soporte:         AJUSTE DE PLAZOS        I    Estatus:                               Concluido.    I        I    " u="1"/>
        <s v="Buenas tardes Martha, tu petición fue atendida, favor de validar     I        I    Saludos     I        I    Marina Adame Velasco    I        I    Notificación de seguimiento  [  MA0206202009 ]      I        I    Aplicación:                  INFOMEX NUEVO LEÓN    I    Tipo de Soporte:         AJUSTE DE PLAZOS        I    Estatus:                               Concluido.    I        I    " u="1"/>
        <s v="Buenas tardes Martha, tu petición fue atendida, favor de validar     I        I    Saludos     I        I    Marina Adame Velasco    I        I    Notificación de seguimiento  [  MA0408202008 ]      I        I    Aplicación:                  INFOMEX NUEVO LEÓN    I    Tipo de Soporte:         AJUSTE DE PLAZOS        I    Estatus:                               Concluido.    I        I    " u="1"/>
        <s v="Buenas tardes Martha, tu petición fue atendida, favor de validar     I        I    Saludos     I        I    Marina Adame Velasco    I        I    Notificación de seguimiento  [  MA0807202003 ]      I        I    Aplicación:                  INFOMEX NUEVO LEÓN    I    Tipo de Soporte:         AJUSTE DE PLAZOS        I    Estatus:                               Concluido.    I        I    " u="1"/>
        <s v="Buenas tardes Martha, tu petición fue atendida, favor de validar     I        I    Saludos     I        I    Marina Adame Velasco    I        I    Notificación de seguimiento  [  MA1007202002 ]      I        I    Aplicación:                  INFOMEX NUEVO LEÓN    I    Tipo de Soporte:         AJUSTE DE PLAZOS        I    Estatus:                               Concluido.    I        I    " u="1"/>
        <s v="Buenas tardes Martha, tu petición fue atendida, favor de validar     I        I    Saludos     I        I    Marina Adame Velasco    I        I    Notificación de seguimiento  [  MA1305202003 ]      I        I    Aplicación:                  INFOMEX NUEVO LEÓN    I    Tipo de Soporte:         AJUSTE DE PLAZOS        I    Estatus:                               Concluido.    I        I    " u="1"/>
        <s v="Buenas tardes Martha, tu petición fue atendida, favor de validar     I        I    Saludos     I        I    Marina Adame Velasco    I        I    Notificación de seguimiento  [  MA1308202004 ]      I        I    Aplicación:                  INFOMEX NUEVO LEÓN    I    Tipo de Soporte:         Ajuste de plazos        I    Estatus:                               Concluido.    I        I    " u="1"/>
        <s v="Buenas tardes Martha, tu petición fue atendida, favor de validar     I        I    Saludos     I        I    Marina Adame Velasco    I        I    Notificación de seguimiento  [  MA1407202004 ]      I        I    Aplicación:                  INFOMEX NUEVO LEÓN    I    Tipo de Soporte:         AJUSTE DE PLAZOS        I    Estatus:                               Concluido.    I        I    " u="1"/>
        <s v="Buenas tardes Martha, tu petición fue atendida, favor de validar     I        I    Saludos     I        I    Marina Adame Velasco    I        I    Notificación de seguimiento  [  MA1408202004 ]      I        I    Aplicación:                  INFOMEX NUEVO LEÓN    I    Tipo de Soporte:         AJUSTE DE PLAZOS        I    Estatus:                               Concluido.    I        I    " u="1"/>
        <s v="Buenas tardes Martha, tu petición fue atendida, favor de validar     I        I    Saludos     I        I    Marina Adame Velasco    I        I    Notificación de seguimiento  [  MA1908202008 ]      I        I    Aplicación:                  INFOMEX NUEVO LEÓN    I    Tipo de Soporte:         AJUSTE DE PLAZOS        I    Estatus:                               Concluido.    I        I    " u="1"/>
        <s v="Buenas tardes Martha, tu petición fue atendida, favor de validar     I        I    Saludos     I        I    Marina Adame Velasco    I        I    Notificación de seguimiento  [  MA1910202005 ]      I        I    Aplicación:                  INFOMEX NUEVO LEÓN    I    Tipo de Soporte:         AJUSTE DE PLAZOS        I    Estatus:                               Concluido.    I        I    " u="1"/>
        <s v="Buenas tardes Martha, tu petición fue atendida, favor de validar     I        I    Saludos     I        I    Marina Adame Velasco    I        I    Notificación de seguimiento  [  MA2406202003 ]      I        I    Aplicación:                  INFOMEX NUEVO LEÓN    I    Tipo de Soporte:         AJUSTE DE PLAZOS        I    Estatus:                               Concluido.    I        I    " u="1"/>
        <s v="Buenas tardes Martha, tu petición fue atendida, favor de validar     I        I    Saludos     I        I    Marina Adame Velasco    I        I    Notificación de seguimiento  [  MA2407202005 ]      I        I    Aplicación:                  INFOMEX NUEVO LEÓN    I    Tipo de Soporte:         Ajuste de plazos        I    Estatus:                               Concluido.    I        I    " u="1"/>
        <s v="Buenas tardes Martha, tu petición fue atendida, favor de validar     I        I    Saludos     I        I    Marina Adame Velasco    I        I    Notificación de seguimiento  [  MA2506202004 ]      I        I    Aplicación:                  INFOMEX NUEVO LEÓN    I    Tipo de Soporte:         AJUSTE DE PLAZOS        I    Estatus:                               Concluido.    I        I    " u="1"/>
        <s v="Buenas tardes Martha, tu petición fue atendida, favor de validar     I        I    Saludos     I        I    Marina Adame Velasco    I        I    Notificación de seguimiento  [  MA2605202006 ]      I        I    Aplicación:                  INFOMEX NUEVO LEÓN    I    Tipo de Soporte:         AJUSTE DE PLAZOS        I    Estatus:                               Concluido.    I        I    " u="1"/>
        <s v="Buenas tardes Martha, tu petición fue atendida, favor de validar     I        I    Saludos     I        I    Marina Adame Velasco    I        I    Notificación de seguimiento  [  MA2707202002 ]      I        I    Aplicación:                  INFOMEX Nuevo León    I    Tipo de Soporte:         Ajuste de plazos        I    Estatus:                               Concluido.    I        I    " u="1"/>
        <s v="Buenas tardes Martha, tu petición fue atendida, favor de validar     I        I    Saludos     I        I    Marina Adame Velasco    I        I    Notificación de seguimiento  [  MA2807202003 ]      I        I    Aplicación:                  INFOMEX NUEVO LEÓN    I    Tipo de Soporte:         Ajuste de plazos        I    Estatus:                               Concluido.    I        I    " u="1"/>
        <s v="Se  testan los datos del folio: 0110000072421" u="1"/>
        <s v="Se cambia el tipo de solicitud del folio: 0063700194521" u="1"/>
        <s v="Revisión de la estructura de la tabla de Quejas y analizar el número de procedimientos " u="1"/>
        <s v="Estimados Horacio y Sam, con base a la conversación realizada el día de hoy, respecto a la deshabilitación del  módulo de REGISTRO DE SOLICITUDES, en los infomex Estatales, les adjunto script y guía.    I        I    Quedo atenta a sus comentarios     I        I    Saludos     I        I    Marina Adame     I        I         I    Notificación de seguimiento  [  MA1706202116 ]    I        I    Aplicación:                  INFOMEX ESTADOS    I    Tipo de Soporte:         DESHABILITAR MODULO REGISTRO DE SOLICITUDES      I    " u="1"/>
        <s v="Se  testan los datos del folio: 0064102012221" u="1"/>
        <s v="Desarrollo de servicios y adecuaciones al formulario de registro de información publica y datos personales, al dashboard de solicitante y de unidad de transparencia permitiendo insertar el nuevo campo de otra modalidad entrega" u="1"/>
        <s v="    I    Notificación de seguimiento  [  MA1510202007 ]      I         I         I    Estimado(a):                     Laura Mónica Segovia Tellez    I         I    Le informamos que su ticket correspondiente a:    I                       I    Solicito su amable apoyo, para regresar el paso del RRA 10332/20 admitir prevenir desechar derivado de que se va a sustituir el acuerdo y las partes ya tienen conocimiento del tema.    I        I         I    Aplicación:                  SIGEMI    I    Tipo de Soporte:         REGRESO DE PASOS      I    Observaciones:                I         I    Su petición fue atendida    I         I    " u="1"/>
        <s v="Se aplica cambio de modalidad a las solicitudes: 0001100082620" u="1"/>
        <s v="Se elimina la respuesta del folio:  6430000003521" u="1"/>
        <s v="Se realizan ajustes generales al sitio" u="1"/>
        <s v="Carga de Sede INAI en micrositios" u="1"/>
        <s v="Notificación de seguimiento  [  MA0908202109 ]    I        I    Estimado(a):                Rafael González García    I        I         I     Le informamos que su ticket correspondiente a:    I                       I    Solicito atentamente la información que obra en el Infomex NL de las solicitudes 00041221 y 00299921. Esto derivado una análisis que solicitó la ponencia del Comisionado Guerra.     I        I        I         I    Aplicación:                  INFOMEX NL    I    Tipo de Soporte:         CONSULTA DE  DATOS      I    Observaciones:                I         I    Su petición fue atendida, cualquier dato adicional favor de indicar     I         I    " u="1"/>
        <s v="Notificación de seguimiento  [  MA0602202007 ]      I         I         I    Estimado(a):                     Lizbeth Adriana Cabrera Ortega    I         I    Le informamos que su ticket correspondiente a:    I                       I    LES PIDO SU APOYO PARA MODIFICAR LA FECHA DE INTERPOSICIÓN DE LOS RECURSOS AL DÍA HÁBIL SIGUIENTE    I        I    DEBE DECIR 6 DE FEBRERO.    I        I         I    Aplicación:                  SIGEMI    I    Tipo de Soporte:         ACTUALIZACIÒN DE FECHAS      I    " u="1"/>
        <s v="Notificación de seguimiento  [  MA2511202102 ]    I        I    Estimado(a):                Betzabé Flores Terán    I        I         I     Le informamos que su ticket correspondiente a:    I                       I    Solicito su apoyo para realizar la actualización en la herramienta de comunicación del .cer que se adjunta, toda vez que el .cer caduco.    I         I    Aplicación:                  HCOM    I    Tipo de Soporte:         CAMBIO DE TUT       I    Observaciones:                I         I    Su petición fue atendida    I         I    " u="1"/>
        <s v="REVISAR USUARIO DE CAS QUE PRESENTA ERROR" u="1"/>
        <s v="Notificación de seguimiento  [  MA1202202008 ]      I         I         I    Estimado(a):                     Lizbeth Adriana Cabrera Ortega    I         I    Le informamos que su ticket correspondiente a:    I                       I    SOLICITO DE SU VALIOSO APOYO A FIN DE CAMBIAR LA FECHA DE INTERPOSICIÓN AL DÍA HÁBIL SIGUIENTE.    I        I    GRACIAS DE ANTEMANO.    I        I    DEBE DECIR 12 DE FEBRERO    I        I         I    Aplicación:                  SIGEMI    I    Tipo de Soporte:         Actualización de fecha de interposición      I    Observaciones:                I         I    Su petición fue atendida    I    " u="1"/>
        <s v="Modificación de todos los campos " u="1"/>
        <s v="Realizar modul de consultas" u="1"/>
        <s v="Se  testan los datos del folio:0064101930721" u="1"/>
        <s v="Se  testan los datos de 17 SOLICITUDES" u="1"/>
        <s v="Se elimina la ultima respuesta del folio 0002700076621" u="1"/>
        <s v="Notificación de seguimiento  [  MA0212202101 ]    I        I    Estimado(a):                Betzabé Flores Terán    I        I         I     Le informamos que su ticket correspondiente a:    I                       I    Solicito su apoyo para realizar la actualización en la herramienta de comunicación del .cer que se adjunta, derivado del cambio del TUT.    I        I         I    Aplicación:                  HCOM              I    Tipo de Soporte:         CAMBIO DE TUT       I    Observaciones:                I         I    Su petición fue atendida    I         I    " u="1"/>
        <s v="Notificación de seguimiento  [  MA0804202108 ]      I         I         I    Estimado(a):                     Edgar Michel Loaeza Martínez    I         I         I    Le informamos que su ticket correspondiente a:    I                       I    realizar la renovación de certificado del sujeto obligado Comisión Nacional de Áreas Naturales Protegidas en el hcom.    I         I    Aplicación:                  HCOM    I    Tipo de Soporte:         RENOVACION DE CERTIFICADO       I    Observaciones:                I         I    Su petición fue atendida    I         I    " u="1"/>
        <s v="Notificación de seguimiento  [  MA1011202008 ]      I         I         I    Estimado(a):                     ADRIANA ELIZABETH HERNÁNDEZ GARCIA    I         I         I    Le informamos que su ticket correspondiente a:    I                       I    realizar el cambio de Titular para el &quot;Fondo de ahorro para los trabajadores de CORETT &quot; a cargo del INSUS    I         I    Aplicación:                  SIGEMI    I    Tipo de Soporte:         CORRECCIÓN DE FECHA DE FIRMA       I    Observaciones:                I         I    Su petición fue atendida    I         I    " u="1"/>
        <s v="Respaldar Curso 5 de Aliados INAI  de la plataforma anterior y restaurar en plataforma actual " u="1"/>
        <s v="Cierre y Presentacion: revision y validacion final, hasta la publicacion de la politica publica en el marco del SNT. " u="1"/>
        <s v="Notificación de seguimiento  [  MA1812202006 ]      I         I         I    Estimado(a):                     Martha Rubí Zaragoza Mora    I         I         I    Le informamos que su ticket correspondiente a:    I                       I    AJUSTE DE PLAZOS EN SOLICITUDES ENVIADAS    I         I    Aplicación:                 INFOMEX NUEVO LEÓN    I    Tipo de Soporte:         AJUSTE DE PLAZOS        I    Observaciones:                I         I    Su petición fue atendida    I    " u="1"/>
        <s v="Notificación de seguimiento  [  MA3108202001 ]      I         I         I    Estimado(a):                     Rosalinda Coria Mosqueda    I         I    Le informamos que su ticket correspondiente a:    I                       I    Agradeceré su apoyo, para regresar a la actividad de admitir/desecha el recurso RRA 8180/20 de ASF, por omisión se notificó la prevención y se trata de un Sujeto Obligado con actividades no esenciales y está en suspensión de plazos.    I         I    Aplicación:                  SIGEMI    I    Tipo de Soporte:         REGRESO DE PASOS      I    Observaciones:                I         I    Su petición fue atendida    I    " u="1"/>
        <s v="Se  testan los datos del folio:0064101939721" u="1"/>
        <s v="Se cambia el tipo de solicitud del folio: 1410000039821" u="1"/>
        <s v="Incidencias Cuestionario Interactivo" u="1"/>
        <s v="Mapeo servicio guardado de respuesta" u="1"/>
        <s v="Incidencia Bienes Inmuebles Porcentajes" u="1"/>
        <s v="Estimación cambios" u="1"/>
        <s v="Se aplica eliminación de formato de pago: 1857200161420" u="1"/>
        <s v="Se  testan los datos de la solicitud con folio 0500100002121    I    " u="1"/>
        <s v="Se corrige la descarga del recibo de pago en el recurrente disponibilidad" u="1"/>
        <s v="Realizar modul de país" u="1"/>
        <s v="Se aplica el testado de datos de la solicitud: 0673800020020" u="1"/>
        <s v="Ejecución de OT 5 Campus Privada" u="1"/>
        <s v="Se sustituye archivo adjunto  del folio:  0064100828021" u="1"/>
        <s v="Notificación de seguimiento  [  MA0607202011 ]      I         I         I    Estimado(a):                     Berenice Hernández Sumano    I         I    Le informamos que su ticket correspondiente a:    I                       I    La modificación consiste en cambiar la Leyenda:     I        I    El Organismo Garante entregó la información el día 6 de Julio de 2020 a las 08:00 hrs, por El Organismo Garante entregó la información el día 3 de Julio de 2020 a las 08:00 hrs.    I         I    Aplicación:                  SIGEMI    I    Tipo de Soporte:         Actualización de acuses      I    Observaciones:                I         I    Su petición fue atendida    I    " u="1"/>
        <s v="Implementación de mejoras en vistas portlet administración" u="1"/>
        <s v="Se aplica sustitución de archivo de la solicitud: 1816400002320." u="1"/>
        <s v="Notificación de seguimiento [ MA1001202002 ]     I          I          I     Estimado(a): Jassel Natali Córdova Guzmán    I          I     Le informamos que su ticket correspondiente a:    I          I     Un gusto saludarlos y desearles un buen inicio de año. Por este medio me permito solicitarles de la manera más atenta su apoyo para averiguar los comunicados y requerimientos que ha recibido en HCOM el sujeto obligado CONAPO (CONSEJO NACIONAL DE POBLACIÓN) de agosto 2019 a la fecha,     I         I         I      Aplicación: HCOM    I     Tipo de Soporte: Consulta de datos" u="1"/>
        <s v="Notificación de seguimiento  [  MA2007202006 ]      I         I         I    Estimado(a):                     Edgar Michel Loaeza Martínez    I         I    Le informamos que su ticket correspondiente a:    I                       I    Por medio del presente solicito su valioso apoyo a efecto de dar de alta los certificados de Titular de la Unidad de Transparencia de los sujetos obligados que se enlistan    I         I    Aplicación:                  HCOM    I    Tipo de Soporte:         CAMBIO DE TUT ( 9 )       I    Observaciones:                I         I    Su petición fue atendida    I         I    " u="1"/>
        <s v="Corrección de error en App para descargar archivos por HTTP" u="1"/>
        <s v="     I    Notificación de seguimiento  [  MA1203202102 ]      I          I    Estimado(a):                     Lizbeth Adriana Cabrera Ortega    I          I    Le informamos que su ticket correspondiente a:    I                       I    en el expediente electrónico, así como en los turnos de los siguientes expedientes sean modificados con la finalidad de que aparezca como recurrente “Grupo La Moderna, a través de quien dice ser su representante legal Laura Patricia Cortes Torralbo”, ya que los medios de impugnación según precisan, fueron ingresados por la persona mencionada y no directamente por los titulares de los datos.    I         I    Al respecto te hago llegar los acuerdos de TURNO MODIFICADOS para que se incorporen en el expediente electrónico.    I         I    Aplicación:                  SIGEMI     I    Tipo de Soporte:         ACTUALIZAR TURNOS       I    Observaciones:                I         I    Su petición fue atendida    I         I          I                Favor de validar.    I         I    Estatus:                               Concluido.    I        I    " u="1"/>
        <s v="Se tuvo sesión rapida con Samuel y Antonio para aclarar dudas sobre el 1er procedimiento de tabla de Quejas" u="1"/>
        <s v="     I    Notificación de seguimiento  [  MA0210202002 ]      I         I         I    Estimado(a):                     Sergio Rafael Cortés Alpizar    I         I    Le informamos que su ticket correspondiente a:    I                       I         I    Por este medio solicito adelantar los pasos en la Plataforma Nacional del Transparencia hasta “Preparación del Proyecto de Resolución” del recurso de revisión:    I         I    RRA 1790/19-BIS vs SEMARNAT    I         I    Aplicación:                  SIGEMI    I    Tipo de Soporte:         cambio de estatus      I    Observaciones:                I         I    Su petición fue atendida    I         I    " u="1"/>
        <s v="    I    Notificación de seguimiento  [  MA0803202112 ]      I         I         I    Estimado(a):                     Rogelio Yair Serafín Medrano    I         I         I    Le informamos que su ticket correspondiente a:    I                       I    solicitar de su amable apoyo con la finalidad de realizar el cambio del tipo de solicitud correspondiente al número de folio 0001100044521, siendo ésta de origen como solicitud de Información Pública, para quedar como solicitud de acceso a Datos Personales    I         I    Aplicación:                  INFOMEX FEDERAL    I    Tipo de Soporte:         CAMBIO TIPO DE SOLICITUD       I    Observaciones:                I         I    Su petición fue atendida    I         I    " u="1"/>
        <s v="    I    Notificación de seguimiento  [  MA0911202002 ]      I         I         I    Estimado(a):                     GUILLERMO DELGADO IBARRA    I         I         I    Le informamos que su ticket correspondiente a:    I                       I    con 2 peticiones     I    1.- el reporte de solicitudes hasta la fecha    I    2.- el reporte de solicitudes referente a COVIT, CORONAVIRUS, y me solicitan agregar dos palabras a la búsqueda, (EMERGENCIA y PANDEMIA) además descripción de la respuesta y el estatus de cada solicitud    I         I    Aplicación:                  INFOMEX BCN    I    Tipo de Soporte:         REPORTE       I    Observaciones:                I         I    Su petición fue atendida    I         I    " u="1"/>
        <s v="Validaciones formularios y mensajes de error" u="1"/>
        <s v="Notificación de seguimiento  [  MA0808202202 ]    I        I        I    Estimado(a):               Alondra Jiménez Hernández    I        I     Le informamos que su ticket correspondiente a:    I        I    Anexo el registro actualizado del certificado del nuevo Titular de la Unidad de Transparencia de ASIPONA PROGRESO para que su acceso sea habilitado en la Herramienta de Comunicación.     I         I    Aplicación:                  HCOM    I    Tipo de Soporte:        CAMBIO DE TUT " u="1"/>
        <s v="    I    Buenos días Alan, te informo que el respaldo de su base de datos de esta semana ya está en el repositorio…      I        I        I    http://documentos.inai.org.mx/tmp/infomex_tlaxcala_backup_2020-10-05_0800.bak    I        I        I    NOTA: El respaldo estará disponible una semana.    I        I        I    Saludos Cordiales    I        I    Marina Adame Velasco                                                                                              I        I        I        I    " u="1"/>
        <s v="    I    Buenos días Alan, te informo que el respaldo de su base de datos de esta semana ya está en el repositorio…      I        I        I    http://documentos.inai.org.mx/tmp/infomex_tlaxcala_backup_2020-10-12_0800.bak    I        I        I    NOTA: El respaldo estará disponible una semana.    I        I        I    Saludos Cordiales    I        I    Marina Adame Velasco                                                                                              I        I        I        I    " u="1"/>
        <s v="    I    Buenos días Alan, te informo que el respaldo de su base de datos de esta semana ya está en el repositorio…      I        I        I    http://documentos.inai.org.mx/tmp/infomex_tlaxcala_backup_2020-10-19_0800.bak    I        I        I    NOTA: El respaldo estará disponible una semana.    I        I        I    Saludos Cordiales    I        I    Marina Adame Velasco                                                                                              I        I        I        I    " u="1"/>
        <s v="    I    Buenos días Alan, te informo que el respaldo de su base de datos de esta semana ya está en el repositorio…      I        I        I    http://documentos.inai.org.mx/tmp/infomex_tlaxcala_backup_2020-10-26_0800.bak    I        I        I    NOTA: El respaldo estará disponible una semana.    I        I        I    Saludos Cordiales    I        I    Marina Adame Velasco                                                                                              I        I        I        I    " u="1"/>
        <s v="    I    Buenos días Alan, te informo que el respaldo de su base de datos de esta semana ya está en el repositorio…      I        I        I    http://documentos.inai.org.mx/tmp/infomex_tlaxcala_backup_2020-11-02_0800.bak    I        I        I    NOTA: El respaldo estará disponible una semana.    I        I        I    Saludos Cordiales    I        I    Marina Adame Velasco                                                                                              I        I        I        I    " u="1"/>
        <s v="    I    Buenos días Alan, te informo que el respaldo de su base de datos de esta semana ya está en el repositorio…      I        I        I    http://documentos.inai.org.mx/tmp/infomex_tlaxcala_backup_2020-11-09_0800.bak    I        I        I    NOTA: El respaldo estará disponible una semana.    I        I        I    Saludos Cordiales    I        I    Marina Adame Velasco                                                                                              I        I        I        I    " u="1"/>
        <s v="    I    Buenos días Alan, te informo que el respaldo de su base de datos de esta semana ya está en el repositorio…      I        I        I    http://documentos.inai.org.mx/tmp/infomex_tlaxcala_backup_2020-11-16_0800.bak    I        I        I    NOTA: El respaldo estará disponible una semana.    I        I        I    Saludos Cordiales    I        I    Marina Adame Velasco                                                                                              I        I        I        I    " u="1"/>
        <s v="    I    Buenos días Alan, te informo que el respaldo de su base de datos de esta semana ya está en el repositorio…      I        I        I    http://documentos.inai.org.mx/tmp/infomex_tlaxcala_backup_2020-11-23_0800.bak    I        I        I    NOTA: El respaldo estará disponible una semana.    I        I        I    Saludos Cordiales    I        I    Marina Adame Velasco                                                                                              I        I        I        I    " u="1"/>
        <s v="    I    Buenos días Alan, te informo que el respaldo de su base de datos de esta semana ya está en el repositorio…      I        I        I    http://documentos.inai.org.mx/tmp/infomex_tlaxcala_backup_2020-11-30_0800.bak    I        I        I    NOTA: El respaldo estará disponible una semana.    I        I        I    Saludos Cordiales    I        I    Marina Adame Velasco                                                                                              I        I        I        I    " u="1"/>
        <s v="Se aplica testado de datos al folio:  0064103077520" u="1"/>
        <s v="Se aplica eliminación de formato de pago: 1219000061221" u="1"/>
        <s v="Se aplica el cambio de modalidad a la solicitud: 0411100008020 " u="1"/>
        <s v="Crear certificado y alta para usuario del Orden de Capitanes y Pilotos Navales de la República Mexicana, Similares y Conexos" u="1"/>
        <s v="Notificación de seguimiento [ MA1601202001 ]     I          I          I     Estimado(a): Laura Mónica Segovia Tellez    I          I     Le informamos que su ticket correspondiente a:    I          I     Solicito su amable apoyo a fin de que sea regresado el paso del RRD 0041/20 al paso de Envió de Entrada y Acuerdo.     I         I          I     Aplicación: SIGEMI    I     Tipo de Soporte: REGRESO DE PASOS" u="1"/>
        <s v="Notificación de seguimiento  [  MA0308202204 ]    I        I        I    Estimado(a):               David Mondragón Centeno    I        I     Le informamos que su ticket correspondiente a:    I        I    … NOS ENVÍEN LOS CINCO CERTIFICADOS RENOVADOS DE LA HCOM QUE SOLICITAMOS POR PARTE DE LA DGEALSUPFM    I        I    Aplicación:                  HCOM    I    Tipo de Soporte:        GENERACIÓN DE CERTIFICADOS (4), RENOVACIÓN EN HCOM  ( 2 ), CAMBIO DE TUT (1)    I        I        I    Observaciones:  se anexan certificados y los correos de atención relacionados con los SO 60173 y 60214" u="1"/>
        <s v="Analisis de la solicitud de Acceso a la Información Publica " u="1"/>
        <s v="Se aplica testado de datos al folio: 0064100193221" u="1"/>
        <s v="Notificación de seguimiento  [  MA2202202101 ]      I         I         I    Estimado(a):                     BERENICE HERNÁNDEZ SUMANO    I          I    Le informamos que su ticket correspondiente a:    I                       I    RESPALDO SEMANAL DE LA BASE DE DATOS INFOMEX    I         I    Aplicación:                  INFOMEX OAXACA    I    Tipo de Soporte:         RESPALDO       I    Observaciones:                I         I    Su petición fue atendida, se subió el respaldo de su base de datos de esta semana…    I        I    http://documentos.inai.org.mx/tmp/infomexOAX_backup_2021-02-22_0800.bak    I    " u="1"/>
        <s v="Notificación de seguimiento  [  MA2212202006 ]      I         I         I    Estimado(a):                     Edgar Michel Loaeza Martínez    I         I         I    Le informamos que su ticket correspondiente a:    I                       I    SOLICITAN EL CAMBIO DE CONTRASEÑA DE SUS SUJETOS OBLIGADOS INDIRECTOS ASÍ COMO DEL SECTOR CENTRAL.    I         I    Aplicación:                  HCOM    I    Tipo de Soporte:         CAMBIO DE CONTRASEÑAS ( 11)      I    Observaciones:                I         I    Su petición fue atendida    I    " u="1"/>
        <s v="Notificación de seguimiento  [  MA2501202110 ]      I          I    Estimado(a):                     Ing. Fernando Escutia Rodríguez    I         I     Le informamos que su ticket correspondiente a:    I                       I    Adjunto a este email, el aviso de suspensión de términos, que me solicita el pleno de la CEGAIP, incluyamos en el sistema infomex.    I         I    Aplicación:                  INFOMEX SLP Tipo de Soporte:         Agregar aviso    I    Observaciones:                I         I    Su petición fue atendida    I    " u="1"/>
        <s v="Notificación de seguimiento  [  MA2608202202 ]    I        I    Estimado(a):               David Mondragón Centeno    I        I     Le informamos que su ticket correspondiente a:    I    Solicito tu amable apoyo para asignar en la Herramienta de comunicación los certificados adjuntos los siguientes sujetos obligados que se precisan a continuación    I         I         I    60111_x0009_Sindicato de Trabajadores de la Cámara de Senadores_x0009_Eliazar San Agustín González_x0009_sindicato1969.transparencia@senado.gob.mx     I    hcom2022    I         I    60229_x0009_Sindicato Único de Trabajadores de la Universidad Autónoma Agraria &quot;Antonio Narro&quot;_x0009_María de Lourdes Orta Jaquez_x0009_lulujaquez@hotmail.com; sutuaaan@hotmail.com    I      hcom2022    I        I    Aplicación:                  HCOM    I    Tipo de Soporte:        ACTUALIZACIÓN DE CERTIFICADO (1)  Y CAMBIO DE TUT (1)" u="1"/>
        <s v="    I    Notificación de seguimiento  [  MA1706202007 ]      I         I         I    Estimado(a):                     Pedro Esquivel Martínez    I         I    Le informamos que su ticket correspondiente a:    I                       I    Anexo el registro actualizado del certificado del Titular de la Unidad de Enlace del  “Financiera Nacional de Desarrollo Agropecuario, Rural, Forestal y Pesquero”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CAMBIO DE CERTIFICADO      I    Observaciones:                I         I    Su petición fue atendida    I         I        I    " u="1"/>
        <s v="Se  testan los datos del folio: 0064101443321" u="1"/>
        <s v="Notificación de seguimiento  [  MA0912202002 ]      I         I         I    Estimado(a):                     Alondra Jiménez Hernández    I         I         I    Le informamos que su ticket correspondiente a:    I                       I    Anexo el registro actualizado del certificado del nuevo Titular de la Unidad de Transparencia de la Comisión Nacional de los Derechos Humanos para que su acceso sea habilitado en la Herramienta de Comunicación.     I         I    Aplicación:                  HCOM    I    Tipo de Soporte:         CAMBIO TUT       I    Observaciones:                I         I    Su petición fue atendida    I         I    " u="1"/>
        <s v="Notificación de seguimiento  [  MA1512202002 ]      I         I         I    Estimado(a):                     Alma Lizbeth Peguero Rivera    I         I         I    Le informamos que su ticket correspondiente a:    I                       I    retroceder los pasos en el sistema SIGEMI-SICOM en la PNT del siguiente asunto RRA 11570/20 del Pleno del día 09-12-20, hasta la actividad “Registrar información de la sesión del pleno”    I        I        I    Aplicación:                  IMPUGNACIONES    I    Tipo de Soporte:         REGRESO DE PASOS        I    Observaciones:                I         I    Su petición fue atendida    I         I    " u="1"/>
        <s v="Se realiza la eliminación del formato de pago del folio 0002700277620" u="1"/>
        <s v="Implementación validaciones y creación clases de error componente radioButttons" u="1"/>
        <s v="Actualizar contraseña del usuario del S.O. Camara de Diputados" u="1"/>
        <s v="Notificación de seguimiento  [  MA0305202203 ]    I        I    Estimado(a):               Betzabé Flores Terán    I        I         I     Le informamos que su ticket correspondiente a:    I                       I    Solicito su apoyo para realizar la actualización en la herramienta de comunicación del .cer que se adjunta, derivado del cambio del TUT.    I         I        I         I    Aplicación:                  HCOM    I    Tipo de Soporte:         CAMBIO DE TUT         I    Observaciones:                I         I    Su petición fue atendida    I    " u="1"/>
        <s v="Se aplica sustitución de archivo de la solicitud: 0064103654719." u="1"/>
        <s v="Buenos días David, a mi también se me pasó que tu base esta en el INAI, anexo el reporte, favor de validar     I        I    Saludos     I        I    Marina Adame Velasco    I        I    Notificación de seguimiento  [  MA0708202003 ]      I        I    Aplicación:                  INFOMEX MICHOACAN    I    Tipo de Soporte:         REPORTE       I    Estatus:                               Concluido.    I    " u="1"/>
        <s v="Analizar los recursos del sistema (Configuración y diseño E/S)" u="1"/>
        <s v="Se  testan los datos del folio: 0064101577321" u="1"/>
        <s v="Se aplica eliminación de ultima respuesta al folio: 1857200071620." u="1"/>
        <s v="Se  testan los datos del folio: 1816400154021" u="1"/>
        <s v="Se testan los datos  del folio: 0064101366821" u="1"/>
        <s v="Notificación de seguimiento  [  MA1302202006 ]      I          I    Estimado(a):                     Recurso de Revisión    I         I    Le informamos que su ticket correspondiente a:    I                       I    MODIFICAR FECHAS DE INTERPOSICIÓN     I        I         I    Aplicación:                  SIGEMI    I    Tipo de Soporte:         Actualizar fechas ( 2 )      I    Observaciones:                I         I    Su petición fue atendida    I    " u="1"/>
        <s v="Notificación de seguimiento  [  MA1703202009 ]      I         I         I    Estimado(a):                     Lizbeth Adriana Cabrera Ortega    I         I    Le informamos que su ticket correspondiente a:    I                       I    Debe decir 17 de marzo    I        I         I    Aplicación:                  SIGEMI    I    Tipo de Soporte:         CAMBIO DE FECHA      I    Observaciones:                I         I    Su petición fue atendida    I    " u="1"/>
        <s v="Se cambia el tipo de solicitud del folio: 00011000842210001100129121 " u="1"/>
        <s v="Notificación de seguimiento  [  MA1407202007 ]      I         I         I    Estimado(a):                     Laura Mónica Segovia Tellez    I         I    Le informamos que su ticket correspondiente a:    I                       I        I    Solicito su amable apoyo para que sea regresado un requerimiento de información adicional del RRA 4807/20 ya que se adjuntó mal el acuerdo    I        I         I    Aplicación:                  SIGEMI    I    Tipo de Soporte:         REGRESO DE PASOS      I    Observaciones:                I         I    Su petición fue atendida    I    " u="1"/>
        <s v="Notificación de seguimiento [ MA0901202003 ]     I          I          I     Estimado(a): Alondra Jiménez Hernández    I          I     Le informamos que su ticket correspondiente a:    I          I     Anexo el registro actualizado del certificado del Titular de la Unidad de Transparencia de EXPORTADORA DE SAL para su renovación en la Herramienta de Comunicación.    I         I          I     Aplicación: HCOM    I     Tipo de Soporte: ACTUALIZACIÓN DE CERTIFICADO     I     Observaciones:     I          I     Su petición fue atendida" u="1"/>
        <s v="Notificación de seguimiento  [  MA2801202103 ]      I         I         I    Estimado(a):                     NANCY GOMEZ CISNEROS     I         I         I    Le informamos que su ticket correspondiente a:    I                       I    ACTUALIZACIÓN DE CERTIFICADO DE LA USUARIA NANCY GOMEZ CISNEROS    I         I    Aplicación:                  HCOM     I    Tipo de Soporte:         ACTUALIZACION DE CERTIFICADO        I    " u="1"/>
        <s v="Desarrollo de las descripciones que se acordaron para la bitacora en todo el proyecto." u="1"/>
        <s v="DTO catalogo integrante (Administrador)" u="1"/>
        <s v="Entrega de respaldo de base de datos semanal del infomex Oaxaca" u="1"/>
        <s v="Creación de cuenta y configuración permisos a Gabriela Gonzalez" u="1"/>
        <s v="Notificación de seguimiento [ MA140120204 ]     I          I          I     Estimado(a): Adriana Elizabeth Hernández Garcia    I          I     Le informamos que su ticket correspondiente a:    I          I     Por medio del presente te comento que al validar el paso denominado Registro de la Resolución Firmada relativo al recurso:     I         I     RRA 13304/19    I         I     la PNT se queda pasmada y NO APARECEN las ventanas donde se registran las fechas de firma de los comisionados; de tal manera que queda en blanco.     I     Al respecto, te solicito se realicen las gestiones necesarias a efecto de que se pueda validar el paso referido y así estar en condición de cargar las fechas y que pueda ser notificada la resolución.    I     Quedo atenta para cualquier duda o comentario al respecto.    I         I          I     Aplicación: SIGEMI    I     Tipo de Soporte: Correccion de incidencia" u="1"/>
        <s v="Se sustituye el archivo adjunto de la solicitud con folio  0063700352421" u="1"/>
        <s v="    I    Notificación de seguimiento  [  MA0610202003 ]      I         I         I    Estimado(a):                     Adriana Elizabeth Hernández Garcia    I         I    Le informamos que su ticket correspondiente a:    I                       I    Por medio del presente te comento que en el paso denominado Registro de la Resolución Firmada relativo al recurso RRA 04829/20 aparece duplicado el paso.     I    Al respecto, te solicito, si para ello no existe inconveniente, se elimine uno de los dos registros para estar en condición de cargar las fechas y continuar la notificación de la resolución.    I         I    Aplicación:                  SIGEMI    I    Tipo de Soporte:         Quitar duplicado       I    Observaciones:                I         I    Su petición fue atendida    I         I    " u="1"/>
        <s v="Buenos días Memo, ya  detecte la causa del error, te comento que el Sujeto Obligado tiene asociado un calendario llamado TRIBUMAL DE JUSTICIA, este no tiene configurado un horario de atención, lo que provoca que cuando se intente generar el siguiente paso a Selecciona las unidades internas que es Determina Respuesta, no detecte días hábiles en el calendario por lo que no puede ingresar una fecha y en consecuencia tampoco  el paso.    I        I    La solución es configurar el horario de atención en dicho calendario, adjunto imagen del calendario del Tribunal y la del calendario infomex para que lo tomes de referencia.    I        I    Me quedo atenta a tu validación.    I        I    Saludos     I        I    Marina     I        I    Notificación de seguimiento  [  MA1802202004 ]      I        I    Aplicación:                  INFOMEX BCN    I    Tipo de Soporte:         Corrección de error reportado      I    Estatus:                               Concluido.    I        I    " u="1"/>
        <s v="Notificación de seguimiento  [  MA0406202001 ]      I         I         I    Estimado(a):                     RAFAEL GONZALEZ    I         I    Le informamos que su ticket correspondiente a:    I                       I    Reunión con usuarios de Chiapas, para revisar dudas    I        I         I    Aplicación:                  SIGEMI    I    Tipo de Soporte:         Reunión con usuarios      I    Observaciones:                I         I    Su petición fue atendida    I    " u="1"/>
        <s v="Atención y seguimiento a tickets y correos respecto al acceso de usuarios a la PNT.  (Análisis) Eliminación de cuenta de usuarios" u="1"/>
        <s v="Se  testan los datos del folio y se sustituye: 0064100432221" u="1"/>
        <s v="Notificación de seguimiento  [  MA0802202110 ]      I         I         I    Estimado(a):                     Alondra Jiménez Hernández    I         I         I    Le informamos que su ticket correspondiente a:    I                       I    Anexo el registro actualizado del certificado del Titular de la Unidad de Transparencia de la COLEF para su renovación en la Herramienta de Comunicación.     I        I         I    Aplicación:                  HCOM    I    Tipo de Soporte:         CAMBIO DE CERTIFICADO       I    Observaciones:                I         I    Su petición fue atendida    I    " u="1"/>
        <s v="Notificación de seguimiento  [  MA1208202104 ]    I        I    Estimado(a):                Alondra Jiménez Hernández    I        I         I     Le informamos que su ticket correspondiente a:    I                       I        I    Anexo el registro actualizado del certificado del nuevo Titular de la Unidad de Transparencia de CONAMER para que se habilite su acceso en la Herramienta de Comunicación.    I        I         I    Aplicación:                  HCOM    I    Tipo de Soporte:         CAMBIO DE TUT        I    Observaciones:                I         I    Su petición fue atendida    I    " u="1"/>
        <s v="Notificación de seguimiento  [  MA1910202008 ]      I         I         I    Estimado(a):                     Rosalinda Coria Mosqueda    I         I    Le informamos que su ticket correspondiente a:    I                       I        I    Solicito su valioso apoyo para cambiar el medio de comunicación en el recurso RRA 10520/20 , a correo electrónico el cual es: luisenriquehernandez21@outlook.com    I        I         I    Aplicación:                  SIGEMI    I    Tipo de Soporte:         CAMBIO DE MEDIO       I    Observaciones:                I         I    Su petición fue atendida    I    " u="1"/>
        <s v="Validación de diccionarios y etiquetas SIPOT" u="1"/>
        <s v="Se  testan los datos del folio: 0064100813421" u="1"/>
        <s v="Se aplica testado de datos al folio: 0000600041621" u="1"/>
        <s v="Buenas tardes Guillermo, tu petición fue atendida, favor de validar     I        I    Saludos     I        I    Marina Adame Velasco    I        I    Notificación de seguimiento  [  MA1304202003 ]      I        I    Aplicación:                  INFOMEX BCN    I    Tipo de Soporte:         REPORTE DE SOLICITUDES       I    Estatus:                               Concluido.    I        I    " u="1"/>
        <s v="Notificación de seguimiento  [  MA0308202202 ]    I        I        I    Estimado(a):               Leopoldo Alejandro Cruz Vásquez    I     Le informamos que su ticket correspondiente a:    I        I    …renovación de los certificados de acceso a la herramienta de comunicación “HCOM”.    I        I    Aplicación:                  HCOM    I    Tipo de Soporte:        GENERACIÓN DE CERTIFICADO Y RENOVACIÓN EN HCOM  ( 7 )    I        I        I    Observaciones:   Los certificados fueron generados con el nombre del actual titulador registrado en HCOM, se anexa certificados y la relación de certificados con el SO" u="1"/>
        <s v="Se implementan metodos y validaciones adicionales para unificar el historial en respuestas de quejas" u="1"/>
        <s v="Se actualizaron valores en ASIGNACION a dependencia 641" u="1"/>
        <s v="Se sustituye archivo adjunto  del folio:  0002700114621" u="1"/>
        <s v="Notificación de seguimiento  [  MA0408202002 ]      I         I         I    Estimado(a):                     Iván Emmanuel Sánchez Morales    I         I    Le informamos que su ticket correspondiente a:    I                       I    Por conducto del presente solicito su amable ayuda a efecto de regresar el paso de cierre de instrucción en el recurso con  el número RRA 04593/20.    I         I    Lo anterior, toda vez que por un error involuntario, se anexó en la Plataforma Nacional de Transparencia de manera incorrecta, el acuerdo inherente a un recurso diverso (RRA 04383/20).    I          I    Aplicación:                  SIGEMI    I    Tipo de Soporte:         Eliminar cierre de instrucción      I    Observaciones:                I         I    Su petición fue atendida    I    " u="1"/>
        <s v="Incidencias producción Colima y Guerrero" u="1"/>
        <s v="Se aplica testado de datos al folio:  0000700051421 " u="1"/>
        <s v="Ambientación para campus Público versión 2.1" u="1"/>
        <s v="Alta/Baja/Modificación de Sentidos de Resolución" u="1"/>
        <s v="Hola Berenice, lo ideal si sería verlo directamente en el diagrama, porque es más visual y fácil de ubicar, sin embargo no tenemos un ambiente montado para su lectura, por lo que a falta de este hay que buscar las referencias en la base de datos.     I        I    Te comento que revise las solicitudes que se registraron a partir de abril a la fecha, que han seleccionado la prórroga ( anexo relación de solicitudes revisadas)  y en las que no se ha modificado el plazo por base de datos, se están contando 15 días a partir de la fecha de registro de la solicitud, que es lo que tiene definido el proceso     I    " u="1"/>
        <s v="Se cambia la modalidad en la solicitud con folio: 0064101606021" u="1"/>
        <s v="Notificación de seguimiento  [  MA1205202003 ]      I         I         I    Estimado(a):                     Edgar Michel Loaeza Martínez    I         I    Le informamos que su ticket correspondiente a:    I                       I    Por medio del presente solicito su valioso apoyo a efecto de realizar el cambio de certificado del Titular de la Unidad de Transparencia del Servicio a la Navegación en el Espacio Aéreo Mexicano.    I        I         I    Aplicación:                  HCOM    I    Tipo de Soporte:         CAMBIO DE TUT   CERTIFICADO     I    Observaciones:                I         I    Su petición fue atendida    I    " u="1"/>
        <s v="Notificación de seguimiento  [  MA2306202113 ]    I        I    Estimado(a):                Pedro Esquivel Martínez    I        I         I     Le informamos que su ticket correspondiente a:    I                       I     por este medio Anexo los archivos y el registro actualizado del certificado del Titular de la Unidad de Enlace de la “Morena”.  Lo Anterior a fin de que sus accesos sean habilitados en los otros sistemas que administra este Instituto (HCOM).  CAMBIO DE  TITULAR, en cuanto se reciba la atención en HCOM se realizará la actualización de los demás sistemas correspondientes. Se adjunta cuadro descriptivo    I         I    Aplicación:                  HCOM    I    Tipo de Soporte:         CAMBIO DE TUT      I    Observaciones:                I         I    Su petición fue atendida    I    " u="1"/>
        <s v="Notificación de seguimiento  [  MA2806202101 ]    I        I    Estimado(a):                Direccion de Transparencia y Tecnologias    I        I         I     Le informamos que su ticket correspondiente a:    I                       I    RESPALDO SEMANAL DE BASE DE DATOS INFOMEX    I        I         I    Aplicación:                  INFOMEX OAXACA    I    Tipo de Soporte:         ENVÍO DE RESPALDO      I    Observaciones:                I         I    Le informo que  ya se subió el respaldo de su base de datos de esta semana…    I        I        I    http://documentos.inai.org.mx/tmp/infomexOAX_backup_2021-06-28_0800.bak    I        I        I         I    NOTA: El respaldo estará disponible una semana      I    " u="1"/>
        <s v="Notificación de seguimiento  [  MA0903202110 ]      I         I         I    Estimado(a):                     FRANCISCO LIRA    I         I         I    Le informamos que su ticket correspondiente a:    I                       I    un SO nos manda pantallazo sobre datos adjuntos en una solicitud…    I         I    Aplicación:                  INFOMEX NUEVO LEÒN    I    Tipo de Soporte:         REVISAR CONFIGURACIÒN       I    Observaciones:                I         I    Se debe revisar la plantilla correspondiente, modulo plantillas, plantilla La solicitud corresponde a otra dep. (solo lectura) - R    I         I    Se adjunta manual para referencia de modificacion de plantillas    I          I                Favor de validar.    I    " u="1"/>
        <s v="Soporte Nayarit" u="1"/>
        <s v="    I    Notificación de seguimiento  [  MA1110202006 ]      I         I         I    Estimado(a):                     Martha Rubí Zaragoza Mora    I         I         I    Le informamos que su ticket correspondiente a:    I                       I    Espero se encuentre muy bien. El presente correo es para pedir su amable apoyo para el ajuste de términos de los folios debido al Acuerdo que enviaron los siguientes Sujetos Obligados a la COTAI por el cual se amplían la fecha del 01 al 30 de noviembre de 2020; debiéndose considerar los días comprendidos dentro de dicho periodo como inhábiles para evitar la propagación del coronavirus COVID-19.    I         I    Aplicación:                  INFOMEX NUEVO LEÓN    I    Tipo de Soporte:         AJUSTE DE PLAZOS       I    Observaciones:                I         I    Su petición fue atendida    I         I    " u="1"/>
        <s v="Se testan los datos de la solicitud con folio: 0064101643021" u="1"/>
        <s v="Se aplica eliminación de formato de pago: 0063700283918" u="1"/>
        <s v="Notificación de seguimiento  [  MA1003202004 ]      I         I         I    Estimado(a):                     Laura Mónica Segovia Tellez    I         I    Le informamos que su ticket correspondiente a:    I                       I    Con el gusto de saludarlos, solicito su amable apoyo a fin de que sea regresado el paso del RRA 02732/20 a admitir/prevenir/desechar. Cabe hacer mención que las partes notificadas ya saben que se va a sustituir el acuerdo,     I        I         I    Aplicación:                  SIGEMI    I    Tipo de Soporte:         REGRESO DE PASOS      I    Observaciones:                I         I    Su petición fue atendida    I    " u="1"/>
        <s v="Notificación de seguimiento  [  MA2310202004 ]      I         I         I    Estimado(a):                      Iván Emmanuel Sánchez Morales    I         I    Le informamos que su ticket correspondiente a:    I                       I    Regresar el paso de ampliación correspondiente al expediente RRA 02533/20.    I        I    Lo anterior en virtud de que por un error involuntario, no adjunte el acuerdo respectivo a la notificación de ampliación correspondiente.    I         I    Aplicación:                  SIGEMI    I    Tipo de Soporte:         REGRESO DE PASOS      I    Observaciones:                I         I    Su petición fue atendida    I    " u="1"/>
        <s v="Notificación de seguimiento  [  MA2602202005 ]      I         I         I    Estimado(a):                     Lizbeth Adriana Cabrera Ortega    I         I    Le informamos que su ticket correspondiente a:    I                       I    Solicito de tu apoyo ya que al hacer el turno de recursos de datos personales, turne un recurso al  Comisionado Salas. Es el RRD 392/20, podrías hacerme favor de anular la acción para que pueda turnarlo al Comisionado Acuña.    I         I    Aplicación:                  SIGEMI    I    Tipo de Soporte:         Eliminación de Turno       I    Observaciones:                I         I    Su petición fue atendida    I    " u="1"/>
        <s v="Se renombra el expediente del caso 5001670." u="1"/>
        <s v="Se aplica testado de datos al folio:  0064103363420" u="1"/>
        <s v="Se realiza baja de  Sujeto Obligado " u="1"/>
        <s v="    I    Buenas tardes Martha, tu petición fue atendida, favor de validar     I        I    Saludos     I        I    Marina Adame Velasco    I        I    Notificación de seguimiento  [  MA1008202010 ]      I        I    Aplicación:                  INFOMEX NUEVO LEÓN    I    Tipo de Soporte:         AJUSTE DE PLAZOS       I    Estatus:                               Concluido.    I    " u="1"/>
        <s v="    I    Buenas tardes Martha, tu petición fue atendida, favor de validar     I        I    Saludos     I        I    Marina Adame Velasco    I        I    Notificación de seguimiento  [  MA1405202001 ]      I        I    Aplicación:                  INFOMEX NUEVO LEÓN     I    Tipo de Soporte:         AJUSTE DE PLAZO       I    Estatus:                               Concluido.    I    " u="1"/>
        <s v="    I    Buenas tardes Martha, tu petición fue atendida, favor de validar     I        I    Saludos     I        I    Marina Adame Velasco    I        I    Notificación de seguimiento  [  MA2704202008 ]      I        I    Aplicación:                  INFOMEX NUEVO LEÓN    I    Tipo de Soporte:         AJUSTE DE PLAZOS       I    Estatus:                               Concluido.    I    " u="1"/>
        <s v="Notificación de seguimiento  [  MA1207202201 ]    I        I        I    Estimado(a):               David Mondragón Centeno    I        I     Le informamos que su ticket correspondiente a:    I        I    ACTUALIZACIÓN DEL CERTIFICADO DE LA HCOM DEL SUJETO OBLIGADO 60240 SINDICATO ÚNICO DE TRABAJADORES DEL INSTITUTO NACIONAL DE CIENCIAS MÉDICAS Y NUTRICIÓN “SALVADOR ZUBIRÁN”, EN VIRTUD DE QUE YA SE ENCUENTRA VENCIDO, POR LO QUE MUCHO AGRADECERÉ LA PRONTA REMISIÓN DE DICHO CERTIFICADO ACTUALIZADO.     I         I        I    Aplicación:                  HCOM    I    Tipo de Soporte:        GENERACIÓN DE CERTIFICADO Y ACTUALIZACIÓN EN HCOM      I    Observaciones:                I         I    Su petición fue atendida, se cambio la contraseña, ya que no permitía la actualización en HCOM, quedando la siguiente hcom2022, sin embargo si la usuario requiere el anterior, favor de enviar el dato para realizar el cambio    I        I        I    Favor de validar.    I         I    Estatus:                               Concluido    I    " u="1"/>
        <s v="Notificación de seguimiento  [  MA2002202001 ]      I         I         I    Estimado(a):                     Lizbeth Adriana Cabrera Ortega    I         I    Le informamos que su ticket correspondiente a:    I                       I    SOLCITIO DE SU AMABLE APOYO A FIN DE MODIFICAR LA FECHA DE INTERPOSICIÓN AL DÍA 19 DE FEBRERO    I        I         I    Aplicación:                  SIGEMI    I    Tipo de Soporte:         Actualización de  fechas de interposición    I    Observaciones:                I         I    Su petición fue atendida    I    " u="1"/>
        <s v="Notificación de seguimiento  [  MA2505202134 ]    I        I        I    Estimado(a):                Rosalinda Coria Mosqueda    I        I         I     Le informamos que su ticket correspondiente a:    I                       I    regresar a la actividad de ampliación el recurso RRA 3232/21, toda vez que por error adjunte otro archivo y no así la ampliación.    I         I    Aplicación:                  SIGEMI    I    Tipo de Soporte:         Eliminar ampliación    I    Observaciones:                I         I    Su petición fue atendida    I    " u="1"/>
        <s v="Notificación de seguimiento  [  MA2511202003 ]      I         I         I    Estimado(a):                     Alondra Jiménez Hernández    I         I         I    Le informamos que su ticket correspondiente a:    I                       I    Se anexa el certificado del Titular de la Unidad de Transparencia para su renovación en la Herramienta de Comunicación    I         I    Aplicación:                  HCOM    I    Tipo de Soporte:         CAMBIO DE CERTIFICADO     I    Observaciones:                I         I    Su petición fue atendida    I    " u="1"/>
        <s v="Se cambia el tipo de solicitud del folio: 0000700162021 Y 0000700162121" u="1"/>
        <s v="Notificación de seguimiento  [  MA2109202006  ]      I         I         I    Estimado(a):                     JUAN PEDRO RAMIREZ FLORES    I         I    Le informamos que su ticket correspondiente a:    I                       I    debido a un error involuntario se adjunto el acuerdo incorrecto al expediente RRAIP-876/2020, siendo el correcto el que se adjunta a este correo.    I    Me puede apoyar con la orientación o en su caso la sustitución del archivo correcto en la PNT.    I         I    Aplicación:                  SIGEMI    I    Tipo de Soporte:         Corrección de acuerdo     I    Observaciones:                I         I    Su petición fue atendida    I    " u="1"/>
        <s v="Notificación de seguimiento [ MA1301202002 ]     I          I          I     Estimado(a): Pedro Esquivel Martínez    I          I     Le informamos que su ticket correspondiente a:    I          I     Anexo el registro actualizado del certificado del Titular de la Unidad de Enlace del “INSTITUTO NACIONAL DE LAS MUJERES”.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CAMBIO DE CERTIFICADO" u="1"/>
        <s v="Notificación de seguimiento  [  MA1409202001 ]      I         I         I    Estimado(a):                     Lorena Martínez González    I         I    Le informamos que su ticket correspondiente a:    I                       I    Buen día, por medio del presente solicito su apoyo para que, respecto del recurso de revisión  RRA 09133/20, se realicen las actuaciones pertinentes en la Plataforma Nacional de Transparencia a fin de registrar como medio de notificación del recurrente, el correo electrónico: carlospadi@icloud.com     I        I    Lo anterior, toda vez que el particular señaló el mismo como medio de notificación en su recurso de revisión.     I         I    Aplicación:                  SIGEMI    I    Tipo de Soporte:         CAMBIO DE MEDIO       I    Observaciones:                I         I    Su petición fue atendida    I    " u="1"/>
        <s v="Notificación de seguimiento  [  MA2402202002 ]      I         I         I    Estimado(a):                     Moisés Guzmán Arias    I         I    Le informamos que su ticket correspondiente a:    I                       I    Estimados amigos: Por este medio me permito desearles un excelente inicio de semana y aprovechar para pedir su enorme apoyo para realizar el retroceso del paso de un recurso con número RR-0053/2020 ya que por error se desahogó la prevención dándole cumplimiento y lo que se requiere es que dicho paso se deshaga para que la ponencia pueda indicar que NO SE DIO CUMPLIMIENTO y pueda entonces hacer el desechamiento.    I        I        I         I    Aplicación:                  SIGEMI    I    Tipo de Soporte:         REGRESO DE PASOS      I    Observaciones:                I         I    Su petición fue atendida    I    " u="1"/>
        <s v="Notificación de seguimiento  [  MA2510202106 ]    I        I    Estimado(a):                 Pedro Esquivel Martínez    I         I     Le informamos que su ticket correspondiente a:    I                       I        I     por este medio Anexo el registro actualizado del certificado del Titular de la Unidad de Enlace de la “Patronato de Obras e Instalaciones del Instituto Politécnico Nacional”.  Lo Anterior a fin de que sus accesos sean habilitados en los otros sistemas que administra este Instituto (HCOM).  CAMBIO DE  TITULAR, en cuanto se reciba la atención en HCOM se realizará la actualización de los demás sistemas correspondientes     I        I        I    Aplicación:                  HCOM              I    Tipo de Soporte:         CAMBIO DE TUT       I    Observaciones:                I         I    Su petición fue atendida    I    " u="1"/>
        <s v="Se cambia url de consumo de servicios" u="1"/>
        <s v="Notificación de seguimiento  [  MA1412202008 ]      I         I         I    Estimado(a):                     Berenice Hernández Sumano    I        I         I    Le informamos que su ticket correspondiente a:    I                       I    solicito a través de este medio tengan a bien aplicar el ajuste a las fechas de vencimiento de las solicitudes del sujeto obligado SERVICIOS DE SALUD en la base de datos del Sistema Infomex Oaxaca    I         I    Aplicación:                  INFOMEX OAXACA    I    Tipo de Soporte:         AJUSTE DE PLAZOS        I    " u="1"/>
        <s v="Transferencia de conocimiento de SAP - DGTI    I    Actualización de material de transrefencia" u="1"/>
        <s v="SUSTITUCIÓN TEXTO Y ADJUNTO EN SOLICITUD DE INFORMACION CON FOLIO 0000600137121" u="1"/>
        <s v="Se testan los datos de la solicitud con folio: 0064101614021" u="1"/>
        <s v="Feedback de tiendas (play store)" u="1"/>
        <s v="Corrección incidencia de registro de usuario" u="1"/>
        <s v="Actualización de fechas limites de solicitudes de la dependencia IMSS" u="1"/>
        <s v="Notificación de seguimiento  [  MA1102202105 ]      I         I         I    Estimado(a):                     Berenice Hernández Sumano    I         I     Le informamos que su ticket correspondiente a: ajustar las fechas de caducidad de los folios siguientes, así mismo solicito se borren los archivos PDF de los acuses generados para los mismos folios.    I                   I         I    Aplicación:                  INFOMEX OAXACA    I    Tipo de Soporte:         AJUSTE DE PLAZOS       I    Observaciones:                I         I    Su petición fue atendida    I    " u="1"/>
        <s v="Notificación de seguimiento  [  MA1904202108 ]      I         I         I    Estimado(a):                     Moisés Guzmán Arias    I         I         I    Le informamos que su ticket correspondiente a:    I                       I    ampliar el término para prevenirlo    I         I    01031120 estableciendo el término al día 20/04/2021 (19 de abril de 2021) (CEASPUE)    I         I    Aplicación:                  INFOMEX FEDERAL    I    Tipo de Soporte:         AJUSTE DE FECHA       I    Observaciones:                I         I    Su petición fue atendida    I    " u="1"/>
        <s v="Notificación de seguimiento  [  MA1204202106 ]      I         I         I    Estimado(a):                     Alondra Jiménez Hernández    I         I         I    Le informamos que su ticket correspondiente a:    I                       I    Anexo el registro actualizado del certificado del nuevo Titular de la Unidad de Transparencia de la AGENCIA NACIONAL DE SEGURIDAD INDUSTRIAL Y DE PROTECCIÓN AL MEDIO AMBIENTE DEL SECTOR HIDROCARBUROS para que su acceso sea habilitado en la Herramienta de Comunicación.     I         I    Aplicación:                  HCOM    I    Tipo de Soporte:         CAMBIO TUT       I    Observaciones:                I         I    Su petición fue atendida    I    " u="1"/>
        <s v="Crear módulo de institución de pertenencia" u="1"/>
        <s v="Notificación de seguimiento  [  MA0402202013 ]      I         I         I    Estimado(a):                     Tania Lizbeth Valderrama Lumpaque    I         I    Le informamos que su ticket correspondiente a:    I                       I    Por medio del presente, solicito su atenta colaboración relacionado con el recurso RRA 00063/20 derivado de que al momento de notificar el cierre de instrucción la Plataforma Nacional de Transparencia no permite visualizar la opción de dicho paso.    I        I    En razón de ello es que se requiere su atenta colaboración, a efecto de poder notificar el cierre de instrucción de dicho recurso al sujeto obligado y recurrente.     I        I         I    Aplicación:                  SIGEMI    I    Tipo de Soporte:         CAMBIO DE ESTATUS     I    Observaciones:                I         I    Su petición fue atendida    I    " u="1"/>
        <s v="Carga de resoluciones del pleno" u="1"/>
        <s v="Se Construccion json de pruebas y modelo para resultados busqueda Contratos" u="1"/>
        <s v="Hola Berenice, ya se subió el respaldo de su base de datos de esta semana…    I        I        I    http://documentos.inai.org.mx/tmp/infomexOAX_backup_2020-10-05_0800.bak    I        I        I    NOTA: El respaldo estará disponible una semana      I         I         I    Saludos    I        I                                                                                                                                                                                    I    Marina Adame Velasco    I         I                                                                                                                                                                                                                     I    " u="1"/>
        <s v="Hola Berenice, ya se subió el respaldo de su base de datos de esta semana…    I        I        I    http://documentos.inai.org.mx/tmp/infomexOAX_backup_2020-10-12_0800.bak    I        I        I    NOTA: El respaldo estará disponible una semana      I         I         I    Saludos    I        I                                                                                                                                                                                    I    Marina Adame Velasco    I         I                                                                                                                                                                                                                     I    " u="1"/>
        <s v="Hola Berenice, ya se subió el respaldo de su base de datos de esta semana…    I        I        I    http://documentos.inai.org.mx/tmp/infomexOAX_backup_2020-10-19_0800.bak    I        I        I    NOTA: El respaldo estará disponible una semana      I         I         I    Saludos    I        I                                                                                                                                                                                    I    Marina Adame Velasco    I         I                                                                                                                                                                                                                     I    " u="1"/>
        <s v="Hola Berenice, ya se subió el respaldo de su base de datos de esta semana…    I        I        I    http://documentos.inai.org.mx/tmp/infomexOAX_backup_2020-10-26_0800.bak    I        I        I    NOTA: El respaldo estará disponible una semana      I         I         I    Saludos    I        I                                                                                                                                                                                    I    Marina Adame Velasco    I         I                                                                                                                                                                                                                     I    " u="1"/>
        <s v="Hola Berenice, ya se subió el respaldo de su base de datos de esta semana…    I        I        I    http://documentos.inai.org.mx/tmp/infomexOAX_backup_2020-11-02_0800.bak    I        I        I    NOTA: El respaldo estará disponible una semana      I         I         I    Saludos    I        I                                                                                                                                                                                    I    Marina Adame Velasco    I         I                                                                                                                                                                                                                     I    " u="1"/>
        <s v="Hola Berenice, ya se subió el respaldo de su base de datos de esta semana…    I        I        I    http://documentos.inai.org.mx/tmp/infomexOAX_backup_2020-11-09_0800.bak    I        I        I    NOTA: El respaldo estará disponible una semana      I         I         I    Saludos    I        I                                                                                                                                                                                    I    Marina Adame Velasco    I         I                                                                                                                                                                                                                     I    " u="1"/>
        <s v="Hola Berenice, ya se subió el respaldo de su base de datos de esta semana…    I        I        I    http://documentos.inai.org.mx/tmp/infomexOAX_backup_2020-11-16_0800.bak    I        I        I    NOTA: El respaldo estará disponible una semana      I         I         I    Saludos    I        I                                                                                                                                                                                    I    Marina Adame Velasco    I         I                                                                                                                                                                                                                     I    " u="1"/>
        <s v="Hola Berenice, ya se subió el respaldo de su base de datos de esta semana…    I        I        I    http://documentos.inai.org.mx/tmp/infomexOAX_backup_2020-11-23_0800.bak    I        I        I    NOTA: El respaldo estará disponible una semana      I         I         I    Saludos    I        I                                                                                                                                                                                    I    Marina Adame Velasco    I         I                                                                                                                                                                                                                     I    " u="1"/>
        <s v="Notificación de seguimiento  [  MA2402202104 ]      I         I         I    Estimado(a):                     Alondra Jiménez Hernández    I         I         I    Le informamos que su ticket correspondiente a:    I                       I    Anexo el registro actualizado del certificado del Titular de la Unidad de Transparencia del CENTRO DE INVESTIGACIÓN CIENTÍFICA DE YUCATÁN A. C. para su renovación en la Herramienta de Comunicación.     I        I        I         I    Aplicación:                  HCOM    I    Tipo de Soporte:         RENOVAR CERTIFICADO       I    " u="1"/>
        <s v="Se reviso el documento con la solicitud del requerimiento para el microsiito del INA" u="1"/>
        <s v="Respaldo campus público" u="1"/>
        <s v="Soporte Tabasco" u="1"/>
        <s v="Se testan los datos y se sustituye el archivo adjunto de la solicitud con folio  0064101634221" u="1"/>
        <s v="Notificación de seguimiento  [  MA1404202002 ]      I         I         I    Estimado(a):                     Rosalinda Coria Mosqueda    I         I    Le informamos que su ticket correspondiente a:    I                       I        I    Agradeceré su apoyo para regresar a la actividad de admitir/prevenir el recurso RRA 3560/20, toda vez que generé una admisión, debiendo ser prevención.    I        I         I    Aplicación:                  SIGEMI    I    Tipo de Soporte:         REGRESO DE PASOS      I    Observaciones:                I         I    Su petición fue atendida    I    " u="1"/>
        <s v="Notificación de seguimiento  [  MA1404202117 ]      I         I         I    Estimado(a):                     Alondra Jiménez Hernández    I         I         I    Le informamos que su ticket correspondiente a:    I                       I    Anexo el registro actualizado del certificado del Titular de la Unidad de Transparencia del INEGI, para su renovación en la Herramienta de Comunicación    I        I    Aplicación:                  HCOM    I    Tipo de Soporte:         RENOVACION DE CERTIFICADO       I    Observaciones:                I         I    Su petición fue atendida    I    " u="1"/>
        <s v="Notificación de seguimiento  [  MA2806202108 ]    I        I    Estimado(a):                Edgar Michel Loaeza Martínez    I        I         I     Le informamos que su ticket correspondiente a:    I                       I    Solicito su apoyo para poder dar de alta lo certificados que se adjuntan en el sistema hcom, que corresponden a los indirectos de la SSPC así como de la misma SSPC.    I        I         I    Aplicación:                  HCOM    I    Tipo de Soporte:         CAMBIO DE TUT ( 4)      I    Observaciones:                I         I    Su petición fue atendida    I    " u="1"/>
        <s v="Notificación de seguimiento  [  MA1902202008 ]      I         I         I    Estimado(a):                     Laura Mónica Segovia Tellez    I         I    Le informamos que su ticket correspondiente a:    I                       I    Solicito su amable apoyo a fin de que sea cambiado el medio de notificación del recurso de revisión RRA 01747/20 de domicilio físico a correo electrónico el cual es el siguiente: trujanogustavo@gmail.com ya que en el escrito libre informa este como medio de notificación     I        I         I    Aplicación:                  SIGEMI    I    Tipo de Soporte:         CAMBIO DE MEDIO Y CORREO       I    Observaciones:                I         I    Su petición fue atendida    I    " u="1"/>
        <s v="Actualización de titulares Fideicomisos SEP" u="1"/>
        <s v="Se desechan solicitudes de manera manual:  0110000116019 y 0110000116119." u="1"/>
        <s v="Respaldar Curso 3 de Aliados INAI  de la plataforma anterior y restaurar en plataforma actual " u="1"/>
        <s v="Analisis de funcionalidad de Administracion de Usuarios " u="1"/>
        <s v="    I    Notificación de seguimiento  [  MA1808202006 ]      I         I         I    Estimado(a):                     HUGO GOVI    I         I    Le informamos que su ticket correspondiente a:    I                       I    Por este medio envio la liga de suspensión por COVID-19 del  Instituto de Transparencia, Acceso a la Información y Protección de Datos Personales del Estado de Chiapas    I        I    https://itaipchiapas.org.mx/emergente/sus17082020.pdf    I    Para los efectos pertinentes en la PNT y el SICOM-SIGEMI    I        I         I    Aplicación:                  SIGEMI    I    Tipo de Soporte:         REVISION DE PLAZOS       I    Observaciones:                I    " u="1"/>
        <s v="Notificación de seguimiento  [  MA0610202201 ]    I    Estimado(a):                Alondra Jiménez Hernández     I     Le informamos que su ticket correspondiente a:    I    Debido al cambio de responsable de transparencia, les pido sea generado un certificado genérico para cada sujeto obligado enlistados y que con el mismo sea habilitado en la HCOM. Los datos son los siguientes:    I    Clave_x0009_Sujeto obligado_x0009_Siglas HCOM_x0009_Nombre del Titular de la Unidad de Transparencia_x0009_Correo electrónico_x0009_Contraseña    I    06801_x0009_Fideicomiso Irrevocable de Inversión y Administración para el Pago de Pensiones y Jubilaciones, F/10045_x0009_BANSEFI F1_x0009_David Topete Salmorán_x0009_david.topete@bancodelbienestar.gob.mx    I    Ver archivo adjunto    I    06802_x0009_Fideicomiso de Administración para el Otorgamiento y Primas de Antigüedad_x0009_BANSEFI F2_x0009_David Topete Salmorán_x0009_david.topete@bancodelbienestar.gob.mx    I        I    06804_x0009_Fondo de Supervisión Auxiliar de Sociedades Cooperativas de Ahorro y Préstamo y de Protección a sus Ahorradores. F/10217_x0009_BANSEFI F4_x0009_David Topete Salmorán_x0009_david.topete@bancodelbienestar.gob.mx    I        I    06805_x0009_Fondo de Protección de Sociedades Financieras Populares y de Protección a sus Ahorradores (F/10216)_x0009_BANSEFI F5_x0009_David Topete Salmorán_x0009_david.topete@bancodelbienestar.gob.mx    I        I         I    Aplicación:                  HCOM    I    Tipo de Soporte        GENERACIÓN DE CERTIFICADOS Y  CAMBIOS DE TUT  ( 4 ) " u="1"/>
        <s v="Notificación de seguimiento [ MA2301202003 ]     I          I          I     Estimado(a): Marco Antonio Pereyra Rodríguez    I          I     Le informamos que su ticket correspondiente a:    I          I     Sirva el presente para enviarte un cordial saludo, al mismo tiempo hago de tu conocimiento que el día de ayer por la tarde se envió un requerimiento a los Sujetos Obligados de esta Dirección General de Enlace, pero el sistema no arrojaba el acuse correspondiente y se volvía a habilitar el botón de envío. Fue en el tercer intento donde ya se pudo obtener el acuse. Sin embargo, me he percatado que el requerimiento se envió más de una vez.     I         I     En virtud de lo anterior, solicito de manera atenta y respetuosa tu apoyo para dar de baja de la Herramienta de Comunicación los siguientes requerimientos:    I         I     • IFAI-REQ-000184-2020    I     • IFAI-REQ-000185-2020    I         I          I     Aplicación: HCOM    I     Tipo de Soporte: ELIMINAR REQUERIMIENTOS     I     Observaciones:     I          I     Su petición fue atendida    I          I         I          I      Favor de validar.    I          I     Estatus: Concluido." u="1"/>
        <s v="Se aplica testado de datos personales: 1117100030920" u="1"/>
        <s v="Notificación de seguimiento  [  MA1808202002 ]      I         I         I    Estimado(a):                     Lizbeth Adriana Cabrera Ortega    I         I    Le informamos que su ticket correspondiente a:    I                       I    Pido tu apoyo a fin de retrotraer lo realizado.    I        I    para que nuevamente en este recurso obre la fecha de interposición el 21 de agosto.    I        I        I         I    Aplicación:                  SIGEMI    I    Tipo de Soporte:         cambio de fecha de interposición      I    Observaciones:                I         I    Su petición fue atendida    I    " u="1"/>
        <s v="Se aplica sustitución de archivo al folio: 0110000016420." u="1"/>
        <s v="Notificación de seguimiento  [  MA1709202009 ]      I         I         I    Estimado(a):                     Alma Lizbeth Peguero Rivera    I         I    Le informamos que su ticket correspondiente a:    I                       I    Por medio de presente, solicito de la manera más atenta, su apoyo para retroceder los pasos en el sistema SIGEMI-SICOM en la PNT  del siguiente asunto RRA 8112 JRV hasta la actividad “Registrar información de la sesión del pleno”; sin más por el momento, quedo en espera de sus comentarios.    I        I        I         I    Aplicación:                  SIGEMI    I    Tipo de Soporte:         REGRESO DE PASOS      I    Observaciones:                I         I    Su petición fue atendida    I    " u="1"/>
        <s v="Se  testan los datos del folio: 0064101362321" u="1"/>
        <s v="Notificación de seguimiento  [  MA1711202201 ]    I        I    Estimado(a):                Edgar Michel Loaeza Martínez    I        I        I     Le informamos que su ticket correspondiente a:    I        I        I    Estimados solicito su apoyo para que dichos certificados sean sustituidos en el sistema Hcom.    I        I    Para tal efecto adjunto base de datos y certificado que amablemente me generaron e hicieron llegar.    I        I    Clave_x0009_Dependencia/entidad_x0009_Titular de la unidad de transparencia actual    I    08001_x0009_Comité Nacional para el Desarrollo Sustentable de la Caña de Azúcar (*)_x0009_Lic. Abraham González Negrete    I    08002_x0009_Fondo de Empresas Expropiadas del Sector Azucarero (*)_x0009_Lic. Abraham González Negrete    I        I         I        I    Aplicación:                 HCOM    I    Tipo de Soporte         ACTUALIZACIÓN DE CERTIFICADOS      I    Su petición fue atendida    I    " u="1"/>
        <s v="Capacitación SISAI 2.0 " u="1"/>
        <s v="Cuestionario Interactivo" u="1"/>
        <s v="Mapeo rutas de cada portlet en la nueva en platilla PNT" u="1"/>
        <s v="Se testan datos del folio: 1816400217921 " u="1"/>
        <s v="Atención a las mejoras u observaciones realizadas por los usuarios que probaron la aplicaicón" u="1"/>
        <s v="Revisión y análisis del módulo eliminacion de asigacion de solicitudes" u="1"/>
        <s v="Notificación de seguimiento  [  MA2903202102 ]      I         I         I    Estimado(a):                     BERENICE HERNÁNDEZ SUMANO    I          I    Le informamos que su ticket correspondiente a:    I                       I    RESPALDO SEMANAL DE LA BASE DE DATOS INFOMEX    I         I    Aplicación:                  INFOMEX OAXACA    I    Tipo de Soporte:         RESPALDO       I    Observaciones:                I         I    Su petición fue atendida, se subió el respaldo de su base de datos de esta semana…    I        I        I    http://documentos.inai.org.mx/tmp/infomexOAX_backup_2021-03-29_0800.bak    I        I    " u="1"/>
        <s v="Ejecución de OT 3 Campus Privada" u="1"/>
        <s v="Validación de acceso a la información sobre los JSON compartidos para SIPOT " u="1"/>
        <s v="Se  testan los datos del folio: 0064101851921" u="1"/>
        <s v="Revisión y análisis de los modulos de usuarios " u="1"/>
        <s v="Notificación de seguimiento  [  MA1811202004 ]      I         I         I    Estimado(a):                     Pedro Esquivel Martínez    I         I         I    Le informamos que su ticket correspondiente a:    I                       I    por este medio solicito tu valioso apoyo para realizar el cambio de contraseña para el S.O. “Lotería Nacional para la Asistencia Pública” en el HCOM    I        I    contraseña: hcom074ty7    I        I         I    Aplicación:                  HCOM    I    Tipo de Soporte:         CAMBIO DE CONTRASEÑA     I    Observaciones:                I         I    Su petición fue atendida    I    " u="1"/>
        <s v="Notificación de seguimiento  [  MA2003202006 ]      I         I         I    Estimado(a):                     Alondra Jiménez Hernández    I         I    Le informamos que su ticket correspondiente a:    I                       I    Anexo el registro actualizado del certificado del Titular de la Unidad de Transparencia de API VERACRUZ para su renovación en la Herramienta de Comunicación.    I        I         I    Aplicación:                  HCOM    I    Tipo de Soporte:         CAMBIO DE CERTIFICADO       I    Observaciones:                I         I    Su petición fue atendida    I         I        I    " u="1"/>
        <s v="Generar certificados para SO Fideicomisos IMSS" u="1"/>
        <s v="Se solicita adjuntar el archivo de la solicitud: 0210000056420." u="1"/>
        <s v="Reunion de trabajo SISAI 2.0 " u="1"/>
        <s v="Notificación de seguimiento [ MA2201202007 ]     I          I          I     Estimado(a): Pedro Esquivel Martínez    I          I     Le informamos que su ticket correspondiente a:    I          I     Anexo el registro actualizado del certificado del Titular de la Unidad de Enlace del “COLEGIO DE BACHILLERES”. Lo anterior a fin de que sus accesos sean habilitados en los otros sistemas que administra este Instituto (HCOM). CAMBIO DE CERTIFICADO, en cuanto se reciba la atención en HCOM se realizará la actualización de los demás sistemas correspondientes.    I          I     Aplicación: SIGEMI    I     Tipo de Soporte: REGRESO DE PASOS" u="1"/>
        <s v="Notificación de seguimiento  [  MA0103202105 ]      I         I         I    Estimado(a):                     ALAN GARCÍA    I          I    Le informamos que su ticket correspondiente a:    I                       I    RESPALDO SEMANAL DE LA BASE DE DATOS INFOMEX    I         I    Aplicación:                  INFOMEX TLAXCALA    I    Tipo de Soporte:         RESPALDO       I    Observaciones:                I         I    Su petición fue atendida, se subió el respaldo de su base de datos de esta semana…    I        I        I    http://documentos.inai.org.mx/tmp/infomex_tlaxcala_backup_2021-03-01_0800.bak    I        I        I    NOTA: El respaldo estará disponible una semana      I        I          I                Favor de validar.    I         I    Estatus:                               Concluido.    I        I         I    Saludos Cordiales    I         I    Marina Adame Velasco                                                                                              I    " u="1"/>
        <s v="Notificación de seguimiento  [  MA2906202007 ]      I         I         I    Estimado(a):                     Rosalinda Coria Mosqueda    I         I    Le informamos que su ticket correspondiente a:    I                       I         I    Agradeceré su apoyo para solicitar el cambio de medio de notificación a los recursos RRA 06000/20 y RRA 06365/20, en virtud de que el recurrente en su escrito libre solicita como medio de comunicación domicilio.    I         I    Aplicación:                  SIGEMI    I    Tipo de Soporte:         CAMBIO DE MEDIO ( 2)       I    Observaciones:                I         I    Su petición fue atendida    I    " u="1"/>
        <s v="Notificación de seguimiento  [  MA1107202203 ]    I        I        I    Estimado(a):               Edgar Michel Loaeza Martínez    I        I     Le informamos que su ticket correspondiente a:    I        I    Por medio del presente solicito su valioso apoyo a efecto de realizar cambio Titular de la Unidad de Transparencia de Servicios a la Navegación en el Espacio Aéreo Mexicano, lo anterior, en virtud de que, se realizaron cambios en la UT.    I        I    Para tal efecto, anexo al presente el certificado correspondiente, cédula de registro y nombramiento, lo anterior, a fin de que sus accesos sean habilitados en los sistemas que administra este Instituto (HCOM).      I        I        I        I    Aplicación:                  HCOM    I    Tipo de Soporte:         CAMBIO DE TUT  " u="1"/>
        <s v="Notificación de seguimiento  [  MA1409202006 ]      I         I         I    Estimado(a):                     Alma Lizbeth Peguero Rivera    I         I    Le informamos que su ticket correspondiente a:    I                       I        I    Por medio de presente, solicito de la manera más atenta, su apoyo para retroceder los pasos en el sistema SIGEMI-SICOM en la PNT de los siguientes asuntos RRA 05229/20 OMGF y RRA 06952 JRV hasta la actividad “Registrar información de la sesión del pleno”; sin más por el momento, quedo en espera de sus comentarios.    I         I        I         I    Aplicación:                  SIGEMI    I    Tipo de Soporte:         REGRESO DE PASOS  (2)    I    Observaciones:                I         I    Su petición fue atendida    I    " u="1"/>
        <s v="Notificación de seguimiento  [  MA1708202002 ]      I         I         I    Estimado(a):                     Laura Mónica Segovia Téllez    I         I    Le informamos que su ticket correspondiente a:    I                       I    Espero que se encuentren muy bien ustedes y sus familias, en otras cosas solicito su amable apoyo a fin de que sea cambiado el correo electrónico del particular del recurso de revisión RRA 08102/20, ya que en su escrito libre informo de un correo diferente al que se encuentra en la PNT    I    El cual es montsequintanaesteban@gmail.com    I        I         I    Aplicación:                  SIGEMI    I    Tipo de Soporte:         CAMBIO DE MEDIO       I    Observaciones:                I         I    Su petición fue atendida    I    " u="1"/>
        <s v="Notificación de seguimiento  [  MA1906202005 ]      I         I         I    Estimado(a):                     Pedro Esquivel Martínez    I         I    Le informamos que su ticket correspondiente a:    I        I    el cambio de certificado para los Fideicomisos a cargo de CONACYT; se anexan certificados    I        I                       I         I    Aplicación:                  HCOM    I    Tipo de Soporte:         CAMBIO TUT   (4)    I    " u="1"/>
        <s v="Notificación de seguimiento  [  MA0711202204 ]    I        I    Estimado(a):                Ricardo González Cano    I        I     Le informamos que su ticket correspondiente a:    I        I        I    En seguimiento a los correos previos, solicito su valioso apoyo para asignar en la Herramienta de Comunicación los  certificados que adjunto al presente, para tal efecto, proporciono a continuación los datos de los sujetos obligados en cuestión:    I    Clave Única_x0009_Sujeto Obligado_x0009_Nombre_x0009_Correo electrónico_x0009_Contraseña    I    HCOM    I    60263_x0009_Sindicato Independiente de Trabajadores Académicos de Oaxaca, SITAC-OAX_x0009_Liliana Kaly Gómez Ramírez_x0009_grupositac039@gmail.com    I    hcom2022    I        I        I    Aplicación:                 HCOM    I    Tipo de Soporte        GENERACIÓN DE CERTIFICADO Y ACTUALIZACIÓN EN HCOM" u="1"/>
        <s v="Creación de página Comunicados 2020" u="1"/>
        <s v="Se sustituye archivo adjunto del folio: 0064100520320." u="1"/>
        <s v="Ajustes a datos abiertos" u="1"/>
        <s v="Integración de validación para la carga de Rol de Administrador general en migración de usuariosService para obtener Rol jerárquico" u="1"/>
        <s v="Notificación de seguimiento  [  MA1506202006 ]      I         I         I    Estimado(a):                     Moisés Guzmán Arias    I         I    Le informamos que su ticket correspondiente a:    I                       I        I    1. SICOM (Plataforma Nacional de Transparencia    I    En este caso se llevó a cabo la adecuación  del calendario el día 19 de marzo a las 16:05 hrs., en este caso les quiero pedir su apoyo para que se lleve a cabo la adecuación de las fechas de todos los recursos de revisión que se encuentran en proceso de sustanciación (incluyendo la modificación del envío de alegatos y manifestaciones) y procesos de cumplimiento y cuyos términos contemplen los días 17/03/2020 al 17/04/2020, en nuestro caso se deberán adecuar los términos de recursos que incluso hayan tenido actuaciones hasta  el día 19 de marzo a las 14:10hrs. Ya que la modificación del calendario de empezó a hacer el 19 de marzo y así paulatinamente hasta hoy que se aplicó para extender el periodo hasta el 30 de junio de 2020, se debe tomar en cuenta que el periodo de suspensión abarca desde el 16 de marzo de 2020 al 30 de junio de 2020    I        I        I         I    Aplicación:                  SIGEMI    I    Tipo de Soporte:         REVISIÓN DE PLAZOS      I    Observaciones:                I         I    Su petición fue atendida, se realizó la búsqueda de los fechas en los diferentes procesos,cumplimientos,sustanciación,alegatos, requerimientos y fechas limite de votación, tomando de referencia el 16 de marzo, solo se localizaron fechas limite de votación, mismas que adjunto, con la nueva fecha, para tu validación y proceder con la actualización.    I        I    Quedamos atentos     I    " u="1"/>
        <s v="Se aplica el testado de datos de la solicitud: 0673800019020" u="1"/>
        <s v="Generación de script de diccionarios de temas SIPOT" u="1"/>
        <s v="Notificación de seguimiento  [  MA0112202009 ]      I         I     Estimado(a):                     José Manuel Flores Robles     I        I    Le informamos que su ticket correspondiente a:    I                       I    - Cuántas solicitudes se han presentado, preguntando datos sobre la situación actual, con el siguiente criterio de búsqueda:  “pandemia”, “COVID19”, “COVID-19” y “coronavirus”. El periodo a consultar sería del 1 de enero de 2020 al 30 de noviembre del 2020. El resultado igual que la última vez: Sujeto Obligado que recibió la solicitud y el texto de la misma.    I         I    Aplicación:                  INFOMEX QUERÉTARO     I    Tipo de Soporte:         REPORTE SOLICITUDES       I    Observaciones:                I         I    Su petición fue atendida    I    " u="1"/>
        <s v="Notificación de seguimiento  [  MA0902202104 ]      I          I    Estimado(a):                     Martha Rubí Zaragoza Mora    I         I    Le informamos que su ticket correspondiente a:    I                       I    El presente correo es para pedir su amable apoyo para el ajuste de términos de los folios debido al Acuerdo que enviaron los siguientes Sujetos Obligados a la COTAI por el cual se amplían la fecha del 2 al 28 febrero de 2021; debiéndose considerar los días comprendidos dentro de dicho periodo como inhábiles para evitar la propagación del coronavirus COVID-19.    I         I    Aplicación:                  INFOMEX NUEVO LEÓN     I    Tipo de Soporte:         AJUSTE DE PLAZOS        I    Observaciones:                I         I    Su petición fue atendida    I    " u="1"/>
        <s v="Notificación de seguimiento  [  MA1902202010 ]      I         I         I    Estimado(a):                     Ariadna Sánchez Guadarrama    I         I    Le informamos que su ticket correspondiente a:    I                       I    Por medio del presente, y en relación con el recurso de revisión RRD 0299/19 BIS, solicito su apoyo a efecto de realizar las gestiones necesarias en la Plataforma Nacional de Transparencia, y omitir los pasos de notificación al sujeto obligado y al particular con la finalidad de que la resolución del recurso de revisión pueda cargarse al sistema.     I        I         I    Aplicación:                  SIGEMI    I    Tipo de Soporte:         CANCELACIÒN DE ACTIVIDADES    I    Observaciones:                I         I    Su petición fue atendida    I    " u="1"/>
        <s v="Desarrollo del requerimiento para colocar los acuses en el modulo de administración SISAI2" u="1"/>
        <s v="Notificación de seguimiento  [  MA0605202005 ]      I         I         I    Estimado(a):                     Pedro Esquivel Martínez    I         I    Le informamos que su ticket correspondiente a:    I                       I        I    En la Herramienta de Comunicación nos llegó un requerimiento el cual se anexa al presente escrito, fijando como fecha límite para dar cumplimiento, siendo este el 24 de abril del presente año, sin que hasta el momento se haya actualizado la fecha de término para dar atención, en la plataforma del HCOM sigue apareciendo la fecha límite el 24 de abril, y derivado de la contingencia sanitaria se ha hecho imposible dar atención, y toda vez que a partir del 23 de marzo hasta el 30 de abril son días Inhábiles.    I         I        I         I    Aplicación:                  HCOM    I    Tipo de Soporte:         ACTUALIZACIÓN DE FECHA       I    Observaciones:                I         I    Su petición fue atendida    I    " u="1"/>
        <s v="Se  testan los datos del folio: 0064101343321" u="1"/>
        <s v="Generación de script para conectores de estracción" u="1"/>
        <s v="    I    Notificación de seguimiento  [  MA2802202005 ]      I         I         I    Estimado(a):                     Luis Javier Mendoza Rueda    I         I    Le informamos que su ticket correspondiente a:    I                       I    Se envió el Ticket #PNT003424    I        I    Solicitando su apoyo para realizar corrección en el Nombre del Recurrente del siguiente recurso:     I        I    INFOCDMX/RR.IP.0919/2020 con Solicitud: 0422000021720    I        I    Error: Sabino Cervantes Guarneros    I        I    CORRECTO: JESUS REYES AGUILAR    I        I         I    Aplicación:                  SIGEMI    I    Tipo de Soporte:         Corrección de solicitudes      I    " u="1"/>
        <s v="Reportes de Sistematización" u="1"/>
        <s v="Se aplica eliminación de última respuesta: 1221200006520." u="1"/>
        <s v="Desarrollo de servicios pantalla Mis Quejas, analisis y diseño de reglas de negocio" u="1"/>
        <s v="Notificación de seguimiento  [  MA0504202105 ]      I         I         I    Estimado(a):                     YARENNI ADAME    I          I    Le informamos que su ticket correspondiente a:    I                       I    RESPALDO SEMANAL DE LA BASE DE DATOS INFOMEX    I         I    Aplicación:                  INFOMEX GUERRERO    I    Tipo de Soporte:         RESPALDO       I    Observaciones:                I         I    Su petición fue atendida, se subió el respaldo de su base de datos de esta semana…    I        I        I    http://documentos.inai.org.mx/tmp/infomexGUERRERO_backup_2021-04-05_1106.bak    I        I        I    NOTA: El respaldo estará disponible una semana      I    " u="1"/>
        <s v="Secciones: Directorio, Editorial, convocatorias, anuncios, recomendaciones, El arbol del paraiso, la Sociedad de la transparencia" u="1"/>
        <s v="Notificación de seguimiento  [  MA1702202106 ]      I         I         I    Estimado(a):                     Edgar Michel Loaeza Martínez    I         I         I    Le informamos que su ticket correspondiente a:    I                       I    renovación de certificado de lo sujetos obligados indirectos de la Secretaría de Salud en el hcom.    I         I    Aplicación:                  HCOM    I    Tipo de Soporte:         Actualización de certificado ( 12)       I    " u="1"/>
        <s v="Se realiza el alta en el sistema del SO Centro Federal de Conciliación y Registro Laboral " u="1"/>
        <s v="Se aplica eliminación de formato de pago: 181640011352" u="1"/>
        <s v="Generación de estrategia para la descarga de muestra útil de tablas SIPOT y SIPOT DETALLE" u="1"/>
        <s v="Se aplica la respuesta a la solicitud: 1123300000220." u="1"/>
        <s v="Reunion de estatus " u="1"/>
        <s v="Roles" u="1"/>
        <s v="Se elmina la respuesta del folio: 0673800012021" u="1"/>
        <s v="Validación de volumetrías en información compartida sobre SIGEMI-SICOM" u="1"/>
        <s v="Se realizoa un combo con autocomplete" u="1"/>
        <s v="Notificación de seguimiento  [  MA1504202112 ]      I         I         I    Estimado(a):                     JUAN PEDRO RAMIREZ FLORES    I         I         I    Le informamos que su ticket correspondiente a:    I                       I    respecto a los recursos de revisión RRAIP-464/2021 y RRAIP-465/2021, se realicen las modificaciones pertinentes respecto a la captura del correo electrónico de la parte recurrente, toda vez que por un error involuntario, se capturó un correo electrónico diverso al correcto.    I    Correo electrónico capturado: ciab.leon@yahoo.com.mx     I    Correo electrónico correcto: ciab.leon@yahoo.com    I         I    Aplicación:                  SIGEMI    I    Tipo de Soporte:         ACTUALIZAR CORREO       I    Observaciones:                I         I    Su petición fue atendida    I    " u="1"/>
        <s v="Analisis de consulta de solicitudes Historicas " u="1"/>
        <s v="    I    Notificación de seguimiento  [  MA1512202001 ]      I         I     Estimado(a):                     Iván Emmanuel Sánchez Morales    I          I    Le informamos que su ticket correspondiente a:    I                       I    Por conducto del presente solicito su amable ayuda con la finalidad de que, respecto del recurso de revisión RRD 01582/20, se regrese el paso consistente en la admisión del recurso en mención.    I         I    Aplicación:                  SIGEMI    I    Tipo de Soporte:         REGRESO DE PASOS        I    " u="1"/>
        <s v="Se  testan los datos del folio: 0064101976921" u="1"/>
        <s v="Se localiza acuse de la solicitud: 0064100592720." u="1"/>
        <s v="Se aplica sustitución de archivo de la solicitud: 0064100195820." u="1"/>
        <s v="Botón de inklusion" u="1"/>
        <s v="Actualizar fecha limite de la solicitud 1816400061621 " u="1"/>
        <s v="Notificación de seguimiento  [  MA1902202003 ]      I         I         I    Estimado(a):                     Luis Javier Mendoza Rueda    I         I    Le informamos que su ticket correspondiente a:    I                       I    Por un error se notificó como admisión el acuerdo del recurso de revisión identificado bajo la clave INFOCDMX/RR.IP.0344/2020, con número de folio 0417000321819.    I        I    En virtud de lo anterior, se precisa que el paso en que actualmente se encuentra en recurso de revisión es preparación del proyecto, y se requiere se regrese al paso de ADMITIR/PREVENIR/DESECHAR. con el fin de realizar una prevención     I         I         I    Aplicación:                  SIGEMI    I    Tipo de Soporte:         REGRESO DE PASOS      I    Observaciones:                I         I    " u="1"/>
        <s v="Se elimina la respuesta del folio: 0001700087121" u="1"/>
        <s v="Se continua con el desarrollo del modulo de Años" u="1"/>
        <s v="Notificación de seguimiento [ MA3101202002 ]     I          I          I     Estimado(a): Lizbeth Adriana Cabrera Ortega    I          I     Le informamos que su ticket correspondiente a:    I          I     PIDO DE SU VALIOSO APOYO    I         I     DEBE DECIR 30 ENERO    I         I         I     Aplicación: SIGEMI    I     Tipo de Soporte: CAMBIO DE FECHA     I     Observaciones:     I          I     Su petición fue atendida" u="1"/>
        <s v="Mejoras en código de Catalogo Líneas de Acción, mejores practicas y código limpio" u="1"/>
        <s v="Desarrollo del servicio para SIGEMI, para validación de de bandera para la creación de la queja" u="1"/>
        <s v="Se  testan los datos del folio: 0064101344321" u="1"/>
        <s v="Notificación de seguimiento  [  MA2906202003 ]      I         I         I    Estimado(a):                     Edgar Michel Loaeza Martínez    I         I    Le informamos que su ticket correspondiente a:    I                       I    Por medio del presente solicito su valioso apoyo a efecto de dar de alta los certificados de Titular de la Unidad de Transparencia de los siguientes sujetos obligados:    I        I    Coordinación Nacional Antisecuestro    I    Fondo de Desastres Naturales (FONDEN)    I    Fondo para la Prevención de Desastres Naturales (FOPREDEN)    I        I    Para tal efecto, anexo al presente los certificados, lo anterior, a fin de que sus accesos sean habilitados en los sistemas que administra este Instituto (HCOM).      I         I    Aplicación:                  HCOM    I    Tipo de Soporte:         Cambio de TUT ( 3 )      I    Observaciones:                I         I    Su petición fue atendida    I         I    " u="1"/>
        <s v="Se generó certificado para usuario de SO CIMAT" u="1"/>
        <s v="Investigacion sobre los posibles plugins a utilizar al iniciar sesion con redes sociales" u="1"/>
        <s v="Notificación de seguimiento  [  MA2306202006 ]      I         I         I    Estimado(a):                     Edgar Michel Loaeza Martínez    I         I    Le informamos que su ticket correspondiente a:    I                       I    “En la bandeja de cumplimientos de la PNT, no aparece el recurso RRA 02532/20 que se atendió el pasado viernes 19 de junio, y es necesario mandar un alcance a dicho cumplimiento.    I    Por un error involuntario, se mandó en la bandeja de cumplimientos el alcance del RRA 02532/20 mencionado, en el diverso 02353/20, por lo que es necesario cancelar dicho alcance, debido a que no corresponde el cumplimiento enviado con el recurso.” (sic)    I         I    Aplicación:                  SIGEMI    I    Tipo de Soporte:         REGRESO DE PASOS      I    Observaciones:                I         I    Su petición fue atendida    I    " u="1"/>
        <s v="Creacion de servicios y funcionalidades de perfil" u="1"/>
        <s v="Se realiza el proceso de búsqueda de adjuntos en los infomex estatales consultando folio a folio,  tratando de ubicar los faltantes de recuperar.    I    Estados de (Colima, Chiapas, Chihuahua, Durango, Guerrero,  Jalisco, Michoacán, Nuevo León, Oaxaca y Puebla)" u="1"/>
        <s v="Se envía seguimiento de la solicitud: 0002000271419." u="1"/>
        <s v="Buenas tardes Ricardo, me da gusto saludarte, te comento que si tengo una consulta que me genera las solicitudes relacionadas con el tema COVID, por favor revisala y si necesitas que le hagamos algún ajuste me dices. Respecto a la estructura de base de datos del infomex, voy a buscar en el repositorio si hay algo que te pueda enviar     I        I    Saludos     I        I    Marina Adame Velasco    I        I    Notificación de seguimiento  [  MA0910202002 ]      I        I    Aplicación:                  INFOMEX CAMPECHE    I    Tipo de Soporte:         SCRIPT       I    Estatus:                               Concluido.    I    " u="1"/>
        <s v="actualizacion micrositio gobierno abiero " u="1"/>
        <s v="Instalación y ambientación angular framework" u="1"/>
        <s v="Cambio en mostrar PDF, se abre app externa del telefono para mostrar el pdf." u="1"/>
        <s v="Se  testan los datos del folio:0064101904221" u="1"/>
        <s v="Se aplica eliminación de ultima respuesta al folio: 1117100037120." u="1"/>
        <s v="Implementación de la búsqueda y despliegue de Resoluciones Públicas para la adición y eliminación del archivo de audio de la Resolución." u="1"/>
        <s v="Notificación de seguimiento [ MA0901202007 ]     I          I          I     Estimado(a): ROSALINDA CORIA    I          I     Le informamos que su ticket correspondiente a:    I          I     Agradeceré su apoyo para regresar a la actividad de prevenir/admitir, el recurso RRD 1623/19. y cambiar el medio de notificación a domicilio.    I          I     Aplicación: SIGEMI    I     Tipo de Soporte: REGRESO DE PASOS Y CAMBIO DE MEDIO" u="1"/>
        <s v="Se aplica el cambio de modalidad para el folio: 0064100095120." u="1"/>
        <s v="Se sustituye archivo adjunto  del folio:  0320000381621" u="1"/>
        <s v="Creación servicio para el llenado del árbol  de formatos" u="1"/>
        <s v="Implementación de los componentes para descargar adjuntos de solicitud y respuesta." u="1"/>
        <s v="Generación de scipt para pre-procesamiento de limpieza de datos" u="1"/>
        <s v="Notificación de seguimiento  [  MA1508202202 ]    I        I        I    Estimado(a):               Edgar Michel Loaeza Martínez    I     Le informamos que su ticket correspondiente a:    I    Por medio del presente solicito su valioso apoyo a efecto de realizar la renovación de Certificados de los sujetos obligados indirectos de la Secretaría de Educación Pública.    I        I        I    Aplicación:                  HCOM    I    Tipo de Soporte:        CAMBIO DE TUT  ( 13 )    I        I    " u="1"/>
        <s v="Se sustituye archivo adjunto del folio: 1410000072320" u="1"/>
        <s v="Buenas tardes Guillermo, tu petición fue atendida, favor de validar     I        I    nombre                                                                                                                             guiddepartamento    I    Instituto de Movilidad Sustentable del Estado de Baja California               20200908-1220-4000-6440-e30f497bb8ad    I        I    Saludos     I        I    Marina Adame Velasco    I        I    Notificación de seguimiento  [  MA0809202006 ]      I        I    Aplicación:                  INFOMEX BCN    I    Tipo de Soporte:         CONSULTA DE DATOS        I    Estatus:                               Concluido.    I        I    " u="1"/>
        <s v="Generar certificado para usuario de Instituto de Investigaciones &quot;Dr. José María Luis Mora&quot;" u="1"/>
        <s v="Realización de integracion de cambios y pruebas     I    Integrales y pase de conocimiento" u="1"/>
        <s v="respaldo de BD TLAXCALA 25 DE MAYO DE 2021" u="1"/>
        <s v="Se elimina la respuesta del folio: 1222300015321" u="1"/>
        <s v="    I    Notificación de seguimiento  [  MA1603202103 ]      I         I         I    Estimado(a):                     Martha Rubí Zaragoza Mora    I         I         I    Le informamos que su ticket correspondiente a:    I                       I    El presente correo es para pedir su amable apoyo para el ajuste de términos de los folios debido a un error del sujeto obligado al momento de capturar los folios    I         I    Aplicación:                  INFOMEX NUEVO LEÒN    I    Tipo de Soporte:         AJUSTE DE PLAZOS       I    Observaciones:                I         I    Su petición fue atendida    I    " u="1"/>
        <s v="Notificación de seguimiento  [  MA1207202202 ]    I        I        I    Estimado(a):               David Mondragón Centeno    I        I     Le informamos que su ticket correspondiente a:    I        I    ACTUALIZACIÓN DEL CERTIFICADO DE LA HCOM DEL SUJETO OBLIGADO 60201 SNTINEGI “SINDICATO NACIONAL DE TRABAJADORES DEL INSTITUTO NACIONAL DE ESTADÍSTICA Y GEOGRAFÍA”, EN VIRTUD DE QUE YA SE ENCUENTRA VENCIDO, POR LO QUE MUCHO AGRADECERÉ LA PRONTA REMISIÓN DE DICHO CERTIFICADO ACTUALIZADO.     I         I        I    Aplicación:                  HCOM    I    Tipo de Soporte:        GENERACIÓN DE CERTIFICADO Y ACTUALIZACIÓN EN HCOM      I    Observaciones:                I         I    Su petición fue atendida, se cambio la contraseña, ya que no permitía la actualización en HCOM, quedando la siguiente hcom2022, sin embargo si la usuaria requiere el anterior, favor de enviar el dato para realizar el cambio. Se anexa el certificado actualizado.    I        I        I    Favor de validar.    I         I    Estatus:                               Concluido" u="1"/>
        <s v="Analizar la memoria de la base de datos" u="1"/>
        <s v="Se aplica el cambio de modalidad a la solicitud: 0064100357420." u="1"/>
        <s v="Generación de script para descarga de solicitudes" u="1"/>
        <s v="Notificación de seguimiento  [  MA1011202003 ]      I          I    Estimado(a):                     Moisés Guzmán Arias    I         I    Le informamos que su ticket correspondiente a:    I                       I    Mira particularmente, el se refiere a la fecha que se registra en el formulario Registro de información del pleno, en ese formulario capturan la fecha que en el formulario se denomina Fecha de votación del pleno, esa es la fecha que me indica que se capturó mal y que es la que se debe de modificar, no tengo conocimiento de como se denomine dentro de la base de datos, pero en el formulario está etiquetada de esa manera, te mando la imagen, va subrayado el nombre de la fecha indicada.    I        I        I    Aplicación:                  IMPUGNACIONES    I    Tipo de Soporte:         CAMBIO FECHA    I    Observaciones:                I         I    Su petición fue atendida    I    " u="1"/>
        <s v="Notificación de seguimiento  [  MA1203202012 ]      I         I         I    Estimado(a):                     Lizbeth Adriana Cabrera Ortega    I         I    Le informamos que su ticket correspondiente a:    I                       I    COMO ACOREDAMOS PREVIAMENTE, LAS FALLAS GENERADAS POR EL SISTEMA O POR LA OMISIÓN EN LAS MODIFICACIONES SOLICITADAS DEL CAMBIO DE FECHA, SERÍAN ATENDIDAS POR USTEDES, EN EL CASO DE LOS TURNOS.    I        I    COMO PUEDES VERIFICAR SE SOLICITÓ EL CAMBIO DE FECHA DE INTERPOSICIÓN, PREVIAMENTE A GENERARSE EL TURNO, USTEDES ICLUSO EXPONEN HABERLO ATENDIDO Y PERSÉ, EL ACUERDO SE GENERÓ CON LA FECHA DEL DÍA PREVIO SIN EL CAMBIO QUE SE HABÍA SOLICITADO.    I        I         I    Aplicación:                  SIGEMI    I    Tipo de Soporte:         ACTUALIZACIÓN DE ACUERDOS ( 18)       I    Observaciones:                I         I    Su petición fue atendida    I    " u="1"/>
        <s v="Notificación de seguimiento  [  MA1708202110 ]    I        I    Estimado(a):                María Angélica Valdez Islas    I        I         I     Le informamos que su ticket correspondiente a:    I                       I    por este medio Anexo el registro actualizado del certificado del Titular de la Unidad de Enlace de la “PROCURADURÍA AGRARIA”.  Lo Anterior a fin de que sus accesos sean habilitados en los otros sistemas que administra este Instituto (HCOM).  CAMBIO DE  TITULAR, en cuanto se reciba la atención en HCOM se realizará la actualización de los demás sistemas correspondientes.    I        I         I    Aplicación:                  HCOM              I    Tipo de Soporte:         CAMBIO DE TUT       I    Observaciones:                I         I    Su petición fue atendida    I          I    " u="1"/>
        <s v="Se sustituye el archivo adjunto de la solicitud con folio 0064101516021" u="1"/>
        <s v="Crear tablad de BD y crear servicios para guardar los datos" u="1"/>
        <s v="Se  testan los datos del folio: 0064100714421" u="1"/>
        <s v="Se elimina la respuesta del folio: 0063700344721" u="1"/>
        <s v="Se realiza el proceso de búsqueda de adjuntos en los infomex estatales consultando folio a folio,  tratando de ubicar los faltantes de recuperar.    I    Estados de (Aguascalientes, Baja California, Campeche, Coahuila y Colima)" u="1"/>
        <s v="Generar scripts para busqueda de solicitudes pendientes en bd infomex, del 19 al 30 de julio" u="1"/>
        <s v="    I    Notificación de seguimiento  [  MA0502202005 ]      I         I         I    Estimado(a):                     Lizbeth Adriana Cabrera Ortega    I         I    Le informamos que su ticket correspondiente a:    I                       I    DEBE DECIR 5 DE FEBRERO    I         I    Aplicación:                  SIGEMI    I    Tipo de Soporte:         ACTUALIZACION DE FECHAS      I    Observaciones:                I         I    Su petición fue atendida    I    " u="1"/>
        <s v="Se  testan los datos del folio: 0064101345321" u="1"/>
        <s v="Se  testan los datos del folio: 0064101365321" u="1"/>
        <s v="Identificacion del campo numero de expediente de tipo texto " u="1"/>
        <s v="Notificación de seguimiento  [  MA0402202201 ]    I        I    Estimado(a):                Lizbeth Adriana Cabrera Ortega    I        I         I     Le informamos que su ticket correspondiente a:    I                       I    Con el gusto de saludarles me permito solicitar tu valioso apoyo respecto de la generación UN EXPEDIENTE BIS del recurso de revisión posteriormente citado.    I         I    Asimismo, te comento que NO DEBERÁ CAMBIAR el sujeto obligado, ni el Comisionado correspondiente.     I         I     DICE                                        DEBE DECIR                         SUJETO OBLIGADO           PONENTE    I    RRA 1349/22 RRA 11980/20-BIS ASF BLIC    I         I    No omito comentarte que el número de expediente que deberá seguir en el consecutivo por turnar en PNT debe ser el RRA 1349/22.    I         I    Aplicación:                  SICOM/SIGEMI    I    Tipo de Soporte:         CAMBIO A BIS      I    Observaciones:                I         I    Su petición fue atendida    I         I    " u="1"/>
        <s v="Notificación de seguimiento  [  MA2102202005 ]      I         I         I    Estimado(a):                     Lizbeth Adriana Cabrera Ortega    I         I    Le informamos que su ticket correspondiente a:    I                       I    Solcito de tu valioso apoyo a fin de modificar la fecha de interposición al día 21 de febrero.    I        I    20/02/2020 20/02/2020 22:13 PM Santiago Meza CONSEJO DE LA JUDICATURA FEDERAL 0320000060820    I        I        I         I    Aplicación:                  SIGEMI    I    Tipo de Soporte:         Actualización de fecha de interposición      I    " u="1"/>
        <s v="Generación de validaciones sobre el etiquetado automatizado" u="1"/>
        <s v="Realizar la clase Controller, Service, Dao para la operación de alta de ejes" u="1"/>
        <s v="Buenas tardes Francisco, tu petición fue atendida, favor de validar     I         I     select P.FOLIO,CC.NOMBRE TIPO_DP FROM PROCESO P JOIN PSI ON PSI.GUIDPROCESO = P.GUIDPROCESO     I     JOIN CAMPOCONFIGURABLE CC ON CC.GUIDVALOR = PSI.C916eb5bb    I     WHERE FECHAINICIO BETWEEN '20200101' AND '20200131'    I         I         I     Saludos     I         I     Marina Adame Velasco    I         I     Notificación de seguimiento [ MA0901202009 ]     I         I     Aplicación: INFOMEX NL    I     Tipo de Soporte: Script para consulta     I     Estatus: Concluido." u="1"/>
        <s v="Se  testan los datos del folio:   0064101376021" u="1"/>
        <s v="Se cambia el tipo de solicitud del folio:  0411100032721" u="1"/>
        <s v="Atender soportes de SIGEMI    I    " u="1"/>
        <s v="Se aplica testado de datos al folio:   0002700361220" u="1"/>
        <s v="Buenos días César, puedes agregar las extensiones en el archivo configsistema.xml, que se encuentra en la carpeta IFAI\CONFIGURACION     I        I    Saludos     I        I    Marina Adame    I    " u="1"/>
        <s v="Notificación de seguimiento  [  MA0704202108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del 12 de abril al 14 de junio 2021; debiéndose considerar los días comprendidos dentro de dicho periodo como inhábiles para evitar la propagación del coronavirus COVID-19.    I         I    Aplicación:                  INFOMEX NUEVO LEÓN    I    Tipo de Soporte:         AJUSTE DE PLAZOS       I    " u="1"/>
        <s v="Se  testan los datos del folio: 1816400086021" u="1"/>
        <s v="SUSTITUCIÓN TEXTO Y ADJUNTO EN SOLICITUD DE INFORMACION 0064101070821" u="1"/>
        <s v="Notificación de seguimiento  [  MA0503202101 ]      I         I         I    Estimado(a):                     LEONARDO BUSTILLOS    I         I         I    Le informamos que su ticket correspondiente a:    I                       I    solicito de su apoyo para cancelar el envió del comunicado H-COM, adjunto al presente, con el folio 001614-IFAI-2021, debido a un error en los Destinatarios.     I         I    Aplicación:                  HCOM    I    Tipo de Soporte:         ELIMINAR REQUERIMIENTO       I    " u="1"/>
        <s v="Creación formulario de busqueda, adaptacion a tabla historial, creación de servicios y funcionalidades." u="1"/>
        <s v="Se actualizan las fecha limite de  solicitud 1117100050021" u="1"/>
        <s v="Se actualizan las fecha limite de  solicitud 1117100050121" u="1"/>
        <s v="Respaldar Curso 1 de Aliados INAI  de la plataforma anterior y restaurar en plataforma actual " u="1"/>
        <s v="Apoyo al requerimiento de SISAI2 " u="1"/>
        <s v="Se cambia el tipo de solicitud del folio: 0495000001821" u="1"/>
        <s v="Se realiza la carga de contenido " u="1"/>
        <s v="    I    Notificación de seguimiento  [  MA2110202006 ]      I         I         I    Estimado(a):                     Alondra Jiménez Hernández    I         I    Le informamos que su ticket correspondiente a:    I                       I    Anexo el registro actualizado del certificado del Titular de la Unidad de Transparencia de COMESA., para su renovación en la Herramienta de Comunicación.     I         I         I    Aplicación:                  HCOM    I    Tipo de Soporte:         CAMBIO DE CERTIFICADO      I    Observaciones:                I         I    Su petición fue atendida    I         I    " u="1"/>
        <s v="Se testan datos del folio: 0064102376621" u="1"/>
        <s v="validación para evitar que se comparta un token" u="1"/>
        <s v="Se sustituye archivo adjunto del folio: 0064100409820." u="1"/>
        <s v="Se modificó script y se revisaron los resultados arrojados para la consulta de conteo de solicitudes" u="1"/>
        <s v="Se aplica sustitución de archivo de la solicitud: 0064103629219." u="1"/>
        <s v="Se elimina la respuesta del folio: 1131000004221" u="1"/>
        <s v="Se aplica eliminación de respuesta al folio: 1816400369819." u="1"/>
        <s v="Se aplica testado de datos al folio:  0000700012721" u="1"/>
        <s v="Implementación de ambiente de trabajo de Declaranet Captura)" u="1"/>
        <s v="Ejecución de OT 1 Campus Privada" u="1"/>
        <s v="Copia de carpeta cursos a la nube" u="1"/>
        <s v="    I    Notificación de seguimiento  [  MA2711202002 ]      I         I         I    Estimado(a):                     Edgar Michel Loaeza Martínez    I         I         I    Le informamos que su ticket correspondiente a:    I                       I    Por medio del presente solicito su valioso apoyo a efecto de realizar la renovación de certificados del Titular de la Unidad de Transparencia de la Secretaría de Gobernación.    I         I    Aplicación:                  HCOM    I    Tipo de Soporte:         CAMBIO TUT   ( 9 )     I    Observaciones:                I         I    Su petición fue atendida    I         I    " u="1"/>
        <s v="Reunion Presentacion de Avances de Proyectos " u="1"/>
        <s v="Se  testan los datos del folio: 0064101366321" u="1"/>
        <s v="Revisión de SISAI 2 despues del despliegue en aquiles." u="1"/>
        <s v="Se testan los datos de la solicitud con folio: 0064101436021" u="1"/>
        <s v="Se testan los datos de la solicitud con folio: 0064101456021" u="1"/>
        <s v="Revisión incidencia en generación de certificados " u="1"/>
        <s v="Buenas tardes Memo, tu petición fue atendida, favor de validar     I        I    Saludos     I        I    Marina Adame Velasco    I        I    Notificación de seguimiento  [  MA0406202007 ]      I        I    Aplicación:                  INFOMEX NUEVO LEÓN    I    Tipo de Soporte:         AJUSTE DE PLAZOS       I    Estatus:                               Concluido.    I        I         I    " u="1"/>
        <s v="     I    Notificación de seguimiento  [  MA0405202101 ]      I         I         I    Estimado(a):                     Luis Pedro González Solís    I         I         I    Le informamos que su ticket correspondiente a:    I                       I    A través de la Herramienta de Comunicación se realizó el día de hoy un requerimiento con folio  IFAI-REQ-002666-2021, siendo lo correcto que se notificara como un comunicado.    I         I    Por lo anterior, solicito su valioso apoyo para la eliminación de dicho requerimiento, el cual se anexa al presente.    I         I    Aplicación:                  HCOM    I    Tipo de Soporte:         Eliminar requerimiento       I    Observaciones:                I         I    Su petición fue atendida    I         I          I                Favor de validar.    I         I    Estatus:                               Concluido.    I        I    " u="1"/>
        <s v="Se aplica el testado de datos de la solicitud: 1816400000120." u="1"/>
        <s v="Realizar modul de ajustes web" u="1"/>
        <s v="Se aplica testado de datos al folio: 1816700001221" u="1"/>
        <s v="Documentación" u="1"/>
        <s v="Desarrollo del servicio que propaga la información en todas las pantallas que se subscriban a los catálogos " u="1"/>
        <s v="    I    Notificación de seguimiento  [  MA2909202003 ]      I         I         I    Estimado(a):                     Laura Mónica Segovia Tellez    I         I    Le informamos que su ticket correspondiente a:    I                       I    Sea cambiado el medio de notificación  del particular del recurso de revisión RRA 04472/20, ya que el domicilio no tiene los elementos suficientes para ser notificado por esto se pide el cambio a correo electrónico    I    El correo es el siguiente: Sanchezzz.022020@outlook.com    I        I        I         I    Aplicación:                  SIGEMI    I    Tipo de Soporte:         CAMBIO DE MEDIO       I    Observaciones:                I         I    Su petición fue atendida    I    " u="1"/>
        <s v="    I    Notificación de seguimiento  [  MA2809202002 ]      I         I         I    Estimado(a):                     Gabriel Espinoza Ibarra    I         I    Le informamos que su ticket correspondiente a:    I                       I    En relación con el correo que antecede solicitamos su valioso apoyo a efecto de que se retroceda un paso más en PNT. Ello en razón que lo que se pretende cargar es la corrección a un acuerdo de desechamiento y dado el estado en el cual se encuentra el expediente RRA 9291/20 no resulta posible.     I         I         I    Aplicación:                  SIGEMI    I    Tipo de Soporte:         REGRESO DE PASOS      I    Observaciones:                I         I    Su petición fue atendida    I    " u="1"/>
        <s v="Se  testan los datos del folio: 0064101969921" u="1"/>
        <s v="Integración de validaciones (Inicial, Anual,Conclusión)para la persistencia de Conflicto de intereses en Declaranet" u="1"/>
        <s v="Notificación de seguimiento  [  MA2610202004 ]      I        I         I        I         I        I    Estimado(a):                     Rosa María Rivas Rangel     I        I         I        I         I        I    Le informamos que su ticket correspondiente a:    I        I                       I        I    Se solicita la ampliación por 10 días del plazo otorgado por la Dirección General de Cumplimientos y Responsabilidades (Se adjuntan Acuerdos), a los RRA 07607/20 y RRA 07960/20 para su cumplimiento quedando de la siguiente manera:    I        I         I        I    ·         En el recurso RRA 07607/20, modificar la fecha de conformidad con los 10 días otorgados  de ampliación, el acuerdo fue notificado el 16 de octubre, por lo que la fecha debe quedar al 30 de octubre (se adjunta pantalla de la PNT).    I        I    ·         En el recurso RRA 07960/20, ya no aparece en la PNT, por lo que se solicita se agregue, el acuerdo fue notificado el 19 de octubre, por lo que la fecha debe moverse al 3 de noviembre.    I        I         I        I    Aplicación:                  SIGEMI    I        I    Tipo de Soporte:         ACTUALIZACIÓN DE FECHAS     I        I    Observaciones:                I        I         I        I    Su petición fue atendida" u="1"/>
        <s v="Template de Líneas de Acción finalizado, se removieron campos innecesarios" u="1"/>
        <s v="Se sustituye archivo adjunto del folio: 0064102965220" u="1"/>
        <s v="Se cambia la ruta sobre la que se genera el pdf" u="1"/>
        <s v="Se  testan los datos del folio: 1411100021821" u="1"/>
        <s v="Notificación de seguimiento  [  MA2411202003 ]      I         I         I    Estimado(a):                     Lizbeth Adriana Cabrera Ortega    I         I         I    Le informamos que su ticket correspondiente a:    I                       I    me permito solicitar tu valioso apoyo respecto de la generación UN EXPEDIENTE del recurso de revisión posteriormente citado.    I         I    Asimismo, te comento que NO DEBERÁ CAMBIAR el sujeto obligado, ni el Comisionado correspondiente.     I         I     DICE                                        DEBE DECIR                         SUJETO OBLIGADO           PONENTE    I    RRA 13199/20 RRA 7168/19- BIS CENTRO NACIONAL DE INTELIGENCIA. BLIC    I         I    No omito comentarte que el número de expediente que deberá seguir en el consecutivo por turnar en PNT debe ser el RRA 13199/20    I         I         I    Aplicación:                  SIGEMI    I    Tipo de Soporte:         CAMBIO A BIS     I    Observaciones:                I         I    Su petición fue atendida    I    " u="1"/>
        <s v="Se realizan las pruebas y peticiones para la consulta de silicitides de sistema INFOMEX " u="1"/>
        <s v="Diseño de mockups sin contar con el modelo de la base de datos" u="1"/>
        <s v="Copia base de datos campus organismos a la nube en formato zip" u="1"/>
        <s v="Se cambia el tipo de solicitud del folio: 0411100017221" u="1"/>
        <s v="Se aplica testado de datos personales: 0000700073020." u="1"/>
        <s v="Buenas tardes Martha, tu petición fue atendida, favor de validar     I        I    Saludos     I        I    Marina Adame Velasco    I        I    Notificación de seguimiento  [  MA0209202003 ]      I        I    Aplicación:                  INFOMEX NUEVO LEÓN    I    Tipo de Soporte:         AJUSTE DE PLAZOS        I    Estatus:                               Concluido.    I        I         I    " u="1"/>
        <s v="Buenas tardes Martha, tu petición fue atendida, favor de validar     I        I    Saludos     I        I    Marina Adame Velasco    I        I    Notificación de seguimiento  [  MA1310202009 ]      I        I    Aplicación:                  INFOMEX NUEVO LEÓN    I    Tipo de Soporte:         AJUSTE DE PLAZOS        I    Estatus:                               Concluido.    I        I         I    " u="1"/>
        <s v="Buenas tardes Martha, tu petición fue atendida, favor de validar     I        I    Saludos     I        I    Marina Adame Velasco    I        I    Notificación de seguimiento  [  MA1607202003 ]      I        I    Aplicación:                  INFOMEX NUEVO LEÓN    I    Tipo de Soporte:         AJUSTE DE PLAZOS        I    Estatus:                               Concluido.    I        I         I    " u="1"/>
        <s v="Implementar dos conexiones distintas a bases de datos, Oracle  y Postgres, Realizar las pruebas " u="1"/>
        <s v="Se  testan los datos del folio: 0064101367321" u="1"/>
        <s v="Se testan los datos de la solicitud con folio: 0064101438021" u="1"/>
        <s v="Se relizan las pantallas de buscador de obligaciones y selector de obligacion" u="1"/>
        <s v="Se generó certificado para usuario de dependencia FIDEICOMISOS CIDE" u="1"/>
        <s v="Creación de cuenta para comité técnico" u="1"/>
        <s v="Notificación de seguimiento  [  MA2308202202 ]    I        I    Estimado(a):               Lizbeth Adriana Cabrera Ortega    I     Le informamos que su ticket correspondiente a:    I    Pido de tu apoyo para que sea retrotraída la reconducción del expediente RRA-RCRD 10371/22    I         I    Lo anterior a fin de que quede como recurso de acceso RRA 10371/22.    I        I    Aplicación:                  SIGEMI    I    Tipo de Soporte:        RECONDUCCION     I    " u="1"/>
        <s v="Actualización del  Excel (SISAI_catalogos_TareaXEdos.xlsx)  con la incorporación de nuevos registros de plantillas, por lo que se debió actualizar el proceso completo de inserts de las 32 entidades de la tabla SISAI_TW_CONFIG_RESPUESTAS, se consultó con Roberto quien confirmó la eliminación de los duplicados, así también la inclusión de los 2 casos con supuesta inconsistencia en serie.    I    Posteriormente y debido a que se presentó un error en la inserción de la tabla SISAI_TW_PROCESO_RESPUESTAS en la base de datos de &quot;126 Desarrollo del aplicativo&quot;, se debió eliminar las claves de acuses 1 y 161 declarados en las respuestas de registro (1 y 75) de cada entidad, por lo que se debió generar nuevamente todo el insumo de inserción." u="1"/>
        <s v="     I    Notificación de seguimiento  [  MA2110202009 ]      I         I         I    Estimado(a):                     Rosalinda Coria Mosqueda    I         I    Le informamos que su ticket correspondiente a:    I                       I    Agradeceré su ayuda para solicitar la cancelación de la actividad del cierre de instrucción en el recurso RRA 04230/20, toda vez que por omisión notifique cierre, debiendo ser un requerimiento.    I        I    Lo anterior para estar en posibilidad de enviar el cierre en su momento.    I         I    Aplicación:                  SIGEMI    I    Tipo de Soporte:         ELIMINACIÓN DE CIERRE DE INSTRUCCIÓN      I    Observaciones:                I         I    Su petición fue atendida    I         I    " u="1"/>
        <s v="Se elimina la respuesta del folio: 0064100739721" u="1"/>
        <s v="    I    Notificación de seguimiento  [  MA0302202112 ]      I         I         I    Estimado(a):                     David Mendoza Oliva    I         I         I    Le informamos que su ticket correspondiente a:    I                       I    Anexo el registro actualizado del certificado del nuevo Titular de la Unidad de Transparencia del INAI, para que se habilite su acceso en la Herramienta de Comunicación. Dentro de sus posibilidades, les solicito que el certificado y la contraseña sean activados a la brevedad posible, toda vez que la UT requiere los nuevos accesos para la atención de diversos asuntos    I         I    Aplicación:                  HCOM    I    Tipo de Soporte:         CAMBIO TUT       I    " u="1"/>
        <s v="Crear certificado y alta para usuario del CAS" u="1"/>
        <s v="Se sustituye archivo del folio 0000600067321" u="1"/>
        <s v="Notificación de seguimiento  [  MA1304202105 ]      I         I         I    Estimado(a):                     CÉSAR ALVA    I         I         I    Le informamos que su ticket correspondiente a:    I                       I    solicitar tu apoyo en el Infomex, ya que, en días pasado los Comisionados hicieron un acuerdo en el que determinan que el único medio para presentar medios de impugnación es la PNT, por lo que quisiera ver si me pudieras apoyar mencionándome que archivo es el que tiene que bajarse para inhabilitar dichos Recursos.    I        I         I    Aplicación:                  INFOMEX AGUASCALIENTES    I    Tipo de Soporte:         CAMBIO DE CONFIGURACION       I    Observaciones:                I         I    Se adjunta script para ocultar módulo de candidatas a RR en INFOMEX, con este cambio los solicitantes ya no podrán registrar recursos desde infomex, sin embargo los recursos que ya se generaron y que estan pendientes de trámite, tendrán que definir que tratamiento se les da, si se dejan asi o se eliminan    I         I    " u="1"/>
        <s v="Se aplica eliminación de última respuesta: 1200800007520" u="1"/>
        <s v="Despliegue de archivos físicos de Resolución almacenados en Sistema de Archivos." u="1"/>
        <s v="    I    Buenas tardes Berenice, tu petición fue atendida, la eliminación de acuses esta en proceso, favor de validar     I        I    Saludos     I        I    Marina Adame Velasco    I        I    Notificación de seguimiento  [  MA2210202008 ]      I        I    Aplicación:                  INFOMEX OAXACA    I    Tipo de Soporte:         AJUSTE DE PLAZOS        I    Estatus:                               Concluido.    I        I    " u="1"/>
        <s v="Prioridades para atención - Meeting" u="1"/>
        <s v="Se aplica sustitución de archivo al folio: 0064100273720." u="1"/>
        <s v="     I    Notificación de seguimiento  [  MA1510202008 ]      I         I         I    Estimado(a):                     Lizbeth Adriana Cabrera Ortega    I         I    Le informamos que su ticket correspondiente a:    I                       I    Pido de su valioso apoyo a fin de que el expediente BIS creado en PNT  RRA 05487/19-BIS  aparezca a 4 posiciones y no cinco    I         I    DEBE DECIR    I         I    5487/19-BIS    I         I    Aplicación:                  SIGEMI    I    Tipo de Soporte:         CAMBIO DE DIGITOS EN BIS      I    Observaciones:                I         I    Su petición fue atendida    I         I    " u="1"/>
        <s v=" Buenas tardes Martha, tu petición fue atendida, favor de validar     I        I    Saludos     I        I    Marina Adame Velasco    I        I    Notificación de seguimiento  [  MA0806202002 ]      I        I    Aplicación:                  INFOMEX NUEVO LEÓN    I    Tipo de Soporte:         AJUSTE DE PLAZOS       I    Estatus:                               Concluido.    I         I        I    " u="1"/>
        <s v=" Buenas tardes Martha, tu petición fue atendida, favor de validar     I        I    Saludos     I        I    Marina Adame Velasco    I        I    Notificación de seguimiento  [  MA0806202007 ]      I        I    Aplicación:                  INFOMEX NUEVO LEÓN    I    Tipo de Soporte:         AJUSTE DE PLAZOS       I    Estatus:                               Concluido.    I         I        I    " u="1"/>
        <s v="    I    Notificación de seguimiento  [  MA1111202001 ]      I         I         I    Estimado(a):                     Alondra Jiménez     I         I         I    Le informamos que su ticket correspondiente a:    I                       I    Anexo el registro actualizado del certificado del Titular de la Unidad de Transparencia de la Comisión Nacional para el Uso Eficiente de la Energía, para su renovación en la Herramienta de Comunicación.     I         I    Aplicación:                  HCOM    I    Tipo de Soporte:         CAMBIO DE CERTIFICADO     I    Observaciones:                I         I    Su petición fue atendida    I    " u="1"/>
        <s v="Se aplica eliminación de última respuesta de la solicitud: 0220000001421" u="1"/>
        <s v="    I    Notificación de seguimiento  [  MA0503202005 ]      I         I         I    Estimado(a):                     Tiara Gethsemanni Miranda Fuentes    I         I    Le informamos que su ticket correspondiente a:    I                       I    Por medio de presente, solicito de la manera más atenta, su apoyo para retroceder los pasos en el sistema SIGEMI-SICOM en la PNT del asunto que se enlista a continuación; hasta la actividad “Registrar información de la sesión del pleno”; sin más por el momento, quedo en espera de sus comentarios.    I         I         I    •             RRA 00742/20    I         I        I         I    Aplicación:                  SIGEMI    I    Tipo de Soporte:         REGRESO DE PASOS      I    Observaciones:                I         I    Su petición fue atendida    I    " u="1"/>
        <s v="    I    Notificación de seguimiento  [  MA1402202003 ]      I         I         I    Estimado(a):                     Tiara Gethsemanni Miranda Fuentes    I         I    Le informamos que su ticket correspondiente a:    I                       I    Por medio de presente, solicito de la manera más atenta, su apoyo para retroceder los pasos en el sistema SIGEMI-SICOM en la PNT del asunto que se enlista a continuación; hasta la actividad “Registrar información de la sesión del pleno”; sin más por el momento, quedo en espera de sus comentarios.    I         I         I    •             RRD 1810/19    I         I         I         I    Aplicación:                  SIGEMI    I    Tipo de Soporte:         REGRESO DE PASOS      I    Observaciones:                I         I    Su petición fue atendida    I    " u="1"/>
        <s v="Documentación para CDMX" u="1"/>
        <s v="En proceso" u="1"/>
        <s v="Integración de modelado para normalizacion de Tablas bitacora" u="1"/>
        <s v="Notificación de seguimiento  [  MA1811202003 ]      I         I         I    Estimado(a):                     MOISES GUZMAN    I          I    Le informamos que su ticket correspondiente a:    I                       I    respaldo de la base de datos del sistema infomex del estado de puebla.    I         I    Aplicación:                  INFOMEX  PUEBLA    I    Tipo de Soporte:         RESPALDO       I    Observaciones:                I         I    Su petición fue atendida    I        I    http://documentos.inai.org.mx/tmp/infomexPUEBLA_backup_2020-11-18_1251.bak    I        I         I          I                Favor de validar.    I         I    Estatus:                               Concluido.    I        I    " u="1"/>
        <s v="Desarrollo e implementación de los web services para comunicarse con SAIMEX" u="1"/>
        <s v="Se aplica testado de datos al folio: 0064100540220." u="1"/>
        <s v="En recurso de revision, se cambia la validacion al momento de cargar archivos, se cambia el alcance de una variable de nivel funcion a global para que sea accesible en todo momento del proceso" u="1"/>
        <s v="se generan los servicios de Eje y los componentes de Eje: formulario, modal, busqueda, vista" u="1"/>
        <s v="    I    Notificación de seguimiento  [  MA1711202003 ]      I         I         I    Estimado(a):                     Laura Mónica Segovia Tellez    I         I         I    Le informamos que su ticket correspondiente a:    I                       I    En relación con la notificación del requerimiento de información adicional del RRA 9872/20, se notificó en la PNT el 12 de noviembre y el plazo correcto para desahogo es el 18 de noviembre, porque el acuerdo señala como plazo 3 días con posterioridad a la notificación.    I        I    La Unidad de Transparencia del sujeto obligado observa que hoy fenece el plazo establecido en la PNT.    I         I    Aplicación:                  SIGEMI    I    Tipo de Soporte:         CAMBIO DE FECHA     I    Observaciones:                I         I    Su petición fue atendida    I    " u="1"/>
        <s v="Realizar la clase Controller, Service, Dao para la operación del envio de correo electronico para las notificaciones de pizarras" u="1"/>
        <s v="Generación de script para conectores de extracción" u="1"/>
        <s v="Notificación de seguimiento [ MA2701202002 ]     I          I          I     Estimado(a): Lizbeth Adriana Cabrera Ortega    I          I     Le informamos que su ticket correspondiente a:    I          I     Solicito de su valioso apoyo a fin de modificar la fecha de interposición al día hábil siguiente:    I         I     DEBE DECIR 24 DE ENERO.    I         I          I     Aplicación: SIGEMI    I     Tipo de Soporte: Actualización de fecha de interposición     I     Observaciones:     I          I     Su petición fue atendida" u="1"/>
        <s v="Se aplica eliminación de formato de pago manual: 1113700012619." u="1"/>
        <s v="Se sustituye archivo adjunto  del folio:  0002700128821" u="1"/>
        <s v="Se aplica testado de datos al folio:  0064103214920" u="1"/>
        <s v="Notificación de seguimiento  [  MA2802202012 ]      I         I         I    Estimado(a):                     Lizbeth Adriana Cabrera Ortega    I         I    Le informamos que su ticket correspondiente a:    I                       I    Solicitando su amable apoyo para modificar la fecha de interposición al día hábil siguiente, de los recursos citados a continuación:    I        I    DEBE DECIR 26 FEBRERO    I        I        I    25/02/2020 25/02/2020 21:00 PM Juan Carlos Alejandro Robles Rodríguez SEGOB 0000400431519    I    25/02/2020 25/02/2020 21:07 PM Juan Carlos Alejandro Robles Rodríguez SEGOB 0000400431619    I    25/02/2020 25/02/2020 21:35 PM José Juan Sánchez Contreras IMSS 0064100172920    I        I        I        I    DEBE DECIR 28 DE FEBRERO    I        I        I    27/02/2020 27/02/2020 18:43 PM Francisco Escofet Artigas IMSS 0064100298020    I    27/02/2020 27/02/2020 19:27 PM Aurora Reyna Zapata BIENESTAR 0002000007120    I    27/02/2020 27/02/2020 23:07 PM Eduardo Olivares SEP 0001100036820    I        I        I         I    Aplicación:                  SIGEMI    I    Tipo de Soporte:         Actualización de fechas de interposición      I    Observaciones:                I         I    Su petición fue atendida    I        I        I         I         I        I         I                Favor de validar.    I         I    Estatus:                               Concluido.    I        I        I    " u="1"/>
        <s v="Desarrollo de la función para el módulo de la descarga de archivos masivos relacionados con las solicitudes de información" u="1"/>
        <s v="Corrección incidencias QA Ciclo 1" u="1"/>
        <s v="Testado de datos y sustituir archivo adjunto  del folio:  1200900004021" u="1"/>
        <s v="Se sustituye archivo adjunto  del folio:  0064103310320" u="1"/>
        <s v="Actualización y pruebas de funcionalidad de campus Civil 3.7.3" u="1"/>
        <s v="Carga de acta PROSAN" u="1"/>
        <s v="Se testan los datos  del folio: 0064101363321" u="1"/>
        <s v="Se testan los datos  del folio: 0064101373321" u="1"/>
        <s v="Se  testan los datos de la solicitud con folio 1816400140021    I         I    " u="1"/>
        <s v="Incidencias reportadas por el área usuaria" u="1"/>
        <s v="Crear metodos para obtener resultados" u="1"/>
        <s v="El usuario solicita nuevamente el desbloqueo y reinicio de usuario CBOCANEGRA" u="1"/>
        <s v="Se elimina la respuesta del folio: 0064102373021" u="1"/>
        <s v="Analisis sector administracion " u="1"/>
        <s v="Se sustituye archivo adjunto  del folio:  0002700145021" u="1"/>
        <s v="    I    Notificación de seguimiento  [  MA1208202003 ]      I         I         I    Estimado(a):                     Lic. Mario Medrano    I         I    Le informamos que su ticket correspondiente a:    I                       I    corregir dentro del SIGEMI los recursos de revisión RR/103/20 y RR/155/20 que corresponden a la ponencia de la Comisionada Luz María Mariscal Cárdenas, ya que por error se seleccionaron para desechar, sin ser notificados aún,  cuando estos debieron ser admitidos, por lo que solicito si pueden regresar ese paso para poder realizar el trámite correcto del recurso en el sistema. Intente realizarlo en el paso de reconducción pero no lo me fue posible.     I         I    Aplicación:                  SIGEMI    I    Tipo de Soporte:         REGRESO DE PASOS  ( 2 )    I    Observaciones:                I         I    Su petición fue atendida    I    " u="1"/>
        <s v="Se aplica testado de datos al folio: 0000700086720." u="1"/>
        <s v="Notificación de seguimiento  [  MA0708202004 ]      I         I         I    Estimado(a):                     Edgar Michel Loaeza Martínez    I         I    Le informamos que su ticket correspondiente a:    I                       I    alta los certificados que se adjuntan, sujeto obligado del Servicio de Administración Tributaria.    I         I    CLAVE DE SUJETO OBLIGADO NOMBRE DEL SUJETO OBLIGADO TITULAR DE UNIDAD DE ENLACE O SUPLENTE DESIGNADO CERTIFICADO ACTUAL CORREO ELECTRÓNICO CONTRASEÑA INFOMEX CONTRASEÑA HCOM    I    06103 Fideicomiso para administrar la contraprestación del artículo 16 de la Ley Aduanera LIC. CLAUDIA RIVERA ARRIETA 6103.Claudia.Rivera.Arrieta.cer accesat01@sat.gob.mx    I        I    sisi06103 hcom06103    I    06105 Fideicomiso Programa de Mejoramiento de los medios de informática y control de las Autoridades Aduaneras. LIC. CLAUDIA RIVERA ARRIETA 6105.Claudia.Rivera.Arrieta.cer accesat01@sat.gob.mx    I    sisi06105 hcom06105    I        I         I    Aplicación:                  HCOM    I    Tipo de Soporte:         CAMBIO DE TUT ( 2 )      I    Observaciones:                I         I    Su petición fue atendida    I    " u="1"/>
        <s v="Montar el aplicativo en local y analizar el código" u="1"/>
        <s v="Notificación de seguimiento [ MA0801202005 ]     I          I          I     Estimado(a): Pedro Esquivel Martínez    I          I     Le informamos que su ticket correspondiente a:    I          I     Anexo el registro actualizado del certificado del Titular de la Unidad de Enlace del “INSTITUTO NACIONAL DE PERINATOLOGÍA.”. Lo anterior a fin de que sus accesos sean habilitados en los otros sistemas que administra este Instituto (HCOM). CAMBIO DE CERTIFICADO, en cuanto se reciba la atención en HCOM se realizará la actualización de los demás sistemas correspondientes.    I         I         I          I     Aplicación: HCOM    I     Tipo de Soporte: Actualizacion de certificado     I     Observaciones:     I          I     Su petición fue atendida" u="1"/>
        <s v="Se  testan los datos del folio: 0064100738421" u="1"/>
        <s v="desarrollo modal histórico modulo Unidad de transparencia" u="1"/>
        <s v="Notificación de seguimiento [ MA2901202007 ]     I          I          I     Estimado(a): Cassandra Ávalos Vázquez    I          I     Le informamos que su ticket correspondiente a:    I          I     En virtud de las atenciones a las determinaciones del Pleno de este Instituto, por este medio solicito su amable apoyo, a efecto de que en la Plataforma Nacional de Transparencia, por lo que hace al recurso de revisión RRD 0014/20 vs IMSS se realicen las siguientes modificaciones:    I         I     Ø Regresar al paso “admitir, prevenir, desechar”.    I         I     Una vez realizado lo anterior:    I         I     Ø Se deje de señalar como medio para recibir notificaciones el correo electrónico y se señale “Domicilio físico”, ya que la notificación de admisión se realizará mediante Sepomex por así haberlo solicitado el particular en su recurso de revisión.    I         I     Lo anterior, con la finalidad de poder confirmar la notificación de la admisión al particular en el medio que indicó y, eventualmente, poder liberar el recurso para notificar su respectiva resolución.     I         I          I     Aplicación: SIGEMI    I     Tipo de Soporte: REGRESO DE PASOS y CAMBIO DE MEDIO" u="1"/>
        <s v="Se aplica eliminación de última respuesta: 0001200048020" u="1"/>
        <s v="Evalución y diseño de los posibles modelos predictivos, arquitectura y ontología" u="1"/>
        <s v="    I    Notificación de seguimiento  [  MA1103202006 ]      I         I         I    Estimado(a):                     Pedro Esquivel Martínez    I         I    Le informamos que su ticket correspondiente a:    I                       I    cambio de Titular para Fideicomisos ISSFAM    I        I    Clave Presupuestal Fideicomiso ISSFAM Actual Titular Descripción de los Certificados a Generar Contraseña    I    07151 Contrato de Mandato para el Pago de Haberes de Retiro, Pensiones y Compensaciones ISSFAM F1 Mayolo Luis Aguilar 07151.Mayolo.Luis.Aguilar sisi07151     I    hcom07151    I    07152 Fideicomiso de Administración y Operación del ISSFAM ISSFAM F2 Mayolo Luis Aguilar 07152.Mayolo.Luis.Aguilar sisi07152    I    hcom07152    I        I         I    Aplicación:                  HCOM    I    Tipo de Soporte:         CAMBIO DE TITULAR ( 2 )      I    " u="1"/>
        <s v="Se testan los datos  del folio:   0064101362221" u="1"/>
        <s v="    I    Notificación de seguimiento  [  MA2402202008 ]      I         I         I    Estimado(a):                     Sandra Steffany Díaz Sosa    I         I    Le informamos que su ticket correspondiente a:    I                       I    En relación con el recurso de revisión RRA-RCRD 01984/20 (FGR), solicito de su invaluable apoyo para que en la Plataforma Nacional de Transparencia se corrija el medio de notificación a la parte recurrente en virtud de que el correo electrónico referido por ésta, fue registrado de manera errónea    I         I    Aplicación:                  SIGEMI    I    Tipo de Soporte:         Corrección de correo       I    Observaciones:                I         I    Su petición fue atendida    I    " u="1"/>
        <s v="prueba para que la contraseña en carga masiva no se modifique " u="1"/>
        <s v="    I    Notificación de seguimiento  [  MA2304202002 ]      I         I         I    Estimado(a):                     BERENICE HERNANDEZ SUMANO     I         I    Le informamos que su ticket correspondiente a:    I                       I    Modificación de los plazos para Cumplimientos y Alegatos    I         I    Aplicación:                  SIGEMI    I    Tipo de Soporte:         AJUSTE DE PLAZOS       I    Observaciones:                I         I    Su petición fue atendida, en caso de las fechas relacionadas con Alegatos, la actualización se realiza en automático    I         I    " u="1"/>
        <s v="Se realiza la eliminación del formato de pago del folio 1113100039820 " u="1"/>
        <s v="Definición de ontología" u="1"/>
        <s v="Evaluación y diseño para lematización" u="1"/>
        <s v="Notificación de seguimiento  [  MA1311202007 ]      I         I         I    Estimado(a):                     Pedro Esquivel Martínez    I         I         I    Le informamos que su ticket correspondiente a:    I                       I    la asignación del Certificado en el HCOM para el &quot;Organismo Coordinador de las Universidades para el Bienestar Benito Juárez García&quot;.     I         I    Aplicación:                  HCOM    I    Tipo de Soporte:         CAMBIO TUT       I    Observaciones:                I         I    Su petición fue atendida, se realizó el cambio de titular, ya que anteriormente el usuario titular correspondía a otro nombre, es importante mencionar que en hcom el Sujeto Obligado tiene la clave 11600    I         I          I    " u="1"/>
        <s v="Se sustituye archivo adjunto del folio: 0000700063920." u="1"/>
        <s v="    I    Notificación de seguimiento  [  MA1203202006 ]      I         I         I    Estimado(a):                     Adriana Elizabeth Hernández Garcia    I         I    Le informamos que su ticket correspondiente a:    I                       I    Por medio del presente te comento que al validar el paso denominado Registro de la Resolución Firmada relativo al recurso:     I        I    RRA 8835/19    I        I    la PNT se queda pasmada y NO APARECEN las ventanas donde se registran las fechas de firma de los comisionados; de tal manera que queda en blanco.      I    Al respecto, te solicito se realicen las gestiones necesarias a efecto de que se pueda validar el paso referido y así estar en condición de cargar las fechas y que pueda ser notificada la resolución.    I        I        I         I    Aplicación:                  SIGEMI    I    Tipo de Soporte:         Corrección de incidencia       I    " u="1"/>
        <s v="Ejecución de pasos OT Campus Civil" u="1"/>
        <s v="    I    Buenas tardes Joel, tu petición fue atendida, favor de validar     I        I    Saludos     I        I    Marina Adame Velasco    I        I    Notificación de seguimiento  [  MA3004202005 ]      I        I    Aplicación:                  INFOMEX COLIMA    I    Tipo de Soporte:         AJUSTE DE PLAZOS    I    Estatus:                               Concluido.    I        I    " u="1"/>
        <s v="Buenas tardes, les informo que el respaldo de su base de datos de esta semana ya está en el repositorio…       I    http://documentos.inai.org.mx/tmp/infomexNL_backup_2021-06-14_0800.bak    I    Saludos Cordiales    I    Marina Adame Velasco           I        I        I    Notificación de seguimiento  [  MA1406202112 ]    I         I    Aplicación:                  INFOMEX GUERRERO     I    Tipo de Soporte:         RESPALDO DE BD      I        I    Estatus:                               Concluido    I        I        I    " u="1"/>
        <s v="Se contesta la queja con todos los parametros faltantes, se añaden validaciones extras" u="1"/>
        <s v="Buenas tardes Martha, tu petición fue atendida, favor de validar     I        I    Saludos     I        I    Marina Adame Velasco    I        I    Notificación de seguimiento  [  MA0309202006 ]      I        I    Aplicación:                  INFOMEX NUEVO LEÓN    I    Tipo de Soporte:         AJUSTE DE PLAZOS        I    Estatus:                               Concluido    I    " u="1"/>
        <s v="Generación de script para creación de vocabulario" u="1"/>
        <s v="Cambios de Titulares INDEP " u="1"/>
        <s v="Se actualizaron valores en turnos a dependencia 641" u="1"/>
        <s v="Notificación de seguimiento  [  MA2501202101 ]      I         I         I    Estimado(a):                     BERENICE HERNÁNDEZ SUMANO    I          I    Le informamos que su ticket correspondiente a:    I                       I    RESPALDO SEMANAL DE LA BASE DE DATOS INFOMEX    I         I    Aplicación:                  INFOMEX OAXACA    I    Tipo de Soporte:         RESPALDO       I    Observaciones:                I         I    Su petición fue atendida, se subió el respaldo de su base de datos de esta semana…    I        I        I    http://documentos.inai.org.mx/tmp/infomexOAX_backup_2021-01-25_0800.bak    I        I        I    NOTA: El respaldo estará disponible una semana      I        I          I                Favor de validar.    I         I    Estatus:                               Concluido.    I        I    " u="1"/>
        <s v="Se cambió el tipo de solicitud del folio:  000270009392" u="1"/>
        <s v="Notificación de seguimiento  [  MA0910202001 ]      I         I         I    Estimado(a):                     Berenice Hernández Sumano    I         I    Le informamos que su ticket correspondiente a:    I                       I    Por este medio solicito su apoyo para poder aplicar las afectaciones a las fechas:  Entrega de información relacionada con el Cumplimiento y Entrega de Alegatos y manifestaciones, de los recursos señalados en el archivo adjunto…    I        I    Asimismo solicitó pueda liberarse la actividad de cumplimiento en el perfil de los sujetos obligados ya que desde SICOM esta actividad se cierra cuando vence el plazo de 10 días y la actividad de entrega de alegatos que vence en un plazo de 7 días.    I        I         I    Aplicación:                  SIGEMI    I    Tipo de Soporte:         MODIFICACIÓN DE FECHAS      I    Observaciones:                I         I    Su petición fue atendida, se realizó la actualización de fechas limite de votación y fechas de cumplimientos enviados, también se reactivó la notificación de cumplimiento ( actividad 39 ) en los cumplimientos enviados para la modificación de fechas.     I        I    Respecto a las fechas limite de la actividad ENVIO DE ALEGATOS, el sistema las calcula de manera automatica basada en la configuración del Estado y su calendario.    I        I         I                Favor de validar.    I         I    Estatus:                               Concluido.    I    " u="1"/>
        <s v="App para descargar archivos por HTTP" u="1"/>
        <s v="    I    Notificación de seguimiento  [  MA0311202004 ]      I         I         I    Estimado(a):                     Edgar Michel Loaeza Martínez    I         I         I    Le informamos que su ticket correspondiente a:    I                       I    dar de alta los certificados que se adjuntan, sujetos obligados de la Comisión Nacional del Agua.    I         I    Aplicación:                  HCOM    I    Tipo de Soporte:         CAMBIO TUT   ( 2 )    I    Observaciones:                I         I    Su petición fue atendida    I         I          I    " u="1"/>
        <s v="Generación de certificado para: Eva Acevedo Villafuerte." u="1"/>
        <s v="Notificación de seguimiento  [  MA1311202003 ]      I          I    Estimado(a):                     Guadalupe Oropeza Torres    I          I    Le informamos que su ticket correspondiente a:    I                       I    En relación con el recurso de revisión RRD 01603/20 vs IMSS, se observa que el recurrente no señaló un medio para oír y recibir notificaciones, por lo que en términos del artículo 98, fracción IV de la Ley General de Protección de Datos Personales en Posesión de Sujetos Obligado, las notificaciones se realizarán en los estrados de este Instituto.     I        I    En ese sentido, solicito su valioso apoyo para que en la Plataforma Nacional de Transparencia se actualice el medio de notificación que eligió el recurrente, a saber, por los estrados de este Instituto. Ello con el propósito de notificar el acuerdo de prevención del 12 de noviembre de 2020, mismo que se adjunta al presente.     I         I    Aplicación:                 SIGEMI    I    Tipo de Soporte:         CAMBIO DE MEDIO     I    Observaciones:                I         I    Su petición fue atendida    I    " u="1"/>
        <s v="Página de Directorio de Enlaces" u="1"/>
        <s v="Se sustituye archivo adjunto  del folio:  0064103310820" u="1"/>
        <s v="Actualización de insumos área usuaria" u="1"/>
        <s v="Se envía respaldos semanales de base de datos " u="1"/>
        <s v="Se aplica eliminación de formato de pago: 0064100414321" u="1"/>
        <s v="Respaldar Curso 10  de la plataforma anterior y restaurar en plataforma actual " u="1"/>
        <s v="Notificación de seguimiento  [  MA1908202005 ]      I         I         I    Estimado(a):                     Sergio Rafael Cortés Alpizar    I         I    Le informamos que su ticket correspondiente a:    I                       I    se cambie el medio de notificación a domicilio físico y se anexe el domicilio en la Plataforma Nacional de Transparencia de los recursos de revisión:    I         I    RRA 6361/20 vs API MAZATLÁN    I    RRA 6371/20 vs API MAZATLÁN    I    RRA 6376/20 vs API VALLARTA    I    RRA 6381/20 vs API VALLARTA    I    RRA 6386/20 vs API VALLARTA    I         I    Lo anterior siendo que es el mismo recurrente y solicito el cambio en sus recursos.    I        I         I    Aplicación:                  SIGEMI    I    Tipo de Soporte:         CAMBIO DE MEDIO Y ACTUALIZACIÓN DE DOMICILIO ( 5 )      I    " u="1"/>
        <s v="Respaldar Curso 11  de la plataforma anterior y restaurar en plataforma actual " u="1"/>
        <s v="Respaldar Curso 12  de la plataforma anterior y restaurar en plataforma actual " u="1"/>
        <s v="Análisis de Solicitud y respuesta " u="1"/>
        <s v="Respaldar Curso 13  de la plataforma anterior y restaurar en plataforma actual " u="1"/>
        <s v="Respaldar Curso 1 de Repositorio INAI  de la plataforma anterior y restaurar en plataforma actual " u="1"/>
        <s v="Respaldar Curso 14  de la plataforma anterior y restaurar en plataforma actual " u="1"/>
        <s v="Respaldar Curso 15  de la plataforma anterior y restaurar en plataforma actual " u="1"/>
        <s v="Notificación de seguimiento  [  MA2009202201 ]    I        I    Estimado(a):                Alondra Jiménez Hernández    I        I        I        I     Le informamos que su ticket correspondiente a:    I        I        I                       I    Debido al vencimiento del certificado, te pido sea generado un certificado genérico a nombre del TUT y que con el mismo sea habilitado en la HCOM. Los datos son los siguientes:    I    Clave_x0009_Sujeto obligado_x0009_Nombre del Titular de la Unidad de Transparencia_x0009_Correo electrónico_x0009_Contraseña    I    11088_x0009_Centro de Investigación en Materiales Avanzados, S.C._x0009_María Amparo Sánchez Olivas_x0009_maria.sanchez@cimav.edu.mx    I    Ver archivo adjunto    I         I        I    Aplicación:                 HCOM    I    Tipo de Soporte:        RENOVACIÓN DE CERTIFICADO Y ACTUALIZACIÓN EN HCOM" u="1"/>
        <s v="Respaldar Curso 16  de la plataforma anterior y restaurar en plataforma actual " u="1"/>
        <s v="Se sustituye archivo del folio 0673800081021" u="1"/>
        <s v="Respaldar Curso 17  de la plataforma anterior y restaurar en plataforma actual " u="1"/>
        <s v="Respaldar Curso 18  de la plataforma anterior y restaurar en plataforma actual " u="1"/>
        <s v="Respaldar Curso 19  de la plataforma anterior y restaurar en plataforma actual " u="1"/>
        <s v="    I    Notificación de seguimiento  [  MA2409202008 ]      I         I         I    Estimado(a):                     Sergio Rafael Cortés Alpizar    I         I    Le informamos que su ticket correspondiente a:    I                       I    Por medio del presente, solicito el regreso de actividad a &quot; Admitir / Prevenir / Desechar&quot; y se eliminen la notificación de prevención del siguiente recurso de revisión:    I         I    RRA 3961/20 vs UNAM    I         I    Lo anterior se debe a que por un error involuntario se anexo un archivo mal y se enviara de nuevo el acuerdo correcto.    I         I         I    Aplicación:                  SIGEMI    I    Tipo de Soporte:         REGRESO DE PASOS      I    Observaciones:                I         I    Su petición fue atendida    I    " u="1"/>
        <s v="    I    Notificación de seguimiento  [  MA3108202102 ]    I        I    Estimado(a):                Alondra Jiménez Hernández    I        I         I     Le informamos que su ticket correspondiente a:    I                       I    Se solicita la actualización de los certificados, por motivo del cambio de Titular de la Unidad de Transparencia, de los siguientes sujetos obligados, esto para que sean actualizados y se habilite el acceso en la Herramienta de Comunicación de cada uno.    I         I    Clave Sujeto obligado    I    06571 Fondo de Capitalización e Inversión del Sector Rural    I        I         I    Aplicación:                  HCOM    I    Tipo de Soporte:         CAMBIO DE TUT        I    Observaciones:                I         I    Su petición fue atendida    I    " u="1"/>
        <s v="Se sustituye archivo adjunto  del folio:  0064103310920" u="1"/>
        <s v="Se aplica sustitución de archivo al folio: 1117100024120" u="1"/>
        <s v="Notificación de seguimiento  [  MA1703202005 ]      I         I         I    Estimado(a):                     Moisés Guzmán Arias    I         I    Le informamos que su ticket correspondiente a:    I                       I    Se corrija el correo electrónico del recurso RR-108/2020      I        I    Correo actual e incorrecto: hugo.flores@udlap.mx    I        I    Correo correcto: hugo.floresaz@udlap.mx    I        I         I    Aplicación:                  SIGEMI    I    Tipo de Soporte:         CAMBIO DE CORREO     I    Observaciones:                I         I    Su petición fue atendida    I        I    " u="1"/>
        <s v="Se aplica testado de datos personales: 0064100568120." u="1"/>
        <s v="Se aplica testado de datos al folio: 0064100678220." u="1"/>
        <s v="Cambios área usuaria footer" u="1"/>
        <s v="Notificación de seguimiento  [  MA2810202005 ]      I         I         I    Estimado(a):                     Moisés Guzmán Arias    I         I    Le informamos que su ticket correspondiente a:    I                       I    se lleve a cabo la corrección de la fecha de votación del pleno para el recurso de revisión con número RR-0197/2020, actualmente tiene la fecha 27/10/2020 y la fecha correcta es 21/10/2020, lo anterior en base a la petición realizada por la Dirección Jurídico Consultiva de éste Instituto.    I         I         I    Aplicación:                  SIGEMI    I    Tipo de Soporte:         ACTUALIZACIÓN DE FECHA       I    Observaciones:                I         I    Su petición fue atendida    I     " u="1"/>
        <s v="Reinstalación campus público en nuevo server de desarrollo" u="1"/>
        <s v="Se sustituye archivo adjunto  del folio:  0002700099721" u="1"/>
        <s v="Creación de vista para output" u="1"/>
        <s v="Notificación de seguimiento  [  MA0411202004 ]      I         I         I    Estimado(a):                     Jaime Enrique López Muñoz    I         I    Le informamos que su ticket correspondiente a:    I                       I    En relación con el recurso de revisión RRD 01628/20 vs SFP el recurrente en un inicio señaló como vía de notificación a través de los estrados de este Instituto, medio que se le tuvo como designado para tales efectos. Sin embargo, mediante la presentación de su escrito de alegatos, el recurrente modifica ese medio de notificación, señalando expresamente una cuenta de correo electrónico para efecto de notificaciones, a saber: robinvaldovinos@gmail.com; razón por lo que se solicita de su valioso apoyo a efecto de que en la Plataforma Nacional de Transparencia (PNT) se cambie el medio de notificación del recurrente a dicho medio electrónico, a efecto de que pueda recibir las notificaciones correspondientes.    I         I    Aplicación:                  SIGEMI    I    Tipo de Soporte:         CAMBIO DE MEDIO Y CORREO    I    Observaciones:                I         I    Su petición fue atendida    I    " u="1"/>
        <s v="Se agregan scrolls visuales en las pantallas de solicitudes de informacion publica y de datos personales" u="1"/>
        <s v="Analisis Acta Constitucion " u="1"/>
        <s v="Mejoras en la alta de estructuras normativas -SIPOT" u="1"/>
        <s v="Galerías fotográficas" u="1"/>
        <s v="Se crean querys para plantillas respuesta faltantes en DB 78. Se crean querys para nueva sección en tipos de respuesta 10,18,76 y se agrega a todos los OG con configuraciones de ese tipo." u="1"/>
        <s v="Notificación de seguimiento  [  MA1410202001 ]      I         I         I    Estimado(a):                     Alondra Jiménez Hernández    I         I    Le informamos que su ticket correspondiente a:    I                       I    Anexo el registro actualizado del certificado del Titular de la Unidad de Transparencia de los siguientes sujeto obligados para su renovación en la Herramienta de Comunicación:    I         I    Clave Sujeto obligado    I    11404 Fideicomiso N° 030051-4    I    11405 Fondo de Retiro Voluntario y Liquidaciones del Personal de Ciateq, A.C.    I         I         I    Aplicación:                  HCOM    I    Tipo de Soporte:         CAMBIO DE CERTIFICADO ( 2 )      I    " u="1"/>
        <s v="se genera certificado para: Hilda.de.la.Torre.Amorós." u="1"/>
        <s v="Generar servicios Back de respuesta a notificaciones" u="1"/>
        <s v="    I    Buenas tardes Guillermo, tu petición fue atendida, favor de validar     I        I    Saludos     I        I    Marina Adame Velasco    I        I    Notificación de seguimiento  [  MA2809202005 ]      I        I    Aplicación:                  INFOMEX BCN    I    Tipo de Soporte:         REPORTE       I    Estatus:                               Concluido.    I        I    " u="1"/>
        <s v="Buenas tardes Alan, te informo que el respaldo de su base de datos de esta semana ya está en el repositorio…       I        I        I    http://documentos.inai.org.mx/tmp/infomex_tlaxcala_backup_2020-07-06_0800.bak    I        I        I    NOTA: El respaldo estará disponible una semana.    I        I    " u="1"/>
        <s v="Buenas tardes Alan, te informo que el respaldo de su base de datos de esta semana ya está en el repositorio…       I        I        I    http://documentos.inai.org.mx/tmp/infomex_tlaxcala_backup_2020-07-13_0800.bak    I        I        I    NOTA: El respaldo estará disponible una semana.    I        I    " u="1"/>
        <s v="Buenas tardes Alan, te informo que el respaldo de su base de datos de esta semana ya está en el repositorio…       I        I        I    http://documentos.inai.org.mx/tmp/infomex_tlaxcala_backup_2020-07-20_0800.bak    I        I        I    NOTA: El respaldo estará disponible una semana.    I        I    " u="1"/>
        <s v="Buenas tardes Alan, te informo que el respaldo de su base de datos de esta semana ya está en el repositorio…       I        I        I    http://documentos.inai.org.mx/tmp/infomex_tlaxcala_backup_2020-07-27_0800.bak    I        I        I    NOTA: El respaldo estará disponible una semana.    I        I    " u="1"/>
        <s v="Buenas tardes Alan, te informo que el respaldo de su base de datos de esta semana ya está en el repositorio…       I        I        I    http://documentos.inai.org.mx/tmp/infomex_tlaxcala_backup_2020-08-03_0800.bak    I        I        I    NOTA: El respaldo estará disponible una semana.    I        I    " u="1"/>
        <s v="Buenas tardes Alan, te informo que el respaldo de su base de datos de esta semana ya está en el repositorio…       I        I        I    http://documentos.inai.org.mx/tmp/infomex_tlaxcala_backup_2020-08-10_0800.bak    I        I        I    NOTA: El respaldo estará disponible una semana.    I        I    " u="1"/>
        <s v="Buenas tardes Alan, te informo que el respaldo de su base de datos de esta semana ya está en el repositorio…       I        I        I    http://documentos.inai.org.mx/tmp/infomex_tlaxcala_backup_2020-08-24_0800.bak    I        I        I    NOTA: El respaldo estará disponible una semana.    I        I    " u="1"/>
        <s v="Buenas tardes Alan, te informo que el respaldo de su base de datos de esta semana ya está en el repositorio…       I        I        I    http://documentos.inai.org.mx/tmp/infomex_tlaxcala_backup_2020-08-31_0800.bak    I        I        I    NOTA: El respaldo estará disponible una semana.    I        I    " u="1"/>
        <s v="Buenas tardes Alan, te informo que el respaldo de su base de datos de esta semana ya está en el repositorio…       I        I        I    http://documentos.inai.org.mx/tmp/infomex_tlaxcala_backup_2020-09-07_0800.bak    I        I        I    NOTA: El respaldo estará disponible una semana.    I        I    " u="1"/>
        <s v="Buenas tardes Alan, te informo que el respaldo de su base de datos de esta semana ya está en el repositorio…       I        I        I    http://documentos.inai.org.mx/tmp/infomex_tlaxcala_backup_2020-09-14_0800.bak    I        I        I    NOTA: El respaldo estará disponible una semana.    I        I    " u="1"/>
        <s v="Buenas tardes Alan, te informo que el respaldo de su base de datos de esta semana ya está en el repositorio…       I        I        I    http://documentos.inai.org.mx/tmp/infomex_tlaxcala_backup_2020-09-21_0800.bak    I        I        I    NOTA: El respaldo estará disponible una semana.    I        I    " u="1"/>
        <s v="Buenas tardes Alan, te informo que el respaldo de su base de datos de esta semana ya está en el repositorio…       I        I        I    http://documentos.inai.org.mx/tmp/infomex_tlaxcala_backup_2020-09-28_0800.bak    I        I        I    NOTA: El respaldo estará disponible una semana.    I        I    " u="1"/>
        <s v="Se aplica el testado de datos de la solicitud: 1117100231119" u="1"/>
        <s v="Desarrollo e implementación de mejoras en los portlets y web services detectadas en el ambiente productivo" u="1"/>
        <s v="Se desarrolla la seccion de estadisticas con las graficas" u="1"/>
        <s v="Se aplica sustitución de archivo al folio: 0110000019520." u="1"/>
        <s v="Se aplica el testado de datos de la solicitudes: 1117100005720 y 1117100005820." u="1"/>
        <s v="Buenas tardes Martha, tu petición fue atendida, favor de validar     I        I    Saludos     I        I    Marina Adame Velasco    I        I    Notificación de seguimiento  [  MA0810202004 ]      I        I    Aplicación:                  INFOMEX NUEVO LEÓN    I    Tipo de Soporte:         AJUSTE DE PLAZOS        I    Estatus:                               Concluido.    I        I        I    " u="1"/>
        <s v="Se cambio en los nativos de Android para mostrar el icono correcto del recent apps tray, tambien se realizaron pruebas en dispositivos fisicos y virtuales" u="1"/>
        <s v="Se aplica el cambio de modalidad de la solicitud: 0001100167220." u="1"/>
        <s v="    I    Notificación de seguimiento  [  MA0508202008 ]      I         I         I    Estimado(a):                     Rosalinda Coria Mosqueda    I         I    Le informamos que su ticket correspondiente a:    I                       I    Regresar a la actividad de (preparación del proyecto de resolución) de los siguientes recursos.    I        I    RRA 6515/20    I    RRA 6445/20    I    RRA 6160/20    I    RRA 6020/20    I    RRA 6310/20    I    RRA 6650/20    I        I        I         I    Aplicación:                  SIGEMI    I    Tipo de Soporte:         REGRESO DE PASOS ( 6 )     I    " u="1"/>
        <s v="    I    Notificación de seguimiento  [  MA1103202007 ]      I         I         I    Estimado(a):                     Lizbeth Adriana Cabrera Ortega    I         I    Le informamos que su ticket correspondiente a:    I                       I    Solicitando su valioso apoyo a fin de modificar la fecha de interposición pues ingresaron los recurso vía Infomex en un horario inhábil.    I        I    Agradezco la atención.    I        I    DEBE DECIR 10 DE MARZO    I        I    09/03/2020 09/03/2020 23:21 PM Angelica Godinez Bello INM 0411100018120 Protección de Datos Personales Electrónico    I        I        I        I         I    Aplicación:                  SIGEMI    I    Tipo de Soporte:         CAMBIO DE FECHA AL DÍA HÁBIL SIGUIENTE    I    " u="1"/>
        <s v="    I    Notificación de seguimiento  [  MA2010202002 ]      I         I         I    Estimado(a):                     Alma Lizbeth Peguero Rivera    I         I    Le informamos que su ticket correspondiente a:    I                       I        I    Espero se encuentren bien, solicito de su valioso apoyo para la eliminación de los siguientes recursos RRA 8969/20 OMGF y RRA 1254/20 BLIC, debido a que se encuentra doble en la PNT, para trabajar en mi paso, quedo atenta, sin más por el momento.    I         I    Aplicación:                  SIGEMI    I    Tipo de Soporte:         ELIMINAR RECURSO ( 2 )       I    Observaciones:                I         I    Su petición fue atendida, se realizó la corrección en los folios RRA 8969/20 y RRD 1254/20     I         I        I    " u="1"/>
        <s v="Pruebas endpoint CDMX" u="1"/>
        <s v="     I    Notificación de seguimiento  [  MA1903202004 ]      I         I         I    Estimado(a):                     JUAN PEDRO RAMIREZ FLORES    I         I    Le informamos que su ticket correspondiente a:    I                       I    solicito se realicen los cambios necesarios  para que los números de recursos queden en su forma correcta Te envío relación de como deberían de quedar los recursos dentro de la misma plataforma.    I        I         I    Aplicación:                  SIGEMI    I    Tipo de Soporte:         AJUSTE DE NÚMEROS DE FOLIOS      I    Observaciones:                I         I    Su petición fue atendida    I         I        I    " u="1"/>
        <s v="Se sustituye archivo adjunto del folio: 1816400033221" u="1"/>
        <s v="Notificación de seguimiento  [  MA2110202103 ]    I        I    Estimado(a):                Edgar Michel Loaeza Martínez    I        I         I     Le informamos que su ticket correspondiente a:    I                       I    Por medio del presente solicito su valioso apoyo a efecto de realizar el cambio de Titular de la Unidad de Transparencia de la Secretaría de la Función Pública.    I         I    Para tal efecto, anexo al presente el certificado y cédula de registro, lo anterior, a fin de que sus accesos sean habilitados en los sistemas que administra este Instituto (INFOMEX y HCOM).      I         I    Aplicación:                  HCOM              I    Tipo de Soporte:         CAMBIO DE TUT       I    " u="1"/>
        <s v="Definicion de campos para el registro de Usuario " u="1"/>
        <s v="Maquetación pantalla registro de usuarios con datos dummy" u="1"/>
        <s v="Activación de caracteristicas para la visualización de archivos" u="1"/>
        <s v="Se cambia el tipo de solicitud del folio: 857200105821" u="1"/>
        <s v="Conexión de API de Google para obtener información del usaurio logueado de Google" u="1"/>
        <s v="Se actualizó la fecha en solicitudes del SO IMSS" u="1"/>
        <s v="Se aplica eliminación de formato de pago manual: 0000500318619" u="1"/>
        <s v="Analisis de funcionalidad de Consulta de Usuarios " u="1"/>
        <s v="Notificación de seguimiento  [  MA2910202005 ]      I        I         I        I         I        I    Estimado(a):                     Alma Lizbeth Peguero Rivera     I        I         I        I         I        I    Le informamos que su ticket correspondiente a:    I        I                       I        I    solicito de su valioso apoyo para la eliminación del siguiente recurso RRA 10674-20, debido a que se encuentra doble en la PNT, para trabajar en mi paso    I        I         I        I    Aplicación:                  SIGEMI    I        I    Tipo de Soporte:         QUITAR DUPLICADO       I        I    Observaciones:                I        I         I        I    Su petición fue atendida    I        I     " u="1"/>
        <s v="Prueba de script de etiquetado automático" u="1"/>
        <s v="Buenas tardes Martha, tu petición fue atendida, favor de validar     I        I    Saludos     I        I    Marina Adame Velasco    I        I    Notificación de seguimiento  [  MA1304202004 ]      I        I    Aplicación:                  INFOMEX NUEVO LEÓN    I    Tipo de Soporte:         Corrección de plazo       I    Estatus:                               Concluido.    I    " u="1"/>
        <s v="Se reciben los formatos de Excel para el análisis de procesos y generación de la automatización de inserción de registros.  (Excel SISAI_catalogos.xls  y Tarea_estatus_Estados.xlsx)" u="1"/>
        <s v="En Proceso " u="1"/>
        <s v="Generación del script de concatenación de datos SIPOT" u="1"/>
        <s v="Se corrige al buscar quejas una validacion que marcaba como obligatorio el SO" u="1"/>
        <s v="Entrenamiento modelo multiple input" u="1"/>
        <s v="Notificación de seguimiento  [  MA0407202204 ]    I        I    Estimado(a):               Abraham Obed Gallardo González    I        I     Le informamos que su ticket correspondiente a:    I        I        I    Con el gusto de saludarte, en seguimiento a la actualización de la vigencia del .cer del TUT del INSABI, remito el certificado remitido por el personal de la unidad de transparencia de ese sujeto obligado con vigencia hasta el año 2027, lo anterior, con la finalidad de darlo de alta en el sistema HCOM.    I        I        I    Aplicación:                  HCOM    I    Tipo de Soporte:         GENERACIÓN DE CERTIFICADO     I    Observaciones:                I         I    Su petición fue atendida    I        I    " u="1"/>
        <s v="    I    Buenas tardes Hugo, tu petición fue atendida, adjunto script, favor de validar, en caso de que requieran algun otro dato estoy a sus ordenes     I        I    Saludos     I        I    Marina Adame Velasco    I        I    Notificación de seguimiento  [  MA3009202007 ]      I        I    Aplicación:                  INFOMEX CHIAPAS    I    Tipo de Soporte:         SCRIPT       I    Estatus:                               Concluido.    I        I    " u="1"/>
        <s v="Estimada Alejandra, anexo el reporte solicitado     I        I    Saludos     I        I    Marina Adame     I        I        I    Notificación de seguimiento  [  MA1808202108 ]    I        I    Aplicación:                  INFOMEX BCN    I    " u="1"/>
        <s v="Crear certificado para usuario del Sujeto Obligado MORENA" u="1"/>
        <s v="Notificación de seguimiento  [  MA2001202107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    I        I         I    Aplicación:                  INFOMEX NUEVO LEÓN    I    Tipo de Soporte:         AJUSTE DE PLAZOS       I    " u="1"/>
        <s v="Notificación de seguimiento  [  MA2001202108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    I        I         I    Aplicación:                  INFOMEX NUEVO LEÓN    I    Tipo de Soporte:         AJUSTE DE PLAZOS       I    " u="1"/>
        <s v="Notificación de seguimiento  [  MA2001202111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al 31 de enero de 2021; debiéndose considerar los días comprendidos dentro de dicho periodo como inhábiles para evitar la propagación del coronavirus COVID-19.    I        I         I    Aplicación:                  INFOMEX NUEVO LEÓN    I    Tipo de Soporte:         AJUSTE DE PLAZOS       I    " u="1"/>
        <s v="Se aplica testado de datos al folio: 0064100211321" u="1"/>
        <s v="Buenos días Yarenni, te informo que el respaldo semanal de su base ya se encuentra en el repositorio…    I        I        I    http://documentos.inai.org.mx/tmp/infomexGUERRERO_backup_2020-06-01_0800.bak    I        I        I         I    NOTA: El respaldo estará disponible una semana     I    " u="1"/>
        <s v="Buenos días Yarenni, te informo que el respaldo semanal de su base ya se encuentra en el repositorio…    I        I        I    http://documentos.inai.org.mx/tmp/infomexGUERRERO_backup_2020-06-08_0800.bak    I        I        I         I    NOTA: El respaldo estará disponible una semana     I    " u="1"/>
        <s v="Buenos días Yarenni, te informo que el respaldo semanal de su base ya se encuentra en el repositorio…    I        I        I    http://documentos.inai.org.mx/tmp/infomexGUERRERO_backup_2020-06-15_0800.bak    I        I        I         I    NOTA: El respaldo estará disponible una semana     I    " u="1"/>
        <s v="Buenos días Yarenni, te informo que el respaldo semanal de su base ya se encuentra en el repositorio…    I        I        I    http://documentos.inai.org.mx/tmp/infomexGUERRERO_backup_2020-06-22_0800.bak    I        I        I         I    NOTA: El respaldo estará disponible una semana     I    " u="1"/>
        <s v="Buenos días Yarenni, te informo que el respaldo semanal de su base ya se encuentra en el repositorio…    I        I        I    http://documentos.inai.org.mx/tmp/infomexGUERRERO_backup_2020-07-06_0800.bak    I        I        I         I    NOTA: El respaldo estará disponible una semana     I    " u="1"/>
        <s v="Buenos días Yarenni, te informo que el respaldo semanal de su base ya se encuentra en el repositorio…    I        I        I    http://documentos.inai.org.mx/tmp/infomexGUERRERO_backup_2020-07-13_0800.bak    I        I        I         I    NOTA: El respaldo estará disponible una semana     I    " u="1"/>
        <s v="Buenos días Yarenni, te informo que el respaldo semanal de su base ya se encuentra en el repositorio…    I        I        I    http://documentos.inai.org.mx/tmp/infomexGUERRERO_backup_2020-07-20_0800.bak    I        I        I         I    NOTA: El respaldo estará disponible una semana     I    " u="1"/>
        <s v="Buenos días Yarenni, te informo que el respaldo semanal de su base ya se encuentra en el repositorio…    I        I        I    http://documentos.inai.org.mx/tmp/infomexGUERRERO_backup_2020-07-27_0800.bak    I        I        I         I    NOTA: El respaldo estará disponible una semana     I    " u="1"/>
        <s v="Buenos días Yarenni, te informo que el respaldo semanal de su base ya se encuentra en el repositorio…    I        I        I    http://documentos.inai.org.mx/tmp/infomexGUERRERO_backup_2020-08-03_0800.bak    I        I        I         I    NOTA: El respaldo estará disponible una semana     I    " u="1"/>
        <s v="Buenos días Yarenni, te informo que el respaldo semanal de su base ya se encuentra en el repositorio…    I        I        I    http://documentos.inai.org.mx/tmp/infomexGUERRERO_backup_2020-08-10_0800.bak    I        I        I         I    NOTA: El respaldo estará disponible una semana     I    " u="1"/>
        <s v="Buenos días Yarenni, te informo que el respaldo semanal de su base ya se encuentra en el repositorio…    I        I        I    http://documentos.inai.org.mx/tmp/infomexGUERRERO_backup_2020-08-24_0800.bak    I        I        I         I    NOTA: El respaldo estará disponible una semana     I    " u="1"/>
        <s v="Buenos días Yarenni, te informo que el respaldo semanal de su base ya se encuentra en el repositorio…    I        I        I    http://documentos.inai.org.mx/tmp/infomexGUERRERO_backup_2020-08-31_0800.bak    I        I        I         I    NOTA: El respaldo estará disponible una semana     I    " u="1"/>
        <s v="Buenos días Yarenni, te informo que el respaldo semanal de su base ya se encuentra en el repositorio…    I        I        I    http://documentos.inai.org.mx/tmp/infomexGUERRERO_backup_2020-09-07_0800.bak    I        I        I         I    NOTA: El respaldo estará disponible una semana     I    " u="1"/>
        <s v="Buenos días Yarenni, te informo que el respaldo semanal de su base ya se encuentra en el repositorio…    I        I        I    http://documentos.inai.org.mx/tmp/infomexGUERRERO_backup_2020-09-14_0800.bak    I        I        I         I    NOTA: El respaldo estará disponible una semana     I    " u="1"/>
        <s v="Buenos días Yarenni, te informo que el respaldo semanal de su base ya se encuentra en el repositorio…    I        I        I    http://documentos.inai.org.mx/tmp/infomexGUERRERO_backup_2020-09-21_0800.bak    I        I        I         I    NOTA: El respaldo estará disponible una semana     I    " u="1"/>
        <s v="Buenos días Yarenni, te informo que el respaldo semanal de su base ya se encuentra en el repositorio…    I        I        I    http://documentos.inai.org.mx/tmp/infomexGUERRERO_backup_2020-09-28_0800.bak    I        I        I         I    NOTA: El respaldo estará disponible una semana     I    " u="1"/>
        <s v="Se  testan los datos del folio: 0000700095821 " u="1"/>
        <s v="Revision de lso catalogos para estructurar la base de datos" u="1"/>
        <s v="Submenú de eventos y memorias y página en blanco para la línea del tiempo" u="1"/>
        <s v="Se Construccion vista para resultados busqueda Servicios, tambien se construye un modelo y json de pruebas" u="1"/>
        <s v="Soporte Veracruz" u="1"/>
        <s v="24 de abril: Se intenta acceder a la VPN y cambiar varias configuraciones de la VPN para poder acceder a servidores sin éxito para revisar el error     I    26- abril: Se accede a VPN y se puede entrar a servidores y se revisa tablas, en diferentes periodos de tiempo, así como tambien se revisa los conssecutivos del sistema.    I    27 - abril: Se da respuesta al usuario directamente y se explica la situación" u="1"/>
        <s v="Desarrollo de notificaciones y adjunto de archivos" u="1"/>
        <s v="      I    Buenos días Alan, te informo que el respaldo de su base de datos de esta semana ya está en el repositorio…      I        I        I    http://documentos.inai.org.mx/tmp/infomex_tlaxcala_backup_2020-12_07_0800.bak    I        I         I    NOTA: El respaldo estará disponible una semana.    I         I         I    Saludos Cordiales    I         I    Marina Adame Velasco                                                                                              I    " u="1"/>
        <s v="      I    Buenos días Alan, te informo que el respaldo de su base de datos de esta semana ya está en el repositorio…      I        I        I    http://documentos.inai.org.mx/tmp/infomex_tlaxcala_backup_2020-12_14_0800.bak    I        I         I    NOTA: El respaldo estará disponible una semana.    I         I         I    Saludos Cordiales    I         I    Marina Adame Velasco                                                                                              I    " u="1"/>
        <s v="      I    Buenos días Alan, te informo que el respaldo de su base de datos de esta semana ya está en el repositorio…      I        I        I    http://documentos.inai.org.mx/tmp/infomex_tlaxcala_backup_2020-12_28_0800.bak    I        I         I    NOTA: El respaldo estará disponible una semana.    I         I         I    Saludos Cordiales    I         I    Marina Adame Velasco                                                                                              I    " u="1"/>
        <s v="    I    Notificación de seguimiento  [  MA1008202008 ]      I         I         I    Estimado(a):                     Lizbeth Adriana Cabrera Ortega    I         I    Le informamos que su ticket correspondiente a:    I                       I    Pido de tu valioso apoyo a fin de que sea incorporado el número de folio de solicitud al expediente electrónico del recurso RRD 1000/20    I         I    Lo anterior atiende a que por alcance la recurrente lo dio a conocer.    I         I    FOLIO 0064101163120    I         I    Asimismo, mucho agradezco se incorpore el acuerdo con el número de folio de solicitud.    I         I    Aplicación:                  SIGEMI    I    Tipo de Soporte:         ACTUALIZACION DE DATOS Y ARCHIVO      I    Observaciones:                I         I    Su petición fue atendida    I    " u="1"/>
        <s v="Módulo para la configuración de cursos" u="1"/>
        <s v="Se genera el pdf en buscador nacional" u="1"/>
        <s v="Creación de página Estados Financieros del INAI" u="1"/>
        <s v="Analisis de la Administracion de Roles " u="1"/>
        <s v="Reinstalación campus civil desde cero" u="1"/>
        <s v="Notificación de seguimiento [ MA2701202008 ]     I          I          I     Estimado(a): Tania Lizeth Valderrama Lumpaque    I          I     Le informamos que su ticket correspondiente a:    I          I     Por medio del presente, solicito su atenta colaboración a fin de que, con relación al recurso RRA 00063/20 sea regresado al paso “Preparación de Proyecto de Resolución”. Lo anterior, dado que el proyecto que se adjuntá al paso señalado hace referencias al recurso RRD 0063/20.     I         I     En razón de ello es que se requiere que se regrese el paso, a efecto de subir la versión final del proyecto de resolución correspondiente.     I         I         I          I     Aplicación: SIGEMI    I     Tipo de Soporte: REGRESO DE PASOS     I     Observaciones:     I          I     Su petición fue atendida" u="1"/>
        <s v="Avance mockups línea acción, Objetivos Pizarras 4" u="1"/>
        <s v="    I    Notificación de seguimiento  [  MA2003202002 ]      I         I         I    Estimado(a):                     JUAN PEDRO RAMIREZ FLORES    I         I    Le informamos que su ticket correspondiente a:    I                       I    Considerando que existiría un vacío en el recurso número RRAIP-526/2020, solicito de la manera mas atenta se le pudiera asignar a éste el número de folio 00604920 interpuesto en contra del sujeto obligado San Luis de la Paz, mismo que se encuentra en la bandeja de &quot;turnado de medios de impugnación&quot;.    I         I    Aplicación:                  SIGEMI    I    Tipo de Soporte:         cambio de número de folio      I    Observaciones:                I         I    Su petición fue atendida, aclaro que el siguiente recurso que se genere será el RRAIP-538/2020    I         I         I                Favor de validar.    I         I    Estatus:                               Concluido.    I    " u="1"/>
        <s v="Se comineza con el desarrollo y las adecuaciones a los servicios de actualizar el tipo de solicitud para cambiar de datos personales a informacion publica" u="1"/>
        <s v="Se sustituye archivo adjunto  del folio:  0002700022621" u="1"/>
        <s v="Notificación de seguimiento  [  MA0809202002 ]      I         I         I    Estimado(a):                     Laura Mónica Segovia Tellez    I         I    Le informamos que su ticket correspondiente a:    I                       I    El cambio corresponde al RRA 09082/20, por lo que te pido que hagas caso omiso al recurso 8342/20.    I        I         I    Aplicación:                  SIGEMI    I    Tipo de Soporte:         CAMBIO DE MEDIO       I    Observaciones:                I         I    Su petición fue atendida    I    " u="1"/>
        <s v="Notificación de seguimiento  [  MA2002202004 ]      I         I         I    Estimado(a):                     Moisés Guzmán Arias    I         I    Le informamos que su ticket correspondiente a:    I                       I    regresarse a la actividad de Envío de cumplimiento (Que permite al sujeto obligado enviar su cumplimiento)    I        I         I    Aplicación:                  SIGEMI    I    Tipo de Soporte:         REGRESO DE PASOS      I    Observaciones:                I         I    Su petición fue atendida    I    " u="1"/>
        <s v="Notificación de seguimiento  [  MA2602202107 ]      I         I         I    Estimado(a):                     JOSE FERMIN AGUILAR MANDUJANO    I         I         I    Le informamos que su ticket correspondiente a:    I                       I    cancelación de los siguientes folios de requerimientos en la Herramienta de Comunicación    I         I    Aplicación:                  HCOM    I    Tipo de Soporte:         ELIMINAR REQUERIMIENTOS        I    Observaciones:                I         I    Su petición fue atendida    I    " u="1"/>
        <s v="Adecuaciones a la notificación de registro de respuesta a notificación de cumplimiento por parte del sujeto obligado por otros medios" u="1"/>
        <s v="Se renombran dos dependencias: 06800 y 21161." u="1"/>
        <s v="Reasignación de usuario a información registrada en SIPOT. (Durango) Pruebas de visualización, asignación de ID_Padre a cuentas de UA´s. Seguimiento del caso." u="1"/>
        <s v="Soporte Coahuila" u="1"/>
        <s v="Crear certificado para usuario de SO FONACOT" u="1"/>
        <s v="    I    Notificación de seguimiento  [  MA0510202004 ]      I         I         I    Estimado(a):                     Adriana Elizabeth Hernández Garcia    I         I    Le informamos que su ticket correspondiente a:    I                       I    Por medio del presente te comento que al validar el paso denominado Registro de la Resolución Firmada relativo al recurso:     I        I    RRA 07315/20    I        I    la PNT se queda pasmada y NO APARECEN las ventanas donde se registran las fechas de firma de los comisionados; de tal manera que queda en blanco.      I    Al respecto, te solicito se realicen las gestiones necesarias a efecto de que se pueda validar el paso referido y estar en condición de continuar con el proceso de notificación de la resolución.    I        I         I    Aplicación:                  SIGEMI    I    Tipo de Soporte:         Corrección de incidencia       I    Observaciones:                I         I    Su petición fue atendida    I    " u="1"/>
        <s v="Notificación de seguimiento  [  MA0402202003 ]      I         I         I    Estimado(a):                     Alondra Jiménez Hernández    I         I    Le informamos que su ticket correspondiente a:    I                       I    Anexo el registro actualizado del certificado del Titular de la Unidad de Transparencia del FIDEICOMISO DE FORMACIÓN Y CAPACITACIÓN PARA EL PERSONAL  DE LA MARINA MERCANTE NACIONAL para su renovación en la Herramienta de Comunicación.    I         I    Aplicación:                  HCOM       I    Tipo de Soporte:         RENOVACIÓN DE CERTIFICADO       I    " u="1"/>
        <s v="Se sustituye archivo adjunto  del folio:  0064101158921" u="1"/>
        <s v="Carga de acción de inconstitucionalidad" u="1"/>
        <s v="Notificación de seguimiento  [  MA1102202002 ]      I         I         I    Estimado(a):                     Katya Elena Mesta de León    I         I    Le informamos que su ticket correspondiente a:    I                       I    Por medio del presente solicito tu amable apoyo para regresar el paso de envío de recordatorio dentro del RRA 15154/19.    I        I         I    Aplicación:                  SIGEMI    I    Tipo de Soporte:         REGRESO DE PASOS      I    Observaciones:                I         I    Su petición fue atendida    I    " u="1"/>
        <s v="Notificación de seguimiento  [  MA2809202201 ]    I        I    Estimado(a):                Abraham Obed Gallardo González    I         I     Le informamos que su ticket correspondiente a:    I        I    la actualización del .cer del CENAGAS, con base en la información que se adjunta.    I        I    Al respecto solicito nuevamente su apoyo para la actualización referida y el sujeto obligado se encuentre en condiciones de ingresar al sistema.    I        I         I    Aplicación:                  HCOM    I    Tipo de Soporte:         CAMBIO DE CERTIFICADO     I    Observaciones:                I         I    Su petición fue atendida.    I     " u="1"/>
        <s v="Carga de declaraciones patrimoniales" u="1"/>
        <s v="Generar certificados para Comisión Nacional de Libros de Texto Gratuitos" u="1"/>
        <s v="    I    Notificación de seguimiento  [  MA0112202002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del 01 al 18 de diciembre de 2020 y contando también el 2do periodo vacacional; debiéndose considerar los días comprendidos dentro de dicho periodo como inhábiles para evitar la propagación del coronavirus COVID-19.    I        I         I    Aplicación:                  INFOMEX NUEVO LEÓN    I    Tipo de Soporte:         AJUSTE DE PLAZOS       I    Observaciones:                I         I    Su petición fue atendida    I    " u="1"/>
        <s v="Actualización de contrasseña de usuario logueado" u="1"/>
        <s v="WS Quejas - Corrección de archivos y documentación para instalación en producción" u="1"/>
        <s v="Creación/modificación de servicios backend para la obtención de información" u="1"/>
        <s v="Respaldar Curso 3 de un minutoI  de la plataforma anterior y restaurar en plataforma actual " u="1"/>
        <s v="Analisis  del modulo de cambio de solicitud." u="1"/>
        <s v="validacion de contraseñas FTP" u="1"/>
        <s v="Publicación de boletín" u="1"/>
        <s v="Carga de videos en TV INAI" u="1"/>
        <s v="Creación de cuentas del jurado" u="1"/>
        <s v="validacion de cambios de integracion de Homoclave en generación de .pdf Declaración de Conflicto de intereses, y corrección de observaciones adicionales por parte del usuario final" u="1"/>
        <s v="Notificación de seguimiento  [  MA2508202102 ]    I        I    Estimado(a):                Berenice Hernández Sumano    I        I         I     Le informamos que su ticket correspondiente a:    I                       I    ya revise los ajustes pero hubo un error en la petición, solicite que el ajuste se realizará con fecha 27/08/2021, cuando la fecha correcta debe ser 27/09/2021 23:59.    I        I    Aplicación:                  INFOMEX OAXACA    I    Tipo de Soporte:         AJUSTE DE PLAZOS       I    Observaciones:                I         I    Su petición fue atendida    I    " u="1"/>
        <s v="Notificación de seguimiento  [  MA3108202103 ]    I        I    Estimado(a):                Leonardo Bustillos Dominguez    I        I         I     Le informamos que su ticket correspondiente a:    I                       I    realizar la eliminación del requerimiento IFAI-REQ-004017-2021, IFAI-REQ-004017-2021-A, toda vez que por un error involuntario se notificó a un Sujeto Obligado diverso.    I        I    Aplicación:                  HCOM    I    Tipo de Soporte:         ELIMINAR REQUERIMIENTO      I    Observaciones:                I         I    Su petición fue atendida    I    " u="1"/>
        <s v="Se aplica eliminación de formato de pago: 0001700761120" u="1"/>
        <s v="Servicio para LOGIN POR REDES SOCIALES( Twitter)" u="1"/>
        <s v="Búsqueda en la  pantalla (modal)  probar  la funcionalidad de compartir en redes sociales (whats app, twitter, correo electrónico)" u="1"/>
        <s v="Se aplica eliminación de formato de pago manual: 2800100002119." u="1"/>
        <s v="Notificación de seguimiento  [  MA2809202009 ]      I         I         I    Estimado(a):                     Laura Mónica Segovia Tellez    I         I    Le informamos que su ticket correspondiente a:    I                       I    Te comento que notifique el RRA 7702/20, el cuales un acuerdo de ampliación, la plataforma se tardó en responder y me marco error, en el histórico de acuses aparece el del particular, pero no el del Sujeto Obligado y en el tablero ya marca la ampliación.    I        I    Cabe señalar que el recurso el día de hoy es su día 40.    I        I        I         I    Aplicación:                  SIGEMI    I    Tipo de Soporte:         revisión de actividad       I    Observaciones:                I         I    Te comento que se generaron 2 acuses relacionados con la actividad de ampliación    I        I    " u="1"/>
        <s v="Se actualizaron valores para alta de Dependencia " u="1"/>
        <s v="Elaboración de script Infomex Colima para consultar archivos adjuntos  de solicitudes pendientes" u="1"/>
        <s v="Se  testan los datos del folio: 0064101685921" u="1"/>
        <s v="Integración de los componentes desarrollos de SISAI y del BUS de servicios" u="1"/>
        <s v="Notificación de seguimiento  [  MA0711202202 ]    I    Estimado(a):                Alondra Jiménez Hernández    I     Le informamos que su ticket correspondiente a:    I    Debido al vencimiento del certificado del responsable de transparencia, les pido sea generado un certificado genérico a nombre del TUT y que con el mismo sea habilitado en la HCOM. Los datos son los siguientes:    I    Clave_x0009_Sujeto obligado_x0009_Siglas HCOM_x0009_Nombre del Titular de la Unidad de Transparencia_x0009_Correo electrónico_x0009_Contraseña    I    18572_x0009_Petróleos Mexicanos_x0009_PEMEX_x0009_Luz María Zarza Delgado_x0009_luz.maria.zarza@pemex.com    I    Ver archivo adjunto    I        I    Aplicación:                 HCOM    I    Tipo de Soporte        GENERACIÓN DE CERTIFICADO Y ACTUALIZACIÓN EN HCOM " u="1"/>
        <s v="Se aplica eliminación de respuesta al folio: 1215101152219." u="1"/>
        <s v="Ambientación para campus Civil versión 3.7.3" u="1"/>
        <s v="Se sustituye el archivo adjunto de la solicitud con folio 0002700252821    I        I    " u="1"/>
        <s v="Notificación de seguimiento  [  MA1003202111 ]      I         I         I    Estimado(a):                     Edgar Michel Loaeza Martínez    I         I         I    Le informamos que su ticket correspondiente a:    I                       I    Por medio del presente solicito su valioso apoyo a efecto de realizar el cambio de certificado del Titular de la Unidad de Transparencia del Tribunal Superior Agrario.    I        I    Para tal efecto, anexo al presente el certificado, cédula de registro, lo anterior, a fin de que sus accesos sean habilitados en los sistemas que administra este Instituto (INFOMEX y HCOM).      I         I    Aplicación:                  HCOM    I    Tipo de Soporte:         RENOVACION DE CERTIFICADO       I    Observaciones:                I         I    Su petición fue atendida    I         I          I                Favor de validar.    I         I    Estatus:                               Concluido.    I        I    " u="1"/>
        <s v="Se analiza el nuevo requerimiento para servicio y se analiza y se desarrolla query para el servicio de si un usuario tiene solicitudes pendientes o no" u="1"/>
        <s v="Notificación de seguimiento  [  MA0911202001 ]      I         I         I    Estimado(a):                     Lizbeth Adriana Cabrera Ortega    I         I         I    Le informamos que su ticket correspondiente a:    I                       I    generación UN EXPEDIENTE del recurso de revisión posteriormente citado.    I         I    Asimismo, te comento que NO DEBERÁ CAMBIAR el sujeto obligado, ni el Comisionado correspondiente.     I         I     DICE                                        DEBE DECIR                         SUJETO OBLIGADO           PONENTE    I    RRA 12469/20 RRA 3209/19-BIS Secretaría de Comunicaciones y Transportes (SCT) OMGF    I         I    No omito comentarte que el número de expediente que deberá seguir en el consecutivo por turnar en PNT debe ser el RRA 12469/20.     I        I        I    Aplicación:                  SIGEMI    I    Tipo de Soporte:         CAMBIO A BIS       I    " u="1"/>
        <s v="Notificación de seguimiento  [  MA0106202003 ]      I         I         I    Estimado(a):                     Sergio Rafael Cortés Alpizar    I         I    Le informamos que su ticket correspondiente a:    I                       I    Por este medio solicito regresar los pasos en la Plataforma Nacional del Transparencia a “Registrar si la Prevención fue desahogada” del recurso de revisión    I        I    RRA 2721/20 vs RAN    I        I         I    Aplicación:                  SIGEMI    I    Tipo de Soporte:         REGRESO DE PASOS      I    Observaciones:                I         I    Su petición fue atendida    I    " u="1"/>
        <s v="Notificación de seguimiento  [  MA2206202007 ]      I         I         I    Estimado(a):                     Pedro Esquivel Martínez    I         I    Le informamos que su ticket correspondiente a:    I                       I    el cambio de certificado para los Fideicomisos a cargo de CONACYT; se anexan certificados    I        I                       I         I    Aplicación:                  HCOM    I    Tipo de Soporte:         CAMBIO TUT   (5)    I    Observaciones:                I         I    Su petición fue atendida, se realizó el cambio de Titular de los siguientes...    I    " u="1"/>
        <s v="Se  testan los datos y se sustituye el archivo del folio: 0064101945521" u="1"/>
        <s v="Envío de respaldo semanal de base de datos " u="1"/>
        <s v="Notificación de seguimiento  [  MA2601202203 ]    I        I    Estimado(a):                Pedro Esquivel Martínez    I        I         I     Le informamos que su ticket correspondiente a:    I                       I        I    por este medio Anexo el registro actualizado del certificado del Titular de la Unidad de Enlace de la “FONDO DE CULTURA ECONÓMICA”.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CAMBIO CERTIFICADO     I    " u="1"/>
        <s v="Instalación Campus Público " u="1"/>
        <s v="Se  sustituye el archivo de la solicitud con folio: 1816400182521" u="1"/>
        <s v="Se  testan los datos del folio: 0000700273521" u="1"/>
        <s v="Se  testan los datos del folio: 0002700173521" u="1"/>
        <s v="Se  testan los datos de la solicitud con folio 0064101151921    I         I    " u="1"/>
        <s v="Estimada Alejandra, adjunto el reporte solicitado     I        I    Saludos    I        I    Marina Adame    I        I    Notificación de seguimiento  [  MA1305202111 ]      I    Aplicación:                  INFOMEX BCN    I    " u="1"/>
        <s v="seccion 7 UT" u="1"/>
        <s v="Se aplica el cambio de modalidad a la solicitud: 1117100226619." u="1"/>
        <s v="Revisión de inpacto de camio de calendarios por SO" u="1"/>
        <s v="Revisión de logs para apache-tomcat" u="1"/>
        <s v="Reporta la Unidad de Enlace AFS que no puede aplicar solicitudes manuales." u="1"/>
        <s v="Se  testan los datos del folio: 1117100049321" u="1"/>
        <s v="Se aplica la generación de certificado para: Sonia.Nunez.Patlan." u="1"/>
        <s v="Aplicar cambios de análisis heurístico, cambio de imágenes grises en las pizarras, banner en el publico " u="1"/>
        <s v="Análisis de incidencias reportadas, asesorías  y soporte aplicativo durante el mes de marzo de 2020 en los Sistemas infomex Estados" u="1"/>
        <s v="Notificación de seguimiento  [  MA1404202115 ]      I         I         I    Estimado(a):                     ALEJANDRA TEJEDA    I         I         I    Le informamos que su ticket correspondiente a:    I                       I    solicito de la manera más atenta su apoyo para la rectificación de suspensión de plazos de un Sujeto obligado, específicamente Congreso del Estado de Baja California, dicho cambio modificaría las fechas de vencimiento de las solicitudes    I         I    Aplicación:                  INFOMEX BCN    I    Tipo de Soporte:         AJUSTE DE PLAZO       I    Observaciones:                I         I    Su petición fue atendida    I    " u="1"/>
        <s v="Notificación de seguimiento  [  MA1404202120 ]      I         I         I    Estimado(a):                     Moisés Guzmán Arias    I         I         I    Le informamos que su ticket correspondiente a:    I                       I    ampliar el término para prevenir los siguientes folios    I        I    02372220  estableciendo el término al día 19/04/2021 (19 de abril de 2021)    I    00265121  estableciendo el término al día 19/04/2021 (19 de abril de 2021)    I         I    Aplicación:                  INFOMEX PUEBLA    I    Tipo de Soporte:         AJUSTE DE PLAZO        I    Observaciones:                I         I    Su petición fue atendida    I    " u="1"/>
        <s v="Notificación de seguimiento  [  MA2101202109 ]      I         I         I    Estimado(a):                     Alondra Jiménez Hernández    I         I         I    Le informamos que su ticket correspondiente a:    I                       I    Anexo el registro actualizado del certificado del nuevo Titular de la Unidad de Transparencia del Administración Portuaria Integral de Topolobampo, S.A. de C.V. para que su acceso sea habilitado en la Herramienta de Comunicación.     I        I         I    Aplicación:                  HCOM    I    Tipo de Soporte:         CAMBIO TUT       I    Observaciones:                I         I    Su petición fue atendida    I    " u="1"/>
        <s v="Se genera certificado para indirectos INDEP" u="1"/>
        <s v="Se aplica testado de datos al folio:  0064100073521" u="1"/>
        <s v="Análisis de incidencias reportadas, asesorías  y soporte aplicativo durante la primera semana del mes de ABRIL de 2020 en los Sistemas infomex Estados" u="1"/>
        <s v="Análisis de incidencias reportadas, asesorías  y soporte aplicativo durante la Segunda semana del mes de ABRIL de 2020 en los Sistemas infomex Estados" u="1"/>
        <s v="Análisis de incidencias reportadas, asesorías  y soporte aplicativo durante la TERCERA semana del mes de ABRIL de 2020 en los Sistemas infomex Estados" u="1"/>
        <s v="Notificación de seguimiento  [  MA1409202201 ]    I        I    Estimado(a):                Abraham Obed Gallardo González    I        I     Le informamos que su ticket correspondiente a:    I        I        I                       I    Con el gusto de saludarles y en espera de que todo marche bien, por instrucciones del Lic. Pedro González Benítez, Director General de Enlace con Partidos Políticos, Organismos Electorales y Descentralizados, por este medio anexo el registro del certificado del nuevo Titular de la Unidad de Transparencia de la PRONAVIBE.  SESNA    I         I    Lo Anterior, a fin de que sus accesos sean habilitados en los sistemas que administra este Instituto (HCOM).  CAMBIO DE TITULAR. En cuanto se reciba la atención en HCOM se realizará la actualización de los demás sistemas correspondientes.    I        I    Aplicación:                  HCOM    I    Tipo de Soporte:        1 CAMBIO DE TUT " u="1"/>
        <s v="Arranque del sistema" u="1"/>
        <s v="Notificación de seguimiento  [  MA0712202007 ]      I         I         I    Estimado(a):                     Guillermo Delgado Ibarra    I          I    Le informamos que su ticket correspondiente a:    I                       I    1.- el reporte de solicitudes hasta la fecha    I    2.- el reporte de solicitudes referente a COVIT, CORONAVIRUS, y me solicitan agregar dos palabras a la búsqueda, (EMERGENCIA y PANDEMIA) además descripción de la respuesta y el estatus de cada solicitud    I        I         I    Aplicación:                  INFOMEX BCN    I    Tipo de Soporte:         REPORTE       I    Observaciones:                I         I    Su petición fue atendida    I    " u="1"/>
        <s v="Se  testan los datos de 20 solicitudes de PEMEX" u="1"/>
        <s v="Se sustituye el archivo adjunto de la solicitud con folio 0000500193821 " u="1"/>
        <s v="Se aplica testado de datos al folio:  0000700346320" u="1"/>
        <s v="Buenas tardes Guillermo, tu petición fue atendida, favor de validar     I        I    Saludos     I        I    Marina Adame Velasco    I        I    Notificación de seguimiento  [  MA0807202006 ]      I        I    Aplicación:                  INFOMEX BCN    I    Tipo de Soporte:         AJUSTE DE PLAZOS        I    Estatus:                               Concluido.    I        I    " u="1"/>
        <s v="Buenas tardes Guillermo, tu petición fue atendida, favor de validar     I        I    Saludos     I        I    Marina Adame Velasco    I        I    Notificación de seguimiento  [  MA1607202001 ]      I        I    Aplicación:                  INFOMEX BCN    I    Tipo de Soporte:         AJUSTE DE PLAZOS        I    Estatus:                               Concluido.    I        I    " u="1"/>
        <s v="Buenas tardes Guillermo, tu petición fue atendida, favor de validar     I        I    Saludos     I        I    Marina Adame Velasco    I        I    Notificación de seguimiento  [  MA2109202009 ]      I        I    Aplicación:                  INFOMEX BCN    I    Tipo de Soporte:         CONSULTA DE DATOS       I    Estatus:                               Concluido.    I        I    " u="1"/>
        <s v="Buenas tardes Guillermo, tu petición fue atendida, favor de validar     I        I    Saludos     I        I    Marina Adame Velasco    I        I    Notificación de seguimiento  [  MA2207202009 ]      I        I    Aplicación:                  INFOMEX BCN    I    Tipo de Soporte:         Ajuste de plazos        I    Estatus:                               Concluido.    I        I    " u="1"/>
        <s v="Buenas tardes Guillermo, tu petición fue atendida, favor de validar     I        I    Saludos     I        I    Marina Adame Velasco    I        I    Notificación de seguimiento  [  MA2207202010 ]      I        I    Aplicación:                  INFOMEX BCN    I    Tipo de Soporte:         Ajuste de plazos        I    Estatus:                               Concluido.    I        I    " u="1"/>
        <s v="Buenas tardes Guillermo, tu petición fue atendida, favor de validar     I        I    Saludos     I        I    Marina Adame Velasco    I        I    Notificación de seguimiento  [  MA2606202002 ]      I        I    Aplicación:                  INFOMEX BCN    I    Tipo de Soporte:         AJUSTE DE PLAZOS        I    Estatus:                               Concluido.    I        I    " u="1"/>
        <s v="Buenas tardes Guillermo, tu petición fue atendida, favor de validar     I        I    Saludos     I        I    Marina Adame Velasco    I        I    Notificación de seguimiento  [  MA2805202005 ]      I        I    Aplicación:                  INFOMEX BCN    I    Tipo de Soporte:         Ajuste de plazos        I    Estatus:                               Concluido.    I        I    " u="1"/>
        <s v="Buenas tardes Guillermo, tu petición fue atendida, favor de validar     I        I    Saludos     I        I    Marina Adame Velasco    I        I    Notificación de seguimiento  [  MA2907202001 ]      I        I    Aplicación:                  INFOMEX BCN    I    Tipo de Soporte:         Ajuste de plazos        I    Estatus:                               Concluido.    I        I    " u="1"/>
        <s v="Buenas tardes Guillermo, tu petición fue atendida, favor de validar     I        I    Saludos     I        I    Marina Adame Velasco    I        I    Notificación de seguimiento  [  MA3007202005 ]      I        I    Aplicación:                  INFOMEX BCN     I    Tipo de Soporte:         Ajuste de plazos       I    Estatus:                               Concluido.    I        I    " u="1"/>
        <s v="Se procede con la creación del insumo y el procesamiento de recuperación de adjuntos faltantes 3ra vez del estado de Sonora, donde se intentará recuperar (3,268) adjuntos. No se logra recuperar más información.    I    Concluye la recuperación de adjuntos del estado de Baja California Sur, con lo que se  recupero únicamente 10 adjuntos de los 5,475 faltantes, esto con dos diferentes insumos..    I    Se genera un insumo con un total de  5,784 adjuntos faltantes correspondientes a las entidades aún no procesadas, esto excluye (Baja California Sur, CDMX, Guanajuato, Morelos, Sonora y Zacatecas)." u="1"/>
        <s v="Se cambia el tipo de solicitud del folio: 0610100060021." u="1"/>
        <s v="Se aplica testado de datos personales: 0000700077220." u="1"/>
        <s v="Modificar las vistas materializadas en el esquemas postgres y validad la información que tienen. " u="1"/>
        <s v="Actualización queries incidencia en fechas producción" u="1"/>
        <s v="Implementación de validaciones en formulario registro de usuario" u="1"/>
        <s v="Se sustituye archivo adjunto del folio: 1613100020520." u="1"/>
        <s v="Aplicar cambios de análisis heurístico, validación de combos en el publico " u="1"/>
        <s v="Se  testan los datos del folio: 0064101627921" u="1"/>
        <s v="Notificación de seguimiento  [  MA1102202009 ]      I         I         I    Estimado(a):                     Luis Javier Mendoza Rueda    I         I    Le informamos que su ticket correspondiente a:    I                       I    Solicito tu apoya para el recurso. RR.IP.5299/2019 en el cual se envió una ampliación con el archivo incorrecto, se desea regresar al punto donde se pueda enviar nuevamente, la ponencia a enviado notificación tanto al solicitante como al sujeto obligado mencionando dicho problema.    I        I         I    Aplicación:                  SIGEMI    I    Tipo de Soporte:         Eliminación de ampliación      I    Observaciones:                I         I    Su petición fue atendida    I    " u="1"/>
        <s v="Notificación de seguimiento  [  MA1408202001 ]      I         I         I    Estimado(a):                     Luis Herrera Leos    I         I    Le informamos que su ticket correspondiente a:    I                       I    Agradeceré su apoyo para modificar el correo electrónico (como medio de notificación) en el recurso RRA 08105/20 SAT, toda vez que en la PNT  aparece el correo mquintanaesteban@tvazteca.com.mx; sin embargo, la particular en su escrito de recurso, señaló el siguiente: montsequintanaesteban@gmail.com    I        I         I    Aplicación:                  SIGEMI    I    Tipo de Soporte:         CAMBIO DE MEDIO      I    Observaciones:                I         I    Su petición fue atendida    I    " u="1"/>
        <s v="Notificación de seguimiento  [  MA2303202106 ]      I         I         I    Estimado(a):                     Martha Rubí Zaragoza Mora    I         I         I    Le informamos que su ticket correspondiente a:    I                       I    El presente correo es para pedir su amable apoyo para el ajuste de términos de los folios debido al periodo vacacional de semana santa que se publicó en el periódico oficial del estado de Nuevo León; esto debido a que no contabilizaron correctamente sus días inhábiles.    I        I         I    Aplicación:                  INFOMEX NUEVO LEÓN    I    Tipo de Soporte:         AJUSTE DE PLAZO      I    Observaciones:                I         I    Su petición fue atendida    I    " u="1"/>
        <s v="Script consulta catalogo integrante lado publico " u="1"/>
        <s v="Buenas tardes Francisco, anexo consultas para las preguntas con inciso D y E, respecto a la pregunta del inciso F, no identifico en el formulario ninguna opción para determinar el idioma en el que se esta capturando la solicitud, lo que podríamos hacer es realizar una búsqueda por palabra que ustedes identifiquen de algunas lenguas indígenas sin que esto quiera decir que estemos abarcando todas las lenguas    I        I    Me quedo atenta a sus comentarios      I        I    Saludos     I        I    Marina Adame Velasco    I        I    Notificación de seguimiento  [  MA0106202006 ]      I        I    Aplicación:                  INFOMEX NUEVO LEÓN     I    Tipo de Soporte:         SCRIPTS PARA CONSULTAS        I    Estatus:                               Concluido.    I        I    " u="1"/>
        <s v="Desarrollo del servicio para la eliminacion de un usuario para el esquema de Federado, se realiza servicio común para el consumo de endpoint del modulo de usuarios  " u="1"/>
        <s v="Buenas tardes Guillermo, tu petición fue atendida, favor de validar     I        I    Saludos     I        I    Marina Adame Velasco    I        I    Notificación de seguimiento  [  MA0204202006 ]      I        I    Aplicación:                  INFOMEX BCN    I    Tipo de Soporte:         REPORTE DE SOLICITUDES       I    Estatus:                               Concluido.    I    " u="1"/>
        <s v="Buenas tardes Guillermo, tu petición fue atendida, favor de validar     I        I    Saludos     I        I    Marina Adame Velasco    I        I    Notificación de seguimiento  [  MA2404202003 ]      I        I    Aplicación:                  INFOMEX BCN    I    Tipo de Soporte:         REPORTE DE SOLICITUDES       I    Estatus:                               Concluido.    I    " u="1"/>
        <s v="Buenas tardes Guillermo, tu petición fue atendida, favor de validar     I        I    Saludos     I        I    Marina Adame Velasco    I        I    Notificación de seguimiento  [  MA3003202001 ]      I        I    Aplicación:                  INFOMEX BCN    I    Tipo de Soporte:         Reporte de solicitudes       I    Estatus:                               Concluido.    I    " u="1"/>
        <s v="Notificación de seguimiento  [  MA1006202007 ]      I         I         I    Estimado(a):                     RAFAEL GONZALEZ    I         I    Le informamos que su ticket correspondiente a:    I                       I    Alta, baja o modificación de sujetos obligados en el padrón de sujetos obligados del ámbito federal, en términos de la Ley General de Transparencia y Acceso a la Información Pública de este Instituto.    I        I        I    Aplicación:                  SIGEMI    I    Tipo de Soporte:         CAMBIOS A SUJETOS OBLIGADOS       I    Observaciones:                I         I    Tu petición fue atendida, se realizaron     I        I    2 bajas    I    3 altas ( Faltaría que envíen los Nombres de Titulares y certificados actuales)    I    1 Sujeto Obligado sin cambio ( LOTENAL), que se solicita el alta, sin embargo ya estaba en ese estatus    I    1 Sujeto Obligado que estaba dado de Baja y se reactivó    I        I        I                Favor de validar.    I         I    Estatus:                               Concluido.    I        I    " u="1"/>
        <s v="Se aplica testado de datos al folio: 0064102785820" u="1"/>
        <s v="Se elimina la respuesta del folio: 1113500002121" u="1"/>
        <s v="Notificación de seguimiento [ MA2801202006 ]     I          I          I     Estimado(a): Tiara Gethsemanni Miranda Fuentes    I          I     Le informamos que su ticket correspondiente a:    I          I     Por medio de presente, solicito de la manera más atenta, su apoyo para retroceder los pasos en el sistema SIGEMI-SICOM en la PNT del asunto que se enlista a continuación; hasta la actividad “Registrar información de la sesión del pleno”; sin más por el momento, quedo en espera de sus comentarios.    I          I          I     • RRA 15415/19    I         I          I     Aplicación: SIGEMI    I     Tipo de Soporte: REGRESO DE PASOS     I     Observaciones:     I          I     Su petición fue atendida    I          I         I          I      Favor de validar.    I          I     Estatus: Concluido." u="1"/>
        <s v="Se  testan los datos del folio: 0000500113721 y 0000500113821" u="1"/>
        <s v="Buenos días Isaac, tu petición fue atendida, favor de validar     I        I    Saludos     I        I    Marina Adame Velasco    I        I    Notificación de seguimiento  [  MA1509202003 ]      I        I    Aplicación:                  INFOMEX OAXACA    I    Tipo de Soporte:         AJUSTE DE PLAZOS        I    Estatus:                               Concluido.    I        I    " u="1"/>
        <s v="Se genera certificado para: 21355, Consejo de Promoción Turística de México, S.A. de C. V." u="1"/>
        <s v="Se realizaro ajustes generaels a el sitio " u="1"/>
        <s v="Meeting pruebas área usuaria" u="1"/>
        <s v="Notificación de seguimiento  [  MA0106202002 ]      I         I         I    Estimado(a):                     Tiara Gethsemanni Miranda Fuentes    I         I    Le informamos que su ticket correspondiente a:    I                       I    Por medio de presente, solicito de la manera más atenta, su apoyo para retroceder los pasos en el sistema SIGEMI-SICOM en la PNT del asunto que se enlista a continuación; hasta la actividad “Registrar información de la sesión del pleno”; sin más por el momento, quedo en espera de sus comentarios.    I         I    RRA 03122/20.    I         I    Aplicación:                  SIGEMI    I    Tipo de Soporte:         REGRESO DE PASOS      I    Observaciones:                I         I    Su petición fue atendida    I    " u="1"/>
        <s v="Notificación de seguimiento  [  MA1206202002 ]      I         I         I    Estimado(a):                     Tiara Gethsemanni Miranda Fuentes    I         I    Le informamos que su ticket correspondiente a:    I                       I    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    I         I    RRA 03692/20    I         I    Aplicación:                  SIGEMI    I    Tipo de Soporte:         REGRESO DE PASOS      I    Observaciones:                I         I    Su petición fue atendida    I    " u="1"/>
        <s v="Se adjunta el archivo adjunto de 5 solicitudes vía base de datos." u="1"/>
        <s v="Se elmina la respuesta del folio: 0000700038721" u="1"/>
        <s v="Generación de script para el reconocimiento de formatos en SISAI" u="1"/>
        <s v="Buenos días Guillermo, tu petición fue atendida, favor de validar     I        I    Saludos     I        I    Marina Adame Velasco    I        I    Notificación de seguimiento  [  MA2807202001 ]      I        I    Aplicación:                  INFOMEX BCN    I    Tipo de Soporte:         Reportes    I    Estatus:                               Concluido.    I    " u="1"/>
        <s v="Desarrollo servicio de configuración " u="1"/>
        <s v="Se elimina la respuesta del folio: 2028500001521" u="1"/>
        <s v="Se sustituye archivo adjunto del folio: 0064100254820." u="1"/>
        <s v="Se atienden los soportes enviados a la cuenta de soporte APF del día de hoy " u="1"/>
        <s v="Notificación de seguimiento  [  MA0408202001 ]      I         I         I    Estimado(a):                     Tiara Gethsemanni Miranda Fuentes    I         I    Le informamos que su ticket correspondiente a:    I                       I    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    I         I    RRA 06375/20    I         I        I         I    Aplicación:                  SIGEMI    I    Tipo de Soporte:         REGRESO DE PASOS      I    Observaciones:                I         I    Su petición fue atendida    I    " u="1"/>
        <s v="Notificación de seguimiento  [  MA1206202004 ]      I         I         I    Estimado(a):                     Tiara Gethsemanni Miranda Fuentes    I         I    Le informamos que su ticket correspondiente a:    I                       I    Por medio de presente, solicito de la manera más atenta, su apoyo para retroceder los pasos en el sistema SIGEMI-SICOM en la PNT del asunto que se en lista a continuación; hasta la actividad “Registrar información de la sesión del pleno”; sin más por el momento, quedo en espera de sus comentarios.    I         I    RRA 03331/20    I         I        I         I    Aplicación:                  SIGEMI    I    Tipo de Soporte:         REGRESO DE PASOS      I    Observaciones:                I         I    Su petición fue atendida    I    " u="1"/>
        <s v="Meeting soporte con Santiago" u="1"/>
        <s v="Se aplica el cambio de modalidad de la solicitud: 1100400005320." u="1"/>
        <s v="Notificación de seguimiento [ MA3001202004 ]     I          I          I     Estimado(a): Eva María Guadalupe Palomares Amador    I          I     Le informamos que su ticket correspondiente a:    I          I     El motivo del presente correo es para solicitar amablemente el regreso del registro de “evaluación del cumplimiento” en la PNT del recurso RRA 7709/19, para estar en posibilidad de efectuarlo correctamente.    I         I          I     Aplicación: SIGEMI    I     Tipo de Soporte: REGRESO DE PASOS     I     Observaciones:     I          I     Su petición fue atendida    I          I         I          I      Favor de validar.    I          I     Estatus: Concluido." u="1"/>
        <s v="actualizacion consultivo " u="1"/>
        <s v="componente treeview en portlet" u="1"/>
        <s v="Generar el key para implementar la verificación" u="1"/>
        <s v="Se aplica testado de datos al folio: 1816400339120" u="1"/>
        <s v="Creación de nueva cuenta de usuario" u="1"/>
        <s v="Se testan los datos de la solicitud con folio: 0064101663121" u="1"/>
        <s v="Prueba dos de script de etiquetado automatizado de solicitudes" u="1"/>
        <s v="Se genera certificado para usuario del SO Sindicato Nacional de Trabajadores del Instituto Nacional de Bellas Artes y Literatura 227" u="1"/>
        <s v="Notificación de seguimiento  [  MA2605202002 ]      I         I         I    Estimado(a):                     Rosalinda Coria Mosqueda    I         I    Le informamos que su ticket correspondiente a:    I                       I    cambiar el medio de comunicación con el recurrente en el recurso RRA 02540/20 en contra de COFEPRIS, derivado de que la pieza postal fue devuelta,  lo cual se acredita con la captura anexa.     I         I         I    RRA 2540/20 vs COFEPRIS    I    Número de folio: 1215101155619    I    Correo electrónico para notificar:    19pmoreno68@gmail.com    I         I         I        I    Aplicación:                  SIGEMI    I    Tipo de Soporte:         CAMBIO DE MEDIO Y CORREO      I    Observaciones:                I         I    Su petición fue atendida    I    " u="1"/>
        <s v="Notificación de seguimiento  [  MA1710202204 ]    I        I    Estimado(a):                Edgar Michel Loaeza Martínez    I         I     Le informamos que su ticket correspondiente a:    I         I    Por medio del presente solicito su valioso apoyo a efecto de realizar la renovación de Certificado de la Titular de la Unidad de Transparencia de la     I    Universidad Pedagógica Nacional, lo anterior, en virtud de que, el certificado actual se encuentra vencido.    I        I    Para tal efecto, anexo al presente el certificado correspondiente, lo anterior, a fin de que sus accesos sean habilitados en los sistemas que administra este Instituto (HCOM).      I         I    Aplicación:                HCOM    I    Tipo de Soporte        ACTUALIZACIÓN DE CERTIFICADO     I    Observaciones:                I         I    Su petición fue atendida.    I     " u="1"/>
        <s v="Notificación de seguimiento  [  MA1703202008 ]      I         I         I    Estimado(a):                     Lizbeth Adriana Cabrera Ortega    I         I    Le informamos que su ticket correspondiente a:    I                       I    FAVOR DE SUPIRMIR DE LA BANDEJA DE TURNO DE ACCESO    I         I    Aplicación:                  SIGEMI    I    Tipo de Soporte:         Eliminar recursos     I    Observaciones:                I         I    Su petición fue atendida    I    " u="1"/>
        <s v="Instalación framework UI para creación de plantailla PNT" u="1"/>
        <s v="Pruebas unitarias migración de usuarios para agregar las conjugación de roles" u="1"/>
        <s v="Ajuste de diccionarios y etiquetas para SIPOT" u="1"/>
        <s v="Notificación de seguimiento  [  MA2005202002 ]      I         I         I    Estimado(a):                     Verónica Santiago Martínez    I         I    Le informamos que su ticket correspondiente a:    I                       I    De una consulta realizada al Sistema de Comunicación con los Sujetos Obligados para conocer las resoluciones notificadas los días 18 y 19 de mayo se despliegan cero registros; sin embargo, filtrando por fecha de notificación del 1 de junio, se advierte que se han notificado 41 resoluciones a sujetos obligados para los cuales se aprobó dejar sin efectos la suspensión de plazos y términos, por lo cual te pido se realice el ajuste correspondiente.    I         I    Lo anterior, permitirá conocer la fecha de notificación al sujeto obligado y límite de cumplimiento.    I         I         I    Aplicación:                  SIGEMI    I    Tipo de Soporte:         ACTUALIZACIÓN DE FECHAS       I    Observaciones:                I         I    Su petición fue atendida, se anexa archivo con las fechas anteriores y las actualizadas    I         I        I    " u="1"/>
        <s v="Creación de componentes para el Catálogo de Ejes" u="1"/>
        <s v="Se cambia el tipo de solicitud del folio:  0411100010121" u="1"/>
        <s v="Se continuo con el desarrollo de el sitio desde cero, replicando secciónes internas" u="1"/>
        <s v="Generar certificados para Fondo de la Financiera Rural" u="1"/>
        <s v="    I    Buenos días Berenice, tu petición fue atendida, la eliminación de acuses esta en proceso, favor de validar     I        I    Saludos     I        I    Marina Adame Velasco    I        I    Notificación de seguimiento  [  MA0608202009 ]      I        I    Aplicación:                  INFOMEX OAXACA    I    Tipo de Soporte:         Ajuste de plazos        I    Estatus:                               Concluido.    I    " u="1"/>
        <s v="Se aplica eliminación de respuesta al folio: 0000600005720." u="1"/>
        <s v="Notificación de seguimiento  [  MA0907202002 ]      I         I         I    Estimado(a):                     Pedro Esquivel Martínez    I         I    Le informamos que su ticket correspondiente a:    I                       I    Anexo el registro actualizado del certificado del Titular de la Unidad de Enlace del  “Instituto Nacional de Medicina Genómica” Lo Anterior a fin de que sus accesos sean habilitados en los otros sistemas que administra este Instituto (HCOM).  CAMBIO DE CERTIFICADO, en cuanto se reciba la atención en HCOM se realizará la actualización de los demás sistemas correspondientes.    I         I        I         I    Aplicación:                  HCOM    I    Tipo de Soporte:         CAMBIO DE CERTICADO       I    Observaciones:                I         I    Su petición fue atendida    I    " u="1"/>
        <s v="Notificación de seguimiento  [  MA1709202005 ]      I         I         I    Estimado(a):                     Luis Herrera Leos    I         I    Le informamos que su ticket correspondiente a:    I                       I    Agradeceré su apoyo a efecto de realizar el cambio necesario para modificar el medio de notificación que aparece en la PNT del Recurso de Revisión RRD 01049/20 IMSS, de: “Personalmente o a través de su representante, en el domicilio del organismo garante de la entidad” a correo electrónico, siendo este el siguiente: agarcia778@hotmail.com    I         I    Toda vez que así lo solicito el particular.    I         I    Aplicación:                  SIGEMI    I    Tipo de Soporte:         CAMBIO DE MEDIO       I    Observaciones:                I         I    Su petición fue atendida    I    " u="1"/>
        <s v="Notificación de seguimiento  [  MA2601202105 ]      I         I         I    Estimado(a):                     Pedro Esquivel Martínez    I         I         I    Le informamos que su ticket correspondiente a:    I                       I    por este medio Anexo el registro actualizado del certificado del Titular de la Unidad de Enlace del  “Procuraduría de la Defensa del Contribuyente” Lo Aanterior a fin de que sus accesos sean habilitados en los otros sistemas que administra este Instituto (HCOM).  CAMBIO DE  TITULAR, en cuanto se reciba la atención en HCOM se realizará la actualización de los demás sistemas correspondientes.    I         I    Aplicación:                  HCOM    I    Tipo de Soporte:         CAMBIO TUT       I    Observaciones:                I         I    Su petición fue atendida    I    " u="1"/>
        <s v="Se  testan los datos del folio: 0000600172521" u="1"/>
        <s v="Se  testan los datos del folio: 0064102455321" u="1"/>
        <s v="Se aplica el cambio de modalidad para el folio: 0610100006620." u="1"/>
        <s v="Se aplica sustitución de archivo al folio: 0064100397220" u="1"/>
        <s v="TESTAR DATOS  EN SOLICITUD DE INFORMACION CON FOLIO   0064101367521" u="1"/>
        <s v="Optimización de script de descarga de datos" u="1"/>
        <s v="    I    Buenas tardes Berenice, tu petición fue atendida, favor de validar     I        I    Saludos     I        I    Marina Adame Velasco    I        I    Notificación de seguimiento  [  MA1704202001 ]      I        I    Aplicación:                  INFOMEX OAXACA    I    Tipo de Soporte:         Ajuste de plazos       I    Estatus:                               Concluido.    I        I    " u="1"/>
        <s v="    I    Buenas tardes Berenice, tu petición fue atendida, favor de validar     I        I    Saludos     I        I    Marina Adame Velasco    I        I    Notificación de seguimiento  [  MA3004202004 ]      I        I    Aplicación:                  INFOMEX OAXACA    I    Tipo de Soporte:         AJUSTE DE PLAZOS       I    Estatus:                               Concluido.    I        I    " u="1"/>
        <s v="adecuaciones al modulo de catalogos de la PNT en administracion de sujetos obligados para SO indirectos" u="1"/>
        <s v="Notificación de seguimiento  [  MA1703202004 ]      I         I         I    Estimado(a):                     Lizbeth Adriana Cabrera Ortega    I         I    Le informamos que su ticket correspondiente a:    I                       I    modificar previo a su turno, la fecha de interposición de los recursos siguientes    I        I         I    Aplicación:                  SIGEMI    I    Tipo de Soporte:         CAMBIO DE FECHAS    I    Observaciones:                I         I    Su petición fue atendida    I    " u="1"/>
        <s v="Header" u="1"/>
        <s v="Se aplica el testado de datos de la solicitud: 0000700000120." u="1"/>
        <s v="Se  testan los datos de la solicitud con folio 2210000091221    I    " u="1"/>
        <s v="                                I    Notificación de seguimiento  [  MA1012202001 ]      I         I    Estimado(a):                     Brayan Román Martínez Lara    I         I    Le informamos que su ticket correspondiente a:    I                       I    Por medio del presente, solicito de la forma más atenta que, respecto del RRA 13334/20 sea regresado al paso “Admitir/Prevenir/Desechar” toda vez que se cargó en el SIGEMI de manera incorrecta.    I         I    En razón de ello es que se requiere que se regrese el paso, a efecto de una pronta notificación con el archivo correcto.    I         I    Aplicación:                  IMPUGNACIONES    I    Tipo de Soporte:         REGRESO DE PASOS        I    Observaciones:                I         I    Su petición fue atendida    I         I    " u="1"/>
        <s v="Se agregan SHA1 y SHA256 de firma y subida en  Google Firebase. Se dan de alta login con Facebook, Twitter y Google" u="1"/>
        <s v="Modificaciones y corrección de incidencias" u="1"/>
        <s v="Notificación de seguimiento  [  MA1103202001 ]      I         I         I    Estimado(a):                     Edgar Michel Loaeza Martínez    I         I    Le informamos que su ticket correspondiente a:    I                       I    Atender una problemática que tengo con el sistema Hcom.    I        I    Al querer ingresar al mismo, me indica que el usuario se encuentra inactivo.    I        I         I    Aplicación:                  HCOM    I    Tipo de Soporte:         Revisión de acceso de usuario      I    Observaciones:                I         I    Su petición fue atendida, se revisó los datos del usuario Edgar Miguel Loaeza M y se activo la cuenta.    I         I    " u="1"/>
        <s v="Se aplica el testado de datos de la solicitud: 0002700024920" u="1"/>
        <s v="Notificación de seguimiento  [  MA0107202202 ]    I        I    Estimado(a):               Alondra Jiménez Hernández    I        I         I     Le informamos que su ticket correspondiente a:    I        I    Se solicita la renovación del certificado del Titular de la Unidad de Transparencia del COLSAN en la Herramienta de Comunicación.    I        I         I    Aplicación:                  HCOM    I    Tipo de Soporte:         CAMBIO CERTIFICADO    I    Observaciones:                I         I    Su petición fue atendida    I    " u="1"/>
        <s v="Notificación de seguimiento  [  MA2912202001 ]      I          I    Estimado(a):                     Alma Lizbeth Peguero Rivera    I          I    Le informamos que su ticket correspondiente a:    I                       I    eliminar el siguiente recurso RRA 14474/20 AAM, ya que se encuentra doble en la PNT para poder trabajar mi actividad    I         I    Aplicación:                  SIGEMI    I    Tipo de Soporte:         QUITAR DUPLICADO        I    Observaciones:                I         I    Su petición fue atendida    I    " u="1"/>
        <s v="Instalación de plugin de certificados en cada campus." u="1"/>
        <s v="Se aplica eliminación de formato de pago: 0064101428521" u="1"/>
        <s v="Buenas tardes Berenice, tu petición fue atendida, favor de validar     I        I    Saludos     I        I    Marina Adame Velasco    I        I    Notificación de seguimiento  [  MA2205202003 ]      I        I    Aplicación:                  INFOMEX OAXACA    I    Tipo de Soporte:         AJUSTE DE PLAZOS       I    Estatus:                               Concluido    I    " u="1"/>
        <s v="Servicio para obtener la sesion informacion del usuario" u="1"/>
        <s v="Se hacen publicos los cambios a pantalla de inicio y home" u="1"/>
        <s v="Se recibe la información de Estado de México y se inicia su validación respecto a contenido, estructura y catálogos" u="1"/>
        <s v="Se elimina la respuesta del folio: 0064101380921" u="1"/>
        <s v="Incidencia de Reportes por plazo de atencion , cambio de estatus " u="1"/>
        <s v="Generación de formato solicitud  para servidores de cómputo especializado" u="1"/>
        <s v="Analisis de Reporte de solicitudes historicas " u="1"/>
        <s v="Se trabajó con los ajustes del 10mo procedimiento de banderas 'OBTENER_FG_PREVENIDO', con las consultas necesarias de las condicionantes previamente validadas, se compila sin errores " u="1"/>
        <s v="Se  testan los datos del folio: 0064100406421" u="1"/>
        <s v="Se comenzo con el desarrollo de el sitio desde cero, replicando header, footer y pagina principal de home con una sección interna" u="1"/>
        <s v="Notificación de seguimiento  [  MA1211202001 ]      I          I    Estimado(a):                     Laura Segovia    I          I    Le informamos que su ticket correspondiente a:    I                       I    cambiado el medio de notificación de Portal a domicilio físico del RRA 7202/20 ya que el escrito libre del particular solicitó que sea por este medio.    I         I    Aplicación:                  SIGEMI    I    Tipo de Soporte:         CAMBIO DE MEDIO        I    Observaciones:                I         I    Su petición fue atendida    I    " u="1"/>
        <s v="se generan los servicios de Linea estrategica,indicador Eje y los componentes de  Linea estrategica: formulario, modal, busqueda, vista" u="1"/>
        <s v="Notificación de seguimiento  [  MA2502202008 ]      I         I         I    Estimado(a):                     Hugo Montero Saldaña    I         I    Le informamos que su ticket correspondiente a:    I                       I    En relación con el recurso de revisión RRA 01894/20 vs PROCURADURÍA FEDERAL DEL CONSUMIDOR, el recurrente ingresó su recurso a través de correo electrónico, siendo que a través de su recurso señaló lo siguiente:    I         I    …    I    II.- El NOMBRE del SOLICITANTE QUE RECURRE es FRANCISCO GERARDO VÁZQUEZ COURET, promoviendo por mi propio derecho, SEÑALANDO como DOMICILIO para oír y recibir todo tipo de notificaciones la calle Prolongación Aquiles Serdán, número 20, Esquina con Calle Playa Azul, Fraccionamiento Playa Sur, Código Postal 82040, de esta ciudad de Mazatlán, municipio de Mazatlán, estado de Sinaloa;    I    …    I         I    Sin embargo, en la Plataforma Nacional de Transparencia se tiene por señalado como medio de notificación a través de correo electrónico; por lo que se solicita su valioso apoyo a efecto de que en la Plataforma Nacional de Transparencia (PNT) se cambie el medio de notificación de la recurrente a su domicilio físico antes señalado, a efecto de que pueda recibir las notificaciones correspondientes.    I        I         I    Aplicación:                  SIGEMI    I    Tipo de Soporte:         cambio de medio y actualización de domicilio      I    " u="1"/>
        <s v="Se aplica testado de datos personales: 0000700061520" u="1"/>
        <s v="Se aplica eliminación de formato de pago: 0002700151521 " u="1"/>
        <s v="Mejoras en código de Catalogo Usuarios, Integrantes, Ejes , mejores practicas y código limpio" u="1"/>
        <s v="Configuración de Jboss" u="1"/>
        <s v="Se sustituye archivo adjunto del folio:0064100748420." u="1"/>
        <s v="Generación de hiperparametrización" u="1"/>
        <s v="Se aplica sustitución de archivo de la solicitud: 0064100011920." u="1"/>
        <s v="analisis del componente perfil, uso compartido" u="1"/>
        <s v="Creación de script de la base de datos para gestionar la descompresión de archivos" u="1"/>
        <s v="Se aplica eliminación de respuesta al folio: 0064100020820." u="1"/>
        <s v="Buenas tardes Yarenni, tu petición fue atendida, adjunto datos solicitados, favor de validar     I        I    Saludos     I        I    Marina Adame Velasco    I        I    Notificación de seguimiento  [  MA0109202005 ]      I        I    Aplicación:                  INFOMEX GUERRERO    I    Tipo de Soporte:         CONSULTA DE DATOS        I    Estatus:                               Concluido.    I    " u="1"/>
        <s v="Se aplica testado de datos al folio:  1816400047921" u="1"/>
        <s v="Crear certificado para usuario del Sujeto Obligado Sindicato Nacional de Trabajadores de la Fiscalía General de la República " u="1"/>
        <s v="    I    Notificación de seguimiento  [  MA1304202001 ]      I         I         I    Estimado(a):                     Sandra Steffany Díaz Sosa    I         I    Le informamos que su ticket correspondiente a:    I                       I    En relación con el recurso de revisión RRD 00658/20 (IMSS), solicito de su invaluable apoyo para que en la Plataforma Nacional de Transparencia se habilite como medio para oír y recibir notificaciones del recurrente el correo electrónico “mportillojuarez@yahoo.com”.    I         I         I    Aplicación:                  SIGEMI    I    Tipo de Soporte:         CAMBIO DE CORREO ELECTRÓNICO      I    Observaciones:                I         I    Su petición fue atendida    I        I    " u="1"/>
        <s v="Modificación listado de notificaciones" u="1"/>
        <s v="realizar servicio para recuperar clave de acceso, probar y validar campos." u="1"/>
        <s v="Notificación de seguimiento  [  MA1706202005 ]      I         I         I    Estimado(a):                     Pedro Esquivel Martínez    I         I    Le informamos que su ticket correspondiente a:    I                       I    el cambio de certificado para los Fideicomisos a cargo de CONACYT; se anexan certificados    I        I         I    Aplicación:                  HCOM    I    Tipo de Soporte:         CAMBIO DE CERTIFICADO   (10)    I    Observaciones:                I         I    Su petición fue atendida, se realizó la actualización de certificado de los siguientes :    I    " u="1"/>
        <s v="Se aplica eliminación de formato de pago: 0064101362521" u="1"/>
        <s v="Se orienta al usuarios respecto al folio: 1215101041719" u="1"/>
        <s v="Se aplica eliminación de respuesta al folio: 1201100016519." u="1"/>
        <s v="Se aplica testado de datos personales: 0000600073720" u="1"/>
        <s v="Elaboracion de esquema de usuarios " u="1"/>
        <s v="Notificación de seguimiento  [  MA0106202113 ]    I        I    Estimado(a):                Edgar Michel Loaeza Martínez    I        I         I     Le informamos que su ticket correspondiente a:    I                       I    Solicito tu valioso apoyo con el objeto de que sean eliminados dos requerimientos con siguientes números de Folio:    I        I    IFAI-REQ-002884-2021    I    IFAI-REQ-002885-2021    I        I         I    Aplicación:                  HCOM    I    Tipo de Soporte:         Eliminar Requerimiento     I    Observaciones:                I         I    Su petición fue atendida    I    " u="1"/>
        <s v="Notificación de seguimiento  [  MA2105202006 ]      I         I         I    Estimado(a):                     HUGO GOVI    I         I    Le informamos que su ticket correspondiente a:    I                       I    favor de regresar el expediente IP-PNT-470-2019-B A LA BANDEJA DEL COMISIONADO YA QUE NOTIFICO LA RESOLUCION Y NO ERA ESE EL EXPEDIENTE CORRECTO PARA QUE SE PUEDA NOTIFICAR LA RESOLCUION CORRECTA    I        I         I    Aplicación:                  SIGEMI    I    Tipo de Soporte:         REGRESO DE PASOS      I    Observaciones:                I         I    Su petición fue atendida    I    " u="1"/>
        <s v="Notificación de seguimiento  [  MA2705202002 ]      I         I         I    Estimado(a):                     Laura Mónica Segovia Tellez    I         I    Le informamos que su ticket correspondiente a:    I                       I    solicito su amable apoyo para que sea cambiado el medio de notificación del recurso RRA 4007/20 a correo electrónico y se agregue el correo radio_combate@hotmail.com        I        I        I    Aplicación:                  SIGEMI    I    Tipo de Soporte:         CAMBIO DE MEDIO Y CORREO       I    Observaciones:                I         I    Su petición fue atendida    I    " u="1"/>
        <s v="Se  ajusto el ultimo numero de folio registrado para el Sujeto Obligado Servicio Postal Mexicano" u="1"/>
        <s v="Se actualiza estatus de solicitud " u="1"/>
        <s v="Se inició con la recuperación de información del estado de Sonora, esto mediante una nueva versión del programa generado por Luis Fernando, que incluye los adjuntos que contienen comas &quot;,&quot; en el nombre del adjunto, con este se pretende recuperar  más de 53,993 Adjuntos." u="1"/>
        <s v="Implementación rateLimit en commands solicitudes " u="1"/>
        <s v="Generar certificado para usuario de Comisión Nacional de Acuacultura y Pesca" u="1"/>
        <s v="Se da atención a soportes enviados relacionados con el sistema Infomex APF" u="1"/>
        <s v="Notificación de seguimiento  [  MA2501202112 ]      I         I         I    Estimado(a):                     Alejandra Tejeda    I         I         I    Le informamos que su ticket correspondiente a:    I                       I    reporte de solicitudes 2020 que contenga el dato del tipo de solicitud presentada (acceso a la información pública y datos personales) esto para poder atender una solicitud presentada ante este Órgano Garante.    I         I    Aplicación:                  INFOMEX BCN    I    Tipo de Soporte:         REPORTE       I    Observaciones:                I         I    Su petición fue atendida    I    " u="1"/>
        <s v="Se elmina la respuesta del folio: 2239000005321" u="1"/>
        <s v="Notificación de seguimiento  [  MA0305202111 ]      I         I         I    Estimado(a):                     Laura Mónica Segovia Tellez    I         I         I    Le informamos que su ticket correspondiente a:    I                       I    solicito su amable apoyo para que sea eliminado el paso de notificación de audiencia, y que se regrese el paso del acuerdo de ampliación para que sea notificado nuevamente.    I         I    Aplicación:                  SIGEMI    I    Tipo de Soporte:         ELIMINAR AMPLIACION       I    Observaciones:                I         I    Su petición fue atendida    I         I          I                Favor de validar.    I         I    Estatus:                               Concluido.    I    " u="1"/>
        <s v="Script BD declaración inicial Nitzia López" u="1"/>
        <s v="Levantar campus organismos garantes en servidores de ND para exportar cursos" u="1"/>
        <s v="    I    Notificación de seguimiento  [  MA3105202112 ]    I        I    Estimado(a):                Verónica Santiago Martínez    I        I         I     Le informamos que su ticket correspondiente a:    I                       I    Atentamente solicito su apoyo para que de manera temporal me sea proporcionado un certificado para ingresar a la Herramienta de Comunicación, específicamente al módulo de cumplimiento de resoluciones, ya que mi fiel esta vencida y en el SAT no hay citas cercanas.    I         I        I         I    Aplicación:                  HCOM    I    Tipo de Soporte:         Renovación de certificado      I    Observaciones:                I         I    Su petición fue atendida, se adjunta certificado para ingreso, la contraseña no se modificó    I         I         I    " u="1"/>
        <s v="Se  testan los datos del folio: 0064101577921" u="1"/>
        <s v="Notificación de seguimiento  [  MA1106202006 ]      I         I         I    Estimado(a):                     Rosalinda Coria Mosqueda    I         I    Le informamos que su ticket correspondiente a:    I                       I    Agradeceré su valioso apoyo para regresar a la actividad de admitir/desechar el recurso RRA 04160/20, en contra de Centro Nacional de Control del Gas Natural, toda vez que por omisión marque admisión debiendo ser desechamiento.    I         I    Aplicación:                  SIGEMI    I    Tipo de Soporte:         REGRESO DE PASOS      I    Observaciones:                I         I    Su petición fue atendida    I    " u="1"/>
        <s v="Notificación de seguimiento  [  MA1604202102 ]      I         I         I    Estimado(a):                     Moisés Guzmán Arias    I          I    Le informamos que su ticket correspondiente a: ampliar el término para prevenirlos     I        I    00416321 estableciendo el término al día 19/04/2021 (19 de abril de 2021) (Bienestar)    I    00471221 estableciendo el término al día 19/04/2021 (19 de abril de 2021) (Bienestar)    I                     I         I    Aplicación:                  INFOMEX PUEBLA    I    Tipo de Soporte:         AJUSTE DE PLAZO       I    Observaciones:                I         I    Su petición fue atendida    I    " u="1"/>
        <s v="Notificación de seguimiento  [  MA2008202105 ]    I        I    Estimado(a):                Francisco Javier Lira Pérez    I        I         I     Le informamos que su ticket correspondiente a:    I                       I    A fin de solicitar en el RR/4845/2021, el cambio de sujeto obligado ya que erróneamente se dirigió a la Secretaría de Seguridad Pública (DGC), cuando el correcto es a la Secretaría de Finanzas y Tesorería General del Estado(DGC).    I         I         I    Aplicación:                  SIGEMI    I    Tipo de Soporte:         CAMBIO SO      I    Observaciones:                I         I    Su petición fue atendida    I    " u="1"/>
        <s v="Proceso de respuestas parciales, para ver si se detiene o no el plazo" u="1"/>
        <s v="Buenas tardes Alán, tu petición fue atendida, favor de validar     I        I    Saludos     I        I    Marina Adame Velasco    I        I    Notificación de seguimiento  [  MA1908202009 ]      I        I    Aplicación:                  INFOMEX TLAXCALA    I    Tipo de Soporte:         AJUSTE DE PLAZOS        I    Estatus:                               Concluido.    I    " u="1"/>
        <s v="Notificación de seguimiento  [  MA2010202004 ]      I         I         I    Estimado(a):                     Edgar Michel Loaeza Martínez    I         I    Le informamos que su ticket correspondiente a:    I                       I    solicito su apoyo para dar de alta los certificados que se adjuntan, sujetos obligados de la Secretaria de Medio Ambiente y Recursos Naturales.    I        I    Clave Dependencia/entidad Titular de la unidad de transparencia actual Correo electrónico    I    16001 Fideicomiso para Apoyar los Programas, Proyectos y Acciones Ambientales de la Megalópolis Dr. Daniel Quezada Daniel daniel.quezada@semarnat.gob.mx       I        I    16002 Fondo Mexicano para la Conservación de la Naturaleza Dr. Daniel Quezada Daniel daniel.quezada@semarnat.gob.mx       I        I    16003 Fondo para el Cambio Climático. Dr. Daniel Quezada Daniel daniel.quezada@semarnat.gob.mx       I        I    16004 Fondo para la Biodiversidad Dr. Daniel Quezada Daniel daniel.quezada@semarnat.gob.mx      I        I    16005 Mandato para Remediación Ambiental Dr. Daniel Quezada Daniel daniel.quezada@semarnat.gob.mx     I        I        I         I    Aplicación:                  HCOM       I    Tipo de Soporte:         CAMBIO DE TUT ( 5 )    I    " u="1"/>
        <s v="Se  testan los datos del folio:  1117100021621" u="1"/>
        <s v="Se  testan los datos del folio: 1816400194421 " u="1"/>
        <s v="Se sustituye el archivo adjunto de la solicitud con folio 0064101651321" u="1"/>
        <s v="Continúa el apoyo en consultas y validación de la información generada con las bases de datos en custodia (casos de diversos estados) en lo referente principalmente a documentación adjunta.    I    Continúa el traslado de información recuperada de CDMX al repositorio en la red interna (infomex2019 (\\vcifs) Z:)     I    De la recuperación de información del Estado de México, se inician las validaciones de los datos corroborando que el contenido sea congruente, que cumpla con la estructura solicitada.     I    Se realiza una revisión de los datos contenidos con el fin de notificar las posibles anomalías que presente la información cargada del Estado de  México. Se notifica por correo.    I    Se solicita validar las URL´s remotas de todos los órganos garantes que genera el buscador para corroborar su actualización, confirmando que en los casos de Morelos, Baja California y Baja California Sur no presenta información." u="1"/>
        <s v="Definición de herramienta para la descarga de archivos" u="1"/>
        <s v="Notificación de seguimiento  [  MA0807202106 ]    I        I    Estimado(a):                Alejandra Tejeda    I        I         I     Le informamos que su ticket correspondiente a:    I                       I    rectificación de la fecha de caducidad del paso del Sujeto Obligado Colegio de Estudios Científicos y Tecnológicos del Estado de Baja California , se realizó el ajuste a su calendario posterior a la solicitud de prórroga de la siguiente solicitud…    I        I         I    Aplicación:                  INFOMEX BCN    I    Tipo de Soporte:         AJUSTE DE PLAZOS       I    Observaciones:                I         I    Su petición fue atendida    I    " u="1"/>
        <s v="Notificación de seguimiento  [  MA1002202005 ]      I         I         I    Estimado(a):                     Lizbeth Adriana Cabrera Ortega    I         I    Le informamos que su ticket correspondiente a:    I                       I    PIDO DE TU APOYO A FIN DE INGRESAR AL RECURSO DE RVISION RRD 249 EL NÚMERO DE FOLIO. ASIMISMO, SOLCIITO INCORPORAR EL ACUERDO CON LA CORRECIÓN DEL 9 QUE OMITÍ.    I        I    DEBE DECIR     I        I    0063700834019    I        I         I    Aplicación:                  SIGEMI    I    Tipo de Soporte:         Corrección de datos y archivo     I    Observaciones:                I         I    Su petición fue atendida    I    " u="1"/>
        <s v="Notificación de seguimiento  [  MA0112202005 ]      I         I     Estimado(a):                     Berenice Hernández Sumano    I          I    Le informamos que su ticket correspondiente a:    I                       I    proporcionarnos la cuenta de correo electrónico con la cuál se realizaron las siguientes solicitudes desde SISAI.     I        I    Aplicación:                  INFOMEX OAXACA    I    Tipo de Soporte:         CONSULTA DE DATOS        I    Observaciones:                I         I    Su petición fue atendida    I        I    FOLIO                    CORREO    I    01229420             acruzpi68@gmail.com    I    01238520             t3st3r@hotmail.es    I    01231720             acruzpi68@gmail.com    I    01236620             t3st3r@hotmail.es    I    01233520             acruzpi68@gmail.com    I    01224920             llallis_@hotmail.com    I         I          I                Favor de validar.    I         I    Estatus:                               Concluido.    I        I        I    " u="1"/>
        <s v="Se  testan los datos del folio: 0064101340921" u="1"/>
        <s v="Notificación de seguimiento  [  MA1205202118 ]      I         I         I    Estimado(a):                     Edgar Michel Loaeza Martínez    I         I         I    Le informamos que su ticket correspondiente a:    I                       I    Por medio del presente solicito su valioso apoyo a efecto de realizar la sustitución de certificado del sujeto obligado denominado Comisión Nacional de DE Áreas Naturales Protegidas en el sistema  hcom.    I        I         I    Aplicación:                  HCOM    I    Tipo de Soporte:         RENOVAR CERTIFICADO       I    Observaciones:                I         I    Su petición fue atendida    I         I          I                Favor de validar.    I         I    Estatus:                               Concluido.    I    " u="1"/>
        <s v="Notificación de seguimiento  [  MA1203202007 ]      I         I         I    Estimado(a):                     Ana Paulina González González    I         I    Le informamos que su ticket correspondiente a:    I                       I    Por medio del presente solicito tu apoyo para regresar el paso en la PNT de la Admisión en el RRA 03098/20, toda vez que el correo electrónico del particular fue corregido en dicha Plataforma, lo anterior teniendo conocimiento de esto las partes involucradas.    I        I         I    Aplicación:                  SIGEMI    I    Tipo de Soporte:         REGRESO DE PASOS      I    Observaciones:                I         I    Su petición fue atendida    I         I         I                Favor de validar.    I         I    Estatus:                               Concluido.    I        I    " u="1"/>
        <s v="Se realizan cambios en las peticiones del buscador de obligaciones" u="1"/>
        <s v="Se sustituye archivo adjunto  del folio: 1857200075721" u="1"/>
        <s v="Ajustes datos abiertos" u="1"/>
        <s v="Definición de cantidad de datos necesarios para la evaluación y pre procesamiento de la información" u="1"/>
        <s v="Desarrollo del módulo de turnado para inconformidades" u="1"/>
        <s v="Se aplica el cambio para la solicitud: 0001100116420." u="1"/>
        <s v="Se  testan los datos del folio: 0000700175321 " u="1"/>
        <s v="Se genero certificado para  OCUBBJG" u="1"/>
        <s v="Continúa el apoyo en consultas y validación de la información generada con las bases de datos en custodia (casos de diversos estados) en lo referente principalmente a documentación adjunta.      I    Análisis comparativo de la información de los catálogos de municipio, colonias y código postal de entre VUT y Federado, terminado esto se iniciará la confronta contra el productivo.    I    Validar y crear las vistas para los inserts de población de las tablas derivadas de los catálogos de VUT." u="1"/>
        <s v="Notificación de seguimiento  [  MA0802202117 ]      I         I         I    Estimado(a):                     ALEJANDRA TEJEDA    I         I         I    Le informamos que su ticket correspondiente a:    I                       I    REPORTE SOLICITUDES 2021     I         I    Aplicación:                  INFOMEX BCN    I    Tipo de Soporte:         REPORTE       I    Observaciones:                I         I    Su petición fue atendida    I    " u="1"/>
        <s v="Notificación de seguimiento  [  MA0902202110 ]      I         I    Estimado(a):                     ALEJANDRA TEJEDA    I         I    Le informamos que su ticket correspondiente a: seria al 16 de marzo del presente para todas las solicitudes.    I               I    Aplicación:                  INFOMEX BCN    I    Tipo de Soporte:         AJUSTE DE PLAZOS        I    Observaciones:                I         I    Su petición fue atendida    I    " u="1"/>
        <s v="Se cambia el tipo de solicitud del folio 0001100101121" u="1"/>
        <s v="Crear EDT para proyecto de consultas " u="1"/>
        <s v="Se aplica cambio de modalidad de la solicitud: 1857200054220." u="1"/>
        <s v="Buenas tardes Guillermo, tu petición fue atendida, favor de validar     I        I    DEPENDENCIA  guiddepartamento    I    Fideicomiso Fondos Tijuana 20200908-1257-3300-1580-b535101bc454    I    Comisión Estatal del Sistema Penitenciario de Baja California 20200908-1303-5900-3350-af9ff04dd29e    I    Secretaría para el Manejo, Saneamiento y Protección del Agua 20200908-1319-1100-8300-81366c681442    I        I        I    Saludos     I        I    Marina Adame Velasco    I        I    Notificación de seguimiento  [  MA0809202005 ]      I        I    Aplicación:                  INFOMEX BCN    I    Tipo de Soporte:         Consulta de datos        I    Estatus:                               Concluido.    I        I    " u="1"/>
        <s v="Se aplica testado de datos al folio:  0064100439721" u="1"/>
        <s v="Evaluación y diseño de script para corrección de estilos y ortografía" u="1"/>
        <s v="    I    Buenas tardes Berenice, tu petición fue atendida, favor de validar     I        I    Saludos     I        I    Marina Adame Velasco    I        I    Notificación de seguimiento  [  MA1305202001 ]      I        I    Aplicación:                  INFOMEX OAXACA    I    Tipo de Soporte:         Ajuste de plazos        I    Estatus:                               Concluido.    I    " u="1"/>
        <s v="    I    Buenas tardes Berenice, tu petición fue atendida, favor de validar     I        I    Saludos     I        I    Marina Adame Velasco    I        I    Notificación de seguimiento  [  MA2409202013 ]      I        I    Aplicación:                  INFOMEX OAXACA    I    Tipo de Soporte:         AJUSTE DE PLAZOS        I    Estatus:                               Concluido.    I    " u="1"/>
        <s v="Se aplica el alta  de la dependencia: 8003 y se renombra: 60134." u="1"/>
        <s v="    I    Notificación de seguimiento  [  MA1203202005 ]      I         I         I    Estimado(a):                     Moisés Guzmán Arias    I         I    Le informamos que su ticket correspondiente a:    I                       I    el retroceso de la Preparación del Proyecto de Resolución del recurso RR-09/2020 ya que por error se adjuntó un resolutivo distinto al que le corresponde.    I        I         I    Aplicación:                  SIGEMI    I    Tipo de Soporte:         REGRESO DE PASOS      I    Observaciones:                I         I    Su petición fue atendida    I    " u="1"/>
        <s v="Notificación de seguimiento  [  MA2110202002 ]      I         I         I    Estimado(a):                     Berenice Hernández Sumano    I         I    Le informamos que su ticket correspondiente a:    I                       I    Por este medio solicito su apoyo para poder aplicar las afectaciones a las fechas:  Entrega de información relacionada con el Cumplimiento y Entrega de Alegatos y manifestaciones, de los recursos señalados en el archivo adjunto. Toda vez que el Consejo General aprobará en su Décima Octava Sesión Ordinaria celebrada el día 15 de octubre, el Acuerdo ACDO/CG/IAIP/023/2020, por el cual el Consejo General del Instituto de Acceso a la Información Pública y Protección de Datos Personales, mantiene la suspensión de plazos en los procedimientos para la tramitación de solicitudes de acceso a la información y/o protección de datos personales y recursos de revisión, que no estén relacionados con información de la emergencia sanitaria generada por el virus sars-cov2 (covid-19), el sismo registrado el 23 de junio del 2020, los programas sociales derivados de la emergencia sanitaria y la información relacionada con los procesos de licitación, hasta el tres de noviembre del dos mil veinte.    I    http://iaipoaxaca.org.mx/site/descargas/acuerdos/ACUERDO_SUSPENSI%C3%93N_DE_PLAZOS_CONTINGENCIA_SANITARIA_03-11-2020.pdf    I        I    Asimismo solicitó pueda liberarse la actividad de cumplimiento en el perfil de los sujetos obligados ya que desde SICOM esta actividad se cierra cuando vence el plazo de 10 días y la actividad de entrega de alegatos que vence en un plazo de 7 días.    I         I    Aplicación:                  SIGEMI    I    Tipo de Soporte:         AJUSTE DE FECHAS       I    Observaciones:                I         I    Su petición fue atendida    I    " u="1"/>
        <s v="Servicio catalogo integrante " u="1"/>
        <s v="Notificación de seguimiento  [  MA1303202008 ]      I         I         I    Estimado(a):                     Lizbeth Adriana Cabrera Ortega    I         I    Le informamos que su ticket correspondiente a:    I                       I    DEBE DECIR 12 DE MARZO    I        I         I    Aplicación:                  SIGEMI    I    Tipo de Soporte:         CAMBIO DE FECHA  ( 39 )     I    Observaciones:                I         I    Su petición fue atendida    I    " u="1"/>
        <s v="Se  testan los datos del folio: 0673800054621" u="1"/>
        <s v="Notificación de seguimiento  [  MA1509202001 ]      I         I         I    Estimado(a):                     Alma Lizbeth Peguero Rivera    I         I    Le informamos que su ticket correspondiente a:    I                       I    Por medio de presente, solicito de la manera más atenta, su apoyo para retroceder los pasos en el sistema SIGEMI-SICOM en la PNT  del siguiente asunto RRA 06952 JRV hasta la actividad “Registrar información de la sesión del pleno”; sin más por el momento, quedo en espera de sus comentarios.    I        I         I    Aplicación:                  SIGEMI    I    Tipo de Soporte:         REGRESO DE PASOS      I    Observaciones:                I         I    Su petición fue atendida    I    " u="1"/>
        <s v="Se aplica testado de datos al folio: 0064100583320." u="1"/>
        <s v="Implementación del alta de Responsables en Resoluciones Privadas." u="1"/>
        <s v="Apoyo directo para Antonio Pérez ( Validación de diversas URL´s que no están siendo identificadas en las rutas de carpetas de archivos, esto respecto a CDMX.) Generación de información en formatos de Excel con las posibles estructuras URLs en las que podrían encontrarse los adjuntos registrados.  (Consulta y validación de URLs uno a uno)" u="1"/>
        <s v="Notificación de seguimiento  [  MA1103202011 ]      I         I         I    Estimado(a):                     Laura Mónica Segovia Tellez    I         I    Le informamos que su ticket correspondiente a:    I                       I    Solicito su amable apoyo a fin de que sea cambiado el sentido de la resolución RRA 01642/20 de revoca a modifica, cabe mencionar que fue notificada y las partes conocen del cambio al respecto, Esto con el fin de que esté en sintonía con la resolución que fue firmada.    I         I    Aplicación:                  SIGEMI    I    Tipo de Soporte:         CAMBIO DE SENTIDO DE RESOLUCIÓN      I    Observaciones:                I         I    Su petición fue atendida    I         I         I                Favor de validar.    I         I    Estatus:                               Concluido.    I    " u="1"/>
        <s v="Evaluación y diseño de scripts para descarga de datos SISAI" u="1"/>
        <s v="Se aplica eliminación de respuesta al folio: 0001200023320." u="1"/>
        <s v="Notificación de seguimiento  [  MA2903202105 ]      I         I         I    Estimado(a):                     ALAN GARCÍA    I          I    Le informamos que su ticket correspondiente a:    I                       I    RESPALDO SEMANAL DE LA BASE DE DATOS INFOMEX    I         I    Aplicación:                  INFOMEX TLAXCALA    I    Tipo de Soporte:         RESPALDO       I    Observaciones:                I         I    Su petición fue atendida, se subió el respaldo de su base de datos de esta semana…    I        I    http://documentos.inai.org.mx/tmp/infomex_tlaxcala_backup_2021-03-29_0800.bak    I        I    NOTA: El respaldo estará disponible una semana      I        I    " u="1"/>
        <s v="Entrenamiento de modelo no DNN" u="1"/>
        <s v="Notificación de seguimiento  [  MA1011202001 ]      I         I         I    Estimado(a):                     Joel Ibáñez Delgado    I         I         I    Le informamos que su ticket correspondiente a:    I                       I    ACTUALIZACIÓN DE FECHAS EN LOS FOLIOS ENVIADOS     I         I    Aplicación:                  INFOMEX COLIMA    I    Tipo de Soporte:         AJUSTE DE PLAZOS        I    Observaciones:                I         I    Su petición fue atendida    I    " u="1"/>
        <s v="Concluye el cuarto procesamiento de recuperación de adjuntos faltantes del estado de Morelos (9,161) adjuntos, esto con las ultimas modificaciones realizadas a la ruta origen, sin embargo, no se logó recuperar más información.    I    Se inicia el análisis para la generación de insumos para el procesamiento de recuperación de adjuntos del estados de Aguascalientes (347) y Quintana Roo (222). " u="1"/>
        <s v="    I    Buenos días Francisco, te informo que el respaldo de su base de datos de esta semana ya está en el repositorio…       I        I        I    http://documentos.inai.org.mx/tmp/infomexNL_backup_2020-12_07_0800.bak    I        I        I    Saludos Cordiales    I         I    Marina Adame Velasco                                                                                              I         I         I    " u="1"/>
        <s v="    I    Buenos días Francisco, te informo que el respaldo de su base de datos de esta semana ya está en el repositorio…       I        I        I    http://documentos.inai.org.mx/tmp/infomexNL_backup_2020-12_14_0800.bak    I        I        I    Saludos Cordiales    I         I    Marina Adame Velasco                                                                                              I         I         I    " u="1"/>
        <s v="    I    Buenos días Francisco, te informo que el respaldo de su base de datos de esta semana ya está en el repositorio…       I        I        I    http://documentos.inai.org.mx/tmp/infomexNL_backup_2020-12_28_0800.bak    I        I        I    Saludos Cordiales    I         I    Marina Adame Velasco                                                                                              I         I         I    " u="1"/>
        <s v="Notificación de seguimiento  [  MA0204202001 ]      I         I         I    Estimado(a):                     Gloria Bravo Reyna    I         I    Le informamos que su ticket correspondiente a:    I                       I    la eliminación del folio IFAI-REQ-000612-2020, lo anterior, en virtud de que por error, duplique el envío de información.    I        I        I         I    Aplicación:                  HCOM    I    Tipo de Soporte:         Eliminar proceso       I    Observaciones:                I         I    Su petición fue atendida    I         I        I         I                Favor de validar.    I         I    Estatus:                               Concluido.    I    " u="1"/>
        <s v="    I    Buenas tardes Isaac, tu petición fue atendida, la eliminación de acuses esta en proceso, favor de validar     I        I    Saludos     I        I    Marina Adame Velasco    I        I    Notificación de seguimiento  [  MA1008202011 ]      I        I    Aplicación:                  INFOMEX OAXACA    I    Tipo de Soporte:         AJUSTE DE PLAZOS       I    Estatus:                               Concluido.    I    " u="1"/>
        <s v="Notificación de seguimiento [ MA1701202004]    I         I         I          I     Estimado(a): Lizbeth Adriana Cabrera Ortega    I          I     Le informamos que su ticket correspondiente a:    I          I     Con el gusto de saludarte me permito solicitar tu valioso apoyo respecto de la generación UN EXPEDIENTE del recurso de revisión posteriormente citado.    I          I     Asimismo, te comento que NO DEBERÁ CAMBIAR el sujeto obligado, ni el Comisionado correspondiente.     I          I      DICE DEBE DECIR SUJETO OBLIGADO PONENTE    I     RRA 00539/20 RDA 5354/15-SEPTIMUS SAT RMC    I          I     No omito comentarte que el número de expediente que deberá seguir en el consecutivo por turnar en PNT debe ser el RRA 00539/20." u="1"/>
        <s v="Notificación de seguimiento  [  MA0202202102 ]      I         I         I    Estimado(a):                     YARENNI ADAME    I          I    Le informamos que su ticket correspondiente a:    I                       I    RESPALDO SEMANAL DE LA BASE DE DATOS INFOMEX    I         I    Aplicación:                  INFOMEX GUERRERO    I    Tipo de Soporte:         RESPALDO       I    Observaciones:                I         I    Su petición fue atendida, se subió el respaldo de su base de datos de esta semana…    I        I        I    http://documentos.inai.org.mx/tmp/infomexGUERRERO_backup_2021-02-01_0800.bak    I        I        I    NOTA: El respaldo estará disponible una semana      I        I    " u="1"/>
        <s v="Notificación de seguimiento  [  MA0202202104 ]      I         I         I    Estimado(a):                     ALAN GARCÍA    I      c    I    Le informamos que su ticket correspondiente a:    I                       I    RESPALDO SEMANAL DE LA BASE DE DATOS INFOMEX    I         I    Aplicación:                  INFOMEX TLAXCALA    I    Tipo de Soporte:         RESPALDO       I    Observaciones:                I         I    Su petición fue atendida, se subió el respaldo de su base de datos de esta semana…    I        I        I    http://documentos.inai.org.mx/tmp/infomex_tlaxcala_backup_2021-02-01_0800.bak    I        I        I    NOTA: El respaldo estará disponible una semana      I        I    " u="1"/>
        <s v="Notificación de seguimiento  [  MA0802202102 ]      I         I         I    Estimado(a):                     YARENNI ADAME    I          I    Le informamos que su ticket correspondiente a:    I                       I    RESPALDO SEMANAL DE LA BASE DE DATOS INFOMEX    I         I    Aplicación:                  INFOMEX GUERRERO    I    Tipo de Soporte:         RESPALDO       I    Observaciones:                I         I    Su petición fue atendida, se subió el respaldo de su base de datos de esta semana…    I        I        I    http://documentos.inai.org.mx/tmp/infomexGUERRERO_backup_2021-02-08_0800.bak    I        I        I    NOTA: El respaldo estará disponible una semana      I        I    " u="1"/>
        <s v="Notificación de seguimiento  [  MA1502202107 ]      I         I         I    Estimado(a):                     YARENNI ADAME    I          I    Le informamos que su ticket correspondiente a:    I                       I    RESPALDO SEMANAL DE LA BASE DE DATOS INFOMEX    I         I    Aplicación:                  INFOMEX GUERRERO    I    Tipo de Soporte:         RESPALDO       I    Observaciones:                I         I    Su petición fue atendida, se subió el respaldo de su base de datos de esta semana…    I        I        I    http://documentos.inai.org.mx/tmp/infomexGUERRERO_backup_2021-02-15_0800.bak    I        I        I    NOTA: El respaldo estará disponible una semana      I        I    " u="1"/>
        <s v="Notificación de seguimiento  [  MA1801202105 ]      I         I         I    Estimado(a):                     ALAN GARCÍA    I      c    I    Le informamos que su ticket correspondiente a:    I                       I    RESPALDO SEMANAL DE LA BASE DE DATOS INFOMEX    I         I    Aplicación:                  INFOMEX TLAXCALA    I    Tipo de Soporte:         RESPALDO       I    Observaciones:                I         I    Su petición fue atendida, se subió el respaldo de su base de datos de esta semana…    I        I        I    http://documentos.inai.org.mx/tmp/infomex_tlaxcala_backup_2021-01-18_0800.bak    I        I        I    NOTA: El respaldo estará disponible una semana      I        I    " u="1"/>
        <s v="Desarrollo de los servicios en el front end para obtener los datos del formulario de crear una nueva cuenta y llamar a los servicios del API" u="1"/>
        <s v="Se reliza la pantalla de resultados de busqueda y toda la funcionalidad que conlleva" u="1"/>
        <s v="número de solicitudes presentadas  únicamente a la Federación, tanto por la PNT como por Infomex, para el periodo del 1 al 16 de mayo de 2021." u="1"/>
        <s v="Notificación de seguimiento  [  MA2904202114 ]      I         I     Estimado(a):                     Moisés Guzmán Arias    I          I    Le informamos que su ticket correspondiente a:    I                       I    ampliar el término para prevenirlo al 3 de mayo de 2021…    I         I    01794520 estableciendo el término al día 03/05/2021 (03 de mayo de 2021) (DIF)    I    02105420 estableciendo el término al día 03/05/2021 (03 de mayo de 2021) (DIF)    I    00593921 estableciendo el término al día 03/05/2021 (03 de mayo de 2021) (DIF)    I         I    Aplicación:                  INFOMEX PUEBLA    I    Tipo de Soporte:         AJUSTE DE PLAZO       I    Observaciones:                I         I    Su petición fue atendida    I         I          I                Favor de validar.    I         I    Estatus:                               Concluido.    I    " u="1"/>
        <s v=" Notificación de seguimiento  [  MA0704202109 ]      I         I         I    Estimado(a):                     Rafael González    I         I         I    Le informamos que su ticket correspondiente a:    I                       I    Pido de tu apoyo para modificar la fecha de interposición del recurso RRA 3555/21, tanto en el acuerdo como en el expediente electrónico.    I         I    Dice 17 MARZO    I         I    Debe decir18 MARZO    I         I    Aplicación:                  SIGEMI    I    Tipo de Soporte:         ACTUALIZACIÓN DE JSON        I    Observaciones:                I         I    Su petición fue atendida    I    " u="1"/>
        <s v="Se aplica el cambio para la solicitud: 0001100075020." u="1"/>
        <s v="Servicio operación catalogo integrante (Administrador) " u="1"/>
        <s v="Creación de cuenta y configuración de admimnistración Estadísticas AIP" u="1"/>
        <s v="Desarrollo de la funcionalidad para la exportación de la información del HISTORIAL DEL SOLICITANTE perteneciente al módulo de solicitudes de información y datos personales" u="1"/>
        <s v="Notificación de seguimiento  [  MA1311202002 ]      I         I     Estimado(a):                     Berenice Hdz    I          I    Le informamos que su ticket correspondiente a:    I                       I    ajustar la fecha de vencimiento de la solicitud 01183920.    I        I    Fecha de vencimiento: 07/12/2020 23:59.    I         I    Aplicación:                  INFOMEX OAXACA    I    Tipo de Soporte:         CAMBIO DE PLAZO     I    Observaciones:                I         I    Su petición fue atendida    I    " u="1"/>
        <s v="Notificación de seguimiento  [  MA2602202106 ]      I         I         I    Estimado(a):                     DAVID MENDOZA OLIVA    I         I         I    Le informamos que su ticket correspondiente a:    I                       I    cancelación de los siguientes folios de requerimientos en la Herramienta de Comunicación    I         I    Aplicación:                  HCOM    I    Tipo de Soporte:         ELIMINAR REQUERIMIENTOS        I    Observaciones:                I         I    Su petición fue atendida    I    " u="1"/>
        <s v="Notificación de seguimiento  [  MA2603202103 ]      I         I         I    Estimado(a):                     Alondra Jiménez Hernández    I         I         I    Le informamos que su ticket correspondiente a:    I                       I    Anexo el registro actualizado del certificado del Titular de la Unidad de Transparencia de la COMISIÓN NACIONAL DE MEJORA REGULATORIA para su renovación en la HCOM. En la medida de sus posibilidades le pido atentamente dar prioridad a este cambio de certificado toda vez que la Unidad de Transparencia tiene requerimientos pendientes de atención.    I         I    Aplicación:                  HCOM    I    Tipo de Soporte:         RENOVAR CERTIFICADO        I    Observaciones:                I         I    Su petición fue atendida    I    " u="1"/>
        <s v="Se genera certificado para la dependencia con clave: 00638." u="1"/>
        <s v="Notificación de seguimiento  [  MA280420218 ]      I         I         I    Estimado(a):                     Alondra Jiménez Hernández    I         I         I    Le informamos que su ticket correspondiente a:    I                       I    Anexo el registro actualizado del certificado del Titular de la Unidad de Transparencia de TELEVISION METROPOLITANA, S.A. DE C.V. para su renovación en la HCOM.    I         I    Aplicación:                  HCOM    I    Tipo de Soporte:         RENOVACION DE CERTIFICADO       I    Observaciones:                I         I    Su petición fue atendida    I         I          I                Favor de validar.    I         I    Estatus:                               Concluido.    I    " u="1"/>
        <s v="Buenas tardes David, tu petición fue atendida, favor de validar     I        I    Saludos     I        I    Marina Adame Velasco    I        I    Notificación de seguimiento  [  MA0508202007 ]      I        I    Aplicación:                  INFOMEX MICHOACAN    I    Tipo de Soporte:         SCRIPT       I    Estatus:                               Concluido.    I        I    " u="1"/>
        <s v="Cambio en timeout del IIS" u="1"/>
        <s v="    I    Notificación de seguimiento  [  MA0610202008 ]      I         I         I    Estimado(a):                     Julio Chincoya Zambrano    I         I    Le informamos que su ticket correspondiente a:    I                       I    Buen día, Rafa espero me pudieras ayudara con el regreso del paso, ya que me aparece dos veces como si se hubiera desahogado la prevención cuando en realidad no sucedió de esa forma y debiera aparecer desechar por no desahogo.    I        I         I    Aplicación:                  SIGEMI    I    Tipo de Soporte:         REGRESO DE PASOS      I    Observaciones:                I         I    Su petición fue atendida    I    " u="1"/>
        <s v="    I    Notificación de seguimiento  [  MA1405202103 ]      I         I         I    Estimado(a):                     Lizbeth Adriana Cabrera Ortega    I         I         I    Le informamos que su ticket correspondiente a:    I                       I    Pido de tur amable apoyo para modificar la fecha de interposición del recurso RRA 5886/21 y la actualización del documento de turno.    I        I    Lo anterior ya que ingresó en su último día de interposición.    I         I    Aplicación:                  SIGEMI    I    Tipo de Soporte:         ACTUALIZACIÓN DE FECHA       I    Observaciones:                I         I    Su petición fue atendida    I    " u="1"/>
        <s v="Se sustituye archivo adjunto del folio: 0064102856620" u="1"/>
        <s v="Identificacion del tipo lista despegable, sentido de la Resolucion " u="1"/>
        <s v="Se empieza el desarrollo del modulo de Entidad Federativa" u="1"/>
        <s v="Se testan datos del folio: 0000600249121" u="1"/>
        <s v="Notificación de seguimiento  [  MA1210202004 ]      I         I         I    Estimado(a):                     Luis Herrera Leos    I         I    Le informamos que su ticket correspondiente a:    I                       I    Nuevamente, solicitó su apoyo para modificar el correo electrónico (como medio de notificación) en el recurso RRA 09605/20 AGROASEMEX, toda vez que en la PNT aparece el correo carlos.quintero@ciestaam.edu.mx; sin embargo, el particular señaló el siguiente: carlosqntro@gmail.com    I        I    Lo anterior, toda vez que de la revisión a la PNT aún no se realiza el cambio solicitado.     I         I    Aplicación:                  SIGEMI    I    Tipo de Soporte:         CAMBIO DE MEDIO       I    Observaciones:                I         I    Su petición fue atendida    I    " u="1"/>
        <s v="Notificación de seguimiento  [  MA1308202006 ]      I         I         I    Estimado(a):                     María Guadalupe Beltrán Martínez    I         I    Le informamos que su ticket correspondiente a:    I                       I    El motivo de mi correo es para solicitar su ayuda, en razón de que me llegó un recurso de revisión, el RRA 08054/20, derivado de la solicitud con folio 1215100258220; en dicho recurso se autorizan por parte del recurrente como medios de notificación un domicilio físico, la Plataforma Nacional de Transparencia y un correo electrónico.    I         I         I    Aplicación:                  SIGEMI    I    Tipo de Soporte:         CAMBIO DE MEDIO Y ACTUALIZACIÓN DE CORREO       I    Observaciones:                I         I    Su petición fue atendida    I    " u="1"/>
        <s v="Homologación de rutas para los end point de todo el proyecto" u="1"/>
        <s v="Se sustituye archivo del folio 0673800050121" u="1"/>
        <s v="Buenas tardes Guillermo, tu petición fue atendida, favor de validar     I        I    Saludos     I        I    Marina Adame Velasco    I        I    Notificación de seguimiento  [  MA2207202008 ]      I        I    Aplicación:                  INFOMEX BCN    I    Tipo de Soporte:         Ajuste de plazos        I    Estatus:                               Concluido.    I        I        I    " u="1"/>
        <s v="Buenas tardes Berenice, tu petición fue atendida, favor de validar     I        I    Saludos     I        I    Marina Adame Velasco    I        I    Notificación de seguimiento  [  MA2407202002 ]      I        I    Aplicación:                  INFOMEX OAXACA    I    Tipo de Soporte:         Cambios de plazos en Recursos       I    Estatus:                               Concluido.    I    " u="1"/>
        <s v="Se envía el seguimiento completo a la solicitud: 1114100129519." u="1"/>
        <s v="Se generó certificados para usuarios de dependencia SO indirectos SSA" u="1"/>
        <s v="Notificación de seguimiento  [  MA1404202116 ]      I         I         I    Estimado(a):                     Edgar Michel Loaeza Martínez    I         I         I    Le informamos que su ticket correspondiente a:    I                       I    realizar la sustitución de certificado del sujeto obligado denominado Comisión Nacional de Seguros y Fianzas en hcom.    I        I    Aplicación:                  HCOM    I    Tipo de Soporte:         RENOVACION DE CERTIFICADO       I    Observaciones:                I         I    Su petición fue atendida    I    " u="1"/>
        <s v="Se generó certificado para usuario de dependencia Sindicato Independiente de Investigadores del Instituto Nacional de Investigaciones Forestales, Agrícolas y Pecuarias" u="1"/>
        <s v="Hacer una revisión a detalle de los procesos que hay actualmente en el ambiente productivo (base de datos)" u="1"/>
        <s v="Modificación de query en servicio obtener configuración de pago para poder obtener el nombre del sujeto obligado" u="1"/>
        <s v="Notificación de seguimiento  [  MA1802202001 ]      I         I         I    Estimado(a):                     Pedro Esquivel Martínez    I         I    Le informamos que su ticket correspondiente a:    I                       I    Anexo el registro actualizado del certificado del Titular de la Unidad de Enlace del  “Instituto Nacional de Ecología y Cambio Climático”.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CAMBIO DE CERTIFICADO       I    Observaciones:                I         I    Su petición fue atendida    I    " u="1"/>
        <s v="Publicación de orden del día" u="1"/>
        <s v="Se envía manual a usuaria ya que comentan un error para dar respuestas a IPRC en Informe." u="1"/>
        <s v="Se aplica testado de datos al folio:  1816400054121 " u="1"/>
        <s v="Notificación de seguimiento  [  MA0603202002 ]      I         I         I    Estimado(a):                     Sandra Robles Carrasco    I         I    Le informamos que su ticket correspondiente a:    I                       I         I    En relación con el recurso de revisión RRA-RCRD 1864/20 (FGR), solicito de nueva cuenta de su invaluable apoyo para que en la PNT se habilite como medio para oír y recibir notificaciones del recurrente la cuenta de correo electrónico: cbuendia@ghs.com.mx, ello de acuerdo con las consideraciones manifestadas el pasado 28 de febrero del año en curso en el correo que como historial se observa en el presente.    I         I    Aplicación:                  SIGEMI    I    Tipo de Soporte:         cambio de correo       I    Observaciones:                I         I    Su petición fue atendida    I    " u="1"/>
        <s v="Notificación de seguimiento [ MA2401202003 ]     I          I          I     Estimado(a): Lizbeth Adriana Cabrera Ortega    I          I     Le informamos que su ticket correspondiente a:    I          I     Me permito solicitar de tu apoyo a fin de que en el recurso referido en el asunto se modifique el nombre del recurrente para quedaar:    I          I     Eduardo Muñoz Martínez, únicamente.    I          I     Asimismo te remito el acuerdo de turno correspondiente.    I          I         I          I     Aplicación: SIGEMI    I     Tipo de Soporte: Actualización de datos y archivo     I     Observaciones:" u="1"/>
        <s v="Se sustituye archivo adjunto y se testan los datos del folio:  1816400055321" u="1"/>
        <s v="Buenas tardes Isaac, tu petición fue atendida, favor de validar     I        I    Saludos     I        I    Marina Adame Velasco    I        I    Notificación de seguimiento  [  MA1809202003 ]      I        I    Aplicación:                  INFOMEX OAXACA    I    Tipo de Soporte:         AJUSTE DE PLAZOS     I    Estatus:                               Concluido.    I    " u="1"/>
        <s v="Se cambia el tipo de solicitud del folio: 0610100090821" u="1"/>
        <s v="Notificación de seguimiento  [  MA0206202101 ]    I        I    Estimado(a):                Pedro Esquivel Martínez    I        I         I     Le informamos que su ticket correspondiente a:    I                       I    actualización de certificado, se adjunta certificado .cer y cuadro descriptivo:    I        I         I         I    Clave Presupuestal    Sujeto Obligado Titular de la unidad de transparencia    CERTIFICADO A GENERAR    Contraseña       I    11137      I    Comisión Nacional de Libros de Texto Gratuitos Karla Mercedes López Beltrán 22410.Karla Mercedes López Beltrán HCOM:    I    HCOM11137    I         I    INFOMEX    I    SIS11137    I         I        I         I    Aplicación:                  HCOM    I    Tipo de Soporte:         Actualizar certificado      I    Observaciones:                I         I    " u="1"/>
        <s v="Notificación de seguimiento  [  MA0303202007 ]      I         I         I    Estimado(a):                     Pedro Esquivel Martínez    I         I    Le informamos que su ticket correspondiente a:    I                       I    Anexo el registro actualizado del certificado del Titular de la Unidad de Enlace del  “INSTITUTO DE SEGURIDAD Y SERVICIOS SOCIALES DE LOS TRABAJADORES DEL ESTADO” Lo Anterior a fin de que sus accesos sean habilitados en los otros sistemas que administra este Instituto (HCOM).  CAMBIO DE CERTIFICADO, en cuanto se reciba la atención en HCOM se realizará la actualización de los demás sistemas correspondientes.    I        I         I    Aplicación:                  HCOM                   I    Tipo de Soporte:         CAMBIO DE CERTIFICADO      I    Observaciones:                I         I    Su petición fue atendida    I    " u="1"/>
        <s v="Ejecución OT Flujos" u="1"/>
        <s v="Generacion de respaldo de iniciativa publica " u="1"/>
        <s v="    I    Notificación de seguimiento  [  MA1203202011 ]      I         I         I    Estimado(a):                     Luis Javier Mendoza Rueda    I         I    Le informamos que su ticket correspondiente a:    I                       I        I    Solicito a su apoyo para realizar corrección en el Medio de Notificación del siguiente recurso:     I        I    INFOCDMX/RR.IP.0919/2020 con Solicitud: 0422000021720    I        I    Error Medio de Notificación: sabinocervantes@yahoo.com.mx    I        I    CORRECTO: ESTRADOS    I        I         I    Aplicación:                  SIGEMI    I    Tipo de Soporte:         CAMBIO DE MEDIO DE NOTIFICACIÓN    I    Observaciones:                I         I    Su petición fue atendida    I    " u="1"/>
        <s v="Se aplica eliminación de última respuesta: 0000500024820" u="1"/>
        <s v="Definición de datos candidatos para muestra inicial a evaluación" u="1"/>
        <s v="Se realizó baja de 3 sujetos obligados" u="1"/>
        <s v="Se  testan los datos del folio: 0064101373921" u="1"/>
        <s v="Se aplica eliminación de última respuesta de la solicitud: 0001200084620." u="1"/>
        <s v="    I    Notificación de seguimiento  [  MA0210202005 ]      I         I         I    Estimado(a):                     HUGO GOVI    I         I    Le informamos que su ticket correspondiente a:    I                       I    Por este medio envio la liga de suspension por COVID-19 del  Instituto de Transparencia, Acceso a la Información y Protección de Datos Personales del Estado de Chiapas    I    para los efectos pertinentes en la PNT y el SICOM-SIGEMI    I        I         I    Aplicación:                  SIGEMI    I    Tipo de Soporte:         REVISION DE PLAZOS     I    Observaciones:                I         I    Su petición fue atendida, adjunto plazos de las nuevas fechas limite de votación, esperamos su validación para aplicar los cambios     I         I    " u="1"/>
        <s v="Notificación de seguimiento  [  MA0408202006 ]      I         I         I    Estimado(a):                     HUGO GOVI    I         I    Le informamos que su ticket correspondiente a:    I                       I    Por este medio envio la liga de suspensión por COVID-19 del  Instituto de Transparencia, Acceso a la Información y Protección de Datos Personales del Estado de Chiapas    I        I         I    Aplicación:                  SIGEMI    I    Tipo de Soporte:         Revisión de plazos      I    Observaciones:                I         I    Adjunto a este correo los casos de cumplimiento y fechas limite de votación    I        I    Quedamos atentos a su validación     I         I        I         I                Favor de validar.    I         I    Estatus:                               Concluido.    I    " u="1"/>
        <s v="Se cambia el tipo de solicitud del folio: 2800100009621" u="1"/>
        <s v="Se elimina respuesta  de la solicitud con  folio 0001600217621" u="1"/>
        <s v="Notificación de seguimiento  [  MA1308202108 ]    I        I    Estimado(a):                Alondra Jiménez Hernández    I        I         I     Le informamos que su ticket correspondiente a:    I                       I    Anexo el registro actualizado del certificado del Titular de la Unidad de Transparencia del Fideicomiso para Trabajadores de Nacional Hotelera Baja California, S. A. para su renovación en la Herramienta de Comunicación.    I         I    Aplicación:                  HCOM    I    Tipo de Soporte:         RENOVAR CERTIFICADO       I    Observaciones:                I         I    Su petición fue atendida    I    " u="1"/>
        <s v="Notificación de seguimiento  [  MA3105202201 ]    I        I    Estimado(a):                Julia Yuridia Pacheco Hernández    I        I        I     Le informamos que su ticket correspondiente a:    I        I    A quien corresponda,    I        I    Atentamente solicito su apoyo para asignar en la Herramienta de Comunicación, el certificado que adjunto al presente al SO que se precisa a continuación:    I    Clave Única Sujeto Obligado Nombre Correo electrónico contraseña    I    60213 Sindicato Nacional Independiente de los Trabajadores de la Secretaría de Economía    I        I     Sandra Ruth Cortés Hernández snitse.cen22@gmail.com    I    hcom2022    I        I    De antemano gracias por su atención y poyo.    I        I    Quedo atenta en caso de cualquier comentario.    I        I        I         I    Aplicación:                  HCOM    I    Tipo de Soporte:        CAMBIO DE CERTIFICADO      I    Observaciones:                I         I    Su petición fue atendida.    I    " u="1"/>
        <s v="Se cambia el tipo de solicitud del folio:0001200354321" u="1"/>
        <s v="Se aplica eliminación de última respuesta de la solicitud:  0001200481520" u="1"/>
        <s v="Creación de cuenta y configuración permisos a Yesica Severiano" u="1"/>
        <s v="Se aplica eliminación de formato de pago: 0002000082921" u="1"/>
        <s v="Se  testan los datos del folio: 0064101613421" u="1"/>
        <s v="Creación de cuenta y configuración permisos a Daniel Verdugo" u="1"/>
        <s v="Notificación de seguimiento  [  MA2701202110 ]      I         I         I    Estimado(a):                     Víctor Manuel Díaz Vázquez    I         I         I    Le informamos que su ticket correspondiente a:    I                       I    Por medio del presente, envío el oficio INAI/SAI/DGEALSUPFM/0914/2020, por el que amablemente se solicita la baja del Fideicomiso SEP-UNAM-Fundación UNAM de los sistemas electrónicos que administra este Instituto.    I        I         I    Aplicación:                  HCOM    I    Tipo de Soporte:         BAJA DEPENDENCIA       I    Observaciones:                I         I    Su petición fue atendida    I    " u="1"/>
        <s v="Se aplica eliminación de formato de pago: 0063700131320 " u="1"/>
        <s v="Carga de archivos campus público a la nube" u="1"/>
        <s v="Se  testan los datos del folio: 0064101344921" u="1"/>
        <s v="Notificación de seguimiento  [  MA0604202001 ]      I         I         I    Estimado(a):                     Jassel Natali Córdova Guzmán    I         I    Le informamos que su ticket correspondiente a:    I                       I        I    Por este medio les solicito su ayuda en la eliminación del requerimiento IFAI-REQ-000705-2020 de CNSNS, esto debido a que se le enviaron documentos concernientes a otro sujeto obligado. Esto en la medida de lo posible.    I        I        I         I    Aplicación:                  HCOM    I    Tipo de Soporte:         ELIMINAR REQUERIMIENTO     I    Observaciones:                I         I    Su petición fue atendida    I    " u="1"/>
        <s v="Notificación de seguimiento  [  MA1811202004 ]      I         I         I    Estimado(a):                     ALMA PEGUERO     I         I         I    Le informamos que su ticket correspondiente a:    I                       I    Espero se encuentren bien, solicito su valioso apoyo para la eliminar el siguiente recurso RRA 09234/20 del pleno del pasado 28-10-20, ya que se encuentra doble en la PNT para poder trabajar mi actividad, sin más por el momento, quedo pendiente.    I         I    Aplicación:                  SIGEMI    I    Tipo de Soporte:         CANCELAR PASO DUPLICADO       I    Observaciones:                I         I    Su petición fue atendida    I    " u="1"/>
        <s v="Se  testan los datos del folio: 0064101354921" u="1"/>
        <s v="Buenas tardes Martha, tu petición fue atendida, favor de validar     I        I    Saludos     I        I    Marina Adame Velasco    I        I    Notificación de seguimiento  [  MA0306202009 ]      I        I    Aplicación:                  INFOMEX NUEVO LEÓN    I    Tipo de Soporte:         AJUSTE DE PLAZOS       I    Estatus:                               Concluido.    I        I    " u="1"/>
        <s v="Buenas tardes Martha, tu petición fue atendida, favor de validar     I        I    Saludos     I        I    Marina Adame Velasco    I        I    Notificación de seguimiento  [  MA0605202001 ]      I        I    Aplicación:                  INFOMEX NUEVO LEÓN    I    Tipo de Soporte:         AJUSTE DE PLAZOS       I    Estatus:                               Concluido.    I        I    " u="1"/>
        <s v="Buenas tardes Martha, tu petición fue atendida, favor de validar     I        I    Saludos     I        I    Marina Adame Velasco    I        I    Notificación de seguimiento  [  MA0605202002 ]      I        I    Aplicación:                  INFOMEX NUEVO LEÓN    I    Tipo de Soporte:         AJUSTE DE PLAZOS       I    Estatus:                               Concluido.    I        I    " u="1"/>
        <s v="Buenas tardes Martha, tu petición fue atendida, favor de validar     I        I    Saludos     I        I    Marina Adame Velasco    I        I    Notificación de seguimiento  [  MA0907202004 ]      I        I    Aplicación:                  INFOMEX NUEVO LEÓN    I    Tipo de Soporte:         AJUSTE DE PLAZO        I    Estatus:                               Concluido.    I        I    " u="1"/>
        <s v="Buenas tardes Martha, tu petición fue atendida, favor de validar     I        I    Saludos     I        I    Marina Adame Velasco    I        I    Notificación de seguimiento  [  MA1008202007 ]      I        I    Aplicación:                  INFOMEX NUEVO LEÓN    I    Tipo de Soporte:         AJUSTE DE PLAZO        I    Estatus:                               Concluido.    I        I    " u="1"/>
        <s v="Buenas tardes Martha, tu petición fue atendida, favor de validar     I        I    Saludos     I        I    Marina Adame Velasco    I        I    Notificación de seguimiento  [  MA1105202003 ]      I        I    Aplicación:                  INFOMEX NUEVO LEÓN    I    Tipo de Soporte:         AJUSTE DE PLAZOS       I    Estatus:                               Concluido.    I        I    " u="1"/>
        <s v="Buenas tardes Martha, tu petición fue atendida, favor de validar     I        I    Saludos     I        I    Marina Adame Velasco    I        I    Notificación de seguimiento  [  MA1105202004 ]      I        I    Aplicación:                  INFOMEX NUEVO LEÓN    I    Tipo de Soporte:         AJUSTE DE PLAZOS       I    Estatus:                               Concluido.    I        I    " u="1"/>
        <s v="Buenas tardes Martha, tu petición fue atendida, favor de validar     I        I    Saludos     I        I    Marina Adame Velasco    I        I    Notificación de seguimiento  [  MA1205202005 ]      I        I    Aplicación:                  INFOMEX NUEVO LEÓN    I    Tipo de Soporte:         AJUSTE DE PLAZOS       I    Estatus:                               Concluido.    I        I    " u="1"/>
        <s v="Buenas tardes Martha, tu petición fue atendida, favor de validar     I        I    Saludos     I        I    Marina Adame Velasco    I        I    Notificación de seguimiento  [  MA1205202006 ]      I        I    Aplicación:                  INFOMEX NUEVO LEÓN    I    Tipo de Soporte:         AJUSTE DE PLAZOS       I    Estatus:                               Concluido.    I        I    " u="1"/>
        <s v="Buenas tardes Martha, tu petición fue atendida, favor de validar     I        I    Saludos     I        I    Marina Adame Velasco    I        I    Notificación de seguimiento  [  MA1405202003 ]      I        I    Aplicación:                  INFOMEX NUEVO LEÓN     I    Tipo de Soporte:         AJUSTE DE PLAZO       I    Estatus:                               Concluido.    I        I    " u="1"/>
        <s v="Buenas tardes Martha, tu petición fue atendida, favor de validar     I        I    Saludos     I        I    Marina Adame Velasco    I        I    Notificación de seguimiento  [  MA1407202008 ]      I        I    Aplicación:                  INFOMEX NUEVO LEÓN    I    Tipo de Soporte:         Ajuste de plazo        I    Estatus:                               Concluido.    I        I    " u="1"/>
        <s v="Buenas tardes Martha, tu petición fue atendida, favor de validar     I        I    Saludos     I        I    Marina Adame Velasco    I        I    Notificación de seguimiento  [  MA1805202007 ]      I        I    Aplicación:                  INFOMEX NUEVO LEÓN     I    Tipo de Soporte:         AJUSTE DE PLAZO       I    Estatus:                               Concluido.    I        I    " u="1"/>
        <s v="Buenas tardes Martha, tu petición fue atendida, favor de validar     I        I    Saludos     I        I    Marina Adame Velasco    I        I    Notificación de seguimiento  [  MA2306202003 ]      I        I    Aplicación:                  INFOMEX NUEVO LEÓN    I    Tipo de Soporte:         AJUSTE DE PLAZOS       I    Estatus:                               Concluido.    I        I    " u="1"/>
        <s v="Buenas tardes Martha, tu petición fue atendida, favor de validar     I        I    Saludos     I        I    Marina Adame Velasco    I        I    Notificación de seguimiento  [  MA2306202004 ]      I        I    Aplicación:                  INFOMEX NUEVO LEÓN    I    Tipo de Soporte:         AJUSTE DE PLAZOS       I    Estatus:                               Concluido.    I        I    " u="1"/>
        <s v="Buenas tardes Martha, tu petición fue atendida, favor de validar     I        I    Saludos     I        I    Marina Adame Velasco    I        I    Notificación de seguimiento  [  MA2704202004 ]      I        I    Aplicación:                  INFOMEX NUEVO LEÓN    I    Tipo de Soporte:         AJUSTE DE PLAZOS       I    Estatus:                               Concluido.    I        I    " u="1"/>
        <s v="Buenas tardes Martha, tu petición fue atendida, favor de validar     I        I    Saludos     I        I    Marina Adame Velasco    I        I    Notificación de seguimiento  [  MA2704202006 ]      I        I    Aplicación:                  INFOMEX NUEVO LEÓN    I    Tipo de Soporte:         AJUSTE DE PLAZOS       I    Estatus:                               Concluido.    I        I    " u="1"/>
        <s v="Buenas tardes Martha, tu petición fue atendida, favor de validar     I        I    Saludos     I        I    Marina Adame Velasco    I        I    Notificación de seguimiento  [  MA2801202004 ]      I        I    Aplicación:                  INFOMEX NUEVO LEÓN    I    Tipo de Soporte:         AJUSTE DE PLAZOS       I    Estatus:                               Concluido.    I        I    " u="1"/>
        <s v="Buenas tardes Martha, tu petición fue atendida, favor de validar     I        I    Saludos     I        I    Marina Adame Velasco    I        I    Notificación de seguimiento  [  MA2801202005 ]      I        I    Aplicación:                  INFOMEX NUEVO LEÓN    I    Tipo de Soporte:         AJUSTE DE PLAZOS       I    Estatus:                               Concluido.    I        I    " u="1"/>
        <s v="Testado de datos  del folio: 1816400121921" u="1"/>
        <s v="Se aplica eliminación de formato de pago manual: 0000700223519 " u="1"/>
        <s v="Sesion de explicacion pizarras 4 y Desarrollo de componente Drag and Drop para el modulo de acuses en INAI" u="1"/>
        <s v="Buenas tardes Francisco, te envío los datos localizados, revisando lo que comentas observe que en el catalogo mostrado de Sujetos Obligados que se muestra en el registro de solicitudes de la PNT, se ve el Comité, esto es ocasionado por el nivel en el que se generó este departamento, para solventar esta situación se debe de cambiar de nivel al Comité y se sugiere que las solicitudes que le hayan generado se asignen al Sujeto Obligado que le corresponda, quedo atenta a tus comentarios    I        I        I    FOLIO CORREO ELECTRÓNICO     I    160020 NO REGISTRADO     I    252220 menriquezr@hotmail.com    I        I    292820 lucreciodeleon1@gmail.com    I        I        I        I    Saludos     I        I    Marina Adame Velasco    I        I    Notificación de seguimiento  [  MA1902202011 ]      I        I    Aplicación:                  INFOMEX NUEVO LEÓN    I    Tipo de Soporte:         Consulta de datos y revisión de configuración       I    Estatus:                               Concluido.    I    " u="1"/>
        <s v="Revisión de conteos de solicitudes " u="1"/>
        <s v="Notificación de seguimiento  [  MA0502202007 ]      I         I         I    Estimado(a):                     Ana Karen Martínez Arriaga    I         I    Le informamos que su ticket correspondiente a:    I                       I    Buen día, por medio del presente solicito su amable apoyo para solucionar un problema con la admisión de un asunto, se trata del RRA 01047/20. Estaba haciendo los pasos para la notificación del acuerdo de admisión en la PNT y adjunté el acuerdo, me hacía falta cambiar la fecha de admisión, pero la página se pasmó y cuando reaccionó me regreso a la página principal, revisé mi asunto para volver a hacer los pasos para notificar la admisión, pero ya me aparece como notificado con la fecha de hoy, 5 de febrero de 2020, cuando debe de ser con la fecha de ayer, 4 de febrero de 2020; por ello solicitó apoyo para que se regresen los pasos y pueda notificar el acurdo de admisión con la fecha correcta. Les adjuntó al presente la captura de pantalla de la notificación que se refleja en el asunto en comento y el acuerdo de admisión correspondiente.     I         I    Aplicación:                  SIGEMI    I    Tipo de Soporte:         REGRESO DE PASOS      I    Observaciones:                I         I    Su petición fue atendida    I    " u="1"/>
        <s v="Notificación de seguimiento  [  MA1009202005 ]      I         I         I    Estimado(a):                     Gustavo Cuevas Romero    I         I    Le informamos que su ticket correspondiente a:    I                       I    Por instrucciones del Dr. Luis Felipe Nava Gomar, Director General de Enlace con los Poderes Legislativo y Judicial, me permito solicitar su valioso apoyo, a efecto de realizar modificaciones sobre las fechas de vencimiento de algunos requerimientos realizados mediante HCOM,    I         I    Aplicación:                  HCOM    I    Tipo de Soporte:         CAMBIO DE FECHAS       I    Observaciones:                I         I    Su petición fue atendida    I    " u="1"/>
        <s v="Notificación de seguimiento  [  MA2704202003 ]      I         I         I    Estimado(a):                     JUAN PEDRO RAMIREZ    I         I    Le informamos que su ticket correspondiente a:    I        I    el regreso de paso del expediente rraip-168/2020 a fin de poder visualizarlo en la bandeja de cumplimiento    I        I         I    Aplicación:                  SIGEMI    I    Tipo de Soporte:         GUANAJUATO          I    Observaciones:                I         I    Su petición fue atendida, se realizó el regreso de pasos a la actividad Notificación de la Resolución, ya que la actividad de cumplimiento no se ha generado y desde esa actividad se debe generar    I         I        I    " u="1"/>
        <s v="Se desarrollo el acordeon de las bases, el carrusel y el footer del micrositio" u="1"/>
        <s v="Notificación de seguimiento  [  MA0908202201 ]    I        I        I    Estimado(a):               María Fernanda Trejo Vargas    I        I     Le informamos que su ticket correspondiente a:    I        I    Solicito su amable apoyo para asignar en la Herramienta de comunicación, el certificado adjunto al presente SO que se precisa a continuación    I        I        I    60214_x0009_Sindicato Nacional Independiente de la Fiscalía General de la República_x0009_Francisco Javier Hernández Martínez_x0009_javierpgr1@gmail.com    I    hcom2022    I        I        I    Aplicación:                  HCOM    I    Tipo de Soporte:        GENERACIÓN DE CERTIFICADO Y CAMBIO DE TUT EN HCOM      I    Observaciones:          Se anexa de nuevo certificado, ya que se había generado con el otro nombre enviado   " u="1"/>
        <s v="Instalación ambiente local" u="1"/>
        <s v="Pruebas para los Request: payload" u="1"/>
        <s v="Se elimina la respuesta del folio 00027000769210 y 002700077121" u="1"/>
        <s v="Creación de página para cambiar correos" u="1"/>
        <s v="Se testan los datos  del folio: 0064101433921" u="1"/>
        <s v="Evaluación y diseño de procesamiento de limpieza de datos" u="1"/>
        <s v="Se  testan los datos del folio: 1816400179421 " u="1"/>
        <s v="Se aplica testado de datos al folio: 0064100054421" u="1"/>
        <s v="Restauración de micrositio corrupto" u="1"/>
        <s v="Se  testan los datos del folio: 1857200161821" u="1"/>
        <s v="Generación de querys para datos abiertos" u="1"/>
        <s v="Notificación de seguimiento  [  MA2002202005 ]      I         I         I    Estimado(a):                     Lizbeth Adriana Cabrera Ortega    I         I    Le informamos que su ticket correspondiente a:    I                       I    Solicito de su apoyo para modificar la fecha de interposición al día hábil siguiente:    I        I    Debe decir 20 de febrero    I        I         I    Aplicación:                  SIGEMI    I    Tipo de Soporte:         Actualización de fechas de interposición  ( 134)    I    Observaciones:                I         I    Su petición fue atendida    I    " u="1"/>
        <s v="Se realizan pruebas en el módulo productivo en el sistema Infomex Federal." u="1"/>
        <s v="Se  testan los datos del folio: 0064101758421" u="1"/>
        <s v="    I    Notificación de seguimiento  [  MA0812202004 ]      I         I     Estimado(a):                     Laura Mónica Segovia Tellez    I          I    Le informamos que su ticket correspondiente a:    I                       I    regresar el paso del RRA 11267/20 del cierre de instrucción derivado de que se adjuntó mal un documento    I         I    Aplicación:                  SIGEMI    I    Tipo de Soporte:         ELIMINACIÓN DE CIERRE       I    Observaciones:                I         I    Su petición fue atendida    I    " u="1"/>
        <s v="Notificación de seguimiento  [  MA1401202106 ]      I         I         I    Estimado(a):                     Berenice Hernández Sumano    I          I    Le informamos que su ticket correspondiente a:    I                       I    ajustar las fechas de caducidad de los folios adjuntos a este correo, dado que no fueron considerados en el tercer recorrido de plazos aplicado a los SO del Edo. Oaxaca que continúan en suspensión por la contingencia sanitaria. Asimismo solicito se borren los archivos PDF de los acuses generados.    I         I    Aplicación:                  INFOMEX OAXACA    I    Tipo de Soporte:         AJUSTE DE PLAZOS        I    Observaciones:                I         I    Su petición fue atendida    I    " u="1"/>
        <s v="Agregar campo resumen en base de datos y vistas de consultas" u="1"/>
        <s v="SUSTITUCIÓN DEL ADJUNTO EN SOLICITUD DE INFORMACION CON FOLIO 0110000064421" u="1"/>
        <s v="Corrección de incidencia de login" u="1"/>
        <s v="Desarrollar servicios para estadísticas por usuario/resoluciones" u="1"/>
        <s v="Notificación de seguimiento  [  MA1805202110 ]      I         I         I    Estimado(a):                     Pedro Esquivel Martínez    I         I         I    Le informamos que su ticket correspondiente a:    I                       I    por este medio Anexo el registro actualizado del certificado del Titular de la Unidad de Enlace de “CONSEJO NACIONAL DE FOMENTO EDUCATIVO”.  Lo Anterior a fin de que sus accesos sean habilitados en los otros sistemas que administra este Instituto (HCOM).  CAMBIO DE  TITULAR, en cuanto se reciba la atención en HCOM se realizará la actualización de los demás sistemas correspondientes.    I         I    Aplicación:                  HCOM    I    Tipo de Soporte:         CAMBIO TUT       I    Observaciones:                I         I    Su petición fue atendida    I         I          I                Favor de validar.    I         I    Estatus:                               Concluido.    I    " u="1"/>
        <s v="Se  testan los datos del folio: 0064101365921" u="1"/>
        <s v="Se crea  la tabla SISAI_TR_AVISOS en la base de datos al igual que los inserts para el menu, menu proceso y menu rol" u="1"/>
        <s v="Generación de reporte" u="1"/>
        <s v="Buenas tardes Joel , tu petición fue atendida, favor de validar     I        I    Saludos     I        I    Marina Adame Velasco    I        I    Notificación de seguimiento  [  MA0306202002 ]      I        I    Aplicación:                  INFOMEX COLIMA    I    Tipo de Soporte:         Ajuste de plazos        I    Estatus:                               Concluido.    I        I         I    " u="1"/>
        <s v="Notificación de seguimiento  [  MA2810202102 ]    I        I    Estimado(a):                Edgar Michel Loaeza Martínez    I        I         I     Le informamos que su ticket correspondiente a:    I                       I    Por medio del presente solicito su valioso apoyo a efecto de realizar el cambio de Titular de la Unidad de Transparencia de la Comisión Nacional del Sistema de Ahorro para el Retiro.    I        I        I        I    Aplicación:                  HCOM    I    Tipo de Soporte:         CAMBIO DE TUT       I    Observaciones:                I         I    Su petición fue atendida    I    " u="1"/>
        <s v="Buenas tardes Francisco, te comento que se realizó el cambio de nivel del Comité de la Secretaría de Infraestructura Vial, con este cambio ya no se registraran solicitudes al Comité, favor de validar    I        I    Voy a revisar las solicitudes que se llegaron a asignar para pasarlas directamente a la Secretaría     I        I    Saludos     I        I    Marina Adame Velasco    I        I    Notificación de seguimiento  [  MA2402202003 ]      I        I    Aplicación:                  INFOMEX NUEVO LEÒN    I    Tipo de Soporte:         Cambio de nivel de Comité       I    Estatus:                               Concluido.    I        I    " u="1"/>
        <s v="Notificación de seguimiento [ MA2701202006 ]    I         I         I     Estimado(a): Lizbeth Adriana Cabrera Ortega    I          I     Le informamos que su ticket correspondiente a:    I          I     Con el gusto de saludarte me permito solicitar tu valioso apoyo respecto de la generación UN EXPEDIENTE del recurso de revisión posteriormente citado.    I          I     Asimismo, te comento que NO DEBERÁ CAMBIAR el sujeto obligado, NI EL COMISIONADO    I          I          I      DICE DEBE DECIR SUJETO OBLIGADO PONENTE    I     RRA 933/20 RRA 2411/19-BIS SEP JSS    I          I     No omito comentarte que el número de expediente que deberá seguir en el consecutivo por turnar en PNT debe ser el RRA 933/20    I         I          I     Aplicación: SIGEMI    I     Tipo de Soporte: cambio a bis" u="1"/>
        <s v="Se agregan días inhábiles en el CAS" u="1"/>
        <s v="Se sustituye archivo adjunto  del folio:  0064100289321" u="1"/>
        <s v="Se  testan los datos del folio:  • No. 0000500100421    I    • No. 0510000003921    I    " u="1"/>
        <s v="Se realiza la identificación de nuevos sujetos obligados derivado de la actualización del respaldo de la base de datos del Estado de Tabasco, y se procede con la inserción en la tabla correspondiente." u="1"/>
        <s v="Notificación de seguimiento  [  MA0204202001 ]      I         I         I    Estimado(a):                     María Guadalupe Rodríguez Morales    I         I    Le informamos que su ticket correspondiente a:    I                       I    Estimados compañeros    I    Por medio del presente reitero me brinden su apoyo para que en el recurso de revisión RRA 06359/20 vs API MAZATLÁN se tenga como medio de notificación domicilio particular.    I         I    Aplicación:                  SIGEMI    I    Tipo de Soporte:         cambio de medio       I    Observaciones:                I         I    Su petición fue atendida    I    " u="1"/>
        <s v="Notificación de seguimiento  [  MA0804202202 ]    I        I    Estimado(a):                Alondra Jiménez Hernández    I        I         I     Le informamos que su ticket correspondiente a:    I                       I    Anexo el registro del certificado del nuevo Titular de la Unidad de Transparencia de la Centro de Investigación en Materiales Avanzados, S.C. para que su acceso sea habilitado en la Herramienta de Comunicación.     I         I         I    Aplicación:                  HCOM    I    Tipo de Soporte:         CAMBIO DE TUT       I    Observaciones:                I         I    Su petición fue atendida    I    " u="1"/>
        <s v="Generación de script de normalización de texto" u="1"/>
        <s v="Se elimina la respuesta del folio: 1215100553721" u="1"/>
        <s v="Notificación de seguimiento  [  MA0911202003 ]      I         I         I    Estimado(a):                     Luis Javier Mendoza Rueda    I         I         I    Le informamos que su ticket correspondiente a:    I                       I    Mediante el Ticket #PNT003450 solicito tu apoyo en el sistema SIGEMI para realizar la corrección en la fecha de admisión del acuerdo correspondiente al recurso INFOCDMX/RR.IP.1377/2020 con número de Folio 0432000042620.    I    FECHA INCORRECTA     I     04/11/2020,     I         I    FECHA CORRECTA     I    05/10/2020    I        I         I    Aplicación:                  SIGEMI    I    Tipo de Soporte:         ACTUALIZACIÓN DE FECHA       I    Observaciones:                I         I    Su petición fue atendida    I    " u="1"/>
        <s v="Notificación de seguimiento  [  MA1409202004 ]      I         I         I    Estimado(a):                     Ana Paulina González González    I         I    Le informamos que su ticket correspondiente a:    I                       I    Me permito solicitar su amable apoyo, a efecto de dar de cambiar el medio de notificación en el recurso de revisión RRD 01127/20, a efecto de que las comunicaciones se lleven a cabo a traves de correo electrónico. Lo anterior, toda vez que el particular proporcionó una cuenta de correo electrónico, tal como se aprecia a continuación     I        I        I    Aplicación:                  SIGEMI    I    Tipo de Soporte:         CAMBIO DE MEDIO      I    Observaciones:                I         I    Su petición fue atendida    I    " u="1"/>
        <s v="Notificación de seguimiento  [  MA2505202012 ]      I         I         I    Estimado(a):                     Tiara Gethsemanni Miranda Fuentes    I         I    Le informamos que su ticket correspondiente a:    I                       I    Por medio de presente, solicito de la manera más atenta, su apoyo para retroceder los pasos en el sistema SIGEMI-SICOM en la PNT del asunto que se enlista a continuación; hasta la actividad “Registrar información de la sesión del pleno”; sin más por el momento, quedo en espera de sus comentarios.    I         I    RRA 04359/20.    I        I         I    Aplicación:                  SIGEMI    I    Tipo de Soporte:         REGRESO DE PASOS      I    Observaciones:                I         I    Su petición fue atendida    I    " u="1"/>
        <s v="Configuración de docker compose" u="1"/>
        <s v="    I    Buenas tardes Martha, tu petición fue atendida, favor de validar     I        I    Saludos     I        I    Marina Adame Velasco    I        I    Notificación de seguimiento  [  MA3103202006 ]      I        I    Aplicación:                  INFOMEX NUEVO LEÓN    I    Tipo de Soporte:         Corrección de plazos       I    Estatus:                               Concluido.    I    " u="1"/>
        <s v="Modificar las fechas del calendario" u="1"/>
        <s v="Nueva tabla con fecha y carga de declaraciones restantes" u="1"/>
        <s v="Se testan los datos  del folio: 0064101434921" u="1"/>
        <s v="Notificación de seguimiento  [  MA0802202112 ]      I         I         I    Estimado(a):                     Alejandra Tejeda    I         I         I    Le informamos que su ticket correspondiente a:    I                       I    solicito de la manera más atenta su apoyo para la rectificación de suspensión de plazos de un Sujeto obligado, específicamente Ayuntamiento de Tijuana, dicho cambio modificaría las fechas de vencimiento de las solicitudes    I         I    Aplicación:                  INFOMEX BCN    I    Tipo de Soporte:         AJUSTE DE PLAZOS       I    Observaciones:                I         I    Su petición fue atendida    I    " u="1"/>
        <s v="Notificación de seguimiento  [  MA2602202006 ]      I         I         I    Estimado(a):                     Ariadna Piñera Camacho    I         I    Le informamos que su ticket correspondiente a:    I                       I        I    En relación con el RRA 01718/20 interpuesto en contra de Petróleos Mexicanos, me permito solicitar su apoyo a efecto de regresar el paso en la Plataforma Nacional de Transparencia, para poder cargar nuevamente el proyecto.    I         I    Aplicación:                  SIGEMI    I    Tipo de Soporte:         REGRESO DE PASOS      I    Observaciones:                I         I    Su petición fue atendida    I    " u="1"/>
        <s v="Cambios solicitados por el usuario punto 88,89,101, 102, 118, 145, 146, 150, 151, 154, 155, 156, 156 (inventario en excel del usuario)" u="1"/>
        <s v="Ambientación para desarrollo de modulos de firma electronica    I    Vista de firma multilateral" u="1"/>
        <s v="Notificación de seguimiento  [  MA1606202001 ]      I         I         I    Estimado(a):                     Adriana Elizabeth Hernández García    I         I    Le informamos que su ticket correspondiente a:    I                       I    Por medio del presente te comento que al validar el paso denominado Registro de la Resolución Firmada relativo al recurso:     I        I    RRA 03082/20    I    RRA 03212/20    I    RRD 03322/20    I        I    la PNT se queda pasmada y NO APARECEN las ventanas donde se registran las fechas de firma de los comisionados; de tal manera que queda en blanco.      I    Al respecto, te solicito se realicen las gestiones necesarias a efecto de que se pueda validar el paso referido y estar en condición de continuar con el proceso de notificación de la resolución.    I        I        I         I    Aplicación:                  SIGEMI    I    Tipo de Soporte:         Corrección de incidencia      I    Observaciones:                I         I    Su petición fue atendida, excepto para el folio RRD 03322/20 que no se localizó    I    " u="1"/>
        <s v="    I    Notificación de seguimiento  [  MA2310202007 ]      I         I         I    Estimado(a):                     Rosalinda Coria Mosqueda    I         I    Le informamos que su ticket correspondiente a:    I                       I    regresar a la actividad de admitir/prevenir el recurso RRA 10600/20, toda vez que por omisión adjunte archivo de admisión que no corresponde al recurso.    I        I         I    Aplicación:                  SIGEMI    I    Tipo de Soporte:         REGRESO DE PASOS      I    Observaciones:                I         I    Su petición fue atendida    I    " u="1"/>
        <s v="Notificación de seguimiento  [  MA1202202010 ]      I         I         I    Estimado(a):                     Pedro Esquivel     I         I    Le informamos que su ticket correspondiente a:    I                       I         I    Anexo el registro actualizado del certificado del Titular de la Unidad de Enlace del  “Servicio Postal Mexicano” Lo Anterior a fin de que sus accesos sean habilitados en los otros sistemas que administra este Instituto (HCOM).  CAMBIO DE TITULAR, en cuanto se reciba la atención en HCOM se realizará la actualización de los demás sistemas correspondientes.    I        I         I    Aplicación:                  HCOM    I    Tipo de Soporte:         CAMBIO DE TITULAR       I    Observaciones:                I         I    Su petición fue atendida    I    " u="1"/>
        <s v="Se aplica sustitución de archivo de la solicitud: 0064103310219" u="1"/>
        <s v="    I    otificación de seguimiento  [  MA2611202004 ]      I         I         I    Estimado(a):                     Alma Lizbeth Peguero Rivera    I         I         I    Le informamos que su ticket correspondiente a:    I                       I    Por medio de presente, solicito de la manera más atenta, su apoyo para retroceder los pasos en el sistema SIGEMI-SICOM en la PNT del siguiente asunto RRA 12911/20 RMC, hasta la actividad “Registrar información de la sesión del pleno”; sin más por el momento, quedo en espera de sus comentarios.    I         I    Aplicación:                  SIGEMI    I    Tipo de Soporte:         REGRESO DE PASOS        I    Observaciones:                I         I    Su petición fue atendida    I         I          I                Favor de validar.    I         I    Estatus:                               Concluido.    I        I    " u="1"/>
        <s v="Notificación de seguimiento  [  MA1205202115 ]      I         I         I    Estimado(a):                     Pedro Esquivel Martínez    I         I         I    Le informamos que su ticket correspondiente a:    I                       I    dar de alta en HCOM al sujeto obligado &quot;Fuerza por México&quot; y asignarle el .cer de acuerdo al cuadro siguiente:     I         I         I    Clave Presupuestal    Sujeto Obligado Titular de la unidad de transparencia    CERTIFICADO A GENERAR    Contraseña       I    22410      I    Fuerza por México Ángel Gerardo Islas Maldonado 22410.Ángel Gerardo Islas Maldonado HCOM:    I    HCOM22410    I         I    INFOMEX    I    SIS22410    I         I         I    Aplicación:                  HCOM    I    Tipo de Soporte:         CAMBIO TUT       I    Observaciones:                I         I    Su petición fue atendida    I         I          I                Favor de validar.    I         I    Estatus:                               Concluido.    I    " u="1"/>
        <s v="Se aplica sustitución de archivo de la solicitud: 0000700034420" u="1"/>
        <s v="Se aplica testado de datos al folio: 0700100001220." u="1"/>
        <s v="Notificación de seguimiento  [  MA0405202004 ]      I         I         I    Estimado(a):             Sergio Rafael Cortés Alpizar            I         I    Le informamos que su ticket correspondiente a:    I                       I    Buen día, por medio del presente solicito su apoyo para que se cambie el medio de notificación a domicilio particular en la Plataforma Nacional de Transparencia del recurso de revisión:    I         I    RRA 3981/20 vs PROFECO    I        I        I         I    Aplicación:                  SIGEMI    I    Tipo de Soporte:         REGRESO DE PASOS      I    Observaciones:                I         I    Su petición fue atendida    I    " u="1"/>
        <s v="Notificación de seguimiento  [  MA2004202105 ]      I         I         I    Estimado(a):                     Martha Rubí Zaragoza Mora    I         I         I    Le informamos que su ticket correspondiente a:    I                       I    El presente correo es para pedir su amable apoyo para el ajuste de términos de los folios debido al Acuerdo que enviaron los siguientes Sujetos Obligados a la COTAI por el cual se amplían la fecha del 09 al 30 de abril 2021    I         I    Aplicación:                  INFOMEX NUEVO LEÓN    I    Tipo de Soporte:         AJUSTE DE PLAZOS        I    Observaciones:                I         I    Su petición fue atendida    I    " u="1"/>
        <s v="Notificación de seguimiento  [  MA2505202008 ]      I         I         I    Estimado(a):                     Tiara Gethsemanni Miranda Fuentes    I         I    Le informamos que su ticket correspondiente a:    I                       I    dejar en la PNT  un solo registro de la Actividad &quot;Registrar información de la sesión del pleno&quot;, en virtud que aparece duplicada como se muestra en la siguiente captura de pantalla, esto para el Recurso de Revisión RRA 00150/20    I         I    Aplicación:                  SIGEMI    I    Tipo de Soporte:         Eliminar actividad duplicada     I    Observaciones:                I         I    Su petición fue atendida    I    " u="1"/>
        <s v="Se  testan los datos del folio: 0064101366921" u="1"/>
      </sharedItems>
    </cacheField>
    <cacheField name="Costo" numFmtId="44">
      <sharedItems containsMixedTypes="1" containsNumber="1" minValue="348" maxValue="8119.9999999999991"/>
    </cacheField>
    <cacheField name="Comentarios" numFmtId="0">
      <sharedItems containsBlank="1" count="2">
        <m/>
        <s v="Ampliación"/>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
  <r>
    <s v="Pizarras 5"/>
    <x v="0"/>
    <n v="82"/>
    <n v="600"/>
    <n v="49200"/>
    <n v="57071.999999999993"/>
  </r>
  <r>
    <s v="Pizarras 5"/>
    <x v="1"/>
    <n v="136"/>
    <n v="450"/>
    <n v="61200"/>
    <n v="70992"/>
  </r>
  <r>
    <s v="Pizarras 5"/>
    <x v="2"/>
    <n v="476"/>
    <n v="700"/>
    <n v="333200"/>
    <n v="386512"/>
  </r>
  <r>
    <s v="Pizarras 5"/>
    <x v="3"/>
    <n v="160"/>
    <n v="800"/>
    <n v="128000"/>
    <n v="148480"/>
  </r>
  <r>
    <s v="Pizarras 5"/>
    <x v="4"/>
    <n v="204"/>
    <n v="500"/>
    <n v="102000"/>
    <n v="118319.99999999999"/>
  </r>
  <r>
    <s v="Micrositio “Criterios de Interpretación actualizados”"/>
    <x v="5"/>
    <n v="336"/>
    <n v="450"/>
    <n v="151200"/>
    <n v="175392"/>
  </r>
  <r>
    <s v="Actualización de la APP Movil"/>
    <x v="6"/>
    <n v="168"/>
    <n v="500"/>
    <n v="84000"/>
    <n v="97440"/>
  </r>
  <r>
    <s v="Motor de firma electrónica SICOM"/>
    <x v="2"/>
    <n v="336"/>
    <n v="700"/>
    <n v="235200"/>
    <n v="27283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93">
  <r>
    <x v="0"/>
    <x v="0"/>
    <x v="0"/>
    <x v="0"/>
    <x v="0"/>
    <x v="0"/>
    <x v="0"/>
    <x v="0"/>
    <x v="0"/>
    <x v="0"/>
    <x v="0"/>
    <x v="0"/>
    <x v="0"/>
    <x v="0"/>
    <x v="0"/>
    <x v="0"/>
    <x v="0"/>
    <x v="0"/>
    <s v="MEDIA"/>
    <s v="MEDIA"/>
    <n v="64"/>
    <s v="cumple"/>
    <x v="0"/>
    <x v="0"/>
    <x v="0"/>
    <n v="6496"/>
    <x v="0"/>
  </r>
  <r>
    <x v="0"/>
    <x v="0"/>
    <x v="0"/>
    <x v="0"/>
    <x v="0"/>
    <x v="0"/>
    <x v="0"/>
    <x v="1"/>
    <x v="1"/>
    <x v="1"/>
    <x v="0"/>
    <x v="1"/>
    <x v="0"/>
    <x v="0"/>
    <x v="0"/>
    <x v="1"/>
    <x v="0"/>
    <x v="0"/>
    <s v="MEDIA"/>
    <s v="MEDIA"/>
    <n v="64"/>
    <s v="cumple"/>
    <x v="0"/>
    <x v="0"/>
    <x v="1"/>
    <n v="6496"/>
    <x v="0"/>
  </r>
  <r>
    <x v="0"/>
    <x v="0"/>
    <x v="0"/>
    <x v="0"/>
    <x v="0"/>
    <x v="0"/>
    <x v="0"/>
    <x v="2"/>
    <x v="2"/>
    <x v="2"/>
    <x v="0"/>
    <x v="2"/>
    <x v="0"/>
    <x v="0"/>
    <x v="0"/>
    <x v="2"/>
    <x v="0"/>
    <x v="0"/>
    <s v="MEDIA"/>
    <s v="MEDIA"/>
    <n v="64"/>
    <s v="cumple"/>
    <x v="0"/>
    <x v="0"/>
    <x v="2"/>
    <n v="6496"/>
    <x v="0"/>
  </r>
  <r>
    <x v="0"/>
    <x v="1"/>
    <x v="0"/>
    <x v="0"/>
    <x v="0"/>
    <x v="1"/>
    <x v="0"/>
    <x v="3"/>
    <x v="3"/>
    <x v="3"/>
    <x v="0"/>
    <x v="3"/>
    <x v="0"/>
    <x v="0"/>
    <x v="0"/>
    <x v="3"/>
    <x v="0"/>
    <x v="0"/>
    <s v="MEDIA"/>
    <s v="MEDIA"/>
    <n v="64"/>
    <s v="cumple"/>
    <x v="0"/>
    <x v="0"/>
    <x v="3"/>
    <n v="6496"/>
    <x v="0"/>
  </r>
  <r>
    <x v="0"/>
    <x v="1"/>
    <x v="0"/>
    <x v="0"/>
    <x v="0"/>
    <x v="1"/>
    <x v="0"/>
    <x v="4"/>
    <x v="4"/>
    <x v="4"/>
    <x v="0"/>
    <x v="4"/>
    <x v="0"/>
    <x v="0"/>
    <x v="0"/>
    <x v="4"/>
    <x v="0"/>
    <x v="0"/>
    <s v="MEDIA"/>
    <s v="MEDIA"/>
    <n v="64"/>
    <s v="cumple"/>
    <x v="0"/>
    <x v="0"/>
    <x v="4"/>
    <n v="6496"/>
    <x v="0"/>
  </r>
  <r>
    <x v="0"/>
    <x v="1"/>
    <x v="0"/>
    <x v="0"/>
    <x v="0"/>
    <x v="1"/>
    <x v="0"/>
    <x v="5"/>
    <x v="5"/>
    <x v="5"/>
    <x v="0"/>
    <x v="5"/>
    <x v="0"/>
    <x v="0"/>
    <x v="0"/>
    <x v="5"/>
    <x v="0"/>
    <x v="0"/>
    <s v="MEDIA"/>
    <s v="MEDIA"/>
    <n v="64"/>
    <s v="cumple"/>
    <x v="0"/>
    <x v="0"/>
    <x v="5"/>
    <n v="6496"/>
    <x v="0"/>
  </r>
  <r>
    <x v="0"/>
    <x v="1"/>
    <x v="0"/>
    <x v="0"/>
    <x v="0"/>
    <x v="1"/>
    <x v="0"/>
    <x v="6"/>
    <x v="6"/>
    <x v="6"/>
    <x v="0"/>
    <x v="6"/>
    <x v="0"/>
    <x v="0"/>
    <x v="0"/>
    <x v="6"/>
    <x v="0"/>
    <x v="0"/>
    <s v="MEDIA"/>
    <s v="MEDIA"/>
    <n v="64"/>
    <s v="cumple"/>
    <x v="0"/>
    <x v="0"/>
    <x v="6"/>
    <n v="6496"/>
    <x v="0"/>
  </r>
  <r>
    <x v="0"/>
    <x v="1"/>
    <x v="0"/>
    <x v="0"/>
    <x v="0"/>
    <x v="1"/>
    <x v="0"/>
    <x v="7"/>
    <x v="7"/>
    <x v="7"/>
    <x v="0"/>
    <x v="7"/>
    <x v="0"/>
    <x v="0"/>
    <x v="0"/>
    <x v="7"/>
    <x v="0"/>
    <x v="0"/>
    <s v="MEDIA"/>
    <s v="MEDIA"/>
    <n v="64"/>
    <s v="cumple"/>
    <x v="0"/>
    <x v="0"/>
    <x v="7"/>
    <n v="6496"/>
    <x v="0"/>
  </r>
  <r>
    <x v="0"/>
    <x v="1"/>
    <x v="0"/>
    <x v="0"/>
    <x v="0"/>
    <x v="1"/>
    <x v="0"/>
    <x v="8"/>
    <x v="8"/>
    <x v="8"/>
    <x v="0"/>
    <x v="8"/>
    <x v="0"/>
    <x v="0"/>
    <x v="0"/>
    <x v="8"/>
    <x v="0"/>
    <x v="0"/>
    <s v="MEDIA"/>
    <s v="MEDIA"/>
    <n v="64"/>
    <s v="cumple"/>
    <x v="0"/>
    <x v="0"/>
    <x v="8"/>
    <n v="6496"/>
    <x v="0"/>
  </r>
  <r>
    <x v="0"/>
    <x v="1"/>
    <x v="0"/>
    <x v="0"/>
    <x v="0"/>
    <x v="2"/>
    <x v="0"/>
    <x v="9"/>
    <x v="9"/>
    <x v="9"/>
    <x v="0"/>
    <x v="9"/>
    <x v="0"/>
    <x v="0"/>
    <x v="0"/>
    <x v="9"/>
    <x v="0"/>
    <x v="0"/>
    <s v="MEDIA"/>
    <s v="MEDIA"/>
    <n v="64"/>
    <s v="cumple"/>
    <x v="0"/>
    <x v="0"/>
    <x v="9"/>
    <n v="6496"/>
    <x v="0"/>
  </r>
  <r>
    <x v="1"/>
    <x v="2"/>
    <x v="0"/>
    <x v="0"/>
    <x v="0"/>
    <x v="3"/>
    <x v="0"/>
    <x v="10"/>
    <x v="10"/>
    <x v="10"/>
    <x v="0"/>
    <x v="10"/>
    <x v="0"/>
    <x v="0"/>
    <x v="0"/>
    <x v="10"/>
    <x v="0"/>
    <x v="0"/>
    <s v="MEDIA"/>
    <s v="MEDIA"/>
    <n v="64"/>
    <s v="cumple"/>
    <x v="0"/>
    <x v="0"/>
    <x v="10"/>
    <n v="6496"/>
    <x v="0"/>
  </r>
  <r>
    <x v="1"/>
    <x v="2"/>
    <x v="0"/>
    <x v="0"/>
    <x v="0"/>
    <x v="3"/>
    <x v="0"/>
    <x v="11"/>
    <x v="11"/>
    <x v="11"/>
    <x v="0"/>
    <x v="11"/>
    <x v="0"/>
    <x v="0"/>
    <x v="0"/>
    <x v="11"/>
    <x v="0"/>
    <x v="0"/>
    <s v="MEDIA"/>
    <s v="MEDIA"/>
    <n v="64"/>
    <s v="cumple"/>
    <x v="0"/>
    <x v="0"/>
    <x v="11"/>
    <n v="6496"/>
    <x v="0"/>
  </r>
  <r>
    <x v="0"/>
    <x v="1"/>
    <x v="0"/>
    <x v="0"/>
    <x v="0"/>
    <x v="1"/>
    <x v="0"/>
    <x v="12"/>
    <x v="12"/>
    <x v="12"/>
    <x v="0"/>
    <x v="12"/>
    <x v="0"/>
    <x v="0"/>
    <x v="0"/>
    <x v="12"/>
    <x v="0"/>
    <x v="0"/>
    <s v="MEDIA"/>
    <s v="MEDIA"/>
    <n v="64"/>
    <s v="cumple"/>
    <x v="0"/>
    <x v="0"/>
    <x v="12"/>
    <n v="6496"/>
    <x v="0"/>
  </r>
  <r>
    <x v="0"/>
    <x v="1"/>
    <x v="0"/>
    <x v="0"/>
    <x v="0"/>
    <x v="1"/>
    <x v="0"/>
    <x v="13"/>
    <x v="13"/>
    <x v="13"/>
    <x v="0"/>
    <x v="13"/>
    <x v="0"/>
    <x v="0"/>
    <x v="0"/>
    <x v="13"/>
    <x v="0"/>
    <x v="0"/>
    <s v="MEDIA"/>
    <s v="MEDIA"/>
    <n v="64"/>
    <s v="cumple"/>
    <x v="0"/>
    <x v="0"/>
    <x v="13"/>
    <n v="6496"/>
    <x v="0"/>
  </r>
  <r>
    <x v="0"/>
    <x v="2"/>
    <x v="0"/>
    <x v="0"/>
    <x v="0"/>
    <x v="3"/>
    <x v="0"/>
    <x v="14"/>
    <x v="14"/>
    <x v="14"/>
    <x v="0"/>
    <x v="14"/>
    <x v="0"/>
    <x v="0"/>
    <x v="0"/>
    <x v="14"/>
    <x v="0"/>
    <x v="0"/>
    <s v="MEDIA"/>
    <s v="MEDIA"/>
    <n v="64"/>
    <s v="cumple"/>
    <x v="0"/>
    <x v="0"/>
    <x v="14"/>
    <n v="6496"/>
    <x v="0"/>
  </r>
  <r>
    <x v="0"/>
    <x v="2"/>
    <x v="0"/>
    <x v="0"/>
    <x v="0"/>
    <x v="3"/>
    <x v="0"/>
    <x v="15"/>
    <x v="15"/>
    <x v="15"/>
    <x v="0"/>
    <x v="15"/>
    <x v="0"/>
    <x v="0"/>
    <x v="0"/>
    <x v="15"/>
    <x v="0"/>
    <x v="0"/>
    <s v="MEDIA"/>
    <s v="MEDIA"/>
    <n v="64"/>
    <s v="cumple"/>
    <x v="0"/>
    <x v="0"/>
    <x v="15"/>
    <n v="6496"/>
    <x v="0"/>
  </r>
  <r>
    <x v="0"/>
    <x v="2"/>
    <x v="0"/>
    <x v="0"/>
    <x v="0"/>
    <x v="3"/>
    <x v="0"/>
    <x v="16"/>
    <x v="16"/>
    <x v="16"/>
    <x v="0"/>
    <x v="16"/>
    <x v="0"/>
    <x v="0"/>
    <x v="0"/>
    <x v="16"/>
    <x v="0"/>
    <x v="0"/>
    <s v="MEDIA"/>
    <s v="MEDIA"/>
    <n v="64"/>
    <s v="cumple"/>
    <x v="0"/>
    <x v="0"/>
    <x v="16"/>
    <n v="6496"/>
    <x v="0"/>
  </r>
  <r>
    <x v="0"/>
    <x v="1"/>
    <x v="0"/>
    <x v="0"/>
    <x v="0"/>
    <x v="1"/>
    <x v="0"/>
    <x v="17"/>
    <x v="17"/>
    <x v="17"/>
    <x v="0"/>
    <x v="17"/>
    <x v="0"/>
    <x v="0"/>
    <x v="0"/>
    <x v="17"/>
    <x v="0"/>
    <x v="0"/>
    <s v="MEDIA"/>
    <s v="MEDIA"/>
    <n v="64"/>
    <s v="cumple"/>
    <x v="0"/>
    <x v="0"/>
    <x v="17"/>
    <n v="6496"/>
    <x v="0"/>
  </r>
  <r>
    <x v="0"/>
    <x v="1"/>
    <x v="0"/>
    <x v="0"/>
    <x v="0"/>
    <x v="1"/>
    <x v="0"/>
    <x v="18"/>
    <x v="18"/>
    <x v="18"/>
    <x v="0"/>
    <x v="18"/>
    <x v="0"/>
    <x v="0"/>
    <x v="0"/>
    <x v="18"/>
    <x v="0"/>
    <x v="0"/>
    <s v="MEDIA"/>
    <s v="MEDIA"/>
    <n v="64"/>
    <s v="cumple"/>
    <x v="0"/>
    <x v="0"/>
    <x v="18"/>
    <n v="6496"/>
    <x v="0"/>
  </r>
  <r>
    <x v="0"/>
    <x v="1"/>
    <x v="0"/>
    <x v="0"/>
    <x v="0"/>
    <x v="1"/>
    <x v="0"/>
    <x v="19"/>
    <x v="19"/>
    <x v="19"/>
    <x v="0"/>
    <x v="19"/>
    <x v="0"/>
    <x v="0"/>
    <x v="0"/>
    <x v="19"/>
    <x v="0"/>
    <x v="0"/>
    <s v="MEDIA"/>
    <s v="MEDIA"/>
    <n v="64"/>
    <s v="cumple"/>
    <x v="0"/>
    <x v="0"/>
    <x v="19"/>
    <n v="6496"/>
    <x v="0"/>
  </r>
  <r>
    <x v="0"/>
    <x v="1"/>
    <x v="0"/>
    <x v="0"/>
    <x v="0"/>
    <x v="1"/>
    <x v="0"/>
    <x v="20"/>
    <x v="20"/>
    <x v="20"/>
    <x v="0"/>
    <x v="20"/>
    <x v="0"/>
    <x v="0"/>
    <x v="0"/>
    <x v="20"/>
    <x v="0"/>
    <x v="0"/>
    <s v="MEDIA"/>
    <s v="MEDIA"/>
    <n v="64"/>
    <s v="cumple"/>
    <x v="0"/>
    <x v="0"/>
    <x v="20"/>
    <n v="6496"/>
    <x v="0"/>
  </r>
  <r>
    <x v="0"/>
    <x v="1"/>
    <x v="0"/>
    <x v="0"/>
    <x v="0"/>
    <x v="1"/>
    <x v="0"/>
    <x v="21"/>
    <x v="21"/>
    <x v="21"/>
    <x v="0"/>
    <x v="21"/>
    <x v="0"/>
    <x v="0"/>
    <x v="0"/>
    <x v="21"/>
    <x v="0"/>
    <x v="0"/>
    <s v="MEDIA"/>
    <s v="MEDIA"/>
    <n v="64"/>
    <s v="cumple"/>
    <x v="0"/>
    <x v="0"/>
    <x v="21"/>
    <n v="6496"/>
    <x v="0"/>
  </r>
  <r>
    <x v="0"/>
    <x v="3"/>
    <x v="1"/>
    <x v="0"/>
    <x v="1"/>
    <x v="1"/>
    <x v="0"/>
    <x v="22"/>
    <x v="22"/>
    <x v="0"/>
    <x v="0"/>
    <x v="0"/>
    <x v="0"/>
    <x v="0"/>
    <x v="1"/>
    <x v="22"/>
    <x v="1"/>
    <x v="0"/>
    <s v="MEDIA"/>
    <s v="MEDIA"/>
    <n v="64"/>
    <s v="cumple"/>
    <x v="0"/>
    <x v="1"/>
    <x v="22"/>
    <n v="6496"/>
    <x v="0"/>
  </r>
  <r>
    <x v="0"/>
    <x v="3"/>
    <x v="1"/>
    <x v="0"/>
    <x v="1"/>
    <x v="1"/>
    <x v="0"/>
    <x v="22"/>
    <x v="22"/>
    <x v="1"/>
    <x v="0"/>
    <x v="1"/>
    <x v="1"/>
    <x v="1"/>
    <x v="0"/>
    <x v="22"/>
    <x v="1"/>
    <x v="0"/>
    <s v="MEDIA"/>
    <s v="MEDIA"/>
    <n v="64"/>
    <s v="cumple"/>
    <x v="0"/>
    <x v="1"/>
    <x v="22"/>
    <n v="5684"/>
    <x v="0"/>
  </r>
  <r>
    <x v="0"/>
    <x v="3"/>
    <x v="1"/>
    <x v="0"/>
    <x v="1"/>
    <x v="1"/>
    <x v="0"/>
    <x v="22"/>
    <x v="23"/>
    <x v="1"/>
    <x v="1"/>
    <x v="1"/>
    <x v="0"/>
    <x v="2"/>
    <x v="1"/>
    <x v="23"/>
    <x v="1"/>
    <x v="0"/>
    <s v="MEDIA"/>
    <s v="MEDIA"/>
    <n v="64"/>
    <s v="cumple"/>
    <x v="0"/>
    <x v="1"/>
    <x v="23"/>
    <n v="812"/>
    <x v="0"/>
  </r>
  <r>
    <x v="0"/>
    <x v="3"/>
    <x v="1"/>
    <x v="0"/>
    <x v="1"/>
    <x v="1"/>
    <x v="0"/>
    <x v="22"/>
    <x v="23"/>
    <x v="2"/>
    <x v="0"/>
    <x v="2"/>
    <x v="0"/>
    <x v="0"/>
    <x v="1"/>
    <x v="23"/>
    <x v="1"/>
    <x v="0"/>
    <s v="MEDIA"/>
    <s v="MEDIA"/>
    <n v="64"/>
    <s v="cumple"/>
    <x v="0"/>
    <x v="1"/>
    <x v="23"/>
    <n v="6496"/>
    <x v="0"/>
  </r>
  <r>
    <x v="0"/>
    <x v="3"/>
    <x v="1"/>
    <x v="0"/>
    <x v="1"/>
    <x v="1"/>
    <x v="0"/>
    <x v="22"/>
    <x v="23"/>
    <x v="3"/>
    <x v="0"/>
    <x v="3"/>
    <x v="2"/>
    <x v="3"/>
    <x v="0"/>
    <x v="23"/>
    <x v="1"/>
    <x v="0"/>
    <s v="MEDIA"/>
    <s v="MEDIA"/>
    <n v="64"/>
    <s v="cumple"/>
    <x v="0"/>
    <x v="1"/>
    <x v="23"/>
    <n v="4872"/>
    <x v="0"/>
  </r>
  <r>
    <x v="0"/>
    <x v="3"/>
    <x v="1"/>
    <x v="0"/>
    <x v="1"/>
    <x v="1"/>
    <x v="0"/>
    <x v="22"/>
    <x v="24"/>
    <x v="3"/>
    <x v="2"/>
    <x v="3"/>
    <x v="0"/>
    <x v="4"/>
    <x v="1"/>
    <x v="24"/>
    <x v="1"/>
    <x v="0"/>
    <s v="MEDIA"/>
    <s v="MEDIA"/>
    <n v="64"/>
    <s v="cumple"/>
    <x v="0"/>
    <x v="1"/>
    <x v="24"/>
    <n v="1624"/>
    <x v="0"/>
  </r>
  <r>
    <x v="0"/>
    <x v="3"/>
    <x v="1"/>
    <x v="0"/>
    <x v="1"/>
    <x v="1"/>
    <x v="0"/>
    <x v="22"/>
    <x v="24"/>
    <x v="4"/>
    <x v="0"/>
    <x v="4"/>
    <x v="0"/>
    <x v="0"/>
    <x v="0"/>
    <x v="24"/>
    <x v="1"/>
    <x v="0"/>
    <s v="MEDIA"/>
    <s v="MEDIA"/>
    <n v="64"/>
    <s v="cumple"/>
    <x v="0"/>
    <x v="1"/>
    <x v="24"/>
    <n v="6496"/>
    <x v="0"/>
  </r>
  <r>
    <x v="0"/>
    <x v="3"/>
    <x v="1"/>
    <x v="0"/>
    <x v="1"/>
    <x v="1"/>
    <x v="0"/>
    <x v="22"/>
    <x v="25"/>
    <x v="5"/>
    <x v="0"/>
    <x v="5"/>
    <x v="0"/>
    <x v="0"/>
    <x v="0"/>
    <x v="25"/>
    <x v="1"/>
    <x v="0"/>
    <s v="MEDIA"/>
    <s v="MEDIA"/>
    <n v="64"/>
    <s v="cumple"/>
    <x v="0"/>
    <x v="1"/>
    <x v="25"/>
    <n v="6496"/>
    <x v="0"/>
  </r>
  <r>
    <x v="0"/>
    <x v="3"/>
    <x v="1"/>
    <x v="0"/>
    <x v="1"/>
    <x v="1"/>
    <x v="0"/>
    <x v="22"/>
    <x v="26"/>
    <x v="6"/>
    <x v="0"/>
    <x v="6"/>
    <x v="0"/>
    <x v="0"/>
    <x v="0"/>
    <x v="26"/>
    <x v="1"/>
    <x v="0"/>
    <s v="MEDIA"/>
    <s v="MEDIA"/>
    <n v="64"/>
    <s v="cumple"/>
    <x v="0"/>
    <x v="1"/>
    <x v="26"/>
    <n v="6496"/>
    <x v="0"/>
  </r>
  <r>
    <x v="0"/>
    <x v="3"/>
    <x v="1"/>
    <x v="0"/>
    <x v="1"/>
    <x v="1"/>
    <x v="0"/>
    <x v="23"/>
    <x v="27"/>
    <x v="7"/>
    <x v="0"/>
    <x v="7"/>
    <x v="0"/>
    <x v="0"/>
    <x v="0"/>
    <x v="27"/>
    <x v="1"/>
    <x v="0"/>
    <s v="MEDIA"/>
    <s v="MEDIA"/>
    <n v="64"/>
    <s v="cumple"/>
    <x v="0"/>
    <x v="1"/>
    <x v="27"/>
    <n v="6496"/>
    <x v="0"/>
  </r>
  <r>
    <x v="0"/>
    <x v="3"/>
    <x v="1"/>
    <x v="0"/>
    <x v="1"/>
    <x v="1"/>
    <x v="0"/>
    <x v="24"/>
    <x v="28"/>
    <x v="8"/>
    <x v="0"/>
    <x v="8"/>
    <x v="0"/>
    <x v="0"/>
    <x v="0"/>
    <x v="28"/>
    <x v="1"/>
    <x v="0"/>
    <s v="MEDIA"/>
    <s v="MEDIA"/>
    <n v="64"/>
    <s v="cumple"/>
    <x v="0"/>
    <x v="1"/>
    <x v="28"/>
    <n v="6496"/>
    <x v="0"/>
  </r>
  <r>
    <x v="0"/>
    <x v="3"/>
    <x v="1"/>
    <x v="0"/>
    <x v="1"/>
    <x v="1"/>
    <x v="0"/>
    <x v="24"/>
    <x v="29"/>
    <x v="9"/>
    <x v="0"/>
    <x v="9"/>
    <x v="0"/>
    <x v="0"/>
    <x v="0"/>
    <x v="29"/>
    <x v="1"/>
    <x v="0"/>
    <s v="MEDIA"/>
    <s v="MEDIA"/>
    <n v="64"/>
    <s v="cumple"/>
    <x v="0"/>
    <x v="1"/>
    <x v="29"/>
    <n v="6496"/>
    <x v="0"/>
  </r>
  <r>
    <x v="0"/>
    <x v="3"/>
    <x v="1"/>
    <x v="0"/>
    <x v="1"/>
    <x v="1"/>
    <x v="0"/>
    <x v="25"/>
    <x v="30"/>
    <x v="10"/>
    <x v="0"/>
    <x v="10"/>
    <x v="0"/>
    <x v="0"/>
    <x v="1"/>
    <x v="30"/>
    <x v="1"/>
    <x v="0"/>
    <s v="MEDIA"/>
    <s v="MEDIA"/>
    <n v="64"/>
    <s v="cumple"/>
    <x v="0"/>
    <x v="1"/>
    <x v="30"/>
    <n v="6496"/>
    <x v="0"/>
  </r>
  <r>
    <x v="0"/>
    <x v="3"/>
    <x v="1"/>
    <x v="0"/>
    <x v="1"/>
    <x v="1"/>
    <x v="0"/>
    <x v="25"/>
    <x v="30"/>
    <x v="11"/>
    <x v="0"/>
    <x v="11"/>
    <x v="3"/>
    <x v="4"/>
    <x v="0"/>
    <x v="30"/>
    <x v="1"/>
    <x v="0"/>
    <s v="MEDIA"/>
    <s v="MEDIA"/>
    <n v="64"/>
    <s v="cumple"/>
    <x v="0"/>
    <x v="1"/>
    <x v="30"/>
    <n v="1624"/>
    <x v="0"/>
  </r>
  <r>
    <x v="0"/>
    <x v="3"/>
    <x v="1"/>
    <x v="0"/>
    <x v="1"/>
    <x v="1"/>
    <x v="0"/>
    <x v="25"/>
    <x v="31"/>
    <x v="11"/>
    <x v="0"/>
    <x v="11"/>
    <x v="0"/>
    <x v="3"/>
    <x v="1"/>
    <x v="31"/>
    <x v="1"/>
    <x v="0"/>
    <s v="MEDIA"/>
    <s v="MEDIA"/>
    <n v="64"/>
    <s v="cumple"/>
    <x v="0"/>
    <x v="1"/>
    <x v="31"/>
    <n v="4872"/>
    <x v="0"/>
  </r>
  <r>
    <x v="0"/>
    <x v="3"/>
    <x v="1"/>
    <x v="0"/>
    <x v="1"/>
    <x v="1"/>
    <x v="0"/>
    <x v="25"/>
    <x v="31"/>
    <x v="12"/>
    <x v="0"/>
    <x v="12"/>
    <x v="4"/>
    <x v="5"/>
    <x v="0"/>
    <x v="31"/>
    <x v="1"/>
    <x v="0"/>
    <s v="MEDIA"/>
    <s v="MEDIA"/>
    <n v="64"/>
    <s v="cumple"/>
    <x v="0"/>
    <x v="1"/>
    <x v="31"/>
    <n v="2436"/>
    <x v="0"/>
  </r>
  <r>
    <x v="0"/>
    <x v="3"/>
    <x v="1"/>
    <x v="0"/>
    <x v="1"/>
    <x v="1"/>
    <x v="0"/>
    <x v="25"/>
    <x v="32"/>
    <x v="12"/>
    <x v="0"/>
    <x v="12"/>
    <x v="0"/>
    <x v="6"/>
    <x v="1"/>
    <x v="32"/>
    <x v="1"/>
    <x v="0"/>
    <s v="MEDIA"/>
    <s v="MEDIA"/>
    <n v="64"/>
    <s v="cumple"/>
    <x v="0"/>
    <x v="1"/>
    <x v="32"/>
    <n v="4059.9999999999995"/>
    <x v="0"/>
  </r>
  <r>
    <x v="0"/>
    <x v="3"/>
    <x v="1"/>
    <x v="0"/>
    <x v="1"/>
    <x v="1"/>
    <x v="0"/>
    <x v="25"/>
    <x v="32"/>
    <x v="13"/>
    <x v="0"/>
    <x v="13"/>
    <x v="5"/>
    <x v="7"/>
    <x v="0"/>
    <x v="32"/>
    <x v="1"/>
    <x v="0"/>
    <s v="MEDIA"/>
    <s v="MEDIA"/>
    <n v="64"/>
    <s v="cumple"/>
    <x v="0"/>
    <x v="1"/>
    <x v="32"/>
    <n v="3248"/>
    <x v="0"/>
  </r>
  <r>
    <x v="0"/>
    <x v="3"/>
    <x v="1"/>
    <x v="0"/>
    <x v="1"/>
    <x v="1"/>
    <x v="0"/>
    <x v="25"/>
    <x v="33"/>
    <x v="13"/>
    <x v="3"/>
    <x v="13"/>
    <x v="0"/>
    <x v="7"/>
    <x v="1"/>
    <x v="33"/>
    <x v="1"/>
    <x v="0"/>
    <s v="MEDIA"/>
    <s v="MEDIA"/>
    <n v="64"/>
    <s v="cumple"/>
    <x v="0"/>
    <x v="1"/>
    <x v="33"/>
    <n v="3248"/>
    <x v="0"/>
  </r>
  <r>
    <x v="0"/>
    <x v="3"/>
    <x v="1"/>
    <x v="0"/>
    <x v="1"/>
    <x v="1"/>
    <x v="0"/>
    <x v="25"/>
    <x v="33"/>
    <x v="14"/>
    <x v="0"/>
    <x v="14"/>
    <x v="0"/>
    <x v="7"/>
    <x v="0"/>
    <x v="33"/>
    <x v="1"/>
    <x v="0"/>
    <s v="MEDIA"/>
    <s v="MEDIA"/>
    <n v="64"/>
    <s v="cumple"/>
    <x v="0"/>
    <x v="1"/>
    <x v="33"/>
    <n v="3248"/>
    <x v="0"/>
  </r>
  <r>
    <x v="0"/>
    <x v="3"/>
    <x v="1"/>
    <x v="0"/>
    <x v="1"/>
    <x v="1"/>
    <x v="0"/>
    <x v="26"/>
    <x v="34"/>
    <x v="14"/>
    <x v="0"/>
    <x v="14"/>
    <x v="0"/>
    <x v="7"/>
    <x v="0"/>
    <x v="34"/>
    <x v="1"/>
    <x v="0"/>
    <s v="MEDIA"/>
    <s v="MEDIA"/>
    <n v="64"/>
    <s v="cumple"/>
    <x v="0"/>
    <x v="1"/>
    <x v="34"/>
    <n v="3248"/>
    <x v="0"/>
  </r>
  <r>
    <x v="0"/>
    <x v="4"/>
    <x v="1"/>
    <x v="0"/>
    <x v="2"/>
    <x v="4"/>
    <x v="0"/>
    <x v="27"/>
    <x v="35"/>
    <x v="15"/>
    <x v="0"/>
    <x v="15"/>
    <x v="0"/>
    <x v="0"/>
    <x v="1"/>
    <x v="34"/>
    <x v="1"/>
    <x v="0"/>
    <s v="MEDIA"/>
    <s v="MEDIA"/>
    <n v="64"/>
    <s v="cumple"/>
    <x v="0"/>
    <x v="1"/>
    <x v="35"/>
    <n v="6496"/>
    <x v="0"/>
  </r>
  <r>
    <x v="0"/>
    <x v="4"/>
    <x v="1"/>
    <x v="0"/>
    <x v="2"/>
    <x v="4"/>
    <x v="0"/>
    <x v="27"/>
    <x v="35"/>
    <x v="16"/>
    <x v="0"/>
    <x v="16"/>
    <x v="0"/>
    <x v="0"/>
    <x v="1"/>
    <x v="34"/>
    <x v="1"/>
    <x v="0"/>
    <s v="MEDIA"/>
    <s v="MEDIA"/>
    <n v="64"/>
    <s v="cumple"/>
    <x v="0"/>
    <x v="1"/>
    <x v="35"/>
    <n v="6496"/>
    <x v="0"/>
  </r>
  <r>
    <x v="0"/>
    <x v="4"/>
    <x v="1"/>
    <x v="0"/>
    <x v="2"/>
    <x v="4"/>
    <x v="0"/>
    <x v="27"/>
    <x v="35"/>
    <x v="17"/>
    <x v="0"/>
    <x v="17"/>
    <x v="0"/>
    <x v="0"/>
    <x v="1"/>
    <x v="34"/>
    <x v="1"/>
    <x v="0"/>
    <s v="MEDIA"/>
    <s v="MEDIA"/>
    <n v="64"/>
    <s v="cumple"/>
    <x v="0"/>
    <x v="1"/>
    <x v="35"/>
    <n v="6496"/>
    <x v="0"/>
  </r>
  <r>
    <x v="0"/>
    <x v="4"/>
    <x v="1"/>
    <x v="0"/>
    <x v="2"/>
    <x v="4"/>
    <x v="0"/>
    <x v="27"/>
    <x v="35"/>
    <x v="18"/>
    <x v="0"/>
    <x v="18"/>
    <x v="0"/>
    <x v="0"/>
    <x v="1"/>
    <x v="34"/>
    <x v="1"/>
    <x v="0"/>
    <s v="MEDIA"/>
    <s v="MEDIA"/>
    <n v="64"/>
    <s v="cumple"/>
    <x v="0"/>
    <x v="1"/>
    <x v="35"/>
    <n v="6496"/>
    <x v="0"/>
  </r>
  <r>
    <x v="0"/>
    <x v="4"/>
    <x v="1"/>
    <x v="0"/>
    <x v="2"/>
    <x v="4"/>
    <x v="0"/>
    <x v="27"/>
    <x v="35"/>
    <x v="19"/>
    <x v="0"/>
    <x v="19"/>
    <x v="0"/>
    <x v="0"/>
    <x v="1"/>
    <x v="34"/>
    <x v="1"/>
    <x v="0"/>
    <s v="MEDIA"/>
    <s v="MEDIA"/>
    <n v="64"/>
    <s v="cumple"/>
    <x v="0"/>
    <x v="1"/>
    <x v="35"/>
    <n v="6496"/>
    <x v="0"/>
  </r>
  <r>
    <x v="0"/>
    <x v="4"/>
    <x v="1"/>
    <x v="0"/>
    <x v="2"/>
    <x v="4"/>
    <x v="0"/>
    <x v="27"/>
    <x v="35"/>
    <x v="20"/>
    <x v="0"/>
    <x v="20"/>
    <x v="0"/>
    <x v="0"/>
    <x v="1"/>
    <x v="34"/>
    <x v="1"/>
    <x v="0"/>
    <s v="MEDIA"/>
    <s v="MEDIA"/>
    <n v="64"/>
    <s v="cumple"/>
    <x v="0"/>
    <x v="1"/>
    <x v="35"/>
    <n v="6496"/>
    <x v="0"/>
  </r>
  <r>
    <x v="0"/>
    <x v="4"/>
    <x v="1"/>
    <x v="0"/>
    <x v="2"/>
    <x v="4"/>
    <x v="0"/>
    <x v="27"/>
    <x v="35"/>
    <x v="21"/>
    <x v="0"/>
    <x v="21"/>
    <x v="0"/>
    <x v="0"/>
    <x v="0"/>
    <x v="34"/>
    <x v="1"/>
    <x v="0"/>
    <s v="MEDIA"/>
    <s v="MEDIA"/>
    <n v="64"/>
    <s v="cumple"/>
    <x v="0"/>
    <x v="1"/>
    <x v="35"/>
    <n v="6496"/>
    <x v="0"/>
  </r>
  <r>
    <x v="0"/>
    <x v="1"/>
    <x v="1"/>
    <x v="0"/>
    <x v="3"/>
    <x v="1"/>
    <x v="0"/>
    <x v="28"/>
    <x v="36"/>
    <x v="0"/>
    <x v="0"/>
    <x v="0"/>
    <x v="0"/>
    <x v="0"/>
    <x v="1"/>
    <x v="35"/>
    <x v="2"/>
    <x v="0"/>
    <s v="MEDIA"/>
    <s v="MEDIA"/>
    <n v="64"/>
    <s v="cumple"/>
    <x v="0"/>
    <x v="1"/>
    <x v="36"/>
    <n v="6496"/>
    <x v="0"/>
  </r>
  <r>
    <x v="0"/>
    <x v="1"/>
    <x v="1"/>
    <x v="0"/>
    <x v="3"/>
    <x v="1"/>
    <x v="0"/>
    <x v="28"/>
    <x v="36"/>
    <x v="1"/>
    <x v="0"/>
    <x v="1"/>
    <x v="0"/>
    <x v="0"/>
    <x v="0"/>
    <x v="35"/>
    <x v="2"/>
    <x v="0"/>
    <s v="MEDIA"/>
    <s v="MEDIA"/>
    <n v="64"/>
    <s v="cumple"/>
    <x v="0"/>
    <x v="1"/>
    <x v="36"/>
    <n v="6496"/>
    <x v="0"/>
  </r>
  <r>
    <x v="0"/>
    <x v="1"/>
    <x v="1"/>
    <x v="0"/>
    <x v="3"/>
    <x v="1"/>
    <x v="0"/>
    <x v="29"/>
    <x v="37"/>
    <x v="2"/>
    <x v="0"/>
    <x v="2"/>
    <x v="0"/>
    <x v="0"/>
    <x v="1"/>
    <x v="35"/>
    <x v="2"/>
    <x v="0"/>
    <s v="MEDIA"/>
    <s v="MEDIA"/>
    <n v="64"/>
    <s v="cumple"/>
    <x v="0"/>
    <x v="1"/>
    <x v="37"/>
    <n v="6496"/>
    <x v="0"/>
  </r>
  <r>
    <x v="0"/>
    <x v="1"/>
    <x v="1"/>
    <x v="0"/>
    <x v="3"/>
    <x v="1"/>
    <x v="0"/>
    <x v="29"/>
    <x v="37"/>
    <x v="3"/>
    <x v="0"/>
    <x v="3"/>
    <x v="0"/>
    <x v="0"/>
    <x v="1"/>
    <x v="35"/>
    <x v="2"/>
    <x v="0"/>
    <s v="MEDIA"/>
    <s v="MEDIA"/>
    <n v="64"/>
    <s v="cumple"/>
    <x v="0"/>
    <x v="1"/>
    <x v="37"/>
    <n v="6496"/>
    <x v="0"/>
  </r>
  <r>
    <x v="0"/>
    <x v="1"/>
    <x v="1"/>
    <x v="0"/>
    <x v="3"/>
    <x v="1"/>
    <x v="0"/>
    <x v="29"/>
    <x v="37"/>
    <x v="4"/>
    <x v="0"/>
    <x v="4"/>
    <x v="0"/>
    <x v="0"/>
    <x v="0"/>
    <x v="35"/>
    <x v="2"/>
    <x v="0"/>
    <s v="MEDIA"/>
    <s v="MEDIA"/>
    <n v="64"/>
    <s v="cumple"/>
    <x v="0"/>
    <x v="1"/>
    <x v="37"/>
    <n v="6496"/>
    <x v="0"/>
  </r>
  <r>
    <x v="0"/>
    <x v="1"/>
    <x v="1"/>
    <x v="0"/>
    <x v="3"/>
    <x v="1"/>
    <x v="0"/>
    <x v="30"/>
    <x v="38"/>
    <x v="5"/>
    <x v="0"/>
    <x v="5"/>
    <x v="0"/>
    <x v="0"/>
    <x v="1"/>
    <x v="35"/>
    <x v="2"/>
    <x v="0"/>
    <s v="MEDIA"/>
    <s v="MEDIA"/>
    <n v="64"/>
    <s v="cumple"/>
    <x v="0"/>
    <x v="1"/>
    <x v="38"/>
    <n v="6496"/>
    <x v="0"/>
  </r>
  <r>
    <x v="0"/>
    <x v="1"/>
    <x v="1"/>
    <x v="0"/>
    <x v="3"/>
    <x v="1"/>
    <x v="0"/>
    <x v="30"/>
    <x v="38"/>
    <x v="6"/>
    <x v="0"/>
    <x v="6"/>
    <x v="0"/>
    <x v="0"/>
    <x v="1"/>
    <x v="35"/>
    <x v="2"/>
    <x v="0"/>
    <s v="MEDIA"/>
    <s v="MEDIA"/>
    <n v="64"/>
    <s v="cumple"/>
    <x v="0"/>
    <x v="1"/>
    <x v="38"/>
    <n v="6496"/>
    <x v="0"/>
  </r>
  <r>
    <x v="0"/>
    <x v="1"/>
    <x v="1"/>
    <x v="0"/>
    <x v="3"/>
    <x v="1"/>
    <x v="0"/>
    <x v="30"/>
    <x v="38"/>
    <x v="7"/>
    <x v="0"/>
    <x v="7"/>
    <x v="0"/>
    <x v="0"/>
    <x v="0"/>
    <x v="35"/>
    <x v="2"/>
    <x v="0"/>
    <s v="MEDIA"/>
    <s v="MEDIA"/>
    <n v="64"/>
    <s v="cumple"/>
    <x v="0"/>
    <x v="1"/>
    <x v="38"/>
    <n v="6496"/>
    <x v="0"/>
  </r>
  <r>
    <x v="0"/>
    <x v="1"/>
    <x v="1"/>
    <x v="0"/>
    <x v="3"/>
    <x v="1"/>
    <x v="0"/>
    <x v="31"/>
    <x v="39"/>
    <x v="8"/>
    <x v="0"/>
    <x v="8"/>
    <x v="0"/>
    <x v="0"/>
    <x v="1"/>
    <x v="35"/>
    <x v="2"/>
    <x v="0"/>
    <s v="MEDIA"/>
    <s v="MEDIA"/>
    <n v="64"/>
    <s v="cumple"/>
    <x v="0"/>
    <x v="1"/>
    <x v="39"/>
    <n v="6496"/>
    <x v="0"/>
  </r>
  <r>
    <x v="0"/>
    <x v="1"/>
    <x v="1"/>
    <x v="0"/>
    <x v="3"/>
    <x v="1"/>
    <x v="0"/>
    <x v="31"/>
    <x v="39"/>
    <x v="9"/>
    <x v="0"/>
    <x v="9"/>
    <x v="0"/>
    <x v="0"/>
    <x v="1"/>
    <x v="35"/>
    <x v="2"/>
    <x v="0"/>
    <s v="MEDIA"/>
    <s v="MEDIA"/>
    <n v="64"/>
    <s v="cumple"/>
    <x v="0"/>
    <x v="1"/>
    <x v="39"/>
    <n v="6496"/>
    <x v="0"/>
  </r>
  <r>
    <x v="0"/>
    <x v="1"/>
    <x v="1"/>
    <x v="0"/>
    <x v="3"/>
    <x v="1"/>
    <x v="0"/>
    <x v="31"/>
    <x v="39"/>
    <x v="10"/>
    <x v="0"/>
    <x v="10"/>
    <x v="0"/>
    <x v="0"/>
    <x v="1"/>
    <x v="35"/>
    <x v="2"/>
    <x v="0"/>
    <s v="MEDIA"/>
    <s v="MEDIA"/>
    <n v="64"/>
    <s v="cumple"/>
    <x v="0"/>
    <x v="1"/>
    <x v="39"/>
    <n v="6496"/>
    <x v="0"/>
  </r>
  <r>
    <x v="0"/>
    <x v="1"/>
    <x v="1"/>
    <x v="0"/>
    <x v="3"/>
    <x v="1"/>
    <x v="0"/>
    <x v="31"/>
    <x v="39"/>
    <x v="11"/>
    <x v="0"/>
    <x v="11"/>
    <x v="0"/>
    <x v="0"/>
    <x v="1"/>
    <x v="35"/>
    <x v="2"/>
    <x v="0"/>
    <s v="MEDIA"/>
    <s v="MEDIA"/>
    <n v="64"/>
    <s v="cumple"/>
    <x v="0"/>
    <x v="1"/>
    <x v="39"/>
    <n v="6496"/>
    <x v="0"/>
  </r>
  <r>
    <x v="0"/>
    <x v="1"/>
    <x v="1"/>
    <x v="0"/>
    <x v="3"/>
    <x v="1"/>
    <x v="0"/>
    <x v="31"/>
    <x v="39"/>
    <x v="12"/>
    <x v="0"/>
    <x v="12"/>
    <x v="5"/>
    <x v="7"/>
    <x v="0"/>
    <x v="35"/>
    <x v="2"/>
    <x v="0"/>
    <s v="MEDIA"/>
    <s v="MEDIA"/>
    <n v="64"/>
    <s v="cumple"/>
    <x v="0"/>
    <x v="1"/>
    <x v="39"/>
    <n v="3248"/>
    <x v="0"/>
  </r>
  <r>
    <x v="0"/>
    <x v="1"/>
    <x v="1"/>
    <x v="0"/>
    <x v="3"/>
    <x v="1"/>
    <x v="0"/>
    <x v="32"/>
    <x v="40"/>
    <x v="12"/>
    <x v="3"/>
    <x v="12"/>
    <x v="0"/>
    <x v="7"/>
    <x v="1"/>
    <x v="35"/>
    <x v="2"/>
    <x v="0"/>
    <s v="MEDIA"/>
    <s v="MEDIA"/>
    <n v="64"/>
    <s v="cumple"/>
    <x v="0"/>
    <x v="1"/>
    <x v="40"/>
    <n v="3248"/>
    <x v="0"/>
  </r>
  <r>
    <x v="0"/>
    <x v="1"/>
    <x v="1"/>
    <x v="0"/>
    <x v="3"/>
    <x v="1"/>
    <x v="0"/>
    <x v="32"/>
    <x v="40"/>
    <x v="13"/>
    <x v="0"/>
    <x v="13"/>
    <x v="0"/>
    <x v="0"/>
    <x v="1"/>
    <x v="35"/>
    <x v="2"/>
    <x v="0"/>
    <s v="MEDIA"/>
    <s v="MEDIA"/>
    <n v="64"/>
    <s v="cumple"/>
    <x v="0"/>
    <x v="1"/>
    <x v="40"/>
    <n v="6496"/>
    <x v="0"/>
  </r>
  <r>
    <x v="0"/>
    <x v="1"/>
    <x v="1"/>
    <x v="0"/>
    <x v="3"/>
    <x v="1"/>
    <x v="0"/>
    <x v="32"/>
    <x v="40"/>
    <x v="14"/>
    <x v="0"/>
    <x v="14"/>
    <x v="0"/>
    <x v="0"/>
    <x v="0"/>
    <x v="35"/>
    <x v="2"/>
    <x v="0"/>
    <s v="MEDIA"/>
    <s v="MEDIA"/>
    <n v="64"/>
    <s v="cumple"/>
    <x v="0"/>
    <x v="1"/>
    <x v="40"/>
    <n v="6496"/>
    <x v="0"/>
  </r>
  <r>
    <x v="0"/>
    <x v="1"/>
    <x v="1"/>
    <x v="0"/>
    <x v="2"/>
    <x v="1"/>
    <x v="0"/>
    <x v="33"/>
    <x v="41"/>
    <x v="15"/>
    <x v="0"/>
    <x v="15"/>
    <x v="0"/>
    <x v="0"/>
    <x v="0"/>
    <x v="36"/>
    <x v="2"/>
    <x v="0"/>
    <s v="MEDIA"/>
    <s v="MEDIA"/>
    <n v="64"/>
    <s v="cumple"/>
    <x v="0"/>
    <x v="1"/>
    <x v="41"/>
    <n v="6496"/>
    <x v="0"/>
  </r>
  <r>
    <x v="0"/>
    <x v="1"/>
    <x v="1"/>
    <x v="0"/>
    <x v="2"/>
    <x v="1"/>
    <x v="0"/>
    <x v="34"/>
    <x v="42"/>
    <x v="16"/>
    <x v="0"/>
    <x v="16"/>
    <x v="0"/>
    <x v="0"/>
    <x v="1"/>
    <x v="36"/>
    <x v="2"/>
    <x v="0"/>
    <s v="MEDIA"/>
    <s v="MEDIA"/>
    <n v="64"/>
    <s v="cumple"/>
    <x v="0"/>
    <x v="1"/>
    <x v="42"/>
    <n v="6496"/>
    <x v="0"/>
  </r>
  <r>
    <x v="0"/>
    <x v="1"/>
    <x v="1"/>
    <x v="0"/>
    <x v="2"/>
    <x v="1"/>
    <x v="0"/>
    <x v="34"/>
    <x v="42"/>
    <x v="17"/>
    <x v="0"/>
    <x v="17"/>
    <x v="0"/>
    <x v="0"/>
    <x v="0"/>
    <x v="36"/>
    <x v="2"/>
    <x v="0"/>
    <s v="MEDIA"/>
    <s v="MEDIA"/>
    <n v="64"/>
    <s v="cumple"/>
    <x v="0"/>
    <x v="1"/>
    <x v="42"/>
    <n v="6496"/>
    <x v="0"/>
  </r>
  <r>
    <x v="0"/>
    <x v="1"/>
    <x v="1"/>
    <x v="0"/>
    <x v="2"/>
    <x v="1"/>
    <x v="0"/>
    <x v="35"/>
    <x v="43"/>
    <x v="18"/>
    <x v="0"/>
    <x v="18"/>
    <x v="0"/>
    <x v="0"/>
    <x v="0"/>
    <x v="36"/>
    <x v="2"/>
    <x v="0"/>
    <s v="MEDIA"/>
    <s v="MEDIA"/>
    <n v="64"/>
    <s v="cumple"/>
    <x v="0"/>
    <x v="1"/>
    <x v="43"/>
    <n v="6496"/>
    <x v="0"/>
  </r>
  <r>
    <x v="0"/>
    <x v="1"/>
    <x v="1"/>
    <x v="0"/>
    <x v="2"/>
    <x v="1"/>
    <x v="0"/>
    <x v="36"/>
    <x v="44"/>
    <x v="19"/>
    <x v="0"/>
    <x v="19"/>
    <x v="0"/>
    <x v="0"/>
    <x v="0"/>
    <x v="36"/>
    <x v="2"/>
    <x v="0"/>
    <s v="MEDIA"/>
    <s v="MEDIA"/>
    <n v="64"/>
    <s v="cumple"/>
    <x v="0"/>
    <x v="1"/>
    <x v="44"/>
    <n v="6496"/>
    <x v="0"/>
  </r>
  <r>
    <x v="0"/>
    <x v="1"/>
    <x v="1"/>
    <x v="0"/>
    <x v="2"/>
    <x v="1"/>
    <x v="0"/>
    <x v="37"/>
    <x v="45"/>
    <x v="20"/>
    <x v="0"/>
    <x v="20"/>
    <x v="0"/>
    <x v="0"/>
    <x v="0"/>
    <x v="36"/>
    <x v="2"/>
    <x v="0"/>
    <s v="MEDIA"/>
    <s v="MEDIA"/>
    <n v="64"/>
    <s v="cumple"/>
    <x v="0"/>
    <x v="1"/>
    <x v="45"/>
    <n v="6496"/>
    <x v="0"/>
  </r>
  <r>
    <x v="0"/>
    <x v="1"/>
    <x v="1"/>
    <x v="0"/>
    <x v="2"/>
    <x v="1"/>
    <x v="0"/>
    <x v="38"/>
    <x v="46"/>
    <x v="21"/>
    <x v="0"/>
    <x v="21"/>
    <x v="0"/>
    <x v="0"/>
    <x v="0"/>
    <x v="36"/>
    <x v="2"/>
    <x v="0"/>
    <s v="MEDIA"/>
    <s v="MEDIA"/>
    <n v="64"/>
    <s v="cumple"/>
    <x v="0"/>
    <x v="1"/>
    <x v="46"/>
    <n v="6496"/>
    <x v="0"/>
  </r>
  <r>
    <x v="0"/>
    <x v="0"/>
    <x v="2"/>
    <x v="0"/>
    <x v="4"/>
    <x v="5"/>
    <x v="1"/>
    <x v="39"/>
    <x v="47"/>
    <x v="5"/>
    <x v="0"/>
    <x v="5"/>
    <x v="0"/>
    <x v="8"/>
    <x v="1"/>
    <x v="37"/>
    <x v="3"/>
    <x v="1"/>
    <s v="MEDIA"/>
    <s v="MEDIA"/>
    <n v="64"/>
    <s v="cumple"/>
    <x v="0"/>
    <x v="2"/>
    <x v="47"/>
    <n v="4930"/>
    <x v="0"/>
  </r>
  <r>
    <x v="0"/>
    <x v="5"/>
    <x v="2"/>
    <x v="0"/>
    <x v="4"/>
    <x v="5"/>
    <x v="1"/>
    <x v="39"/>
    <x v="48"/>
    <x v="6"/>
    <x v="0"/>
    <x v="6"/>
    <x v="0"/>
    <x v="8"/>
    <x v="1"/>
    <x v="37"/>
    <x v="3"/>
    <x v="1"/>
    <s v="MEDIA"/>
    <s v="MEDIA"/>
    <n v="64"/>
    <s v="cumple"/>
    <x v="0"/>
    <x v="2"/>
    <x v="48"/>
    <n v="4930"/>
    <x v="0"/>
  </r>
  <r>
    <x v="0"/>
    <x v="5"/>
    <x v="2"/>
    <x v="0"/>
    <x v="4"/>
    <x v="5"/>
    <x v="1"/>
    <x v="39"/>
    <x v="49"/>
    <x v="7"/>
    <x v="0"/>
    <x v="7"/>
    <x v="0"/>
    <x v="8"/>
    <x v="1"/>
    <x v="38"/>
    <x v="3"/>
    <x v="1"/>
    <s v="MEDIA"/>
    <s v="MEDIA"/>
    <n v="64"/>
    <s v="cumple"/>
    <x v="0"/>
    <x v="2"/>
    <x v="49"/>
    <n v="4930"/>
    <x v="0"/>
  </r>
  <r>
    <x v="0"/>
    <x v="5"/>
    <x v="2"/>
    <x v="0"/>
    <x v="4"/>
    <x v="5"/>
    <x v="1"/>
    <x v="39"/>
    <x v="50"/>
    <x v="7"/>
    <x v="0"/>
    <x v="7"/>
    <x v="0"/>
    <x v="8"/>
    <x v="0"/>
    <x v="39"/>
    <x v="3"/>
    <x v="1"/>
    <s v="MEDIA"/>
    <s v="MEDIA"/>
    <n v="64"/>
    <s v="cumple"/>
    <x v="0"/>
    <x v="2"/>
    <x v="50"/>
    <n v="4930"/>
    <x v="0"/>
  </r>
  <r>
    <x v="0"/>
    <x v="5"/>
    <x v="2"/>
    <x v="0"/>
    <x v="4"/>
    <x v="5"/>
    <x v="1"/>
    <x v="39"/>
    <x v="51"/>
    <x v="9"/>
    <x v="0"/>
    <x v="9"/>
    <x v="6"/>
    <x v="1"/>
    <x v="1"/>
    <x v="37"/>
    <x v="3"/>
    <x v="1"/>
    <s v="MEDIA"/>
    <s v="MEDIA"/>
    <n v="64"/>
    <s v="cumple"/>
    <x v="0"/>
    <x v="2"/>
    <x v="51"/>
    <n v="4059.9999999999995"/>
    <x v="0"/>
  </r>
  <r>
    <x v="0"/>
    <x v="5"/>
    <x v="2"/>
    <x v="0"/>
    <x v="4"/>
    <x v="5"/>
    <x v="1"/>
    <x v="39"/>
    <x v="52"/>
    <x v="10"/>
    <x v="0"/>
    <x v="10"/>
    <x v="0"/>
    <x v="8"/>
    <x v="1"/>
    <x v="37"/>
    <x v="3"/>
    <x v="1"/>
    <s v="MEDIA"/>
    <s v="MEDIA"/>
    <n v="64"/>
    <s v="cumple"/>
    <x v="0"/>
    <x v="2"/>
    <x v="52"/>
    <n v="4930"/>
    <x v="0"/>
  </r>
  <r>
    <x v="0"/>
    <x v="5"/>
    <x v="2"/>
    <x v="0"/>
    <x v="4"/>
    <x v="5"/>
    <x v="1"/>
    <x v="39"/>
    <x v="53"/>
    <x v="11"/>
    <x v="0"/>
    <x v="11"/>
    <x v="0"/>
    <x v="8"/>
    <x v="1"/>
    <x v="37"/>
    <x v="3"/>
    <x v="1"/>
    <s v="MEDIA"/>
    <s v="MEDIA"/>
    <n v="64"/>
    <s v="cumple"/>
    <x v="0"/>
    <x v="2"/>
    <x v="53"/>
    <n v="4930"/>
    <x v="0"/>
  </r>
  <r>
    <x v="0"/>
    <x v="5"/>
    <x v="2"/>
    <x v="0"/>
    <x v="4"/>
    <x v="5"/>
    <x v="1"/>
    <x v="39"/>
    <x v="54"/>
    <x v="12"/>
    <x v="0"/>
    <x v="12"/>
    <x v="0"/>
    <x v="8"/>
    <x v="1"/>
    <x v="37"/>
    <x v="3"/>
    <x v="1"/>
    <s v="MEDIA"/>
    <s v="MEDIA"/>
    <n v="64"/>
    <s v="cumple"/>
    <x v="0"/>
    <x v="2"/>
    <x v="54"/>
    <n v="4930"/>
    <x v="0"/>
  </r>
  <r>
    <x v="0"/>
    <x v="5"/>
    <x v="2"/>
    <x v="0"/>
    <x v="4"/>
    <x v="5"/>
    <x v="1"/>
    <x v="39"/>
    <x v="55"/>
    <x v="13"/>
    <x v="0"/>
    <x v="13"/>
    <x v="0"/>
    <x v="8"/>
    <x v="1"/>
    <x v="37"/>
    <x v="3"/>
    <x v="1"/>
    <s v="MEDIA"/>
    <s v="MEDIA"/>
    <n v="64"/>
    <s v="cumple"/>
    <x v="0"/>
    <x v="2"/>
    <x v="55"/>
    <n v="4930"/>
    <x v="0"/>
  </r>
  <r>
    <x v="0"/>
    <x v="5"/>
    <x v="2"/>
    <x v="0"/>
    <x v="4"/>
    <x v="5"/>
    <x v="1"/>
    <x v="39"/>
    <x v="50"/>
    <x v="14"/>
    <x v="0"/>
    <x v="14"/>
    <x v="6"/>
    <x v="1"/>
    <x v="0"/>
    <x v="40"/>
    <x v="3"/>
    <x v="1"/>
    <s v="MEDIA"/>
    <s v="MEDIA"/>
    <n v="64"/>
    <s v="cumple"/>
    <x v="0"/>
    <x v="2"/>
    <x v="50"/>
    <n v="4059.9999999999995"/>
    <x v="0"/>
  </r>
  <r>
    <x v="0"/>
    <x v="5"/>
    <x v="2"/>
    <x v="0"/>
    <x v="4"/>
    <x v="5"/>
    <x v="1"/>
    <x v="39"/>
    <x v="56"/>
    <x v="15"/>
    <x v="0"/>
    <x v="15"/>
    <x v="0"/>
    <x v="8"/>
    <x v="1"/>
    <x v="37"/>
    <x v="3"/>
    <x v="1"/>
    <s v="MEDIA"/>
    <s v="MEDIA"/>
    <n v="64"/>
    <s v="cumple"/>
    <x v="0"/>
    <x v="2"/>
    <x v="56"/>
    <n v="4930"/>
    <x v="0"/>
  </r>
  <r>
    <x v="0"/>
    <x v="5"/>
    <x v="2"/>
    <x v="0"/>
    <x v="4"/>
    <x v="5"/>
    <x v="1"/>
    <x v="39"/>
    <x v="57"/>
    <x v="16"/>
    <x v="0"/>
    <x v="16"/>
    <x v="0"/>
    <x v="8"/>
    <x v="1"/>
    <x v="37"/>
    <x v="3"/>
    <x v="1"/>
    <s v="MEDIA"/>
    <s v="MEDIA"/>
    <n v="64"/>
    <s v="cumple"/>
    <x v="0"/>
    <x v="2"/>
    <x v="57"/>
    <n v="4930"/>
    <x v="0"/>
  </r>
  <r>
    <x v="0"/>
    <x v="5"/>
    <x v="2"/>
    <x v="0"/>
    <x v="4"/>
    <x v="5"/>
    <x v="1"/>
    <x v="39"/>
    <x v="58"/>
    <x v="17"/>
    <x v="0"/>
    <x v="17"/>
    <x v="0"/>
    <x v="8"/>
    <x v="1"/>
    <x v="37"/>
    <x v="3"/>
    <x v="1"/>
    <s v="MEDIA"/>
    <s v="MEDIA"/>
    <n v="64"/>
    <s v="cumple"/>
    <x v="0"/>
    <x v="2"/>
    <x v="58"/>
    <n v="4930"/>
    <x v="0"/>
  </r>
  <r>
    <x v="0"/>
    <x v="5"/>
    <x v="2"/>
    <x v="0"/>
    <x v="4"/>
    <x v="5"/>
    <x v="1"/>
    <x v="39"/>
    <x v="59"/>
    <x v="18"/>
    <x v="0"/>
    <x v="18"/>
    <x v="0"/>
    <x v="8"/>
    <x v="1"/>
    <x v="37"/>
    <x v="3"/>
    <x v="1"/>
    <s v="MEDIA"/>
    <s v="MEDIA"/>
    <n v="64"/>
    <s v="cumple"/>
    <x v="0"/>
    <x v="2"/>
    <x v="59"/>
    <n v="4930"/>
    <x v="0"/>
  </r>
  <r>
    <x v="0"/>
    <x v="5"/>
    <x v="2"/>
    <x v="0"/>
    <x v="4"/>
    <x v="5"/>
    <x v="1"/>
    <x v="39"/>
    <x v="60"/>
    <x v="19"/>
    <x v="0"/>
    <x v="19"/>
    <x v="6"/>
    <x v="1"/>
    <x v="1"/>
    <x v="37"/>
    <x v="3"/>
    <x v="1"/>
    <s v="MEDIA"/>
    <s v="MEDIA"/>
    <n v="64"/>
    <s v="cumple"/>
    <x v="0"/>
    <x v="2"/>
    <x v="60"/>
    <n v="4059.9999999999995"/>
    <x v="0"/>
  </r>
  <r>
    <x v="0"/>
    <x v="5"/>
    <x v="2"/>
    <x v="0"/>
    <x v="4"/>
    <x v="5"/>
    <x v="1"/>
    <x v="39"/>
    <x v="61"/>
    <x v="20"/>
    <x v="0"/>
    <x v="20"/>
    <x v="0"/>
    <x v="8"/>
    <x v="1"/>
    <x v="37"/>
    <x v="3"/>
    <x v="1"/>
    <s v="MEDIA"/>
    <s v="MEDIA"/>
    <n v="64"/>
    <s v="cumple"/>
    <x v="0"/>
    <x v="2"/>
    <x v="61"/>
    <n v="4930"/>
    <x v="0"/>
  </r>
  <r>
    <x v="0"/>
    <x v="5"/>
    <x v="2"/>
    <x v="0"/>
    <x v="4"/>
    <x v="5"/>
    <x v="1"/>
    <x v="39"/>
    <x v="62"/>
    <x v="21"/>
    <x v="0"/>
    <x v="21"/>
    <x v="0"/>
    <x v="8"/>
    <x v="1"/>
    <x v="37"/>
    <x v="3"/>
    <x v="1"/>
    <s v="MEDIA"/>
    <s v="MEDIA"/>
    <n v="64"/>
    <s v="cumple"/>
    <x v="0"/>
    <x v="2"/>
    <x v="62"/>
    <n v="4930"/>
    <x v="0"/>
  </r>
  <r>
    <x v="0"/>
    <x v="1"/>
    <x v="3"/>
    <x v="0"/>
    <x v="1"/>
    <x v="1"/>
    <x v="1"/>
    <x v="40"/>
    <x v="63"/>
    <x v="8"/>
    <x v="0"/>
    <x v="8"/>
    <x v="0"/>
    <x v="0"/>
    <x v="1"/>
    <x v="41"/>
    <x v="4"/>
    <x v="0"/>
    <s v="MEDIA"/>
    <s v="MEDIA"/>
    <n v="64"/>
    <s v="cumple"/>
    <x v="0"/>
    <x v="3"/>
    <x v="63"/>
    <n v="6496"/>
    <x v="0"/>
  </r>
  <r>
    <x v="0"/>
    <x v="1"/>
    <x v="3"/>
    <x v="0"/>
    <x v="1"/>
    <x v="1"/>
    <x v="1"/>
    <x v="40"/>
    <x v="63"/>
    <x v="9"/>
    <x v="0"/>
    <x v="9"/>
    <x v="0"/>
    <x v="0"/>
    <x v="0"/>
    <x v="41"/>
    <x v="4"/>
    <x v="0"/>
    <s v="MEDIA"/>
    <s v="MEDIA"/>
    <n v="64"/>
    <s v="cumple"/>
    <x v="0"/>
    <x v="3"/>
    <x v="63"/>
    <n v="6496"/>
    <x v="0"/>
  </r>
  <r>
    <x v="0"/>
    <x v="1"/>
    <x v="3"/>
    <x v="0"/>
    <x v="1"/>
    <x v="1"/>
    <x v="1"/>
    <x v="40"/>
    <x v="64"/>
    <x v="10"/>
    <x v="0"/>
    <x v="10"/>
    <x v="0"/>
    <x v="0"/>
    <x v="1"/>
    <x v="41"/>
    <x v="4"/>
    <x v="0"/>
    <s v="MEDIA"/>
    <s v="MEDIA"/>
    <n v="64"/>
    <s v="cumple"/>
    <x v="0"/>
    <x v="3"/>
    <x v="64"/>
    <n v="6496"/>
    <x v="0"/>
  </r>
  <r>
    <x v="0"/>
    <x v="1"/>
    <x v="3"/>
    <x v="0"/>
    <x v="1"/>
    <x v="1"/>
    <x v="1"/>
    <x v="40"/>
    <x v="64"/>
    <x v="11"/>
    <x v="0"/>
    <x v="11"/>
    <x v="0"/>
    <x v="0"/>
    <x v="1"/>
    <x v="41"/>
    <x v="4"/>
    <x v="0"/>
    <s v="MEDIA"/>
    <s v="MEDIA"/>
    <n v="64"/>
    <s v="cumple"/>
    <x v="0"/>
    <x v="3"/>
    <x v="64"/>
    <n v="6496"/>
    <x v="0"/>
  </r>
  <r>
    <x v="0"/>
    <x v="1"/>
    <x v="3"/>
    <x v="0"/>
    <x v="1"/>
    <x v="1"/>
    <x v="1"/>
    <x v="40"/>
    <x v="64"/>
    <x v="12"/>
    <x v="0"/>
    <x v="12"/>
    <x v="0"/>
    <x v="0"/>
    <x v="1"/>
    <x v="41"/>
    <x v="4"/>
    <x v="0"/>
    <s v="MEDIA"/>
    <s v="MEDIA"/>
    <n v="64"/>
    <s v="cumple"/>
    <x v="0"/>
    <x v="3"/>
    <x v="64"/>
    <n v="6496"/>
    <x v="0"/>
  </r>
  <r>
    <x v="0"/>
    <x v="1"/>
    <x v="3"/>
    <x v="0"/>
    <x v="1"/>
    <x v="1"/>
    <x v="1"/>
    <x v="40"/>
    <x v="64"/>
    <x v="13"/>
    <x v="0"/>
    <x v="13"/>
    <x v="0"/>
    <x v="0"/>
    <x v="1"/>
    <x v="41"/>
    <x v="4"/>
    <x v="0"/>
    <s v="MEDIA"/>
    <s v="MEDIA"/>
    <n v="64"/>
    <s v="cumple"/>
    <x v="0"/>
    <x v="3"/>
    <x v="64"/>
    <n v="6496"/>
    <x v="0"/>
  </r>
  <r>
    <x v="0"/>
    <x v="1"/>
    <x v="3"/>
    <x v="0"/>
    <x v="1"/>
    <x v="1"/>
    <x v="1"/>
    <x v="40"/>
    <x v="64"/>
    <x v="14"/>
    <x v="0"/>
    <x v="14"/>
    <x v="0"/>
    <x v="0"/>
    <x v="0"/>
    <x v="41"/>
    <x v="4"/>
    <x v="0"/>
    <s v="MEDIA"/>
    <s v="MEDIA"/>
    <n v="64"/>
    <s v="cumple"/>
    <x v="0"/>
    <x v="3"/>
    <x v="64"/>
    <n v="6496"/>
    <x v="0"/>
  </r>
  <r>
    <x v="0"/>
    <x v="1"/>
    <x v="3"/>
    <x v="0"/>
    <x v="1"/>
    <x v="1"/>
    <x v="1"/>
    <x v="40"/>
    <x v="65"/>
    <x v="15"/>
    <x v="0"/>
    <x v="15"/>
    <x v="0"/>
    <x v="0"/>
    <x v="1"/>
    <x v="41"/>
    <x v="4"/>
    <x v="0"/>
    <s v="MEDIA"/>
    <s v="MEDIA"/>
    <n v="64"/>
    <s v="cumple"/>
    <x v="0"/>
    <x v="3"/>
    <x v="65"/>
    <n v="6496"/>
    <x v="0"/>
  </r>
  <r>
    <x v="0"/>
    <x v="1"/>
    <x v="3"/>
    <x v="0"/>
    <x v="1"/>
    <x v="1"/>
    <x v="1"/>
    <x v="40"/>
    <x v="65"/>
    <x v="16"/>
    <x v="0"/>
    <x v="16"/>
    <x v="0"/>
    <x v="0"/>
    <x v="1"/>
    <x v="41"/>
    <x v="4"/>
    <x v="0"/>
    <s v="MEDIA"/>
    <s v="MEDIA"/>
    <n v="64"/>
    <s v="cumple"/>
    <x v="0"/>
    <x v="3"/>
    <x v="65"/>
    <n v="6496"/>
    <x v="0"/>
  </r>
  <r>
    <x v="0"/>
    <x v="1"/>
    <x v="3"/>
    <x v="0"/>
    <x v="1"/>
    <x v="1"/>
    <x v="1"/>
    <x v="40"/>
    <x v="65"/>
    <x v="17"/>
    <x v="0"/>
    <x v="17"/>
    <x v="0"/>
    <x v="0"/>
    <x v="1"/>
    <x v="41"/>
    <x v="4"/>
    <x v="0"/>
    <s v="MEDIA"/>
    <s v="MEDIA"/>
    <n v="64"/>
    <s v="cumple"/>
    <x v="0"/>
    <x v="3"/>
    <x v="65"/>
    <n v="6496"/>
    <x v="0"/>
  </r>
  <r>
    <x v="0"/>
    <x v="1"/>
    <x v="3"/>
    <x v="0"/>
    <x v="1"/>
    <x v="1"/>
    <x v="1"/>
    <x v="40"/>
    <x v="65"/>
    <x v="18"/>
    <x v="0"/>
    <x v="18"/>
    <x v="0"/>
    <x v="0"/>
    <x v="1"/>
    <x v="41"/>
    <x v="4"/>
    <x v="0"/>
    <s v="MEDIA"/>
    <s v="MEDIA"/>
    <n v="64"/>
    <s v="cumple"/>
    <x v="0"/>
    <x v="3"/>
    <x v="65"/>
    <n v="6496"/>
    <x v="0"/>
  </r>
  <r>
    <x v="0"/>
    <x v="1"/>
    <x v="3"/>
    <x v="0"/>
    <x v="1"/>
    <x v="1"/>
    <x v="1"/>
    <x v="40"/>
    <x v="65"/>
    <x v="19"/>
    <x v="0"/>
    <x v="19"/>
    <x v="0"/>
    <x v="0"/>
    <x v="0"/>
    <x v="41"/>
    <x v="4"/>
    <x v="0"/>
    <s v="MEDIA"/>
    <s v="MEDIA"/>
    <n v="64"/>
    <s v="cumple"/>
    <x v="0"/>
    <x v="3"/>
    <x v="65"/>
    <n v="6496"/>
    <x v="0"/>
  </r>
  <r>
    <x v="0"/>
    <x v="1"/>
    <x v="3"/>
    <x v="0"/>
    <x v="1"/>
    <x v="1"/>
    <x v="1"/>
    <x v="40"/>
    <x v="66"/>
    <x v="20"/>
    <x v="0"/>
    <x v="20"/>
    <x v="0"/>
    <x v="0"/>
    <x v="1"/>
    <x v="41"/>
    <x v="4"/>
    <x v="0"/>
    <s v="MEDIA"/>
    <s v="MEDIA"/>
    <n v="64"/>
    <s v="cumple"/>
    <x v="0"/>
    <x v="3"/>
    <x v="66"/>
    <n v="6496"/>
    <x v="0"/>
  </r>
  <r>
    <x v="0"/>
    <x v="1"/>
    <x v="3"/>
    <x v="0"/>
    <x v="1"/>
    <x v="1"/>
    <x v="1"/>
    <x v="40"/>
    <x v="66"/>
    <x v="21"/>
    <x v="0"/>
    <x v="21"/>
    <x v="0"/>
    <x v="0"/>
    <x v="0"/>
    <x v="41"/>
    <x v="4"/>
    <x v="0"/>
    <s v="MEDIA"/>
    <s v="MEDIA"/>
    <n v="64"/>
    <s v="cumple"/>
    <x v="0"/>
    <x v="3"/>
    <x v="66"/>
    <n v="6496"/>
    <x v="0"/>
  </r>
  <r>
    <x v="0"/>
    <x v="1"/>
    <x v="3"/>
    <x v="0"/>
    <x v="1"/>
    <x v="1"/>
    <x v="1"/>
    <x v="40"/>
    <x v="67"/>
    <x v="5"/>
    <x v="0"/>
    <x v="5"/>
    <x v="0"/>
    <x v="0"/>
    <x v="0"/>
    <x v="42"/>
    <x v="5"/>
    <x v="0"/>
    <s v="MEDIA"/>
    <s v="MEDIA"/>
    <n v="64"/>
    <s v="cumple"/>
    <x v="0"/>
    <x v="3"/>
    <x v="67"/>
    <n v="6496"/>
    <x v="0"/>
  </r>
  <r>
    <x v="0"/>
    <x v="1"/>
    <x v="3"/>
    <x v="0"/>
    <x v="1"/>
    <x v="1"/>
    <x v="1"/>
    <x v="40"/>
    <x v="68"/>
    <x v="6"/>
    <x v="0"/>
    <x v="6"/>
    <x v="0"/>
    <x v="0"/>
    <x v="0"/>
    <x v="42"/>
    <x v="5"/>
    <x v="0"/>
    <s v="MEDIA"/>
    <s v="MEDIA"/>
    <n v="64"/>
    <s v="cumple"/>
    <x v="0"/>
    <x v="3"/>
    <x v="68"/>
    <n v="6496"/>
    <x v="0"/>
  </r>
  <r>
    <x v="0"/>
    <x v="1"/>
    <x v="3"/>
    <x v="0"/>
    <x v="1"/>
    <x v="1"/>
    <x v="1"/>
    <x v="40"/>
    <x v="69"/>
    <x v="7"/>
    <x v="0"/>
    <x v="7"/>
    <x v="0"/>
    <x v="0"/>
    <x v="0"/>
    <x v="42"/>
    <x v="5"/>
    <x v="0"/>
    <s v="MEDIA"/>
    <s v="MEDIA"/>
    <n v="64"/>
    <s v="cumple"/>
    <x v="0"/>
    <x v="3"/>
    <x v="69"/>
    <n v="6496"/>
    <x v="0"/>
  </r>
  <r>
    <x v="0"/>
    <x v="1"/>
    <x v="3"/>
    <x v="0"/>
    <x v="1"/>
    <x v="1"/>
    <x v="1"/>
    <x v="40"/>
    <x v="70"/>
    <x v="8"/>
    <x v="0"/>
    <x v="8"/>
    <x v="0"/>
    <x v="0"/>
    <x v="0"/>
    <x v="42"/>
    <x v="5"/>
    <x v="0"/>
    <s v="MEDIA"/>
    <s v="MEDIA"/>
    <n v="64"/>
    <s v="cumple"/>
    <x v="0"/>
    <x v="3"/>
    <x v="70"/>
    <n v="6496"/>
    <x v="0"/>
  </r>
  <r>
    <x v="0"/>
    <x v="1"/>
    <x v="3"/>
    <x v="0"/>
    <x v="1"/>
    <x v="1"/>
    <x v="1"/>
    <x v="40"/>
    <x v="71"/>
    <x v="9"/>
    <x v="0"/>
    <x v="9"/>
    <x v="0"/>
    <x v="0"/>
    <x v="1"/>
    <x v="42"/>
    <x v="5"/>
    <x v="0"/>
    <s v="MEDIA"/>
    <s v="MEDIA"/>
    <n v="64"/>
    <s v="cumple"/>
    <x v="0"/>
    <x v="3"/>
    <x v="71"/>
    <n v="6496"/>
    <x v="0"/>
  </r>
  <r>
    <x v="0"/>
    <x v="1"/>
    <x v="3"/>
    <x v="0"/>
    <x v="1"/>
    <x v="1"/>
    <x v="1"/>
    <x v="40"/>
    <x v="71"/>
    <x v="10"/>
    <x v="0"/>
    <x v="10"/>
    <x v="0"/>
    <x v="0"/>
    <x v="1"/>
    <x v="42"/>
    <x v="5"/>
    <x v="0"/>
    <s v="MEDIA"/>
    <s v="MEDIA"/>
    <n v="64"/>
    <s v="cumple"/>
    <x v="0"/>
    <x v="3"/>
    <x v="71"/>
    <n v="6496"/>
    <x v="0"/>
  </r>
  <r>
    <x v="0"/>
    <x v="1"/>
    <x v="3"/>
    <x v="0"/>
    <x v="1"/>
    <x v="1"/>
    <x v="1"/>
    <x v="40"/>
    <x v="71"/>
    <x v="11"/>
    <x v="0"/>
    <x v="11"/>
    <x v="0"/>
    <x v="0"/>
    <x v="0"/>
    <x v="42"/>
    <x v="5"/>
    <x v="0"/>
    <s v="MEDIA"/>
    <s v="MEDIA"/>
    <n v="64"/>
    <s v="cumple"/>
    <x v="0"/>
    <x v="3"/>
    <x v="71"/>
    <n v="6496"/>
    <x v="0"/>
  </r>
  <r>
    <x v="0"/>
    <x v="1"/>
    <x v="3"/>
    <x v="0"/>
    <x v="1"/>
    <x v="1"/>
    <x v="1"/>
    <x v="40"/>
    <x v="72"/>
    <x v="12"/>
    <x v="0"/>
    <x v="12"/>
    <x v="0"/>
    <x v="0"/>
    <x v="1"/>
    <x v="42"/>
    <x v="5"/>
    <x v="0"/>
    <s v="MEDIA"/>
    <s v="MEDIA"/>
    <n v="64"/>
    <s v="cumple"/>
    <x v="0"/>
    <x v="3"/>
    <x v="72"/>
    <n v="6496"/>
    <x v="0"/>
  </r>
  <r>
    <x v="0"/>
    <x v="1"/>
    <x v="3"/>
    <x v="0"/>
    <x v="1"/>
    <x v="1"/>
    <x v="1"/>
    <x v="40"/>
    <x v="72"/>
    <x v="13"/>
    <x v="0"/>
    <x v="13"/>
    <x v="0"/>
    <x v="0"/>
    <x v="0"/>
    <x v="42"/>
    <x v="5"/>
    <x v="0"/>
    <s v="MEDIA"/>
    <s v="MEDIA"/>
    <n v="64"/>
    <s v="cumple"/>
    <x v="0"/>
    <x v="3"/>
    <x v="72"/>
    <n v="6496"/>
    <x v="0"/>
  </r>
  <r>
    <x v="0"/>
    <x v="1"/>
    <x v="3"/>
    <x v="0"/>
    <x v="1"/>
    <x v="1"/>
    <x v="1"/>
    <x v="40"/>
    <x v="73"/>
    <x v="14"/>
    <x v="0"/>
    <x v="14"/>
    <x v="5"/>
    <x v="7"/>
    <x v="0"/>
    <x v="41"/>
    <x v="5"/>
    <x v="0"/>
    <s v="MEDIA"/>
    <s v="MEDIA"/>
    <n v="64"/>
    <s v="cumple"/>
    <x v="0"/>
    <x v="3"/>
    <x v="73"/>
    <n v="3248"/>
    <x v="0"/>
  </r>
  <r>
    <x v="0"/>
    <x v="1"/>
    <x v="3"/>
    <x v="0"/>
    <x v="1"/>
    <x v="1"/>
    <x v="1"/>
    <x v="40"/>
    <x v="74"/>
    <x v="14"/>
    <x v="3"/>
    <x v="14"/>
    <x v="0"/>
    <x v="7"/>
    <x v="0"/>
    <x v="41"/>
    <x v="5"/>
    <x v="0"/>
    <s v="MEDIA"/>
    <s v="MEDIA"/>
    <n v="64"/>
    <s v="cumple"/>
    <x v="0"/>
    <x v="3"/>
    <x v="74"/>
    <n v="3248"/>
    <x v="0"/>
  </r>
  <r>
    <x v="0"/>
    <x v="1"/>
    <x v="3"/>
    <x v="0"/>
    <x v="1"/>
    <x v="1"/>
    <x v="1"/>
    <x v="40"/>
    <x v="75"/>
    <x v="15"/>
    <x v="0"/>
    <x v="15"/>
    <x v="5"/>
    <x v="7"/>
    <x v="0"/>
    <x v="43"/>
    <x v="5"/>
    <x v="0"/>
    <s v="MEDIA"/>
    <s v="MEDIA"/>
    <n v="64"/>
    <s v="cumple"/>
    <x v="0"/>
    <x v="3"/>
    <x v="75"/>
    <n v="3248"/>
    <x v="0"/>
  </r>
  <r>
    <x v="0"/>
    <x v="1"/>
    <x v="3"/>
    <x v="0"/>
    <x v="1"/>
    <x v="1"/>
    <x v="1"/>
    <x v="40"/>
    <x v="76"/>
    <x v="15"/>
    <x v="3"/>
    <x v="15"/>
    <x v="0"/>
    <x v="7"/>
    <x v="1"/>
    <x v="43"/>
    <x v="5"/>
    <x v="0"/>
    <s v="MEDIA"/>
    <s v="MEDIA"/>
    <n v="64"/>
    <s v="cumple"/>
    <x v="0"/>
    <x v="3"/>
    <x v="76"/>
    <n v="3248"/>
    <x v="0"/>
  </r>
  <r>
    <x v="0"/>
    <x v="1"/>
    <x v="3"/>
    <x v="0"/>
    <x v="1"/>
    <x v="1"/>
    <x v="1"/>
    <x v="40"/>
    <x v="76"/>
    <x v="16"/>
    <x v="0"/>
    <x v="16"/>
    <x v="5"/>
    <x v="7"/>
    <x v="0"/>
    <x v="43"/>
    <x v="5"/>
    <x v="0"/>
    <s v="MEDIA"/>
    <s v="MEDIA"/>
    <n v="64"/>
    <s v="cumple"/>
    <x v="0"/>
    <x v="3"/>
    <x v="76"/>
    <n v="3248"/>
    <x v="0"/>
  </r>
  <r>
    <x v="0"/>
    <x v="1"/>
    <x v="3"/>
    <x v="0"/>
    <x v="1"/>
    <x v="1"/>
    <x v="1"/>
    <x v="40"/>
    <x v="77"/>
    <x v="16"/>
    <x v="3"/>
    <x v="16"/>
    <x v="0"/>
    <x v="7"/>
    <x v="0"/>
    <x v="43"/>
    <x v="5"/>
    <x v="0"/>
    <s v="MEDIA"/>
    <s v="MEDIA"/>
    <n v="64"/>
    <s v="cumple"/>
    <x v="0"/>
    <x v="3"/>
    <x v="77"/>
    <n v="3248"/>
    <x v="0"/>
  </r>
  <r>
    <x v="0"/>
    <x v="1"/>
    <x v="3"/>
    <x v="0"/>
    <x v="1"/>
    <x v="1"/>
    <x v="1"/>
    <x v="40"/>
    <x v="78"/>
    <x v="17"/>
    <x v="0"/>
    <x v="17"/>
    <x v="0"/>
    <x v="0"/>
    <x v="0"/>
    <x v="43"/>
    <x v="5"/>
    <x v="0"/>
    <s v="MEDIA"/>
    <s v="MEDIA"/>
    <n v="64"/>
    <s v="cumple"/>
    <x v="0"/>
    <x v="3"/>
    <x v="78"/>
    <n v="6496"/>
    <x v="0"/>
  </r>
  <r>
    <x v="0"/>
    <x v="1"/>
    <x v="3"/>
    <x v="0"/>
    <x v="1"/>
    <x v="1"/>
    <x v="1"/>
    <x v="40"/>
    <x v="79"/>
    <x v="18"/>
    <x v="0"/>
    <x v="18"/>
    <x v="0"/>
    <x v="0"/>
    <x v="1"/>
    <x v="43"/>
    <x v="5"/>
    <x v="0"/>
    <s v="MEDIA"/>
    <s v="MEDIA"/>
    <n v="64"/>
    <s v="cumple"/>
    <x v="0"/>
    <x v="3"/>
    <x v="79"/>
    <n v="6496"/>
    <x v="0"/>
  </r>
  <r>
    <x v="0"/>
    <x v="1"/>
    <x v="3"/>
    <x v="0"/>
    <x v="1"/>
    <x v="1"/>
    <x v="1"/>
    <x v="40"/>
    <x v="79"/>
    <x v="19"/>
    <x v="0"/>
    <x v="19"/>
    <x v="7"/>
    <x v="6"/>
    <x v="1"/>
    <x v="43"/>
    <x v="5"/>
    <x v="0"/>
    <s v="MEDIA"/>
    <s v="MEDIA"/>
    <n v="64"/>
    <s v="cumple"/>
    <x v="0"/>
    <x v="3"/>
    <x v="79"/>
    <n v="4059.9999999999995"/>
    <x v="0"/>
  </r>
  <r>
    <x v="0"/>
    <x v="1"/>
    <x v="3"/>
    <x v="0"/>
    <x v="1"/>
    <x v="1"/>
    <x v="1"/>
    <x v="40"/>
    <x v="79"/>
    <x v="20"/>
    <x v="0"/>
    <x v="20"/>
    <x v="0"/>
    <x v="0"/>
    <x v="1"/>
    <x v="43"/>
    <x v="5"/>
    <x v="0"/>
    <s v="MEDIA"/>
    <s v="MEDIA"/>
    <n v="64"/>
    <s v="cumple"/>
    <x v="0"/>
    <x v="3"/>
    <x v="79"/>
    <n v="6496"/>
    <x v="0"/>
  </r>
  <r>
    <x v="0"/>
    <x v="1"/>
    <x v="3"/>
    <x v="0"/>
    <x v="1"/>
    <x v="1"/>
    <x v="1"/>
    <x v="40"/>
    <x v="79"/>
    <x v="21"/>
    <x v="0"/>
    <x v="21"/>
    <x v="0"/>
    <x v="0"/>
    <x v="0"/>
    <x v="43"/>
    <x v="5"/>
    <x v="0"/>
    <s v="MEDIA"/>
    <s v="MEDIA"/>
    <n v="64"/>
    <s v="cumple"/>
    <x v="0"/>
    <x v="3"/>
    <x v="79"/>
    <n v="6496"/>
    <x v="0"/>
  </r>
  <r>
    <x v="2"/>
    <x v="6"/>
    <x v="0"/>
    <x v="0"/>
    <x v="5"/>
    <x v="6"/>
    <x v="2"/>
    <x v="41"/>
    <x v="80"/>
    <x v="20"/>
    <x v="0"/>
    <x v="20"/>
    <x v="8"/>
    <x v="2"/>
    <x v="0"/>
    <x v="37"/>
    <x v="6"/>
    <x v="2"/>
    <s v="MEDIA"/>
    <s v="MEDIA"/>
    <n v="64"/>
    <s v="cumple"/>
    <x v="0"/>
    <x v="0"/>
    <x v="80"/>
    <n v="696"/>
    <x v="0"/>
  </r>
  <r>
    <x v="0"/>
    <x v="1"/>
    <x v="3"/>
    <x v="0"/>
    <x v="1"/>
    <x v="1"/>
    <x v="1"/>
    <x v="42"/>
    <x v="81"/>
    <x v="22"/>
    <x v="0"/>
    <x v="22"/>
    <x v="0"/>
    <x v="0"/>
    <x v="0"/>
    <x v="42"/>
    <x v="4"/>
    <x v="0"/>
    <s v="MEDIA"/>
    <s v="MEDIA"/>
    <n v="64"/>
    <s v="cumple"/>
    <x v="1"/>
    <x v="3"/>
    <x v="81"/>
    <n v="6496"/>
    <x v="0"/>
  </r>
  <r>
    <x v="0"/>
    <x v="1"/>
    <x v="3"/>
    <x v="0"/>
    <x v="1"/>
    <x v="1"/>
    <x v="1"/>
    <x v="42"/>
    <x v="82"/>
    <x v="23"/>
    <x v="0"/>
    <x v="23"/>
    <x v="0"/>
    <x v="0"/>
    <x v="0"/>
    <x v="42"/>
    <x v="4"/>
    <x v="0"/>
    <s v="MEDIA"/>
    <s v="MEDIA"/>
    <n v="64"/>
    <s v="cumple"/>
    <x v="1"/>
    <x v="3"/>
    <x v="82"/>
    <n v="6496"/>
    <x v="0"/>
  </r>
  <r>
    <x v="0"/>
    <x v="1"/>
    <x v="3"/>
    <x v="0"/>
    <x v="1"/>
    <x v="1"/>
    <x v="1"/>
    <x v="42"/>
    <x v="83"/>
    <x v="24"/>
    <x v="0"/>
    <x v="24"/>
    <x v="7"/>
    <x v="3"/>
    <x v="0"/>
    <x v="42"/>
    <x v="4"/>
    <x v="0"/>
    <s v="MEDIA"/>
    <s v="MEDIA"/>
    <n v="64"/>
    <s v="cumple"/>
    <x v="1"/>
    <x v="3"/>
    <x v="83"/>
    <n v="4872"/>
    <x v="0"/>
  </r>
  <r>
    <x v="0"/>
    <x v="1"/>
    <x v="3"/>
    <x v="0"/>
    <x v="1"/>
    <x v="1"/>
    <x v="1"/>
    <x v="42"/>
    <x v="84"/>
    <x v="25"/>
    <x v="0"/>
    <x v="25"/>
    <x v="0"/>
    <x v="0"/>
    <x v="0"/>
    <x v="42"/>
    <x v="4"/>
    <x v="0"/>
    <s v="MEDIA"/>
    <s v="MEDIA"/>
    <n v="64"/>
    <s v="cumple"/>
    <x v="1"/>
    <x v="3"/>
    <x v="84"/>
    <n v="6496"/>
    <x v="0"/>
  </r>
  <r>
    <x v="0"/>
    <x v="1"/>
    <x v="3"/>
    <x v="0"/>
    <x v="1"/>
    <x v="1"/>
    <x v="1"/>
    <x v="42"/>
    <x v="85"/>
    <x v="26"/>
    <x v="0"/>
    <x v="26"/>
    <x v="0"/>
    <x v="0"/>
    <x v="0"/>
    <x v="42"/>
    <x v="4"/>
    <x v="0"/>
    <s v="MEDIA"/>
    <s v="MEDIA"/>
    <n v="64"/>
    <s v="cumple"/>
    <x v="1"/>
    <x v="3"/>
    <x v="85"/>
    <n v="6496"/>
    <x v="0"/>
  </r>
  <r>
    <x v="0"/>
    <x v="1"/>
    <x v="3"/>
    <x v="0"/>
    <x v="1"/>
    <x v="1"/>
    <x v="1"/>
    <x v="42"/>
    <x v="86"/>
    <x v="27"/>
    <x v="0"/>
    <x v="27"/>
    <x v="5"/>
    <x v="7"/>
    <x v="0"/>
    <x v="42"/>
    <x v="4"/>
    <x v="0"/>
    <s v="MEDIA"/>
    <s v="MEDIA"/>
    <n v="64"/>
    <s v="cumple"/>
    <x v="1"/>
    <x v="3"/>
    <x v="86"/>
    <n v="3248"/>
    <x v="0"/>
  </r>
  <r>
    <x v="0"/>
    <x v="1"/>
    <x v="3"/>
    <x v="0"/>
    <x v="1"/>
    <x v="1"/>
    <x v="1"/>
    <x v="42"/>
    <x v="87"/>
    <x v="27"/>
    <x v="3"/>
    <x v="27"/>
    <x v="0"/>
    <x v="7"/>
    <x v="1"/>
    <x v="42"/>
    <x v="4"/>
    <x v="0"/>
    <s v="MEDIA"/>
    <s v="MEDIA"/>
    <n v="64"/>
    <s v="cumple"/>
    <x v="1"/>
    <x v="3"/>
    <x v="87"/>
    <n v="3248"/>
    <x v="0"/>
  </r>
  <r>
    <x v="0"/>
    <x v="1"/>
    <x v="3"/>
    <x v="0"/>
    <x v="1"/>
    <x v="1"/>
    <x v="1"/>
    <x v="42"/>
    <x v="87"/>
    <x v="28"/>
    <x v="0"/>
    <x v="28"/>
    <x v="5"/>
    <x v="7"/>
    <x v="0"/>
    <x v="42"/>
    <x v="4"/>
    <x v="0"/>
    <s v="MEDIA"/>
    <s v="MEDIA"/>
    <n v="64"/>
    <s v="cumple"/>
    <x v="1"/>
    <x v="3"/>
    <x v="87"/>
    <n v="3248"/>
    <x v="0"/>
  </r>
  <r>
    <x v="0"/>
    <x v="1"/>
    <x v="3"/>
    <x v="0"/>
    <x v="1"/>
    <x v="1"/>
    <x v="1"/>
    <x v="42"/>
    <x v="88"/>
    <x v="29"/>
    <x v="0"/>
    <x v="29"/>
    <x v="5"/>
    <x v="7"/>
    <x v="0"/>
    <x v="42"/>
    <x v="4"/>
    <x v="0"/>
    <s v="MEDIA"/>
    <s v="MEDIA"/>
    <n v="64"/>
    <s v="cumple"/>
    <x v="1"/>
    <x v="3"/>
    <x v="88"/>
    <n v="3248"/>
    <x v="0"/>
  </r>
  <r>
    <x v="0"/>
    <x v="1"/>
    <x v="3"/>
    <x v="0"/>
    <x v="1"/>
    <x v="1"/>
    <x v="1"/>
    <x v="42"/>
    <x v="89"/>
    <x v="29"/>
    <x v="3"/>
    <x v="29"/>
    <x v="7"/>
    <x v="4"/>
    <x v="0"/>
    <x v="42"/>
    <x v="4"/>
    <x v="0"/>
    <s v="MEDIA"/>
    <s v="MEDIA"/>
    <n v="64"/>
    <s v="cumple"/>
    <x v="1"/>
    <x v="3"/>
    <x v="89"/>
    <n v="1624"/>
    <x v="0"/>
  </r>
  <r>
    <x v="0"/>
    <x v="1"/>
    <x v="3"/>
    <x v="0"/>
    <x v="1"/>
    <x v="1"/>
    <x v="1"/>
    <x v="42"/>
    <x v="90"/>
    <x v="30"/>
    <x v="0"/>
    <x v="30"/>
    <x v="0"/>
    <x v="0"/>
    <x v="0"/>
    <x v="42"/>
    <x v="4"/>
    <x v="0"/>
    <s v="MEDIA"/>
    <s v="MEDIA"/>
    <n v="64"/>
    <s v="cumple"/>
    <x v="1"/>
    <x v="3"/>
    <x v="90"/>
    <n v="6496"/>
    <x v="0"/>
  </r>
  <r>
    <x v="0"/>
    <x v="1"/>
    <x v="3"/>
    <x v="0"/>
    <x v="1"/>
    <x v="1"/>
    <x v="1"/>
    <x v="42"/>
    <x v="91"/>
    <x v="31"/>
    <x v="0"/>
    <x v="31"/>
    <x v="0"/>
    <x v="0"/>
    <x v="0"/>
    <x v="42"/>
    <x v="4"/>
    <x v="0"/>
    <s v="MEDIA"/>
    <s v="MEDIA"/>
    <n v="64"/>
    <s v="cumple"/>
    <x v="1"/>
    <x v="3"/>
    <x v="91"/>
    <n v="6496"/>
    <x v="0"/>
  </r>
  <r>
    <x v="0"/>
    <x v="1"/>
    <x v="3"/>
    <x v="0"/>
    <x v="1"/>
    <x v="1"/>
    <x v="1"/>
    <x v="42"/>
    <x v="92"/>
    <x v="32"/>
    <x v="0"/>
    <x v="32"/>
    <x v="3"/>
    <x v="4"/>
    <x v="0"/>
    <x v="42"/>
    <x v="4"/>
    <x v="0"/>
    <s v="MEDIA"/>
    <s v="MEDIA"/>
    <n v="64"/>
    <s v="cumple"/>
    <x v="1"/>
    <x v="3"/>
    <x v="92"/>
    <n v="1624"/>
    <x v="0"/>
  </r>
  <r>
    <x v="0"/>
    <x v="1"/>
    <x v="3"/>
    <x v="0"/>
    <x v="1"/>
    <x v="1"/>
    <x v="1"/>
    <x v="42"/>
    <x v="93"/>
    <x v="32"/>
    <x v="4"/>
    <x v="32"/>
    <x v="5"/>
    <x v="4"/>
    <x v="0"/>
    <x v="42"/>
    <x v="4"/>
    <x v="0"/>
    <s v="MEDIA"/>
    <s v="MEDIA"/>
    <n v="64"/>
    <s v="cumple"/>
    <x v="1"/>
    <x v="3"/>
    <x v="93"/>
    <n v="1624"/>
    <x v="0"/>
  </r>
  <r>
    <x v="0"/>
    <x v="1"/>
    <x v="3"/>
    <x v="0"/>
    <x v="1"/>
    <x v="1"/>
    <x v="1"/>
    <x v="42"/>
    <x v="94"/>
    <x v="32"/>
    <x v="3"/>
    <x v="32"/>
    <x v="0"/>
    <x v="7"/>
    <x v="1"/>
    <x v="42"/>
    <x v="4"/>
    <x v="0"/>
    <s v="MEDIA"/>
    <s v="MEDIA"/>
    <n v="64"/>
    <s v="cumple"/>
    <x v="1"/>
    <x v="3"/>
    <x v="94"/>
    <n v="3248"/>
    <x v="0"/>
  </r>
  <r>
    <x v="0"/>
    <x v="1"/>
    <x v="3"/>
    <x v="0"/>
    <x v="1"/>
    <x v="1"/>
    <x v="1"/>
    <x v="42"/>
    <x v="94"/>
    <x v="33"/>
    <x v="0"/>
    <x v="33"/>
    <x v="5"/>
    <x v="7"/>
    <x v="0"/>
    <x v="42"/>
    <x v="4"/>
    <x v="0"/>
    <s v="MEDIA"/>
    <s v="MEDIA"/>
    <n v="64"/>
    <s v="cumple"/>
    <x v="1"/>
    <x v="3"/>
    <x v="94"/>
    <n v="3248"/>
    <x v="0"/>
  </r>
  <r>
    <x v="0"/>
    <x v="1"/>
    <x v="3"/>
    <x v="0"/>
    <x v="1"/>
    <x v="1"/>
    <x v="1"/>
    <x v="42"/>
    <x v="95"/>
    <x v="33"/>
    <x v="3"/>
    <x v="33"/>
    <x v="9"/>
    <x v="2"/>
    <x v="0"/>
    <x v="42"/>
    <x v="4"/>
    <x v="0"/>
    <s v="MEDIA"/>
    <s v="MEDIA"/>
    <n v="64"/>
    <s v="cumple"/>
    <x v="1"/>
    <x v="3"/>
    <x v="95"/>
    <n v="812"/>
    <x v="0"/>
  </r>
  <r>
    <x v="0"/>
    <x v="1"/>
    <x v="3"/>
    <x v="0"/>
    <x v="1"/>
    <x v="1"/>
    <x v="1"/>
    <x v="42"/>
    <x v="96"/>
    <x v="34"/>
    <x v="0"/>
    <x v="34"/>
    <x v="0"/>
    <x v="0"/>
    <x v="1"/>
    <x v="42"/>
    <x v="4"/>
    <x v="0"/>
    <s v="MEDIA"/>
    <s v="MEDIA"/>
    <n v="64"/>
    <s v="cumple"/>
    <x v="1"/>
    <x v="3"/>
    <x v="96"/>
    <n v="6496"/>
    <x v="0"/>
  </r>
  <r>
    <x v="0"/>
    <x v="1"/>
    <x v="3"/>
    <x v="0"/>
    <x v="1"/>
    <x v="1"/>
    <x v="1"/>
    <x v="42"/>
    <x v="96"/>
    <x v="35"/>
    <x v="0"/>
    <x v="35"/>
    <x v="0"/>
    <x v="0"/>
    <x v="1"/>
    <x v="42"/>
    <x v="4"/>
    <x v="0"/>
    <s v="MEDIA"/>
    <s v="MEDIA"/>
    <n v="64"/>
    <s v="cumple"/>
    <x v="1"/>
    <x v="3"/>
    <x v="96"/>
    <n v="6496"/>
    <x v="0"/>
  </r>
  <r>
    <x v="0"/>
    <x v="1"/>
    <x v="3"/>
    <x v="0"/>
    <x v="1"/>
    <x v="1"/>
    <x v="1"/>
    <x v="42"/>
    <x v="96"/>
    <x v="36"/>
    <x v="0"/>
    <x v="36"/>
    <x v="2"/>
    <x v="3"/>
    <x v="0"/>
    <x v="42"/>
    <x v="4"/>
    <x v="0"/>
    <s v="MEDIA"/>
    <s v="MEDIA"/>
    <n v="64"/>
    <s v="cumple"/>
    <x v="1"/>
    <x v="3"/>
    <x v="96"/>
    <n v="4872"/>
    <x v="0"/>
  </r>
  <r>
    <x v="0"/>
    <x v="1"/>
    <x v="3"/>
    <x v="0"/>
    <x v="1"/>
    <x v="1"/>
    <x v="1"/>
    <x v="42"/>
    <x v="97"/>
    <x v="37"/>
    <x v="0"/>
    <x v="37"/>
    <x v="0"/>
    <x v="0"/>
    <x v="0"/>
    <x v="42"/>
    <x v="4"/>
    <x v="0"/>
    <s v="MEDIA"/>
    <s v="MEDIA"/>
    <n v="64"/>
    <s v="cumple"/>
    <x v="1"/>
    <x v="3"/>
    <x v="97"/>
    <n v="6496"/>
    <x v="0"/>
  </r>
  <r>
    <x v="0"/>
    <x v="1"/>
    <x v="3"/>
    <x v="0"/>
    <x v="1"/>
    <x v="1"/>
    <x v="1"/>
    <x v="42"/>
    <x v="97"/>
    <x v="38"/>
    <x v="0"/>
    <x v="38"/>
    <x v="7"/>
    <x v="3"/>
    <x v="0"/>
    <x v="42"/>
    <x v="4"/>
    <x v="0"/>
    <s v="MEDIA"/>
    <s v="MEDIA"/>
    <n v="64"/>
    <s v="cumple"/>
    <x v="1"/>
    <x v="3"/>
    <x v="97"/>
    <n v="4872"/>
    <x v="0"/>
  </r>
  <r>
    <x v="0"/>
    <x v="1"/>
    <x v="3"/>
    <x v="0"/>
    <x v="1"/>
    <x v="1"/>
    <x v="1"/>
    <x v="42"/>
    <x v="97"/>
    <x v="39"/>
    <x v="0"/>
    <x v="39"/>
    <x v="0"/>
    <x v="0"/>
    <x v="0"/>
    <x v="42"/>
    <x v="4"/>
    <x v="0"/>
    <s v="MEDIA"/>
    <s v="MEDIA"/>
    <n v="64"/>
    <s v="cumple"/>
    <x v="1"/>
    <x v="3"/>
    <x v="97"/>
    <n v="6496"/>
    <x v="0"/>
  </r>
  <r>
    <x v="0"/>
    <x v="1"/>
    <x v="3"/>
    <x v="0"/>
    <x v="1"/>
    <x v="1"/>
    <x v="1"/>
    <x v="42"/>
    <x v="98"/>
    <x v="22"/>
    <x v="0"/>
    <x v="22"/>
    <x v="0"/>
    <x v="0"/>
    <x v="1"/>
    <x v="42"/>
    <x v="5"/>
    <x v="0"/>
    <s v="MEDIA"/>
    <s v="MEDIA"/>
    <n v="64"/>
    <s v="cumple"/>
    <x v="1"/>
    <x v="3"/>
    <x v="98"/>
    <n v="6496"/>
    <x v="0"/>
  </r>
  <r>
    <x v="0"/>
    <x v="1"/>
    <x v="3"/>
    <x v="0"/>
    <x v="1"/>
    <x v="1"/>
    <x v="1"/>
    <x v="42"/>
    <x v="98"/>
    <x v="23"/>
    <x v="0"/>
    <x v="23"/>
    <x v="7"/>
    <x v="3"/>
    <x v="1"/>
    <x v="42"/>
    <x v="5"/>
    <x v="0"/>
    <s v="MEDIA"/>
    <s v="MEDIA"/>
    <n v="64"/>
    <s v="cumple"/>
    <x v="1"/>
    <x v="3"/>
    <x v="98"/>
    <n v="4872"/>
    <x v="0"/>
  </r>
  <r>
    <x v="0"/>
    <x v="1"/>
    <x v="3"/>
    <x v="0"/>
    <x v="1"/>
    <x v="1"/>
    <x v="1"/>
    <x v="42"/>
    <x v="98"/>
    <x v="24"/>
    <x v="0"/>
    <x v="24"/>
    <x v="7"/>
    <x v="3"/>
    <x v="0"/>
    <x v="42"/>
    <x v="5"/>
    <x v="0"/>
    <s v="MEDIA"/>
    <s v="MEDIA"/>
    <n v="64"/>
    <s v="cumple"/>
    <x v="1"/>
    <x v="3"/>
    <x v="98"/>
    <n v="4872"/>
    <x v="0"/>
  </r>
  <r>
    <x v="0"/>
    <x v="1"/>
    <x v="3"/>
    <x v="0"/>
    <x v="1"/>
    <x v="1"/>
    <x v="1"/>
    <x v="42"/>
    <x v="99"/>
    <x v="25"/>
    <x v="0"/>
    <x v="25"/>
    <x v="7"/>
    <x v="3"/>
    <x v="1"/>
    <x v="42"/>
    <x v="5"/>
    <x v="0"/>
    <s v="MEDIA"/>
    <s v="MEDIA"/>
    <n v="64"/>
    <s v="cumple"/>
    <x v="1"/>
    <x v="3"/>
    <x v="99"/>
    <n v="4872"/>
    <x v="0"/>
  </r>
  <r>
    <x v="0"/>
    <x v="1"/>
    <x v="3"/>
    <x v="0"/>
    <x v="1"/>
    <x v="1"/>
    <x v="1"/>
    <x v="42"/>
    <x v="99"/>
    <x v="26"/>
    <x v="0"/>
    <x v="26"/>
    <x v="7"/>
    <x v="3"/>
    <x v="0"/>
    <x v="42"/>
    <x v="5"/>
    <x v="0"/>
    <s v="MEDIA"/>
    <s v="MEDIA"/>
    <n v="64"/>
    <s v="cumple"/>
    <x v="1"/>
    <x v="3"/>
    <x v="99"/>
    <n v="4872"/>
    <x v="0"/>
  </r>
  <r>
    <x v="0"/>
    <x v="1"/>
    <x v="3"/>
    <x v="0"/>
    <x v="1"/>
    <x v="1"/>
    <x v="1"/>
    <x v="42"/>
    <x v="100"/>
    <x v="27"/>
    <x v="0"/>
    <x v="27"/>
    <x v="7"/>
    <x v="3"/>
    <x v="1"/>
    <x v="42"/>
    <x v="5"/>
    <x v="0"/>
    <s v="MEDIA"/>
    <s v="MEDIA"/>
    <n v="64"/>
    <s v="cumple"/>
    <x v="1"/>
    <x v="3"/>
    <x v="100"/>
    <n v="4872"/>
    <x v="0"/>
  </r>
  <r>
    <x v="0"/>
    <x v="1"/>
    <x v="3"/>
    <x v="0"/>
    <x v="1"/>
    <x v="1"/>
    <x v="1"/>
    <x v="42"/>
    <x v="100"/>
    <x v="28"/>
    <x v="0"/>
    <x v="28"/>
    <x v="7"/>
    <x v="3"/>
    <x v="0"/>
    <x v="42"/>
    <x v="5"/>
    <x v="0"/>
    <s v="MEDIA"/>
    <s v="MEDIA"/>
    <n v="64"/>
    <s v="cumple"/>
    <x v="1"/>
    <x v="3"/>
    <x v="100"/>
    <n v="4872"/>
    <x v="0"/>
  </r>
  <r>
    <x v="0"/>
    <x v="1"/>
    <x v="3"/>
    <x v="0"/>
    <x v="1"/>
    <x v="1"/>
    <x v="1"/>
    <x v="42"/>
    <x v="101"/>
    <x v="29"/>
    <x v="0"/>
    <x v="29"/>
    <x v="7"/>
    <x v="3"/>
    <x v="1"/>
    <x v="42"/>
    <x v="5"/>
    <x v="0"/>
    <s v="MEDIA"/>
    <s v="MEDIA"/>
    <n v="64"/>
    <s v="cumple"/>
    <x v="1"/>
    <x v="3"/>
    <x v="101"/>
    <n v="4872"/>
    <x v="0"/>
  </r>
  <r>
    <x v="0"/>
    <x v="1"/>
    <x v="3"/>
    <x v="0"/>
    <x v="1"/>
    <x v="1"/>
    <x v="1"/>
    <x v="42"/>
    <x v="101"/>
    <x v="30"/>
    <x v="0"/>
    <x v="30"/>
    <x v="7"/>
    <x v="3"/>
    <x v="0"/>
    <x v="42"/>
    <x v="5"/>
    <x v="0"/>
    <s v="MEDIA"/>
    <s v="MEDIA"/>
    <n v="64"/>
    <s v="cumple"/>
    <x v="1"/>
    <x v="3"/>
    <x v="101"/>
    <n v="4872"/>
    <x v="0"/>
  </r>
  <r>
    <x v="0"/>
    <x v="1"/>
    <x v="3"/>
    <x v="0"/>
    <x v="1"/>
    <x v="1"/>
    <x v="1"/>
    <x v="42"/>
    <x v="102"/>
    <x v="31"/>
    <x v="0"/>
    <x v="31"/>
    <x v="7"/>
    <x v="3"/>
    <x v="1"/>
    <x v="42"/>
    <x v="5"/>
    <x v="0"/>
    <s v="MEDIA"/>
    <s v="MEDIA"/>
    <n v="64"/>
    <s v="cumple"/>
    <x v="1"/>
    <x v="3"/>
    <x v="102"/>
    <n v="4872"/>
    <x v="0"/>
  </r>
  <r>
    <x v="0"/>
    <x v="1"/>
    <x v="3"/>
    <x v="0"/>
    <x v="1"/>
    <x v="1"/>
    <x v="1"/>
    <x v="42"/>
    <x v="102"/>
    <x v="32"/>
    <x v="0"/>
    <x v="32"/>
    <x v="7"/>
    <x v="3"/>
    <x v="1"/>
    <x v="42"/>
    <x v="5"/>
    <x v="0"/>
    <s v="MEDIA"/>
    <s v="MEDIA"/>
    <n v="64"/>
    <s v="cumple"/>
    <x v="1"/>
    <x v="3"/>
    <x v="102"/>
    <n v="4872"/>
    <x v="0"/>
  </r>
  <r>
    <x v="0"/>
    <x v="1"/>
    <x v="3"/>
    <x v="0"/>
    <x v="1"/>
    <x v="1"/>
    <x v="1"/>
    <x v="42"/>
    <x v="102"/>
    <x v="33"/>
    <x v="0"/>
    <x v="33"/>
    <x v="7"/>
    <x v="3"/>
    <x v="0"/>
    <x v="42"/>
    <x v="5"/>
    <x v="0"/>
    <s v="MEDIA"/>
    <s v="MEDIA"/>
    <n v="64"/>
    <s v="cumple"/>
    <x v="1"/>
    <x v="3"/>
    <x v="102"/>
    <n v="4872"/>
    <x v="0"/>
  </r>
  <r>
    <x v="0"/>
    <x v="1"/>
    <x v="3"/>
    <x v="0"/>
    <x v="1"/>
    <x v="1"/>
    <x v="1"/>
    <x v="42"/>
    <x v="103"/>
    <x v="34"/>
    <x v="0"/>
    <x v="34"/>
    <x v="7"/>
    <x v="3"/>
    <x v="1"/>
    <x v="42"/>
    <x v="5"/>
    <x v="0"/>
    <s v="MEDIA"/>
    <s v="MEDIA"/>
    <n v="64"/>
    <s v="cumple"/>
    <x v="1"/>
    <x v="3"/>
    <x v="103"/>
    <n v="4872"/>
    <x v="0"/>
  </r>
  <r>
    <x v="0"/>
    <x v="1"/>
    <x v="3"/>
    <x v="0"/>
    <x v="1"/>
    <x v="1"/>
    <x v="1"/>
    <x v="42"/>
    <x v="103"/>
    <x v="35"/>
    <x v="0"/>
    <x v="35"/>
    <x v="7"/>
    <x v="3"/>
    <x v="1"/>
    <x v="42"/>
    <x v="5"/>
    <x v="0"/>
    <s v="MEDIA"/>
    <s v="MEDIA"/>
    <n v="64"/>
    <s v="cumple"/>
    <x v="1"/>
    <x v="3"/>
    <x v="103"/>
    <n v="4872"/>
    <x v="0"/>
  </r>
  <r>
    <x v="0"/>
    <x v="1"/>
    <x v="3"/>
    <x v="0"/>
    <x v="1"/>
    <x v="1"/>
    <x v="1"/>
    <x v="42"/>
    <x v="103"/>
    <x v="36"/>
    <x v="0"/>
    <x v="36"/>
    <x v="7"/>
    <x v="3"/>
    <x v="1"/>
    <x v="42"/>
    <x v="5"/>
    <x v="0"/>
    <s v="MEDIA"/>
    <s v="MEDIA"/>
    <n v="64"/>
    <s v="cumple"/>
    <x v="1"/>
    <x v="3"/>
    <x v="103"/>
    <n v="4872"/>
    <x v="0"/>
  </r>
  <r>
    <x v="0"/>
    <x v="1"/>
    <x v="3"/>
    <x v="0"/>
    <x v="1"/>
    <x v="1"/>
    <x v="1"/>
    <x v="42"/>
    <x v="103"/>
    <x v="37"/>
    <x v="0"/>
    <x v="37"/>
    <x v="7"/>
    <x v="3"/>
    <x v="0"/>
    <x v="42"/>
    <x v="5"/>
    <x v="0"/>
    <s v="MEDIA"/>
    <s v="MEDIA"/>
    <n v="64"/>
    <s v="cumple"/>
    <x v="1"/>
    <x v="3"/>
    <x v="103"/>
    <n v="4872"/>
    <x v="0"/>
  </r>
  <r>
    <x v="0"/>
    <x v="1"/>
    <x v="3"/>
    <x v="0"/>
    <x v="1"/>
    <x v="1"/>
    <x v="1"/>
    <x v="42"/>
    <x v="104"/>
    <x v="38"/>
    <x v="0"/>
    <x v="38"/>
    <x v="7"/>
    <x v="3"/>
    <x v="1"/>
    <x v="42"/>
    <x v="5"/>
    <x v="0"/>
    <s v="MEDIA"/>
    <s v="MEDIA"/>
    <n v="64"/>
    <s v="cumple"/>
    <x v="1"/>
    <x v="3"/>
    <x v="104"/>
    <n v="4872"/>
    <x v="0"/>
  </r>
  <r>
    <x v="0"/>
    <x v="1"/>
    <x v="3"/>
    <x v="0"/>
    <x v="1"/>
    <x v="1"/>
    <x v="1"/>
    <x v="42"/>
    <x v="104"/>
    <x v="40"/>
    <x v="0"/>
    <x v="40"/>
    <x v="7"/>
    <x v="3"/>
    <x v="1"/>
    <x v="42"/>
    <x v="5"/>
    <x v="0"/>
    <s v="MEDIA"/>
    <s v="MEDIA"/>
    <n v="64"/>
    <s v="cumple"/>
    <x v="1"/>
    <x v="3"/>
    <x v="104"/>
    <n v="4872"/>
    <x v="0"/>
  </r>
  <r>
    <x v="0"/>
    <x v="1"/>
    <x v="3"/>
    <x v="0"/>
    <x v="1"/>
    <x v="1"/>
    <x v="1"/>
    <x v="42"/>
    <x v="104"/>
    <x v="39"/>
    <x v="0"/>
    <x v="39"/>
    <x v="7"/>
    <x v="3"/>
    <x v="0"/>
    <x v="42"/>
    <x v="5"/>
    <x v="0"/>
    <s v="MEDIA"/>
    <s v="MEDIA"/>
    <n v="64"/>
    <s v="cumple"/>
    <x v="1"/>
    <x v="3"/>
    <x v="104"/>
    <n v="4872"/>
    <x v="0"/>
  </r>
  <r>
    <x v="0"/>
    <x v="0"/>
    <x v="2"/>
    <x v="0"/>
    <x v="6"/>
    <x v="5"/>
    <x v="1"/>
    <x v="39"/>
    <x v="105"/>
    <x v="22"/>
    <x v="0"/>
    <x v="22"/>
    <x v="0"/>
    <x v="8"/>
    <x v="0"/>
    <x v="44"/>
    <x v="3"/>
    <x v="1"/>
    <s v="MEDIA"/>
    <s v="MEDIA"/>
    <n v="64"/>
    <s v="cumple"/>
    <x v="1"/>
    <x v="2"/>
    <x v="105"/>
    <n v="4930"/>
    <x v="0"/>
  </r>
  <r>
    <x v="0"/>
    <x v="0"/>
    <x v="2"/>
    <x v="0"/>
    <x v="6"/>
    <x v="5"/>
    <x v="1"/>
    <x v="39"/>
    <x v="106"/>
    <x v="23"/>
    <x v="0"/>
    <x v="23"/>
    <x v="0"/>
    <x v="8"/>
    <x v="0"/>
    <x v="45"/>
    <x v="3"/>
    <x v="1"/>
    <s v="MEDIA"/>
    <s v="MEDIA"/>
    <n v="64"/>
    <s v="cumple"/>
    <x v="1"/>
    <x v="2"/>
    <x v="106"/>
    <n v="4930"/>
    <x v="0"/>
  </r>
  <r>
    <x v="0"/>
    <x v="0"/>
    <x v="2"/>
    <x v="0"/>
    <x v="6"/>
    <x v="5"/>
    <x v="1"/>
    <x v="39"/>
    <x v="107"/>
    <x v="24"/>
    <x v="0"/>
    <x v="24"/>
    <x v="0"/>
    <x v="8"/>
    <x v="0"/>
    <x v="46"/>
    <x v="3"/>
    <x v="1"/>
    <s v="MEDIA"/>
    <s v="MEDIA"/>
    <n v="64"/>
    <s v="cumple"/>
    <x v="1"/>
    <x v="2"/>
    <x v="107"/>
    <n v="4930"/>
    <x v="0"/>
  </r>
  <r>
    <x v="0"/>
    <x v="0"/>
    <x v="2"/>
    <x v="0"/>
    <x v="6"/>
    <x v="5"/>
    <x v="1"/>
    <x v="39"/>
    <x v="108"/>
    <x v="25"/>
    <x v="0"/>
    <x v="25"/>
    <x v="0"/>
    <x v="8"/>
    <x v="0"/>
    <x v="47"/>
    <x v="3"/>
    <x v="1"/>
    <s v="MEDIA"/>
    <s v="MEDIA"/>
    <n v="64"/>
    <s v="cumple"/>
    <x v="1"/>
    <x v="2"/>
    <x v="108"/>
    <n v="4930"/>
    <x v="0"/>
  </r>
  <r>
    <x v="0"/>
    <x v="0"/>
    <x v="2"/>
    <x v="0"/>
    <x v="6"/>
    <x v="5"/>
    <x v="1"/>
    <x v="39"/>
    <x v="109"/>
    <x v="26"/>
    <x v="0"/>
    <x v="26"/>
    <x v="0"/>
    <x v="8"/>
    <x v="0"/>
    <x v="48"/>
    <x v="3"/>
    <x v="1"/>
    <s v="MEDIA"/>
    <s v="MEDIA"/>
    <n v="64"/>
    <s v="cumple"/>
    <x v="1"/>
    <x v="2"/>
    <x v="109"/>
    <n v="4930"/>
    <x v="0"/>
  </r>
  <r>
    <x v="0"/>
    <x v="0"/>
    <x v="2"/>
    <x v="0"/>
    <x v="6"/>
    <x v="5"/>
    <x v="1"/>
    <x v="39"/>
    <x v="110"/>
    <x v="27"/>
    <x v="0"/>
    <x v="27"/>
    <x v="0"/>
    <x v="8"/>
    <x v="0"/>
    <x v="49"/>
    <x v="3"/>
    <x v="1"/>
    <s v="MEDIA"/>
    <s v="MEDIA"/>
    <n v="64"/>
    <s v="cumple"/>
    <x v="1"/>
    <x v="2"/>
    <x v="110"/>
    <n v="4930"/>
    <x v="0"/>
  </r>
  <r>
    <x v="0"/>
    <x v="5"/>
    <x v="2"/>
    <x v="0"/>
    <x v="6"/>
    <x v="5"/>
    <x v="1"/>
    <x v="39"/>
    <x v="111"/>
    <x v="28"/>
    <x v="0"/>
    <x v="28"/>
    <x v="7"/>
    <x v="3"/>
    <x v="0"/>
    <x v="40"/>
    <x v="3"/>
    <x v="1"/>
    <s v="MEDIA"/>
    <s v="MEDIA"/>
    <n v="64"/>
    <s v="cumple"/>
    <x v="1"/>
    <x v="2"/>
    <x v="111"/>
    <n v="3479.9999999999995"/>
    <x v="0"/>
  </r>
  <r>
    <x v="0"/>
    <x v="5"/>
    <x v="2"/>
    <x v="0"/>
    <x v="6"/>
    <x v="5"/>
    <x v="1"/>
    <x v="39"/>
    <x v="112"/>
    <x v="29"/>
    <x v="0"/>
    <x v="29"/>
    <x v="0"/>
    <x v="8"/>
    <x v="0"/>
    <x v="50"/>
    <x v="3"/>
    <x v="1"/>
    <s v="MEDIA"/>
    <s v="MEDIA"/>
    <n v="64"/>
    <s v="cumple"/>
    <x v="1"/>
    <x v="2"/>
    <x v="112"/>
    <n v="4930"/>
    <x v="0"/>
  </r>
  <r>
    <x v="0"/>
    <x v="5"/>
    <x v="2"/>
    <x v="0"/>
    <x v="6"/>
    <x v="5"/>
    <x v="1"/>
    <x v="39"/>
    <x v="113"/>
    <x v="30"/>
    <x v="0"/>
    <x v="30"/>
    <x v="0"/>
    <x v="8"/>
    <x v="0"/>
    <x v="51"/>
    <x v="3"/>
    <x v="1"/>
    <s v="MEDIA"/>
    <s v="MEDIA"/>
    <n v="64"/>
    <s v="cumple"/>
    <x v="1"/>
    <x v="2"/>
    <x v="113"/>
    <n v="4930"/>
    <x v="0"/>
  </r>
  <r>
    <x v="0"/>
    <x v="5"/>
    <x v="2"/>
    <x v="0"/>
    <x v="6"/>
    <x v="5"/>
    <x v="1"/>
    <x v="39"/>
    <x v="114"/>
    <x v="31"/>
    <x v="0"/>
    <x v="31"/>
    <x v="0"/>
    <x v="8"/>
    <x v="0"/>
    <x v="52"/>
    <x v="3"/>
    <x v="1"/>
    <s v="MEDIA"/>
    <s v="MEDIA"/>
    <n v="64"/>
    <s v="cumple"/>
    <x v="1"/>
    <x v="2"/>
    <x v="114"/>
    <n v="4930"/>
    <x v="0"/>
  </r>
  <r>
    <x v="0"/>
    <x v="5"/>
    <x v="2"/>
    <x v="0"/>
    <x v="6"/>
    <x v="5"/>
    <x v="1"/>
    <x v="39"/>
    <x v="110"/>
    <x v="32"/>
    <x v="0"/>
    <x v="32"/>
    <x v="0"/>
    <x v="8"/>
    <x v="0"/>
    <x v="53"/>
    <x v="3"/>
    <x v="1"/>
    <s v="MEDIA"/>
    <s v="MEDIA"/>
    <n v="64"/>
    <s v="cumple"/>
    <x v="1"/>
    <x v="2"/>
    <x v="110"/>
    <n v="4930"/>
    <x v="0"/>
  </r>
  <r>
    <x v="0"/>
    <x v="5"/>
    <x v="2"/>
    <x v="0"/>
    <x v="6"/>
    <x v="5"/>
    <x v="1"/>
    <x v="39"/>
    <x v="115"/>
    <x v="33"/>
    <x v="0"/>
    <x v="33"/>
    <x v="10"/>
    <x v="9"/>
    <x v="0"/>
    <x v="54"/>
    <x v="3"/>
    <x v="1"/>
    <s v="MEDIA"/>
    <s v="MEDIA"/>
    <n v="64"/>
    <s v="cumple"/>
    <x v="1"/>
    <x v="2"/>
    <x v="115"/>
    <n v="3769.9999999999995"/>
    <x v="0"/>
  </r>
  <r>
    <x v="0"/>
    <x v="5"/>
    <x v="2"/>
    <x v="0"/>
    <x v="6"/>
    <x v="5"/>
    <x v="1"/>
    <x v="39"/>
    <x v="116"/>
    <x v="34"/>
    <x v="0"/>
    <x v="34"/>
    <x v="0"/>
    <x v="8"/>
    <x v="0"/>
    <x v="55"/>
    <x v="3"/>
    <x v="1"/>
    <s v="MEDIA"/>
    <s v="MEDIA"/>
    <n v="64"/>
    <s v="cumple"/>
    <x v="1"/>
    <x v="2"/>
    <x v="116"/>
    <n v="4930"/>
    <x v="0"/>
  </r>
  <r>
    <x v="0"/>
    <x v="5"/>
    <x v="2"/>
    <x v="0"/>
    <x v="6"/>
    <x v="5"/>
    <x v="1"/>
    <x v="39"/>
    <x v="117"/>
    <x v="35"/>
    <x v="0"/>
    <x v="35"/>
    <x v="0"/>
    <x v="8"/>
    <x v="0"/>
    <x v="56"/>
    <x v="3"/>
    <x v="1"/>
    <s v="MEDIA"/>
    <s v="MEDIA"/>
    <n v="64"/>
    <s v="cumple"/>
    <x v="1"/>
    <x v="2"/>
    <x v="117"/>
    <n v="4930"/>
    <x v="0"/>
  </r>
  <r>
    <x v="0"/>
    <x v="5"/>
    <x v="2"/>
    <x v="0"/>
    <x v="6"/>
    <x v="5"/>
    <x v="1"/>
    <x v="39"/>
    <x v="118"/>
    <x v="36"/>
    <x v="0"/>
    <x v="36"/>
    <x v="7"/>
    <x v="3"/>
    <x v="0"/>
    <x v="57"/>
    <x v="3"/>
    <x v="1"/>
    <s v="MEDIA"/>
    <s v="MEDIA"/>
    <n v="64"/>
    <s v="cumple"/>
    <x v="1"/>
    <x v="2"/>
    <x v="118"/>
    <n v="3479.9999999999995"/>
    <x v="0"/>
  </r>
  <r>
    <x v="0"/>
    <x v="5"/>
    <x v="2"/>
    <x v="0"/>
    <x v="6"/>
    <x v="5"/>
    <x v="1"/>
    <x v="39"/>
    <x v="119"/>
    <x v="37"/>
    <x v="0"/>
    <x v="37"/>
    <x v="0"/>
    <x v="8"/>
    <x v="0"/>
    <x v="58"/>
    <x v="3"/>
    <x v="1"/>
    <s v="MEDIA"/>
    <s v="MEDIA"/>
    <n v="64"/>
    <s v="cumple"/>
    <x v="1"/>
    <x v="2"/>
    <x v="119"/>
    <n v="4930"/>
    <x v="0"/>
  </r>
  <r>
    <x v="0"/>
    <x v="5"/>
    <x v="2"/>
    <x v="0"/>
    <x v="6"/>
    <x v="5"/>
    <x v="1"/>
    <x v="39"/>
    <x v="111"/>
    <x v="38"/>
    <x v="0"/>
    <x v="38"/>
    <x v="7"/>
    <x v="3"/>
    <x v="0"/>
    <x v="40"/>
    <x v="3"/>
    <x v="1"/>
    <s v="MEDIA"/>
    <s v="MEDIA"/>
    <n v="64"/>
    <s v="cumple"/>
    <x v="1"/>
    <x v="2"/>
    <x v="111"/>
    <n v="3479.9999999999995"/>
    <x v="0"/>
  </r>
  <r>
    <x v="0"/>
    <x v="5"/>
    <x v="2"/>
    <x v="0"/>
    <x v="6"/>
    <x v="5"/>
    <x v="1"/>
    <x v="39"/>
    <x v="120"/>
    <x v="40"/>
    <x v="0"/>
    <x v="40"/>
    <x v="0"/>
    <x v="8"/>
    <x v="0"/>
    <x v="59"/>
    <x v="3"/>
    <x v="1"/>
    <s v="MEDIA"/>
    <s v="MEDIA"/>
    <n v="64"/>
    <s v="cumple"/>
    <x v="1"/>
    <x v="2"/>
    <x v="120"/>
    <n v="4930"/>
    <x v="0"/>
  </r>
  <r>
    <x v="0"/>
    <x v="5"/>
    <x v="2"/>
    <x v="0"/>
    <x v="6"/>
    <x v="5"/>
    <x v="1"/>
    <x v="39"/>
    <x v="121"/>
    <x v="39"/>
    <x v="0"/>
    <x v="39"/>
    <x v="0"/>
    <x v="8"/>
    <x v="0"/>
    <x v="60"/>
    <x v="3"/>
    <x v="1"/>
    <s v="MEDIA"/>
    <s v="MEDIA"/>
    <n v="64"/>
    <s v="cumple"/>
    <x v="1"/>
    <x v="2"/>
    <x v="121"/>
    <n v="4930"/>
    <x v="0"/>
  </r>
  <r>
    <x v="2"/>
    <x v="7"/>
    <x v="0"/>
    <x v="0"/>
    <x v="7"/>
    <x v="2"/>
    <x v="0"/>
    <x v="43"/>
    <x v="122"/>
    <x v="39"/>
    <x v="0"/>
    <x v="39"/>
    <x v="0"/>
    <x v="0"/>
    <x v="1"/>
    <x v="37"/>
    <x v="7"/>
    <x v="0"/>
    <s v="MEDIA"/>
    <s v="MEDIA"/>
    <n v="64"/>
    <s v="cumple"/>
    <x v="1"/>
    <x v="0"/>
    <x v="122"/>
    <n v="6496"/>
    <x v="0"/>
  </r>
  <r>
    <x v="0"/>
    <x v="4"/>
    <x v="0"/>
    <x v="0"/>
    <x v="2"/>
    <x v="4"/>
    <x v="0"/>
    <x v="27"/>
    <x v="123"/>
    <x v="22"/>
    <x v="0"/>
    <x v="22"/>
    <x v="0"/>
    <x v="0"/>
    <x v="1"/>
    <x v="34"/>
    <x v="1"/>
    <x v="0"/>
    <s v="MEDIA"/>
    <s v="MEDIA"/>
    <n v="64"/>
    <s v="cumple"/>
    <x v="1"/>
    <x v="0"/>
    <x v="123"/>
    <n v="6496"/>
    <x v="0"/>
  </r>
  <r>
    <x v="0"/>
    <x v="4"/>
    <x v="0"/>
    <x v="0"/>
    <x v="2"/>
    <x v="4"/>
    <x v="0"/>
    <x v="27"/>
    <x v="123"/>
    <x v="23"/>
    <x v="0"/>
    <x v="23"/>
    <x v="0"/>
    <x v="0"/>
    <x v="1"/>
    <x v="34"/>
    <x v="1"/>
    <x v="0"/>
    <s v="MEDIA"/>
    <s v="MEDIA"/>
    <n v="64"/>
    <s v="cumple"/>
    <x v="1"/>
    <x v="0"/>
    <x v="123"/>
    <n v="6496"/>
    <x v="0"/>
  </r>
  <r>
    <x v="0"/>
    <x v="4"/>
    <x v="0"/>
    <x v="0"/>
    <x v="2"/>
    <x v="4"/>
    <x v="0"/>
    <x v="27"/>
    <x v="123"/>
    <x v="24"/>
    <x v="0"/>
    <x v="24"/>
    <x v="0"/>
    <x v="0"/>
    <x v="0"/>
    <x v="34"/>
    <x v="1"/>
    <x v="0"/>
    <s v="MEDIA"/>
    <s v="MEDIA"/>
    <n v="64"/>
    <s v="cumple"/>
    <x v="1"/>
    <x v="0"/>
    <x v="123"/>
    <n v="6496"/>
    <x v="0"/>
  </r>
  <r>
    <x v="0"/>
    <x v="4"/>
    <x v="0"/>
    <x v="0"/>
    <x v="2"/>
    <x v="4"/>
    <x v="0"/>
    <x v="27"/>
    <x v="124"/>
    <x v="41"/>
    <x v="0"/>
    <x v="41"/>
    <x v="11"/>
    <x v="10"/>
    <x v="1"/>
    <x v="34"/>
    <x v="1"/>
    <x v="0"/>
    <s v="MEDIA"/>
    <s v="MEDIA"/>
    <n v="64"/>
    <s v="cumple"/>
    <x v="1"/>
    <x v="0"/>
    <x v="124"/>
    <n v="8119.9999999999991"/>
    <x v="0"/>
  </r>
  <r>
    <x v="0"/>
    <x v="4"/>
    <x v="0"/>
    <x v="0"/>
    <x v="2"/>
    <x v="4"/>
    <x v="0"/>
    <x v="27"/>
    <x v="124"/>
    <x v="42"/>
    <x v="0"/>
    <x v="42"/>
    <x v="11"/>
    <x v="10"/>
    <x v="1"/>
    <x v="34"/>
    <x v="1"/>
    <x v="0"/>
    <s v="MEDIA"/>
    <s v="MEDIA"/>
    <n v="64"/>
    <s v="cumple"/>
    <x v="1"/>
    <x v="0"/>
    <x v="124"/>
    <n v="8119.9999999999991"/>
    <x v="0"/>
  </r>
  <r>
    <x v="0"/>
    <x v="4"/>
    <x v="0"/>
    <x v="0"/>
    <x v="2"/>
    <x v="4"/>
    <x v="0"/>
    <x v="27"/>
    <x v="124"/>
    <x v="43"/>
    <x v="0"/>
    <x v="43"/>
    <x v="11"/>
    <x v="10"/>
    <x v="0"/>
    <x v="34"/>
    <x v="1"/>
    <x v="0"/>
    <s v="MEDIA"/>
    <s v="MEDIA"/>
    <n v="64"/>
    <s v="cumple"/>
    <x v="1"/>
    <x v="0"/>
    <x v="124"/>
    <n v="8119.9999999999991"/>
    <x v="0"/>
  </r>
  <r>
    <x v="0"/>
    <x v="4"/>
    <x v="0"/>
    <x v="0"/>
    <x v="2"/>
    <x v="4"/>
    <x v="0"/>
    <x v="27"/>
    <x v="125"/>
    <x v="25"/>
    <x v="0"/>
    <x v="25"/>
    <x v="11"/>
    <x v="10"/>
    <x v="1"/>
    <x v="34"/>
    <x v="1"/>
    <x v="0"/>
    <s v="MEDIA"/>
    <s v="MEDIA"/>
    <n v="64"/>
    <s v="cumple"/>
    <x v="1"/>
    <x v="0"/>
    <x v="125"/>
    <n v="8119.9999999999991"/>
    <x v="0"/>
  </r>
  <r>
    <x v="0"/>
    <x v="4"/>
    <x v="0"/>
    <x v="0"/>
    <x v="2"/>
    <x v="4"/>
    <x v="0"/>
    <x v="27"/>
    <x v="125"/>
    <x v="26"/>
    <x v="0"/>
    <x v="26"/>
    <x v="11"/>
    <x v="10"/>
    <x v="1"/>
    <x v="34"/>
    <x v="1"/>
    <x v="0"/>
    <s v="MEDIA"/>
    <s v="MEDIA"/>
    <n v="64"/>
    <s v="cumple"/>
    <x v="1"/>
    <x v="0"/>
    <x v="125"/>
    <n v="8119.9999999999991"/>
    <x v="0"/>
  </r>
  <r>
    <x v="0"/>
    <x v="4"/>
    <x v="0"/>
    <x v="0"/>
    <x v="2"/>
    <x v="4"/>
    <x v="0"/>
    <x v="27"/>
    <x v="125"/>
    <x v="27"/>
    <x v="0"/>
    <x v="27"/>
    <x v="0"/>
    <x v="0"/>
    <x v="1"/>
    <x v="34"/>
    <x v="1"/>
    <x v="0"/>
    <s v="MEDIA"/>
    <s v="MEDIA"/>
    <n v="64"/>
    <s v="cumple"/>
    <x v="1"/>
    <x v="0"/>
    <x v="125"/>
    <n v="6496"/>
    <x v="0"/>
  </r>
  <r>
    <x v="0"/>
    <x v="4"/>
    <x v="0"/>
    <x v="0"/>
    <x v="2"/>
    <x v="4"/>
    <x v="0"/>
    <x v="27"/>
    <x v="125"/>
    <x v="28"/>
    <x v="0"/>
    <x v="28"/>
    <x v="0"/>
    <x v="0"/>
    <x v="0"/>
    <x v="34"/>
    <x v="1"/>
    <x v="0"/>
    <s v="MEDIA"/>
    <s v="MEDIA"/>
    <n v="64"/>
    <s v="cumple"/>
    <x v="1"/>
    <x v="0"/>
    <x v="125"/>
    <n v="6496"/>
    <x v="0"/>
  </r>
  <r>
    <x v="0"/>
    <x v="4"/>
    <x v="0"/>
    <x v="0"/>
    <x v="2"/>
    <x v="4"/>
    <x v="0"/>
    <x v="27"/>
    <x v="126"/>
    <x v="29"/>
    <x v="0"/>
    <x v="29"/>
    <x v="0"/>
    <x v="0"/>
    <x v="1"/>
    <x v="34"/>
    <x v="1"/>
    <x v="0"/>
    <s v="MEDIA"/>
    <s v="MEDIA"/>
    <n v="64"/>
    <s v="cumple"/>
    <x v="1"/>
    <x v="0"/>
    <x v="126"/>
    <n v="6496"/>
    <x v="0"/>
  </r>
  <r>
    <x v="0"/>
    <x v="4"/>
    <x v="0"/>
    <x v="0"/>
    <x v="2"/>
    <x v="4"/>
    <x v="0"/>
    <x v="27"/>
    <x v="126"/>
    <x v="30"/>
    <x v="0"/>
    <x v="30"/>
    <x v="0"/>
    <x v="0"/>
    <x v="1"/>
    <x v="34"/>
    <x v="1"/>
    <x v="0"/>
    <s v="MEDIA"/>
    <s v="MEDIA"/>
    <n v="64"/>
    <s v="cumple"/>
    <x v="1"/>
    <x v="0"/>
    <x v="126"/>
    <n v="6496"/>
    <x v="0"/>
  </r>
  <r>
    <x v="0"/>
    <x v="4"/>
    <x v="0"/>
    <x v="0"/>
    <x v="2"/>
    <x v="4"/>
    <x v="0"/>
    <x v="27"/>
    <x v="126"/>
    <x v="31"/>
    <x v="0"/>
    <x v="31"/>
    <x v="0"/>
    <x v="0"/>
    <x v="1"/>
    <x v="34"/>
    <x v="1"/>
    <x v="0"/>
    <s v="MEDIA"/>
    <s v="MEDIA"/>
    <n v="64"/>
    <s v="cumple"/>
    <x v="1"/>
    <x v="0"/>
    <x v="126"/>
    <n v="6496"/>
    <x v="0"/>
  </r>
  <r>
    <x v="0"/>
    <x v="4"/>
    <x v="0"/>
    <x v="0"/>
    <x v="2"/>
    <x v="4"/>
    <x v="0"/>
    <x v="27"/>
    <x v="126"/>
    <x v="32"/>
    <x v="0"/>
    <x v="32"/>
    <x v="0"/>
    <x v="0"/>
    <x v="1"/>
    <x v="34"/>
    <x v="1"/>
    <x v="0"/>
    <s v="MEDIA"/>
    <s v="MEDIA"/>
    <n v="64"/>
    <s v="cumple"/>
    <x v="1"/>
    <x v="0"/>
    <x v="126"/>
    <n v="6496"/>
    <x v="0"/>
  </r>
  <r>
    <x v="0"/>
    <x v="4"/>
    <x v="0"/>
    <x v="0"/>
    <x v="2"/>
    <x v="4"/>
    <x v="0"/>
    <x v="27"/>
    <x v="126"/>
    <x v="33"/>
    <x v="0"/>
    <x v="33"/>
    <x v="0"/>
    <x v="0"/>
    <x v="0"/>
    <x v="34"/>
    <x v="1"/>
    <x v="0"/>
    <s v="MEDIA"/>
    <s v="MEDIA"/>
    <n v="64"/>
    <s v="cumple"/>
    <x v="1"/>
    <x v="0"/>
    <x v="126"/>
    <n v="6496"/>
    <x v="0"/>
  </r>
  <r>
    <x v="0"/>
    <x v="4"/>
    <x v="0"/>
    <x v="0"/>
    <x v="2"/>
    <x v="4"/>
    <x v="0"/>
    <x v="27"/>
    <x v="127"/>
    <x v="34"/>
    <x v="0"/>
    <x v="34"/>
    <x v="0"/>
    <x v="0"/>
    <x v="1"/>
    <x v="61"/>
    <x v="1"/>
    <x v="0"/>
    <s v="MEDIA"/>
    <s v="MEDIA"/>
    <n v="64"/>
    <s v="cumple"/>
    <x v="1"/>
    <x v="0"/>
    <x v="127"/>
    <n v="6496"/>
    <x v="0"/>
  </r>
  <r>
    <x v="0"/>
    <x v="4"/>
    <x v="0"/>
    <x v="0"/>
    <x v="2"/>
    <x v="4"/>
    <x v="0"/>
    <x v="27"/>
    <x v="127"/>
    <x v="35"/>
    <x v="0"/>
    <x v="35"/>
    <x v="0"/>
    <x v="0"/>
    <x v="1"/>
    <x v="61"/>
    <x v="1"/>
    <x v="0"/>
    <s v="MEDIA"/>
    <s v="MEDIA"/>
    <n v="64"/>
    <s v="cumple"/>
    <x v="1"/>
    <x v="0"/>
    <x v="127"/>
    <n v="6496"/>
    <x v="0"/>
  </r>
  <r>
    <x v="0"/>
    <x v="4"/>
    <x v="0"/>
    <x v="0"/>
    <x v="2"/>
    <x v="4"/>
    <x v="0"/>
    <x v="27"/>
    <x v="127"/>
    <x v="36"/>
    <x v="0"/>
    <x v="36"/>
    <x v="0"/>
    <x v="0"/>
    <x v="1"/>
    <x v="61"/>
    <x v="1"/>
    <x v="0"/>
    <s v="MEDIA"/>
    <s v="MEDIA"/>
    <n v="64"/>
    <s v="cumple"/>
    <x v="1"/>
    <x v="0"/>
    <x v="127"/>
    <n v="6496"/>
    <x v="0"/>
  </r>
  <r>
    <x v="0"/>
    <x v="4"/>
    <x v="0"/>
    <x v="0"/>
    <x v="2"/>
    <x v="4"/>
    <x v="0"/>
    <x v="27"/>
    <x v="127"/>
    <x v="37"/>
    <x v="0"/>
    <x v="37"/>
    <x v="0"/>
    <x v="0"/>
    <x v="1"/>
    <x v="61"/>
    <x v="1"/>
    <x v="0"/>
    <s v="MEDIA"/>
    <s v="MEDIA"/>
    <n v="64"/>
    <s v="cumple"/>
    <x v="1"/>
    <x v="0"/>
    <x v="127"/>
    <n v="6496"/>
    <x v="0"/>
  </r>
  <r>
    <x v="0"/>
    <x v="4"/>
    <x v="0"/>
    <x v="0"/>
    <x v="2"/>
    <x v="4"/>
    <x v="0"/>
    <x v="27"/>
    <x v="127"/>
    <x v="38"/>
    <x v="0"/>
    <x v="38"/>
    <x v="0"/>
    <x v="0"/>
    <x v="0"/>
    <x v="61"/>
    <x v="1"/>
    <x v="0"/>
    <s v="MEDIA"/>
    <s v="MEDIA"/>
    <n v="64"/>
    <s v="cumple"/>
    <x v="1"/>
    <x v="0"/>
    <x v="127"/>
    <n v="6496"/>
    <x v="0"/>
  </r>
  <r>
    <x v="0"/>
    <x v="4"/>
    <x v="0"/>
    <x v="0"/>
    <x v="2"/>
    <x v="4"/>
    <x v="0"/>
    <x v="27"/>
    <x v="128"/>
    <x v="40"/>
    <x v="0"/>
    <x v="40"/>
    <x v="0"/>
    <x v="11"/>
    <x v="1"/>
    <x v="62"/>
    <x v="1"/>
    <x v="0"/>
    <s v="MEDIA"/>
    <s v="MEDIA"/>
    <n v="64"/>
    <s v="cumple"/>
    <x v="1"/>
    <x v="0"/>
    <x v="128"/>
    <n v="7307.9999999999991"/>
    <x v="0"/>
  </r>
  <r>
    <x v="0"/>
    <x v="4"/>
    <x v="0"/>
    <x v="0"/>
    <x v="2"/>
    <x v="4"/>
    <x v="0"/>
    <x v="27"/>
    <x v="128"/>
    <x v="39"/>
    <x v="0"/>
    <x v="39"/>
    <x v="0"/>
    <x v="11"/>
    <x v="1"/>
    <x v="62"/>
    <x v="1"/>
    <x v="0"/>
    <s v="MEDIA"/>
    <s v="MEDIA"/>
    <n v="64"/>
    <s v="cumple"/>
    <x v="1"/>
    <x v="0"/>
    <x v="128"/>
    <n v="7307.9999999999991"/>
    <x v="0"/>
  </r>
  <r>
    <x v="3"/>
    <x v="3"/>
    <x v="4"/>
    <x v="0"/>
    <x v="8"/>
    <x v="4"/>
    <x v="0"/>
    <x v="44"/>
    <x v="129"/>
    <x v="22"/>
    <x v="0"/>
    <x v="22"/>
    <x v="11"/>
    <x v="10"/>
    <x v="1"/>
    <x v="37"/>
    <x v="8"/>
    <x v="3"/>
    <s v="MEDIA"/>
    <s v="MEDIA"/>
    <n v="64"/>
    <s v="cumple"/>
    <x v="1"/>
    <x v="4"/>
    <x v="129"/>
    <n v="4640"/>
    <x v="0"/>
  </r>
  <r>
    <x v="3"/>
    <x v="3"/>
    <x v="4"/>
    <x v="0"/>
    <x v="8"/>
    <x v="4"/>
    <x v="0"/>
    <x v="44"/>
    <x v="129"/>
    <x v="23"/>
    <x v="0"/>
    <x v="23"/>
    <x v="11"/>
    <x v="10"/>
    <x v="1"/>
    <x v="37"/>
    <x v="8"/>
    <x v="3"/>
    <s v="MEDIA"/>
    <s v="MEDIA"/>
    <n v="64"/>
    <s v="cumple"/>
    <x v="1"/>
    <x v="4"/>
    <x v="129"/>
    <n v="4640"/>
    <x v="0"/>
  </r>
  <r>
    <x v="3"/>
    <x v="3"/>
    <x v="4"/>
    <x v="0"/>
    <x v="8"/>
    <x v="4"/>
    <x v="0"/>
    <x v="44"/>
    <x v="129"/>
    <x v="24"/>
    <x v="0"/>
    <x v="24"/>
    <x v="11"/>
    <x v="10"/>
    <x v="1"/>
    <x v="37"/>
    <x v="8"/>
    <x v="3"/>
    <s v="MEDIA"/>
    <s v="MEDIA"/>
    <n v="64"/>
    <s v="cumple"/>
    <x v="1"/>
    <x v="4"/>
    <x v="129"/>
    <n v="4640"/>
    <x v="0"/>
  </r>
  <r>
    <x v="3"/>
    <x v="3"/>
    <x v="4"/>
    <x v="0"/>
    <x v="8"/>
    <x v="4"/>
    <x v="0"/>
    <x v="44"/>
    <x v="129"/>
    <x v="43"/>
    <x v="0"/>
    <x v="43"/>
    <x v="1"/>
    <x v="0"/>
    <x v="1"/>
    <x v="37"/>
    <x v="8"/>
    <x v="3"/>
    <s v="MEDIA"/>
    <s v="MEDIA"/>
    <n v="64"/>
    <s v="cumple"/>
    <x v="1"/>
    <x v="4"/>
    <x v="129"/>
    <n v="3711.9999999999995"/>
    <x v="0"/>
  </r>
  <r>
    <x v="3"/>
    <x v="3"/>
    <x v="4"/>
    <x v="0"/>
    <x v="8"/>
    <x v="4"/>
    <x v="0"/>
    <x v="44"/>
    <x v="129"/>
    <x v="25"/>
    <x v="0"/>
    <x v="25"/>
    <x v="11"/>
    <x v="10"/>
    <x v="0"/>
    <x v="37"/>
    <x v="8"/>
    <x v="3"/>
    <s v="MEDIA"/>
    <s v="MEDIA"/>
    <n v="64"/>
    <s v="cumple"/>
    <x v="1"/>
    <x v="4"/>
    <x v="129"/>
    <n v="4640"/>
    <x v="0"/>
  </r>
  <r>
    <x v="3"/>
    <x v="3"/>
    <x v="4"/>
    <x v="0"/>
    <x v="8"/>
    <x v="4"/>
    <x v="0"/>
    <x v="44"/>
    <x v="130"/>
    <x v="26"/>
    <x v="0"/>
    <x v="26"/>
    <x v="0"/>
    <x v="0"/>
    <x v="1"/>
    <x v="37"/>
    <x v="8"/>
    <x v="3"/>
    <s v="MEDIA"/>
    <s v="MEDIA"/>
    <n v="64"/>
    <s v="cumple"/>
    <x v="1"/>
    <x v="4"/>
    <x v="130"/>
    <n v="3711.9999999999995"/>
    <x v="0"/>
  </r>
  <r>
    <x v="3"/>
    <x v="3"/>
    <x v="4"/>
    <x v="0"/>
    <x v="8"/>
    <x v="4"/>
    <x v="0"/>
    <x v="44"/>
    <x v="130"/>
    <x v="27"/>
    <x v="0"/>
    <x v="27"/>
    <x v="0"/>
    <x v="0"/>
    <x v="1"/>
    <x v="37"/>
    <x v="8"/>
    <x v="3"/>
    <s v="MEDIA"/>
    <s v="MEDIA"/>
    <n v="64"/>
    <s v="cumple"/>
    <x v="1"/>
    <x v="4"/>
    <x v="130"/>
    <n v="3711.9999999999995"/>
    <x v="0"/>
  </r>
  <r>
    <x v="3"/>
    <x v="3"/>
    <x v="4"/>
    <x v="0"/>
    <x v="8"/>
    <x v="4"/>
    <x v="0"/>
    <x v="44"/>
    <x v="130"/>
    <x v="28"/>
    <x v="0"/>
    <x v="28"/>
    <x v="0"/>
    <x v="0"/>
    <x v="1"/>
    <x v="37"/>
    <x v="8"/>
    <x v="3"/>
    <s v="MEDIA"/>
    <s v="MEDIA"/>
    <n v="64"/>
    <s v="cumple"/>
    <x v="1"/>
    <x v="4"/>
    <x v="130"/>
    <n v="3711.9999999999995"/>
    <x v="0"/>
  </r>
  <r>
    <x v="3"/>
    <x v="3"/>
    <x v="4"/>
    <x v="0"/>
    <x v="8"/>
    <x v="4"/>
    <x v="0"/>
    <x v="44"/>
    <x v="130"/>
    <x v="29"/>
    <x v="0"/>
    <x v="29"/>
    <x v="0"/>
    <x v="0"/>
    <x v="1"/>
    <x v="37"/>
    <x v="8"/>
    <x v="3"/>
    <s v="MEDIA"/>
    <s v="MEDIA"/>
    <n v="64"/>
    <s v="cumple"/>
    <x v="1"/>
    <x v="4"/>
    <x v="130"/>
    <n v="3711.9999999999995"/>
    <x v="0"/>
  </r>
  <r>
    <x v="3"/>
    <x v="3"/>
    <x v="4"/>
    <x v="0"/>
    <x v="8"/>
    <x v="4"/>
    <x v="0"/>
    <x v="44"/>
    <x v="130"/>
    <x v="30"/>
    <x v="0"/>
    <x v="30"/>
    <x v="0"/>
    <x v="0"/>
    <x v="0"/>
    <x v="37"/>
    <x v="8"/>
    <x v="3"/>
    <s v="MEDIA"/>
    <s v="MEDIA"/>
    <n v="64"/>
    <s v="cumple"/>
    <x v="1"/>
    <x v="4"/>
    <x v="130"/>
    <n v="3711.9999999999995"/>
    <x v="0"/>
  </r>
  <r>
    <x v="3"/>
    <x v="3"/>
    <x v="4"/>
    <x v="0"/>
    <x v="8"/>
    <x v="4"/>
    <x v="0"/>
    <x v="44"/>
    <x v="131"/>
    <x v="31"/>
    <x v="0"/>
    <x v="31"/>
    <x v="0"/>
    <x v="0"/>
    <x v="1"/>
    <x v="37"/>
    <x v="8"/>
    <x v="3"/>
    <s v="MEDIA"/>
    <s v="MEDIA"/>
    <n v="64"/>
    <s v="cumple"/>
    <x v="1"/>
    <x v="4"/>
    <x v="131"/>
    <n v="3711.9999999999995"/>
    <x v="0"/>
  </r>
  <r>
    <x v="3"/>
    <x v="3"/>
    <x v="4"/>
    <x v="0"/>
    <x v="8"/>
    <x v="4"/>
    <x v="0"/>
    <x v="44"/>
    <x v="131"/>
    <x v="32"/>
    <x v="0"/>
    <x v="32"/>
    <x v="0"/>
    <x v="0"/>
    <x v="1"/>
    <x v="37"/>
    <x v="8"/>
    <x v="3"/>
    <s v="MEDIA"/>
    <s v="MEDIA"/>
    <n v="64"/>
    <s v="cumple"/>
    <x v="1"/>
    <x v="4"/>
    <x v="131"/>
    <n v="3711.9999999999995"/>
    <x v="0"/>
  </r>
  <r>
    <x v="3"/>
    <x v="3"/>
    <x v="4"/>
    <x v="0"/>
    <x v="8"/>
    <x v="4"/>
    <x v="0"/>
    <x v="44"/>
    <x v="131"/>
    <x v="33"/>
    <x v="0"/>
    <x v="33"/>
    <x v="0"/>
    <x v="0"/>
    <x v="1"/>
    <x v="37"/>
    <x v="8"/>
    <x v="3"/>
    <s v="MEDIA"/>
    <s v="MEDIA"/>
    <n v="64"/>
    <s v="cumple"/>
    <x v="1"/>
    <x v="4"/>
    <x v="131"/>
    <n v="3711.9999999999995"/>
    <x v="0"/>
  </r>
  <r>
    <x v="3"/>
    <x v="3"/>
    <x v="4"/>
    <x v="0"/>
    <x v="8"/>
    <x v="4"/>
    <x v="0"/>
    <x v="44"/>
    <x v="131"/>
    <x v="34"/>
    <x v="0"/>
    <x v="34"/>
    <x v="0"/>
    <x v="0"/>
    <x v="1"/>
    <x v="37"/>
    <x v="8"/>
    <x v="3"/>
    <s v="MEDIA"/>
    <s v="MEDIA"/>
    <n v="64"/>
    <s v="cumple"/>
    <x v="1"/>
    <x v="4"/>
    <x v="131"/>
    <n v="3711.9999999999995"/>
    <x v="0"/>
  </r>
  <r>
    <x v="3"/>
    <x v="3"/>
    <x v="4"/>
    <x v="0"/>
    <x v="8"/>
    <x v="4"/>
    <x v="0"/>
    <x v="44"/>
    <x v="131"/>
    <x v="35"/>
    <x v="0"/>
    <x v="35"/>
    <x v="0"/>
    <x v="0"/>
    <x v="0"/>
    <x v="37"/>
    <x v="8"/>
    <x v="3"/>
    <s v="MEDIA"/>
    <s v="MEDIA"/>
    <n v="64"/>
    <s v="cumple"/>
    <x v="1"/>
    <x v="4"/>
    <x v="131"/>
    <n v="3711.9999999999995"/>
    <x v="0"/>
  </r>
  <r>
    <x v="3"/>
    <x v="3"/>
    <x v="4"/>
    <x v="0"/>
    <x v="8"/>
    <x v="4"/>
    <x v="0"/>
    <x v="44"/>
    <x v="132"/>
    <x v="36"/>
    <x v="0"/>
    <x v="36"/>
    <x v="0"/>
    <x v="0"/>
    <x v="1"/>
    <x v="37"/>
    <x v="8"/>
    <x v="3"/>
    <s v="MEDIA"/>
    <s v="MEDIA"/>
    <n v="64"/>
    <s v="cumple"/>
    <x v="1"/>
    <x v="4"/>
    <x v="132"/>
    <n v="3711.9999999999995"/>
    <x v="0"/>
  </r>
  <r>
    <x v="3"/>
    <x v="3"/>
    <x v="4"/>
    <x v="0"/>
    <x v="8"/>
    <x v="4"/>
    <x v="0"/>
    <x v="44"/>
    <x v="132"/>
    <x v="37"/>
    <x v="0"/>
    <x v="37"/>
    <x v="0"/>
    <x v="0"/>
    <x v="1"/>
    <x v="37"/>
    <x v="8"/>
    <x v="3"/>
    <s v="MEDIA"/>
    <s v="MEDIA"/>
    <n v="64"/>
    <s v="cumple"/>
    <x v="1"/>
    <x v="4"/>
    <x v="132"/>
    <n v="3711.9999999999995"/>
    <x v="0"/>
  </r>
  <r>
    <x v="3"/>
    <x v="3"/>
    <x v="4"/>
    <x v="0"/>
    <x v="8"/>
    <x v="4"/>
    <x v="0"/>
    <x v="44"/>
    <x v="132"/>
    <x v="38"/>
    <x v="0"/>
    <x v="38"/>
    <x v="0"/>
    <x v="0"/>
    <x v="1"/>
    <x v="37"/>
    <x v="8"/>
    <x v="3"/>
    <s v="MEDIA"/>
    <s v="MEDIA"/>
    <n v="64"/>
    <s v="cumple"/>
    <x v="1"/>
    <x v="4"/>
    <x v="132"/>
    <n v="3711.9999999999995"/>
    <x v="0"/>
  </r>
  <r>
    <x v="3"/>
    <x v="3"/>
    <x v="4"/>
    <x v="0"/>
    <x v="8"/>
    <x v="4"/>
    <x v="0"/>
    <x v="44"/>
    <x v="132"/>
    <x v="40"/>
    <x v="0"/>
    <x v="40"/>
    <x v="0"/>
    <x v="0"/>
    <x v="1"/>
    <x v="37"/>
    <x v="8"/>
    <x v="3"/>
    <s v="MEDIA"/>
    <s v="MEDIA"/>
    <n v="64"/>
    <s v="cumple"/>
    <x v="1"/>
    <x v="4"/>
    <x v="132"/>
    <n v="3711.9999999999995"/>
    <x v="0"/>
  </r>
  <r>
    <x v="3"/>
    <x v="3"/>
    <x v="4"/>
    <x v="0"/>
    <x v="8"/>
    <x v="4"/>
    <x v="0"/>
    <x v="44"/>
    <x v="132"/>
    <x v="39"/>
    <x v="0"/>
    <x v="39"/>
    <x v="0"/>
    <x v="0"/>
    <x v="0"/>
    <x v="37"/>
    <x v="8"/>
    <x v="3"/>
    <s v="MEDIA"/>
    <s v="MEDIA"/>
    <n v="64"/>
    <s v="cumple"/>
    <x v="1"/>
    <x v="4"/>
    <x v="132"/>
    <n v="3711.9999999999995"/>
    <x v="0"/>
  </r>
  <r>
    <x v="2"/>
    <x v="6"/>
    <x v="0"/>
    <x v="0"/>
    <x v="5"/>
    <x v="6"/>
    <x v="3"/>
    <x v="41"/>
    <x v="133"/>
    <x v="22"/>
    <x v="0"/>
    <x v="22"/>
    <x v="2"/>
    <x v="1"/>
    <x v="0"/>
    <x v="63"/>
    <x v="6"/>
    <x v="2"/>
    <s v="MEDIA"/>
    <s v="MEDIA"/>
    <n v="64"/>
    <s v="cumple"/>
    <x v="1"/>
    <x v="0"/>
    <x v="133"/>
    <n v="4872"/>
    <x v="0"/>
  </r>
  <r>
    <x v="0"/>
    <x v="1"/>
    <x v="4"/>
    <x v="0"/>
    <x v="9"/>
    <x v="1"/>
    <x v="0"/>
    <x v="45"/>
    <x v="134"/>
    <x v="22"/>
    <x v="0"/>
    <x v="22"/>
    <x v="9"/>
    <x v="6"/>
    <x v="0"/>
    <x v="64"/>
    <x v="9"/>
    <x v="4"/>
    <s v="MEDIA"/>
    <s v="MEDIA"/>
    <n v="64"/>
    <s v="cumple"/>
    <x v="1"/>
    <x v="4"/>
    <x v="134"/>
    <n v="2900"/>
    <x v="0"/>
  </r>
  <r>
    <x v="0"/>
    <x v="1"/>
    <x v="4"/>
    <x v="0"/>
    <x v="9"/>
    <x v="1"/>
    <x v="0"/>
    <x v="46"/>
    <x v="135"/>
    <x v="22"/>
    <x v="5"/>
    <x v="22"/>
    <x v="11"/>
    <x v="6"/>
    <x v="0"/>
    <x v="64"/>
    <x v="9"/>
    <x v="4"/>
    <s v="MEDIA"/>
    <s v="MEDIA"/>
    <n v="64"/>
    <s v="cumple"/>
    <x v="1"/>
    <x v="4"/>
    <x v="135"/>
    <n v="2900"/>
    <x v="0"/>
  </r>
  <r>
    <x v="0"/>
    <x v="1"/>
    <x v="4"/>
    <x v="0"/>
    <x v="9"/>
    <x v="1"/>
    <x v="0"/>
    <x v="47"/>
    <x v="136"/>
    <x v="23"/>
    <x v="0"/>
    <x v="23"/>
    <x v="9"/>
    <x v="6"/>
    <x v="0"/>
    <x v="64"/>
    <x v="9"/>
    <x v="4"/>
    <s v="MEDIA"/>
    <s v="MEDIA"/>
    <n v="64"/>
    <s v="cumple"/>
    <x v="1"/>
    <x v="4"/>
    <x v="136"/>
    <n v="2900"/>
    <x v="0"/>
  </r>
  <r>
    <x v="0"/>
    <x v="1"/>
    <x v="4"/>
    <x v="0"/>
    <x v="9"/>
    <x v="1"/>
    <x v="0"/>
    <x v="48"/>
    <x v="137"/>
    <x v="23"/>
    <x v="5"/>
    <x v="23"/>
    <x v="11"/>
    <x v="6"/>
    <x v="0"/>
    <x v="64"/>
    <x v="9"/>
    <x v="4"/>
    <s v="MEDIA"/>
    <s v="MEDIA"/>
    <n v="64"/>
    <s v="cumple"/>
    <x v="1"/>
    <x v="4"/>
    <x v="137"/>
    <n v="2900"/>
    <x v="0"/>
  </r>
  <r>
    <x v="0"/>
    <x v="1"/>
    <x v="4"/>
    <x v="0"/>
    <x v="9"/>
    <x v="1"/>
    <x v="0"/>
    <x v="49"/>
    <x v="138"/>
    <x v="24"/>
    <x v="0"/>
    <x v="24"/>
    <x v="11"/>
    <x v="10"/>
    <x v="0"/>
    <x v="64"/>
    <x v="9"/>
    <x v="4"/>
    <s v="MEDIA"/>
    <s v="MEDIA"/>
    <n v="64"/>
    <s v="cumple"/>
    <x v="1"/>
    <x v="4"/>
    <x v="138"/>
    <n v="5800"/>
    <x v="0"/>
  </r>
  <r>
    <x v="0"/>
    <x v="1"/>
    <x v="4"/>
    <x v="0"/>
    <x v="9"/>
    <x v="1"/>
    <x v="0"/>
    <x v="50"/>
    <x v="139"/>
    <x v="43"/>
    <x v="0"/>
    <x v="43"/>
    <x v="0"/>
    <x v="0"/>
    <x v="0"/>
    <x v="64"/>
    <x v="9"/>
    <x v="4"/>
    <s v="MEDIA"/>
    <s v="MEDIA"/>
    <n v="64"/>
    <s v="cumple"/>
    <x v="1"/>
    <x v="4"/>
    <x v="139"/>
    <n v="4640"/>
    <x v="0"/>
  </r>
  <r>
    <x v="0"/>
    <x v="1"/>
    <x v="4"/>
    <x v="0"/>
    <x v="9"/>
    <x v="1"/>
    <x v="0"/>
    <x v="51"/>
    <x v="140"/>
    <x v="25"/>
    <x v="0"/>
    <x v="25"/>
    <x v="0"/>
    <x v="0"/>
    <x v="0"/>
    <x v="64"/>
    <x v="9"/>
    <x v="4"/>
    <s v="MEDIA"/>
    <s v="MEDIA"/>
    <n v="64"/>
    <s v="cumple"/>
    <x v="1"/>
    <x v="4"/>
    <x v="140"/>
    <n v="4640"/>
    <x v="0"/>
  </r>
  <r>
    <x v="0"/>
    <x v="1"/>
    <x v="4"/>
    <x v="0"/>
    <x v="9"/>
    <x v="1"/>
    <x v="0"/>
    <x v="52"/>
    <x v="141"/>
    <x v="26"/>
    <x v="0"/>
    <x v="26"/>
    <x v="5"/>
    <x v="7"/>
    <x v="0"/>
    <x v="64"/>
    <x v="9"/>
    <x v="4"/>
    <s v="MEDIA"/>
    <s v="MEDIA"/>
    <n v="64"/>
    <s v="cumple"/>
    <x v="1"/>
    <x v="4"/>
    <x v="141"/>
    <n v="2320"/>
    <x v="0"/>
  </r>
  <r>
    <x v="0"/>
    <x v="1"/>
    <x v="4"/>
    <x v="0"/>
    <x v="9"/>
    <x v="1"/>
    <x v="0"/>
    <x v="53"/>
    <x v="142"/>
    <x v="26"/>
    <x v="3"/>
    <x v="26"/>
    <x v="0"/>
    <x v="7"/>
    <x v="0"/>
    <x v="64"/>
    <x v="9"/>
    <x v="4"/>
    <s v="MEDIA"/>
    <s v="MEDIA"/>
    <n v="64"/>
    <s v="cumple"/>
    <x v="1"/>
    <x v="4"/>
    <x v="142"/>
    <n v="2320"/>
    <x v="0"/>
  </r>
  <r>
    <x v="0"/>
    <x v="1"/>
    <x v="4"/>
    <x v="0"/>
    <x v="9"/>
    <x v="1"/>
    <x v="0"/>
    <x v="54"/>
    <x v="143"/>
    <x v="27"/>
    <x v="0"/>
    <x v="27"/>
    <x v="5"/>
    <x v="7"/>
    <x v="0"/>
    <x v="64"/>
    <x v="9"/>
    <x v="4"/>
    <s v="MEDIA"/>
    <s v="MEDIA"/>
    <n v="64"/>
    <s v="cumple"/>
    <x v="1"/>
    <x v="4"/>
    <x v="143"/>
    <n v="2320"/>
    <x v="0"/>
  </r>
  <r>
    <x v="0"/>
    <x v="1"/>
    <x v="4"/>
    <x v="0"/>
    <x v="9"/>
    <x v="1"/>
    <x v="0"/>
    <x v="55"/>
    <x v="144"/>
    <x v="27"/>
    <x v="3"/>
    <x v="27"/>
    <x v="0"/>
    <x v="7"/>
    <x v="0"/>
    <x v="64"/>
    <x v="9"/>
    <x v="4"/>
    <s v="MEDIA"/>
    <s v="MEDIA"/>
    <n v="64"/>
    <s v="cumple"/>
    <x v="1"/>
    <x v="4"/>
    <x v="144"/>
    <n v="2320"/>
    <x v="0"/>
  </r>
  <r>
    <x v="0"/>
    <x v="1"/>
    <x v="4"/>
    <x v="0"/>
    <x v="9"/>
    <x v="1"/>
    <x v="0"/>
    <x v="56"/>
    <x v="145"/>
    <x v="28"/>
    <x v="0"/>
    <x v="28"/>
    <x v="9"/>
    <x v="6"/>
    <x v="0"/>
    <x v="64"/>
    <x v="9"/>
    <x v="4"/>
    <s v="MEDIA"/>
    <s v="MEDIA"/>
    <n v="64"/>
    <s v="cumple"/>
    <x v="1"/>
    <x v="4"/>
    <x v="145"/>
    <n v="2900"/>
    <x v="0"/>
  </r>
  <r>
    <x v="0"/>
    <x v="1"/>
    <x v="4"/>
    <x v="0"/>
    <x v="9"/>
    <x v="1"/>
    <x v="0"/>
    <x v="57"/>
    <x v="146"/>
    <x v="28"/>
    <x v="5"/>
    <x v="28"/>
    <x v="11"/>
    <x v="6"/>
    <x v="0"/>
    <x v="64"/>
    <x v="9"/>
    <x v="4"/>
    <s v="MEDIA"/>
    <s v="MEDIA"/>
    <n v="64"/>
    <s v="cumple"/>
    <x v="1"/>
    <x v="4"/>
    <x v="146"/>
    <n v="2900"/>
    <x v="0"/>
  </r>
  <r>
    <x v="0"/>
    <x v="1"/>
    <x v="4"/>
    <x v="0"/>
    <x v="9"/>
    <x v="1"/>
    <x v="0"/>
    <x v="58"/>
    <x v="147"/>
    <x v="29"/>
    <x v="0"/>
    <x v="29"/>
    <x v="3"/>
    <x v="4"/>
    <x v="1"/>
    <x v="64"/>
    <x v="9"/>
    <x v="4"/>
    <s v="MEDIA"/>
    <s v="MEDIA"/>
    <n v="64"/>
    <s v="cumple"/>
    <x v="1"/>
    <x v="4"/>
    <x v="147"/>
    <n v="1160"/>
    <x v="0"/>
  </r>
  <r>
    <x v="0"/>
    <x v="1"/>
    <x v="4"/>
    <x v="0"/>
    <x v="9"/>
    <x v="1"/>
    <x v="0"/>
    <x v="59"/>
    <x v="148"/>
    <x v="29"/>
    <x v="4"/>
    <x v="29"/>
    <x v="1"/>
    <x v="6"/>
    <x v="0"/>
    <x v="64"/>
    <x v="9"/>
    <x v="4"/>
    <s v="MEDIA"/>
    <s v="MEDIA"/>
    <n v="64"/>
    <s v="cumple"/>
    <x v="1"/>
    <x v="4"/>
    <x v="148"/>
    <n v="2900"/>
    <x v="0"/>
  </r>
  <r>
    <x v="0"/>
    <x v="1"/>
    <x v="4"/>
    <x v="0"/>
    <x v="9"/>
    <x v="1"/>
    <x v="0"/>
    <x v="60"/>
    <x v="148"/>
    <x v="29"/>
    <x v="1"/>
    <x v="29"/>
    <x v="0"/>
    <x v="2"/>
    <x v="0"/>
    <x v="64"/>
    <x v="9"/>
    <x v="4"/>
    <s v="MEDIA"/>
    <s v="MEDIA"/>
    <n v="64"/>
    <s v="cumple"/>
    <x v="1"/>
    <x v="4"/>
    <x v="148"/>
    <n v="580"/>
    <x v="0"/>
  </r>
  <r>
    <x v="0"/>
    <x v="1"/>
    <x v="4"/>
    <x v="0"/>
    <x v="9"/>
    <x v="1"/>
    <x v="0"/>
    <x v="60"/>
    <x v="148"/>
    <x v="30"/>
    <x v="0"/>
    <x v="30"/>
    <x v="5"/>
    <x v="7"/>
    <x v="0"/>
    <x v="64"/>
    <x v="9"/>
    <x v="4"/>
    <s v="MEDIA"/>
    <s v="MEDIA"/>
    <n v="64"/>
    <s v="cumple"/>
    <x v="1"/>
    <x v="4"/>
    <x v="148"/>
    <n v="2320"/>
    <x v="0"/>
  </r>
  <r>
    <x v="0"/>
    <x v="1"/>
    <x v="4"/>
    <x v="0"/>
    <x v="9"/>
    <x v="1"/>
    <x v="0"/>
    <x v="61"/>
    <x v="149"/>
    <x v="30"/>
    <x v="3"/>
    <x v="30"/>
    <x v="0"/>
    <x v="7"/>
    <x v="0"/>
    <x v="64"/>
    <x v="9"/>
    <x v="4"/>
    <s v="MEDIA"/>
    <s v="MEDIA"/>
    <n v="64"/>
    <s v="cumple"/>
    <x v="1"/>
    <x v="4"/>
    <x v="149"/>
    <n v="2320"/>
    <x v="0"/>
  </r>
  <r>
    <x v="0"/>
    <x v="1"/>
    <x v="4"/>
    <x v="0"/>
    <x v="9"/>
    <x v="1"/>
    <x v="0"/>
    <x v="62"/>
    <x v="150"/>
    <x v="31"/>
    <x v="0"/>
    <x v="31"/>
    <x v="5"/>
    <x v="7"/>
    <x v="0"/>
    <x v="64"/>
    <x v="9"/>
    <x v="4"/>
    <s v="MEDIA"/>
    <s v="MEDIA"/>
    <n v="64"/>
    <s v="cumple"/>
    <x v="1"/>
    <x v="4"/>
    <x v="150"/>
    <n v="2320"/>
    <x v="0"/>
  </r>
  <r>
    <x v="0"/>
    <x v="1"/>
    <x v="4"/>
    <x v="0"/>
    <x v="9"/>
    <x v="1"/>
    <x v="0"/>
    <x v="63"/>
    <x v="151"/>
    <x v="31"/>
    <x v="3"/>
    <x v="31"/>
    <x v="0"/>
    <x v="7"/>
    <x v="0"/>
    <x v="64"/>
    <x v="9"/>
    <x v="4"/>
    <s v="MEDIA"/>
    <s v="MEDIA"/>
    <n v="64"/>
    <s v="cumple"/>
    <x v="1"/>
    <x v="4"/>
    <x v="151"/>
    <n v="2320"/>
    <x v="0"/>
  </r>
  <r>
    <x v="0"/>
    <x v="1"/>
    <x v="4"/>
    <x v="0"/>
    <x v="9"/>
    <x v="1"/>
    <x v="0"/>
    <x v="61"/>
    <x v="152"/>
    <x v="32"/>
    <x v="0"/>
    <x v="32"/>
    <x v="5"/>
    <x v="7"/>
    <x v="0"/>
    <x v="64"/>
    <x v="9"/>
    <x v="4"/>
    <s v="MEDIA"/>
    <s v="MEDIA"/>
    <n v="64"/>
    <s v="cumple"/>
    <x v="1"/>
    <x v="4"/>
    <x v="152"/>
    <n v="2320"/>
    <x v="0"/>
  </r>
  <r>
    <x v="0"/>
    <x v="1"/>
    <x v="4"/>
    <x v="0"/>
    <x v="9"/>
    <x v="1"/>
    <x v="0"/>
    <x v="64"/>
    <x v="153"/>
    <x v="32"/>
    <x v="3"/>
    <x v="32"/>
    <x v="0"/>
    <x v="7"/>
    <x v="0"/>
    <x v="64"/>
    <x v="9"/>
    <x v="4"/>
    <s v="MEDIA"/>
    <s v="MEDIA"/>
    <n v="64"/>
    <s v="cumple"/>
    <x v="1"/>
    <x v="4"/>
    <x v="153"/>
    <n v="2320"/>
    <x v="0"/>
  </r>
  <r>
    <x v="0"/>
    <x v="1"/>
    <x v="4"/>
    <x v="0"/>
    <x v="9"/>
    <x v="1"/>
    <x v="0"/>
    <x v="64"/>
    <x v="154"/>
    <x v="33"/>
    <x v="0"/>
    <x v="33"/>
    <x v="0"/>
    <x v="0"/>
    <x v="0"/>
    <x v="64"/>
    <x v="9"/>
    <x v="4"/>
    <s v="MEDIA"/>
    <s v="MEDIA"/>
    <n v="64"/>
    <s v="cumple"/>
    <x v="1"/>
    <x v="4"/>
    <x v="154"/>
    <n v="4640"/>
    <x v="0"/>
  </r>
  <r>
    <x v="0"/>
    <x v="1"/>
    <x v="4"/>
    <x v="0"/>
    <x v="9"/>
    <x v="1"/>
    <x v="0"/>
    <x v="64"/>
    <x v="154"/>
    <x v="34"/>
    <x v="0"/>
    <x v="33"/>
    <x v="4"/>
    <x v="5"/>
    <x v="0"/>
    <x v="64"/>
    <x v="9"/>
    <x v="4"/>
    <s v="MEDIA"/>
    <s v="MEDIA"/>
    <n v="64"/>
    <s v="cumple"/>
    <x v="1"/>
    <x v="4"/>
    <x v="154"/>
    <n v="1739.9999999999998"/>
    <x v="0"/>
  </r>
  <r>
    <x v="0"/>
    <x v="1"/>
    <x v="4"/>
    <x v="0"/>
    <x v="9"/>
    <x v="1"/>
    <x v="0"/>
    <x v="65"/>
    <x v="155"/>
    <x v="34"/>
    <x v="6"/>
    <x v="34"/>
    <x v="9"/>
    <x v="4"/>
    <x v="0"/>
    <x v="64"/>
    <x v="9"/>
    <x v="4"/>
    <s v="MEDIA"/>
    <s v="MEDIA"/>
    <n v="64"/>
    <s v="cumple"/>
    <x v="1"/>
    <x v="4"/>
    <x v="155"/>
    <n v="1160"/>
    <x v="0"/>
  </r>
  <r>
    <x v="0"/>
    <x v="1"/>
    <x v="4"/>
    <x v="0"/>
    <x v="9"/>
    <x v="1"/>
    <x v="0"/>
    <x v="66"/>
    <x v="156"/>
    <x v="34"/>
    <x v="7"/>
    <x v="34"/>
    <x v="0"/>
    <x v="5"/>
    <x v="0"/>
    <x v="64"/>
    <x v="9"/>
    <x v="4"/>
    <s v="MEDIA"/>
    <s v="MEDIA"/>
    <n v="64"/>
    <s v="cumple"/>
    <x v="1"/>
    <x v="4"/>
    <x v="156"/>
    <n v="1739.9999999999998"/>
    <x v="0"/>
  </r>
  <r>
    <x v="0"/>
    <x v="1"/>
    <x v="4"/>
    <x v="0"/>
    <x v="9"/>
    <x v="1"/>
    <x v="0"/>
    <x v="66"/>
    <x v="157"/>
    <x v="35"/>
    <x v="0"/>
    <x v="35"/>
    <x v="0"/>
    <x v="0"/>
    <x v="0"/>
    <x v="64"/>
    <x v="9"/>
    <x v="4"/>
    <s v="MEDIA"/>
    <s v="MEDIA"/>
    <n v="64"/>
    <s v="cumple"/>
    <x v="1"/>
    <x v="4"/>
    <x v="157"/>
    <n v="4640"/>
    <x v="0"/>
  </r>
  <r>
    <x v="0"/>
    <x v="1"/>
    <x v="4"/>
    <x v="0"/>
    <x v="9"/>
    <x v="1"/>
    <x v="0"/>
    <x v="66"/>
    <x v="158"/>
    <x v="36"/>
    <x v="0"/>
    <x v="36"/>
    <x v="0"/>
    <x v="0"/>
    <x v="0"/>
    <x v="64"/>
    <x v="9"/>
    <x v="4"/>
    <s v="MEDIA"/>
    <s v="MEDIA"/>
    <n v="64"/>
    <s v="cumple"/>
    <x v="1"/>
    <x v="4"/>
    <x v="158"/>
    <n v="4640"/>
    <x v="0"/>
  </r>
  <r>
    <x v="0"/>
    <x v="1"/>
    <x v="4"/>
    <x v="0"/>
    <x v="9"/>
    <x v="1"/>
    <x v="0"/>
    <x v="66"/>
    <x v="159"/>
    <x v="37"/>
    <x v="0"/>
    <x v="37"/>
    <x v="0"/>
    <x v="0"/>
    <x v="0"/>
    <x v="64"/>
    <x v="9"/>
    <x v="4"/>
    <s v="MEDIA"/>
    <s v="MEDIA"/>
    <n v="64"/>
    <s v="cumple"/>
    <x v="1"/>
    <x v="4"/>
    <x v="159"/>
    <n v="4640"/>
    <x v="0"/>
  </r>
  <r>
    <x v="0"/>
    <x v="1"/>
    <x v="4"/>
    <x v="0"/>
    <x v="9"/>
    <x v="1"/>
    <x v="0"/>
    <x v="66"/>
    <x v="160"/>
    <x v="38"/>
    <x v="0"/>
    <x v="38"/>
    <x v="5"/>
    <x v="7"/>
    <x v="0"/>
    <x v="64"/>
    <x v="9"/>
    <x v="4"/>
    <s v="MEDIA"/>
    <s v="MEDIA"/>
    <n v="64"/>
    <s v="cumple"/>
    <x v="1"/>
    <x v="4"/>
    <x v="160"/>
    <n v="2320"/>
    <x v="0"/>
  </r>
  <r>
    <x v="0"/>
    <x v="1"/>
    <x v="4"/>
    <x v="0"/>
    <x v="9"/>
    <x v="1"/>
    <x v="0"/>
    <x v="64"/>
    <x v="161"/>
    <x v="38"/>
    <x v="3"/>
    <x v="38"/>
    <x v="0"/>
    <x v="7"/>
    <x v="0"/>
    <x v="64"/>
    <x v="9"/>
    <x v="4"/>
    <s v="MEDIA"/>
    <s v="MEDIA"/>
    <n v="64"/>
    <s v="cumple"/>
    <x v="1"/>
    <x v="4"/>
    <x v="161"/>
    <n v="2320"/>
    <x v="0"/>
  </r>
  <r>
    <x v="0"/>
    <x v="1"/>
    <x v="4"/>
    <x v="0"/>
    <x v="9"/>
    <x v="1"/>
    <x v="0"/>
    <x v="64"/>
    <x v="162"/>
    <x v="40"/>
    <x v="0"/>
    <x v="40"/>
    <x v="0"/>
    <x v="0"/>
    <x v="0"/>
    <x v="64"/>
    <x v="9"/>
    <x v="4"/>
    <s v="MEDIA"/>
    <s v="MEDIA"/>
    <n v="64"/>
    <s v="cumple"/>
    <x v="1"/>
    <x v="4"/>
    <x v="162"/>
    <n v="4640"/>
    <x v="0"/>
  </r>
  <r>
    <x v="0"/>
    <x v="1"/>
    <x v="4"/>
    <x v="0"/>
    <x v="9"/>
    <x v="1"/>
    <x v="0"/>
    <x v="67"/>
    <x v="154"/>
    <x v="39"/>
    <x v="0"/>
    <x v="39"/>
    <x v="0"/>
    <x v="0"/>
    <x v="0"/>
    <x v="64"/>
    <x v="9"/>
    <x v="4"/>
    <s v="MEDIA"/>
    <s v="MEDIA"/>
    <n v="64"/>
    <s v="cumple"/>
    <x v="1"/>
    <x v="4"/>
    <x v="154"/>
    <n v="4640"/>
    <x v="0"/>
  </r>
  <r>
    <x v="2"/>
    <x v="6"/>
    <x v="1"/>
    <x v="0"/>
    <x v="2"/>
    <x v="1"/>
    <x v="4"/>
    <x v="68"/>
    <x v="163"/>
    <x v="34"/>
    <x v="0"/>
    <x v="34"/>
    <x v="0"/>
    <x v="0"/>
    <x v="0"/>
    <x v="65"/>
    <x v="10"/>
    <x v="5"/>
    <s v="MEDIA"/>
    <s v="MEDIA"/>
    <n v="64"/>
    <s v="cumple"/>
    <x v="1"/>
    <x v="1"/>
    <x v="163"/>
    <n v="7423.9999999999991"/>
    <x v="0"/>
  </r>
  <r>
    <x v="2"/>
    <x v="6"/>
    <x v="1"/>
    <x v="0"/>
    <x v="2"/>
    <x v="1"/>
    <x v="4"/>
    <x v="68"/>
    <x v="164"/>
    <x v="35"/>
    <x v="0"/>
    <x v="35"/>
    <x v="0"/>
    <x v="0"/>
    <x v="0"/>
    <x v="65"/>
    <x v="10"/>
    <x v="5"/>
    <s v="MEDIA"/>
    <s v="MEDIA"/>
    <n v="64"/>
    <s v="cumple"/>
    <x v="1"/>
    <x v="1"/>
    <x v="164"/>
    <n v="7423.9999999999991"/>
    <x v="0"/>
  </r>
  <r>
    <x v="2"/>
    <x v="6"/>
    <x v="1"/>
    <x v="0"/>
    <x v="2"/>
    <x v="1"/>
    <x v="4"/>
    <x v="68"/>
    <x v="165"/>
    <x v="36"/>
    <x v="0"/>
    <x v="36"/>
    <x v="0"/>
    <x v="0"/>
    <x v="0"/>
    <x v="65"/>
    <x v="10"/>
    <x v="5"/>
    <s v="MEDIA"/>
    <s v="MEDIA"/>
    <n v="64"/>
    <s v="cumple"/>
    <x v="1"/>
    <x v="1"/>
    <x v="165"/>
    <n v="7423.9999999999991"/>
    <x v="0"/>
  </r>
  <r>
    <x v="2"/>
    <x v="6"/>
    <x v="1"/>
    <x v="0"/>
    <x v="2"/>
    <x v="1"/>
    <x v="4"/>
    <x v="68"/>
    <x v="166"/>
    <x v="37"/>
    <x v="0"/>
    <x v="37"/>
    <x v="0"/>
    <x v="0"/>
    <x v="0"/>
    <x v="65"/>
    <x v="10"/>
    <x v="5"/>
    <s v="MEDIA"/>
    <s v="MEDIA"/>
    <n v="64"/>
    <s v="cumple"/>
    <x v="1"/>
    <x v="1"/>
    <x v="166"/>
    <n v="7423.9999999999991"/>
    <x v="0"/>
  </r>
  <r>
    <x v="2"/>
    <x v="6"/>
    <x v="1"/>
    <x v="0"/>
    <x v="2"/>
    <x v="1"/>
    <x v="4"/>
    <x v="68"/>
    <x v="167"/>
    <x v="38"/>
    <x v="0"/>
    <x v="38"/>
    <x v="0"/>
    <x v="0"/>
    <x v="0"/>
    <x v="65"/>
    <x v="10"/>
    <x v="5"/>
    <s v="MEDIA"/>
    <s v="MEDIA"/>
    <n v="64"/>
    <s v="cumple"/>
    <x v="1"/>
    <x v="1"/>
    <x v="167"/>
    <n v="7423.9999999999991"/>
    <x v="0"/>
  </r>
  <r>
    <x v="0"/>
    <x v="4"/>
    <x v="0"/>
    <x v="0"/>
    <x v="2"/>
    <x v="1"/>
    <x v="0"/>
    <x v="69"/>
    <x v="168"/>
    <x v="22"/>
    <x v="0"/>
    <x v="22"/>
    <x v="0"/>
    <x v="0"/>
    <x v="1"/>
    <x v="66"/>
    <x v="2"/>
    <x v="0"/>
    <s v="MEDIA"/>
    <s v="MEDIA"/>
    <n v="64"/>
    <s v="cumple"/>
    <x v="1"/>
    <x v="0"/>
    <x v="168"/>
    <n v="6496"/>
    <x v="0"/>
  </r>
  <r>
    <x v="0"/>
    <x v="4"/>
    <x v="0"/>
    <x v="0"/>
    <x v="2"/>
    <x v="1"/>
    <x v="0"/>
    <x v="69"/>
    <x v="168"/>
    <x v="23"/>
    <x v="0"/>
    <x v="23"/>
    <x v="0"/>
    <x v="0"/>
    <x v="1"/>
    <x v="66"/>
    <x v="2"/>
    <x v="0"/>
    <s v="MEDIA"/>
    <s v="MEDIA"/>
    <n v="64"/>
    <s v="cumple"/>
    <x v="1"/>
    <x v="0"/>
    <x v="168"/>
    <n v="6496"/>
    <x v="0"/>
  </r>
  <r>
    <x v="0"/>
    <x v="4"/>
    <x v="0"/>
    <x v="0"/>
    <x v="2"/>
    <x v="1"/>
    <x v="0"/>
    <x v="69"/>
    <x v="168"/>
    <x v="24"/>
    <x v="0"/>
    <x v="24"/>
    <x v="0"/>
    <x v="0"/>
    <x v="0"/>
    <x v="66"/>
    <x v="2"/>
    <x v="0"/>
    <s v="MEDIA"/>
    <s v="MEDIA"/>
    <n v="64"/>
    <s v="cumple"/>
    <x v="1"/>
    <x v="0"/>
    <x v="168"/>
    <n v="6496"/>
    <x v="0"/>
  </r>
  <r>
    <x v="0"/>
    <x v="4"/>
    <x v="0"/>
    <x v="0"/>
    <x v="2"/>
    <x v="1"/>
    <x v="0"/>
    <x v="70"/>
    <x v="169"/>
    <x v="41"/>
    <x v="0"/>
    <x v="41"/>
    <x v="11"/>
    <x v="10"/>
    <x v="1"/>
    <x v="66"/>
    <x v="2"/>
    <x v="0"/>
    <s v="MEDIA"/>
    <s v="MEDIA"/>
    <n v="64"/>
    <s v="cumple"/>
    <x v="1"/>
    <x v="0"/>
    <x v="169"/>
    <n v="8119.9999999999991"/>
    <x v="0"/>
  </r>
  <r>
    <x v="0"/>
    <x v="4"/>
    <x v="0"/>
    <x v="0"/>
    <x v="2"/>
    <x v="1"/>
    <x v="0"/>
    <x v="70"/>
    <x v="169"/>
    <x v="42"/>
    <x v="0"/>
    <x v="42"/>
    <x v="11"/>
    <x v="10"/>
    <x v="1"/>
    <x v="66"/>
    <x v="2"/>
    <x v="0"/>
    <s v="MEDIA"/>
    <s v="MEDIA"/>
    <n v="64"/>
    <s v="cumple"/>
    <x v="1"/>
    <x v="0"/>
    <x v="169"/>
    <n v="8119.9999999999991"/>
    <x v="0"/>
  </r>
  <r>
    <x v="0"/>
    <x v="4"/>
    <x v="0"/>
    <x v="0"/>
    <x v="2"/>
    <x v="1"/>
    <x v="0"/>
    <x v="70"/>
    <x v="169"/>
    <x v="43"/>
    <x v="0"/>
    <x v="43"/>
    <x v="11"/>
    <x v="10"/>
    <x v="0"/>
    <x v="66"/>
    <x v="2"/>
    <x v="0"/>
    <s v="MEDIA"/>
    <s v="MEDIA"/>
    <n v="64"/>
    <s v="cumple"/>
    <x v="1"/>
    <x v="0"/>
    <x v="169"/>
    <n v="8119.9999999999991"/>
    <x v="0"/>
  </r>
  <r>
    <x v="0"/>
    <x v="4"/>
    <x v="0"/>
    <x v="0"/>
    <x v="2"/>
    <x v="1"/>
    <x v="0"/>
    <x v="27"/>
    <x v="170"/>
    <x v="25"/>
    <x v="0"/>
    <x v="25"/>
    <x v="0"/>
    <x v="11"/>
    <x v="1"/>
    <x v="66"/>
    <x v="2"/>
    <x v="0"/>
    <s v="MEDIA"/>
    <s v="MEDIA"/>
    <n v="64"/>
    <s v="cumple"/>
    <x v="1"/>
    <x v="0"/>
    <x v="170"/>
    <n v="7307.9999999999991"/>
    <x v="0"/>
  </r>
  <r>
    <x v="0"/>
    <x v="4"/>
    <x v="0"/>
    <x v="0"/>
    <x v="2"/>
    <x v="1"/>
    <x v="0"/>
    <x v="27"/>
    <x v="170"/>
    <x v="26"/>
    <x v="0"/>
    <x v="26"/>
    <x v="0"/>
    <x v="11"/>
    <x v="1"/>
    <x v="66"/>
    <x v="2"/>
    <x v="0"/>
    <s v="MEDIA"/>
    <s v="MEDIA"/>
    <n v="64"/>
    <s v="cumple"/>
    <x v="1"/>
    <x v="0"/>
    <x v="170"/>
    <n v="7307.9999999999991"/>
    <x v="0"/>
  </r>
  <r>
    <x v="0"/>
    <x v="4"/>
    <x v="0"/>
    <x v="0"/>
    <x v="2"/>
    <x v="1"/>
    <x v="0"/>
    <x v="27"/>
    <x v="170"/>
    <x v="27"/>
    <x v="0"/>
    <x v="27"/>
    <x v="0"/>
    <x v="11"/>
    <x v="1"/>
    <x v="66"/>
    <x v="2"/>
    <x v="0"/>
    <s v="MEDIA"/>
    <s v="MEDIA"/>
    <n v="64"/>
    <s v="cumple"/>
    <x v="1"/>
    <x v="0"/>
    <x v="170"/>
    <n v="7307.9999999999991"/>
    <x v="0"/>
  </r>
  <r>
    <x v="0"/>
    <x v="4"/>
    <x v="0"/>
    <x v="0"/>
    <x v="2"/>
    <x v="1"/>
    <x v="0"/>
    <x v="27"/>
    <x v="170"/>
    <x v="28"/>
    <x v="0"/>
    <x v="28"/>
    <x v="0"/>
    <x v="11"/>
    <x v="0"/>
    <x v="66"/>
    <x v="2"/>
    <x v="0"/>
    <s v="MEDIA"/>
    <s v="MEDIA"/>
    <n v="64"/>
    <s v="cumple"/>
    <x v="1"/>
    <x v="0"/>
    <x v="170"/>
    <n v="7307.9999999999991"/>
    <x v="0"/>
  </r>
  <r>
    <x v="0"/>
    <x v="4"/>
    <x v="4"/>
    <x v="0"/>
    <x v="10"/>
    <x v="2"/>
    <x v="0"/>
    <x v="71"/>
    <x v="171"/>
    <x v="29"/>
    <x v="0"/>
    <x v="29"/>
    <x v="0"/>
    <x v="0"/>
    <x v="1"/>
    <x v="67"/>
    <x v="2"/>
    <x v="0"/>
    <s v="MEDIA"/>
    <s v="MEDIA"/>
    <n v="64"/>
    <s v="cumple"/>
    <x v="1"/>
    <x v="4"/>
    <x v="171"/>
    <n v="6496"/>
    <x v="0"/>
  </r>
  <r>
    <x v="0"/>
    <x v="4"/>
    <x v="4"/>
    <x v="0"/>
    <x v="10"/>
    <x v="2"/>
    <x v="0"/>
    <x v="71"/>
    <x v="171"/>
    <x v="30"/>
    <x v="0"/>
    <x v="30"/>
    <x v="0"/>
    <x v="0"/>
    <x v="1"/>
    <x v="67"/>
    <x v="2"/>
    <x v="0"/>
    <s v="MEDIA"/>
    <s v="MEDIA"/>
    <n v="64"/>
    <s v="cumple"/>
    <x v="1"/>
    <x v="4"/>
    <x v="171"/>
    <n v="6496"/>
    <x v="0"/>
  </r>
  <r>
    <x v="0"/>
    <x v="4"/>
    <x v="4"/>
    <x v="0"/>
    <x v="10"/>
    <x v="2"/>
    <x v="0"/>
    <x v="71"/>
    <x v="171"/>
    <x v="31"/>
    <x v="0"/>
    <x v="31"/>
    <x v="0"/>
    <x v="0"/>
    <x v="1"/>
    <x v="67"/>
    <x v="2"/>
    <x v="0"/>
    <s v="MEDIA"/>
    <s v="MEDIA"/>
    <n v="64"/>
    <s v="cumple"/>
    <x v="1"/>
    <x v="4"/>
    <x v="171"/>
    <n v="6496"/>
    <x v="0"/>
  </r>
  <r>
    <x v="0"/>
    <x v="4"/>
    <x v="4"/>
    <x v="0"/>
    <x v="10"/>
    <x v="2"/>
    <x v="0"/>
    <x v="71"/>
    <x v="171"/>
    <x v="32"/>
    <x v="0"/>
    <x v="32"/>
    <x v="0"/>
    <x v="0"/>
    <x v="1"/>
    <x v="67"/>
    <x v="2"/>
    <x v="0"/>
    <s v="MEDIA"/>
    <s v="MEDIA"/>
    <n v="64"/>
    <s v="cumple"/>
    <x v="1"/>
    <x v="4"/>
    <x v="171"/>
    <n v="6496"/>
    <x v="0"/>
  </r>
  <r>
    <x v="0"/>
    <x v="4"/>
    <x v="4"/>
    <x v="0"/>
    <x v="10"/>
    <x v="2"/>
    <x v="0"/>
    <x v="71"/>
    <x v="171"/>
    <x v="33"/>
    <x v="0"/>
    <x v="33"/>
    <x v="0"/>
    <x v="0"/>
    <x v="0"/>
    <x v="67"/>
    <x v="2"/>
    <x v="0"/>
    <s v="MEDIA"/>
    <s v="MEDIA"/>
    <n v="64"/>
    <s v="cumple"/>
    <x v="1"/>
    <x v="4"/>
    <x v="171"/>
    <n v="6496"/>
    <x v="0"/>
  </r>
  <r>
    <x v="0"/>
    <x v="4"/>
    <x v="0"/>
    <x v="0"/>
    <x v="2"/>
    <x v="1"/>
    <x v="0"/>
    <x v="27"/>
    <x v="172"/>
    <x v="34"/>
    <x v="0"/>
    <x v="34"/>
    <x v="0"/>
    <x v="0"/>
    <x v="1"/>
    <x v="66"/>
    <x v="2"/>
    <x v="0"/>
    <s v="MEDIA"/>
    <s v="MEDIA"/>
    <n v="64"/>
    <s v="cumple"/>
    <x v="1"/>
    <x v="0"/>
    <x v="172"/>
    <n v="6496"/>
    <x v="0"/>
  </r>
  <r>
    <x v="0"/>
    <x v="4"/>
    <x v="0"/>
    <x v="0"/>
    <x v="2"/>
    <x v="1"/>
    <x v="0"/>
    <x v="27"/>
    <x v="172"/>
    <x v="35"/>
    <x v="0"/>
    <x v="35"/>
    <x v="0"/>
    <x v="0"/>
    <x v="1"/>
    <x v="66"/>
    <x v="2"/>
    <x v="0"/>
    <s v="MEDIA"/>
    <s v="MEDIA"/>
    <n v="64"/>
    <s v="cumple"/>
    <x v="1"/>
    <x v="0"/>
    <x v="172"/>
    <n v="6496"/>
    <x v="0"/>
  </r>
  <r>
    <x v="0"/>
    <x v="4"/>
    <x v="0"/>
    <x v="0"/>
    <x v="2"/>
    <x v="1"/>
    <x v="0"/>
    <x v="27"/>
    <x v="172"/>
    <x v="36"/>
    <x v="0"/>
    <x v="36"/>
    <x v="0"/>
    <x v="0"/>
    <x v="1"/>
    <x v="66"/>
    <x v="2"/>
    <x v="0"/>
    <s v="MEDIA"/>
    <s v="MEDIA"/>
    <n v="64"/>
    <s v="cumple"/>
    <x v="1"/>
    <x v="0"/>
    <x v="172"/>
    <n v="6496"/>
    <x v="0"/>
  </r>
  <r>
    <x v="0"/>
    <x v="4"/>
    <x v="0"/>
    <x v="0"/>
    <x v="2"/>
    <x v="1"/>
    <x v="0"/>
    <x v="27"/>
    <x v="172"/>
    <x v="37"/>
    <x v="0"/>
    <x v="37"/>
    <x v="0"/>
    <x v="0"/>
    <x v="1"/>
    <x v="66"/>
    <x v="2"/>
    <x v="0"/>
    <s v="MEDIA"/>
    <s v="MEDIA"/>
    <n v="64"/>
    <s v="cumple"/>
    <x v="1"/>
    <x v="0"/>
    <x v="172"/>
    <n v="6496"/>
    <x v="0"/>
  </r>
  <r>
    <x v="0"/>
    <x v="4"/>
    <x v="0"/>
    <x v="0"/>
    <x v="2"/>
    <x v="1"/>
    <x v="0"/>
    <x v="27"/>
    <x v="172"/>
    <x v="38"/>
    <x v="0"/>
    <x v="38"/>
    <x v="0"/>
    <x v="0"/>
    <x v="0"/>
    <x v="66"/>
    <x v="2"/>
    <x v="0"/>
    <s v="MEDIA"/>
    <s v="MEDIA"/>
    <n v="64"/>
    <s v="cumple"/>
    <x v="1"/>
    <x v="0"/>
    <x v="172"/>
    <n v="6496"/>
    <x v="0"/>
  </r>
  <r>
    <x v="0"/>
    <x v="4"/>
    <x v="0"/>
    <x v="0"/>
    <x v="2"/>
    <x v="1"/>
    <x v="0"/>
    <x v="27"/>
    <x v="173"/>
    <x v="40"/>
    <x v="0"/>
    <x v="40"/>
    <x v="0"/>
    <x v="11"/>
    <x v="1"/>
    <x v="66"/>
    <x v="2"/>
    <x v="0"/>
    <s v="MEDIA"/>
    <s v="MEDIA"/>
    <n v="64"/>
    <s v="cumple"/>
    <x v="1"/>
    <x v="0"/>
    <x v="173"/>
    <n v="7307.9999999999991"/>
    <x v="0"/>
  </r>
  <r>
    <x v="0"/>
    <x v="4"/>
    <x v="0"/>
    <x v="0"/>
    <x v="2"/>
    <x v="1"/>
    <x v="0"/>
    <x v="27"/>
    <x v="173"/>
    <x v="39"/>
    <x v="0"/>
    <x v="39"/>
    <x v="0"/>
    <x v="11"/>
    <x v="0"/>
    <x v="66"/>
    <x v="2"/>
    <x v="0"/>
    <s v="MEDIA"/>
    <s v="MEDIA"/>
    <n v="64"/>
    <s v="cumple"/>
    <x v="1"/>
    <x v="0"/>
    <x v="173"/>
    <n v="7307.9999999999991"/>
    <x v="0"/>
  </r>
  <r>
    <x v="0"/>
    <x v="1"/>
    <x v="0"/>
    <x v="0"/>
    <x v="2"/>
    <x v="1"/>
    <x v="0"/>
    <x v="72"/>
    <x v="174"/>
    <x v="44"/>
    <x v="0"/>
    <x v="44"/>
    <x v="0"/>
    <x v="0"/>
    <x v="0"/>
    <x v="66"/>
    <x v="2"/>
    <x v="0"/>
    <s v="MEDIA"/>
    <s v="MEDIA"/>
    <n v="64"/>
    <s v="cumple"/>
    <x v="2"/>
    <x v="0"/>
    <x v="174"/>
    <n v="6496"/>
    <x v="0"/>
  </r>
  <r>
    <x v="0"/>
    <x v="1"/>
    <x v="0"/>
    <x v="0"/>
    <x v="2"/>
    <x v="1"/>
    <x v="0"/>
    <x v="73"/>
    <x v="175"/>
    <x v="45"/>
    <x v="0"/>
    <x v="45"/>
    <x v="0"/>
    <x v="0"/>
    <x v="0"/>
    <x v="66"/>
    <x v="2"/>
    <x v="0"/>
    <s v="MEDIA"/>
    <s v="MEDIA"/>
    <n v="64"/>
    <s v="cumple"/>
    <x v="2"/>
    <x v="0"/>
    <x v="175"/>
    <n v="6496"/>
    <x v="0"/>
  </r>
  <r>
    <x v="0"/>
    <x v="1"/>
    <x v="0"/>
    <x v="0"/>
    <x v="2"/>
    <x v="1"/>
    <x v="0"/>
    <x v="74"/>
    <x v="176"/>
    <x v="46"/>
    <x v="0"/>
    <x v="46"/>
    <x v="0"/>
    <x v="0"/>
    <x v="0"/>
    <x v="66"/>
    <x v="2"/>
    <x v="0"/>
    <s v="MEDIA"/>
    <s v="MEDIA"/>
    <n v="64"/>
    <s v="cumple"/>
    <x v="2"/>
    <x v="0"/>
    <x v="176"/>
    <n v="6496"/>
    <x v="0"/>
  </r>
  <r>
    <x v="0"/>
    <x v="1"/>
    <x v="0"/>
    <x v="0"/>
    <x v="2"/>
    <x v="1"/>
    <x v="0"/>
    <x v="74"/>
    <x v="177"/>
    <x v="47"/>
    <x v="0"/>
    <x v="47"/>
    <x v="0"/>
    <x v="0"/>
    <x v="0"/>
    <x v="66"/>
    <x v="2"/>
    <x v="0"/>
    <s v="MEDIA"/>
    <s v="MEDIA"/>
    <n v="64"/>
    <s v="cumple"/>
    <x v="2"/>
    <x v="0"/>
    <x v="177"/>
    <n v="6496"/>
    <x v="0"/>
  </r>
  <r>
    <x v="0"/>
    <x v="1"/>
    <x v="0"/>
    <x v="0"/>
    <x v="2"/>
    <x v="1"/>
    <x v="0"/>
    <x v="74"/>
    <x v="177"/>
    <x v="48"/>
    <x v="0"/>
    <x v="48"/>
    <x v="0"/>
    <x v="0"/>
    <x v="0"/>
    <x v="66"/>
    <x v="2"/>
    <x v="0"/>
    <s v="MEDIA"/>
    <s v="MEDIA"/>
    <n v="64"/>
    <s v="cumple"/>
    <x v="2"/>
    <x v="0"/>
    <x v="177"/>
    <n v="6496"/>
    <x v="0"/>
  </r>
  <r>
    <x v="0"/>
    <x v="1"/>
    <x v="4"/>
    <x v="0"/>
    <x v="11"/>
    <x v="2"/>
    <x v="0"/>
    <x v="75"/>
    <x v="178"/>
    <x v="49"/>
    <x v="0"/>
    <x v="49"/>
    <x v="0"/>
    <x v="0"/>
    <x v="1"/>
    <x v="68"/>
    <x v="2"/>
    <x v="0"/>
    <s v="MEDIA"/>
    <s v="MEDIA"/>
    <n v="64"/>
    <s v="cumple"/>
    <x v="2"/>
    <x v="4"/>
    <x v="178"/>
    <n v="6496"/>
    <x v="0"/>
  </r>
  <r>
    <x v="0"/>
    <x v="1"/>
    <x v="4"/>
    <x v="0"/>
    <x v="11"/>
    <x v="2"/>
    <x v="0"/>
    <x v="76"/>
    <x v="179"/>
    <x v="50"/>
    <x v="0"/>
    <x v="50"/>
    <x v="0"/>
    <x v="0"/>
    <x v="1"/>
    <x v="68"/>
    <x v="2"/>
    <x v="0"/>
    <s v="MEDIA"/>
    <s v="MEDIA"/>
    <n v="64"/>
    <s v="cumple"/>
    <x v="2"/>
    <x v="4"/>
    <x v="179"/>
    <n v="6496"/>
    <x v="0"/>
  </r>
  <r>
    <x v="0"/>
    <x v="1"/>
    <x v="4"/>
    <x v="0"/>
    <x v="11"/>
    <x v="1"/>
    <x v="0"/>
    <x v="77"/>
    <x v="180"/>
    <x v="51"/>
    <x v="0"/>
    <x v="51"/>
    <x v="0"/>
    <x v="0"/>
    <x v="0"/>
    <x v="68"/>
    <x v="2"/>
    <x v="0"/>
    <s v="MEDIA"/>
    <s v="MEDIA"/>
    <n v="64"/>
    <s v="cumple"/>
    <x v="2"/>
    <x v="4"/>
    <x v="180"/>
    <n v="6496"/>
    <x v="0"/>
  </r>
  <r>
    <x v="0"/>
    <x v="1"/>
    <x v="4"/>
    <x v="0"/>
    <x v="11"/>
    <x v="1"/>
    <x v="0"/>
    <x v="78"/>
    <x v="181"/>
    <x v="52"/>
    <x v="0"/>
    <x v="52"/>
    <x v="0"/>
    <x v="0"/>
    <x v="0"/>
    <x v="68"/>
    <x v="2"/>
    <x v="0"/>
    <s v="MEDIA"/>
    <s v="MEDIA"/>
    <n v="64"/>
    <s v="cumple"/>
    <x v="2"/>
    <x v="4"/>
    <x v="181"/>
    <n v="6496"/>
    <x v="0"/>
  </r>
  <r>
    <x v="0"/>
    <x v="1"/>
    <x v="4"/>
    <x v="0"/>
    <x v="11"/>
    <x v="1"/>
    <x v="0"/>
    <x v="79"/>
    <x v="182"/>
    <x v="53"/>
    <x v="0"/>
    <x v="53"/>
    <x v="0"/>
    <x v="0"/>
    <x v="0"/>
    <x v="67"/>
    <x v="2"/>
    <x v="0"/>
    <s v="MEDIA"/>
    <s v="MEDIA"/>
    <n v="64"/>
    <s v="cumple"/>
    <x v="2"/>
    <x v="4"/>
    <x v="182"/>
    <n v="6496"/>
    <x v="0"/>
  </r>
  <r>
    <x v="0"/>
    <x v="1"/>
    <x v="4"/>
    <x v="0"/>
    <x v="11"/>
    <x v="1"/>
    <x v="0"/>
    <x v="80"/>
    <x v="183"/>
    <x v="54"/>
    <x v="0"/>
    <x v="54"/>
    <x v="0"/>
    <x v="0"/>
    <x v="0"/>
    <x v="67"/>
    <x v="2"/>
    <x v="0"/>
    <s v="MEDIA"/>
    <s v="MEDIA"/>
    <n v="64"/>
    <s v="cumple"/>
    <x v="2"/>
    <x v="4"/>
    <x v="183"/>
    <n v="6496"/>
    <x v="0"/>
  </r>
  <r>
    <x v="0"/>
    <x v="1"/>
    <x v="4"/>
    <x v="0"/>
    <x v="11"/>
    <x v="1"/>
    <x v="0"/>
    <x v="81"/>
    <x v="184"/>
    <x v="55"/>
    <x v="0"/>
    <x v="55"/>
    <x v="0"/>
    <x v="0"/>
    <x v="0"/>
    <x v="67"/>
    <x v="2"/>
    <x v="0"/>
    <s v="MEDIA"/>
    <s v="MEDIA"/>
    <n v="64"/>
    <s v="cumple"/>
    <x v="2"/>
    <x v="4"/>
    <x v="184"/>
    <n v="6496"/>
    <x v="0"/>
  </r>
  <r>
    <x v="0"/>
    <x v="1"/>
    <x v="4"/>
    <x v="0"/>
    <x v="11"/>
    <x v="1"/>
    <x v="0"/>
    <x v="82"/>
    <x v="185"/>
    <x v="56"/>
    <x v="0"/>
    <x v="56"/>
    <x v="0"/>
    <x v="0"/>
    <x v="0"/>
    <x v="67"/>
    <x v="2"/>
    <x v="0"/>
    <s v="MEDIA"/>
    <s v="MEDIA"/>
    <n v="64"/>
    <s v="cumple"/>
    <x v="2"/>
    <x v="4"/>
    <x v="185"/>
    <n v="6496"/>
    <x v="0"/>
  </r>
  <r>
    <x v="0"/>
    <x v="1"/>
    <x v="4"/>
    <x v="0"/>
    <x v="11"/>
    <x v="1"/>
    <x v="0"/>
    <x v="82"/>
    <x v="185"/>
    <x v="57"/>
    <x v="0"/>
    <x v="57"/>
    <x v="0"/>
    <x v="0"/>
    <x v="0"/>
    <x v="67"/>
    <x v="2"/>
    <x v="0"/>
    <s v="MEDIA"/>
    <s v="MEDIA"/>
    <n v="64"/>
    <s v="cumple"/>
    <x v="2"/>
    <x v="4"/>
    <x v="185"/>
    <n v="6496"/>
    <x v="0"/>
  </r>
  <r>
    <x v="0"/>
    <x v="1"/>
    <x v="4"/>
    <x v="0"/>
    <x v="2"/>
    <x v="1"/>
    <x v="0"/>
    <x v="83"/>
    <x v="186"/>
    <x v="58"/>
    <x v="0"/>
    <x v="58"/>
    <x v="0"/>
    <x v="0"/>
    <x v="0"/>
    <x v="66"/>
    <x v="2"/>
    <x v="0"/>
    <s v="MEDIA"/>
    <s v="MEDIA"/>
    <n v="64"/>
    <s v="cumple"/>
    <x v="2"/>
    <x v="4"/>
    <x v="186"/>
    <n v="6496"/>
    <x v="0"/>
  </r>
  <r>
    <x v="0"/>
    <x v="1"/>
    <x v="4"/>
    <x v="0"/>
    <x v="11"/>
    <x v="1"/>
    <x v="0"/>
    <x v="84"/>
    <x v="187"/>
    <x v="59"/>
    <x v="0"/>
    <x v="59"/>
    <x v="0"/>
    <x v="0"/>
    <x v="0"/>
    <x v="67"/>
    <x v="2"/>
    <x v="0"/>
    <s v="MEDIA"/>
    <s v="MEDIA"/>
    <n v="64"/>
    <s v="cumple"/>
    <x v="2"/>
    <x v="4"/>
    <x v="187"/>
    <n v="6496"/>
    <x v="0"/>
  </r>
  <r>
    <x v="0"/>
    <x v="1"/>
    <x v="4"/>
    <x v="0"/>
    <x v="11"/>
    <x v="1"/>
    <x v="0"/>
    <x v="82"/>
    <x v="185"/>
    <x v="60"/>
    <x v="0"/>
    <x v="60"/>
    <x v="0"/>
    <x v="0"/>
    <x v="0"/>
    <x v="67"/>
    <x v="2"/>
    <x v="0"/>
    <s v="MEDIA"/>
    <s v="MEDIA"/>
    <n v="64"/>
    <s v="cumple"/>
    <x v="2"/>
    <x v="4"/>
    <x v="185"/>
    <n v="6496"/>
    <x v="0"/>
  </r>
  <r>
    <x v="0"/>
    <x v="1"/>
    <x v="4"/>
    <x v="0"/>
    <x v="11"/>
    <x v="1"/>
    <x v="0"/>
    <x v="82"/>
    <x v="185"/>
    <x v="61"/>
    <x v="0"/>
    <x v="61"/>
    <x v="0"/>
    <x v="0"/>
    <x v="0"/>
    <x v="67"/>
    <x v="2"/>
    <x v="0"/>
    <s v="MEDIA"/>
    <s v="MEDIA"/>
    <n v="64"/>
    <s v="cumple"/>
    <x v="2"/>
    <x v="4"/>
    <x v="185"/>
    <n v="6496"/>
    <x v="0"/>
  </r>
  <r>
    <x v="0"/>
    <x v="1"/>
    <x v="4"/>
    <x v="0"/>
    <x v="11"/>
    <x v="1"/>
    <x v="0"/>
    <x v="82"/>
    <x v="185"/>
    <x v="62"/>
    <x v="0"/>
    <x v="62"/>
    <x v="0"/>
    <x v="0"/>
    <x v="0"/>
    <x v="67"/>
    <x v="2"/>
    <x v="0"/>
    <s v="MEDIA"/>
    <s v="MEDIA"/>
    <n v="64"/>
    <s v="cumple"/>
    <x v="2"/>
    <x v="4"/>
    <x v="185"/>
    <n v="6496"/>
    <x v="0"/>
  </r>
  <r>
    <x v="0"/>
    <x v="1"/>
    <x v="4"/>
    <x v="0"/>
    <x v="11"/>
    <x v="1"/>
    <x v="0"/>
    <x v="82"/>
    <x v="185"/>
    <x v="63"/>
    <x v="0"/>
    <x v="63"/>
    <x v="0"/>
    <x v="0"/>
    <x v="0"/>
    <x v="67"/>
    <x v="2"/>
    <x v="0"/>
    <s v="MEDIA"/>
    <s v="MEDIA"/>
    <n v="64"/>
    <s v="cumple"/>
    <x v="2"/>
    <x v="4"/>
    <x v="185"/>
    <n v="6496"/>
    <x v="0"/>
  </r>
  <r>
    <x v="0"/>
    <x v="1"/>
    <x v="0"/>
    <x v="0"/>
    <x v="2"/>
    <x v="1"/>
    <x v="0"/>
    <x v="85"/>
    <x v="188"/>
    <x v="64"/>
    <x v="0"/>
    <x v="64"/>
    <x v="0"/>
    <x v="0"/>
    <x v="0"/>
    <x v="66"/>
    <x v="2"/>
    <x v="0"/>
    <s v="MEDIA"/>
    <s v="MEDIA"/>
    <n v="64"/>
    <s v="cumple"/>
    <x v="2"/>
    <x v="0"/>
    <x v="188"/>
    <n v="6496"/>
    <x v="0"/>
  </r>
  <r>
    <x v="0"/>
    <x v="1"/>
    <x v="4"/>
    <x v="0"/>
    <x v="11"/>
    <x v="1"/>
    <x v="0"/>
    <x v="86"/>
    <x v="189"/>
    <x v="65"/>
    <x v="0"/>
    <x v="65"/>
    <x v="0"/>
    <x v="0"/>
    <x v="0"/>
    <x v="67"/>
    <x v="2"/>
    <x v="0"/>
    <s v="MEDIA"/>
    <s v="MEDIA"/>
    <n v="64"/>
    <s v="cumple"/>
    <x v="2"/>
    <x v="4"/>
    <x v="189"/>
    <n v="6496"/>
    <x v="0"/>
  </r>
  <r>
    <x v="3"/>
    <x v="3"/>
    <x v="4"/>
    <x v="0"/>
    <x v="8"/>
    <x v="4"/>
    <x v="0"/>
    <x v="87"/>
    <x v="190"/>
    <x v="44"/>
    <x v="0"/>
    <x v="44"/>
    <x v="5"/>
    <x v="7"/>
    <x v="0"/>
    <x v="37"/>
    <x v="8"/>
    <x v="3"/>
    <s v="MEDIA"/>
    <s v="MEDIA"/>
    <n v="64"/>
    <s v="cumple"/>
    <x v="2"/>
    <x v="4"/>
    <x v="190"/>
    <n v="1855.9999999999998"/>
    <x v="0"/>
  </r>
  <r>
    <x v="3"/>
    <x v="3"/>
    <x v="4"/>
    <x v="0"/>
    <x v="8"/>
    <x v="4"/>
    <x v="0"/>
    <x v="87"/>
    <x v="191"/>
    <x v="44"/>
    <x v="3"/>
    <x v="44"/>
    <x v="2"/>
    <x v="4"/>
    <x v="0"/>
    <x v="37"/>
    <x v="8"/>
    <x v="3"/>
    <s v="MEDIA"/>
    <s v="MEDIA"/>
    <n v="64"/>
    <s v="cumple"/>
    <x v="2"/>
    <x v="4"/>
    <x v="191"/>
    <n v="927.99999999999989"/>
    <x v="0"/>
  </r>
  <r>
    <x v="3"/>
    <x v="3"/>
    <x v="4"/>
    <x v="0"/>
    <x v="8"/>
    <x v="4"/>
    <x v="0"/>
    <x v="87"/>
    <x v="192"/>
    <x v="44"/>
    <x v="2"/>
    <x v="44"/>
    <x v="0"/>
    <x v="4"/>
    <x v="0"/>
    <x v="37"/>
    <x v="8"/>
    <x v="3"/>
    <s v="MEDIA"/>
    <s v="MEDIA"/>
    <n v="64"/>
    <s v="cumple"/>
    <x v="2"/>
    <x v="4"/>
    <x v="192"/>
    <n v="927.99999999999989"/>
    <x v="0"/>
  </r>
  <r>
    <x v="3"/>
    <x v="3"/>
    <x v="4"/>
    <x v="0"/>
    <x v="8"/>
    <x v="4"/>
    <x v="0"/>
    <x v="87"/>
    <x v="193"/>
    <x v="45"/>
    <x v="0"/>
    <x v="45"/>
    <x v="0"/>
    <x v="0"/>
    <x v="0"/>
    <x v="37"/>
    <x v="8"/>
    <x v="3"/>
    <s v="MEDIA"/>
    <s v="MEDIA"/>
    <n v="64"/>
    <s v="cumple"/>
    <x v="2"/>
    <x v="4"/>
    <x v="193"/>
    <n v="3711.9999999999995"/>
    <x v="0"/>
  </r>
  <r>
    <x v="3"/>
    <x v="3"/>
    <x v="4"/>
    <x v="0"/>
    <x v="8"/>
    <x v="4"/>
    <x v="0"/>
    <x v="87"/>
    <x v="194"/>
    <x v="46"/>
    <x v="0"/>
    <x v="46"/>
    <x v="3"/>
    <x v="4"/>
    <x v="0"/>
    <x v="37"/>
    <x v="8"/>
    <x v="3"/>
    <s v="MEDIA"/>
    <s v="MEDIA"/>
    <n v="64"/>
    <s v="cumple"/>
    <x v="2"/>
    <x v="4"/>
    <x v="194"/>
    <n v="927.99999999999989"/>
    <x v="0"/>
  </r>
  <r>
    <x v="3"/>
    <x v="3"/>
    <x v="4"/>
    <x v="0"/>
    <x v="8"/>
    <x v="4"/>
    <x v="0"/>
    <x v="87"/>
    <x v="195"/>
    <x v="46"/>
    <x v="4"/>
    <x v="46"/>
    <x v="5"/>
    <x v="4"/>
    <x v="0"/>
    <x v="37"/>
    <x v="8"/>
    <x v="3"/>
    <s v="MEDIA"/>
    <s v="MEDIA"/>
    <n v="64"/>
    <s v="cumple"/>
    <x v="2"/>
    <x v="4"/>
    <x v="195"/>
    <n v="927.99999999999989"/>
    <x v="0"/>
  </r>
  <r>
    <x v="3"/>
    <x v="3"/>
    <x v="4"/>
    <x v="0"/>
    <x v="8"/>
    <x v="4"/>
    <x v="0"/>
    <x v="87"/>
    <x v="196"/>
    <x v="46"/>
    <x v="3"/>
    <x v="46"/>
    <x v="0"/>
    <x v="7"/>
    <x v="0"/>
    <x v="37"/>
    <x v="8"/>
    <x v="3"/>
    <s v="MEDIA"/>
    <s v="MEDIA"/>
    <n v="64"/>
    <s v="cumple"/>
    <x v="2"/>
    <x v="4"/>
    <x v="196"/>
    <n v="1855.9999999999998"/>
    <x v="0"/>
  </r>
  <r>
    <x v="3"/>
    <x v="3"/>
    <x v="4"/>
    <x v="0"/>
    <x v="8"/>
    <x v="4"/>
    <x v="0"/>
    <x v="87"/>
    <x v="197"/>
    <x v="47"/>
    <x v="0"/>
    <x v="47"/>
    <x v="5"/>
    <x v="7"/>
    <x v="0"/>
    <x v="37"/>
    <x v="8"/>
    <x v="3"/>
    <s v="MEDIA"/>
    <s v="MEDIA"/>
    <n v="64"/>
    <s v="cumple"/>
    <x v="2"/>
    <x v="4"/>
    <x v="197"/>
    <n v="1855.9999999999998"/>
    <x v="0"/>
  </r>
  <r>
    <x v="3"/>
    <x v="3"/>
    <x v="4"/>
    <x v="0"/>
    <x v="8"/>
    <x v="4"/>
    <x v="0"/>
    <x v="87"/>
    <x v="198"/>
    <x v="47"/>
    <x v="3"/>
    <x v="47"/>
    <x v="0"/>
    <x v="7"/>
    <x v="0"/>
    <x v="37"/>
    <x v="8"/>
    <x v="3"/>
    <s v="MEDIA"/>
    <s v="MEDIA"/>
    <n v="64"/>
    <s v="cumple"/>
    <x v="2"/>
    <x v="4"/>
    <x v="198"/>
    <n v="1855.9999999999998"/>
    <x v="0"/>
  </r>
  <r>
    <x v="3"/>
    <x v="3"/>
    <x v="4"/>
    <x v="0"/>
    <x v="8"/>
    <x v="4"/>
    <x v="0"/>
    <x v="87"/>
    <x v="198"/>
    <x v="48"/>
    <x v="0"/>
    <x v="48"/>
    <x v="0"/>
    <x v="0"/>
    <x v="0"/>
    <x v="37"/>
    <x v="8"/>
    <x v="3"/>
    <s v="MEDIA"/>
    <s v="MEDIA"/>
    <n v="64"/>
    <s v="cumple"/>
    <x v="2"/>
    <x v="4"/>
    <x v="198"/>
    <n v="3711.9999999999995"/>
    <x v="0"/>
  </r>
  <r>
    <x v="3"/>
    <x v="3"/>
    <x v="4"/>
    <x v="0"/>
    <x v="8"/>
    <x v="4"/>
    <x v="0"/>
    <x v="87"/>
    <x v="199"/>
    <x v="49"/>
    <x v="0"/>
    <x v="49"/>
    <x v="5"/>
    <x v="7"/>
    <x v="0"/>
    <x v="37"/>
    <x v="8"/>
    <x v="3"/>
    <s v="MEDIA"/>
    <s v="MEDIA"/>
    <n v="64"/>
    <s v="cumple"/>
    <x v="2"/>
    <x v="4"/>
    <x v="199"/>
    <n v="1855.9999999999998"/>
    <x v="0"/>
  </r>
  <r>
    <x v="3"/>
    <x v="3"/>
    <x v="4"/>
    <x v="0"/>
    <x v="8"/>
    <x v="4"/>
    <x v="0"/>
    <x v="87"/>
    <x v="200"/>
    <x v="49"/>
    <x v="3"/>
    <x v="49"/>
    <x v="9"/>
    <x v="2"/>
    <x v="0"/>
    <x v="37"/>
    <x v="8"/>
    <x v="3"/>
    <s v="MEDIA"/>
    <s v="MEDIA"/>
    <n v="64"/>
    <s v="cumple"/>
    <x v="2"/>
    <x v="4"/>
    <x v="200"/>
    <n v="463.99999999999994"/>
    <x v="0"/>
  </r>
  <r>
    <x v="3"/>
    <x v="3"/>
    <x v="4"/>
    <x v="0"/>
    <x v="8"/>
    <x v="4"/>
    <x v="0"/>
    <x v="87"/>
    <x v="201"/>
    <x v="49"/>
    <x v="7"/>
    <x v="49"/>
    <x v="2"/>
    <x v="2"/>
    <x v="0"/>
    <x v="37"/>
    <x v="8"/>
    <x v="3"/>
    <s v="MEDIA"/>
    <s v="MEDIA"/>
    <n v="64"/>
    <s v="cumple"/>
    <x v="2"/>
    <x v="4"/>
    <x v="201"/>
    <n v="463.99999999999994"/>
    <x v="0"/>
  </r>
  <r>
    <x v="3"/>
    <x v="3"/>
    <x v="4"/>
    <x v="0"/>
    <x v="8"/>
    <x v="4"/>
    <x v="0"/>
    <x v="88"/>
    <x v="202"/>
    <x v="49"/>
    <x v="2"/>
    <x v="49"/>
    <x v="0"/>
    <x v="4"/>
    <x v="0"/>
    <x v="37"/>
    <x v="8"/>
    <x v="3"/>
    <s v="MEDIA"/>
    <s v="MEDIA"/>
    <n v="64"/>
    <s v="cumple"/>
    <x v="2"/>
    <x v="4"/>
    <x v="202"/>
    <n v="927.99999999999989"/>
    <x v="0"/>
  </r>
  <r>
    <x v="2"/>
    <x v="6"/>
    <x v="1"/>
    <x v="0"/>
    <x v="12"/>
    <x v="7"/>
    <x v="0"/>
    <x v="89"/>
    <x v="203"/>
    <x v="44"/>
    <x v="0"/>
    <x v="44"/>
    <x v="0"/>
    <x v="11"/>
    <x v="0"/>
    <x v="62"/>
    <x v="1"/>
    <x v="0"/>
    <s v="MEDIA"/>
    <s v="MEDIA"/>
    <n v="64"/>
    <s v="cumple"/>
    <x v="2"/>
    <x v="1"/>
    <x v="203"/>
    <n v="7307.9999999999991"/>
    <x v="0"/>
  </r>
  <r>
    <x v="2"/>
    <x v="6"/>
    <x v="1"/>
    <x v="0"/>
    <x v="12"/>
    <x v="7"/>
    <x v="0"/>
    <x v="89"/>
    <x v="204"/>
    <x v="45"/>
    <x v="0"/>
    <x v="45"/>
    <x v="0"/>
    <x v="0"/>
    <x v="0"/>
    <x v="62"/>
    <x v="1"/>
    <x v="0"/>
    <s v="MEDIA"/>
    <s v="MEDIA"/>
    <n v="64"/>
    <s v="cumple"/>
    <x v="2"/>
    <x v="1"/>
    <x v="204"/>
    <n v="6496"/>
    <x v="0"/>
  </r>
  <r>
    <x v="2"/>
    <x v="6"/>
    <x v="1"/>
    <x v="0"/>
    <x v="12"/>
    <x v="7"/>
    <x v="0"/>
    <x v="89"/>
    <x v="205"/>
    <x v="46"/>
    <x v="0"/>
    <x v="46"/>
    <x v="0"/>
    <x v="0"/>
    <x v="0"/>
    <x v="62"/>
    <x v="1"/>
    <x v="0"/>
    <s v="MEDIA"/>
    <s v="MEDIA"/>
    <n v="64"/>
    <s v="cumple"/>
    <x v="2"/>
    <x v="1"/>
    <x v="205"/>
    <n v="6496"/>
    <x v="0"/>
  </r>
  <r>
    <x v="2"/>
    <x v="6"/>
    <x v="1"/>
    <x v="0"/>
    <x v="12"/>
    <x v="7"/>
    <x v="0"/>
    <x v="90"/>
    <x v="206"/>
    <x v="47"/>
    <x v="0"/>
    <x v="47"/>
    <x v="0"/>
    <x v="0"/>
    <x v="0"/>
    <x v="62"/>
    <x v="1"/>
    <x v="0"/>
    <s v="MEDIA"/>
    <s v="MEDIA"/>
    <n v="64"/>
    <s v="cumple"/>
    <x v="2"/>
    <x v="1"/>
    <x v="206"/>
    <n v="6496"/>
    <x v="0"/>
  </r>
  <r>
    <x v="1"/>
    <x v="0"/>
    <x v="4"/>
    <x v="0"/>
    <x v="13"/>
    <x v="2"/>
    <x v="0"/>
    <x v="90"/>
    <x v="207"/>
    <x v="48"/>
    <x v="0"/>
    <x v="48"/>
    <x v="0"/>
    <x v="0"/>
    <x v="0"/>
    <x v="62"/>
    <x v="1"/>
    <x v="0"/>
    <s v="MEDIA"/>
    <s v="MEDIA"/>
    <n v="64"/>
    <s v="cumple"/>
    <x v="2"/>
    <x v="4"/>
    <x v="207"/>
    <n v="6496"/>
    <x v="0"/>
  </r>
  <r>
    <x v="1"/>
    <x v="0"/>
    <x v="4"/>
    <x v="0"/>
    <x v="13"/>
    <x v="2"/>
    <x v="0"/>
    <x v="91"/>
    <x v="208"/>
    <x v="49"/>
    <x v="0"/>
    <x v="49"/>
    <x v="0"/>
    <x v="0"/>
    <x v="0"/>
    <x v="69"/>
    <x v="1"/>
    <x v="0"/>
    <s v="MEDIA"/>
    <s v="MEDIA"/>
    <n v="64"/>
    <s v="cumple"/>
    <x v="2"/>
    <x v="4"/>
    <x v="208"/>
    <n v="6496"/>
    <x v="0"/>
  </r>
  <r>
    <x v="1"/>
    <x v="0"/>
    <x v="4"/>
    <x v="0"/>
    <x v="13"/>
    <x v="2"/>
    <x v="0"/>
    <x v="91"/>
    <x v="209"/>
    <x v="50"/>
    <x v="0"/>
    <x v="50"/>
    <x v="0"/>
    <x v="0"/>
    <x v="0"/>
    <x v="69"/>
    <x v="1"/>
    <x v="0"/>
    <s v="MEDIA"/>
    <s v="MEDIA"/>
    <n v="64"/>
    <s v="cumple"/>
    <x v="2"/>
    <x v="4"/>
    <x v="209"/>
    <n v="6496"/>
    <x v="0"/>
  </r>
  <r>
    <x v="1"/>
    <x v="0"/>
    <x v="4"/>
    <x v="0"/>
    <x v="13"/>
    <x v="2"/>
    <x v="0"/>
    <x v="91"/>
    <x v="210"/>
    <x v="51"/>
    <x v="0"/>
    <x v="51"/>
    <x v="7"/>
    <x v="3"/>
    <x v="0"/>
    <x v="69"/>
    <x v="1"/>
    <x v="0"/>
    <s v="MEDIA"/>
    <s v="MEDIA"/>
    <n v="64"/>
    <s v="cumple"/>
    <x v="2"/>
    <x v="4"/>
    <x v="210"/>
    <n v="4872"/>
    <x v="0"/>
  </r>
  <r>
    <x v="1"/>
    <x v="0"/>
    <x v="4"/>
    <x v="0"/>
    <x v="13"/>
    <x v="2"/>
    <x v="0"/>
    <x v="92"/>
    <x v="211"/>
    <x v="52"/>
    <x v="0"/>
    <x v="52"/>
    <x v="3"/>
    <x v="4"/>
    <x v="0"/>
    <x v="69"/>
    <x v="1"/>
    <x v="0"/>
    <s v="MEDIA"/>
    <s v="MEDIA"/>
    <n v="64"/>
    <s v="cumple"/>
    <x v="2"/>
    <x v="4"/>
    <x v="211"/>
    <n v="1624"/>
    <x v="0"/>
  </r>
  <r>
    <x v="1"/>
    <x v="0"/>
    <x v="4"/>
    <x v="0"/>
    <x v="13"/>
    <x v="2"/>
    <x v="0"/>
    <x v="93"/>
    <x v="212"/>
    <x v="52"/>
    <x v="4"/>
    <x v="52"/>
    <x v="0"/>
    <x v="3"/>
    <x v="0"/>
    <x v="69"/>
    <x v="1"/>
    <x v="0"/>
    <s v="MEDIA"/>
    <s v="MEDIA"/>
    <n v="64"/>
    <s v="cumple"/>
    <x v="2"/>
    <x v="4"/>
    <x v="212"/>
    <n v="4872"/>
    <x v="0"/>
  </r>
  <r>
    <x v="1"/>
    <x v="0"/>
    <x v="4"/>
    <x v="0"/>
    <x v="13"/>
    <x v="2"/>
    <x v="0"/>
    <x v="94"/>
    <x v="213"/>
    <x v="53"/>
    <x v="0"/>
    <x v="53"/>
    <x v="8"/>
    <x v="2"/>
    <x v="0"/>
    <x v="69"/>
    <x v="1"/>
    <x v="0"/>
    <s v="MEDIA"/>
    <s v="MEDIA"/>
    <n v="64"/>
    <s v="cumple"/>
    <x v="2"/>
    <x v="4"/>
    <x v="213"/>
    <n v="812"/>
    <x v="0"/>
  </r>
  <r>
    <x v="0"/>
    <x v="3"/>
    <x v="4"/>
    <x v="0"/>
    <x v="13"/>
    <x v="4"/>
    <x v="0"/>
    <x v="95"/>
    <x v="214"/>
    <x v="53"/>
    <x v="8"/>
    <x v="53"/>
    <x v="0"/>
    <x v="0"/>
    <x v="0"/>
    <x v="69"/>
    <x v="1"/>
    <x v="0"/>
    <s v="MEDIA"/>
    <s v="MEDIA"/>
    <n v="64"/>
    <s v="cumple"/>
    <x v="2"/>
    <x v="4"/>
    <x v="214"/>
    <n v="6496"/>
    <x v="0"/>
  </r>
  <r>
    <x v="0"/>
    <x v="3"/>
    <x v="4"/>
    <x v="0"/>
    <x v="13"/>
    <x v="4"/>
    <x v="0"/>
    <x v="96"/>
    <x v="215"/>
    <x v="54"/>
    <x v="0"/>
    <x v="54"/>
    <x v="0"/>
    <x v="11"/>
    <x v="1"/>
    <x v="69"/>
    <x v="1"/>
    <x v="0"/>
    <s v="MEDIA"/>
    <s v="MEDIA"/>
    <n v="64"/>
    <s v="cumple"/>
    <x v="2"/>
    <x v="4"/>
    <x v="215"/>
    <n v="7307.9999999999991"/>
    <x v="0"/>
  </r>
  <r>
    <x v="0"/>
    <x v="3"/>
    <x v="4"/>
    <x v="0"/>
    <x v="13"/>
    <x v="4"/>
    <x v="0"/>
    <x v="96"/>
    <x v="215"/>
    <x v="55"/>
    <x v="0"/>
    <x v="55"/>
    <x v="0"/>
    <x v="11"/>
    <x v="0"/>
    <x v="69"/>
    <x v="1"/>
    <x v="0"/>
    <s v="MEDIA"/>
    <s v="MEDIA"/>
    <n v="64"/>
    <s v="cumple"/>
    <x v="2"/>
    <x v="4"/>
    <x v="215"/>
    <n v="7307.9999999999991"/>
    <x v="0"/>
  </r>
  <r>
    <x v="0"/>
    <x v="3"/>
    <x v="4"/>
    <x v="0"/>
    <x v="13"/>
    <x v="4"/>
    <x v="0"/>
    <x v="97"/>
    <x v="216"/>
    <x v="56"/>
    <x v="0"/>
    <x v="56"/>
    <x v="7"/>
    <x v="3"/>
    <x v="0"/>
    <x v="70"/>
    <x v="1"/>
    <x v="0"/>
    <s v="MEDIA"/>
    <s v="MEDIA"/>
    <n v="64"/>
    <s v="cumple"/>
    <x v="2"/>
    <x v="4"/>
    <x v="216"/>
    <n v="4872"/>
    <x v="0"/>
  </r>
  <r>
    <x v="0"/>
    <x v="3"/>
    <x v="4"/>
    <x v="0"/>
    <x v="13"/>
    <x v="4"/>
    <x v="0"/>
    <x v="98"/>
    <x v="217"/>
    <x v="57"/>
    <x v="0"/>
    <x v="57"/>
    <x v="0"/>
    <x v="0"/>
    <x v="0"/>
    <x v="70"/>
    <x v="1"/>
    <x v="0"/>
    <s v="MEDIA"/>
    <s v="MEDIA"/>
    <n v="64"/>
    <s v="cumple"/>
    <x v="2"/>
    <x v="4"/>
    <x v="217"/>
    <n v="6496"/>
    <x v="0"/>
  </r>
  <r>
    <x v="1"/>
    <x v="0"/>
    <x v="4"/>
    <x v="0"/>
    <x v="13"/>
    <x v="4"/>
    <x v="0"/>
    <x v="98"/>
    <x v="218"/>
    <x v="58"/>
    <x v="0"/>
    <x v="58"/>
    <x v="5"/>
    <x v="7"/>
    <x v="0"/>
    <x v="70"/>
    <x v="1"/>
    <x v="0"/>
    <s v="MEDIA"/>
    <s v="MEDIA"/>
    <n v="64"/>
    <s v="cumple"/>
    <x v="2"/>
    <x v="4"/>
    <x v="218"/>
    <n v="3248"/>
    <x v="0"/>
  </r>
  <r>
    <x v="0"/>
    <x v="4"/>
    <x v="4"/>
    <x v="0"/>
    <x v="13"/>
    <x v="4"/>
    <x v="0"/>
    <x v="99"/>
    <x v="219"/>
    <x v="58"/>
    <x v="3"/>
    <x v="58"/>
    <x v="0"/>
    <x v="6"/>
    <x v="0"/>
    <x v="70"/>
    <x v="1"/>
    <x v="0"/>
    <s v="MEDIA"/>
    <s v="MEDIA"/>
    <n v="64"/>
    <s v="cumple"/>
    <x v="2"/>
    <x v="4"/>
    <x v="219"/>
    <n v="4059.9999999999995"/>
    <x v="0"/>
  </r>
  <r>
    <x v="0"/>
    <x v="4"/>
    <x v="4"/>
    <x v="0"/>
    <x v="13"/>
    <x v="4"/>
    <x v="0"/>
    <x v="99"/>
    <x v="220"/>
    <x v="59"/>
    <x v="0"/>
    <x v="59"/>
    <x v="0"/>
    <x v="0"/>
    <x v="0"/>
    <x v="70"/>
    <x v="1"/>
    <x v="0"/>
    <s v="MEDIA"/>
    <s v="MEDIA"/>
    <n v="64"/>
    <s v="cumple"/>
    <x v="2"/>
    <x v="4"/>
    <x v="220"/>
    <n v="6496"/>
    <x v="0"/>
  </r>
  <r>
    <x v="0"/>
    <x v="4"/>
    <x v="4"/>
    <x v="0"/>
    <x v="13"/>
    <x v="4"/>
    <x v="0"/>
    <x v="99"/>
    <x v="221"/>
    <x v="60"/>
    <x v="0"/>
    <x v="60"/>
    <x v="0"/>
    <x v="0"/>
    <x v="0"/>
    <x v="70"/>
    <x v="1"/>
    <x v="0"/>
    <s v="MEDIA"/>
    <s v="MEDIA"/>
    <n v="64"/>
    <s v="cumple"/>
    <x v="2"/>
    <x v="4"/>
    <x v="221"/>
    <n v="6496"/>
    <x v="0"/>
  </r>
  <r>
    <x v="0"/>
    <x v="4"/>
    <x v="4"/>
    <x v="0"/>
    <x v="13"/>
    <x v="4"/>
    <x v="0"/>
    <x v="99"/>
    <x v="222"/>
    <x v="61"/>
    <x v="0"/>
    <x v="61"/>
    <x v="0"/>
    <x v="0"/>
    <x v="0"/>
    <x v="70"/>
    <x v="1"/>
    <x v="0"/>
    <s v="MEDIA"/>
    <s v="MEDIA"/>
    <n v="64"/>
    <s v="cumple"/>
    <x v="2"/>
    <x v="4"/>
    <x v="222"/>
    <n v="6496"/>
    <x v="0"/>
  </r>
  <r>
    <x v="0"/>
    <x v="4"/>
    <x v="4"/>
    <x v="0"/>
    <x v="13"/>
    <x v="4"/>
    <x v="0"/>
    <x v="100"/>
    <x v="223"/>
    <x v="62"/>
    <x v="0"/>
    <x v="62"/>
    <x v="0"/>
    <x v="0"/>
    <x v="0"/>
    <x v="70"/>
    <x v="1"/>
    <x v="0"/>
    <s v="MEDIA"/>
    <s v="MEDIA"/>
    <n v="64"/>
    <s v="cumple"/>
    <x v="2"/>
    <x v="4"/>
    <x v="223"/>
    <n v="6496"/>
    <x v="0"/>
  </r>
  <r>
    <x v="0"/>
    <x v="4"/>
    <x v="4"/>
    <x v="0"/>
    <x v="13"/>
    <x v="4"/>
    <x v="0"/>
    <x v="101"/>
    <x v="224"/>
    <x v="63"/>
    <x v="0"/>
    <x v="63"/>
    <x v="0"/>
    <x v="0"/>
    <x v="0"/>
    <x v="70"/>
    <x v="1"/>
    <x v="0"/>
    <s v="MEDIA"/>
    <s v="MEDIA"/>
    <n v="64"/>
    <s v="cumple"/>
    <x v="2"/>
    <x v="4"/>
    <x v="224"/>
    <n v="6496"/>
    <x v="0"/>
  </r>
  <r>
    <x v="0"/>
    <x v="4"/>
    <x v="4"/>
    <x v="0"/>
    <x v="13"/>
    <x v="4"/>
    <x v="0"/>
    <x v="102"/>
    <x v="225"/>
    <x v="64"/>
    <x v="0"/>
    <x v="64"/>
    <x v="0"/>
    <x v="11"/>
    <x v="0"/>
    <x v="70"/>
    <x v="1"/>
    <x v="0"/>
    <s v="MEDIA"/>
    <s v="MEDIA"/>
    <n v="64"/>
    <s v="cumple"/>
    <x v="2"/>
    <x v="4"/>
    <x v="225"/>
    <n v="7307.9999999999991"/>
    <x v="0"/>
  </r>
  <r>
    <x v="0"/>
    <x v="4"/>
    <x v="4"/>
    <x v="0"/>
    <x v="13"/>
    <x v="4"/>
    <x v="0"/>
    <x v="102"/>
    <x v="226"/>
    <x v="65"/>
    <x v="0"/>
    <x v="65"/>
    <x v="7"/>
    <x v="3"/>
    <x v="0"/>
    <x v="70"/>
    <x v="1"/>
    <x v="0"/>
    <s v="MEDIA"/>
    <s v="MEDIA"/>
    <n v="64"/>
    <s v="cumple"/>
    <x v="2"/>
    <x v="4"/>
    <x v="226"/>
    <n v="4872"/>
    <x v="0"/>
  </r>
  <r>
    <x v="0"/>
    <x v="1"/>
    <x v="4"/>
    <x v="0"/>
    <x v="9"/>
    <x v="1"/>
    <x v="0"/>
    <x v="103"/>
    <x v="227"/>
    <x v="44"/>
    <x v="0"/>
    <x v="44"/>
    <x v="5"/>
    <x v="7"/>
    <x v="0"/>
    <x v="64"/>
    <x v="9"/>
    <x v="4"/>
    <s v="MEDIA"/>
    <s v="MEDIA"/>
    <n v="64"/>
    <s v="cumple"/>
    <x v="2"/>
    <x v="4"/>
    <x v="227"/>
    <n v="2320"/>
    <x v="0"/>
  </r>
  <r>
    <x v="0"/>
    <x v="1"/>
    <x v="4"/>
    <x v="0"/>
    <x v="9"/>
    <x v="1"/>
    <x v="0"/>
    <x v="103"/>
    <x v="228"/>
    <x v="44"/>
    <x v="3"/>
    <x v="44"/>
    <x v="0"/>
    <x v="7"/>
    <x v="0"/>
    <x v="64"/>
    <x v="9"/>
    <x v="4"/>
    <s v="MEDIA"/>
    <s v="MEDIA"/>
    <n v="64"/>
    <s v="cumple"/>
    <x v="2"/>
    <x v="4"/>
    <x v="228"/>
    <n v="2320"/>
    <x v="0"/>
  </r>
  <r>
    <x v="0"/>
    <x v="1"/>
    <x v="4"/>
    <x v="0"/>
    <x v="9"/>
    <x v="1"/>
    <x v="0"/>
    <x v="104"/>
    <x v="227"/>
    <x v="45"/>
    <x v="0"/>
    <x v="45"/>
    <x v="3"/>
    <x v="4"/>
    <x v="0"/>
    <x v="64"/>
    <x v="9"/>
    <x v="4"/>
    <s v="MEDIA"/>
    <s v="MEDIA"/>
    <n v="64"/>
    <s v="cumple"/>
    <x v="2"/>
    <x v="4"/>
    <x v="227"/>
    <n v="1160"/>
    <x v="0"/>
  </r>
  <r>
    <x v="0"/>
    <x v="1"/>
    <x v="4"/>
    <x v="0"/>
    <x v="9"/>
    <x v="1"/>
    <x v="0"/>
    <x v="105"/>
    <x v="229"/>
    <x v="45"/>
    <x v="4"/>
    <x v="45"/>
    <x v="0"/>
    <x v="3"/>
    <x v="0"/>
    <x v="64"/>
    <x v="9"/>
    <x v="4"/>
    <s v="MEDIA"/>
    <s v="MEDIA"/>
    <n v="64"/>
    <s v="cumple"/>
    <x v="2"/>
    <x v="4"/>
    <x v="229"/>
    <n v="3479.9999999999995"/>
    <x v="0"/>
  </r>
  <r>
    <x v="0"/>
    <x v="1"/>
    <x v="4"/>
    <x v="0"/>
    <x v="9"/>
    <x v="1"/>
    <x v="0"/>
    <x v="106"/>
    <x v="230"/>
    <x v="46"/>
    <x v="0"/>
    <x v="46"/>
    <x v="5"/>
    <x v="7"/>
    <x v="0"/>
    <x v="64"/>
    <x v="9"/>
    <x v="4"/>
    <s v="MEDIA"/>
    <s v="MEDIA"/>
    <n v="64"/>
    <s v="cumple"/>
    <x v="2"/>
    <x v="4"/>
    <x v="230"/>
    <n v="2320"/>
    <x v="0"/>
  </r>
  <r>
    <x v="0"/>
    <x v="1"/>
    <x v="4"/>
    <x v="0"/>
    <x v="9"/>
    <x v="1"/>
    <x v="0"/>
    <x v="107"/>
    <x v="231"/>
    <x v="46"/>
    <x v="3"/>
    <x v="46"/>
    <x v="1"/>
    <x v="5"/>
    <x v="0"/>
    <x v="64"/>
    <x v="9"/>
    <x v="4"/>
    <s v="MEDIA"/>
    <s v="MEDIA"/>
    <n v="64"/>
    <s v="cumple"/>
    <x v="2"/>
    <x v="4"/>
    <x v="231"/>
    <n v="1739.9999999999998"/>
    <x v="0"/>
  </r>
  <r>
    <x v="0"/>
    <x v="1"/>
    <x v="4"/>
    <x v="0"/>
    <x v="9"/>
    <x v="1"/>
    <x v="0"/>
    <x v="108"/>
    <x v="232"/>
    <x v="46"/>
    <x v="1"/>
    <x v="46"/>
    <x v="0"/>
    <x v="2"/>
    <x v="0"/>
    <x v="64"/>
    <x v="9"/>
    <x v="4"/>
    <s v="MEDIA"/>
    <s v="MEDIA"/>
    <n v="64"/>
    <s v="cumple"/>
    <x v="2"/>
    <x v="4"/>
    <x v="232"/>
    <n v="580"/>
    <x v="0"/>
  </r>
  <r>
    <x v="0"/>
    <x v="1"/>
    <x v="4"/>
    <x v="0"/>
    <x v="9"/>
    <x v="1"/>
    <x v="0"/>
    <x v="108"/>
    <x v="232"/>
    <x v="47"/>
    <x v="0"/>
    <x v="47"/>
    <x v="9"/>
    <x v="6"/>
    <x v="0"/>
    <x v="64"/>
    <x v="9"/>
    <x v="4"/>
    <s v="MEDIA"/>
    <s v="MEDIA"/>
    <n v="64"/>
    <s v="cumple"/>
    <x v="2"/>
    <x v="4"/>
    <x v="232"/>
    <n v="2900"/>
    <x v="0"/>
  </r>
  <r>
    <x v="0"/>
    <x v="1"/>
    <x v="4"/>
    <x v="0"/>
    <x v="9"/>
    <x v="1"/>
    <x v="0"/>
    <x v="109"/>
    <x v="233"/>
    <x v="47"/>
    <x v="7"/>
    <x v="47"/>
    <x v="0"/>
    <x v="5"/>
    <x v="0"/>
    <x v="64"/>
    <x v="9"/>
    <x v="4"/>
    <s v="MEDIA"/>
    <s v="MEDIA"/>
    <n v="64"/>
    <s v="cumple"/>
    <x v="2"/>
    <x v="4"/>
    <x v="233"/>
    <n v="1739.9999999999998"/>
    <x v="0"/>
  </r>
  <r>
    <x v="0"/>
    <x v="1"/>
    <x v="4"/>
    <x v="0"/>
    <x v="9"/>
    <x v="1"/>
    <x v="0"/>
    <x v="110"/>
    <x v="234"/>
    <x v="48"/>
    <x v="0"/>
    <x v="48"/>
    <x v="3"/>
    <x v="4"/>
    <x v="0"/>
    <x v="64"/>
    <x v="9"/>
    <x v="4"/>
    <s v="MEDIA"/>
    <s v="MEDIA"/>
    <n v="64"/>
    <s v="cumple"/>
    <x v="2"/>
    <x v="4"/>
    <x v="234"/>
    <n v="1160"/>
    <x v="0"/>
  </r>
  <r>
    <x v="0"/>
    <x v="1"/>
    <x v="4"/>
    <x v="0"/>
    <x v="9"/>
    <x v="1"/>
    <x v="0"/>
    <x v="111"/>
    <x v="235"/>
    <x v="48"/>
    <x v="4"/>
    <x v="48"/>
    <x v="4"/>
    <x v="2"/>
    <x v="0"/>
    <x v="64"/>
    <x v="9"/>
    <x v="4"/>
    <s v="MEDIA"/>
    <s v="MEDIA"/>
    <n v="64"/>
    <s v="cumple"/>
    <x v="2"/>
    <x v="4"/>
    <x v="235"/>
    <n v="580"/>
    <x v="0"/>
  </r>
  <r>
    <x v="0"/>
    <x v="1"/>
    <x v="4"/>
    <x v="0"/>
    <x v="9"/>
    <x v="1"/>
    <x v="0"/>
    <x v="112"/>
    <x v="236"/>
    <x v="48"/>
    <x v="6"/>
    <x v="48"/>
    <x v="9"/>
    <x v="4"/>
    <x v="0"/>
    <x v="64"/>
    <x v="9"/>
    <x v="4"/>
    <s v="MEDIA"/>
    <s v="MEDIA"/>
    <n v="64"/>
    <s v="cumple"/>
    <x v="2"/>
    <x v="4"/>
    <x v="236"/>
    <n v="1160"/>
    <x v="0"/>
  </r>
  <r>
    <x v="0"/>
    <x v="1"/>
    <x v="4"/>
    <x v="0"/>
    <x v="9"/>
    <x v="1"/>
    <x v="0"/>
    <x v="113"/>
    <x v="237"/>
    <x v="48"/>
    <x v="7"/>
    <x v="48"/>
    <x v="0"/>
    <x v="5"/>
    <x v="0"/>
    <x v="64"/>
    <x v="9"/>
    <x v="4"/>
    <s v="MEDIA"/>
    <s v="MEDIA"/>
    <n v="64"/>
    <s v="cumple"/>
    <x v="2"/>
    <x v="4"/>
    <x v="237"/>
    <n v="1739.9999999999998"/>
    <x v="0"/>
  </r>
  <r>
    <x v="0"/>
    <x v="1"/>
    <x v="4"/>
    <x v="0"/>
    <x v="9"/>
    <x v="1"/>
    <x v="0"/>
    <x v="114"/>
    <x v="238"/>
    <x v="49"/>
    <x v="0"/>
    <x v="49"/>
    <x v="4"/>
    <x v="5"/>
    <x v="0"/>
    <x v="64"/>
    <x v="9"/>
    <x v="4"/>
    <s v="MEDIA"/>
    <s v="MEDIA"/>
    <n v="64"/>
    <s v="cumple"/>
    <x v="2"/>
    <x v="4"/>
    <x v="238"/>
    <n v="1739.9999999999998"/>
    <x v="0"/>
  </r>
  <r>
    <x v="0"/>
    <x v="1"/>
    <x v="4"/>
    <x v="0"/>
    <x v="9"/>
    <x v="1"/>
    <x v="0"/>
    <x v="114"/>
    <x v="239"/>
    <x v="49"/>
    <x v="6"/>
    <x v="49"/>
    <x v="2"/>
    <x v="5"/>
    <x v="0"/>
    <x v="64"/>
    <x v="9"/>
    <x v="4"/>
    <s v="MEDIA"/>
    <s v="MEDIA"/>
    <n v="64"/>
    <s v="cumple"/>
    <x v="2"/>
    <x v="4"/>
    <x v="239"/>
    <n v="1739.9999999999998"/>
    <x v="0"/>
  </r>
  <r>
    <x v="0"/>
    <x v="1"/>
    <x v="4"/>
    <x v="0"/>
    <x v="9"/>
    <x v="1"/>
    <x v="0"/>
    <x v="114"/>
    <x v="240"/>
    <x v="49"/>
    <x v="2"/>
    <x v="49"/>
    <x v="0"/>
    <x v="4"/>
    <x v="0"/>
    <x v="64"/>
    <x v="9"/>
    <x v="4"/>
    <s v="MEDIA"/>
    <s v="MEDIA"/>
    <n v="64"/>
    <s v="cumple"/>
    <x v="2"/>
    <x v="4"/>
    <x v="240"/>
    <n v="1160"/>
    <x v="0"/>
  </r>
  <r>
    <x v="0"/>
    <x v="1"/>
    <x v="4"/>
    <x v="0"/>
    <x v="9"/>
    <x v="1"/>
    <x v="0"/>
    <x v="114"/>
    <x v="240"/>
    <x v="50"/>
    <x v="0"/>
    <x v="50"/>
    <x v="8"/>
    <x v="2"/>
    <x v="0"/>
    <x v="64"/>
    <x v="9"/>
    <x v="4"/>
    <s v="MEDIA"/>
    <s v="MEDIA"/>
    <n v="64"/>
    <s v="cumple"/>
    <x v="2"/>
    <x v="4"/>
    <x v="240"/>
    <n v="580"/>
    <x v="0"/>
  </r>
  <r>
    <x v="0"/>
    <x v="1"/>
    <x v="4"/>
    <x v="0"/>
    <x v="9"/>
    <x v="1"/>
    <x v="0"/>
    <x v="114"/>
    <x v="241"/>
    <x v="50"/>
    <x v="8"/>
    <x v="50"/>
    <x v="4"/>
    <x v="4"/>
    <x v="0"/>
    <x v="64"/>
    <x v="9"/>
    <x v="4"/>
    <s v="MEDIA"/>
    <s v="MEDIA"/>
    <n v="64"/>
    <s v="cumple"/>
    <x v="2"/>
    <x v="4"/>
    <x v="241"/>
    <n v="1160"/>
    <x v="0"/>
  </r>
  <r>
    <x v="0"/>
    <x v="1"/>
    <x v="4"/>
    <x v="0"/>
    <x v="9"/>
    <x v="1"/>
    <x v="0"/>
    <x v="115"/>
    <x v="242"/>
    <x v="50"/>
    <x v="6"/>
    <x v="50"/>
    <x v="7"/>
    <x v="5"/>
    <x v="0"/>
    <x v="64"/>
    <x v="9"/>
    <x v="4"/>
    <s v="MEDIA"/>
    <s v="MEDIA"/>
    <n v="64"/>
    <s v="cumple"/>
    <x v="2"/>
    <x v="4"/>
    <x v="242"/>
    <n v="1739.9999999999998"/>
    <x v="0"/>
  </r>
  <r>
    <x v="0"/>
    <x v="1"/>
    <x v="4"/>
    <x v="0"/>
    <x v="9"/>
    <x v="1"/>
    <x v="0"/>
    <x v="116"/>
    <x v="243"/>
    <x v="50"/>
    <x v="7"/>
    <x v="50"/>
    <x v="0"/>
    <x v="5"/>
    <x v="0"/>
    <x v="64"/>
    <x v="9"/>
    <x v="4"/>
    <s v="MEDIA"/>
    <s v="MEDIA"/>
    <n v="64"/>
    <s v="cumple"/>
    <x v="2"/>
    <x v="4"/>
    <x v="243"/>
    <n v="1739.9999999999998"/>
    <x v="0"/>
  </r>
  <r>
    <x v="0"/>
    <x v="1"/>
    <x v="4"/>
    <x v="0"/>
    <x v="9"/>
    <x v="1"/>
    <x v="0"/>
    <x v="117"/>
    <x v="244"/>
    <x v="51"/>
    <x v="0"/>
    <x v="51"/>
    <x v="5"/>
    <x v="7"/>
    <x v="0"/>
    <x v="64"/>
    <x v="9"/>
    <x v="4"/>
    <s v="MEDIA"/>
    <s v="MEDIA"/>
    <n v="64"/>
    <s v="cumple"/>
    <x v="2"/>
    <x v="4"/>
    <x v="244"/>
    <n v="2320"/>
    <x v="0"/>
  </r>
  <r>
    <x v="0"/>
    <x v="1"/>
    <x v="4"/>
    <x v="0"/>
    <x v="9"/>
    <x v="1"/>
    <x v="0"/>
    <x v="118"/>
    <x v="245"/>
    <x v="51"/>
    <x v="3"/>
    <x v="51"/>
    <x v="0"/>
    <x v="7"/>
    <x v="0"/>
    <x v="64"/>
    <x v="9"/>
    <x v="4"/>
    <s v="MEDIA"/>
    <s v="MEDIA"/>
    <n v="64"/>
    <s v="cumple"/>
    <x v="2"/>
    <x v="4"/>
    <x v="245"/>
    <n v="2320"/>
    <x v="0"/>
  </r>
  <r>
    <x v="0"/>
    <x v="1"/>
    <x v="4"/>
    <x v="0"/>
    <x v="9"/>
    <x v="1"/>
    <x v="0"/>
    <x v="119"/>
    <x v="246"/>
    <x v="52"/>
    <x v="0"/>
    <x v="52"/>
    <x v="5"/>
    <x v="7"/>
    <x v="0"/>
    <x v="64"/>
    <x v="9"/>
    <x v="4"/>
    <s v="MEDIA"/>
    <s v="MEDIA"/>
    <n v="64"/>
    <s v="cumple"/>
    <x v="2"/>
    <x v="4"/>
    <x v="246"/>
    <n v="2320"/>
    <x v="0"/>
  </r>
  <r>
    <x v="0"/>
    <x v="1"/>
    <x v="4"/>
    <x v="0"/>
    <x v="9"/>
    <x v="1"/>
    <x v="0"/>
    <x v="120"/>
    <x v="247"/>
    <x v="52"/>
    <x v="3"/>
    <x v="52"/>
    <x v="0"/>
    <x v="7"/>
    <x v="0"/>
    <x v="64"/>
    <x v="9"/>
    <x v="4"/>
    <s v="MEDIA"/>
    <s v="MEDIA"/>
    <n v="64"/>
    <s v="cumple"/>
    <x v="2"/>
    <x v="4"/>
    <x v="247"/>
    <n v="2320"/>
    <x v="0"/>
  </r>
  <r>
    <x v="0"/>
    <x v="1"/>
    <x v="4"/>
    <x v="0"/>
    <x v="9"/>
    <x v="1"/>
    <x v="0"/>
    <x v="121"/>
    <x v="248"/>
    <x v="53"/>
    <x v="0"/>
    <x v="53"/>
    <x v="5"/>
    <x v="7"/>
    <x v="0"/>
    <x v="64"/>
    <x v="9"/>
    <x v="4"/>
    <s v="MEDIA"/>
    <s v="MEDIA"/>
    <n v="64"/>
    <s v="cumple"/>
    <x v="2"/>
    <x v="4"/>
    <x v="248"/>
    <n v="2320"/>
    <x v="0"/>
  </r>
  <r>
    <x v="0"/>
    <x v="1"/>
    <x v="4"/>
    <x v="0"/>
    <x v="9"/>
    <x v="1"/>
    <x v="0"/>
    <x v="121"/>
    <x v="249"/>
    <x v="53"/>
    <x v="3"/>
    <x v="53"/>
    <x v="0"/>
    <x v="7"/>
    <x v="0"/>
    <x v="64"/>
    <x v="9"/>
    <x v="4"/>
    <s v="MEDIA"/>
    <s v="MEDIA"/>
    <n v="64"/>
    <s v="cumple"/>
    <x v="2"/>
    <x v="4"/>
    <x v="249"/>
    <n v="2320"/>
    <x v="0"/>
  </r>
  <r>
    <x v="0"/>
    <x v="1"/>
    <x v="4"/>
    <x v="0"/>
    <x v="9"/>
    <x v="1"/>
    <x v="0"/>
    <x v="121"/>
    <x v="250"/>
    <x v="54"/>
    <x v="0"/>
    <x v="54"/>
    <x v="3"/>
    <x v="4"/>
    <x v="0"/>
    <x v="64"/>
    <x v="9"/>
    <x v="4"/>
    <s v="MEDIA"/>
    <s v="MEDIA"/>
    <n v="64"/>
    <s v="cumple"/>
    <x v="2"/>
    <x v="4"/>
    <x v="250"/>
    <n v="1160"/>
    <x v="0"/>
  </r>
  <r>
    <x v="0"/>
    <x v="1"/>
    <x v="4"/>
    <x v="0"/>
    <x v="9"/>
    <x v="1"/>
    <x v="0"/>
    <x v="122"/>
    <x v="251"/>
    <x v="54"/>
    <x v="4"/>
    <x v="54"/>
    <x v="5"/>
    <x v="4"/>
    <x v="0"/>
    <x v="64"/>
    <x v="9"/>
    <x v="4"/>
    <s v="MEDIA"/>
    <s v="MEDIA"/>
    <n v="64"/>
    <s v="cumple"/>
    <x v="2"/>
    <x v="4"/>
    <x v="251"/>
    <n v="1160"/>
    <x v="0"/>
  </r>
  <r>
    <x v="0"/>
    <x v="1"/>
    <x v="4"/>
    <x v="0"/>
    <x v="9"/>
    <x v="1"/>
    <x v="0"/>
    <x v="122"/>
    <x v="252"/>
    <x v="54"/>
    <x v="3"/>
    <x v="54"/>
    <x v="0"/>
    <x v="7"/>
    <x v="0"/>
    <x v="64"/>
    <x v="9"/>
    <x v="4"/>
    <s v="MEDIA"/>
    <s v="MEDIA"/>
    <n v="64"/>
    <s v="cumple"/>
    <x v="2"/>
    <x v="4"/>
    <x v="252"/>
    <n v="2320"/>
    <x v="0"/>
  </r>
  <r>
    <x v="0"/>
    <x v="1"/>
    <x v="4"/>
    <x v="0"/>
    <x v="9"/>
    <x v="1"/>
    <x v="0"/>
    <x v="122"/>
    <x v="253"/>
    <x v="55"/>
    <x v="0"/>
    <x v="55"/>
    <x v="4"/>
    <x v="5"/>
    <x v="0"/>
    <x v="64"/>
    <x v="9"/>
    <x v="4"/>
    <s v="MEDIA"/>
    <s v="MEDIA"/>
    <n v="64"/>
    <s v="cumple"/>
    <x v="2"/>
    <x v="4"/>
    <x v="253"/>
    <n v="1739.9999999999998"/>
    <x v="0"/>
  </r>
  <r>
    <x v="0"/>
    <x v="1"/>
    <x v="4"/>
    <x v="0"/>
    <x v="9"/>
    <x v="1"/>
    <x v="0"/>
    <x v="123"/>
    <x v="254"/>
    <x v="55"/>
    <x v="6"/>
    <x v="55"/>
    <x v="2"/>
    <x v="5"/>
    <x v="0"/>
    <x v="64"/>
    <x v="9"/>
    <x v="4"/>
    <s v="MEDIA"/>
    <s v="MEDIA"/>
    <n v="64"/>
    <s v="cumple"/>
    <x v="2"/>
    <x v="4"/>
    <x v="254"/>
    <n v="1739.9999999999998"/>
    <x v="0"/>
  </r>
  <r>
    <x v="0"/>
    <x v="1"/>
    <x v="4"/>
    <x v="0"/>
    <x v="9"/>
    <x v="1"/>
    <x v="0"/>
    <x v="123"/>
    <x v="255"/>
    <x v="55"/>
    <x v="2"/>
    <x v="55"/>
    <x v="0"/>
    <x v="4"/>
    <x v="0"/>
    <x v="64"/>
    <x v="9"/>
    <x v="4"/>
    <s v="MEDIA"/>
    <s v="MEDIA"/>
    <n v="64"/>
    <s v="cumple"/>
    <x v="2"/>
    <x v="4"/>
    <x v="255"/>
    <n v="1160"/>
    <x v="0"/>
  </r>
  <r>
    <x v="0"/>
    <x v="1"/>
    <x v="4"/>
    <x v="0"/>
    <x v="9"/>
    <x v="1"/>
    <x v="0"/>
    <x v="124"/>
    <x v="256"/>
    <x v="56"/>
    <x v="0"/>
    <x v="56"/>
    <x v="3"/>
    <x v="4"/>
    <x v="0"/>
    <x v="64"/>
    <x v="9"/>
    <x v="4"/>
    <s v="MEDIA"/>
    <s v="MEDIA"/>
    <n v="64"/>
    <s v="cumple"/>
    <x v="2"/>
    <x v="4"/>
    <x v="256"/>
    <n v="1160"/>
    <x v="0"/>
  </r>
  <r>
    <x v="0"/>
    <x v="1"/>
    <x v="4"/>
    <x v="0"/>
    <x v="9"/>
    <x v="1"/>
    <x v="0"/>
    <x v="124"/>
    <x v="257"/>
    <x v="56"/>
    <x v="4"/>
    <x v="56"/>
    <x v="5"/>
    <x v="4"/>
    <x v="0"/>
    <x v="64"/>
    <x v="9"/>
    <x v="4"/>
    <s v="MEDIA"/>
    <s v="MEDIA"/>
    <n v="64"/>
    <s v="cumple"/>
    <x v="2"/>
    <x v="4"/>
    <x v="257"/>
    <n v="1160"/>
    <x v="0"/>
  </r>
  <r>
    <x v="0"/>
    <x v="1"/>
    <x v="4"/>
    <x v="0"/>
    <x v="9"/>
    <x v="1"/>
    <x v="0"/>
    <x v="124"/>
    <x v="258"/>
    <x v="56"/>
    <x v="3"/>
    <x v="56"/>
    <x v="2"/>
    <x v="4"/>
    <x v="0"/>
    <x v="64"/>
    <x v="9"/>
    <x v="4"/>
    <s v="MEDIA"/>
    <s v="MEDIA"/>
    <n v="64"/>
    <s v="cumple"/>
    <x v="2"/>
    <x v="4"/>
    <x v="258"/>
    <n v="1160"/>
    <x v="0"/>
  </r>
  <r>
    <x v="0"/>
    <x v="1"/>
    <x v="4"/>
    <x v="0"/>
    <x v="9"/>
    <x v="1"/>
    <x v="0"/>
    <x v="124"/>
    <x v="259"/>
    <x v="56"/>
    <x v="2"/>
    <x v="56"/>
    <x v="0"/>
    <x v="4"/>
    <x v="0"/>
    <x v="64"/>
    <x v="9"/>
    <x v="4"/>
    <s v="MEDIA"/>
    <s v="MEDIA"/>
    <n v="64"/>
    <s v="cumple"/>
    <x v="2"/>
    <x v="4"/>
    <x v="259"/>
    <n v="1160"/>
    <x v="0"/>
  </r>
  <r>
    <x v="0"/>
    <x v="1"/>
    <x v="4"/>
    <x v="0"/>
    <x v="9"/>
    <x v="1"/>
    <x v="0"/>
    <x v="124"/>
    <x v="260"/>
    <x v="57"/>
    <x v="0"/>
    <x v="57"/>
    <x v="5"/>
    <x v="7"/>
    <x v="0"/>
    <x v="64"/>
    <x v="9"/>
    <x v="4"/>
    <s v="MEDIA"/>
    <s v="MEDIA"/>
    <n v="64"/>
    <s v="cumple"/>
    <x v="2"/>
    <x v="4"/>
    <x v="260"/>
    <n v="2320"/>
    <x v="0"/>
  </r>
  <r>
    <x v="0"/>
    <x v="1"/>
    <x v="4"/>
    <x v="0"/>
    <x v="9"/>
    <x v="1"/>
    <x v="0"/>
    <x v="124"/>
    <x v="261"/>
    <x v="57"/>
    <x v="3"/>
    <x v="57"/>
    <x v="0"/>
    <x v="7"/>
    <x v="0"/>
    <x v="64"/>
    <x v="9"/>
    <x v="4"/>
    <s v="MEDIA"/>
    <s v="MEDIA"/>
    <n v="64"/>
    <s v="cumple"/>
    <x v="2"/>
    <x v="4"/>
    <x v="261"/>
    <n v="2320"/>
    <x v="0"/>
  </r>
  <r>
    <x v="0"/>
    <x v="1"/>
    <x v="4"/>
    <x v="0"/>
    <x v="9"/>
    <x v="1"/>
    <x v="0"/>
    <x v="125"/>
    <x v="262"/>
    <x v="58"/>
    <x v="0"/>
    <x v="58"/>
    <x v="4"/>
    <x v="5"/>
    <x v="0"/>
    <x v="64"/>
    <x v="9"/>
    <x v="4"/>
    <s v="MEDIA"/>
    <s v="MEDIA"/>
    <n v="64"/>
    <s v="cumple"/>
    <x v="2"/>
    <x v="4"/>
    <x v="262"/>
    <n v="1739.9999999999998"/>
    <x v="0"/>
  </r>
  <r>
    <x v="0"/>
    <x v="1"/>
    <x v="4"/>
    <x v="0"/>
    <x v="9"/>
    <x v="1"/>
    <x v="0"/>
    <x v="126"/>
    <x v="262"/>
    <x v="58"/>
    <x v="6"/>
    <x v="58"/>
    <x v="2"/>
    <x v="5"/>
    <x v="0"/>
    <x v="64"/>
    <x v="9"/>
    <x v="4"/>
    <s v="MEDIA"/>
    <s v="MEDIA"/>
    <n v="64"/>
    <s v="cumple"/>
    <x v="2"/>
    <x v="4"/>
    <x v="262"/>
    <n v="1739.9999999999998"/>
    <x v="0"/>
  </r>
  <r>
    <x v="0"/>
    <x v="1"/>
    <x v="4"/>
    <x v="0"/>
    <x v="9"/>
    <x v="1"/>
    <x v="0"/>
    <x v="127"/>
    <x v="263"/>
    <x v="58"/>
    <x v="2"/>
    <x v="58"/>
    <x v="0"/>
    <x v="4"/>
    <x v="0"/>
    <x v="64"/>
    <x v="9"/>
    <x v="4"/>
    <s v="MEDIA"/>
    <s v="MEDIA"/>
    <n v="64"/>
    <s v="cumple"/>
    <x v="2"/>
    <x v="4"/>
    <x v="263"/>
    <n v="1160"/>
    <x v="0"/>
  </r>
  <r>
    <x v="0"/>
    <x v="1"/>
    <x v="4"/>
    <x v="0"/>
    <x v="9"/>
    <x v="1"/>
    <x v="0"/>
    <x v="128"/>
    <x v="264"/>
    <x v="59"/>
    <x v="0"/>
    <x v="59"/>
    <x v="4"/>
    <x v="5"/>
    <x v="0"/>
    <x v="64"/>
    <x v="9"/>
    <x v="4"/>
    <s v="MEDIA"/>
    <s v="MEDIA"/>
    <n v="64"/>
    <s v="cumple"/>
    <x v="2"/>
    <x v="4"/>
    <x v="264"/>
    <n v="1739.9999999999998"/>
    <x v="0"/>
  </r>
  <r>
    <x v="0"/>
    <x v="1"/>
    <x v="4"/>
    <x v="0"/>
    <x v="9"/>
    <x v="1"/>
    <x v="0"/>
    <x v="127"/>
    <x v="263"/>
    <x v="59"/>
    <x v="6"/>
    <x v="59"/>
    <x v="5"/>
    <x v="2"/>
    <x v="0"/>
    <x v="64"/>
    <x v="9"/>
    <x v="4"/>
    <s v="MEDIA"/>
    <s v="MEDIA"/>
    <n v="64"/>
    <s v="cumple"/>
    <x v="2"/>
    <x v="4"/>
    <x v="263"/>
    <n v="580"/>
    <x v="0"/>
  </r>
  <r>
    <x v="0"/>
    <x v="1"/>
    <x v="4"/>
    <x v="0"/>
    <x v="9"/>
    <x v="1"/>
    <x v="0"/>
    <x v="129"/>
    <x v="265"/>
    <x v="59"/>
    <x v="3"/>
    <x v="59"/>
    <x v="2"/>
    <x v="4"/>
    <x v="0"/>
    <x v="64"/>
    <x v="9"/>
    <x v="4"/>
    <s v="MEDIA"/>
    <s v="MEDIA"/>
    <n v="64"/>
    <s v="cumple"/>
    <x v="2"/>
    <x v="4"/>
    <x v="265"/>
    <n v="1160"/>
    <x v="0"/>
  </r>
  <r>
    <x v="0"/>
    <x v="1"/>
    <x v="4"/>
    <x v="0"/>
    <x v="9"/>
    <x v="1"/>
    <x v="0"/>
    <x v="130"/>
    <x v="266"/>
    <x v="59"/>
    <x v="2"/>
    <x v="59"/>
    <x v="0"/>
    <x v="4"/>
    <x v="0"/>
    <x v="64"/>
    <x v="9"/>
    <x v="4"/>
    <s v="MEDIA"/>
    <s v="MEDIA"/>
    <n v="64"/>
    <s v="cumple"/>
    <x v="2"/>
    <x v="4"/>
    <x v="266"/>
    <n v="1160"/>
    <x v="0"/>
  </r>
  <r>
    <x v="0"/>
    <x v="1"/>
    <x v="4"/>
    <x v="0"/>
    <x v="9"/>
    <x v="1"/>
    <x v="0"/>
    <x v="129"/>
    <x v="267"/>
    <x v="60"/>
    <x v="0"/>
    <x v="60"/>
    <x v="1"/>
    <x v="1"/>
    <x v="0"/>
    <x v="64"/>
    <x v="9"/>
    <x v="4"/>
    <s v="MEDIA"/>
    <s v="MEDIA"/>
    <n v="64"/>
    <s v="cumple"/>
    <x v="2"/>
    <x v="4"/>
    <x v="267"/>
    <n v="4059.9999999999995"/>
    <x v="0"/>
  </r>
  <r>
    <x v="0"/>
    <x v="1"/>
    <x v="4"/>
    <x v="0"/>
    <x v="9"/>
    <x v="1"/>
    <x v="0"/>
    <x v="129"/>
    <x v="268"/>
    <x v="60"/>
    <x v="1"/>
    <x v="60"/>
    <x v="0"/>
    <x v="2"/>
    <x v="0"/>
    <x v="64"/>
    <x v="9"/>
    <x v="4"/>
    <s v="MEDIA"/>
    <s v="MEDIA"/>
    <n v="64"/>
    <s v="cumple"/>
    <x v="2"/>
    <x v="4"/>
    <x v="268"/>
    <n v="580"/>
    <x v="0"/>
  </r>
  <r>
    <x v="0"/>
    <x v="1"/>
    <x v="4"/>
    <x v="0"/>
    <x v="9"/>
    <x v="1"/>
    <x v="0"/>
    <x v="129"/>
    <x v="269"/>
    <x v="61"/>
    <x v="0"/>
    <x v="61"/>
    <x v="5"/>
    <x v="7"/>
    <x v="0"/>
    <x v="64"/>
    <x v="9"/>
    <x v="4"/>
    <s v="MEDIA"/>
    <s v="MEDIA"/>
    <n v="64"/>
    <s v="cumple"/>
    <x v="2"/>
    <x v="4"/>
    <x v="269"/>
    <n v="2320"/>
    <x v="0"/>
  </r>
  <r>
    <x v="0"/>
    <x v="1"/>
    <x v="4"/>
    <x v="0"/>
    <x v="9"/>
    <x v="1"/>
    <x v="0"/>
    <x v="129"/>
    <x v="270"/>
    <x v="61"/>
    <x v="3"/>
    <x v="61"/>
    <x v="0"/>
    <x v="7"/>
    <x v="0"/>
    <x v="64"/>
    <x v="9"/>
    <x v="4"/>
    <s v="MEDIA"/>
    <s v="MEDIA"/>
    <n v="64"/>
    <s v="cumple"/>
    <x v="2"/>
    <x v="4"/>
    <x v="270"/>
    <n v="2320"/>
    <x v="0"/>
  </r>
  <r>
    <x v="0"/>
    <x v="1"/>
    <x v="4"/>
    <x v="0"/>
    <x v="9"/>
    <x v="1"/>
    <x v="0"/>
    <x v="131"/>
    <x v="271"/>
    <x v="62"/>
    <x v="0"/>
    <x v="62"/>
    <x v="5"/>
    <x v="7"/>
    <x v="0"/>
    <x v="64"/>
    <x v="9"/>
    <x v="4"/>
    <s v="MEDIA"/>
    <s v="MEDIA"/>
    <n v="64"/>
    <s v="cumple"/>
    <x v="2"/>
    <x v="4"/>
    <x v="271"/>
    <n v="2320"/>
    <x v="0"/>
  </r>
  <r>
    <x v="0"/>
    <x v="1"/>
    <x v="4"/>
    <x v="0"/>
    <x v="9"/>
    <x v="1"/>
    <x v="0"/>
    <x v="132"/>
    <x v="272"/>
    <x v="62"/>
    <x v="3"/>
    <x v="62"/>
    <x v="2"/>
    <x v="4"/>
    <x v="0"/>
    <x v="64"/>
    <x v="9"/>
    <x v="4"/>
    <s v="MEDIA"/>
    <s v="MEDIA"/>
    <n v="64"/>
    <s v="cumple"/>
    <x v="2"/>
    <x v="4"/>
    <x v="272"/>
    <n v="1160"/>
    <x v="0"/>
  </r>
  <r>
    <x v="0"/>
    <x v="1"/>
    <x v="4"/>
    <x v="0"/>
    <x v="9"/>
    <x v="1"/>
    <x v="0"/>
    <x v="131"/>
    <x v="273"/>
    <x v="62"/>
    <x v="2"/>
    <x v="62"/>
    <x v="0"/>
    <x v="4"/>
    <x v="0"/>
    <x v="64"/>
    <x v="9"/>
    <x v="4"/>
    <s v="MEDIA"/>
    <s v="MEDIA"/>
    <n v="64"/>
    <s v="cumple"/>
    <x v="2"/>
    <x v="4"/>
    <x v="273"/>
    <n v="1160"/>
    <x v="0"/>
  </r>
  <r>
    <x v="0"/>
    <x v="1"/>
    <x v="4"/>
    <x v="0"/>
    <x v="9"/>
    <x v="1"/>
    <x v="0"/>
    <x v="133"/>
    <x v="274"/>
    <x v="63"/>
    <x v="0"/>
    <x v="63"/>
    <x v="5"/>
    <x v="7"/>
    <x v="0"/>
    <x v="64"/>
    <x v="9"/>
    <x v="4"/>
    <s v="MEDIA"/>
    <s v="MEDIA"/>
    <n v="64"/>
    <s v="cumple"/>
    <x v="2"/>
    <x v="4"/>
    <x v="274"/>
    <n v="2320"/>
    <x v="0"/>
  </r>
  <r>
    <x v="0"/>
    <x v="1"/>
    <x v="4"/>
    <x v="0"/>
    <x v="9"/>
    <x v="1"/>
    <x v="0"/>
    <x v="133"/>
    <x v="271"/>
    <x v="63"/>
    <x v="3"/>
    <x v="63"/>
    <x v="2"/>
    <x v="4"/>
    <x v="0"/>
    <x v="64"/>
    <x v="9"/>
    <x v="4"/>
    <s v="MEDIA"/>
    <s v="MEDIA"/>
    <n v="64"/>
    <s v="cumple"/>
    <x v="2"/>
    <x v="4"/>
    <x v="271"/>
    <n v="1160"/>
    <x v="0"/>
  </r>
  <r>
    <x v="0"/>
    <x v="1"/>
    <x v="4"/>
    <x v="0"/>
    <x v="9"/>
    <x v="1"/>
    <x v="0"/>
    <x v="133"/>
    <x v="275"/>
    <x v="63"/>
    <x v="2"/>
    <x v="63"/>
    <x v="0"/>
    <x v="4"/>
    <x v="0"/>
    <x v="64"/>
    <x v="9"/>
    <x v="4"/>
    <s v="MEDIA"/>
    <s v="MEDIA"/>
    <n v="64"/>
    <s v="cumple"/>
    <x v="2"/>
    <x v="4"/>
    <x v="275"/>
    <n v="1160"/>
    <x v="0"/>
  </r>
  <r>
    <x v="0"/>
    <x v="1"/>
    <x v="4"/>
    <x v="0"/>
    <x v="9"/>
    <x v="1"/>
    <x v="0"/>
    <x v="134"/>
    <x v="276"/>
    <x v="64"/>
    <x v="0"/>
    <x v="64"/>
    <x v="3"/>
    <x v="4"/>
    <x v="0"/>
    <x v="64"/>
    <x v="9"/>
    <x v="4"/>
    <s v="MEDIA"/>
    <s v="MEDIA"/>
    <n v="64"/>
    <s v="cumple"/>
    <x v="2"/>
    <x v="4"/>
    <x v="276"/>
    <n v="1160"/>
    <x v="0"/>
  </r>
  <r>
    <x v="0"/>
    <x v="1"/>
    <x v="4"/>
    <x v="0"/>
    <x v="9"/>
    <x v="1"/>
    <x v="0"/>
    <x v="134"/>
    <x v="277"/>
    <x v="64"/>
    <x v="4"/>
    <x v="64"/>
    <x v="5"/>
    <x v="4"/>
    <x v="0"/>
    <x v="64"/>
    <x v="9"/>
    <x v="4"/>
    <s v="MEDIA"/>
    <s v="MEDIA"/>
    <n v="64"/>
    <s v="cumple"/>
    <x v="2"/>
    <x v="4"/>
    <x v="277"/>
    <n v="1160"/>
    <x v="0"/>
  </r>
  <r>
    <x v="0"/>
    <x v="1"/>
    <x v="4"/>
    <x v="0"/>
    <x v="9"/>
    <x v="1"/>
    <x v="0"/>
    <x v="134"/>
    <x v="278"/>
    <x v="64"/>
    <x v="3"/>
    <x v="64"/>
    <x v="2"/>
    <x v="4"/>
    <x v="0"/>
    <x v="64"/>
    <x v="9"/>
    <x v="4"/>
    <s v="MEDIA"/>
    <s v="MEDIA"/>
    <n v="64"/>
    <s v="cumple"/>
    <x v="2"/>
    <x v="4"/>
    <x v="278"/>
    <n v="1160"/>
    <x v="0"/>
  </r>
  <r>
    <x v="0"/>
    <x v="1"/>
    <x v="4"/>
    <x v="0"/>
    <x v="9"/>
    <x v="1"/>
    <x v="0"/>
    <x v="134"/>
    <x v="279"/>
    <x v="64"/>
    <x v="2"/>
    <x v="64"/>
    <x v="0"/>
    <x v="4"/>
    <x v="0"/>
    <x v="64"/>
    <x v="9"/>
    <x v="4"/>
    <s v="MEDIA"/>
    <s v="MEDIA"/>
    <n v="64"/>
    <s v="cumple"/>
    <x v="2"/>
    <x v="4"/>
    <x v="279"/>
    <n v="1160"/>
    <x v="0"/>
  </r>
  <r>
    <x v="0"/>
    <x v="1"/>
    <x v="4"/>
    <x v="0"/>
    <x v="9"/>
    <x v="1"/>
    <x v="0"/>
    <x v="135"/>
    <x v="280"/>
    <x v="65"/>
    <x v="0"/>
    <x v="65"/>
    <x v="5"/>
    <x v="7"/>
    <x v="0"/>
    <x v="64"/>
    <x v="9"/>
    <x v="4"/>
    <s v="MEDIA"/>
    <s v="MEDIA"/>
    <n v="64"/>
    <s v="cumple"/>
    <x v="2"/>
    <x v="4"/>
    <x v="280"/>
    <n v="2320"/>
    <x v="0"/>
  </r>
  <r>
    <x v="0"/>
    <x v="1"/>
    <x v="4"/>
    <x v="0"/>
    <x v="9"/>
    <x v="1"/>
    <x v="0"/>
    <x v="135"/>
    <x v="281"/>
    <x v="65"/>
    <x v="3"/>
    <x v="65"/>
    <x v="1"/>
    <x v="5"/>
    <x v="0"/>
    <x v="64"/>
    <x v="9"/>
    <x v="4"/>
    <s v="MEDIA"/>
    <s v="MEDIA"/>
    <n v="64"/>
    <s v="cumple"/>
    <x v="2"/>
    <x v="4"/>
    <x v="281"/>
    <n v="1739.9999999999998"/>
    <x v="0"/>
  </r>
  <r>
    <x v="2"/>
    <x v="7"/>
    <x v="0"/>
    <x v="0"/>
    <x v="7"/>
    <x v="2"/>
    <x v="0"/>
    <x v="136"/>
    <x v="282"/>
    <x v="44"/>
    <x v="0"/>
    <x v="44"/>
    <x v="0"/>
    <x v="0"/>
    <x v="0"/>
    <x v="71"/>
    <x v="7"/>
    <x v="0"/>
    <s v="MEDIA"/>
    <s v="MEDIA"/>
    <n v="64"/>
    <s v="cumple"/>
    <x v="2"/>
    <x v="0"/>
    <x v="282"/>
    <n v="6496"/>
    <x v="0"/>
  </r>
  <r>
    <x v="2"/>
    <x v="7"/>
    <x v="0"/>
    <x v="0"/>
    <x v="7"/>
    <x v="2"/>
    <x v="0"/>
    <x v="136"/>
    <x v="283"/>
    <x v="45"/>
    <x v="0"/>
    <x v="45"/>
    <x v="0"/>
    <x v="0"/>
    <x v="0"/>
    <x v="71"/>
    <x v="7"/>
    <x v="0"/>
    <s v="MEDIA"/>
    <s v="MEDIA"/>
    <n v="64"/>
    <s v="cumple"/>
    <x v="2"/>
    <x v="0"/>
    <x v="283"/>
    <n v="6496"/>
    <x v="0"/>
  </r>
  <r>
    <x v="2"/>
    <x v="7"/>
    <x v="0"/>
    <x v="0"/>
    <x v="7"/>
    <x v="2"/>
    <x v="0"/>
    <x v="136"/>
    <x v="284"/>
    <x v="46"/>
    <x v="0"/>
    <x v="46"/>
    <x v="0"/>
    <x v="0"/>
    <x v="0"/>
    <x v="71"/>
    <x v="7"/>
    <x v="0"/>
    <s v="MEDIA"/>
    <s v="MEDIA"/>
    <n v="64"/>
    <s v="cumple"/>
    <x v="2"/>
    <x v="0"/>
    <x v="284"/>
    <n v="6496"/>
    <x v="0"/>
  </r>
  <r>
    <x v="2"/>
    <x v="7"/>
    <x v="0"/>
    <x v="0"/>
    <x v="7"/>
    <x v="2"/>
    <x v="0"/>
    <x v="136"/>
    <x v="285"/>
    <x v="47"/>
    <x v="0"/>
    <x v="47"/>
    <x v="0"/>
    <x v="0"/>
    <x v="0"/>
    <x v="71"/>
    <x v="7"/>
    <x v="0"/>
    <s v="MEDIA"/>
    <s v="MEDIA"/>
    <n v="64"/>
    <s v="cumple"/>
    <x v="2"/>
    <x v="0"/>
    <x v="285"/>
    <n v="6496"/>
    <x v="0"/>
  </r>
  <r>
    <x v="2"/>
    <x v="7"/>
    <x v="0"/>
    <x v="0"/>
    <x v="7"/>
    <x v="2"/>
    <x v="0"/>
    <x v="136"/>
    <x v="286"/>
    <x v="48"/>
    <x v="0"/>
    <x v="48"/>
    <x v="0"/>
    <x v="0"/>
    <x v="0"/>
    <x v="71"/>
    <x v="7"/>
    <x v="0"/>
    <s v="MEDIA"/>
    <s v="MEDIA"/>
    <n v="64"/>
    <s v="cumple"/>
    <x v="2"/>
    <x v="0"/>
    <x v="286"/>
    <n v="6496"/>
    <x v="0"/>
  </r>
  <r>
    <x v="2"/>
    <x v="7"/>
    <x v="0"/>
    <x v="0"/>
    <x v="7"/>
    <x v="2"/>
    <x v="0"/>
    <x v="136"/>
    <x v="287"/>
    <x v="49"/>
    <x v="0"/>
    <x v="49"/>
    <x v="0"/>
    <x v="0"/>
    <x v="0"/>
    <x v="71"/>
    <x v="7"/>
    <x v="0"/>
    <s v="MEDIA"/>
    <s v="MEDIA"/>
    <n v="64"/>
    <s v="cumple"/>
    <x v="2"/>
    <x v="0"/>
    <x v="287"/>
    <n v="6496"/>
    <x v="0"/>
  </r>
  <r>
    <x v="2"/>
    <x v="7"/>
    <x v="0"/>
    <x v="0"/>
    <x v="7"/>
    <x v="2"/>
    <x v="0"/>
    <x v="136"/>
    <x v="288"/>
    <x v="50"/>
    <x v="0"/>
    <x v="50"/>
    <x v="0"/>
    <x v="0"/>
    <x v="0"/>
    <x v="71"/>
    <x v="7"/>
    <x v="0"/>
    <s v="MEDIA"/>
    <s v="MEDIA"/>
    <n v="64"/>
    <s v="cumple"/>
    <x v="2"/>
    <x v="0"/>
    <x v="288"/>
    <n v="6496"/>
    <x v="0"/>
  </r>
  <r>
    <x v="2"/>
    <x v="7"/>
    <x v="0"/>
    <x v="0"/>
    <x v="7"/>
    <x v="2"/>
    <x v="0"/>
    <x v="136"/>
    <x v="289"/>
    <x v="51"/>
    <x v="0"/>
    <x v="51"/>
    <x v="0"/>
    <x v="0"/>
    <x v="0"/>
    <x v="71"/>
    <x v="7"/>
    <x v="0"/>
    <s v="MEDIA"/>
    <s v="MEDIA"/>
    <n v="64"/>
    <s v="cumple"/>
    <x v="2"/>
    <x v="0"/>
    <x v="289"/>
    <n v="6496"/>
    <x v="0"/>
  </r>
  <r>
    <x v="2"/>
    <x v="7"/>
    <x v="0"/>
    <x v="0"/>
    <x v="7"/>
    <x v="2"/>
    <x v="0"/>
    <x v="136"/>
    <x v="290"/>
    <x v="52"/>
    <x v="0"/>
    <x v="52"/>
    <x v="0"/>
    <x v="0"/>
    <x v="0"/>
    <x v="71"/>
    <x v="7"/>
    <x v="0"/>
    <s v="MEDIA"/>
    <s v="MEDIA"/>
    <n v="64"/>
    <s v="cumple"/>
    <x v="2"/>
    <x v="0"/>
    <x v="290"/>
    <n v="6496"/>
    <x v="0"/>
  </r>
  <r>
    <x v="2"/>
    <x v="7"/>
    <x v="0"/>
    <x v="0"/>
    <x v="7"/>
    <x v="2"/>
    <x v="0"/>
    <x v="136"/>
    <x v="291"/>
    <x v="53"/>
    <x v="0"/>
    <x v="53"/>
    <x v="0"/>
    <x v="0"/>
    <x v="0"/>
    <x v="71"/>
    <x v="7"/>
    <x v="0"/>
    <s v="MEDIA"/>
    <s v="MEDIA"/>
    <n v="64"/>
    <s v="cumple"/>
    <x v="2"/>
    <x v="0"/>
    <x v="291"/>
    <n v="6496"/>
    <x v="0"/>
  </r>
  <r>
    <x v="2"/>
    <x v="7"/>
    <x v="0"/>
    <x v="0"/>
    <x v="7"/>
    <x v="2"/>
    <x v="0"/>
    <x v="136"/>
    <x v="292"/>
    <x v="54"/>
    <x v="0"/>
    <x v="54"/>
    <x v="0"/>
    <x v="0"/>
    <x v="0"/>
    <x v="71"/>
    <x v="7"/>
    <x v="0"/>
    <s v="MEDIA"/>
    <s v="MEDIA"/>
    <n v="64"/>
    <s v="cumple"/>
    <x v="2"/>
    <x v="0"/>
    <x v="292"/>
    <n v="6496"/>
    <x v="0"/>
  </r>
  <r>
    <x v="2"/>
    <x v="7"/>
    <x v="0"/>
    <x v="0"/>
    <x v="7"/>
    <x v="2"/>
    <x v="0"/>
    <x v="136"/>
    <x v="293"/>
    <x v="55"/>
    <x v="0"/>
    <x v="55"/>
    <x v="0"/>
    <x v="0"/>
    <x v="0"/>
    <x v="71"/>
    <x v="7"/>
    <x v="0"/>
    <s v="MEDIA"/>
    <s v="MEDIA"/>
    <n v="64"/>
    <s v="cumple"/>
    <x v="2"/>
    <x v="0"/>
    <x v="293"/>
    <n v="6496"/>
    <x v="0"/>
  </r>
  <r>
    <x v="2"/>
    <x v="7"/>
    <x v="0"/>
    <x v="0"/>
    <x v="7"/>
    <x v="2"/>
    <x v="0"/>
    <x v="136"/>
    <x v="294"/>
    <x v="56"/>
    <x v="0"/>
    <x v="56"/>
    <x v="0"/>
    <x v="0"/>
    <x v="0"/>
    <x v="71"/>
    <x v="7"/>
    <x v="0"/>
    <s v="MEDIA"/>
    <s v="MEDIA"/>
    <n v="64"/>
    <s v="cumple"/>
    <x v="2"/>
    <x v="0"/>
    <x v="294"/>
    <n v="6496"/>
    <x v="0"/>
  </r>
  <r>
    <x v="2"/>
    <x v="7"/>
    <x v="0"/>
    <x v="0"/>
    <x v="7"/>
    <x v="2"/>
    <x v="0"/>
    <x v="136"/>
    <x v="295"/>
    <x v="57"/>
    <x v="0"/>
    <x v="57"/>
    <x v="0"/>
    <x v="0"/>
    <x v="0"/>
    <x v="71"/>
    <x v="7"/>
    <x v="0"/>
    <s v="MEDIA"/>
    <s v="MEDIA"/>
    <n v="64"/>
    <s v="cumple"/>
    <x v="2"/>
    <x v="0"/>
    <x v="295"/>
    <n v="6496"/>
    <x v="0"/>
  </r>
  <r>
    <x v="2"/>
    <x v="7"/>
    <x v="0"/>
    <x v="0"/>
    <x v="7"/>
    <x v="2"/>
    <x v="0"/>
    <x v="136"/>
    <x v="296"/>
    <x v="58"/>
    <x v="0"/>
    <x v="58"/>
    <x v="0"/>
    <x v="0"/>
    <x v="0"/>
    <x v="71"/>
    <x v="7"/>
    <x v="0"/>
    <s v="MEDIA"/>
    <s v="MEDIA"/>
    <n v="64"/>
    <s v="cumple"/>
    <x v="2"/>
    <x v="0"/>
    <x v="296"/>
    <n v="6496"/>
    <x v="0"/>
  </r>
  <r>
    <x v="2"/>
    <x v="7"/>
    <x v="0"/>
    <x v="0"/>
    <x v="7"/>
    <x v="2"/>
    <x v="0"/>
    <x v="136"/>
    <x v="297"/>
    <x v="59"/>
    <x v="0"/>
    <x v="59"/>
    <x v="0"/>
    <x v="0"/>
    <x v="0"/>
    <x v="71"/>
    <x v="7"/>
    <x v="0"/>
    <s v="MEDIA"/>
    <s v="MEDIA"/>
    <n v="64"/>
    <s v="cumple"/>
    <x v="2"/>
    <x v="0"/>
    <x v="297"/>
    <n v="6496"/>
    <x v="0"/>
  </r>
  <r>
    <x v="2"/>
    <x v="7"/>
    <x v="0"/>
    <x v="0"/>
    <x v="7"/>
    <x v="2"/>
    <x v="0"/>
    <x v="136"/>
    <x v="298"/>
    <x v="60"/>
    <x v="0"/>
    <x v="60"/>
    <x v="0"/>
    <x v="0"/>
    <x v="0"/>
    <x v="71"/>
    <x v="7"/>
    <x v="0"/>
    <s v="MEDIA"/>
    <s v="MEDIA"/>
    <n v="64"/>
    <s v="cumple"/>
    <x v="2"/>
    <x v="0"/>
    <x v="298"/>
    <n v="6496"/>
    <x v="0"/>
  </r>
  <r>
    <x v="2"/>
    <x v="7"/>
    <x v="0"/>
    <x v="0"/>
    <x v="7"/>
    <x v="2"/>
    <x v="0"/>
    <x v="136"/>
    <x v="299"/>
    <x v="61"/>
    <x v="0"/>
    <x v="61"/>
    <x v="0"/>
    <x v="0"/>
    <x v="0"/>
    <x v="71"/>
    <x v="7"/>
    <x v="0"/>
    <s v="MEDIA"/>
    <s v="MEDIA"/>
    <n v="64"/>
    <s v="cumple"/>
    <x v="2"/>
    <x v="0"/>
    <x v="299"/>
    <n v="6496"/>
    <x v="0"/>
  </r>
  <r>
    <x v="2"/>
    <x v="7"/>
    <x v="0"/>
    <x v="0"/>
    <x v="7"/>
    <x v="2"/>
    <x v="0"/>
    <x v="136"/>
    <x v="300"/>
    <x v="62"/>
    <x v="0"/>
    <x v="62"/>
    <x v="0"/>
    <x v="0"/>
    <x v="0"/>
    <x v="71"/>
    <x v="7"/>
    <x v="0"/>
    <s v="MEDIA"/>
    <s v="MEDIA"/>
    <n v="64"/>
    <s v="cumple"/>
    <x v="2"/>
    <x v="0"/>
    <x v="300"/>
    <n v="6496"/>
    <x v="0"/>
  </r>
  <r>
    <x v="2"/>
    <x v="7"/>
    <x v="0"/>
    <x v="0"/>
    <x v="7"/>
    <x v="2"/>
    <x v="0"/>
    <x v="136"/>
    <x v="300"/>
    <x v="63"/>
    <x v="0"/>
    <x v="63"/>
    <x v="0"/>
    <x v="0"/>
    <x v="0"/>
    <x v="71"/>
    <x v="7"/>
    <x v="0"/>
    <s v="MEDIA"/>
    <s v="MEDIA"/>
    <n v="64"/>
    <s v="cumple"/>
    <x v="2"/>
    <x v="0"/>
    <x v="300"/>
    <n v="6496"/>
    <x v="0"/>
  </r>
  <r>
    <x v="2"/>
    <x v="7"/>
    <x v="0"/>
    <x v="0"/>
    <x v="7"/>
    <x v="2"/>
    <x v="0"/>
    <x v="136"/>
    <x v="301"/>
    <x v="64"/>
    <x v="0"/>
    <x v="64"/>
    <x v="0"/>
    <x v="0"/>
    <x v="0"/>
    <x v="71"/>
    <x v="7"/>
    <x v="0"/>
    <s v="MEDIA"/>
    <s v="MEDIA"/>
    <n v="64"/>
    <s v="cumple"/>
    <x v="2"/>
    <x v="0"/>
    <x v="301"/>
    <n v="6496"/>
    <x v="0"/>
  </r>
  <r>
    <x v="2"/>
    <x v="7"/>
    <x v="0"/>
    <x v="0"/>
    <x v="7"/>
    <x v="2"/>
    <x v="0"/>
    <x v="136"/>
    <x v="302"/>
    <x v="65"/>
    <x v="0"/>
    <x v="65"/>
    <x v="0"/>
    <x v="0"/>
    <x v="0"/>
    <x v="71"/>
    <x v="7"/>
    <x v="0"/>
    <s v="MEDIA"/>
    <s v="MEDIA"/>
    <n v="64"/>
    <s v="cumple"/>
    <x v="2"/>
    <x v="0"/>
    <x v="302"/>
    <n v="6496"/>
    <x v="0"/>
  </r>
  <r>
    <x v="0"/>
    <x v="0"/>
    <x v="2"/>
    <x v="0"/>
    <x v="6"/>
    <x v="5"/>
    <x v="1"/>
    <x v="39"/>
    <x v="303"/>
    <x v="44"/>
    <x v="0"/>
    <x v="44"/>
    <x v="5"/>
    <x v="7"/>
    <x v="0"/>
    <x v="72"/>
    <x v="3"/>
    <x v="1"/>
    <s v="MEDIA"/>
    <s v="MEDIA"/>
    <n v="64"/>
    <s v="cumple"/>
    <x v="2"/>
    <x v="2"/>
    <x v="303"/>
    <n v="2320"/>
    <x v="0"/>
  </r>
  <r>
    <x v="0"/>
    <x v="0"/>
    <x v="2"/>
    <x v="0"/>
    <x v="6"/>
    <x v="5"/>
    <x v="1"/>
    <x v="39"/>
    <x v="304"/>
    <x v="44"/>
    <x v="3"/>
    <x v="44"/>
    <x v="0"/>
    <x v="7"/>
    <x v="0"/>
    <x v="73"/>
    <x v="3"/>
    <x v="1"/>
    <s v="MEDIA"/>
    <s v="MEDIA"/>
    <n v="64"/>
    <s v="cumple"/>
    <x v="2"/>
    <x v="2"/>
    <x v="304"/>
    <n v="2320"/>
    <x v="0"/>
  </r>
  <r>
    <x v="0"/>
    <x v="0"/>
    <x v="2"/>
    <x v="0"/>
    <x v="6"/>
    <x v="5"/>
    <x v="1"/>
    <x v="39"/>
    <x v="305"/>
    <x v="45"/>
    <x v="0"/>
    <x v="45"/>
    <x v="5"/>
    <x v="7"/>
    <x v="0"/>
    <x v="73"/>
    <x v="3"/>
    <x v="1"/>
    <s v="MEDIA"/>
    <s v="MEDIA"/>
    <n v="64"/>
    <s v="cumple"/>
    <x v="2"/>
    <x v="2"/>
    <x v="305"/>
    <n v="2320"/>
    <x v="0"/>
  </r>
  <r>
    <x v="0"/>
    <x v="0"/>
    <x v="2"/>
    <x v="0"/>
    <x v="6"/>
    <x v="5"/>
    <x v="1"/>
    <x v="39"/>
    <x v="306"/>
    <x v="45"/>
    <x v="3"/>
    <x v="45"/>
    <x v="0"/>
    <x v="7"/>
    <x v="0"/>
    <x v="74"/>
    <x v="3"/>
    <x v="1"/>
    <s v="MEDIA"/>
    <s v="MEDIA"/>
    <n v="64"/>
    <s v="cumple"/>
    <x v="2"/>
    <x v="2"/>
    <x v="306"/>
    <n v="2320"/>
    <x v="0"/>
  </r>
  <r>
    <x v="0"/>
    <x v="0"/>
    <x v="2"/>
    <x v="0"/>
    <x v="6"/>
    <x v="5"/>
    <x v="1"/>
    <x v="39"/>
    <x v="307"/>
    <x v="46"/>
    <x v="0"/>
    <x v="46"/>
    <x v="3"/>
    <x v="4"/>
    <x v="0"/>
    <x v="75"/>
    <x v="3"/>
    <x v="1"/>
    <s v="MEDIA"/>
    <s v="MEDIA"/>
    <n v="64"/>
    <s v="cumple"/>
    <x v="2"/>
    <x v="2"/>
    <x v="307"/>
    <n v="1160"/>
    <x v="0"/>
  </r>
  <r>
    <x v="0"/>
    <x v="0"/>
    <x v="2"/>
    <x v="0"/>
    <x v="6"/>
    <x v="5"/>
    <x v="1"/>
    <x v="39"/>
    <x v="308"/>
    <x v="46"/>
    <x v="4"/>
    <x v="46"/>
    <x v="4"/>
    <x v="2"/>
    <x v="0"/>
    <x v="76"/>
    <x v="3"/>
    <x v="1"/>
    <s v="MEDIA"/>
    <s v="MEDIA"/>
    <n v="64"/>
    <s v="cumple"/>
    <x v="2"/>
    <x v="2"/>
    <x v="308"/>
    <n v="580"/>
    <x v="0"/>
  </r>
  <r>
    <x v="0"/>
    <x v="5"/>
    <x v="2"/>
    <x v="0"/>
    <x v="6"/>
    <x v="5"/>
    <x v="1"/>
    <x v="39"/>
    <x v="309"/>
    <x v="46"/>
    <x v="6"/>
    <x v="46"/>
    <x v="6"/>
    <x v="7"/>
    <x v="0"/>
    <x v="77"/>
    <x v="3"/>
    <x v="1"/>
    <s v="MEDIA"/>
    <s v="MEDIA"/>
    <n v="64"/>
    <s v="cumple"/>
    <x v="2"/>
    <x v="2"/>
    <x v="309"/>
    <n v="2320"/>
    <x v="0"/>
  </r>
  <r>
    <x v="0"/>
    <x v="5"/>
    <x v="2"/>
    <x v="0"/>
    <x v="6"/>
    <x v="5"/>
    <x v="1"/>
    <x v="39"/>
    <x v="310"/>
    <x v="47"/>
    <x v="0"/>
    <x v="47"/>
    <x v="4"/>
    <x v="5"/>
    <x v="0"/>
    <x v="74"/>
    <x v="3"/>
    <x v="1"/>
    <s v="MEDIA"/>
    <s v="MEDIA"/>
    <n v="64"/>
    <s v="cumple"/>
    <x v="2"/>
    <x v="2"/>
    <x v="310"/>
    <n v="1739.9999999999998"/>
    <x v="0"/>
  </r>
  <r>
    <x v="0"/>
    <x v="5"/>
    <x v="2"/>
    <x v="0"/>
    <x v="6"/>
    <x v="5"/>
    <x v="1"/>
    <x v="39"/>
    <x v="311"/>
    <x v="47"/>
    <x v="6"/>
    <x v="47"/>
    <x v="12"/>
    <x v="12"/>
    <x v="0"/>
    <x v="78"/>
    <x v="3"/>
    <x v="1"/>
    <s v="MEDIA"/>
    <s v="MEDIA"/>
    <n v="64"/>
    <s v="cumple"/>
    <x v="2"/>
    <x v="2"/>
    <x v="311"/>
    <n v="1450"/>
    <x v="0"/>
  </r>
  <r>
    <x v="0"/>
    <x v="5"/>
    <x v="2"/>
    <x v="0"/>
    <x v="6"/>
    <x v="5"/>
    <x v="1"/>
    <x v="39"/>
    <x v="312"/>
    <x v="47"/>
    <x v="7"/>
    <x v="47"/>
    <x v="2"/>
    <x v="2"/>
    <x v="0"/>
    <x v="79"/>
    <x v="3"/>
    <x v="1"/>
    <s v="MEDIA"/>
    <s v="MEDIA"/>
    <n v="64"/>
    <s v="cumple"/>
    <x v="2"/>
    <x v="2"/>
    <x v="312"/>
    <n v="580"/>
    <x v="0"/>
  </r>
  <r>
    <x v="0"/>
    <x v="5"/>
    <x v="2"/>
    <x v="0"/>
    <x v="6"/>
    <x v="5"/>
    <x v="1"/>
    <x v="39"/>
    <x v="313"/>
    <x v="47"/>
    <x v="2"/>
    <x v="47"/>
    <x v="0"/>
    <x v="4"/>
    <x v="0"/>
    <x v="72"/>
    <x v="3"/>
    <x v="1"/>
    <s v="MEDIA"/>
    <s v="MEDIA"/>
    <n v="64"/>
    <s v="cumple"/>
    <x v="2"/>
    <x v="2"/>
    <x v="313"/>
    <n v="1160"/>
    <x v="0"/>
  </r>
  <r>
    <x v="0"/>
    <x v="5"/>
    <x v="2"/>
    <x v="0"/>
    <x v="6"/>
    <x v="5"/>
    <x v="1"/>
    <x v="39"/>
    <x v="314"/>
    <x v="48"/>
    <x v="0"/>
    <x v="48"/>
    <x v="3"/>
    <x v="4"/>
    <x v="0"/>
    <x v="74"/>
    <x v="3"/>
    <x v="1"/>
    <s v="MEDIA"/>
    <s v="MEDIA"/>
    <n v="64"/>
    <s v="cumple"/>
    <x v="2"/>
    <x v="2"/>
    <x v="314"/>
    <n v="1160"/>
    <x v="0"/>
  </r>
  <r>
    <x v="0"/>
    <x v="5"/>
    <x v="2"/>
    <x v="0"/>
    <x v="6"/>
    <x v="5"/>
    <x v="1"/>
    <x v="39"/>
    <x v="315"/>
    <x v="48"/>
    <x v="4"/>
    <x v="48"/>
    <x v="9"/>
    <x v="5"/>
    <x v="0"/>
    <x v="80"/>
    <x v="3"/>
    <x v="1"/>
    <s v="MEDIA"/>
    <s v="MEDIA"/>
    <n v="64"/>
    <s v="cumple"/>
    <x v="2"/>
    <x v="2"/>
    <x v="315"/>
    <n v="1739.9999999999998"/>
    <x v="0"/>
  </r>
  <r>
    <x v="0"/>
    <x v="5"/>
    <x v="2"/>
    <x v="0"/>
    <x v="6"/>
    <x v="5"/>
    <x v="1"/>
    <x v="39"/>
    <x v="316"/>
    <x v="48"/>
    <x v="9"/>
    <x v="48"/>
    <x v="1"/>
    <x v="12"/>
    <x v="0"/>
    <x v="81"/>
    <x v="3"/>
    <x v="1"/>
    <s v="MEDIA"/>
    <s v="MEDIA"/>
    <n v="64"/>
    <s v="cumple"/>
    <x v="2"/>
    <x v="2"/>
    <x v="316"/>
    <n v="1450"/>
    <x v="0"/>
  </r>
  <r>
    <x v="0"/>
    <x v="5"/>
    <x v="2"/>
    <x v="0"/>
    <x v="6"/>
    <x v="5"/>
    <x v="1"/>
    <x v="39"/>
    <x v="317"/>
    <x v="48"/>
    <x v="1"/>
    <x v="48"/>
    <x v="0"/>
    <x v="2"/>
    <x v="0"/>
    <x v="74"/>
    <x v="3"/>
    <x v="1"/>
    <s v="MEDIA"/>
    <s v="MEDIA"/>
    <n v="64"/>
    <s v="cumple"/>
    <x v="2"/>
    <x v="2"/>
    <x v="317"/>
    <n v="580"/>
    <x v="0"/>
  </r>
  <r>
    <x v="0"/>
    <x v="5"/>
    <x v="2"/>
    <x v="0"/>
    <x v="6"/>
    <x v="5"/>
    <x v="1"/>
    <x v="39"/>
    <x v="318"/>
    <x v="49"/>
    <x v="0"/>
    <x v="49"/>
    <x v="13"/>
    <x v="13"/>
    <x v="0"/>
    <x v="82"/>
    <x v="3"/>
    <x v="1"/>
    <s v="MEDIA"/>
    <s v="MEDIA"/>
    <n v="64"/>
    <s v="cumple"/>
    <x v="2"/>
    <x v="2"/>
    <x v="318"/>
    <n v="2029.9999999999998"/>
    <x v="0"/>
  </r>
  <r>
    <x v="0"/>
    <x v="5"/>
    <x v="2"/>
    <x v="0"/>
    <x v="6"/>
    <x v="5"/>
    <x v="1"/>
    <x v="39"/>
    <x v="319"/>
    <x v="49"/>
    <x v="10"/>
    <x v="49"/>
    <x v="2"/>
    <x v="5"/>
    <x v="0"/>
    <x v="74"/>
    <x v="3"/>
    <x v="1"/>
    <s v="MEDIA"/>
    <s v="MEDIA"/>
    <n v="64"/>
    <s v="cumple"/>
    <x v="2"/>
    <x v="2"/>
    <x v="319"/>
    <n v="1739.9999999999998"/>
    <x v="0"/>
  </r>
  <r>
    <x v="0"/>
    <x v="5"/>
    <x v="2"/>
    <x v="0"/>
    <x v="6"/>
    <x v="5"/>
    <x v="1"/>
    <x v="39"/>
    <x v="320"/>
    <x v="49"/>
    <x v="2"/>
    <x v="49"/>
    <x v="0"/>
    <x v="4"/>
    <x v="0"/>
    <x v="83"/>
    <x v="3"/>
    <x v="1"/>
    <s v="MEDIA"/>
    <s v="MEDIA"/>
    <n v="64"/>
    <s v="cumple"/>
    <x v="2"/>
    <x v="2"/>
    <x v="320"/>
    <n v="1160"/>
    <x v="0"/>
  </r>
  <r>
    <x v="0"/>
    <x v="5"/>
    <x v="2"/>
    <x v="0"/>
    <x v="6"/>
    <x v="5"/>
    <x v="1"/>
    <x v="39"/>
    <x v="315"/>
    <x v="50"/>
    <x v="0"/>
    <x v="50"/>
    <x v="3"/>
    <x v="4"/>
    <x v="0"/>
    <x v="80"/>
    <x v="3"/>
    <x v="1"/>
    <s v="MEDIA"/>
    <s v="MEDIA"/>
    <n v="64"/>
    <s v="cumple"/>
    <x v="2"/>
    <x v="2"/>
    <x v="315"/>
    <n v="1160"/>
    <x v="0"/>
  </r>
  <r>
    <x v="0"/>
    <x v="5"/>
    <x v="2"/>
    <x v="0"/>
    <x v="6"/>
    <x v="5"/>
    <x v="1"/>
    <x v="39"/>
    <x v="321"/>
    <x v="50"/>
    <x v="4"/>
    <x v="50"/>
    <x v="14"/>
    <x v="12"/>
    <x v="0"/>
    <x v="80"/>
    <x v="3"/>
    <x v="1"/>
    <s v="MEDIA"/>
    <s v="MEDIA"/>
    <n v="64"/>
    <s v="cumple"/>
    <x v="2"/>
    <x v="2"/>
    <x v="321"/>
    <n v="1450"/>
    <x v="0"/>
  </r>
  <r>
    <x v="0"/>
    <x v="5"/>
    <x v="2"/>
    <x v="0"/>
    <x v="6"/>
    <x v="5"/>
    <x v="1"/>
    <x v="39"/>
    <x v="322"/>
    <x v="50"/>
    <x v="11"/>
    <x v="50"/>
    <x v="0"/>
    <x v="7"/>
    <x v="0"/>
    <x v="73"/>
    <x v="3"/>
    <x v="1"/>
    <s v="MEDIA"/>
    <s v="MEDIA"/>
    <n v="64"/>
    <s v="cumple"/>
    <x v="2"/>
    <x v="2"/>
    <x v="322"/>
    <n v="2320"/>
    <x v="0"/>
  </r>
  <r>
    <x v="0"/>
    <x v="5"/>
    <x v="2"/>
    <x v="0"/>
    <x v="6"/>
    <x v="5"/>
    <x v="1"/>
    <x v="39"/>
    <x v="319"/>
    <x v="51"/>
    <x v="0"/>
    <x v="51"/>
    <x v="3"/>
    <x v="4"/>
    <x v="0"/>
    <x v="74"/>
    <x v="3"/>
    <x v="1"/>
    <s v="MEDIA"/>
    <s v="MEDIA"/>
    <n v="64"/>
    <s v="cumple"/>
    <x v="2"/>
    <x v="2"/>
    <x v="319"/>
    <n v="1160"/>
    <x v="0"/>
  </r>
  <r>
    <x v="0"/>
    <x v="5"/>
    <x v="2"/>
    <x v="0"/>
    <x v="6"/>
    <x v="5"/>
    <x v="1"/>
    <x v="39"/>
    <x v="315"/>
    <x v="51"/>
    <x v="4"/>
    <x v="51"/>
    <x v="4"/>
    <x v="2"/>
    <x v="0"/>
    <x v="80"/>
    <x v="3"/>
    <x v="1"/>
    <s v="MEDIA"/>
    <s v="MEDIA"/>
    <n v="64"/>
    <s v="cumple"/>
    <x v="2"/>
    <x v="2"/>
    <x v="315"/>
    <n v="580"/>
    <x v="0"/>
  </r>
  <r>
    <x v="0"/>
    <x v="5"/>
    <x v="2"/>
    <x v="0"/>
    <x v="6"/>
    <x v="5"/>
    <x v="1"/>
    <x v="39"/>
    <x v="314"/>
    <x v="51"/>
    <x v="6"/>
    <x v="51"/>
    <x v="6"/>
    <x v="7"/>
    <x v="0"/>
    <x v="74"/>
    <x v="3"/>
    <x v="1"/>
    <s v="MEDIA"/>
    <s v="MEDIA"/>
    <n v="64"/>
    <s v="cumple"/>
    <x v="2"/>
    <x v="2"/>
    <x v="314"/>
    <n v="2320"/>
    <x v="0"/>
  </r>
  <r>
    <x v="0"/>
    <x v="5"/>
    <x v="2"/>
    <x v="0"/>
    <x v="6"/>
    <x v="5"/>
    <x v="1"/>
    <x v="39"/>
    <x v="323"/>
    <x v="52"/>
    <x v="0"/>
    <x v="52"/>
    <x v="15"/>
    <x v="12"/>
    <x v="0"/>
    <x v="84"/>
    <x v="3"/>
    <x v="1"/>
    <s v="MEDIA"/>
    <s v="MEDIA"/>
    <n v="64"/>
    <s v="cumple"/>
    <x v="2"/>
    <x v="2"/>
    <x v="323"/>
    <n v="1450"/>
    <x v="0"/>
  </r>
  <r>
    <x v="0"/>
    <x v="5"/>
    <x v="2"/>
    <x v="0"/>
    <x v="6"/>
    <x v="5"/>
    <x v="1"/>
    <x v="39"/>
    <x v="316"/>
    <x v="52"/>
    <x v="12"/>
    <x v="52"/>
    <x v="1"/>
    <x v="6"/>
    <x v="0"/>
    <x v="81"/>
    <x v="3"/>
    <x v="1"/>
    <s v="MEDIA"/>
    <s v="MEDIA"/>
    <n v="64"/>
    <s v="cumple"/>
    <x v="2"/>
    <x v="2"/>
    <x v="316"/>
    <n v="2900"/>
    <x v="0"/>
  </r>
  <r>
    <x v="0"/>
    <x v="5"/>
    <x v="2"/>
    <x v="0"/>
    <x v="6"/>
    <x v="5"/>
    <x v="1"/>
    <x v="39"/>
    <x v="324"/>
    <x v="52"/>
    <x v="1"/>
    <x v="52"/>
    <x v="0"/>
    <x v="2"/>
    <x v="0"/>
    <x v="85"/>
    <x v="3"/>
    <x v="1"/>
    <s v="MEDIA"/>
    <s v="MEDIA"/>
    <n v="64"/>
    <s v="cumple"/>
    <x v="2"/>
    <x v="2"/>
    <x v="324"/>
    <n v="580"/>
    <x v="0"/>
  </r>
  <r>
    <x v="0"/>
    <x v="5"/>
    <x v="2"/>
    <x v="0"/>
    <x v="6"/>
    <x v="5"/>
    <x v="1"/>
    <x v="39"/>
    <x v="315"/>
    <x v="53"/>
    <x v="0"/>
    <x v="53"/>
    <x v="13"/>
    <x v="13"/>
    <x v="0"/>
    <x v="80"/>
    <x v="3"/>
    <x v="1"/>
    <s v="MEDIA"/>
    <s v="MEDIA"/>
    <n v="64"/>
    <s v="cumple"/>
    <x v="2"/>
    <x v="2"/>
    <x v="315"/>
    <n v="2029.9999999999998"/>
    <x v="0"/>
  </r>
  <r>
    <x v="0"/>
    <x v="5"/>
    <x v="2"/>
    <x v="0"/>
    <x v="6"/>
    <x v="5"/>
    <x v="1"/>
    <x v="39"/>
    <x v="314"/>
    <x v="53"/>
    <x v="10"/>
    <x v="53"/>
    <x v="2"/>
    <x v="5"/>
    <x v="0"/>
    <x v="74"/>
    <x v="3"/>
    <x v="1"/>
    <s v="MEDIA"/>
    <s v="MEDIA"/>
    <n v="64"/>
    <s v="cumple"/>
    <x v="2"/>
    <x v="2"/>
    <x v="314"/>
    <n v="1739.9999999999998"/>
    <x v="0"/>
  </r>
  <r>
    <x v="0"/>
    <x v="5"/>
    <x v="2"/>
    <x v="0"/>
    <x v="6"/>
    <x v="5"/>
    <x v="1"/>
    <x v="39"/>
    <x v="325"/>
    <x v="53"/>
    <x v="2"/>
    <x v="53"/>
    <x v="0"/>
    <x v="4"/>
    <x v="0"/>
    <x v="82"/>
    <x v="3"/>
    <x v="1"/>
    <s v="MEDIA"/>
    <s v="MEDIA"/>
    <n v="64"/>
    <s v="cumple"/>
    <x v="2"/>
    <x v="2"/>
    <x v="325"/>
    <n v="1160"/>
    <x v="0"/>
  </r>
  <r>
    <x v="0"/>
    <x v="5"/>
    <x v="2"/>
    <x v="0"/>
    <x v="6"/>
    <x v="5"/>
    <x v="1"/>
    <x v="39"/>
    <x v="326"/>
    <x v="54"/>
    <x v="0"/>
    <x v="54"/>
    <x v="5"/>
    <x v="7"/>
    <x v="0"/>
    <x v="86"/>
    <x v="3"/>
    <x v="1"/>
    <s v="MEDIA"/>
    <s v="MEDIA"/>
    <n v="64"/>
    <s v="cumple"/>
    <x v="2"/>
    <x v="2"/>
    <x v="326"/>
    <n v="2320"/>
    <x v="0"/>
  </r>
  <r>
    <x v="0"/>
    <x v="5"/>
    <x v="2"/>
    <x v="0"/>
    <x v="6"/>
    <x v="5"/>
    <x v="1"/>
    <x v="39"/>
    <x v="327"/>
    <x v="54"/>
    <x v="3"/>
    <x v="54"/>
    <x v="0"/>
    <x v="14"/>
    <x v="0"/>
    <x v="87"/>
    <x v="3"/>
    <x v="1"/>
    <s v="MEDIA"/>
    <s v="MEDIA"/>
    <n v="64"/>
    <s v="cumple"/>
    <x v="2"/>
    <x v="2"/>
    <x v="327"/>
    <n v="2610"/>
    <x v="0"/>
  </r>
  <r>
    <x v="0"/>
    <x v="5"/>
    <x v="2"/>
    <x v="0"/>
    <x v="6"/>
    <x v="5"/>
    <x v="1"/>
    <x v="39"/>
    <x v="328"/>
    <x v="55"/>
    <x v="0"/>
    <x v="55"/>
    <x v="16"/>
    <x v="15"/>
    <x v="0"/>
    <x v="88"/>
    <x v="3"/>
    <x v="1"/>
    <s v="MEDIA"/>
    <s v="MEDIA"/>
    <n v="64"/>
    <s v="cumple"/>
    <x v="2"/>
    <x v="2"/>
    <x v="328"/>
    <n v="869.99999999999989"/>
    <x v="0"/>
  </r>
  <r>
    <x v="0"/>
    <x v="5"/>
    <x v="2"/>
    <x v="0"/>
    <x v="6"/>
    <x v="5"/>
    <x v="1"/>
    <x v="39"/>
    <x v="322"/>
    <x v="55"/>
    <x v="13"/>
    <x v="55"/>
    <x v="13"/>
    <x v="4"/>
    <x v="0"/>
    <x v="89"/>
    <x v="3"/>
    <x v="1"/>
    <s v="MEDIA"/>
    <s v="MEDIA"/>
    <n v="64"/>
    <s v="cumple"/>
    <x v="2"/>
    <x v="2"/>
    <x v="322"/>
    <n v="1160"/>
    <x v="0"/>
  </r>
  <r>
    <x v="0"/>
    <x v="5"/>
    <x v="2"/>
    <x v="0"/>
    <x v="6"/>
    <x v="5"/>
    <x v="1"/>
    <x v="39"/>
    <x v="329"/>
    <x v="55"/>
    <x v="10"/>
    <x v="55"/>
    <x v="0"/>
    <x v="6"/>
    <x v="0"/>
    <x v="90"/>
    <x v="3"/>
    <x v="1"/>
    <s v="MEDIA"/>
    <s v="MEDIA"/>
    <n v="64"/>
    <s v="cumple"/>
    <x v="2"/>
    <x v="2"/>
    <x v="329"/>
    <n v="2900"/>
    <x v="0"/>
  </r>
  <r>
    <x v="0"/>
    <x v="5"/>
    <x v="2"/>
    <x v="0"/>
    <x v="6"/>
    <x v="5"/>
    <x v="1"/>
    <x v="39"/>
    <x v="330"/>
    <x v="56"/>
    <x v="0"/>
    <x v="56"/>
    <x v="4"/>
    <x v="5"/>
    <x v="0"/>
    <x v="91"/>
    <x v="3"/>
    <x v="1"/>
    <s v="MEDIA"/>
    <s v="MEDIA"/>
    <n v="64"/>
    <s v="cumple"/>
    <x v="2"/>
    <x v="2"/>
    <x v="330"/>
    <n v="1739.9999999999998"/>
    <x v="0"/>
  </r>
  <r>
    <x v="0"/>
    <x v="5"/>
    <x v="2"/>
    <x v="0"/>
    <x v="6"/>
    <x v="5"/>
    <x v="1"/>
    <x v="39"/>
    <x v="331"/>
    <x v="56"/>
    <x v="6"/>
    <x v="56"/>
    <x v="10"/>
    <x v="13"/>
    <x v="0"/>
    <x v="92"/>
    <x v="3"/>
    <x v="1"/>
    <s v="MEDIA"/>
    <s v="MEDIA"/>
    <n v="64"/>
    <s v="cumple"/>
    <x v="2"/>
    <x v="2"/>
    <x v="331"/>
    <n v="2029.9999999999998"/>
    <x v="0"/>
  </r>
  <r>
    <x v="0"/>
    <x v="5"/>
    <x v="2"/>
    <x v="0"/>
    <x v="6"/>
    <x v="5"/>
    <x v="1"/>
    <x v="39"/>
    <x v="332"/>
    <x v="57"/>
    <x v="0"/>
    <x v="57"/>
    <x v="16"/>
    <x v="15"/>
    <x v="0"/>
    <x v="93"/>
    <x v="3"/>
    <x v="1"/>
    <s v="MEDIA"/>
    <s v="MEDIA"/>
    <n v="64"/>
    <s v="cumple"/>
    <x v="2"/>
    <x v="2"/>
    <x v="332"/>
    <n v="869.99999999999989"/>
    <x v="0"/>
  </r>
  <r>
    <x v="0"/>
    <x v="5"/>
    <x v="2"/>
    <x v="0"/>
    <x v="6"/>
    <x v="5"/>
    <x v="1"/>
    <x v="39"/>
    <x v="333"/>
    <x v="57"/>
    <x v="13"/>
    <x v="57"/>
    <x v="15"/>
    <x v="2"/>
    <x v="0"/>
    <x v="94"/>
    <x v="3"/>
    <x v="1"/>
    <s v="MEDIA"/>
    <s v="MEDIA"/>
    <n v="64"/>
    <s v="cumple"/>
    <x v="2"/>
    <x v="2"/>
    <x v="333"/>
    <n v="580"/>
    <x v="0"/>
  </r>
  <r>
    <x v="0"/>
    <x v="5"/>
    <x v="2"/>
    <x v="0"/>
    <x v="6"/>
    <x v="5"/>
    <x v="1"/>
    <x v="39"/>
    <x v="334"/>
    <x v="57"/>
    <x v="12"/>
    <x v="57"/>
    <x v="12"/>
    <x v="5"/>
    <x v="0"/>
    <x v="91"/>
    <x v="3"/>
    <x v="1"/>
    <s v="MEDIA"/>
    <s v="MEDIA"/>
    <n v="64"/>
    <s v="cumple"/>
    <x v="2"/>
    <x v="2"/>
    <x v="334"/>
    <n v="1739.9999999999998"/>
    <x v="0"/>
  </r>
  <r>
    <x v="0"/>
    <x v="5"/>
    <x v="2"/>
    <x v="0"/>
    <x v="6"/>
    <x v="5"/>
    <x v="1"/>
    <x v="39"/>
    <x v="335"/>
    <x v="57"/>
    <x v="7"/>
    <x v="57"/>
    <x v="0"/>
    <x v="5"/>
    <x v="0"/>
    <x v="95"/>
    <x v="3"/>
    <x v="1"/>
    <s v="MEDIA"/>
    <s v="MEDIA"/>
    <n v="64"/>
    <s v="cumple"/>
    <x v="2"/>
    <x v="2"/>
    <x v="335"/>
    <n v="1739.9999999999998"/>
    <x v="0"/>
  </r>
  <r>
    <x v="0"/>
    <x v="5"/>
    <x v="2"/>
    <x v="0"/>
    <x v="6"/>
    <x v="5"/>
    <x v="1"/>
    <x v="39"/>
    <x v="336"/>
    <x v="58"/>
    <x v="0"/>
    <x v="58"/>
    <x v="5"/>
    <x v="7"/>
    <x v="0"/>
    <x v="83"/>
    <x v="3"/>
    <x v="1"/>
    <s v="MEDIA"/>
    <s v="MEDIA"/>
    <n v="64"/>
    <s v="cumple"/>
    <x v="2"/>
    <x v="2"/>
    <x v="336"/>
    <n v="2320"/>
    <x v="0"/>
  </r>
  <r>
    <x v="0"/>
    <x v="5"/>
    <x v="2"/>
    <x v="0"/>
    <x v="6"/>
    <x v="5"/>
    <x v="1"/>
    <x v="39"/>
    <x v="337"/>
    <x v="58"/>
    <x v="3"/>
    <x v="58"/>
    <x v="1"/>
    <x v="13"/>
    <x v="0"/>
    <x v="96"/>
    <x v="3"/>
    <x v="1"/>
    <s v="MEDIA"/>
    <s v="MEDIA"/>
    <n v="64"/>
    <s v="cumple"/>
    <x v="2"/>
    <x v="2"/>
    <x v="337"/>
    <n v="2029.9999999999998"/>
    <x v="0"/>
  </r>
  <r>
    <x v="0"/>
    <x v="5"/>
    <x v="2"/>
    <x v="0"/>
    <x v="6"/>
    <x v="5"/>
    <x v="1"/>
    <x v="39"/>
    <x v="338"/>
    <x v="58"/>
    <x v="1"/>
    <x v="58"/>
    <x v="0"/>
    <x v="2"/>
    <x v="0"/>
    <x v="97"/>
    <x v="3"/>
    <x v="1"/>
    <s v="MEDIA"/>
    <s v="MEDIA"/>
    <n v="64"/>
    <s v="cumple"/>
    <x v="2"/>
    <x v="2"/>
    <x v="338"/>
    <n v="580"/>
    <x v="0"/>
  </r>
  <r>
    <x v="0"/>
    <x v="5"/>
    <x v="2"/>
    <x v="0"/>
    <x v="6"/>
    <x v="5"/>
    <x v="1"/>
    <x v="39"/>
    <x v="339"/>
    <x v="59"/>
    <x v="0"/>
    <x v="59"/>
    <x v="15"/>
    <x v="12"/>
    <x v="0"/>
    <x v="98"/>
    <x v="3"/>
    <x v="1"/>
    <s v="MEDIA"/>
    <s v="MEDIA"/>
    <n v="64"/>
    <s v="cumple"/>
    <x v="2"/>
    <x v="2"/>
    <x v="339"/>
    <n v="1450"/>
    <x v="0"/>
  </r>
  <r>
    <x v="0"/>
    <x v="5"/>
    <x v="2"/>
    <x v="0"/>
    <x v="6"/>
    <x v="5"/>
    <x v="1"/>
    <x v="39"/>
    <x v="340"/>
    <x v="59"/>
    <x v="12"/>
    <x v="59"/>
    <x v="13"/>
    <x v="2"/>
    <x v="0"/>
    <x v="99"/>
    <x v="3"/>
    <x v="1"/>
    <s v="MEDIA"/>
    <s v="MEDIA"/>
    <n v="64"/>
    <s v="cumple"/>
    <x v="2"/>
    <x v="2"/>
    <x v="340"/>
    <n v="580"/>
    <x v="0"/>
  </r>
  <r>
    <x v="0"/>
    <x v="5"/>
    <x v="2"/>
    <x v="0"/>
    <x v="6"/>
    <x v="5"/>
    <x v="1"/>
    <x v="39"/>
    <x v="322"/>
    <x v="59"/>
    <x v="10"/>
    <x v="59"/>
    <x v="1"/>
    <x v="7"/>
    <x v="0"/>
    <x v="73"/>
    <x v="3"/>
    <x v="1"/>
    <s v="MEDIA"/>
    <s v="MEDIA"/>
    <n v="64"/>
    <s v="cumple"/>
    <x v="2"/>
    <x v="2"/>
    <x v="322"/>
    <n v="2320"/>
    <x v="0"/>
  </r>
  <r>
    <x v="0"/>
    <x v="5"/>
    <x v="2"/>
    <x v="0"/>
    <x v="6"/>
    <x v="5"/>
    <x v="1"/>
    <x v="39"/>
    <x v="341"/>
    <x v="59"/>
    <x v="1"/>
    <x v="59"/>
    <x v="0"/>
    <x v="2"/>
    <x v="0"/>
    <x v="100"/>
    <x v="3"/>
    <x v="1"/>
    <s v="MEDIA"/>
    <s v="MEDIA"/>
    <n v="64"/>
    <s v="cumple"/>
    <x v="2"/>
    <x v="2"/>
    <x v="341"/>
    <n v="580"/>
    <x v="0"/>
  </r>
  <r>
    <x v="0"/>
    <x v="5"/>
    <x v="2"/>
    <x v="0"/>
    <x v="6"/>
    <x v="5"/>
    <x v="1"/>
    <x v="39"/>
    <x v="342"/>
    <x v="60"/>
    <x v="0"/>
    <x v="60"/>
    <x v="8"/>
    <x v="2"/>
    <x v="0"/>
    <x v="101"/>
    <x v="3"/>
    <x v="1"/>
    <s v="MEDIA"/>
    <s v="MEDIA"/>
    <n v="64"/>
    <s v="cumple"/>
    <x v="2"/>
    <x v="2"/>
    <x v="342"/>
    <n v="580"/>
    <x v="0"/>
  </r>
  <r>
    <x v="0"/>
    <x v="5"/>
    <x v="2"/>
    <x v="0"/>
    <x v="6"/>
    <x v="5"/>
    <x v="1"/>
    <x v="39"/>
    <x v="343"/>
    <x v="60"/>
    <x v="8"/>
    <x v="60"/>
    <x v="3"/>
    <x v="2"/>
    <x v="0"/>
    <x v="102"/>
    <x v="3"/>
    <x v="1"/>
    <s v="MEDIA"/>
    <s v="MEDIA"/>
    <n v="64"/>
    <s v="cumple"/>
    <x v="2"/>
    <x v="2"/>
    <x v="343"/>
    <n v="580"/>
    <x v="0"/>
  </r>
  <r>
    <x v="0"/>
    <x v="5"/>
    <x v="2"/>
    <x v="0"/>
    <x v="6"/>
    <x v="5"/>
    <x v="1"/>
    <x v="39"/>
    <x v="344"/>
    <x v="60"/>
    <x v="4"/>
    <x v="60"/>
    <x v="9"/>
    <x v="5"/>
    <x v="0"/>
    <x v="103"/>
    <x v="3"/>
    <x v="1"/>
    <s v="MEDIA"/>
    <s v="MEDIA"/>
    <n v="64"/>
    <s v="cumple"/>
    <x v="2"/>
    <x v="2"/>
    <x v="344"/>
    <n v="1739.9999999999998"/>
    <x v="0"/>
  </r>
  <r>
    <x v="0"/>
    <x v="5"/>
    <x v="2"/>
    <x v="0"/>
    <x v="6"/>
    <x v="5"/>
    <x v="1"/>
    <x v="39"/>
    <x v="345"/>
    <x v="60"/>
    <x v="9"/>
    <x v="60"/>
    <x v="7"/>
    <x v="2"/>
    <x v="0"/>
    <x v="98"/>
    <x v="3"/>
    <x v="1"/>
    <s v="MEDIA"/>
    <s v="MEDIA"/>
    <n v="64"/>
    <s v="cumple"/>
    <x v="2"/>
    <x v="2"/>
    <x v="345"/>
    <n v="580"/>
    <x v="0"/>
  </r>
  <r>
    <x v="0"/>
    <x v="5"/>
    <x v="2"/>
    <x v="0"/>
    <x v="6"/>
    <x v="5"/>
    <x v="1"/>
    <x v="39"/>
    <x v="337"/>
    <x v="61"/>
    <x v="0"/>
    <x v="61"/>
    <x v="15"/>
    <x v="12"/>
    <x v="0"/>
    <x v="96"/>
    <x v="3"/>
    <x v="1"/>
    <s v="MEDIA"/>
    <s v="MEDIA"/>
    <n v="64"/>
    <s v="cumple"/>
    <x v="2"/>
    <x v="2"/>
    <x v="337"/>
    <n v="1450"/>
    <x v="0"/>
  </r>
  <r>
    <x v="0"/>
    <x v="5"/>
    <x v="2"/>
    <x v="0"/>
    <x v="6"/>
    <x v="5"/>
    <x v="1"/>
    <x v="39"/>
    <x v="332"/>
    <x v="61"/>
    <x v="12"/>
    <x v="61"/>
    <x v="12"/>
    <x v="5"/>
    <x v="0"/>
    <x v="93"/>
    <x v="3"/>
    <x v="1"/>
    <s v="MEDIA"/>
    <s v="MEDIA"/>
    <n v="64"/>
    <s v="cumple"/>
    <x v="2"/>
    <x v="2"/>
    <x v="332"/>
    <n v="1739.9999999999998"/>
    <x v="0"/>
  </r>
  <r>
    <x v="0"/>
    <x v="5"/>
    <x v="2"/>
    <x v="0"/>
    <x v="6"/>
    <x v="5"/>
    <x v="1"/>
    <x v="39"/>
    <x v="322"/>
    <x v="61"/>
    <x v="7"/>
    <x v="61"/>
    <x v="0"/>
    <x v="5"/>
    <x v="0"/>
    <x v="73"/>
    <x v="3"/>
    <x v="1"/>
    <s v="MEDIA"/>
    <s v="MEDIA"/>
    <n v="64"/>
    <s v="cumple"/>
    <x v="2"/>
    <x v="2"/>
    <x v="322"/>
    <n v="1739.9999999999998"/>
    <x v="0"/>
  </r>
  <r>
    <x v="0"/>
    <x v="5"/>
    <x v="2"/>
    <x v="0"/>
    <x v="6"/>
    <x v="5"/>
    <x v="1"/>
    <x v="39"/>
    <x v="331"/>
    <x v="62"/>
    <x v="0"/>
    <x v="62"/>
    <x v="3"/>
    <x v="4"/>
    <x v="0"/>
    <x v="98"/>
    <x v="3"/>
    <x v="1"/>
    <s v="MEDIA"/>
    <s v="MEDIA"/>
    <n v="64"/>
    <s v="cumple"/>
    <x v="2"/>
    <x v="2"/>
    <x v="331"/>
    <n v="1160"/>
    <x v="0"/>
  </r>
  <r>
    <x v="0"/>
    <x v="5"/>
    <x v="2"/>
    <x v="0"/>
    <x v="6"/>
    <x v="5"/>
    <x v="1"/>
    <x v="39"/>
    <x v="334"/>
    <x v="62"/>
    <x v="4"/>
    <x v="62"/>
    <x v="17"/>
    <x v="7"/>
    <x v="0"/>
    <x v="91"/>
    <x v="3"/>
    <x v="1"/>
    <s v="MEDIA"/>
    <s v="MEDIA"/>
    <n v="64"/>
    <s v="cumple"/>
    <x v="2"/>
    <x v="2"/>
    <x v="334"/>
    <n v="2320"/>
    <x v="0"/>
  </r>
  <r>
    <x v="0"/>
    <x v="5"/>
    <x v="2"/>
    <x v="0"/>
    <x v="6"/>
    <x v="5"/>
    <x v="1"/>
    <x v="39"/>
    <x v="346"/>
    <x v="62"/>
    <x v="14"/>
    <x v="62"/>
    <x v="0"/>
    <x v="12"/>
    <x v="0"/>
    <x v="74"/>
    <x v="3"/>
    <x v="1"/>
    <s v="MEDIA"/>
    <s v="MEDIA"/>
    <n v="64"/>
    <s v="cumple"/>
    <x v="2"/>
    <x v="2"/>
    <x v="346"/>
    <n v="1450"/>
    <x v="0"/>
  </r>
  <r>
    <x v="0"/>
    <x v="5"/>
    <x v="2"/>
    <x v="0"/>
    <x v="6"/>
    <x v="5"/>
    <x v="1"/>
    <x v="39"/>
    <x v="331"/>
    <x v="63"/>
    <x v="0"/>
    <x v="63"/>
    <x v="3"/>
    <x v="4"/>
    <x v="0"/>
    <x v="98"/>
    <x v="3"/>
    <x v="1"/>
    <s v="MEDIA"/>
    <s v="MEDIA"/>
    <n v="64"/>
    <s v="cumple"/>
    <x v="2"/>
    <x v="2"/>
    <x v="331"/>
    <n v="1160"/>
    <x v="0"/>
  </r>
  <r>
    <x v="0"/>
    <x v="5"/>
    <x v="2"/>
    <x v="0"/>
    <x v="6"/>
    <x v="5"/>
    <x v="1"/>
    <x v="39"/>
    <x v="315"/>
    <x v="63"/>
    <x v="4"/>
    <x v="63"/>
    <x v="4"/>
    <x v="2"/>
    <x v="0"/>
    <x v="80"/>
    <x v="3"/>
    <x v="1"/>
    <s v="MEDIA"/>
    <s v="MEDIA"/>
    <n v="64"/>
    <s v="cumple"/>
    <x v="2"/>
    <x v="2"/>
    <x v="315"/>
    <n v="580"/>
    <x v="0"/>
  </r>
  <r>
    <x v="0"/>
    <x v="5"/>
    <x v="2"/>
    <x v="0"/>
    <x v="6"/>
    <x v="5"/>
    <x v="1"/>
    <x v="39"/>
    <x v="347"/>
    <x v="63"/>
    <x v="6"/>
    <x v="63"/>
    <x v="17"/>
    <x v="7"/>
    <x v="0"/>
    <x v="98"/>
    <x v="3"/>
    <x v="1"/>
    <s v="MEDIA"/>
    <s v="MEDIA"/>
    <n v="64"/>
    <s v="cumple"/>
    <x v="2"/>
    <x v="2"/>
    <x v="347"/>
    <n v="2320"/>
    <x v="0"/>
  </r>
  <r>
    <x v="0"/>
    <x v="5"/>
    <x v="2"/>
    <x v="0"/>
    <x v="6"/>
    <x v="5"/>
    <x v="1"/>
    <x v="39"/>
    <x v="348"/>
    <x v="63"/>
    <x v="14"/>
    <x v="63"/>
    <x v="0"/>
    <x v="15"/>
    <x v="0"/>
    <x v="88"/>
    <x v="3"/>
    <x v="1"/>
    <s v="MEDIA"/>
    <s v="MEDIA"/>
    <n v="64"/>
    <s v="cumple"/>
    <x v="2"/>
    <x v="2"/>
    <x v="348"/>
    <n v="869.99999999999989"/>
    <x v="0"/>
  </r>
  <r>
    <x v="0"/>
    <x v="5"/>
    <x v="2"/>
    <x v="0"/>
    <x v="6"/>
    <x v="5"/>
    <x v="1"/>
    <x v="39"/>
    <x v="349"/>
    <x v="64"/>
    <x v="0"/>
    <x v="64"/>
    <x v="4"/>
    <x v="5"/>
    <x v="0"/>
    <x v="83"/>
    <x v="3"/>
    <x v="1"/>
    <s v="MEDIA"/>
    <s v="MEDIA"/>
    <n v="64"/>
    <s v="cumple"/>
    <x v="2"/>
    <x v="2"/>
    <x v="349"/>
    <n v="1739.9999999999998"/>
    <x v="0"/>
  </r>
  <r>
    <x v="0"/>
    <x v="5"/>
    <x v="2"/>
    <x v="0"/>
    <x v="6"/>
    <x v="5"/>
    <x v="1"/>
    <x v="39"/>
    <x v="303"/>
    <x v="64"/>
    <x v="6"/>
    <x v="64"/>
    <x v="18"/>
    <x v="5"/>
    <x v="0"/>
    <x v="72"/>
    <x v="3"/>
    <x v="1"/>
    <s v="MEDIA"/>
    <s v="MEDIA"/>
    <n v="64"/>
    <s v="cumple"/>
    <x v="2"/>
    <x v="2"/>
    <x v="303"/>
    <n v="1739.9999999999998"/>
    <x v="0"/>
  </r>
  <r>
    <x v="0"/>
    <x v="5"/>
    <x v="2"/>
    <x v="0"/>
    <x v="6"/>
    <x v="5"/>
    <x v="1"/>
    <x v="39"/>
    <x v="350"/>
    <x v="64"/>
    <x v="15"/>
    <x v="64"/>
    <x v="0"/>
    <x v="12"/>
    <x v="0"/>
    <x v="88"/>
    <x v="3"/>
    <x v="1"/>
    <s v="MEDIA"/>
    <s v="MEDIA"/>
    <n v="64"/>
    <s v="cumple"/>
    <x v="2"/>
    <x v="2"/>
    <x v="350"/>
    <n v="1450"/>
    <x v="0"/>
  </r>
  <r>
    <x v="0"/>
    <x v="5"/>
    <x v="2"/>
    <x v="0"/>
    <x v="6"/>
    <x v="5"/>
    <x v="1"/>
    <x v="39"/>
    <x v="351"/>
    <x v="65"/>
    <x v="0"/>
    <x v="65"/>
    <x v="8"/>
    <x v="2"/>
    <x v="0"/>
    <x v="101"/>
    <x v="3"/>
    <x v="1"/>
    <s v="MEDIA"/>
    <s v="MEDIA"/>
    <n v="64"/>
    <s v="cumple"/>
    <x v="2"/>
    <x v="2"/>
    <x v="351"/>
    <n v="580"/>
    <x v="0"/>
  </r>
  <r>
    <x v="0"/>
    <x v="5"/>
    <x v="2"/>
    <x v="0"/>
    <x v="6"/>
    <x v="5"/>
    <x v="1"/>
    <x v="39"/>
    <x v="352"/>
    <x v="65"/>
    <x v="8"/>
    <x v="65"/>
    <x v="5"/>
    <x v="5"/>
    <x v="0"/>
    <x v="73"/>
    <x v="3"/>
    <x v="1"/>
    <s v="MEDIA"/>
    <s v="MEDIA"/>
    <n v="64"/>
    <s v="cumple"/>
    <x v="2"/>
    <x v="2"/>
    <x v="352"/>
    <n v="1739.9999999999998"/>
    <x v="0"/>
  </r>
  <r>
    <x v="0"/>
    <x v="5"/>
    <x v="2"/>
    <x v="0"/>
    <x v="6"/>
    <x v="5"/>
    <x v="1"/>
    <x v="39"/>
    <x v="314"/>
    <x v="65"/>
    <x v="3"/>
    <x v="65"/>
    <x v="7"/>
    <x v="4"/>
    <x v="0"/>
    <x v="74"/>
    <x v="3"/>
    <x v="1"/>
    <s v="MEDIA"/>
    <s v="MEDIA"/>
    <n v="64"/>
    <s v="cumple"/>
    <x v="2"/>
    <x v="2"/>
    <x v="314"/>
    <n v="1160"/>
    <x v="0"/>
  </r>
  <r>
    <x v="0"/>
    <x v="1"/>
    <x v="3"/>
    <x v="0"/>
    <x v="3"/>
    <x v="1"/>
    <x v="0"/>
    <x v="27"/>
    <x v="353"/>
    <x v="44"/>
    <x v="0"/>
    <x v="44"/>
    <x v="0"/>
    <x v="0"/>
    <x v="1"/>
    <x v="104"/>
    <x v="5"/>
    <x v="0"/>
    <s v="MEDIA"/>
    <s v="MEDIA"/>
    <n v="64"/>
    <s v="cumple"/>
    <x v="2"/>
    <x v="3"/>
    <x v="353"/>
    <n v="6496"/>
    <x v="0"/>
  </r>
  <r>
    <x v="0"/>
    <x v="1"/>
    <x v="3"/>
    <x v="0"/>
    <x v="3"/>
    <x v="1"/>
    <x v="0"/>
    <x v="27"/>
    <x v="353"/>
    <x v="45"/>
    <x v="0"/>
    <x v="45"/>
    <x v="5"/>
    <x v="7"/>
    <x v="0"/>
    <x v="104"/>
    <x v="5"/>
    <x v="0"/>
    <s v="MEDIA"/>
    <s v="MEDIA"/>
    <n v="64"/>
    <s v="cumple"/>
    <x v="2"/>
    <x v="3"/>
    <x v="353"/>
    <n v="3248"/>
    <x v="0"/>
  </r>
  <r>
    <x v="0"/>
    <x v="1"/>
    <x v="3"/>
    <x v="0"/>
    <x v="3"/>
    <x v="1"/>
    <x v="0"/>
    <x v="27"/>
    <x v="354"/>
    <x v="45"/>
    <x v="3"/>
    <x v="45"/>
    <x v="0"/>
    <x v="7"/>
    <x v="1"/>
    <x v="104"/>
    <x v="5"/>
    <x v="0"/>
    <s v="MEDIA"/>
    <s v="MEDIA"/>
    <n v="64"/>
    <s v="cumple"/>
    <x v="2"/>
    <x v="3"/>
    <x v="354"/>
    <n v="3248"/>
    <x v="0"/>
  </r>
  <r>
    <x v="0"/>
    <x v="1"/>
    <x v="3"/>
    <x v="0"/>
    <x v="3"/>
    <x v="1"/>
    <x v="0"/>
    <x v="27"/>
    <x v="354"/>
    <x v="46"/>
    <x v="0"/>
    <x v="46"/>
    <x v="0"/>
    <x v="0"/>
    <x v="0"/>
    <x v="104"/>
    <x v="5"/>
    <x v="0"/>
    <s v="MEDIA"/>
    <s v="MEDIA"/>
    <n v="64"/>
    <s v="cumple"/>
    <x v="2"/>
    <x v="3"/>
    <x v="354"/>
    <n v="6496"/>
    <x v="0"/>
  </r>
  <r>
    <x v="0"/>
    <x v="1"/>
    <x v="3"/>
    <x v="0"/>
    <x v="3"/>
    <x v="1"/>
    <x v="0"/>
    <x v="27"/>
    <x v="355"/>
    <x v="47"/>
    <x v="0"/>
    <x v="47"/>
    <x v="0"/>
    <x v="0"/>
    <x v="1"/>
    <x v="104"/>
    <x v="5"/>
    <x v="0"/>
    <s v="MEDIA"/>
    <s v="MEDIA"/>
    <n v="64"/>
    <s v="cumple"/>
    <x v="2"/>
    <x v="3"/>
    <x v="355"/>
    <n v="6496"/>
    <x v="0"/>
  </r>
  <r>
    <x v="0"/>
    <x v="1"/>
    <x v="3"/>
    <x v="0"/>
    <x v="3"/>
    <x v="1"/>
    <x v="0"/>
    <x v="27"/>
    <x v="355"/>
    <x v="48"/>
    <x v="0"/>
    <x v="48"/>
    <x v="0"/>
    <x v="0"/>
    <x v="0"/>
    <x v="104"/>
    <x v="5"/>
    <x v="0"/>
    <s v="MEDIA"/>
    <s v="MEDIA"/>
    <n v="64"/>
    <s v="cumple"/>
    <x v="2"/>
    <x v="3"/>
    <x v="355"/>
    <n v="6496"/>
    <x v="0"/>
  </r>
  <r>
    <x v="0"/>
    <x v="1"/>
    <x v="3"/>
    <x v="0"/>
    <x v="3"/>
    <x v="1"/>
    <x v="0"/>
    <x v="27"/>
    <x v="356"/>
    <x v="49"/>
    <x v="0"/>
    <x v="49"/>
    <x v="0"/>
    <x v="0"/>
    <x v="1"/>
    <x v="104"/>
    <x v="5"/>
    <x v="0"/>
    <s v="MEDIA"/>
    <s v="MEDIA"/>
    <n v="64"/>
    <s v="cumple"/>
    <x v="2"/>
    <x v="3"/>
    <x v="356"/>
    <n v="6496"/>
    <x v="0"/>
  </r>
  <r>
    <x v="0"/>
    <x v="1"/>
    <x v="3"/>
    <x v="0"/>
    <x v="3"/>
    <x v="1"/>
    <x v="0"/>
    <x v="27"/>
    <x v="356"/>
    <x v="50"/>
    <x v="0"/>
    <x v="50"/>
    <x v="0"/>
    <x v="0"/>
    <x v="1"/>
    <x v="104"/>
    <x v="5"/>
    <x v="0"/>
    <s v="MEDIA"/>
    <s v="MEDIA"/>
    <n v="64"/>
    <s v="cumple"/>
    <x v="2"/>
    <x v="3"/>
    <x v="356"/>
    <n v="6496"/>
    <x v="0"/>
  </r>
  <r>
    <x v="0"/>
    <x v="1"/>
    <x v="3"/>
    <x v="0"/>
    <x v="3"/>
    <x v="1"/>
    <x v="0"/>
    <x v="27"/>
    <x v="356"/>
    <x v="51"/>
    <x v="0"/>
    <x v="51"/>
    <x v="9"/>
    <x v="6"/>
    <x v="0"/>
    <x v="104"/>
    <x v="5"/>
    <x v="0"/>
    <s v="MEDIA"/>
    <s v="MEDIA"/>
    <n v="64"/>
    <s v="cumple"/>
    <x v="2"/>
    <x v="3"/>
    <x v="356"/>
    <n v="4059.9999999999995"/>
    <x v="0"/>
  </r>
  <r>
    <x v="0"/>
    <x v="1"/>
    <x v="3"/>
    <x v="0"/>
    <x v="3"/>
    <x v="1"/>
    <x v="0"/>
    <x v="27"/>
    <x v="357"/>
    <x v="52"/>
    <x v="0"/>
    <x v="52"/>
    <x v="0"/>
    <x v="0"/>
    <x v="0"/>
    <x v="104"/>
    <x v="5"/>
    <x v="0"/>
    <s v="MEDIA"/>
    <s v="MEDIA"/>
    <n v="64"/>
    <s v="cumple"/>
    <x v="2"/>
    <x v="3"/>
    <x v="357"/>
    <n v="6496"/>
    <x v="0"/>
  </r>
  <r>
    <x v="0"/>
    <x v="1"/>
    <x v="3"/>
    <x v="0"/>
    <x v="14"/>
    <x v="1"/>
    <x v="0"/>
    <x v="27"/>
    <x v="358"/>
    <x v="44"/>
    <x v="0"/>
    <x v="44"/>
    <x v="0"/>
    <x v="0"/>
    <x v="1"/>
    <x v="105"/>
    <x v="4"/>
    <x v="0"/>
    <s v="MEDIA"/>
    <s v="MEDIA"/>
    <n v="64"/>
    <s v="cumple"/>
    <x v="2"/>
    <x v="3"/>
    <x v="358"/>
    <n v="6496"/>
    <x v="0"/>
  </r>
  <r>
    <x v="0"/>
    <x v="1"/>
    <x v="3"/>
    <x v="0"/>
    <x v="14"/>
    <x v="1"/>
    <x v="0"/>
    <x v="27"/>
    <x v="358"/>
    <x v="45"/>
    <x v="0"/>
    <x v="45"/>
    <x v="0"/>
    <x v="0"/>
    <x v="0"/>
    <x v="105"/>
    <x v="4"/>
    <x v="0"/>
    <s v="MEDIA"/>
    <s v="MEDIA"/>
    <n v="64"/>
    <s v="cumple"/>
    <x v="2"/>
    <x v="3"/>
    <x v="358"/>
    <n v="6496"/>
    <x v="0"/>
  </r>
  <r>
    <x v="0"/>
    <x v="1"/>
    <x v="3"/>
    <x v="0"/>
    <x v="14"/>
    <x v="1"/>
    <x v="0"/>
    <x v="27"/>
    <x v="359"/>
    <x v="46"/>
    <x v="0"/>
    <x v="46"/>
    <x v="0"/>
    <x v="0"/>
    <x v="0"/>
    <x v="105"/>
    <x v="4"/>
    <x v="0"/>
    <s v="MEDIA"/>
    <s v="MEDIA"/>
    <n v="64"/>
    <s v="cumple"/>
    <x v="2"/>
    <x v="3"/>
    <x v="359"/>
    <n v="6496"/>
    <x v="0"/>
  </r>
  <r>
    <x v="0"/>
    <x v="1"/>
    <x v="3"/>
    <x v="0"/>
    <x v="14"/>
    <x v="1"/>
    <x v="0"/>
    <x v="27"/>
    <x v="360"/>
    <x v="47"/>
    <x v="0"/>
    <x v="47"/>
    <x v="0"/>
    <x v="0"/>
    <x v="1"/>
    <x v="105"/>
    <x v="4"/>
    <x v="0"/>
    <s v="MEDIA"/>
    <s v="MEDIA"/>
    <n v="64"/>
    <s v="cumple"/>
    <x v="2"/>
    <x v="3"/>
    <x v="360"/>
    <n v="6496"/>
    <x v="0"/>
  </r>
  <r>
    <x v="0"/>
    <x v="1"/>
    <x v="3"/>
    <x v="0"/>
    <x v="14"/>
    <x v="1"/>
    <x v="0"/>
    <x v="27"/>
    <x v="360"/>
    <x v="48"/>
    <x v="0"/>
    <x v="48"/>
    <x v="0"/>
    <x v="0"/>
    <x v="0"/>
    <x v="105"/>
    <x v="4"/>
    <x v="0"/>
    <s v="MEDIA"/>
    <s v="MEDIA"/>
    <n v="64"/>
    <s v="cumple"/>
    <x v="2"/>
    <x v="3"/>
    <x v="360"/>
    <n v="6496"/>
    <x v="0"/>
  </r>
  <r>
    <x v="0"/>
    <x v="1"/>
    <x v="3"/>
    <x v="0"/>
    <x v="14"/>
    <x v="1"/>
    <x v="0"/>
    <x v="27"/>
    <x v="361"/>
    <x v="49"/>
    <x v="0"/>
    <x v="49"/>
    <x v="0"/>
    <x v="0"/>
    <x v="0"/>
    <x v="105"/>
    <x v="4"/>
    <x v="0"/>
    <s v="MEDIA"/>
    <s v="MEDIA"/>
    <n v="64"/>
    <s v="cumple"/>
    <x v="2"/>
    <x v="3"/>
    <x v="361"/>
    <n v="6496"/>
    <x v="0"/>
  </r>
  <r>
    <x v="0"/>
    <x v="1"/>
    <x v="3"/>
    <x v="0"/>
    <x v="14"/>
    <x v="1"/>
    <x v="0"/>
    <x v="27"/>
    <x v="362"/>
    <x v="50"/>
    <x v="0"/>
    <x v="50"/>
    <x v="0"/>
    <x v="0"/>
    <x v="1"/>
    <x v="105"/>
    <x v="4"/>
    <x v="0"/>
    <s v="MEDIA"/>
    <s v="MEDIA"/>
    <n v="64"/>
    <s v="cumple"/>
    <x v="2"/>
    <x v="3"/>
    <x v="362"/>
    <n v="6496"/>
    <x v="0"/>
  </r>
  <r>
    <x v="0"/>
    <x v="1"/>
    <x v="3"/>
    <x v="0"/>
    <x v="14"/>
    <x v="1"/>
    <x v="0"/>
    <x v="27"/>
    <x v="362"/>
    <x v="51"/>
    <x v="0"/>
    <x v="51"/>
    <x v="0"/>
    <x v="0"/>
    <x v="1"/>
    <x v="105"/>
    <x v="4"/>
    <x v="0"/>
    <s v="MEDIA"/>
    <s v="MEDIA"/>
    <n v="64"/>
    <s v="cumple"/>
    <x v="2"/>
    <x v="3"/>
    <x v="362"/>
    <n v="6496"/>
    <x v="0"/>
  </r>
  <r>
    <x v="0"/>
    <x v="1"/>
    <x v="3"/>
    <x v="0"/>
    <x v="14"/>
    <x v="1"/>
    <x v="0"/>
    <x v="27"/>
    <x v="362"/>
    <x v="52"/>
    <x v="0"/>
    <x v="52"/>
    <x v="0"/>
    <x v="0"/>
    <x v="0"/>
    <x v="105"/>
    <x v="4"/>
    <x v="0"/>
    <s v="MEDIA"/>
    <s v="MEDIA"/>
    <n v="64"/>
    <s v="cumple"/>
    <x v="2"/>
    <x v="3"/>
    <x v="362"/>
    <n v="6496"/>
    <x v="0"/>
  </r>
  <r>
    <x v="0"/>
    <x v="1"/>
    <x v="3"/>
    <x v="0"/>
    <x v="14"/>
    <x v="1"/>
    <x v="0"/>
    <x v="27"/>
    <x v="363"/>
    <x v="53"/>
    <x v="0"/>
    <x v="53"/>
    <x v="0"/>
    <x v="0"/>
    <x v="0"/>
    <x v="105"/>
    <x v="4"/>
    <x v="0"/>
    <s v="MEDIA"/>
    <s v="MEDIA"/>
    <n v="64"/>
    <s v="cumple"/>
    <x v="2"/>
    <x v="3"/>
    <x v="363"/>
    <n v="6496"/>
    <x v="0"/>
  </r>
  <r>
    <x v="0"/>
    <x v="1"/>
    <x v="3"/>
    <x v="0"/>
    <x v="14"/>
    <x v="1"/>
    <x v="0"/>
    <x v="27"/>
    <x v="364"/>
    <x v="54"/>
    <x v="0"/>
    <x v="54"/>
    <x v="0"/>
    <x v="0"/>
    <x v="0"/>
    <x v="105"/>
    <x v="4"/>
    <x v="0"/>
    <s v="MEDIA"/>
    <s v="MEDIA"/>
    <n v="64"/>
    <s v="cumple"/>
    <x v="2"/>
    <x v="3"/>
    <x v="364"/>
    <n v="6496"/>
    <x v="0"/>
  </r>
  <r>
    <x v="0"/>
    <x v="1"/>
    <x v="3"/>
    <x v="0"/>
    <x v="14"/>
    <x v="1"/>
    <x v="0"/>
    <x v="27"/>
    <x v="365"/>
    <x v="55"/>
    <x v="0"/>
    <x v="55"/>
    <x v="0"/>
    <x v="0"/>
    <x v="0"/>
    <x v="105"/>
    <x v="4"/>
    <x v="0"/>
    <s v="MEDIA"/>
    <s v="MEDIA"/>
    <n v="64"/>
    <s v="cumple"/>
    <x v="2"/>
    <x v="3"/>
    <x v="365"/>
    <n v="6496"/>
    <x v="0"/>
  </r>
  <r>
    <x v="0"/>
    <x v="1"/>
    <x v="3"/>
    <x v="0"/>
    <x v="14"/>
    <x v="1"/>
    <x v="0"/>
    <x v="27"/>
    <x v="366"/>
    <x v="56"/>
    <x v="0"/>
    <x v="56"/>
    <x v="0"/>
    <x v="0"/>
    <x v="0"/>
    <x v="105"/>
    <x v="4"/>
    <x v="0"/>
    <s v="MEDIA"/>
    <s v="MEDIA"/>
    <n v="64"/>
    <s v="cumple"/>
    <x v="2"/>
    <x v="3"/>
    <x v="366"/>
    <n v="6496"/>
    <x v="0"/>
  </r>
  <r>
    <x v="0"/>
    <x v="1"/>
    <x v="3"/>
    <x v="0"/>
    <x v="14"/>
    <x v="1"/>
    <x v="0"/>
    <x v="27"/>
    <x v="367"/>
    <x v="57"/>
    <x v="0"/>
    <x v="57"/>
    <x v="0"/>
    <x v="0"/>
    <x v="0"/>
    <x v="105"/>
    <x v="4"/>
    <x v="0"/>
    <s v="MEDIA"/>
    <s v="MEDIA"/>
    <n v="64"/>
    <s v="cumple"/>
    <x v="2"/>
    <x v="3"/>
    <x v="367"/>
    <n v="6496"/>
    <x v="0"/>
  </r>
  <r>
    <x v="0"/>
    <x v="1"/>
    <x v="3"/>
    <x v="0"/>
    <x v="14"/>
    <x v="1"/>
    <x v="0"/>
    <x v="27"/>
    <x v="368"/>
    <x v="58"/>
    <x v="0"/>
    <x v="58"/>
    <x v="0"/>
    <x v="0"/>
    <x v="0"/>
    <x v="105"/>
    <x v="4"/>
    <x v="0"/>
    <s v="MEDIA"/>
    <s v="MEDIA"/>
    <n v="64"/>
    <s v="cumple"/>
    <x v="2"/>
    <x v="3"/>
    <x v="368"/>
    <n v="6496"/>
    <x v="0"/>
  </r>
  <r>
    <x v="0"/>
    <x v="1"/>
    <x v="3"/>
    <x v="0"/>
    <x v="14"/>
    <x v="1"/>
    <x v="0"/>
    <x v="27"/>
    <x v="369"/>
    <x v="59"/>
    <x v="0"/>
    <x v="59"/>
    <x v="0"/>
    <x v="0"/>
    <x v="0"/>
    <x v="105"/>
    <x v="4"/>
    <x v="0"/>
    <s v="MEDIA"/>
    <s v="MEDIA"/>
    <n v="64"/>
    <s v="cumple"/>
    <x v="2"/>
    <x v="3"/>
    <x v="369"/>
    <n v="6496"/>
    <x v="0"/>
  </r>
  <r>
    <x v="0"/>
    <x v="1"/>
    <x v="3"/>
    <x v="0"/>
    <x v="14"/>
    <x v="1"/>
    <x v="0"/>
    <x v="27"/>
    <x v="370"/>
    <x v="60"/>
    <x v="0"/>
    <x v="60"/>
    <x v="0"/>
    <x v="0"/>
    <x v="0"/>
    <x v="105"/>
    <x v="4"/>
    <x v="0"/>
    <s v="MEDIA"/>
    <s v="MEDIA"/>
    <n v="64"/>
    <s v="cumple"/>
    <x v="2"/>
    <x v="3"/>
    <x v="370"/>
    <n v="6496"/>
    <x v="0"/>
  </r>
  <r>
    <x v="0"/>
    <x v="1"/>
    <x v="3"/>
    <x v="0"/>
    <x v="14"/>
    <x v="1"/>
    <x v="0"/>
    <x v="27"/>
    <x v="371"/>
    <x v="61"/>
    <x v="0"/>
    <x v="61"/>
    <x v="0"/>
    <x v="0"/>
    <x v="0"/>
    <x v="105"/>
    <x v="4"/>
    <x v="0"/>
    <s v="MEDIA"/>
    <s v="MEDIA"/>
    <n v="64"/>
    <s v="cumple"/>
    <x v="2"/>
    <x v="3"/>
    <x v="371"/>
    <n v="6496"/>
    <x v="0"/>
  </r>
  <r>
    <x v="0"/>
    <x v="1"/>
    <x v="3"/>
    <x v="0"/>
    <x v="14"/>
    <x v="1"/>
    <x v="0"/>
    <x v="27"/>
    <x v="372"/>
    <x v="62"/>
    <x v="0"/>
    <x v="62"/>
    <x v="0"/>
    <x v="0"/>
    <x v="0"/>
    <x v="105"/>
    <x v="4"/>
    <x v="0"/>
    <s v="MEDIA"/>
    <s v="MEDIA"/>
    <n v="64"/>
    <s v="cumple"/>
    <x v="2"/>
    <x v="3"/>
    <x v="372"/>
    <n v="6496"/>
    <x v="0"/>
  </r>
  <r>
    <x v="0"/>
    <x v="1"/>
    <x v="3"/>
    <x v="0"/>
    <x v="14"/>
    <x v="1"/>
    <x v="0"/>
    <x v="27"/>
    <x v="373"/>
    <x v="63"/>
    <x v="0"/>
    <x v="63"/>
    <x v="0"/>
    <x v="0"/>
    <x v="1"/>
    <x v="105"/>
    <x v="4"/>
    <x v="0"/>
    <s v="MEDIA"/>
    <s v="MEDIA"/>
    <n v="64"/>
    <s v="cumple"/>
    <x v="2"/>
    <x v="3"/>
    <x v="373"/>
    <n v="6496"/>
    <x v="0"/>
  </r>
  <r>
    <x v="0"/>
    <x v="1"/>
    <x v="3"/>
    <x v="0"/>
    <x v="14"/>
    <x v="1"/>
    <x v="0"/>
    <x v="27"/>
    <x v="373"/>
    <x v="64"/>
    <x v="0"/>
    <x v="64"/>
    <x v="0"/>
    <x v="0"/>
    <x v="0"/>
    <x v="105"/>
    <x v="4"/>
    <x v="0"/>
    <s v="MEDIA"/>
    <s v="MEDIA"/>
    <n v="64"/>
    <s v="cumple"/>
    <x v="2"/>
    <x v="3"/>
    <x v="373"/>
    <n v="6496"/>
    <x v="0"/>
  </r>
  <r>
    <x v="0"/>
    <x v="1"/>
    <x v="3"/>
    <x v="0"/>
    <x v="14"/>
    <x v="1"/>
    <x v="0"/>
    <x v="27"/>
    <x v="374"/>
    <x v="65"/>
    <x v="0"/>
    <x v="65"/>
    <x v="0"/>
    <x v="0"/>
    <x v="0"/>
    <x v="105"/>
    <x v="4"/>
    <x v="0"/>
    <s v="MEDIA"/>
    <s v="MEDIA"/>
    <n v="64"/>
    <s v="cumple"/>
    <x v="2"/>
    <x v="3"/>
    <x v="374"/>
    <n v="6496"/>
    <x v="0"/>
  </r>
  <r>
    <x v="0"/>
    <x v="1"/>
    <x v="3"/>
    <x v="0"/>
    <x v="14"/>
    <x v="1"/>
    <x v="0"/>
    <x v="27"/>
    <x v="375"/>
    <x v="66"/>
    <x v="0"/>
    <x v="66"/>
    <x v="0"/>
    <x v="0"/>
    <x v="1"/>
    <x v="105"/>
    <x v="11"/>
    <x v="0"/>
    <s v="MEDIA"/>
    <s v="MEDIA"/>
    <n v="64"/>
    <s v="cumple"/>
    <x v="3"/>
    <x v="3"/>
    <x v="375"/>
    <n v="6496"/>
    <x v="0"/>
  </r>
  <r>
    <x v="0"/>
    <x v="1"/>
    <x v="3"/>
    <x v="0"/>
    <x v="14"/>
    <x v="1"/>
    <x v="0"/>
    <x v="27"/>
    <x v="375"/>
    <x v="67"/>
    <x v="0"/>
    <x v="67"/>
    <x v="0"/>
    <x v="0"/>
    <x v="0"/>
    <x v="105"/>
    <x v="11"/>
    <x v="0"/>
    <s v="MEDIA"/>
    <s v="MEDIA"/>
    <n v="64"/>
    <s v="cumple"/>
    <x v="3"/>
    <x v="3"/>
    <x v="375"/>
    <n v="6496"/>
    <x v="0"/>
  </r>
  <r>
    <x v="0"/>
    <x v="1"/>
    <x v="3"/>
    <x v="0"/>
    <x v="14"/>
    <x v="1"/>
    <x v="0"/>
    <x v="27"/>
    <x v="376"/>
    <x v="68"/>
    <x v="0"/>
    <x v="68"/>
    <x v="0"/>
    <x v="0"/>
    <x v="0"/>
    <x v="105"/>
    <x v="11"/>
    <x v="0"/>
    <s v="MEDIA"/>
    <s v="MEDIA"/>
    <n v="64"/>
    <s v="cumple"/>
    <x v="3"/>
    <x v="3"/>
    <x v="376"/>
    <n v="6496"/>
    <x v="0"/>
  </r>
  <r>
    <x v="0"/>
    <x v="1"/>
    <x v="3"/>
    <x v="0"/>
    <x v="14"/>
    <x v="1"/>
    <x v="0"/>
    <x v="27"/>
    <x v="377"/>
    <x v="69"/>
    <x v="0"/>
    <x v="69"/>
    <x v="0"/>
    <x v="0"/>
    <x v="1"/>
    <x v="105"/>
    <x v="11"/>
    <x v="0"/>
    <s v="MEDIA"/>
    <s v="MEDIA"/>
    <n v="64"/>
    <s v="cumple"/>
    <x v="3"/>
    <x v="3"/>
    <x v="377"/>
    <n v="6496"/>
    <x v="0"/>
  </r>
  <r>
    <x v="0"/>
    <x v="1"/>
    <x v="3"/>
    <x v="0"/>
    <x v="14"/>
    <x v="1"/>
    <x v="0"/>
    <x v="27"/>
    <x v="377"/>
    <x v="70"/>
    <x v="0"/>
    <x v="70"/>
    <x v="7"/>
    <x v="3"/>
    <x v="0"/>
    <x v="105"/>
    <x v="11"/>
    <x v="0"/>
    <s v="MEDIA"/>
    <s v="MEDIA"/>
    <n v="64"/>
    <s v="cumple"/>
    <x v="3"/>
    <x v="3"/>
    <x v="377"/>
    <n v="4872"/>
    <x v="0"/>
  </r>
  <r>
    <x v="0"/>
    <x v="1"/>
    <x v="3"/>
    <x v="0"/>
    <x v="14"/>
    <x v="1"/>
    <x v="0"/>
    <x v="27"/>
    <x v="378"/>
    <x v="71"/>
    <x v="0"/>
    <x v="71"/>
    <x v="0"/>
    <x v="0"/>
    <x v="1"/>
    <x v="105"/>
    <x v="11"/>
    <x v="0"/>
    <s v="MEDIA"/>
    <s v="MEDIA"/>
    <n v="64"/>
    <s v="cumple"/>
    <x v="3"/>
    <x v="3"/>
    <x v="378"/>
    <n v="6496"/>
    <x v="0"/>
  </r>
  <r>
    <x v="0"/>
    <x v="1"/>
    <x v="3"/>
    <x v="0"/>
    <x v="14"/>
    <x v="1"/>
    <x v="0"/>
    <x v="27"/>
    <x v="378"/>
    <x v="72"/>
    <x v="0"/>
    <x v="72"/>
    <x v="0"/>
    <x v="0"/>
    <x v="0"/>
    <x v="105"/>
    <x v="11"/>
    <x v="0"/>
    <s v="MEDIA"/>
    <s v="MEDIA"/>
    <n v="64"/>
    <s v="cumple"/>
    <x v="3"/>
    <x v="3"/>
    <x v="378"/>
    <n v="6496"/>
    <x v="0"/>
  </r>
  <r>
    <x v="0"/>
    <x v="1"/>
    <x v="3"/>
    <x v="0"/>
    <x v="14"/>
    <x v="1"/>
    <x v="0"/>
    <x v="27"/>
    <x v="379"/>
    <x v="73"/>
    <x v="0"/>
    <x v="73"/>
    <x v="0"/>
    <x v="0"/>
    <x v="1"/>
    <x v="105"/>
    <x v="11"/>
    <x v="0"/>
    <s v="MEDIA"/>
    <s v="MEDIA"/>
    <n v="64"/>
    <s v="cumple"/>
    <x v="3"/>
    <x v="3"/>
    <x v="379"/>
    <n v="6496"/>
    <x v="0"/>
  </r>
  <r>
    <x v="0"/>
    <x v="1"/>
    <x v="3"/>
    <x v="0"/>
    <x v="14"/>
    <x v="1"/>
    <x v="0"/>
    <x v="27"/>
    <x v="379"/>
    <x v="74"/>
    <x v="0"/>
    <x v="74"/>
    <x v="0"/>
    <x v="0"/>
    <x v="0"/>
    <x v="105"/>
    <x v="11"/>
    <x v="0"/>
    <s v="MEDIA"/>
    <s v="MEDIA"/>
    <n v="64"/>
    <s v="cumple"/>
    <x v="3"/>
    <x v="3"/>
    <x v="379"/>
    <n v="6496"/>
    <x v="0"/>
  </r>
  <r>
    <x v="0"/>
    <x v="1"/>
    <x v="3"/>
    <x v="0"/>
    <x v="14"/>
    <x v="1"/>
    <x v="0"/>
    <x v="27"/>
    <x v="380"/>
    <x v="75"/>
    <x v="0"/>
    <x v="75"/>
    <x v="7"/>
    <x v="3"/>
    <x v="1"/>
    <x v="105"/>
    <x v="11"/>
    <x v="0"/>
    <s v="MEDIA"/>
    <s v="MEDIA"/>
    <n v="64"/>
    <s v="cumple"/>
    <x v="3"/>
    <x v="3"/>
    <x v="380"/>
    <n v="4872"/>
    <x v="0"/>
  </r>
  <r>
    <x v="0"/>
    <x v="1"/>
    <x v="3"/>
    <x v="0"/>
    <x v="14"/>
    <x v="1"/>
    <x v="0"/>
    <x v="27"/>
    <x v="380"/>
    <x v="76"/>
    <x v="0"/>
    <x v="76"/>
    <x v="0"/>
    <x v="0"/>
    <x v="0"/>
    <x v="105"/>
    <x v="11"/>
    <x v="0"/>
    <s v="MEDIA"/>
    <s v="MEDIA"/>
    <n v="64"/>
    <s v="cumple"/>
    <x v="3"/>
    <x v="3"/>
    <x v="380"/>
    <n v="6496"/>
    <x v="0"/>
  </r>
  <r>
    <x v="0"/>
    <x v="1"/>
    <x v="3"/>
    <x v="0"/>
    <x v="14"/>
    <x v="1"/>
    <x v="0"/>
    <x v="27"/>
    <x v="381"/>
    <x v="77"/>
    <x v="0"/>
    <x v="77"/>
    <x v="0"/>
    <x v="0"/>
    <x v="1"/>
    <x v="105"/>
    <x v="11"/>
    <x v="0"/>
    <s v="MEDIA"/>
    <s v="MEDIA"/>
    <n v="64"/>
    <s v="cumple"/>
    <x v="3"/>
    <x v="3"/>
    <x v="381"/>
    <n v="6496"/>
    <x v="0"/>
  </r>
  <r>
    <x v="0"/>
    <x v="1"/>
    <x v="3"/>
    <x v="0"/>
    <x v="14"/>
    <x v="1"/>
    <x v="0"/>
    <x v="27"/>
    <x v="381"/>
    <x v="78"/>
    <x v="0"/>
    <x v="78"/>
    <x v="0"/>
    <x v="0"/>
    <x v="1"/>
    <x v="105"/>
    <x v="11"/>
    <x v="0"/>
    <s v="MEDIA"/>
    <s v="MEDIA"/>
    <n v="64"/>
    <s v="cumple"/>
    <x v="3"/>
    <x v="3"/>
    <x v="381"/>
    <n v="6496"/>
    <x v="0"/>
  </r>
  <r>
    <x v="0"/>
    <x v="1"/>
    <x v="3"/>
    <x v="0"/>
    <x v="14"/>
    <x v="1"/>
    <x v="0"/>
    <x v="27"/>
    <x v="381"/>
    <x v="79"/>
    <x v="0"/>
    <x v="79"/>
    <x v="0"/>
    <x v="0"/>
    <x v="1"/>
    <x v="105"/>
    <x v="11"/>
    <x v="0"/>
    <s v="MEDIA"/>
    <s v="MEDIA"/>
    <n v="64"/>
    <s v="cumple"/>
    <x v="3"/>
    <x v="3"/>
    <x v="381"/>
    <n v="6496"/>
    <x v="0"/>
  </r>
  <r>
    <x v="0"/>
    <x v="1"/>
    <x v="3"/>
    <x v="0"/>
    <x v="14"/>
    <x v="1"/>
    <x v="0"/>
    <x v="27"/>
    <x v="381"/>
    <x v="80"/>
    <x v="0"/>
    <x v="80"/>
    <x v="7"/>
    <x v="3"/>
    <x v="0"/>
    <x v="105"/>
    <x v="11"/>
    <x v="0"/>
    <s v="MEDIA"/>
    <s v="MEDIA"/>
    <n v="64"/>
    <s v="cumple"/>
    <x v="3"/>
    <x v="3"/>
    <x v="381"/>
    <n v="4872"/>
    <x v="0"/>
  </r>
  <r>
    <x v="0"/>
    <x v="1"/>
    <x v="3"/>
    <x v="0"/>
    <x v="14"/>
    <x v="1"/>
    <x v="0"/>
    <x v="27"/>
    <x v="382"/>
    <x v="81"/>
    <x v="0"/>
    <x v="81"/>
    <x v="0"/>
    <x v="0"/>
    <x v="0"/>
    <x v="105"/>
    <x v="5"/>
    <x v="0"/>
    <s v="MEDIA"/>
    <s v="MEDIA"/>
    <n v="64"/>
    <s v="cumple"/>
    <x v="3"/>
    <x v="3"/>
    <x v="382"/>
    <n v="6496"/>
    <x v="0"/>
  </r>
  <r>
    <x v="0"/>
    <x v="1"/>
    <x v="3"/>
    <x v="0"/>
    <x v="14"/>
    <x v="1"/>
    <x v="0"/>
    <x v="27"/>
    <x v="383"/>
    <x v="82"/>
    <x v="0"/>
    <x v="82"/>
    <x v="0"/>
    <x v="0"/>
    <x v="0"/>
    <x v="105"/>
    <x v="5"/>
    <x v="0"/>
    <s v="MEDIA"/>
    <s v="MEDIA"/>
    <n v="64"/>
    <s v="cumple"/>
    <x v="3"/>
    <x v="3"/>
    <x v="383"/>
    <n v="6496"/>
    <x v="0"/>
  </r>
  <r>
    <x v="0"/>
    <x v="1"/>
    <x v="3"/>
    <x v="0"/>
    <x v="14"/>
    <x v="1"/>
    <x v="0"/>
    <x v="27"/>
    <x v="384"/>
    <x v="83"/>
    <x v="0"/>
    <x v="83"/>
    <x v="0"/>
    <x v="0"/>
    <x v="0"/>
    <x v="105"/>
    <x v="5"/>
    <x v="0"/>
    <s v="MEDIA"/>
    <s v="MEDIA"/>
    <n v="64"/>
    <s v="cumple"/>
    <x v="3"/>
    <x v="3"/>
    <x v="384"/>
    <n v="6496"/>
    <x v="0"/>
  </r>
  <r>
    <x v="0"/>
    <x v="1"/>
    <x v="3"/>
    <x v="0"/>
    <x v="14"/>
    <x v="1"/>
    <x v="0"/>
    <x v="27"/>
    <x v="385"/>
    <x v="66"/>
    <x v="0"/>
    <x v="66"/>
    <x v="0"/>
    <x v="0"/>
    <x v="0"/>
    <x v="105"/>
    <x v="5"/>
    <x v="0"/>
    <s v="MEDIA"/>
    <s v="MEDIA"/>
    <n v="64"/>
    <s v="cumple"/>
    <x v="3"/>
    <x v="3"/>
    <x v="385"/>
    <n v="6496"/>
    <x v="0"/>
  </r>
  <r>
    <x v="0"/>
    <x v="1"/>
    <x v="3"/>
    <x v="0"/>
    <x v="14"/>
    <x v="1"/>
    <x v="0"/>
    <x v="27"/>
    <x v="386"/>
    <x v="67"/>
    <x v="0"/>
    <x v="67"/>
    <x v="0"/>
    <x v="0"/>
    <x v="0"/>
    <x v="105"/>
    <x v="5"/>
    <x v="0"/>
    <s v="MEDIA"/>
    <s v="MEDIA"/>
    <n v="64"/>
    <s v="cumple"/>
    <x v="3"/>
    <x v="3"/>
    <x v="386"/>
    <n v="6496"/>
    <x v="0"/>
  </r>
  <r>
    <x v="0"/>
    <x v="1"/>
    <x v="3"/>
    <x v="0"/>
    <x v="14"/>
    <x v="1"/>
    <x v="0"/>
    <x v="27"/>
    <x v="387"/>
    <x v="68"/>
    <x v="0"/>
    <x v="68"/>
    <x v="0"/>
    <x v="0"/>
    <x v="0"/>
    <x v="105"/>
    <x v="5"/>
    <x v="0"/>
    <s v="MEDIA"/>
    <s v="MEDIA"/>
    <n v="64"/>
    <s v="cumple"/>
    <x v="3"/>
    <x v="3"/>
    <x v="387"/>
    <n v="6496"/>
    <x v="0"/>
  </r>
  <r>
    <x v="0"/>
    <x v="1"/>
    <x v="3"/>
    <x v="0"/>
    <x v="14"/>
    <x v="1"/>
    <x v="0"/>
    <x v="27"/>
    <x v="388"/>
    <x v="69"/>
    <x v="0"/>
    <x v="69"/>
    <x v="0"/>
    <x v="0"/>
    <x v="0"/>
    <x v="105"/>
    <x v="5"/>
    <x v="0"/>
    <s v="MEDIA"/>
    <s v="MEDIA"/>
    <n v="64"/>
    <s v="cumple"/>
    <x v="3"/>
    <x v="3"/>
    <x v="388"/>
    <n v="6496"/>
    <x v="0"/>
  </r>
  <r>
    <x v="0"/>
    <x v="1"/>
    <x v="3"/>
    <x v="0"/>
    <x v="14"/>
    <x v="1"/>
    <x v="0"/>
    <x v="27"/>
    <x v="389"/>
    <x v="70"/>
    <x v="0"/>
    <x v="70"/>
    <x v="7"/>
    <x v="3"/>
    <x v="0"/>
    <x v="105"/>
    <x v="5"/>
    <x v="0"/>
    <s v="MEDIA"/>
    <s v="MEDIA"/>
    <n v="64"/>
    <s v="cumple"/>
    <x v="3"/>
    <x v="3"/>
    <x v="389"/>
    <n v="4872"/>
    <x v="0"/>
  </r>
  <r>
    <x v="0"/>
    <x v="1"/>
    <x v="3"/>
    <x v="0"/>
    <x v="14"/>
    <x v="1"/>
    <x v="0"/>
    <x v="27"/>
    <x v="390"/>
    <x v="71"/>
    <x v="0"/>
    <x v="71"/>
    <x v="0"/>
    <x v="0"/>
    <x v="0"/>
    <x v="105"/>
    <x v="5"/>
    <x v="0"/>
    <s v="MEDIA"/>
    <s v="MEDIA"/>
    <n v="64"/>
    <s v="cumple"/>
    <x v="3"/>
    <x v="3"/>
    <x v="390"/>
    <n v="6496"/>
    <x v="0"/>
  </r>
  <r>
    <x v="0"/>
    <x v="1"/>
    <x v="3"/>
    <x v="0"/>
    <x v="14"/>
    <x v="1"/>
    <x v="0"/>
    <x v="27"/>
    <x v="391"/>
    <x v="72"/>
    <x v="0"/>
    <x v="72"/>
    <x v="0"/>
    <x v="0"/>
    <x v="0"/>
    <x v="105"/>
    <x v="5"/>
    <x v="0"/>
    <s v="MEDIA"/>
    <s v="MEDIA"/>
    <n v="64"/>
    <s v="cumple"/>
    <x v="3"/>
    <x v="3"/>
    <x v="391"/>
    <n v="6496"/>
    <x v="0"/>
  </r>
  <r>
    <x v="0"/>
    <x v="1"/>
    <x v="3"/>
    <x v="0"/>
    <x v="14"/>
    <x v="1"/>
    <x v="0"/>
    <x v="27"/>
    <x v="392"/>
    <x v="73"/>
    <x v="0"/>
    <x v="73"/>
    <x v="0"/>
    <x v="0"/>
    <x v="0"/>
    <x v="105"/>
    <x v="5"/>
    <x v="0"/>
    <s v="MEDIA"/>
    <s v="MEDIA"/>
    <n v="64"/>
    <s v="cumple"/>
    <x v="3"/>
    <x v="3"/>
    <x v="392"/>
    <n v="6496"/>
    <x v="0"/>
  </r>
  <r>
    <x v="0"/>
    <x v="1"/>
    <x v="3"/>
    <x v="0"/>
    <x v="14"/>
    <x v="1"/>
    <x v="0"/>
    <x v="27"/>
    <x v="393"/>
    <x v="74"/>
    <x v="0"/>
    <x v="74"/>
    <x v="0"/>
    <x v="0"/>
    <x v="0"/>
    <x v="105"/>
    <x v="5"/>
    <x v="0"/>
    <s v="MEDIA"/>
    <s v="MEDIA"/>
    <n v="64"/>
    <s v="cumple"/>
    <x v="3"/>
    <x v="3"/>
    <x v="393"/>
    <n v="6496"/>
    <x v="0"/>
  </r>
  <r>
    <x v="0"/>
    <x v="1"/>
    <x v="3"/>
    <x v="0"/>
    <x v="14"/>
    <x v="1"/>
    <x v="0"/>
    <x v="27"/>
    <x v="394"/>
    <x v="75"/>
    <x v="0"/>
    <x v="75"/>
    <x v="9"/>
    <x v="6"/>
    <x v="1"/>
    <x v="105"/>
    <x v="5"/>
    <x v="0"/>
    <s v="MEDIA"/>
    <s v="MEDIA"/>
    <n v="64"/>
    <s v="cumple"/>
    <x v="3"/>
    <x v="3"/>
    <x v="394"/>
    <n v="4059.9999999999995"/>
    <x v="0"/>
  </r>
  <r>
    <x v="0"/>
    <x v="1"/>
    <x v="3"/>
    <x v="0"/>
    <x v="14"/>
    <x v="1"/>
    <x v="0"/>
    <x v="27"/>
    <x v="394"/>
    <x v="76"/>
    <x v="0"/>
    <x v="76"/>
    <x v="0"/>
    <x v="0"/>
    <x v="1"/>
    <x v="105"/>
    <x v="5"/>
    <x v="0"/>
    <s v="MEDIA"/>
    <s v="MEDIA"/>
    <n v="64"/>
    <s v="cumple"/>
    <x v="3"/>
    <x v="3"/>
    <x v="394"/>
    <n v="6496"/>
    <x v="0"/>
  </r>
  <r>
    <x v="0"/>
    <x v="1"/>
    <x v="3"/>
    <x v="0"/>
    <x v="14"/>
    <x v="1"/>
    <x v="0"/>
    <x v="27"/>
    <x v="394"/>
    <x v="77"/>
    <x v="0"/>
    <x v="77"/>
    <x v="0"/>
    <x v="0"/>
    <x v="1"/>
    <x v="105"/>
    <x v="5"/>
    <x v="0"/>
    <s v="MEDIA"/>
    <s v="MEDIA"/>
    <n v="64"/>
    <s v="cumple"/>
    <x v="3"/>
    <x v="3"/>
    <x v="394"/>
    <n v="6496"/>
    <x v="0"/>
  </r>
  <r>
    <x v="0"/>
    <x v="1"/>
    <x v="3"/>
    <x v="0"/>
    <x v="14"/>
    <x v="1"/>
    <x v="0"/>
    <x v="27"/>
    <x v="394"/>
    <x v="78"/>
    <x v="0"/>
    <x v="78"/>
    <x v="0"/>
    <x v="0"/>
    <x v="1"/>
    <x v="105"/>
    <x v="5"/>
    <x v="0"/>
    <s v="MEDIA"/>
    <s v="MEDIA"/>
    <n v="64"/>
    <s v="cumple"/>
    <x v="3"/>
    <x v="3"/>
    <x v="394"/>
    <n v="6496"/>
    <x v="0"/>
  </r>
  <r>
    <x v="0"/>
    <x v="1"/>
    <x v="3"/>
    <x v="0"/>
    <x v="14"/>
    <x v="1"/>
    <x v="0"/>
    <x v="27"/>
    <x v="394"/>
    <x v="79"/>
    <x v="0"/>
    <x v="79"/>
    <x v="0"/>
    <x v="0"/>
    <x v="0"/>
    <x v="105"/>
    <x v="5"/>
    <x v="0"/>
    <s v="MEDIA"/>
    <s v="MEDIA"/>
    <n v="64"/>
    <s v="cumple"/>
    <x v="3"/>
    <x v="3"/>
    <x v="394"/>
    <n v="6496"/>
    <x v="0"/>
  </r>
  <r>
    <x v="2"/>
    <x v="7"/>
    <x v="0"/>
    <x v="0"/>
    <x v="7"/>
    <x v="2"/>
    <x v="0"/>
    <x v="43"/>
    <x v="395"/>
    <x v="81"/>
    <x v="0"/>
    <x v="81"/>
    <x v="0"/>
    <x v="0"/>
    <x v="0"/>
    <x v="71"/>
    <x v="7"/>
    <x v="0"/>
    <s v="MEDIA"/>
    <s v="MEDIA"/>
    <n v="64"/>
    <s v="cumple"/>
    <x v="3"/>
    <x v="0"/>
    <x v="395"/>
    <n v="6496"/>
    <x v="0"/>
  </r>
  <r>
    <x v="2"/>
    <x v="7"/>
    <x v="0"/>
    <x v="0"/>
    <x v="7"/>
    <x v="2"/>
    <x v="0"/>
    <x v="136"/>
    <x v="396"/>
    <x v="82"/>
    <x v="0"/>
    <x v="82"/>
    <x v="0"/>
    <x v="0"/>
    <x v="0"/>
    <x v="71"/>
    <x v="7"/>
    <x v="0"/>
    <s v="MEDIA"/>
    <s v="MEDIA"/>
    <n v="64"/>
    <s v="cumple"/>
    <x v="3"/>
    <x v="0"/>
    <x v="396"/>
    <n v="6496"/>
    <x v="0"/>
  </r>
  <r>
    <x v="2"/>
    <x v="7"/>
    <x v="0"/>
    <x v="0"/>
    <x v="7"/>
    <x v="2"/>
    <x v="0"/>
    <x v="136"/>
    <x v="397"/>
    <x v="83"/>
    <x v="0"/>
    <x v="83"/>
    <x v="0"/>
    <x v="0"/>
    <x v="0"/>
    <x v="106"/>
    <x v="7"/>
    <x v="0"/>
    <s v="MEDIA"/>
    <s v="MEDIA"/>
    <n v="64"/>
    <s v="cumple"/>
    <x v="3"/>
    <x v="0"/>
    <x v="397"/>
    <n v="6496"/>
    <x v="0"/>
  </r>
  <r>
    <x v="2"/>
    <x v="7"/>
    <x v="0"/>
    <x v="0"/>
    <x v="7"/>
    <x v="2"/>
    <x v="0"/>
    <x v="136"/>
    <x v="398"/>
    <x v="84"/>
    <x v="0"/>
    <x v="84"/>
    <x v="0"/>
    <x v="0"/>
    <x v="0"/>
    <x v="106"/>
    <x v="7"/>
    <x v="0"/>
    <s v="MEDIA"/>
    <s v="MEDIA"/>
    <n v="64"/>
    <s v="cumple"/>
    <x v="3"/>
    <x v="0"/>
    <x v="398"/>
    <n v="6496"/>
    <x v="0"/>
  </r>
  <r>
    <x v="2"/>
    <x v="7"/>
    <x v="0"/>
    <x v="0"/>
    <x v="7"/>
    <x v="2"/>
    <x v="0"/>
    <x v="136"/>
    <x v="399"/>
    <x v="85"/>
    <x v="0"/>
    <x v="85"/>
    <x v="0"/>
    <x v="0"/>
    <x v="0"/>
    <x v="106"/>
    <x v="7"/>
    <x v="0"/>
    <s v="MEDIA"/>
    <s v="MEDIA"/>
    <n v="64"/>
    <s v="cumple"/>
    <x v="3"/>
    <x v="0"/>
    <x v="399"/>
    <n v="6496"/>
    <x v="0"/>
  </r>
  <r>
    <x v="2"/>
    <x v="7"/>
    <x v="0"/>
    <x v="0"/>
    <x v="7"/>
    <x v="2"/>
    <x v="0"/>
    <x v="136"/>
    <x v="400"/>
    <x v="66"/>
    <x v="0"/>
    <x v="66"/>
    <x v="0"/>
    <x v="0"/>
    <x v="0"/>
    <x v="71"/>
    <x v="7"/>
    <x v="0"/>
    <s v="MEDIA"/>
    <s v="MEDIA"/>
    <n v="64"/>
    <s v="cumple"/>
    <x v="3"/>
    <x v="0"/>
    <x v="400"/>
    <n v="6496"/>
    <x v="0"/>
  </r>
  <r>
    <x v="2"/>
    <x v="7"/>
    <x v="0"/>
    <x v="0"/>
    <x v="7"/>
    <x v="2"/>
    <x v="0"/>
    <x v="136"/>
    <x v="401"/>
    <x v="67"/>
    <x v="0"/>
    <x v="67"/>
    <x v="0"/>
    <x v="0"/>
    <x v="0"/>
    <x v="71"/>
    <x v="7"/>
    <x v="0"/>
    <s v="MEDIA"/>
    <s v="MEDIA"/>
    <n v="64"/>
    <s v="cumple"/>
    <x v="3"/>
    <x v="0"/>
    <x v="401"/>
    <n v="6496"/>
    <x v="0"/>
  </r>
  <r>
    <x v="2"/>
    <x v="7"/>
    <x v="0"/>
    <x v="0"/>
    <x v="7"/>
    <x v="2"/>
    <x v="0"/>
    <x v="136"/>
    <x v="298"/>
    <x v="68"/>
    <x v="0"/>
    <x v="68"/>
    <x v="0"/>
    <x v="0"/>
    <x v="0"/>
    <x v="71"/>
    <x v="7"/>
    <x v="0"/>
    <s v="MEDIA"/>
    <s v="MEDIA"/>
    <n v="64"/>
    <s v="cumple"/>
    <x v="3"/>
    <x v="0"/>
    <x v="298"/>
    <n v="6496"/>
    <x v="0"/>
  </r>
  <r>
    <x v="2"/>
    <x v="7"/>
    <x v="0"/>
    <x v="0"/>
    <x v="7"/>
    <x v="2"/>
    <x v="0"/>
    <x v="136"/>
    <x v="402"/>
    <x v="69"/>
    <x v="0"/>
    <x v="69"/>
    <x v="0"/>
    <x v="0"/>
    <x v="0"/>
    <x v="71"/>
    <x v="7"/>
    <x v="0"/>
    <s v="MEDIA"/>
    <s v="MEDIA"/>
    <n v="64"/>
    <s v="cumple"/>
    <x v="3"/>
    <x v="0"/>
    <x v="402"/>
    <n v="6496"/>
    <x v="0"/>
  </r>
  <r>
    <x v="2"/>
    <x v="7"/>
    <x v="0"/>
    <x v="0"/>
    <x v="7"/>
    <x v="2"/>
    <x v="0"/>
    <x v="136"/>
    <x v="403"/>
    <x v="70"/>
    <x v="0"/>
    <x v="70"/>
    <x v="0"/>
    <x v="0"/>
    <x v="0"/>
    <x v="106"/>
    <x v="7"/>
    <x v="0"/>
    <s v="MEDIA"/>
    <s v="MEDIA"/>
    <n v="64"/>
    <s v="cumple"/>
    <x v="3"/>
    <x v="0"/>
    <x v="403"/>
    <n v="6496"/>
    <x v="0"/>
  </r>
  <r>
    <x v="2"/>
    <x v="7"/>
    <x v="0"/>
    <x v="0"/>
    <x v="7"/>
    <x v="2"/>
    <x v="0"/>
    <x v="136"/>
    <x v="404"/>
    <x v="71"/>
    <x v="0"/>
    <x v="71"/>
    <x v="0"/>
    <x v="0"/>
    <x v="0"/>
    <x v="106"/>
    <x v="7"/>
    <x v="0"/>
    <s v="MEDIA"/>
    <s v="MEDIA"/>
    <n v="64"/>
    <s v="cumple"/>
    <x v="3"/>
    <x v="0"/>
    <x v="404"/>
    <n v="6496"/>
    <x v="0"/>
  </r>
  <r>
    <x v="2"/>
    <x v="7"/>
    <x v="0"/>
    <x v="0"/>
    <x v="7"/>
    <x v="2"/>
    <x v="0"/>
    <x v="136"/>
    <x v="405"/>
    <x v="72"/>
    <x v="0"/>
    <x v="72"/>
    <x v="0"/>
    <x v="0"/>
    <x v="0"/>
    <x v="106"/>
    <x v="7"/>
    <x v="0"/>
    <s v="MEDIA"/>
    <s v="MEDIA"/>
    <n v="64"/>
    <s v="cumple"/>
    <x v="3"/>
    <x v="0"/>
    <x v="405"/>
    <n v="6496"/>
    <x v="0"/>
  </r>
  <r>
    <x v="2"/>
    <x v="7"/>
    <x v="0"/>
    <x v="0"/>
    <x v="7"/>
    <x v="2"/>
    <x v="0"/>
    <x v="136"/>
    <x v="406"/>
    <x v="73"/>
    <x v="0"/>
    <x v="73"/>
    <x v="0"/>
    <x v="0"/>
    <x v="0"/>
    <x v="106"/>
    <x v="7"/>
    <x v="0"/>
    <s v="MEDIA"/>
    <s v="MEDIA"/>
    <n v="64"/>
    <s v="cumple"/>
    <x v="3"/>
    <x v="0"/>
    <x v="406"/>
    <n v="6496"/>
    <x v="0"/>
  </r>
  <r>
    <x v="2"/>
    <x v="7"/>
    <x v="0"/>
    <x v="0"/>
    <x v="7"/>
    <x v="2"/>
    <x v="0"/>
    <x v="136"/>
    <x v="407"/>
    <x v="74"/>
    <x v="0"/>
    <x v="74"/>
    <x v="0"/>
    <x v="0"/>
    <x v="0"/>
    <x v="106"/>
    <x v="7"/>
    <x v="0"/>
    <s v="MEDIA"/>
    <s v="MEDIA"/>
    <n v="64"/>
    <s v="cumple"/>
    <x v="3"/>
    <x v="0"/>
    <x v="407"/>
    <n v="6496"/>
    <x v="0"/>
  </r>
  <r>
    <x v="2"/>
    <x v="7"/>
    <x v="0"/>
    <x v="0"/>
    <x v="7"/>
    <x v="2"/>
    <x v="0"/>
    <x v="136"/>
    <x v="408"/>
    <x v="75"/>
    <x v="0"/>
    <x v="75"/>
    <x v="0"/>
    <x v="0"/>
    <x v="0"/>
    <x v="106"/>
    <x v="7"/>
    <x v="0"/>
    <s v="MEDIA"/>
    <s v="MEDIA"/>
    <n v="64"/>
    <s v="cumple"/>
    <x v="3"/>
    <x v="0"/>
    <x v="408"/>
    <n v="6496"/>
    <x v="0"/>
  </r>
  <r>
    <x v="2"/>
    <x v="7"/>
    <x v="0"/>
    <x v="0"/>
    <x v="7"/>
    <x v="2"/>
    <x v="0"/>
    <x v="136"/>
    <x v="409"/>
    <x v="76"/>
    <x v="0"/>
    <x v="76"/>
    <x v="0"/>
    <x v="0"/>
    <x v="0"/>
    <x v="106"/>
    <x v="7"/>
    <x v="0"/>
    <s v="MEDIA"/>
    <s v="MEDIA"/>
    <n v="64"/>
    <s v="cumple"/>
    <x v="3"/>
    <x v="0"/>
    <x v="409"/>
    <n v="6496"/>
    <x v="0"/>
  </r>
  <r>
    <x v="2"/>
    <x v="7"/>
    <x v="0"/>
    <x v="0"/>
    <x v="7"/>
    <x v="2"/>
    <x v="0"/>
    <x v="136"/>
    <x v="396"/>
    <x v="77"/>
    <x v="0"/>
    <x v="77"/>
    <x v="0"/>
    <x v="0"/>
    <x v="0"/>
    <x v="71"/>
    <x v="7"/>
    <x v="0"/>
    <s v="MEDIA"/>
    <s v="MEDIA"/>
    <n v="64"/>
    <s v="cumple"/>
    <x v="3"/>
    <x v="0"/>
    <x v="396"/>
    <n v="6496"/>
    <x v="0"/>
  </r>
  <r>
    <x v="2"/>
    <x v="7"/>
    <x v="0"/>
    <x v="0"/>
    <x v="7"/>
    <x v="2"/>
    <x v="0"/>
    <x v="136"/>
    <x v="395"/>
    <x v="78"/>
    <x v="0"/>
    <x v="78"/>
    <x v="0"/>
    <x v="0"/>
    <x v="0"/>
    <x v="71"/>
    <x v="7"/>
    <x v="0"/>
    <s v="MEDIA"/>
    <s v="MEDIA"/>
    <n v="64"/>
    <s v="cumple"/>
    <x v="3"/>
    <x v="0"/>
    <x v="395"/>
    <n v="6496"/>
    <x v="0"/>
  </r>
  <r>
    <x v="2"/>
    <x v="7"/>
    <x v="0"/>
    <x v="0"/>
    <x v="7"/>
    <x v="2"/>
    <x v="0"/>
    <x v="136"/>
    <x v="396"/>
    <x v="79"/>
    <x v="0"/>
    <x v="79"/>
    <x v="0"/>
    <x v="0"/>
    <x v="0"/>
    <x v="71"/>
    <x v="7"/>
    <x v="0"/>
    <s v="MEDIA"/>
    <s v="MEDIA"/>
    <n v="64"/>
    <s v="cumple"/>
    <x v="3"/>
    <x v="0"/>
    <x v="396"/>
    <n v="6496"/>
    <x v="0"/>
  </r>
  <r>
    <x v="2"/>
    <x v="7"/>
    <x v="0"/>
    <x v="0"/>
    <x v="7"/>
    <x v="2"/>
    <x v="0"/>
    <x v="136"/>
    <x v="410"/>
    <x v="80"/>
    <x v="0"/>
    <x v="80"/>
    <x v="0"/>
    <x v="0"/>
    <x v="0"/>
    <x v="71"/>
    <x v="7"/>
    <x v="0"/>
    <s v="MEDIA"/>
    <s v="MEDIA"/>
    <n v="64"/>
    <s v="cumple"/>
    <x v="3"/>
    <x v="0"/>
    <x v="410"/>
    <n v="6496"/>
    <x v="0"/>
  </r>
  <r>
    <x v="0"/>
    <x v="1"/>
    <x v="4"/>
    <x v="0"/>
    <x v="9"/>
    <x v="1"/>
    <x v="0"/>
    <x v="137"/>
    <x v="411"/>
    <x v="66"/>
    <x v="0"/>
    <x v="66"/>
    <x v="5"/>
    <x v="7"/>
    <x v="0"/>
    <x v="64"/>
    <x v="9"/>
    <x v="4"/>
    <s v="MEDIA"/>
    <s v="MEDIA"/>
    <n v="64"/>
    <s v="cumple"/>
    <x v="3"/>
    <x v="4"/>
    <x v="411"/>
    <n v="2320"/>
    <x v="0"/>
  </r>
  <r>
    <x v="0"/>
    <x v="1"/>
    <x v="4"/>
    <x v="0"/>
    <x v="9"/>
    <x v="1"/>
    <x v="0"/>
    <x v="137"/>
    <x v="412"/>
    <x v="66"/>
    <x v="3"/>
    <x v="66"/>
    <x v="0"/>
    <x v="7"/>
    <x v="0"/>
    <x v="64"/>
    <x v="9"/>
    <x v="4"/>
    <s v="MEDIA"/>
    <s v="MEDIA"/>
    <n v="64"/>
    <s v="cumple"/>
    <x v="3"/>
    <x v="4"/>
    <x v="412"/>
    <n v="2320"/>
    <x v="0"/>
  </r>
  <r>
    <x v="0"/>
    <x v="1"/>
    <x v="4"/>
    <x v="0"/>
    <x v="9"/>
    <x v="1"/>
    <x v="0"/>
    <x v="138"/>
    <x v="413"/>
    <x v="67"/>
    <x v="0"/>
    <x v="67"/>
    <x v="5"/>
    <x v="7"/>
    <x v="0"/>
    <x v="64"/>
    <x v="9"/>
    <x v="4"/>
    <s v="MEDIA"/>
    <s v="MEDIA"/>
    <n v="64"/>
    <s v="cumple"/>
    <x v="3"/>
    <x v="4"/>
    <x v="413"/>
    <n v="2320"/>
    <x v="0"/>
  </r>
  <r>
    <x v="0"/>
    <x v="1"/>
    <x v="4"/>
    <x v="0"/>
    <x v="9"/>
    <x v="1"/>
    <x v="0"/>
    <x v="138"/>
    <x v="414"/>
    <x v="67"/>
    <x v="3"/>
    <x v="67"/>
    <x v="0"/>
    <x v="7"/>
    <x v="0"/>
    <x v="64"/>
    <x v="9"/>
    <x v="4"/>
    <s v="MEDIA"/>
    <s v="MEDIA"/>
    <n v="64"/>
    <s v="cumple"/>
    <x v="3"/>
    <x v="4"/>
    <x v="414"/>
    <n v="2320"/>
    <x v="0"/>
  </r>
  <r>
    <x v="0"/>
    <x v="1"/>
    <x v="4"/>
    <x v="0"/>
    <x v="9"/>
    <x v="1"/>
    <x v="0"/>
    <x v="139"/>
    <x v="415"/>
    <x v="68"/>
    <x v="0"/>
    <x v="68"/>
    <x v="3"/>
    <x v="4"/>
    <x v="0"/>
    <x v="64"/>
    <x v="9"/>
    <x v="4"/>
    <s v="MEDIA"/>
    <s v="MEDIA"/>
    <n v="64"/>
    <s v="cumple"/>
    <x v="3"/>
    <x v="4"/>
    <x v="415"/>
    <n v="1160"/>
    <x v="0"/>
  </r>
  <r>
    <x v="0"/>
    <x v="1"/>
    <x v="4"/>
    <x v="0"/>
    <x v="9"/>
    <x v="1"/>
    <x v="0"/>
    <x v="139"/>
    <x v="416"/>
    <x v="68"/>
    <x v="4"/>
    <x v="68"/>
    <x v="0"/>
    <x v="3"/>
    <x v="0"/>
    <x v="64"/>
    <x v="9"/>
    <x v="4"/>
    <s v="MEDIA"/>
    <s v="MEDIA"/>
    <n v="64"/>
    <s v="cumple"/>
    <x v="3"/>
    <x v="4"/>
    <x v="416"/>
    <n v="3479.9999999999995"/>
    <x v="0"/>
  </r>
  <r>
    <x v="0"/>
    <x v="1"/>
    <x v="4"/>
    <x v="0"/>
    <x v="9"/>
    <x v="1"/>
    <x v="0"/>
    <x v="139"/>
    <x v="417"/>
    <x v="69"/>
    <x v="0"/>
    <x v="69"/>
    <x v="5"/>
    <x v="7"/>
    <x v="0"/>
    <x v="64"/>
    <x v="9"/>
    <x v="4"/>
    <s v="MEDIA"/>
    <s v="MEDIA"/>
    <n v="64"/>
    <s v="cumple"/>
    <x v="3"/>
    <x v="4"/>
    <x v="417"/>
    <n v="2320"/>
    <x v="0"/>
  </r>
  <r>
    <x v="0"/>
    <x v="1"/>
    <x v="4"/>
    <x v="0"/>
    <x v="9"/>
    <x v="1"/>
    <x v="0"/>
    <x v="139"/>
    <x v="418"/>
    <x v="69"/>
    <x v="3"/>
    <x v="69"/>
    <x v="0"/>
    <x v="7"/>
    <x v="0"/>
    <x v="64"/>
    <x v="9"/>
    <x v="4"/>
    <s v="MEDIA"/>
    <s v="MEDIA"/>
    <n v="64"/>
    <s v="cumple"/>
    <x v="3"/>
    <x v="4"/>
    <x v="418"/>
    <n v="2320"/>
    <x v="0"/>
  </r>
  <r>
    <x v="0"/>
    <x v="1"/>
    <x v="4"/>
    <x v="0"/>
    <x v="9"/>
    <x v="1"/>
    <x v="0"/>
    <x v="139"/>
    <x v="419"/>
    <x v="70"/>
    <x v="0"/>
    <x v="70"/>
    <x v="5"/>
    <x v="7"/>
    <x v="0"/>
    <x v="64"/>
    <x v="9"/>
    <x v="4"/>
    <s v="MEDIA"/>
    <s v="MEDIA"/>
    <n v="64"/>
    <s v="cumple"/>
    <x v="3"/>
    <x v="4"/>
    <x v="419"/>
    <n v="2320"/>
    <x v="0"/>
  </r>
  <r>
    <x v="0"/>
    <x v="1"/>
    <x v="4"/>
    <x v="0"/>
    <x v="9"/>
    <x v="1"/>
    <x v="0"/>
    <x v="139"/>
    <x v="420"/>
    <x v="70"/>
    <x v="3"/>
    <x v="70"/>
    <x v="0"/>
    <x v="7"/>
    <x v="0"/>
    <x v="64"/>
    <x v="9"/>
    <x v="4"/>
    <s v="MEDIA"/>
    <s v="MEDIA"/>
    <n v="64"/>
    <s v="cumple"/>
    <x v="3"/>
    <x v="4"/>
    <x v="420"/>
    <n v="2320"/>
    <x v="0"/>
  </r>
  <r>
    <x v="0"/>
    <x v="1"/>
    <x v="4"/>
    <x v="0"/>
    <x v="9"/>
    <x v="1"/>
    <x v="0"/>
    <x v="140"/>
    <x v="421"/>
    <x v="71"/>
    <x v="0"/>
    <x v="71"/>
    <x v="5"/>
    <x v="7"/>
    <x v="0"/>
    <x v="64"/>
    <x v="9"/>
    <x v="4"/>
    <s v="MEDIA"/>
    <s v="MEDIA"/>
    <n v="64"/>
    <s v="cumple"/>
    <x v="3"/>
    <x v="4"/>
    <x v="421"/>
    <n v="2320"/>
    <x v="0"/>
  </r>
  <r>
    <x v="0"/>
    <x v="1"/>
    <x v="4"/>
    <x v="0"/>
    <x v="9"/>
    <x v="1"/>
    <x v="0"/>
    <x v="141"/>
    <x v="422"/>
    <x v="71"/>
    <x v="3"/>
    <x v="71"/>
    <x v="2"/>
    <x v="4"/>
    <x v="0"/>
    <x v="64"/>
    <x v="9"/>
    <x v="4"/>
    <s v="MEDIA"/>
    <s v="MEDIA"/>
    <n v="64"/>
    <s v="cumple"/>
    <x v="3"/>
    <x v="4"/>
    <x v="422"/>
    <n v="1160"/>
    <x v="0"/>
  </r>
  <r>
    <x v="0"/>
    <x v="1"/>
    <x v="4"/>
    <x v="0"/>
    <x v="9"/>
    <x v="1"/>
    <x v="0"/>
    <x v="141"/>
    <x v="423"/>
    <x v="71"/>
    <x v="2"/>
    <x v="71"/>
    <x v="0"/>
    <x v="4"/>
    <x v="0"/>
    <x v="64"/>
    <x v="9"/>
    <x v="4"/>
    <s v="MEDIA"/>
    <s v="MEDIA"/>
    <n v="64"/>
    <s v="cumple"/>
    <x v="3"/>
    <x v="4"/>
    <x v="423"/>
    <n v="1160"/>
    <x v="0"/>
  </r>
  <r>
    <x v="0"/>
    <x v="1"/>
    <x v="4"/>
    <x v="0"/>
    <x v="9"/>
    <x v="1"/>
    <x v="0"/>
    <x v="142"/>
    <x v="424"/>
    <x v="72"/>
    <x v="0"/>
    <x v="72"/>
    <x v="5"/>
    <x v="7"/>
    <x v="0"/>
    <x v="64"/>
    <x v="9"/>
    <x v="4"/>
    <s v="MEDIA"/>
    <s v="MEDIA"/>
    <n v="64"/>
    <s v="cumple"/>
    <x v="3"/>
    <x v="4"/>
    <x v="424"/>
    <n v="2320"/>
    <x v="0"/>
  </r>
  <r>
    <x v="0"/>
    <x v="1"/>
    <x v="4"/>
    <x v="0"/>
    <x v="9"/>
    <x v="1"/>
    <x v="0"/>
    <x v="141"/>
    <x v="425"/>
    <x v="72"/>
    <x v="3"/>
    <x v="72"/>
    <x v="0"/>
    <x v="7"/>
    <x v="0"/>
    <x v="64"/>
    <x v="9"/>
    <x v="4"/>
    <s v="MEDIA"/>
    <s v="MEDIA"/>
    <n v="64"/>
    <s v="cumple"/>
    <x v="3"/>
    <x v="4"/>
    <x v="425"/>
    <n v="2320"/>
    <x v="0"/>
  </r>
  <r>
    <x v="0"/>
    <x v="1"/>
    <x v="4"/>
    <x v="0"/>
    <x v="9"/>
    <x v="1"/>
    <x v="0"/>
    <x v="143"/>
    <x v="426"/>
    <x v="73"/>
    <x v="0"/>
    <x v="73"/>
    <x v="5"/>
    <x v="7"/>
    <x v="0"/>
    <x v="64"/>
    <x v="9"/>
    <x v="4"/>
    <s v="MEDIA"/>
    <s v="MEDIA"/>
    <n v="64"/>
    <s v="cumple"/>
    <x v="3"/>
    <x v="4"/>
    <x v="426"/>
    <n v="2320"/>
    <x v="0"/>
  </r>
  <r>
    <x v="0"/>
    <x v="1"/>
    <x v="4"/>
    <x v="0"/>
    <x v="9"/>
    <x v="1"/>
    <x v="0"/>
    <x v="141"/>
    <x v="427"/>
    <x v="73"/>
    <x v="3"/>
    <x v="73"/>
    <x v="2"/>
    <x v="4"/>
    <x v="0"/>
    <x v="64"/>
    <x v="9"/>
    <x v="4"/>
    <s v="MEDIA"/>
    <s v="MEDIA"/>
    <n v="64"/>
    <s v="cumple"/>
    <x v="3"/>
    <x v="4"/>
    <x v="427"/>
    <n v="1160"/>
    <x v="0"/>
  </r>
  <r>
    <x v="0"/>
    <x v="1"/>
    <x v="4"/>
    <x v="0"/>
    <x v="9"/>
    <x v="1"/>
    <x v="0"/>
    <x v="141"/>
    <x v="428"/>
    <x v="73"/>
    <x v="2"/>
    <x v="73"/>
    <x v="0"/>
    <x v="4"/>
    <x v="0"/>
    <x v="64"/>
    <x v="9"/>
    <x v="4"/>
    <s v="MEDIA"/>
    <s v="MEDIA"/>
    <n v="64"/>
    <s v="cumple"/>
    <x v="3"/>
    <x v="4"/>
    <x v="428"/>
    <n v="1160"/>
    <x v="0"/>
  </r>
  <r>
    <x v="0"/>
    <x v="1"/>
    <x v="4"/>
    <x v="0"/>
    <x v="9"/>
    <x v="1"/>
    <x v="0"/>
    <x v="143"/>
    <x v="429"/>
    <x v="74"/>
    <x v="0"/>
    <x v="74"/>
    <x v="9"/>
    <x v="6"/>
    <x v="0"/>
    <x v="64"/>
    <x v="9"/>
    <x v="4"/>
    <s v="MEDIA"/>
    <s v="MEDIA"/>
    <n v="64"/>
    <s v="cumple"/>
    <x v="3"/>
    <x v="4"/>
    <x v="429"/>
    <n v="2900"/>
    <x v="0"/>
  </r>
  <r>
    <x v="0"/>
    <x v="1"/>
    <x v="4"/>
    <x v="0"/>
    <x v="9"/>
    <x v="1"/>
    <x v="0"/>
    <x v="143"/>
    <x v="430"/>
    <x v="74"/>
    <x v="7"/>
    <x v="74"/>
    <x v="2"/>
    <x v="2"/>
    <x v="0"/>
    <x v="64"/>
    <x v="9"/>
    <x v="4"/>
    <s v="MEDIA"/>
    <s v="MEDIA"/>
    <n v="64"/>
    <s v="cumple"/>
    <x v="3"/>
    <x v="4"/>
    <x v="430"/>
    <n v="580"/>
    <x v="0"/>
  </r>
  <r>
    <x v="0"/>
    <x v="1"/>
    <x v="4"/>
    <x v="0"/>
    <x v="9"/>
    <x v="1"/>
    <x v="0"/>
    <x v="144"/>
    <x v="431"/>
    <x v="74"/>
    <x v="2"/>
    <x v="74"/>
    <x v="0"/>
    <x v="4"/>
    <x v="0"/>
    <x v="64"/>
    <x v="9"/>
    <x v="4"/>
    <s v="MEDIA"/>
    <s v="MEDIA"/>
    <n v="64"/>
    <s v="cumple"/>
    <x v="3"/>
    <x v="4"/>
    <x v="431"/>
    <n v="1160"/>
    <x v="0"/>
  </r>
  <r>
    <x v="0"/>
    <x v="1"/>
    <x v="4"/>
    <x v="0"/>
    <x v="9"/>
    <x v="1"/>
    <x v="0"/>
    <x v="144"/>
    <x v="432"/>
    <x v="75"/>
    <x v="0"/>
    <x v="75"/>
    <x v="5"/>
    <x v="7"/>
    <x v="0"/>
    <x v="64"/>
    <x v="9"/>
    <x v="4"/>
    <s v="MEDIA"/>
    <s v="MEDIA"/>
    <n v="64"/>
    <s v="cumple"/>
    <x v="3"/>
    <x v="4"/>
    <x v="432"/>
    <n v="2320"/>
    <x v="0"/>
  </r>
  <r>
    <x v="0"/>
    <x v="1"/>
    <x v="4"/>
    <x v="0"/>
    <x v="9"/>
    <x v="1"/>
    <x v="0"/>
    <x v="144"/>
    <x v="433"/>
    <x v="75"/>
    <x v="3"/>
    <x v="75"/>
    <x v="0"/>
    <x v="7"/>
    <x v="0"/>
    <x v="64"/>
    <x v="9"/>
    <x v="4"/>
    <s v="MEDIA"/>
    <s v="MEDIA"/>
    <n v="64"/>
    <s v="cumple"/>
    <x v="3"/>
    <x v="4"/>
    <x v="433"/>
    <n v="2320"/>
    <x v="0"/>
  </r>
  <r>
    <x v="0"/>
    <x v="1"/>
    <x v="4"/>
    <x v="0"/>
    <x v="9"/>
    <x v="1"/>
    <x v="0"/>
    <x v="141"/>
    <x v="434"/>
    <x v="76"/>
    <x v="0"/>
    <x v="76"/>
    <x v="5"/>
    <x v="7"/>
    <x v="0"/>
    <x v="64"/>
    <x v="9"/>
    <x v="4"/>
    <s v="MEDIA"/>
    <s v="MEDIA"/>
    <n v="64"/>
    <s v="cumple"/>
    <x v="3"/>
    <x v="4"/>
    <x v="434"/>
    <n v="2320"/>
    <x v="0"/>
  </r>
  <r>
    <x v="0"/>
    <x v="1"/>
    <x v="4"/>
    <x v="0"/>
    <x v="9"/>
    <x v="1"/>
    <x v="0"/>
    <x v="144"/>
    <x v="435"/>
    <x v="76"/>
    <x v="3"/>
    <x v="76"/>
    <x v="2"/>
    <x v="4"/>
    <x v="0"/>
    <x v="64"/>
    <x v="9"/>
    <x v="4"/>
    <s v="MEDIA"/>
    <s v="MEDIA"/>
    <n v="64"/>
    <s v="cumple"/>
    <x v="3"/>
    <x v="4"/>
    <x v="435"/>
    <n v="1160"/>
    <x v="0"/>
  </r>
  <r>
    <x v="0"/>
    <x v="1"/>
    <x v="4"/>
    <x v="0"/>
    <x v="9"/>
    <x v="1"/>
    <x v="0"/>
    <x v="144"/>
    <x v="432"/>
    <x v="76"/>
    <x v="2"/>
    <x v="76"/>
    <x v="0"/>
    <x v="4"/>
    <x v="0"/>
    <x v="64"/>
    <x v="9"/>
    <x v="4"/>
    <s v="MEDIA"/>
    <s v="MEDIA"/>
    <n v="64"/>
    <s v="cumple"/>
    <x v="3"/>
    <x v="4"/>
    <x v="432"/>
    <n v="1160"/>
    <x v="0"/>
  </r>
  <r>
    <x v="0"/>
    <x v="1"/>
    <x v="4"/>
    <x v="0"/>
    <x v="9"/>
    <x v="1"/>
    <x v="0"/>
    <x v="141"/>
    <x v="436"/>
    <x v="77"/>
    <x v="0"/>
    <x v="77"/>
    <x v="5"/>
    <x v="7"/>
    <x v="0"/>
    <x v="64"/>
    <x v="9"/>
    <x v="4"/>
    <s v="MEDIA"/>
    <s v="MEDIA"/>
    <n v="64"/>
    <s v="cumple"/>
    <x v="3"/>
    <x v="4"/>
    <x v="436"/>
    <n v="2320"/>
    <x v="0"/>
  </r>
  <r>
    <x v="0"/>
    <x v="1"/>
    <x v="4"/>
    <x v="0"/>
    <x v="9"/>
    <x v="1"/>
    <x v="0"/>
    <x v="141"/>
    <x v="437"/>
    <x v="77"/>
    <x v="3"/>
    <x v="77"/>
    <x v="0"/>
    <x v="7"/>
    <x v="0"/>
    <x v="64"/>
    <x v="9"/>
    <x v="4"/>
    <s v="MEDIA"/>
    <s v="MEDIA"/>
    <n v="64"/>
    <s v="cumple"/>
    <x v="3"/>
    <x v="4"/>
    <x v="437"/>
    <n v="2320"/>
    <x v="0"/>
  </r>
  <r>
    <x v="0"/>
    <x v="1"/>
    <x v="4"/>
    <x v="0"/>
    <x v="9"/>
    <x v="1"/>
    <x v="0"/>
    <x v="141"/>
    <x v="438"/>
    <x v="78"/>
    <x v="0"/>
    <x v="78"/>
    <x v="3"/>
    <x v="4"/>
    <x v="0"/>
    <x v="64"/>
    <x v="9"/>
    <x v="4"/>
    <s v="MEDIA"/>
    <s v="MEDIA"/>
    <n v="64"/>
    <s v="cumple"/>
    <x v="3"/>
    <x v="4"/>
    <x v="438"/>
    <n v="1160"/>
    <x v="0"/>
  </r>
  <r>
    <x v="0"/>
    <x v="1"/>
    <x v="4"/>
    <x v="0"/>
    <x v="9"/>
    <x v="1"/>
    <x v="0"/>
    <x v="145"/>
    <x v="439"/>
    <x v="78"/>
    <x v="4"/>
    <x v="78"/>
    <x v="9"/>
    <x v="5"/>
    <x v="0"/>
    <x v="64"/>
    <x v="9"/>
    <x v="4"/>
    <s v="MEDIA"/>
    <s v="MEDIA"/>
    <n v="64"/>
    <s v="cumple"/>
    <x v="3"/>
    <x v="4"/>
    <x v="439"/>
    <n v="1739.9999999999998"/>
    <x v="0"/>
  </r>
  <r>
    <x v="0"/>
    <x v="1"/>
    <x v="4"/>
    <x v="0"/>
    <x v="9"/>
    <x v="1"/>
    <x v="0"/>
    <x v="146"/>
    <x v="440"/>
    <x v="78"/>
    <x v="7"/>
    <x v="78"/>
    <x v="0"/>
    <x v="5"/>
    <x v="0"/>
    <x v="64"/>
    <x v="9"/>
    <x v="4"/>
    <s v="MEDIA"/>
    <s v="MEDIA"/>
    <n v="64"/>
    <s v="cumple"/>
    <x v="3"/>
    <x v="4"/>
    <x v="440"/>
    <n v="1739.9999999999998"/>
    <x v="0"/>
  </r>
  <r>
    <x v="0"/>
    <x v="1"/>
    <x v="4"/>
    <x v="0"/>
    <x v="9"/>
    <x v="1"/>
    <x v="0"/>
    <x v="146"/>
    <x v="440"/>
    <x v="79"/>
    <x v="0"/>
    <x v="79"/>
    <x v="3"/>
    <x v="4"/>
    <x v="0"/>
    <x v="64"/>
    <x v="9"/>
    <x v="4"/>
    <s v="MEDIA"/>
    <s v="MEDIA"/>
    <n v="64"/>
    <s v="cumple"/>
    <x v="3"/>
    <x v="4"/>
    <x v="440"/>
    <n v="1160"/>
    <x v="0"/>
  </r>
  <r>
    <x v="0"/>
    <x v="1"/>
    <x v="4"/>
    <x v="0"/>
    <x v="9"/>
    <x v="1"/>
    <x v="0"/>
    <x v="147"/>
    <x v="441"/>
    <x v="79"/>
    <x v="4"/>
    <x v="79"/>
    <x v="2"/>
    <x v="7"/>
    <x v="0"/>
    <x v="64"/>
    <x v="9"/>
    <x v="4"/>
    <s v="MEDIA"/>
    <s v="MEDIA"/>
    <n v="64"/>
    <s v="cumple"/>
    <x v="3"/>
    <x v="4"/>
    <x v="441"/>
    <n v="2320"/>
    <x v="0"/>
  </r>
  <r>
    <x v="0"/>
    <x v="1"/>
    <x v="4"/>
    <x v="0"/>
    <x v="9"/>
    <x v="1"/>
    <x v="0"/>
    <x v="144"/>
    <x v="442"/>
    <x v="79"/>
    <x v="2"/>
    <x v="79"/>
    <x v="0"/>
    <x v="4"/>
    <x v="0"/>
    <x v="64"/>
    <x v="9"/>
    <x v="4"/>
    <s v="MEDIA"/>
    <s v="MEDIA"/>
    <n v="64"/>
    <s v="cumple"/>
    <x v="3"/>
    <x v="4"/>
    <x v="442"/>
    <n v="1160"/>
    <x v="0"/>
  </r>
  <r>
    <x v="0"/>
    <x v="1"/>
    <x v="4"/>
    <x v="0"/>
    <x v="9"/>
    <x v="1"/>
    <x v="0"/>
    <x v="148"/>
    <x v="443"/>
    <x v="80"/>
    <x v="0"/>
    <x v="80"/>
    <x v="5"/>
    <x v="7"/>
    <x v="0"/>
    <x v="64"/>
    <x v="9"/>
    <x v="4"/>
    <s v="MEDIA"/>
    <s v="MEDIA"/>
    <n v="64"/>
    <s v="cumple"/>
    <x v="3"/>
    <x v="4"/>
    <x v="443"/>
    <n v="2320"/>
    <x v="0"/>
  </r>
  <r>
    <x v="0"/>
    <x v="1"/>
    <x v="4"/>
    <x v="0"/>
    <x v="9"/>
    <x v="1"/>
    <x v="0"/>
    <x v="148"/>
    <x v="444"/>
    <x v="80"/>
    <x v="3"/>
    <x v="80"/>
    <x v="0"/>
    <x v="7"/>
    <x v="0"/>
    <x v="64"/>
    <x v="9"/>
    <x v="4"/>
    <s v="MEDIA"/>
    <s v="MEDIA"/>
    <n v="64"/>
    <s v="cumple"/>
    <x v="3"/>
    <x v="4"/>
    <x v="444"/>
    <n v="2320"/>
    <x v="0"/>
  </r>
  <r>
    <x v="0"/>
    <x v="1"/>
    <x v="0"/>
    <x v="0"/>
    <x v="2"/>
    <x v="1"/>
    <x v="0"/>
    <x v="149"/>
    <x v="445"/>
    <x v="81"/>
    <x v="0"/>
    <x v="81"/>
    <x v="0"/>
    <x v="0"/>
    <x v="1"/>
    <x v="66"/>
    <x v="2"/>
    <x v="0"/>
    <s v="MEDIA"/>
    <s v="MEDIA"/>
    <n v="64"/>
    <s v="cumple"/>
    <x v="3"/>
    <x v="0"/>
    <x v="445"/>
    <n v="6496"/>
    <x v="0"/>
  </r>
  <r>
    <x v="0"/>
    <x v="1"/>
    <x v="0"/>
    <x v="0"/>
    <x v="2"/>
    <x v="1"/>
    <x v="0"/>
    <x v="149"/>
    <x v="445"/>
    <x v="82"/>
    <x v="0"/>
    <x v="82"/>
    <x v="0"/>
    <x v="0"/>
    <x v="1"/>
    <x v="66"/>
    <x v="2"/>
    <x v="0"/>
    <s v="MEDIA"/>
    <s v="MEDIA"/>
    <n v="64"/>
    <s v="cumple"/>
    <x v="3"/>
    <x v="0"/>
    <x v="445"/>
    <n v="6496"/>
    <x v="0"/>
  </r>
  <r>
    <x v="0"/>
    <x v="1"/>
    <x v="0"/>
    <x v="0"/>
    <x v="2"/>
    <x v="1"/>
    <x v="0"/>
    <x v="149"/>
    <x v="445"/>
    <x v="83"/>
    <x v="0"/>
    <x v="83"/>
    <x v="0"/>
    <x v="0"/>
    <x v="0"/>
    <x v="66"/>
    <x v="2"/>
    <x v="0"/>
    <s v="MEDIA"/>
    <s v="MEDIA"/>
    <n v="64"/>
    <s v="cumple"/>
    <x v="3"/>
    <x v="0"/>
    <x v="445"/>
    <n v="6496"/>
    <x v="0"/>
  </r>
  <r>
    <x v="0"/>
    <x v="1"/>
    <x v="0"/>
    <x v="0"/>
    <x v="2"/>
    <x v="1"/>
    <x v="0"/>
    <x v="149"/>
    <x v="446"/>
    <x v="84"/>
    <x v="0"/>
    <x v="84"/>
    <x v="0"/>
    <x v="0"/>
    <x v="0"/>
    <x v="66"/>
    <x v="2"/>
    <x v="0"/>
    <s v="MEDIA"/>
    <s v="MEDIA"/>
    <n v="64"/>
    <s v="cumple"/>
    <x v="3"/>
    <x v="0"/>
    <x v="446"/>
    <n v="6496"/>
    <x v="0"/>
  </r>
  <r>
    <x v="0"/>
    <x v="1"/>
    <x v="0"/>
    <x v="0"/>
    <x v="2"/>
    <x v="1"/>
    <x v="0"/>
    <x v="149"/>
    <x v="447"/>
    <x v="85"/>
    <x v="0"/>
    <x v="85"/>
    <x v="0"/>
    <x v="0"/>
    <x v="0"/>
    <x v="66"/>
    <x v="2"/>
    <x v="0"/>
    <s v="MEDIA"/>
    <s v="MEDIA"/>
    <n v="64"/>
    <s v="cumple"/>
    <x v="3"/>
    <x v="0"/>
    <x v="447"/>
    <n v="6496"/>
    <x v="0"/>
  </r>
  <r>
    <x v="0"/>
    <x v="1"/>
    <x v="4"/>
    <x v="0"/>
    <x v="1"/>
    <x v="1"/>
    <x v="0"/>
    <x v="150"/>
    <x v="185"/>
    <x v="66"/>
    <x v="0"/>
    <x v="66"/>
    <x v="0"/>
    <x v="0"/>
    <x v="1"/>
    <x v="68"/>
    <x v="2"/>
    <x v="0"/>
    <s v="MEDIA"/>
    <s v="MEDIA"/>
    <n v="64"/>
    <s v="cumple"/>
    <x v="3"/>
    <x v="4"/>
    <x v="185"/>
    <n v="6496"/>
    <x v="0"/>
  </r>
  <r>
    <x v="0"/>
    <x v="1"/>
    <x v="4"/>
    <x v="0"/>
    <x v="1"/>
    <x v="1"/>
    <x v="0"/>
    <x v="150"/>
    <x v="185"/>
    <x v="67"/>
    <x v="0"/>
    <x v="67"/>
    <x v="0"/>
    <x v="0"/>
    <x v="1"/>
    <x v="68"/>
    <x v="2"/>
    <x v="0"/>
    <s v="MEDIA"/>
    <s v="MEDIA"/>
    <n v="64"/>
    <s v="cumple"/>
    <x v="3"/>
    <x v="4"/>
    <x v="185"/>
    <n v="6496"/>
    <x v="0"/>
  </r>
  <r>
    <x v="0"/>
    <x v="1"/>
    <x v="4"/>
    <x v="0"/>
    <x v="1"/>
    <x v="1"/>
    <x v="0"/>
    <x v="150"/>
    <x v="185"/>
    <x v="68"/>
    <x v="0"/>
    <x v="68"/>
    <x v="0"/>
    <x v="0"/>
    <x v="1"/>
    <x v="68"/>
    <x v="2"/>
    <x v="0"/>
    <s v="MEDIA"/>
    <s v="MEDIA"/>
    <n v="64"/>
    <s v="cumple"/>
    <x v="3"/>
    <x v="4"/>
    <x v="185"/>
    <n v="6496"/>
    <x v="0"/>
  </r>
  <r>
    <x v="0"/>
    <x v="1"/>
    <x v="4"/>
    <x v="0"/>
    <x v="1"/>
    <x v="1"/>
    <x v="0"/>
    <x v="150"/>
    <x v="185"/>
    <x v="69"/>
    <x v="0"/>
    <x v="69"/>
    <x v="0"/>
    <x v="0"/>
    <x v="1"/>
    <x v="68"/>
    <x v="2"/>
    <x v="0"/>
    <s v="MEDIA"/>
    <s v="MEDIA"/>
    <n v="64"/>
    <s v="cumple"/>
    <x v="3"/>
    <x v="4"/>
    <x v="185"/>
    <n v="6496"/>
    <x v="0"/>
  </r>
  <r>
    <x v="0"/>
    <x v="1"/>
    <x v="4"/>
    <x v="0"/>
    <x v="1"/>
    <x v="1"/>
    <x v="0"/>
    <x v="150"/>
    <x v="185"/>
    <x v="70"/>
    <x v="0"/>
    <x v="70"/>
    <x v="0"/>
    <x v="0"/>
    <x v="1"/>
    <x v="68"/>
    <x v="2"/>
    <x v="0"/>
    <s v="MEDIA"/>
    <s v="MEDIA"/>
    <n v="64"/>
    <s v="cumple"/>
    <x v="3"/>
    <x v="4"/>
    <x v="185"/>
    <n v="6496"/>
    <x v="0"/>
  </r>
  <r>
    <x v="0"/>
    <x v="1"/>
    <x v="4"/>
    <x v="0"/>
    <x v="1"/>
    <x v="1"/>
    <x v="0"/>
    <x v="150"/>
    <x v="185"/>
    <x v="71"/>
    <x v="0"/>
    <x v="71"/>
    <x v="0"/>
    <x v="0"/>
    <x v="1"/>
    <x v="68"/>
    <x v="2"/>
    <x v="0"/>
    <s v="MEDIA"/>
    <s v="MEDIA"/>
    <n v="64"/>
    <s v="cumple"/>
    <x v="3"/>
    <x v="4"/>
    <x v="185"/>
    <n v="6496"/>
    <x v="0"/>
  </r>
  <r>
    <x v="0"/>
    <x v="1"/>
    <x v="4"/>
    <x v="0"/>
    <x v="1"/>
    <x v="1"/>
    <x v="0"/>
    <x v="151"/>
    <x v="185"/>
    <x v="72"/>
    <x v="0"/>
    <x v="72"/>
    <x v="0"/>
    <x v="0"/>
    <x v="1"/>
    <x v="68"/>
    <x v="2"/>
    <x v="0"/>
    <s v="MEDIA"/>
    <s v="MEDIA"/>
    <n v="64"/>
    <s v="cumple"/>
    <x v="3"/>
    <x v="4"/>
    <x v="185"/>
    <n v="6496"/>
    <x v="0"/>
  </r>
  <r>
    <x v="0"/>
    <x v="1"/>
    <x v="4"/>
    <x v="0"/>
    <x v="1"/>
    <x v="1"/>
    <x v="0"/>
    <x v="151"/>
    <x v="185"/>
    <x v="73"/>
    <x v="0"/>
    <x v="73"/>
    <x v="0"/>
    <x v="0"/>
    <x v="0"/>
    <x v="68"/>
    <x v="2"/>
    <x v="0"/>
    <s v="MEDIA"/>
    <s v="MEDIA"/>
    <n v="64"/>
    <s v="cumple"/>
    <x v="3"/>
    <x v="4"/>
    <x v="185"/>
    <n v="6496"/>
    <x v="0"/>
  </r>
  <r>
    <x v="0"/>
    <x v="1"/>
    <x v="4"/>
    <x v="0"/>
    <x v="1"/>
    <x v="1"/>
    <x v="0"/>
    <x v="152"/>
    <x v="448"/>
    <x v="74"/>
    <x v="0"/>
    <x v="74"/>
    <x v="0"/>
    <x v="0"/>
    <x v="1"/>
    <x v="68"/>
    <x v="2"/>
    <x v="0"/>
    <s v="MEDIA"/>
    <s v="MEDIA"/>
    <n v="64"/>
    <s v="cumple"/>
    <x v="3"/>
    <x v="4"/>
    <x v="448"/>
    <n v="6496"/>
    <x v="0"/>
  </r>
  <r>
    <x v="0"/>
    <x v="1"/>
    <x v="4"/>
    <x v="0"/>
    <x v="1"/>
    <x v="1"/>
    <x v="0"/>
    <x v="152"/>
    <x v="448"/>
    <x v="75"/>
    <x v="0"/>
    <x v="75"/>
    <x v="0"/>
    <x v="0"/>
    <x v="1"/>
    <x v="68"/>
    <x v="2"/>
    <x v="0"/>
    <s v="MEDIA"/>
    <s v="MEDIA"/>
    <n v="64"/>
    <s v="cumple"/>
    <x v="3"/>
    <x v="4"/>
    <x v="448"/>
    <n v="6496"/>
    <x v="0"/>
  </r>
  <r>
    <x v="0"/>
    <x v="1"/>
    <x v="4"/>
    <x v="0"/>
    <x v="1"/>
    <x v="1"/>
    <x v="0"/>
    <x v="152"/>
    <x v="448"/>
    <x v="76"/>
    <x v="0"/>
    <x v="76"/>
    <x v="0"/>
    <x v="0"/>
    <x v="0"/>
    <x v="68"/>
    <x v="2"/>
    <x v="0"/>
    <s v="MEDIA"/>
    <s v="MEDIA"/>
    <n v="64"/>
    <s v="cumple"/>
    <x v="3"/>
    <x v="4"/>
    <x v="448"/>
    <n v="6496"/>
    <x v="0"/>
  </r>
  <r>
    <x v="0"/>
    <x v="1"/>
    <x v="4"/>
    <x v="0"/>
    <x v="1"/>
    <x v="1"/>
    <x v="0"/>
    <x v="153"/>
    <x v="449"/>
    <x v="77"/>
    <x v="0"/>
    <x v="77"/>
    <x v="0"/>
    <x v="0"/>
    <x v="1"/>
    <x v="68"/>
    <x v="2"/>
    <x v="0"/>
    <s v="MEDIA"/>
    <s v="MEDIA"/>
    <n v="64"/>
    <s v="cumple"/>
    <x v="3"/>
    <x v="4"/>
    <x v="449"/>
    <n v="6496"/>
    <x v="0"/>
  </r>
  <r>
    <x v="0"/>
    <x v="1"/>
    <x v="4"/>
    <x v="0"/>
    <x v="1"/>
    <x v="1"/>
    <x v="0"/>
    <x v="153"/>
    <x v="450"/>
    <x v="78"/>
    <x v="0"/>
    <x v="78"/>
    <x v="0"/>
    <x v="0"/>
    <x v="0"/>
    <x v="68"/>
    <x v="2"/>
    <x v="0"/>
    <s v="MEDIA"/>
    <s v="MEDIA"/>
    <n v="64"/>
    <s v="cumple"/>
    <x v="3"/>
    <x v="4"/>
    <x v="450"/>
    <n v="6496"/>
    <x v="0"/>
  </r>
  <r>
    <x v="0"/>
    <x v="1"/>
    <x v="4"/>
    <x v="0"/>
    <x v="1"/>
    <x v="1"/>
    <x v="0"/>
    <x v="154"/>
    <x v="451"/>
    <x v="79"/>
    <x v="0"/>
    <x v="79"/>
    <x v="0"/>
    <x v="0"/>
    <x v="1"/>
    <x v="68"/>
    <x v="2"/>
    <x v="0"/>
    <s v="MEDIA"/>
    <s v="MEDIA"/>
    <n v="64"/>
    <s v="cumple"/>
    <x v="3"/>
    <x v="4"/>
    <x v="451"/>
    <n v="6496"/>
    <x v="0"/>
  </r>
  <r>
    <x v="0"/>
    <x v="1"/>
    <x v="4"/>
    <x v="0"/>
    <x v="1"/>
    <x v="1"/>
    <x v="0"/>
    <x v="154"/>
    <x v="451"/>
    <x v="80"/>
    <x v="0"/>
    <x v="80"/>
    <x v="0"/>
    <x v="0"/>
    <x v="0"/>
    <x v="68"/>
    <x v="2"/>
    <x v="0"/>
    <s v="MEDIA"/>
    <s v="MEDIA"/>
    <n v="64"/>
    <s v="cumple"/>
    <x v="3"/>
    <x v="4"/>
    <x v="451"/>
    <n v="6496"/>
    <x v="0"/>
  </r>
  <r>
    <x v="1"/>
    <x v="0"/>
    <x v="4"/>
    <x v="0"/>
    <x v="13"/>
    <x v="8"/>
    <x v="0"/>
    <x v="155"/>
    <x v="452"/>
    <x v="81"/>
    <x v="0"/>
    <x v="81"/>
    <x v="8"/>
    <x v="2"/>
    <x v="0"/>
    <x v="70"/>
    <x v="1"/>
    <x v="0"/>
    <s v="MEDIA"/>
    <s v="MEDIA"/>
    <n v="64"/>
    <s v="cumple"/>
    <x v="3"/>
    <x v="4"/>
    <x v="452"/>
    <n v="812"/>
    <x v="0"/>
  </r>
  <r>
    <x v="4"/>
    <x v="8"/>
    <x v="4"/>
    <x v="0"/>
    <x v="13"/>
    <x v="5"/>
    <x v="0"/>
    <x v="156"/>
    <x v="453"/>
    <x v="81"/>
    <x v="8"/>
    <x v="81"/>
    <x v="9"/>
    <x v="7"/>
    <x v="0"/>
    <x v="70"/>
    <x v="1"/>
    <x v="0"/>
    <s v="MEDIA"/>
    <s v="MEDIA"/>
    <n v="64"/>
    <s v="cumple"/>
    <x v="3"/>
    <x v="4"/>
    <x v="453"/>
    <n v="3248"/>
    <x v="0"/>
  </r>
  <r>
    <x v="0"/>
    <x v="4"/>
    <x v="4"/>
    <x v="0"/>
    <x v="13"/>
    <x v="4"/>
    <x v="0"/>
    <x v="157"/>
    <x v="454"/>
    <x v="81"/>
    <x v="9"/>
    <x v="81"/>
    <x v="0"/>
    <x v="7"/>
    <x v="0"/>
    <x v="70"/>
    <x v="1"/>
    <x v="0"/>
    <s v="MEDIA"/>
    <s v="MEDIA"/>
    <n v="64"/>
    <s v="cumple"/>
    <x v="3"/>
    <x v="4"/>
    <x v="454"/>
    <n v="3248"/>
    <x v="0"/>
  </r>
  <r>
    <x v="1"/>
    <x v="0"/>
    <x v="4"/>
    <x v="0"/>
    <x v="13"/>
    <x v="2"/>
    <x v="0"/>
    <x v="158"/>
    <x v="455"/>
    <x v="82"/>
    <x v="0"/>
    <x v="82"/>
    <x v="2"/>
    <x v="3"/>
    <x v="0"/>
    <x v="70"/>
    <x v="1"/>
    <x v="0"/>
    <s v="MEDIA"/>
    <s v="MEDIA"/>
    <n v="64"/>
    <s v="cumple"/>
    <x v="3"/>
    <x v="4"/>
    <x v="455"/>
    <n v="4872"/>
    <x v="0"/>
  </r>
  <r>
    <x v="0"/>
    <x v="2"/>
    <x v="4"/>
    <x v="0"/>
    <x v="13"/>
    <x v="3"/>
    <x v="0"/>
    <x v="159"/>
    <x v="456"/>
    <x v="82"/>
    <x v="2"/>
    <x v="82"/>
    <x v="0"/>
    <x v="4"/>
    <x v="0"/>
    <x v="70"/>
    <x v="1"/>
    <x v="0"/>
    <s v="MEDIA"/>
    <s v="MEDIA"/>
    <n v="64"/>
    <s v="cumple"/>
    <x v="3"/>
    <x v="4"/>
    <x v="456"/>
    <n v="1624"/>
    <x v="0"/>
  </r>
  <r>
    <x v="0"/>
    <x v="3"/>
    <x v="4"/>
    <x v="0"/>
    <x v="13"/>
    <x v="4"/>
    <x v="0"/>
    <x v="160"/>
    <x v="457"/>
    <x v="83"/>
    <x v="0"/>
    <x v="83"/>
    <x v="0"/>
    <x v="11"/>
    <x v="0"/>
    <x v="70"/>
    <x v="1"/>
    <x v="0"/>
    <s v="MEDIA"/>
    <s v="MEDIA"/>
    <n v="64"/>
    <s v="cumple"/>
    <x v="3"/>
    <x v="4"/>
    <x v="457"/>
    <n v="7307.9999999999991"/>
    <x v="0"/>
  </r>
  <r>
    <x v="1"/>
    <x v="0"/>
    <x v="4"/>
    <x v="0"/>
    <x v="13"/>
    <x v="5"/>
    <x v="0"/>
    <x v="161"/>
    <x v="458"/>
    <x v="66"/>
    <x v="0"/>
    <x v="66"/>
    <x v="0"/>
    <x v="11"/>
    <x v="0"/>
    <x v="70"/>
    <x v="1"/>
    <x v="0"/>
    <s v="MEDIA"/>
    <s v="MEDIA"/>
    <n v="64"/>
    <s v="cumple"/>
    <x v="3"/>
    <x v="4"/>
    <x v="458"/>
    <n v="7307.9999999999991"/>
    <x v="0"/>
  </r>
  <r>
    <x v="1"/>
    <x v="0"/>
    <x v="4"/>
    <x v="0"/>
    <x v="13"/>
    <x v="8"/>
    <x v="0"/>
    <x v="161"/>
    <x v="459"/>
    <x v="67"/>
    <x v="0"/>
    <x v="67"/>
    <x v="3"/>
    <x v="4"/>
    <x v="0"/>
    <x v="70"/>
    <x v="1"/>
    <x v="0"/>
    <s v="MEDIA"/>
    <s v="MEDIA"/>
    <n v="64"/>
    <s v="cumple"/>
    <x v="3"/>
    <x v="4"/>
    <x v="459"/>
    <n v="1624"/>
    <x v="0"/>
  </r>
  <r>
    <x v="1"/>
    <x v="0"/>
    <x v="4"/>
    <x v="0"/>
    <x v="13"/>
    <x v="2"/>
    <x v="0"/>
    <x v="161"/>
    <x v="460"/>
    <x v="67"/>
    <x v="4"/>
    <x v="67"/>
    <x v="0"/>
    <x v="3"/>
    <x v="0"/>
    <x v="70"/>
    <x v="1"/>
    <x v="0"/>
    <s v="MEDIA"/>
    <s v="MEDIA"/>
    <n v="64"/>
    <s v="cumple"/>
    <x v="3"/>
    <x v="4"/>
    <x v="460"/>
    <n v="4872"/>
    <x v="0"/>
  </r>
  <r>
    <x v="0"/>
    <x v="3"/>
    <x v="4"/>
    <x v="0"/>
    <x v="13"/>
    <x v="1"/>
    <x v="0"/>
    <x v="161"/>
    <x v="461"/>
    <x v="68"/>
    <x v="0"/>
    <x v="68"/>
    <x v="0"/>
    <x v="0"/>
    <x v="0"/>
    <x v="70"/>
    <x v="1"/>
    <x v="0"/>
    <s v="MEDIA"/>
    <s v="MEDIA"/>
    <n v="64"/>
    <s v="cumple"/>
    <x v="3"/>
    <x v="4"/>
    <x v="461"/>
    <n v="6496"/>
    <x v="0"/>
  </r>
  <r>
    <x v="0"/>
    <x v="3"/>
    <x v="4"/>
    <x v="0"/>
    <x v="13"/>
    <x v="1"/>
    <x v="0"/>
    <x v="161"/>
    <x v="462"/>
    <x v="69"/>
    <x v="0"/>
    <x v="69"/>
    <x v="0"/>
    <x v="0"/>
    <x v="0"/>
    <x v="70"/>
    <x v="1"/>
    <x v="0"/>
    <s v="MEDIA"/>
    <s v="MEDIA"/>
    <n v="64"/>
    <s v="cumple"/>
    <x v="3"/>
    <x v="4"/>
    <x v="462"/>
    <n v="6496"/>
    <x v="0"/>
  </r>
  <r>
    <x v="0"/>
    <x v="3"/>
    <x v="4"/>
    <x v="0"/>
    <x v="13"/>
    <x v="1"/>
    <x v="0"/>
    <x v="161"/>
    <x v="463"/>
    <x v="70"/>
    <x v="0"/>
    <x v="70"/>
    <x v="7"/>
    <x v="3"/>
    <x v="0"/>
    <x v="70"/>
    <x v="1"/>
    <x v="0"/>
    <s v="MEDIA"/>
    <s v="MEDIA"/>
    <n v="64"/>
    <s v="cumple"/>
    <x v="3"/>
    <x v="4"/>
    <x v="463"/>
    <n v="4872"/>
    <x v="0"/>
  </r>
  <r>
    <x v="0"/>
    <x v="3"/>
    <x v="4"/>
    <x v="0"/>
    <x v="13"/>
    <x v="4"/>
    <x v="0"/>
    <x v="161"/>
    <x v="464"/>
    <x v="71"/>
    <x v="0"/>
    <x v="71"/>
    <x v="4"/>
    <x v="5"/>
    <x v="0"/>
    <x v="70"/>
    <x v="1"/>
    <x v="0"/>
    <s v="MEDIA"/>
    <s v="MEDIA"/>
    <n v="64"/>
    <s v="cumple"/>
    <x v="3"/>
    <x v="4"/>
    <x v="464"/>
    <n v="2436"/>
    <x v="0"/>
  </r>
  <r>
    <x v="0"/>
    <x v="3"/>
    <x v="4"/>
    <x v="0"/>
    <x v="13"/>
    <x v="4"/>
    <x v="0"/>
    <x v="161"/>
    <x v="465"/>
    <x v="71"/>
    <x v="6"/>
    <x v="71"/>
    <x v="9"/>
    <x v="4"/>
    <x v="0"/>
    <x v="70"/>
    <x v="1"/>
    <x v="0"/>
    <s v="MEDIA"/>
    <s v="MEDIA"/>
    <n v="64"/>
    <s v="cumple"/>
    <x v="3"/>
    <x v="4"/>
    <x v="465"/>
    <n v="1624"/>
    <x v="0"/>
  </r>
  <r>
    <x v="0"/>
    <x v="3"/>
    <x v="4"/>
    <x v="0"/>
    <x v="13"/>
    <x v="4"/>
    <x v="0"/>
    <x v="161"/>
    <x v="466"/>
    <x v="71"/>
    <x v="7"/>
    <x v="71"/>
    <x v="0"/>
    <x v="5"/>
    <x v="0"/>
    <x v="70"/>
    <x v="1"/>
    <x v="0"/>
    <s v="MEDIA"/>
    <s v="MEDIA"/>
    <n v="64"/>
    <s v="cumple"/>
    <x v="3"/>
    <x v="4"/>
    <x v="466"/>
    <n v="2436"/>
    <x v="0"/>
  </r>
  <r>
    <x v="0"/>
    <x v="3"/>
    <x v="4"/>
    <x v="0"/>
    <x v="13"/>
    <x v="4"/>
    <x v="0"/>
    <x v="162"/>
    <x v="467"/>
    <x v="72"/>
    <x v="0"/>
    <x v="72"/>
    <x v="0"/>
    <x v="11"/>
    <x v="0"/>
    <x v="70"/>
    <x v="1"/>
    <x v="0"/>
    <s v="MEDIA"/>
    <s v="MEDIA"/>
    <n v="64"/>
    <s v="cumple"/>
    <x v="3"/>
    <x v="4"/>
    <x v="467"/>
    <n v="7307.9999999999991"/>
    <x v="0"/>
  </r>
  <r>
    <x v="0"/>
    <x v="3"/>
    <x v="4"/>
    <x v="0"/>
    <x v="13"/>
    <x v="4"/>
    <x v="0"/>
    <x v="162"/>
    <x v="467"/>
    <x v="73"/>
    <x v="0"/>
    <x v="73"/>
    <x v="2"/>
    <x v="3"/>
    <x v="0"/>
    <x v="70"/>
    <x v="1"/>
    <x v="0"/>
    <s v="MEDIA"/>
    <s v="MEDIA"/>
    <n v="64"/>
    <s v="cumple"/>
    <x v="3"/>
    <x v="4"/>
    <x v="467"/>
    <n v="4872"/>
    <x v="0"/>
  </r>
  <r>
    <x v="0"/>
    <x v="3"/>
    <x v="4"/>
    <x v="0"/>
    <x v="13"/>
    <x v="4"/>
    <x v="0"/>
    <x v="163"/>
    <x v="468"/>
    <x v="73"/>
    <x v="2"/>
    <x v="73"/>
    <x v="0"/>
    <x v="4"/>
    <x v="0"/>
    <x v="70"/>
    <x v="1"/>
    <x v="0"/>
    <s v="MEDIA"/>
    <s v="MEDIA"/>
    <n v="64"/>
    <s v="cumple"/>
    <x v="3"/>
    <x v="4"/>
    <x v="468"/>
    <n v="1624"/>
    <x v="0"/>
  </r>
  <r>
    <x v="0"/>
    <x v="8"/>
    <x v="4"/>
    <x v="0"/>
    <x v="13"/>
    <x v="3"/>
    <x v="0"/>
    <x v="164"/>
    <x v="469"/>
    <x v="74"/>
    <x v="0"/>
    <x v="74"/>
    <x v="0"/>
    <x v="0"/>
    <x v="0"/>
    <x v="70"/>
    <x v="1"/>
    <x v="0"/>
    <s v="MEDIA"/>
    <s v="MEDIA"/>
    <n v="64"/>
    <s v="cumple"/>
    <x v="3"/>
    <x v="4"/>
    <x v="469"/>
    <n v="6496"/>
    <x v="0"/>
  </r>
  <r>
    <x v="1"/>
    <x v="0"/>
    <x v="4"/>
    <x v="0"/>
    <x v="13"/>
    <x v="3"/>
    <x v="0"/>
    <x v="165"/>
    <x v="470"/>
    <x v="75"/>
    <x v="0"/>
    <x v="75"/>
    <x v="7"/>
    <x v="3"/>
    <x v="0"/>
    <x v="70"/>
    <x v="1"/>
    <x v="0"/>
    <s v="MEDIA"/>
    <s v="MEDIA"/>
    <n v="64"/>
    <s v="cumple"/>
    <x v="3"/>
    <x v="4"/>
    <x v="470"/>
    <n v="4872"/>
    <x v="0"/>
  </r>
  <r>
    <x v="1"/>
    <x v="9"/>
    <x v="4"/>
    <x v="0"/>
    <x v="13"/>
    <x v="2"/>
    <x v="0"/>
    <x v="166"/>
    <x v="471"/>
    <x v="76"/>
    <x v="0"/>
    <x v="76"/>
    <x v="0"/>
    <x v="0"/>
    <x v="0"/>
    <x v="70"/>
    <x v="1"/>
    <x v="0"/>
    <s v="MEDIA"/>
    <s v="MEDIA"/>
    <n v="64"/>
    <s v="cumple"/>
    <x v="3"/>
    <x v="4"/>
    <x v="471"/>
    <n v="6496"/>
    <x v="0"/>
  </r>
  <r>
    <x v="1"/>
    <x v="0"/>
    <x v="4"/>
    <x v="0"/>
    <x v="13"/>
    <x v="2"/>
    <x v="0"/>
    <x v="167"/>
    <x v="472"/>
    <x v="77"/>
    <x v="0"/>
    <x v="77"/>
    <x v="3"/>
    <x v="4"/>
    <x v="0"/>
    <x v="70"/>
    <x v="1"/>
    <x v="0"/>
    <s v="MEDIA"/>
    <s v="MEDIA"/>
    <n v="64"/>
    <s v="cumple"/>
    <x v="3"/>
    <x v="4"/>
    <x v="472"/>
    <n v="1624"/>
    <x v="0"/>
  </r>
  <r>
    <x v="4"/>
    <x v="2"/>
    <x v="4"/>
    <x v="0"/>
    <x v="13"/>
    <x v="4"/>
    <x v="0"/>
    <x v="167"/>
    <x v="473"/>
    <x v="77"/>
    <x v="4"/>
    <x v="77"/>
    <x v="0"/>
    <x v="3"/>
    <x v="1"/>
    <x v="70"/>
    <x v="1"/>
    <x v="0"/>
    <s v="MEDIA"/>
    <s v="MEDIA"/>
    <n v="64"/>
    <s v="cumple"/>
    <x v="3"/>
    <x v="4"/>
    <x v="473"/>
    <n v="4872"/>
    <x v="0"/>
  </r>
  <r>
    <x v="4"/>
    <x v="2"/>
    <x v="4"/>
    <x v="0"/>
    <x v="13"/>
    <x v="4"/>
    <x v="0"/>
    <x v="167"/>
    <x v="474"/>
    <x v="78"/>
    <x v="0"/>
    <x v="78"/>
    <x v="0"/>
    <x v="0"/>
    <x v="1"/>
    <x v="70"/>
    <x v="1"/>
    <x v="0"/>
    <s v="MEDIA"/>
    <s v="MEDIA"/>
    <n v="64"/>
    <s v="cumple"/>
    <x v="3"/>
    <x v="4"/>
    <x v="474"/>
    <n v="6496"/>
    <x v="0"/>
  </r>
  <r>
    <x v="4"/>
    <x v="2"/>
    <x v="4"/>
    <x v="0"/>
    <x v="13"/>
    <x v="4"/>
    <x v="0"/>
    <x v="167"/>
    <x v="475"/>
    <x v="79"/>
    <x v="0"/>
    <x v="79"/>
    <x v="0"/>
    <x v="0"/>
    <x v="0"/>
    <x v="70"/>
    <x v="1"/>
    <x v="0"/>
    <s v="MEDIA"/>
    <s v="MEDIA"/>
    <n v="64"/>
    <s v="cumple"/>
    <x v="3"/>
    <x v="4"/>
    <x v="475"/>
    <n v="6496"/>
    <x v="0"/>
  </r>
  <r>
    <x v="0"/>
    <x v="0"/>
    <x v="2"/>
    <x v="0"/>
    <x v="6"/>
    <x v="5"/>
    <x v="0"/>
    <x v="39"/>
    <x v="303"/>
    <x v="81"/>
    <x v="0"/>
    <x v="81"/>
    <x v="5"/>
    <x v="7"/>
    <x v="0"/>
    <x v="107"/>
    <x v="3"/>
    <x v="1"/>
    <s v="MEDIA"/>
    <s v="MEDIA"/>
    <n v="64"/>
    <s v="cumple"/>
    <x v="3"/>
    <x v="2"/>
    <x v="303"/>
    <n v="2320"/>
    <x v="0"/>
  </r>
  <r>
    <x v="0"/>
    <x v="0"/>
    <x v="2"/>
    <x v="0"/>
    <x v="6"/>
    <x v="5"/>
    <x v="0"/>
    <x v="39"/>
    <x v="350"/>
    <x v="81"/>
    <x v="3"/>
    <x v="81"/>
    <x v="17"/>
    <x v="5"/>
    <x v="0"/>
    <x v="107"/>
    <x v="3"/>
    <x v="1"/>
    <s v="MEDIA"/>
    <s v="MEDIA"/>
    <n v="64"/>
    <s v="cumple"/>
    <x v="3"/>
    <x v="2"/>
    <x v="350"/>
    <n v="1739.9999999999998"/>
    <x v="0"/>
  </r>
  <r>
    <x v="0"/>
    <x v="0"/>
    <x v="2"/>
    <x v="0"/>
    <x v="6"/>
    <x v="5"/>
    <x v="0"/>
    <x v="39"/>
    <x v="476"/>
    <x v="81"/>
    <x v="14"/>
    <x v="81"/>
    <x v="0"/>
    <x v="15"/>
    <x v="0"/>
    <x v="107"/>
    <x v="3"/>
    <x v="1"/>
    <s v="MEDIA"/>
    <s v="MEDIA"/>
    <n v="64"/>
    <s v="cumple"/>
    <x v="3"/>
    <x v="2"/>
    <x v="476"/>
    <n v="869.99999999999989"/>
    <x v="0"/>
  </r>
  <r>
    <x v="0"/>
    <x v="0"/>
    <x v="2"/>
    <x v="0"/>
    <x v="6"/>
    <x v="5"/>
    <x v="0"/>
    <x v="39"/>
    <x v="304"/>
    <x v="82"/>
    <x v="0"/>
    <x v="82"/>
    <x v="5"/>
    <x v="7"/>
    <x v="0"/>
    <x v="107"/>
    <x v="3"/>
    <x v="1"/>
    <s v="MEDIA"/>
    <s v="MEDIA"/>
    <n v="64"/>
    <s v="cumple"/>
    <x v="3"/>
    <x v="2"/>
    <x v="304"/>
    <n v="2320"/>
    <x v="0"/>
  </r>
  <r>
    <x v="0"/>
    <x v="0"/>
    <x v="2"/>
    <x v="0"/>
    <x v="6"/>
    <x v="5"/>
    <x v="0"/>
    <x v="39"/>
    <x v="303"/>
    <x v="82"/>
    <x v="3"/>
    <x v="82"/>
    <x v="1"/>
    <x v="13"/>
    <x v="0"/>
    <x v="107"/>
    <x v="3"/>
    <x v="1"/>
    <s v="MEDIA"/>
    <s v="MEDIA"/>
    <n v="64"/>
    <s v="cumple"/>
    <x v="3"/>
    <x v="2"/>
    <x v="303"/>
    <n v="2029.9999999999998"/>
    <x v="0"/>
  </r>
  <r>
    <x v="0"/>
    <x v="0"/>
    <x v="2"/>
    <x v="0"/>
    <x v="6"/>
    <x v="5"/>
    <x v="0"/>
    <x v="39"/>
    <x v="326"/>
    <x v="82"/>
    <x v="1"/>
    <x v="82"/>
    <x v="0"/>
    <x v="2"/>
    <x v="0"/>
    <x v="107"/>
    <x v="3"/>
    <x v="1"/>
    <s v="MEDIA"/>
    <s v="MEDIA"/>
    <n v="64"/>
    <s v="cumple"/>
    <x v="3"/>
    <x v="2"/>
    <x v="326"/>
    <n v="580"/>
    <x v="0"/>
  </r>
  <r>
    <x v="0"/>
    <x v="5"/>
    <x v="2"/>
    <x v="0"/>
    <x v="6"/>
    <x v="5"/>
    <x v="0"/>
    <x v="39"/>
    <x v="477"/>
    <x v="83"/>
    <x v="0"/>
    <x v="83"/>
    <x v="5"/>
    <x v="7"/>
    <x v="0"/>
    <x v="107"/>
    <x v="3"/>
    <x v="1"/>
    <s v="MEDIA"/>
    <s v="MEDIA"/>
    <n v="64"/>
    <s v="cumple"/>
    <x v="3"/>
    <x v="2"/>
    <x v="477"/>
    <n v="2320"/>
    <x v="0"/>
  </r>
  <r>
    <x v="0"/>
    <x v="5"/>
    <x v="2"/>
    <x v="0"/>
    <x v="6"/>
    <x v="5"/>
    <x v="0"/>
    <x v="39"/>
    <x v="478"/>
    <x v="83"/>
    <x v="3"/>
    <x v="83"/>
    <x v="0"/>
    <x v="14"/>
    <x v="0"/>
    <x v="107"/>
    <x v="3"/>
    <x v="1"/>
    <s v="MEDIA"/>
    <s v="MEDIA"/>
    <n v="64"/>
    <s v="cumple"/>
    <x v="3"/>
    <x v="2"/>
    <x v="478"/>
    <n v="2610"/>
    <x v="0"/>
  </r>
  <r>
    <x v="0"/>
    <x v="5"/>
    <x v="2"/>
    <x v="0"/>
    <x v="6"/>
    <x v="5"/>
    <x v="0"/>
    <x v="39"/>
    <x v="322"/>
    <x v="84"/>
    <x v="0"/>
    <x v="84"/>
    <x v="5"/>
    <x v="7"/>
    <x v="0"/>
    <x v="107"/>
    <x v="3"/>
    <x v="1"/>
    <s v="MEDIA"/>
    <s v="MEDIA"/>
    <n v="64"/>
    <s v="cumple"/>
    <x v="3"/>
    <x v="2"/>
    <x v="322"/>
    <n v="2320"/>
    <x v="0"/>
  </r>
  <r>
    <x v="0"/>
    <x v="5"/>
    <x v="2"/>
    <x v="0"/>
    <x v="6"/>
    <x v="5"/>
    <x v="0"/>
    <x v="39"/>
    <x v="336"/>
    <x v="84"/>
    <x v="3"/>
    <x v="84"/>
    <x v="0"/>
    <x v="14"/>
    <x v="0"/>
    <x v="107"/>
    <x v="3"/>
    <x v="1"/>
    <s v="MEDIA"/>
    <s v="MEDIA"/>
    <n v="64"/>
    <s v="cumple"/>
    <x v="3"/>
    <x v="2"/>
    <x v="336"/>
    <n v="2610"/>
    <x v="0"/>
  </r>
  <r>
    <x v="0"/>
    <x v="5"/>
    <x v="2"/>
    <x v="0"/>
    <x v="6"/>
    <x v="5"/>
    <x v="0"/>
    <x v="39"/>
    <x v="479"/>
    <x v="85"/>
    <x v="0"/>
    <x v="85"/>
    <x v="4"/>
    <x v="5"/>
    <x v="0"/>
    <x v="107"/>
    <x v="3"/>
    <x v="1"/>
    <s v="MEDIA"/>
    <s v="MEDIA"/>
    <n v="64"/>
    <s v="cumple"/>
    <x v="3"/>
    <x v="2"/>
    <x v="479"/>
    <n v="1739.9999999999998"/>
    <x v="0"/>
  </r>
  <r>
    <x v="0"/>
    <x v="5"/>
    <x v="2"/>
    <x v="0"/>
    <x v="6"/>
    <x v="5"/>
    <x v="0"/>
    <x v="39"/>
    <x v="480"/>
    <x v="85"/>
    <x v="6"/>
    <x v="85"/>
    <x v="7"/>
    <x v="5"/>
    <x v="0"/>
    <x v="107"/>
    <x v="3"/>
    <x v="1"/>
    <s v="MEDIA"/>
    <s v="MEDIA"/>
    <n v="64"/>
    <s v="cumple"/>
    <x v="3"/>
    <x v="2"/>
    <x v="480"/>
    <n v="1739.9999999999998"/>
    <x v="0"/>
  </r>
  <r>
    <x v="0"/>
    <x v="5"/>
    <x v="2"/>
    <x v="0"/>
    <x v="6"/>
    <x v="5"/>
    <x v="0"/>
    <x v="39"/>
    <x v="481"/>
    <x v="66"/>
    <x v="0"/>
    <x v="66"/>
    <x v="5"/>
    <x v="7"/>
    <x v="0"/>
    <x v="107"/>
    <x v="3"/>
    <x v="1"/>
    <s v="MEDIA"/>
    <s v="MEDIA"/>
    <n v="64"/>
    <s v="cumple"/>
    <x v="3"/>
    <x v="2"/>
    <x v="481"/>
    <n v="2320"/>
    <x v="0"/>
  </r>
  <r>
    <x v="0"/>
    <x v="5"/>
    <x v="2"/>
    <x v="0"/>
    <x v="6"/>
    <x v="5"/>
    <x v="0"/>
    <x v="39"/>
    <x v="482"/>
    <x v="66"/>
    <x v="3"/>
    <x v="66"/>
    <x v="17"/>
    <x v="5"/>
    <x v="0"/>
    <x v="107"/>
    <x v="3"/>
    <x v="1"/>
    <s v="MEDIA"/>
    <s v="MEDIA"/>
    <n v="64"/>
    <s v="cumple"/>
    <x v="3"/>
    <x v="2"/>
    <x v="482"/>
    <n v="1739.9999999999998"/>
    <x v="0"/>
  </r>
  <r>
    <x v="0"/>
    <x v="5"/>
    <x v="2"/>
    <x v="0"/>
    <x v="6"/>
    <x v="5"/>
    <x v="0"/>
    <x v="39"/>
    <x v="483"/>
    <x v="66"/>
    <x v="14"/>
    <x v="66"/>
    <x v="0"/>
    <x v="15"/>
    <x v="0"/>
    <x v="107"/>
    <x v="3"/>
    <x v="1"/>
    <s v="MEDIA"/>
    <s v="MEDIA"/>
    <n v="64"/>
    <s v="cumple"/>
    <x v="3"/>
    <x v="2"/>
    <x v="483"/>
    <n v="869.99999999999989"/>
    <x v="0"/>
  </r>
  <r>
    <x v="0"/>
    <x v="5"/>
    <x v="2"/>
    <x v="0"/>
    <x v="6"/>
    <x v="5"/>
    <x v="0"/>
    <x v="39"/>
    <x v="338"/>
    <x v="67"/>
    <x v="0"/>
    <x v="67"/>
    <x v="3"/>
    <x v="4"/>
    <x v="0"/>
    <x v="107"/>
    <x v="3"/>
    <x v="1"/>
    <s v="MEDIA"/>
    <s v="MEDIA"/>
    <n v="64"/>
    <s v="cumple"/>
    <x v="3"/>
    <x v="2"/>
    <x v="338"/>
    <n v="1160"/>
    <x v="0"/>
  </r>
  <r>
    <x v="0"/>
    <x v="5"/>
    <x v="2"/>
    <x v="0"/>
    <x v="6"/>
    <x v="5"/>
    <x v="0"/>
    <x v="39"/>
    <x v="484"/>
    <x v="67"/>
    <x v="4"/>
    <x v="67"/>
    <x v="0"/>
    <x v="9"/>
    <x v="0"/>
    <x v="107"/>
    <x v="3"/>
    <x v="1"/>
    <s v="MEDIA"/>
    <s v="MEDIA"/>
    <n v="64"/>
    <s v="cumple"/>
    <x v="3"/>
    <x v="2"/>
    <x v="484"/>
    <n v="3769.9999999999995"/>
    <x v="0"/>
  </r>
  <r>
    <x v="0"/>
    <x v="5"/>
    <x v="2"/>
    <x v="0"/>
    <x v="6"/>
    <x v="5"/>
    <x v="0"/>
    <x v="39"/>
    <x v="485"/>
    <x v="68"/>
    <x v="0"/>
    <x v="68"/>
    <x v="5"/>
    <x v="7"/>
    <x v="0"/>
    <x v="107"/>
    <x v="3"/>
    <x v="1"/>
    <s v="MEDIA"/>
    <s v="MEDIA"/>
    <n v="64"/>
    <s v="cumple"/>
    <x v="3"/>
    <x v="2"/>
    <x v="485"/>
    <n v="2320"/>
    <x v="0"/>
  </r>
  <r>
    <x v="0"/>
    <x v="5"/>
    <x v="2"/>
    <x v="0"/>
    <x v="6"/>
    <x v="5"/>
    <x v="0"/>
    <x v="39"/>
    <x v="486"/>
    <x v="68"/>
    <x v="3"/>
    <x v="68"/>
    <x v="0"/>
    <x v="14"/>
    <x v="0"/>
    <x v="107"/>
    <x v="3"/>
    <x v="1"/>
    <s v="MEDIA"/>
    <s v="MEDIA"/>
    <n v="64"/>
    <s v="cumple"/>
    <x v="3"/>
    <x v="2"/>
    <x v="486"/>
    <n v="2610"/>
    <x v="0"/>
  </r>
  <r>
    <x v="0"/>
    <x v="5"/>
    <x v="2"/>
    <x v="0"/>
    <x v="6"/>
    <x v="5"/>
    <x v="0"/>
    <x v="39"/>
    <x v="487"/>
    <x v="69"/>
    <x v="0"/>
    <x v="69"/>
    <x v="4"/>
    <x v="5"/>
    <x v="0"/>
    <x v="107"/>
    <x v="3"/>
    <x v="1"/>
    <s v="MEDIA"/>
    <s v="MEDIA"/>
    <n v="64"/>
    <s v="cumple"/>
    <x v="3"/>
    <x v="2"/>
    <x v="487"/>
    <n v="1739.9999999999998"/>
    <x v="0"/>
  </r>
  <r>
    <x v="0"/>
    <x v="5"/>
    <x v="2"/>
    <x v="0"/>
    <x v="6"/>
    <x v="5"/>
    <x v="0"/>
    <x v="39"/>
    <x v="488"/>
    <x v="69"/>
    <x v="6"/>
    <x v="69"/>
    <x v="12"/>
    <x v="12"/>
    <x v="0"/>
    <x v="107"/>
    <x v="3"/>
    <x v="1"/>
    <s v="MEDIA"/>
    <s v="MEDIA"/>
    <n v="64"/>
    <s v="cumple"/>
    <x v="3"/>
    <x v="2"/>
    <x v="488"/>
    <n v="1450"/>
    <x v="0"/>
  </r>
  <r>
    <x v="0"/>
    <x v="5"/>
    <x v="2"/>
    <x v="0"/>
    <x v="6"/>
    <x v="5"/>
    <x v="0"/>
    <x v="39"/>
    <x v="489"/>
    <x v="69"/>
    <x v="7"/>
    <x v="69"/>
    <x v="0"/>
    <x v="5"/>
    <x v="0"/>
    <x v="107"/>
    <x v="3"/>
    <x v="1"/>
    <s v="MEDIA"/>
    <s v="MEDIA"/>
    <n v="64"/>
    <s v="cumple"/>
    <x v="3"/>
    <x v="2"/>
    <x v="489"/>
    <n v="1739.9999999999998"/>
    <x v="0"/>
  </r>
  <r>
    <x v="0"/>
    <x v="5"/>
    <x v="2"/>
    <x v="0"/>
    <x v="6"/>
    <x v="5"/>
    <x v="0"/>
    <x v="39"/>
    <x v="490"/>
    <x v="70"/>
    <x v="0"/>
    <x v="70"/>
    <x v="3"/>
    <x v="4"/>
    <x v="0"/>
    <x v="107"/>
    <x v="3"/>
    <x v="1"/>
    <s v="MEDIA"/>
    <s v="MEDIA"/>
    <n v="64"/>
    <s v="cumple"/>
    <x v="3"/>
    <x v="2"/>
    <x v="490"/>
    <n v="1160"/>
    <x v="0"/>
  </r>
  <r>
    <x v="0"/>
    <x v="5"/>
    <x v="2"/>
    <x v="0"/>
    <x v="6"/>
    <x v="5"/>
    <x v="0"/>
    <x v="39"/>
    <x v="491"/>
    <x v="70"/>
    <x v="4"/>
    <x v="70"/>
    <x v="9"/>
    <x v="5"/>
    <x v="0"/>
    <x v="107"/>
    <x v="3"/>
    <x v="1"/>
    <s v="MEDIA"/>
    <s v="MEDIA"/>
    <n v="64"/>
    <s v="cumple"/>
    <x v="3"/>
    <x v="2"/>
    <x v="491"/>
    <n v="1739.9999999999998"/>
    <x v="0"/>
  </r>
  <r>
    <x v="0"/>
    <x v="5"/>
    <x v="2"/>
    <x v="0"/>
    <x v="6"/>
    <x v="5"/>
    <x v="0"/>
    <x v="39"/>
    <x v="492"/>
    <x v="70"/>
    <x v="9"/>
    <x v="70"/>
    <x v="7"/>
    <x v="2"/>
    <x v="0"/>
    <x v="108"/>
    <x v="3"/>
    <x v="1"/>
    <s v="MEDIA"/>
    <s v="MEDIA"/>
    <n v="64"/>
    <s v="cumple"/>
    <x v="3"/>
    <x v="2"/>
    <x v="492"/>
    <n v="580"/>
    <x v="0"/>
  </r>
  <r>
    <x v="0"/>
    <x v="5"/>
    <x v="2"/>
    <x v="0"/>
    <x v="6"/>
    <x v="5"/>
    <x v="0"/>
    <x v="39"/>
    <x v="493"/>
    <x v="71"/>
    <x v="0"/>
    <x v="71"/>
    <x v="5"/>
    <x v="7"/>
    <x v="0"/>
    <x v="107"/>
    <x v="3"/>
    <x v="1"/>
    <s v="MEDIA"/>
    <s v="MEDIA"/>
    <n v="64"/>
    <s v="cumple"/>
    <x v="3"/>
    <x v="2"/>
    <x v="493"/>
    <n v="2320"/>
    <x v="0"/>
  </r>
  <r>
    <x v="0"/>
    <x v="5"/>
    <x v="2"/>
    <x v="0"/>
    <x v="6"/>
    <x v="5"/>
    <x v="0"/>
    <x v="39"/>
    <x v="494"/>
    <x v="71"/>
    <x v="3"/>
    <x v="71"/>
    <x v="17"/>
    <x v="5"/>
    <x v="0"/>
    <x v="107"/>
    <x v="3"/>
    <x v="1"/>
    <s v="MEDIA"/>
    <s v="MEDIA"/>
    <n v="64"/>
    <s v="cumple"/>
    <x v="3"/>
    <x v="2"/>
    <x v="494"/>
    <n v="1739.9999999999998"/>
    <x v="0"/>
  </r>
  <r>
    <x v="0"/>
    <x v="5"/>
    <x v="2"/>
    <x v="0"/>
    <x v="6"/>
    <x v="5"/>
    <x v="0"/>
    <x v="39"/>
    <x v="303"/>
    <x v="71"/>
    <x v="14"/>
    <x v="71"/>
    <x v="0"/>
    <x v="15"/>
    <x v="0"/>
    <x v="107"/>
    <x v="3"/>
    <x v="1"/>
    <s v="MEDIA"/>
    <s v="MEDIA"/>
    <n v="64"/>
    <s v="cumple"/>
    <x v="3"/>
    <x v="2"/>
    <x v="303"/>
    <n v="869.99999999999989"/>
    <x v="0"/>
  </r>
  <r>
    <x v="0"/>
    <x v="5"/>
    <x v="2"/>
    <x v="0"/>
    <x v="6"/>
    <x v="5"/>
    <x v="0"/>
    <x v="39"/>
    <x v="495"/>
    <x v="72"/>
    <x v="0"/>
    <x v="72"/>
    <x v="5"/>
    <x v="7"/>
    <x v="0"/>
    <x v="107"/>
    <x v="3"/>
    <x v="1"/>
    <s v="MEDIA"/>
    <s v="MEDIA"/>
    <n v="64"/>
    <s v="cumple"/>
    <x v="3"/>
    <x v="2"/>
    <x v="495"/>
    <n v="2320"/>
    <x v="0"/>
  </r>
  <r>
    <x v="0"/>
    <x v="5"/>
    <x v="2"/>
    <x v="0"/>
    <x v="6"/>
    <x v="5"/>
    <x v="0"/>
    <x v="39"/>
    <x v="496"/>
    <x v="72"/>
    <x v="3"/>
    <x v="72"/>
    <x v="17"/>
    <x v="5"/>
    <x v="0"/>
    <x v="107"/>
    <x v="3"/>
    <x v="1"/>
    <s v="MEDIA"/>
    <s v="MEDIA"/>
    <n v="64"/>
    <s v="cumple"/>
    <x v="3"/>
    <x v="2"/>
    <x v="496"/>
    <n v="1739.9999999999998"/>
    <x v="0"/>
  </r>
  <r>
    <x v="0"/>
    <x v="5"/>
    <x v="2"/>
    <x v="0"/>
    <x v="6"/>
    <x v="5"/>
    <x v="0"/>
    <x v="39"/>
    <x v="497"/>
    <x v="72"/>
    <x v="14"/>
    <x v="72"/>
    <x v="0"/>
    <x v="15"/>
    <x v="0"/>
    <x v="107"/>
    <x v="3"/>
    <x v="1"/>
    <s v="MEDIA"/>
    <s v="MEDIA"/>
    <n v="64"/>
    <s v="cumple"/>
    <x v="3"/>
    <x v="2"/>
    <x v="497"/>
    <n v="869.99999999999989"/>
    <x v="0"/>
  </r>
  <r>
    <x v="0"/>
    <x v="5"/>
    <x v="2"/>
    <x v="0"/>
    <x v="6"/>
    <x v="5"/>
    <x v="0"/>
    <x v="39"/>
    <x v="498"/>
    <x v="73"/>
    <x v="0"/>
    <x v="73"/>
    <x v="8"/>
    <x v="2"/>
    <x v="0"/>
    <x v="107"/>
    <x v="3"/>
    <x v="1"/>
    <s v="MEDIA"/>
    <s v="MEDIA"/>
    <n v="64"/>
    <s v="cumple"/>
    <x v="3"/>
    <x v="2"/>
    <x v="498"/>
    <n v="580"/>
    <x v="0"/>
  </r>
  <r>
    <x v="0"/>
    <x v="5"/>
    <x v="2"/>
    <x v="0"/>
    <x v="6"/>
    <x v="5"/>
    <x v="0"/>
    <x v="39"/>
    <x v="499"/>
    <x v="73"/>
    <x v="8"/>
    <x v="73"/>
    <x v="5"/>
    <x v="5"/>
    <x v="0"/>
    <x v="107"/>
    <x v="3"/>
    <x v="1"/>
    <s v="MEDIA"/>
    <s v="MEDIA"/>
    <n v="64"/>
    <s v="cumple"/>
    <x v="3"/>
    <x v="2"/>
    <x v="499"/>
    <n v="1739.9999999999998"/>
    <x v="0"/>
  </r>
  <r>
    <x v="0"/>
    <x v="5"/>
    <x v="2"/>
    <x v="0"/>
    <x v="6"/>
    <x v="5"/>
    <x v="0"/>
    <x v="39"/>
    <x v="326"/>
    <x v="73"/>
    <x v="3"/>
    <x v="73"/>
    <x v="0"/>
    <x v="14"/>
    <x v="0"/>
    <x v="107"/>
    <x v="3"/>
    <x v="1"/>
    <s v="MEDIA"/>
    <s v="MEDIA"/>
    <n v="64"/>
    <s v="cumple"/>
    <x v="3"/>
    <x v="2"/>
    <x v="326"/>
    <n v="2610"/>
    <x v="0"/>
  </r>
  <r>
    <x v="0"/>
    <x v="5"/>
    <x v="2"/>
    <x v="0"/>
    <x v="6"/>
    <x v="5"/>
    <x v="0"/>
    <x v="39"/>
    <x v="500"/>
    <x v="74"/>
    <x v="0"/>
    <x v="74"/>
    <x v="5"/>
    <x v="7"/>
    <x v="0"/>
    <x v="107"/>
    <x v="3"/>
    <x v="1"/>
    <s v="MEDIA"/>
    <s v="MEDIA"/>
    <n v="64"/>
    <s v="cumple"/>
    <x v="3"/>
    <x v="2"/>
    <x v="500"/>
    <n v="2320"/>
    <x v="0"/>
  </r>
  <r>
    <x v="0"/>
    <x v="5"/>
    <x v="2"/>
    <x v="0"/>
    <x v="6"/>
    <x v="5"/>
    <x v="0"/>
    <x v="39"/>
    <x v="501"/>
    <x v="74"/>
    <x v="3"/>
    <x v="74"/>
    <x v="0"/>
    <x v="14"/>
    <x v="0"/>
    <x v="107"/>
    <x v="3"/>
    <x v="1"/>
    <s v="MEDIA"/>
    <s v="MEDIA"/>
    <n v="64"/>
    <s v="cumple"/>
    <x v="3"/>
    <x v="2"/>
    <x v="501"/>
    <n v="2610"/>
    <x v="0"/>
  </r>
  <r>
    <x v="0"/>
    <x v="5"/>
    <x v="2"/>
    <x v="0"/>
    <x v="6"/>
    <x v="5"/>
    <x v="0"/>
    <x v="39"/>
    <x v="502"/>
    <x v="75"/>
    <x v="0"/>
    <x v="75"/>
    <x v="8"/>
    <x v="2"/>
    <x v="0"/>
    <x v="109"/>
    <x v="3"/>
    <x v="1"/>
    <s v="MEDIA"/>
    <s v="MEDIA"/>
    <n v="64"/>
    <s v="cumple"/>
    <x v="3"/>
    <x v="2"/>
    <x v="502"/>
    <n v="580"/>
    <x v="0"/>
  </r>
  <r>
    <x v="0"/>
    <x v="5"/>
    <x v="2"/>
    <x v="0"/>
    <x v="6"/>
    <x v="5"/>
    <x v="0"/>
    <x v="39"/>
    <x v="503"/>
    <x v="75"/>
    <x v="8"/>
    <x v="75"/>
    <x v="4"/>
    <x v="4"/>
    <x v="0"/>
    <x v="109"/>
    <x v="3"/>
    <x v="1"/>
    <s v="MEDIA"/>
    <s v="MEDIA"/>
    <n v="64"/>
    <s v="cumple"/>
    <x v="3"/>
    <x v="2"/>
    <x v="503"/>
    <n v="1160"/>
    <x v="0"/>
  </r>
  <r>
    <x v="0"/>
    <x v="5"/>
    <x v="2"/>
    <x v="0"/>
    <x v="6"/>
    <x v="5"/>
    <x v="0"/>
    <x v="39"/>
    <x v="504"/>
    <x v="75"/>
    <x v="6"/>
    <x v="75"/>
    <x v="7"/>
    <x v="5"/>
    <x v="0"/>
    <x v="107"/>
    <x v="3"/>
    <x v="1"/>
    <s v="MEDIA"/>
    <s v="MEDIA"/>
    <n v="64"/>
    <s v="cumple"/>
    <x v="3"/>
    <x v="2"/>
    <x v="504"/>
    <n v="1739.9999999999998"/>
    <x v="0"/>
  </r>
  <r>
    <x v="0"/>
    <x v="5"/>
    <x v="2"/>
    <x v="0"/>
    <x v="6"/>
    <x v="5"/>
    <x v="0"/>
    <x v="39"/>
    <x v="505"/>
    <x v="76"/>
    <x v="0"/>
    <x v="76"/>
    <x v="13"/>
    <x v="13"/>
    <x v="0"/>
    <x v="107"/>
    <x v="3"/>
    <x v="1"/>
    <s v="MEDIA"/>
    <s v="MEDIA"/>
    <n v="64"/>
    <s v="cumple"/>
    <x v="3"/>
    <x v="2"/>
    <x v="505"/>
    <n v="2029.9999999999998"/>
    <x v="0"/>
  </r>
  <r>
    <x v="0"/>
    <x v="5"/>
    <x v="2"/>
    <x v="0"/>
    <x v="6"/>
    <x v="5"/>
    <x v="0"/>
    <x v="39"/>
    <x v="506"/>
    <x v="76"/>
    <x v="10"/>
    <x v="76"/>
    <x v="12"/>
    <x v="4"/>
    <x v="0"/>
    <x v="107"/>
    <x v="3"/>
    <x v="1"/>
    <s v="MEDIA"/>
    <s v="MEDIA"/>
    <n v="64"/>
    <s v="cumple"/>
    <x v="3"/>
    <x v="2"/>
    <x v="506"/>
    <n v="1160"/>
    <x v="0"/>
  </r>
  <r>
    <x v="0"/>
    <x v="5"/>
    <x v="2"/>
    <x v="0"/>
    <x v="6"/>
    <x v="5"/>
    <x v="0"/>
    <x v="39"/>
    <x v="507"/>
    <x v="76"/>
    <x v="7"/>
    <x v="76"/>
    <x v="0"/>
    <x v="5"/>
    <x v="0"/>
    <x v="107"/>
    <x v="3"/>
    <x v="1"/>
    <s v="MEDIA"/>
    <s v="MEDIA"/>
    <n v="64"/>
    <s v="cumple"/>
    <x v="3"/>
    <x v="2"/>
    <x v="507"/>
    <n v="1739.9999999999998"/>
    <x v="0"/>
  </r>
  <r>
    <x v="0"/>
    <x v="5"/>
    <x v="2"/>
    <x v="0"/>
    <x v="6"/>
    <x v="5"/>
    <x v="0"/>
    <x v="39"/>
    <x v="508"/>
    <x v="77"/>
    <x v="0"/>
    <x v="77"/>
    <x v="5"/>
    <x v="7"/>
    <x v="0"/>
    <x v="107"/>
    <x v="3"/>
    <x v="1"/>
    <s v="MEDIA"/>
    <s v="MEDIA"/>
    <n v="64"/>
    <s v="cumple"/>
    <x v="3"/>
    <x v="2"/>
    <x v="508"/>
    <n v="2320"/>
    <x v="0"/>
  </r>
  <r>
    <x v="0"/>
    <x v="5"/>
    <x v="2"/>
    <x v="0"/>
    <x v="6"/>
    <x v="5"/>
    <x v="0"/>
    <x v="39"/>
    <x v="478"/>
    <x v="77"/>
    <x v="3"/>
    <x v="77"/>
    <x v="0"/>
    <x v="14"/>
    <x v="0"/>
    <x v="107"/>
    <x v="3"/>
    <x v="1"/>
    <s v="MEDIA"/>
    <s v="MEDIA"/>
    <n v="64"/>
    <s v="cumple"/>
    <x v="3"/>
    <x v="2"/>
    <x v="478"/>
    <n v="2610"/>
    <x v="0"/>
  </r>
  <r>
    <x v="0"/>
    <x v="5"/>
    <x v="2"/>
    <x v="0"/>
    <x v="6"/>
    <x v="5"/>
    <x v="0"/>
    <x v="39"/>
    <x v="509"/>
    <x v="78"/>
    <x v="0"/>
    <x v="78"/>
    <x v="15"/>
    <x v="12"/>
    <x v="0"/>
    <x v="107"/>
    <x v="3"/>
    <x v="1"/>
    <s v="MEDIA"/>
    <s v="MEDIA"/>
    <n v="64"/>
    <s v="cumple"/>
    <x v="3"/>
    <x v="2"/>
    <x v="509"/>
    <n v="1450"/>
    <x v="0"/>
  </r>
  <r>
    <x v="0"/>
    <x v="5"/>
    <x v="2"/>
    <x v="0"/>
    <x v="6"/>
    <x v="5"/>
    <x v="0"/>
    <x v="39"/>
    <x v="510"/>
    <x v="78"/>
    <x v="12"/>
    <x v="78"/>
    <x v="12"/>
    <x v="5"/>
    <x v="0"/>
    <x v="107"/>
    <x v="3"/>
    <x v="1"/>
    <s v="MEDIA"/>
    <s v="MEDIA"/>
    <n v="64"/>
    <s v="cumple"/>
    <x v="3"/>
    <x v="2"/>
    <x v="510"/>
    <n v="1739.9999999999998"/>
    <x v="0"/>
  </r>
  <r>
    <x v="0"/>
    <x v="5"/>
    <x v="2"/>
    <x v="0"/>
    <x v="6"/>
    <x v="5"/>
    <x v="0"/>
    <x v="39"/>
    <x v="511"/>
    <x v="78"/>
    <x v="7"/>
    <x v="78"/>
    <x v="0"/>
    <x v="5"/>
    <x v="0"/>
    <x v="107"/>
    <x v="3"/>
    <x v="1"/>
    <s v="MEDIA"/>
    <s v="MEDIA"/>
    <n v="64"/>
    <s v="cumple"/>
    <x v="3"/>
    <x v="2"/>
    <x v="511"/>
    <n v="1739.9999999999998"/>
    <x v="0"/>
  </r>
  <r>
    <x v="0"/>
    <x v="5"/>
    <x v="2"/>
    <x v="0"/>
    <x v="6"/>
    <x v="5"/>
    <x v="0"/>
    <x v="39"/>
    <x v="512"/>
    <x v="79"/>
    <x v="0"/>
    <x v="79"/>
    <x v="4"/>
    <x v="5"/>
    <x v="0"/>
    <x v="107"/>
    <x v="3"/>
    <x v="1"/>
    <s v="MEDIA"/>
    <s v="MEDIA"/>
    <n v="64"/>
    <s v="cumple"/>
    <x v="3"/>
    <x v="2"/>
    <x v="512"/>
    <n v="1739.9999999999998"/>
    <x v="0"/>
  </r>
  <r>
    <x v="0"/>
    <x v="5"/>
    <x v="2"/>
    <x v="0"/>
    <x v="6"/>
    <x v="5"/>
    <x v="0"/>
    <x v="39"/>
    <x v="513"/>
    <x v="79"/>
    <x v="6"/>
    <x v="79"/>
    <x v="18"/>
    <x v="5"/>
    <x v="0"/>
    <x v="107"/>
    <x v="3"/>
    <x v="1"/>
    <s v="MEDIA"/>
    <s v="MEDIA"/>
    <n v="64"/>
    <s v="cumple"/>
    <x v="3"/>
    <x v="2"/>
    <x v="513"/>
    <n v="1739.9999999999998"/>
    <x v="0"/>
  </r>
  <r>
    <x v="0"/>
    <x v="5"/>
    <x v="2"/>
    <x v="0"/>
    <x v="6"/>
    <x v="5"/>
    <x v="0"/>
    <x v="39"/>
    <x v="514"/>
    <x v="79"/>
    <x v="15"/>
    <x v="79"/>
    <x v="0"/>
    <x v="12"/>
    <x v="0"/>
    <x v="107"/>
    <x v="3"/>
    <x v="1"/>
    <s v="MEDIA"/>
    <s v="MEDIA"/>
    <n v="64"/>
    <s v="cumple"/>
    <x v="3"/>
    <x v="2"/>
    <x v="514"/>
    <n v="1450"/>
    <x v="0"/>
  </r>
  <r>
    <x v="0"/>
    <x v="5"/>
    <x v="2"/>
    <x v="0"/>
    <x v="6"/>
    <x v="5"/>
    <x v="0"/>
    <x v="39"/>
    <x v="512"/>
    <x v="80"/>
    <x v="0"/>
    <x v="80"/>
    <x v="3"/>
    <x v="4"/>
    <x v="0"/>
    <x v="107"/>
    <x v="3"/>
    <x v="1"/>
    <s v="MEDIA"/>
    <s v="MEDIA"/>
    <n v="64"/>
    <s v="cumple"/>
    <x v="3"/>
    <x v="2"/>
    <x v="512"/>
    <n v="1160"/>
    <x v="0"/>
  </r>
  <r>
    <x v="0"/>
    <x v="5"/>
    <x v="2"/>
    <x v="0"/>
    <x v="6"/>
    <x v="5"/>
    <x v="0"/>
    <x v="39"/>
    <x v="515"/>
    <x v="80"/>
    <x v="4"/>
    <x v="80"/>
    <x v="5"/>
    <x v="4"/>
    <x v="0"/>
    <x v="107"/>
    <x v="3"/>
    <x v="1"/>
    <s v="MEDIA"/>
    <s v="MEDIA"/>
    <n v="64"/>
    <s v="cumple"/>
    <x v="3"/>
    <x v="2"/>
    <x v="515"/>
    <n v="1160"/>
    <x v="0"/>
  </r>
  <r>
    <x v="0"/>
    <x v="5"/>
    <x v="2"/>
    <x v="0"/>
    <x v="6"/>
    <x v="5"/>
    <x v="0"/>
    <x v="39"/>
    <x v="516"/>
    <x v="80"/>
    <x v="3"/>
    <x v="80"/>
    <x v="7"/>
    <x v="4"/>
    <x v="0"/>
    <x v="107"/>
    <x v="3"/>
    <x v="1"/>
    <s v="MEDIA"/>
    <s v="MEDIA"/>
    <n v="64"/>
    <s v="cumple"/>
    <x v="3"/>
    <x v="2"/>
    <x v="516"/>
    <n v="1160"/>
    <x v="0"/>
  </r>
  <r>
    <x v="2"/>
    <x v="6"/>
    <x v="0"/>
    <x v="0"/>
    <x v="2"/>
    <x v="1"/>
    <x v="4"/>
    <x v="68"/>
    <x v="517"/>
    <x v="66"/>
    <x v="0"/>
    <x v="66"/>
    <x v="5"/>
    <x v="7"/>
    <x v="1"/>
    <x v="110"/>
    <x v="10"/>
    <x v="5"/>
    <s v="MEDIA"/>
    <s v="MEDIA"/>
    <n v="64"/>
    <s v="cumple"/>
    <x v="3"/>
    <x v="0"/>
    <x v="517"/>
    <n v="3711.9999999999995"/>
    <x v="0"/>
  </r>
  <r>
    <x v="2"/>
    <x v="6"/>
    <x v="0"/>
    <x v="0"/>
    <x v="2"/>
    <x v="1"/>
    <x v="4"/>
    <x v="68"/>
    <x v="517"/>
    <x v="67"/>
    <x v="0"/>
    <x v="67"/>
    <x v="5"/>
    <x v="7"/>
    <x v="1"/>
    <x v="110"/>
    <x v="10"/>
    <x v="5"/>
    <s v="MEDIA"/>
    <s v="MEDIA"/>
    <n v="64"/>
    <s v="cumple"/>
    <x v="3"/>
    <x v="0"/>
    <x v="517"/>
    <n v="3711.9999999999995"/>
    <x v="0"/>
  </r>
  <r>
    <x v="2"/>
    <x v="6"/>
    <x v="0"/>
    <x v="0"/>
    <x v="2"/>
    <x v="1"/>
    <x v="4"/>
    <x v="68"/>
    <x v="517"/>
    <x v="68"/>
    <x v="0"/>
    <x v="68"/>
    <x v="5"/>
    <x v="7"/>
    <x v="1"/>
    <x v="110"/>
    <x v="10"/>
    <x v="5"/>
    <s v="MEDIA"/>
    <s v="MEDIA"/>
    <n v="64"/>
    <s v="cumple"/>
    <x v="3"/>
    <x v="0"/>
    <x v="517"/>
    <n v="3711.9999999999995"/>
    <x v="0"/>
  </r>
  <r>
    <x v="2"/>
    <x v="6"/>
    <x v="0"/>
    <x v="0"/>
    <x v="2"/>
    <x v="1"/>
    <x v="4"/>
    <x v="68"/>
    <x v="517"/>
    <x v="69"/>
    <x v="0"/>
    <x v="69"/>
    <x v="5"/>
    <x v="7"/>
    <x v="1"/>
    <x v="110"/>
    <x v="10"/>
    <x v="5"/>
    <s v="MEDIA"/>
    <s v="MEDIA"/>
    <n v="64"/>
    <s v="cumple"/>
    <x v="3"/>
    <x v="0"/>
    <x v="517"/>
    <n v="3711.9999999999995"/>
    <x v="0"/>
  </r>
  <r>
    <x v="2"/>
    <x v="6"/>
    <x v="0"/>
    <x v="0"/>
    <x v="2"/>
    <x v="1"/>
    <x v="4"/>
    <x v="68"/>
    <x v="517"/>
    <x v="70"/>
    <x v="0"/>
    <x v="70"/>
    <x v="5"/>
    <x v="7"/>
    <x v="0"/>
    <x v="110"/>
    <x v="10"/>
    <x v="5"/>
    <s v="MEDIA"/>
    <s v="MEDIA"/>
    <n v="64"/>
    <s v="cumple"/>
    <x v="3"/>
    <x v="0"/>
    <x v="517"/>
    <n v="3711.9999999999995"/>
    <x v="0"/>
  </r>
  <r>
    <x v="2"/>
    <x v="6"/>
    <x v="0"/>
    <x v="0"/>
    <x v="2"/>
    <x v="1"/>
    <x v="4"/>
    <x v="68"/>
    <x v="518"/>
    <x v="71"/>
    <x v="0"/>
    <x v="71"/>
    <x v="0"/>
    <x v="0"/>
    <x v="1"/>
    <x v="110"/>
    <x v="10"/>
    <x v="5"/>
    <s v="MEDIA"/>
    <s v="MEDIA"/>
    <n v="64"/>
    <s v="cumple"/>
    <x v="3"/>
    <x v="0"/>
    <x v="518"/>
    <n v="7423.9999999999991"/>
    <x v="0"/>
  </r>
  <r>
    <x v="2"/>
    <x v="6"/>
    <x v="0"/>
    <x v="0"/>
    <x v="2"/>
    <x v="1"/>
    <x v="4"/>
    <x v="68"/>
    <x v="518"/>
    <x v="72"/>
    <x v="0"/>
    <x v="72"/>
    <x v="0"/>
    <x v="0"/>
    <x v="1"/>
    <x v="110"/>
    <x v="10"/>
    <x v="5"/>
    <s v="MEDIA"/>
    <s v="MEDIA"/>
    <n v="64"/>
    <s v="cumple"/>
    <x v="3"/>
    <x v="0"/>
    <x v="518"/>
    <n v="7423.9999999999991"/>
    <x v="0"/>
  </r>
  <r>
    <x v="2"/>
    <x v="6"/>
    <x v="0"/>
    <x v="0"/>
    <x v="2"/>
    <x v="1"/>
    <x v="4"/>
    <x v="68"/>
    <x v="518"/>
    <x v="73"/>
    <x v="0"/>
    <x v="73"/>
    <x v="0"/>
    <x v="0"/>
    <x v="1"/>
    <x v="110"/>
    <x v="10"/>
    <x v="5"/>
    <s v="MEDIA"/>
    <s v="MEDIA"/>
    <n v="64"/>
    <s v="cumple"/>
    <x v="3"/>
    <x v="0"/>
    <x v="518"/>
    <n v="7423.9999999999991"/>
    <x v="0"/>
  </r>
  <r>
    <x v="2"/>
    <x v="6"/>
    <x v="0"/>
    <x v="0"/>
    <x v="2"/>
    <x v="1"/>
    <x v="4"/>
    <x v="68"/>
    <x v="518"/>
    <x v="74"/>
    <x v="0"/>
    <x v="74"/>
    <x v="0"/>
    <x v="0"/>
    <x v="1"/>
    <x v="110"/>
    <x v="10"/>
    <x v="5"/>
    <s v="MEDIA"/>
    <s v="MEDIA"/>
    <n v="64"/>
    <s v="cumple"/>
    <x v="3"/>
    <x v="0"/>
    <x v="518"/>
    <n v="7423.9999999999991"/>
    <x v="0"/>
  </r>
  <r>
    <x v="2"/>
    <x v="6"/>
    <x v="0"/>
    <x v="0"/>
    <x v="2"/>
    <x v="1"/>
    <x v="4"/>
    <x v="68"/>
    <x v="518"/>
    <x v="75"/>
    <x v="0"/>
    <x v="75"/>
    <x v="0"/>
    <x v="0"/>
    <x v="0"/>
    <x v="110"/>
    <x v="10"/>
    <x v="5"/>
    <s v="MEDIA"/>
    <s v="MEDIA"/>
    <n v="64"/>
    <s v="cumple"/>
    <x v="3"/>
    <x v="0"/>
    <x v="518"/>
    <n v="7423.9999999999991"/>
    <x v="0"/>
  </r>
  <r>
    <x v="2"/>
    <x v="6"/>
    <x v="0"/>
    <x v="0"/>
    <x v="2"/>
    <x v="1"/>
    <x v="4"/>
    <x v="68"/>
    <x v="519"/>
    <x v="76"/>
    <x v="0"/>
    <x v="76"/>
    <x v="5"/>
    <x v="7"/>
    <x v="1"/>
    <x v="110"/>
    <x v="10"/>
    <x v="5"/>
    <s v="MEDIA"/>
    <s v="MEDIA"/>
    <n v="64"/>
    <s v="cumple"/>
    <x v="3"/>
    <x v="0"/>
    <x v="519"/>
    <n v="3711.9999999999995"/>
    <x v="0"/>
  </r>
  <r>
    <x v="2"/>
    <x v="6"/>
    <x v="0"/>
    <x v="0"/>
    <x v="2"/>
    <x v="1"/>
    <x v="4"/>
    <x v="68"/>
    <x v="519"/>
    <x v="77"/>
    <x v="0"/>
    <x v="77"/>
    <x v="5"/>
    <x v="7"/>
    <x v="1"/>
    <x v="110"/>
    <x v="10"/>
    <x v="5"/>
    <s v="MEDIA"/>
    <s v="MEDIA"/>
    <n v="64"/>
    <s v="cumple"/>
    <x v="3"/>
    <x v="0"/>
    <x v="519"/>
    <n v="3711.9999999999995"/>
    <x v="0"/>
  </r>
  <r>
    <x v="2"/>
    <x v="6"/>
    <x v="0"/>
    <x v="0"/>
    <x v="2"/>
    <x v="1"/>
    <x v="4"/>
    <x v="68"/>
    <x v="519"/>
    <x v="78"/>
    <x v="0"/>
    <x v="78"/>
    <x v="5"/>
    <x v="7"/>
    <x v="1"/>
    <x v="110"/>
    <x v="10"/>
    <x v="5"/>
    <s v="MEDIA"/>
    <s v="MEDIA"/>
    <n v="64"/>
    <s v="cumple"/>
    <x v="3"/>
    <x v="0"/>
    <x v="519"/>
    <n v="3711.9999999999995"/>
    <x v="0"/>
  </r>
  <r>
    <x v="2"/>
    <x v="6"/>
    <x v="0"/>
    <x v="0"/>
    <x v="2"/>
    <x v="1"/>
    <x v="4"/>
    <x v="68"/>
    <x v="519"/>
    <x v="79"/>
    <x v="0"/>
    <x v="79"/>
    <x v="5"/>
    <x v="7"/>
    <x v="1"/>
    <x v="110"/>
    <x v="10"/>
    <x v="5"/>
    <s v="MEDIA"/>
    <s v="MEDIA"/>
    <n v="64"/>
    <s v="cumple"/>
    <x v="3"/>
    <x v="0"/>
    <x v="519"/>
    <n v="3711.9999999999995"/>
    <x v="0"/>
  </r>
  <r>
    <x v="2"/>
    <x v="6"/>
    <x v="0"/>
    <x v="0"/>
    <x v="2"/>
    <x v="1"/>
    <x v="4"/>
    <x v="68"/>
    <x v="519"/>
    <x v="80"/>
    <x v="0"/>
    <x v="80"/>
    <x v="4"/>
    <x v="5"/>
    <x v="0"/>
    <x v="110"/>
    <x v="10"/>
    <x v="5"/>
    <s v="MEDIA"/>
    <s v="MEDIA"/>
    <n v="64"/>
    <s v="cumple"/>
    <x v="3"/>
    <x v="0"/>
    <x v="519"/>
    <n v="2784"/>
    <x v="0"/>
  </r>
  <r>
    <x v="0"/>
    <x v="1"/>
    <x v="3"/>
    <x v="0"/>
    <x v="14"/>
    <x v="1"/>
    <x v="0"/>
    <x v="27"/>
    <x v="520"/>
    <x v="86"/>
    <x v="0"/>
    <x v="86"/>
    <x v="0"/>
    <x v="0"/>
    <x v="0"/>
    <x v="105"/>
    <x v="11"/>
    <x v="0"/>
    <s v="MEDIA"/>
    <s v="MEDIA"/>
    <n v="64"/>
    <s v="cumple"/>
    <x v="4"/>
    <x v="3"/>
    <x v="520"/>
    <n v="6496"/>
    <x v="0"/>
  </r>
  <r>
    <x v="0"/>
    <x v="1"/>
    <x v="3"/>
    <x v="0"/>
    <x v="14"/>
    <x v="1"/>
    <x v="0"/>
    <x v="27"/>
    <x v="521"/>
    <x v="87"/>
    <x v="0"/>
    <x v="87"/>
    <x v="5"/>
    <x v="7"/>
    <x v="0"/>
    <x v="105"/>
    <x v="11"/>
    <x v="0"/>
    <s v="MEDIA"/>
    <s v="MEDIA"/>
    <n v="64"/>
    <s v="cumple"/>
    <x v="4"/>
    <x v="3"/>
    <x v="521"/>
    <n v="3248"/>
    <x v="0"/>
  </r>
  <r>
    <x v="0"/>
    <x v="1"/>
    <x v="3"/>
    <x v="0"/>
    <x v="14"/>
    <x v="1"/>
    <x v="0"/>
    <x v="27"/>
    <x v="522"/>
    <x v="87"/>
    <x v="3"/>
    <x v="87"/>
    <x v="0"/>
    <x v="7"/>
    <x v="0"/>
    <x v="105"/>
    <x v="11"/>
    <x v="0"/>
    <s v="MEDIA"/>
    <s v="MEDIA"/>
    <n v="64"/>
    <s v="cumple"/>
    <x v="4"/>
    <x v="3"/>
    <x v="522"/>
    <n v="3248"/>
    <x v="0"/>
  </r>
  <r>
    <x v="0"/>
    <x v="1"/>
    <x v="3"/>
    <x v="0"/>
    <x v="14"/>
    <x v="1"/>
    <x v="0"/>
    <x v="27"/>
    <x v="523"/>
    <x v="88"/>
    <x v="0"/>
    <x v="88"/>
    <x v="0"/>
    <x v="0"/>
    <x v="1"/>
    <x v="105"/>
    <x v="11"/>
    <x v="0"/>
    <s v="MEDIA"/>
    <s v="MEDIA"/>
    <n v="64"/>
    <s v="cumple"/>
    <x v="4"/>
    <x v="3"/>
    <x v="523"/>
    <n v="6496"/>
    <x v="0"/>
  </r>
  <r>
    <x v="0"/>
    <x v="1"/>
    <x v="3"/>
    <x v="0"/>
    <x v="14"/>
    <x v="1"/>
    <x v="0"/>
    <x v="27"/>
    <x v="523"/>
    <x v="89"/>
    <x v="0"/>
    <x v="89"/>
    <x v="0"/>
    <x v="0"/>
    <x v="0"/>
    <x v="105"/>
    <x v="11"/>
    <x v="0"/>
    <s v="MEDIA"/>
    <s v="MEDIA"/>
    <n v="64"/>
    <s v="cumple"/>
    <x v="4"/>
    <x v="3"/>
    <x v="523"/>
    <n v="6496"/>
    <x v="0"/>
  </r>
  <r>
    <x v="0"/>
    <x v="1"/>
    <x v="3"/>
    <x v="0"/>
    <x v="14"/>
    <x v="1"/>
    <x v="0"/>
    <x v="27"/>
    <x v="524"/>
    <x v="90"/>
    <x v="0"/>
    <x v="90"/>
    <x v="0"/>
    <x v="0"/>
    <x v="1"/>
    <x v="105"/>
    <x v="11"/>
    <x v="0"/>
    <s v="MEDIA"/>
    <s v="MEDIA"/>
    <n v="64"/>
    <s v="cumple"/>
    <x v="4"/>
    <x v="3"/>
    <x v="524"/>
    <n v="6496"/>
    <x v="0"/>
  </r>
  <r>
    <x v="0"/>
    <x v="1"/>
    <x v="3"/>
    <x v="0"/>
    <x v="14"/>
    <x v="1"/>
    <x v="0"/>
    <x v="27"/>
    <x v="524"/>
    <x v="91"/>
    <x v="0"/>
    <x v="91"/>
    <x v="0"/>
    <x v="0"/>
    <x v="0"/>
    <x v="105"/>
    <x v="11"/>
    <x v="0"/>
    <s v="MEDIA"/>
    <s v="MEDIA"/>
    <n v="64"/>
    <s v="cumple"/>
    <x v="4"/>
    <x v="3"/>
    <x v="524"/>
    <n v="6496"/>
    <x v="0"/>
  </r>
  <r>
    <x v="0"/>
    <x v="1"/>
    <x v="3"/>
    <x v="0"/>
    <x v="14"/>
    <x v="1"/>
    <x v="0"/>
    <x v="27"/>
    <x v="525"/>
    <x v="92"/>
    <x v="0"/>
    <x v="92"/>
    <x v="0"/>
    <x v="0"/>
    <x v="1"/>
    <x v="105"/>
    <x v="11"/>
    <x v="0"/>
    <s v="MEDIA"/>
    <s v="MEDIA"/>
    <n v="64"/>
    <s v="cumple"/>
    <x v="4"/>
    <x v="3"/>
    <x v="525"/>
    <n v="6496"/>
    <x v="0"/>
  </r>
  <r>
    <x v="0"/>
    <x v="1"/>
    <x v="3"/>
    <x v="0"/>
    <x v="14"/>
    <x v="1"/>
    <x v="0"/>
    <x v="27"/>
    <x v="525"/>
    <x v="93"/>
    <x v="0"/>
    <x v="93"/>
    <x v="5"/>
    <x v="7"/>
    <x v="0"/>
    <x v="105"/>
    <x v="11"/>
    <x v="0"/>
    <s v="MEDIA"/>
    <s v="MEDIA"/>
    <n v="64"/>
    <s v="cumple"/>
    <x v="4"/>
    <x v="3"/>
    <x v="525"/>
    <n v="3248"/>
    <x v="0"/>
  </r>
  <r>
    <x v="0"/>
    <x v="1"/>
    <x v="3"/>
    <x v="0"/>
    <x v="14"/>
    <x v="1"/>
    <x v="0"/>
    <x v="27"/>
    <x v="526"/>
    <x v="93"/>
    <x v="3"/>
    <x v="93"/>
    <x v="0"/>
    <x v="7"/>
    <x v="1"/>
    <x v="105"/>
    <x v="11"/>
    <x v="0"/>
    <s v="MEDIA"/>
    <s v="MEDIA"/>
    <n v="64"/>
    <s v="cumple"/>
    <x v="4"/>
    <x v="3"/>
    <x v="526"/>
    <n v="3248"/>
    <x v="0"/>
  </r>
  <r>
    <x v="0"/>
    <x v="1"/>
    <x v="3"/>
    <x v="0"/>
    <x v="14"/>
    <x v="1"/>
    <x v="0"/>
    <x v="27"/>
    <x v="526"/>
    <x v="94"/>
    <x v="0"/>
    <x v="94"/>
    <x v="3"/>
    <x v="4"/>
    <x v="0"/>
    <x v="105"/>
    <x v="11"/>
    <x v="0"/>
    <s v="MEDIA"/>
    <s v="MEDIA"/>
    <n v="64"/>
    <s v="cumple"/>
    <x v="4"/>
    <x v="3"/>
    <x v="526"/>
    <n v="1624"/>
    <x v="0"/>
  </r>
  <r>
    <x v="0"/>
    <x v="1"/>
    <x v="3"/>
    <x v="0"/>
    <x v="14"/>
    <x v="1"/>
    <x v="0"/>
    <x v="27"/>
    <x v="527"/>
    <x v="94"/>
    <x v="4"/>
    <x v="94"/>
    <x v="0"/>
    <x v="3"/>
    <x v="0"/>
    <x v="105"/>
    <x v="11"/>
    <x v="0"/>
    <s v="MEDIA"/>
    <s v="MEDIA"/>
    <n v="64"/>
    <s v="cumple"/>
    <x v="4"/>
    <x v="3"/>
    <x v="527"/>
    <n v="4872"/>
    <x v="0"/>
  </r>
  <r>
    <x v="0"/>
    <x v="1"/>
    <x v="3"/>
    <x v="0"/>
    <x v="14"/>
    <x v="1"/>
    <x v="0"/>
    <x v="27"/>
    <x v="528"/>
    <x v="95"/>
    <x v="0"/>
    <x v="95"/>
    <x v="0"/>
    <x v="0"/>
    <x v="1"/>
    <x v="105"/>
    <x v="11"/>
    <x v="0"/>
    <s v="MEDIA"/>
    <s v="MEDIA"/>
    <n v="64"/>
    <s v="cumple"/>
    <x v="4"/>
    <x v="3"/>
    <x v="528"/>
    <n v="6496"/>
    <x v="0"/>
  </r>
  <r>
    <x v="0"/>
    <x v="1"/>
    <x v="3"/>
    <x v="0"/>
    <x v="14"/>
    <x v="1"/>
    <x v="0"/>
    <x v="27"/>
    <x v="528"/>
    <x v="96"/>
    <x v="0"/>
    <x v="96"/>
    <x v="0"/>
    <x v="0"/>
    <x v="0"/>
    <x v="105"/>
    <x v="11"/>
    <x v="0"/>
    <s v="MEDIA"/>
    <s v="MEDIA"/>
    <n v="64"/>
    <s v="cumple"/>
    <x v="4"/>
    <x v="3"/>
    <x v="528"/>
    <n v="6496"/>
    <x v="0"/>
  </r>
  <r>
    <x v="0"/>
    <x v="1"/>
    <x v="3"/>
    <x v="0"/>
    <x v="14"/>
    <x v="1"/>
    <x v="0"/>
    <x v="27"/>
    <x v="529"/>
    <x v="97"/>
    <x v="0"/>
    <x v="97"/>
    <x v="0"/>
    <x v="0"/>
    <x v="1"/>
    <x v="105"/>
    <x v="11"/>
    <x v="0"/>
    <s v="MEDIA"/>
    <s v="MEDIA"/>
    <n v="64"/>
    <s v="cumple"/>
    <x v="4"/>
    <x v="3"/>
    <x v="529"/>
    <n v="6496"/>
    <x v="0"/>
  </r>
  <r>
    <x v="0"/>
    <x v="1"/>
    <x v="3"/>
    <x v="0"/>
    <x v="14"/>
    <x v="1"/>
    <x v="0"/>
    <x v="27"/>
    <x v="529"/>
    <x v="98"/>
    <x v="0"/>
    <x v="98"/>
    <x v="0"/>
    <x v="0"/>
    <x v="0"/>
    <x v="105"/>
    <x v="11"/>
    <x v="0"/>
    <s v="MEDIA"/>
    <s v="MEDIA"/>
    <n v="64"/>
    <s v="cumple"/>
    <x v="4"/>
    <x v="3"/>
    <x v="529"/>
    <n v="6496"/>
    <x v="0"/>
  </r>
  <r>
    <x v="0"/>
    <x v="1"/>
    <x v="3"/>
    <x v="0"/>
    <x v="14"/>
    <x v="1"/>
    <x v="0"/>
    <x v="27"/>
    <x v="530"/>
    <x v="99"/>
    <x v="0"/>
    <x v="99"/>
    <x v="0"/>
    <x v="0"/>
    <x v="1"/>
    <x v="105"/>
    <x v="11"/>
    <x v="0"/>
    <s v="MEDIA"/>
    <s v="MEDIA"/>
    <n v="64"/>
    <s v="cumple"/>
    <x v="4"/>
    <x v="3"/>
    <x v="530"/>
    <n v="6496"/>
    <x v="0"/>
  </r>
  <r>
    <x v="0"/>
    <x v="1"/>
    <x v="3"/>
    <x v="0"/>
    <x v="14"/>
    <x v="1"/>
    <x v="0"/>
    <x v="27"/>
    <x v="530"/>
    <x v="100"/>
    <x v="0"/>
    <x v="100"/>
    <x v="0"/>
    <x v="0"/>
    <x v="0"/>
    <x v="105"/>
    <x v="11"/>
    <x v="0"/>
    <s v="MEDIA"/>
    <s v="MEDIA"/>
    <n v="64"/>
    <s v="cumple"/>
    <x v="4"/>
    <x v="3"/>
    <x v="530"/>
    <n v="6496"/>
    <x v="0"/>
  </r>
  <r>
    <x v="0"/>
    <x v="1"/>
    <x v="3"/>
    <x v="0"/>
    <x v="14"/>
    <x v="1"/>
    <x v="0"/>
    <x v="27"/>
    <x v="531"/>
    <x v="101"/>
    <x v="0"/>
    <x v="101"/>
    <x v="0"/>
    <x v="0"/>
    <x v="0"/>
    <x v="105"/>
    <x v="11"/>
    <x v="0"/>
    <s v="MEDIA"/>
    <s v="MEDIA"/>
    <n v="64"/>
    <s v="cumple"/>
    <x v="4"/>
    <x v="3"/>
    <x v="531"/>
    <n v="6496"/>
    <x v="0"/>
  </r>
  <r>
    <x v="0"/>
    <x v="1"/>
    <x v="3"/>
    <x v="0"/>
    <x v="14"/>
    <x v="1"/>
    <x v="0"/>
    <x v="27"/>
    <x v="532"/>
    <x v="102"/>
    <x v="0"/>
    <x v="102"/>
    <x v="5"/>
    <x v="7"/>
    <x v="0"/>
    <x v="105"/>
    <x v="11"/>
    <x v="0"/>
    <s v="MEDIA"/>
    <s v="MEDIA"/>
    <n v="64"/>
    <s v="cumple"/>
    <x v="4"/>
    <x v="3"/>
    <x v="532"/>
    <n v="3248"/>
    <x v="0"/>
  </r>
  <r>
    <x v="0"/>
    <x v="1"/>
    <x v="3"/>
    <x v="0"/>
    <x v="14"/>
    <x v="1"/>
    <x v="0"/>
    <x v="27"/>
    <x v="533"/>
    <x v="102"/>
    <x v="3"/>
    <x v="102"/>
    <x v="0"/>
    <x v="7"/>
    <x v="0"/>
    <x v="105"/>
    <x v="11"/>
    <x v="0"/>
    <s v="MEDIA"/>
    <s v="MEDIA"/>
    <n v="64"/>
    <s v="cumple"/>
    <x v="4"/>
    <x v="3"/>
    <x v="533"/>
    <n v="3248"/>
    <x v="0"/>
  </r>
  <r>
    <x v="0"/>
    <x v="1"/>
    <x v="3"/>
    <x v="0"/>
    <x v="14"/>
    <x v="1"/>
    <x v="0"/>
    <x v="27"/>
    <x v="534"/>
    <x v="103"/>
    <x v="0"/>
    <x v="103"/>
    <x v="0"/>
    <x v="0"/>
    <x v="0"/>
    <x v="105"/>
    <x v="11"/>
    <x v="0"/>
    <s v="MEDIA"/>
    <s v="MEDIA"/>
    <n v="64"/>
    <s v="cumple"/>
    <x v="4"/>
    <x v="3"/>
    <x v="534"/>
    <n v="6496"/>
    <x v="0"/>
  </r>
  <r>
    <x v="0"/>
    <x v="1"/>
    <x v="3"/>
    <x v="0"/>
    <x v="14"/>
    <x v="1"/>
    <x v="0"/>
    <x v="27"/>
    <x v="535"/>
    <x v="104"/>
    <x v="0"/>
    <x v="104"/>
    <x v="0"/>
    <x v="0"/>
    <x v="0"/>
    <x v="105"/>
    <x v="11"/>
    <x v="0"/>
    <s v="MEDIA"/>
    <s v="MEDIA"/>
    <n v="64"/>
    <s v="cumple"/>
    <x v="4"/>
    <x v="3"/>
    <x v="535"/>
    <n v="6496"/>
    <x v="0"/>
  </r>
  <r>
    <x v="0"/>
    <x v="1"/>
    <x v="3"/>
    <x v="0"/>
    <x v="14"/>
    <x v="1"/>
    <x v="0"/>
    <x v="27"/>
    <x v="536"/>
    <x v="105"/>
    <x v="0"/>
    <x v="105"/>
    <x v="0"/>
    <x v="0"/>
    <x v="0"/>
    <x v="105"/>
    <x v="11"/>
    <x v="0"/>
    <s v="MEDIA"/>
    <s v="MEDIA"/>
    <n v="64"/>
    <s v="cumple"/>
    <x v="4"/>
    <x v="3"/>
    <x v="536"/>
    <n v="6496"/>
    <x v="0"/>
  </r>
  <r>
    <x v="0"/>
    <x v="1"/>
    <x v="3"/>
    <x v="0"/>
    <x v="14"/>
    <x v="1"/>
    <x v="0"/>
    <x v="27"/>
    <x v="537"/>
    <x v="106"/>
    <x v="0"/>
    <x v="106"/>
    <x v="0"/>
    <x v="0"/>
    <x v="0"/>
    <x v="105"/>
    <x v="11"/>
    <x v="0"/>
    <s v="MEDIA"/>
    <s v="MEDIA"/>
    <n v="64"/>
    <s v="cumple"/>
    <x v="4"/>
    <x v="3"/>
    <x v="537"/>
    <n v="6496"/>
    <x v="0"/>
  </r>
  <r>
    <x v="0"/>
    <x v="1"/>
    <x v="3"/>
    <x v="0"/>
    <x v="3"/>
    <x v="1"/>
    <x v="0"/>
    <x v="27"/>
    <x v="538"/>
    <x v="94"/>
    <x v="0"/>
    <x v="94"/>
    <x v="5"/>
    <x v="7"/>
    <x v="0"/>
    <x v="111"/>
    <x v="5"/>
    <x v="0"/>
    <s v="MEDIA"/>
    <s v="MEDIA"/>
    <n v="64"/>
    <s v="cumple"/>
    <x v="4"/>
    <x v="3"/>
    <x v="538"/>
    <n v="3248"/>
    <x v="0"/>
  </r>
  <r>
    <x v="0"/>
    <x v="1"/>
    <x v="3"/>
    <x v="0"/>
    <x v="3"/>
    <x v="1"/>
    <x v="0"/>
    <x v="27"/>
    <x v="539"/>
    <x v="94"/>
    <x v="3"/>
    <x v="94"/>
    <x v="0"/>
    <x v="7"/>
    <x v="0"/>
    <x v="111"/>
    <x v="5"/>
    <x v="0"/>
    <s v="MEDIA"/>
    <s v="MEDIA"/>
    <n v="64"/>
    <s v="cumple"/>
    <x v="4"/>
    <x v="3"/>
    <x v="539"/>
    <n v="3248"/>
    <x v="0"/>
  </r>
  <r>
    <x v="0"/>
    <x v="1"/>
    <x v="3"/>
    <x v="0"/>
    <x v="3"/>
    <x v="1"/>
    <x v="0"/>
    <x v="27"/>
    <x v="540"/>
    <x v="97"/>
    <x v="0"/>
    <x v="97"/>
    <x v="0"/>
    <x v="0"/>
    <x v="1"/>
    <x v="111"/>
    <x v="5"/>
    <x v="0"/>
    <s v="MEDIA"/>
    <s v="MEDIA"/>
    <n v="64"/>
    <s v="cumple"/>
    <x v="4"/>
    <x v="3"/>
    <x v="540"/>
    <n v="6496"/>
    <x v="0"/>
  </r>
  <r>
    <x v="0"/>
    <x v="1"/>
    <x v="3"/>
    <x v="0"/>
    <x v="3"/>
    <x v="1"/>
    <x v="0"/>
    <x v="27"/>
    <x v="540"/>
    <x v="98"/>
    <x v="0"/>
    <x v="98"/>
    <x v="0"/>
    <x v="0"/>
    <x v="0"/>
    <x v="111"/>
    <x v="5"/>
    <x v="0"/>
    <s v="MEDIA"/>
    <s v="MEDIA"/>
    <n v="64"/>
    <s v="cumple"/>
    <x v="4"/>
    <x v="3"/>
    <x v="540"/>
    <n v="6496"/>
    <x v="0"/>
  </r>
  <r>
    <x v="0"/>
    <x v="1"/>
    <x v="3"/>
    <x v="0"/>
    <x v="3"/>
    <x v="1"/>
    <x v="0"/>
    <x v="27"/>
    <x v="541"/>
    <x v="99"/>
    <x v="0"/>
    <x v="99"/>
    <x v="0"/>
    <x v="0"/>
    <x v="1"/>
    <x v="111"/>
    <x v="5"/>
    <x v="0"/>
    <s v="MEDIA"/>
    <s v="MEDIA"/>
    <n v="64"/>
    <s v="cumple"/>
    <x v="4"/>
    <x v="3"/>
    <x v="541"/>
    <n v="6496"/>
    <x v="0"/>
  </r>
  <r>
    <x v="0"/>
    <x v="1"/>
    <x v="3"/>
    <x v="0"/>
    <x v="3"/>
    <x v="1"/>
    <x v="0"/>
    <x v="27"/>
    <x v="541"/>
    <x v="100"/>
    <x v="0"/>
    <x v="100"/>
    <x v="0"/>
    <x v="0"/>
    <x v="0"/>
    <x v="111"/>
    <x v="5"/>
    <x v="0"/>
    <s v="MEDIA"/>
    <s v="MEDIA"/>
    <n v="64"/>
    <s v="cumple"/>
    <x v="4"/>
    <x v="3"/>
    <x v="541"/>
    <n v="6496"/>
    <x v="0"/>
  </r>
  <r>
    <x v="0"/>
    <x v="1"/>
    <x v="3"/>
    <x v="0"/>
    <x v="3"/>
    <x v="1"/>
    <x v="0"/>
    <x v="27"/>
    <x v="542"/>
    <x v="101"/>
    <x v="0"/>
    <x v="101"/>
    <x v="0"/>
    <x v="0"/>
    <x v="1"/>
    <x v="111"/>
    <x v="5"/>
    <x v="0"/>
    <s v="MEDIA"/>
    <s v="MEDIA"/>
    <n v="64"/>
    <s v="cumple"/>
    <x v="4"/>
    <x v="3"/>
    <x v="542"/>
    <n v="6496"/>
    <x v="0"/>
  </r>
  <r>
    <x v="0"/>
    <x v="1"/>
    <x v="3"/>
    <x v="0"/>
    <x v="3"/>
    <x v="1"/>
    <x v="0"/>
    <x v="27"/>
    <x v="542"/>
    <x v="102"/>
    <x v="0"/>
    <x v="102"/>
    <x v="0"/>
    <x v="0"/>
    <x v="0"/>
    <x v="111"/>
    <x v="5"/>
    <x v="0"/>
    <s v="MEDIA"/>
    <s v="MEDIA"/>
    <n v="64"/>
    <s v="cumple"/>
    <x v="4"/>
    <x v="3"/>
    <x v="542"/>
    <n v="6496"/>
    <x v="0"/>
  </r>
  <r>
    <x v="0"/>
    <x v="1"/>
    <x v="3"/>
    <x v="0"/>
    <x v="3"/>
    <x v="1"/>
    <x v="0"/>
    <x v="27"/>
    <x v="543"/>
    <x v="103"/>
    <x v="0"/>
    <x v="103"/>
    <x v="0"/>
    <x v="0"/>
    <x v="1"/>
    <x v="111"/>
    <x v="5"/>
    <x v="0"/>
    <s v="MEDIA"/>
    <s v="MEDIA"/>
    <n v="64"/>
    <s v="cumple"/>
    <x v="4"/>
    <x v="3"/>
    <x v="543"/>
    <n v="6496"/>
    <x v="0"/>
  </r>
  <r>
    <x v="0"/>
    <x v="1"/>
    <x v="3"/>
    <x v="0"/>
    <x v="3"/>
    <x v="1"/>
    <x v="0"/>
    <x v="27"/>
    <x v="543"/>
    <x v="104"/>
    <x v="0"/>
    <x v="104"/>
    <x v="9"/>
    <x v="6"/>
    <x v="0"/>
    <x v="111"/>
    <x v="5"/>
    <x v="0"/>
    <s v="MEDIA"/>
    <s v="MEDIA"/>
    <n v="64"/>
    <s v="cumple"/>
    <x v="4"/>
    <x v="3"/>
    <x v="543"/>
    <n v="4059.9999999999995"/>
    <x v="0"/>
  </r>
  <r>
    <x v="0"/>
    <x v="1"/>
    <x v="3"/>
    <x v="0"/>
    <x v="3"/>
    <x v="1"/>
    <x v="0"/>
    <x v="27"/>
    <x v="544"/>
    <x v="105"/>
    <x v="0"/>
    <x v="105"/>
    <x v="0"/>
    <x v="0"/>
    <x v="0"/>
    <x v="111"/>
    <x v="5"/>
    <x v="0"/>
    <s v="MEDIA"/>
    <s v="MEDIA"/>
    <n v="64"/>
    <s v="cumple"/>
    <x v="4"/>
    <x v="3"/>
    <x v="544"/>
    <n v="6496"/>
    <x v="0"/>
  </r>
  <r>
    <x v="0"/>
    <x v="1"/>
    <x v="4"/>
    <x v="0"/>
    <x v="11"/>
    <x v="1"/>
    <x v="0"/>
    <x v="154"/>
    <x v="545"/>
    <x v="86"/>
    <x v="0"/>
    <x v="86"/>
    <x v="0"/>
    <x v="0"/>
    <x v="0"/>
    <x v="68"/>
    <x v="2"/>
    <x v="0"/>
    <s v="MEDIA"/>
    <s v="MEDIA"/>
    <n v="64"/>
    <s v="cumple"/>
    <x v="4"/>
    <x v="4"/>
    <x v="545"/>
    <n v="6496"/>
    <x v="0"/>
  </r>
  <r>
    <x v="0"/>
    <x v="1"/>
    <x v="0"/>
    <x v="0"/>
    <x v="2"/>
    <x v="1"/>
    <x v="0"/>
    <x v="168"/>
    <x v="546"/>
    <x v="87"/>
    <x v="0"/>
    <x v="87"/>
    <x v="0"/>
    <x v="0"/>
    <x v="0"/>
    <x v="66"/>
    <x v="2"/>
    <x v="0"/>
    <s v="MEDIA"/>
    <s v="MEDIA"/>
    <n v="64"/>
    <s v="cumple"/>
    <x v="4"/>
    <x v="0"/>
    <x v="546"/>
    <n v="6496"/>
    <x v="0"/>
  </r>
  <r>
    <x v="0"/>
    <x v="1"/>
    <x v="4"/>
    <x v="0"/>
    <x v="11"/>
    <x v="1"/>
    <x v="0"/>
    <x v="169"/>
    <x v="547"/>
    <x v="88"/>
    <x v="0"/>
    <x v="88"/>
    <x v="0"/>
    <x v="0"/>
    <x v="1"/>
    <x v="68"/>
    <x v="2"/>
    <x v="0"/>
    <s v="MEDIA"/>
    <s v="MEDIA"/>
    <n v="64"/>
    <s v="cumple"/>
    <x v="4"/>
    <x v="4"/>
    <x v="547"/>
    <n v="6496"/>
    <x v="0"/>
  </r>
  <r>
    <x v="0"/>
    <x v="1"/>
    <x v="4"/>
    <x v="0"/>
    <x v="11"/>
    <x v="1"/>
    <x v="0"/>
    <x v="169"/>
    <x v="547"/>
    <x v="89"/>
    <x v="0"/>
    <x v="89"/>
    <x v="0"/>
    <x v="0"/>
    <x v="0"/>
    <x v="68"/>
    <x v="2"/>
    <x v="0"/>
    <s v="MEDIA"/>
    <s v="MEDIA"/>
    <n v="64"/>
    <s v="cumple"/>
    <x v="4"/>
    <x v="4"/>
    <x v="547"/>
    <n v="6496"/>
    <x v="0"/>
  </r>
  <r>
    <x v="0"/>
    <x v="1"/>
    <x v="4"/>
    <x v="0"/>
    <x v="11"/>
    <x v="1"/>
    <x v="0"/>
    <x v="170"/>
    <x v="548"/>
    <x v="90"/>
    <x v="0"/>
    <x v="90"/>
    <x v="0"/>
    <x v="0"/>
    <x v="1"/>
    <x v="68"/>
    <x v="2"/>
    <x v="0"/>
    <s v="MEDIA"/>
    <s v="MEDIA"/>
    <n v="64"/>
    <s v="cumple"/>
    <x v="4"/>
    <x v="4"/>
    <x v="548"/>
    <n v="6496"/>
    <x v="0"/>
  </r>
  <r>
    <x v="0"/>
    <x v="1"/>
    <x v="4"/>
    <x v="0"/>
    <x v="11"/>
    <x v="1"/>
    <x v="0"/>
    <x v="170"/>
    <x v="548"/>
    <x v="91"/>
    <x v="0"/>
    <x v="91"/>
    <x v="0"/>
    <x v="0"/>
    <x v="0"/>
    <x v="68"/>
    <x v="2"/>
    <x v="0"/>
    <s v="MEDIA"/>
    <s v="MEDIA"/>
    <n v="64"/>
    <s v="cumple"/>
    <x v="4"/>
    <x v="4"/>
    <x v="548"/>
    <n v="6496"/>
    <x v="0"/>
  </r>
  <r>
    <x v="0"/>
    <x v="1"/>
    <x v="4"/>
    <x v="0"/>
    <x v="11"/>
    <x v="1"/>
    <x v="0"/>
    <x v="171"/>
    <x v="549"/>
    <x v="92"/>
    <x v="0"/>
    <x v="92"/>
    <x v="0"/>
    <x v="0"/>
    <x v="1"/>
    <x v="68"/>
    <x v="2"/>
    <x v="0"/>
    <s v="MEDIA"/>
    <s v="MEDIA"/>
    <n v="64"/>
    <s v="cumple"/>
    <x v="4"/>
    <x v="4"/>
    <x v="549"/>
    <n v="6496"/>
    <x v="0"/>
  </r>
  <r>
    <x v="0"/>
    <x v="1"/>
    <x v="4"/>
    <x v="0"/>
    <x v="11"/>
    <x v="1"/>
    <x v="0"/>
    <x v="171"/>
    <x v="549"/>
    <x v="93"/>
    <x v="0"/>
    <x v="93"/>
    <x v="0"/>
    <x v="0"/>
    <x v="0"/>
    <x v="68"/>
    <x v="2"/>
    <x v="0"/>
    <s v="MEDIA"/>
    <s v="MEDIA"/>
    <n v="64"/>
    <s v="cumple"/>
    <x v="4"/>
    <x v="4"/>
    <x v="549"/>
    <n v="6496"/>
    <x v="0"/>
  </r>
  <r>
    <x v="0"/>
    <x v="1"/>
    <x v="4"/>
    <x v="0"/>
    <x v="11"/>
    <x v="1"/>
    <x v="0"/>
    <x v="172"/>
    <x v="550"/>
    <x v="94"/>
    <x v="0"/>
    <x v="94"/>
    <x v="0"/>
    <x v="0"/>
    <x v="1"/>
    <x v="68"/>
    <x v="2"/>
    <x v="0"/>
    <s v="MEDIA"/>
    <s v="MEDIA"/>
    <n v="64"/>
    <s v="cumple"/>
    <x v="4"/>
    <x v="4"/>
    <x v="550"/>
    <n v="6496"/>
    <x v="0"/>
  </r>
  <r>
    <x v="0"/>
    <x v="1"/>
    <x v="4"/>
    <x v="0"/>
    <x v="11"/>
    <x v="1"/>
    <x v="0"/>
    <x v="172"/>
    <x v="550"/>
    <x v="95"/>
    <x v="0"/>
    <x v="95"/>
    <x v="0"/>
    <x v="0"/>
    <x v="0"/>
    <x v="68"/>
    <x v="2"/>
    <x v="0"/>
    <s v="MEDIA"/>
    <s v="MEDIA"/>
    <n v="64"/>
    <s v="cumple"/>
    <x v="4"/>
    <x v="4"/>
    <x v="550"/>
    <n v="6496"/>
    <x v="0"/>
  </r>
  <r>
    <x v="0"/>
    <x v="1"/>
    <x v="4"/>
    <x v="0"/>
    <x v="11"/>
    <x v="1"/>
    <x v="0"/>
    <x v="173"/>
    <x v="551"/>
    <x v="96"/>
    <x v="0"/>
    <x v="96"/>
    <x v="0"/>
    <x v="0"/>
    <x v="0"/>
    <x v="68"/>
    <x v="2"/>
    <x v="0"/>
    <s v="MEDIA"/>
    <s v="MEDIA"/>
    <n v="64"/>
    <s v="cumple"/>
    <x v="4"/>
    <x v="4"/>
    <x v="551"/>
    <n v="6496"/>
    <x v="0"/>
  </r>
  <r>
    <x v="0"/>
    <x v="1"/>
    <x v="0"/>
    <x v="0"/>
    <x v="2"/>
    <x v="1"/>
    <x v="0"/>
    <x v="168"/>
    <x v="552"/>
    <x v="98"/>
    <x v="0"/>
    <x v="98"/>
    <x v="0"/>
    <x v="0"/>
    <x v="0"/>
    <x v="66"/>
    <x v="2"/>
    <x v="0"/>
    <s v="MEDIA"/>
    <s v="MEDIA"/>
    <n v="64"/>
    <s v="cumple"/>
    <x v="4"/>
    <x v="0"/>
    <x v="552"/>
    <n v="6496"/>
    <x v="0"/>
  </r>
  <r>
    <x v="0"/>
    <x v="1"/>
    <x v="0"/>
    <x v="0"/>
    <x v="2"/>
    <x v="1"/>
    <x v="0"/>
    <x v="174"/>
    <x v="553"/>
    <x v="101"/>
    <x v="0"/>
    <x v="101"/>
    <x v="0"/>
    <x v="0"/>
    <x v="0"/>
    <x v="66"/>
    <x v="2"/>
    <x v="0"/>
    <s v="MEDIA"/>
    <s v="MEDIA"/>
    <n v="64"/>
    <s v="cumple"/>
    <x v="4"/>
    <x v="0"/>
    <x v="553"/>
    <n v="6496"/>
    <x v="0"/>
  </r>
  <r>
    <x v="0"/>
    <x v="0"/>
    <x v="2"/>
    <x v="0"/>
    <x v="6"/>
    <x v="5"/>
    <x v="1"/>
    <x v="39"/>
    <x v="554"/>
    <x v="86"/>
    <x v="0"/>
    <x v="86"/>
    <x v="4"/>
    <x v="5"/>
    <x v="0"/>
    <x v="112"/>
    <x v="3"/>
    <x v="1"/>
    <s v="MEDIA"/>
    <s v="MEDIA"/>
    <n v="64"/>
    <s v="cumple"/>
    <x v="4"/>
    <x v="2"/>
    <x v="554"/>
    <n v="1739.9999999999998"/>
    <x v="0"/>
  </r>
  <r>
    <x v="0"/>
    <x v="0"/>
    <x v="2"/>
    <x v="0"/>
    <x v="6"/>
    <x v="5"/>
    <x v="1"/>
    <x v="39"/>
    <x v="555"/>
    <x v="86"/>
    <x v="6"/>
    <x v="86"/>
    <x v="2"/>
    <x v="5"/>
    <x v="0"/>
    <x v="113"/>
    <x v="3"/>
    <x v="1"/>
    <s v="MEDIA"/>
    <s v="MEDIA"/>
    <n v="64"/>
    <s v="cumple"/>
    <x v="4"/>
    <x v="2"/>
    <x v="555"/>
    <n v="1739.9999999999998"/>
    <x v="0"/>
  </r>
  <r>
    <x v="0"/>
    <x v="0"/>
    <x v="2"/>
    <x v="0"/>
    <x v="6"/>
    <x v="5"/>
    <x v="1"/>
    <x v="39"/>
    <x v="556"/>
    <x v="86"/>
    <x v="2"/>
    <x v="86"/>
    <x v="0"/>
    <x v="4"/>
    <x v="0"/>
    <x v="114"/>
    <x v="3"/>
    <x v="1"/>
    <s v="MEDIA"/>
    <s v="MEDIA"/>
    <n v="64"/>
    <s v="cumple"/>
    <x v="4"/>
    <x v="2"/>
    <x v="556"/>
    <n v="1160"/>
    <x v="0"/>
  </r>
  <r>
    <x v="0"/>
    <x v="0"/>
    <x v="2"/>
    <x v="0"/>
    <x v="6"/>
    <x v="5"/>
    <x v="1"/>
    <x v="39"/>
    <x v="557"/>
    <x v="87"/>
    <x v="0"/>
    <x v="87"/>
    <x v="3"/>
    <x v="4"/>
    <x v="0"/>
    <x v="115"/>
    <x v="3"/>
    <x v="1"/>
    <s v="MEDIA"/>
    <s v="MEDIA"/>
    <n v="64"/>
    <s v="cumple"/>
    <x v="4"/>
    <x v="2"/>
    <x v="557"/>
    <n v="1160"/>
    <x v="0"/>
  </r>
  <r>
    <x v="0"/>
    <x v="0"/>
    <x v="2"/>
    <x v="0"/>
    <x v="6"/>
    <x v="5"/>
    <x v="1"/>
    <x v="39"/>
    <x v="558"/>
    <x v="87"/>
    <x v="4"/>
    <x v="87"/>
    <x v="9"/>
    <x v="5"/>
    <x v="0"/>
    <x v="116"/>
    <x v="3"/>
    <x v="1"/>
    <s v="MEDIA"/>
    <s v="MEDIA"/>
    <n v="64"/>
    <s v="cumple"/>
    <x v="4"/>
    <x v="2"/>
    <x v="558"/>
    <n v="1739.9999999999998"/>
    <x v="0"/>
  </r>
  <r>
    <x v="0"/>
    <x v="0"/>
    <x v="2"/>
    <x v="0"/>
    <x v="6"/>
    <x v="5"/>
    <x v="1"/>
    <x v="39"/>
    <x v="559"/>
    <x v="87"/>
    <x v="9"/>
    <x v="87"/>
    <x v="0"/>
    <x v="7"/>
    <x v="0"/>
    <x v="116"/>
    <x v="3"/>
    <x v="1"/>
    <s v="MEDIA"/>
    <s v="MEDIA"/>
    <n v="64"/>
    <s v="cumple"/>
    <x v="4"/>
    <x v="2"/>
    <x v="559"/>
    <n v="2320"/>
    <x v="0"/>
  </r>
  <r>
    <x v="0"/>
    <x v="5"/>
    <x v="2"/>
    <x v="0"/>
    <x v="6"/>
    <x v="5"/>
    <x v="1"/>
    <x v="39"/>
    <x v="560"/>
    <x v="88"/>
    <x v="0"/>
    <x v="88"/>
    <x v="8"/>
    <x v="2"/>
    <x v="0"/>
    <x v="116"/>
    <x v="3"/>
    <x v="1"/>
    <s v="MEDIA"/>
    <s v="MEDIA"/>
    <n v="64"/>
    <s v="cumple"/>
    <x v="4"/>
    <x v="2"/>
    <x v="560"/>
    <n v="580"/>
    <x v="0"/>
  </r>
  <r>
    <x v="0"/>
    <x v="5"/>
    <x v="2"/>
    <x v="0"/>
    <x v="6"/>
    <x v="5"/>
    <x v="1"/>
    <x v="39"/>
    <x v="561"/>
    <x v="88"/>
    <x v="8"/>
    <x v="88"/>
    <x v="12"/>
    <x v="14"/>
    <x v="0"/>
    <x v="116"/>
    <x v="3"/>
    <x v="1"/>
    <s v="MEDIA"/>
    <s v="MEDIA"/>
    <n v="64"/>
    <s v="cumple"/>
    <x v="4"/>
    <x v="2"/>
    <x v="561"/>
    <n v="2610"/>
    <x v="0"/>
  </r>
  <r>
    <x v="0"/>
    <x v="5"/>
    <x v="2"/>
    <x v="0"/>
    <x v="6"/>
    <x v="5"/>
    <x v="1"/>
    <x v="39"/>
    <x v="562"/>
    <x v="89"/>
    <x v="0"/>
    <x v="89"/>
    <x v="5"/>
    <x v="7"/>
    <x v="0"/>
    <x v="116"/>
    <x v="3"/>
    <x v="1"/>
    <s v="MEDIA"/>
    <s v="MEDIA"/>
    <n v="64"/>
    <s v="cumple"/>
    <x v="4"/>
    <x v="2"/>
    <x v="562"/>
    <n v="2320"/>
    <x v="0"/>
  </r>
  <r>
    <x v="0"/>
    <x v="5"/>
    <x v="2"/>
    <x v="0"/>
    <x v="6"/>
    <x v="5"/>
    <x v="1"/>
    <x v="39"/>
    <x v="563"/>
    <x v="89"/>
    <x v="3"/>
    <x v="89"/>
    <x v="0"/>
    <x v="14"/>
    <x v="0"/>
    <x v="115"/>
    <x v="3"/>
    <x v="1"/>
    <s v="MEDIA"/>
    <s v="MEDIA"/>
    <n v="64"/>
    <s v="cumple"/>
    <x v="4"/>
    <x v="2"/>
    <x v="563"/>
    <n v="2610"/>
    <x v="0"/>
  </r>
  <r>
    <x v="0"/>
    <x v="5"/>
    <x v="2"/>
    <x v="0"/>
    <x v="6"/>
    <x v="5"/>
    <x v="1"/>
    <x v="39"/>
    <x v="564"/>
    <x v="90"/>
    <x v="0"/>
    <x v="90"/>
    <x v="4"/>
    <x v="5"/>
    <x v="0"/>
    <x v="117"/>
    <x v="3"/>
    <x v="1"/>
    <s v="MEDIA"/>
    <s v="MEDIA"/>
    <n v="64"/>
    <s v="cumple"/>
    <x v="4"/>
    <x v="2"/>
    <x v="564"/>
    <n v="1739.9999999999998"/>
    <x v="0"/>
  </r>
  <r>
    <x v="0"/>
    <x v="5"/>
    <x v="2"/>
    <x v="0"/>
    <x v="6"/>
    <x v="5"/>
    <x v="1"/>
    <x v="39"/>
    <x v="565"/>
    <x v="90"/>
    <x v="6"/>
    <x v="90"/>
    <x v="18"/>
    <x v="5"/>
    <x v="0"/>
    <x v="118"/>
    <x v="3"/>
    <x v="1"/>
    <s v="MEDIA"/>
    <s v="MEDIA"/>
    <n v="64"/>
    <s v="cumple"/>
    <x v="4"/>
    <x v="2"/>
    <x v="565"/>
    <n v="1739.9999999999998"/>
    <x v="0"/>
  </r>
  <r>
    <x v="0"/>
    <x v="5"/>
    <x v="2"/>
    <x v="0"/>
    <x v="6"/>
    <x v="5"/>
    <x v="1"/>
    <x v="39"/>
    <x v="554"/>
    <x v="90"/>
    <x v="15"/>
    <x v="90"/>
    <x v="0"/>
    <x v="12"/>
    <x v="0"/>
    <x v="116"/>
    <x v="3"/>
    <x v="1"/>
    <s v="MEDIA"/>
    <s v="MEDIA"/>
    <n v="64"/>
    <s v="cumple"/>
    <x v="4"/>
    <x v="2"/>
    <x v="554"/>
    <n v="1450"/>
    <x v="0"/>
  </r>
  <r>
    <x v="0"/>
    <x v="5"/>
    <x v="2"/>
    <x v="0"/>
    <x v="6"/>
    <x v="5"/>
    <x v="1"/>
    <x v="39"/>
    <x v="556"/>
    <x v="91"/>
    <x v="0"/>
    <x v="91"/>
    <x v="14"/>
    <x v="14"/>
    <x v="0"/>
    <x v="116"/>
    <x v="3"/>
    <x v="1"/>
    <s v="MEDIA"/>
    <s v="MEDIA"/>
    <n v="64"/>
    <s v="cumple"/>
    <x v="4"/>
    <x v="2"/>
    <x v="556"/>
    <n v="2610"/>
    <x v="0"/>
  </r>
  <r>
    <x v="0"/>
    <x v="5"/>
    <x v="2"/>
    <x v="0"/>
    <x v="6"/>
    <x v="5"/>
    <x v="1"/>
    <x v="39"/>
    <x v="560"/>
    <x v="91"/>
    <x v="11"/>
    <x v="91"/>
    <x v="0"/>
    <x v="7"/>
    <x v="0"/>
    <x v="116"/>
    <x v="3"/>
    <x v="1"/>
    <s v="MEDIA"/>
    <s v="MEDIA"/>
    <n v="64"/>
    <s v="cumple"/>
    <x v="4"/>
    <x v="2"/>
    <x v="560"/>
    <n v="2320"/>
    <x v="0"/>
  </r>
  <r>
    <x v="0"/>
    <x v="5"/>
    <x v="2"/>
    <x v="0"/>
    <x v="6"/>
    <x v="5"/>
    <x v="1"/>
    <x v="39"/>
    <x v="562"/>
    <x v="92"/>
    <x v="0"/>
    <x v="92"/>
    <x v="4"/>
    <x v="5"/>
    <x v="0"/>
    <x v="119"/>
    <x v="3"/>
    <x v="1"/>
    <s v="MEDIA"/>
    <s v="MEDIA"/>
    <n v="64"/>
    <s v="cumple"/>
    <x v="4"/>
    <x v="2"/>
    <x v="562"/>
    <n v="1739.9999999999998"/>
    <x v="0"/>
  </r>
  <r>
    <x v="0"/>
    <x v="5"/>
    <x v="2"/>
    <x v="0"/>
    <x v="6"/>
    <x v="5"/>
    <x v="1"/>
    <x v="39"/>
    <x v="566"/>
    <x v="92"/>
    <x v="6"/>
    <x v="92"/>
    <x v="12"/>
    <x v="12"/>
    <x v="0"/>
    <x v="116"/>
    <x v="3"/>
    <x v="1"/>
    <s v="MEDIA"/>
    <s v="MEDIA"/>
    <n v="64"/>
    <s v="cumple"/>
    <x v="4"/>
    <x v="2"/>
    <x v="566"/>
    <n v="1450"/>
    <x v="0"/>
  </r>
  <r>
    <x v="0"/>
    <x v="5"/>
    <x v="2"/>
    <x v="0"/>
    <x v="6"/>
    <x v="5"/>
    <x v="1"/>
    <x v="39"/>
    <x v="557"/>
    <x v="92"/>
    <x v="7"/>
    <x v="92"/>
    <x v="0"/>
    <x v="5"/>
    <x v="0"/>
    <x v="116"/>
    <x v="3"/>
    <x v="1"/>
    <s v="MEDIA"/>
    <s v="MEDIA"/>
    <n v="64"/>
    <s v="cumple"/>
    <x v="4"/>
    <x v="2"/>
    <x v="557"/>
    <n v="1739.9999999999998"/>
    <x v="0"/>
  </r>
  <r>
    <x v="0"/>
    <x v="5"/>
    <x v="2"/>
    <x v="0"/>
    <x v="6"/>
    <x v="5"/>
    <x v="1"/>
    <x v="39"/>
    <x v="567"/>
    <x v="93"/>
    <x v="0"/>
    <x v="93"/>
    <x v="4"/>
    <x v="5"/>
    <x v="0"/>
    <x v="120"/>
    <x v="3"/>
    <x v="1"/>
    <s v="MEDIA"/>
    <s v="MEDIA"/>
    <n v="64"/>
    <s v="cumple"/>
    <x v="4"/>
    <x v="2"/>
    <x v="567"/>
    <n v="1739.9999999999998"/>
    <x v="0"/>
  </r>
  <r>
    <x v="0"/>
    <x v="5"/>
    <x v="2"/>
    <x v="0"/>
    <x v="6"/>
    <x v="5"/>
    <x v="1"/>
    <x v="39"/>
    <x v="566"/>
    <x v="93"/>
    <x v="6"/>
    <x v="93"/>
    <x v="7"/>
    <x v="5"/>
    <x v="0"/>
    <x v="116"/>
    <x v="3"/>
    <x v="1"/>
    <s v="MEDIA"/>
    <s v="MEDIA"/>
    <n v="64"/>
    <s v="cumple"/>
    <x v="4"/>
    <x v="2"/>
    <x v="566"/>
    <n v="1739.9999999999998"/>
    <x v="0"/>
  </r>
  <r>
    <x v="0"/>
    <x v="5"/>
    <x v="2"/>
    <x v="0"/>
    <x v="6"/>
    <x v="5"/>
    <x v="1"/>
    <x v="39"/>
    <x v="568"/>
    <x v="94"/>
    <x v="0"/>
    <x v="94"/>
    <x v="15"/>
    <x v="12"/>
    <x v="0"/>
    <x v="121"/>
    <x v="3"/>
    <x v="1"/>
    <s v="MEDIA"/>
    <s v="MEDIA"/>
    <n v="64"/>
    <s v="cumple"/>
    <x v="4"/>
    <x v="2"/>
    <x v="568"/>
    <n v="1450"/>
    <x v="0"/>
  </r>
  <r>
    <x v="0"/>
    <x v="5"/>
    <x v="2"/>
    <x v="0"/>
    <x v="6"/>
    <x v="5"/>
    <x v="1"/>
    <x v="39"/>
    <x v="510"/>
    <x v="94"/>
    <x v="12"/>
    <x v="94"/>
    <x v="12"/>
    <x v="5"/>
    <x v="0"/>
    <x v="113"/>
    <x v="3"/>
    <x v="1"/>
    <s v="MEDIA"/>
    <s v="MEDIA"/>
    <n v="64"/>
    <s v="cumple"/>
    <x v="4"/>
    <x v="2"/>
    <x v="510"/>
    <n v="1739.9999999999998"/>
    <x v="0"/>
  </r>
  <r>
    <x v="0"/>
    <x v="5"/>
    <x v="2"/>
    <x v="0"/>
    <x v="6"/>
    <x v="5"/>
    <x v="1"/>
    <x v="39"/>
    <x v="569"/>
    <x v="94"/>
    <x v="7"/>
    <x v="94"/>
    <x v="0"/>
    <x v="5"/>
    <x v="0"/>
    <x v="122"/>
    <x v="3"/>
    <x v="1"/>
    <s v="MEDIA"/>
    <s v="MEDIA"/>
    <n v="64"/>
    <s v="cumple"/>
    <x v="4"/>
    <x v="2"/>
    <x v="569"/>
    <n v="1739.9999999999998"/>
    <x v="0"/>
  </r>
  <r>
    <x v="0"/>
    <x v="5"/>
    <x v="2"/>
    <x v="0"/>
    <x v="6"/>
    <x v="5"/>
    <x v="1"/>
    <x v="39"/>
    <x v="515"/>
    <x v="95"/>
    <x v="0"/>
    <x v="95"/>
    <x v="14"/>
    <x v="14"/>
    <x v="0"/>
    <x v="116"/>
    <x v="3"/>
    <x v="1"/>
    <s v="MEDIA"/>
    <s v="MEDIA"/>
    <n v="64"/>
    <s v="cumple"/>
    <x v="4"/>
    <x v="2"/>
    <x v="515"/>
    <n v="2610"/>
    <x v="0"/>
  </r>
  <r>
    <x v="0"/>
    <x v="5"/>
    <x v="2"/>
    <x v="0"/>
    <x v="6"/>
    <x v="5"/>
    <x v="1"/>
    <x v="39"/>
    <x v="570"/>
    <x v="95"/>
    <x v="11"/>
    <x v="95"/>
    <x v="0"/>
    <x v="7"/>
    <x v="0"/>
    <x v="116"/>
    <x v="3"/>
    <x v="1"/>
    <s v="MEDIA"/>
    <s v="MEDIA"/>
    <n v="64"/>
    <s v="cumple"/>
    <x v="4"/>
    <x v="2"/>
    <x v="570"/>
    <n v="2320"/>
    <x v="0"/>
  </r>
  <r>
    <x v="0"/>
    <x v="5"/>
    <x v="2"/>
    <x v="0"/>
    <x v="6"/>
    <x v="5"/>
    <x v="1"/>
    <x v="39"/>
    <x v="571"/>
    <x v="96"/>
    <x v="0"/>
    <x v="96"/>
    <x v="15"/>
    <x v="12"/>
    <x v="0"/>
    <x v="116"/>
    <x v="3"/>
    <x v="1"/>
    <s v="MEDIA"/>
    <s v="MEDIA"/>
    <n v="64"/>
    <s v="cumple"/>
    <x v="4"/>
    <x v="2"/>
    <x v="571"/>
    <n v="1450"/>
    <x v="0"/>
  </r>
  <r>
    <x v="0"/>
    <x v="5"/>
    <x v="2"/>
    <x v="0"/>
    <x v="6"/>
    <x v="5"/>
    <x v="1"/>
    <x v="39"/>
    <x v="566"/>
    <x v="96"/>
    <x v="12"/>
    <x v="96"/>
    <x v="12"/>
    <x v="5"/>
    <x v="0"/>
    <x v="116"/>
    <x v="3"/>
    <x v="1"/>
    <s v="MEDIA"/>
    <s v="MEDIA"/>
    <n v="64"/>
    <s v="cumple"/>
    <x v="4"/>
    <x v="2"/>
    <x v="566"/>
    <n v="1739.9999999999998"/>
    <x v="0"/>
  </r>
  <r>
    <x v="0"/>
    <x v="5"/>
    <x v="2"/>
    <x v="0"/>
    <x v="6"/>
    <x v="5"/>
    <x v="1"/>
    <x v="39"/>
    <x v="572"/>
    <x v="96"/>
    <x v="7"/>
    <x v="96"/>
    <x v="0"/>
    <x v="5"/>
    <x v="0"/>
    <x v="116"/>
    <x v="3"/>
    <x v="1"/>
    <s v="MEDIA"/>
    <s v="MEDIA"/>
    <n v="64"/>
    <s v="cumple"/>
    <x v="4"/>
    <x v="2"/>
    <x v="572"/>
    <n v="1739.9999999999998"/>
    <x v="0"/>
  </r>
  <r>
    <x v="0"/>
    <x v="5"/>
    <x v="2"/>
    <x v="0"/>
    <x v="6"/>
    <x v="5"/>
    <x v="1"/>
    <x v="39"/>
    <x v="573"/>
    <x v="97"/>
    <x v="0"/>
    <x v="97"/>
    <x v="15"/>
    <x v="12"/>
    <x v="0"/>
    <x v="116"/>
    <x v="3"/>
    <x v="1"/>
    <s v="MEDIA"/>
    <s v="MEDIA"/>
    <n v="64"/>
    <s v="cumple"/>
    <x v="4"/>
    <x v="2"/>
    <x v="573"/>
    <n v="1450"/>
    <x v="0"/>
  </r>
  <r>
    <x v="0"/>
    <x v="5"/>
    <x v="2"/>
    <x v="0"/>
    <x v="6"/>
    <x v="5"/>
    <x v="1"/>
    <x v="39"/>
    <x v="569"/>
    <x v="97"/>
    <x v="12"/>
    <x v="97"/>
    <x v="12"/>
    <x v="5"/>
    <x v="0"/>
    <x v="116"/>
    <x v="3"/>
    <x v="1"/>
    <s v="MEDIA"/>
    <s v="MEDIA"/>
    <n v="64"/>
    <s v="cumple"/>
    <x v="4"/>
    <x v="2"/>
    <x v="569"/>
    <n v="1739.9999999999998"/>
    <x v="0"/>
  </r>
  <r>
    <x v="0"/>
    <x v="5"/>
    <x v="2"/>
    <x v="0"/>
    <x v="6"/>
    <x v="5"/>
    <x v="1"/>
    <x v="39"/>
    <x v="574"/>
    <x v="97"/>
    <x v="7"/>
    <x v="97"/>
    <x v="0"/>
    <x v="5"/>
    <x v="0"/>
    <x v="116"/>
    <x v="3"/>
    <x v="1"/>
    <s v="MEDIA"/>
    <s v="MEDIA"/>
    <n v="64"/>
    <s v="cumple"/>
    <x v="4"/>
    <x v="2"/>
    <x v="574"/>
    <n v="1739.9999999999998"/>
    <x v="0"/>
  </r>
  <r>
    <x v="0"/>
    <x v="5"/>
    <x v="2"/>
    <x v="0"/>
    <x v="6"/>
    <x v="5"/>
    <x v="1"/>
    <x v="39"/>
    <x v="322"/>
    <x v="98"/>
    <x v="0"/>
    <x v="98"/>
    <x v="4"/>
    <x v="5"/>
    <x v="0"/>
    <x v="116"/>
    <x v="3"/>
    <x v="1"/>
    <s v="MEDIA"/>
    <s v="MEDIA"/>
    <n v="64"/>
    <s v="cumple"/>
    <x v="4"/>
    <x v="2"/>
    <x v="322"/>
    <n v="1739.9999999999998"/>
    <x v="0"/>
  </r>
  <r>
    <x v="0"/>
    <x v="5"/>
    <x v="2"/>
    <x v="0"/>
    <x v="6"/>
    <x v="5"/>
    <x v="1"/>
    <x v="39"/>
    <x v="575"/>
    <x v="98"/>
    <x v="6"/>
    <x v="98"/>
    <x v="7"/>
    <x v="5"/>
    <x v="0"/>
    <x v="116"/>
    <x v="3"/>
    <x v="1"/>
    <s v="MEDIA"/>
    <s v="MEDIA"/>
    <n v="64"/>
    <s v="cumple"/>
    <x v="4"/>
    <x v="2"/>
    <x v="575"/>
    <n v="1739.9999999999998"/>
    <x v="0"/>
  </r>
  <r>
    <x v="0"/>
    <x v="5"/>
    <x v="2"/>
    <x v="0"/>
    <x v="6"/>
    <x v="5"/>
    <x v="1"/>
    <x v="39"/>
    <x v="571"/>
    <x v="99"/>
    <x v="0"/>
    <x v="99"/>
    <x v="14"/>
    <x v="14"/>
    <x v="0"/>
    <x v="116"/>
    <x v="3"/>
    <x v="1"/>
    <s v="MEDIA"/>
    <s v="MEDIA"/>
    <n v="64"/>
    <s v="cumple"/>
    <x v="4"/>
    <x v="2"/>
    <x v="571"/>
    <n v="2610"/>
    <x v="0"/>
  </r>
  <r>
    <x v="0"/>
    <x v="5"/>
    <x v="2"/>
    <x v="0"/>
    <x v="6"/>
    <x v="5"/>
    <x v="1"/>
    <x v="39"/>
    <x v="576"/>
    <x v="99"/>
    <x v="11"/>
    <x v="99"/>
    <x v="0"/>
    <x v="7"/>
    <x v="0"/>
    <x v="116"/>
    <x v="3"/>
    <x v="1"/>
    <s v="MEDIA"/>
    <s v="MEDIA"/>
    <n v="64"/>
    <s v="cumple"/>
    <x v="4"/>
    <x v="2"/>
    <x v="576"/>
    <n v="2320"/>
    <x v="0"/>
  </r>
  <r>
    <x v="0"/>
    <x v="5"/>
    <x v="2"/>
    <x v="0"/>
    <x v="6"/>
    <x v="5"/>
    <x v="1"/>
    <x v="39"/>
    <x v="577"/>
    <x v="100"/>
    <x v="0"/>
    <x v="100"/>
    <x v="4"/>
    <x v="5"/>
    <x v="0"/>
    <x v="116"/>
    <x v="3"/>
    <x v="1"/>
    <s v="MEDIA"/>
    <s v="MEDIA"/>
    <n v="64"/>
    <s v="cumple"/>
    <x v="4"/>
    <x v="2"/>
    <x v="577"/>
    <n v="1739.9999999999998"/>
    <x v="0"/>
  </r>
  <r>
    <x v="0"/>
    <x v="5"/>
    <x v="2"/>
    <x v="0"/>
    <x v="6"/>
    <x v="5"/>
    <x v="1"/>
    <x v="39"/>
    <x v="574"/>
    <x v="100"/>
    <x v="6"/>
    <x v="100"/>
    <x v="12"/>
    <x v="12"/>
    <x v="0"/>
    <x v="116"/>
    <x v="3"/>
    <x v="1"/>
    <s v="MEDIA"/>
    <s v="MEDIA"/>
    <n v="64"/>
    <s v="cumple"/>
    <x v="4"/>
    <x v="2"/>
    <x v="574"/>
    <n v="1450"/>
    <x v="0"/>
  </r>
  <r>
    <x v="0"/>
    <x v="5"/>
    <x v="2"/>
    <x v="0"/>
    <x v="6"/>
    <x v="5"/>
    <x v="1"/>
    <x v="39"/>
    <x v="572"/>
    <x v="100"/>
    <x v="7"/>
    <x v="100"/>
    <x v="0"/>
    <x v="5"/>
    <x v="0"/>
    <x v="116"/>
    <x v="3"/>
    <x v="1"/>
    <s v="MEDIA"/>
    <s v="MEDIA"/>
    <n v="64"/>
    <s v="cumple"/>
    <x v="4"/>
    <x v="2"/>
    <x v="572"/>
    <n v="1739.9999999999998"/>
    <x v="0"/>
  </r>
  <r>
    <x v="0"/>
    <x v="5"/>
    <x v="2"/>
    <x v="0"/>
    <x v="6"/>
    <x v="5"/>
    <x v="1"/>
    <x v="39"/>
    <x v="578"/>
    <x v="101"/>
    <x v="0"/>
    <x v="101"/>
    <x v="5"/>
    <x v="7"/>
    <x v="0"/>
    <x v="116"/>
    <x v="3"/>
    <x v="1"/>
    <s v="MEDIA"/>
    <s v="MEDIA"/>
    <n v="64"/>
    <s v="cumple"/>
    <x v="4"/>
    <x v="2"/>
    <x v="578"/>
    <n v="2320"/>
    <x v="0"/>
  </r>
  <r>
    <x v="0"/>
    <x v="5"/>
    <x v="2"/>
    <x v="0"/>
    <x v="6"/>
    <x v="5"/>
    <x v="1"/>
    <x v="39"/>
    <x v="579"/>
    <x v="101"/>
    <x v="3"/>
    <x v="101"/>
    <x v="0"/>
    <x v="14"/>
    <x v="0"/>
    <x v="116"/>
    <x v="3"/>
    <x v="1"/>
    <s v="MEDIA"/>
    <s v="MEDIA"/>
    <n v="64"/>
    <s v="cumple"/>
    <x v="4"/>
    <x v="2"/>
    <x v="579"/>
    <n v="2610"/>
    <x v="0"/>
  </r>
  <r>
    <x v="0"/>
    <x v="5"/>
    <x v="2"/>
    <x v="0"/>
    <x v="6"/>
    <x v="5"/>
    <x v="1"/>
    <x v="39"/>
    <x v="573"/>
    <x v="102"/>
    <x v="0"/>
    <x v="102"/>
    <x v="5"/>
    <x v="7"/>
    <x v="0"/>
    <x v="116"/>
    <x v="3"/>
    <x v="1"/>
    <s v="MEDIA"/>
    <s v="MEDIA"/>
    <n v="64"/>
    <s v="cumple"/>
    <x v="4"/>
    <x v="2"/>
    <x v="573"/>
    <n v="2320"/>
    <x v="0"/>
  </r>
  <r>
    <x v="0"/>
    <x v="5"/>
    <x v="2"/>
    <x v="0"/>
    <x v="6"/>
    <x v="5"/>
    <x v="1"/>
    <x v="39"/>
    <x v="580"/>
    <x v="102"/>
    <x v="3"/>
    <x v="102"/>
    <x v="0"/>
    <x v="14"/>
    <x v="0"/>
    <x v="116"/>
    <x v="3"/>
    <x v="1"/>
    <s v="MEDIA"/>
    <s v="MEDIA"/>
    <n v="64"/>
    <s v="cumple"/>
    <x v="4"/>
    <x v="2"/>
    <x v="580"/>
    <n v="2610"/>
    <x v="0"/>
  </r>
  <r>
    <x v="0"/>
    <x v="5"/>
    <x v="2"/>
    <x v="0"/>
    <x v="6"/>
    <x v="5"/>
    <x v="1"/>
    <x v="39"/>
    <x v="581"/>
    <x v="103"/>
    <x v="0"/>
    <x v="103"/>
    <x v="4"/>
    <x v="5"/>
    <x v="0"/>
    <x v="116"/>
    <x v="3"/>
    <x v="1"/>
    <s v="MEDIA"/>
    <s v="MEDIA"/>
    <n v="64"/>
    <s v="cumple"/>
    <x v="4"/>
    <x v="2"/>
    <x v="581"/>
    <n v="1739.9999999999998"/>
    <x v="0"/>
  </r>
  <r>
    <x v="0"/>
    <x v="5"/>
    <x v="2"/>
    <x v="0"/>
    <x v="6"/>
    <x v="5"/>
    <x v="1"/>
    <x v="39"/>
    <x v="575"/>
    <x v="103"/>
    <x v="6"/>
    <x v="103"/>
    <x v="7"/>
    <x v="5"/>
    <x v="0"/>
    <x v="116"/>
    <x v="3"/>
    <x v="1"/>
    <s v="MEDIA"/>
    <s v="MEDIA"/>
    <n v="64"/>
    <s v="cumple"/>
    <x v="4"/>
    <x v="2"/>
    <x v="575"/>
    <n v="1739.9999999999998"/>
    <x v="0"/>
  </r>
  <r>
    <x v="0"/>
    <x v="5"/>
    <x v="2"/>
    <x v="0"/>
    <x v="6"/>
    <x v="5"/>
    <x v="1"/>
    <x v="39"/>
    <x v="510"/>
    <x v="104"/>
    <x v="0"/>
    <x v="104"/>
    <x v="14"/>
    <x v="14"/>
    <x v="0"/>
    <x v="116"/>
    <x v="3"/>
    <x v="1"/>
    <s v="MEDIA"/>
    <s v="MEDIA"/>
    <n v="64"/>
    <s v="cumple"/>
    <x v="4"/>
    <x v="2"/>
    <x v="510"/>
    <n v="2610"/>
    <x v="0"/>
  </r>
  <r>
    <x v="0"/>
    <x v="5"/>
    <x v="2"/>
    <x v="0"/>
    <x v="6"/>
    <x v="5"/>
    <x v="1"/>
    <x v="39"/>
    <x v="582"/>
    <x v="104"/>
    <x v="11"/>
    <x v="104"/>
    <x v="0"/>
    <x v="7"/>
    <x v="0"/>
    <x v="116"/>
    <x v="3"/>
    <x v="1"/>
    <s v="MEDIA"/>
    <s v="MEDIA"/>
    <n v="64"/>
    <s v="cumple"/>
    <x v="4"/>
    <x v="2"/>
    <x v="582"/>
    <n v="2320"/>
    <x v="0"/>
  </r>
  <r>
    <x v="0"/>
    <x v="5"/>
    <x v="2"/>
    <x v="0"/>
    <x v="6"/>
    <x v="5"/>
    <x v="1"/>
    <x v="39"/>
    <x v="583"/>
    <x v="105"/>
    <x v="0"/>
    <x v="105"/>
    <x v="5"/>
    <x v="7"/>
    <x v="0"/>
    <x v="116"/>
    <x v="3"/>
    <x v="1"/>
    <s v="MEDIA"/>
    <s v="MEDIA"/>
    <n v="64"/>
    <s v="cumple"/>
    <x v="4"/>
    <x v="2"/>
    <x v="583"/>
    <n v="2320"/>
    <x v="0"/>
  </r>
  <r>
    <x v="0"/>
    <x v="5"/>
    <x v="2"/>
    <x v="0"/>
    <x v="6"/>
    <x v="5"/>
    <x v="1"/>
    <x v="39"/>
    <x v="584"/>
    <x v="105"/>
    <x v="3"/>
    <x v="105"/>
    <x v="0"/>
    <x v="14"/>
    <x v="0"/>
    <x v="116"/>
    <x v="3"/>
    <x v="1"/>
    <s v="MEDIA"/>
    <s v="MEDIA"/>
    <n v="64"/>
    <s v="cumple"/>
    <x v="4"/>
    <x v="2"/>
    <x v="584"/>
    <n v="2610"/>
    <x v="0"/>
  </r>
  <r>
    <x v="0"/>
    <x v="5"/>
    <x v="2"/>
    <x v="0"/>
    <x v="6"/>
    <x v="5"/>
    <x v="1"/>
    <x v="39"/>
    <x v="568"/>
    <x v="106"/>
    <x v="0"/>
    <x v="106"/>
    <x v="5"/>
    <x v="7"/>
    <x v="0"/>
    <x v="116"/>
    <x v="3"/>
    <x v="1"/>
    <s v="MEDIA"/>
    <s v="MEDIA"/>
    <n v="64"/>
    <s v="cumple"/>
    <x v="4"/>
    <x v="2"/>
    <x v="568"/>
    <n v="2320"/>
    <x v="0"/>
  </r>
  <r>
    <x v="0"/>
    <x v="5"/>
    <x v="2"/>
    <x v="0"/>
    <x v="6"/>
    <x v="5"/>
    <x v="1"/>
    <x v="39"/>
    <x v="561"/>
    <x v="106"/>
    <x v="3"/>
    <x v="106"/>
    <x v="0"/>
    <x v="14"/>
    <x v="0"/>
    <x v="116"/>
    <x v="3"/>
    <x v="1"/>
    <s v="MEDIA"/>
    <s v="MEDIA"/>
    <n v="64"/>
    <s v="cumple"/>
    <x v="4"/>
    <x v="2"/>
    <x v="561"/>
    <n v="2610"/>
    <x v="0"/>
  </r>
  <r>
    <x v="2"/>
    <x v="6"/>
    <x v="0"/>
    <x v="0"/>
    <x v="2"/>
    <x v="1"/>
    <x v="4"/>
    <x v="68"/>
    <x v="585"/>
    <x v="86"/>
    <x v="0"/>
    <x v="86"/>
    <x v="9"/>
    <x v="6"/>
    <x v="1"/>
    <x v="110"/>
    <x v="10"/>
    <x v="5"/>
    <s v="MEDIA"/>
    <s v="MEDIA"/>
    <n v="64"/>
    <s v="cumple"/>
    <x v="4"/>
    <x v="0"/>
    <x v="585"/>
    <n v="4640"/>
    <x v="0"/>
  </r>
  <r>
    <x v="2"/>
    <x v="6"/>
    <x v="0"/>
    <x v="0"/>
    <x v="2"/>
    <x v="1"/>
    <x v="4"/>
    <x v="68"/>
    <x v="585"/>
    <x v="87"/>
    <x v="0"/>
    <x v="87"/>
    <x v="9"/>
    <x v="6"/>
    <x v="1"/>
    <x v="110"/>
    <x v="10"/>
    <x v="5"/>
    <s v="MEDIA"/>
    <s v="MEDIA"/>
    <n v="64"/>
    <s v="cumple"/>
    <x v="4"/>
    <x v="0"/>
    <x v="585"/>
    <n v="4640"/>
    <x v="0"/>
  </r>
  <r>
    <x v="2"/>
    <x v="6"/>
    <x v="0"/>
    <x v="0"/>
    <x v="2"/>
    <x v="1"/>
    <x v="4"/>
    <x v="68"/>
    <x v="585"/>
    <x v="88"/>
    <x v="0"/>
    <x v="88"/>
    <x v="9"/>
    <x v="6"/>
    <x v="0"/>
    <x v="110"/>
    <x v="10"/>
    <x v="5"/>
    <s v="MEDIA"/>
    <s v="MEDIA"/>
    <n v="64"/>
    <s v="cumple"/>
    <x v="4"/>
    <x v="0"/>
    <x v="585"/>
    <n v="4640"/>
    <x v="0"/>
  </r>
  <r>
    <x v="2"/>
    <x v="6"/>
    <x v="0"/>
    <x v="0"/>
    <x v="2"/>
    <x v="1"/>
    <x v="4"/>
    <x v="68"/>
    <x v="586"/>
    <x v="89"/>
    <x v="0"/>
    <x v="89"/>
    <x v="9"/>
    <x v="6"/>
    <x v="1"/>
    <x v="110"/>
    <x v="10"/>
    <x v="5"/>
    <s v="MEDIA"/>
    <s v="MEDIA"/>
    <n v="64"/>
    <s v="cumple"/>
    <x v="4"/>
    <x v="0"/>
    <x v="586"/>
    <n v="4640"/>
    <x v="0"/>
  </r>
  <r>
    <x v="2"/>
    <x v="6"/>
    <x v="0"/>
    <x v="0"/>
    <x v="2"/>
    <x v="1"/>
    <x v="4"/>
    <x v="68"/>
    <x v="586"/>
    <x v="90"/>
    <x v="0"/>
    <x v="90"/>
    <x v="9"/>
    <x v="6"/>
    <x v="1"/>
    <x v="110"/>
    <x v="10"/>
    <x v="5"/>
    <s v="MEDIA"/>
    <s v="MEDIA"/>
    <n v="64"/>
    <s v="cumple"/>
    <x v="4"/>
    <x v="0"/>
    <x v="586"/>
    <n v="4640"/>
    <x v="0"/>
  </r>
  <r>
    <x v="2"/>
    <x v="6"/>
    <x v="0"/>
    <x v="0"/>
    <x v="2"/>
    <x v="1"/>
    <x v="4"/>
    <x v="68"/>
    <x v="586"/>
    <x v="91"/>
    <x v="0"/>
    <x v="91"/>
    <x v="9"/>
    <x v="6"/>
    <x v="1"/>
    <x v="110"/>
    <x v="10"/>
    <x v="5"/>
    <s v="MEDIA"/>
    <s v="MEDIA"/>
    <n v="64"/>
    <s v="cumple"/>
    <x v="4"/>
    <x v="0"/>
    <x v="586"/>
    <n v="4640"/>
    <x v="0"/>
  </r>
  <r>
    <x v="2"/>
    <x v="6"/>
    <x v="0"/>
    <x v="0"/>
    <x v="2"/>
    <x v="1"/>
    <x v="4"/>
    <x v="68"/>
    <x v="586"/>
    <x v="92"/>
    <x v="0"/>
    <x v="92"/>
    <x v="9"/>
    <x v="6"/>
    <x v="1"/>
    <x v="110"/>
    <x v="10"/>
    <x v="5"/>
    <s v="MEDIA"/>
    <s v="MEDIA"/>
    <n v="64"/>
    <s v="cumple"/>
    <x v="4"/>
    <x v="0"/>
    <x v="586"/>
    <n v="4640"/>
    <x v="0"/>
  </r>
  <r>
    <x v="2"/>
    <x v="6"/>
    <x v="0"/>
    <x v="0"/>
    <x v="2"/>
    <x v="1"/>
    <x v="4"/>
    <x v="68"/>
    <x v="586"/>
    <x v="93"/>
    <x v="0"/>
    <x v="93"/>
    <x v="9"/>
    <x v="6"/>
    <x v="0"/>
    <x v="110"/>
    <x v="10"/>
    <x v="5"/>
    <s v="MEDIA"/>
    <s v="MEDIA"/>
    <n v="64"/>
    <s v="cumple"/>
    <x v="4"/>
    <x v="0"/>
    <x v="586"/>
    <n v="4640"/>
    <x v="0"/>
  </r>
  <r>
    <x v="2"/>
    <x v="6"/>
    <x v="0"/>
    <x v="0"/>
    <x v="2"/>
    <x v="1"/>
    <x v="4"/>
    <x v="68"/>
    <x v="587"/>
    <x v="94"/>
    <x v="0"/>
    <x v="94"/>
    <x v="9"/>
    <x v="6"/>
    <x v="0"/>
    <x v="110"/>
    <x v="10"/>
    <x v="5"/>
    <s v="MEDIA"/>
    <s v="MEDIA"/>
    <n v="64"/>
    <s v="cumple"/>
    <x v="4"/>
    <x v="0"/>
    <x v="587"/>
    <n v="4640"/>
    <x v="0"/>
  </r>
  <r>
    <x v="0"/>
    <x v="8"/>
    <x v="4"/>
    <x v="0"/>
    <x v="15"/>
    <x v="1"/>
    <x v="0"/>
    <x v="175"/>
    <x v="588"/>
    <x v="86"/>
    <x v="0"/>
    <x v="86"/>
    <x v="0"/>
    <x v="0"/>
    <x v="1"/>
    <x v="70"/>
    <x v="1"/>
    <x v="0"/>
    <s v="MEDIA"/>
    <s v="MEDIA"/>
    <n v="64"/>
    <s v="cumple"/>
    <x v="4"/>
    <x v="4"/>
    <x v="588"/>
    <n v="6496"/>
    <x v="0"/>
  </r>
  <r>
    <x v="0"/>
    <x v="8"/>
    <x v="4"/>
    <x v="0"/>
    <x v="15"/>
    <x v="1"/>
    <x v="0"/>
    <x v="175"/>
    <x v="588"/>
    <x v="87"/>
    <x v="0"/>
    <x v="87"/>
    <x v="0"/>
    <x v="0"/>
    <x v="1"/>
    <x v="70"/>
    <x v="1"/>
    <x v="0"/>
    <s v="MEDIA"/>
    <s v="MEDIA"/>
    <n v="64"/>
    <s v="cumple"/>
    <x v="4"/>
    <x v="4"/>
    <x v="588"/>
    <n v="6496"/>
    <x v="0"/>
  </r>
  <r>
    <x v="0"/>
    <x v="8"/>
    <x v="4"/>
    <x v="0"/>
    <x v="15"/>
    <x v="1"/>
    <x v="0"/>
    <x v="175"/>
    <x v="588"/>
    <x v="88"/>
    <x v="0"/>
    <x v="88"/>
    <x v="0"/>
    <x v="0"/>
    <x v="0"/>
    <x v="70"/>
    <x v="1"/>
    <x v="0"/>
    <s v="MEDIA"/>
    <s v="MEDIA"/>
    <n v="64"/>
    <s v="cumple"/>
    <x v="4"/>
    <x v="4"/>
    <x v="588"/>
    <n v="6496"/>
    <x v="0"/>
  </r>
  <r>
    <x v="0"/>
    <x v="8"/>
    <x v="4"/>
    <x v="0"/>
    <x v="1"/>
    <x v="1"/>
    <x v="0"/>
    <x v="176"/>
    <x v="589"/>
    <x v="89"/>
    <x v="0"/>
    <x v="89"/>
    <x v="0"/>
    <x v="0"/>
    <x v="1"/>
    <x v="42"/>
    <x v="1"/>
    <x v="0"/>
    <s v="MEDIA"/>
    <s v="MEDIA"/>
    <n v="64"/>
    <s v="cumple"/>
    <x v="4"/>
    <x v="4"/>
    <x v="589"/>
    <n v="6496"/>
    <x v="0"/>
  </r>
  <r>
    <x v="0"/>
    <x v="8"/>
    <x v="4"/>
    <x v="0"/>
    <x v="1"/>
    <x v="1"/>
    <x v="0"/>
    <x v="176"/>
    <x v="589"/>
    <x v="90"/>
    <x v="0"/>
    <x v="90"/>
    <x v="0"/>
    <x v="0"/>
    <x v="0"/>
    <x v="42"/>
    <x v="1"/>
    <x v="0"/>
    <s v="MEDIA"/>
    <s v="MEDIA"/>
    <n v="64"/>
    <s v="cumple"/>
    <x v="4"/>
    <x v="4"/>
    <x v="589"/>
    <n v="6496"/>
    <x v="0"/>
  </r>
  <r>
    <x v="0"/>
    <x v="8"/>
    <x v="4"/>
    <x v="0"/>
    <x v="1"/>
    <x v="1"/>
    <x v="0"/>
    <x v="177"/>
    <x v="590"/>
    <x v="91"/>
    <x v="0"/>
    <x v="91"/>
    <x v="0"/>
    <x v="0"/>
    <x v="0"/>
    <x v="42"/>
    <x v="1"/>
    <x v="0"/>
    <s v="MEDIA"/>
    <s v="MEDIA"/>
    <n v="64"/>
    <s v="cumple"/>
    <x v="4"/>
    <x v="4"/>
    <x v="590"/>
    <n v="6496"/>
    <x v="0"/>
  </r>
  <r>
    <x v="0"/>
    <x v="8"/>
    <x v="4"/>
    <x v="0"/>
    <x v="1"/>
    <x v="1"/>
    <x v="0"/>
    <x v="178"/>
    <x v="591"/>
    <x v="92"/>
    <x v="0"/>
    <x v="92"/>
    <x v="0"/>
    <x v="0"/>
    <x v="0"/>
    <x v="42"/>
    <x v="1"/>
    <x v="0"/>
    <s v="MEDIA"/>
    <s v="MEDIA"/>
    <n v="64"/>
    <s v="cumple"/>
    <x v="4"/>
    <x v="4"/>
    <x v="591"/>
    <n v="6496"/>
    <x v="0"/>
  </r>
  <r>
    <x v="0"/>
    <x v="8"/>
    <x v="4"/>
    <x v="0"/>
    <x v="1"/>
    <x v="1"/>
    <x v="0"/>
    <x v="179"/>
    <x v="592"/>
    <x v="93"/>
    <x v="0"/>
    <x v="93"/>
    <x v="0"/>
    <x v="0"/>
    <x v="0"/>
    <x v="42"/>
    <x v="1"/>
    <x v="0"/>
    <s v="MEDIA"/>
    <s v="MEDIA"/>
    <n v="64"/>
    <s v="cumple"/>
    <x v="4"/>
    <x v="4"/>
    <x v="592"/>
    <n v="6496"/>
    <x v="0"/>
  </r>
  <r>
    <x v="0"/>
    <x v="8"/>
    <x v="4"/>
    <x v="0"/>
    <x v="1"/>
    <x v="1"/>
    <x v="0"/>
    <x v="179"/>
    <x v="593"/>
    <x v="94"/>
    <x v="0"/>
    <x v="94"/>
    <x v="0"/>
    <x v="0"/>
    <x v="0"/>
    <x v="42"/>
    <x v="1"/>
    <x v="0"/>
    <s v="MEDIA"/>
    <s v="MEDIA"/>
    <n v="64"/>
    <s v="cumple"/>
    <x v="4"/>
    <x v="4"/>
    <x v="593"/>
    <n v="6496"/>
    <x v="0"/>
  </r>
  <r>
    <x v="0"/>
    <x v="8"/>
    <x v="4"/>
    <x v="0"/>
    <x v="1"/>
    <x v="1"/>
    <x v="0"/>
    <x v="179"/>
    <x v="594"/>
    <x v="95"/>
    <x v="0"/>
    <x v="95"/>
    <x v="0"/>
    <x v="0"/>
    <x v="0"/>
    <x v="42"/>
    <x v="1"/>
    <x v="0"/>
    <s v="MEDIA"/>
    <s v="MEDIA"/>
    <n v="64"/>
    <s v="cumple"/>
    <x v="4"/>
    <x v="4"/>
    <x v="594"/>
    <n v="6496"/>
    <x v="0"/>
  </r>
  <r>
    <x v="0"/>
    <x v="8"/>
    <x v="4"/>
    <x v="0"/>
    <x v="1"/>
    <x v="1"/>
    <x v="0"/>
    <x v="179"/>
    <x v="595"/>
    <x v="96"/>
    <x v="0"/>
    <x v="96"/>
    <x v="0"/>
    <x v="0"/>
    <x v="1"/>
    <x v="42"/>
    <x v="1"/>
    <x v="0"/>
    <s v="MEDIA"/>
    <s v="MEDIA"/>
    <n v="64"/>
    <s v="cumple"/>
    <x v="4"/>
    <x v="4"/>
    <x v="595"/>
    <n v="6496"/>
    <x v="0"/>
  </r>
  <r>
    <x v="0"/>
    <x v="8"/>
    <x v="4"/>
    <x v="0"/>
    <x v="1"/>
    <x v="1"/>
    <x v="0"/>
    <x v="179"/>
    <x v="595"/>
    <x v="97"/>
    <x v="0"/>
    <x v="97"/>
    <x v="0"/>
    <x v="0"/>
    <x v="0"/>
    <x v="42"/>
    <x v="1"/>
    <x v="0"/>
    <s v="MEDIA"/>
    <s v="MEDIA"/>
    <n v="64"/>
    <s v="cumple"/>
    <x v="4"/>
    <x v="4"/>
    <x v="595"/>
    <n v="6496"/>
    <x v="0"/>
  </r>
  <r>
    <x v="0"/>
    <x v="1"/>
    <x v="4"/>
    <x v="0"/>
    <x v="9"/>
    <x v="1"/>
    <x v="0"/>
    <x v="180"/>
    <x v="596"/>
    <x v="86"/>
    <x v="0"/>
    <x v="86"/>
    <x v="5"/>
    <x v="7"/>
    <x v="0"/>
    <x v="64"/>
    <x v="9"/>
    <x v="4"/>
    <s v="MEDIA"/>
    <s v="MEDIA"/>
    <n v="64"/>
    <s v="cumple"/>
    <x v="4"/>
    <x v="4"/>
    <x v="596"/>
    <n v="2320"/>
    <x v="0"/>
  </r>
  <r>
    <x v="0"/>
    <x v="1"/>
    <x v="4"/>
    <x v="0"/>
    <x v="9"/>
    <x v="1"/>
    <x v="0"/>
    <x v="180"/>
    <x v="597"/>
    <x v="86"/>
    <x v="3"/>
    <x v="86"/>
    <x v="0"/>
    <x v="7"/>
    <x v="0"/>
    <x v="64"/>
    <x v="9"/>
    <x v="4"/>
    <s v="MEDIA"/>
    <s v="MEDIA"/>
    <n v="64"/>
    <s v="cumple"/>
    <x v="4"/>
    <x v="4"/>
    <x v="597"/>
    <n v="2320"/>
    <x v="0"/>
  </r>
  <r>
    <x v="0"/>
    <x v="1"/>
    <x v="4"/>
    <x v="0"/>
    <x v="9"/>
    <x v="1"/>
    <x v="0"/>
    <x v="181"/>
    <x v="598"/>
    <x v="87"/>
    <x v="0"/>
    <x v="87"/>
    <x v="5"/>
    <x v="7"/>
    <x v="0"/>
    <x v="64"/>
    <x v="9"/>
    <x v="4"/>
    <s v="MEDIA"/>
    <s v="MEDIA"/>
    <n v="64"/>
    <s v="cumple"/>
    <x v="4"/>
    <x v="4"/>
    <x v="598"/>
    <n v="2320"/>
    <x v="0"/>
  </r>
  <r>
    <x v="0"/>
    <x v="1"/>
    <x v="4"/>
    <x v="0"/>
    <x v="9"/>
    <x v="1"/>
    <x v="0"/>
    <x v="182"/>
    <x v="599"/>
    <x v="87"/>
    <x v="3"/>
    <x v="87"/>
    <x v="2"/>
    <x v="4"/>
    <x v="0"/>
    <x v="64"/>
    <x v="9"/>
    <x v="4"/>
    <s v="MEDIA"/>
    <s v="MEDIA"/>
    <n v="64"/>
    <s v="cumple"/>
    <x v="4"/>
    <x v="4"/>
    <x v="599"/>
    <n v="1160"/>
    <x v="0"/>
  </r>
  <r>
    <x v="0"/>
    <x v="1"/>
    <x v="4"/>
    <x v="0"/>
    <x v="9"/>
    <x v="1"/>
    <x v="0"/>
    <x v="183"/>
    <x v="597"/>
    <x v="87"/>
    <x v="2"/>
    <x v="87"/>
    <x v="0"/>
    <x v="4"/>
    <x v="0"/>
    <x v="64"/>
    <x v="9"/>
    <x v="4"/>
    <s v="MEDIA"/>
    <s v="MEDIA"/>
    <n v="64"/>
    <s v="cumple"/>
    <x v="4"/>
    <x v="4"/>
    <x v="597"/>
    <n v="1160"/>
    <x v="0"/>
  </r>
  <r>
    <x v="0"/>
    <x v="1"/>
    <x v="4"/>
    <x v="0"/>
    <x v="9"/>
    <x v="1"/>
    <x v="0"/>
    <x v="182"/>
    <x v="599"/>
    <x v="88"/>
    <x v="0"/>
    <x v="88"/>
    <x v="5"/>
    <x v="7"/>
    <x v="0"/>
    <x v="64"/>
    <x v="9"/>
    <x v="4"/>
    <s v="MEDIA"/>
    <s v="MEDIA"/>
    <n v="64"/>
    <s v="cumple"/>
    <x v="4"/>
    <x v="4"/>
    <x v="599"/>
    <n v="2320"/>
    <x v="0"/>
  </r>
  <r>
    <x v="0"/>
    <x v="1"/>
    <x v="4"/>
    <x v="0"/>
    <x v="9"/>
    <x v="1"/>
    <x v="0"/>
    <x v="182"/>
    <x v="600"/>
    <x v="88"/>
    <x v="3"/>
    <x v="88"/>
    <x v="0"/>
    <x v="7"/>
    <x v="0"/>
    <x v="64"/>
    <x v="9"/>
    <x v="4"/>
    <s v="MEDIA"/>
    <s v="MEDIA"/>
    <n v="64"/>
    <s v="cumple"/>
    <x v="4"/>
    <x v="4"/>
    <x v="600"/>
    <n v="2320"/>
    <x v="0"/>
  </r>
  <r>
    <x v="0"/>
    <x v="1"/>
    <x v="4"/>
    <x v="0"/>
    <x v="9"/>
    <x v="1"/>
    <x v="0"/>
    <x v="182"/>
    <x v="601"/>
    <x v="89"/>
    <x v="0"/>
    <x v="89"/>
    <x v="4"/>
    <x v="5"/>
    <x v="0"/>
    <x v="64"/>
    <x v="9"/>
    <x v="4"/>
    <s v="MEDIA"/>
    <s v="MEDIA"/>
    <n v="64"/>
    <s v="cumple"/>
    <x v="4"/>
    <x v="4"/>
    <x v="601"/>
    <n v="1739.9999999999998"/>
    <x v="0"/>
  </r>
  <r>
    <x v="0"/>
    <x v="1"/>
    <x v="4"/>
    <x v="0"/>
    <x v="9"/>
    <x v="1"/>
    <x v="0"/>
    <x v="182"/>
    <x v="602"/>
    <x v="89"/>
    <x v="6"/>
    <x v="89"/>
    <x v="2"/>
    <x v="5"/>
    <x v="0"/>
    <x v="64"/>
    <x v="9"/>
    <x v="4"/>
    <s v="MEDIA"/>
    <s v="MEDIA"/>
    <n v="64"/>
    <s v="cumple"/>
    <x v="4"/>
    <x v="4"/>
    <x v="602"/>
    <n v="1739.9999999999998"/>
    <x v="0"/>
  </r>
  <r>
    <x v="0"/>
    <x v="1"/>
    <x v="4"/>
    <x v="0"/>
    <x v="9"/>
    <x v="1"/>
    <x v="0"/>
    <x v="182"/>
    <x v="603"/>
    <x v="89"/>
    <x v="2"/>
    <x v="89"/>
    <x v="0"/>
    <x v="4"/>
    <x v="0"/>
    <x v="64"/>
    <x v="9"/>
    <x v="4"/>
    <s v="MEDIA"/>
    <s v="MEDIA"/>
    <n v="64"/>
    <s v="cumple"/>
    <x v="4"/>
    <x v="4"/>
    <x v="603"/>
    <n v="1160"/>
    <x v="0"/>
  </r>
  <r>
    <x v="0"/>
    <x v="1"/>
    <x v="4"/>
    <x v="0"/>
    <x v="9"/>
    <x v="1"/>
    <x v="0"/>
    <x v="184"/>
    <x v="604"/>
    <x v="90"/>
    <x v="0"/>
    <x v="90"/>
    <x v="3"/>
    <x v="4"/>
    <x v="0"/>
    <x v="64"/>
    <x v="9"/>
    <x v="4"/>
    <s v="MEDIA"/>
    <s v="MEDIA"/>
    <n v="64"/>
    <s v="cumple"/>
    <x v="4"/>
    <x v="4"/>
    <x v="604"/>
    <n v="1160"/>
    <x v="0"/>
  </r>
  <r>
    <x v="0"/>
    <x v="1"/>
    <x v="4"/>
    <x v="0"/>
    <x v="9"/>
    <x v="1"/>
    <x v="0"/>
    <x v="184"/>
    <x v="605"/>
    <x v="90"/>
    <x v="4"/>
    <x v="90"/>
    <x v="2"/>
    <x v="7"/>
    <x v="0"/>
    <x v="64"/>
    <x v="9"/>
    <x v="4"/>
    <s v="MEDIA"/>
    <s v="MEDIA"/>
    <n v="64"/>
    <s v="cumple"/>
    <x v="4"/>
    <x v="4"/>
    <x v="605"/>
    <n v="2320"/>
    <x v="0"/>
  </r>
  <r>
    <x v="0"/>
    <x v="1"/>
    <x v="4"/>
    <x v="0"/>
    <x v="9"/>
    <x v="1"/>
    <x v="0"/>
    <x v="184"/>
    <x v="606"/>
    <x v="90"/>
    <x v="2"/>
    <x v="90"/>
    <x v="0"/>
    <x v="4"/>
    <x v="0"/>
    <x v="64"/>
    <x v="9"/>
    <x v="4"/>
    <s v="MEDIA"/>
    <s v="MEDIA"/>
    <n v="64"/>
    <s v="cumple"/>
    <x v="4"/>
    <x v="4"/>
    <x v="606"/>
    <n v="1160"/>
    <x v="0"/>
  </r>
  <r>
    <x v="0"/>
    <x v="1"/>
    <x v="4"/>
    <x v="0"/>
    <x v="9"/>
    <x v="1"/>
    <x v="0"/>
    <x v="184"/>
    <x v="607"/>
    <x v="91"/>
    <x v="0"/>
    <x v="91"/>
    <x v="4"/>
    <x v="5"/>
    <x v="0"/>
    <x v="64"/>
    <x v="9"/>
    <x v="4"/>
    <s v="MEDIA"/>
    <s v="MEDIA"/>
    <n v="64"/>
    <s v="cumple"/>
    <x v="4"/>
    <x v="4"/>
    <x v="607"/>
    <n v="1739.9999999999998"/>
    <x v="0"/>
  </r>
  <r>
    <x v="0"/>
    <x v="1"/>
    <x v="4"/>
    <x v="0"/>
    <x v="9"/>
    <x v="1"/>
    <x v="0"/>
    <x v="184"/>
    <x v="608"/>
    <x v="91"/>
    <x v="6"/>
    <x v="91"/>
    <x v="2"/>
    <x v="5"/>
    <x v="0"/>
    <x v="64"/>
    <x v="9"/>
    <x v="4"/>
    <s v="MEDIA"/>
    <s v="MEDIA"/>
    <n v="64"/>
    <s v="cumple"/>
    <x v="4"/>
    <x v="4"/>
    <x v="608"/>
    <n v="1739.9999999999998"/>
    <x v="0"/>
  </r>
  <r>
    <x v="0"/>
    <x v="1"/>
    <x v="4"/>
    <x v="0"/>
    <x v="9"/>
    <x v="1"/>
    <x v="0"/>
    <x v="185"/>
    <x v="609"/>
    <x v="91"/>
    <x v="2"/>
    <x v="91"/>
    <x v="0"/>
    <x v="4"/>
    <x v="0"/>
    <x v="64"/>
    <x v="9"/>
    <x v="4"/>
    <s v="MEDIA"/>
    <s v="MEDIA"/>
    <n v="64"/>
    <s v="cumple"/>
    <x v="4"/>
    <x v="4"/>
    <x v="609"/>
    <n v="1160"/>
    <x v="0"/>
  </r>
  <r>
    <x v="0"/>
    <x v="1"/>
    <x v="4"/>
    <x v="0"/>
    <x v="9"/>
    <x v="1"/>
    <x v="0"/>
    <x v="184"/>
    <x v="610"/>
    <x v="92"/>
    <x v="0"/>
    <x v="92"/>
    <x v="5"/>
    <x v="7"/>
    <x v="0"/>
    <x v="64"/>
    <x v="9"/>
    <x v="4"/>
    <s v="MEDIA"/>
    <s v="MEDIA"/>
    <n v="64"/>
    <s v="cumple"/>
    <x v="4"/>
    <x v="4"/>
    <x v="610"/>
    <n v="2320"/>
    <x v="0"/>
  </r>
  <r>
    <x v="0"/>
    <x v="1"/>
    <x v="4"/>
    <x v="0"/>
    <x v="9"/>
    <x v="1"/>
    <x v="0"/>
    <x v="184"/>
    <x v="611"/>
    <x v="92"/>
    <x v="3"/>
    <x v="92"/>
    <x v="9"/>
    <x v="2"/>
    <x v="0"/>
    <x v="64"/>
    <x v="9"/>
    <x v="4"/>
    <s v="MEDIA"/>
    <s v="MEDIA"/>
    <n v="64"/>
    <s v="cumple"/>
    <x v="4"/>
    <x v="4"/>
    <x v="611"/>
    <n v="580"/>
    <x v="0"/>
  </r>
  <r>
    <x v="0"/>
    <x v="1"/>
    <x v="4"/>
    <x v="0"/>
    <x v="9"/>
    <x v="1"/>
    <x v="0"/>
    <x v="184"/>
    <x v="612"/>
    <x v="92"/>
    <x v="7"/>
    <x v="92"/>
    <x v="0"/>
    <x v="5"/>
    <x v="0"/>
    <x v="64"/>
    <x v="9"/>
    <x v="4"/>
    <s v="MEDIA"/>
    <s v="MEDIA"/>
    <n v="64"/>
    <s v="cumple"/>
    <x v="4"/>
    <x v="4"/>
    <x v="612"/>
    <n v="1739.9999999999998"/>
    <x v="0"/>
  </r>
  <r>
    <x v="0"/>
    <x v="1"/>
    <x v="4"/>
    <x v="0"/>
    <x v="9"/>
    <x v="1"/>
    <x v="0"/>
    <x v="183"/>
    <x v="613"/>
    <x v="93"/>
    <x v="0"/>
    <x v="93"/>
    <x v="5"/>
    <x v="7"/>
    <x v="0"/>
    <x v="64"/>
    <x v="9"/>
    <x v="4"/>
    <s v="MEDIA"/>
    <s v="MEDIA"/>
    <n v="64"/>
    <s v="cumple"/>
    <x v="4"/>
    <x v="4"/>
    <x v="613"/>
    <n v="2320"/>
    <x v="0"/>
  </r>
  <r>
    <x v="0"/>
    <x v="1"/>
    <x v="4"/>
    <x v="0"/>
    <x v="9"/>
    <x v="1"/>
    <x v="0"/>
    <x v="186"/>
    <x v="614"/>
    <x v="93"/>
    <x v="3"/>
    <x v="93"/>
    <x v="9"/>
    <x v="2"/>
    <x v="0"/>
    <x v="64"/>
    <x v="9"/>
    <x v="4"/>
    <s v="MEDIA"/>
    <s v="MEDIA"/>
    <n v="64"/>
    <s v="cumple"/>
    <x v="4"/>
    <x v="4"/>
    <x v="614"/>
    <n v="580"/>
    <x v="0"/>
  </r>
  <r>
    <x v="0"/>
    <x v="1"/>
    <x v="4"/>
    <x v="0"/>
    <x v="9"/>
    <x v="1"/>
    <x v="0"/>
    <x v="183"/>
    <x v="615"/>
    <x v="93"/>
    <x v="7"/>
    <x v="93"/>
    <x v="0"/>
    <x v="5"/>
    <x v="0"/>
    <x v="64"/>
    <x v="9"/>
    <x v="4"/>
    <s v="MEDIA"/>
    <s v="MEDIA"/>
    <n v="64"/>
    <s v="cumple"/>
    <x v="4"/>
    <x v="4"/>
    <x v="615"/>
    <n v="1739.9999999999998"/>
    <x v="0"/>
  </r>
  <r>
    <x v="0"/>
    <x v="1"/>
    <x v="4"/>
    <x v="0"/>
    <x v="9"/>
    <x v="1"/>
    <x v="0"/>
    <x v="187"/>
    <x v="616"/>
    <x v="94"/>
    <x v="0"/>
    <x v="94"/>
    <x v="5"/>
    <x v="7"/>
    <x v="0"/>
    <x v="64"/>
    <x v="9"/>
    <x v="4"/>
    <s v="MEDIA"/>
    <s v="MEDIA"/>
    <n v="64"/>
    <s v="cumple"/>
    <x v="4"/>
    <x v="4"/>
    <x v="616"/>
    <n v="2320"/>
    <x v="0"/>
  </r>
  <r>
    <x v="0"/>
    <x v="1"/>
    <x v="4"/>
    <x v="0"/>
    <x v="9"/>
    <x v="1"/>
    <x v="0"/>
    <x v="187"/>
    <x v="617"/>
    <x v="94"/>
    <x v="3"/>
    <x v="94"/>
    <x v="0"/>
    <x v="7"/>
    <x v="0"/>
    <x v="64"/>
    <x v="9"/>
    <x v="4"/>
    <s v="MEDIA"/>
    <s v="MEDIA"/>
    <n v="64"/>
    <s v="cumple"/>
    <x v="4"/>
    <x v="4"/>
    <x v="617"/>
    <n v="2320"/>
    <x v="0"/>
  </r>
  <r>
    <x v="0"/>
    <x v="1"/>
    <x v="4"/>
    <x v="0"/>
    <x v="9"/>
    <x v="1"/>
    <x v="0"/>
    <x v="188"/>
    <x v="618"/>
    <x v="95"/>
    <x v="0"/>
    <x v="95"/>
    <x v="5"/>
    <x v="7"/>
    <x v="0"/>
    <x v="64"/>
    <x v="9"/>
    <x v="4"/>
    <s v="MEDIA"/>
    <s v="MEDIA"/>
    <n v="64"/>
    <s v="cumple"/>
    <x v="4"/>
    <x v="4"/>
    <x v="618"/>
    <n v="2320"/>
    <x v="0"/>
  </r>
  <r>
    <x v="0"/>
    <x v="1"/>
    <x v="4"/>
    <x v="0"/>
    <x v="9"/>
    <x v="1"/>
    <x v="0"/>
    <x v="188"/>
    <x v="619"/>
    <x v="95"/>
    <x v="3"/>
    <x v="95"/>
    <x v="0"/>
    <x v="7"/>
    <x v="0"/>
    <x v="64"/>
    <x v="9"/>
    <x v="4"/>
    <s v="MEDIA"/>
    <s v="MEDIA"/>
    <n v="64"/>
    <s v="cumple"/>
    <x v="4"/>
    <x v="4"/>
    <x v="619"/>
    <n v="2320"/>
    <x v="0"/>
  </r>
  <r>
    <x v="0"/>
    <x v="1"/>
    <x v="4"/>
    <x v="0"/>
    <x v="9"/>
    <x v="1"/>
    <x v="0"/>
    <x v="188"/>
    <x v="620"/>
    <x v="96"/>
    <x v="0"/>
    <x v="96"/>
    <x v="8"/>
    <x v="2"/>
    <x v="0"/>
    <x v="64"/>
    <x v="9"/>
    <x v="4"/>
    <s v="MEDIA"/>
    <s v="MEDIA"/>
    <n v="64"/>
    <s v="cumple"/>
    <x v="4"/>
    <x v="4"/>
    <x v="620"/>
    <n v="580"/>
    <x v="0"/>
  </r>
  <r>
    <x v="0"/>
    <x v="1"/>
    <x v="4"/>
    <x v="0"/>
    <x v="9"/>
    <x v="1"/>
    <x v="0"/>
    <x v="187"/>
    <x v="621"/>
    <x v="96"/>
    <x v="8"/>
    <x v="96"/>
    <x v="3"/>
    <x v="2"/>
    <x v="0"/>
    <x v="64"/>
    <x v="9"/>
    <x v="4"/>
    <s v="MEDIA"/>
    <s v="MEDIA"/>
    <n v="64"/>
    <s v="cumple"/>
    <x v="4"/>
    <x v="4"/>
    <x v="621"/>
    <n v="580"/>
    <x v="0"/>
  </r>
  <r>
    <x v="0"/>
    <x v="1"/>
    <x v="4"/>
    <x v="0"/>
    <x v="9"/>
    <x v="1"/>
    <x v="0"/>
    <x v="184"/>
    <x v="622"/>
    <x v="96"/>
    <x v="4"/>
    <x v="96"/>
    <x v="4"/>
    <x v="2"/>
    <x v="0"/>
    <x v="64"/>
    <x v="9"/>
    <x v="4"/>
    <s v="MEDIA"/>
    <s v="MEDIA"/>
    <n v="64"/>
    <s v="cumple"/>
    <x v="4"/>
    <x v="4"/>
    <x v="622"/>
    <n v="580"/>
    <x v="0"/>
  </r>
  <r>
    <x v="0"/>
    <x v="1"/>
    <x v="4"/>
    <x v="0"/>
    <x v="9"/>
    <x v="1"/>
    <x v="0"/>
    <x v="183"/>
    <x v="623"/>
    <x v="96"/>
    <x v="6"/>
    <x v="96"/>
    <x v="5"/>
    <x v="2"/>
    <x v="0"/>
    <x v="64"/>
    <x v="9"/>
    <x v="4"/>
    <s v="MEDIA"/>
    <s v="MEDIA"/>
    <n v="64"/>
    <s v="cumple"/>
    <x v="4"/>
    <x v="4"/>
    <x v="623"/>
    <n v="580"/>
    <x v="0"/>
  </r>
  <r>
    <x v="0"/>
    <x v="1"/>
    <x v="4"/>
    <x v="0"/>
    <x v="9"/>
    <x v="1"/>
    <x v="0"/>
    <x v="183"/>
    <x v="624"/>
    <x v="96"/>
    <x v="3"/>
    <x v="96"/>
    <x v="1"/>
    <x v="5"/>
    <x v="0"/>
    <x v="64"/>
    <x v="9"/>
    <x v="4"/>
    <s v="MEDIA"/>
    <s v="MEDIA"/>
    <n v="64"/>
    <s v="cumple"/>
    <x v="4"/>
    <x v="4"/>
    <x v="624"/>
    <n v="1739.9999999999998"/>
    <x v="0"/>
  </r>
  <r>
    <x v="0"/>
    <x v="1"/>
    <x v="4"/>
    <x v="0"/>
    <x v="9"/>
    <x v="1"/>
    <x v="0"/>
    <x v="184"/>
    <x v="625"/>
    <x v="96"/>
    <x v="1"/>
    <x v="96"/>
    <x v="0"/>
    <x v="2"/>
    <x v="0"/>
    <x v="64"/>
    <x v="9"/>
    <x v="4"/>
    <s v="MEDIA"/>
    <s v="MEDIA"/>
    <n v="64"/>
    <s v="cumple"/>
    <x v="4"/>
    <x v="4"/>
    <x v="625"/>
    <n v="580"/>
    <x v="0"/>
  </r>
  <r>
    <x v="0"/>
    <x v="1"/>
    <x v="4"/>
    <x v="0"/>
    <x v="9"/>
    <x v="1"/>
    <x v="0"/>
    <x v="184"/>
    <x v="626"/>
    <x v="97"/>
    <x v="0"/>
    <x v="97"/>
    <x v="4"/>
    <x v="5"/>
    <x v="0"/>
    <x v="64"/>
    <x v="9"/>
    <x v="4"/>
    <s v="MEDIA"/>
    <s v="MEDIA"/>
    <n v="64"/>
    <s v="cumple"/>
    <x v="4"/>
    <x v="4"/>
    <x v="626"/>
    <n v="1739.9999999999998"/>
    <x v="0"/>
  </r>
  <r>
    <x v="0"/>
    <x v="1"/>
    <x v="4"/>
    <x v="0"/>
    <x v="9"/>
    <x v="1"/>
    <x v="0"/>
    <x v="189"/>
    <x v="627"/>
    <x v="97"/>
    <x v="6"/>
    <x v="97"/>
    <x v="2"/>
    <x v="5"/>
    <x v="0"/>
    <x v="64"/>
    <x v="9"/>
    <x v="4"/>
    <s v="MEDIA"/>
    <s v="MEDIA"/>
    <n v="64"/>
    <s v="cumple"/>
    <x v="4"/>
    <x v="4"/>
    <x v="627"/>
    <n v="1739.9999999999998"/>
    <x v="0"/>
  </r>
  <r>
    <x v="0"/>
    <x v="1"/>
    <x v="4"/>
    <x v="0"/>
    <x v="9"/>
    <x v="1"/>
    <x v="0"/>
    <x v="190"/>
    <x v="628"/>
    <x v="97"/>
    <x v="2"/>
    <x v="97"/>
    <x v="0"/>
    <x v="4"/>
    <x v="0"/>
    <x v="64"/>
    <x v="9"/>
    <x v="4"/>
    <s v="MEDIA"/>
    <s v="MEDIA"/>
    <n v="64"/>
    <s v="cumple"/>
    <x v="4"/>
    <x v="4"/>
    <x v="628"/>
    <n v="1160"/>
    <x v="0"/>
  </r>
  <r>
    <x v="0"/>
    <x v="1"/>
    <x v="4"/>
    <x v="0"/>
    <x v="9"/>
    <x v="1"/>
    <x v="0"/>
    <x v="190"/>
    <x v="629"/>
    <x v="98"/>
    <x v="0"/>
    <x v="98"/>
    <x v="5"/>
    <x v="7"/>
    <x v="0"/>
    <x v="64"/>
    <x v="9"/>
    <x v="4"/>
    <s v="MEDIA"/>
    <s v="MEDIA"/>
    <n v="64"/>
    <s v="cumple"/>
    <x v="4"/>
    <x v="4"/>
    <x v="629"/>
    <n v="2320"/>
    <x v="0"/>
  </r>
  <r>
    <x v="0"/>
    <x v="1"/>
    <x v="4"/>
    <x v="0"/>
    <x v="9"/>
    <x v="1"/>
    <x v="0"/>
    <x v="190"/>
    <x v="630"/>
    <x v="98"/>
    <x v="3"/>
    <x v="98"/>
    <x v="0"/>
    <x v="7"/>
    <x v="0"/>
    <x v="64"/>
    <x v="9"/>
    <x v="4"/>
    <s v="MEDIA"/>
    <s v="MEDIA"/>
    <n v="64"/>
    <s v="cumple"/>
    <x v="4"/>
    <x v="4"/>
    <x v="630"/>
    <n v="2320"/>
    <x v="0"/>
  </r>
  <r>
    <x v="0"/>
    <x v="1"/>
    <x v="4"/>
    <x v="0"/>
    <x v="9"/>
    <x v="1"/>
    <x v="0"/>
    <x v="190"/>
    <x v="631"/>
    <x v="99"/>
    <x v="0"/>
    <x v="99"/>
    <x v="5"/>
    <x v="7"/>
    <x v="0"/>
    <x v="64"/>
    <x v="9"/>
    <x v="4"/>
    <s v="MEDIA"/>
    <s v="MEDIA"/>
    <n v="64"/>
    <s v="cumple"/>
    <x v="4"/>
    <x v="4"/>
    <x v="631"/>
    <n v="2320"/>
    <x v="0"/>
  </r>
  <r>
    <x v="0"/>
    <x v="1"/>
    <x v="4"/>
    <x v="0"/>
    <x v="9"/>
    <x v="1"/>
    <x v="0"/>
    <x v="190"/>
    <x v="632"/>
    <x v="99"/>
    <x v="3"/>
    <x v="99"/>
    <x v="0"/>
    <x v="7"/>
    <x v="0"/>
    <x v="64"/>
    <x v="9"/>
    <x v="4"/>
    <s v="MEDIA"/>
    <s v="MEDIA"/>
    <n v="64"/>
    <s v="cumple"/>
    <x v="4"/>
    <x v="4"/>
    <x v="632"/>
    <n v="2320"/>
    <x v="0"/>
  </r>
  <r>
    <x v="0"/>
    <x v="1"/>
    <x v="4"/>
    <x v="0"/>
    <x v="9"/>
    <x v="1"/>
    <x v="0"/>
    <x v="190"/>
    <x v="633"/>
    <x v="100"/>
    <x v="0"/>
    <x v="100"/>
    <x v="5"/>
    <x v="7"/>
    <x v="0"/>
    <x v="64"/>
    <x v="9"/>
    <x v="4"/>
    <s v="MEDIA"/>
    <s v="MEDIA"/>
    <n v="64"/>
    <s v="cumple"/>
    <x v="4"/>
    <x v="4"/>
    <x v="633"/>
    <n v="2320"/>
    <x v="0"/>
  </r>
  <r>
    <x v="0"/>
    <x v="1"/>
    <x v="4"/>
    <x v="0"/>
    <x v="9"/>
    <x v="1"/>
    <x v="0"/>
    <x v="190"/>
    <x v="634"/>
    <x v="100"/>
    <x v="3"/>
    <x v="100"/>
    <x v="0"/>
    <x v="7"/>
    <x v="0"/>
    <x v="64"/>
    <x v="9"/>
    <x v="4"/>
    <s v="MEDIA"/>
    <s v="MEDIA"/>
    <n v="64"/>
    <s v="cumple"/>
    <x v="4"/>
    <x v="4"/>
    <x v="634"/>
    <n v="2320"/>
    <x v="0"/>
  </r>
  <r>
    <x v="0"/>
    <x v="10"/>
    <x v="2"/>
    <x v="0"/>
    <x v="6"/>
    <x v="5"/>
    <x v="1"/>
    <x v="39"/>
    <x v="635"/>
    <x v="107"/>
    <x v="0"/>
    <x v="107"/>
    <x v="15"/>
    <x v="12"/>
    <x v="0"/>
    <x v="123"/>
    <x v="3"/>
    <x v="1"/>
    <s v="MEDIA"/>
    <s v="MEDIA"/>
    <n v="64"/>
    <s v="cumple"/>
    <x v="5"/>
    <x v="2"/>
    <x v="635"/>
    <n v="1450"/>
    <x v="0"/>
  </r>
  <r>
    <x v="0"/>
    <x v="10"/>
    <x v="2"/>
    <x v="0"/>
    <x v="6"/>
    <x v="5"/>
    <x v="1"/>
    <x v="39"/>
    <x v="636"/>
    <x v="107"/>
    <x v="12"/>
    <x v="107"/>
    <x v="12"/>
    <x v="5"/>
    <x v="0"/>
    <x v="124"/>
    <x v="3"/>
    <x v="1"/>
    <s v="MEDIA"/>
    <s v="MEDIA"/>
    <n v="64"/>
    <s v="cumple"/>
    <x v="5"/>
    <x v="2"/>
    <x v="636"/>
    <n v="1739.9999999999998"/>
    <x v="0"/>
  </r>
  <r>
    <x v="0"/>
    <x v="10"/>
    <x v="2"/>
    <x v="0"/>
    <x v="6"/>
    <x v="5"/>
    <x v="1"/>
    <x v="39"/>
    <x v="637"/>
    <x v="107"/>
    <x v="7"/>
    <x v="107"/>
    <x v="0"/>
    <x v="5"/>
    <x v="0"/>
    <x v="125"/>
    <x v="3"/>
    <x v="1"/>
    <s v="MEDIA"/>
    <s v="MEDIA"/>
    <n v="64"/>
    <s v="cumple"/>
    <x v="5"/>
    <x v="2"/>
    <x v="637"/>
    <n v="1739.9999999999998"/>
    <x v="0"/>
  </r>
  <r>
    <x v="0"/>
    <x v="10"/>
    <x v="2"/>
    <x v="0"/>
    <x v="6"/>
    <x v="5"/>
    <x v="1"/>
    <x v="39"/>
    <x v="638"/>
    <x v="108"/>
    <x v="0"/>
    <x v="108"/>
    <x v="4"/>
    <x v="5"/>
    <x v="0"/>
    <x v="126"/>
    <x v="3"/>
    <x v="1"/>
    <s v="MEDIA"/>
    <s v="MEDIA"/>
    <n v="64"/>
    <s v="cumple"/>
    <x v="5"/>
    <x v="2"/>
    <x v="638"/>
    <n v="1739.9999999999998"/>
    <x v="0"/>
  </r>
  <r>
    <x v="0"/>
    <x v="10"/>
    <x v="2"/>
    <x v="0"/>
    <x v="6"/>
    <x v="5"/>
    <x v="1"/>
    <x v="39"/>
    <x v="639"/>
    <x v="108"/>
    <x v="6"/>
    <x v="108"/>
    <x v="7"/>
    <x v="5"/>
    <x v="0"/>
    <x v="124"/>
    <x v="3"/>
    <x v="1"/>
    <s v="MEDIA"/>
    <s v="MEDIA"/>
    <n v="64"/>
    <s v="cumple"/>
    <x v="5"/>
    <x v="2"/>
    <x v="639"/>
    <n v="1739.9999999999998"/>
    <x v="0"/>
  </r>
  <r>
    <x v="0"/>
    <x v="10"/>
    <x v="2"/>
    <x v="0"/>
    <x v="6"/>
    <x v="5"/>
    <x v="1"/>
    <x v="39"/>
    <x v="640"/>
    <x v="109"/>
    <x v="0"/>
    <x v="109"/>
    <x v="4"/>
    <x v="5"/>
    <x v="0"/>
    <x v="127"/>
    <x v="3"/>
    <x v="1"/>
    <s v="MEDIA"/>
    <s v="MEDIA"/>
    <n v="64"/>
    <s v="cumple"/>
    <x v="5"/>
    <x v="2"/>
    <x v="640"/>
    <n v="1739.9999999999998"/>
    <x v="0"/>
  </r>
  <r>
    <x v="0"/>
    <x v="5"/>
    <x v="2"/>
    <x v="0"/>
    <x v="6"/>
    <x v="5"/>
    <x v="1"/>
    <x v="39"/>
    <x v="641"/>
    <x v="109"/>
    <x v="6"/>
    <x v="109"/>
    <x v="9"/>
    <x v="4"/>
    <x v="0"/>
    <x v="128"/>
    <x v="3"/>
    <x v="1"/>
    <s v="MEDIA"/>
    <s v="MEDIA"/>
    <n v="64"/>
    <s v="cumple"/>
    <x v="5"/>
    <x v="2"/>
    <x v="641"/>
    <n v="1160"/>
    <x v="0"/>
  </r>
  <r>
    <x v="0"/>
    <x v="5"/>
    <x v="2"/>
    <x v="0"/>
    <x v="6"/>
    <x v="5"/>
    <x v="1"/>
    <x v="39"/>
    <x v="642"/>
    <x v="109"/>
    <x v="9"/>
    <x v="109"/>
    <x v="0"/>
    <x v="13"/>
    <x v="0"/>
    <x v="127"/>
    <x v="3"/>
    <x v="1"/>
    <s v="MEDIA"/>
    <s v="MEDIA"/>
    <n v="64"/>
    <s v="cumple"/>
    <x v="5"/>
    <x v="2"/>
    <x v="642"/>
    <n v="2029.9999999999998"/>
    <x v="0"/>
  </r>
  <r>
    <x v="0"/>
    <x v="5"/>
    <x v="2"/>
    <x v="0"/>
    <x v="6"/>
    <x v="5"/>
    <x v="1"/>
    <x v="39"/>
    <x v="643"/>
    <x v="110"/>
    <x v="0"/>
    <x v="110"/>
    <x v="16"/>
    <x v="15"/>
    <x v="0"/>
    <x v="129"/>
    <x v="3"/>
    <x v="1"/>
    <s v="MEDIA"/>
    <s v="MEDIA"/>
    <n v="64"/>
    <s v="cumple"/>
    <x v="5"/>
    <x v="2"/>
    <x v="643"/>
    <n v="869.99999999999989"/>
    <x v="0"/>
  </r>
  <r>
    <x v="0"/>
    <x v="5"/>
    <x v="2"/>
    <x v="0"/>
    <x v="6"/>
    <x v="5"/>
    <x v="1"/>
    <x v="39"/>
    <x v="644"/>
    <x v="110"/>
    <x v="13"/>
    <x v="110"/>
    <x v="12"/>
    <x v="7"/>
    <x v="0"/>
    <x v="130"/>
    <x v="3"/>
    <x v="1"/>
    <s v="MEDIA"/>
    <s v="MEDIA"/>
    <n v="64"/>
    <s v="cumple"/>
    <x v="5"/>
    <x v="2"/>
    <x v="644"/>
    <n v="2320"/>
    <x v="0"/>
  </r>
  <r>
    <x v="0"/>
    <x v="5"/>
    <x v="2"/>
    <x v="0"/>
    <x v="6"/>
    <x v="5"/>
    <x v="1"/>
    <x v="39"/>
    <x v="638"/>
    <x v="110"/>
    <x v="7"/>
    <x v="110"/>
    <x v="0"/>
    <x v="5"/>
    <x v="0"/>
    <x v="126"/>
    <x v="3"/>
    <x v="1"/>
    <s v="MEDIA"/>
    <s v="MEDIA"/>
    <n v="64"/>
    <s v="cumple"/>
    <x v="5"/>
    <x v="2"/>
    <x v="638"/>
    <n v="1739.9999999999998"/>
    <x v="0"/>
  </r>
  <r>
    <x v="0"/>
    <x v="5"/>
    <x v="2"/>
    <x v="0"/>
    <x v="6"/>
    <x v="5"/>
    <x v="1"/>
    <x v="39"/>
    <x v="645"/>
    <x v="111"/>
    <x v="0"/>
    <x v="111"/>
    <x v="13"/>
    <x v="13"/>
    <x v="0"/>
    <x v="131"/>
    <x v="3"/>
    <x v="1"/>
    <s v="MEDIA"/>
    <s v="MEDIA"/>
    <n v="64"/>
    <s v="cumple"/>
    <x v="5"/>
    <x v="2"/>
    <x v="645"/>
    <n v="2029.9999999999998"/>
    <x v="0"/>
  </r>
  <r>
    <x v="0"/>
    <x v="5"/>
    <x v="2"/>
    <x v="0"/>
    <x v="6"/>
    <x v="5"/>
    <x v="1"/>
    <x v="39"/>
    <x v="646"/>
    <x v="111"/>
    <x v="10"/>
    <x v="111"/>
    <x v="0"/>
    <x v="6"/>
    <x v="0"/>
    <x v="132"/>
    <x v="3"/>
    <x v="1"/>
    <s v="MEDIA"/>
    <s v="MEDIA"/>
    <n v="64"/>
    <s v="cumple"/>
    <x v="5"/>
    <x v="2"/>
    <x v="646"/>
    <n v="2900"/>
    <x v="0"/>
  </r>
  <r>
    <x v="0"/>
    <x v="5"/>
    <x v="2"/>
    <x v="0"/>
    <x v="6"/>
    <x v="5"/>
    <x v="1"/>
    <x v="39"/>
    <x v="647"/>
    <x v="112"/>
    <x v="0"/>
    <x v="112"/>
    <x v="15"/>
    <x v="12"/>
    <x v="0"/>
    <x v="124"/>
    <x v="3"/>
    <x v="1"/>
    <s v="MEDIA"/>
    <s v="MEDIA"/>
    <n v="64"/>
    <s v="cumple"/>
    <x v="5"/>
    <x v="2"/>
    <x v="647"/>
    <n v="1450"/>
    <x v="0"/>
  </r>
  <r>
    <x v="0"/>
    <x v="5"/>
    <x v="2"/>
    <x v="0"/>
    <x v="6"/>
    <x v="5"/>
    <x v="1"/>
    <x v="39"/>
    <x v="635"/>
    <x v="112"/>
    <x v="12"/>
    <x v="112"/>
    <x v="12"/>
    <x v="5"/>
    <x v="0"/>
    <x v="123"/>
    <x v="3"/>
    <x v="1"/>
    <s v="MEDIA"/>
    <s v="MEDIA"/>
    <n v="64"/>
    <s v="cumple"/>
    <x v="5"/>
    <x v="2"/>
    <x v="635"/>
    <n v="1739.9999999999998"/>
    <x v="0"/>
  </r>
  <r>
    <x v="0"/>
    <x v="5"/>
    <x v="2"/>
    <x v="0"/>
    <x v="6"/>
    <x v="5"/>
    <x v="1"/>
    <x v="39"/>
    <x v="648"/>
    <x v="112"/>
    <x v="7"/>
    <x v="112"/>
    <x v="0"/>
    <x v="5"/>
    <x v="0"/>
    <x v="133"/>
    <x v="3"/>
    <x v="1"/>
    <s v="MEDIA"/>
    <s v="MEDIA"/>
    <n v="64"/>
    <s v="cumple"/>
    <x v="5"/>
    <x v="2"/>
    <x v="648"/>
    <n v="1739.9999999999998"/>
    <x v="0"/>
  </r>
  <r>
    <x v="0"/>
    <x v="5"/>
    <x v="2"/>
    <x v="0"/>
    <x v="6"/>
    <x v="5"/>
    <x v="1"/>
    <x v="39"/>
    <x v="643"/>
    <x v="113"/>
    <x v="0"/>
    <x v="113"/>
    <x v="4"/>
    <x v="5"/>
    <x v="0"/>
    <x v="129"/>
    <x v="3"/>
    <x v="1"/>
    <s v="MEDIA"/>
    <s v="MEDIA"/>
    <n v="64"/>
    <s v="cumple"/>
    <x v="5"/>
    <x v="2"/>
    <x v="643"/>
    <n v="1739.9999999999998"/>
    <x v="0"/>
  </r>
  <r>
    <x v="0"/>
    <x v="5"/>
    <x v="2"/>
    <x v="0"/>
    <x v="6"/>
    <x v="5"/>
    <x v="1"/>
    <x v="39"/>
    <x v="649"/>
    <x v="113"/>
    <x v="6"/>
    <x v="113"/>
    <x v="7"/>
    <x v="5"/>
    <x v="0"/>
    <x v="128"/>
    <x v="3"/>
    <x v="1"/>
    <s v="MEDIA"/>
    <s v="MEDIA"/>
    <n v="64"/>
    <s v="cumple"/>
    <x v="5"/>
    <x v="2"/>
    <x v="649"/>
    <n v="1739.9999999999998"/>
    <x v="0"/>
  </r>
  <r>
    <x v="0"/>
    <x v="5"/>
    <x v="2"/>
    <x v="0"/>
    <x v="6"/>
    <x v="5"/>
    <x v="1"/>
    <x v="39"/>
    <x v="647"/>
    <x v="114"/>
    <x v="0"/>
    <x v="114"/>
    <x v="16"/>
    <x v="15"/>
    <x v="0"/>
    <x v="124"/>
    <x v="3"/>
    <x v="1"/>
    <s v="MEDIA"/>
    <s v="MEDIA"/>
    <n v="64"/>
    <s v="cumple"/>
    <x v="5"/>
    <x v="2"/>
    <x v="647"/>
    <n v="869.99999999999989"/>
    <x v="0"/>
  </r>
  <r>
    <x v="0"/>
    <x v="5"/>
    <x v="2"/>
    <x v="0"/>
    <x v="6"/>
    <x v="5"/>
    <x v="1"/>
    <x v="39"/>
    <x v="650"/>
    <x v="114"/>
    <x v="13"/>
    <x v="114"/>
    <x v="12"/>
    <x v="7"/>
    <x v="0"/>
    <x v="130"/>
    <x v="3"/>
    <x v="1"/>
    <s v="MEDIA"/>
    <s v="MEDIA"/>
    <n v="64"/>
    <s v="cumple"/>
    <x v="5"/>
    <x v="2"/>
    <x v="650"/>
    <n v="2320"/>
    <x v="0"/>
  </r>
  <r>
    <x v="0"/>
    <x v="5"/>
    <x v="2"/>
    <x v="0"/>
    <x v="6"/>
    <x v="5"/>
    <x v="1"/>
    <x v="39"/>
    <x v="644"/>
    <x v="114"/>
    <x v="7"/>
    <x v="114"/>
    <x v="0"/>
    <x v="5"/>
    <x v="0"/>
    <x v="130"/>
    <x v="3"/>
    <x v="1"/>
    <s v="MEDIA"/>
    <s v="MEDIA"/>
    <n v="64"/>
    <s v="cumple"/>
    <x v="5"/>
    <x v="2"/>
    <x v="644"/>
    <n v="1739.9999999999998"/>
    <x v="0"/>
  </r>
  <r>
    <x v="0"/>
    <x v="5"/>
    <x v="2"/>
    <x v="0"/>
    <x v="6"/>
    <x v="5"/>
    <x v="1"/>
    <x v="39"/>
    <x v="636"/>
    <x v="115"/>
    <x v="0"/>
    <x v="115"/>
    <x v="4"/>
    <x v="5"/>
    <x v="0"/>
    <x v="124"/>
    <x v="3"/>
    <x v="1"/>
    <s v="MEDIA"/>
    <s v="MEDIA"/>
    <n v="64"/>
    <s v="cumple"/>
    <x v="5"/>
    <x v="2"/>
    <x v="636"/>
    <n v="1739.9999999999998"/>
    <x v="0"/>
  </r>
  <r>
    <x v="0"/>
    <x v="5"/>
    <x v="2"/>
    <x v="0"/>
    <x v="6"/>
    <x v="5"/>
    <x v="1"/>
    <x v="39"/>
    <x v="651"/>
    <x v="115"/>
    <x v="6"/>
    <x v="115"/>
    <x v="0"/>
    <x v="16"/>
    <x v="0"/>
    <x v="134"/>
    <x v="3"/>
    <x v="1"/>
    <s v="MEDIA"/>
    <s v="MEDIA"/>
    <n v="64"/>
    <s v="cumple"/>
    <x v="5"/>
    <x v="2"/>
    <x v="651"/>
    <n v="3190"/>
    <x v="0"/>
  </r>
  <r>
    <x v="0"/>
    <x v="5"/>
    <x v="2"/>
    <x v="0"/>
    <x v="6"/>
    <x v="5"/>
    <x v="1"/>
    <x v="39"/>
    <x v="645"/>
    <x v="116"/>
    <x v="0"/>
    <x v="116"/>
    <x v="3"/>
    <x v="4"/>
    <x v="0"/>
    <x v="131"/>
    <x v="3"/>
    <x v="1"/>
    <s v="MEDIA"/>
    <s v="MEDIA"/>
    <n v="64"/>
    <s v="cumple"/>
    <x v="5"/>
    <x v="2"/>
    <x v="645"/>
    <n v="1160"/>
    <x v="0"/>
  </r>
  <r>
    <x v="0"/>
    <x v="5"/>
    <x v="2"/>
    <x v="0"/>
    <x v="6"/>
    <x v="5"/>
    <x v="1"/>
    <x v="39"/>
    <x v="640"/>
    <x v="116"/>
    <x v="4"/>
    <x v="116"/>
    <x v="18"/>
    <x v="7"/>
    <x v="0"/>
    <x v="127"/>
    <x v="3"/>
    <x v="1"/>
    <s v="MEDIA"/>
    <s v="MEDIA"/>
    <n v="64"/>
    <s v="cumple"/>
    <x v="5"/>
    <x v="2"/>
    <x v="640"/>
    <n v="2320"/>
    <x v="0"/>
  </r>
  <r>
    <x v="0"/>
    <x v="5"/>
    <x v="2"/>
    <x v="0"/>
    <x v="6"/>
    <x v="5"/>
    <x v="1"/>
    <x v="39"/>
    <x v="635"/>
    <x v="116"/>
    <x v="15"/>
    <x v="116"/>
    <x v="0"/>
    <x v="12"/>
    <x v="0"/>
    <x v="123"/>
    <x v="3"/>
    <x v="1"/>
    <s v="MEDIA"/>
    <s v="MEDIA"/>
    <n v="64"/>
    <s v="cumple"/>
    <x v="5"/>
    <x v="2"/>
    <x v="635"/>
    <n v="1450"/>
    <x v="0"/>
  </r>
  <r>
    <x v="0"/>
    <x v="5"/>
    <x v="2"/>
    <x v="0"/>
    <x v="6"/>
    <x v="5"/>
    <x v="1"/>
    <x v="39"/>
    <x v="644"/>
    <x v="117"/>
    <x v="0"/>
    <x v="117"/>
    <x v="16"/>
    <x v="15"/>
    <x v="0"/>
    <x v="130"/>
    <x v="3"/>
    <x v="1"/>
    <s v="MEDIA"/>
    <s v="MEDIA"/>
    <n v="64"/>
    <s v="cumple"/>
    <x v="5"/>
    <x v="2"/>
    <x v="644"/>
    <n v="869.99999999999989"/>
    <x v="0"/>
  </r>
  <r>
    <x v="0"/>
    <x v="5"/>
    <x v="2"/>
    <x v="0"/>
    <x v="6"/>
    <x v="5"/>
    <x v="1"/>
    <x v="39"/>
    <x v="652"/>
    <x v="117"/>
    <x v="13"/>
    <x v="117"/>
    <x v="12"/>
    <x v="7"/>
    <x v="0"/>
    <x v="135"/>
    <x v="3"/>
    <x v="1"/>
    <s v="MEDIA"/>
    <s v="MEDIA"/>
    <n v="64"/>
    <s v="cumple"/>
    <x v="5"/>
    <x v="2"/>
    <x v="652"/>
    <n v="2320"/>
    <x v="0"/>
  </r>
  <r>
    <x v="0"/>
    <x v="5"/>
    <x v="2"/>
    <x v="0"/>
    <x v="6"/>
    <x v="5"/>
    <x v="1"/>
    <x v="39"/>
    <x v="648"/>
    <x v="117"/>
    <x v="7"/>
    <x v="117"/>
    <x v="0"/>
    <x v="5"/>
    <x v="0"/>
    <x v="136"/>
    <x v="3"/>
    <x v="1"/>
    <s v="MEDIA"/>
    <s v="MEDIA"/>
    <n v="64"/>
    <s v="cumple"/>
    <x v="5"/>
    <x v="2"/>
    <x v="648"/>
    <n v="1739.9999999999998"/>
    <x v="0"/>
  </r>
  <r>
    <x v="0"/>
    <x v="5"/>
    <x v="2"/>
    <x v="0"/>
    <x v="6"/>
    <x v="5"/>
    <x v="1"/>
    <x v="39"/>
    <x v="653"/>
    <x v="118"/>
    <x v="0"/>
    <x v="118"/>
    <x v="4"/>
    <x v="5"/>
    <x v="0"/>
    <x v="137"/>
    <x v="3"/>
    <x v="1"/>
    <s v="MEDIA"/>
    <s v="MEDIA"/>
    <n v="64"/>
    <s v="cumple"/>
    <x v="5"/>
    <x v="2"/>
    <x v="653"/>
    <n v="1739.9999999999998"/>
    <x v="0"/>
  </r>
  <r>
    <x v="0"/>
    <x v="5"/>
    <x v="2"/>
    <x v="0"/>
    <x v="6"/>
    <x v="5"/>
    <x v="1"/>
    <x v="39"/>
    <x v="654"/>
    <x v="118"/>
    <x v="6"/>
    <x v="118"/>
    <x v="7"/>
    <x v="5"/>
    <x v="0"/>
    <x v="138"/>
    <x v="3"/>
    <x v="1"/>
    <s v="MEDIA"/>
    <s v="MEDIA"/>
    <n v="64"/>
    <s v="cumple"/>
    <x v="5"/>
    <x v="2"/>
    <x v="654"/>
    <n v="1739.9999999999998"/>
    <x v="0"/>
  </r>
  <r>
    <x v="0"/>
    <x v="5"/>
    <x v="2"/>
    <x v="0"/>
    <x v="6"/>
    <x v="5"/>
    <x v="1"/>
    <x v="39"/>
    <x v="655"/>
    <x v="119"/>
    <x v="0"/>
    <x v="119"/>
    <x v="5"/>
    <x v="7"/>
    <x v="0"/>
    <x v="139"/>
    <x v="3"/>
    <x v="1"/>
    <s v="MEDIA"/>
    <s v="MEDIA"/>
    <n v="64"/>
    <s v="cumple"/>
    <x v="5"/>
    <x v="2"/>
    <x v="655"/>
    <n v="2320"/>
    <x v="0"/>
  </r>
  <r>
    <x v="0"/>
    <x v="5"/>
    <x v="2"/>
    <x v="0"/>
    <x v="6"/>
    <x v="5"/>
    <x v="1"/>
    <x v="39"/>
    <x v="656"/>
    <x v="119"/>
    <x v="3"/>
    <x v="119"/>
    <x v="2"/>
    <x v="12"/>
    <x v="0"/>
    <x v="140"/>
    <x v="3"/>
    <x v="1"/>
    <s v="MEDIA"/>
    <s v="MEDIA"/>
    <n v="64"/>
    <s v="cumple"/>
    <x v="5"/>
    <x v="2"/>
    <x v="656"/>
    <n v="1450"/>
    <x v="0"/>
  </r>
  <r>
    <x v="0"/>
    <x v="5"/>
    <x v="2"/>
    <x v="0"/>
    <x v="6"/>
    <x v="5"/>
    <x v="1"/>
    <x v="39"/>
    <x v="657"/>
    <x v="119"/>
    <x v="2"/>
    <x v="119"/>
    <x v="0"/>
    <x v="4"/>
    <x v="0"/>
    <x v="141"/>
    <x v="3"/>
    <x v="1"/>
    <s v="MEDIA"/>
    <s v="MEDIA"/>
    <n v="64"/>
    <s v="cumple"/>
    <x v="5"/>
    <x v="2"/>
    <x v="657"/>
    <n v="1160"/>
    <x v="0"/>
  </r>
  <r>
    <x v="0"/>
    <x v="5"/>
    <x v="2"/>
    <x v="0"/>
    <x v="6"/>
    <x v="5"/>
    <x v="1"/>
    <x v="39"/>
    <x v="658"/>
    <x v="120"/>
    <x v="0"/>
    <x v="120"/>
    <x v="4"/>
    <x v="5"/>
    <x v="0"/>
    <x v="137"/>
    <x v="3"/>
    <x v="1"/>
    <s v="MEDIA"/>
    <s v="MEDIA"/>
    <n v="64"/>
    <s v="cumple"/>
    <x v="5"/>
    <x v="2"/>
    <x v="658"/>
    <n v="1739.9999999999998"/>
    <x v="0"/>
  </r>
  <r>
    <x v="0"/>
    <x v="5"/>
    <x v="2"/>
    <x v="0"/>
    <x v="6"/>
    <x v="5"/>
    <x v="1"/>
    <x v="39"/>
    <x v="659"/>
    <x v="120"/>
    <x v="6"/>
    <x v="120"/>
    <x v="18"/>
    <x v="5"/>
    <x v="0"/>
    <x v="142"/>
    <x v="3"/>
    <x v="1"/>
    <s v="MEDIA"/>
    <s v="MEDIA"/>
    <n v="64"/>
    <s v="cumple"/>
    <x v="5"/>
    <x v="2"/>
    <x v="659"/>
    <n v="1739.9999999999998"/>
    <x v="0"/>
  </r>
  <r>
    <x v="0"/>
    <x v="5"/>
    <x v="2"/>
    <x v="0"/>
    <x v="6"/>
    <x v="5"/>
    <x v="1"/>
    <x v="39"/>
    <x v="642"/>
    <x v="120"/>
    <x v="15"/>
    <x v="120"/>
    <x v="0"/>
    <x v="12"/>
    <x v="0"/>
    <x v="143"/>
    <x v="3"/>
    <x v="1"/>
    <s v="MEDIA"/>
    <s v="MEDIA"/>
    <n v="64"/>
    <s v="cumple"/>
    <x v="5"/>
    <x v="2"/>
    <x v="642"/>
    <n v="1450"/>
    <x v="0"/>
  </r>
  <r>
    <x v="0"/>
    <x v="5"/>
    <x v="2"/>
    <x v="0"/>
    <x v="6"/>
    <x v="5"/>
    <x v="1"/>
    <x v="39"/>
    <x v="660"/>
    <x v="121"/>
    <x v="0"/>
    <x v="121"/>
    <x v="5"/>
    <x v="7"/>
    <x v="0"/>
    <x v="138"/>
    <x v="3"/>
    <x v="1"/>
    <s v="MEDIA"/>
    <s v="MEDIA"/>
    <n v="64"/>
    <s v="cumple"/>
    <x v="5"/>
    <x v="2"/>
    <x v="660"/>
    <n v="2320"/>
    <x v="0"/>
  </r>
  <r>
    <x v="0"/>
    <x v="5"/>
    <x v="2"/>
    <x v="0"/>
    <x v="6"/>
    <x v="5"/>
    <x v="1"/>
    <x v="39"/>
    <x v="661"/>
    <x v="121"/>
    <x v="3"/>
    <x v="121"/>
    <x v="0"/>
    <x v="14"/>
    <x v="0"/>
    <x v="126"/>
    <x v="3"/>
    <x v="1"/>
    <s v="MEDIA"/>
    <s v="MEDIA"/>
    <n v="64"/>
    <s v="cumple"/>
    <x v="5"/>
    <x v="2"/>
    <x v="661"/>
    <n v="2610"/>
    <x v="0"/>
  </r>
  <r>
    <x v="0"/>
    <x v="5"/>
    <x v="2"/>
    <x v="0"/>
    <x v="6"/>
    <x v="5"/>
    <x v="1"/>
    <x v="39"/>
    <x v="637"/>
    <x v="122"/>
    <x v="0"/>
    <x v="122"/>
    <x v="13"/>
    <x v="13"/>
    <x v="0"/>
    <x v="144"/>
    <x v="3"/>
    <x v="1"/>
    <s v="MEDIA"/>
    <s v="MEDIA"/>
    <n v="64"/>
    <s v="cumple"/>
    <x v="5"/>
    <x v="2"/>
    <x v="637"/>
    <n v="2029.9999999999998"/>
    <x v="0"/>
  </r>
  <r>
    <x v="0"/>
    <x v="5"/>
    <x v="2"/>
    <x v="0"/>
    <x v="6"/>
    <x v="5"/>
    <x v="1"/>
    <x v="39"/>
    <x v="662"/>
    <x v="122"/>
    <x v="10"/>
    <x v="122"/>
    <x v="12"/>
    <x v="4"/>
    <x v="0"/>
    <x v="138"/>
    <x v="3"/>
    <x v="1"/>
    <s v="MEDIA"/>
    <s v="MEDIA"/>
    <n v="64"/>
    <s v="cumple"/>
    <x v="5"/>
    <x v="2"/>
    <x v="662"/>
    <n v="1160"/>
    <x v="0"/>
  </r>
  <r>
    <x v="0"/>
    <x v="5"/>
    <x v="2"/>
    <x v="0"/>
    <x v="6"/>
    <x v="5"/>
    <x v="1"/>
    <x v="39"/>
    <x v="661"/>
    <x v="122"/>
    <x v="7"/>
    <x v="122"/>
    <x v="0"/>
    <x v="5"/>
    <x v="0"/>
    <x v="126"/>
    <x v="3"/>
    <x v="1"/>
    <s v="MEDIA"/>
    <s v="MEDIA"/>
    <n v="64"/>
    <s v="cumple"/>
    <x v="5"/>
    <x v="2"/>
    <x v="661"/>
    <n v="1739.9999999999998"/>
    <x v="0"/>
  </r>
  <r>
    <x v="0"/>
    <x v="5"/>
    <x v="2"/>
    <x v="0"/>
    <x v="6"/>
    <x v="5"/>
    <x v="1"/>
    <x v="39"/>
    <x v="663"/>
    <x v="123"/>
    <x v="0"/>
    <x v="123"/>
    <x v="7"/>
    <x v="3"/>
    <x v="0"/>
    <x v="145"/>
    <x v="3"/>
    <x v="1"/>
    <s v="MEDIA"/>
    <s v="MEDIA"/>
    <n v="64"/>
    <s v="cumple"/>
    <x v="5"/>
    <x v="2"/>
    <x v="663"/>
    <n v="3479.9999999999995"/>
    <x v="0"/>
  </r>
  <r>
    <x v="0"/>
    <x v="5"/>
    <x v="2"/>
    <x v="0"/>
    <x v="6"/>
    <x v="5"/>
    <x v="1"/>
    <x v="39"/>
    <x v="664"/>
    <x v="124"/>
    <x v="0"/>
    <x v="124"/>
    <x v="14"/>
    <x v="14"/>
    <x v="0"/>
    <x v="139"/>
    <x v="3"/>
    <x v="1"/>
    <s v="MEDIA"/>
    <s v="MEDIA"/>
    <n v="64"/>
    <s v="cumple"/>
    <x v="5"/>
    <x v="2"/>
    <x v="664"/>
    <n v="2610"/>
    <x v="0"/>
  </r>
  <r>
    <x v="0"/>
    <x v="5"/>
    <x v="2"/>
    <x v="0"/>
    <x v="6"/>
    <x v="5"/>
    <x v="1"/>
    <x v="39"/>
    <x v="665"/>
    <x v="124"/>
    <x v="11"/>
    <x v="124"/>
    <x v="0"/>
    <x v="7"/>
    <x v="0"/>
    <x v="130"/>
    <x v="3"/>
    <x v="1"/>
    <s v="MEDIA"/>
    <s v="MEDIA"/>
    <n v="64"/>
    <s v="cumple"/>
    <x v="5"/>
    <x v="2"/>
    <x v="665"/>
    <n v="2320"/>
    <x v="0"/>
  </r>
  <r>
    <x v="0"/>
    <x v="5"/>
    <x v="2"/>
    <x v="0"/>
    <x v="6"/>
    <x v="5"/>
    <x v="1"/>
    <x v="39"/>
    <x v="666"/>
    <x v="125"/>
    <x v="0"/>
    <x v="125"/>
    <x v="13"/>
    <x v="13"/>
    <x v="0"/>
    <x v="146"/>
    <x v="3"/>
    <x v="1"/>
    <s v="MEDIA"/>
    <s v="MEDIA"/>
    <n v="64"/>
    <s v="cumple"/>
    <x v="5"/>
    <x v="2"/>
    <x v="666"/>
    <n v="2029.9999999999998"/>
    <x v="0"/>
  </r>
  <r>
    <x v="0"/>
    <x v="5"/>
    <x v="2"/>
    <x v="0"/>
    <x v="6"/>
    <x v="5"/>
    <x v="1"/>
    <x v="39"/>
    <x v="667"/>
    <x v="125"/>
    <x v="10"/>
    <x v="125"/>
    <x v="0"/>
    <x v="6"/>
    <x v="0"/>
    <x v="147"/>
    <x v="3"/>
    <x v="1"/>
    <s v="MEDIA"/>
    <s v="MEDIA"/>
    <n v="64"/>
    <s v="cumple"/>
    <x v="5"/>
    <x v="2"/>
    <x v="667"/>
    <n v="2900"/>
    <x v="0"/>
  </r>
  <r>
    <x v="0"/>
    <x v="5"/>
    <x v="2"/>
    <x v="0"/>
    <x v="6"/>
    <x v="5"/>
    <x v="1"/>
    <x v="39"/>
    <x v="667"/>
    <x v="126"/>
    <x v="0"/>
    <x v="126"/>
    <x v="0"/>
    <x v="8"/>
    <x v="1"/>
    <x v="147"/>
    <x v="3"/>
    <x v="1"/>
    <s v="MEDIA"/>
    <s v="MEDIA"/>
    <n v="64"/>
    <s v="cumple"/>
    <x v="5"/>
    <x v="2"/>
    <x v="667"/>
    <n v="4930"/>
    <x v="0"/>
  </r>
  <r>
    <x v="0"/>
    <x v="5"/>
    <x v="2"/>
    <x v="0"/>
    <x v="6"/>
    <x v="5"/>
    <x v="1"/>
    <x v="39"/>
    <x v="667"/>
    <x v="127"/>
    <x v="0"/>
    <x v="127"/>
    <x v="0"/>
    <x v="8"/>
    <x v="1"/>
    <x v="147"/>
    <x v="3"/>
    <x v="1"/>
    <s v="MEDIA"/>
    <s v="MEDIA"/>
    <n v="64"/>
    <s v="cumple"/>
    <x v="5"/>
    <x v="2"/>
    <x v="667"/>
    <n v="4930"/>
    <x v="0"/>
  </r>
  <r>
    <x v="0"/>
    <x v="5"/>
    <x v="2"/>
    <x v="0"/>
    <x v="6"/>
    <x v="5"/>
    <x v="1"/>
    <x v="39"/>
    <x v="667"/>
    <x v="128"/>
    <x v="0"/>
    <x v="128"/>
    <x v="7"/>
    <x v="3"/>
    <x v="0"/>
    <x v="148"/>
    <x v="3"/>
    <x v="1"/>
    <s v="MEDIA"/>
    <s v="MEDIA"/>
    <n v="64"/>
    <s v="cumple"/>
    <x v="5"/>
    <x v="2"/>
    <x v="667"/>
    <n v="3479.9999999999995"/>
    <x v="0"/>
  </r>
  <r>
    <x v="1"/>
    <x v="10"/>
    <x v="3"/>
    <x v="0"/>
    <x v="3"/>
    <x v="3"/>
    <x v="4"/>
    <x v="191"/>
    <x v="668"/>
    <x v="124"/>
    <x v="0"/>
    <x v="124"/>
    <x v="3"/>
    <x v="4"/>
    <x v="0"/>
    <x v="37"/>
    <x v="12"/>
    <x v="6"/>
    <s v="MEDIA"/>
    <s v="MEDIA"/>
    <n v="64"/>
    <s v="cumple"/>
    <x v="5"/>
    <x v="3"/>
    <x v="668"/>
    <n v="1392"/>
    <x v="0"/>
  </r>
  <r>
    <x v="1"/>
    <x v="10"/>
    <x v="3"/>
    <x v="0"/>
    <x v="3"/>
    <x v="3"/>
    <x v="4"/>
    <x v="192"/>
    <x v="669"/>
    <x v="124"/>
    <x v="4"/>
    <x v="124"/>
    <x v="5"/>
    <x v="4"/>
    <x v="0"/>
    <x v="37"/>
    <x v="12"/>
    <x v="6"/>
    <s v="MEDIA"/>
    <s v="MEDIA"/>
    <n v="64"/>
    <s v="cumple"/>
    <x v="5"/>
    <x v="3"/>
    <x v="669"/>
    <n v="1392"/>
    <x v="0"/>
  </r>
  <r>
    <x v="1"/>
    <x v="10"/>
    <x v="3"/>
    <x v="0"/>
    <x v="3"/>
    <x v="2"/>
    <x v="4"/>
    <x v="193"/>
    <x v="670"/>
    <x v="124"/>
    <x v="3"/>
    <x v="125"/>
    <x v="11"/>
    <x v="3"/>
    <x v="0"/>
    <x v="37"/>
    <x v="12"/>
    <x v="6"/>
    <s v="MEDIA"/>
    <s v="MEDIA"/>
    <n v="64"/>
    <s v="cumple"/>
    <x v="5"/>
    <x v="3"/>
    <x v="670"/>
    <n v="4176"/>
    <x v="0"/>
  </r>
  <r>
    <x v="1"/>
    <x v="10"/>
    <x v="3"/>
    <x v="0"/>
    <x v="3"/>
    <x v="2"/>
    <x v="4"/>
    <x v="194"/>
    <x v="671"/>
    <x v="125"/>
    <x v="0"/>
    <x v="126"/>
    <x v="0"/>
    <x v="0"/>
    <x v="0"/>
    <x v="37"/>
    <x v="12"/>
    <x v="6"/>
    <s v="MEDIA"/>
    <s v="MEDIA"/>
    <n v="64"/>
    <s v="cumple"/>
    <x v="5"/>
    <x v="3"/>
    <x v="671"/>
    <n v="5568"/>
    <x v="0"/>
  </r>
  <r>
    <x v="1"/>
    <x v="10"/>
    <x v="3"/>
    <x v="0"/>
    <x v="3"/>
    <x v="3"/>
    <x v="4"/>
    <x v="195"/>
    <x v="672"/>
    <x v="126"/>
    <x v="0"/>
    <x v="126"/>
    <x v="5"/>
    <x v="7"/>
    <x v="0"/>
    <x v="37"/>
    <x v="12"/>
    <x v="6"/>
    <s v="MEDIA"/>
    <s v="MEDIA"/>
    <n v="64"/>
    <s v="cumple"/>
    <x v="5"/>
    <x v="3"/>
    <x v="672"/>
    <n v="2784"/>
    <x v="0"/>
  </r>
  <r>
    <x v="1"/>
    <x v="10"/>
    <x v="3"/>
    <x v="0"/>
    <x v="3"/>
    <x v="3"/>
    <x v="4"/>
    <x v="196"/>
    <x v="673"/>
    <x v="126"/>
    <x v="7"/>
    <x v="126"/>
    <x v="7"/>
    <x v="4"/>
    <x v="0"/>
    <x v="37"/>
    <x v="12"/>
    <x v="6"/>
    <s v="MEDIA"/>
    <s v="MEDIA"/>
    <n v="64"/>
    <s v="cumple"/>
    <x v="5"/>
    <x v="3"/>
    <x v="673"/>
    <n v="1392"/>
    <x v="0"/>
  </r>
  <r>
    <x v="1"/>
    <x v="10"/>
    <x v="3"/>
    <x v="0"/>
    <x v="3"/>
    <x v="2"/>
    <x v="4"/>
    <x v="197"/>
    <x v="674"/>
    <x v="126"/>
    <x v="2"/>
    <x v="126"/>
    <x v="11"/>
    <x v="7"/>
    <x v="0"/>
    <x v="37"/>
    <x v="12"/>
    <x v="6"/>
    <s v="MEDIA"/>
    <s v="MEDIA"/>
    <n v="64"/>
    <s v="cumple"/>
    <x v="5"/>
    <x v="3"/>
    <x v="674"/>
    <n v="2784"/>
    <x v="0"/>
  </r>
  <r>
    <x v="1"/>
    <x v="10"/>
    <x v="3"/>
    <x v="0"/>
    <x v="3"/>
    <x v="2"/>
    <x v="4"/>
    <x v="198"/>
    <x v="675"/>
    <x v="127"/>
    <x v="0"/>
    <x v="127"/>
    <x v="7"/>
    <x v="3"/>
    <x v="0"/>
    <x v="37"/>
    <x v="12"/>
    <x v="6"/>
    <s v="MEDIA"/>
    <s v="MEDIA"/>
    <n v="64"/>
    <s v="cumple"/>
    <x v="5"/>
    <x v="3"/>
    <x v="675"/>
    <n v="4176"/>
    <x v="0"/>
  </r>
  <r>
    <x v="1"/>
    <x v="10"/>
    <x v="3"/>
    <x v="0"/>
    <x v="3"/>
    <x v="2"/>
    <x v="4"/>
    <x v="199"/>
    <x v="676"/>
    <x v="127"/>
    <x v="7"/>
    <x v="127"/>
    <x v="1"/>
    <x v="4"/>
    <x v="0"/>
    <x v="37"/>
    <x v="12"/>
    <x v="6"/>
    <s v="MEDIA"/>
    <s v="MEDIA"/>
    <n v="64"/>
    <s v="cumple"/>
    <x v="5"/>
    <x v="3"/>
    <x v="676"/>
    <n v="1392"/>
    <x v="0"/>
  </r>
  <r>
    <x v="1"/>
    <x v="10"/>
    <x v="3"/>
    <x v="0"/>
    <x v="3"/>
    <x v="3"/>
    <x v="4"/>
    <x v="200"/>
    <x v="677"/>
    <x v="127"/>
    <x v="1"/>
    <x v="127"/>
    <x v="11"/>
    <x v="4"/>
    <x v="0"/>
    <x v="37"/>
    <x v="12"/>
    <x v="6"/>
    <s v="MEDIA"/>
    <s v="MEDIA"/>
    <n v="64"/>
    <s v="cumple"/>
    <x v="5"/>
    <x v="3"/>
    <x v="677"/>
    <n v="1392"/>
    <x v="0"/>
  </r>
  <r>
    <x v="1"/>
    <x v="10"/>
    <x v="3"/>
    <x v="0"/>
    <x v="3"/>
    <x v="3"/>
    <x v="4"/>
    <x v="201"/>
    <x v="678"/>
    <x v="128"/>
    <x v="0"/>
    <x v="128"/>
    <x v="3"/>
    <x v="4"/>
    <x v="0"/>
    <x v="37"/>
    <x v="12"/>
    <x v="6"/>
    <s v="MEDIA"/>
    <s v="MEDIA"/>
    <n v="64"/>
    <s v="cumple"/>
    <x v="5"/>
    <x v="3"/>
    <x v="678"/>
    <n v="1392"/>
    <x v="0"/>
  </r>
  <r>
    <x v="1"/>
    <x v="10"/>
    <x v="3"/>
    <x v="0"/>
    <x v="3"/>
    <x v="2"/>
    <x v="4"/>
    <x v="202"/>
    <x v="679"/>
    <x v="128"/>
    <x v="4"/>
    <x v="128"/>
    <x v="11"/>
    <x v="0"/>
    <x v="0"/>
    <x v="37"/>
    <x v="12"/>
    <x v="6"/>
    <s v="MEDIA"/>
    <s v="MEDIA"/>
    <n v="64"/>
    <s v="cumple"/>
    <x v="5"/>
    <x v="3"/>
    <x v="679"/>
    <n v="5568"/>
    <x v="0"/>
  </r>
  <r>
    <x v="0"/>
    <x v="1"/>
    <x v="3"/>
    <x v="0"/>
    <x v="3"/>
    <x v="1"/>
    <x v="0"/>
    <x v="27"/>
    <x v="680"/>
    <x v="107"/>
    <x v="0"/>
    <x v="107"/>
    <x v="7"/>
    <x v="3"/>
    <x v="0"/>
    <x v="42"/>
    <x v="11"/>
    <x v="0"/>
    <s v="MEDIA"/>
    <s v="MEDIA"/>
    <n v="64"/>
    <s v="cumple"/>
    <x v="5"/>
    <x v="3"/>
    <x v="680"/>
    <n v="4872"/>
    <x v="0"/>
  </r>
  <r>
    <x v="0"/>
    <x v="1"/>
    <x v="3"/>
    <x v="0"/>
    <x v="3"/>
    <x v="1"/>
    <x v="0"/>
    <x v="27"/>
    <x v="681"/>
    <x v="108"/>
    <x v="0"/>
    <x v="108"/>
    <x v="7"/>
    <x v="3"/>
    <x v="0"/>
    <x v="42"/>
    <x v="11"/>
    <x v="0"/>
    <s v="MEDIA"/>
    <s v="MEDIA"/>
    <n v="64"/>
    <s v="cumple"/>
    <x v="5"/>
    <x v="3"/>
    <x v="681"/>
    <n v="4872"/>
    <x v="0"/>
  </r>
  <r>
    <x v="0"/>
    <x v="1"/>
    <x v="3"/>
    <x v="0"/>
    <x v="3"/>
    <x v="1"/>
    <x v="0"/>
    <x v="27"/>
    <x v="682"/>
    <x v="109"/>
    <x v="0"/>
    <x v="109"/>
    <x v="0"/>
    <x v="0"/>
    <x v="0"/>
    <x v="42"/>
    <x v="11"/>
    <x v="0"/>
    <s v="MEDIA"/>
    <s v="MEDIA"/>
    <n v="64"/>
    <s v="cumple"/>
    <x v="5"/>
    <x v="3"/>
    <x v="682"/>
    <n v="6496"/>
    <x v="0"/>
  </r>
  <r>
    <x v="0"/>
    <x v="1"/>
    <x v="3"/>
    <x v="0"/>
    <x v="3"/>
    <x v="1"/>
    <x v="0"/>
    <x v="27"/>
    <x v="683"/>
    <x v="110"/>
    <x v="0"/>
    <x v="110"/>
    <x v="0"/>
    <x v="0"/>
    <x v="0"/>
    <x v="42"/>
    <x v="11"/>
    <x v="0"/>
    <s v="MEDIA"/>
    <s v="MEDIA"/>
    <n v="64"/>
    <s v="cumple"/>
    <x v="5"/>
    <x v="3"/>
    <x v="683"/>
    <n v="6496"/>
    <x v="0"/>
  </r>
  <r>
    <x v="0"/>
    <x v="1"/>
    <x v="3"/>
    <x v="0"/>
    <x v="3"/>
    <x v="1"/>
    <x v="0"/>
    <x v="27"/>
    <x v="684"/>
    <x v="111"/>
    <x v="0"/>
    <x v="111"/>
    <x v="0"/>
    <x v="0"/>
    <x v="0"/>
    <x v="42"/>
    <x v="11"/>
    <x v="0"/>
    <s v="MEDIA"/>
    <s v="MEDIA"/>
    <n v="64"/>
    <s v="cumple"/>
    <x v="5"/>
    <x v="3"/>
    <x v="684"/>
    <n v="6496"/>
    <x v="0"/>
  </r>
  <r>
    <x v="0"/>
    <x v="1"/>
    <x v="3"/>
    <x v="0"/>
    <x v="3"/>
    <x v="1"/>
    <x v="0"/>
    <x v="27"/>
    <x v="685"/>
    <x v="112"/>
    <x v="0"/>
    <x v="112"/>
    <x v="0"/>
    <x v="0"/>
    <x v="0"/>
    <x v="42"/>
    <x v="11"/>
    <x v="0"/>
    <s v="MEDIA"/>
    <s v="MEDIA"/>
    <n v="64"/>
    <s v="cumple"/>
    <x v="5"/>
    <x v="3"/>
    <x v="685"/>
    <n v="6496"/>
    <x v="0"/>
  </r>
  <r>
    <x v="0"/>
    <x v="1"/>
    <x v="3"/>
    <x v="0"/>
    <x v="3"/>
    <x v="1"/>
    <x v="0"/>
    <x v="27"/>
    <x v="686"/>
    <x v="113"/>
    <x v="0"/>
    <x v="113"/>
    <x v="7"/>
    <x v="3"/>
    <x v="0"/>
    <x v="42"/>
    <x v="11"/>
    <x v="0"/>
    <s v="MEDIA"/>
    <s v="MEDIA"/>
    <n v="64"/>
    <s v="cumple"/>
    <x v="5"/>
    <x v="3"/>
    <x v="686"/>
    <n v="4872"/>
    <x v="0"/>
  </r>
  <r>
    <x v="0"/>
    <x v="1"/>
    <x v="3"/>
    <x v="0"/>
    <x v="3"/>
    <x v="1"/>
    <x v="0"/>
    <x v="27"/>
    <x v="687"/>
    <x v="114"/>
    <x v="0"/>
    <x v="114"/>
    <x v="0"/>
    <x v="0"/>
    <x v="0"/>
    <x v="42"/>
    <x v="11"/>
    <x v="0"/>
    <s v="MEDIA"/>
    <s v="MEDIA"/>
    <n v="64"/>
    <s v="cumple"/>
    <x v="5"/>
    <x v="3"/>
    <x v="687"/>
    <n v="6496"/>
    <x v="0"/>
  </r>
  <r>
    <x v="0"/>
    <x v="1"/>
    <x v="3"/>
    <x v="0"/>
    <x v="3"/>
    <x v="1"/>
    <x v="0"/>
    <x v="27"/>
    <x v="688"/>
    <x v="115"/>
    <x v="0"/>
    <x v="115"/>
    <x v="0"/>
    <x v="0"/>
    <x v="0"/>
    <x v="42"/>
    <x v="11"/>
    <x v="0"/>
    <s v="MEDIA"/>
    <s v="MEDIA"/>
    <n v="64"/>
    <s v="cumple"/>
    <x v="5"/>
    <x v="3"/>
    <x v="688"/>
    <n v="6496"/>
    <x v="0"/>
  </r>
  <r>
    <x v="0"/>
    <x v="1"/>
    <x v="3"/>
    <x v="0"/>
    <x v="3"/>
    <x v="1"/>
    <x v="0"/>
    <x v="27"/>
    <x v="689"/>
    <x v="116"/>
    <x v="0"/>
    <x v="116"/>
    <x v="0"/>
    <x v="0"/>
    <x v="0"/>
    <x v="42"/>
    <x v="11"/>
    <x v="0"/>
    <s v="MEDIA"/>
    <s v="MEDIA"/>
    <n v="64"/>
    <s v="cumple"/>
    <x v="5"/>
    <x v="3"/>
    <x v="689"/>
    <n v="6496"/>
    <x v="0"/>
  </r>
  <r>
    <x v="0"/>
    <x v="1"/>
    <x v="3"/>
    <x v="0"/>
    <x v="3"/>
    <x v="1"/>
    <x v="0"/>
    <x v="27"/>
    <x v="690"/>
    <x v="117"/>
    <x v="0"/>
    <x v="117"/>
    <x v="0"/>
    <x v="0"/>
    <x v="0"/>
    <x v="42"/>
    <x v="11"/>
    <x v="0"/>
    <s v="MEDIA"/>
    <s v="MEDIA"/>
    <n v="64"/>
    <s v="cumple"/>
    <x v="5"/>
    <x v="3"/>
    <x v="690"/>
    <n v="6496"/>
    <x v="0"/>
  </r>
  <r>
    <x v="0"/>
    <x v="1"/>
    <x v="3"/>
    <x v="0"/>
    <x v="3"/>
    <x v="1"/>
    <x v="0"/>
    <x v="27"/>
    <x v="691"/>
    <x v="118"/>
    <x v="0"/>
    <x v="118"/>
    <x v="7"/>
    <x v="3"/>
    <x v="0"/>
    <x v="42"/>
    <x v="11"/>
    <x v="0"/>
    <s v="MEDIA"/>
    <s v="MEDIA"/>
    <n v="64"/>
    <s v="cumple"/>
    <x v="5"/>
    <x v="3"/>
    <x v="691"/>
    <n v="4872"/>
    <x v="0"/>
  </r>
  <r>
    <x v="0"/>
    <x v="1"/>
    <x v="3"/>
    <x v="0"/>
    <x v="3"/>
    <x v="1"/>
    <x v="0"/>
    <x v="27"/>
    <x v="692"/>
    <x v="119"/>
    <x v="0"/>
    <x v="119"/>
    <x v="0"/>
    <x v="0"/>
    <x v="0"/>
    <x v="42"/>
    <x v="11"/>
    <x v="0"/>
    <s v="MEDIA"/>
    <s v="MEDIA"/>
    <n v="64"/>
    <s v="cumple"/>
    <x v="5"/>
    <x v="3"/>
    <x v="692"/>
    <n v="6496"/>
    <x v="0"/>
  </r>
  <r>
    <x v="0"/>
    <x v="1"/>
    <x v="3"/>
    <x v="0"/>
    <x v="3"/>
    <x v="1"/>
    <x v="0"/>
    <x v="27"/>
    <x v="693"/>
    <x v="120"/>
    <x v="0"/>
    <x v="120"/>
    <x v="0"/>
    <x v="0"/>
    <x v="0"/>
    <x v="42"/>
    <x v="11"/>
    <x v="0"/>
    <s v="MEDIA"/>
    <s v="MEDIA"/>
    <n v="64"/>
    <s v="cumple"/>
    <x v="5"/>
    <x v="3"/>
    <x v="693"/>
    <n v="6496"/>
    <x v="0"/>
  </r>
  <r>
    <x v="0"/>
    <x v="1"/>
    <x v="3"/>
    <x v="0"/>
    <x v="3"/>
    <x v="1"/>
    <x v="0"/>
    <x v="27"/>
    <x v="694"/>
    <x v="121"/>
    <x v="0"/>
    <x v="121"/>
    <x v="0"/>
    <x v="0"/>
    <x v="0"/>
    <x v="42"/>
    <x v="11"/>
    <x v="0"/>
    <s v="MEDIA"/>
    <s v="MEDIA"/>
    <n v="64"/>
    <s v="cumple"/>
    <x v="5"/>
    <x v="3"/>
    <x v="694"/>
    <n v="6496"/>
    <x v="0"/>
  </r>
  <r>
    <x v="0"/>
    <x v="1"/>
    <x v="3"/>
    <x v="0"/>
    <x v="3"/>
    <x v="1"/>
    <x v="0"/>
    <x v="27"/>
    <x v="695"/>
    <x v="122"/>
    <x v="0"/>
    <x v="122"/>
    <x v="7"/>
    <x v="3"/>
    <x v="1"/>
    <x v="42"/>
    <x v="11"/>
    <x v="0"/>
    <s v="MEDIA"/>
    <s v="MEDIA"/>
    <n v="64"/>
    <s v="cumple"/>
    <x v="5"/>
    <x v="3"/>
    <x v="695"/>
    <n v="4872"/>
    <x v="0"/>
  </r>
  <r>
    <x v="0"/>
    <x v="1"/>
    <x v="3"/>
    <x v="0"/>
    <x v="3"/>
    <x v="1"/>
    <x v="0"/>
    <x v="27"/>
    <x v="695"/>
    <x v="123"/>
    <x v="0"/>
    <x v="123"/>
    <x v="7"/>
    <x v="3"/>
    <x v="0"/>
    <x v="42"/>
    <x v="11"/>
    <x v="0"/>
    <s v="MEDIA"/>
    <s v="MEDIA"/>
    <n v="64"/>
    <s v="cumple"/>
    <x v="5"/>
    <x v="3"/>
    <x v="695"/>
    <n v="4872"/>
    <x v="0"/>
  </r>
  <r>
    <x v="0"/>
    <x v="1"/>
    <x v="3"/>
    <x v="0"/>
    <x v="3"/>
    <x v="1"/>
    <x v="0"/>
    <x v="27"/>
    <x v="696"/>
    <x v="126"/>
    <x v="0"/>
    <x v="126"/>
    <x v="7"/>
    <x v="3"/>
    <x v="0"/>
    <x v="42"/>
    <x v="11"/>
    <x v="0"/>
    <s v="MEDIA"/>
    <s v="MEDIA"/>
    <n v="64"/>
    <s v="cumple"/>
    <x v="5"/>
    <x v="3"/>
    <x v="696"/>
    <n v="4872"/>
    <x v="0"/>
  </r>
  <r>
    <x v="0"/>
    <x v="1"/>
    <x v="3"/>
    <x v="0"/>
    <x v="3"/>
    <x v="1"/>
    <x v="0"/>
    <x v="27"/>
    <x v="697"/>
    <x v="127"/>
    <x v="0"/>
    <x v="127"/>
    <x v="6"/>
    <x v="1"/>
    <x v="0"/>
    <x v="42"/>
    <x v="11"/>
    <x v="0"/>
    <s v="MEDIA"/>
    <s v="MEDIA"/>
    <n v="64"/>
    <s v="cumple"/>
    <x v="5"/>
    <x v="3"/>
    <x v="697"/>
    <n v="5684"/>
    <x v="0"/>
  </r>
  <r>
    <x v="0"/>
    <x v="1"/>
    <x v="3"/>
    <x v="0"/>
    <x v="3"/>
    <x v="1"/>
    <x v="0"/>
    <x v="27"/>
    <x v="698"/>
    <x v="107"/>
    <x v="0"/>
    <x v="107"/>
    <x v="7"/>
    <x v="3"/>
    <x v="0"/>
    <x v="42"/>
    <x v="5"/>
    <x v="0"/>
    <s v="MEDIA"/>
    <s v="MEDIA"/>
    <n v="64"/>
    <s v="cumple"/>
    <x v="5"/>
    <x v="3"/>
    <x v="698"/>
    <n v="4872"/>
    <x v="0"/>
  </r>
  <r>
    <x v="0"/>
    <x v="1"/>
    <x v="3"/>
    <x v="0"/>
    <x v="3"/>
    <x v="1"/>
    <x v="0"/>
    <x v="27"/>
    <x v="699"/>
    <x v="108"/>
    <x v="0"/>
    <x v="108"/>
    <x v="7"/>
    <x v="3"/>
    <x v="0"/>
    <x v="42"/>
    <x v="5"/>
    <x v="0"/>
    <s v="MEDIA"/>
    <s v="MEDIA"/>
    <n v="64"/>
    <s v="cumple"/>
    <x v="5"/>
    <x v="3"/>
    <x v="699"/>
    <n v="4872"/>
    <x v="0"/>
  </r>
  <r>
    <x v="0"/>
    <x v="1"/>
    <x v="3"/>
    <x v="0"/>
    <x v="3"/>
    <x v="1"/>
    <x v="0"/>
    <x v="27"/>
    <x v="700"/>
    <x v="109"/>
    <x v="0"/>
    <x v="109"/>
    <x v="7"/>
    <x v="3"/>
    <x v="0"/>
    <x v="42"/>
    <x v="5"/>
    <x v="0"/>
    <s v="MEDIA"/>
    <s v="MEDIA"/>
    <n v="64"/>
    <s v="cumple"/>
    <x v="5"/>
    <x v="3"/>
    <x v="700"/>
    <n v="4872"/>
    <x v="0"/>
  </r>
  <r>
    <x v="0"/>
    <x v="1"/>
    <x v="3"/>
    <x v="0"/>
    <x v="3"/>
    <x v="1"/>
    <x v="0"/>
    <x v="27"/>
    <x v="701"/>
    <x v="110"/>
    <x v="0"/>
    <x v="110"/>
    <x v="7"/>
    <x v="3"/>
    <x v="0"/>
    <x v="42"/>
    <x v="5"/>
    <x v="0"/>
    <s v="MEDIA"/>
    <s v="MEDIA"/>
    <n v="64"/>
    <s v="cumple"/>
    <x v="5"/>
    <x v="3"/>
    <x v="701"/>
    <n v="4872"/>
    <x v="0"/>
  </r>
  <r>
    <x v="0"/>
    <x v="1"/>
    <x v="3"/>
    <x v="0"/>
    <x v="3"/>
    <x v="1"/>
    <x v="0"/>
    <x v="27"/>
    <x v="702"/>
    <x v="111"/>
    <x v="0"/>
    <x v="111"/>
    <x v="7"/>
    <x v="3"/>
    <x v="0"/>
    <x v="42"/>
    <x v="5"/>
    <x v="0"/>
    <s v="MEDIA"/>
    <s v="MEDIA"/>
    <n v="64"/>
    <s v="cumple"/>
    <x v="5"/>
    <x v="3"/>
    <x v="702"/>
    <n v="4872"/>
    <x v="0"/>
  </r>
  <r>
    <x v="0"/>
    <x v="1"/>
    <x v="3"/>
    <x v="0"/>
    <x v="3"/>
    <x v="1"/>
    <x v="0"/>
    <x v="27"/>
    <x v="703"/>
    <x v="112"/>
    <x v="0"/>
    <x v="112"/>
    <x v="7"/>
    <x v="3"/>
    <x v="0"/>
    <x v="42"/>
    <x v="5"/>
    <x v="0"/>
    <s v="MEDIA"/>
    <s v="MEDIA"/>
    <n v="64"/>
    <s v="cumple"/>
    <x v="5"/>
    <x v="3"/>
    <x v="703"/>
    <n v="4872"/>
    <x v="0"/>
  </r>
  <r>
    <x v="0"/>
    <x v="1"/>
    <x v="3"/>
    <x v="0"/>
    <x v="3"/>
    <x v="1"/>
    <x v="0"/>
    <x v="27"/>
    <x v="704"/>
    <x v="113"/>
    <x v="0"/>
    <x v="113"/>
    <x v="7"/>
    <x v="3"/>
    <x v="0"/>
    <x v="42"/>
    <x v="5"/>
    <x v="0"/>
    <s v="MEDIA"/>
    <s v="MEDIA"/>
    <n v="64"/>
    <s v="cumple"/>
    <x v="5"/>
    <x v="3"/>
    <x v="704"/>
    <n v="4872"/>
    <x v="0"/>
  </r>
  <r>
    <x v="0"/>
    <x v="1"/>
    <x v="3"/>
    <x v="0"/>
    <x v="3"/>
    <x v="1"/>
    <x v="0"/>
    <x v="27"/>
    <x v="705"/>
    <x v="114"/>
    <x v="0"/>
    <x v="114"/>
    <x v="7"/>
    <x v="3"/>
    <x v="0"/>
    <x v="42"/>
    <x v="5"/>
    <x v="0"/>
    <s v="MEDIA"/>
    <s v="MEDIA"/>
    <n v="64"/>
    <s v="cumple"/>
    <x v="5"/>
    <x v="3"/>
    <x v="705"/>
    <n v="4872"/>
    <x v="0"/>
  </r>
  <r>
    <x v="0"/>
    <x v="1"/>
    <x v="3"/>
    <x v="0"/>
    <x v="3"/>
    <x v="1"/>
    <x v="0"/>
    <x v="27"/>
    <x v="706"/>
    <x v="115"/>
    <x v="0"/>
    <x v="115"/>
    <x v="7"/>
    <x v="3"/>
    <x v="0"/>
    <x v="42"/>
    <x v="5"/>
    <x v="0"/>
    <s v="MEDIA"/>
    <s v="MEDIA"/>
    <n v="64"/>
    <s v="cumple"/>
    <x v="5"/>
    <x v="3"/>
    <x v="706"/>
    <n v="4872"/>
    <x v="0"/>
  </r>
  <r>
    <x v="0"/>
    <x v="1"/>
    <x v="3"/>
    <x v="0"/>
    <x v="3"/>
    <x v="1"/>
    <x v="0"/>
    <x v="27"/>
    <x v="707"/>
    <x v="116"/>
    <x v="0"/>
    <x v="116"/>
    <x v="7"/>
    <x v="3"/>
    <x v="0"/>
    <x v="42"/>
    <x v="5"/>
    <x v="0"/>
    <s v="MEDIA"/>
    <s v="MEDIA"/>
    <n v="64"/>
    <s v="cumple"/>
    <x v="5"/>
    <x v="3"/>
    <x v="707"/>
    <n v="4872"/>
    <x v="0"/>
  </r>
  <r>
    <x v="0"/>
    <x v="1"/>
    <x v="3"/>
    <x v="0"/>
    <x v="3"/>
    <x v="1"/>
    <x v="0"/>
    <x v="27"/>
    <x v="708"/>
    <x v="117"/>
    <x v="0"/>
    <x v="117"/>
    <x v="7"/>
    <x v="3"/>
    <x v="0"/>
    <x v="42"/>
    <x v="5"/>
    <x v="0"/>
    <s v="MEDIA"/>
    <s v="MEDIA"/>
    <n v="64"/>
    <s v="cumple"/>
    <x v="5"/>
    <x v="3"/>
    <x v="708"/>
    <n v="4872"/>
    <x v="0"/>
  </r>
  <r>
    <x v="0"/>
    <x v="1"/>
    <x v="3"/>
    <x v="0"/>
    <x v="3"/>
    <x v="1"/>
    <x v="0"/>
    <x v="27"/>
    <x v="709"/>
    <x v="118"/>
    <x v="0"/>
    <x v="118"/>
    <x v="7"/>
    <x v="3"/>
    <x v="0"/>
    <x v="42"/>
    <x v="5"/>
    <x v="0"/>
    <s v="MEDIA"/>
    <s v="MEDIA"/>
    <n v="64"/>
    <s v="cumple"/>
    <x v="5"/>
    <x v="3"/>
    <x v="709"/>
    <n v="4872"/>
    <x v="0"/>
  </r>
  <r>
    <x v="0"/>
    <x v="1"/>
    <x v="3"/>
    <x v="0"/>
    <x v="3"/>
    <x v="1"/>
    <x v="0"/>
    <x v="27"/>
    <x v="710"/>
    <x v="119"/>
    <x v="0"/>
    <x v="119"/>
    <x v="7"/>
    <x v="3"/>
    <x v="0"/>
    <x v="42"/>
    <x v="5"/>
    <x v="0"/>
    <s v="MEDIA"/>
    <s v="MEDIA"/>
    <n v="64"/>
    <s v="cumple"/>
    <x v="5"/>
    <x v="3"/>
    <x v="710"/>
    <n v="4872"/>
    <x v="0"/>
  </r>
  <r>
    <x v="0"/>
    <x v="1"/>
    <x v="3"/>
    <x v="0"/>
    <x v="3"/>
    <x v="1"/>
    <x v="0"/>
    <x v="27"/>
    <x v="711"/>
    <x v="120"/>
    <x v="0"/>
    <x v="120"/>
    <x v="7"/>
    <x v="3"/>
    <x v="0"/>
    <x v="42"/>
    <x v="5"/>
    <x v="0"/>
    <s v="MEDIA"/>
    <s v="MEDIA"/>
    <n v="64"/>
    <s v="cumple"/>
    <x v="5"/>
    <x v="3"/>
    <x v="711"/>
    <n v="4872"/>
    <x v="0"/>
  </r>
  <r>
    <x v="0"/>
    <x v="1"/>
    <x v="3"/>
    <x v="0"/>
    <x v="3"/>
    <x v="1"/>
    <x v="0"/>
    <x v="27"/>
    <x v="712"/>
    <x v="121"/>
    <x v="0"/>
    <x v="121"/>
    <x v="7"/>
    <x v="3"/>
    <x v="0"/>
    <x v="42"/>
    <x v="5"/>
    <x v="0"/>
    <s v="MEDIA"/>
    <s v="MEDIA"/>
    <n v="64"/>
    <s v="cumple"/>
    <x v="5"/>
    <x v="3"/>
    <x v="712"/>
    <n v="4872"/>
    <x v="0"/>
  </r>
  <r>
    <x v="0"/>
    <x v="1"/>
    <x v="3"/>
    <x v="0"/>
    <x v="3"/>
    <x v="1"/>
    <x v="0"/>
    <x v="27"/>
    <x v="713"/>
    <x v="122"/>
    <x v="0"/>
    <x v="122"/>
    <x v="7"/>
    <x v="3"/>
    <x v="0"/>
    <x v="42"/>
    <x v="5"/>
    <x v="0"/>
    <s v="MEDIA"/>
    <s v="MEDIA"/>
    <n v="64"/>
    <s v="cumple"/>
    <x v="5"/>
    <x v="3"/>
    <x v="713"/>
    <n v="4872"/>
    <x v="0"/>
  </r>
  <r>
    <x v="0"/>
    <x v="1"/>
    <x v="3"/>
    <x v="0"/>
    <x v="3"/>
    <x v="1"/>
    <x v="0"/>
    <x v="27"/>
    <x v="714"/>
    <x v="123"/>
    <x v="0"/>
    <x v="123"/>
    <x v="7"/>
    <x v="3"/>
    <x v="0"/>
    <x v="42"/>
    <x v="5"/>
    <x v="0"/>
    <s v="MEDIA"/>
    <s v="MEDIA"/>
    <n v="64"/>
    <s v="cumple"/>
    <x v="5"/>
    <x v="3"/>
    <x v="714"/>
    <n v="4872"/>
    <x v="0"/>
  </r>
  <r>
    <x v="0"/>
    <x v="1"/>
    <x v="3"/>
    <x v="0"/>
    <x v="3"/>
    <x v="1"/>
    <x v="0"/>
    <x v="27"/>
    <x v="715"/>
    <x v="124"/>
    <x v="0"/>
    <x v="124"/>
    <x v="7"/>
    <x v="3"/>
    <x v="0"/>
    <x v="42"/>
    <x v="5"/>
    <x v="0"/>
    <s v="MEDIA"/>
    <s v="MEDIA"/>
    <n v="64"/>
    <s v="cumple"/>
    <x v="5"/>
    <x v="3"/>
    <x v="715"/>
    <n v="4872"/>
    <x v="0"/>
  </r>
  <r>
    <x v="1"/>
    <x v="0"/>
    <x v="4"/>
    <x v="0"/>
    <x v="16"/>
    <x v="3"/>
    <x v="4"/>
    <x v="203"/>
    <x v="716"/>
    <x v="118"/>
    <x v="0"/>
    <x v="118"/>
    <x v="0"/>
    <x v="0"/>
    <x v="1"/>
    <x v="37"/>
    <x v="13"/>
    <x v="7"/>
    <s v="MEDIA"/>
    <s v="MEDIA"/>
    <n v="64"/>
    <s v="cumple"/>
    <x v="5"/>
    <x v="4"/>
    <x v="716"/>
    <n v="5568"/>
    <x v="0"/>
  </r>
  <r>
    <x v="1"/>
    <x v="0"/>
    <x v="4"/>
    <x v="0"/>
    <x v="16"/>
    <x v="3"/>
    <x v="4"/>
    <x v="203"/>
    <x v="716"/>
    <x v="119"/>
    <x v="0"/>
    <x v="119"/>
    <x v="0"/>
    <x v="0"/>
    <x v="0"/>
    <x v="37"/>
    <x v="13"/>
    <x v="7"/>
    <s v="MEDIA"/>
    <s v="MEDIA"/>
    <n v="64"/>
    <s v="cumple"/>
    <x v="5"/>
    <x v="4"/>
    <x v="716"/>
    <n v="5568"/>
    <x v="0"/>
  </r>
  <r>
    <x v="1"/>
    <x v="0"/>
    <x v="4"/>
    <x v="0"/>
    <x v="16"/>
    <x v="3"/>
    <x v="4"/>
    <x v="204"/>
    <x v="717"/>
    <x v="120"/>
    <x v="0"/>
    <x v="120"/>
    <x v="0"/>
    <x v="0"/>
    <x v="0"/>
    <x v="37"/>
    <x v="13"/>
    <x v="7"/>
    <s v="MEDIA"/>
    <s v="MEDIA"/>
    <n v="64"/>
    <s v="cumple"/>
    <x v="5"/>
    <x v="4"/>
    <x v="717"/>
    <n v="5568"/>
    <x v="0"/>
  </r>
  <r>
    <x v="1"/>
    <x v="0"/>
    <x v="4"/>
    <x v="0"/>
    <x v="16"/>
    <x v="2"/>
    <x v="4"/>
    <x v="205"/>
    <x v="718"/>
    <x v="121"/>
    <x v="0"/>
    <x v="121"/>
    <x v="0"/>
    <x v="0"/>
    <x v="0"/>
    <x v="37"/>
    <x v="13"/>
    <x v="7"/>
    <s v="MEDIA"/>
    <s v="MEDIA"/>
    <n v="64"/>
    <s v="cumple"/>
    <x v="5"/>
    <x v="4"/>
    <x v="718"/>
    <n v="5568"/>
    <x v="0"/>
  </r>
  <r>
    <x v="1"/>
    <x v="0"/>
    <x v="4"/>
    <x v="0"/>
    <x v="16"/>
    <x v="2"/>
    <x v="4"/>
    <x v="206"/>
    <x v="719"/>
    <x v="122"/>
    <x v="0"/>
    <x v="122"/>
    <x v="0"/>
    <x v="0"/>
    <x v="0"/>
    <x v="37"/>
    <x v="13"/>
    <x v="7"/>
    <s v="MEDIA"/>
    <s v="MEDIA"/>
    <n v="64"/>
    <s v="cumple"/>
    <x v="5"/>
    <x v="4"/>
    <x v="719"/>
    <n v="5568"/>
    <x v="0"/>
  </r>
  <r>
    <x v="1"/>
    <x v="0"/>
    <x v="4"/>
    <x v="0"/>
    <x v="16"/>
    <x v="3"/>
    <x v="4"/>
    <x v="207"/>
    <x v="720"/>
    <x v="123"/>
    <x v="0"/>
    <x v="123"/>
    <x v="0"/>
    <x v="0"/>
    <x v="0"/>
    <x v="37"/>
    <x v="13"/>
    <x v="7"/>
    <s v="MEDIA"/>
    <s v="MEDIA"/>
    <n v="64"/>
    <s v="cumple"/>
    <x v="5"/>
    <x v="4"/>
    <x v="720"/>
    <n v="5568"/>
    <x v="0"/>
  </r>
  <r>
    <x v="1"/>
    <x v="0"/>
    <x v="4"/>
    <x v="0"/>
    <x v="16"/>
    <x v="3"/>
    <x v="4"/>
    <x v="208"/>
    <x v="721"/>
    <x v="129"/>
    <x v="0"/>
    <x v="129"/>
    <x v="19"/>
    <x v="17"/>
    <x v="1"/>
    <x v="37"/>
    <x v="13"/>
    <x v="7"/>
    <s v="MEDIA"/>
    <s v="MEDIA"/>
    <n v="64"/>
    <s v="cumple"/>
    <x v="5"/>
    <x v="4"/>
    <x v="721"/>
    <n v="5046"/>
    <x v="0"/>
  </r>
  <r>
    <x v="1"/>
    <x v="0"/>
    <x v="4"/>
    <x v="0"/>
    <x v="16"/>
    <x v="3"/>
    <x v="4"/>
    <x v="208"/>
    <x v="721"/>
    <x v="124"/>
    <x v="0"/>
    <x v="124"/>
    <x v="0"/>
    <x v="0"/>
    <x v="0"/>
    <x v="37"/>
    <x v="13"/>
    <x v="7"/>
    <s v="MEDIA"/>
    <s v="MEDIA"/>
    <n v="64"/>
    <s v="cumple"/>
    <x v="5"/>
    <x v="4"/>
    <x v="721"/>
    <n v="5568"/>
    <x v="0"/>
  </r>
  <r>
    <x v="1"/>
    <x v="0"/>
    <x v="4"/>
    <x v="0"/>
    <x v="16"/>
    <x v="2"/>
    <x v="4"/>
    <x v="209"/>
    <x v="722"/>
    <x v="125"/>
    <x v="0"/>
    <x v="125"/>
    <x v="0"/>
    <x v="0"/>
    <x v="0"/>
    <x v="37"/>
    <x v="13"/>
    <x v="7"/>
    <s v="MEDIA"/>
    <s v="MEDIA"/>
    <n v="64"/>
    <s v="cumple"/>
    <x v="5"/>
    <x v="4"/>
    <x v="722"/>
    <n v="5568"/>
    <x v="0"/>
  </r>
  <r>
    <x v="1"/>
    <x v="0"/>
    <x v="4"/>
    <x v="0"/>
    <x v="16"/>
    <x v="2"/>
    <x v="4"/>
    <x v="210"/>
    <x v="723"/>
    <x v="126"/>
    <x v="0"/>
    <x v="126"/>
    <x v="0"/>
    <x v="0"/>
    <x v="1"/>
    <x v="37"/>
    <x v="13"/>
    <x v="7"/>
    <s v="MEDIA"/>
    <s v="MEDIA"/>
    <n v="64"/>
    <s v="cumple"/>
    <x v="5"/>
    <x v="4"/>
    <x v="723"/>
    <n v="5568"/>
    <x v="0"/>
  </r>
  <r>
    <x v="1"/>
    <x v="0"/>
    <x v="4"/>
    <x v="0"/>
    <x v="16"/>
    <x v="2"/>
    <x v="4"/>
    <x v="210"/>
    <x v="723"/>
    <x v="127"/>
    <x v="0"/>
    <x v="127"/>
    <x v="0"/>
    <x v="0"/>
    <x v="0"/>
    <x v="37"/>
    <x v="13"/>
    <x v="7"/>
    <s v="MEDIA"/>
    <s v="MEDIA"/>
    <n v="64"/>
    <s v="cumple"/>
    <x v="5"/>
    <x v="4"/>
    <x v="723"/>
    <n v="5568"/>
    <x v="0"/>
  </r>
  <r>
    <x v="1"/>
    <x v="0"/>
    <x v="4"/>
    <x v="0"/>
    <x v="16"/>
    <x v="2"/>
    <x v="4"/>
    <x v="211"/>
    <x v="724"/>
    <x v="128"/>
    <x v="0"/>
    <x v="128"/>
    <x v="0"/>
    <x v="0"/>
    <x v="0"/>
    <x v="37"/>
    <x v="13"/>
    <x v="7"/>
    <s v="MEDIA"/>
    <s v="MEDIA"/>
    <n v="64"/>
    <s v="cumple"/>
    <x v="5"/>
    <x v="4"/>
    <x v="724"/>
    <n v="5568"/>
    <x v="0"/>
  </r>
  <r>
    <x v="0"/>
    <x v="1"/>
    <x v="4"/>
    <x v="0"/>
    <x v="11"/>
    <x v="1"/>
    <x v="0"/>
    <x v="40"/>
    <x v="725"/>
    <x v="107"/>
    <x v="0"/>
    <x v="107"/>
    <x v="0"/>
    <x v="0"/>
    <x v="1"/>
    <x v="68"/>
    <x v="2"/>
    <x v="0"/>
    <s v="MEDIA"/>
    <s v="MEDIA"/>
    <n v="64"/>
    <s v="cumple"/>
    <x v="5"/>
    <x v="4"/>
    <x v="725"/>
    <n v="6496"/>
    <x v="0"/>
  </r>
  <r>
    <x v="0"/>
    <x v="1"/>
    <x v="4"/>
    <x v="0"/>
    <x v="11"/>
    <x v="1"/>
    <x v="0"/>
    <x v="40"/>
    <x v="725"/>
    <x v="108"/>
    <x v="0"/>
    <x v="108"/>
    <x v="0"/>
    <x v="0"/>
    <x v="1"/>
    <x v="68"/>
    <x v="2"/>
    <x v="0"/>
    <s v="MEDIA"/>
    <s v="MEDIA"/>
    <n v="64"/>
    <s v="cumple"/>
    <x v="5"/>
    <x v="4"/>
    <x v="725"/>
    <n v="6496"/>
    <x v="0"/>
  </r>
  <r>
    <x v="0"/>
    <x v="1"/>
    <x v="4"/>
    <x v="0"/>
    <x v="11"/>
    <x v="1"/>
    <x v="0"/>
    <x v="40"/>
    <x v="725"/>
    <x v="109"/>
    <x v="0"/>
    <x v="109"/>
    <x v="0"/>
    <x v="0"/>
    <x v="1"/>
    <x v="68"/>
    <x v="2"/>
    <x v="0"/>
    <s v="MEDIA"/>
    <s v="MEDIA"/>
    <n v="64"/>
    <s v="cumple"/>
    <x v="5"/>
    <x v="4"/>
    <x v="725"/>
    <n v="6496"/>
    <x v="0"/>
  </r>
  <r>
    <x v="0"/>
    <x v="1"/>
    <x v="4"/>
    <x v="0"/>
    <x v="11"/>
    <x v="1"/>
    <x v="0"/>
    <x v="40"/>
    <x v="725"/>
    <x v="110"/>
    <x v="0"/>
    <x v="110"/>
    <x v="0"/>
    <x v="0"/>
    <x v="0"/>
    <x v="68"/>
    <x v="2"/>
    <x v="0"/>
    <s v="MEDIA"/>
    <s v="MEDIA"/>
    <n v="64"/>
    <s v="cumple"/>
    <x v="5"/>
    <x v="4"/>
    <x v="725"/>
    <n v="6496"/>
    <x v="0"/>
  </r>
  <r>
    <x v="0"/>
    <x v="1"/>
    <x v="4"/>
    <x v="0"/>
    <x v="11"/>
    <x v="1"/>
    <x v="0"/>
    <x v="40"/>
    <x v="726"/>
    <x v="111"/>
    <x v="0"/>
    <x v="111"/>
    <x v="0"/>
    <x v="0"/>
    <x v="0"/>
    <x v="68"/>
    <x v="2"/>
    <x v="0"/>
    <s v="MEDIA"/>
    <s v="MEDIA"/>
    <n v="64"/>
    <s v="cumple"/>
    <x v="5"/>
    <x v="4"/>
    <x v="726"/>
    <n v="6496"/>
    <x v="0"/>
  </r>
  <r>
    <x v="0"/>
    <x v="1"/>
    <x v="4"/>
    <x v="0"/>
    <x v="11"/>
    <x v="1"/>
    <x v="0"/>
    <x v="40"/>
    <x v="727"/>
    <x v="112"/>
    <x v="0"/>
    <x v="112"/>
    <x v="0"/>
    <x v="0"/>
    <x v="0"/>
    <x v="68"/>
    <x v="2"/>
    <x v="0"/>
    <s v="MEDIA"/>
    <s v="MEDIA"/>
    <n v="64"/>
    <s v="cumple"/>
    <x v="5"/>
    <x v="4"/>
    <x v="727"/>
    <n v="6496"/>
    <x v="0"/>
  </r>
  <r>
    <x v="0"/>
    <x v="1"/>
    <x v="4"/>
    <x v="0"/>
    <x v="11"/>
    <x v="1"/>
    <x v="0"/>
    <x v="40"/>
    <x v="728"/>
    <x v="113"/>
    <x v="0"/>
    <x v="113"/>
    <x v="0"/>
    <x v="0"/>
    <x v="0"/>
    <x v="68"/>
    <x v="2"/>
    <x v="0"/>
    <s v="MEDIA"/>
    <s v="MEDIA"/>
    <n v="64"/>
    <s v="cumple"/>
    <x v="5"/>
    <x v="4"/>
    <x v="728"/>
    <n v="6496"/>
    <x v="0"/>
  </r>
  <r>
    <x v="0"/>
    <x v="1"/>
    <x v="4"/>
    <x v="0"/>
    <x v="11"/>
    <x v="1"/>
    <x v="0"/>
    <x v="40"/>
    <x v="729"/>
    <x v="114"/>
    <x v="0"/>
    <x v="114"/>
    <x v="0"/>
    <x v="0"/>
    <x v="0"/>
    <x v="68"/>
    <x v="2"/>
    <x v="0"/>
    <s v="MEDIA"/>
    <s v="MEDIA"/>
    <n v="64"/>
    <s v="cumple"/>
    <x v="5"/>
    <x v="4"/>
    <x v="729"/>
    <n v="6496"/>
    <x v="0"/>
  </r>
  <r>
    <x v="0"/>
    <x v="1"/>
    <x v="4"/>
    <x v="0"/>
    <x v="11"/>
    <x v="1"/>
    <x v="0"/>
    <x v="40"/>
    <x v="730"/>
    <x v="115"/>
    <x v="0"/>
    <x v="115"/>
    <x v="0"/>
    <x v="0"/>
    <x v="1"/>
    <x v="68"/>
    <x v="2"/>
    <x v="0"/>
    <s v="MEDIA"/>
    <s v="MEDIA"/>
    <n v="64"/>
    <s v="cumple"/>
    <x v="5"/>
    <x v="4"/>
    <x v="730"/>
    <n v="6496"/>
    <x v="0"/>
  </r>
  <r>
    <x v="0"/>
    <x v="1"/>
    <x v="4"/>
    <x v="0"/>
    <x v="11"/>
    <x v="1"/>
    <x v="0"/>
    <x v="40"/>
    <x v="730"/>
    <x v="116"/>
    <x v="0"/>
    <x v="116"/>
    <x v="0"/>
    <x v="0"/>
    <x v="0"/>
    <x v="68"/>
    <x v="2"/>
    <x v="0"/>
    <s v="MEDIA"/>
    <s v="MEDIA"/>
    <n v="64"/>
    <s v="cumple"/>
    <x v="5"/>
    <x v="4"/>
    <x v="730"/>
    <n v="6496"/>
    <x v="0"/>
  </r>
  <r>
    <x v="0"/>
    <x v="1"/>
    <x v="4"/>
    <x v="0"/>
    <x v="11"/>
    <x v="1"/>
    <x v="0"/>
    <x v="212"/>
    <x v="731"/>
    <x v="117"/>
    <x v="0"/>
    <x v="117"/>
    <x v="0"/>
    <x v="0"/>
    <x v="0"/>
    <x v="68"/>
    <x v="2"/>
    <x v="0"/>
    <s v="MEDIA"/>
    <s v="MEDIA"/>
    <n v="64"/>
    <s v="cumple"/>
    <x v="5"/>
    <x v="4"/>
    <x v="731"/>
    <n v="6496"/>
    <x v="0"/>
  </r>
  <r>
    <x v="0"/>
    <x v="1"/>
    <x v="4"/>
    <x v="0"/>
    <x v="11"/>
    <x v="1"/>
    <x v="0"/>
    <x v="212"/>
    <x v="732"/>
    <x v="118"/>
    <x v="0"/>
    <x v="118"/>
    <x v="0"/>
    <x v="0"/>
    <x v="0"/>
    <x v="68"/>
    <x v="2"/>
    <x v="0"/>
    <s v="MEDIA"/>
    <s v="MEDIA"/>
    <n v="64"/>
    <s v="cumple"/>
    <x v="5"/>
    <x v="4"/>
    <x v="732"/>
    <n v="6496"/>
    <x v="0"/>
  </r>
  <r>
    <x v="0"/>
    <x v="1"/>
    <x v="4"/>
    <x v="0"/>
    <x v="11"/>
    <x v="1"/>
    <x v="0"/>
    <x v="213"/>
    <x v="733"/>
    <x v="119"/>
    <x v="0"/>
    <x v="119"/>
    <x v="0"/>
    <x v="0"/>
    <x v="0"/>
    <x v="68"/>
    <x v="2"/>
    <x v="0"/>
    <s v="MEDIA"/>
    <s v="MEDIA"/>
    <n v="64"/>
    <s v="cumple"/>
    <x v="5"/>
    <x v="4"/>
    <x v="733"/>
    <n v="6496"/>
    <x v="0"/>
  </r>
  <r>
    <x v="0"/>
    <x v="1"/>
    <x v="4"/>
    <x v="0"/>
    <x v="11"/>
    <x v="1"/>
    <x v="0"/>
    <x v="214"/>
    <x v="734"/>
    <x v="120"/>
    <x v="0"/>
    <x v="120"/>
    <x v="0"/>
    <x v="0"/>
    <x v="0"/>
    <x v="68"/>
    <x v="2"/>
    <x v="0"/>
    <s v="MEDIA"/>
    <s v="MEDIA"/>
    <n v="64"/>
    <s v="cumple"/>
    <x v="5"/>
    <x v="4"/>
    <x v="734"/>
    <n v="6496"/>
    <x v="0"/>
  </r>
  <r>
    <x v="0"/>
    <x v="1"/>
    <x v="4"/>
    <x v="0"/>
    <x v="11"/>
    <x v="1"/>
    <x v="0"/>
    <x v="214"/>
    <x v="735"/>
    <x v="121"/>
    <x v="0"/>
    <x v="121"/>
    <x v="0"/>
    <x v="0"/>
    <x v="0"/>
    <x v="68"/>
    <x v="2"/>
    <x v="0"/>
    <s v="MEDIA"/>
    <s v="MEDIA"/>
    <n v="64"/>
    <s v="cumple"/>
    <x v="5"/>
    <x v="4"/>
    <x v="735"/>
    <n v="6496"/>
    <x v="0"/>
  </r>
  <r>
    <x v="0"/>
    <x v="1"/>
    <x v="4"/>
    <x v="0"/>
    <x v="11"/>
    <x v="1"/>
    <x v="0"/>
    <x v="214"/>
    <x v="736"/>
    <x v="122"/>
    <x v="0"/>
    <x v="122"/>
    <x v="0"/>
    <x v="0"/>
    <x v="0"/>
    <x v="68"/>
    <x v="2"/>
    <x v="0"/>
    <s v="MEDIA"/>
    <s v="MEDIA"/>
    <n v="64"/>
    <s v="cumple"/>
    <x v="5"/>
    <x v="4"/>
    <x v="736"/>
    <n v="6496"/>
    <x v="0"/>
  </r>
  <r>
    <x v="0"/>
    <x v="1"/>
    <x v="4"/>
    <x v="0"/>
    <x v="11"/>
    <x v="1"/>
    <x v="0"/>
    <x v="215"/>
    <x v="737"/>
    <x v="123"/>
    <x v="0"/>
    <x v="123"/>
    <x v="0"/>
    <x v="0"/>
    <x v="0"/>
    <x v="68"/>
    <x v="2"/>
    <x v="0"/>
    <s v="MEDIA"/>
    <s v="MEDIA"/>
    <n v="64"/>
    <s v="cumple"/>
    <x v="5"/>
    <x v="4"/>
    <x v="737"/>
    <n v="6496"/>
    <x v="0"/>
  </r>
  <r>
    <x v="0"/>
    <x v="1"/>
    <x v="4"/>
    <x v="0"/>
    <x v="11"/>
    <x v="1"/>
    <x v="0"/>
    <x v="215"/>
    <x v="738"/>
    <x v="124"/>
    <x v="0"/>
    <x v="124"/>
    <x v="0"/>
    <x v="0"/>
    <x v="0"/>
    <x v="68"/>
    <x v="2"/>
    <x v="0"/>
    <s v="MEDIA"/>
    <s v="MEDIA"/>
    <n v="64"/>
    <s v="cumple"/>
    <x v="5"/>
    <x v="4"/>
    <x v="738"/>
    <n v="6496"/>
    <x v="0"/>
  </r>
  <r>
    <x v="0"/>
    <x v="1"/>
    <x v="4"/>
    <x v="0"/>
    <x v="11"/>
    <x v="1"/>
    <x v="0"/>
    <x v="215"/>
    <x v="739"/>
    <x v="125"/>
    <x v="0"/>
    <x v="125"/>
    <x v="0"/>
    <x v="0"/>
    <x v="0"/>
    <x v="68"/>
    <x v="2"/>
    <x v="0"/>
    <s v="MEDIA"/>
    <s v="MEDIA"/>
    <n v="64"/>
    <s v="cumple"/>
    <x v="5"/>
    <x v="4"/>
    <x v="739"/>
    <n v="6496"/>
    <x v="0"/>
  </r>
  <r>
    <x v="0"/>
    <x v="1"/>
    <x v="4"/>
    <x v="0"/>
    <x v="11"/>
    <x v="1"/>
    <x v="0"/>
    <x v="216"/>
    <x v="740"/>
    <x v="126"/>
    <x v="0"/>
    <x v="126"/>
    <x v="0"/>
    <x v="0"/>
    <x v="1"/>
    <x v="42"/>
    <x v="2"/>
    <x v="0"/>
    <s v="MEDIA"/>
    <s v="MEDIA"/>
    <n v="64"/>
    <s v="cumple"/>
    <x v="5"/>
    <x v="4"/>
    <x v="740"/>
    <n v="6496"/>
    <x v="0"/>
  </r>
  <r>
    <x v="0"/>
    <x v="1"/>
    <x v="4"/>
    <x v="0"/>
    <x v="11"/>
    <x v="1"/>
    <x v="0"/>
    <x v="216"/>
    <x v="740"/>
    <x v="127"/>
    <x v="0"/>
    <x v="127"/>
    <x v="0"/>
    <x v="0"/>
    <x v="0"/>
    <x v="42"/>
    <x v="2"/>
    <x v="0"/>
    <s v="MEDIA"/>
    <s v="MEDIA"/>
    <n v="64"/>
    <s v="cumple"/>
    <x v="5"/>
    <x v="4"/>
    <x v="740"/>
    <n v="6496"/>
    <x v="0"/>
  </r>
  <r>
    <x v="0"/>
    <x v="1"/>
    <x v="4"/>
    <x v="0"/>
    <x v="11"/>
    <x v="1"/>
    <x v="0"/>
    <x v="217"/>
    <x v="741"/>
    <x v="128"/>
    <x v="0"/>
    <x v="128"/>
    <x v="0"/>
    <x v="0"/>
    <x v="0"/>
    <x v="68"/>
    <x v="2"/>
    <x v="0"/>
    <s v="MEDIA"/>
    <s v="MEDIA"/>
    <n v="64"/>
    <s v="cumple"/>
    <x v="5"/>
    <x v="4"/>
    <x v="741"/>
    <n v="6496"/>
    <x v="0"/>
  </r>
  <r>
    <x v="0"/>
    <x v="1"/>
    <x v="3"/>
    <x v="0"/>
    <x v="3"/>
    <x v="1"/>
    <x v="0"/>
    <x v="27"/>
    <x v="742"/>
    <x v="130"/>
    <x v="0"/>
    <x v="130"/>
    <x v="0"/>
    <x v="0"/>
    <x v="0"/>
    <x v="42"/>
    <x v="11"/>
    <x v="0"/>
    <s v="MEDIA"/>
    <s v="MEDIA"/>
    <n v="64"/>
    <s v="cumple"/>
    <x v="6"/>
    <x v="3"/>
    <x v="742"/>
    <n v="6496"/>
    <x v="0"/>
  </r>
  <r>
    <x v="0"/>
    <x v="1"/>
    <x v="3"/>
    <x v="0"/>
    <x v="3"/>
    <x v="1"/>
    <x v="0"/>
    <x v="27"/>
    <x v="743"/>
    <x v="131"/>
    <x v="0"/>
    <x v="131"/>
    <x v="0"/>
    <x v="0"/>
    <x v="0"/>
    <x v="42"/>
    <x v="11"/>
    <x v="0"/>
    <s v="MEDIA"/>
    <s v="MEDIA"/>
    <n v="64"/>
    <s v="cumple"/>
    <x v="6"/>
    <x v="3"/>
    <x v="743"/>
    <n v="6496"/>
    <x v="0"/>
  </r>
  <r>
    <x v="0"/>
    <x v="1"/>
    <x v="3"/>
    <x v="0"/>
    <x v="3"/>
    <x v="1"/>
    <x v="0"/>
    <x v="27"/>
    <x v="744"/>
    <x v="132"/>
    <x v="0"/>
    <x v="132"/>
    <x v="0"/>
    <x v="0"/>
    <x v="0"/>
    <x v="42"/>
    <x v="11"/>
    <x v="0"/>
    <s v="MEDIA"/>
    <s v="MEDIA"/>
    <n v="64"/>
    <s v="cumple"/>
    <x v="6"/>
    <x v="3"/>
    <x v="744"/>
    <n v="6496"/>
    <x v="0"/>
  </r>
  <r>
    <x v="0"/>
    <x v="1"/>
    <x v="3"/>
    <x v="0"/>
    <x v="3"/>
    <x v="1"/>
    <x v="0"/>
    <x v="27"/>
    <x v="745"/>
    <x v="133"/>
    <x v="0"/>
    <x v="133"/>
    <x v="0"/>
    <x v="0"/>
    <x v="0"/>
    <x v="42"/>
    <x v="11"/>
    <x v="0"/>
    <s v="MEDIA"/>
    <s v="MEDIA"/>
    <n v="64"/>
    <s v="cumple"/>
    <x v="6"/>
    <x v="3"/>
    <x v="745"/>
    <n v="6496"/>
    <x v="0"/>
  </r>
  <r>
    <x v="0"/>
    <x v="1"/>
    <x v="3"/>
    <x v="0"/>
    <x v="3"/>
    <x v="1"/>
    <x v="0"/>
    <x v="27"/>
    <x v="746"/>
    <x v="134"/>
    <x v="0"/>
    <x v="134"/>
    <x v="0"/>
    <x v="0"/>
    <x v="0"/>
    <x v="42"/>
    <x v="11"/>
    <x v="0"/>
    <s v="MEDIA"/>
    <s v="MEDIA"/>
    <n v="64"/>
    <s v="cumple"/>
    <x v="6"/>
    <x v="3"/>
    <x v="746"/>
    <n v="6496"/>
    <x v="0"/>
  </r>
  <r>
    <x v="0"/>
    <x v="1"/>
    <x v="3"/>
    <x v="0"/>
    <x v="3"/>
    <x v="1"/>
    <x v="0"/>
    <x v="27"/>
    <x v="747"/>
    <x v="135"/>
    <x v="0"/>
    <x v="135"/>
    <x v="0"/>
    <x v="0"/>
    <x v="0"/>
    <x v="42"/>
    <x v="11"/>
    <x v="0"/>
    <s v="MEDIA"/>
    <s v="MEDIA"/>
    <n v="64"/>
    <s v="cumple"/>
    <x v="6"/>
    <x v="3"/>
    <x v="747"/>
    <n v="6496"/>
    <x v="0"/>
  </r>
  <r>
    <x v="0"/>
    <x v="1"/>
    <x v="3"/>
    <x v="0"/>
    <x v="3"/>
    <x v="1"/>
    <x v="0"/>
    <x v="27"/>
    <x v="748"/>
    <x v="136"/>
    <x v="0"/>
    <x v="136"/>
    <x v="5"/>
    <x v="7"/>
    <x v="0"/>
    <x v="42"/>
    <x v="11"/>
    <x v="0"/>
    <s v="MEDIA"/>
    <s v="MEDIA"/>
    <n v="64"/>
    <s v="cumple"/>
    <x v="6"/>
    <x v="3"/>
    <x v="748"/>
    <n v="3248"/>
    <x v="0"/>
  </r>
  <r>
    <x v="0"/>
    <x v="1"/>
    <x v="3"/>
    <x v="0"/>
    <x v="3"/>
    <x v="1"/>
    <x v="0"/>
    <x v="27"/>
    <x v="749"/>
    <x v="137"/>
    <x v="0"/>
    <x v="137"/>
    <x v="5"/>
    <x v="7"/>
    <x v="0"/>
    <x v="42"/>
    <x v="11"/>
    <x v="0"/>
    <s v="MEDIA"/>
    <s v="MEDIA"/>
    <n v="64"/>
    <s v="cumple"/>
    <x v="6"/>
    <x v="3"/>
    <x v="749"/>
    <n v="3248"/>
    <x v="0"/>
  </r>
  <r>
    <x v="0"/>
    <x v="1"/>
    <x v="3"/>
    <x v="0"/>
    <x v="3"/>
    <x v="1"/>
    <x v="0"/>
    <x v="27"/>
    <x v="715"/>
    <x v="138"/>
    <x v="0"/>
    <x v="138"/>
    <x v="0"/>
    <x v="0"/>
    <x v="0"/>
    <x v="42"/>
    <x v="11"/>
    <x v="0"/>
    <s v="MEDIA"/>
    <s v="MEDIA"/>
    <n v="64"/>
    <s v="cumple"/>
    <x v="6"/>
    <x v="3"/>
    <x v="715"/>
    <n v="6496"/>
    <x v="0"/>
  </r>
  <r>
    <x v="0"/>
    <x v="1"/>
    <x v="3"/>
    <x v="0"/>
    <x v="3"/>
    <x v="1"/>
    <x v="0"/>
    <x v="27"/>
    <x v="750"/>
    <x v="139"/>
    <x v="0"/>
    <x v="139"/>
    <x v="0"/>
    <x v="0"/>
    <x v="0"/>
    <x v="42"/>
    <x v="11"/>
    <x v="0"/>
    <s v="MEDIA"/>
    <s v="MEDIA"/>
    <n v="64"/>
    <s v="cumple"/>
    <x v="6"/>
    <x v="3"/>
    <x v="750"/>
    <n v="6496"/>
    <x v="0"/>
  </r>
  <r>
    <x v="0"/>
    <x v="1"/>
    <x v="3"/>
    <x v="0"/>
    <x v="3"/>
    <x v="1"/>
    <x v="0"/>
    <x v="27"/>
    <x v="751"/>
    <x v="140"/>
    <x v="0"/>
    <x v="140"/>
    <x v="5"/>
    <x v="7"/>
    <x v="0"/>
    <x v="42"/>
    <x v="11"/>
    <x v="0"/>
    <s v="MEDIA"/>
    <s v="MEDIA"/>
    <n v="64"/>
    <s v="cumple"/>
    <x v="6"/>
    <x v="3"/>
    <x v="751"/>
    <n v="3248"/>
    <x v="0"/>
  </r>
  <r>
    <x v="0"/>
    <x v="1"/>
    <x v="3"/>
    <x v="0"/>
    <x v="3"/>
    <x v="1"/>
    <x v="0"/>
    <x v="27"/>
    <x v="752"/>
    <x v="141"/>
    <x v="0"/>
    <x v="141"/>
    <x v="0"/>
    <x v="0"/>
    <x v="0"/>
    <x v="42"/>
    <x v="11"/>
    <x v="0"/>
    <s v="MEDIA"/>
    <s v="MEDIA"/>
    <n v="64"/>
    <s v="cumple"/>
    <x v="6"/>
    <x v="3"/>
    <x v="752"/>
    <n v="6496"/>
    <x v="0"/>
  </r>
  <r>
    <x v="0"/>
    <x v="1"/>
    <x v="3"/>
    <x v="0"/>
    <x v="3"/>
    <x v="1"/>
    <x v="0"/>
    <x v="27"/>
    <x v="753"/>
    <x v="142"/>
    <x v="0"/>
    <x v="142"/>
    <x v="0"/>
    <x v="0"/>
    <x v="0"/>
    <x v="42"/>
    <x v="11"/>
    <x v="0"/>
    <s v="MEDIA"/>
    <s v="MEDIA"/>
    <n v="64"/>
    <s v="cumple"/>
    <x v="6"/>
    <x v="3"/>
    <x v="753"/>
    <n v="6496"/>
    <x v="0"/>
  </r>
  <r>
    <x v="0"/>
    <x v="1"/>
    <x v="3"/>
    <x v="0"/>
    <x v="3"/>
    <x v="1"/>
    <x v="0"/>
    <x v="27"/>
    <x v="754"/>
    <x v="143"/>
    <x v="0"/>
    <x v="143"/>
    <x v="0"/>
    <x v="0"/>
    <x v="0"/>
    <x v="42"/>
    <x v="11"/>
    <x v="0"/>
    <s v="MEDIA"/>
    <s v="MEDIA"/>
    <n v="64"/>
    <s v="cumple"/>
    <x v="6"/>
    <x v="3"/>
    <x v="754"/>
    <n v="6496"/>
    <x v="0"/>
  </r>
  <r>
    <x v="0"/>
    <x v="1"/>
    <x v="3"/>
    <x v="0"/>
    <x v="3"/>
    <x v="1"/>
    <x v="0"/>
    <x v="27"/>
    <x v="755"/>
    <x v="144"/>
    <x v="0"/>
    <x v="144"/>
    <x v="0"/>
    <x v="0"/>
    <x v="0"/>
    <x v="42"/>
    <x v="11"/>
    <x v="0"/>
    <s v="MEDIA"/>
    <s v="MEDIA"/>
    <n v="64"/>
    <s v="cumple"/>
    <x v="6"/>
    <x v="3"/>
    <x v="755"/>
    <n v="6496"/>
    <x v="0"/>
  </r>
  <r>
    <x v="0"/>
    <x v="1"/>
    <x v="3"/>
    <x v="0"/>
    <x v="3"/>
    <x v="1"/>
    <x v="0"/>
    <x v="27"/>
    <x v="756"/>
    <x v="145"/>
    <x v="0"/>
    <x v="145"/>
    <x v="5"/>
    <x v="7"/>
    <x v="0"/>
    <x v="42"/>
    <x v="11"/>
    <x v="0"/>
    <s v="MEDIA"/>
    <s v="MEDIA"/>
    <n v="64"/>
    <s v="cumple"/>
    <x v="6"/>
    <x v="3"/>
    <x v="756"/>
    <n v="3248"/>
    <x v="0"/>
  </r>
  <r>
    <x v="0"/>
    <x v="1"/>
    <x v="3"/>
    <x v="0"/>
    <x v="3"/>
    <x v="1"/>
    <x v="0"/>
    <x v="27"/>
    <x v="757"/>
    <x v="146"/>
    <x v="0"/>
    <x v="146"/>
    <x v="5"/>
    <x v="7"/>
    <x v="0"/>
    <x v="42"/>
    <x v="11"/>
    <x v="0"/>
    <s v="MEDIA"/>
    <s v="MEDIA"/>
    <n v="64"/>
    <s v="cumple"/>
    <x v="6"/>
    <x v="3"/>
    <x v="757"/>
    <n v="3248"/>
    <x v="0"/>
  </r>
  <r>
    <x v="0"/>
    <x v="1"/>
    <x v="3"/>
    <x v="0"/>
    <x v="3"/>
    <x v="1"/>
    <x v="0"/>
    <x v="27"/>
    <x v="715"/>
    <x v="147"/>
    <x v="0"/>
    <x v="147"/>
    <x v="0"/>
    <x v="0"/>
    <x v="0"/>
    <x v="42"/>
    <x v="11"/>
    <x v="0"/>
    <s v="MEDIA"/>
    <s v="MEDIA"/>
    <n v="64"/>
    <s v="cumple"/>
    <x v="6"/>
    <x v="3"/>
    <x v="715"/>
    <n v="6496"/>
    <x v="0"/>
  </r>
  <r>
    <x v="0"/>
    <x v="1"/>
    <x v="3"/>
    <x v="0"/>
    <x v="17"/>
    <x v="1"/>
    <x v="0"/>
    <x v="27"/>
    <x v="758"/>
    <x v="130"/>
    <x v="0"/>
    <x v="130"/>
    <x v="0"/>
    <x v="0"/>
    <x v="0"/>
    <x v="149"/>
    <x v="5"/>
    <x v="0"/>
    <s v="MEDIA"/>
    <s v="MEDIA"/>
    <n v="64"/>
    <s v="cumple"/>
    <x v="6"/>
    <x v="3"/>
    <x v="758"/>
    <n v="6496"/>
    <x v="0"/>
  </r>
  <r>
    <x v="0"/>
    <x v="1"/>
    <x v="3"/>
    <x v="0"/>
    <x v="17"/>
    <x v="1"/>
    <x v="0"/>
    <x v="27"/>
    <x v="759"/>
    <x v="131"/>
    <x v="0"/>
    <x v="131"/>
    <x v="0"/>
    <x v="0"/>
    <x v="0"/>
    <x v="149"/>
    <x v="5"/>
    <x v="0"/>
    <s v="MEDIA"/>
    <s v="MEDIA"/>
    <n v="64"/>
    <s v="cumple"/>
    <x v="6"/>
    <x v="3"/>
    <x v="759"/>
    <n v="6496"/>
    <x v="0"/>
  </r>
  <r>
    <x v="0"/>
    <x v="1"/>
    <x v="3"/>
    <x v="0"/>
    <x v="17"/>
    <x v="1"/>
    <x v="0"/>
    <x v="27"/>
    <x v="760"/>
    <x v="132"/>
    <x v="0"/>
    <x v="132"/>
    <x v="0"/>
    <x v="0"/>
    <x v="0"/>
    <x v="149"/>
    <x v="5"/>
    <x v="0"/>
    <s v="MEDIA"/>
    <s v="MEDIA"/>
    <n v="64"/>
    <s v="cumple"/>
    <x v="6"/>
    <x v="3"/>
    <x v="760"/>
    <n v="6496"/>
    <x v="0"/>
  </r>
  <r>
    <x v="0"/>
    <x v="1"/>
    <x v="3"/>
    <x v="0"/>
    <x v="17"/>
    <x v="1"/>
    <x v="0"/>
    <x v="27"/>
    <x v="761"/>
    <x v="133"/>
    <x v="0"/>
    <x v="133"/>
    <x v="0"/>
    <x v="0"/>
    <x v="0"/>
    <x v="149"/>
    <x v="5"/>
    <x v="0"/>
    <s v="MEDIA"/>
    <s v="MEDIA"/>
    <n v="64"/>
    <s v="cumple"/>
    <x v="6"/>
    <x v="3"/>
    <x v="761"/>
    <n v="6496"/>
    <x v="0"/>
  </r>
  <r>
    <x v="0"/>
    <x v="1"/>
    <x v="3"/>
    <x v="0"/>
    <x v="17"/>
    <x v="1"/>
    <x v="0"/>
    <x v="27"/>
    <x v="762"/>
    <x v="134"/>
    <x v="0"/>
    <x v="134"/>
    <x v="0"/>
    <x v="0"/>
    <x v="0"/>
    <x v="149"/>
    <x v="5"/>
    <x v="0"/>
    <s v="MEDIA"/>
    <s v="MEDIA"/>
    <n v="64"/>
    <s v="cumple"/>
    <x v="6"/>
    <x v="3"/>
    <x v="762"/>
    <n v="6496"/>
    <x v="0"/>
  </r>
  <r>
    <x v="0"/>
    <x v="1"/>
    <x v="3"/>
    <x v="0"/>
    <x v="17"/>
    <x v="1"/>
    <x v="0"/>
    <x v="27"/>
    <x v="763"/>
    <x v="135"/>
    <x v="0"/>
    <x v="135"/>
    <x v="0"/>
    <x v="0"/>
    <x v="0"/>
    <x v="149"/>
    <x v="5"/>
    <x v="0"/>
    <s v="MEDIA"/>
    <s v="MEDIA"/>
    <n v="64"/>
    <s v="cumple"/>
    <x v="6"/>
    <x v="3"/>
    <x v="763"/>
    <n v="6496"/>
    <x v="0"/>
  </r>
  <r>
    <x v="0"/>
    <x v="1"/>
    <x v="3"/>
    <x v="0"/>
    <x v="17"/>
    <x v="1"/>
    <x v="0"/>
    <x v="27"/>
    <x v="764"/>
    <x v="136"/>
    <x v="0"/>
    <x v="136"/>
    <x v="0"/>
    <x v="0"/>
    <x v="1"/>
    <x v="149"/>
    <x v="5"/>
    <x v="0"/>
    <s v="MEDIA"/>
    <s v="MEDIA"/>
    <n v="64"/>
    <s v="cumple"/>
    <x v="6"/>
    <x v="3"/>
    <x v="764"/>
    <n v="6496"/>
    <x v="0"/>
  </r>
  <r>
    <x v="0"/>
    <x v="1"/>
    <x v="3"/>
    <x v="0"/>
    <x v="17"/>
    <x v="1"/>
    <x v="0"/>
    <x v="27"/>
    <x v="764"/>
    <x v="137"/>
    <x v="0"/>
    <x v="137"/>
    <x v="0"/>
    <x v="0"/>
    <x v="1"/>
    <x v="149"/>
    <x v="5"/>
    <x v="0"/>
    <s v="MEDIA"/>
    <s v="MEDIA"/>
    <n v="64"/>
    <s v="cumple"/>
    <x v="6"/>
    <x v="3"/>
    <x v="764"/>
    <n v="6496"/>
    <x v="0"/>
  </r>
  <r>
    <x v="0"/>
    <x v="1"/>
    <x v="3"/>
    <x v="0"/>
    <x v="17"/>
    <x v="1"/>
    <x v="0"/>
    <x v="27"/>
    <x v="764"/>
    <x v="138"/>
    <x v="0"/>
    <x v="138"/>
    <x v="0"/>
    <x v="0"/>
    <x v="1"/>
    <x v="149"/>
    <x v="5"/>
    <x v="0"/>
    <s v="MEDIA"/>
    <s v="MEDIA"/>
    <n v="64"/>
    <s v="cumple"/>
    <x v="6"/>
    <x v="3"/>
    <x v="764"/>
    <n v="6496"/>
    <x v="0"/>
  </r>
  <r>
    <x v="0"/>
    <x v="1"/>
    <x v="3"/>
    <x v="0"/>
    <x v="17"/>
    <x v="1"/>
    <x v="0"/>
    <x v="27"/>
    <x v="764"/>
    <x v="139"/>
    <x v="0"/>
    <x v="139"/>
    <x v="0"/>
    <x v="0"/>
    <x v="0"/>
    <x v="149"/>
    <x v="5"/>
    <x v="0"/>
    <s v="MEDIA"/>
    <s v="MEDIA"/>
    <n v="64"/>
    <s v="cumple"/>
    <x v="6"/>
    <x v="3"/>
    <x v="764"/>
    <n v="6496"/>
    <x v="0"/>
  </r>
  <r>
    <x v="0"/>
    <x v="1"/>
    <x v="3"/>
    <x v="0"/>
    <x v="17"/>
    <x v="1"/>
    <x v="0"/>
    <x v="27"/>
    <x v="765"/>
    <x v="140"/>
    <x v="0"/>
    <x v="140"/>
    <x v="0"/>
    <x v="11"/>
    <x v="1"/>
    <x v="149"/>
    <x v="5"/>
    <x v="0"/>
    <s v="MEDIA"/>
    <s v="MEDIA"/>
    <n v="64"/>
    <s v="cumple"/>
    <x v="6"/>
    <x v="3"/>
    <x v="765"/>
    <n v="7307.9999999999991"/>
    <x v="0"/>
  </r>
  <r>
    <x v="0"/>
    <x v="1"/>
    <x v="3"/>
    <x v="0"/>
    <x v="17"/>
    <x v="1"/>
    <x v="0"/>
    <x v="27"/>
    <x v="765"/>
    <x v="141"/>
    <x v="0"/>
    <x v="141"/>
    <x v="0"/>
    <x v="0"/>
    <x v="1"/>
    <x v="149"/>
    <x v="5"/>
    <x v="0"/>
    <s v="MEDIA"/>
    <s v="MEDIA"/>
    <n v="64"/>
    <s v="cumple"/>
    <x v="6"/>
    <x v="3"/>
    <x v="765"/>
    <n v="6496"/>
    <x v="0"/>
  </r>
  <r>
    <x v="0"/>
    <x v="1"/>
    <x v="3"/>
    <x v="0"/>
    <x v="17"/>
    <x v="1"/>
    <x v="0"/>
    <x v="27"/>
    <x v="765"/>
    <x v="142"/>
    <x v="0"/>
    <x v="142"/>
    <x v="0"/>
    <x v="0"/>
    <x v="1"/>
    <x v="149"/>
    <x v="5"/>
    <x v="0"/>
    <s v="MEDIA"/>
    <s v="MEDIA"/>
    <n v="64"/>
    <s v="cumple"/>
    <x v="6"/>
    <x v="3"/>
    <x v="765"/>
    <n v="6496"/>
    <x v="0"/>
  </r>
  <r>
    <x v="0"/>
    <x v="1"/>
    <x v="3"/>
    <x v="0"/>
    <x v="17"/>
    <x v="1"/>
    <x v="0"/>
    <x v="27"/>
    <x v="765"/>
    <x v="143"/>
    <x v="0"/>
    <x v="143"/>
    <x v="0"/>
    <x v="0"/>
    <x v="1"/>
    <x v="149"/>
    <x v="5"/>
    <x v="0"/>
    <s v="MEDIA"/>
    <s v="MEDIA"/>
    <n v="64"/>
    <s v="cumple"/>
    <x v="6"/>
    <x v="3"/>
    <x v="765"/>
    <n v="6496"/>
    <x v="0"/>
  </r>
  <r>
    <x v="0"/>
    <x v="1"/>
    <x v="3"/>
    <x v="0"/>
    <x v="17"/>
    <x v="1"/>
    <x v="0"/>
    <x v="27"/>
    <x v="765"/>
    <x v="144"/>
    <x v="0"/>
    <x v="144"/>
    <x v="0"/>
    <x v="0"/>
    <x v="0"/>
    <x v="149"/>
    <x v="5"/>
    <x v="0"/>
    <s v="MEDIA"/>
    <s v="MEDIA"/>
    <n v="64"/>
    <s v="cumple"/>
    <x v="6"/>
    <x v="3"/>
    <x v="765"/>
    <n v="6496"/>
    <x v="0"/>
  </r>
  <r>
    <x v="0"/>
    <x v="0"/>
    <x v="2"/>
    <x v="0"/>
    <x v="6"/>
    <x v="5"/>
    <x v="1"/>
    <x v="39"/>
    <x v="766"/>
    <x v="130"/>
    <x v="0"/>
    <x v="130"/>
    <x v="0"/>
    <x v="0"/>
    <x v="1"/>
    <x v="150"/>
    <x v="3"/>
    <x v="1"/>
    <s v="MEDIA"/>
    <s v="MEDIA"/>
    <n v="64"/>
    <s v="cumple"/>
    <x v="6"/>
    <x v="2"/>
    <x v="766"/>
    <n v="4640"/>
    <x v="0"/>
  </r>
  <r>
    <x v="0"/>
    <x v="0"/>
    <x v="2"/>
    <x v="0"/>
    <x v="6"/>
    <x v="5"/>
    <x v="1"/>
    <x v="39"/>
    <x v="766"/>
    <x v="131"/>
    <x v="0"/>
    <x v="131"/>
    <x v="0"/>
    <x v="0"/>
    <x v="1"/>
    <x v="150"/>
    <x v="3"/>
    <x v="1"/>
    <s v="MEDIA"/>
    <s v="MEDIA"/>
    <n v="64"/>
    <s v="cumple"/>
    <x v="6"/>
    <x v="2"/>
    <x v="766"/>
    <n v="4640"/>
    <x v="0"/>
  </r>
  <r>
    <x v="0"/>
    <x v="0"/>
    <x v="2"/>
    <x v="0"/>
    <x v="6"/>
    <x v="5"/>
    <x v="1"/>
    <x v="39"/>
    <x v="766"/>
    <x v="132"/>
    <x v="0"/>
    <x v="132"/>
    <x v="3"/>
    <x v="4"/>
    <x v="0"/>
    <x v="150"/>
    <x v="3"/>
    <x v="1"/>
    <s v="MEDIA"/>
    <s v="MEDIA"/>
    <n v="64"/>
    <s v="cumple"/>
    <x v="6"/>
    <x v="2"/>
    <x v="766"/>
    <n v="1160"/>
    <x v="0"/>
  </r>
  <r>
    <x v="0"/>
    <x v="0"/>
    <x v="2"/>
    <x v="0"/>
    <x v="6"/>
    <x v="5"/>
    <x v="1"/>
    <x v="39"/>
    <x v="767"/>
    <x v="132"/>
    <x v="4"/>
    <x v="132"/>
    <x v="7"/>
    <x v="7"/>
    <x v="0"/>
    <x v="151"/>
    <x v="3"/>
    <x v="1"/>
    <s v="MEDIA"/>
    <s v="MEDIA"/>
    <n v="64"/>
    <s v="cumple"/>
    <x v="6"/>
    <x v="2"/>
    <x v="767"/>
    <n v="2320"/>
    <x v="0"/>
  </r>
  <r>
    <x v="0"/>
    <x v="0"/>
    <x v="2"/>
    <x v="0"/>
    <x v="6"/>
    <x v="5"/>
    <x v="1"/>
    <x v="39"/>
    <x v="768"/>
    <x v="132"/>
    <x v="7"/>
    <x v="132"/>
    <x v="0"/>
    <x v="5"/>
    <x v="0"/>
    <x v="152"/>
    <x v="3"/>
    <x v="1"/>
    <s v="MEDIA"/>
    <s v="MEDIA"/>
    <n v="64"/>
    <s v="cumple"/>
    <x v="6"/>
    <x v="2"/>
    <x v="768"/>
    <n v="1739.9999999999998"/>
    <x v="0"/>
  </r>
  <r>
    <x v="0"/>
    <x v="0"/>
    <x v="2"/>
    <x v="0"/>
    <x v="6"/>
    <x v="5"/>
    <x v="1"/>
    <x v="39"/>
    <x v="769"/>
    <x v="133"/>
    <x v="0"/>
    <x v="133"/>
    <x v="3"/>
    <x v="4"/>
    <x v="0"/>
    <x v="153"/>
    <x v="3"/>
    <x v="1"/>
    <s v="MEDIA"/>
    <s v="MEDIA"/>
    <n v="64"/>
    <s v="cumple"/>
    <x v="6"/>
    <x v="2"/>
    <x v="769"/>
    <n v="1160"/>
    <x v="0"/>
  </r>
  <r>
    <x v="0"/>
    <x v="5"/>
    <x v="2"/>
    <x v="0"/>
    <x v="6"/>
    <x v="5"/>
    <x v="1"/>
    <x v="39"/>
    <x v="770"/>
    <x v="133"/>
    <x v="4"/>
    <x v="133"/>
    <x v="2"/>
    <x v="7"/>
    <x v="0"/>
    <x v="154"/>
    <x v="3"/>
    <x v="1"/>
    <s v="MEDIA"/>
    <s v="MEDIA"/>
    <n v="64"/>
    <s v="cumple"/>
    <x v="6"/>
    <x v="2"/>
    <x v="770"/>
    <n v="2320"/>
    <x v="0"/>
  </r>
  <r>
    <x v="0"/>
    <x v="5"/>
    <x v="2"/>
    <x v="0"/>
    <x v="6"/>
    <x v="5"/>
    <x v="1"/>
    <x v="39"/>
    <x v="322"/>
    <x v="133"/>
    <x v="2"/>
    <x v="133"/>
    <x v="0"/>
    <x v="4"/>
    <x v="0"/>
    <x v="155"/>
    <x v="3"/>
    <x v="1"/>
    <s v="MEDIA"/>
    <s v="MEDIA"/>
    <n v="64"/>
    <s v="cumple"/>
    <x v="6"/>
    <x v="2"/>
    <x v="322"/>
    <n v="1160"/>
    <x v="0"/>
  </r>
  <r>
    <x v="0"/>
    <x v="5"/>
    <x v="2"/>
    <x v="0"/>
    <x v="6"/>
    <x v="5"/>
    <x v="1"/>
    <x v="39"/>
    <x v="769"/>
    <x v="134"/>
    <x v="0"/>
    <x v="134"/>
    <x v="5"/>
    <x v="7"/>
    <x v="0"/>
    <x v="153"/>
    <x v="3"/>
    <x v="1"/>
    <s v="MEDIA"/>
    <s v="MEDIA"/>
    <n v="64"/>
    <s v="cumple"/>
    <x v="6"/>
    <x v="2"/>
    <x v="769"/>
    <n v="2320"/>
    <x v="0"/>
  </r>
  <r>
    <x v="0"/>
    <x v="5"/>
    <x v="2"/>
    <x v="0"/>
    <x v="6"/>
    <x v="5"/>
    <x v="1"/>
    <x v="39"/>
    <x v="767"/>
    <x v="134"/>
    <x v="3"/>
    <x v="134"/>
    <x v="0"/>
    <x v="7"/>
    <x v="0"/>
    <x v="151"/>
    <x v="3"/>
    <x v="1"/>
    <s v="MEDIA"/>
    <s v="MEDIA"/>
    <n v="64"/>
    <s v="cumple"/>
    <x v="6"/>
    <x v="2"/>
    <x v="767"/>
    <n v="2320"/>
    <x v="0"/>
  </r>
  <r>
    <x v="0"/>
    <x v="5"/>
    <x v="2"/>
    <x v="0"/>
    <x v="6"/>
    <x v="5"/>
    <x v="1"/>
    <x v="39"/>
    <x v="771"/>
    <x v="135"/>
    <x v="0"/>
    <x v="135"/>
    <x v="4"/>
    <x v="5"/>
    <x v="0"/>
    <x v="156"/>
    <x v="3"/>
    <x v="1"/>
    <s v="MEDIA"/>
    <s v="MEDIA"/>
    <n v="64"/>
    <s v="cumple"/>
    <x v="6"/>
    <x v="2"/>
    <x v="771"/>
    <n v="1739.9999999999998"/>
    <x v="0"/>
  </r>
  <r>
    <x v="0"/>
    <x v="5"/>
    <x v="2"/>
    <x v="0"/>
    <x v="6"/>
    <x v="5"/>
    <x v="1"/>
    <x v="39"/>
    <x v="772"/>
    <x v="135"/>
    <x v="6"/>
    <x v="135"/>
    <x v="2"/>
    <x v="5"/>
    <x v="0"/>
    <x v="157"/>
    <x v="3"/>
    <x v="1"/>
    <s v="MEDIA"/>
    <s v="MEDIA"/>
    <n v="64"/>
    <s v="cumple"/>
    <x v="6"/>
    <x v="2"/>
    <x v="772"/>
    <n v="1739.9999999999998"/>
    <x v="0"/>
  </r>
  <r>
    <x v="0"/>
    <x v="5"/>
    <x v="2"/>
    <x v="0"/>
    <x v="6"/>
    <x v="5"/>
    <x v="1"/>
    <x v="39"/>
    <x v="767"/>
    <x v="135"/>
    <x v="2"/>
    <x v="135"/>
    <x v="0"/>
    <x v="4"/>
    <x v="0"/>
    <x v="151"/>
    <x v="3"/>
    <x v="1"/>
    <s v="MEDIA"/>
    <s v="MEDIA"/>
    <n v="64"/>
    <s v="cumple"/>
    <x v="6"/>
    <x v="2"/>
    <x v="767"/>
    <n v="1160"/>
    <x v="0"/>
  </r>
  <r>
    <x v="0"/>
    <x v="5"/>
    <x v="2"/>
    <x v="0"/>
    <x v="6"/>
    <x v="5"/>
    <x v="1"/>
    <x v="39"/>
    <x v="773"/>
    <x v="136"/>
    <x v="0"/>
    <x v="136"/>
    <x v="3"/>
    <x v="4"/>
    <x v="0"/>
    <x v="158"/>
    <x v="3"/>
    <x v="1"/>
    <s v="MEDIA"/>
    <s v="MEDIA"/>
    <n v="64"/>
    <s v="cumple"/>
    <x v="6"/>
    <x v="2"/>
    <x v="773"/>
    <n v="1160"/>
    <x v="0"/>
  </r>
  <r>
    <x v="0"/>
    <x v="5"/>
    <x v="2"/>
    <x v="0"/>
    <x v="6"/>
    <x v="5"/>
    <x v="1"/>
    <x v="39"/>
    <x v="774"/>
    <x v="136"/>
    <x v="4"/>
    <x v="136"/>
    <x v="0"/>
    <x v="3"/>
    <x v="0"/>
    <x v="159"/>
    <x v="3"/>
    <x v="1"/>
    <s v="MEDIA"/>
    <s v="MEDIA"/>
    <n v="64"/>
    <s v="cumple"/>
    <x v="6"/>
    <x v="2"/>
    <x v="774"/>
    <n v="3479.9999999999995"/>
    <x v="0"/>
  </r>
  <r>
    <x v="0"/>
    <x v="5"/>
    <x v="2"/>
    <x v="0"/>
    <x v="6"/>
    <x v="5"/>
    <x v="1"/>
    <x v="39"/>
    <x v="775"/>
    <x v="137"/>
    <x v="0"/>
    <x v="137"/>
    <x v="4"/>
    <x v="5"/>
    <x v="0"/>
    <x v="160"/>
    <x v="3"/>
    <x v="1"/>
    <s v="MEDIA"/>
    <s v="MEDIA"/>
    <n v="64"/>
    <s v="cumple"/>
    <x v="6"/>
    <x v="2"/>
    <x v="775"/>
    <n v="1739.9999999999998"/>
    <x v="0"/>
  </r>
  <r>
    <x v="0"/>
    <x v="5"/>
    <x v="2"/>
    <x v="0"/>
    <x v="6"/>
    <x v="5"/>
    <x v="1"/>
    <x v="39"/>
    <x v="771"/>
    <x v="137"/>
    <x v="6"/>
    <x v="137"/>
    <x v="9"/>
    <x v="4"/>
    <x v="0"/>
    <x v="156"/>
    <x v="3"/>
    <x v="1"/>
    <s v="MEDIA"/>
    <s v="MEDIA"/>
    <n v="64"/>
    <s v="cumple"/>
    <x v="6"/>
    <x v="2"/>
    <x v="771"/>
    <n v="1160"/>
    <x v="0"/>
  </r>
  <r>
    <x v="0"/>
    <x v="5"/>
    <x v="2"/>
    <x v="0"/>
    <x v="6"/>
    <x v="5"/>
    <x v="1"/>
    <x v="39"/>
    <x v="770"/>
    <x v="137"/>
    <x v="7"/>
    <x v="137"/>
    <x v="0"/>
    <x v="5"/>
    <x v="0"/>
    <x v="154"/>
    <x v="3"/>
    <x v="1"/>
    <s v="MEDIA"/>
    <s v="MEDIA"/>
    <n v="64"/>
    <s v="cumple"/>
    <x v="6"/>
    <x v="2"/>
    <x v="770"/>
    <n v="1739.9999999999998"/>
    <x v="0"/>
  </r>
  <r>
    <x v="0"/>
    <x v="5"/>
    <x v="2"/>
    <x v="0"/>
    <x v="6"/>
    <x v="5"/>
    <x v="1"/>
    <x v="39"/>
    <x v="766"/>
    <x v="138"/>
    <x v="0"/>
    <x v="138"/>
    <x v="5"/>
    <x v="7"/>
    <x v="0"/>
    <x v="150"/>
    <x v="3"/>
    <x v="1"/>
    <s v="MEDIA"/>
    <s v="MEDIA"/>
    <n v="64"/>
    <s v="cumple"/>
    <x v="6"/>
    <x v="2"/>
    <x v="766"/>
    <n v="2320"/>
    <x v="0"/>
  </r>
  <r>
    <x v="0"/>
    <x v="5"/>
    <x v="2"/>
    <x v="0"/>
    <x v="6"/>
    <x v="5"/>
    <x v="1"/>
    <x v="39"/>
    <x v="322"/>
    <x v="138"/>
    <x v="3"/>
    <x v="138"/>
    <x v="2"/>
    <x v="4"/>
    <x v="0"/>
    <x v="161"/>
    <x v="3"/>
    <x v="1"/>
    <s v="MEDIA"/>
    <s v="MEDIA"/>
    <n v="64"/>
    <s v="cumple"/>
    <x v="6"/>
    <x v="2"/>
    <x v="322"/>
    <n v="1160"/>
    <x v="0"/>
  </r>
  <r>
    <x v="0"/>
    <x v="5"/>
    <x v="2"/>
    <x v="0"/>
    <x v="6"/>
    <x v="5"/>
    <x v="1"/>
    <x v="39"/>
    <x v="775"/>
    <x v="138"/>
    <x v="2"/>
    <x v="138"/>
    <x v="0"/>
    <x v="4"/>
    <x v="0"/>
    <x v="160"/>
    <x v="3"/>
    <x v="1"/>
    <s v="MEDIA"/>
    <s v="MEDIA"/>
    <n v="64"/>
    <s v="cumple"/>
    <x v="6"/>
    <x v="2"/>
    <x v="775"/>
    <n v="1160"/>
    <x v="0"/>
  </r>
  <r>
    <x v="0"/>
    <x v="5"/>
    <x v="2"/>
    <x v="0"/>
    <x v="6"/>
    <x v="5"/>
    <x v="1"/>
    <x v="39"/>
    <x v="767"/>
    <x v="139"/>
    <x v="0"/>
    <x v="139"/>
    <x v="4"/>
    <x v="5"/>
    <x v="0"/>
    <x v="151"/>
    <x v="3"/>
    <x v="1"/>
    <s v="MEDIA"/>
    <s v="MEDIA"/>
    <n v="64"/>
    <s v="cumple"/>
    <x v="6"/>
    <x v="2"/>
    <x v="767"/>
    <n v="1739.9999999999998"/>
    <x v="0"/>
  </r>
  <r>
    <x v="0"/>
    <x v="5"/>
    <x v="2"/>
    <x v="0"/>
    <x v="6"/>
    <x v="5"/>
    <x v="1"/>
    <x v="39"/>
    <x v="770"/>
    <x v="139"/>
    <x v="6"/>
    <x v="139"/>
    <x v="6"/>
    <x v="7"/>
    <x v="0"/>
    <x v="154"/>
    <x v="3"/>
    <x v="1"/>
    <s v="MEDIA"/>
    <s v="MEDIA"/>
    <n v="64"/>
    <s v="cumple"/>
    <x v="6"/>
    <x v="2"/>
    <x v="770"/>
    <n v="2320"/>
    <x v="0"/>
  </r>
  <r>
    <x v="0"/>
    <x v="5"/>
    <x v="2"/>
    <x v="0"/>
    <x v="6"/>
    <x v="5"/>
    <x v="1"/>
    <x v="39"/>
    <x v="776"/>
    <x v="140"/>
    <x v="0"/>
    <x v="140"/>
    <x v="0"/>
    <x v="0"/>
    <x v="0"/>
    <x v="162"/>
    <x v="3"/>
    <x v="1"/>
    <s v="MEDIA"/>
    <s v="MEDIA"/>
    <n v="64"/>
    <s v="cumple"/>
    <x v="6"/>
    <x v="2"/>
    <x v="776"/>
    <n v="4640"/>
    <x v="0"/>
  </r>
  <r>
    <x v="0"/>
    <x v="5"/>
    <x v="2"/>
    <x v="0"/>
    <x v="6"/>
    <x v="5"/>
    <x v="1"/>
    <x v="39"/>
    <x v="777"/>
    <x v="141"/>
    <x v="0"/>
    <x v="141"/>
    <x v="0"/>
    <x v="0"/>
    <x v="0"/>
    <x v="163"/>
    <x v="3"/>
    <x v="1"/>
    <s v="MEDIA"/>
    <s v="MEDIA"/>
    <n v="64"/>
    <s v="cumple"/>
    <x v="6"/>
    <x v="2"/>
    <x v="777"/>
    <n v="4640"/>
    <x v="0"/>
  </r>
  <r>
    <x v="0"/>
    <x v="5"/>
    <x v="2"/>
    <x v="0"/>
    <x v="6"/>
    <x v="5"/>
    <x v="1"/>
    <x v="39"/>
    <x v="778"/>
    <x v="142"/>
    <x v="0"/>
    <x v="142"/>
    <x v="0"/>
    <x v="0"/>
    <x v="0"/>
    <x v="164"/>
    <x v="3"/>
    <x v="1"/>
    <s v="MEDIA"/>
    <s v="MEDIA"/>
    <n v="64"/>
    <s v="cumple"/>
    <x v="6"/>
    <x v="2"/>
    <x v="778"/>
    <n v="4640"/>
    <x v="0"/>
  </r>
  <r>
    <x v="0"/>
    <x v="5"/>
    <x v="2"/>
    <x v="0"/>
    <x v="6"/>
    <x v="5"/>
    <x v="1"/>
    <x v="39"/>
    <x v="779"/>
    <x v="143"/>
    <x v="0"/>
    <x v="143"/>
    <x v="0"/>
    <x v="0"/>
    <x v="0"/>
    <x v="165"/>
    <x v="3"/>
    <x v="1"/>
    <s v="MEDIA"/>
    <s v="MEDIA"/>
    <n v="64"/>
    <s v="cumple"/>
    <x v="6"/>
    <x v="2"/>
    <x v="779"/>
    <n v="4640"/>
    <x v="0"/>
  </r>
  <r>
    <x v="0"/>
    <x v="5"/>
    <x v="2"/>
    <x v="0"/>
    <x v="6"/>
    <x v="5"/>
    <x v="1"/>
    <x v="39"/>
    <x v="780"/>
    <x v="144"/>
    <x v="0"/>
    <x v="144"/>
    <x v="0"/>
    <x v="0"/>
    <x v="0"/>
    <x v="166"/>
    <x v="3"/>
    <x v="1"/>
    <s v="MEDIA"/>
    <s v="MEDIA"/>
    <n v="64"/>
    <s v="cumple"/>
    <x v="6"/>
    <x v="2"/>
    <x v="780"/>
    <n v="4640"/>
    <x v="0"/>
  </r>
  <r>
    <x v="0"/>
    <x v="5"/>
    <x v="2"/>
    <x v="0"/>
    <x v="6"/>
    <x v="5"/>
    <x v="1"/>
    <x v="39"/>
    <x v="781"/>
    <x v="145"/>
    <x v="0"/>
    <x v="145"/>
    <x v="0"/>
    <x v="0"/>
    <x v="0"/>
    <x v="167"/>
    <x v="3"/>
    <x v="1"/>
    <s v="MEDIA"/>
    <s v="MEDIA"/>
    <n v="64"/>
    <s v="cumple"/>
    <x v="6"/>
    <x v="2"/>
    <x v="781"/>
    <n v="4640"/>
    <x v="0"/>
  </r>
  <r>
    <x v="0"/>
    <x v="5"/>
    <x v="2"/>
    <x v="0"/>
    <x v="6"/>
    <x v="5"/>
    <x v="1"/>
    <x v="39"/>
    <x v="782"/>
    <x v="146"/>
    <x v="0"/>
    <x v="146"/>
    <x v="0"/>
    <x v="0"/>
    <x v="0"/>
    <x v="168"/>
    <x v="3"/>
    <x v="1"/>
    <s v="MEDIA"/>
    <s v="MEDIA"/>
    <n v="64"/>
    <s v="cumple"/>
    <x v="6"/>
    <x v="2"/>
    <x v="782"/>
    <n v="4640"/>
    <x v="0"/>
  </r>
  <r>
    <x v="0"/>
    <x v="5"/>
    <x v="2"/>
    <x v="0"/>
    <x v="6"/>
    <x v="5"/>
    <x v="1"/>
    <x v="39"/>
    <x v="783"/>
    <x v="147"/>
    <x v="0"/>
    <x v="147"/>
    <x v="0"/>
    <x v="0"/>
    <x v="0"/>
    <x v="168"/>
    <x v="3"/>
    <x v="1"/>
    <s v="MEDIA"/>
    <s v="MEDIA"/>
    <n v="64"/>
    <s v="cumple"/>
    <x v="6"/>
    <x v="2"/>
    <x v="783"/>
    <n v="4640"/>
    <x v="0"/>
  </r>
  <r>
    <x v="0"/>
    <x v="5"/>
    <x v="2"/>
    <x v="0"/>
    <x v="6"/>
    <x v="5"/>
    <x v="1"/>
    <x v="39"/>
    <x v="784"/>
    <x v="148"/>
    <x v="0"/>
    <x v="148"/>
    <x v="0"/>
    <x v="0"/>
    <x v="0"/>
    <x v="169"/>
    <x v="3"/>
    <x v="1"/>
    <s v="MEDIA"/>
    <s v="MEDIA"/>
    <n v="64"/>
    <s v="cumple"/>
    <x v="6"/>
    <x v="2"/>
    <x v="784"/>
    <n v="4640"/>
    <x v="0"/>
  </r>
  <r>
    <x v="0"/>
    <x v="5"/>
    <x v="2"/>
    <x v="0"/>
    <x v="6"/>
    <x v="5"/>
    <x v="1"/>
    <x v="39"/>
    <x v="785"/>
    <x v="149"/>
    <x v="0"/>
    <x v="149"/>
    <x v="0"/>
    <x v="0"/>
    <x v="0"/>
    <x v="168"/>
    <x v="3"/>
    <x v="1"/>
    <s v="MEDIA"/>
    <s v="MEDIA"/>
    <n v="64"/>
    <s v="cumple"/>
    <x v="6"/>
    <x v="2"/>
    <x v="785"/>
    <n v="4640"/>
    <x v="0"/>
  </r>
  <r>
    <x v="0"/>
    <x v="5"/>
    <x v="2"/>
    <x v="0"/>
    <x v="6"/>
    <x v="5"/>
    <x v="1"/>
    <x v="39"/>
    <x v="786"/>
    <x v="150"/>
    <x v="0"/>
    <x v="150"/>
    <x v="0"/>
    <x v="0"/>
    <x v="0"/>
    <x v="168"/>
    <x v="3"/>
    <x v="1"/>
    <s v="MEDIA"/>
    <s v="MEDIA"/>
    <n v="64"/>
    <s v="cumple"/>
    <x v="6"/>
    <x v="2"/>
    <x v="786"/>
    <n v="4640"/>
    <x v="0"/>
  </r>
  <r>
    <x v="1"/>
    <x v="0"/>
    <x v="4"/>
    <x v="0"/>
    <x v="16"/>
    <x v="3"/>
    <x v="4"/>
    <x v="218"/>
    <x v="787"/>
    <x v="130"/>
    <x v="0"/>
    <x v="130"/>
    <x v="0"/>
    <x v="0"/>
    <x v="0"/>
    <x v="37"/>
    <x v="13"/>
    <x v="7"/>
    <s v="MEDIA"/>
    <s v="MEDIA"/>
    <n v="64"/>
    <s v="cumple"/>
    <x v="6"/>
    <x v="4"/>
    <x v="787"/>
    <n v="5568"/>
    <x v="0"/>
  </r>
  <r>
    <x v="1"/>
    <x v="0"/>
    <x v="4"/>
    <x v="0"/>
    <x v="16"/>
    <x v="3"/>
    <x v="4"/>
    <x v="219"/>
    <x v="788"/>
    <x v="131"/>
    <x v="0"/>
    <x v="131"/>
    <x v="0"/>
    <x v="0"/>
    <x v="0"/>
    <x v="37"/>
    <x v="13"/>
    <x v="7"/>
    <s v="MEDIA"/>
    <s v="MEDIA"/>
    <n v="64"/>
    <s v="cumple"/>
    <x v="6"/>
    <x v="4"/>
    <x v="788"/>
    <n v="5568"/>
    <x v="0"/>
  </r>
  <r>
    <x v="1"/>
    <x v="0"/>
    <x v="4"/>
    <x v="0"/>
    <x v="16"/>
    <x v="2"/>
    <x v="4"/>
    <x v="220"/>
    <x v="789"/>
    <x v="132"/>
    <x v="0"/>
    <x v="132"/>
    <x v="0"/>
    <x v="0"/>
    <x v="0"/>
    <x v="37"/>
    <x v="13"/>
    <x v="7"/>
    <s v="MEDIA"/>
    <s v="MEDIA"/>
    <n v="64"/>
    <s v="cumple"/>
    <x v="6"/>
    <x v="4"/>
    <x v="789"/>
    <n v="5568"/>
    <x v="0"/>
  </r>
  <r>
    <x v="1"/>
    <x v="0"/>
    <x v="4"/>
    <x v="0"/>
    <x v="16"/>
    <x v="2"/>
    <x v="4"/>
    <x v="221"/>
    <x v="790"/>
    <x v="133"/>
    <x v="0"/>
    <x v="133"/>
    <x v="0"/>
    <x v="0"/>
    <x v="0"/>
    <x v="37"/>
    <x v="13"/>
    <x v="7"/>
    <s v="MEDIA"/>
    <s v="MEDIA"/>
    <n v="64"/>
    <s v="cumple"/>
    <x v="6"/>
    <x v="4"/>
    <x v="790"/>
    <n v="5568"/>
    <x v="0"/>
  </r>
  <r>
    <x v="1"/>
    <x v="0"/>
    <x v="4"/>
    <x v="0"/>
    <x v="16"/>
    <x v="3"/>
    <x v="4"/>
    <x v="222"/>
    <x v="791"/>
    <x v="134"/>
    <x v="0"/>
    <x v="134"/>
    <x v="0"/>
    <x v="0"/>
    <x v="0"/>
    <x v="37"/>
    <x v="13"/>
    <x v="7"/>
    <s v="MEDIA"/>
    <s v="MEDIA"/>
    <n v="64"/>
    <s v="cumple"/>
    <x v="6"/>
    <x v="4"/>
    <x v="791"/>
    <n v="5568"/>
    <x v="0"/>
  </r>
  <r>
    <x v="1"/>
    <x v="0"/>
    <x v="4"/>
    <x v="0"/>
    <x v="16"/>
    <x v="3"/>
    <x v="4"/>
    <x v="223"/>
    <x v="792"/>
    <x v="135"/>
    <x v="0"/>
    <x v="135"/>
    <x v="0"/>
    <x v="0"/>
    <x v="0"/>
    <x v="37"/>
    <x v="13"/>
    <x v="7"/>
    <s v="MEDIA"/>
    <s v="MEDIA"/>
    <n v="64"/>
    <s v="cumple"/>
    <x v="6"/>
    <x v="4"/>
    <x v="792"/>
    <n v="5568"/>
    <x v="0"/>
  </r>
  <r>
    <x v="1"/>
    <x v="0"/>
    <x v="4"/>
    <x v="0"/>
    <x v="16"/>
    <x v="2"/>
    <x v="4"/>
    <x v="224"/>
    <x v="793"/>
    <x v="136"/>
    <x v="0"/>
    <x v="136"/>
    <x v="0"/>
    <x v="0"/>
    <x v="0"/>
    <x v="37"/>
    <x v="13"/>
    <x v="7"/>
    <s v="MEDIA"/>
    <s v="MEDIA"/>
    <n v="64"/>
    <s v="cumple"/>
    <x v="6"/>
    <x v="4"/>
    <x v="793"/>
    <n v="5568"/>
    <x v="0"/>
  </r>
  <r>
    <x v="1"/>
    <x v="0"/>
    <x v="4"/>
    <x v="0"/>
    <x v="16"/>
    <x v="2"/>
    <x v="4"/>
    <x v="225"/>
    <x v="794"/>
    <x v="137"/>
    <x v="0"/>
    <x v="137"/>
    <x v="11"/>
    <x v="10"/>
    <x v="0"/>
    <x v="37"/>
    <x v="13"/>
    <x v="7"/>
    <s v="MEDIA"/>
    <s v="MEDIA"/>
    <n v="64"/>
    <s v="cumple"/>
    <x v="6"/>
    <x v="4"/>
    <x v="794"/>
    <n v="6959.9999999999991"/>
    <x v="0"/>
  </r>
  <r>
    <x v="1"/>
    <x v="0"/>
    <x v="4"/>
    <x v="0"/>
    <x v="16"/>
    <x v="2"/>
    <x v="4"/>
    <x v="226"/>
    <x v="795"/>
    <x v="138"/>
    <x v="0"/>
    <x v="138"/>
    <x v="0"/>
    <x v="0"/>
    <x v="0"/>
    <x v="37"/>
    <x v="13"/>
    <x v="7"/>
    <s v="MEDIA"/>
    <s v="MEDIA"/>
    <n v="64"/>
    <s v="cumple"/>
    <x v="6"/>
    <x v="4"/>
    <x v="795"/>
    <n v="5568"/>
    <x v="0"/>
  </r>
  <r>
    <x v="1"/>
    <x v="0"/>
    <x v="4"/>
    <x v="0"/>
    <x v="16"/>
    <x v="2"/>
    <x v="4"/>
    <x v="227"/>
    <x v="796"/>
    <x v="139"/>
    <x v="0"/>
    <x v="139"/>
    <x v="20"/>
    <x v="18"/>
    <x v="0"/>
    <x v="37"/>
    <x v="13"/>
    <x v="7"/>
    <s v="MEDIA"/>
    <s v="MEDIA"/>
    <n v="64"/>
    <s v="cumple"/>
    <x v="6"/>
    <x v="4"/>
    <x v="796"/>
    <n v="7307.9999999999991"/>
    <x v="0"/>
  </r>
  <r>
    <x v="1"/>
    <x v="0"/>
    <x v="4"/>
    <x v="0"/>
    <x v="16"/>
    <x v="2"/>
    <x v="4"/>
    <x v="228"/>
    <x v="797"/>
    <x v="140"/>
    <x v="0"/>
    <x v="140"/>
    <x v="11"/>
    <x v="10"/>
    <x v="0"/>
    <x v="37"/>
    <x v="13"/>
    <x v="7"/>
    <s v="MEDIA"/>
    <s v="MEDIA"/>
    <n v="64"/>
    <s v="cumple"/>
    <x v="6"/>
    <x v="4"/>
    <x v="797"/>
    <n v="6959.9999999999991"/>
    <x v="0"/>
  </r>
  <r>
    <x v="1"/>
    <x v="0"/>
    <x v="4"/>
    <x v="0"/>
    <x v="16"/>
    <x v="2"/>
    <x v="4"/>
    <x v="229"/>
    <x v="798"/>
    <x v="141"/>
    <x v="0"/>
    <x v="141"/>
    <x v="0"/>
    <x v="0"/>
    <x v="1"/>
    <x v="37"/>
    <x v="13"/>
    <x v="7"/>
    <s v="MEDIA"/>
    <s v="MEDIA"/>
    <n v="64"/>
    <s v="cumple"/>
    <x v="6"/>
    <x v="4"/>
    <x v="798"/>
    <n v="5568"/>
    <x v="0"/>
  </r>
  <r>
    <x v="1"/>
    <x v="0"/>
    <x v="4"/>
    <x v="0"/>
    <x v="16"/>
    <x v="2"/>
    <x v="4"/>
    <x v="229"/>
    <x v="798"/>
    <x v="142"/>
    <x v="0"/>
    <x v="142"/>
    <x v="0"/>
    <x v="0"/>
    <x v="1"/>
    <x v="37"/>
    <x v="13"/>
    <x v="7"/>
    <s v="MEDIA"/>
    <s v="MEDIA"/>
    <n v="64"/>
    <s v="cumple"/>
    <x v="6"/>
    <x v="4"/>
    <x v="798"/>
    <n v="5568"/>
    <x v="0"/>
  </r>
  <r>
    <x v="1"/>
    <x v="0"/>
    <x v="4"/>
    <x v="0"/>
    <x v="16"/>
    <x v="2"/>
    <x v="4"/>
    <x v="229"/>
    <x v="798"/>
    <x v="143"/>
    <x v="0"/>
    <x v="143"/>
    <x v="0"/>
    <x v="0"/>
    <x v="0"/>
    <x v="37"/>
    <x v="13"/>
    <x v="7"/>
    <s v="MEDIA"/>
    <s v="MEDIA"/>
    <n v="64"/>
    <s v="cumple"/>
    <x v="6"/>
    <x v="4"/>
    <x v="798"/>
    <n v="5568"/>
    <x v="0"/>
  </r>
  <r>
    <x v="1"/>
    <x v="0"/>
    <x v="4"/>
    <x v="0"/>
    <x v="16"/>
    <x v="2"/>
    <x v="4"/>
    <x v="230"/>
    <x v="799"/>
    <x v="144"/>
    <x v="0"/>
    <x v="144"/>
    <x v="0"/>
    <x v="0"/>
    <x v="1"/>
    <x v="37"/>
    <x v="13"/>
    <x v="7"/>
    <s v="MEDIA"/>
    <s v="MEDIA"/>
    <n v="64"/>
    <s v="cumple"/>
    <x v="6"/>
    <x v="4"/>
    <x v="799"/>
    <n v="5568"/>
    <x v="0"/>
  </r>
  <r>
    <x v="1"/>
    <x v="0"/>
    <x v="4"/>
    <x v="0"/>
    <x v="16"/>
    <x v="2"/>
    <x v="4"/>
    <x v="230"/>
    <x v="799"/>
    <x v="145"/>
    <x v="0"/>
    <x v="145"/>
    <x v="0"/>
    <x v="0"/>
    <x v="1"/>
    <x v="37"/>
    <x v="13"/>
    <x v="7"/>
    <s v="MEDIA"/>
    <s v="MEDIA"/>
    <n v="64"/>
    <s v="cumple"/>
    <x v="6"/>
    <x v="4"/>
    <x v="799"/>
    <n v="5568"/>
    <x v="0"/>
  </r>
  <r>
    <x v="1"/>
    <x v="0"/>
    <x v="4"/>
    <x v="0"/>
    <x v="16"/>
    <x v="2"/>
    <x v="4"/>
    <x v="230"/>
    <x v="799"/>
    <x v="146"/>
    <x v="0"/>
    <x v="146"/>
    <x v="0"/>
    <x v="0"/>
    <x v="0"/>
    <x v="37"/>
    <x v="13"/>
    <x v="7"/>
    <s v="MEDIA"/>
    <s v="MEDIA"/>
    <n v="64"/>
    <s v="cumple"/>
    <x v="6"/>
    <x v="4"/>
    <x v="799"/>
    <n v="5568"/>
    <x v="0"/>
  </r>
  <r>
    <x v="1"/>
    <x v="0"/>
    <x v="4"/>
    <x v="0"/>
    <x v="16"/>
    <x v="2"/>
    <x v="4"/>
    <x v="231"/>
    <x v="800"/>
    <x v="147"/>
    <x v="0"/>
    <x v="147"/>
    <x v="0"/>
    <x v="0"/>
    <x v="1"/>
    <x v="37"/>
    <x v="13"/>
    <x v="7"/>
    <s v="MEDIA"/>
    <s v="MEDIA"/>
    <n v="64"/>
    <s v="cumple"/>
    <x v="6"/>
    <x v="4"/>
    <x v="800"/>
    <n v="5568"/>
    <x v="0"/>
  </r>
  <r>
    <x v="1"/>
    <x v="0"/>
    <x v="4"/>
    <x v="0"/>
    <x v="16"/>
    <x v="2"/>
    <x v="4"/>
    <x v="231"/>
    <x v="800"/>
    <x v="148"/>
    <x v="0"/>
    <x v="148"/>
    <x v="0"/>
    <x v="0"/>
    <x v="1"/>
    <x v="37"/>
    <x v="13"/>
    <x v="7"/>
    <s v="MEDIA"/>
    <s v="MEDIA"/>
    <n v="64"/>
    <s v="cumple"/>
    <x v="6"/>
    <x v="4"/>
    <x v="800"/>
    <n v="5568"/>
    <x v="0"/>
  </r>
  <r>
    <x v="1"/>
    <x v="0"/>
    <x v="4"/>
    <x v="0"/>
    <x v="16"/>
    <x v="2"/>
    <x v="4"/>
    <x v="231"/>
    <x v="800"/>
    <x v="149"/>
    <x v="0"/>
    <x v="149"/>
    <x v="0"/>
    <x v="0"/>
    <x v="0"/>
    <x v="37"/>
    <x v="13"/>
    <x v="7"/>
    <s v="MEDIA"/>
    <s v="MEDIA"/>
    <n v="64"/>
    <s v="cumple"/>
    <x v="6"/>
    <x v="4"/>
    <x v="800"/>
    <n v="5568"/>
    <x v="0"/>
  </r>
  <r>
    <x v="1"/>
    <x v="0"/>
    <x v="4"/>
    <x v="0"/>
    <x v="16"/>
    <x v="2"/>
    <x v="4"/>
    <x v="232"/>
    <x v="801"/>
    <x v="151"/>
    <x v="0"/>
    <x v="151"/>
    <x v="0"/>
    <x v="0"/>
    <x v="1"/>
    <x v="37"/>
    <x v="13"/>
    <x v="7"/>
    <s v="MEDIA"/>
    <s v="MEDIA"/>
    <n v="64"/>
    <s v="cumple"/>
    <x v="6"/>
    <x v="4"/>
    <x v="801"/>
    <n v="5568"/>
    <x v="0"/>
  </r>
  <r>
    <x v="1"/>
    <x v="0"/>
    <x v="4"/>
    <x v="0"/>
    <x v="16"/>
    <x v="2"/>
    <x v="4"/>
    <x v="232"/>
    <x v="801"/>
    <x v="152"/>
    <x v="0"/>
    <x v="152"/>
    <x v="0"/>
    <x v="0"/>
    <x v="1"/>
    <x v="37"/>
    <x v="13"/>
    <x v="7"/>
    <s v="MEDIA"/>
    <s v="MEDIA"/>
    <n v="64"/>
    <s v="cumple"/>
    <x v="6"/>
    <x v="4"/>
    <x v="801"/>
    <n v="5568"/>
    <x v="0"/>
  </r>
  <r>
    <x v="1"/>
    <x v="0"/>
    <x v="4"/>
    <x v="0"/>
    <x v="16"/>
    <x v="2"/>
    <x v="4"/>
    <x v="232"/>
    <x v="801"/>
    <x v="150"/>
    <x v="0"/>
    <x v="150"/>
    <x v="0"/>
    <x v="0"/>
    <x v="0"/>
    <x v="37"/>
    <x v="13"/>
    <x v="7"/>
    <s v="MEDIA"/>
    <s v="MEDIA"/>
    <n v="64"/>
    <s v="cumple"/>
    <x v="6"/>
    <x v="4"/>
    <x v="801"/>
    <n v="5568"/>
    <x v="0"/>
  </r>
  <r>
    <x v="1"/>
    <x v="0"/>
    <x v="1"/>
    <x v="0"/>
    <x v="3"/>
    <x v="2"/>
    <x v="4"/>
    <x v="233"/>
    <x v="802"/>
    <x v="130"/>
    <x v="0"/>
    <x v="130"/>
    <x v="3"/>
    <x v="4"/>
    <x v="0"/>
    <x v="170"/>
    <x v="12"/>
    <x v="6"/>
    <s v="MEDIA"/>
    <s v="MEDIA"/>
    <n v="64"/>
    <s v="cumple"/>
    <x v="6"/>
    <x v="1"/>
    <x v="802"/>
    <n v="1392"/>
    <x v="0"/>
  </r>
  <r>
    <x v="1"/>
    <x v="0"/>
    <x v="1"/>
    <x v="0"/>
    <x v="3"/>
    <x v="2"/>
    <x v="4"/>
    <x v="234"/>
    <x v="803"/>
    <x v="130"/>
    <x v="4"/>
    <x v="130"/>
    <x v="5"/>
    <x v="4"/>
    <x v="0"/>
    <x v="170"/>
    <x v="12"/>
    <x v="6"/>
    <s v="MEDIA"/>
    <s v="MEDIA"/>
    <n v="64"/>
    <s v="cumple"/>
    <x v="6"/>
    <x v="1"/>
    <x v="803"/>
    <n v="1392"/>
    <x v="0"/>
  </r>
  <r>
    <x v="1"/>
    <x v="0"/>
    <x v="1"/>
    <x v="0"/>
    <x v="3"/>
    <x v="2"/>
    <x v="4"/>
    <x v="235"/>
    <x v="804"/>
    <x v="131"/>
    <x v="0"/>
    <x v="131"/>
    <x v="2"/>
    <x v="3"/>
    <x v="0"/>
    <x v="170"/>
    <x v="12"/>
    <x v="6"/>
    <s v="MEDIA"/>
    <s v="MEDIA"/>
    <n v="64"/>
    <s v="cumple"/>
    <x v="6"/>
    <x v="1"/>
    <x v="804"/>
    <n v="4176"/>
    <x v="0"/>
  </r>
  <r>
    <x v="1"/>
    <x v="0"/>
    <x v="1"/>
    <x v="0"/>
    <x v="3"/>
    <x v="2"/>
    <x v="4"/>
    <x v="236"/>
    <x v="805"/>
    <x v="131"/>
    <x v="2"/>
    <x v="131"/>
    <x v="0"/>
    <x v="4"/>
    <x v="0"/>
    <x v="170"/>
    <x v="12"/>
    <x v="6"/>
    <s v="MEDIA"/>
    <s v="MEDIA"/>
    <n v="64"/>
    <s v="cumple"/>
    <x v="6"/>
    <x v="1"/>
    <x v="805"/>
    <n v="1392"/>
    <x v="0"/>
  </r>
  <r>
    <x v="1"/>
    <x v="0"/>
    <x v="1"/>
    <x v="0"/>
    <x v="3"/>
    <x v="2"/>
    <x v="4"/>
    <x v="237"/>
    <x v="806"/>
    <x v="132"/>
    <x v="0"/>
    <x v="132"/>
    <x v="4"/>
    <x v="5"/>
    <x v="0"/>
    <x v="170"/>
    <x v="12"/>
    <x v="6"/>
    <s v="MEDIA"/>
    <s v="MEDIA"/>
    <n v="64"/>
    <s v="cumple"/>
    <x v="6"/>
    <x v="1"/>
    <x v="806"/>
    <n v="2088"/>
    <x v="0"/>
  </r>
  <r>
    <x v="1"/>
    <x v="0"/>
    <x v="1"/>
    <x v="0"/>
    <x v="3"/>
    <x v="2"/>
    <x v="4"/>
    <x v="238"/>
    <x v="807"/>
    <x v="132"/>
    <x v="6"/>
    <x v="132"/>
    <x v="7"/>
    <x v="5"/>
    <x v="0"/>
    <x v="170"/>
    <x v="12"/>
    <x v="6"/>
    <s v="MEDIA"/>
    <s v="MEDIA"/>
    <n v="64"/>
    <s v="cumple"/>
    <x v="6"/>
    <x v="1"/>
    <x v="807"/>
    <n v="2088"/>
    <x v="0"/>
  </r>
  <r>
    <x v="1"/>
    <x v="0"/>
    <x v="1"/>
    <x v="0"/>
    <x v="3"/>
    <x v="2"/>
    <x v="4"/>
    <x v="239"/>
    <x v="808"/>
    <x v="132"/>
    <x v="7"/>
    <x v="132"/>
    <x v="0"/>
    <x v="5"/>
    <x v="0"/>
    <x v="170"/>
    <x v="12"/>
    <x v="6"/>
    <s v="MEDIA"/>
    <s v="MEDIA"/>
    <n v="64"/>
    <s v="cumple"/>
    <x v="6"/>
    <x v="1"/>
    <x v="808"/>
    <n v="2088"/>
    <x v="0"/>
  </r>
  <r>
    <x v="1"/>
    <x v="0"/>
    <x v="1"/>
    <x v="0"/>
    <x v="3"/>
    <x v="2"/>
    <x v="4"/>
    <x v="240"/>
    <x v="809"/>
    <x v="133"/>
    <x v="0"/>
    <x v="133"/>
    <x v="4"/>
    <x v="5"/>
    <x v="0"/>
    <x v="170"/>
    <x v="12"/>
    <x v="6"/>
    <s v="MEDIA"/>
    <s v="MEDIA"/>
    <n v="64"/>
    <s v="cumple"/>
    <x v="6"/>
    <x v="1"/>
    <x v="809"/>
    <n v="2088"/>
    <x v="0"/>
  </r>
  <r>
    <x v="1"/>
    <x v="0"/>
    <x v="1"/>
    <x v="0"/>
    <x v="3"/>
    <x v="2"/>
    <x v="4"/>
    <x v="241"/>
    <x v="810"/>
    <x v="133"/>
    <x v="6"/>
    <x v="133"/>
    <x v="2"/>
    <x v="5"/>
    <x v="0"/>
    <x v="170"/>
    <x v="12"/>
    <x v="6"/>
    <s v="MEDIA"/>
    <s v="MEDIA"/>
    <n v="64"/>
    <s v="cumple"/>
    <x v="6"/>
    <x v="1"/>
    <x v="810"/>
    <n v="2088"/>
    <x v="0"/>
  </r>
  <r>
    <x v="1"/>
    <x v="0"/>
    <x v="1"/>
    <x v="0"/>
    <x v="3"/>
    <x v="2"/>
    <x v="4"/>
    <x v="242"/>
    <x v="811"/>
    <x v="133"/>
    <x v="2"/>
    <x v="133"/>
    <x v="0"/>
    <x v="4"/>
    <x v="0"/>
    <x v="170"/>
    <x v="12"/>
    <x v="6"/>
    <s v="MEDIA"/>
    <s v="MEDIA"/>
    <n v="64"/>
    <s v="cumple"/>
    <x v="6"/>
    <x v="1"/>
    <x v="811"/>
    <n v="1392"/>
    <x v="0"/>
  </r>
  <r>
    <x v="1"/>
    <x v="0"/>
    <x v="1"/>
    <x v="0"/>
    <x v="3"/>
    <x v="2"/>
    <x v="4"/>
    <x v="243"/>
    <x v="812"/>
    <x v="134"/>
    <x v="0"/>
    <x v="134"/>
    <x v="15"/>
    <x v="12"/>
    <x v="0"/>
    <x v="170"/>
    <x v="12"/>
    <x v="6"/>
    <s v="MEDIA"/>
    <s v="MEDIA"/>
    <n v="64"/>
    <s v="cumple"/>
    <x v="6"/>
    <x v="1"/>
    <x v="812"/>
    <n v="1739.9999999999998"/>
    <x v="0"/>
  </r>
  <r>
    <x v="1"/>
    <x v="0"/>
    <x v="1"/>
    <x v="0"/>
    <x v="3"/>
    <x v="2"/>
    <x v="4"/>
    <x v="244"/>
    <x v="813"/>
    <x v="134"/>
    <x v="12"/>
    <x v="134"/>
    <x v="12"/>
    <x v="5"/>
    <x v="0"/>
    <x v="170"/>
    <x v="12"/>
    <x v="6"/>
    <s v="MEDIA"/>
    <s v="MEDIA"/>
    <n v="64"/>
    <s v="cumple"/>
    <x v="6"/>
    <x v="1"/>
    <x v="813"/>
    <n v="2088"/>
    <x v="0"/>
  </r>
  <r>
    <x v="1"/>
    <x v="0"/>
    <x v="1"/>
    <x v="0"/>
    <x v="3"/>
    <x v="3"/>
    <x v="4"/>
    <x v="245"/>
    <x v="814"/>
    <x v="134"/>
    <x v="7"/>
    <x v="134"/>
    <x v="2"/>
    <x v="2"/>
    <x v="0"/>
    <x v="170"/>
    <x v="12"/>
    <x v="6"/>
    <s v="MEDIA"/>
    <s v="MEDIA"/>
    <n v="64"/>
    <s v="cumple"/>
    <x v="6"/>
    <x v="1"/>
    <x v="814"/>
    <n v="696"/>
    <x v="0"/>
  </r>
  <r>
    <x v="1"/>
    <x v="0"/>
    <x v="1"/>
    <x v="0"/>
    <x v="3"/>
    <x v="3"/>
    <x v="4"/>
    <x v="246"/>
    <x v="815"/>
    <x v="134"/>
    <x v="2"/>
    <x v="134"/>
    <x v="17"/>
    <x v="19"/>
    <x v="0"/>
    <x v="170"/>
    <x v="12"/>
    <x v="6"/>
    <s v="MEDIA"/>
    <s v="MEDIA"/>
    <n v="64"/>
    <s v="cumple"/>
    <x v="6"/>
    <x v="1"/>
    <x v="815"/>
    <n v="348"/>
    <x v="0"/>
  </r>
  <r>
    <x v="1"/>
    <x v="0"/>
    <x v="1"/>
    <x v="0"/>
    <x v="3"/>
    <x v="3"/>
    <x v="4"/>
    <x v="247"/>
    <x v="816"/>
    <x v="134"/>
    <x v="14"/>
    <x v="134"/>
    <x v="1"/>
    <x v="19"/>
    <x v="0"/>
    <x v="170"/>
    <x v="12"/>
    <x v="6"/>
    <s v="MEDIA"/>
    <s v="MEDIA"/>
    <n v="64"/>
    <s v="cumple"/>
    <x v="6"/>
    <x v="1"/>
    <x v="816"/>
    <n v="348"/>
    <x v="0"/>
  </r>
  <r>
    <x v="1"/>
    <x v="0"/>
    <x v="1"/>
    <x v="0"/>
    <x v="3"/>
    <x v="3"/>
    <x v="4"/>
    <x v="248"/>
    <x v="817"/>
    <x v="134"/>
    <x v="1"/>
    <x v="134"/>
    <x v="21"/>
    <x v="19"/>
    <x v="0"/>
    <x v="170"/>
    <x v="12"/>
    <x v="6"/>
    <s v="MEDIA"/>
    <s v="MEDIA"/>
    <n v="64"/>
    <s v="cumple"/>
    <x v="6"/>
    <x v="1"/>
    <x v="817"/>
    <n v="348"/>
    <x v="0"/>
  </r>
  <r>
    <x v="1"/>
    <x v="0"/>
    <x v="1"/>
    <x v="0"/>
    <x v="3"/>
    <x v="3"/>
    <x v="4"/>
    <x v="249"/>
    <x v="818"/>
    <x v="134"/>
    <x v="16"/>
    <x v="134"/>
    <x v="0"/>
    <x v="19"/>
    <x v="0"/>
    <x v="170"/>
    <x v="12"/>
    <x v="6"/>
    <s v="MEDIA"/>
    <s v="MEDIA"/>
    <n v="64"/>
    <s v="cumple"/>
    <x v="6"/>
    <x v="1"/>
    <x v="818"/>
    <n v="348"/>
    <x v="0"/>
  </r>
  <r>
    <x v="1"/>
    <x v="0"/>
    <x v="1"/>
    <x v="0"/>
    <x v="3"/>
    <x v="3"/>
    <x v="4"/>
    <x v="250"/>
    <x v="819"/>
    <x v="134"/>
    <x v="17"/>
    <x v="134"/>
    <x v="22"/>
    <x v="19"/>
    <x v="0"/>
    <x v="170"/>
    <x v="12"/>
    <x v="6"/>
    <s v="MEDIA"/>
    <s v="MEDIA"/>
    <n v="64"/>
    <s v="cumple"/>
    <x v="6"/>
    <x v="1"/>
    <x v="819"/>
    <n v="348"/>
    <x v="0"/>
  </r>
  <r>
    <x v="1"/>
    <x v="0"/>
    <x v="1"/>
    <x v="0"/>
    <x v="3"/>
    <x v="3"/>
    <x v="4"/>
    <x v="251"/>
    <x v="820"/>
    <x v="134"/>
    <x v="18"/>
    <x v="134"/>
    <x v="1"/>
    <x v="19"/>
    <x v="0"/>
    <x v="170"/>
    <x v="12"/>
    <x v="6"/>
    <s v="MEDIA"/>
    <s v="MEDIA"/>
    <n v="64"/>
    <s v="cumple"/>
    <x v="6"/>
    <x v="1"/>
    <x v="820"/>
    <n v="348"/>
    <x v="0"/>
  </r>
  <r>
    <x v="1"/>
    <x v="1"/>
    <x v="1"/>
    <x v="0"/>
    <x v="3"/>
    <x v="1"/>
    <x v="4"/>
    <x v="252"/>
    <x v="821"/>
    <x v="135"/>
    <x v="0"/>
    <x v="135"/>
    <x v="5"/>
    <x v="7"/>
    <x v="0"/>
    <x v="170"/>
    <x v="12"/>
    <x v="6"/>
    <s v="MEDIA"/>
    <s v="MEDIA"/>
    <n v="64"/>
    <s v="cumple"/>
    <x v="6"/>
    <x v="1"/>
    <x v="821"/>
    <n v="2784"/>
    <x v="0"/>
  </r>
  <r>
    <x v="1"/>
    <x v="1"/>
    <x v="1"/>
    <x v="0"/>
    <x v="3"/>
    <x v="1"/>
    <x v="4"/>
    <x v="253"/>
    <x v="822"/>
    <x v="135"/>
    <x v="3"/>
    <x v="135"/>
    <x v="7"/>
    <x v="4"/>
    <x v="0"/>
    <x v="170"/>
    <x v="12"/>
    <x v="6"/>
    <s v="MEDIA"/>
    <s v="MEDIA"/>
    <n v="64"/>
    <s v="cumple"/>
    <x v="6"/>
    <x v="1"/>
    <x v="822"/>
    <n v="1392"/>
    <x v="0"/>
  </r>
  <r>
    <x v="1"/>
    <x v="8"/>
    <x v="1"/>
    <x v="0"/>
    <x v="3"/>
    <x v="3"/>
    <x v="4"/>
    <x v="254"/>
    <x v="823"/>
    <x v="135"/>
    <x v="7"/>
    <x v="135"/>
    <x v="2"/>
    <x v="2"/>
    <x v="0"/>
    <x v="171"/>
    <x v="12"/>
    <x v="6"/>
    <s v="MEDIA"/>
    <s v="MEDIA"/>
    <n v="64"/>
    <s v="cumple"/>
    <x v="6"/>
    <x v="1"/>
    <x v="823"/>
    <n v="696"/>
    <x v="0"/>
  </r>
  <r>
    <x v="1"/>
    <x v="1"/>
    <x v="1"/>
    <x v="0"/>
    <x v="3"/>
    <x v="1"/>
    <x v="4"/>
    <x v="255"/>
    <x v="824"/>
    <x v="135"/>
    <x v="2"/>
    <x v="135"/>
    <x v="1"/>
    <x v="2"/>
    <x v="0"/>
    <x v="170"/>
    <x v="12"/>
    <x v="6"/>
    <s v="MEDIA"/>
    <s v="MEDIA"/>
    <n v="64"/>
    <s v="cumple"/>
    <x v="6"/>
    <x v="1"/>
    <x v="824"/>
    <n v="696"/>
    <x v="0"/>
  </r>
  <r>
    <x v="1"/>
    <x v="0"/>
    <x v="1"/>
    <x v="0"/>
    <x v="3"/>
    <x v="2"/>
    <x v="4"/>
    <x v="256"/>
    <x v="825"/>
    <x v="135"/>
    <x v="1"/>
    <x v="135"/>
    <x v="21"/>
    <x v="19"/>
    <x v="0"/>
    <x v="170"/>
    <x v="12"/>
    <x v="6"/>
    <s v="MEDIA"/>
    <s v="MEDIA"/>
    <n v="64"/>
    <s v="cumple"/>
    <x v="6"/>
    <x v="1"/>
    <x v="825"/>
    <n v="348"/>
    <x v="0"/>
  </r>
  <r>
    <x v="1"/>
    <x v="0"/>
    <x v="1"/>
    <x v="0"/>
    <x v="3"/>
    <x v="2"/>
    <x v="4"/>
    <x v="257"/>
    <x v="826"/>
    <x v="135"/>
    <x v="16"/>
    <x v="135"/>
    <x v="0"/>
    <x v="19"/>
    <x v="0"/>
    <x v="170"/>
    <x v="12"/>
    <x v="6"/>
    <s v="MEDIA"/>
    <s v="MEDIA"/>
    <n v="64"/>
    <s v="cumple"/>
    <x v="6"/>
    <x v="1"/>
    <x v="826"/>
    <n v="348"/>
    <x v="0"/>
  </r>
  <r>
    <x v="1"/>
    <x v="0"/>
    <x v="1"/>
    <x v="0"/>
    <x v="3"/>
    <x v="2"/>
    <x v="4"/>
    <x v="258"/>
    <x v="827"/>
    <x v="136"/>
    <x v="0"/>
    <x v="136"/>
    <x v="23"/>
    <x v="19"/>
    <x v="0"/>
    <x v="170"/>
    <x v="12"/>
    <x v="6"/>
    <s v="MEDIA"/>
    <s v="MEDIA"/>
    <n v="64"/>
    <s v="cumple"/>
    <x v="6"/>
    <x v="1"/>
    <x v="827"/>
    <n v="348"/>
    <x v="0"/>
  </r>
  <r>
    <x v="1"/>
    <x v="0"/>
    <x v="1"/>
    <x v="0"/>
    <x v="3"/>
    <x v="2"/>
    <x v="4"/>
    <x v="259"/>
    <x v="828"/>
    <x v="136"/>
    <x v="19"/>
    <x v="136"/>
    <x v="13"/>
    <x v="5"/>
    <x v="0"/>
    <x v="172"/>
    <x v="12"/>
    <x v="6"/>
    <s v="MEDIA"/>
    <s v="MEDIA"/>
    <n v="64"/>
    <s v="cumple"/>
    <x v="6"/>
    <x v="1"/>
    <x v="828"/>
    <n v="2088"/>
    <x v="0"/>
  </r>
  <r>
    <x v="0"/>
    <x v="1"/>
    <x v="1"/>
    <x v="0"/>
    <x v="3"/>
    <x v="2"/>
    <x v="4"/>
    <x v="260"/>
    <x v="829"/>
    <x v="136"/>
    <x v="10"/>
    <x v="136"/>
    <x v="0"/>
    <x v="16"/>
    <x v="0"/>
    <x v="172"/>
    <x v="12"/>
    <x v="6"/>
    <s v="MEDIA"/>
    <s v="MEDIA"/>
    <n v="64"/>
    <s v="cumple"/>
    <x v="6"/>
    <x v="1"/>
    <x v="829"/>
    <n v="3827.9999999999995"/>
    <x v="0"/>
  </r>
  <r>
    <x v="1"/>
    <x v="1"/>
    <x v="1"/>
    <x v="0"/>
    <x v="3"/>
    <x v="1"/>
    <x v="4"/>
    <x v="261"/>
    <x v="830"/>
    <x v="137"/>
    <x v="0"/>
    <x v="137"/>
    <x v="4"/>
    <x v="5"/>
    <x v="0"/>
    <x v="172"/>
    <x v="12"/>
    <x v="6"/>
    <s v="MEDIA"/>
    <s v="MEDIA"/>
    <n v="64"/>
    <s v="cumple"/>
    <x v="6"/>
    <x v="1"/>
    <x v="830"/>
    <n v="2088"/>
    <x v="0"/>
  </r>
  <r>
    <x v="1"/>
    <x v="1"/>
    <x v="1"/>
    <x v="0"/>
    <x v="3"/>
    <x v="1"/>
    <x v="4"/>
    <x v="262"/>
    <x v="831"/>
    <x v="137"/>
    <x v="6"/>
    <x v="137"/>
    <x v="9"/>
    <x v="4"/>
    <x v="0"/>
    <x v="172"/>
    <x v="12"/>
    <x v="6"/>
    <s v="MEDIA"/>
    <s v="MEDIA"/>
    <n v="64"/>
    <s v="cumple"/>
    <x v="6"/>
    <x v="1"/>
    <x v="831"/>
    <n v="1392"/>
    <x v="0"/>
  </r>
  <r>
    <x v="1"/>
    <x v="0"/>
    <x v="1"/>
    <x v="0"/>
    <x v="3"/>
    <x v="2"/>
    <x v="4"/>
    <x v="263"/>
    <x v="832"/>
    <x v="137"/>
    <x v="5"/>
    <x v="137"/>
    <x v="6"/>
    <x v="2"/>
    <x v="0"/>
    <x v="172"/>
    <x v="12"/>
    <x v="6"/>
    <s v="MEDIA"/>
    <s v="MEDIA"/>
    <n v="64"/>
    <s v="cumple"/>
    <x v="6"/>
    <x v="1"/>
    <x v="832"/>
    <n v="696"/>
    <x v="0"/>
  </r>
  <r>
    <x v="1"/>
    <x v="0"/>
    <x v="1"/>
    <x v="0"/>
    <x v="3"/>
    <x v="2"/>
    <x v="4"/>
    <x v="264"/>
    <x v="833"/>
    <x v="137"/>
    <x v="7"/>
    <x v="137"/>
    <x v="2"/>
    <x v="2"/>
    <x v="0"/>
    <x v="172"/>
    <x v="12"/>
    <x v="6"/>
    <s v="MEDIA"/>
    <s v="MEDIA"/>
    <n v="64"/>
    <s v="cumple"/>
    <x v="6"/>
    <x v="1"/>
    <x v="833"/>
    <n v="696"/>
    <x v="0"/>
  </r>
  <r>
    <x v="1"/>
    <x v="0"/>
    <x v="1"/>
    <x v="0"/>
    <x v="3"/>
    <x v="2"/>
    <x v="4"/>
    <x v="265"/>
    <x v="834"/>
    <x v="138"/>
    <x v="0"/>
    <x v="138"/>
    <x v="8"/>
    <x v="2"/>
    <x v="0"/>
    <x v="172"/>
    <x v="12"/>
    <x v="6"/>
    <s v="MEDIA"/>
    <s v="MEDIA"/>
    <n v="64"/>
    <s v="cumple"/>
    <x v="6"/>
    <x v="1"/>
    <x v="834"/>
    <n v="696"/>
    <x v="0"/>
  </r>
  <r>
    <x v="1"/>
    <x v="0"/>
    <x v="1"/>
    <x v="0"/>
    <x v="3"/>
    <x v="2"/>
    <x v="4"/>
    <x v="266"/>
    <x v="835"/>
    <x v="138"/>
    <x v="8"/>
    <x v="138"/>
    <x v="16"/>
    <x v="19"/>
    <x v="0"/>
    <x v="172"/>
    <x v="12"/>
    <x v="6"/>
    <s v="MEDIA"/>
    <s v="MEDIA"/>
    <n v="64"/>
    <s v="cumple"/>
    <x v="6"/>
    <x v="1"/>
    <x v="835"/>
    <n v="348"/>
    <x v="0"/>
  </r>
  <r>
    <x v="1"/>
    <x v="0"/>
    <x v="1"/>
    <x v="0"/>
    <x v="3"/>
    <x v="3"/>
    <x v="4"/>
    <x v="267"/>
    <x v="836"/>
    <x v="138"/>
    <x v="13"/>
    <x v="138"/>
    <x v="4"/>
    <x v="15"/>
    <x v="0"/>
    <x v="172"/>
    <x v="12"/>
    <x v="6"/>
    <s v="MEDIA"/>
    <s v="MEDIA"/>
    <n v="64"/>
    <s v="cumple"/>
    <x v="6"/>
    <x v="1"/>
    <x v="836"/>
    <n v="1044"/>
    <x v="0"/>
  </r>
  <r>
    <x v="0"/>
    <x v="1"/>
    <x v="1"/>
    <x v="0"/>
    <x v="3"/>
    <x v="1"/>
    <x v="4"/>
    <x v="268"/>
    <x v="837"/>
    <x v="138"/>
    <x v="6"/>
    <x v="138"/>
    <x v="9"/>
    <x v="4"/>
    <x v="0"/>
    <x v="172"/>
    <x v="12"/>
    <x v="6"/>
    <s v="MEDIA"/>
    <s v="MEDIA"/>
    <n v="64"/>
    <s v="cumple"/>
    <x v="6"/>
    <x v="1"/>
    <x v="837"/>
    <n v="1392"/>
    <x v="0"/>
  </r>
  <r>
    <x v="0"/>
    <x v="1"/>
    <x v="1"/>
    <x v="0"/>
    <x v="3"/>
    <x v="1"/>
    <x v="4"/>
    <x v="269"/>
    <x v="838"/>
    <x v="138"/>
    <x v="7"/>
    <x v="138"/>
    <x v="0"/>
    <x v="5"/>
    <x v="0"/>
    <x v="172"/>
    <x v="12"/>
    <x v="6"/>
    <s v="MEDIA"/>
    <s v="MEDIA"/>
    <n v="64"/>
    <s v="cumple"/>
    <x v="6"/>
    <x v="1"/>
    <x v="838"/>
    <n v="2088"/>
    <x v="0"/>
  </r>
  <r>
    <x v="0"/>
    <x v="1"/>
    <x v="1"/>
    <x v="0"/>
    <x v="3"/>
    <x v="1"/>
    <x v="4"/>
    <x v="270"/>
    <x v="839"/>
    <x v="139"/>
    <x v="0"/>
    <x v="139"/>
    <x v="9"/>
    <x v="6"/>
    <x v="0"/>
    <x v="172"/>
    <x v="12"/>
    <x v="6"/>
    <s v="MEDIA"/>
    <s v="MEDIA"/>
    <n v="64"/>
    <s v="cumple"/>
    <x v="6"/>
    <x v="1"/>
    <x v="839"/>
    <n v="3479.9999999999995"/>
    <x v="0"/>
  </r>
  <r>
    <x v="1"/>
    <x v="0"/>
    <x v="1"/>
    <x v="0"/>
    <x v="3"/>
    <x v="2"/>
    <x v="4"/>
    <x v="271"/>
    <x v="840"/>
    <x v="139"/>
    <x v="9"/>
    <x v="139"/>
    <x v="7"/>
    <x v="2"/>
    <x v="0"/>
    <x v="172"/>
    <x v="12"/>
    <x v="6"/>
    <s v="MEDIA"/>
    <s v="MEDIA"/>
    <n v="64"/>
    <s v="cumple"/>
    <x v="6"/>
    <x v="1"/>
    <x v="840"/>
    <n v="696"/>
    <x v="0"/>
  </r>
  <r>
    <x v="0"/>
    <x v="1"/>
    <x v="1"/>
    <x v="0"/>
    <x v="3"/>
    <x v="1"/>
    <x v="4"/>
    <x v="272"/>
    <x v="841"/>
    <x v="153"/>
    <x v="0"/>
    <x v="153"/>
    <x v="9"/>
    <x v="6"/>
    <x v="0"/>
    <x v="172"/>
    <x v="12"/>
    <x v="6"/>
    <s v="MEDIA"/>
    <s v="MEDIA"/>
    <n v="64"/>
    <s v="cumple"/>
    <x v="6"/>
    <x v="1"/>
    <x v="841"/>
    <n v="3479.9999999999995"/>
    <x v="0"/>
  </r>
  <r>
    <x v="1"/>
    <x v="0"/>
    <x v="1"/>
    <x v="0"/>
    <x v="3"/>
    <x v="2"/>
    <x v="4"/>
    <x v="273"/>
    <x v="842"/>
    <x v="153"/>
    <x v="5"/>
    <x v="153"/>
    <x v="0"/>
    <x v="7"/>
    <x v="0"/>
    <x v="172"/>
    <x v="12"/>
    <x v="6"/>
    <s v="MEDIA"/>
    <s v="MEDIA"/>
    <n v="64"/>
    <s v="cumple"/>
    <x v="6"/>
    <x v="1"/>
    <x v="842"/>
    <n v="2784"/>
    <x v="0"/>
  </r>
  <r>
    <x v="0"/>
    <x v="1"/>
    <x v="1"/>
    <x v="0"/>
    <x v="3"/>
    <x v="1"/>
    <x v="4"/>
    <x v="274"/>
    <x v="843"/>
    <x v="140"/>
    <x v="0"/>
    <x v="140"/>
    <x v="4"/>
    <x v="5"/>
    <x v="0"/>
    <x v="172"/>
    <x v="12"/>
    <x v="6"/>
    <s v="MEDIA"/>
    <s v="MEDIA"/>
    <n v="64"/>
    <s v="cumple"/>
    <x v="6"/>
    <x v="1"/>
    <x v="843"/>
    <n v="2088"/>
    <x v="0"/>
  </r>
  <r>
    <x v="0"/>
    <x v="11"/>
    <x v="1"/>
    <x v="0"/>
    <x v="3"/>
    <x v="5"/>
    <x v="4"/>
    <x v="275"/>
    <x v="844"/>
    <x v="140"/>
    <x v="6"/>
    <x v="140"/>
    <x v="9"/>
    <x v="4"/>
    <x v="0"/>
    <x v="172"/>
    <x v="12"/>
    <x v="6"/>
    <s v="MEDIA"/>
    <s v="MEDIA"/>
    <n v="64"/>
    <s v="cumple"/>
    <x v="6"/>
    <x v="1"/>
    <x v="844"/>
    <n v="1392"/>
    <x v="0"/>
  </r>
  <r>
    <x v="0"/>
    <x v="8"/>
    <x v="1"/>
    <x v="0"/>
    <x v="3"/>
    <x v="1"/>
    <x v="4"/>
    <x v="276"/>
    <x v="845"/>
    <x v="140"/>
    <x v="7"/>
    <x v="140"/>
    <x v="0"/>
    <x v="5"/>
    <x v="0"/>
    <x v="172"/>
    <x v="12"/>
    <x v="6"/>
    <s v="MEDIA"/>
    <s v="MEDIA"/>
    <n v="64"/>
    <s v="cumple"/>
    <x v="6"/>
    <x v="1"/>
    <x v="845"/>
    <n v="2088"/>
    <x v="0"/>
  </r>
  <r>
    <x v="0"/>
    <x v="1"/>
    <x v="1"/>
    <x v="0"/>
    <x v="3"/>
    <x v="1"/>
    <x v="4"/>
    <x v="277"/>
    <x v="846"/>
    <x v="141"/>
    <x v="0"/>
    <x v="141"/>
    <x v="3"/>
    <x v="4"/>
    <x v="0"/>
    <x v="172"/>
    <x v="12"/>
    <x v="6"/>
    <s v="MEDIA"/>
    <s v="MEDIA"/>
    <n v="64"/>
    <s v="cumple"/>
    <x v="6"/>
    <x v="1"/>
    <x v="846"/>
    <n v="1392"/>
    <x v="0"/>
  </r>
  <r>
    <x v="0"/>
    <x v="1"/>
    <x v="1"/>
    <x v="0"/>
    <x v="3"/>
    <x v="1"/>
    <x v="4"/>
    <x v="278"/>
    <x v="847"/>
    <x v="141"/>
    <x v="4"/>
    <x v="141"/>
    <x v="13"/>
    <x v="15"/>
    <x v="0"/>
    <x v="172"/>
    <x v="12"/>
    <x v="6"/>
    <s v="MEDIA"/>
    <s v="MEDIA"/>
    <n v="64"/>
    <s v="cumple"/>
    <x v="6"/>
    <x v="1"/>
    <x v="847"/>
    <n v="1044"/>
    <x v="0"/>
  </r>
  <r>
    <x v="0"/>
    <x v="1"/>
    <x v="1"/>
    <x v="0"/>
    <x v="3"/>
    <x v="1"/>
    <x v="4"/>
    <x v="279"/>
    <x v="848"/>
    <x v="141"/>
    <x v="10"/>
    <x v="141"/>
    <x v="9"/>
    <x v="15"/>
    <x v="0"/>
    <x v="172"/>
    <x v="12"/>
    <x v="6"/>
    <s v="MEDIA"/>
    <s v="MEDIA"/>
    <n v="64"/>
    <s v="cumple"/>
    <x v="6"/>
    <x v="1"/>
    <x v="848"/>
    <n v="1044"/>
    <x v="0"/>
  </r>
  <r>
    <x v="0"/>
    <x v="8"/>
    <x v="1"/>
    <x v="0"/>
    <x v="3"/>
    <x v="1"/>
    <x v="4"/>
    <x v="280"/>
    <x v="849"/>
    <x v="141"/>
    <x v="5"/>
    <x v="141"/>
    <x v="2"/>
    <x v="4"/>
    <x v="0"/>
    <x v="172"/>
    <x v="12"/>
    <x v="6"/>
    <s v="MEDIA"/>
    <s v="MEDIA"/>
    <n v="64"/>
    <s v="cumple"/>
    <x v="6"/>
    <x v="1"/>
    <x v="849"/>
    <n v="1392"/>
    <x v="0"/>
  </r>
  <r>
    <x v="0"/>
    <x v="4"/>
    <x v="1"/>
    <x v="0"/>
    <x v="3"/>
    <x v="1"/>
    <x v="4"/>
    <x v="281"/>
    <x v="850"/>
    <x v="141"/>
    <x v="2"/>
    <x v="141"/>
    <x v="0"/>
    <x v="4"/>
    <x v="0"/>
    <x v="172"/>
    <x v="12"/>
    <x v="6"/>
    <s v="MEDIA"/>
    <s v="MEDIA"/>
    <n v="64"/>
    <s v="cumple"/>
    <x v="6"/>
    <x v="1"/>
    <x v="850"/>
    <n v="1392"/>
    <x v="0"/>
  </r>
  <r>
    <x v="0"/>
    <x v="0"/>
    <x v="1"/>
    <x v="0"/>
    <x v="3"/>
    <x v="2"/>
    <x v="4"/>
    <x v="282"/>
    <x v="851"/>
    <x v="142"/>
    <x v="0"/>
    <x v="142"/>
    <x v="15"/>
    <x v="12"/>
    <x v="0"/>
    <x v="172"/>
    <x v="12"/>
    <x v="6"/>
    <s v="MEDIA"/>
    <s v="MEDIA"/>
    <n v="64"/>
    <s v="cumple"/>
    <x v="6"/>
    <x v="1"/>
    <x v="851"/>
    <n v="1739.9999999999998"/>
    <x v="0"/>
  </r>
  <r>
    <x v="0"/>
    <x v="0"/>
    <x v="1"/>
    <x v="0"/>
    <x v="3"/>
    <x v="2"/>
    <x v="4"/>
    <x v="283"/>
    <x v="852"/>
    <x v="142"/>
    <x v="12"/>
    <x v="142"/>
    <x v="5"/>
    <x v="15"/>
    <x v="0"/>
    <x v="172"/>
    <x v="12"/>
    <x v="6"/>
    <s v="MEDIA"/>
    <s v="MEDIA"/>
    <n v="64"/>
    <s v="cumple"/>
    <x v="6"/>
    <x v="1"/>
    <x v="852"/>
    <n v="1044"/>
    <x v="0"/>
  </r>
  <r>
    <x v="0"/>
    <x v="3"/>
    <x v="1"/>
    <x v="0"/>
    <x v="3"/>
    <x v="4"/>
    <x v="4"/>
    <x v="284"/>
    <x v="853"/>
    <x v="142"/>
    <x v="3"/>
    <x v="142"/>
    <x v="9"/>
    <x v="2"/>
    <x v="0"/>
    <x v="172"/>
    <x v="12"/>
    <x v="6"/>
    <s v="MEDIA"/>
    <s v="MEDIA"/>
    <n v="64"/>
    <s v="cumple"/>
    <x v="6"/>
    <x v="1"/>
    <x v="853"/>
    <n v="696"/>
    <x v="0"/>
  </r>
  <r>
    <x v="0"/>
    <x v="0"/>
    <x v="1"/>
    <x v="0"/>
    <x v="3"/>
    <x v="2"/>
    <x v="4"/>
    <x v="285"/>
    <x v="854"/>
    <x v="142"/>
    <x v="5"/>
    <x v="142"/>
    <x v="2"/>
    <x v="4"/>
    <x v="0"/>
    <x v="172"/>
    <x v="12"/>
    <x v="6"/>
    <s v="MEDIA"/>
    <s v="MEDIA"/>
    <n v="64"/>
    <s v="cumple"/>
    <x v="6"/>
    <x v="1"/>
    <x v="854"/>
    <n v="1392"/>
    <x v="0"/>
  </r>
  <r>
    <x v="0"/>
    <x v="1"/>
    <x v="1"/>
    <x v="0"/>
    <x v="3"/>
    <x v="1"/>
    <x v="4"/>
    <x v="286"/>
    <x v="855"/>
    <x v="142"/>
    <x v="2"/>
    <x v="142"/>
    <x v="11"/>
    <x v="5"/>
    <x v="0"/>
    <x v="172"/>
    <x v="12"/>
    <x v="6"/>
    <s v="MEDIA"/>
    <s v="MEDIA"/>
    <n v="64"/>
    <s v="cumple"/>
    <x v="6"/>
    <x v="1"/>
    <x v="855"/>
    <n v="2088"/>
    <x v="0"/>
  </r>
  <r>
    <x v="0"/>
    <x v="1"/>
    <x v="1"/>
    <x v="0"/>
    <x v="3"/>
    <x v="1"/>
    <x v="4"/>
    <x v="287"/>
    <x v="856"/>
    <x v="143"/>
    <x v="0"/>
    <x v="143"/>
    <x v="3"/>
    <x v="4"/>
    <x v="0"/>
    <x v="172"/>
    <x v="12"/>
    <x v="6"/>
    <s v="MEDIA"/>
    <s v="MEDIA"/>
    <n v="64"/>
    <s v="cumple"/>
    <x v="6"/>
    <x v="1"/>
    <x v="856"/>
    <n v="1392"/>
    <x v="0"/>
  </r>
  <r>
    <x v="0"/>
    <x v="1"/>
    <x v="1"/>
    <x v="0"/>
    <x v="3"/>
    <x v="1"/>
    <x v="4"/>
    <x v="288"/>
    <x v="857"/>
    <x v="143"/>
    <x v="4"/>
    <x v="143"/>
    <x v="13"/>
    <x v="15"/>
    <x v="0"/>
    <x v="172"/>
    <x v="12"/>
    <x v="6"/>
    <s v="MEDIA"/>
    <s v="MEDIA"/>
    <n v="64"/>
    <s v="cumple"/>
    <x v="6"/>
    <x v="1"/>
    <x v="857"/>
    <n v="1044"/>
    <x v="0"/>
  </r>
  <r>
    <x v="0"/>
    <x v="1"/>
    <x v="1"/>
    <x v="0"/>
    <x v="3"/>
    <x v="1"/>
    <x v="4"/>
    <x v="289"/>
    <x v="858"/>
    <x v="143"/>
    <x v="10"/>
    <x v="143"/>
    <x v="9"/>
    <x v="15"/>
    <x v="0"/>
    <x v="172"/>
    <x v="12"/>
    <x v="6"/>
    <s v="MEDIA"/>
    <s v="MEDIA"/>
    <n v="64"/>
    <s v="cumple"/>
    <x v="6"/>
    <x v="1"/>
    <x v="858"/>
    <n v="1044"/>
    <x v="0"/>
  </r>
  <r>
    <x v="0"/>
    <x v="4"/>
    <x v="1"/>
    <x v="0"/>
    <x v="3"/>
    <x v="1"/>
    <x v="4"/>
    <x v="290"/>
    <x v="859"/>
    <x v="143"/>
    <x v="5"/>
    <x v="143"/>
    <x v="18"/>
    <x v="15"/>
    <x v="0"/>
    <x v="172"/>
    <x v="12"/>
    <x v="6"/>
    <s v="MEDIA"/>
    <s v="MEDIA"/>
    <n v="64"/>
    <s v="cumple"/>
    <x v="6"/>
    <x v="1"/>
    <x v="859"/>
    <n v="1044"/>
    <x v="0"/>
  </r>
  <r>
    <x v="0"/>
    <x v="3"/>
    <x v="1"/>
    <x v="0"/>
    <x v="3"/>
    <x v="4"/>
    <x v="4"/>
    <x v="291"/>
    <x v="860"/>
    <x v="143"/>
    <x v="15"/>
    <x v="143"/>
    <x v="17"/>
    <x v="2"/>
    <x v="0"/>
    <x v="172"/>
    <x v="12"/>
    <x v="6"/>
    <s v="MEDIA"/>
    <s v="MEDIA"/>
    <n v="64"/>
    <s v="cumple"/>
    <x v="6"/>
    <x v="1"/>
    <x v="860"/>
    <n v="696"/>
    <x v="0"/>
  </r>
  <r>
    <x v="0"/>
    <x v="0"/>
    <x v="1"/>
    <x v="0"/>
    <x v="3"/>
    <x v="2"/>
    <x v="4"/>
    <x v="292"/>
    <x v="861"/>
    <x v="143"/>
    <x v="14"/>
    <x v="143"/>
    <x v="0"/>
    <x v="15"/>
    <x v="0"/>
    <x v="172"/>
    <x v="12"/>
    <x v="6"/>
    <s v="MEDIA"/>
    <s v="MEDIA"/>
    <n v="64"/>
    <s v="cumple"/>
    <x v="6"/>
    <x v="1"/>
    <x v="861"/>
    <n v="1044"/>
    <x v="0"/>
  </r>
  <r>
    <x v="0"/>
    <x v="1"/>
    <x v="1"/>
    <x v="0"/>
    <x v="3"/>
    <x v="1"/>
    <x v="4"/>
    <x v="293"/>
    <x v="862"/>
    <x v="143"/>
    <x v="17"/>
    <x v="143"/>
    <x v="24"/>
    <x v="4"/>
    <x v="0"/>
    <x v="172"/>
    <x v="12"/>
    <x v="6"/>
    <s v="MEDIA"/>
    <s v="MEDIA"/>
    <n v="64"/>
    <s v="cumple"/>
    <x v="6"/>
    <x v="1"/>
    <x v="862"/>
    <n v="1392"/>
    <x v="0"/>
  </r>
  <r>
    <x v="0"/>
    <x v="1"/>
    <x v="1"/>
    <x v="0"/>
    <x v="3"/>
    <x v="1"/>
    <x v="4"/>
    <x v="294"/>
    <x v="863"/>
    <x v="144"/>
    <x v="0"/>
    <x v="144"/>
    <x v="3"/>
    <x v="4"/>
    <x v="0"/>
    <x v="172"/>
    <x v="12"/>
    <x v="6"/>
    <s v="MEDIA"/>
    <s v="MEDIA"/>
    <n v="64"/>
    <s v="cumple"/>
    <x v="6"/>
    <x v="1"/>
    <x v="863"/>
    <n v="1392"/>
    <x v="0"/>
  </r>
  <r>
    <x v="0"/>
    <x v="1"/>
    <x v="1"/>
    <x v="0"/>
    <x v="3"/>
    <x v="1"/>
    <x v="4"/>
    <x v="295"/>
    <x v="864"/>
    <x v="144"/>
    <x v="4"/>
    <x v="144"/>
    <x v="4"/>
    <x v="2"/>
    <x v="0"/>
    <x v="172"/>
    <x v="12"/>
    <x v="6"/>
    <s v="MEDIA"/>
    <s v="MEDIA"/>
    <n v="64"/>
    <s v="cumple"/>
    <x v="6"/>
    <x v="1"/>
    <x v="864"/>
    <n v="696"/>
    <x v="0"/>
  </r>
  <r>
    <x v="0"/>
    <x v="1"/>
    <x v="1"/>
    <x v="0"/>
    <x v="3"/>
    <x v="1"/>
    <x v="4"/>
    <x v="296"/>
    <x v="865"/>
    <x v="144"/>
    <x v="6"/>
    <x v="144"/>
    <x v="14"/>
    <x v="15"/>
    <x v="0"/>
    <x v="172"/>
    <x v="12"/>
    <x v="6"/>
    <s v="MEDIA"/>
    <s v="MEDIA"/>
    <n v="64"/>
    <s v="cumple"/>
    <x v="6"/>
    <x v="1"/>
    <x v="865"/>
    <n v="1044"/>
    <x v="0"/>
  </r>
  <r>
    <x v="0"/>
    <x v="4"/>
    <x v="1"/>
    <x v="0"/>
    <x v="3"/>
    <x v="1"/>
    <x v="4"/>
    <x v="297"/>
    <x v="866"/>
    <x v="144"/>
    <x v="11"/>
    <x v="144"/>
    <x v="10"/>
    <x v="4"/>
    <x v="0"/>
    <x v="172"/>
    <x v="12"/>
    <x v="6"/>
    <s v="MEDIA"/>
    <s v="MEDIA"/>
    <n v="64"/>
    <s v="cumple"/>
    <x v="6"/>
    <x v="1"/>
    <x v="866"/>
    <n v="1392"/>
    <x v="0"/>
  </r>
  <r>
    <x v="0"/>
    <x v="3"/>
    <x v="1"/>
    <x v="0"/>
    <x v="3"/>
    <x v="4"/>
    <x v="4"/>
    <x v="298"/>
    <x v="867"/>
    <x v="144"/>
    <x v="7"/>
    <x v="144"/>
    <x v="2"/>
    <x v="2"/>
    <x v="0"/>
    <x v="172"/>
    <x v="12"/>
    <x v="6"/>
    <s v="MEDIA"/>
    <s v="MEDIA"/>
    <n v="64"/>
    <s v="cumple"/>
    <x v="6"/>
    <x v="1"/>
    <x v="867"/>
    <n v="696"/>
    <x v="0"/>
  </r>
  <r>
    <x v="0"/>
    <x v="0"/>
    <x v="1"/>
    <x v="0"/>
    <x v="3"/>
    <x v="2"/>
    <x v="4"/>
    <x v="299"/>
    <x v="868"/>
    <x v="144"/>
    <x v="2"/>
    <x v="144"/>
    <x v="22"/>
    <x v="12"/>
    <x v="0"/>
    <x v="172"/>
    <x v="12"/>
    <x v="6"/>
    <s v="MEDIA"/>
    <s v="MEDIA"/>
    <n v="64"/>
    <s v="cumple"/>
    <x v="6"/>
    <x v="1"/>
    <x v="868"/>
    <n v="1739.9999999999998"/>
    <x v="0"/>
  </r>
  <r>
    <x v="0"/>
    <x v="0"/>
    <x v="1"/>
    <x v="0"/>
    <x v="3"/>
    <x v="2"/>
    <x v="4"/>
    <x v="300"/>
    <x v="869"/>
    <x v="145"/>
    <x v="0"/>
    <x v="145"/>
    <x v="8"/>
    <x v="2"/>
    <x v="0"/>
    <x v="172"/>
    <x v="12"/>
    <x v="6"/>
    <s v="MEDIA"/>
    <s v="MEDIA"/>
    <n v="64"/>
    <s v="cumple"/>
    <x v="6"/>
    <x v="1"/>
    <x v="869"/>
    <n v="696"/>
    <x v="0"/>
  </r>
  <r>
    <x v="0"/>
    <x v="8"/>
    <x v="1"/>
    <x v="0"/>
    <x v="3"/>
    <x v="4"/>
    <x v="4"/>
    <x v="301"/>
    <x v="870"/>
    <x v="145"/>
    <x v="8"/>
    <x v="145"/>
    <x v="16"/>
    <x v="19"/>
    <x v="0"/>
    <x v="172"/>
    <x v="12"/>
    <x v="6"/>
    <s v="MEDIA"/>
    <s v="MEDIA"/>
    <n v="64"/>
    <s v="cumple"/>
    <x v="6"/>
    <x v="1"/>
    <x v="870"/>
    <n v="348"/>
    <x v="0"/>
  </r>
  <r>
    <x v="0"/>
    <x v="0"/>
    <x v="1"/>
    <x v="0"/>
    <x v="3"/>
    <x v="2"/>
    <x v="4"/>
    <x v="302"/>
    <x v="871"/>
    <x v="145"/>
    <x v="13"/>
    <x v="145"/>
    <x v="15"/>
    <x v="2"/>
    <x v="0"/>
    <x v="172"/>
    <x v="12"/>
    <x v="6"/>
    <s v="MEDIA"/>
    <s v="MEDIA"/>
    <n v="64"/>
    <s v="cumple"/>
    <x v="6"/>
    <x v="1"/>
    <x v="871"/>
    <n v="696"/>
    <x v="0"/>
  </r>
  <r>
    <x v="0"/>
    <x v="0"/>
    <x v="1"/>
    <x v="0"/>
    <x v="3"/>
    <x v="2"/>
    <x v="4"/>
    <x v="303"/>
    <x v="872"/>
    <x v="145"/>
    <x v="12"/>
    <x v="145"/>
    <x v="13"/>
    <x v="2"/>
    <x v="0"/>
    <x v="172"/>
    <x v="12"/>
    <x v="6"/>
    <s v="MEDIA"/>
    <s v="MEDIA"/>
    <n v="64"/>
    <s v="cumple"/>
    <x v="6"/>
    <x v="1"/>
    <x v="872"/>
    <n v="696"/>
    <x v="0"/>
  </r>
  <r>
    <x v="0"/>
    <x v="8"/>
    <x v="1"/>
    <x v="0"/>
    <x v="3"/>
    <x v="4"/>
    <x v="4"/>
    <x v="304"/>
    <x v="873"/>
    <x v="145"/>
    <x v="10"/>
    <x v="145"/>
    <x v="5"/>
    <x v="19"/>
    <x v="0"/>
    <x v="172"/>
    <x v="12"/>
    <x v="6"/>
    <s v="MEDIA"/>
    <s v="MEDIA"/>
    <n v="64"/>
    <s v="cumple"/>
    <x v="6"/>
    <x v="1"/>
    <x v="873"/>
    <n v="348"/>
    <x v="0"/>
  </r>
  <r>
    <x v="0"/>
    <x v="0"/>
    <x v="1"/>
    <x v="0"/>
    <x v="3"/>
    <x v="2"/>
    <x v="4"/>
    <x v="305"/>
    <x v="874"/>
    <x v="145"/>
    <x v="3"/>
    <x v="145"/>
    <x v="9"/>
    <x v="2"/>
    <x v="0"/>
    <x v="172"/>
    <x v="12"/>
    <x v="6"/>
    <s v="MEDIA"/>
    <s v="MEDIA"/>
    <n v="64"/>
    <s v="cumple"/>
    <x v="6"/>
    <x v="1"/>
    <x v="874"/>
    <n v="696"/>
    <x v="0"/>
  </r>
  <r>
    <x v="0"/>
    <x v="0"/>
    <x v="1"/>
    <x v="0"/>
    <x v="3"/>
    <x v="2"/>
    <x v="4"/>
    <x v="306"/>
    <x v="875"/>
    <x v="145"/>
    <x v="20"/>
    <x v="145"/>
    <x v="18"/>
    <x v="2"/>
    <x v="0"/>
    <x v="172"/>
    <x v="12"/>
    <x v="6"/>
    <s v="MEDIA"/>
    <s v="MEDIA"/>
    <n v="64"/>
    <s v="cumple"/>
    <x v="6"/>
    <x v="1"/>
    <x v="875"/>
    <n v="696"/>
    <x v="0"/>
  </r>
  <r>
    <x v="0"/>
    <x v="8"/>
    <x v="1"/>
    <x v="0"/>
    <x v="3"/>
    <x v="4"/>
    <x v="4"/>
    <x v="307"/>
    <x v="876"/>
    <x v="145"/>
    <x v="15"/>
    <x v="145"/>
    <x v="2"/>
    <x v="19"/>
    <x v="0"/>
    <x v="172"/>
    <x v="12"/>
    <x v="6"/>
    <s v="MEDIA"/>
    <s v="MEDIA"/>
    <n v="64"/>
    <s v="cumple"/>
    <x v="6"/>
    <x v="1"/>
    <x v="876"/>
    <n v="348"/>
    <x v="0"/>
  </r>
  <r>
    <x v="0"/>
    <x v="0"/>
    <x v="1"/>
    <x v="0"/>
    <x v="3"/>
    <x v="2"/>
    <x v="4"/>
    <x v="308"/>
    <x v="877"/>
    <x v="145"/>
    <x v="2"/>
    <x v="145"/>
    <x v="1"/>
    <x v="2"/>
    <x v="0"/>
    <x v="172"/>
    <x v="12"/>
    <x v="6"/>
    <s v="MEDIA"/>
    <s v="MEDIA"/>
    <n v="64"/>
    <s v="cumple"/>
    <x v="6"/>
    <x v="1"/>
    <x v="877"/>
    <n v="696"/>
    <x v="0"/>
  </r>
  <r>
    <x v="0"/>
    <x v="0"/>
    <x v="1"/>
    <x v="0"/>
    <x v="3"/>
    <x v="2"/>
    <x v="4"/>
    <x v="309"/>
    <x v="878"/>
    <x v="145"/>
    <x v="1"/>
    <x v="145"/>
    <x v="0"/>
    <x v="2"/>
    <x v="0"/>
    <x v="172"/>
    <x v="12"/>
    <x v="6"/>
    <s v="MEDIA"/>
    <s v="MEDIA"/>
    <n v="64"/>
    <s v="cumple"/>
    <x v="6"/>
    <x v="1"/>
    <x v="878"/>
    <n v="696"/>
    <x v="0"/>
  </r>
  <r>
    <x v="0"/>
    <x v="8"/>
    <x v="1"/>
    <x v="0"/>
    <x v="3"/>
    <x v="4"/>
    <x v="4"/>
    <x v="310"/>
    <x v="879"/>
    <x v="146"/>
    <x v="0"/>
    <x v="146"/>
    <x v="23"/>
    <x v="19"/>
    <x v="0"/>
    <x v="172"/>
    <x v="12"/>
    <x v="6"/>
    <s v="MEDIA"/>
    <s v="MEDIA"/>
    <n v="64"/>
    <s v="cumple"/>
    <x v="6"/>
    <x v="1"/>
    <x v="879"/>
    <n v="348"/>
    <x v="0"/>
  </r>
  <r>
    <x v="0"/>
    <x v="0"/>
    <x v="1"/>
    <x v="0"/>
    <x v="3"/>
    <x v="2"/>
    <x v="4"/>
    <x v="311"/>
    <x v="880"/>
    <x v="146"/>
    <x v="19"/>
    <x v="146"/>
    <x v="16"/>
    <x v="2"/>
    <x v="0"/>
    <x v="172"/>
    <x v="12"/>
    <x v="6"/>
    <s v="MEDIA"/>
    <s v="MEDIA"/>
    <n v="64"/>
    <s v="cumple"/>
    <x v="6"/>
    <x v="1"/>
    <x v="880"/>
    <n v="696"/>
    <x v="0"/>
  </r>
  <r>
    <x v="0"/>
    <x v="0"/>
    <x v="1"/>
    <x v="0"/>
    <x v="3"/>
    <x v="2"/>
    <x v="4"/>
    <x v="312"/>
    <x v="881"/>
    <x v="146"/>
    <x v="13"/>
    <x v="146"/>
    <x v="15"/>
    <x v="2"/>
    <x v="0"/>
    <x v="172"/>
    <x v="12"/>
    <x v="6"/>
    <s v="MEDIA"/>
    <s v="MEDIA"/>
    <n v="64"/>
    <s v="cumple"/>
    <x v="6"/>
    <x v="1"/>
    <x v="881"/>
    <n v="696"/>
    <x v="0"/>
  </r>
  <r>
    <x v="0"/>
    <x v="8"/>
    <x v="1"/>
    <x v="0"/>
    <x v="3"/>
    <x v="4"/>
    <x v="4"/>
    <x v="313"/>
    <x v="882"/>
    <x v="146"/>
    <x v="12"/>
    <x v="146"/>
    <x v="4"/>
    <x v="19"/>
    <x v="0"/>
    <x v="172"/>
    <x v="12"/>
    <x v="6"/>
    <s v="MEDIA"/>
    <s v="MEDIA"/>
    <n v="64"/>
    <s v="cumple"/>
    <x v="6"/>
    <x v="1"/>
    <x v="882"/>
    <n v="348"/>
    <x v="0"/>
  </r>
  <r>
    <x v="0"/>
    <x v="0"/>
    <x v="1"/>
    <x v="0"/>
    <x v="3"/>
    <x v="2"/>
    <x v="4"/>
    <x v="314"/>
    <x v="883"/>
    <x v="146"/>
    <x v="6"/>
    <x v="146"/>
    <x v="5"/>
    <x v="2"/>
    <x v="0"/>
    <x v="172"/>
    <x v="12"/>
    <x v="6"/>
    <s v="MEDIA"/>
    <s v="MEDIA"/>
    <n v="64"/>
    <s v="cumple"/>
    <x v="6"/>
    <x v="1"/>
    <x v="883"/>
    <n v="696"/>
    <x v="0"/>
  </r>
  <r>
    <x v="0"/>
    <x v="0"/>
    <x v="1"/>
    <x v="0"/>
    <x v="3"/>
    <x v="2"/>
    <x v="4"/>
    <x v="315"/>
    <x v="884"/>
    <x v="146"/>
    <x v="3"/>
    <x v="146"/>
    <x v="9"/>
    <x v="2"/>
    <x v="0"/>
    <x v="172"/>
    <x v="12"/>
    <x v="6"/>
    <s v="MEDIA"/>
    <s v="MEDIA"/>
    <n v="64"/>
    <s v="cumple"/>
    <x v="6"/>
    <x v="1"/>
    <x v="884"/>
    <n v="696"/>
    <x v="0"/>
  </r>
  <r>
    <x v="0"/>
    <x v="8"/>
    <x v="1"/>
    <x v="0"/>
    <x v="3"/>
    <x v="4"/>
    <x v="4"/>
    <x v="316"/>
    <x v="885"/>
    <x v="146"/>
    <x v="7"/>
    <x v="146"/>
    <x v="18"/>
    <x v="19"/>
    <x v="0"/>
    <x v="172"/>
    <x v="12"/>
    <x v="6"/>
    <s v="MEDIA"/>
    <s v="MEDIA"/>
    <n v="64"/>
    <s v="cumple"/>
    <x v="6"/>
    <x v="1"/>
    <x v="885"/>
    <n v="348"/>
    <x v="0"/>
  </r>
  <r>
    <x v="0"/>
    <x v="0"/>
    <x v="1"/>
    <x v="0"/>
    <x v="3"/>
    <x v="2"/>
    <x v="4"/>
    <x v="317"/>
    <x v="886"/>
    <x v="146"/>
    <x v="15"/>
    <x v="146"/>
    <x v="17"/>
    <x v="2"/>
    <x v="0"/>
    <x v="172"/>
    <x v="12"/>
    <x v="6"/>
    <s v="MEDIA"/>
    <s v="MEDIA"/>
    <n v="64"/>
    <s v="cumple"/>
    <x v="6"/>
    <x v="1"/>
    <x v="886"/>
    <n v="696"/>
    <x v="0"/>
  </r>
  <r>
    <x v="0"/>
    <x v="0"/>
    <x v="1"/>
    <x v="0"/>
    <x v="3"/>
    <x v="2"/>
    <x v="4"/>
    <x v="318"/>
    <x v="887"/>
    <x v="146"/>
    <x v="14"/>
    <x v="146"/>
    <x v="21"/>
    <x v="2"/>
    <x v="0"/>
    <x v="172"/>
    <x v="12"/>
    <x v="6"/>
    <s v="MEDIA"/>
    <s v="MEDIA"/>
    <n v="64"/>
    <s v="cumple"/>
    <x v="6"/>
    <x v="1"/>
    <x v="887"/>
    <n v="696"/>
    <x v="0"/>
  </r>
  <r>
    <x v="0"/>
    <x v="8"/>
    <x v="1"/>
    <x v="0"/>
    <x v="3"/>
    <x v="4"/>
    <x v="4"/>
    <x v="319"/>
    <x v="888"/>
    <x v="146"/>
    <x v="16"/>
    <x v="146"/>
    <x v="0"/>
    <x v="19"/>
    <x v="0"/>
    <x v="172"/>
    <x v="12"/>
    <x v="6"/>
    <s v="MEDIA"/>
    <s v="MEDIA"/>
    <n v="64"/>
    <s v="cumple"/>
    <x v="6"/>
    <x v="1"/>
    <x v="888"/>
    <n v="348"/>
    <x v="0"/>
  </r>
  <r>
    <x v="0"/>
    <x v="0"/>
    <x v="1"/>
    <x v="0"/>
    <x v="3"/>
    <x v="2"/>
    <x v="4"/>
    <x v="320"/>
    <x v="889"/>
    <x v="147"/>
    <x v="0"/>
    <x v="147"/>
    <x v="8"/>
    <x v="2"/>
    <x v="0"/>
    <x v="172"/>
    <x v="12"/>
    <x v="6"/>
    <s v="MEDIA"/>
    <s v="MEDIA"/>
    <n v="64"/>
    <s v="cumple"/>
    <x v="6"/>
    <x v="1"/>
    <x v="889"/>
    <n v="696"/>
    <x v="0"/>
  </r>
  <r>
    <x v="0"/>
    <x v="0"/>
    <x v="1"/>
    <x v="0"/>
    <x v="3"/>
    <x v="2"/>
    <x v="4"/>
    <x v="321"/>
    <x v="890"/>
    <x v="147"/>
    <x v="8"/>
    <x v="147"/>
    <x v="3"/>
    <x v="2"/>
    <x v="0"/>
    <x v="172"/>
    <x v="12"/>
    <x v="6"/>
    <s v="MEDIA"/>
    <s v="MEDIA"/>
    <n v="64"/>
    <s v="cumple"/>
    <x v="6"/>
    <x v="1"/>
    <x v="890"/>
    <n v="696"/>
    <x v="0"/>
  </r>
  <r>
    <x v="0"/>
    <x v="8"/>
    <x v="1"/>
    <x v="0"/>
    <x v="3"/>
    <x v="4"/>
    <x v="4"/>
    <x v="322"/>
    <x v="891"/>
    <x v="147"/>
    <x v="4"/>
    <x v="147"/>
    <x v="15"/>
    <x v="19"/>
    <x v="0"/>
    <x v="172"/>
    <x v="12"/>
    <x v="6"/>
    <s v="MEDIA"/>
    <s v="MEDIA"/>
    <n v="64"/>
    <s v="cumple"/>
    <x v="6"/>
    <x v="1"/>
    <x v="891"/>
    <n v="348"/>
    <x v="0"/>
  </r>
  <r>
    <x v="0"/>
    <x v="0"/>
    <x v="1"/>
    <x v="0"/>
    <x v="3"/>
    <x v="2"/>
    <x v="4"/>
    <x v="323"/>
    <x v="892"/>
    <x v="147"/>
    <x v="12"/>
    <x v="147"/>
    <x v="13"/>
    <x v="2"/>
    <x v="0"/>
    <x v="172"/>
    <x v="12"/>
    <x v="6"/>
    <s v="MEDIA"/>
    <s v="MEDIA"/>
    <n v="64"/>
    <s v="cumple"/>
    <x v="6"/>
    <x v="1"/>
    <x v="892"/>
    <n v="696"/>
    <x v="0"/>
  </r>
  <r>
    <x v="0"/>
    <x v="0"/>
    <x v="1"/>
    <x v="0"/>
    <x v="3"/>
    <x v="2"/>
    <x v="4"/>
    <x v="324"/>
    <x v="893"/>
    <x v="147"/>
    <x v="10"/>
    <x v="147"/>
    <x v="14"/>
    <x v="2"/>
    <x v="0"/>
    <x v="172"/>
    <x v="12"/>
    <x v="6"/>
    <s v="MEDIA"/>
    <s v="MEDIA"/>
    <n v="64"/>
    <s v="cumple"/>
    <x v="6"/>
    <x v="1"/>
    <x v="893"/>
    <n v="696"/>
    <x v="0"/>
  </r>
  <r>
    <x v="0"/>
    <x v="8"/>
    <x v="1"/>
    <x v="0"/>
    <x v="3"/>
    <x v="4"/>
    <x v="4"/>
    <x v="325"/>
    <x v="894"/>
    <x v="147"/>
    <x v="11"/>
    <x v="147"/>
    <x v="9"/>
    <x v="19"/>
    <x v="0"/>
    <x v="172"/>
    <x v="12"/>
    <x v="6"/>
    <s v="MEDIA"/>
    <s v="MEDIA"/>
    <n v="64"/>
    <s v="cumple"/>
    <x v="6"/>
    <x v="1"/>
    <x v="894"/>
    <n v="348"/>
    <x v="0"/>
  </r>
  <r>
    <x v="0"/>
    <x v="0"/>
    <x v="1"/>
    <x v="0"/>
    <x v="3"/>
    <x v="2"/>
    <x v="4"/>
    <x v="326"/>
    <x v="895"/>
    <x v="147"/>
    <x v="9"/>
    <x v="147"/>
    <x v="7"/>
    <x v="2"/>
    <x v="0"/>
    <x v="172"/>
    <x v="12"/>
    <x v="6"/>
    <s v="MEDIA"/>
    <s v="MEDIA"/>
    <n v="64"/>
    <s v="cumple"/>
    <x v="6"/>
    <x v="1"/>
    <x v="895"/>
    <n v="696"/>
    <x v="0"/>
  </r>
  <r>
    <x v="0"/>
    <x v="0"/>
    <x v="1"/>
    <x v="0"/>
    <x v="3"/>
    <x v="2"/>
    <x v="4"/>
    <x v="327"/>
    <x v="896"/>
    <x v="147"/>
    <x v="7"/>
    <x v="147"/>
    <x v="2"/>
    <x v="2"/>
    <x v="0"/>
    <x v="172"/>
    <x v="12"/>
    <x v="6"/>
    <s v="MEDIA"/>
    <s v="MEDIA"/>
    <n v="64"/>
    <s v="cumple"/>
    <x v="6"/>
    <x v="1"/>
    <x v="896"/>
    <n v="696"/>
    <x v="0"/>
  </r>
  <r>
    <x v="0"/>
    <x v="8"/>
    <x v="1"/>
    <x v="0"/>
    <x v="3"/>
    <x v="4"/>
    <x v="4"/>
    <x v="328"/>
    <x v="897"/>
    <x v="147"/>
    <x v="2"/>
    <x v="147"/>
    <x v="17"/>
    <x v="19"/>
    <x v="0"/>
    <x v="172"/>
    <x v="12"/>
    <x v="6"/>
    <s v="MEDIA"/>
    <s v="MEDIA"/>
    <n v="64"/>
    <s v="cumple"/>
    <x v="6"/>
    <x v="1"/>
    <x v="897"/>
    <n v="348"/>
    <x v="0"/>
  </r>
  <r>
    <x v="0"/>
    <x v="9"/>
    <x v="1"/>
    <x v="0"/>
    <x v="3"/>
    <x v="2"/>
    <x v="4"/>
    <x v="329"/>
    <x v="898"/>
    <x v="147"/>
    <x v="14"/>
    <x v="147"/>
    <x v="1"/>
    <x v="19"/>
    <x v="0"/>
    <x v="37"/>
    <x v="12"/>
    <x v="6"/>
    <s v="MEDIA"/>
    <s v="MEDIA"/>
    <n v="64"/>
    <s v="cumple"/>
    <x v="6"/>
    <x v="1"/>
    <x v="898"/>
    <n v="348"/>
    <x v="0"/>
  </r>
  <r>
    <x v="0"/>
    <x v="9"/>
    <x v="1"/>
    <x v="0"/>
    <x v="3"/>
    <x v="2"/>
    <x v="4"/>
    <x v="330"/>
    <x v="899"/>
    <x v="147"/>
    <x v="1"/>
    <x v="147"/>
    <x v="0"/>
    <x v="2"/>
    <x v="0"/>
    <x v="173"/>
    <x v="12"/>
    <x v="6"/>
    <s v="MEDIA"/>
    <s v="MEDIA"/>
    <n v="64"/>
    <s v="cumple"/>
    <x v="6"/>
    <x v="1"/>
    <x v="899"/>
    <n v="696"/>
    <x v="0"/>
  </r>
  <r>
    <x v="0"/>
    <x v="1"/>
    <x v="1"/>
    <x v="0"/>
    <x v="3"/>
    <x v="1"/>
    <x v="4"/>
    <x v="331"/>
    <x v="900"/>
    <x v="148"/>
    <x v="0"/>
    <x v="148"/>
    <x v="3"/>
    <x v="4"/>
    <x v="0"/>
    <x v="172"/>
    <x v="12"/>
    <x v="6"/>
    <s v="MEDIA"/>
    <s v="MEDIA"/>
    <n v="64"/>
    <s v="cumple"/>
    <x v="6"/>
    <x v="1"/>
    <x v="900"/>
    <n v="1392"/>
    <x v="0"/>
  </r>
  <r>
    <x v="0"/>
    <x v="11"/>
    <x v="1"/>
    <x v="0"/>
    <x v="3"/>
    <x v="5"/>
    <x v="4"/>
    <x v="332"/>
    <x v="901"/>
    <x v="148"/>
    <x v="4"/>
    <x v="148"/>
    <x v="13"/>
    <x v="15"/>
    <x v="0"/>
    <x v="172"/>
    <x v="12"/>
    <x v="6"/>
    <s v="MEDIA"/>
    <s v="MEDIA"/>
    <n v="64"/>
    <s v="cumple"/>
    <x v="6"/>
    <x v="1"/>
    <x v="901"/>
    <n v="1044"/>
    <x v="0"/>
  </r>
  <r>
    <x v="0"/>
    <x v="1"/>
    <x v="1"/>
    <x v="0"/>
    <x v="3"/>
    <x v="1"/>
    <x v="4"/>
    <x v="333"/>
    <x v="902"/>
    <x v="148"/>
    <x v="10"/>
    <x v="148"/>
    <x v="12"/>
    <x v="4"/>
    <x v="0"/>
    <x v="172"/>
    <x v="12"/>
    <x v="6"/>
    <s v="MEDIA"/>
    <s v="MEDIA"/>
    <n v="64"/>
    <s v="cumple"/>
    <x v="6"/>
    <x v="1"/>
    <x v="902"/>
    <n v="1392"/>
    <x v="0"/>
  </r>
  <r>
    <x v="0"/>
    <x v="11"/>
    <x v="1"/>
    <x v="0"/>
    <x v="3"/>
    <x v="5"/>
    <x v="4"/>
    <x v="334"/>
    <x v="903"/>
    <x v="148"/>
    <x v="7"/>
    <x v="148"/>
    <x v="17"/>
    <x v="15"/>
    <x v="0"/>
    <x v="172"/>
    <x v="12"/>
    <x v="6"/>
    <s v="MEDIA"/>
    <s v="MEDIA"/>
    <n v="64"/>
    <s v="cumple"/>
    <x v="6"/>
    <x v="1"/>
    <x v="903"/>
    <n v="1044"/>
    <x v="0"/>
  </r>
  <r>
    <x v="0"/>
    <x v="1"/>
    <x v="1"/>
    <x v="0"/>
    <x v="3"/>
    <x v="1"/>
    <x v="4"/>
    <x v="335"/>
    <x v="904"/>
    <x v="148"/>
    <x v="14"/>
    <x v="148"/>
    <x v="22"/>
    <x v="4"/>
    <x v="0"/>
    <x v="172"/>
    <x v="12"/>
    <x v="6"/>
    <s v="MEDIA"/>
    <s v="MEDIA"/>
    <n v="64"/>
    <s v="cumple"/>
    <x v="6"/>
    <x v="1"/>
    <x v="904"/>
    <n v="1392"/>
    <x v="0"/>
  </r>
  <r>
    <x v="0"/>
    <x v="11"/>
    <x v="1"/>
    <x v="0"/>
    <x v="3"/>
    <x v="5"/>
    <x v="4"/>
    <x v="336"/>
    <x v="905"/>
    <x v="149"/>
    <x v="0"/>
    <x v="149"/>
    <x v="8"/>
    <x v="2"/>
    <x v="0"/>
    <x v="172"/>
    <x v="12"/>
    <x v="6"/>
    <s v="MEDIA"/>
    <s v="MEDIA"/>
    <n v="64"/>
    <s v="cumple"/>
    <x v="6"/>
    <x v="1"/>
    <x v="905"/>
    <n v="696"/>
    <x v="0"/>
  </r>
  <r>
    <x v="0"/>
    <x v="1"/>
    <x v="1"/>
    <x v="0"/>
    <x v="3"/>
    <x v="1"/>
    <x v="4"/>
    <x v="337"/>
    <x v="906"/>
    <x v="149"/>
    <x v="8"/>
    <x v="149"/>
    <x v="4"/>
    <x v="4"/>
    <x v="0"/>
    <x v="172"/>
    <x v="12"/>
    <x v="6"/>
    <s v="MEDIA"/>
    <s v="MEDIA"/>
    <n v="64"/>
    <s v="cumple"/>
    <x v="6"/>
    <x v="1"/>
    <x v="906"/>
    <n v="1392"/>
    <x v="0"/>
  </r>
  <r>
    <x v="0"/>
    <x v="11"/>
    <x v="1"/>
    <x v="0"/>
    <x v="3"/>
    <x v="5"/>
    <x v="4"/>
    <x v="338"/>
    <x v="907"/>
    <x v="149"/>
    <x v="6"/>
    <x v="149"/>
    <x v="13"/>
    <x v="19"/>
    <x v="0"/>
    <x v="172"/>
    <x v="12"/>
    <x v="6"/>
    <s v="MEDIA"/>
    <s v="MEDIA"/>
    <n v="64"/>
    <s v="cumple"/>
    <x v="6"/>
    <x v="1"/>
    <x v="907"/>
    <n v="348"/>
    <x v="0"/>
  </r>
  <r>
    <x v="0"/>
    <x v="1"/>
    <x v="1"/>
    <x v="0"/>
    <x v="3"/>
    <x v="1"/>
    <x v="4"/>
    <x v="339"/>
    <x v="908"/>
    <x v="149"/>
    <x v="10"/>
    <x v="149"/>
    <x v="12"/>
    <x v="4"/>
    <x v="0"/>
    <x v="172"/>
    <x v="12"/>
    <x v="6"/>
    <s v="MEDIA"/>
    <s v="MEDIA"/>
    <n v="64"/>
    <s v="cumple"/>
    <x v="6"/>
    <x v="1"/>
    <x v="908"/>
    <n v="1392"/>
    <x v="0"/>
  </r>
  <r>
    <x v="0"/>
    <x v="11"/>
    <x v="1"/>
    <x v="0"/>
    <x v="3"/>
    <x v="5"/>
    <x v="4"/>
    <x v="340"/>
    <x v="909"/>
    <x v="149"/>
    <x v="7"/>
    <x v="149"/>
    <x v="18"/>
    <x v="19"/>
    <x v="0"/>
    <x v="172"/>
    <x v="12"/>
    <x v="6"/>
    <s v="MEDIA"/>
    <s v="MEDIA"/>
    <n v="64"/>
    <s v="cumple"/>
    <x v="6"/>
    <x v="1"/>
    <x v="909"/>
    <n v="348"/>
    <x v="0"/>
  </r>
  <r>
    <x v="0"/>
    <x v="1"/>
    <x v="1"/>
    <x v="0"/>
    <x v="3"/>
    <x v="1"/>
    <x v="4"/>
    <x v="341"/>
    <x v="910"/>
    <x v="149"/>
    <x v="15"/>
    <x v="149"/>
    <x v="21"/>
    <x v="4"/>
    <x v="0"/>
    <x v="172"/>
    <x v="12"/>
    <x v="6"/>
    <s v="MEDIA"/>
    <s v="MEDIA"/>
    <n v="64"/>
    <s v="cumple"/>
    <x v="6"/>
    <x v="1"/>
    <x v="910"/>
    <n v="1392"/>
    <x v="0"/>
  </r>
  <r>
    <x v="0"/>
    <x v="11"/>
    <x v="1"/>
    <x v="0"/>
    <x v="3"/>
    <x v="5"/>
    <x v="4"/>
    <x v="342"/>
    <x v="911"/>
    <x v="149"/>
    <x v="16"/>
    <x v="149"/>
    <x v="0"/>
    <x v="19"/>
    <x v="0"/>
    <x v="172"/>
    <x v="12"/>
    <x v="6"/>
    <s v="MEDIA"/>
    <s v="MEDIA"/>
    <n v="64"/>
    <s v="cumple"/>
    <x v="6"/>
    <x v="1"/>
    <x v="911"/>
    <n v="348"/>
    <x v="0"/>
  </r>
  <r>
    <x v="0"/>
    <x v="1"/>
    <x v="1"/>
    <x v="0"/>
    <x v="3"/>
    <x v="1"/>
    <x v="4"/>
    <x v="343"/>
    <x v="912"/>
    <x v="151"/>
    <x v="0"/>
    <x v="151"/>
    <x v="3"/>
    <x v="4"/>
    <x v="0"/>
    <x v="172"/>
    <x v="12"/>
    <x v="6"/>
    <s v="MEDIA"/>
    <s v="MEDIA"/>
    <n v="64"/>
    <s v="cumple"/>
    <x v="6"/>
    <x v="1"/>
    <x v="912"/>
    <n v="1392"/>
    <x v="0"/>
  </r>
  <r>
    <x v="0"/>
    <x v="11"/>
    <x v="1"/>
    <x v="0"/>
    <x v="3"/>
    <x v="5"/>
    <x v="4"/>
    <x v="344"/>
    <x v="913"/>
    <x v="151"/>
    <x v="4"/>
    <x v="151"/>
    <x v="15"/>
    <x v="19"/>
    <x v="0"/>
    <x v="172"/>
    <x v="12"/>
    <x v="6"/>
    <s v="MEDIA"/>
    <s v="MEDIA"/>
    <n v="64"/>
    <s v="cumple"/>
    <x v="6"/>
    <x v="1"/>
    <x v="913"/>
    <n v="348"/>
    <x v="0"/>
  </r>
  <r>
    <x v="0"/>
    <x v="1"/>
    <x v="1"/>
    <x v="0"/>
    <x v="3"/>
    <x v="1"/>
    <x v="4"/>
    <x v="345"/>
    <x v="914"/>
    <x v="151"/>
    <x v="12"/>
    <x v="151"/>
    <x v="9"/>
    <x v="15"/>
    <x v="0"/>
    <x v="172"/>
    <x v="12"/>
    <x v="6"/>
    <s v="MEDIA"/>
    <s v="MEDIA"/>
    <n v="64"/>
    <s v="cumple"/>
    <x v="6"/>
    <x v="1"/>
    <x v="914"/>
    <n v="1044"/>
    <x v="0"/>
  </r>
  <r>
    <x v="0"/>
    <x v="11"/>
    <x v="1"/>
    <x v="0"/>
    <x v="3"/>
    <x v="5"/>
    <x v="4"/>
    <x v="346"/>
    <x v="915"/>
    <x v="151"/>
    <x v="9"/>
    <x v="151"/>
    <x v="12"/>
    <x v="19"/>
    <x v="0"/>
    <x v="172"/>
    <x v="12"/>
    <x v="6"/>
    <s v="MEDIA"/>
    <s v="MEDIA"/>
    <n v="64"/>
    <s v="cumple"/>
    <x v="6"/>
    <x v="1"/>
    <x v="915"/>
    <n v="348"/>
    <x v="0"/>
  </r>
  <r>
    <x v="0"/>
    <x v="8"/>
    <x v="1"/>
    <x v="0"/>
    <x v="3"/>
    <x v="1"/>
    <x v="4"/>
    <x v="347"/>
    <x v="916"/>
    <x v="151"/>
    <x v="21"/>
    <x v="151"/>
    <x v="7"/>
    <x v="19"/>
    <x v="0"/>
    <x v="37"/>
    <x v="12"/>
    <x v="6"/>
    <s v="MEDIA"/>
    <s v="MEDIA"/>
    <n v="64"/>
    <s v="cumple"/>
    <x v="6"/>
    <x v="1"/>
    <x v="916"/>
    <n v="348"/>
    <x v="0"/>
  </r>
  <r>
    <x v="0"/>
    <x v="1"/>
    <x v="1"/>
    <x v="0"/>
    <x v="3"/>
    <x v="1"/>
    <x v="4"/>
    <x v="348"/>
    <x v="917"/>
    <x v="150"/>
    <x v="0"/>
    <x v="150"/>
    <x v="3"/>
    <x v="4"/>
    <x v="0"/>
    <x v="172"/>
    <x v="12"/>
    <x v="6"/>
    <s v="MEDIA"/>
    <s v="MEDIA"/>
    <n v="64"/>
    <s v="cumple"/>
    <x v="6"/>
    <x v="1"/>
    <x v="917"/>
    <n v="1392"/>
    <x v="0"/>
  </r>
  <r>
    <x v="0"/>
    <x v="11"/>
    <x v="1"/>
    <x v="0"/>
    <x v="3"/>
    <x v="5"/>
    <x v="4"/>
    <x v="349"/>
    <x v="918"/>
    <x v="150"/>
    <x v="4"/>
    <x v="150"/>
    <x v="4"/>
    <x v="2"/>
    <x v="0"/>
    <x v="172"/>
    <x v="12"/>
    <x v="6"/>
    <s v="MEDIA"/>
    <s v="MEDIA"/>
    <n v="64"/>
    <s v="cumple"/>
    <x v="6"/>
    <x v="1"/>
    <x v="918"/>
    <n v="696"/>
    <x v="0"/>
  </r>
  <r>
    <x v="0"/>
    <x v="11"/>
    <x v="1"/>
    <x v="0"/>
    <x v="3"/>
    <x v="5"/>
    <x v="4"/>
    <x v="350"/>
    <x v="919"/>
    <x v="150"/>
    <x v="6"/>
    <x v="150"/>
    <x v="5"/>
    <x v="2"/>
    <x v="0"/>
    <x v="172"/>
    <x v="12"/>
    <x v="6"/>
    <s v="MEDIA"/>
    <s v="MEDIA"/>
    <n v="64"/>
    <s v="cumple"/>
    <x v="6"/>
    <x v="1"/>
    <x v="919"/>
    <n v="696"/>
    <x v="0"/>
  </r>
  <r>
    <x v="0"/>
    <x v="1"/>
    <x v="1"/>
    <x v="0"/>
    <x v="3"/>
    <x v="1"/>
    <x v="4"/>
    <x v="351"/>
    <x v="920"/>
    <x v="150"/>
    <x v="3"/>
    <x v="150"/>
    <x v="7"/>
    <x v="4"/>
    <x v="0"/>
    <x v="172"/>
    <x v="12"/>
    <x v="6"/>
    <s v="MEDIA"/>
    <s v="MEDIA"/>
    <n v="64"/>
    <s v="cumple"/>
    <x v="6"/>
    <x v="1"/>
    <x v="920"/>
    <n v="1392"/>
    <x v="0"/>
  </r>
  <r>
    <x v="0"/>
    <x v="1"/>
    <x v="1"/>
    <x v="0"/>
    <x v="3"/>
    <x v="1"/>
    <x v="4"/>
    <x v="352"/>
    <x v="921"/>
    <x v="150"/>
    <x v="7"/>
    <x v="150"/>
    <x v="2"/>
    <x v="2"/>
    <x v="0"/>
    <x v="172"/>
    <x v="12"/>
    <x v="6"/>
    <s v="MEDIA"/>
    <s v="MEDIA"/>
    <n v="64"/>
    <s v="cumple"/>
    <x v="6"/>
    <x v="1"/>
    <x v="921"/>
    <n v="696"/>
    <x v="0"/>
  </r>
  <r>
    <x v="0"/>
    <x v="1"/>
    <x v="1"/>
    <x v="0"/>
    <x v="3"/>
    <x v="1"/>
    <x v="4"/>
    <x v="353"/>
    <x v="922"/>
    <x v="150"/>
    <x v="2"/>
    <x v="150"/>
    <x v="1"/>
    <x v="2"/>
    <x v="0"/>
    <x v="172"/>
    <x v="12"/>
    <x v="6"/>
    <s v="MEDIA"/>
    <s v="MEDIA"/>
    <n v="64"/>
    <s v="cumple"/>
    <x v="6"/>
    <x v="1"/>
    <x v="922"/>
    <n v="696"/>
    <x v="0"/>
  </r>
  <r>
    <x v="0"/>
    <x v="1"/>
    <x v="3"/>
    <x v="0"/>
    <x v="3"/>
    <x v="1"/>
    <x v="0"/>
    <x v="27"/>
    <x v="923"/>
    <x v="154"/>
    <x v="0"/>
    <x v="154"/>
    <x v="0"/>
    <x v="0"/>
    <x v="0"/>
    <x v="42"/>
    <x v="11"/>
    <x v="0"/>
    <s v="MEDIA"/>
    <s v="MEDIA"/>
    <n v="64"/>
    <s v="cumple"/>
    <x v="7"/>
    <x v="3"/>
    <x v="923"/>
    <n v="6496"/>
    <x v="0"/>
  </r>
  <r>
    <x v="0"/>
    <x v="1"/>
    <x v="3"/>
    <x v="0"/>
    <x v="3"/>
    <x v="1"/>
    <x v="0"/>
    <x v="27"/>
    <x v="924"/>
    <x v="155"/>
    <x v="0"/>
    <x v="155"/>
    <x v="5"/>
    <x v="7"/>
    <x v="0"/>
    <x v="42"/>
    <x v="11"/>
    <x v="0"/>
    <s v="MEDIA"/>
    <s v="MEDIA"/>
    <n v="64"/>
    <s v="cumple"/>
    <x v="7"/>
    <x v="3"/>
    <x v="924"/>
    <n v="3248"/>
    <x v="0"/>
  </r>
  <r>
    <x v="0"/>
    <x v="1"/>
    <x v="3"/>
    <x v="0"/>
    <x v="3"/>
    <x v="1"/>
    <x v="0"/>
    <x v="27"/>
    <x v="925"/>
    <x v="155"/>
    <x v="3"/>
    <x v="155"/>
    <x v="0"/>
    <x v="7"/>
    <x v="0"/>
    <x v="42"/>
    <x v="11"/>
    <x v="0"/>
    <s v="MEDIA"/>
    <s v="MEDIA"/>
    <n v="64"/>
    <s v="cumple"/>
    <x v="7"/>
    <x v="3"/>
    <x v="925"/>
    <n v="3248"/>
    <x v="0"/>
  </r>
  <r>
    <x v="0"/>
    <x v="1"/>
    <x v="3"/>
    <x v="0"/>
    <x v="3"/>
    <x v="1"/>
    <x v="0"/>
    <x v="27"/>
    <x v="926"/>
    <x v="156"/>
    <x v="0"/>
    <x v="156"/>
    <x v="0"/>
    <x v="0"/>
    <x v="0"/>
    <x v="42"/>
    <x v="11"/>
    <x v="0"/>
    <s v="MEDIA"/>
    <s v="MEDIA"/>
    <n v="64"/>
    <s v="cumple"/>
    <x v="7"/>
    <x v="3"/>
    <x v="926"/>
    <n v="6496"/>
    <x v="0"/>
  </r>
  <r>
    <x v="0"/>
    <x v="1"/>
    <x v="3"/>
    <x v="0"/>
    <x v="3"/>
    <x v="1"/>
    <x v="0"/>
    <x v="27"/>
    <x v="927"/>
    <x v="157"/>
    <x v="0"/>
    <x v="157"/>
    <x v="7"/>
    <x v="3"/>
    <x v="0"/>
    <x v="42"/>
    <x v="11"/>
    <x v="0"/>
    <s v="MEDIA"/>
    <s v="MEDIA"/>
    <n v="64"/>
    <s v="cumple"/>
    <x v="7"/>
    <x v="3"/>
    <x v="927"/>
    <n v="4872"/>
    <x v="0"/>
  </r>
  <r>
    <x v="0"/>
    <x v="1"/>
    <x v="3"/>
    <x v="0"/>
    <x v="3"/>
    <x v="1"/>
    <x v="0"/>
    <x v="27"/>
    <x v="928"/>
    <x v="158"/>
    <x v="0"/>
    <x v="158"/>
    <x v="0"/>
    <x v="0"/>
    <x v="0"/>
    <x v="42"/>
    <x v="11"/>
    <x v="0"/>
    <s v="MEDIA"/>
    <s v="MEDIA"/>
    <n v="64"/>
    <s v="cumple"/>
    <x v="7"/>
    <x v="3"/>
    <x v="928"/>
    <n v="6496"/>
    <x v="0"/>
  </r>
  <r>
    <x v="0"/>
    <x v="1"/>
    <x v="3"/>
    <x v="0"/>
    <x v="3"/>
    <x v="1"/>
    <x v="0"/>
    <x v="27"/>
    <x v="929"/>
    <x v="159"/>
    <x v="0"/>
    <x v="159"/>
    <x v="5"/>
    <x v="7"/>
    <x v="0"/>
    <x v="42"/>
    <x v="11"/>
    <x v="0"/>
    <s v="MEDIA"/>
    <s v="MEDIA"/>
    <n v="64"/>
    <s v="cumple"/>
    <x v="7"/>
    <x v="3"/>
    <x v="929"/>
    <n v="3248"/>
    <x v="0"/>
  </r>
  <r>
    <x v="0"/>
    <x v="1"/>
    <x v="3"/>
    <x v="0"/>
    <x v="3"/>
    <x v="1"/>
    <x v="0"/>
    <x v="27"/>
    <x v="930"/>
    <x v="160"/>
    <x v="0"/>
    <x v="160"/>
    <x v="5"/>
    <x v="7"/>
    <x v="0"/>
    <x v="42"/>
    <x v="11"/>
    <x v="0"/>
    <s v="MEDIA"/>
    <s v="MEDIA"/>
    <n v="64"/>
    <s v="cumple"/>
    <x v="7"/>
    <x v="3"/>
    <x v="930"/>
    <n v="3248"/>
    <x v="0"/>
  </r>
  <r>
    <x v="0"/>
    <x v="1"/>
    <x v="3"/>
    <x v="0"/>
    <x v="3"/>
    <x v="1"/>
    <x v="0"/>
    <x v="27"/>
    <x v="931"/>
    <x v="161"/>
    <x v="0"/>
    <x v="161"/>
    <x v="3"/>
    <x v="4"/>
    <x v="0"/>
    <x v="42"/>
    <x v="11"/>
    <x v="0"/>
    <s v="MEDIA"/>
    <s v="MEDIA"/>
    <n v="64"/>
    <s v="cumple"/>
    <x v="7"/>
    <x v="3"/>
    <x v="931"/>
    <n v="1624"/>
    <x v="0"/>
  </r>
  <r>
    <x v="0"/>
    <x v="1"/>
    <x v="3"/>
    <x v="0"/>
    <x v="3"/>
    <x v="1"/>
    <x v="0"/>
    <x v="27"/>
    <x v="932"/>
    <x v="161"/>
    <x v="4"/>
    <x v="161"/>
    <x v="0"/>
    <x v="3"/>
    <x v="0"/>
    <x v="42"/>
    <x v="11"/>
    <x v="0"/>
    <s v="MEDIA"/>
    <s v="MEDIA"/>
    <n v="64"/>
    <s v="cumple"/>
    <x v="7"/>
    <x v="3"/>
    <x v="932"/>
    <n v="4872"/>
    <x v="0"/>
  </r>
  <r>
    <x v="0"/>
    <x v="1"/>
    <x v="3"/>
    <x v="0"/>
    <x v="3"/>
    <x v="1"/>
    <x v="0"/>
    <x v="27"/>
    <x v="933"/>
    <x v="162"/>
    <x v="0"/>
    <x v="162"/>
    <x v="3"/>
    <x v="4"/>
    <x v="0"/>
    <x v="42"/>
    <x v="11"/>
    <x v="0"/>
    <s v="MEDIA"/>
    <s v="MEDIA"/>
    <n v="64"/>
    <s v="cumple"/>
    <x v="7"/>
    <x v="3"/>
    <x v="933"/>
    <n v="1624"/>
    <x v="0"/>
  </r>
  <r>
    <x v="0"/>
    <x v="1"/>
    <x v="3"/>
    <x v="0"/>
    <x v="3"/>
    <x v="1"/>
    <x v="0"/>
    <x v="27"/>
    <x v="934"/>
    <x v="162"/>
    <x v="4"/>
    <x v="162"/>
    <x v="5"/>
    <x v="4"/>
    <x v="0"/>
    <x v="42"/>
    <x v="11"/>
    <x v="0"/>
    <s v="MEDIA"/>
    <s v="MEDIA"/>
    <n v="64"/>
    <s v="cumple"/>
    <x v="7"/>
    <x v="3"/>
    <x v="934"/>
    <n v="1624"/>
    <x v="0"/>
  </r>
  <r>
    <x v="0"/>
    <x v="1"/>
    <x v="3"/>
    <x v="0"/>
    <x v="3"/>
    <x v="1"/>
    <x v="0"/>
    <x v="27"/>
    <x v="935"/>
    <x v="162"/>
    <x v="3"/>
    <x v="162"/>
    <x v="7"/>
    <x v="4"/>
    <x v="0"/>
    <x v="42"/>
    <x v="11"/>
    <x v="0"/>
    <s v="MEDIA"/>
    <s v="MEDIA"/>
    <n v="64"/>
    <s v="cumple"/>
    <x v="7"/>
    <x v="3"/>
    <x v="935"/>
    <n v="1624"/>
    <x v="0"/>
  </r>
  <r>
    <x v="0"/>
    <x v="1"/>
    <x v="3"/>
    <x v="0"/>
    <x v="3"/>
    <x v="1"/>
    <x v="0"/>
    <x v="27"/>
    <x v="936"/>
    <x v="163"/>
    <x v="0"/>
    <x v="163"/>
    <x v="0"/>
    <x v="0"/>
    <x v="0"/>
    <x v="42"/>
    <x v="11"/>
    <x v="0"/>
    <s v="MEDIA"/>
    <s v="MEDIA"/>
    <n v="64"/>
    <s v="cumple"/>
    <x v="7"/>
    <x v="3"/>
    <x v="936"/>
    <n v="6496"/>
    <x v="0"/>
  </r>
  <r>
    <x v="0"/>
    <x v="1"/>
    <x v="3"/>
    <x v="0"/>
    <x v="3"/>
    <x v="1"/>
    <x v="0"/>
    <x v="27"/>
    <x v="937"/>
    <x v="164"/>
    <x v="0"/>
    <x v="164"/>
    <x v="0"/>
    <x v="0"/>
    <x v="0"/>
    <x v="42"/>
    <x v="11"/>
    <x v="0"/>
    <s v="MEDIA"/>
    <s v="MEDIA"/>
    <n v="64"/>
    <s v="cumple"/>
    <x v="7"/>
    <x v="3"/>
    <x v="937"/>
    <n v="6496"/>
    <x v="0"/>
  </r>
  <r>
    <x v="0"/>
    <x v="1"/>
    <x v="3"/>
    <x v="0"/>
    <x v="3"/>
    <x v="1"/>
    <x v="0"/>
    <x v="27"/>
    <x v="938"/>
    <x v="165"/>
    <x v="0"/>
    <x v="165"/>
    <x v="5"/>
    <x v="7"/>
    <x v="0"/>
    <x v="42"/>
    <x v="11"/>
    <x v="0"/>
    <s v="MEDIA"/>
    <s v="MEDIA"/>
    <n v="64"/>
    <s v="cumple"/>
    <x v="7"/>
    <x v="3"/>
    <x v="938"/>
    <n v="3248"/>
    <x v="0"/>
  </r>
  <r>
    <x v="0"/>
    <x v="1"/>
    <x v="3"/>
    <x v="0"/>
    <x v="3"/>
    <x v="1"/>
    <x v="0"/>
    <x v="27"/>
    <x v="939"/>
    <x v="165"/>
    <x v="3"/>
    <x v="165"/>
    <x v="2"/>
    <x v="4"/>
    <x v="0"/>
    <x v="42"/>
    <x v="11"/>
    <x v="0"/>
    <s v="MEDIA"/>
    <s v="MEDIA"/>
    <n v="64"/>
    <s v="cumple"/>
    <x v="7"/>
    <x v="3"/>
    <x v="939"/>
    <n v="1624"/>
    <x v="0"/>
  </r>
  <r>
    <x v="0"/>
    <x v="1"/>
    <x v="3"/>
    <x v="0"/>
    <x v="3"/>
    <x v="1"/>
    <x v="0"/>
    <x v="27"/>
    <x v="940"/>
    <x v="165"/>
    <x v="2"/>
    <x v="165"/>
    <x v="0"/>
    <x v="4"/>
    <x v="0"/>
    <x v="42"/>
    <x v="11"/>
    <x v="0"/>
    <s v="MEDIA"/>
    <s v="MEDIA"/>
    <n v="64"/>
    <s v="cumple"/>
    <x v="7"/>
    <x v="3"/>
    <x v="940"/>
    <n v="1624"/>
    <x v="0"/>
  </r>
  <r>
    <x v="0"/>
    <x v="1"/>
    <x v="3"/>
    <x v="0"/>
    <x v="3"/>
    <x v="1"/>
    <x v="0"/>
    <x v="27"/>
    <x v="941"/>
    <x v="166"/>
    <x v="0"/>
    <x v="166"/>
    <x v="5"/>
    <x v="7"/>
    <x v="0"/>
    <x v="42"/>
    <x v="11"/>
    <x v="0"/>
    <s v="MEDIA"/>
    <s v="MEDIA"/>
    <n v="64"/>
    <s v="cumple"/>
    <x v="7"/>
    <x v="3"/>
    <x v="941"/>
    <n v="3248"/>
    <x v="0"/>
  </r>
  <r>
    <x v="0"/>
    <x v="1"/>
    <x v="3"/>
    <x v="0"/>
    <x v="3"/>
    <x v="1"/>
    <x v="0"/>
    <x v="27"/>
    <x v="942"/>
    <x v="166"/>
    <x v="3"/>
    <x v="166"/>
    <x v="0"/>
    <x v="7"/>
    <x v="0"/>
    <x v="42"/>
    <x v="11"/>
    <x v="0"/>
    <s v="MEDIA"/>
    <s v="MEDIA"/>
    <n v="64"/>
    <s v="cumple"/>
    <x v="7"/>
    <x v="3"/>
    <x v="942"/>
    <n v="3248"/>
    <x v="0"/>
  </r>
  <r>
    <x v="0"/>
    <x v="1"/>
    <x v="3"/>
    <x v="0"/>
    <x v="3"/>
    <x v="1"/>
    <x v="0"/>
    <x v="27"/>
    <x v="943"/>
    <x v="167"/>
    <x v="0"/>
    <x v="167"/>
    <x v="7"/>
    <x v="3"/>
    <x v="0"/>
    <x v="42"/>
    <x v="11"/>
    <x v="0"/>
    <s v="MEDIA"/>
    <s v="MEDIA"/>
    <n v="64"/>
    <s v="cumple"/>
    <x v="7"/>
    <x v="3"/>
    <x v="943"/>
    <n v="4872"/>
    <x v="0"/>
  </r>
  <r>
    <x v="0"/>
    <x v="1"/>
    <x v="3"/>
    <x v="0"/>
    <x v="3"/>
    <x v="1"/>
    <x v="0"/>
    <x v="27"/>
    <x v="944"/>
    <x v="168"/>
    <x v="0"/>
    <x v="168"/>
    <x v="0"/>
    <x v="0"/>
    <x v="0"/>
    <x v="42"/>
    <x v="11"/>
    <x v="0"/>
    <s v="MEDIA"/>
    <s v="MEDIA"/>
    <n v="64"/>
    <s v="cumple"/>
    <x v="7"/>
    <x v="3"/>
    <x v="944"/>
    <n v="6496"/>
    <x v="0"/>
  </r>
  <r>
    <x v="0"/>
    <x v="1"/>
    <x v="3"/>
    <x v="0"/>
    <x v="3"/>
    <x v="1"/>
    <x v="0"/>
    <x v="27"/>
    <x v="945"/>
    <x v="169"/>
    <x v="0"/>
    <x v="169"/>
    <x v="0"/>
    <x v="0"/>
    <x v="1"/>
    <x v="42"/>
    <x v="11"/>
    <x v="0"/>
    <s v="MEDIA"/>
    <s v="MEDIA"/>
    <n v="64"/>
    <s v="cumple"/>
    <x v="7"/>
    <x v="3"/>
    <x v="945"/>
    <n v="6496"/>
    <x v="0"/>
  </r>
  <r>
    <x v="0"/>
    <x v="1"/>
    <x v="3"/>
    <x v="0"/>
    <x v="3"/>
    <x v="1"/>
    <x v="0"/>
    <x v="27"/>
    <x v="945"/>
    <x v="170"/>
    <x v="0"/>
    <x v="170"/>
    <x v="0"/>
    <x v="0"/>
    <x v="0"/>
    <x v="42"/>
    <x v="11"/>
    <x v="0"/>
    <s v="MEDIA"/>
    <s v="MEDIA"/>
    <n v="64"/>
    <s v="cumple"/>
    <x v="7"/>
    <x v="3"/>
    <x v="945"/>
    <n v="6496"/>
    <x v="0"/>
  </r>
  <r>
    <x v="0"/>
    <x v="1"/>
    <x v="3"/>
    <x v="0"/>
    <x v="3"/>
    <x v="1"/>
    <x v="0"/>
    <x v="27"/>
    <x v="946"/>
    <x v="171"/>
    <x v="0"/>
    <x v="171"/>
    <x v="0"/>
    <x v="0"/>
    <x v="0"/>
    <x v="42"/>
    <x v="11"/>
    <x v="0"/>
    <s v="MEDIA"/>
    <s v="MEDIA"/>
    <n v="64"/>
    <s v="cumple"/>
    <x v="7"/>
    <x v="3"/>
    <x v="946"/>
    <n v="6496"/>
    <x v="0"/>
  </r>
  <r>
    <x v="0"/>
    <x v="1"/>
    <x v="3"/>
    <x v="0"/>
    <x v="3"/>
    <x v="1"/>
    <x v="0"/>
    <x v="27"/>
    <x v="947"/>
    <x v="172"/>
    <x v="0"/>
    <x v="172"/>
    <x v="4"/>
    <x v="5"/>
    <x v="0"/>
    <x v="42"/>
    <x v="11"/>
    <x v="0"/>
    <s v="MEDIA"/>
    <s v="MEDIA"/>
    <n v="64"/>
    <s v="cumple"/>
    <x v="7"/>
    <x v="3"/>
    <x v="947"/>
    <n v="2436"/>
    <x v="0"/>
  </r>
  <r>
    <x v="0"/>
    <x v="1"/>
    <x v="3"/>
    <x v="0"/>
    <x v="3"/>
    <x v="1"/>
    <x v="0"/>
    <x v="27"/>
    <x v="948"/>
    <x v="172"/>
    <x v="6"/>
    <x v="172"/>
    <x v="7"/>
    <x v="5"/>
    <x v="0"/>
    <x v="42"/>
    <x v="11"/>
    <x v="0"/>
    <s v="MEDIA"/>
    <s v="MEDIA"/>
    <n v="64"/>
    <s v="cumple"/>
    <x v="7"/>
    <x v="3"/>
    <x v="948"/>
    <n v="2436"/>
    <x v="0"/>
  </r>
  <r>
    <x v="0"/>
    <x v="1"/>
    <x v="3"/>
    <x v="0"/>
    <x v="3"/>
    <x v="1"/>
    <x v="0"/>
    <x v="27"/>
    <x v="949"/>
    <x v="173"/>
    <x v="0"/>
    <x v="173"/>
    <x v="2"/>
    <x v="3"/>
    <x v="0"/>
    <x v="42"/>
    <x v="11"/>
    <x v="0"/>
    <s v="MEDIA"/>
    <s v="MEDIA"/>
    <n v="64"/>
    <s v="cumple"/>
    <x v="7"/>
    <x v="3"/>
    <x v="949"/>
    <n v="4872"/>
    <x v="0"/>
  </r>
  <r>
    <x v="0"/>
    <x v="1"/>
    <x v="3"/>
    <x v="0"/>
    <x v="3"/>
    <x v="1"/>
    <x v="0"/>
    <x v="27"/>
    <x v="950"/>
    <x v="173"/>
    <x v="2"/>
    <x v="173"/>
    <x v="11"/>
    <x v="5"/>
    <x v="1"/>
    <x v="42"/>
    <x v="11"/>
    <x v="0"/>
    <s v="MEDIA"/>
    <s v="MEDIA"/>
    <n v="64"/>
    <s v="cumple"/>
    <x v="7"/>
    <x v="3"/>
    <x v="950"/>
    <n v="2436"/>
    <x v="0"/>
  </r>
  <r>
    <x v="0"/>
    <x v="1"/>
    <x v="3"/>
    <x v="0"/>
    <x v="3"/>
    <x v="1"/>
    <x v="0"/>
    <x v="27"/>
    <x v="950"/>
    <x v="174"/>
    <x v="0"/>
    <x v="174"/>
    <x v="4"/>
    <x v="5"/>
    <x v="0"/>
    <x v="42"/>
    <x v="11"/>
    <x v="0"/>
    <s v="MEDIA"/>
    <s v="MEDIA"/>
    <n v="64"/>
    <s v="cumple"/>
    <x v="7"/>
    <x v="3"/>
    <x v="950"/>
    <n v="2436"/>
    <x v="0"/>
  </r>
  <r>
    <x v="0"/>
    <x v="1"/>
    <x v="3"/>
    <x v="0"/>
    <x v="3"/>
    <x v="1"/>
    <x v="0"/>
    <x v="27"/>
    <x v="951"/>
    <x v="174"/>
    <x v="6"/>
    <x v="174"/>
    <x v="11"/>
    <x v="3"/>
    <x v="0"/>
    <x v="42"/>
    <x v="11"/>
    <x v="0"/>
    <s v="MEDIA"/>
    <s v="MEDIA"/>
    <n v="64"/>
    <s v="cumple"/>
    <x v="7"/>
    <x v="3"/>
    <x v="951"/>
    <n v="4872"/>
    <x v="0"/>
  </r>
  <r>
    <x v="0"/>
    <x v="1"/>
    <x v="3"/>
    <x v="0"/>
    <x v="3"/>
    <x v="1"/>
    <x v="0"/>
    <x v="27"/>
    <x v="952"/>
    <x v="175"/>
    <x v="0"/>
    <x v="175"/>
    <x v="0"/>
    <x v="0"/>
    <x v="0"/>
    <x v="42"/>
    <x v="11"/>
    <x v="0"/>
    <s v="MEDIA"/>
    <s v="MEDIA"/>
    <n v="64"/>
    <s v="cumple"/>
    <x v="7"/>
    <x v="3"/>
    <x v="952"/>
    <n v="6496"/>
    <x v="0"/>
  </r>
  <r>
    <x v="0"/>
    <x v="1"/>
    <x v="3"/>
    <x v="0"/>
    <x v="3"/>
    <x v="1"/>
    <x v="0"/>
    <x v="27"/>
    <x v="953"/>
    <x v="176"/>
    <x v="0"/>
    <x v="176"/>
    <x v="1"/>
    <x v="1"/>
    <x v="0"/>
    <x v="42"/>
    <x v="11"/>
    <x v="0"/>
    <s v="MEDIA"/>
    <s v="MEDIA"/>
    <n v="64"/>
    <s v="cumple"/>
    <x v="7"/>
    <x v="3"/>
    <x v="953"/>
    <n v="5684"/>
    <x v="0"/>
  </r>
  <r>
    <x v="0"/>
    <x v="1"/>
    <x v="3"/>
    <x v="0"/>
    <x v="3"/>
    <x v="1"/>
    <x v="0"/>
    <x v="27"/>
    <x v="954"/>
    <x v="154"/>
    <x v="0"/>
    <x v="154"/>
    <x v="5"/>
    <x v="7"/>
    <x v="0"/>
    <x v="149"/>
    <x v="5"/>
    <x v="0"/>
    <s v="MEDIA"/>
    <s v="MEDIA"/>
    <n v="64"/>
    <s v="cumple"/>
    <x v="7"/>
    <x v="3"/>
    <x v="954"/>
    <n v="3248"/>
    <x v="0"/>
  </r>
  <r>
    <x v="0"/>
    <x v="1"/>
    <x v="3"/>
    <x v="0"/>
    <x v="3"/>
    <x v="1"/>
    <x v="0"/>
    <x v="27"/>
    <x v="955"/>
    <x v="155"/>
    <x v="0"/>
    <x v="155"/>
    <x v="5"/>
    <x v="7"/>
    <x v="0"/>
    <x v="149"/>
    <x v="5"/>
    <x v="0"/>
    <s v="MEDIA"/>
    <s v="MEDIA"/>
    <n v="64"/>
    <s v="cumple"/>
    <x v="7"/>
    <x v="3"/>
    <x v="955"/>
    <n v="3248"/>
    <x v="0"/>
  </r>
  <r>
    <x v="0"/>
    <x v="1"/>
    <x v="3"/>
    <x v="0"/>
    <x v="3"/>
    <x v="1"/>
    <x v="0"/>
    <x v="27"/>
    <x v="956"/>
    <x v="156"/>
    <x v="0"/>
    <x v="156"/>
    <x v="5"/>
    <x v="7"/>
    <x v="0"/>
    <x v="149"/>
    <x v="5"/>
    <x v="0"/>
    <s v="MEDIA"/>
    <s v="MEDIA"/>
    <n v="64"/>
    <s v="cumple"/>
    <x v="7"/>
    <x v="3"/>
    <x v="956"/>
    <n v="3248"/>
    <x v="0"/>
  </r>
  <r>
    <x v="0"/>
    <x v="1"/>
    <x v="3"/>
    <x v="0"/>
    <x v="3"/>
    <x v="1"/>
    <x v="0"/>
    <x v="27"/>
    <x v="957"/>
    <x v="157"/>
    <x v="0"/>
    <x v="157"/>
    <x v="5"/>
    <x v="7"/>
    <x v="0"/>
    <x v="149"/>
    <x v="5"/>
    <x v="0"/>
    <s v="MEDIA"/>
    <s v="MEDIA"/>
    <n v="64"/>
    <s v="cumple"/>
    <x v="7"/>
    <x v="3"/>
    <x v="957"/>
    <n v="3248"/>
    <x v="0"/>
  </r>
  <r>
    <x v="0"/>
    <x v="1"/>
    <x v="3"/>
    <x v="0"/>
    <x v="3"/>
    <x v="1"/>
    <x v="0"/>
    <x v="27"/>
    <x v="958"/>
    <x v="158"/>
    <x v="0"/>
    <x v="158"/>
    <x v="5"/>
    <x v="7"/>
    <x v="0"/>
    <x v="149"/>
    <x v="5"/>
    <x v="0"/>
    <s v="MEDIA"/>
    <s v="MEDIA"/>
    <n v="64"/>
    <s v="cumple"/>
    <x v="7"/>
    <x v="3"/>
    <x v="958"/>
    <n v="3248"/>
    <x v="0"/>
  </r>
  <r>
    <x v="0"/>
    <x v="1"/>
    <x v="3"/>
    <x v="0"/>
    <x v="3"/>
    <x v="1"/>
    <x v="0"/>
    <x v="27"/>
    <x v="959"/>
    <x v="159"/>
    <x v="0"/>
    <x v="159"/>
    <x v="5"/>
    <x v="7"/>
    <x v="0"/>
    <x v="149"/>
    <x v="5"/>
    <x v="0"/>
    <s v="MEDIA"/>
    <s v="MEDIA"/>
    <n v="64"/>
    <s v="cumple"/>
    <x v="7"/>
    <x v="3"/>
    <x v="959"/>
    <n v="3248"/>
    <x v="0"/>
  </r>
  <r>
    <x v="0"/>
    <x v="1"/>
    <x v="3"/>
    <x v="0"/>
    <x v="3"/>
    <x v="1"/>
    <x v="0"/>
    <x v="27"/>
    <x v="960"/>
    <x v="160"/>
    <x v="0"/>
    <x v="160"/>
    <x v="5"/>
    <x v="7"/>
    <x v="0"/>
    <x v="149"/>
    <x v="5"/>
    <x v="0"/>
    <s v="MEDIA"/>
    <s v="MEDIA"/>
    <n v="64"/>
    <s v="cumple"/>
    <x v="7"/>
    <x v="3"/>
    <x v="960"/>
    <n v="3248"/>
    <x v="0"/>
  </r>
  <r>
    <x v="0"/>
    <x v="1"/>
    <x v="3"/>
    <x v="0"/>
    <x v="3"/>
    <x v="1"/>
    <x v="0"/>
    <x v="27"/>
    <x v="961"/>
    <x v="161"/>
    <x v="0"/>
    <x v="161"/>
    <x v="5"/>
    <x v="7"/>
    <x v="1"/>
    <x v="149"/>
    <x v="5"/>
    <x v="0"/>
    <s v="MEDIA"/>
    <s v="MEDIA"/>
    <n v="64"/>
    <s v="cumple"/>
    <x v="7"/>
    <x v="3"/>
    <x v="961"/>
    <n v="3248"/>
    <x v="0"/>
  </r>
  <r>
    <x v="0"/>
    <x v="1"/>
    <x v="3"/>
    <x v="0"/>
    <x v="3"/>
    <x v="1"/>
    <x v="0"/>
    <x v="27"/>
    <x v="961"/>
    <x v="162"/>
    <x v="0"/>
    <x v="162"/>
    <x v="5"/>
    <x v="7"/>
    <x v="0"/>
    <x v="149"/>
    <x v="5"/>
    <x v="0"/>
    <s v="MEDIA"/>
    <s v="MEDIA"/>
    <n v="64"/>
    <s v="cumple"/>
    <x v="7"/>
    <x v="3"/>
    <x v="961"/>
    <n v="3248"/>
    <x v="0"/>
  </r>
  <r>
    <x v="0"/>
    <x v="1"/>
    <x v="3"/>
    <x v="0"/>
    <x v="3"/>
    <x v="1"/>
    <x v="0"/>
    <x v="27"/>
    <x v="962"/>
    <x v="163"/>
    <x v="0"/>
    <x v="163"/>
    <x v="5"/>
    <x v="7"/>
    <x v="1"/>
    <x v="149"/>
    <x v="5"/>
    <x v="0"/>
    <s v="MEDIA"/>
    <s v="MEDIA"/>
    <n v="64"/>
    <s v="cumple"/>
    <x v="7"/>
    <x v="3"/>
    <x v="962"/>
    <n v="3248"/>
    <x v="0"/>
  </r>
  <r>
    <x v="0"/>
    <x v="1"/>
    <x v="3"/>
    <x v="0"/>
    <x v="3"/>
    <x v="1"/>
    <x v="0"/>
    <x v="27"/>
    <x v="962"/>
    <x v="164"/>
    <x v="0"/>
    <x v="164"/>
    <x v="5"/>
    <x v="7"/>
    <x v="1"/>
    <x v="149"/>
    <x v="5"/>
    <x v="0"/>
    <s v="MEDIA"/>
    <s v="MEDIA"/>
    <n v="64"/>
    <s v="cumple"/>
    <x v="7"/>
    <x v="3"/>
    <x v="962"/>
    <n v="3248"/>
    <x v="0"/>
  </r>
  <r>
    <x v="0"/>
    <x v="1"/>
    <x v="3"/>
    <x v="0"/>
    <x v="3"/>
    <x v="1"/>
    <x v="0"/>
    <x v="27"/>
    <x v="962"/>
    <x v="165"/>
    <x v="0"/>
    <x v="165"/>
    <x v="5"/>
    <x v="7"/>
    <x v="1"/>
    <x v="149"/>
    <x v="5"/>
    <x v="0"/>
    <s v="MEDIA"/>
    <s v="MEDIA"/>
    <n v="64"/>
    <s v="cumple"/>
    <x v="7"/>
    <x v="3"/>
    <x v="962"/>
    <n v="3248"/>
    <x v="0"/>
  </r>
  <r>
    <x v="0"/>
    <x v="1"/>
    <x v="3"/>
    <x v="0"/>
    <x v="3"/>
    <x v="1"/>
    <x v="0"/>
    <x v="27"/>
    <x v="962"/>
    <x v="166"/>
    <x v="0"/>
    <x v="166"/>
    <x v="5"/>
    <x v="7"/>
    <x v="1"/>
    <x v="149"/>
    <x v="5"/>
    <x v="0"/>
    <s v="MEDIA"/>
    <s v="MEDIA"/>
    <n v="64"/>
    <s v="cumple"/>
    <x v="7"/>
    <x v="3"/>
    <x v="962"/>
    <n v="3248"/>
    <x v="0"/>
  </r>
  <r>
    <x v="0"/>
    <x v="1"/>
    <x v="3"/>
    <x v="0"/>
    <x v="3"/>
    <x v="1"/>
    <x v="0"/>
    <x v="27"/>
    <x v="962"/>
    <x v="167"/>
    <x v="0"/>
    <x v="167"/>
    <x v="5"/>
    <x v="7"/>
    <x v="0"/>
    <x v="149"/>
    <x v="5"/>
    <x v="0"/>
    <s v="MEDIA"/>
    <s v="MEDIA"/>
    <n v="64"/>
    <s v="cumple"/>
    <x v="7"/>
    <x v="3"/>
    <x v="962"/>
    <n v="3248"/>
    <x v="0"/>
  </r>
  <r>
    <x v="0"/>
    <x v="1"/>
    <x v="3"/>
    <x v="0"/>
    <x v="3"/>
    <x v="1"/>
    <x v="0"/>
    <x v="27"/>
    <x v="963"/>
    <x v="168"/>
    <x v="0"/>
    <x v="168"/>
    <x v="5"/>
    <x v="7"/>
    <x v="0"/>
    <x v="149"/>
    <x v="5"/>
    <x v="0"/>
    <s v="MEDIA"/>
    <s v="MEDIA"/>
    <n v="64"/>
    <s v="cumple"/>
    <x v="7"/>
    <x v="3"/>
    <x v="963"/>
    <n v="3248"/>
    <x v="0"/>
  </r>
  <r>
    <x v="0"/>
    <x v="1"/>
    <x v="3"/>
    <x v="0"/>
    <x v="3"/>
    <x v="1"/>
    <x v="0"/>
    <x v="27"/>
    <x v="964"/>
    <x v="169"/>
    <x v="0"/>
    <x v="169"/>
    <x v="5"/>
    <x v="7"/>
    <x v="0"/>
    <x v="149"/>
    <x v="5"/>
    <x v="0"/>
    <s v="MEDIA"/>
    <s v="MEDIA"/>
    <n v="64"/>
    <s v="cumple"/>
    <x v="7"/>
    <x v="3"/>
    <x v="964"/>
    <n v="3248"/>
    <x v="0"/>
  </r>
  <r>
    <x v="0"/>
    <x v="1"/>
    <x v="3"/>
    <x v="0"/>
    <x v="3"/>
    <x v="1"/>
    <x v="0"/>
    <x v="27"/>
    <x v="965"/>
    <x v="170"/>
    <x v="0"/>
    <x v="170"/>
    <x v="5"/>
    <x v="7"/>
    <x v="0"/>
    <x v="149"/>
    <x v="5"/>
    <x v="0"/>
    <s v="MEDIA"/>
    <s v="MEDIA"/>
    <n v="64"/>
    <s v="cumple"/>
    <x v="7"/>
    <x v="3"/>
    <x v="965"/>
    <n v="3248"/>
    <x v="0"/>
  </r>
  <r>
    <x v="0"/>
    <x v="1"/>
    <x v="3"/>
    <x v="0"/>
    <x v="3"/>
    <x v="1"/>
    <x v="0"/>
    <x v="27"/>
    <x v="966"/>
    <x v="171"/>
    <x v="0"/>
    <x v="171"/>
    <x v="5"/>
    <x v="7"/>
    <x v="0"/>
    <x v="149"/>
    <x v="5"/>
    <x v="0"/>
    <s v="MEDIA"/>
    <s v="MEDIA"/>
    <n v="64"/>
    <s v="cumple"/>
    <x v="7"/>
    <x v="3"/>
    <x v="966"/>
    <n v="3248"/>
    <x v="0"/>
  </r>
  <r>
    <x v="0"/>
    <x v="1"/>
    <x v="3"/>
    <x v="0"/>
    <x v="3"/>
    <x v="1"/>
    <x v="0"/>
    <x v="27"/>
    <x v="967"/>
    <x v="172"/>
    <x v="0"/>
    <x v="172"/>
    <x v="5"/>
    <x v="7"/>
    <x v="0"/>
    <x v="149"/>
    <x v="5"/>
    <x v="0"/>
    <s v="MEDIA"/>
    <s v="MEDIA"/>
    <n v="64"/>
    <s v="cumple"/>
    <x v="7"/>
    <x v="3"/>
    <x v="967"/>
    <n v="3248"/>
    <x v="0"/>
  </r>
  <r>
    <x v="1"/>
    <x v="0"/>
    <x v="4"/>
    <x v="0"/>
    <x v="16"/>
    <x v="3"/>
    <x v="4"/>
    <x v="354"/>
    <x v="968"/>
    <x v="154"/>
    <x v="0"/>
    <x v="154"/>
    <x v="11"/>
    <x v="10"/>
    <x v="0"/>
    <x v="37"/>
    <x v="13"/>
    <x v="7"/>
    <s v="MEDIA"/>
    <s v="MEDIA"/>
    <n v="64"/>
    <s v="cumple"/>
    <x v="7"/>
    <x v="4"/>
    <x v="968"/>
    <n v="6959.9999999999991"/>
    <x v="0"/>
  </r>
  <r>
    <x v="1"/>
    <x v="0"/>
    <x v="4"/>
    <x v="0"/>
    <x v="16"/>
    <x v="3"/>
    <x v="4"/>
    <x v="355"/>
    <x v="969"/>
    <x v="155"/>
    <x v="0"/>
    <x v="155"/>
    <x v="11"/>
    <x v="10"/>
    <x v="0"/>
    <x v="37"/>
    <x v="13"/>
    <x v="7"/>
    <s v="MEDIA"/>
    <s v="MEDIA"/>
    <n v="64"/>
    <s v="cumple"/>
    <x v="7"/>
    <x v="4"/>
    <x v="969"/>
    <n v="6959.9999999999991"/>
    <x v="0"/>
  </r>
  <r>
    <x v="1"/>
    <x v="0"/>
    <x v="4"/>
    <x v="0"/>
    <x v="16"/>
    <x v="2"/>
    <x v="4"/>
    <x v="356"/>
    <x v="970"/>
    <x v="156"/>
    <x v="0"/>
    <x v="156"/>
    <x v="0"/>
    <x v="0"/>
    <x v="0"/>
    <x v="37"/>
    <x v="13"/>
    <x v="7"/>
    <s v="MEDIA"/>
    <s v="MEDIA"/>
    <n v="64"/>
    <s v="cumple"/>
    <x v="7"/>
    <x v="4"/>
    <x v="970"/>
    <n v="5568"/>
    <x v="0"/>
  </r>
  <r>
    <x v="1"/>
    <x v="0"/>
    <x v="4"/>
    <x v="0"/>
    <x v="16"/>
    <x v="2"/>
    <x v="4"/>
    <x v="356"/>
    <x v="970"/>
    <x v="157"/>
    <x v="0"/>
    <x v="157"/>
    <x v="0"/>
    <x v="0"/>
    <x v="0"/>
    <x v="37"/>
    <x v="13"/>
    <x v="7"/>
    <s v="MEDIA"/>
    <s v="MEDIA"/>
    <n v="64"/>
    <s v="cumple"/>
    <x v="7"/>
    <x v="4"/>
    <x v="970"/>
    <n v="5568"/>
    <x v="0"/>
  </r>
  <r>
    <x v="1"/>
    <x v="0"/>
    <x v="4"/>
    <x v="0"/>
    <x v="16"/>
    <x v="2"/>
    <x v="4"/>
    <x v="356"/>
    <x v="970"/>
    <x v="177"/>
    <x v="0"/>
    <x v="177"/>
    <x v="0"/>
    <x v="0"/>
    <x v="0"/>
    <x v="37"/>
    <x v="13"/>
    <x v="7"/>
    <s v="MEDIA"/>
    <s v="MEDIA"/>
    <n v="64"/>
    <s v="cumple"/>
    <x v="7"/>
    <x v="4"/>
    <x v="970"/>
    <n v="5568"/>
    <x v="0"/>
  </r>
  <r>
    <x v="1"/>
    <x v="0"/>
    <x v="4"/>
    <x v="0"/>
    <x v="16"/>
    <x v="2"/>
    <x v="4"/>
    <x v="356"/>
    <x v="970"/>
    <x v="158"/>
    <x v="0"/>
    <x v="158"/>
    <x v="0"/>
    <x v="0"/>
    <x v="0"/>
    <x v="37"/>
    <x v="13"/>
    <x v="7"/>
    <s v="MEDIA"/>
    <s v="MEDIA"/>
    <n v="64"/>
    <s v="cumple"/>
    <x v="7"/>
    <x v="4"/>
    <x v="970"/>
    <n v="5568"/>
    <x v="0"/>
  </r>
  <r>
    <x v="1"/>
    <x v="0"/>
    <x v="4"/>
    <x v="0"/>
    <x v="16"/>
    <x v="2"/>
    <x v="4"/>
    <x v="357"/>
    <x v="971"/>
    <x v="159"/>
    <x v="0"/>
    <x v="159"/>
    <x v="0"/>
    <x v="0"/>
    <x v="1"/>
    <x v="37"/>
    <x v="13"/>
    <x v="7"/>
    <s v="MEDIA"/>
    <s v="MEDIA"/>
    <n v="64"/>
    <s v="cumple"/>
    <x v="7"/>
    <x v="4"/>
    <x v="971"/>
    <n v="5568"/>
    <x v="0"/>
  </r>
  <r>
    <x v="1"/>
    <x v="0"/>
    <x v="4"/>
    <x v="0"/>
    <x v="16"/>
    <x v="2"/>
    <x v="4"/>
    <x v="357"/>
    <x v="971"/>
    <x v="160"/>
    <x v="0"/>
    <x v="160"/>
    <x v="0"/>
    <x v="0"/>
    <x v="1"/>
    <x v="37"/>
    <x v="13"/>
    <x v="7"/>
    <s v="MEDIA"/>
    <s v="MEDIA"/>
    <n v="64"/>
    <s v="cumple"/>
    <x v="7"/>
    <x v="4"/>
    <x v="971"/>
    <n v="5568"/>
    <x v="0"/>
  </r>
  <r>
    <x v="1"/>
    <x v="0"/>
    <x v="4"/>
    <x v="0"/>
    <x v="16"/>
    <x v="2"/>
    <x v="4"/>
    <x v="357"/>
    <x v="971"/>
    <x v="161"/>
    <x v="0"/>
    <x v="161"/>
    <x v="0"/>
    <x v="0"/>
    <x v="1"/>
    <x v="37"/>
    <x v="13"/>
    <x v="7"/>
    <s v="MEDIA"/>
    <s v="MEDIA"/>
    <n v="64"/>
    <s v="cumple"/>
    <x v="7"/>
    <x v="4"/>
    <x v="971"/>
    <n v="5568"/>
    <x v="0"/>
  </r>
  <r>
    <x v="1"/>
    <x v="0"/>
    <x v="4"/>
    <x v="0"/>
    <x v="16"/>
    <x v="2"/>
    <x v="4"/>
    <x v="357"/>
    <x v="971"/>
    <x v="162"/>
    <x v="0"/>
    <x v="162"/>
    <x v="17"/>
    <x v="9"/>
    <x v="1"/>
    <x v="37"/>
    <x v="13"/>
    <x v="7"/>
    <s v="MEDIA"/>
    <s v="MEDIA"/>
    <n v="64"/>
    <s v="cumple"/>
    <x v="7"/>
    <x v="4"/>
    <x v="971"/>
    <n v="4524"/>
    <x v="0"/>
  </r>
  <r>
    <x v="1"/>
    <x v="0"/>
    <x v="4"/>
    <x v="0"/>
    <x v="16"/>
    <x v="2"/>
    <x v="4"/>
    <x v="357"/>
    <x v="971"/>
    <x v="163"/>
    <x v="0"/>
    <x v="163"/>
    <x v="0"/>
    <x v="0"/>
    <x v="0"/>
    <x v="37"/>
    <x v="13"/>
    <x v="7"/>
    <s v="MEDIA"/>
    <s v="MEDIA"/>
    <n v="64"/>
    <s v="cumple"/>
    <x v="7"/>
    <x v="4"/>
    <x v="971"/>
    <n v="5568"/>
    <x v="0"/>
  </r>
  <r>
    <x v="1"/>
    <x v="0"/>
    <x v="4"/>
    <x v="0"/>
    <x v="16"/>
    <x v="2"/>
    <x v="4"/>
    <x v="358"/>
    <x v="972"/>
    <x v="165"/>
    <x v="0"/>
    <x v="165"/>
    <x v="0"/>
    <x v="0"/>
    <x v="1"/>
    <x v="37"/>
    <x v="13"/>
    <x v="7"/>
    <s v="MEDIA"/>
    <s v="MEDIA"/>
    <n v="64"/>
    <s v="cumple"/>
    <x v="7"/>
    <x v="4"/>
    <x v="972"/>
    <n v="5568"/>
    <x v="0"/>
  </r>
  <r>
    <x v="1"/>
    <x v="0"/>
    <x v="4"/>
    <x v="0"/>
    <x v="16"/>
    <x v="2"/>
    <x v="4"/>
    <x v="358"/>
    <x v="972"/>
    <x v="166"/>
    <x v="0"/>
    <x v="166"/>
    <x v="0"/>
    <x v="0"/>
    <x v="1"/>
    <x v="37"/>
    <x v="13"/>
    <x v="7"/>
    <s v="MEDIA"/>
    <s v="MEDIA"/>
    <n v="64"/>
    <s v="cumple"/>
    <x v="7"/>
    <x v="4"/>
    <x v="972"/>
    <n v="5568"/>
    <x v="0"/>
  </r>
  <r>
    <x v="1"/>
    <x v="0"/>
    <x v="4"/>
    <x v="0"/>
    <x v="16"/>
    <x v="2"/>
    <x v="4"/>
    <x v="358"/>
    <x v="972"/>
    <x v="167"/>
    <x v="0"/>
    <x v="167"/>
    <x v="0"/>
    <x v="0"/>
    <x v="0"/>
    <x v="37"/>
    <x v="13"/>
    <x v="7"/>
    <s v="MEDIA"/>
    <s v="MEDIA"/>
    <n v="64"/>
    <s v="cumple"/>
    <x v="7"/>
    <x v="4"/>
    <x v="972"/>
    <n v="5568"/>
    <x v="0"/>
  </r>
  <r>
    <x v="1"/>
    <x v="0"/>
    <x v="4"/>
    <x v="0"/>
    <x v="16"/>
    <x v="2"/>
    <x v="4"/>
    <x v="359"/>
    <x v="973"/>
    <x v="168"/>
    <x v="0"/>
    <x v="168"/>
    <x v="0"/>
    <x v="0"/>
    <x v="1"/>
    <x v="37"/>
    <x v="13"/>
    <x v="7"/>
    <s v="MEDIA"/>
    <s v="MEDIA"/>
    <n v="64"/>
    <s v="cumple"/>
    <x v="7"/>
    <x v="4"/>
    <x v="973"/>
    <n v="5568"/>
    <x v="0"/>
  </r>
  <r>
    <x v="1"/>
    <x v="0"/>
    <x v="4"/>
    <x v="0"/>
    <x v="16"/>
    <x v="2"/>
    <x v="4"/>
    <x v="359"/>
    <x v="973"/>
    <x v="169"/>
    <x v="0"/>
    <x v="169"/>
    <x v="0"/>
    <x v="0"/>
    <x v="1"/>
    <x v="37"/>
    <x v="13"/>
    <x v="7"/>
    <s v="MEDIA"/>
    <s v="MEDIA"/>
    <n v="64"/>
    <s v="cumple"/>
    <x v="7"/>
    <x v="4"/>
    <x v="973"/>
    <n v="5568"/>
    <x v="0"/>
  </r>
  <r>
    <x v="1"/>
    <x v="0"/>
    <x v="4"/>
    <x v="0"/>
    <x v="16"/>
    <x v="2"/>
    <x v="4"/>
    <x v="359"/>
    <x v="973"/>
    <x v="170"/>
    <x v="0"/>
    <x v="170"/>
    <x v="0"/>
    <x v="0"/>
    <x v="0"/>
    <x v="37"/>
    <x v="13"/>
    <x v="7"/>
    <s v="MEDIA"/>
    <s v="MEDIA"/>
    <n v="64"/>
    <s v="cumple"/>
    <x v="7"/>
    <x v="4"/>
    <x v="973"/>
    <n v="5568"/>
    <x v="0"/>
  </r>
  <r>
    <x v="1"/>
    <x v="0"/>
    <x v="4"/>
    <x v="0"/>
    <x v="16"/>
    <x v="2"/>
    <x v="4"/>
    <x v="360"/>
    <x v="974"/>
    <x v="171"/>
    <x v="0"/>
    <x v="171"/>
    <x v="0"/>
    <x v="0"/>
    <x v="1"/>
    <x v="37"/>
    <x v="13"/>
    <x v="7"/>
    <s v="MEDIA"/>
    <s v="MEDIA"/>
    <n v="64"/>
    <s v="cumple"/>
    <x v="7"/>
    <x v="4"/>
    <x v="974"/>
    <n v="5568"/>
    <x v="0"/>
  </r>
  <r>
    <x v="1"/>
    <x v="0"/>
    <x v="4"/>
    <x v="0"/>
    <x v="16"/>
    <x v="2"/>
    <x v="4"/>
    <x v="360"/>
    <x v="974"/>
    <x v="172"/>
    <x v="0"/>
    <x v="172"/>
    <x v="0"/>
    <x v="0"/>
    <x v="1"/>
    <x v="37"/>
    <x v="13"/>
    <x v="7"/>
    <s v="MEDIA"/>
    <s v="MEDIA"/>
    <n v="64"/>
    <s v="cumple"/>
    <x v="7"/>
    <x v="4"/>
    <x v="974"/>
    <n v="5568"/>
    <x v="0"/>
  </r>
  <r>
    <x v="1"/>
    <x v="0"/>
    <x v="4"/>
    <x v="0"/>
    <x v="16"/>
    <x v="2"/>
    <x v="4"/>
    <x v="360"/>
    <x v="974"/>
    <x v="173"/>
    <x v="0"/>
    <x v="173"/>
    <x v="0"/>
    <x v="0"/>
    <x v="0"/>
    <x v="37"/>
    <x v="13"/>
    <x v="7"/>
    <s v="MEDIA"/>
    <s v="MEDIA"/>
    <n v="64"/>
    <s v="cumple"/>
    <x v="7"/>
    <x v="4"/>
    <x v="974"/>
    <n v="5568"/>
    <x v="0"/>
  </r>
  <r>
    <x v="1"/>
    <x v="0"/>
    <x v="4"/>
    <x v="0"/>
    <x v="16"/>
    <x v="2"/>
    <x v="4"/>
    <x v="361"/>
    <x v="975"/>
    <x v="174"/>
    <x v="0"/>
    <x v="174"/>
    <x v="11"/>
    <x v="10"/>
    <x v="0"/>
    <x v="37"/>
    <x v="13"/>
    <x v="7"/>
    <s v="MEDIA"/>
    <s v="MEDIA"/>
    <n v="64"/>
    <s v="cumple"/>
    <x v="7"/>
    <x v="4"/>
    <x v="975"/>
    <n v="6959.9999999999991"/>
    <x v="0"/>
  </r>
  <r>
    <x v="1"/>
    <x v="0"/>
    <x v="4"/>
    <x v="0"/>
    <x v="16"/>
    <x v="2"/>
    <x v="4"/>
    <x v="362"/>
    <x v="976"/>
    <x v="175"/>
    <x v="0"/>
    <x v="175"/>
    <x v="0"/>
    <x v="11"/>
    <x v="1"/>
    <x v="37"/>
    <x v="13"/>
    <x v="7"/>
    <s v="MEDIA"/>
    <s v="MEDIA"/>
    <n v="64"/>
    <s v="cumple"/>
    <x v="7"/>
    <x v="4"/>
    <x v="976"/>
    <n v="6264"/>
    <x v="0"/>
  </r>
  <r>
    <x v="1"/>
    <x v="0"/>
    <x v="4"/>
    <x v="0"/>
    <x v="16"/>
    <x v="2"/>
    <x v="4"/>
    <x v="362"/>
    <x v="976"/>
    <x v="176"/>
    <x v="0"/>
    <x v="176"/>
    <x v="0"/>
    <x v="11"/>
    <x v="0"/>
    <x v="37"/>
    <x v="13"/>
    <x v="7"/>
    <s v="MEDIA"/>
    <s v="MEDIA"/>
    <n v="64"/>
    <s v="cumple"/>
    <x v="7"/>
    <x v="4"/>
    <x v="976"/>
    <n v="6264"/>
    <x v="0"/>
  </r>
  <r>
    <x v="0"/>
    <x v="1"/>
    <x v="1"/>
    <x v="0"/>
    <x v="3"/>
    <x v="1"/>
    <x v="4"/>
    <x v="363"/>
    <x v="977"/>
    <x v="154"/>
    <x v="0"/>
    <x v="154"/>
    <x v="8"/>
    <x v="2"/>
    <x v="0"/>
    <x v="172"/>
    <x v="12"/>
    <x v="6"/>
    <s v="MEDIA"/>
    <s v="MEDIA"/>
    <n v="64"/>
    <s v="cumple"/>
    <x v="7"/>
    <x v="1"/>
    <x v="977"/>
    <n v="696"/>
    <x v="0"/>
  </r>
  <r>
    <x v="0"/>
    <x v="3"/>
    <x v="1"/>
    <x v="0"/>
    <x v="3"/>
    <x v="4"/>
    <x v="4"/>
    <x v="364"/>
    <x v="978"/>
    <x v="154"/>
    <x v="8"/>
    <x v="154"/>
    <x v="16"/>
    <x v="19"/>
    <x v="0"/>
    <x v="172"/>
    <x v="12"/>
    <x v="6"/>
    <s v="MEDIA"/>
    <s v="MEDIA"/>
    <n v="64"/>
    <s v="cumple"/>
    <x v="7"/>
    <x v="1"/>
    <x v="978"/>
    <n v="348"/>
    <x v="0"/>
  </r>
  <r>
    <x v="0"/>
    <x v="1"/>
    <x v="1"/>
    <x v="0"/>
    <x v="3"/>
    <x v="1"/>
    <x v="4"/>
    <x v="365"/>
    <x v="979"/>
    <x v="154"/>
    <x v="13"/>
    <x v="154"/>
    <x v="3"/>
    <x v="19"/>
    <x v="0"/>
    <x v="172"/>
    <x v="12"/>
    <x v="6"/>
    <s v="MEDIA"/>
    <s v="MEDIA"/>
    <n v="64"/>
    <s v="cumple"/>
    <x v="7"/>
    <x v="1"/>
    <x v="979"/>
    <n v="348"/>
    <x v="0"/>
  </r>
  <r>
    <x v="0"/>
    <x v="3"/>
    <x v="1"/>
    <x v="0"/>
    <x v="3"/>
    <x v="4"/>
    <x v="4"/>
    <x v="366"/>
    <x v="980"/>
    <x v="154"/>
    <x v="4"/>
    <x v="154"/>
    <x v="15"/>
    <x v="19"/>
    <x v="0"/>
    <x v="172"/>
    <x v="12"/>
    <x v="6"/>
    <s v="MEDIA"/>
    <s v="MEDIA"/>
    <n v="64"/>
    <s v="cumple"/>
    <x v="7"/>
    <x v="1"/>
    <x v="980"/>
    <n v="348"/>
    <x v="0"/>
  </r>
  <r>
    <x v="0"/>
    <x v="1"/>
    <x v="1"/>
    <x v="0"/>
    <x v="3"/>
    <x v="1"/>
    <x v="4"/>
    <x v="367"/>
    <x v="981"/>
    <x v="154"/>
    <x v="12"/>
    <x v="154"/>
    <x v="4"/>
    <x v="19"/>
    <x v="0"/>
    <x v="172"/>
    <x v="12"/>
    <x v="6"/>
    <s v="MEDIA"/>
    <s v="MEDIA"/>
    <n v="64"/>
    <s v="cumple"/>
    <x v="7"/>
    <x v="1"/>
    <x v="981"/>
    <n v="348"/>
    <x v="0"/>
  </r>
  <r>
    <x v="0"/>
    <x v="1"/>
    <x v="1"/>
    <x v="0"/>
    <x v="3"/>
    <x v="1"/>
    <x v="4"/>
    <x v="368"/>
    <x v="982"/>
    <x v="154"/>
    <x v="6"/>
    <x v="154"/>
    <x v="13"/>
    <x v="19"/>
    <x v="0"/>
    <x v="172"/>
    <x v="12"/>
    <x v="6"/>
    <s v="MEDIA"/>
    <s v="MEDIA"/>
    <n v="64"/>
    <s v="cumple"/>
    <x v="7"/>
    <x v="1"/>
    <x v="982"/>
    <n v="348"/>
    <x v="0"/>
  </r>
  <r>
    <x v="0"/>
    <x v="11"/>
    <x v="1"/>
    <x v="0"/>
    <x v="3"/>
    <x v="5"/>
    <x v="4"/>
    <x v="369"/>
    <x v="983"/>
    <x v="154"/>
    <x v="10"/>
    <x v="154"/>
    <x v="5"/>
    <x v="19"/>
    <x v="0"/>
    <x v="172"/>
    <x v="12"/>
    <x v="6"/>
    <s v="MEDIA"/>
    <s v="MEDIA"/>
    <n v="64"/>
    <s v="cumple"/>
    <x v="7"/>
    <x v="1"/>
    <x v="983"/>
    <n v="348"/>
    <x v="0"/>
  </r>
  <r>
    <x v="0"/>
    <x v="1"/>
    <x v="1"/>
    <x v="0"/>
    <x v="3"/>
    <x v="1"/>
    <x v="4"/>
    <x v="370"/>
    <x v="984"/>
    <x v="154"/>
    <x v="3"/>
    <x v="154"/>
    <x v="14"/>
    <x v="19"/>
    <x v="0"/>
    <x v="172"/>
    <x v="12"/>
    <x v="6"/>
    <s v="MEDIA"/>
    <s v="MEDIA"/>
    <n v="64"/>
    <s v="cumple"/>
    <x v="7"/>
    <x v="1"/>
    <x v="984"/>
    <n v="348"/>
    <x v="0"/>
  </r>
  <r>
    <x v="0"/>
    <x v="1"/>
    <x v="1"/>
    <x v="0"/>
    <x v="3"/>
    <x v="1"/>
    <x v="4"/>
    <x v="371"/>
    <x v="985"/>
    <x v="154"/>
    <x v="11"/>
    <x v="154"/>
    <x v="9"/>
    <x v="19"/>
    <x v="0"/>
    <x v="172"/>
    <x v="12"/>
    <x v="6"/>
    <s v="MEDIA"/>
    <s v="MEDIA"/>
    <n v="64"/>
    <s v="cumple"/>
    <x v="7"/>
    <x v="1"/>
    <x v="985"/>
    <n v="348"/>
    <x v="0"/>
  </r>
  <r>
    <x v="0"/>
    <x v="11"/>
    <x v="1"/>
    <x v="0"/>
    <x v="3"/>
    <x v="5"/>
    <x v="4"/>
    <x v="372"/>
    <x v="986"/>
    <x v="154"/>
    <x v="9"/>
    <x v="154"/>
    <x v="12"/>
    <x v="19"/>
    <x v="0"/>
    <x v="172"/>
    <x v="12"/>
    <x v="6"/>
    <s v="MEDIA"/>
    <s v="MEDIA"/>
    <n v="64"/>
    <s v="cumple"/>
    <x v="7"/>
    <x v="1"/>
    <x v="986"/>
    <n v="348"/>
    <x v="0"/>
  </r>
  <r>
    <x v="0"/>
    <x v="1"/>
    <x v="1"/>
    <x v="0"/>
    <x v="3"/>
    <x v="1"/>
    <x v="4"/>
    <x v="373"/>
    <x v="987"/>
    <x v="155"/>
    <x v="0"/>
    <x v="155"/>
    <x v="23"/>
    <x v="19"/>
    <x v="0"/>
    <x v="172"/>
    <x v="12"/>
    <x v="6"/>
    <s v="MEDIA"/>
    <s v="MEDIA"/>
    <n v="64"/>
    <s v="cumple"/>
    <x v="7"/>
    <x v="1"/>
    <x v="987"/>
    <n v="348"/>
    <x v="0"/>
  </r>
  <r>
    <x v="0"/>
    <x v="3"/>
    <x v="1"/>
    <x v="0"/>
    <x v="3"/>
    <x v="4"/>
    <x v="4"/>
    <x v="374"/>
    <x v="988"/>
    <x v="155"/>
    <x v="19"/>
    <x v="155"/>
    <x v="8"/>
    <x v="19"/>
    <x v="0"/>
    <x v="172"/>
    <x v="12"/>
    <x v="6"/>
    <s v="MEDIA"/>
    <s v="MEDIA"/>
    <n v="64"/>
    <s v="cumple"/>
    <x v="7"/>
    <x v="1"/>
    <x v="988"/>
    <n v="348"/>
    <x v="0"/>
  </r>
  <r>
    <x v="0"/>
    <x v="1"/>
    <x v="1"/>
    <x v="0"/>
    <x v="3"/>
    <x v="1"/>
    <x v="4"/>
    <x v="375"/>
    <x v="989"/>
    <x v="155"/>
    <x v="8"/>
    <x v="155"/>
    <x v="16"/>
    <x v="19"/>
    <x v="0"/>
    <x v="172"/>
    <x v="12"/>
    <x v="6"/>
    <s v="MEDIA"/>
    <s v="MEDIA"/>
    <n v="64"/>
    <s v="cumple"/>
    <x v="7"/>
    <x v="1"/>
    <x v="989"/>
    <n v="348"/>
    <x v="0"/>
  </r>
  <r>
    <x v="0"/>
    <x v="1"/>
    <x v="1"/>
    <x v="0"/>
    <x v="3"/>
    <x v="1"/>
    <x v="4"/>
    <x v="376"/>
    <x v="990"/>
    <x v="155"/>
    <x v="13"/>
    <x v="155"/>
    <x v="3"/>
    <x v="19"/>
    <x v="0"/>
    <x v="172"/>
    <x v="12"/>
    <x v="6"/>
    <s v="MEDIA"/>
    <s v="MEDIA"/>
    <n v="64"/>
    <s v="cumple"/>
    <x v="7"/>
    <x v="1"/>
    <x v="990"/>
    <n v="348"/>
    <x v="0"/>
  </r>
  <r>
    <x v="0"/>
    <x v="11"/>
    <x v="1"/>
    <x v="0"/>
    <x v="3"/>
    <x v="5"/>
    <x v="4"/>
    <x v="377"/>
    <x v="991"/>
    <x v="155"/>
    <x v="4"/>
    <x v="155"/>
    <x v="15"/>
    <x v="19"/>
    <x v="0"/>
    <x v="172"/>
    <x v="12"/>
    <x v="6"/>
    <s v="MEDIA"/>
    <s v="MEDIA"/>
    <n v="64"/>
    <s v="cumple"/>
    <x v="7"/>
    <x v="1"/>
    <x v="991"/>
    <n v="348"/>
    <x v="0"/>
  </r>
  <r>
    <x v="0"/>
    <x v="1"/>
    <x v="1"/>
    <x v="0"/>
    <x v="3"/>
    <x v="1"/>
    <x v="4"/>
    <x v="378"/>
    <x v="992"/>
    <x v="155"/>
    <x v="12"/>
    <x v="155"/>
    <x v="4"/>
    <x v="19"/>
    <x v="0"/>
    <x v="172"/>
    <x v="12"/>
    <x v="6"/>
    <s v="MEDIA"/>
    <s v="MEDIA"/>
    <n v="64"/>
    <s v="cumple"/>
    <x v="7"/>
    <x v="1"/>
    <x v="992"/>
    <n v="348"/>
    <x v="0"/>
  </r>
  <r>
    <x v="0"/>
    <x v="1"/>
    <x v="1"/>
    <x v="0"/>
    <x v="3"/>
    <x v="1"/>
    <x v="4"/>
    <x v="379"/>
    <x v="993"/>
    <x v="155"/>
    <x v="6"/>
    <x v="155"/>
    <x v="13"/>
    <x v="19"/>
    <x v="0"/>
    <x v="172"/>
    <x v="12"/>
    <x v="6"/>
    <s v="MEDIA"/>
    <s v="MEDIA"/>
    <n v="64"/>
    <s v="cumple"/>
    <x v="7"/>
    <x v="1"/>
    <x v="993"/>
    <n v="348"/>
    <x v="0"/>
  </r>
  <r>
    <x v="0"/>
    <x v="11"/>
    <x v="1"/>
    <x v="0"/>
    <x v="3"/>
    <x v="5"/>
    <x v="4"/>
    <x v="380"/>
    <x v="994"/>
    <x v="155"/>
    <x v="10"/>
    <x v="155"/>
    <x v="5"/>
    <x v="19"/>
    <x v="0"/>
    <x v="172"/>
    <x v="12"/>
    <x v="6"/>
    <s v="MEDIA"/>
    <s v="MEDIA"/>
    <n v="64"/>
    <s v="cumple"/>
    <x v="7"/>
    <x v="1"/>
    <x v="994"/>
    <n v="348"/>
    <x v="0"/>
  </r>
  <r>
    <x v="0"/>
    <x v="1"/>
    <x v="1"/>
    <x v="0"/>
    <x v="3"/>
    <x v="1"/>
    <x v="4"/>
    <x v="381"/>
    <x v="995"/>
    <x v="155"/>
    <x v="3"/>
    <x v="155"/>
    <x v="14"/>
    <x v="19"/>
    <x v="0"/>
    <x v="172"/>
    <x v="12"/>
    <x v="6"/>
    <s v="MEDIA"/>
    <s v="MEDIA"/>
    <n v="64"/>
    <s v="cumple"/>
    <x v="7"/>
    <x v="1"/>
    <x v="995"/>
    <n v="348"/>
    <x v="0"/>
  </r>
  <r>
    <x v="0"/>
    <x v="3"/>
    <x v="1"/>
    <x v="0"/>
    <x v="3"/>
    <x v="4"/>
    <x v="4"/>
    <x v="382"/>
    <x v="996"/>
    <x v="155"/>
    <x v="11"/>
    <x v="155"/>
    <x v="9"/>
    <x v="19"/>
    <x v="0"/>
    <x v="172"/>
    <x v="12"/>
    <x v="6"/>
    <s v="MEDIA"/>
    <s v="MEDIA"/>
    <n v="64"/>
    <s v="cumple"/>
    <x v="7"/>
    <x v="1"/>
    <x v="996"/>
    <n v="348"/>
    <x v="0"/>
  </r>
  <r>
    <x v="0"/>
    <x v="1"/>
    <x v="1"/>
    <x v="0"/>
    <x v="3"/>
    <x v="1"/>
    <x v="4"/>
    <x v="383"/>
    <x v="997"/>
    <x v="156"/>
    <x v="0"/>
    <x v="156"/>
    <x v="23"/>
    <x v="19"/>
    <x v="0"/>
    <x v="172"/>
    <x v="12"/>
    <x v="6"/>
    <s v="MEDIA"/>
    <s v="MEDIA"/>
    <n v="64"/>
    <s v="cumple"/>
    <x v="7"/>
    <x v="1"/>
    <x v="997"/>
    <n v="348"/>
    <x v="0"/>
  </r>
  <r>
    <x v="0"/>
    <x v="3"/>
    <x v="1"/>
    <x v="0"/>
    <x v="3"/>
    <x v="4"/>
    <x v="4"/>
    <x v="384"/>
    <x v="998"/>
    <x v="156"/>
    <x v="19"/>
    <x v="156"/>
    <x v="8"/>
    <x v="19"/>
    <x v="0"/>
    <x v="172"/>
    <x v="12"/>
    <x v="6"/>
    <s v="MEDIA"/>
    <s v="MEDIA"/>
    <n v="64"/>
    <s v="cumple"/>
    <x v="7"/>
    <x v="1"/>
    <x v="998"/>
    <n v="348"/>
    <x v="0"/>
  </r>
  <r>
    <x v="0"/>
    <x v="1"/>
    <x v="1"/>
    <x v="0"/>
    <x v="3"/>
    <x v="1"/>
    <x v="4"/>
    <x v="385"/>
    <x v="999"/>
    <x v="156"/>
    <x v="8"/>
    <x v="156"/>
    <x v="16"/>
    <x v="19"/>
    <x v="0"/>
    <x v="172"/>
    <x v="12"/>
    <x v="6"/>
    <s v="MEDIA"/>
    <s v="MEDIA"/>
    <n v="64"/>
    <s v="cumple"/>
    <x v="7"/>
    <x v="1"/>
    <x v="999"/>
    <n v="348"/>
    <x v="0"/>
  </r>
  <r>
    <x v="0"/>
    <x v="3"/>
    <x v="1"/>
    <x v="0"/>
    <x v="3"/>
    <x v="4"/>
    <x v="4"/>
    <x v="386"/>
    <x v="1000"/>
    <x v="156"/>
    <x v="13"/>
    <x v="156"/>
    <x v="3"/>
    <x v="19"/>
    <x v="0"/>
    <x v="172"/>
    <x v="12"/>
    <x v="6"/>
    <s v="MEDIA"/>
    <s v="MEDIA"/>
    <n v="64"/>
    <s v="cumple"/>
    <x v="7"/>
    <x v="1"/>
    <x v="1000"/>
    <n v="348"/>
    <x v="0"/>
  </r>
  <r>
    <x v="0"/>
    <x v="1"/>
    <x v="1"/>
    <x v="0"/>
    <x v="3"/>
    <x v="1"/>
    <x v="4"/>
    <x v="387"/>
    <x v="1001"/>
    <x v="156"/>
    <x v="4"/>
    <x v="156"/>
    <x v="15"/>
    <x v="19"/>
    <x v="0"/>
    <x v="172"/>
    <x v="12"/>
    <x v="6"/>
    <s v="MEDIA"/>
    <s v="MEDIA"/>
    <n v="64"/>
    <s v="cumple"/>
    <x v="7"/>
    <x v="1"/>
    <x v="1001"/>
    <n v="348"/>
    <x v="0"/>
  </r>
  <r>
    <x v="0"/>
    <x v="1"/>
    <x v="1"/>
    <x v="0"/>
    <x v="3"/>
    <x v="1"/>
    <x v="4"/>
    <x v="388"/>
    <x v="1002"/>
    <x v="156"/>
    <x v="12"/>
    <x v="156"/>
    <x v="4"/>
    <x v="19"/>
    <x v="0"/>
    <x v="172"/>
    <x v="12"/>
    <x v="6"/>
    <s v="MEDIA"/>
    <s v="MEDIA"/>
    <n v="64"/>
    <s v="cumple"/>
    <x v="7"/>
    <x v="1"/>
    <x v="1002"/>
    <n v="348"/>
    <x v="0"/>
  </r>
  <r>
    <x v="0"/>
    <x v="11"/>
    <x v="1"/>
    <x v="0"/>
    <x v="3"/>
    <x v="5"/>
    <x v="4"/>
    <x v="389"/>
    <x v="1003"/>
    <x v="156"/>
    <x v="6"/>
    <x v="156"/>
    <x v="13"/>
    <x v="19"/>
    <x v="0"/>
    <x v="172"/>
    <x v="12"/>
    <x v="6"/>
    <s v="MEDIA"/>
    <s v="MEDIA"/>
    <n v="64"/>
    <s v="cumple"/>
    <x v="7"/>
    <x v="1"/>
    <x v="1003"/>
    <n v="348"/>
    <x v="0"/>
  </r>
  <r>
    <x v="0"/>
    <x v="1"/>
    <x v="1"/>
    <x v="0"/>
    <x v="3"/>
    <x v="1"/>
    <x v="4"/>
    <x v="390"/>
    <x v="1004"/>
    <x v="156"/>
    <x v="10"/>
    <x v="156"/>
    <x v="5"/>
    <x v="19"/>
    <x v="0"/>
    <x v="172"/>
    <x v="12"/>
    <x v="6"/>
    <s v="MEDIA"/>
    <s v="MEDIA"/>
    <n v="64"/>
    <s v="cumple"/>
    <x v="7"/>
    <x v="1"/>
    <x v="1004"/>
    <n v="348"/>
    <x v="0"/>
  </r>
  <r>
    <x v="0"/>
    <x v="1"/>
    <x v="1"/>
    <x v="0"/>
    <x v="3"/>
    <x v="1"/>
    <x v="4"/>
    <x v="391"/>
    <x v="1005"/>
    <x v="156"/>
    <x v="3"/>
    <x v="156"/>
    <x v="9"/>
    <x v="2"/>
    <x v="0"/>
    <x v="172"/>
    <x v="12"/>
    <x v="6"/>
    <s v="MEDIA"/>
    <s v="MEDIA"/>
    <n v="64"/>
    <s v="cumple"/>
    <x v="7"/>
    <x v="1"/>
    <x v="1005"/>
    <n v="696"/>
    <x v="0"/>
  </r>
  <r>
    <x v="0"/>
    <x v="11"/>
    <x v="1"/>
    <x v="0"/>
    <x v="3"/>
    <x v="5"/>
    <x v="4"/>
    <x v="392"/>
    <x v="1006"/>
    <x v="156"/>
    <x v="9"/>
    <x v="156"/>
    <x v="7"/>
    <x v="2"/>
    <x v="0"/>
    <x v="172"/>
    <x v="12"/>
    <x v="6"/>
    <s v="MEDIA"/>
    <s v="MEDIA"/>
    <n v="64"/>
    <s v="cumple"/>
    <x v="7"/>
    <x v="1"/>
    <x v="1006"/>
    <n v="696"/>
    <x v="0"/>
  </r>
  <r>
    <x v="0"/>
    <x v="1"/>
    <x v="1"/>
    <x v="0"/>
    <x v="3"/>
    <x v="1"/>
    <x v="4"/>
    <x v="393"/>
    <x v="1007"/>
    <x v="156"/>
    <x v="7"/>
    <x v="156"/>
    <x v="2"/>
    <x v="2"/>
    <x v="0"/>
    <x v="172"/>
    <x v="12"/>
    <x v="6"/>
    <s v="MEDIA"/>
    <s v="MEDIA"/>
    <n v="64"/>
    <s v="cumple"/>
    <x v="7"/>
    <x v="1"/>
    <x v="1007"/>
    <n v="696"/>
    <x v="0"/>
  </r>
  <r>
    <x v="0"/>
    <x v="1"/>
    <x v="1"/>
    <x v="0"/>
    <x v="3"/>
    <x v="1"/>
    <x v="4"/>
    <x v="394"/>
    <x v="1008"/>
    <x v="156"/>
    <x v="2"/>
    <x v="156"/>
    <x v="1"/>
    <x v="2"/>
    <x v="0"/>
    <x v="172"/>
    <x v="12"/>
    <x v="6"/>
    <s v="MEDIA"/>
    <s v="MEDIA"/>
    <n v="64"/>
    <s v="cumple"/>
    <x v="7"/>
    <x v="1"/>
    <x v="1008"/>
    <n v="696"/>
    <x v="0"/>
  </r>
  <r>
    <x v="0"/>
    <x v="11"/>
    <x v="1"/>
    <x v="0"/>
    <x v="3"/>
    <x v="5"/>
    <x v="4"/>
    <x v="395"/>
    <x v="1009"/>
    <x v="157"/>
    <x v="0"/>
    <x v="157"/>
    <x v="23"/>
    <x v="19"/>
    <x v="0"/>
    <x v="172"/>
    <x v="12"/>
    <x v="6"/>
    <s v="MEDIA"/>
    <s v="MEDIA"/>
    <n v="64"/>
    <s v="cumple"/>
    <x v="7"/>
    <x v="1"/>
    <x v="1009"/>
    <n v="348"/>
    <x v="0"/>
  </r>
  <r>
    <x v="0"/>
    <x v="1"/>
    <x v="1"/>
    <x v="0"/>
    <x v="3"/>
    <x v="1"/>
    <x v="4"/>
    <x v="396"/>
    <x v="1010"/>
    <x v="157"/>
    <x v="19"/>
    <x v="157"/>
    <x v="16"/>
    <x v="2"/>
    <x v="0"/>
    <x v="172"/>
    <x v="12"/>
    <x v="6"/>
    <s v="MEDIA"/>
    <s v="MEDIA"/>
    <n v="64"/>
    <s v="cumple"/>
    <x v="7"/>
    <x v="1"/>
    <x v="1010"/>
    <n v="696"/>
    <x v="0"/>
  </r>
  <r>
    <x v="0"/>
    <x v="1"/>
    <x v="1"/>
    <x v="0"/>
    <x v="3"/>
    <x v="1"/>
    <x v="4"/>
    <x v="397"/>
    <x v="1011"/>
    <x v="157"/>
    <x v="13"/>
    <x v="157"/>
    <x v="15"/>
    <x v="2"/>
    <x v="0"/>
    <x v="172"/>
    <x v="12"/>
    <x v="6"/>
    <s v="MEDIA"/>
    <s v="MEDIA"/>
    <n v="64"/>
    <s v="cumple"/>
    <x v="7"/>
    <x v="1"/>
    <x v="1011"/>
    <n v="696"/>
    <x v="0"/>
  </r>
  <r>
    <x v="0"/>
    <x v="11"/>
    <x v="1"/>
    <x v="0"/>
    <x v="3"/>
    <x v="5"/>
    <x v="4"/>
    <x v="398"/>
    <x v="1012"/>
    <x v="157"/>
    <x v="12"/>
    <x v="157"/>
    <x v="4"/>
    <x v="19"/>
    <x v="0"/>
    <x v="172"/>
    <x v="12"/>
    <x v="6"/>
    <s v="MEDIA"/>
    <s v="MEDIA"/>
    <n v="64"/>
    <s v="cumple"/>
    <x v="7"/>
    <x v="1"/>
    <x v="1012"/>
    <n v="348"/>
    <x v="0"/>
  </r>
  <r>
    <x v="0"/>
    <x v="3"/>
    <x v="1"/>
    <x v="0"/>
    <x v="3"/>
    <x v="4"/>
    <x v="4"/>
    <x v="399"/>
    <x v="1013"/>
    <x v="157"/>
    <x v="6"/>
    <x v="157"/>
    <x v="5"/>
    <x v="2"/>
    <x v="0"/>
    <x v="172"/>
    <x v="12"/>
    <x v="6"/>
    <s v="MEDIA"/>
    <s v="MEDIA"/>
    <n v="64"/>
    <s v="cumple"/>
    <x v="7"/>
    <x v="1"/>
    <x v="1013"/>
    <n v="696"/>
    <x v="0"/>
  </r>
  <r>
    <x v="0"/>
    <x v="1"/>
    <x v="1"/>
    <x v="0"/>
    <x v="3"/>
    <x v="1"/>
    <x v="4"/>
    <x v="400"/>
    <x v="1014"/>
    <x v="157"/>
    <x v="3"/>
    <x v="157"/>
    <x v="12"/>
    <x v="15"/>
    <x v="0"/>
    <x v="172"/>
    <x v="12"/>
    <x v="6"/>
    <s v="MEDIA"/>
    <s v="MEDIA"/>
    <n v="64"/>
    <s v="cumple"/>
    <x v="7"/>
    <x v="1"/>
    <x v="1014"/>
    <n v="1044"/>
    <x v="0"/>
  </r>
  <r>
    <x v="0"/>
    <x v="1"/>
    <x v="1"/>
    <x v="0"/>
    <x v="3"/>
    <x v="1"/>
    <x v="4"/>
    <x v="401"/>
    <x v="1015"/>
    <x v="157"/>
    <x v="7"/>
    <x v="157"/>
    <x v="2"/>
    <x v="2"/>
    <x v="0"/>
    <x v="172"/>
    <x v="12"/>
    <x v="6"/>
    <s v="MEDIA"/>
    <s v="MEDIA"/>
    <n v="64"/>
    <s v="cumple"/>
    <x v="7"/>
    <x v="1"/>
    <x v="1015"/>
    <n v="696"/>
    <x v="0"/>
  </r>
  <r>
    <x v="0"/>
    <x v="1"/>
    <x v="1"/>
    <x v="0"/>
    <x v="3"/>
    <x v="1"/>
    <x v="4"/>
    <x v="402"/>
    <x v="1016"/>
    <x v="157"/>
    <x v="2"/>
    <x v="157"/>
    <x v="1"/>
    <x v="2"/>
    <x v="0"/>
    <x v="172"/>
    <x v="12"/>
    <x v="6"/>
    <s v="MEDIA"/>
    <s v="MEDIA"/>
    <n v="64"/>
    <s v="cumple"/>
    <x v="7"/>
    <x v="1"/>
    <x v="1016"/>
    <n v="696"/>
    <x v="0"/>
  </r>
  <r>
    <x v="0"/>
    <x v="1"/>
    <x v="1"/>
    <x v="0"/>
    <x v="3"/>
    <x v="1"/>
    <x v="4"/>
    <x v="403"/>
    <x v="1017"/>
    <x v="157"/>
    <x v="1"/>
    <x v="157"/>
    <x v="21"/>
    <x v="19"/>
    <x v="0"/>
    <x v="172"/>
    <x v="12"/>
    <x v="6"/>
    <s v="MEDIA"/>
    <s v="MEDIA"/>
    <n v="64"/>
    <s v="cumple"/>
    <x v="7"/>
    <x v="1"/>
    <x v="1017"/>
    <n v="348"/>
    <x v="0"/>
  </r>
  <r>
    <x v="0"/>
    <x v="11"/>
    <x v="1"/>
    <x v="0"/>
    <x v="3"/>
    <x v="5"/>
    <x v="4"/>
    <x v="404"/>
    <x v="1018"/>
    <x v="157"/>
    <x v="16"/>
    <x v="157"/>
    <x v="22"/>
    <x v="2"/>
    <x v="0"/>
    <x v="172"/>
    <x v="12"/>
    <x v="6"/>
    <s v="MEDIA"/>
    <s v="MEDIA"/>
    <n v="64"/>
    <s v="cumple"/>
    <x v="7"/>
    <x v="1"/>
    <x v="1018"/>
    <n v="696"/>
    <x v="0"/>
  </r>
  <r>
    <x v="0"/>
    <x v="1"/>
    <x v="1"/>
    <x v="0"/>
    <x v="3"/>
    <x v="1"/>
    <x v="4"/>
    <x v="405"/>
    <x v="1019"/>
    <x v="158"/>
    <x v="0"/>
    <x v="158"/>
    <x v="8"/>
    <x v="2"/>
    <x v="0"/>
    <x v="172"/>
    <x v="12"/>
    <x v="6"/>
    <s v="MEDIA"/>
    <s v="MEDIA"/>
    <n v="64"/>
    <s v="cumple"/>
    <x v="7"/>
    <x v="1"/>
    <x v="1019"/>
    <n v="696"/>
    <x v="0"/>
  </r>
  <r>
    <x v="0"/>
    <x v="1"/>
    <x v="1"/>
    <x v="0"/>
    <x v="3"/>
    <x v="1"/>
    <x v="4"/>
    <x v="406"/>
    <x v="1020"/>
    <x v="158"/>
    <x v="8"/>
    <x v="158"/>
    <x v="3"/>
    <x v="2"/>
    <x v="0"/>
    <x v="172"/>
    <x v="12"/>
    <x v="6"/>
    <s v="MEDIA"/>
    <s v="MEDIA"/>
    <n v="64"/>
    <s v="cumple"/>
    <x v="7"/>
    <x v="1"/>
    <x v="1020"/>
    <n v="696"/>
    <x v="0"/>
  </r>
  <r>
    <x v="0"/>
    <x v="11"/>
    <x v="1"/>
    <x v="0"/>
    <x v="3"/>
    <x v="5"/>
    <x v="4"/>
    <x v="407"/>
    <x v="1021"/>
    <x v="158"/>
    <x v="4"/>
    <x v="158"/>
    <x v="4"/>
    <x v="2"/>
    <x v="0"/>
    <x v="172"/>
    <x v="12"/>
    <x v="6"/>
    <s v="MEDIA"/>
    <s v="MEDIA"/>
    <n v="64"/>
    <s v="cumple"/>
    <x v="7"/>
    <x v="1"/>
    <x v="1021"/>
    <n v="696"/>
    <x v="0"/>
  </r>
  <r>
    <x v="0"/>
    <x v="3"/>
    <x v="1"/>
    <x v="0"/>
    <x v="3"/>
    <x v="4"/>
    <x v="4"/>
    <x v="408"/>
    <x v="1022"/>
    <x v="158"/>
    <x v="6"/>
    <x v="158"/>
    <x v="13"/>
    <x v="19"/>
    <x v="0"/>
    <x v="172"/>
    <x v="12"/>
    <x v="6"/>
    <s v="MEDIA"/>
    <s v="MEDIA"/>
    <n v="64"/>
    <s v="cumple"/>
    <x v="7"/>
    <x v="1"/>
    <x v="1022"/>
    <n v="348"/>
    <x v="0"/>
  </r>
  <r>
    <x v="0"/>
    <x v="1"/>
    <x v="1"/>
    <x v="0"/>
    <x v="3"/>
    <x v="1"/>
    <x v="4"/>
    <x v="409"/>
    <x v="1023"/>
    <x v="158"/>
    <x v="10"/>
    <x v="158"/>
    <x v="14"/>
    <x v="2"/>
    <x v="0"/>
    <x v="172"/>
    <x v="12"/>
    <x v="6"/>
    <s v="MEDIA"/>
    <s v="MEDIA"/>
    <n v="64"/>
    <s v="cumple"/>
    <x v="7"/>
    <x v="1"/>
    <x v="1023"/>
    <n v="696"/>
    <x v="0"/>
  </r>
  <r>
    <x v="0"/>
    <x v="1"/>
    <x v="1"/>
    <x v="0"/>
    <x v="3"/>
    <x v="1"/>
    <x v="4"/>
    <x v="410"/>
    <x v="1024"/>
    <x v="158"/>
    <x v="11"/>
    <x v="158"/>
    <x v="12"/>
    <x v="2"/>
    <x v="0"/>
    <x v="172"/>
    <x v="12"/>
    <x v="6"/>
    <s v="MEDIA"/>
    <s v="MEDIA"/>
    <n v="64"/>
    <s v="cumple"/>
    <x v="7"/>
    <x v="1"/>
    <x v="1024"/>
    <n v="696"/>
    <x v="0"/>
  </r>
  <r>
    <x v="0"/>
    <x v="11"/>
    <x v="1"/>
    <x v="0"/>
    <x v="3"/>
    <x v="5"/>
    <x v="4"/>
    <x v="411"/>
    <x v="1025"/>
    <x v="158"/>
    <x v="7"/>
    <x v="158"/>
    <x v="2"/>
    <x v="2"/>
    <x v="0"/>
    <x v="172"/>
    <x v="12"/>
    <x v="6"/>
    <s v="MEDIA"/>
    <s v="MEDIA"/>
    <n v="64"/>
    <s v="cumple"/>
    <x v="7"/>
    <x v="1"/>
    <x v="1025"/>
    <n v="696"/>
    <x v="0"/>
  </r>
  <r>
    <x v="0"/>
    <x v="3"/>
    <x v="1"/>
    <x v="0"/>
    <x v="3"/>
    <x v="4"/>
    <x v="4"/>
    <x v="412"/>
    <x v="1026"/>
    <x v="158"/>
    <x v="2"/>
    <x v="158"/>
    <x v="17"/>
    <x v="19"/>
    <x v="0"/>
    <x v="172"/>
    <x v="12"/>
    <x v="6"/>
    <s v="MEDIA"/>
    <s v="MEDIA"/>
    <n v="64"/>
    <s v="cumple"/>
    <x v="7"/>
    <x v="1"/>
    <x v="1026"/>
    <n v="348"/>
    <x v="0"/>
  </r>
  <r>
    <x v="0"/>
    <x v="1"/>
    <x v="1"/>
    <x v="0"/>
    <x v="3"/>
    <x v="1"/>
    <x v="4"/>
    <x v="413"/>
    <x v="1027"/>
    <x v="158"/>
    <x v="14"/>
    <x v="158"/>
    <x v="21"/>
    <x v="2"/>
    <x v="0"/>
    <x v="172"/>
    <x v="12"/>
    <x v="6"/>
    <s v="MEDIA"/>
    <s v="MEDIA"/>
    <n v="64"/>
    <s v="cumple"/>
    <x v="7"/>
    <x v="1"/>
    <x v="1027"/>
    <n v="696"/>
    <x v="0"/>
  </r>
  <r>
    <x v="0"/>
    <x v="1"/>
    <x v="1"/>
    <x v="0"/>
    <x v="3"/>
    <x v="1"/>
    <x v="4"/>
    <x v="414"/>
    <x v="985"/>
    <x v="158"/>
    <x v="16"/>
    <x v="158"/>
    <x v="22"/>
    <x v="2"/>
    <x v="0"/>
    <x v="172"/>
    <x v="12"/>
    <x v="6"/>
    <s v="MEDIA"/>
    <s v="MEDIA"/>
    <n v="64"/>
    <s v="cumple"/>
    <x v="7"/>
    <x v="1"/>
    <x v="985"/>
    <n v="696"/>
    <x v="0"/>
  </r>
  <r>
    <x v="0"/>
    <x v="11"/>
    <x v="1"/>
    <x v="0"/>
    <x v="3"/>
    <x v="5"/>
    <x v="4"/>
    <x v="415"/>
    <x v="1028"/>
    <x v="159"/>
    <x v="0"/>
    <x v="159"/>
    <x v="8"/>
    <x v="2"/>
    <x v="0"/>
    <x v="172"/>
    <x v="12"/>
    <x v="6"/>
    <s v="MEDIA"/>
    <s v="MEDIA"/>
    <n v="64"/>
    <s v="cumple"/>
    <x v="7"/>
    <x v="1"/>
    <x v="1028"/>
    <n v="696"/>
    <x v="0"/>
  </r>
  <r>
    <x v="0"/>
    <x v="3"/>
    <x v="1"/>
    <x v="0"/>
    <x v="3"/>
    <x v="4"/>
    <x v="4"/>
    <x v="416"/>
    <x v="1029"/>
    <x v="159"/>
    <x v="8"/>
    <x v="159"/>
    <x v="16"/>
    <x v="19"/>
    <x v="0"/>
    <x v="172"/>
    <x v="12"/>
    <x v="6"/>
    <s v="MEDIA"/>
    <s v="MEDIA"/>
    <n v="64"/>
    <s v="cumple"/>
    <x v="7"/>
    <x v="1"/>
    <x v="1029"/>
    <n v="348"/>
    <x v="0"/>
  </r>
  <r>
    <x v="0"/>
    <x v="1"/>
    <x v="1"/>
    <x v="0"/>
    <x v="3"/>
    <x v="1"/>
    <x v="4"/>
    <x v="417"/>
    <x v="1030"/>
    <x v="159"/>
    <x v="13"/>
    <x v="159"/>
    <x v="15"/>
    <x v="2"/>
    <x v="0"/>
    <x v="172"/>
    <x v="12"/>
    <x v="6"/>
    <s v="MEDIA"/>
    <s v="MEDIA"/>
    <n v="64"/>
    <s v="cumple"/>
    <x v="7"/>
    <x v="1"/>
    <x v="1030"/>
    <n v="696"/>
    <x v="0"/>
  </r>
  <r>
    <x v="0"/>
    <x v="1"/>
    <x v="1"/>
    <x v="0"/>
    <x v="3"/>
    <x v="1"/>
    <x v="4"/>
    <x v="418"/>
    <x v="1031"/>
    <x v="159"/>
    <x v="12"/>
    <x v="159"/>
    <x v="13"/>
    <x v="2"/>
    <x v="0"/>
    <x v="172"/>
    <x v="12"/>
    <x v="6"/>
    <s v="MEDIA"/>
    <s v="MEDIA"/>
    <n v="64"/>
    <s v="cumple"/>
    <x v="7"/>
    <x v="1"/>
    <x v="1031"/>
    <n v="696"/>
    <x v="0"/>
  </r>
  <r>
    <x v="0"/>
    <x v="11"/>
    <x v="1"/>
    <x v="0"/>
    <x v="3"/>
    <x v="5"/>
    <x v="4"/>
    <x v="419"/>
    <x v="1032"/>
    <x v="159"/>
    <x v="10"/>
    <x v="159"/>
    <x v="14"/>
    <x v="2"/>
    <x v="0"/>
    <x v="172"/>
    <x v="12"/>
    <x v="6"/>
    <s v="MEDIA"/>
    <s v="MEDIA"/>
    <n v="64"/>
    <s v="cumple"/>
    <x v="7"/>
    <x v="1"/>
    <x v="1032"/>
    <n v="696"/>
    <x v="0"/>
  </r>
  <r>
    <x v="0"/>
    <x v="3"/>
    <x v="1"/>
    <x v="0"/>
    <x v="3"/>
    <x v="4"/>
    <x v="4"/>
    <x v="420"/>
    <x v="1033"/>
    <x v="159"/>
    <x v="11"/>
    <x v="159"/>
    <x v="9"/>
    <x v="19"/>
    <x v="0"/>
    <x v="172"/>
    <x v="12"/>
    <x v="6"/>
    <s v="MEDIA"/>
    <s v="MEDIA"/>
    <n v="64"/>
    <s v="cumple"/>
    <x v="7"/>
    <x v="1"/>
    <x v="1033"/>
    <n v="348"/>
    <x v="0"/>
  </r>
  <r>
    <x v="0"/>
    <x v="1"/>
    <x v="1"/>
    <x v="0"/>
    <x v="3"/>
    <x v="1"/>
    <x v="4"/>
    <x v="421"/>
    <x v="1034"/>
    <x v="159"/>
    <x v="9"/>
    <x v="159"/>
    <x v="7"/>
    <x v="2"/>
    <x v="0"/>
    <x v="172"/>
    <x v="12"/>
    <x v="6"/>
    <s v="MEDIA"/>
    <s v="MEDIA"/>
    <n v="64"/>
    <s v="cumple"/>
    <x v="7"/>
    <x v="1"/>
    <x v="1034"/>
    <n v="696"/>
    <x v="0"/>
  </r>
  <r>
    <x v="0"/>
    <x v="11"/>
    <x v="1"/>
    <x v="0"/>
    <x v="3"/>
    <x v="5"/>
    <x v="4"/>
    <x v="422"/>
    <x v="1035"/>
    <x v="159"/>
    <x v="7"/>
    <x v="159"/>
    <x v="2"/>
    <x v="2"/>
    <x v="0"/>
    <x v="172"/>
    <x v="12"/>
    <x v="6"/>
    <s v="MEDIA"/>
    <s v="MEDIA"/>
    <n v="64"/>
    <s v="cumple"/>
    <x v="7"/>
    <x v="1"/>
    <x v="1035"/>
    <n v="696"/>
    <x v="0"/>
  </r>
  <r>
    <x v="0"/>
    <x v="3"/>
    <x v="1"/>
    <x v="0"/>
    <x v="3"/>
    <x v="4"/>
    <x v="4"/>
    <x v="423"/>
    <x v="1036"/>
    <x v="159"/>
    <x v="2"/>
    <x v="159"/>
    <x v="17"/>
    <x v="19"/>
    <x v="0"/>
    <x v="172"/>
    <x v="12"/>
    <x v="6"/>
    <s v="MEDIA"/>
    <s v="MEDIA"/>
    <n v="64"/>
    <s v="cumple"/>
    <x v="7"/>
    <x v="1"/>
    <x v="1036"/>
    <n v="348"/>
    <x v="0"/>
  </r>
  <r>
    <x v="0"/>
    <x v="1"/>
    <x v="1"/>
    <x v="0"/>
    <x v="3"/>
    <x v="1"/>
    <x v="4"/>
    <x v="424"/>
    <x v="1037"/>
    <x v="159"/>
    <x v="14"/>
    <x v="159"/>
    <x v="21"/>
    <x v="2"/>
    <x v="0"/>
    <x v="172"/>
    <x v="12"/>
    <x v="6"/>
    <s v="MEDIA"/>
    <s v="MEDIA"/>
    <n v="64"/>
    <s v="cumple"/>
    <x v="7"/>
    <x v="1"/>
    <x v="1037"/>
    <n v="696"/>
    <x v="0"/>
  </r>
  <r>
    <x v="0"/>
    <x v="3"/>
    <x v="1"/>
    <x v="0"/>
    <x v="3"/>
    <x v="4"/>
    <x v="4"/>
    <x v="425"/>
    <x v="1038"/>
    <x v="159"/>
    <x v="16"/>
    <x v="159"/>
    <x v="0"/>
    <x v="19"/>
    <x v="0"/>
    <x v="172"/>
    <x v="12"/>
    <x v="6"/>
    <s v="MEDIA"/>
    <s v="MEDIA"/>
    <n v="64"/>
    <s v="cumple"/>
    <x v="7"/>
    <x v="1"/>
    <x v="1038"/>
    <n v="348"/>
    <x v="0"/>
  </r>
  <r>
    <x v="0"/>
    <x v="1"/>
    <x v="1"/>
    <x v="0"/>
    <x v="3"/>
    <x v="1"/>
    <x v="4"/>
    <x v="426"/>
    <x v="1039"/>
    <x v="160"/>
    <x v="0"/>
    <x v="160"/>
    <x v="8"/>
    <x v="2"/>
    <x v="0"/>
    <x v="172"/>
    <x v="12"/>
    <x v="6"/>
    <s v="MEDIA"/>
    <s v="MEDIA"/>
    <n v="64"/>
    <s v="cumple"/>
    <x v="7"/>
    <x v="1"/>
    <x v="1039"/>
    <n v="696"/>
    <x v="0"/>
  </r>
  <r>
    <x v="0"/>
    <x v="1"/>
    <x v="1"/>
    <x v="0"/>
    <x v="3"/>
    <x v="1"/>
    <x v="4"/>
    <x v="427"/>
    <x v="1040"/>
    <x v="160"/>
    <x v="8"/>
    <x v="160"/>
    <x v="16"/>
    <x v="19"/>
    <x v="0"/>
    <x v="172"/>
    <x v="12"/>
    <x v="6"/>
    <s v="MEDIA"/>
    <s v="MEDIA"/>
    <n v="64"/>
    <s v="cumple"/>
    <x v="7"/>
    <x v="1"/>
    <x v="1040"/>
    <n v="348"/>
    <x v="0"/>
  </r>
  <r>
    <x v="0"/>
    <x v="11"/>
    <x v="1"/>
    <x v="0"/>
    <x v="3"/>
    <x v="5"/>
    <x v="4"/>
    <x v="428"/>
    <x v="1041"/>
    <x v="160"/>
    <x v="13"/>
    <x v="160"/>
    <x v="15"/>
    <x v="2"/>
    <x v="0"/>
    <x v="172"/>
    <x v="12"/>
    <x v="6"/>
    <s v="MEDIA"/>
    <s v="MEDIA"/>
    <n v="64"/>
    <s v="cumple"/>
    <x v="7"/>
    <x v="1"/>
    <x v="1041"/>
    <n v="696"/>
    <x v="0"/>
  </r>
  <r>
    <x v="0"/>
    <x v="3"/>
    <x v="1"/>
    <x v="0"/>
    <x v="3"/>
    <x v="4"/>
    <x v="4"/>
    <x v="429"/>
    <x v="1042"/>
    <x v="160"/>
    <x v="12"/>
    <x v="160"/>
    <x v="4"/>
    <x v="19"/>
    <x v="0"/>
    <x v="172"/>
    <x v="12"/>
    <x v="6"/>
    <s v="MEDIA"/>
    <s v="MEDIA"/>
    <n v="64"/>
    <s v="cumple"/>
    <x v="7"/>
    <x v="1"/>
    <x v="1042"/>
    <n v="348"/>
    <x v="0"/>
  </r>
  <r>
    <x v="0"/>
    <x v="1"/>
    <x v="1"/>
    <x v="0"/>
    <x v="3"/>
    <x v="1"/>
    <x v="4"/>
    <x v="430"/>
    <x v="1043"/>
    <x v="160"/>
    <x v="6"/>
    <x v="160"/>
    <x v="5"/>
    <x v="2"/>
    <x v="0"/>
    <x v="172"/>
    <x v="12"/>
    <x v="6"/>
    <s v="MEDIA"/>
    <s v="MEDIA"/>
    <n v="64"/>
    <s v="cumple"/>
    <x v="7"/>
    <x v="1"/>
    <x v="1043"/>
    <n v="696"/>
    <x v="0"/>
  </r>
  <r>
    <x v="0"/>
    <x v="1"/>
    <x v="1"/>
    <x v="0"/>
    <x v="3"/>
    <x v="1"/>
    <x v="4"/>
    <x v="431"/>
    <x v="1044"/>
    <x v="160"/>
    <x v="3"/>
    <x v="160"/>
    <x v="14"/>
    <x v="19"/>
    <x v="0"/>
    <x v="172"/>
    <x v="12"/>
    <x v="6"/>
    <s v="MEDIA"/>
    <s v="MEDIA"/>
    <n v="64"/>
    <s v="cumple"/>
    <x v="7"/>
    <x v="1"/>
    <x v="1044"/>
    <n v="348"/>
    <x v="0"/>
  </r>
  <r>
    <x v="0"/>
    <x v="11"/>
    <x v="1"/>
    <x v="0"/>
    <x v="3"/>
    <x v="5"/>
    <x v="4"/>
    <x v="432"/>
    <x v="1045"/>
    <x v="160"/>
    <x v="11"/>
    <x v="160"/>
    <x v="12"/>
    <x v="2"/>
    <x v="0"/>
    <x v="172"/>
    <x v="12"/>
    <x v="6"/>
    <s v="MEDIA"/>
    <s v="MEDIA"/>
    <n v="64"/>
    <s v="cumple"/>
    <x v="7"/>
    <x v="1"/>
    <x v="1045"/>
    <n v="696"/>
    <x v="0"/>
  </r>
  <r>
    <x v="0"/>
    <x v="3"/>
    <x v="1"/>
    <x v="0"/>
    <x v="3"/>
    <x v="4"/>
    <x v="4"/>
    <x v="433"/>
    <x v="1046"/>
    <x v="160"/>
    <x v="21"/>
    <x v="160"/>
    <x v="7"/>
    <x v="19"/>
    <x v="0"/>
    <x v="172"/>
    <x v="12"/>
    <x v="6"/>
    <s v="MEDIA"/>
    <s v="MEDIA"/>
    <n v="64"/>
    <s v="cumple"/>
    <x v="7"/>
    <x v="1"/>
    <x v="1046"/>
    <n v="348"/>
    <x v="0"/>
  </r>
  <r>
    <x v="0"/>
    <x v="1"/>
    <x v="1"/>
    <x v="0"/>
    <x v="3"/>
    <x v="1"/>
    <x v="4"/>
    <x v="434"/>
    <x v="1047"/>
    <x v="160"/>
    <x v="7"/>
    <x v="160"/>
    <x v="2"/>
    <x v="2"/>
    <x v="0"/>
    <x v="172"/>
    <x v="12"/>
    <x v="6"/>
    <s v="MEDIA"/>
    <s v="MEDIA"/>
    <n v="64"/>
    <s v="cumple"/>
    <x v="7"/>
    <x v="1"/>
    <x v="1047"/>
    <n v="696"/>
    <x v="0"/>
  </r>
  <r>
    <x v="0"/>
    <x v="1"/>
    <x v="1"/>
    <x v="0"/>
    <x v="3"/>
    <x v="1"/>
    <x v="4"/>
    <x v="435"/>
    <x v="1048"/>
    <x v="160"/>
    <x v="2"/>
    <x v="160"/>
    <x v="17"/>
    <x v="19"/>
    <x v="0"/>
    <x v="172"/>
    <x v="12"/>
    <x v="6"/>
    <s v="MEDIA"/>
    <s v="MEDIA"/>
    <n v="64"/>
    <s v="cumple"/>
    <x v="7"/>
    <x v="1"/>
    <x v="1048"/>
    <n v="348"/>
    <x v="0"/>
  </r>
  <r>
    <x v="0"/>
    <x v="11"/>
    <x v="1"/>
    <x v="0"/>
    <x v="3"/>
    <x v="5"/>
    <x v="4"/>
    <x v="436"/>
    <x v="1049"/>
    <x v="160"/>
    <x v="14"/>
    <x v="160"/>
    <x v="21"/>
    <x v="2"/>
    <x v="0"/>
    <x v="172"/>
    <x v="12"/>
    <x v="6"/>
    <s v="MEDIA"/>
    <s v="MEDIA"/>
    <n v="64"/>
    <s v="cumple"/>
    <x v="7"/>
    <x v="1"/>
    <x v="1049"/>
    <n v="696"/>
    <x v="0"/>
  </r>
  <r>
    <x v="0"/>
    <x v="3"/>
    <x v="1"/>
    <x v="0"/>
    <x v="3"/>
    <x v="4"/>
    <x v="4"/>
    <x v="437"/>
    <x v="1050"/>
    <x v="160"/>
    <x v="16"/>
    <x v="160"/>
    <x v="0"/>
    <x v="19"/>
    <x v="0"/>
    <x v="172"/>
    <x v="12"/>
    <x v="6"/>
    <s v="MEDIA"/>
    <s v="MEDIA"/>
    <n v="64"/>
    <s v="cumple"/>
    <x v="7"/>
    <x v="1"/>
    <x v="1050"/>
    <n v="348"/>
    <x v="0"/>
  </r>
  <r>
    <x v="0"/>
    <x v="1"/>
    <x v="1"/>
    <x v="0"/>
    <x v="3"/>
    <x v="1"/>
    <x v="4"/>
    <x v="438"/>
    <x v="1051"/>
    <x v="160"/>
    <x v="17"/>
    <x v="160"/>
    <x v="11"/>
    <x v="2"/>
    <x v="0"/>
    <x v="172"/>
    <x v="12"/>
    <x v="6"/>
    <s v="MEDIA"/>
    <s v="MEDIA"/>
    <n v="64"/>
    <s v="cumple"/>
    <x v="7"/>
    <x v="1"/>
    <x v="1051"/>
    <n v="696"/>
    <x v="0"/>
  </r>
  <r>
    <x v="0"/>
    <x v="1"/>
    <x v="1"/>
    <x v="0"/>
    <x v="3"/>
    <x v="1"/>
    <x v="4"/>
    <x v="439"/>
    <x v="1052"/>
    <x v="160"/>
    <x v="22"/>
    <x v="160"/>
    <x v="20"/>
    <x v="19"/>
    <x v="0"/>
    <x v="172"/>
    <x v="12"/>
    <x v="6"/>
    <s v="MEDIA"/>
    <s v="MEDIA"/>
    <n v="64"/>
    <s v="cumple"/>
    <x v="7"/>
    <x v="1"/>
    <x v="1052"/>
    <n v="348"/>
    <x v="0"/>
  </r>
  <r>
    <x v="0"/>
    <x v="11"/>
    <x v="1"/>
    <x v="0"/>
    <x v="3"/>
    <x v="5"/>
    <x v="4"/>
    <x v="440"/>
    <x v="1053"/>
    <x v="161"/>
    <x v="0"/>
    <x v="161"/>
    <x v="8"/>
    <x v="2"/>
    <x v="0"/>
    <x v="172"/>
    <x v="12"/>
    <x v="6"/>
    <s v="MEDIA"/>
    <s v="MEDIA"/>
    <n v="64"/>
    <s v="cumple"/>
    <x v="7"/>
    <x v="1"/>
    <x v="1053"/>
    <n v="696"/>
    <x v="0"/>
  </r>
  <r>
    <x v="0"/>
    <x v="3"/>
    <x v="1"/>
    <x v="0"/>
    <x v="3"/>
    <x v="4"/>
    <x v="4"/>
    <x v="441"/>
    <x v="1054"/>
    <x v="161"/>
    <x v="8"/>
    <x v="161"/>
    <x v="16"/>
    <x v="19"/>
    <x v="0"/>
    <x v="172"/>
    <x v="12"/>
    <x v="6"/>
    <s v="MEDIA"/>
    <s v="MEDIA"/>
    <n v="64"/>
    <s v="cumple"/>
    <x v="7"/>
    <x v="1"/>
    <x v="1054"/>
    <n v="348"/>
    <x v="0"/>
  </r>
  <r>
    <x v="0"/>
    <x v="1"/>
    <x v="1"/>
    <x v="0"/>
    <x v="3"/>
    <x v="1"/>
    <x v="4"/>
    <x v="442"/>
    <x v="1055"/>
    <x v="161"/>
    <x v="13"/>
    <x v="161"/>
    <x v="15"/>
    <x v="2"/>
    <x v="0"/>
    <x v="172"/>
    <x v="12"/>
    <x v="6"/>
    <s v="MEDIA"/>
    <s v="MEDIA"/>
    <n v="64"/>
    <s v="cumple"/>
    <x v="7"/>
    <x v="1"/>
    <x v="1055"/>
    <n v="696"/>
    <x v="0"/>
  </r>
  <r>
    <x v="0"/>
    <x v="3"/>
    <x v="1"/>
    <x v="0"/>
    <x v="3"/>
    <x v="4"/>
    <x v="4"/>
    <x v="443"/>
    <x v="1056"/>
    <x v="161"/>
    <x v="12"/>
    <x v="161"/>
    <x v="4"/>
    <x v="19"/>
    <x v="0"/>
    <x v="172"/>
    <x v="12"/>
    <x v="6"/>
    <s v="MEDIA"/>
    <s v="MEDIA"/>
    <n v="64"/>
    <s v="cumple"/>
    <x v="7"/>
    <x v="1"/>
    <x v="1056"/>
    <n v="348"/>
    <x v="0"/>
  </r>
  <r>
    <x v="0"/>
    <x v="1"/>
    <x v="1"/>
    <x v="0"/>
    <x v="3"/>
    <x v="1"/>
    <x v="4"/>
    <x v="444"/>
    <x v="1057"/>
    <x v="161"/>
    <x v="6"/>
    <x v="161"/>
    <x v="5"/>
    <x v="2"/>
    <x v="0"/>
    <x v="172"/>
    <x v="12"/>
    <x v="6"/>
    <s v="MEDIA"/>
    <s v="MEDIA"/>
    <n v="64"/>
    <s v="cumple"/>
    <x v="7"/>
    <x v="1"/>
    <x v="1057"/>
    <n v="696"/>
    <x v="0"/>
  </r>
  <r>
    <x v="0"/>
    <x v="3"/>
    <x v="1"/>
    <x v="0"/>
    <x v="3"/>
    <x v="4"/>
    <x v="4"/>
    <x v="445"/>
    <x v="1058"/>
    <x v="161"/>
    <x v="3"/>
    <x v="161"/>
    <x v="14"/>
    <x v="19"/>
    <x v="0"/>
    <x v="172"/>
    <x v="12"/>
    <x v="6"/>
    <s v="MEDIA"/>
    <s v="MEDIA"/>
    <n v="64"/>
    <s v="cumple"/>
    <x v="7"/>
    <x v="1"/>
    <x v="1058"/>
    <n v="348"/>
    <x v="0"/>
  </r>
  <r>
    <x v="0"/>
    <x v="1"/>
    <x v="1"/>
    <x v="0"/>
    <x v="3"/>
    <x v="1"/>
    <x v="4"/>
    <x v="446"/>
    <x v="1059"/>
    <x v="161"/>
    <x v="11"/>
    <x v="161"/>
    <x v="12"/>
    <x v="2"/>
    <x v="0"/>
    <x v="172"/>
    <x v="12"/>
    <x v="6"/>
    <s v="MEDIA"/>
    <s v="MEDIA"/>
    <n v="64"/>
    <s v="cumple"/>
    <x v="7"/>
    <x v="1"/>
    <x v="1059"/>
    <n v="696"/>
    <x v="0"/>
  </r>
  <r>
    <x v="0"/>
    <x v="1"/>
    <x v="1"/>
    <x v="0"/>
    <x v="3"/>
    <x v="1"/>
    <x v="4"/>
    <x v="447"/>
    <x v="982"/>
    <x v="161"/>
    <x v="21"/>
    <x v="161"/>
    <x v="7"/>
    <x v="19"/>
    <x v="0"/>
    <x v="172"/>
    <x v="12"/>
    <x v="6"/>
    <s v="MEDIA"/>
    <s v="MEDIA"/>
    <n v="64"/>
    <s v="cumple"/>
    <x v="7"/>
    <x v="1"/>
    <x v="982"/>
    <n v="348"/>
    <x v="0"/>
  </r>
  <r>
    <x v="0"/>
    <x v="11"/>
    <x v="1"/>
    <x v="0"/>
    <x v="3"/>
    <x v="5"/>
    <x v="4"/>
    <x v="448"/>
    <x v="1060"/>
    <x v="161"/>
    <x v="7"/>
    <x v="161"/>
    <x v="2"/>
    <x v="2"/>
    <x v="0"/>
    <x v="172"/>
    <x v="12"/>
    <x v="6"/>
    <s v="MEDIA"/>
    <s v="MEDIA"/>
    <n v="64"/>
    <s v="cumple"/>
    <x v="7"/>
    <x v="1"/>
    <x v="1060"/>
    <n v="696"/>
    <x v="0"/>
  </r>
  <r>
    <x v="0"/>
    <x v="3"/>
    <x v="1"/>
    <x v="0"/>
    <x v="3"/>
    <x v="4"/>
    <x v="4"/>
    <x v="449"/>
    <x v="1061"/>
    <x v="161"/>
    <x v="2"/>
    <x v="161"/>
    <x v="17"/>
    <x v="19"/>
    <x v="0"/>
    <x v="172"/>
    <x v="12"/>
    <x v="6"/>
    <s v="MEDIA"/>
    <s v="MEDIA"/>
    <n v="64"/>
    <s v="cumple"/>
    <x v="7"/>
    <x v="1"/>
    <x v="1061"/>
    <n v="348"/>
    <x v="0"/>
  </r>
  <r>
    <x v="0"/>
    <x v="1"/>
    <x v="1"/>
    <x v="0"/>
    <x v="3"/>
    <x v="1"/>
    <x v="4"/>
    <x v="450"/>
    <x v="1062"/>
    <x v="161"/>
    <x v="14"/>
    <x v="161"/>
    <x v="21"/>
    <x v="2"/>
    <x v="0"/>
    <x v="172"/>
    <x v="12"/>
    <x v="6"/>
    <s v="MEDIA"/>
    <s v="MEDIA"/>
    <n v="64"/>
    <s v="cumple"/>
    <x v="7"/>
    <x v="1"/>
    <x v="1062"/>
    <n v="696"/>
    <x v="0"/>
  </r>
  <r>
    <x v="0"/>
    <x v="3"/>
    <x v="1"/>
    <x v="0"/>
    <x v="3"/>
    <x v="4"/>
    <x v="4"/>
    <x v="451"/>
    <x v="1063"/>
    <x v="161"/>
    <x v="16"/>
    <x v="161"/>
    <x v="0"/>
    <x v="19"/>
    <x v="0"/>
    <x v="172"/>
    <x v="12"/>
    <x v="6"/>
    <s v="MEDIA"/>
    <s v="MEDIA"/>
    <n v="64"/>
    <s v="cumple"/>
    <x v="7"/>
    <x v="1"/>
    <x v="1063"/>
    <n v="348"/>
    <x v="0"/>
  </r>
  <r>
    <x v="0"/>
    <x v="1"/>
    <x v="1"/>
    <x v="0"/>
    <x v="3"/>
    <x v="1"/>
    <x v="4"/>
    <x v="452"/>
    <x v="1064"/>
    <x v="161"/>
    <x v="17"/>
    <x v="161"/>
    <x v="11"/>
    <x v="2"/>
    <x v="0"/>
    <x v="172"/>
    <x v="12"/>
    <x v="6"/>
    <s v="MEDIA"/>
    <s v="MEDIA"/>
    <n v="64"/>
    <s v="cumple"/>
    <x v="7"/>
    <x v="1"/>
    <x v="1064"/>
    <n v="696"/>
    <x v="0"/>
  </r>
  <r>
    <x v="0"/>
    <x v="3"/>
    <x v="1"/>
    <x v="0"/>
    <x v="3"/>
    <x v="4"/>
    <x v="4"/>
    <x v="453"/>
    <x v="1065"/>
    <x v="161"/>
    <x v="22"/>
    <x v="161"/>
    <x v="20"/>
    <x v="19"/>
    <x v="0"/>
    <x v="172"/>
    <x v="12"/>
    <x v="6"/>
    <s v="MEDIA"/>
    <s v="MEDIA"/>
    <n v="64"/>
    <s v="cumple"/>
    <x v="7"/>
    <x v="1"/>
    <x v="1065"/>
    <n v="348"/>
    <x v="0"/>
  </r>
  <r>
    <x v="0"/>
    <x v="1"/>
    <x v="1"/>
    <x v="0"/>
    <x v="3"/>
    <x v="1"/>
    <x v="4"/>
    <x v="454"/>
    <x v="1066"/>
    <x v="162"/>
    <x v="0"/>
    <x v="162"/>
    <x v="8"/>
    <x v="2"/>
    <x v="0"/>
    <x v="172"/>
    <x v="12"/>
    <x v="6"/>
    <s v="MEDIA"/>
    <s v="MEDIA"/>
    <n v="64"/>
    <s v="cumple"/>
    <x v="7"/>
    <x v="1"/>
    <x v="1066"/>
    <n v="696"/>
    <x v="0"/>
  </r>
  <r>
    <x v="0"/>
    <x v="3"/>
    <x v="1"/>
    <x v="0"/>
    <x v="3"/>
    <x v="4"/>
    <x v="4"/>
    <x v="455"/>
    <x v="1067"/>
    <x v="162"/>
    <x v="8"/>
    <x v="162"/>
    <x v="16"/>
    <x v="19"/>
    <x v="0"/>
    <x v="172"/>
    <x v="12"/>
    <x v="6"/>
    <s v="MEDIA"/>
    <s v="MEDIA"/>
    <n v="64"/>
    <s v="cumple"/>
    <x v="7"/>
    <x v="1"/>
    <x v="1067"/>
    <n v="348"/>
    <x v="0"/>
  </r>
  <r>
    <x v="0"/>
    <x v="1"/>
    <x v="1"/>
    <x v="0"/>
    <x v="3"/>
    <x v="1"/>
    <x v="4"/>
    <x v="456"/>
    <x v="1068"/>
    <x v="162"/>
    <x v="13"/>
    <x v="162"/>
    <x v="15"/>
    <x v="2"/>
    <x v="0"/>
    <x v="172"/>
    <x v="12"/>
    <x v="6"/>
    <s v="MEDIA"/>
    <s v="MEDIA"/>
    <n v="64"/>
    <s v="cumple"/>
    <x v="7"/>
    <x v="1"/>
    <x v="1068"/>
    <n v="696"/>
    <x v="0"/>
  </r>
  <r>
    <x v="0"/>
    <x v="1"/>
    <x v="1"/>
    <x v="0"/>
    <x v="3"/>
    <x v="1"/>
    <x v="4"/>
    <x v="457"/>
    <x v="1069"/>
    <x v="162"/>
    <x v="12"/>
    <x v="162"/>
    <x v="4"/>
    <x v="19"/>
    <x v="0"/>
    <x v="172"/>
    <x v="12"/>
    <x v="6"/>
    <s v="MEDIA"/>
    <s v="MEDIA"/>
    <n v="64"/>
    <s v="cumple"/>
    <x v="7"/>
    <x v="1"/>
    <x v="1069"/>
    <n v="348"/>
    <x v="0"/>
  </r>
  <r>
    <x v="0"/>
    <x v="11"/>
    <x v="1"/>
    <x v="0"/>
    <x v="3"/>
    <x v="5"/>
    <x v="4"/>
    <x v="458"/>
    <x v="1070"/>
    <x v="162"/>
    <x v="6"/>
    <x v="162"/>
    <x v="5"/>
    <x v="2"/>
    <x v="0"/>
    <x v="172"/>
    <x v="12"/>
    <x v="6"/>
    <s v="MEDIA"/>
    <s v="MEDIA"/>
    <n v="64"/>
    <s v="cumple"/>
    <x v="7"/>
    <x v="1"/>
    <x v="1070"/>
    <n v="696"/>
    <x v="0"/>
  </r>
  <r>
    <x v="0"/>
    <x v="3"/>
    <x v="1"/>
    <x v="0"/>
    <x v="3"/>
    <x v="4"/>
    <x v="4"/>
    <x v="459"/>
    <x v="1071"/>
    <x v="162"/>
    <x v="3"/>
    <x v="162"/>
    <x v="14"/>
    <x v="19"/>
    <x v="0"/>
    <x v="172"/>
    <x v="12"/>
    <x v="6"/>
    <s v="MEDIA"/>
    <s v="MEDIA"/>
    <n v="64"/>
    <s v="cumple"/>
    <x v="7"/>
    <x v="1"/>
    <x v="1071"/>
    <n v="348"/>
    <x v="0"/>
  </r>
  <r>
    <x v="0"/>
    <x v="1"/>
    <x v="1"/>
    <x v="0"/>
    <x v="3"/>
    <x v="1"/>
    <x v="4"/>
    <x v="460"/>
    <x v="1072"/>
    <x v="162"/>
    <x v="11"/>
    <x v="162"/>
    <x v="12"/>
    <x v="2"/>
    <x v="0"/>
    <x v="172"/>
    <x v="12"/>
    <x v="6"/>
    <s v="MEDIA"/>
    <s v="MEDIA"/>
    <n v="64"/>
    <s v="cumple"/>
    <x v="7"/>
    <x v="1"/>
    <x v="1072"/>
    <n v="696"/>
    <x v="0"/>
  </r>
  <r>
    <x v="0"/>
    <x v="3"/>
    <x v="1"/>
    <x v="0"/>
    <x v="3"/>
    <x v="4"/>
    <x v="4"/>
    <x v="461"/>
    <x v="1073"/>
    <x v="162"/>
    <x v="21"/>
    <x v="162"/>
    <x v="7"/>
    <x v="19"/>
    <x v="0"/>
    <x v="172"/>
    <x v="12"/>
    <x v="6"/>
    <s v="MEDIA"/>
    <s v="MEDIA"/>
    <n v="64"/>
    <s v="cumple"/>
    <x v="7"/>
    <x v="1"/>
    <x v="1073"/>
    <n v="348"/>
    <x v="0"/>
  </r>
  <r>
    <x v="0"/>
    <x v="1"/>
    <x v="1"/>
    <x v="0"/>
    <x v="3"/>
    <x v="1"/>
    <x v="4"/>
    <x v="462"/>
    <x v="1074"/>
    <x v="162"/>
    <x v="7"/>
    <x v="162"/>
    <x v="2"/>
    <x v="2"/>
    <x v="0"/>
    <x v="172"/>
    <x v="12"/>
    <x v="6"/>
    <s v="MEDIA"/>
    <s v="MEDIA"/>
    <n v="64"/>
    <s v="cumple"/>
    <x v="7"/>
    <x v="1"/>
    <x v="1074"/>
    <n v="696"/>
    <x v="0"/>
  </r>
  <r>
    <x v="0"/>
    <x v="3"/>
    <x v="1"/>
    <x v="0"/>
    <x v="3"/>
    <x v="4"/>
    <x v="4"/>
    <x v="463"/>
    <x v="1075"/>
    <x v="162"/>
    <x v="2"/>
    <x v="162"/>
    <x v="17"/>
    <x v="19"/>
    <x v="0"/>
    <x v="172"/>
    <x v="12"/>
    <x v="6"/>
    <s v="MEDIA"/>
    <s v="MEDIA"/>
    <n v="64"/>
    <s v="cumple"/>
    <x v="7"/>
    <x v="1"/>
    <x v="1075"/>
    <n v="348"/>
    <x v="0"/>
  </r>
  <r>
    <x v="0"/>
    <x v="1"/>
    <x v="1"/>
    <x v="0"/>
    <x v="3"/>
    <x v="1"/>
    <x v="4"/>
    <x v="464"/>
    <x v="1076"/>
    <x v="162"/>
    <x v="14"/>
    <x v="162"/>
    <x v="21"/>
    <x v="2"/>
    <x v="0"/>
    <x v="172"/>
    <x v="12"/>
    <x v="6"/>
    <s v="MEDIA"/>
    <s v="MEDIA"/>
    <n v="64"/>
    <s v="cumple"/>
    <x v="7"/>
    <x v="1"/>
    <x v="1076"/>
    <n v="696"/>
    <x v="0"/>
  </r>
  <r>
    <x v="0"/>
    <x v="3"/>
    <x v="1"/>
    <x v="0"/>
    <x v="3"/>
    <x v="4"/>
    <x v="4"/>
    <x v="465"/>
    <x v="1077"/>
    <x v="162"/>
    <x v="16"/>
    <x v="162"/>
    <x v="0"/>
    <x v="19"/>
    <x v="0"/>
    <x v="172"/>
    <x v="12"/>
    <x v="6"/>
    <s v="MEDIA"/>
    <s v="MEDIA"/>
    <n v="64"/>
    <s v="cumple"/>
    <x v="7"/>
    <x v="1"/>
    <x v="1077"/>
    <n v="348"/>
    <x v="0"/>
  </r>
  <r>
    <x v="0"/>
    <x v="1"/>
    <x v="1"/>
    <x v="0"/>
    <x v="3"/>
    <x v="1"/>
    <x v="4"/>
    <x v="466"/>
    <x v="1078"/>
    <x v="163"/>
    <x v="0"/>
    <x v="163"/>
    <x v="8"/>
    <x v="2"/>
    <x v="0"/>
    <x v="172"/>
    <x v="12"/>
    <x v="6"/>
    <s v="MEDIA"/>
    <s v="MEDIA"/>
    <n v="64"/>
    <s v="cumple"/>
    <x v="7"/>
    <x v="1"/>
    <x v="1078"/>
    <n v="696"/>
    <x v="0"/>
  </r>
  <r>
    <x v="0"/>
    <x v="3"/>
    <x v="1"/>
    <x v="0"/>
    <x v="3"/>
    <x v="4"/>
    <x v="4"/>
    <x v="467"/>
    <x v="1079"/>
    <x v="163"/>
    <x v="8"/>
    <x v="163"/>
    <x v="3"/>
    <x v="2"/>
    <x v="0"/>
    <x v="172"/>
    <x v="12"/>
    <x v="6"/>
    <s v="MEDIA"/>
    <s v="MEDIA"/>
    <n v="64"/>
    <s v="cumple"/>
    <x v="7"/>
    <x v="1"/>
    <x v="1079"/>
    <n v="696"/>
    <x v="0"/>
  </r>
  <r>
    <x v="0"/>
    <x v="1"/>
    <x v="1"/>
    <x v="0"/>
    <x v="3"/>
    <x v="1"/>
    <x v="4"/>
    <x v="468"/>
    <x v="1080"/>
    <x v="163"/>
    <x v="4"/>
    <x v="163"/>
    <x v="4"/>
    <x v="2"/>
    <x v="0"/>
    <x v="172"/>
    <x v="12"/>
    <x v="6"/>
    <s v="MEDIA"/>
    <s v="MEDIA"/>
    <n v="64"/>
    <s v="cumple"/>
    <x v="7"/>
    <x v="1"/>
    <x v="1080"/>
    <n v="696"/>
    <x v="0"/>
  </r>
  <r>
    <x v="0"/>
    <x v="3"/>
    <x v="1"/>
    <x v="0"/>
    <x v="3"/>
    <x v="4"/>
    <x v="4"/>
    <x v="469"/>
    <x v="1081"/>
    <x v="163"/>
    <x v="6"/>
    <x v="163"/>
    <x v="5"/>
    <x v="2"/>
    <x v="0"/>
    <x v="172"/>
    <x v="12"/>
    <x v="6"/>
    <s v="MEDIA"/>
    <s v="MEDIA"/>
    <n v="64"/>
    <s v="cumple"/>
    <x v="7"/>
    <x v="1"/>
    <x v="1081"/>
    <n v="696"/>
    <x v="0"/>
  </r>
  <r>
    <x v="0"/>
    <x v="1"/>
    <x v="1"/>
    <x v="0"/>
    <x v="3"/>
    <x v="1"/>
    <x v="4"/>
    <x v="470"/>
    <x v="1082"/>
    <x v="163"/>
    <x v="3"/>
    <x v="163"/>
    <x v="9"/>
    <x v="2"/>
    <x v="0"/>
    <x v="172"/>
    <x v="12"/>
    <x v="6"/>
    <s v="MEDIA"/>
    <s v="MEDIA"/>
    <n v="64"/>
    <s v="cumple"/>
    <x v="7"/>
    <x v="1"/>
    <x v="1082"/>
    <n v="696"/>
    <x v="0"/>
  </r>
  <r>
    <x v="0"/>
    <x v="3"/>
    <x v="1"/>
    <x v="0"/>
    <x v="3"/>
    <x v="4"/>
    <x v="4"/>
    <x v="469"/>
    <x v="1081"/>
    <x v="163"/>
    <x v="7"/>
    <x v="163"/>
    <x v="2"/>
    <x v="2"/>
    <x v="0"/>
    <x v="172"/>
    <x v="12"/>
    <x v="6"/>
    <s v="MEDIA"/>
    <s v="MEDIA"/>
    <n v="64"/>
    <s v="cumple"/>
    <x v="7"/>
    <x v="1"/>
    <x v="1081"/>
    <n v="696"/>
    <x v="0"/>
  </r>
  <r>
    <x v="0"/>
    <x v="1"/>
    <x v="1"/>
    <x v="0"/>
    <x v="3"/>
    <x v="1"/>
    <x v="4"/>
    <x v="471"/>
    <x v="1083"/>
    <x v="163"/>
    <x v="2"/>
    <x v="163"/>
    <x v="21"/>
    <x v="15"/>
    <x v="0"/>
    <x v="172"/>
    <x v="12"/>
    <x v="6"/>
    <s v="MEDIA"/>
    <s v="MEDIA"/>
    <n v="64"/>
    <s v="cumple"/>
    <x v="7"/>
    <x v="1"/>
    <x v="1083"/>
    <n v="1044"/>
    <x v="0"/>
  </r>
  <r>
    <x v="0"/>
    <x v="1"/>
    <x v="1"/>
    <x v="0"/>
    <x v="3"/>
    <x v="1"/>
    <x v="4"/>
    <x v="472"/>
    <x v="1084"/>
    <x v="164"/>
    <x v="0"/>
    <x v="164"/>
    <x v="16"/>
    <x v="15"/>
    <x v="0"/>
    <x v="172"/>
    <x v="12"/>
    <x v="6"/>
    <s v="MEDIA"/>
    <s v="MEDIA"/>
    <n v="64"/>
    <s v="cumple"/>
    <x v="7"/>
    <x v="1"/>
    <x v="1084"/>
    <n v="1044"/>
    <x v="0"/>
  </r>
  <r>
    <x v="0"/>
    <x v="1"/>
    <x v="1"/>
    <x v="0"/>
    <x v="3"/>
    <x v="1"/>
    <x v="4"/>
    <x v="473"/>
    <x v="1085"/>
    <x v="164"/>
    <x v="13"/>
    <x v="164"/>
    <x v="15"/>
    <x v="2"/>
    <x v="0"/>
    <x v="172"/>
    <x v="12"/>
    <x v="6"/>
    <s v="MEDIA"/>
    <s v="MEDIA"/>
    <n v="64"/>
    <s v="cumple"/>
    <x v="7"/>
    <x v="1"/>
    <x v="1085"/>
    <n v="696"/>
    <x v="0"/>
  </r>
  <r>
    <x v="0"/>
    <x v="1"/>
    <x v="1"/>
    <x v="0"/>
    <x v="3"/>
    <x v="1"/>
    <x v="4"/>
    <x v="474"/>
    <x v="1086"/>
    <x v="164"/>
    <x v="12"/>
    <x v="164"/>
    <x v="13"/>
    <x v="2"/>
    <x v="0"/>
    <x v="172"/>
    <x v="12"/>
    <x v="6"/>
    <s v="MEDIA"/>
    <s v="MEDIA"/>
    <n v="64"/>
    <s v="cumple"/>
    <x v="7"/>
    <x v="1"/>
    <x v="1086"/>
    <n v="696"/>
    <x v="0"/>
  </r>
  <r>
    <x v="0"/>
    <x v="1"/>
    <x v="1"/>
    <x v="0"/>
    <x v="3"/>
    <x v="1"/>
    <x v="4"/>
    <x v="475"/>
    <x v="1087"/>
    <x v="164"/>
    <x v="10"/>
    <x v="164"/>
    <x v="14"/>
    <x v="2"/>
    <x v="0"/>
    <x v="172"/>
    <x v="12"/>
    <x v="6"/>
    <s v="MEDIA"/>
    <s v="MEDIA"/>
    <n v="64"/>
    <s v="cumple"/>
    <x v="7"/>
    <x v="1"/>
    <x v="1087"/>
    <n v="696"/>
    <x v="0"/>
  </r>
  <r>
    <x v="0"/>
    <x v="1"/>
    <x v="1"/>
    <x v="0"/>
    <x v="3"/>
    <x v="1"/>
    <x v="4"/>
    <x v="476"/>
    <x v="1088"/>
    <x v="164"/>
    <x v="11"/>
    <x v="164"/>
    <x v="12"/>
    <x v="2"/>
    <x v="0"/>
    <x v="172"/>
    <x v="12"/>
    <x v="6"/>
    <s v="MEDIA"/>
    <s v="MEDIA"/>
    <n v="64"/>
    <s v="cumple"/>
    <x v="7"/>
    <x v="1"/>
    <x v="1088"/>
    <n v="696"/>
    <x v="0"/>
  </r>
  <r>
    <x v="0"/>
    <x v="1"/>
    <x v="1"/>
    <x v="0"/>
    <x v="3"/>
    <x v="1"/>
    <x v="4"/>
    <x v="477"/>
    <x v="1089"/>
    <x v="164"/>
    <x v="7"/>
    <x v="164"/>
    <x v="2"/>
    <x v="2"/>
    <x v="0"/>
    <x v="172"/>
    <x v="12"/>
    <x v="6"/>
    <s v="MEDIA"/>
    <s v="MEDIA"/>
    <n v="64"/>
    <s v="cumple"/>
    <x v="7"/>
    <x v="1"/>
    <x v="1089"/>
    <n v="696"/>
    <x v="0"/>
  </r>
  <r>
    <x v="0"/>
    <x v="1"/>
    <x v="1"/>
    <x v="0"/>
    <x v="3"/>
    <x v="1"/>
    <x v="4"/>
    <x v="478"/>
    <x v="1090"/>
    <x v="164"/>
    <x v="2"/>
    <x v="164"/>
    <x v="1"/>
    <x v="2"/>
    <x v="0"/>
    <x v="172"/>
    <x v="12"/>
    <x v="6"/>
    <s v="MEDIA"/>
    <s v="MEDIA"/>
    <n v="64"/>
    <s v="cumple"/>
    <x v="7"/>
    <x v="1"/>
    <x v="1090"/>
    <n v="696"/>
    <x v="0"/>
  </r>
  <r>
    <x v="0"/>
    <x v="1"/>
    <x v="1"/>
    <x v="0"/>
    <x v="3"/>
    <x v="1"/>
    <x v="4"/>
    <x v="479"/>
    <x v="1091"/>
    <x v="164"/>
    <x v="1"/>
    <x v="164"/>
    <x v="0"/>
    <x v="2"/>
    <x v="0"/>
    <x v="172"/>
    <x v="12"/>
    <x v="6"/>
    <s v="MEDIA"/>
    <s v="MEDIA"/>
    <n v="64"/>
    <s v="cumple"/>
    <x v="7"/>
    <x v="1"/>
    <x v="1091"/>
    <n v="696"/>
    <x v="0"/>
  </r>
  <r>
    <x v="0"/>
    <x v="1"/>
    <x v="1"/>
    <x v="0"/>
    <x v="3"/>
    <x v="1"/>
    <x v="4"/>
    <x v="480"/>
    <x v="1092"/>
    <x v="165"/>
    <x v="0"/>
    <x v="165"/>
    <x v="8"/>
    <x v="2"/>
    <x v="0"/>
    <x v="172"/>
    <x v="12"/>
    <x v="6"/>
    <s v="MEDIA"/>
    <s v="MEDIA"/>
    <n v="64"/>
    <s v="cumple"/>
    <x v="7"/>
    <x v="1"/>
    <x v="1092"/>
    <n v="696"/>
    <x v="0"/>
  </r>
  <r>
    <x v="0"/>
    <x v="1"/>
    <x v="1"/>
    <x v="0"/>
    <x v="3"/>
    <x v="1"/>
    <x v="4"/>
    <x v="481"/>
    <x v="1093"/>
    <x v="165"/>
    <x v="8"/>
    <x v="165"/>
    <x v="3"/>
    <x v="2"/>
    <x v="0"/>
    <x v="172"/>
    <x v="12"/>
    <x v="6"/>
    <s v="MEDIA"/>
    <s v="MEDIA"/>
    <n v="64"/>
    <s v="cumple"/>
    <x v="7"/>
    <x v="1"/>
    <x v="1093"/>
    <n v="696"/>
    <x v="0"/>
  </r>
  <r>
    <x v="0"/>
    <x v="1"/>
    <x v="1"/>
    <x v="0"/>
    <x v="3"/>
    <x v="1"/>
    <x v="4"/>
    <x v="482"/>
    <x v="1094"/>
    <x v="165"/>
    <x v="4"/>
    <x v="165"/>
    <x v="4"/>
    <x v="2"/>
    <x v="0"/>
    <x v="172"/>
    <x v="12"/>
    <x v="6"/>
    <s v="MEDIA"/>
    <s v="MEDIA"/>
    <n v="64"/>
    <s v="cumple"/>
    <x v="7"/>
    <x v="1"/>
    <x v="1094"/>
    <n v="696"/>
    <x v="0"/>
  </r>
  <r>
    <x v="0"/>
    <x v="1"/>
    <x v="1"/>
    <x v="0"/>
    <x v="3"/>
    <x v="1"/>
    <x v="4"/>
    <x v="483"/>
    <x v="1095"/>
    <x v="165"/>
    <x v="6"/>
    <x v="165"/>
    <x v="5"/>
    <x v="2"/>
    <x v="0"/>
    <x v="172"/>
    <x v="12"/>
    <x v="6"/>
    <s v="MEDIA"/>
    <s v="MEDIA"/>
    <n v="64"/>
    <s v="cumple"/>
    <x v="7"/>
    <x v="1"/>
    <x v="1095"/>
    <n v="696"/>
    <x v="0"/>
  </r>
  <r>
    <x v="0"/>
    <x v="1"/>
    <x v="1"/>
    <x v="0"/>
    <x v="3"/>
    <x v="1"/>
    <x v="4"/>
    <x v="484"/>
    <x v="1096"/>
    <x v="165"/>
    <x v="3"/>
    <x v="165"/>
    <x v="9"/>
    <x v="2"/>
    <x v="0"/>
    <x v="172"/>
    <x v="12"/>
    <x v="6"/>
    <s v="MEDIA"/>
    <s v="MEDIA"/>
    <n v="64"/>
    <s v="cumple"/>
    <x v="7"/>
    <x v="1"/>
    <x v="1096"/>
    <n v="696"/>
    <x v="0"/>
  </r>
  <r>
    <x v="0"/>
    <x v="1"/>
    <x v="1"/>
    <x v="0"/>
    <x v="3"/>
    <x v="1"/>
    <x v="4"/>
    <x v="485"/>
    <x v="1097"/>
    <x v="165"/>
    <x v="9"/>
    <x v="165"/>
    <x v="7"/>
    <x v="2"/>
    <x v="0"/>
    <x v="172"/>
    <x v="12"/>
    <x v="6"/>
    <s v="MEDIA"/>
    <s v="MEDIA"/>
    <n v="64"/>
    <s v="cumple"/>
    <x v="7"/>
    <x v="1"/>
    <x v="1097"/>
    <n v="696"/>
    <x v="0"/>
  </r>
  <r>
    <x v="0"/>
    <x v="1"/>
    <x v="1"/>
    <x v="0"/>
    <x v="3"/>
    <x v="1"/>
    <x v="4"/>
    <x v="486"/>
    <x v="1098"/>
    <x v="165"/>
    <x v="7"/>
    <x v="165"/>
    <x v="2"/>
    <x v="2"/>
    <x v="0"/>
    <x v="172"/>
    <x v="12"/>
    <x v="6"/>
    <s v="MEDIA"/>
    <s v="MEDIA"/>
    <n v="64"/>
    <s v="cumple"/>
    <x v="7"/>
    <x v="1"/>
    <x v="1098"/>
    <n v="696"/>
    <x v="0"/>
  </r>
  <r>
    <x v="0"/>
    <x v="1"/>
    <x v="1"/>
    <x v="0"/>
    <x v="3"/>
    <x v="1"/>
    <x v="4"/>
    <x v="487"/>
    <x v="1099"/>
    <x v="165"/>
    <x v="2"/>
    <x v="165"/>
    <x v="1"/>
    <x v="2"/>
    <x v="0"/>
    <x v="172"/>
    <x v="12"/>
    <x v="6"/>
    <s v="MEDIA"/>
    <s v="MEDIA"/>
    <n v="64"/>
    <s v="cumple"/>
    <x v="7"/>
    <x v="1"/>
    <x v="1099"/>
    <n v="696"/>
    <x v="0"/>
  </r>
  <r>
    <x v="0"/>
    <x v="1"/>
    <x v="1"/>
    <x v="0"/>
    <x v="3"/>
    <x v="1"/>
    <x v="4"/>
    <x v="488"/>
    <x v="1100"/>
    <x v="165"/>
    <x v="1"/>
    <x v="165"/>
    <x v="0"/>
    <x v="2"/>
    <x v="0"/>
    <x v="172"/>
    <x v="12"/>
    <x v="6"/>
    <s v="MEDIA"/>
    <s v="MEDIA"/>
    <n v="64"/>
    <s v="cumple"/>
    <x v="7"/>
    <x v="1"/>
    <x v="1100"/>
    <n v="696"/>
    <x v="0"/>
  </r>
  <r>
    <x v="0"/>
    <x v="1"/>
    <x v="1"/>
    <x v="0"/>
    <x v="3"/>
    <x v="1"/>
    <x v="4"/>
    <x v="489"/>
    <x v="1101"/>
    <x v="165"/>
    <x v="17"/>
    <x v="165"/>
    <x v="11"/>
    <x v="2"/>
    <x v="0"/>
    <x v="172"/>
    <x v="12"/>
    <x v="6"/>
    <s v="MEDIA"/>
    <s v="MEDIA"/>
    <n v="64"/>
    <s v="cumple"/>
    <x v="7"/>
    <x v="1"/>
    <x v="1101"/>
    <n v="696"/>
    <x v="0"/>
  </r>
  <r>
    <x v="0"/>
    <x v="1"/>
    <x v="1"/>
    <x v="0"/>
    <x v="3"/>
    <x v="1"/>
    <x v="4"/>
    <x v="490"/>
    <x v="1102"/>
    <x v="166"/>
    <x v="0"/>
    <x v="166"/>
    <x v="8"/>
    <x v="2"/>
    <x v="0"/>
    <x v="172"/>
    <x v="12"/>
    <x v="6"/>
    <s v="MEDIA"/>
    <s v="MEDIA"/>
    <n v="64"/>
    <s v="cumple"/>
    <x v="7"/>
    <x v="1"/>
    <x v="1102"/>
    <n v="696"/>
    <x v="0"/>
  </r>
  <r>
    <x v="0"/>
    <x v="1"/>
    <x v="1"/>
    <x v="0"/>
    <x v="3"/>
    <x v="1"/>
    <x v="4"/>
    <x v="491"/>
    <x v="1103"/>
    <x v="166"/>
    <x v="8"/>
    <x v="166"/>
    <x v="16"/>
    <x v="19"/>
    <x v="0"/>
    <x v="172"/>
    <x v="12"/>
    <x v="6"/>
    <s v="MEDIA"/>
    <s v="MEDIA"/>
    <n v="64"/>
    <s v="cumple"/>
    <x v="7"/>
    <x v="1"/>
    <x v="1103"/>
    <n v="348"/>
    <x v="0"/>
  </r>
  <r>
    <x v="0"/>
    <x v="1"/>
    <x v="1"/>
    <x v="0"/>
    <x v="3"/>
    <x v="1"/>
    <x v="4"/>
    <x v="492"/>
    <x v="1104"/>
    <x v="166"/>
    <x v="13"/>
    <x v="166"/>
    <x v="15"/>
    <x v="2"/>
    <x v="0"/>
    <x v="172"/>
    <x v="12"/>
    <x v="6"/>
    <s v="MEDIA"/>
    <s v="MEDIA"/>
    <n v="64"/>
    <s v="cumple"/>
    <x v="7"/>
    <x v="1"/>
    <x v="1104"/>
    <n v="696"/>
    <x v="0"/>
  </r>
  <r>
    <x v="0"/>
    <x v="1"/>
    <x v="1"/>
    <x v="0"/>
    <x v="3"/>
    <x v="1"/>
    <x v="4"/>
    <x v="493"/>
    <x v="1105"/>
    <x v="166"/>
    <x v="12"/>
    <x v="166"/>
    <x v="4"/>
    <x v="19"/>
    <x v="0"/>
    <x v="172"/>
    <x v="12"/>
    <x v="6"/>
    <s v="MEDIA"/>
    <s v="MEDIA"/>
    <n v="64"/>
    <s v="cumple"/>
    <x v="7"/>
    <x v="1"/>
    <x v="1105"/>
    <n v="348"/>
    <x v="0"/>
  </r>
  <r>
    <x v="0"/>
    <x v="1"/>
    <x v="1"/>
    <x v="0"/>
    <x v="3"/>
    <x v="1"/>
    <x v="4"/>
    <x v="494"/>
    <x v="1106"/>
    <x v="166"/>
    <x v="6"/>
    <x v="166"/>
    <x v="5"/>
    <x v="2"/>
    <x v="0"/>
    <x v="172"/>
    <x v="12"/>
    <x v="6"/>
    <s v="MEDIA"/>
    <s v="MEDIA"/>
    <n v="64"/>
    <s v="cumple"/>
    <x v="7"/>
    <x v="1"/>
    <x v="1106"/>
    <n v="696"/>
    <x v="0"/>
  </r>
  <r>
    <x v="0"/>
    <x v="1"/>
    <x v="1"/>
    <x v="0"/>
    <x v="3"/>
    <x v="1"/>
    <x v="4"/>
    <x v="495"/>
    <x v="1107"/>
    <x v="166"/>
    <x v="3"/>
    <x v="166"/>
    <x v="14"/>
    <x v="19"/>
    <x v="0"/>
    <x v="172"/>
    <x v="12"/>
    <x v="6"/>
    <s v="MEDIA"/>
    <s v="MEDIA"/>
    <n v="64"/>
    <s v="cumple"/>
    <x v="7"/>
    <x v="1"/>
    <x v="1107"/>
    <n v="348"/>
    <x v="0"/>
  </r>
  <r>
    <x v="0"/>
    <x v="1"/>
    <x v="1"/>
    <x v="0"/>
    <x v="3"/>
    <x v="1"/>
    <x v="4"/>
    <x v="496"/>
    <x v="1108"/>
    <x v="166"/>
    <x v="11"/>
    <x v="166"/>
    <x v="12"/>
    <x v="2"/>
    <x v="0"/>
    <x v="172"/>
    <x v="12"/>
    <x v="6"/>
    <s v="MEDIA"/>
    <s v="MEDIA"/>
    <n v="64"/>
    <s v="cumple"/>
    <x v="7"/>
    <x v="1"/>
    <x v="1108"/>
    <n v="696"/>
    <x v="0"/>
  </r>
  <r>
    <x v="0"/>
    <x v="1"/>
    <x v="1"/>
    <x v="0"/>
    <x v="3"/>
    <x v="1"/>
    <x v="4"/>
    <x v="497"/>
    <x v="1109"/>
    <x v="166"/>
    <x v="21"/>
    <x v="166"/>
    <x v="7"/>
    <x v="19"/>
    <x v="0"/>
    <x v="172"/>
    <x v="12"/>
    <x v="6"/>
    <s v="MEDIA"/>
    <s v="MEDIA"/>
    <n v="64"/>
    <s v="cumple"/>
    <x v="7"/>
    <x v="1"/>
    <x v="1109"/>
    <n v="348"/>
    <x v="0"/>
  </r>
  <r>
    <x v="0"/>
    <x v="1"/>
    <x v="1"/>
    <x v="0"/>
    <x v="3"/>
    <x v="1"/>
    <x v="4"/>
    <x v="498"/>
    <x v="1110"/>
    <x v="166"/>
    <x v="7"/>
    <x v="166"/>
    <x v="2"/>
    <x v="2"/>
    <x v="0"/>
    <x v="172"/>
    <x v="12"/>
    <x v="6"/>
    <s v="MEDIA"/>
    <s v="MEDIA"/>
    <n v="64"/>
    <s v="cumple"/>
    <x v="7"/>
    <x v="1"/>
    <x v="1110"/>
    <n v="696"/>
    <x v="0"/>
  </r>
  <r>
    <x v="0"/>
    <x v="1"/>
    <x v="1"/>
    <x v="0"/>
    <x v="3"/>
    <x v="1"/>
    <x v="4"/>
    <x v="499"/>
    <x v="1111"/>
    <x v="166"/>
    <x v="2"/>
    <x v="166"/>
    <x v="17"/>
    <x v="19"/>
    <x v="0"/>
    <x v="172"/>
    <x v="12"/>
    <x v="6"/>
    <s v="MEDIA"/>
    <s v="MEDIA"/>
    <n v="64"/>
    <s v="cumple"/>
    <x v="7"/>
    <x v="1"/>
    <x v="1111"/>
    <n v="348"/>
    <x v="0"/>
  </r>
  <r>
    <x v="0"/>
    <x v="1"/>
    <x v="1"/>
    <x v="0"/>
    <x v="3"/>
    <x v="1"/>
    <x v="4"/>
    <x v="500"/>
    <x v="1112"/>
    <x v="166"/>
    <x v="14"/>
    <x v="166"/>
    <x v="21"/>
    <x v="2"/>
    <x v="0"/>
    <x v="172"/>
    <x v="12"/>
    <x v="6"/>
    <s v="MEDIA"/>
    <s v="MEDIA"/>
    <n v="64"/>
    <s v="cumple"/>
    <x v="7"/>
    <x v="1"/>
    <x v="1112"/>
    <n v="696"/>
    <x v="0"/>
  </r>
  <r>
    <x v="0"/>
    <x v="1"/>
    <x v="1"/>
    <x v="0"/>
    <x v="3"/>
    <x v="1"/>
    <x v="4"/>
    <x v="501"/>
    <x v="1113"/>
    <x v="166"/>
    <x v="16"/>
    <x v="166"/>
    <x v="0"/>
    <x v="19"/>
    <x v="0"/>
    <x v="172"/>
    <x v="12"/>
    <x v="6"/>
    <s v="MEDIA"/>
    <s v="MEDIA"/>
    <n v="64"/>
    <s v="cumple"/>
    <x v="7"/>
    <x v="1"/>
    <x v="1113"/>
    <n v="348"/>
    <x v="0"/>
  </r>
  <r>
    <x v="0"/>
    <x v="1"/>
    <x v="1"/>
    <x v="0"/>
    <x v="3"/>
    <x v="1"/>
    <x v="4"/>
    <x v="502"/>
    <x v="1114"/>
    <x v="166"/>
    <x v="17"/>
    <x v="166"/>
    <x v="11"/>
    <x v="2"/>
    <x v="0"/>
    <x v="172"/>
    <x v="12"/>
    <x v="6"/>
    <s v="MEDIA"/>
    <s v="MEDIA"/>
    <n v="64"/>
    <s v="cumple"/>
    <x v="7"/>
    <x v="1"/>
    <x v="1114"/>
    <n v="696"/>
    <x v="0"/>
  </r>
  <r>
    <x v="0"/>
    <x v="1"/>
    <x v="1"/>
    <x v="0"/>
    <x v="3"/>
    <x v="1"/>
    <x v="4"/>
    <x v="503"/>
    <x v="1115"/>
    <x v="166"/>
    <x v="22"/>
    <x v="166"/>
    <x v="20"/>
    <x v="19"/>
    <x v="0"/>
    <x v="172"/>
    <x v="12"/>
    <x v="6"/>
    <s v="MEDIA"/>
    <s v="MEDIA"/>
    <n v="64"/>
    <s v="cumple"/>
    <x v="7"/>
    <x v="1"/>
    <x v="1115"/>
    <n v="348"/>
    <x v="0"/>
  </r>
  <r>
    <x v="0"/>
    <x v="1"/>
    <x v="1"/>
    <x v="0"/>
    <x v="3"/>
    <x v="1"/>
    <x v="4"/>
    <x v="504"/>
    <x v="1116"/>
    <x v="167"/>
    <x v="0"/>
    <x v="167"/>
    <x v="8"/>
    <x v="2"/>
    <x v="0"/>
    <x v="172"/>
    <x v="12"/>
    <x v="6"/>
    <s v="MEDIA"/>
    <s v="MEDIA"/>
    <n v="64"/>
    <s v="cumple"/>
    <x v="7"/>
    <x v="1"/>
    <x v="1116"/>
    <n v="696"/>
    <x v="0"/>
  </r>
  <r>
    <x v="0"/>
    <x v="1"/>
    <x v="1"/>
    <x v="0"/>
    <x v="3"/>
    <x v="1"/>
    <x v="4"/>
    <x v="505"/>
    <x v="1117"/>
    <x v="167"/>
    <x v="8"/>
    <x v="167"/>
    <x v="16"/>
    <x v="19"/>
    <x v="0"/>
    <x v="172"/>
    <x v="12"/>
    <x v="6"/>
    <s v="MEDIA"/>
    <s v="MEDIA"/>
    <n v="64"/>
    <s v="cumple"/>
    <x v="7"/>
    <x v="1"/>
    <x v="1117"/>
    <n v="348"/>
    <x v="0"/>
  </r>
  <r>
    <x v="0"/>
    <x v="1"/>
    <x v="1"/>
    <x v="0"/>
    <x v="3"/>
    <x v="1"/>
    <x v="4"/>
    <x v="506"/>
    <x v="1118"/>
    <x v="167"/>
    <x v="13"/>
    <x v="167"/>
    <x v="15"/>
    <x v="2"/>
    <x v="0"/>
    <x v="172"/>
    <x v="12"/>
    <x v="6"/>
    <s v="MEDIA"/>
    <s v="MEDIA"/>
    <n v="64"/>
    <s v="cumple"/>
    <x v="7"/>
    <x v="1"/>
    <x v="1118"/>
    <n v="696"/>
    <x v="0"/>
  </r>
  <r>
    <x v="0"/>
    <x v="1"/>
    <x v="1"/>
    <x v="0"/>
    <x v="3"/>
    <x v="1"/>
    <x v="4"/>
    <x v="507"/>
    <x v="1119"/>
    <x v="167"/>
    <x v="12"/>
    <x v="167"/>
    <x v="4"/>
    <x v="19"/>
    <x v="0"/>
    <x v="172"/>
    <x v="12"/>
    <x v="6"/>
    <s v="MEDIA"/>
    <s v="MEDIA"/>
    <n v="64"/>
    <s v="cumple"/>
    <x v="7"/>
    <x v="1"/>
    <x v="1119"/>
    <n v="348"/>
    <x v="0"/>
  </r>
  <r>
    <x v="0"/>
    <x v="1"/>
    <x v="1"/>
    <x v="0"/>
    <x v="3"/>
    <x v="1"/>
    <x v="4"/>
    <x v="508"/>
    <x v="1120"/>
    <x v="167"/>
    <x v="6"/>
    <x v="167"/>
    <x v="5"/>
    <x v="2"/>
    <x v="0"/>
    <x v="172"/>
    <x v="12"/>
    <x v="6"/>
    <s v="MEDIA"/>
    <s v="MEDIA"/>
    <n v="64"/>
    <s v="cumple"/>
    <x v="7"/>
    <x v="1"/>
    <x v="1120"/>
    <n v="696"/>
    <x v="0"/>
  </r>
  <r>
    <x v="0"/>
    <x v="1"/>
    <x v="1"/>
    <x v="0"/>
    <x v="3"/>
    <x v="1"/>
    <x v="4"/>
    <x v="509"/>
    <x v="1121"/>
    <x v="167"/>
    <x v="3"/>
    <x v="167"/>
    <x v="14"/>
    <x v="19"/>
    <x v="0"/>
    <x v="172"/>
    <x v="12"/>
    <x v="6"/>
    <s v="MEDIA"/>
    <s v="MEDIA"/>
    <n v="64"/>
    <s v="cumple"/>
    <x v="7"/>
    <x v="1"/>
    <x v="1121"/>
    <n v="348"/>
    <x v="0"/>
  </r>
  <r>
    <x v="0"/>
    <x v="1"/>
    <x v="1"/>
    <x v="0"/>
    <x v="3"/>
    <x v="1"/>
    <x v="4"/>
    <x v="510"/>
    <x v="1122"/>
    <x v="167"/>
    <x v="11"/>
    <x v="167"/>
    <x v="12"/>
    <x v="2"/>
    <x v="0"/>
    <x v="172"/>
    <x v="12"/>
    <x v="6"/>
    <s v="MEDIA"/>
    <s v="MEDIA"/>
    <n v="64"/>
    <s v="cumple"/>
    <x v="7"/>
    <x v="1"/>
    <x v="1122"/>
    <n v="696"/>
    <x v="0"/>
  </r>
  <r>
    <x v="0"/>
    <x v="1"/>
    <x v="1"/>
    <x v="0"/>
    <x v="3"/>
    <x v="1"/>
    <x v="4"/>
    <x v="511"/>
    <x v="1123"/>
    <x v="167"/>
    <x v="21"/>
    <x v="167"/>
    <x v="7"/>
    <x v="19"/>
    <x v="0"/>
    <x v="172"/>
    <x v="12"/>
    <x v="6"/>
    <s v="MEDIA"/>
    <s v="MEDIA"/>
    <n v="64"/>
    <s v="cumple"/>
    <x v="7"/>
    <x v="1"/>
    <x v="1123"/>
    <n v="348"/>
    <x v="0"/>
  </r>
  <r>
    <x v="0"/>
    <x v="1"/>
    <x v="1"/>
    <x v="0"/>
    <x v="3"/>
    <x v="1"/>
    <x v="4"/>
    <x v="512"/>
    <x v="1124"/>
    <x v="167"/>
    <x v="7"/>
    <x v="167"/>
    <x v="2"/>
    <x v="2"/>
    <x v="0"/>
    <x v="172"/>
    <x v="12"/>
    <x v="6"/>
    <s v="MEDIA"/>
    <s v="MEDIA"/>
    <n v="64"/>
    <s v="cumple"/>
    <x v="7"/>
    <x v="1"/>
    <x v="1124"/>
    <n v="696"/>
    <x v="0"/>
  </r>
  <r>
    <x v="0"/>
    <x v="1"/>
    <x v="1"/>
    <x v="0"/>
    <x v="3"/>
    <x v="1"/>
    <x v="4"/>
    <x v="513"/>
    <x v="1125"/>
    <x v="167"/>
    <x v="2"/>
    <x v="167"/>
    <x v="17"/>
    <x v="19"/>
    <x v="0"/>
    <x v="172"/>
    <x v="12"/>
    <x v="6"/>
    <s v="MEDIA"/>
    <s v="MEDIA"/>
    <n v="64"/>
    <s v="cumple"/>
    <x v="7"/>
    <x v="1"/>
    <x v="1125"/>
    <n v="348"/>
    <x v="0"/>
  </r>
  <r>
    <x v="0"/>
    <x v="1"/>
    <x v="1"/>
    <x v="0"/>
    <x v="3"/>
    <x v="1"/>
    <x v="4"/>
    <x v="514"/>
    <x v="1126"/>
    <x v="167"/>
    <x v="14"/>
    <x v="167"/>
    <x v="21"/>
    <x v="2"/>
    <x v="0"/>
    <x v="172"/>
    <x v="12"/>
    <x v="6"/>
    <s v="MEDIA"/>
    <s v="MEDIA"/>
    <n v="64"/>
    <s v="cumple"/>
    <x v="7"/>
    <x v="1"/>
    <x v="1126"/>
    <n v="696"/>
    <x v="0"/>
  </r>
  <r>
    <x v="0"/>
    <x v="1"/>
    <x v="1"/>
    <x v="0"/>
    <x v="3"/>
    <x v="1"/>
    <x v="4"/>
    <x v="515"/>
    <x v="1127"/>
    <x v="167"/>
    <x v="16"/>
    <x v="167"/>
    <x v="0"/>
    <x v="19"/>
    <x v="0"/>
    <x v="172"/>
    <x v="12"/>
    <x v="6"/>
    <s v="MEDIA"/>
    <s v="MEDIA"/>
    <n v="64"/>
    <s v="cumple"/>
    <x v="7"/>
    <x v="1"/>
    <x v="1127"/>
    <n v="348"/>
    <x v="0"/>
  </r>
  <r>
    <x v="0"/>
    <x v="1"/>
    <x v="1"/>
    <x v="0"/>
    <x v="3"/>
    <x v="1"/>
    <x v="4"/>
    <x v="516"/>
    <x v="1128"/>
    <x v="168"/>
    <x v="0"/>
    <x v="168"/>
    <x v="8"/>
    <x v="2"/>
    <x v="0"/>
    <x v="172"/>
    <x v="12"/>
    <x v="6"/>
    <s v="MEDIA"/>
    <s v="MEDIA"/>
    <n v="64"/>
    <s v="cumple"/>
    <x v="7"/>
    <x v="1"/>
    <x v="1128"/>
    <n v="696"/>
    <x v="0"/>
  </r>
  <r>
    <x v="0"/>
    <x v="1"/>
    <x v="1"/>
    <x v="0"/>
    <x v="3"/>
    <x v="1"/>
    <x v="4"/>
    <x v="517"/>
    <x v="1129"/>
    <x v="168"/>
    <x v="8"/>
    <x v="168"/>
    <x v="16"/>
    <x v="19"/>
    <x v="0"/>
    <x v="172"/>
    <x v="12"/>
    <x v="6"/>
    <s v="MEDIA"/>
    <s v="MEDIA"/>
    <n v="64"/>
    <s v="cumple"/>
    <x v="7"/>
    <x v="1"/>
    <x v="1129"/>
    <n v="348"/>
    <x v="0"/>
  </r>
  <r>
    <x v="0"/>
    <x v="9"/>
    <x v="1"/>
    <x v="0"/>
    <x v="3"/>
    <x v="1"/>
    <x v="4"/>
    <x v="518"/>
    <x v="1130"/>
    <x v="168"/>
    <x v="13"/>
    <x v="168"/>
    <x v="15"/>
    <x v="2"/>
    <x v="0"/>
    <x v="37"/>
    <x v="12"/>
    <x v="6"/>
    <s v="MEDIA"/>
    <s v="MEDIA"/>
    <n v="64"/>
    <s v="cumple"/>
    <x v="7"/>
    <x v="1"/>
    <x v="1130"/>
    <n v="696"/>
    <x v="0"/>
  </r>
  <r>
    <x v="0"/>
    <x v="0"/>
    <x v="1"/>
    <x v="0"/>
    <x v="3"/>
    <x v="2"/>
    <x v="4"/>
    <x v="519"/>
    <x v="1131"/>
    <x v="168"/>
    <x v="12"/>
    <x v="168"/>
    <x v="4"/>
    <x v="19"/>
    <x v="0"/>
    <x v="37"/>
    <x v="12"/>
    <x v="6"/>
    <s v="MEDIA"/>
    <s v="MEDIA"/>
    <n v="64"/>
    <s v="cumple"/>
    <x v="7"/>
    <x v="1"/>
    <x v="1131"/>
    <n v="348"/>
    <x v="0"/>
  </r>
  <r>
    <x v="0"/>
    <x v="0"/>
    <x v="1"/>
    <x v="0"/>
    <x v="3"/>
    <x v="2"/>
    <x v="4"/>
    <x v="520"/>
    <x v="1132"/>
    <x v="168"/>
    <x v="6"/>
    <x v="168"/>
    <x v="13"/>
    <x v="19"/>
    <x v="0"/>
    <x v="174"/>
    <x v="12"/>
    <x v="6"/>
    <s v="MEDIA"/>
    <s v="MEDIA"/>
    <n v="64"/>
    <s v="cumple"/>
    <x v="7"/>
    <x v="1"/>
    <x v="1132"/>
    <n v="348"/>
    <x v="0"/>
  </r>
  <r>
    <x v="0"/>
    <x v="3"/>
    <x v="1"/>
    <x v="0"/>
    <x v="3"/>
    <x v="1"/>
    <x v="4"/>
    <x v="521"/>
    <x v="1133"/>
    <x v="168"/>
    <x v="10"/>
    <x v="168"/>
    <x v="14"/>
    <x v="2"/>
    <x v="0"/>
    <x v="174"/>
    <x v="12"/>
    <x v="6"/>
    <s v="MEDIA"/>
    <s v="MEDIA"/>
    <n v="64"/>
    <s v="cumple"/>
    <x v="7"/>
    <x v="1"/>
    <x v="1133"/>
    <n v="696"/>
    <x v="0"/>
  </r>
  <r>
    <x v="0"/>
    <x v="3"/>
    <x v="1"/>
    <x v="0"/>
    <x v="3"/>
    <x v="1"/>
    <x v="4"/>
    <x v="522"/>
    <x v="1134"/>
    <x v="168"/>
    <x v="11"/>
    <x v="168"/>
    <x v="7"/>
    <x v="15"/>
    <x v="0"/>
    <x v="175"/>
    <x v="12"/>
    <x v="6"/>
    <s v="MEDIA"/>
    <s v="MEDIA"/>
    <n v="64"/>
    <s v="cumple"/>
    <x v="7"/>
    <x v="1"/>
    <x v="1134"/>
    <n v="1044"/>
    <x v="0"/>
  </r>
  <r>
    <x v="0"/>
    <x v="1"/>
    <x v="1"/>
    <x v="0"/>
    <x v="3"/>
    <x v="7"/>
    <x v="4"/>
    <x v="523"/>
    <x v="1135"/>
    <x v="168"/>
    <x v="7"/>
    <x v="168"/>
    <x v="2"/>
    <x v="2"/>
    <x v="0"/>
    <x v="175"/>
    <x v="12"/>
    <x v="6"/>
    <s v="MEDIA"/>
    <s v="MEDIA"/>
    <n v="64"/>
    <s v="cumple"/>
    <x v="7"/>
    <x v="1"/>
    <x v="1135"/>
    <n v="696"/>
    <x v="0"/>
  </r>
  <r>
    <x v="0"/>
    <x v="1"/>
    <x v="1"/>
    <x v="0"/>
    <x v="3"/>
    <x v="7"/>
    <x v="4"/>
    <x v="524"/>
    <x v="1136"/>
    <x v="168"/>
    <x v="2"/>
    <x v="168"/>
    <x v="1"/>
    <x v="2"/>
    <x v="0"/>
    <x v="175"/>
    <x v="12"/>
    <x v="6"/>
    <s v="MEDIA"/>
    <s v="MEDIA"/>
    <n v="64"/>
    <s v="cumple"/>
    <x v="7"/>
    <x v="1"/>
    <x v="1136"/>
    <n v="696"/>
    <x v="0"/>
  </r>
  <r>
    <x v="0"/>
    <x v="1"/>
    <x v="1"/>
    <x v="0"/>
    <x v="3"/>
    <x v="7"/>
    <x v="4"/>
    <x v="525"/>
    <x v="1137"/>
    <x v="169"/>
    <x v="0"/>
    <x v="169"/>
    <x v="8"/>
    <x v="2"/>
    <x v="0"/>
    <x v="175"/>
    <x v="12"/>
    <x v="6"/>
    <s v="MEDIA"/>
    <s v="MEDIA"/>
    <n v="64"/>
    <s v="cumple"/>
    <x v="7"/>
    <x v="1"/>
    <x v="1137"/>
    <n v="696"/>
    <x v="0"/>
  </r>
  <r>
    <x v="0"/>
    <x v="1"/>
    <x v="1"/>
    <x v="0"/>
    <x v="3"/>
    <x v="7"/>
    <x v="4"/>
    <x v="526"/>
    <x v="1138"/>
    <x v="169"/>
    <x v="8"/>
    <x v="169"/>
    <x v="3"/>
    <x v="2"/>
    <x v="0"/>
    <x v="175"/>
    <x v="12"/>
    <x v="6"/>
    <s v="MEDIA"/>
    <s v="MEDIA"/>
    <n v="64"/>
    <s v="cumple"/>
    <x v="7"/>
    <x v="1"/>
    <x v="1138"/>
    <n v="696"/>
    <x v="0"/>
  </r>
  <r>
    <x v="0"/>
    <x v="1"/>
    <x v="1"/>
    <x v="0"/>
    <x v="3"/>
    <x v="7"/>
    <x v="4"/>
    <x v="527"/>
    <x v="1139"/>
    <x v="169"/>
    <x v="4"/>
    <x v="169"/>
    <x v="4"/>
    <x v="2"/>
    <x v="0"/>
    <x v="175"/>
    <x v="12"/>
    <x v="6"/>
    <s v="MEDIA"/>
    <s v="MEDIA"/>
    <n v="64"/>
    <s v="cumple"/>
    <x v="7"/>
    <x v="1"/>
    <x v="1139"/>
    <n v="696"/>
    <x v="0"/>
  </r>
  <r>
    <x v="0"/>
    <x v="1"/>
    <x v="1"/>
    <x v="0"/>
    <x v="3"/>
    <x v="7"/>
    <x v="4"/>
    <x v="528"/>
    <x v="1140"/>
    <x v="169"/>
    <x v="6"/>
    <x v="169"/>
    <x v="5"/>
    <x v="2"/>
    <x v="0"/>
    <x v="175"/>
    <x v="12"/>
    <x v="6"/>
    <s v="MEDIA"/>
    <s v="MEDIA"/>
    <n v="64"/>
    <s v="cumple"/>
    <x v="7"/>
    <x v="1"/>
    <x v="1140"/>
    <n v="696"/>
    <x v="0"/>
  </r>
  <r>
    <x v="0"/>
    <x v="1"/>
    <x v="1"/>
    <x v="0"/>
    <x v="3"/>
    <x v="7"/>
    <x v="4"/>
    <x v="529"/>
    <x v="1141"/>
    <x v="169"/>
    <x v="3"/>
    <x v="169"/>
    <x v="9"/>
    <x v="2"/>
    <x v="0"/>
    <x v="175"/>
    <x v="12"/>
    <x v="6"/>
    <s v="MEDIA"/>
    <s v="MEDIA"/>
    <n v="64"/>
    <s v="cumple"/>
    <x v="7"/>
    <x v="1"/>
    <x v="1141"/>
    <n v="696"/>
    <x v="0"/>
  </r>
  <r>
    <x v="0"/>
    <x v="1"/>
    <x v="1"/>
    <x v="0"/>
    <x v="3"/>
    <x v="7"/>
    <x v="4"/>
    <x v="530"/>
    <x v="1142"/>
    <x v="169"/>
    <x v="7"/>
    <x v="169"/>
    <x v="2"/>
    <x v="2"/>
    <x v="0"/>
    <x v="175"/>
    <x v="12"/>
    <x v="6"/>
    <s v="MEDIA"/>
    <s v="MEDIA"/>
    <n v="64"/>
    <s v="cumple"/>
    <x v="7"/>
    <x v="1"/>
    <x v="1142"/>
    <n v="696"/>
    <x v="0"/>
  </r>
  <r>
    <x v="0"/>
    <x v="1"/>
    <x v="1"/>
    <x v="0"/>
    <x v="3"/>
    <x v="7"/>
    <x v="4"/>
    <x v="531"/>
    <x v="1143"/>
    <x v="169"/>
    <x v="2"/>
    <x v="169"/>
    <x v="17"/>
    <x v="19"/>
    <x v="0"/>
    <x v="175"/>
    <x v="12"/>
    <x v="6"/>
    <s v="MEDIA"/>
    <s v="MEDIA"/>
    <n v="64"/>
    <s v="cumple"/>
    <x v="7"/>
    <x v="1"/>
    <x v="1143"/>
    <n v="348"/>
    <x v="0"/>
  </r>
  <r>
    <x v="0"/>
    <x v="1"/>
    <x v="1"/>
    <x v="0"/>
    <x v="3"/>
    <x v="7"/>
    <x v="4"/>
    <x v="532"/>
    <x v="1144"/>
    <x v="169"/>
    <x v="14"/>
    <x v="169"/>
    <x v="21"/>
    <x v="2"/>
    <x v="0"/>
    <x v="175"/>
    <x v="12"/>
    <x v="6"/>
    <s v="MEDIA"/>
    <s v="MEDIA"/>
    <n v="64"/>
    <s v="cumple"/>
    <x v="7"/>
    <x v="1"/>
    <x v="1144"/>
    <n v="696"/>
    <x v="0"/>
  </r>
  <r>
    <x v="0"/>
    <x v="1"/>
    <x v="1"/>
    <x v="0"/>
    <x v="3"/>
    <x v="7"/>
    <x v="4"/>
    <x v="533"/>
    <x v="1145"/>
    <x v="169"/>
    <x v="16"/>
    <x v="169"/>
    <x v="22"/>
    <x v="2"/>
    <x v="0"/>
    <x v="175"/>
    <x v="12"/>
    <x v="6"/>
    <s v="MEDIA"/>
    <s v="MEDIA"/>
    <n v="64"/>
    <s v="cumple"/>
    <x v="7"/>
    <x v="1"/>
    <x v="1145"/>
    <n v="696"/>
    <x v="0"/>
  </r>
  <r>
    <x v="0"/>
    <x v="1"/>
    <x v="1"/>
    <x v="0"/>
    <x v="3"/>
    <x v="7"/>
    <x v="4"/>
    <x v="534"/>
    <x v="1146"/>
    <x v="170"/>
    <x v="0"/>
    <x v="170"/>
    <x v="8"/>
    <x v="19"/>
    <x v="0"/>
    <x v="175"/>
    <x v="12"/>
    <x v="6"/>
    <s v="MEDIA"/>
    <s v="MEDIA"/>
    <n v="64"/>
    <s v="cumple"/>
    <x v="7"/>
    <x v="1"/>
    <x v="1146"/>
    <n v="348"/>
    <x v="0"/>
  </r>
  <r>
    <x v="0"/>
    <x v="1"/>
    <x v="1"/>
    <x v="0"/>
    <x v="3"/>
    <x v="7"/>
    <x v="4"/>
    <x v="535"/>
    <x v="1147"/>
    <x v="170"/>
    <x v="8"/>
    <x v="170"/>
    <x v="16"/>
    <x v="19"/>
    <x v="0"/>
    <x v="175"/>
    <x v="12"/>
    <x v="6"/>
    <s v="MEDIA"/>
    <s v="MEDIA"/>
    <n v="64"/>
    <s v="cumple"/>
    <x v="7"/>
    <x v="1"/>
    <x v="1147"/>
    <n v="348"/>
    <x v="0"/>
  </r>
  <r>
    <x v="0"/>
    <x v="1"/>
    <x v="1"/>
    <x v="0"/>
    <x v="3"/>
    <x v="7"/>
    <x v="4"/>
    <x v="536"/>
    <x v="1148"/>
    <x v="170"/>
    <x v="13"/>
    <x v="170"/>
    <x v="15"/>
    <x v="2"/>
    <x v="0"/>
    <x v="175"/>
    <x v="12"/>
    <x v="6"/>
    <s v="MEDIA"/>
    <s v="MEDIA"/>
    <n v="64"/>
    <s v="cumple"/>
    <x v="7"/>
    <x v="1"/>
    <x v="1148"/>
    <n v="696"/>
    <x v="0"/>
  </r>
  <r>
    <x v="0"/>
    <x v="1"/>
    <x v="1"/>
    <x v="0"/>
    <x v="3"/>
    <x v="7"/>
    <x v="4"/>
    <x v="537"/>
    <x v="1149"/>
    <x v="170"/>
    <x v="12"/>
    <x v="170"/>
    <x v="13"/>
    <x v="2"/>
    <x v="0"/>
    <x v="175"/>
    <x v="12"/>
    <x v="6"/>
    <s v="MEDIA"/>
    <s v="MEDIA"/>
    <n v="64"/>
    <s v="cumple"/>
    <x v="7"/>
    <x v="1"/>
    <x v="1149"/>
    <n v="696"/>
    <x v="0"/>
  </r>
  <r>
    <x v="0"/>
    <x v="1"/>
    <x v="1"/>
    <x v="0"/>
    <x v="3"/>
    <x v="7"/>
    <x v="4"/>
    <x v="538"/>
    <x v="1150"/>
    <x v="170"/>
    <x v="10"/>
    <x v="170"/>
    <x v="5"/>
    <x v="19"/>
    <x v="0"/>
    <x v="175"/>
    <x v="12"/>
    <x v="6"/>
    <s v="MEDIA"/>
    <s v="MEDIA"/>
    <n v="64"/>
    <s v="cumple"/>
    <x v="7"/>
    <x v="1"/>
    <x v="1150"/>
    <n v="348"/>
    <x v="0"/>
  </r>
  <r>
    <x v="0"/>
    <x v="1"/>
    <x v="1"/>
    <x v="0"/>
    <x v="3"/>
    <x v="7"/>
    <x v="4"/>
    <x v="539"/>
    <x v="1151"/>
    <x v="170"/>
    <x v="3"/>
    <x v="170"/>
    <x v="9"/>
    <x v="2"/>
    <x v="0"/>
    <x v="175"/>
    <x v="12"/>
    <x v="6"/>
    <s v="MEDIA"/>
    <s v="MEDIA"/>
    <n v="64"/>
    <s v="cumple"/>
    <x v="7"/>
    <x v="1"/>
    <x v="1151"/>
    <n v="696"/>
    <x v="0"/>
  </r>
  <r>
    <x v="0"/>
    <x v="1"/>
    <x v="1"/>
    <x v="0"/>
    <x v="3"/>
    <x v="7"/>
    <x v="4"/>
    <x v="540"/>
    <x v="1152"/>
    <x v="170"/>
    <x v="9"/>
    <x v="170"/>
    <x v="7"/>
    <x v="2"/>
    <x v="0"/>
    <x v="175"/>
    <x v="12"/>
    <x v="6"/>
    <s v="MEDIA"/>
    <s v="MEDIA"/>
    <n v="64"/>
    <s v="cumple"/>
    <x v="7"/>
    <x v="1"/>
    <x v="1152"/>
    <n v="696"/>
    <x v="0"/>
  </r>
  <r>
    <x v="0"/>
    <x v="1"/>
    <x v="1"/>
    <x v="0"/>
    <x v="3"/>
    <x v="7"/>
    <x v="4"/>
    <x v="541"/>
    <x v="1153"/>
    <x v="170"/>
    <x v="7"/>
    <x v="170"/>
    <x v="18"/>
    <x v="19"/>
    <x v="0"/>
    <x v="175"/>
    <x v="12"/>
    <x v="6"/>
    <s v="MEDIA"/>
    <s v="MEDIA"/>
    <n v="64"/>
    <s v="cumple"/>
    <x v="7"/>
    <x v="1"/>
    <x v="1153"/>
    <n v="348"/>
    <x v="0"/>
  </r>
  <r>
    <x v="0"/>
    <x v="1"/>
    <x v="1"/>
    <x v="0"/>
    <x v="3"/>
    <x v="7"/>
    <x v="4"/>
    <x v="542"/>
    <x v="1154"/>
    <x v="170"/>
    <x v="15"/>
    <x v="170"/>
    <x v="2"/>
    <x v="19"/>
    <x v="0"/>
    <x v="175"/>
    <x v="12"/>
    <x v="6"/>
    <s v="MEDIA"/>
    <s v="MEDIA"/>
    <n v="64"/>
    <s v="cumple"/>
    <x v="7"/>
    <x v="1"/>
    <x v="1154"/>
    <n v="348"/>
    <x v="0"/>
  </r>
  <r>
    <x v="0"/>
    <x v="1"/>
    <x v="1"/>
    <x v="0"/>
    <x v="3"/>
    <x v="7"/>
    <x v="4"/>
    <x v="543"/>
    <x v="1155"/>
    <x v="170"/>
    <x v="2"/>
    <x v="170"/>
    <x v="17"/>
    <x v="19"/>
    <x v="0"/>
    <x v="175"/>
    <x v="12"/>
    <x v="6"/>
    <s v="MEDIA"/>
    <s v="MEDIA"/>
    <n v="64"/>
    <s v="cumple"/>
    <x v="7"/>
    <x v="1"/>
    <x v="1155"/>
    <n v="348"/>
    <x v="0"/>
  </r>
  <r>
    <x v="0"/>
    <x v="1"/>
    <x v="1"/>
    <x v="0"/>
    <x v="3"/>
    <x v="7"/>
    <x v="4"/>
    <x v="544"/>
    <x v="1156"/>
    <x v="170"/>
    <x v="14"/>
    <x v="170"/>
    <x v="21"/>
    <x v="2"/>
    <x v="0"/>
    <x v="175"/>
    <x v="12"/>
    <x v="6"/>
    <s v="MEDIA"/>
    <s v="MEDIA"/>
    <n v="64"/>
    <s v="cumple"/>
    <x v="7"/>
    <x v="1"/>
    <x v="1156"/>
    <n v="696"/>
    <x v="0"/>
  </r>
  <r>
    <x v="0"/>
    <x v="1"/>
    <x v="1"/>
    <x v="0"/>
    <x v="3"/>
    <x v="7"/>
    <x v="4"/>
    <x v="545"/>
    <x v="1157"/>
    <x v="170"/>
    <x v="16"/>
    <x v="170"/>
    <x v="22"/>
    <x v="2"/>
    <x v="0"/>
    <x v="175"/>
    <x v="12"/>
    <x v="6"/>
    <s v="MEDIA"/>
    <s v="MEDIA"/>
    <n v="64"/>
    <s v="cumple"/>
    <x v="7"/>
    <x v="1"/>
    <x v="1157"/>
    <n v="696"/>
    <x v="0"/>
  </r>
  <r>
    <x v="0"/>
    <x v="1"/>
    <x v="1"/>
    <x v="0"/>
    <x v="3"/>
    <x v="7"/>
    <x v="4"/>
    <x v="546"/>
    <x v="1158"/>
    <x v="170"/>
    <x v="18"/>
    <x v="170"/>
    <x v="20"/>
    <x v="2"/>
    <x v="0"/>
    <x v="175"/>
    <x v="12"/>
    <x v="6"/>
    <s v="MEDIA"/>
    <s v="MEDIA"/>
    <n v="64"/>
    <s v="cumple"/>
    <x v="7"/>
    <x v="1"/>
    <x v="1158"/>
    <n v="696"/>
    <x v="0"/>
  </r>
  <r>
    <x v="0"/>
    <x v="1"/>
    <x v="1"/>
    <x v="0"/>
    <x v="3"/>
    <x v="7"/>
    <x v="4"/>
    <x v="547"/>
    <x v="1159"/>
    <x v="171"/>
    <x v="0"/>
    <x v="171"/>
    <x v="8"/>
    <x v="2"/>
    <x v="0"/>
    <x v="175"/>
    <x v="12"/>
    <x v="6"/>
    <s v="MEDIA"/>
    <s v="MEDIA"/>
    <n v="64"/>
    <s v="cumple"/>
    <x v="7"/>
    <x v="1"/>
    <x v="1159"/>
    <n v="696"/>
    <x v="0"/>
  </r>
  <r>
    <x v="0"/>
    <x v="1"/>
    <x v="1"/>
    <x v="0"/>
    <x v="3"/>
    <x v="7"/>
    <x v="4"/>
    <x v="548"/>
    <x v="1160"/>
    <x v="171"/>
    <x v="8"/>
    <x v="171"/>
    <x v="3"/>
    <x v="2"/>
    <x v="0"/>
    <x v="175"/>
    <x v="12"/>
    <x v="6"/>
    <s v="MEDIA"/>
    <s v="MEDIA"/>
    <n v="64"/>
    <s v="cumple"/>
    <x v="7"/>
    <x v="1"/>
    <x v="1160"/>
    <n v="696"/>
    <x v="0"/>
  </r>
  <r>
    <x v="0"/>
    <x v="1"/>
    <x v="1"/>
    <x v="0"/>
    <x v="3"/>
    <x v="7"/>
    <x v="4"/>
    <x v="549"/>
    <x v="1161"/>
    <x v="171"/>
    <x v="4"/>
    <x v="171"/>
    <x v="4"/>
    <x v="2"/>
    <x v="0"/>
    <x v="175"/>
    <x v="12"/>
    <x v="6"/>
    <s v="MEDIA"/>
    <s v="MEDIA"/>
    <n v="64"/>
    <s v="cumple"/>
    <x v="7"/>
    <x v="1"/>
    <x v="1161"/>
    <n v="696"/>
    <x v="0"/>
  </r>
  <r>
    <x v="0"/>
    <x v="1"/>
    <x v="1"/>
    <x v="0"/>
    <x v="3"/>
    <x v="7"/>
    <x v="4"/>
    <x v="550"/>
    <x v="1162"/>
    <x v="171"/>
    <x v="6"/>
    <x v="171"/>
    <x v="5"/>
    <x v="2"/>
    <x v="0"/>
    <x v="175"/>
    <x v="12"/>
    <x v="6"/>
    <s v="MEDIA"/>
    <s v="MEDIA"/>
    <n v="64"/>
    <s v="cumple"/>
    <x v="7"/>
    <x v="1"/>
    <x v="1162"/>
    <n v="696"/>
    <x v="0"/>
  </r>
  <r>
    <x v="0"/>
    <x v="1"/>
    <x v="1"/>
    <x v="0"/>
    <x v="3"/>
    <x v="7"/>
    <x v="4"/>
    <x v="551"/>
    <x v="1163"/>
    <x v="171"/>
    <x v="3"/>
    <x v="171"/>
    <x v="9"/>
    <x v="2"/>
    <x v="0"/>
    <x v="175"/>
    <x v="12"/>
    <x v="6"/>
    <s v="MEDIA"/>
    <s v="MEDIA"/>
    <n v="64"/>
    <s v="cumple"/>
    <x v="7"/>
    <x v="1"/>
    <x v="1163"/>
    <n v="696"/>
    <x v="0"/>
  </r>
  <r>
    <x v="0"/>
    <x v="1"/>
    <x v="1"/>
    <x v="0"/>
    <x v="3"/>
    <x v="7"/>
    <x v="4"/>
    <x v="552"/>
    <x v="1164"/>
    <x v="171"/>
    <x v="9"/>
    <x v="171"/>
    <x v="7"/>
    <x v="2"/>
    <x v="0"/>
    <x v="175"/>
    <x v="12"/>
    <x v="6"/>
    <s v="MEDIA"/>
    <s v="MEDIA"/>
    <n v="64"/>
    <s v="cumple"/>
    <x v="7"/>
    <x v="1"/>
    <x v="1164"/>
    <n v="696"/>
    <x v="0"/>
  </r>
  <r>
    <x v="0"/>
    <x v="1"/>
    <x v="1"/>
    <x v="0"/>
    <x v="3"/>
    <x v="7"/>
    <x v="4"/>
    <x v="553"/>
    <x v="1165"/>
    <x v="171"/>
    <x v="7"/>
    <x v="171"/>
    <x v="2"/>
    <x v="2"/>
    <x v="0"/>
    <x v="175"/>
    <x v="12"/>
    <x v="6"/>
    <s v="MEDIA"/>
    <s v="MEDIA"/>
    <n v="64"/>
    <s v="cumple"/>
    <x v="7"/>
    <x v="1"/>
    <x v="1165"/>
    <n v="696"/>
    <x v="0"/>
  </r>
  <r>
    <x v="0"/>
    <x v="1"/>
    <x v="1"/>
    <x v="0"/>
    <x v="3"/>
    <x v="7"/>
    <x v="4"/>
    <x v="554"/>
    <x v="1166"/>
    <x v="171"/>
    <x v="2"/>
    <x v="171"/>
    <x v="17"/>
    <x v="19"/>
    <x v="0"/>
    <x v="175"/>
    <x v="12"/>
    <x v="6"/>
    <s v="MEDIA"/>
    <s v="MEDIA"/>
    <n v="64"/>
    <s v="cumple"/>
    <x v="7"/>
    <x v="1"/>
    <x v="1166"/>
    <n v="348"/>
    <x v="0"/>
  </r>
  <r>
    <x v="0"/>
    <x v="1"/>
    <x v="1"/>
    <x v="0"/>
    <x v="3"/>
    <x v="7"/>
    <x v="4"/>
    <x v="555"/>
    <x v="1167"/>
    <x v="171"/>
    <x v="14"/>
    <x v="171"/>
    <x v="21"/>
    <x v="2"/>
    <x v="0"/>
    <x v="175"/>
    <x v="12"/>
    <x v="6"/>
    <s v="MEDIA"/>
    <s v="MEDIA"/>
    <n v="64"/>
    <s v="cumple"/>
    <x v="7"/>
    <x v="1"/>
    <x v="1167"/>
    <n v="696"/>
    <x v="0"/>
  </r>
  <r>
    <x v="0"/>
    <x v="1"/>
    <x v="1"/>
    <x v="0"/>
    <x v="3"/>
    <x v="7"/>
    <x v="4"/>
    <x v="556"/>
    <x v="1168"/>
    <x v="171"/>
    <x v="16"/>
    <x v="171"/>
    <x v="22"/>
    <x v="2"/>
    <x v="0"/>
    <x v="175"/>
    <x v="12"/>
    <x v="6"/>
    <s v="MEDIA"/>
    <s v="MEDIA"/>
    <n v="64"/>
    <s v="cumple"/>
    <x v="7"/>
    <x v="1"/>
    <x v="1168"/>
    <n v="696"/>
    <x v="0"/>
  </r>
  <r>
    <x v="0"/>
    <x v="1"/>
    <x v="1"/>
    <x v="0"/>
    <x v="3"/>
    <x v="7"/>
    <x v="4"/>
    <x v="557"/>
    <x v="1169"/>
    <x v="171"/>
    <x v="18"/>
    <x v="171"/>
    <x v="20"/>
    <x v="2"/>
    <x v="0"/>
    <x v="175"/>
    <x v="12"/>
    <x v="6"/>
    <s v="MEDIA"/>
    <s v="MEDIA"/>
    <n v="64"/>
    <s v="cumple"/>
    <x v="7"/>
    <x v="1"/>
    <x v="1169"/>
    <n v="696"/>
    <x v="0"/>
  </r>
  <r>
    <x v="0"/>
    <x v="1"/>
    <x v="1"/>
    <x v="0"/>
    <x v="3"/>
    <x v="7"/>
    <x v="4"/>
    <x v="558"/>
    <x v="1170"/>
    <x v="172"/>
    <x v="0"/>
    <x v="172"/>
    <x v="8"/>
    <x v="2"/>
    <x v="0"/>
    <x v="175"/>
    <x v="12"/>
    <x v="6"/>
    <s v="MEDIA"/>
    <s v="MEDIA"/>
    <n v="64"/>
    <s v="cumple"/>
    <x v="7"/>
    <x v="1"/>
    <x v="1170"/>
    <n v="696"/>
    <x v="0"/>
  </r>
  <r>
    <x v="0"/>
    <x v="1"/>
    <x v="1"/>
    <x v="0"/>
    <x v="3"/>
    <x v="7"/>
    <x v="4"/>
    <x v="559"/>
    <x v="1171"/>
    <x v="172"/>
    <x v="8"/>
    <x v="172"/>
    <x v="16"/>
    <x v="19"/>
    <x v="0"/>
    <x v="175"/>
    <x v="12"/>
    <x v="6"/>
    <s v="MEDIA"/>
    <s v="MEDIA"/>
    <n v="64"/>
    <s v="cumple"/>
    <x v="7"/>
    <x v="1"/>
    <x v="1171"/>
    <n v="348"/>
    <x v="0"/>
  </r>
  <r>
    <x v="0"/>
    <x v="1"/>
    <x v="1"/>
    <x v="0"/>
    <x v="3"/>
    <x v="7"/>
    <x v="4"/>
    <x v="560"/>
    <x v="1172"/>
    <x v="172"/>
    <x v="13"/>
    <x v="172"/>
    <x v="3"/>
    <x v="19"/>
    <x v="0"/>
    <x v="175"/>
    <x v="12"/>
    <x v="6"/>
    <s v="MEDIA"/>
    <s v="MEDIA"/>
    <n v="64"/>
    <s v="cumple"/>
    <x v="7"/>
    <x v="1"/>
    <x v="1172"/>
    <n v="348"/>
    <x v="0"/>
  </r>
  <r>
    <x v="0"/>
    <x v="1"/>
    <x v="1"/>
    <x v="0"/>
    <x v="3"/>
    <x v="7"/>
    <x v="4"/>
    <x v="561"/>
    <x v="1173"/>
    <x v="172"/>
    <x v="4"/>
    <x v="172"/>
    <x v="4"/>
    <x v="2"/>
    <x v="0"/>
    <x v="175"/>
    <x v="12"/>
    <x v="6"/>
    <s v="MEDIA"/>
    <s v="MEDIA"/>
    <n v="64"/>
    <s v="cumple"/>
    <x v="7"/>
    <x v="1"/>
    <x v="1173"/>
    <n v="696"/>
    <x v="0"/>
  </r>
  <r>
    <x v="0"/>
    <x v="1"/>
    <x v="1"/>
    <x v="0"/>
    <x v="3"/>
    <x v="7"/>
    <x v="4"/>
    <x v="562"/>
    <x v="1174"/>
    <x v="172"/>
    <x v="6"/>
    <x v="172"/>
    <x v="13"/>
    <x v="19"/>
    <x v="0"/>
    <x v="175"/>
    <x v="12"/>
    <x v="6"/>
    <s v="MEDIA"/>
    <s v="MEDIA"/>
    <n v="64"/>
    <s v="cumple"/>
    <x v="7"/>
    <x v="1"/>
    <x v="1174"/>
    <n v="348"/>
    <x v="0"/>
  </r>
  <r>
    <x v="0"/>
    <x v="1"/>
    <x v="1"/>
    <x v="0"/>
    <x v="3"/>
    <x v="7"/>
    <x v="4"/>
    <x v="563"/>
    <x v="1175"/>
    <x v="172"/>
    <x v="10"/>
    <x v="172"/>
    <x v="5"/>
    <x v="19"/>
    <x v="0"/>
    <x v="175"/>
    <x v="12"/>
    <x v="6"/>
    <s v="MEDIA"/>
    <s v="MEDIA"/>
    <n v="64"/>
    <s v="cumple"/>
    <x v="7"/>
    <x v="1"/>
    <x v="1175"/>
    <n v="348"/>
    <x v="0"/>
  </r>
  <r>
    <x v="0"/>
    <x v="1"/>
    <x v="1"/>
    <x v="0"/>
    <x v="3"/>
    <x v="7"/>
    <x v="4"/>
    <x v="564"/>
    <x v="1176"/>
    <x v="172"/>
    <x v="3"/>
    <x v="172"/>
    <x v="14"/>
    <x v="19"/>
    <x v="0"/>
    <x v="175"/>
    <x v="12"/>
    <x v="6"/>
    <s v="MEDIA"/>
    <s v="MEDIA"/>
    <n v="64"/>
    <s v="cumple"/>
    <x v="7"/>
    <x v="1"/>
    <x v="1176"/>
    <n v="348"/>
    <x v="0"/>
  </r>
  <r>
    <x v="0"/>
    <x v="1"/>
    <x v="1"/>
    <x v="0"/>
    <x v="3"/>
    <x v="7"/>
    <x v="4"/>
    <x v="565"/>
    <x v="1177"/>
    <x v="172"/>
    <x v="11"/>
    <x v="172"/>
    <x v="9"/>
    <x v="19"/>
    <x v="0"/>
    <x v="175"/>
    <x v="12"/>
    <x v="6"/>
    <s v="MEDIA"/>
    <s v="MEDIA"/>
    <n v="64"/>
    <s v="cumple"/>
    <x v="7"/>
    <x v="1"/>
    <x v="1177"/>
    <n v="348"/>
    <x v="0"/>
  </r>
  <r>
    <x v="0"/>
    <x v="1"/>
    <x v="1"/>
    <x v="0"/>
    <x v="3"/>
    <x v="7"/>
    <x v="4"/>
    <x v="566"/>
    <x v="1178"/>
    <x v="172"/>
    <x v="9"/>
    <x v="172"/>
    <x v="12"/>
    <x v="19"/>
    <x v="0"/>
    <x v="175"/>
    <x v="12"/>
    <x v="6"/>
    <s v="MEDIA"/>
    <s v="MEDIA"/>
    <n v="64"/>
    <s v="cumple"/>
    <x v="7"/>
    <x v="1"/>
    <x v="1178"/>
    <n v="348"/>
    <x v="0"/>
  </r>
  <r>
    <x v="0"/>
    <x v="1"/>
    <x v="1"/>
    <x v="0"/>
    <x v="3"/>
    <x v="7"/>
    <x v="4"/>
    <x v="567"/>
    <x v="1179"/>
    <x v="172"/>
    <x v="21"/>
    <x v="172"/>
    <x v="7"/>
    <x v="19"/>
    <x v="0"/>
    <x v="175"/>
    <x v="12"/>
    <x v="6"/>
    <s v="MEDIA"/>
    <s v="MEDIA"/>
    <n v="64"/>
    <s v="cumple"/>
    <x v="7"/>
    <x v="1"/>
    <x v="1179"/>
    <n v="348"/>
    <x v="0"/>
  </r>
  <r>
    <x v="0"/>
    <x v="1"/>
    <x v="1"/>
    <x v="0"/>
    <x v="3"/>
    <x v="7"/>
    <x v="4"/>
    <x v="568"/>
    <x v="1180"/>
    <x v="172"/>
    <x v="7"/>
    <x v="172"/>
    <x v="18"/>
    <x v="19"/>
    <x v="0"/>
    <x v="175"/>
    <x v="12"/>
    <x v="6"/>
    <s v="MEDIA"/>
    <s v="MEDIA"/>
    <n v="64"/>
    <s v="cumple"/>
    <x v="7"/>
    <x v="1"/>
    <x v="1180"/>
    <n v="348"/>
    <x v="0"/>
  </r>
  <r>
    <x v="0"/>
    <x v="1"/>
    <x v="1"/>
    <x v="0"/>
    <x v="3"/>
    <x v="7"/>
    <x v="4"/>
    <x v="569"/>
    <x v="1181"/>
    <x v="172"/>
    <x v="15"/>
    <x v="172"/>
    <x v="2"/>
    <x v="19"/>
    <x v="0"/>
    <x v="175"/>
    <x v="12"/>
    <x v="6"/>
    <s v="MEDIA"/>
    <s v="MEDIA"/>
    <n v="64"/>
    <s v="cumple"/>
    <x v="7"/>
    <x v="1"/>
    <x v="1181"/>
    <n v="348"/>
    <x v="0"/>
  </r>
  <r>
    <x v="0"/>
    <x v="1"/>
    <x v="1"/>
    <x v="0"/>
    <x v="3"/>
    <x v="7"/>
    <x v="4"/>
    <x v="570"/>
    <x v="1182"/>
    <x v="172"/>
    <x v="2"/>
    <x v="172"/>
    <x v="17"/>
    <x v="19"/>
    <x v="0"/>
    <x v="175"/>
    <x v="12"/>
    <x v="6"/>
    <s v="MEDIA"/>
    <s v="MEDIA"/>
    <n v="64"/>
    <s v="cumple"/>
    <x v="7"/>
    <x v="1"/>
    <x v="1182"/>
    <n v="348"/>
    <x v="0"/>
  </r>
  <r>
    <x v="0"/>
    <x v="1"/>
    <x v="1"/>
    <x v="0"/>
    <x v="3"/>
    <x v="7"/>
    <x v="4"/>
    <x v="571"/>
    <x v="1183"/>
    <x v="172"/>
    <x v="14"/>
    <x v="172"/>
    <x v="1"/>
    <x v="19"/>
    <x v="0"/>
    <x v="175"/>
    <x v="12"/>
    <x v="6"/>
    <s v="MEDIA"/>
    <s v="MEDIA"/>
    <n v="64"/>
    <s v="cumple"/>
    <x v="7"/>
    <x v="1"/>
    <x v="1183"/>
    <n v="348"/>
    <x v="0"/>
  </r>
  <r>
    <x v="0"/>
    <x v="0"/>
    <x v="1"/>
    <x v="0"/>
    <x v="3"/>
    <x v="2"/>
    <x v="4"/>
    <x v="572"/>
    <x v="1184"/>
    <x v="172"/>
    <x v="1"/>
    <x v="172"/>
    <x v="21"/>
    <x v="19"/>
    <x v="1"/>
    <x v="176"/>
    <x v="12"/>
    <x v="6"/>
    <s v="MEDIA"/>
    <s v="MEDIA"/>
    <n v="64"/>
    <s v="cumple"/>
    <x v="7"/>
    <x v="1"/>
    <x v="1184"/>
    <n v="348"/>
    <x v="0"/>
  </r>
  <r>
    <x v="0"/>
    <x v="1"/>
    <x v="1"/>
    <x v="0"/>
    <x v="3"/>
    <x v="7"/>
    <x v="4"/>
    <x v="573"/>
    <x v="1185"/>
    <x v="173"/>
    <x v="0"/>
    <x v="173"/>
    <x v="23"/>
    <x v="19"/>
    <x v="0"/>
    <x v="175"/>
    <x v="12"/>
    <x v="6"/>
    <s v="MEDIA"/>
    <s v="MEDIA"/>
    <n v="64"/>
    <s v="cumple"/>
    <x v="7"/>
    <x v="1"/>
    <x v="1185"/>
    <n v="348"/>
    <x v="0"/>
  </r>
  <r>
    <x v="0"/>
    <x v="1"/>
    <x v="1"/>
    <x v="0"/>
    <x v="3"/>
    <x v="7"/>
    <x v="4"/>
    <x v="574"/>
    <x v="1186"/>
    <x v="173"/>
    <x v="19"/>
    <x v="173"/>
    <x v="8"/>
    <x v="19"/>
    <x v="0"/>
    <x v="175"/>
    <x v="12"/>
    <x v="6"/>
    <s v="MEDIA"/>
    <s v="MEDIA"/>
    <n v="64"/>
    <s v="cumple"/>
    <x v="7"/>
    <x v="1"/>
    <x v="1186"/>
    <n v="348"/>
    <x v="0"/>
  </r>
  <r>
    <x v="0"/>
    <x v="1"/>
    <x v="1"/>
    <x v="0"/>
    <x v="3"/>
    <x v="7"/>
    <x v="4"/>
    <x v="575"/>
    <x v="1187"/>
    <x v="173"/>
    <x v="8"/>
    <x v="173"/>
    <x v="16"/>
    <x v="19"/>
    <x v="0"/>
    <x v="175"/>
    <x v="12"/>
    <x v="6"/>
    <s v="MEDIA"/>
    <s v="MEDIA"/>
    <n v="64"/>
    <s v="cumple"/>
    <x v="7"/>
    <x v="1"/>
    <x v="1187"/>
    <n v="348"/>
    <x v="0"/>
  </r>
  <r>
    <x v="0"/>
    <x v="1"/>
    <x v="1"/>
    <x v="0"/>
    <x v="3"/>
    <x v="7"/>
    <x v="4"/>
    <x v="576"/>
    <x v="1188"/>
    <x v="173"/>
    <x v="13"/>
    <x v="173"/>
    <x v="3"/>
    <x v="19"/>
    <x v="0"/>
    <x v="175"/>
    <x v="12"/>
    <x v="6"/>
    <s v="MEDIA"/>
    <s v="MEDIA"/>
    <n v="64"/>
    <s v="cumple"/>
    <x v="7"/>
    <x v="1"/>
    <x v="1188"/>
    <n v="348"/>
    <x v="0"/>
  </r>
  <r>
    <x v="0"/>
    <x v="1"/>
    <x v="1"/>
    <x v="0"/>
    <x v="3"/>
    <x v="7"/>
    <x v="4"/>
    <x v="577"/>
    <x v="1189"/>
    <x v="173"/>
    <x v="4"/>
    <x v="173"/>
    <x v="15"/>
    <x v="19"/>
    <x v="0"/>
    <x v="175"/>
    <x v="12"/>
    <x v="6"/>
    <s v="MEDIA"/>
    <s v="MEDIA"/>
    <n v="64"/>
    <s v="cumple"/>
    <x v="7"/>
    <x v="1"/>
    <x v="1189"/>
    <n v="348"/>
    <x v="0"/>
  </r>
  <r>
    <x v="0"/>
    <x v="1"/>
    <x v="1"/>
    <x v="0"/>
    <x v="3"/>
    <x v="7"/>
    <x v="4"/>
    <x v="578"/>
    <x v="1190"/>
    <x v="173"/>
    <x v="12"/>
    <x v="173"/>
    <x v="4"/>
    <x v="19"/>
    <x v="0"/>
    <x v="175"/>
    <x v="12"/>
    <x v="6"/>
    <s v="MEDIA"/>
    <s v="MEDIA"/>
    <n v="64"/>
    <s v="cumple"/>
    <x v="7"/>
    <x v="1"/>
    <x v="1190"/>
    <n v="348"/>
    <x v="0"/>
  </r>
  <r>
    <x v="0"/>
    <x v="1"/>
    <x v="1"/>
    <x v="0"/>
    <x v="3"/>
    <x v="7"/>
    <x v="4"/>
    <x v="579"/>
    <x v="1191"/>
    <x v="173"/>
    <x v="6"/>
    <x v="173"/>
    <x v="13"/>
    <x v="19"/>
    <x v="0"/>
    <x v="175"/>
    <x v="12"/>
    <x v="6"/>
    <s v="MEDIA"/>
    <s v="MEDIA"/>
    <n v="64"/>
    <s v="cumple"/>
    <x v="7"/>
    <x v="1"/>
    <x v="1191"/>
    <n v="348"/>
    <x v="0"/>
  </r>
  <r>
    <x v="0"/>
    <x v="1"/>
    <x v="1"/>
    <x v="0"/>
    <x v="3"/>
    <x v="7"/>
    <x v="4"/>
    <x v="580"/>
    <x v="1192"/>
    <x v="173"/>
    <x v="10"/>
    <x v="173"/>
    <x v="5"/>
    <x v="19"/>
    <x v="0"/>
    <x v="175"/>
    <x v="12"/>
    <x v="6"/>
    <s v="MEDIA"/>
    <s v="MEDIA"/>
    <n v="64"/>
    <s v="cumple"/>
    <x v="7"/>
    <x v="1"/>
    <x v="1192"/>
    <n v="348"/>
    <x v="0"/>
  </r>
  <r>
    <x v="0"/>
    <x v="1"/>
    <x v="1"/>
    <x v="0"/>
    <x v="3"/>
    <x v="7"/>
    <x v="4"/>
    <x v="581"/>
    <x v="1193"/>
    <x v="173"/>
    <x v="3"/>
    <x v="173"/>
    <x v="14"/>
    <x v="19"/>
    <x v="0"/>
    <x v="175"/>
    <x v="12"/>
    <x v="6"/>
    <s v="MEDIA"/>
    <s v="MEDIA"/>
    <n v="64"/>
    <s v="cumple"/>
    <x v="7"/>
    <x v="1"/>
    <x v="1193"/>
    <n v="348"/>
    <x v="0"/>
  </r>
  <r>
    <x v="0"/>
    <x v="1"/>
    <x v="1"/>
    <x v="0"/>
    <x v="3"/>
    <x v="7"/>
    <x v="4"/>
    <x v="582"/>
    <x v="1194"/>
    <x v="173"/>
    <x v="11"/>
    <x v="173"/>
    <x v="9"/>
    <x v="19"/>
    <x v="0"/>
    <x v="175"/>
    <x v="12"/>
    <x v="6"/>
    <s v="MEDIA"/>
    <s v="MEDIA"/>
    <n v="64"/>
    <s v="cumple"/>
    <x v="7"/>
    <x v="1"/>
    <x v="1194"/>
    <n v="348"/>
    <x v="0"/>
  </r>
  <r>
    <x v="0"/>
    <x v="1"/>
    <x v="1"/>
    <x v="0"/>
    <x v="3"/>
    <x v="7"/>
    <x v="4"/>
    <x v="583"/>
    <x v="1195"/>
    <x v="173"/>
    <x v="9"/>
    <x v="173"/>
    <x v="12"/>
    <x v="19"/>
    <x v="0"/>
    <x v="175"/>
    <x v="12"/>
    <x v="6"/>
    <s v="MEDIA"/>
    <s v="MEDIA"/>
    <n v="64"/>
    <s v="cumple"/>
    <x v="7"/>
    <x v="1"/>
    <x v="1195"/>
    <n v="348"/>
    <x v="0"/>
  </r>
  <r>
    <x v="0"/>
    <x v="1"/>
    <x v="1"/>
    <x v="0"/>
    <x v="3"/>
    <x v="7"/>
    <x v="4"/>
    <x v="584"/>
    <x v="1196"/>
    <x v="173"/>
    <x v="7"/>
    <x v="173"/>
    <x v="18"/>
    <x v="19"/>
    <x v="0"/>
    <x v="175"/>
    <x v="12"/>
    <x v="6"/>
    <s v="MEDIA"/>
    <s v="MEDIA"/>
    <n v="64"/>
    <s v="cumple"/>
    <x v="7"/>
    <x v="1"/>
    <x v="1196"/>
    <n v="348"/>
    <x v="0"/>
  </r>
  <r>
    <x v="0"/>
    <x v="1"/>
    <x v="1"/>
    <x v="0"/>
    <x v="3"/>
    <x v="7"/>
    <x v="4"/>
    <x v="585"/>
    <x v="1197"/>
    <x v="173"/>
    <x v="15"/>
    <x v="173"/>
    <x v="2"/>
    <x v="19"/>
    <x v="0"/>
    <x v="175"/>
    <x v="12"/>
    <x v="6"/>
    <s v="MEDIA"/>
    <s v="MEDIA"/>
    <n v="64"/>
    <s v="cumple"/>
    <x v="7"/>
    <x v="1"/>
    <x v="1197"/>
    <n v="348"/>
    <x v="0"/>
  </r>
  <r>
    <x v="0"/>
    <x v="1"/>
    <x v="1"/>
    <x v="0"/>
    <x v="3"/>
    <x v="7"/>
    <x v="4"/>
    <x v="586"/>
    <x v="1198"/>
    <x v="173"/>
    <x v="2"/>
    <x v="173"/>
    <x v="17"/>
    <x v="19"/>
    <x v="0"/>
    <x v="175"/>
    <x v="12"/>
    <x v="6"/>
    <s v="MEDIA"/>
    <s v="MEDIA"/>
    <n v="64"/>
    <s v="cumple"/>
    <x v="7"/>
    <x v="1"/>
    <x v="1198"/>
    <n v="348"/>
    <x v="0"/>
  </r>
  <r>
    <x v="0"/>
    <x v="1"/>
    <x v="1"/>
    <x v="0"/>
    <x v="3"/>
    <x v="7"/>
    <x v="4"/>
    <x v="587"/>
    <x v="1199"/>
    <x v="174"/>
    <x v="0"/>
    <x v="174"/>
    <x v="23"/>
    <x v="19"/>
    <x v="0"/>
    <x v="175"/>
    <x v="12"/>
    <x v="6"/>
    <s v="MEDIA"/>
    <s v="MEDIA"/>
    <n v="64"/>
    <s v="cumple"/>
    <x v="7"/>
    <x v="1"/>
    <x v="1199"/>
    <n v="348"/>
    <x v="0"/>
  </r>
  <r>
    <x v="0"/>
    <x v="1"/>
    <x v="1"/>
    <x v="0"/>
    <x v="3"/>
    <x v="7"/>
    <x v="4"/>
    <x v="588"/>
    <x v="1200"/>
    <x v="174"/>
    <x v="19"/>
    <x v="174"/>
    <x v="8"/>
    <x v="19"/>
    <x v="0"/>
    <x v="175"/>
    <x v="12"/>
    <x v="6"/>
    <s v="MEDIA"/>
    <s v="MEDIA"/>
    <n v="64"/>
    <s v="cumple"/>
    <x v="7"/>
    <x v="1"/>
    <x v="1200"/>
    <n v="348"/>
    <x v="0"/>
  </r>
  <r>
    <x v="0"/>
    <x v="1"/>
    <x v="1"/>
    <x v="0"/>
    <x v="3"/>
    <x v="7"/>
    <x v="4"/>
    <x v="589"/>
    <x v="1201"/>
    <x v="174"/>
    <x v="8"/>
    <x v="174"/>
    <x v="16"/>
    <x v="19"/>
    <x v="0"/>
    <x v="175"/>
    <x v="12"/>
    <x v="6"/>
    <s v="MEDIA"/>
    <s v="MEDIA"/>
    <n v="64"/>
    <s v="cumple"/>
    <x v="7"/>
    <x v="1"/>
    <x v="1201"/>
    <n v="348"/>
    <x v="0"/>
  </r>
  <r>
    <x v="0"/>
    <x v="1"/>
    <x v="1"/>
    <x v="0"/>
    <x v="3"/>
    <x v="7"/>
    <x v="4"/>
    <x v="590"/>
    <x v="1202"/>
    <x v="174"/>
    <x v="13"/>
    <x v="174"/>
    <x v="3"/>
    <x v="19"/>
    <x v="0"/>
    <x v="175"/>
    <x v="12"/>
    <x v="6"/>
    <s v="MEDIA"/>
    <s v="MEDIA"/>
    <n v="64"/>
    <s v="cumple"/>
    <x v="7"/>
    <x v="1"/>
    <x v="1202"/>
    <n v="348"/>
    <x v="0"/>
  </r>
  <r>
    <x v="0"/>
    <x v="1"/>
    <x v="1"/>
    <x v="0"/>
    <x v="3"/>
    <x v="7"/>
    <x v="4"/>
    <x v="591"/>
    <x v="1203"/>
    <x v="174"/>
    <x v="4"/>
    <x v="174"/>
    <x v="15"/>
    <x v="19"/>
    <x v="0"/>
    <x v="175"/>
    <x v="12"/>
    <x v="6"/>
    <s v="MEDIA"/>
    <s v="MEDIA"/>
    <n v="64"/>
    <s v="cumple"/>
    <x v="7"/>
    <x v="1"/>
    <x v="1203"/>
    <n v="348"/>
    <x v="0"/>
  </r>
  <r>
    <x v="0"/>
    <x v="1"/>
    <x v="1"/>
    <x v="0"/>
    <x v="3"/>
    <x v="7"/>
    <x v="4"/>
    <x v="592"/>
    <x v="1204"/>
    <x v="174"/>
    <x v="12"/>
    <x v="174"/>
    <x v="4"/>
    <x v="19"/>
    <x v="0"/>
    <x v="175"/>
    <x v="12"/>
    <x v="6"/>
    <s v="MEDIA"/>
    <s v="MEDIA"/>
    <n v="64"/>
    <s v="cumple"/>
    <x v="7"/>
    <x v="1"/>
    <x v="1204"/>
    <n v="348"/>
    <x v="0"/>
  </r>
  <r>
    <x v="0"/>
    <x v="1"/>
    <x v="1"/>
    <x v="0"/>
    <x v="3"/>
    <x v="7"/>
    <x v="4"/>
    <x v="593"/>
    <x v="1205"/>
    <x v="174"/>
    <x v="6"/>
    <x v="174"/>
    <x v="13"/>
    <x v="19"/>
    <x v="0"/>
    <x v="175"/>
    <x v="12"/>
    <x v="6"/>
    <s v="MEDIA"/>
    <s v="MEDIA"/>
    <n v="64"/>
    <s v="cumple"/>
    <x v="7"/>
    <x v="1"/>
    <x v="1205"/>
    <n v="348"/>
    <x v="0"/>
  </r>
  <r>
    <x v="0"/>
    <x v="0"/>
    <x v="1"/>
    <x v="0"/>
    <x v="3"/>
    <x v="2"/>
    <x v="4"/>
    <x v="594"/>
    <x v="1206"/>
    <x v="174"/>
    <x v="10"/>
    <x v="174"/>
    <x v="5"/>
    <x v="19"/>
    <x v="0"/>
    <x v="177"/>
    <x v="12"/>
    <x v="6"/>
    <s v="MEDIA"/>
    <s v="MEDIA"/>
    <n v="64"/>
    <s v="cumple"/>
    <x v="7"/>
    <x v="1"/>
    <x v="1206"/>
    <n v="348"/>
    <x v="0"/>
  </r>
  <r>
    <x v="0"/>
    <x v="0"/>
    <x v="1"/>
    <x v="0"/>
    <x v="3"/>
    <x v="2"/>
    <x v="4"/>
    <x v="595"/>
    <x v="1207"/>
    <x v="174"/>
    <x v="3"/>
    <x v="174"/>
    <x v="14"/>
    <x v="19"/>
    <x v="0"/>
    <x v="177"/>
    <x v="12"/>
    <x v="6"/>
    <s v="MEDIA"/>
    <s v="MEDIA"/>
    <n v="64"/>
    <s v="cumple"/>
    <x v="7"/>
    <x v="1"/>
    <x v="1207"/>
    <n v="348"/>
    <x v="0"/>
  </r>
  <r>
    <x v="0"/>
    <x v="0"/>
    <x v="1"/>
    <x v="0"/>
    <x v="3"/>
    <x v="2"/>
    <x v="4"/>
    <x v="596"/>
    <x v="1208"/>
    <x v="174"/>
    <x v="11"/>
    <x v="174"/>
    <x v="9"/>
    <x v="19"/>
    <x v="0"/>
    <x v="177"/>
    <x v="12"/>
    <x v="6"/>
    <s v="MEDIA"/>
    <s v="MEDIA"/>
    <n v="64"/>
    <s v="cumple"/>
    <x v="7"/>
    <x v="1"/>
    <x v="1208"/>
    <n v="348"/>
    <x v="0"/>
  </r>
  <r>
    <x v="0"/>
    <x v="0"/>
    <x v="1"/>
    <x v="0"/>
    <x v="3"/>
    <x v="2"/>
    <x v="4"/>
    <x v="597"/>
    <x v="1209"/>
    <x v="174"/>
    <x v="9"/>
    <x v="174"/>
    <x v="12"/>
    <x v="19"/>
    <x v="0"/>
    <x v="177"/>
    <x v="12"/>
    <x v="6"/>
    <s v="MEDIA"/>
    <s v="MEDIA"/>
    <n v="64"/>
    <s v="cumple"/>
    <x v="7"/>
    <x v="1"/>
    <x v="1209"/>
    <n v="348"/>
    <x v="0"/>
  </r>
  <r>
    <x v="0"/>
    <x v="0"/>
    <x v="1"/>
    <x v="0"/>
    <x v="3"/>
    <x v="2"/>
    <x v="4"/>
    <x v="598"/>
    <x v="1210"/>
    <x v="174"/>
    <x v="7"/>
    <x v="174"/>
    <x v="18"/>
    <x v="19"/>
    <x v="0"/>
    <x v="177"/>
    <x v="12"/>
    <x v="6"/>
    <s v="MEDIA"/>
    <s v="MEDIA"/>
    <n v="64"/>
    <s v="cumple"/>
    <x v="7"/>
    <x v="1"/>
    <x v="1210"/>
    <n v="348"/>
    <x v="0"/>
  </r>
  <r>
    <x v="0"/>
    <x v="0"/>
    <x v="1"/>
    <x v="0"/>
    <x v="3"/>
    <x v="2"/>
    <x v="4"/>
    <x v="599"/>
    <x v="1211"/>
    <x v="174"/>
    <x v="15"/>
    <x v="174"/>
    <x v="2"/>
    <x v="19"/>
    <x v="0"/>
    <x v="177"/>
    <x v="12"/>
    <x v="6"/>
    <s v="MEDIA"/>
    <s v="MEDIA"/>
    <n v="64"/>
    <s v="cumple"/>
    <x v="7"/>
    <x v="1"/>
    <x v="1211"/>
    <n v="348"/>
    <x v="0"/>
  </r>
  <r>
    <x v="0"/>
    <x v="0"/>
    <x v="1"/>
    <x v="0"/>
    <x v="3"/>
    <x v="2"/>
    <x v="4"/>
    <x v="600"/>
    <x v="1212"/>
    <x v="175"/>
    <x v="0"/>
    <x v="175"/>
    <x v="23"/>
    <x v="19"/>
    <x v="0"/>
    <x v="178"/>
    <x v="12"/>
    <x v="6"/>
    <s v="MEDIA"/>
    <s v="MEDIA"/>
    <n v="64"/>
    <s v="cumple"/>
    <x v="7"/>
    <x v="1"/>
    <x v="1212"/>
    <n v="348"/>
    <x v="0"/>
  </r>
  <r>
    <x v="0"/>
    <x v="0"/>
    <x v="1"/>
    <x v="0"/>
    <x v="3"/>
    <x v="2"/>
    <x v="4"/>
    <x v="601"/>
    <x v="1213"/>
    <x v="175"/>
    <x v="19"/>
    <x v="175"/>
    <x v="8"/>
    <x v="19"/>
    <x v="0"/>
    <x v="178"/>
    <x v="12"/>
    <x v="6"/>
    <s v="MEDIA"/>
    <s v="MEDIA"/>
    <n v="64"/>
    <s v="cumple"/>
    <x v="7"/>
    <x v="1"/>
    <x v="1213"/>
    <n v="348"/>
    <x v="0"/>
  </r>
  <r>
    <x v="0"/>
    <x v="0"/>
    <x v="1"/>
    <x v="0"/>
    <x v="3"/>
    <x v="2"/>
    <x v="4"/>
    <x v="602"/>
    <x v="1214"/>
    <x v="175"/>
    <x v="8"/>
    <x v="175"/>
    <x v="16"/>
    <x v="19"/>
    <x v="0"/>
    <x v="178"/>
    <x v="12"/>
    <x v="6"/>
    <s v="MEDIA"/>
    <s v="MEDIA"/>
    <n v="64"/>
    <s v="cumple"/>
    <x v="7"/>
    <x v="1"/>
    <x v="1214"/>
    <n v="348"/>
    <x v="0"/>
  </r>
  <r>
    <x v="0"/>
    <x v="0"/>
    <x v="1"/>
    <x v="0"/>
    <x v="3"/>
    <x v="2"/>
    <x v="4"/>
    <x v="603"/>
    <x v="1215"/>
    <x v="175"/>
    <x v="13"/>
    <x v="175"/>
    <x v="3"/>
    <x v="19"/>
    <x v="0"/>
    <x v="178"/>
    <x v="12"/>
    <x v="6"/>
    <s v="MEDIA"/>
    <s v="MEDIA"/>
    <n v="64"/>
    <s v="cumple"/>
    <x v="7"/>
    <x v="1"/>
    <x v="1215"/>
    <n v="348"/>
    <x v="0"/>
  </r>
  <r>
    <x v="0"/>
    <x v="0"/>
    <x v="1"/>
    <x v="0"/>
    <x v="3"/>
    <x v="2"/>
    <x v="4"/>
    <x v="604"/>
    <x v="1216"/>
    <x v="175"/>
    <x v="4"/>
    <x v="175"/>
    <x v="15"/>
    <x v="19"/>
    <x v="0"/>
    <x v="178"/>
    <x v="12"/>
    <x v="6"/>
    <s v="MEDIA"/>
    <s v="MEDIA"/>
    <n v="64"/>
    <s v="cumple"/>
    <x v="7"/>
    <x v="1"/>
    <x v="1216"/>
    <n v="348"/>
    <x v="0"/>
  </r>
  <r>
    <x v="0"/>
    <x v="0"/>
    <x v="1"/>
    <x v="0"/>
    <x v="3"/>
    <x v="2"/>
    <x v="4"/>
    <x v="605"/>
    <x v="1217"/>
    <x v="175"/>
    <x v="12"/>
    <x v="175"/>
    <x v="4"/>
    <x v="19"/>
    <x v="0"/>
    <x v="178"/>
    <x v="12"/>
    <x v="6"/>
    <s v="MEDIA"/>
    <s v="MEDIA"/>
    <n v="64"/>
    <s v="cumple"/>
    <x v="7"/>
    <x v="1"/>
    <x v="1217"/>
    <n v="348"/>
    <x v="0"/>
  </r>
  <r>
    <x v="0"/>
    <x v="0"/>
    <x v="1"/>
    <x v="0"/>
    <x v="3"/>
    <x v="2"/>
    <x v="4"/>
    <x v="606"/>
    <x v="1218"/>
    <x v="175"/>
    <x v="6"/>
    <x v="175"/>
    <x v="13"/>
    <x v="19"/>
    <x v="0"/>
    <x v="178"/>
    <x v="12"/>
    <x v="6"/>
    <s v="MEDIA"/>
    <s v="MEDIA"/>
    <n v="64"/>
    <s v="cumple"/>
    <x v="7"/>
    <x v="1"/>
    <x v="1218"/>
    <n v="348"/>
    <x v="0"/>
  </r>
  <r>
    <x v="0"/>
    <x v="0"/>
    <x v="1"/>
    <x v="0"/>
    <x v="3"/>
    <x v="2"/>
    <x v="4"/>
    <x v="607"/>
    <x v="1219"/>
    <x v="175"/>
    <x v="10"/>
    <x v="175"/>
    <x v="5"/>
    <x v="19"/>
    <x v="0"/>
    <x v="178"/>
    <x v="12"/>
    <x v="6"/>
    <s v="MEDIA"/>
    <s v="MEDIA"/>
    <n v="64"/>
    <s v="cumple"/>
    <x v="7"/>
    <x v="1"/>
    <x v="1219"/>
    <n v="348"/>
    <x v="0"/>
  </r>
  <r>
    <x v="0"/>
    <x v="0"/>
    <x v="1"/>
    <x v="0"/>
    <x v="3"/>
    <x v="2"/>
    <x v="4"/>
    <x v="608"/>
    <x v="1220"/>
    <x v="175"/>
    <x v="3"/>
    <x v="175"/>
    <x v="14"/>
    <x v="19"/>
    <x v="0"/>
    <x v="178"/>
    <x v="12"/>
    <x v="6"/>
    <s v="MEDIA"/>
    <s v="MEDIA"/>
    <n v="64"/>
    <s v="cumple"/>
    <x v="7"/>
    <x v="1"/>
    <x v="1220"/>
    <n v="348"/>
    <x v="0"/>
  </r>
  <r>
    <x v="0"/>
    <x v="0"/>
    <x v="1"/>
    <x v="0"/>
    <x v="3"/>
    <x v="2"/>
    <x v="4"/>
    <x v="609"/>
    <x v="1221"/>
    <x v="175"/>
    <x v="11"/>
    <x v="175"/>
    <x v="9"/>
    <x v="19"/>
    <x v="0"/>
    <x v="178"/>
    <x v="12"/>
    <x v="6"/>
    <s v="MEDIA"/>
    <s v="MEDIA"/>
    <n v="64"/>
    <s v="cumple"/>
    <x v="7"/>
    <x v="1"/>
    <x v="1221"/>
    <n v="348"/>
    <x v="0"/>
  </r>
  <r>
    <x v="0"/>
    <x v="0"/>
    <x v="1"/>
    <x v="0"/>
    <x v="3"/>
    <x v="2"/>
    <x v="4"/>
    <x v="610"/>
    <x v="1222"/>
    <x v="175"/>
    <x v="9"/>
    <x v="175"/>
    <x v="12"/>
    <x v="19"/>
    <x v="0"/>
    <x v="178"/>
    <x v="12"/>
    <x v="6"/>
    <s v="MEDIA"/>
    <s v="MEDIA"/>
    <n v="64"/>
    <s v="cumple"/>
    <x v="7"/>
    <x v="1"/>
    <x v="1222"/>
    <n v="348"/>
    <x v="0"/>
  </r>
  <r>
    <x v="0"/>
    <x v="0"/>
    <x v="1"/>
    <x v="0"/>
    <x v="3"/>
    <x v="2"/>
    <x v="4"/>
    <x v="611"/>
    <x v="1223"/>
    <x v="176"/>
    <x v="0"/>
    <x v="176"/>
    <x v="23"/>
    <x v="19"/>
    <x v="0"/>
    <x v="178"/>
    <x v="12"/>
    <x v="6"/>
    <s v="MEDIA"/>
    <s v="MEDIA"/>
    <n v="64"/>
    <s v="cumple"/>
    <x v="7"/>
    <x v="1"/>
    <x v="1223"/>
    <n v="348"/>
    <x v="0"/>
  </r>
  <r>
    <x v="0"/>
    <x v="0"/>
    <x v="1"/>
    <x v="0"/>
    <x v="3"/>
    <x v="2"/>
    <x v="4"/>
    <x v="612"/>
    <x v="1224"/>
    <x v="176"/>
    <x v="19"/>
    <x v="176"/>
    <x v="8"/>
    <x v="19"/>
    <x v="0"/>
    <x v="178"/>
    <x v="12"/>
    <x v="6"/>
    <s v="MEDIA"/>
    <s v="MEDIA"/>
    <n v="64"/>
    <s v="cumple"/>
    <x v="7"/>
    <x v="1"/>
    <x v="1224"/>
    <n v="348"/>
    <x v="0"/>
  </r>
  <r>
    <x v="0"/>
    <x v="0"/>
    <x v="1"/>
    <x v="0"/>
    <x v="3"/>
    <x v="2"/>
    <x v="4"/>
    <x v="613"/>
    <x v="1225"/>
    <x v="176"/>
    <x v="8"/>
    <x v="176"/>
    <x v="16"/>
    <x v="19"/>
    <x v="0"/>
    <x v="179"/>
    <x v="12"/>
    <x v="6"/>
    <s v="MEDIA"/>
    <s v="MEDIA"/>
    <n v="64"/>
    <s v="cumple"/>
    <x v="7"/>
    <x v="1"/>
    <x v="1225"/>
    <n v="348"/>
    <x v="0"/>
  </r>
  <r>
    <x v="0"/>
    <x v="0"/>
    <x v="1"/>
    <x v="0"/>
    <x v="3"/>
    <x v="2"/>
    <x v="4"/>
    <x v="614"/>
    <x v="1226"/>
    <x v="176"/>
    <x v="13"/>
    <x v="176"/>
    <x v="3"/>
    <x v="19"/>
    <x v="1"/>
    <x v="180"/>
    <x v="12"/>
    <x v="6"/>
    <s v="MEDIA"/>
    <s v="MEDIA"/>
    <n v="64"/>
    <s v="cumple"/>
    <x v="7"/>
    <x v="1"/>
    <x v="1226"/>
    <n v="348"/>
    <x v="0"/>
  </r>
  <r>
    <x v="0"/>
    <x v="0"/>
    <x v="1"/>
    <x v="0"/>
    <x v="3"/>
    <x v="2"/>
    <x v="4"/>
    <x v="615"/>
    <x v="1227"/>
    <x v="176"/>
    <x v="4"/>
    <x v="176"/>
    <x v="15"/>
    <x v="19"/>
    <x v="1"/>
    <x v="180"/>
    <x v="12"/>
    <x v="6"/>
    <s v="MEDIA"/>
    <s v="MEDIA"/>
    <n v="64"/>
    <s v="cumple"/>
    <x v="7"/>
    <x v="1"/>
    <x v="1227"/>
    <n v="348"/>
    <x v="0"/>
  </r>
  <r>
    <x v="0"/>
    <x v="0"/>
    <x v="1"/>
    <x v="0"/>
    <x v="3"/>
    <x v="2"/>
    <x v="4"/>
    <x v="616"/>
    <x v="1228"/>
    <x v="176"/>
    <x v="12"/>
    <x v="176"/>
    <x v="4"/>
    <x v="19"/>
    <x v="1"/>
    <x v="180"/>
    <x v="12"/>
    <x v="6"/>
    <s v="MEDIA"/>
    <s v="MEDIA"/>
    <n v="64"/>
    <s v="cumple"/>
    <x v="7"/>
    <x v="1"/>
    <x v="1228"/>
    <n v="348"/>
    <x v="0"/>
  </r>
  <r>
    <x v="0"/>
    <x v="0"/>
    <x v="1"/>
    <x v="0"/>
    <x v="3"/>
    <x v="2"/>
    <x v="4"/>
    <x v="617"/>
    <x v="1229"/>
    <x v="176"/>
    <x v="6"/>
    <x v="176"/>
    <x v="13"/>
    <x v="19"/>
    <x v="1"/>
    <x v="180"/>
    <x v="12"/>
    <x v="6"/>
    <s v="MEDIA"/>
    <s v="MEDIA"/>
    <n v="64"/>
    <s v="cumple"/>
    <x v="7"/>
    <x v="1"/>
    <x v="1229"/>
    <n v="348"/>
    <x v="0"/>
  </r>
  <r>
    <x v="0"/>
    <x v="0"/>
    <x v="1"/>
    <x v="0"/>
    <x v="3"/>
    <x v="2"/>
    <x v="4"/>
    <x v="618"/>
    <x v="1230"/>
    <x v="176"/>
    <x v="10"/>
    <x v="176"/>
    <x v="5"/>
    <x v="19"/>
    <x v="1"/>
    <x v="180"/>
    <x v="12"/>
    <x v="6"/>
    <s v="MEDIA"/>
    <s v="MEDIA"/>
    <n v="64"/>
    <s v="cumple"/>
    <x v="7"/>
    <x v="1"/>
    <x v="1230"/>
    <n v="348"/>
    <x v="0"/>
  </r>
  <r>
    <x v="0"/>
    <x v="0"/>
    <x v="1"/>
    <x v="0"/>
    <x v="3"/>
    <x v="2"/>
    <x v="4"/>
    <x v="619"/>
    <x v="1231"/>
    <x v="176"/>
    <x v="3"/>
    <x v="176"/>
    <x v="14"/>
    <x v="19"/>
    <x v="1"/>
    <x v="180"/>
    <x v="12"/>
    <x v="6"/>
    <s v="MEDIA"/>
    <s v="MEDIA"/>
    <n v="64"/>
    <s v="cumple"/>
    <x v="7"/>
    <x v="1"/>
    <x v="1231"/>
    <n v="348"/>
    <x v="0"/>
  </r>
  <r>
    <x v="0"/>
    <x v="0"/>
    <x v="1"/>
    <x v="0"/>
    <x v="3"/>
    <x v="2"/>
    <x v="4"/>
    <x v="620"/>
    <x v="1232"/>
    <x v="176"/>
    <x v="11"/>
    <x v="176"/>
    <x v="9"/>
    <x v="19"/>
    <x v="1"/>
    <x v="180"/>
    <x v="12"/>
    <x v="6"/>
    <s v="MEDIA"/>
    <s v="MEDIA"/>
    <n v="64"/>
    <s v="cumple"/>
    <x v="7"/>
    <x v="1"/>
    <x v="1232"/>
    <n v="348"/>
    <x v="0"/>
  </r>
  <r>
    <x v="2"/>
    <x v="6"/>
    <x v="0"/>
    <x v="0"/>
    <x v="5"/>
    <x v="6"/>
    <x v="5"/>
    <x v="621"/>
    <x v="1233"/>
    <x v="166"/>
    <x v="0"/>
    <x v="166"/>
    <x v="3"/>
    <x v="4"/>
    <x v="0"/>
    <x v="181"/>
    <x v="6"/>
    <x v="2"/>
    <s v="MEDIA"/>
    <s v="MEDIA"/>
    <n v="64"/>
    <s v="cumple"/>
    <x v="7"/>
    <x v="0"/>
    <x v="1233"/>
    <n v="1392"/>
    <x v="0"/>
  </r>
  <r>
    <x v="2"/>
    <x v="6"/>
    <x v="0"/>
    <x v="0"/>
    <x v="5"/>
    <x v="6"/>
    <x v="5"/>
    <x v="622"/>
    <x v="1234"/>
    <x v="167"/>
    <x v="0"/>
    <x v="167"/>
    <x v="4"/>
    <x v="5"/>
    <x v="0"/>
    <x v="182"/>
    <x v="6"/>
    <x v="2"/>
    <s v="MEDIA"/>
    <s v="MEDIA"/>
    <n v="64"/>
    <s v="cumple"/>
    <x v="7"/>
    <x v="0"/>
    <x v="1234"/>
    <n v="2088"/>
    <x v="0"/>
  </r>
  <r>
    <x v="2"/>
    <x v="6"/>
    <x v="0"/>
    <x v="0"/>
    <x v="5"/>
    <x v="6"/>
    <x v="6"/>
    <x v="623"/>
    <x v="1235"/>
    <x v="174"/>
    <x v="0"/>
    <x v="174"/>
    <x v="3"/>
    <x v="4"/>
    <x v="0"/>
    <x v="183"/>
    <x v="6"/>
    <x v="2"/>
    <s v="MEDIA"/>
    <s v="MEDIA"/>
    <n v="64"/>
    <s v="cumple"/>
    <x v="7"/>
    <x v="0"/>
    <x v="1235"/>
    <n v="1392"/>
    <x v="0"/>
  </r>
  <r>
    <x v="0"/>
    <x v="0"/>
    <x v="2"/>
    <x v="0"/>
    <x v="6"/>
    <x v="5"/>
    <x v="1"/>
    <x v="39"/>
    <x v="766"/>
    <x v="154"/>
    <x v="0"/>
    <x v="154"/>
    <x v="0"/>
    <x v="8"/>
    <x v="0"/>
    <x v="184"/>
    <x v="3"/>
    <x v="1"/>
    <s v="MEDIA"/>
    <s v="MEDIA"/>
    <n v="64"/>
    <s v="cumple"/>
    <x v="7"/>
    <x v="2"/>
    <x v="766"/>
    <n v="4930"/>
    <x v="0"/>
  </r>
  <r>
    <x v="0"/>
    <x v="0"/>
    <x v="2"/>
    <x v="0"/>
    <x v="6"/>
    <x v="5"/>
    <x v="1"/>
    <x v="39"/>
    <x v="1236"/>
    <x v="155"/>
    <x v="0"/>
    <x v="155"/>
    <x v="0"/>
    <x v="8"/>
    <x v="0"/>
    <x v="185"/>
    <x v="3"/>
    <x v="1"/>
    <s v="MEDIA"/>
    <s v="MEDIA"/>
    <n v="64"/>
    <s v="cumple"/>
    <x v="7"/>
    <x v="2"/>
    <x v="1236"/>
    <n v="4930"/>
    <x v="0"/>
  </r>
  <r>
    <x v="0"/>
    <x v="0"/>
    <x v="2"/>
    <x v="0"/>
    <x v="6"/>
    <x v="5"/>
    <x v="1"/>
    <x v="39"/>
    <x v="562"/>
    <x v="156"/>
    <x v="0"/>
    <x v="156"/>
    <x v="0"/>
    <x v="8"/>
    <x v="0"/>
    <x v="186"/>
    <x v="3"/>
    <x v="1"/>
    <s v="MEDIA"/>
    <s v="MEDIA"/>
    <n v="64"/>
    <s v="cumple"/>
    <x v="7"/>
    <x v="2"/>
    <x v="562"/>
    <n v="4930"/>
    <x v="0"/>
  </r>
  <r>
    <x v="0"/>
    <x v="0"/>
    <x v="2"/>
    <x v="0"/>
    <x v="6"/>
    <x v="5"/>
    <x v="1"/>
    <x v="39"/>
    <x v="1237"/>
    <x v="157"/>
    <x v="0"/>
    <x v="157"/>
    <x v="4"/>
    <x v="5"/>
    <x v="0"/>
    <x v="187"/>
    <x v="3"/>
    <x v="1"/>
    <s v="MEDIA"/>
    <s v="MEDIA"/>
    <n v="64"/>
    <s v="cumple"/>
    <x v="7"/>
    <x v="2"/>
    <x v="1237"/>
    <n v="1739.9999999999998"/>
    <x v="0"/>
  </r>
  <r>
    <x v="0"/>
    <x v="0"/>
    <x v="2"/>
    <x v="0"/>
    <x v="6"/>
    <x v="5"/>
    <x v="1"/>
    <x v="39"/>
    <x v="1238"/>
    <x v="157"/>
    <x v="6"/>
    <x v="157"/>
    <x v="7"/>
    <x v="5"/>
    <x v="0"/>
    <x v="186"/>
    <x v="3"/>
    <x v="1"/>
    <s v="MEDIA"/>
    <s v="MEDIA"/>
    <n v="64"/>
    <s v="cumple"/>
    <x v="7"/>
    <x v="2"/>
    <x v="1238"/>
    <n v="1739.9999999999998"/>
    <x v="0"/>
  </r>
  <r>
    <x v="0"/>
    <x v="0"/>
    <x v="2"/>
    <x v="0"/>
    <x v="6"/>
    <x v="5"/>
    <x v="1"/>
    <x v="39"/>
    <x v="769"/>
    <x v="158"/>
    <x v="0"/>
    <x v="158"/>
    <x v="3"/>
    <x v="4"/>
    <x v="0"/>
    <x v="186"/>
    <x v="3"/>
    <x v="1"/>
    <s v="MEDIA"/>
    <s v="MEDIA"/>
    <n v="64"/>
    <s v="cumple"/>
    <x v="7"/>
    <x v="2"/>
    <x v="769"/>
    <n v="1160"/>
    <x v="0"/>
  </r>
  <r>
    <x v="0"/>
    <x v="5"/>
    <x v="2"/>
    <x v="0"/>
    <x v="6"/>
    <x v="5"/>
    <x v="1"/>
    <x v="39"/>
    <x v="1239"/>
    <x v="158"/>
    <x v="4"/>
    <x v="158"/>
    <x v="18"/>
    <x v="7"/>
    <x v="0"/>
    <x v="186"/>
    <x v="3"/>
    <x v="1"/>
    <s v="MEDIA"/>
    <s v="MEDIA"/>
    <n v="64"/>
    <s v="cumple"/>
    <x v="7"/>
    <x v="2"/>
    <x v="1239"/>
    <n v="2320"/>
    <x v="0"/>
  </r>
  <r>
    <x v="0"/>
    <x v="5"/>
    <x v="2"/>
    <x v="0"/>
    <x v="6"/>
    <x v="5"/>
    <x v="1"/>
    <x v="39"/>
    <x v="322"/>
    <x v="158"/>
    <x v="15"/>
    <x v="158"/>
    <x v="0"/>
    <x v="12"/>
    <x v="0"/>
    <x v="186"/>
    <x v="3"/>
    <x v="1"/>
    <s v="MEDIA"/>
    <s v="MEDIA"/>
    <n v="64"/>
    <s v="cumple"/>
    <x v="7"/>
    <x v="2"/>
    <x v="322"/>
    <n v="1450"/>
    <x v="0"/>
  </r>
  <r>
    <x v="0"/>
    <x v="5"/>
    <x v="2"/>
    <x v="0"/>
    <x v="6"/>
    <x v="5"/>
    <x v="1"/>
    <x v="39"/>
    <x v="769"/>
    <x v="159"/>
    <x v="0"/>
    <x v="134"/>
    <x v="5"/>
    <x v="7"/>
    <x v="0"/>
    <x v="186"/>
    <x v="3"/>
    <x v="1"/>
    <s v="MEDIA"/>
    <s v="MEDIA"/>
    <n v="64"/>
    <s v="cumple"/>
    <x v="7"/>
    <x v="2"/>
    <x v="769"/>
    <n v="2320"/>
    <x v="0"/>
  </r>
  <r>
    <x v="0"/>
    <x v="5"/>
    <x v="2"/>
    <x v="0"/>
    <x v="6"/>
    <x v="5"/>
    <x v="1"/>
    <x v="39"/>
    <x v="1240"/>
    <x v="159"/>
    <x v="3"/>
    <x v="159"/>
    <x v="0"/>
    <x v="14"/>
    <x v="0"/>
    <x v="188"/>
    <x v="3"/>
    <x v="1"/>
    <s v="MEDIA"/>
    <s v="MEDIA"/>
    <n v="64"/>
    <s v="cumple"/>
    <x v="7"/>
    <x v="2"/>
    <x v="1240"/>
    <n v="2610"/>
    <x v="0"/>
  </r>
  <r>
    <x v="0"/>
    <x v="5"/>
    <x v="2"/>
    <x v="0"/>
    <x v="6"/>
    <x v="5"/>
    <x v="1"/>
    <x v="39"/>
    <x v="775"/>
    <x v="160"/>
    <x v="0"/>
    <x v="160"/>
    <x v="9"/>
    <x v="6"/>
    <x v="0"/>
    <x v="186"/>
    <x v="3"/>
    <x v="1"/>
    <s v="MEDIA"/>
    <s v="MEDIA"/>
    <n v="64"/>
    <s v="cumple"/>
    <x v="7"/>
    <x v="2"/>
    <x v="775"/>
    <n v="2900"/>
    <x v="0"/>
  </r>
  <r>
    <x v="0"/>
    <x v="5"/>
    <x v="2"/>
    <x v="0"/>
    <x v="6"/>
    <x v="5"/>
    <x v="1"/>
    <x v="39"/>
    <x v="1241"/>
    <x v="160"/>
    <x v="9"/>
    <x v="160"/>
    <x v="0"/>
    <x v="13"/>
    <x v="0"/>
    <x v="188"/>
    <x v="3"/>
    <x v="1"/>
    <s v="MEDIA"/>
    <s v="MEDIA"/>
    <n v="64"/>
    <s v="cumple"/>
    <x v="7"/>
    <x v="2"/>
    <x v="1241"/>
    <n v="2029.9999999999998"/>
    <x v="0"/>
  </r>
  <r>
    <x v="0"/>
    <x v="5"/>
    <x v="2"/>
    <x v="0"/>
    <x v="6"/>
    <x v="5"/>
    <x v="1"/>
    <x v="39"/>
    <x v="767"/>
    <x v="161"/>
    <x v="0"/>
    <x v="161"/>
    <x v="5"/>
    <x v="7"/>
    <x v="0"/>
    <x v="186"/>
    <x v="3"/>
    <x v="1"/>
    <s v="MEDIA"/>
    <s v="MEDIA"/>
    <n v="64"/>
    <s v="cumple"/>
    <x v="7"/>
    <x v="2"/>
    <x v="767"/>
    <n v="2320"/>
    <x v="0"/>
  </r>
  <r>
    <x v="0"/>
    <x v="5"/>
    <x v="2"/>
    <x v="0"/>
    <x v="6"/>
    <x v="5"/>
    <x v="1"/>
    <x v="39"/>
    <x v="322"/>
    <x v="161"/>
    <x v="3"/>
    <x v="161"/>
    <x v="0"/>
    <x v="14"/>
    <x v="0"/>
    <x v="186"/>
    <x v="3"/>
    <x v="1"/>
    <s v="MEDIA"/>
    <s v="MEDIA"/>
    <n v="64"/>
    <s v="cumple"/>
    <x v="7"/>
    <x v="2"/>
    <x v="322"/>
    <n v="2610"/>
    <x v="0"/>
  </r>
  <r>
    <x v="0"/>
    <x v="5"/>
    <x v="2"/>
    <x v="0"/>
    <x v="6"/>
    <x v="5"/>
    <x v="1"/>
    <x v="39"/>
    <x v="1242"/>
    <x v="162"/>
    <x v="0"/>
    <x v="162"/>
    <x v="7"/>
    <x v="3"/>
    <x v="0"/>
    <x v="186"/>
    <x v="3"/>
    <x v="1"/>
    <s v="MEDIA"/>
    <s v="MEDIA"/>
    <n v="64"/>
    <s v="cumple"/>
    <x v="7"/>
    <x v="2"/>
    <x v="1242"/>
    <n v="3479.9999999999995"/>
    <x v="0"/>
  </r>
  <r>
    <x v="0"/>
    <x v="5"/>
    <x v="2"/>
    <x v="0"/>
    <x v="6"/>
    <x v="5"/>
    <x v="1"/>
    <x v="39"/>
    <x v="775"/>
    <x v="163"/>
    <x v="0"/>
    <x v="163"/>
    <x v="5"/>
    <x v="7"/>
    <x v="0"/>
    <x v="186"/>
    <x v="3"/>
    <x v="1"/>
    <s v="MEDIA"/>
    <s v="MEDIA"/>
    <n v="64"/>
    <s v="cumple"/>
    <x v="7"/>
    <x v="2"/>
    <x v="775"/>
    <n v="2320"/>
    <x v="0"/>
  </r>
  <r>
    <x v="0"/>
    <x v="5"/>
    <x v="2"/>
    <x v="0"/>
    <x v="6"/>
    <x v="5"/>
    <x v="1"/>
    <x v="39"/>
    <x v="1243"/>
    <x v="163"/>
    <x v="3"/>
    <x v="163"/>
    <x v="0"/>
    <x v="14"/>
    <x v="0"/>
    <x v="186"/>
    <x v="3"/>
    <x v="1"/>
    <s v="MEDIA"/>
    <s v="MEDIA"/>
    <n v="64"/>
    <s v="cumple"/>
    <x v="7"/>
    <x v="2"/>
    <x v="1243"/>
    <n v="2610"/>
    <x v="0"/>
  </r>
  <r>
    <x v="0"/>
    <x v="5"/>
    <x v="2"/>
    <x v="0"/>
    <x v="6"/>
    <x v="5"/>
    <x v="1"/>
    <x v="39"/>
    <x v="1244"/>
    <x v="164"/>
    <x v="0"/>
    <x v="164"/>
    <x v="5"/>
    <x v="7"/>
    <x v="0"/>
    <x v="189"/>
    <x v="3"/>
    <x v="1"/>
    <s v="MEDIA"/>
    <s v="MEDIA"/>
    <n v="64"/>
    <s v="cumple"/>
    <x v="7"/>
    <x v="2"/>
    <x v="1244"/>
    <n v="2320"/>
    <x v="0"/>
  </r>
  <r>
    <x v="0"/>
    <x v="5"/>
    <x v="2"/>
    <x v="0"/>
    <x v="6"/>
    <x v="5"/>
    <x v="1"/>
    <x v="39"/>
    <x v="322"/>
    <x v="164"/>
    <x v="3"/>
    <x v="164"/>
    <x v="0"/>
    <x v="14"/>
    <x v="0"/>
    <x v="186"/>
    <x v="3"/>
    <x v="1"/>
    <s v="MEDIA"/>
    <s v="MEDIA"/>
    <n v="64"/>
    <s v="cumple"/>
    <x v="7"/>
    <x v="2"/>
    <x v="322"/>
    <n v="2610"/>
    <x v="0"/>
  </r>
  <r>
    <x v="0"/>
    <x v="5"/>
    <x v="2"/>
    <x v="0"/>
    <x v="6"/>
    <x v="5"/>
    <x v="1"/>
    <x v="39"/>
    <x v="775"/>
    <x v="165"/>
    <x v="0"/>
    <x v="165"/>
    <x v="15"/>
    <x v="12"/>
    <x v="0"/>
    <x v="186"/>
    <x v="3"/>
    <x v="1"/>
    <s v="MEDIA"/>
    <s v="MEDIA"/>
    <n v="64"/>
    <s v="cumple"/>
    <x v="7"/>
    <x v="2"/>
    <x v="775"/>
    <n v="1450"/>
    <x v="0"/>
  </r>
  <r>
    <x v="0"/>
    <x v="5"/>
    <x v="2"/>
    <x v="0"/>
    <x v="6"/>
    <x v="5"/>
    <x v="1"/>
    <x v="39"/>
    <x v="767"/>
    <x v="165"/>
    <x v="12"/>
    <x v="165"/>
    <x v="12"/>
    <x v="5"/>
    <x v="0"/>
    <x v="186"/>
    <x v="3"/>
    <x v="1"/>
    <s v="MEDIA"/>
    <s v="MEDIA"/>
    <n v="64"/>
    <s v="cumple"/>
    <x v="7"/>
    <x v="2"/>
    <x v="767"/>
    <n v="1739.9999999999998"/>
    <x v="0"/>
  </r>
  <r>
    <x v="0"/>
    <x v="5"/>
    <x v="2"/>
    <x v="0"/>
    <x v="6"/>
    <x v="5"/>
    <x v="1"/>
    <x v="39"/>
    <x v="1245"/>
    <x v="165"/>
    <x v="7"/>
    <x v="166"/>
    <x v="0"/>
    <x v="5"/>
    <x v="0"/>
    <x v="186"/>
    <x v="3"/>
    <x v="1"/>
    <s v="MEDIA"/>
    <s v="MEDIA"/>
    <n v="64"/>
    <s v="cumple"/>
    <x v="7"/>
    <x v="2"/>
    <x v="1245"/>
    <n v="1739.9999999999998"/>
    <x v="0"/>
  </r>
  <r>
    <x v="0"/>
    <x v="5"/>
    <x v="2"/>
    <x v="0"/>
    <x v="6"/>
    <x v="5"/>
    <x v="1"/>
    <x v="39"/>
    <x v="322"/>
    <x v="166"/>
    <x v="0"/>
    <x v="166"/>
    <x v="0"/>
    <x v="8"/>
    <x v="0"/>
    <x v="186"/>
    <x v="3"/>
    <x v="1"/>
    <s v="MEDIA"/>
    <s v="MEDIA"/>
    <n v="64"/>
    <s v="cumple"/>
    <x v="7"/>
    <x v="2"/>
    <x v="322"/>
    <n v="4930"/>
    <x v="0"/>
  </r>
  <r>
    <x v="0"/>
    <x v="5"/>
    <x v="2"/>
    <x v="0"/>
    <x v="6"/>
    <x v="5"/>
    <x v="1"/>
    <x v="39"/>
    <x v="1246"/>
    <x v="167"/>
    <x v="0"/>
    <x v="167"/>
    <x v="7"/>
    <x v="3"/>
    <x v="0"/>
    <x v="186"/>
    <x v="3"/>
    <x v="1"/>
    <s v="MEDIA"/>
    <s v="MEDIA"/>
    <n v="64"/>
    <s v="cumple"/>
    <x v="7"/>
    <x v="2"/>
    <x v="1246"/>
    <n v="3479.9999999999995"/>
    <x v="0"/>
  </r>
  <r>
    <x v="0"/>
    <x v="5"/>
    <x v="2"/>
    <x v="0"/>
    <x v="6"/>
    <x v="5"/>
    <x v="1"/>
    <x v="39"/>
    <x v="1247"/>
    <x v="168"/>
    <x v="0"/>
    <x v="168"/>
    <x v="0"/>
    <x v="8"/>
    <x v="0"/>
    <x v="185"/>
    <x v="3"/>
    <x v="1"/>
    <s v="MEDIA"/>
    <s v="MEDIA"/>
    <n v="64"/>
    <s v="cumple"/>
    <x v="7"/>
    <x v="2"/>
    <x v="1247"/>
    <n v="4930"/>
    <x v="0"/>
  </r>
  <r>
    <x v="0"/>
    <x v="5"/>
    <x v="2"/>
    <x v="0"/>
    <x v="6"/>
    <x v="5"/>
    <x v="1"/>
    <x v="39"/>
    <x v="767"/>
    <x v="169"/>
    <x v="0"/>
    <x v="169"/>
    <x v="0"/>
    <x v="8"/>
    <x v="0"/>
    <x v="186"/>
    <x v="3"/>
    <x v="1"/>
    <s v="MEDIA"/>
    <s v="MEDIA"/>
    <n v="64"/>
    <s v="cumple"/>
    <x v="7"/>
    <x v="2"/>
    <x v="767"/>
    <n v="4930"/>
    <x v="0"/>
  </r>
  <r>
    <x v="0"/>
    <x v="5"/>
    <x v="2"/>
    <x v="0"/>
    <x v="6"/>
    <x v="5"/>
    <x v="1"/>
    <x v="39"/>
    <x v="1248"/>
    <x v="170"/>
    <x v="0"/>
    <x v="170"/>
    <x v="0"/>
    <x v="8"/>
    <x v="0"/>
    <x v="186"/>
    <x v="3"/>
    <x v="1"/>
    <s v="MEDIA"/>
    <s v="MEDIA"/>
    <n v="64"/>
    <s v="cumple"/>
    <x v="7"/>
    <x v="2"/>
    <x v="1248"/>
    <n v="4930"/>
    <x v="0"/>
  </r>
  <r>
    <x v="0"/>
    <x v="5"/>
    <x v="2"/>
    <x v="0"/>
    <x v="6"/>
    <x v="5"/>
    <x v="1"/>
    <x v="39"/>
    <x v="322"/>
    <x v="171"/>
    <x v="0"/>
    <x v="171"/>
    <x v="0"/>
    <x v="8"/>
    <x v="0"/>
    <x v="186"/>
    <x v="3"/>
    <x v="1"/>
    <s v="MEDIA"/>
    <s v="MEDIA"/>
    <n v="64"/>
    <s v="cumple"/>
    <x v="7"/>
    <x v="2"/>
    <x v="322"/>
    <n v="4930"/>
    <x v="0"/>
  </r>
  <r>
    <x v="0"/>
    <x v="5"/>
    <x v="2"/>
    <x v="0"/>
    <x v="6"/>
    <x v="5"/>
    <x v="1"/>
    <x v="39"/>
    <x v="322"/>
    <x v="172"/>
    <x v="0"/>
    <x v="172"/>
    <x v="7"/>
    <x v="3"/>
    <x v="0"/>
    <x v="186"/>
    <x v="3"/>
    <x v="1"/>
    <s v="MEDIA"/>
    <s v="MEDIA"/>
    <n v="64"/>
    <s v="cumple"/>
    <x v="7"/>
    <x v="2"/>
    <x v="322"/>
    <n v="3479.9999999999995"/>
    <x v="0"/>
  </r>
  <r>
    <x v="0"/>
    <x v="5"/>
    <x v="2"/>
    <x v="0"/>
    <x v="6"/>
    <x v="5"/>
    <x v="1"/>
    <x v="39"/>
    <x v="1249"/>
    <x v="173"/>
    <x v="0"/>
    <x v="173"/>
    <x v="0"/>
    <x v="8"/>
    <x v="0"/>
    <x v="190"/>
    <x v="3"/>
    <x v="1"/>
    <s v="MEDIA"/>
    <s v="MEDIA"/>
    <n v="64"/>
    <s v="cumple"/>
    <x v="7"/>
    <x v="2"/>
    <x v="1249"/>
    <n v="4930"/>
    <x v="0"/>
  </r>
  <r>
    <x v="0"/>
    <x v="5"/>
    <x v="2"/>
    <x v="0"/>
    <x v="6"/>
    <x v="5"/>
    <x v="1"/>
    <x v="39"/>
    <x v="1250"/>
    <x v="174"/>
    <x v="0"/>
    <x v="174"/>
    <x v="0"/>
    <x v="8"/>
    <x v="0"/>
    <x v="191"/>
    <x v="3"/>
    <x v="1"/>
    <s v="MEDIA"/>
    <s v="MEDIA"/>
    <n v="64"/>
    <s v="cumple"/>
    <x v="7"/>
    <x v="2"/>
    <x v="1250"/>
    <n v="4930"/>
    <x v="0"/>
  </r>
  <r>
    <x v="0"/>
    <x v="5"/>
    <x v="2"/>
    <x v="0"/>
    <x v="6"/>
    <x v="5"/>
    <x v="1"/>
    <x v="39"/>
    <x v="1247"/>
    <x v="175"/>
    <x v="0"/>
    <x v="175"/>
    <x v="0"/>
    <x v="8"/>
    <x v="0"/>
    <x v="185"/>
    <x v="3"/>
    <x v="1"/>
    <s v="MEDIA"/>
    <s v="MEDIA"/>
    <n v="64"/>
    <s v="cumple"/>
    <x v="7"/>
    <x v="2"/>
    <x v="1247"/>
    <n v="4930"/>
    <x v="0"/>
  </r>
  <r>
    <x v="0"/>
    <x v="5"/>
    <x v="2"/>
    <x v="0"/>
    <x v="6"/>
    <x v="5"/>
    <x v="1"/>
    <x v="39"/>
    <x v="322"/>
    <x v="176"/>
    <x v="0"/>
    <x v="176"/>
    <x v="0"/>
    <x v="8"/>
    <x v="0"/>
    <x v="186"/>
    <x v="3"/>
    <x v="1"/>
    <s v="MEDIA"/>
    <s v="MEDIA"/>
    <n v="64"/>
    <s v="cumple"/>
    <x v="7"/>
    <x v="2"/>
    <x v="322"/>
    <n v="4930"/>
    <x v="0"/>
  </r>
  <r>
    <x v="0"/>
    <x v="1"/>
    <x v="4"/>
    <x v="0"/>
    <x v="1"/>
    <x v="1"/>
    <x v="0"/>
    <x v="624"/>
    <x v="1251"/>
    <x v="165"/>
    <x v="0"/>
    <x v="165"/>
    <x v="3"/>
    <x v="4"/>
    <x v="0"/>
    <x v="42"/>
    <x v="14"/>
    <x v="0"/>
    <s v="MEDIA"/>
    <s v="MEDIA"/>
    <n v="64"/>
    <s v="cumple"/>
    <x v="7"/>
    <x v="4"/>
    <x v="1251"/>
    <n v="1624"/>
    <x v="0"/>
  </r>
  <r>
    <x v="0"/>
    <x v="1"/>
    <x v="4"/>
    <x v="0"/>
    <x v="1"/>
    <x v="1"/>
    <x v="0"/>
    <x v="625"/>
    <x v="1252"/>
    <x v="165"/>
    <x v="4"/>
    <x v="165"/>
    <x v="15"/>
    <x v="19"/>
    <x v="0"/>
    <x v="42"/>
    <x v="14"/>
    <x v="0"/>
    <s v="MEDIA"/>
    <s v="MEDIA"/>
    <n v="64"/>
    <s v="cumple"/>
    <x v="7"/>
    <x v="4"/>
    <x v="1252"/>
    <n v="406"/>
    <x v="0"/>
  </r>
  <r>
    <x v="0"/>
    <x v="1"/>
    <x v="4"/>
    <x v="0"/>
    <x v="1"/>
    <x v="1"/>
    <x v="0"/>
    <x v="625"/>
    <x v="1253"/>
    <x v="165"/>
    <x v="12"/>
    <x v="165"/>
    <x v="5"/>
    <x v="15"/>
    <x v="0"/>
    <x v="42"/>
    <x v="14"/>
    <x v="0"/>
    <s v="MEDIA"/>
    <s v="MEDIA"/>
    <n v="64"/>
    <s v="cumple"/>
    <x v="7"/>
    <x v="4"/>
    <x v="1253"/>
    <n v="1218"/>
    <x v="0"/>
  </r>
  <r>
    <x v="0"/>
    <x v="1"/>
    <x v="4"/>
    <x v="0"/>
    <x v="1"/>
    <x v="1"/>
    <x v="0"/>
    <x v="626"/>
    <x v="1254"/>
    <x v="165"/>
    <x v="3"/>
    <x v="165"/>
    <x v="0"/>
    <x v="7"/>
    <x v="0"/>
    <x v="42"/>
    <x v="14"/>
    <x v="0"/>
    <s v="MEDIA"/>
    <s v="MEDIA"/>
    <n v="64"/>
    <s v="cumple"/>
    <x v="7"/>
    <x v="4"/>
    <x v="1254"/>
    <n v="3248"/>
    <x v="0"/>
  </r>
  <r>
    <x v="0"/>
    <x v="1"/>
    <x v="4"/>
    <x v="0"/>
    <x v="1"/>
    <x v="1"/>
    <x v="0"/>
    <x v="627"/>
    <x v="1255"/>
    <x v="166"/>
    <x v="0"/>
    <x v="166"/>
    <x v="0"/>
    <x v="0"/>
    <x v="0"/>
    <x v="42"/>
    <x v="14"/>
    <x v="0"/>
    <s v="MEDIA"/>
    <s v="MEDIA"/>
    <n v="64"/>
    <s v="cumple"/>
    <x v="7"/>
    <x v="4"/>
    <x v="1255"/>
    <n v="6496"/>
    <x v="0"/>
  </r>
  <r>
    <x v="0"/>
    <x v="1"/>
    <x v="4"/>
    <x v="0"/>
    <x v="1"/>
    <x v="1"/>
    <x v="0"/>
    <x v="628"/>
    <x v="1256"/>
    <x v="167"/>
    <x v="0"/>
    <x v="167"/>
    <x v="0"/>
    <x v="0"/>
    <x v="0"/>
    <x v="42"/>
    <x v="14"/>
    <x v="0"/>
    <s v="MEDIA"/>
    <s v="MEDIA"/>
    <n v="64"/>
    <s v="cumple"/>
    <x v="7"/>
    <x v="4"/>
    <x v="1256"/>
    <n v="6496"/>
    <x v="0"/>
  </r>
  <r>
    <x v="0"/>
    <x v="1"/>
    <x v="4"/>
    <x v="0"/>
    <x v="1"/>
    <x v="1"/>
    <x v="0"/>
    <x v="629"/>
    <x v="1257"/>
    <x v="168"/>
    <x v="0"/>
    <x v="168"/>
    <x v="0"/>
    <x v="0"/>
    <x v="0"/>
    <x v="42"/>
    <x v="14"/>
    <x v="0"/>
    <s v="MEDIA"/>
    <s v="MEDIA"/>
    <n v="64"/>
    <s v="cumple"/>
    <x v="7"/>
    <x v="4"/>
    <x v="1257"/>
    <n v="6496"/>
    <x v="0"/>
  </r>
  <r>
    <x v="0"/>
    <x v="1"/>
    <x v="4"/>
    <x v="0"/>
    <x v="1"/>
    <x v="1"/>
    <x v="0"/>
    <x v="630"/>
    <x v="1258"/>
    <x v="169"/>
    <x v="0"/>
    <x v="169"/>
    <x v="5"/>
    <x v="7"/>
    <x v="0"/>
    <x v="42"/>
    <x v="14"/>
    <x v="0"/>
    <s v="MEDIA"/>
    <s v="MEDIA"/>
    <n v="64"/>
    <s v="cumple"/>
    <x v="7"/>
    <x v="4"/>
    <x v="1258"/>
    <n v="3248"/>
    <x v="0"/>
  </r>
  <r>
    <x v="0"/>
    <x v="1"/>
    <x v="4"/>
    <x v="0"/>
    <x v="1"/>
    <x v="1"/>
    <x v="0"/>
    <x v="631"/>
    <x v="1259"/>
    <x v="169"/>
    <x v="3"/>
    <x v="169"/>
    <x v="0"/>
    <x v="7"/>
    <x v="0"/>
    <x v="42"/>
    <x v="14"/>
    <x v="0"/>
    <s v="MEDIA"/>
    <s v="MEDIA"/>
    <n v="64"/>
    <s v="cumple"/>
    <x v="7"/>
    <x v="4"/>
    <x v="1259"/>
    <n v="3248"/>
    <x v="0"/>
  </r>
  <r>
    <x v="0"/>
    <x v="1"/>
    <x v="4"/>
    <x v="0"/>
    <x v="1"/>
    <x v="1"/>
    <x v="0"/>
    <x v="632"/>
    <x v="1260"/>
    <x v="170"/>
    <x v="0"/>
    <x v="170"/>
    <x v="3"/>
    <x v="4"/>
    <x v="0"/>
    <x v="42"/>
    <x v="14"/>
    <x v="0"/>
    <s v="MEDIA"/>
    <s v="MEDIA"/>
    <n v="64"/>
    <s v="cumple"/>
    <x v="7"/>
    <x v="4"/>
    <x v="1260"/>
    <n v="1624"/>
    <x v="0"/>
  </r>
  <r>
    <x v="0"/>
    <x v="1"/>
    <x v="4"/>
    <x v="0"/>
    <x v="1"/>
    <x v="1"/>
    <x v="0"/>
    <x v="633"/>
    <x v="1261"/>
    <x v="170"/>
    <x v="4"/>
    <x v="170"/>
    <x v="2"/>
    <x v="7"/>
    <x v="0"/>
    <x v="42"/>
    <x v="14"/>
    <x v="0"/>
    <s v="MEDIA"/>
    <s v="MEDIA"/>
    <n v="64"/>
    <s v="cumple"/>
    <x v="7"/>
    <x v="4"/>
    <x v="1261"/>
    <n v="3248"/>
    <x v="0"/>
  </r>
  <r>
    <x v="0"/>
    <x v="1"/>
    <x v="4"/>
    <x v="0"/>
    <x v="1"/>
    <x v="1"/>
    <x v="0"/>
    <x v="634"/>
    <x v="1262"/>
    <x v="170"/>
    <x v="2"/>
    <x v="170"/>
    <x v="0"/>
    <x v="4"/>
    <x v="0"/>
    <x v="42"/>
    <x v="14"/>
    <x v="0"/>
    <s v="MEDIA"/>
    <s v="MEDIA"/>
    <n v="64"/>
    <s v="cumple"/>
    <x v="7"/>
    <x v="4"/>
    <x v="1262"/>
    <n v="1624"/>
    <x v="0"/>
  </r>
  <r>
    <x v="0"/>
    <x v="1"/>
    <x v="4"/>
    <x v="0"/>
    <x v="1"/>
    <x v="1"/>
    <x v="0"/>
    <x v="635"/>
    <x v="1263"/>
    <x v="171"/>
    <x v="0"/>
    <x v="171"/>
    <x v="3"/>
    <x v="4"/>
    <x v="0"/>
    <x v="42"/>
    <x v="14"/>
    <x v="0"/>
    <s v="MEDIA"/>
    <s v="MEDIA"/>
    <n v="64"/>
    <s v="cumple"/>
    <x v="7"/>
    <x v="4"/>
    <x v="1263"/>
    <n v="1624"/>
    <x v="0"/>
  </r>
  <r>
    <x v="0"/>
    <x v="1"/>
    <x v="4"/>
    <x v="0"/>
    <x v="1"/>
    <x v="1"/>
    <x v="0"/>
    <x v="636"/>
    <x v="1264"/>
    <x v="171"/>
    <x v="4"/>
    <x v="171"/>
    <x v="0"/>
    <x v="3"/>
    <x v="0"/>
    <x v="42"/>
    <x v="14"/>
    <x v="0"/>
    <s v="MEDIA"/>
    <s v="MEDIA"/>
    <n v="64"/>
    <s v="cumple"/>
    <x v="7"/>
    <x v="4"/>
    <x v="1264"/>
    <n v="4872"/>
    <x v="0"/>
  </r>
  <r>
    <x v="0"/>
    <x v="1"/>
    <x v="4"/>
    <x v="0"/>
    <x v="1"/>
    <x v="1"/>
    <x v="0"/>
    <x v="637"/>
    <x v="1265"/>
    <x v="172"/>
    <x v="0"/>
    <x v="172"/>
    <x v="0"/>
    <x v="0"/>
    <x v="0"/>
    <x v="42"/>
    <x v="14"/>
    <x v="0"/>
    <s v="MEDIA"/>
    <s v="MEDIA"/>
    <n v="64"/>
    <s v="cumple"/>
    <x v="7"/>
    <x v="4"/>
    <x v="1265"/>
    <n v="6496"/>
    <x v="0"/>
  </r>
  <r>
    <x v="0"/>
    <x v="1"/>
    <x v="4"/>
    <x v="0"/>
    <x v="1"/>
    <x v="1"/>
    <x v="0"/>
    <x v="638"/>
    <x v="1266"/>
    <x v="173"/>
    <x v="0"/>
    <x v="173"/>
    <x v="0"/>
    <x v="0"/>
    <x v="0"/>
    <x v="42"/>
    <x v="14"/>
    <x v="0"/>
    <s v="MEDIA"/>
    <s v="MEDIA"/>
    <n v="64"/>
    <s v="cumple"/>
    <x v="7"/>
    <x v="4"/>
    <x v="1266"/>
    <n v="6496"/>
    <x v="0"/>
  </r>
  <r>
    <x v="0"/>
    <x v="1"/>
    <x v="4"/>
    <x v="0"/>
    <x v="1"/>
    <x v="1"/>
    <x v="0"/>
    <x v="639"/>
    <x v="1267"/>
    <x v="174"/>
    <x v="0"/>
    <x v="174"/>
    <x v="0"/>
    <x v="0"/>
    <x v="0"/>
    <x v="42"/>
    <x v="14"/>
    <x v="0"/>
    <s v="MEDIA"/>
    <s v="MEDIA"/>
    <n v="64"/>
    <s v="cumple"/>
    <x v="7"/>
    <x v="4"/>
    <x v="1267"/>
    <n v="6496"/>
    <x v="0"/>
  </r>
  <r>
    <x v="0"/>
    <x v="1"/>
    <x v="4"/>
    <x v="0"/>
    <x v="1"/>
    <x v="1"/>
    <x v="0"/>
    <x v="640"/>
    <x v="1268"/>
    <x v="175"/>
    <x v="0"/>
    <x v="175"/>
    <x v="0"/>
    <x v="0"/>
    <x v="0"/>
    <x v="42"/>
    <x v="14"/>
    <x v="0"/>
    <s v="MEDIA"/>
    <s v="MEDIA"/>
    <n v="64"/>
    <s v="cumple"/>
    <x v="7"/>
    <x v="4"/>
    <x v="1268"/>
    <n v="6496"/>
    <x v="0"/>
  </r>
  <r>
    <x v="0"/>
    <x v="1"/>
    <x v="4"/>
    <x v="0"/>
    <x v="1"/>
    <x v="1"/>
    <x v="0"/>
    <x v="641"/>
    <x v="1269"/>
    <x v="176"/>
    <x v="0"/>
    <x v="176"/>
    <x v="0"/>
    <x v="0"/>
    <x v="0"/>
    <x v="42"/>
    <x v="14"/>
    <x v="0"/>
    <s v="MEDIA"/>
    <s v="MEDIA"/>
    <n v="64"/>
    <s v="cumple"/>
    <x v="7"/>
    <x v="4"/>
    <x v="1269"/>
    <n v="6496"/>
    <x v="0"/>
  </r>
  <r>
    <x v="0"/>
    <x v="1"/>
    <x v="3"/>
    <x v="0"/>
    <x v="1"/>
    <x v="1"/>
    <x v="7"/>
    <x v="27"/>
    <x v="1270"/>
    <x v="178"/>
    <x v="0"/>
    <x v="178"/>
    <x v="7"/>
    <x v="3"/>
    <x v="0"/>
    <x v="42"/>
    <x v="11"/>
    <x v="0"/>
    <s v="MEDIA"/>
    <s v="MEDIA"/>
    <n v="64"/>
    <s v="cumple"/>
    <x v="8"/>
    <x v="3"/>
    <x v="1270"/>
    <n v="4872"/>
    <x v="0"/>
  </r>
  <r>
    <x v="0"/>
    <x v="1"/>
    <x v="3"/>
    <x v="0"/>
    <x v="1"/>
    <x v="1"/>
    <x v="8"/>
    <x v="27"/>
    <x v="1271"/>
    <x v="179"/>
    <x v="0"/>
    <x v="179"/>
    <x v="0"/>
    <x v="8"/>
    <x v="0"/>
    <x v="42"/>
    <x v="11"/>
    <x v="0"/>
    <s v="MEDIA"/>
    <s v="MEDIA"/>
    <n v="64"/>
    <s v="cumple"/>
    <x v="8"/>
    <x v="3"/>
    <x v="1271"/>
    <n v="6901.9999999999991"/>
    <x v="0"/>
  </r>
  <r>
    <x v="0"/>
    <x v="1"/>
    <x v="3"/>
    <x v="0"/>
    <x v="1"/>
    <x v="1"/>
    <x v="9"/>
    <x v="27"/>
    <x v="1272"/>
    <x v="180"/>
    <x v="0"/>
    <x v="180"/>
    <x v="0"/>
    <x v="8"/>
    <x v="1"/>
    <x v="42"/>
    <x v="11"/>
    <x v="0"/>
    <s v="MEDIA"/>
    <s v="MEDIA"/>
    <n v="64"/>
    <s v="cumple"/>
    <x v="8"/>
    <x v="3"/>
    <x v="1272"/>
    <n v="6901.9999999999991"/>
    <x v="0"/>
  </r>
  <r>
    <x v="0"/>
    <x v="1"/>
    <x v="3"/>
    <x v="0"/>
    <x v="1"/>
    <x v="1"/>
    <x v="9"/>
    <x v="27"/>
    <x v="1272"/>
    <x v="181"/>
    <x v="0"/>
    <x v="181"/>
    <x v="0"/>
    <x v="8"/>
    <x v="0"/>
    <x v="42"/>
    <x v="11"/>
    <x v="0"/>
    <s v="MEDIA"/>
    <s v="MEDIA"/>
    <n v="64"/>
    <s v="cumple"/>
    <x v="8"/>
    <x v="3"/>
    <x v="1272"/>
    <n v="6901.9999999999991"/>
    <x v="0"/>
  </r>
  <r>
    <x v="0"/>
    <x v="1"/>
    <x v="3"/>
    <x v="0"/>
    <x v="1"/>
    <x v="1"/>
    <x v="10"/>
    <x v="27"/>
    <x v="1273"/>
    <x v="182"/>
    <x v="0"/>
    <x v="182"/>
    <x v="0"/>
    <x v="8"/>
    <x v="0"/>
    <x v="42"/>
    <x v="11"/>
    <x v="0"/>
    <s v="MEDIA"/>
    <s v="MEDIA"/>
    <n v="64"/>
    <s v="cumple"/>
    <x v="8"/>
    <x v="3"/>
    <x v="1273"/>
    <n v="6901.9999999999991"/>
    <x v="0"/>
  </r>
  <r>
    <x v="0"/>
    <x v="1"/>
    <x v="3"/>
    <x v="0"/>
    <x v="1"/>
    <x v="1"/>
    <x v="11"/>
    <x v="27"/>
    <x v="1274"/>
    <x v="183"/>
    <x v="0"/>
    <x v="183"/>
    <x v="7"/>
    <x v="3"/>
    <x v="0"/>
    <x v="42"/>
    <x v="11"/>
    <x v="0"/>
    <s v="MEDIA"/>
    <s v="MEDIA"/>
    <n v="64"/>
    <s v="cumple"/>
    <x v="8"/>
    <x v="3"/>
    <x v="1274"/>
    <n v="4872"/>
    <x v="0"/>
  </r>
  <r>
    <x v="0"/>
    <x v="1"/>
    <x v="3"/>
    <x v="0"/>
    <x v="1"/>
    <x v="1"/>
    <x v="12"/>
    <x v="27"/>
    <x v="1275"/>
    <x v="184"/>
    <x v="0"/>
    <x v="184"/>
    <x v="0"/>
    <x v="8"/>
    <x v="1"/>
    <x v="42"/>
    <x v="11"/>
    <x v="0"/>
    <s v="MEDIA"/>
    <s v="MEDIA"/>
    <n v="64"/>
    <s v="cumple"/>
    <x v="8"/>
    <x v="3"/>
    <x v="1275"/>
    <n v="6901.9999999999991"/>
    <x v="0"/>
  </r>
  <r>
    <x v="0"/>
    <x v="1"/>
    <x v="3"/>
    <x v="0"/>
    <x v="1"/>
    <x v="1"/>
    <x v="12"/>
    <x v="27"/>
    <x v="1275"/>
    <x v="185"/>
    <x v="0"/>
    <x v="185"/>
    <x v="0"/>
    <x v="8"/>
    <x v="0"/>
    <x v="42"/>
    <x v="11"/>
    <x v="0"/>
    <s v="MEDIA"/>
    <s v="MEDIA"/>
    <n v="64"/>
    <s v="cumple"/>
    <x v="8"/>
    <x v="3"/>
    <x v="1275"/>
    <n v="6901.9999999999991"/>
    <x v="0"/>
  </r>
  <r>
    <x v="0"/>
    <x v="1"/>
    <x v="3"/>
    <x v="0"/>
    <x v="1"/>
    <x v="1"/>
    <x v="13"/>
    <x v="27"/>
    <x v="1276"/>
    <x v="186"/>
    <x v="0"/>
    <x v="186"/>
    <x v="0"/>
    <x v="8"/>
    <x v="1"/>
    <x v="42"/>
    <x v="11"/>
    <x v="0"/>
    <s v="MEDIA"/>
    <s v="MEDIA"/>
    <n v="64"/>
    <s v="cumple"/>
    <x v="8"/>
    <x v="3"/>
    <x v="1276"/>
    <n v="6901.9999999999991"/>
    <x v="0"/>
  </r>
  <r>
    <x v="0"/>
    <x v="1"/>
    <x v="3"/>
    <x v="0"/>
    <x v="1"/>
    <x v="1"/>
    <x v="13"/>
    <x v="27"/>
    <x v="1276"/>
    <x v="187"/>
    <x v="0"/>
    <x v="187"/>
    <x v="0"/>
    <x v="8"/>
    <x v="0"/>
    <x v="42"/>
    <x v="11"/>
    <x v="0"/>
    <s v="MEDIA"/>
    <s v="MEDIA"/>
    <n v="64"/>
    <s v="cumple"/>
    <x v="8"/>
    <x v="3"/>
    <x v="1276"/>
    <n v="6901.9999999999991"/>
    <x v="0"/>
  </r>
  <r>
    <x v="0"/>
    <x v="1"/>
    <x v="3"/>
    <x v="0"/>
    <x v="1"/>
    <x v="1"/>
    <x v="14"/>
    <x v="27"/>
    <x v="1277"/>
    <x v="188"/>
    <x v="0"/>
    <x v="188"/>
    <x v="7"/>
    <x v="3"/>
    <x v="1"/>
    <x v="42"/>
    <x v="11"/>
    <x v="0"/>
    <s v="MEDIA"/>
    <s v="MEDIA"/>
    <n v="64"/>
    <s v="cumple"/>
    <x v="8"/>
    <x v="3"/>
    <x v="1277"/>
    <n v="4872"/>
    <x v="0"/>
  </r>
  <r>
    <x v="0"/>
    <x v="1"/>
    <x v="3"/>
    <x v="0"/>
    <x v="1"/>
    <x v="1"/>
    <x v="14"/>
    <x v="27"/>
    <x v="1277"/>
    <x v="189"/>
    <x v="0"/>
    <x v="189"/>
    <x v="0"/>
    <x v="8"/>
    <x v="0"/>
    <x v="42"/>
    <x v="11"/>
    <x v="0"/>
    <s v="MEDIA"/>
    <s v="MEDIA"/>
    <n v="64"/>
    <s v="cumple"/>
    <x v="8"/>
    <x v="3"/>
    <x v="1277"/>
    <n v="6901.9999999999991"/>
    <x v="0"/>
  </r>
  <r>
    <x v="0"/>
    <x v="1"/>
    <x v="3"/>
    <x v="0"/>
    <x v="1"/>
    <x v="1"/>
    <x v="15"/>
    <x v="27"/>
    <x v="1278"/>
    <x v="190"/>
    <x v="0"/>
    <x v="190"/>
    <x v="0"/>
    <x v="8"/>
    <x v="0"/>
    <x v="42"/>
    <x v="11"/>
    <x v="0"/>
    <s v="MEDIA"/>
    <s v="MEDIA"/>
    <n v="64"/>
    <s v="cumple"/>
    <x v="8"/>
    <x v="3"/>
    <x v="1278"/>
    <n v="6901.9999999999991"/>
    <x v="0"/>
  </r>
  <r>
    <x v="0"/>
    <x v="1"/>
    <x v="3"/>
    <x v="0"/>
    <x v="1"/>
    <x v="1"/>
    <x v="16"/>
    <x v="27"/>
    <x v="1279"/>
    <x v="191"/>
    <x v="0"/>
    <x v="191"/>
    <x v="0"/>
    <x v="8"/>
    <x v="0"/>
    <x v="42"/>
    <x v="11"/>
    <x v="0"/>
    <s v="MEDIA"/>
    <s v="MEDIA"/>
    <n v="64"/>
    <s v="cumple"/>
    <x v="8"/>
    <x v="3"/>
    <x v="1279"/>
    <n v="6901.9999999999991"/>
    <x v="0"/>
  </r>
  <r>
    <x v="0"/>
    <x v="1"/>
    <x v="3"/>
    <x v="0"/>
    <x v="1"/>
    <x v="1"/>
    <x v="17"/>
    <x v="27"/>
    <x v="1280"/>
    <x v="192"/>
    <x v="0"/>
    <x v="192"/>
    <x v="0"/>
    <x v="8"/>
    <x v="1"/>
    <x v="42"/>
    <x v="11"/>
    <x v="0"/>
    <s v="MEDIA"/>
    <s v="MEDIA"/>
    <n v="64"/>
    <s v="cumple"/>
    <x v="8"/>
    <x v="3"/>
    <x v="1280"/>
    <n v="6901.9999999999991"/>
    <x v="0"/>
  </r>
  <r>
    <x v="0"/>
    <x v="1"/>
    <x v="3"/>
    <x v="0"/>
    <x v="1"/>
    <x v="1"/>
    <x v="17"/>
    <x v="27"/>
    <x v="1280"/>
    <x v="193"/>
    <x v="0"/>
    <x v="193"/>
    <x v="7"/>
    <x v="3"/>
    <x v="0"/>
    <x v="42"/>
    <x v="11"/>
    <x v="0"/>
    <s v="MEDIA"/>
    <s v="MEDIA"/>
    <n v="64"/>
    <s v="cumple"/>
    <x v="8"/>
    <x v="3"/>
    <x v="1280"/>
    <n v="4872"/>
    <x v="0"/>
  </r>
  <r>
    <x v="0"/>
    <x v="1"/>
    <x v="3"/>
    <x v="0"/>
    <x v="1"/>
    <x v="1"/>
    <x v="18"/>
    <x v="27"/>
    <x v="1281"/>
    <x v="194"/>
    <x v="0"/>
    <x v="194"/>
    <x v="0"/>
    <x v="8"/>
    <x v="1"/>
    <x v="42"/>
    <x v="11"/>
    <x v="0"/>
    <s v="MEDIA"/>
    <s v="MEDIA"/>
    <n v="64"/>
    <s v="cumple"/>
    <x v="8"/>
    <x v="3"/>
    <x v="1281"/>
    <n v="6901.9999999999991"/>
    <x v="0"/>
  </r>
  <r>
    <x v="0"/>
    <x v="1"/>
    <x v="3"/>
    <x v="0"/>
    <x v="1"/>
    <x v="1"/>
    <x v="18"/>
    <x v="27"/>
    <x v="1281"/>
    <x v="195"/>
    <x v="0"/>
    <x v="195"/>
    <x v="0"/>
    <x v="8"/>
    <x v="0"/>
    <x v="42"/>
    <x v="11"/>
    <x v="0"/>
    <s v="MEDIA"/>
    <s v="MEDIA"/>
    <n v="64"/>
    <s v="cumple"/>
    <x v="8"/>
    <x v="3"/>
    <x v="1281"/>
    <n v="6901.9999999999991"/>
    <x v="0"/>
  </r>
  <r>
    <x v="0"/>
    <x v="1"/>
    <x v="3"/>
    <x v="0"/>
    <x v="1"/>
    <x v="1"/>
    <x v="19"/>
    <x v="27"/>
    <x v="1282"/>
    <x v="196"/>
    <x v="0"/>
    <x v="196"/>
    <x v="0"/>
    <x v="8"/>
    <x v="1"/>
    <x v="42"/>
    <x v="11"/>
    <x v="0"/>
    <s v="MEDIA"/>
    <s v="MEDIA"/>
    <n v="64"/>
    <s v="cumple"/>
    <x v="8"/>
    <x v="3"/>
    <x v="1282"/>
    <n v="6901.9999999999991"/>
    <x v="0"/>
  </r>
  <r>
    <x v="0"/>
    <x v="1"/>
    <x v="3"/>
    <x v="0"/>
    <x v="1"/>
    <x v="1"/>
    <x v="19"/>
    <x v="27"/>
    <x v="1282"/>
    <x v="197"/>
    <x v="0"/>
    <x v="197"/>
    <x v="0"/>
    <x v="8"/>
    <x v="0"/>
    <x v="42"/>
    <x v="11"/>
    <x v="0"/>
    <s v="MEDIA"/>
    <s v="MEDIA"/>
    <n v="64"/>
    <s v="cumple"/>
    <x v="8"/>
    <x v="3"/>
    <x v="1282"/>
    <n v="6901.9999999999991"/>
    <x v="0"/>
  </r>
  <r>
    <x v="0"/>
    <x v="1"/>
    <x v="3"/>
    <x v="0"/>
    <x v="1"/>
    <x v="1"/>
    <x v="20"/>
    <x v="27"/>
    <x v="1283"/>
    <x v="178"/>
    <x v="0"/>
    <x v="178"/>
    <x v="5"/>
    <x v="7"/>
    <x v="1"/>
    <x v="35"/>
    <x v="5"/>
    <x v="0"/>
    <s v="MEDIA"/>
    <s v="MEDIA"/>
    <n v="64"/>
    <s v="cumple"/>
    <x v="8"/>
    <x v="3"/>
    <x v="1283"/>
    <n v="3248"/>
    <x v="0"/>
  </r>
  <r>
    <x v="0"/>
    <x v="1"/>
    <x v="3"/>
    <x v="0"/>
    <x v="1"/>
    <x v="1"/>
    <x v="20"/>
    <x v="27"/>
    <x v="1283"/>
    <x v="179"/>
    <x v="0"/>
    <x v="179"/>
    <x v="5"/>
    <x v="7"/>
    <x v="0"/>
    <x v="35"/>
    <x v="5"/>
    <x v="0"/>
    <s v="MEDIA"/>
    <s v="MEDIA"/>
    <n v="64"/>
    <s v="cumple"/>
    <x v="8"/>
    <x v="3"/>
    <x v="1283"/>
    <n v="3248"/>
    <x v="0"/>
  </r>
  <r>
    <x v="0"/>
    <x v="1"/>
    <x v="3"/>
    <x v="0"/>
    <x v="1"/>
    <x v="1"/>
    <x v="21"/>
    <x v="27"/>
    <x v="1284"/>
    <x v="180"/>
    <x v="0"/>
    <x v="180"/>
    <x v="5"/>
    <x v="7"/>
    <x v="1"/>
    <x v="35"/>
    <x v="5"/>
    <x v="0"/>
    <s v="MEDIA"/>
    <s v="MEDIA"/>
    <n v="64"/>
    <s v="cumple"/>
    <x v="8"/>
    <x v="3"/>
    <x v="1284"/>
    <n v="3248"/>
    <x v="0"/>
  </r>
  <r>
    <x v="0"/>
    <x v="1"/>
    <x v="3"/>
    <x v="0"/>
    <x v="1"/>
    <x v="1"/>
    <x v="21"/>
    <x v="27"/>
    <x v="1284"/>
    <x v="181"/>
    <x v="0"/>
    <x v="181"/>
    <x v="5"/>
    <x v="7"/>
    <x v="0"/>
    <x v="35"/>
    <x v="5"/>
    <x v="0"/>
    <s v="MEDIA"/>
    <s v="MEDIA"/>
    <n v="64"/>
    <s v="cumple"/>
    <x v="8"/>
    <x v="3"/>
    <x v="1284"/>
    <n v="3248"/>
    <x v="0"/>
  </r>
  <r>
    <x v="0"/>
    <x v="1"/>
    <x v="3"/>
    <x v="0"/>
    <x v="1"/>
    <x v="1"/>
    <x v="22"/>
    <x v="27"/>
    <x v="1285"/>
    <x v="182"/>
    <x v="0"/>
    <x v="182"/>
    <x v="5"/>
    <x v="7"/>
    <x v="1"/>
    <x v="35"/>
    <x v="5"/>
    <x v="0"/>
    <s v="MEDIA"/>
    <s v="MEDIA"/>
    <n v="64"/>
    <s v="cumple"/>
    <x v="8"/>
    <x v="3"/>
    <x v="1285"/>
    <n v="3248"/>
    <x v="0"/>
  </r>
  <r>
    <x v="0"/>
    <x v="1"/>
    <x v="3"/>
    <x v="0"/>
    <x v="1"/>
    <x v="1"/>
    <x v="22"/>
    <x v="27"/>
    <x v="1285"/>
    <x v="183"/>
    <x v="0"/>
    <x v="183"/>
    <x v="5"/>
    <x v="7"/>
    <x v="0"/>
    <x v="35"/>
    <x v="5"/>
    <x v="0"/>
    <s v="MEDIA"/>
    <s v="MEDIA"/>
    <n v="64"/>
    <s v="cumple"/>
    <x v="8"/>
    <x v="3"/>
    <x v="1285"/>
    <n v="3248"/>
    <x v="0"/>
  </r>
  <r>
    <x v="0"/>
    <x v="1"/>
    <x v="3"/>
    <x v="0"/>
    <x v="1"/>
    <x v="1"/>
    <x v="23"/>
    <x v="27"/>
    <x v="1286"/>
    <x v="184"/>
    <x v="0"/>
    <x v="184"/>
    <x v="5"/>
    <x v="7"/>
    <x v="1"/>
    <x v="35"/>
    <x v="5"/>
    <x v="0"/>
    <s v="MEDIA"/>
    <s v="MEDIA"/>
    <n v="64"/>
    <s v="cumple"/>
    <x v="8"/>
    <x v="3"/>
    <x v="1286"/>
    <n v="3248"/>
    <x v="0"/>
  </r>
  <r>
    <x v="0"/>
    <x v="1"/>
    <x v="3"/>
    <x v="0"/>
    <x v="1"/>
    <x v="1"/>
    <x v="23"/>
    <x v="27"/>
    <x v="1286"/>
    <x v="185"/>
    <x v="0"/>
    <x v="185"/>
    <x v="5"/>
    <x v="7"/>
    <x v="1"/>
    <x v="35"/>
    <x v="5"/>
    <x v="0"/>
    <s v="MEDIA"/>
    <s v="MEDIA"/>
    <n v="64"/>
    <s v="cumple"/>
    <x v="8"/>
    <x v="3"/>
    <x v="1286"/>
    <n v="3248"/>
    <x v="0"/>
  </r>
  <r>
    <x v="0"/>
    <x v="1"/>
    <x v="3"/>
    <x v="0"/>
    <x v="1"/>
    <x v="1"/>
    <x v="23"/>
    <x v="27"/>
    <x v="1286"/>
    <x v="186"/>
    <x v="0"/>
    <x v="186"/>
    <x v="5"/>
    <x v="7"/>
    <x v="1"/>
    <x v="35"/>
    <x v="5"/>
    <x v="0"/>
    <s v="MEDIA"/>
    <s v="MEDIA"/>
    <n v="64"/>
    <s v="cumple"/>
    <x v="8"/>
    <x v="3"/>
    <x v="1286"/>
    <n v="3248"/>
    <x v="0"/>
  </r>
  <r>
    <x v="0"/>
    <x v="1"/>
    <x v="3"/>
    <x v="0"/>
    <x v="1"/>
    <x v="1"/>
    <x v="23"/>
    <x v="27"/>
    <x v="1286"/>
    <x v="187"/>
    <x v="0"/>
    <x v="187"/>
    <x v="5"/>
    <x v="7"/>
    <x v="1"/>
    <x v="35"/>
    <x v="5"/>
    <x v="0"/>
    <s v="MEDIA"/>
    <s v="MEDIA"/>
    <n v="64"/>
    <s v="cumple"/>
    <x v="8"/>
    <x v="3"/>
    <x v="1286"/>
    <n v="3248"/>
    <x v="0"/>
  </r>
  <r>
    <x v="0"/>
    <x v="1"/>
    <x v="3"/>
    <x v="0"/>
    <x v="1"/>
    <x v="1"/>
    <x v="23"/>
    <x v="27"/>
    <x v="1286"/>
    <x v="188"/>
    <x v="0"/>
    <x v="188"/>
    <x v="5"/>
    <x v="7"/>
    <x v="1"/>
    <x v="35"/>
    <x v="5"/>
    <x v="0"/>
    <s v="MEDIA"/>
    <s v="MEDIA"/>
    <n v="64"/>
    <s v="cumple"/>
    <x v="8"/>
    <x v="3"/>
    <x v="1286"/>
    <n v="3248"/>
    <x v="0"/>
  </r>
  <r>
    <x v="0"/>
    <x v="1"/>
    <x v="3"/>
    <x v="0"/>
    <x v="1"/>
    <x v="1"/>
    <x v="23"/>
    <x v="27"/>
    <x v="1286"/>
    <x v="189"/>
    <x v="0"/>
    <x v="189"/>
    <x v="5"/>
    <x v="7"/>
    <x v="1"/>
    <x v="35"/>
    <x v="5"/>
    <x v="0"/>
    <s v="MEDIA"/>
    <s v="MEDIA"/>
    <n v="64"/>
    <s v="cumple"/>
    <x v="8"/>
    <x v="3"/>
    <x v="1286"/>
    <n v="3248"/>
    <x v="0"/>
  </r>
  <r>
    <x v="0"/>
    <x v="1"/>
    <x v="3"/>
    <x v="0"/>
    <x v="1"/>
    <x v="1"/>
    <x v="23"/>
    <x v="27"/>
    <x v="1286"/>
    <x v="190"/>
    <x v="0"/>
    <x v="190"/>
    <x v="5"/>
    <x v="7"/>
    <x v="1"/>
    <x v="35"/>
    <x v="5"/>
    <x v="0"/>
    <s v="MEDIA"/>
    <s v="MEDIA"/>
    <n v="64"/>
    <s v="cumple"/>
    <x v="8"/>
    <x v="3"/>
    <x v="1286"/>
    <n v="3248"/>
    <x v="0"/>
  </r>
  <r>
    <x v="0"/>
    <x v="1"/>
    <x v="3"/>
    <x v="0"/>
    <x v="1"/>
    <x v="1"/>
    <x v="23"/>
    <x v="27"/>
    <x v="1286"/>
    <x v="191"/>
    <x v="0"/>
    <x v="191"/>
    <x v="9"/>
    <x v="6"/>
    <x v="0"/>
    <x v="35"/>
    <x v="5"/>
    <x v="0"/>
    <s v="MEDIA"/>
    <s v="MEDIA"/>
    <n v="64"/>
    <s v="cumple"/>
    <x v="8"/>
    <x v="3"/>
    <x v="1286"/>
    <n v="4059.9999999999995"/>
    <x v="0"/>
  </r>
  <r>
    <x v="0"/>
    <x v="1"/>
    <x v="3"/>
    <x v="0"/>
    <x v="1"/>
    <x v="1"/>
    <x v="24"/>
    <x v="27"/>
    <x v="1287"/>
    <x v="192"/>
    <x v="0"/>
    <x v="192"/>
    <x v="5"/>
    <x v="7"/>
    <x v="1"/>
    <x v="35"/>
    <x v="5"/>
    <x v="0"/>
    <s v="MEDIA"/>
    <s v="MEDIA"/>
    <n v="64"/>
    <s v="cumple"/>
    <x v="8"/>
    <x v="3"/>
    <x v="1287"/>
    <n v="3248"/>
    <x v="0"/>
  </r>
  <r>
    <x v="0"/>
    <x v="1"/>
    <x v="3"/>
    <x v="0"/>
    <x v="1"/>
    <x v="1"/>
    <x v="24"/>
    <x v="27"/>
    <x v="1287"/>
    <x v="193"/>
    <x v="0"/>
    <x v="193"/>
    <x v="5"/>
    <x v="7"/>
    <x v="0"/>
    <x v="35"/>
    <x v="5"/>
    <x v="0"/>
    <s v="MEDIA"/>
    <s v="MEDIA"/>
    <n v="64"/>
    <s v="cumple"/>
    <x v="8"/>
    <x v="3"/>
    <x v="1287"/>
    <n v="3248"/>
    <x v="0"/>
  </r>
  <r>
    <x v="0"/>
    <x v="1"/>
    <x v="3"/>
    <x v="0"/>
    <x v="1"/>
    <x v="1"/>
    <x v="25"/>
    <x v="27"/>
    <x v="1288"/>
    <x v="194"/>
    <x v="0"/>
    <x v="194"/>
    <x v="5"/>
    <x v="7"/>
    <x v="1"/>
    <x v="35"/>
    <x v="5"/>
    <x v="0"/>
    <s v="MEDIA"/>
    <s v="MEDIA"/>
    <n v="64"/>
    <s v="cumple"/>
    <x v="8"/>
    <x v="3"/>
    <x v="1288"/>
    <n v="3248"/>
    <x v="0"/>
  </r>
  <r>
    <x v="0"/>
    <x v="1"/>
    <x v="3"/>
    <x v="0"/>
    <x v="1"/>
    <x v="1"/>
    <x v="25"/>
    <x v="27"/>
    <x v="1288"/>
    <x v="195"/>
    <x v="0"/>
    <x v="195"/>
    <x v="5"/>
    <x v="7"/>
    <x v="1"/>
    <x v="35"/>
    <x v="5"/>
    <x v="0"/>
    <s v="MEDIA"/>
    <s v="MEDIA"/>
    <n v="64"/>
    <s v="cumple"/>
    <x v="8"/>
    <x v="3"/>
    <x v="1288"/>
    <n v="3248"/>
    <x v="0"/>
  </r>
  <r>
    <x v="0"/>
    <x v="1"/>
    <x v="3"/>
    <x v="0"/>
    <x v="1"/>
    <x v="1"/>
    <x v="25"/>
    <x v="27"/>
    <x v="1288"/>
    <x v="196"/>
    <x v="0"/>
    <x v="196"/>
    <x v="5"/>
    <x v="7"/>
    <x v="1"/>
    <x v="35"/>
    <x v="5"/>
    <x v="0"/>
    <s v="MEDIA"/>
    <s v="MEDIA"/>
    <n v="64"/>
    <s v="cumple"/>
    <x v="8"/>
    <x v="3"/>
    <x v="1288"/>
    <n v="3248"/>
    <x v="0"/>
  </r>
  <r>
    <x v="0"/>
    <x v="1"/>
    <x v="3"/>
    <x v="0"/>
    <x v="1"/>
    <x v="1"/>
    <x v="25"/>
    <x v="27"/>
    <x v="1288"/>
    <x v="197"/>
    <x v="0"/>
    <x v="197"/>
    <x v="5"/>
    <x v="7"/>
    <x v="1"/>
    <x v="35"/>
    <x v="5"/>
    <x v="0"/>
    <s v="MEDIA"/>
    <s v="MEDIA"/>
    <n v="64"/>
    <s v="cumple"/>
    <x v="8"/>
    <x v="3"/>
    <x v="1288"/>
    <n v="3248"/>
    <x v="0"/>
  </r>
  <r>
    <x v="0"/>
    <x v="1"/>
    <x v="3"/>
    <x v="0"/>
    <x v="1"/>
    <x v="1"/>
    <x v="25"/>
    <x v="27"/>
    <x v="1288"/>
    <x v="198"/>
    <x v="0"/>
    <x v="198"/>
    <x v="5"/>
    <x v="7"/>
    <x v="0"/>
    <x v="35"/>
    <x v="5"/>
    <x v="0"/>
    <s v="MEDIA"/>
    <s v="MEDIA"/>
    <n v="64"/>
    <s v="cumple"/>
    <x v="8"/>
    <x v="3"/>
    <x v="1288"/>
    <n v="3248"/>
    <x v="0"/>
  </r>
  <r>
    <x v="1"/>
    <x v="0"/>
    <x v="3"/>
    <x v="0"/>
    <x v="16"/>
    <x v="3"/>
    <x v="26"/>
    <x v="642"/>
    <x v="1289"/>
    <x v="178"/>
    <x v="0"/>
    <x v="178"/>
    <x v="11"/>
    <x v="11"/>
    <x v="1"/>
    <x v="192"/>
    <x v="13"/>
    <x v="7"/>
    <s v="MEDIA"/>
    <s v="MEDIA"/>
    <n v="64"/>
    <s v="cumple"/>
    <x v="8"/>
    <x v="3"/>
    <x v="1289"/>
    <n v="6264"/>
    <x v="0"/>
  </r>
  <r>
    <x v="1"/>
    <x v="0"/>
    <x v="3"/>
    <x v="0"/>
    <x v="16"/>
    <x v="3"/>
    <x v="26"/>
    <x v="642"/>
    <x v="1289"/>
    <x v="179"/>
    <x v="0"/>
    <x v="179"/>
    <x v="20"/>
    <x v="20"/>
    <x v="1"/>
    <x v="192"/>
    <x v="13"/>
    <x v="7"/>
    <s v="MEDIA"/>
    <s v="MEDIA"/>
    <n v="64"/>
    <s v="cumple"/>
    <x v="8"/>
    <x v="3"/>
    <x v="1289"/>
    <n v="6611.9999999999991"/>
    <x v="0"/>
  </r>
  <r>
    <x v="1"/>
    <x v="0"/>
    <x v="3"/>
    <x v="0"/>
    <x v="16"/>
    <x v="3"/>
    <x v="26"/>
    <x v="642"/>
    <x v="1289"/>
    <x v="180"/>
    <x v="0"/>
    <x v="180"/>
    <x v="20"/>
    <x v="20"/>
    <x v="1"/>
    <x v="192"/>
    <x v="13"/>
    <x v="7"/>
    <s v="MEDIA"/>
    <s v="MEDIA"/>
    <n v="64"/>
    <s v="cumple"/>
    <x v="8"/>
    <x v="3"/>
    <x v="1289"/>
    <n v="6611.9999999999991"/>
    <x v="0"/>
  </r>
  <r>
    <x v="1"/>
    <x v="0"/>
    <x v="3"/>
    <x v="0"/>
    <x v="16"/>
    <x v="3"/>
    <x v="26"/>
    <x v="642"/>
    <x v="1289"/>
    <x v="181"/>
    <x v="0"/>
    <x v="181"/>
    <x v="20"/>
    <x v="20"/>
    <x v="1"/>
    <x v="192"/>
    <x v="13"/>
    <x v="7"/>
    <s v="MEDIA"/>
    <s v="MEDIA"/>
    <n v="64"/>
    <s v="cumple"/>
    <x v="8"/>
    <x v="3"/>
    <x v="1289"/>
    <n v="6611.9999999999991"/>
    <x v="0"/>
  </r>
  <r>
    <x v="1"/>
    <x v="0"/>
    <x v="3"/>
    <x v="0"/>
    <x v="16"/>
    <x v="3"/>
    <x v="26"/>
    <x v="642"/>
    <x v="1289"/>
    <x v="182"/>
    <x v="0"/>
    <x v="182"/>
    <x v="11"/>
    <x v="11"/>
    <x v="1"/>
    <x v="192"/>
    <x v="13"/>
    <x v="7"/>
    <s v="MEDIA"/>
    <s v="MEDIA"/>
    <n v="64"/>
    <s v="cumple"/>
    <x v="8"/>
    <x v="3"/>
    <x v="1289"/>
    <n v="6264"/>
    <x v="0"/>
  </r>
  <r>
    <x v="1"/>
    <x v="0"/>
    <x v="3"/>
    <x v="0"/>
    <x v="16"/>
    <x v="3"/>
    <x v="26"/>
    <x v="642"/>
    <x v="1289"/>
    <x v="183"/>
    <x v="0"/>
    <x v="183"/>
    <x v="11"/>
    <x v="11"/>
    <x v="0"/>
    <x v="192"/>
    <x v="13"/>
    <x v="7"/>
    <s v="MEDIA"/>
    <s v="MEDIA"/>
    <n v="64"/>
    <s v="cumple"/>
    <x v="8"/>
    <x v="3"/>
    <x v="1289"/>
    <n v="6264"/>
    <x v="0"/>
  </r>
  <r>
    <x v="1"/>
    <x v="0"/>
    <x v="3"/>
    <x v="0"/>
    <x v="16"/>
    <x v="3"/>
    <x v="27"/>
    <x v="643"/>
    <x v="1290"/>
    <x v="184"/>
    <x v="0"/>
    <x v="184"/>
    <x v="11"/>
    <x v="11"/>
    <x v="0"/>
    <x v="193"/>
    <x v="13"/>
    <x v="7"/>
    <s v="MEDIA"/>
    <s v="MEDIA"/>
    <n v="64"/>
    <s v="cumple"/>
    <x v="8"/>
    <x v="3"/>
    <x v="1290"/>
    <n v="6264"/>
    <x v="0"/>
  </r>
  <r>
    <x v="1"/>
    <x v="0"/>
    <x v="3"/>
    <x v="0"/>
    <x v="16"/>
    <x v="3"/>
    <x v="27"/>
    <x v="643"/>
    <x v="1290"/>
    <x v="185"/>
    <x v="0"/>
    <x v="185"/>
    <x v="11"/>
    <x v="11"/>
    <x v="0"/>
    <x v="193"/>
    <x v="13"/>
    <x v="7"/>
    <s v="MEDIA"/>
    <s v="MEDIA"/>
    <n v="64"/>
    <s v="cumple"/>
    <x v="8"/>
    <x v="3"/>
    <x v="1290"/>
    <n v="6264"/>
    <x v="0"/>
  </r>
  <r>
    <x v="1"/>
    <x v="0"/>
    <x v="3"/>
    <x v="0"/>
    <x v="16"/>
    <x v="3"/>
    <x v="27"/>
    <x v="643"/>
    <x v="1290"/>
    <x v="186"/>
    <x v="0"/>
    <x v="186"/>
    <x v="11"/>
    <x v="11"/>
    <x v="0"/>
    <x v="193"/>
    <x v="13"/>
    <x v="7"/>
    <s v="MEDIA"/>
    <s v="MEDIA"/>
    <n v="64"/>
    <s v="cumple"/>
    <x v="8"/>
    <x v="3"/>
    <x v="1290"/>
    <n v="6264"/>
    <x v="0"/>
  </r>
  <r>
    <x v="1"/>
    <x v="0"/>
    <x v="3"/>
    <x v="0"/>
    <x v="16"/>
    <x v="3"/>
    <x v="28"/>
    <x v="360"/>
    <x v="1291"/>
    <x v="187"/>
    <x v="0"/>
    <x v="187"/>
    <x v="11"/>
    <x v="11"/>
    <x v="1"/>
    <x v="194"/>
    <x v="13"/>
    <x v="7"/>
    <s v="MEDIA"/>
    <s v="MEDIA"/>
    <n v="64"/>
    <s v="cumple"/>
    <x v="8"/>
    <x v="3"/>
    <x v="1291"/>
    <n v="6264"/>
    <x v="0"/>
  </r>
  <r>
    <x v="1"/>
    <x v="0"/>
    <x v="3"/>
    <x v="0"/>
    <x v="16"/>
    <x v="3"/>
    <x v="28"/>
    <x v="360"/>
    <x v="1291"/>
    <x v="188"/>
    <x v="0"/>
    <x v="188"/>
    <x v="11"/>
    <x v="11"/>
    <x v="0"/>
    <x v="194"/>
    <x v="13"/>
    <x v="7"/>
    <s v="MEDIA"/>
    <s v="MEDIA"/>
    <n v="64"/>
    <s v="cumple"/>
    <x v="8"/>
    <x v="3"/>
    <x v="1291"/>
    <n v="6264"/>
    <x v="0"/>
  </r>
  <r>
    <x v="1"/>
    <x v="0"/>
    <x v="3"/>
    <x v="0"/>
    <x v="16"/>
    <x v="3"/>
    <x v="29"/>
    <x v="644"/>
    <x v="1292"/>
    <x v="189"/>
    <x v="0"/>
    <x v="189"/>
    <x v="11"/>
    <x v="11"/>
    <x v="0"/>
    <x v="194"/>
    <x v="13"/>
    <x v="7"/>
    <s v="MEDIA"/>
    <s v="MEDIA"/>
    <n v="64"/>
    <s v="cumple"/>
    <x v="8"/>
    <x v="3"/>
    <x v="1292"/>
    <n v="6264"/>
    <x v="0"/>
  </r>
  <r>
    <x v="1"/>
    <x v="0"/>
    <x v="3"/>
    <x v="0"/>
    <x v="16"/>
    <x v="3"/>
    <x v="30"/>
    <x v="645"/>
    <x v="1293"/>
    <x v="190"/>
    <x v="0"/>
    <x v="190"/>
    <x v="11"/>
    <x v="11"/>
    <x v="1"/>
    <x v="194"/>
    <x v="13"/>
    <x v="7"/>
    <s v="MEDIA"/>
    <s v="MEDIA"/>
    <n v="64"/>
    <s v="cumple"/>
    <x v="8"/>
    <x v="3"/>
    <x v="1293"/>
    <n v="6264"/>
    <x v="0"/>
  </r>
  <r>
    <x v="1"/>
    <x v="0"/>
    <x v="3"/>
    <x v="0"/>
    <x v="16"/>
    <x v="3"/>
    <x v="30"/>
    <x v="645"/>
    <x v="1293"/>
    <x v="191"/>
    <x v="0"/>
    <x v="191"/>
    <x v="11"/>
    <x v="11"/>
    <x v="1"/>
    <x v="194"/>
    <x v="13"/>
    <x v="7"/>
    <s v="MEDIA"/>
    <s v="MEDIA"/>
    <n v="64"/>
    <s v="cumple"/>
    <x v="8"/>
    <x v="3"/>
    <x v="1293"/>
    <n v="6264"/>
    <x v="0"/>
  </r>
  <r>
    <x v="1"/>
    <x v="0"/>
    <x v="3"/>
    <x v="0"/>
    <x v="16"/>
    <x v="3"/>
    <x v="30"/>
    <x v="645"/>
    <x v="1293"/>
    <x v="192"/>
    <x v="0"/>
    <x v="192"/>
    <x v="11"/>
    <x v="11"/>
    <x v="0"/>
    <x v="194"/>
    <x v="13"/>
    <x v="7"/>
    <s v="MEDIA"/>
    <s v="MEDIA"/>
    <n v="64"/>
    <s v="cumple"/>
    <x v="8"/>
    <x v="3"/>
    <x v="1293"/>
    <n v="6264"/>
    <x v="0"/>
  </r>
  <r>
    <x v="1"/>
    <x v="0"/>
    <x v="3"/>
    <x v="0"/>
    <x v="16"/>
    <x v="3"/>
    <x v="31"/>
    <x v="646"/>
    <x v="1294"/>
    <x v="193"/>
    <x v="0"/>
    <x v="193"/>
    <x v="11"/>
    <x v="11"/>
    <x v="1"/>
    <x v="194"/>
    <x v="13"/>
    <x v="7"/>
    <s v="MEDIA"/>
    <s v="MEDIA"/>
    <n v="64"/>
    <s v="cumple"/>
    <x v="8"/>
    <x v="3"/>
    <x v="1294"/>
    <n v="6264"/>
    <x v="0"/>
  </r>
  <r>
    <x v="1"/>
    <x v="0"/>
    <x v="3"/>
    <x v="0"/>
    <x v="16"/>
    <x v="3"/>
    <x v="31"/>
    <x v="646"/>
    <x v="1294"/>
    <x v="194"/>
    <x v="0"/>
    <x v="194"/>
    <x v="11"/>
    <x v="11"/>
    <x v="0"/>
    <x v="194"/>
    <x v="13"/>
    <x v="7"/>
    <s v="MEDIA"/>
    <s v="MEDIA"/>
    <n v="64"/>
    <s v="cumple"/>
    <x v="8"/>
    <x v="3"/>
    <x v="1294"/>
    <n v="6264"/>
    <x v="0"/>
  </r>
  <r>
    <x v="1"/>
    <x v="0"/>
    <x v="3"/>
    <x v="0"/>
    <x v="16"/>
    <x v="3"/>
    <x v="32"/>
    <x v="647"/>
    <x v="1295"/>
    <x v="195"/>
    <x v="0"/>
    <x v="195"/>
    <x v="11"/>
    <x v="11"/>
    <x v="0"/>
    <x v="195"/>
    <x v="13"/>
    <x v="7"/>
    <s v="MEDIA"/>
    <s v="MEDIA"/>
    <n v="64"/>
    <s v="cumple"/>
    <x v="8"/>
    <x v="3"/>
    <x v="1295"/>
    <n v="6264"/>
    <x v="0"/>
  </r>
  <r>
    <x v="1"/>
    <x v="0"/>
    <x v="3"/>
    <x v="0"/>
    <x v="16"/>
    <x v="3"/>
    <x v="33"/>
    <x v="206"/>
    <x v="1296"/>
    <x v="196"/>
    <x v="0"/>
    <x v="196"/>
    <x v="11"/>
    <x v="11"/>
    <x v="0"/>
    <x v="195"/>
    <x v="13"/>
    <x v="7"/>
    <s v="MEDIA"/>
    <s v="MEDIA"/>
    <n v="64"/>
    <s v="cumple"/>
    <x v="8"/>
    <x v="3"/>
    <x v="1296"/>
    <n v="6264"/>
    <x v="0"/>
  </r>
  <r>
    <x v="1"/>
    <x v="0"/>
    <x v="3"/>
    <x v="0"/>
    <x v="16"/>
    <x v="3"/>
    <x v="34"/>
    <x v="648"/>
    <x v="1297"/>
    <x v="197"/>
    <x v="0"/>
    <x v="197"/>
    <x v="11"/>
    <x v="11"/>
    <x v="1"/>
    <x v="196"/>
    <x v="13"/>
    <x v="7"/>
    <s v="MEDIA"/>
    <s v="MEDIA"/>
    <n v="64"/>
    <s v="cumple"/>
    <x v="8"/>
    <x v="3"/>
    <x v="1297"/>
    <n v="6264"/>
    <x v="0"/>
  </r>
  <r>
    <x v="1"/>
    <x v="0"/>
    <x v="3"/>
    <x v="0"/>
    <x v="16"/>
    <x v="3"/>
    <x v="34"/>
    <x v="648"/>
    <x v="1297"/>
    <x v="198"/>
    <x v="0"/>
    <x v="198"/>
    <x v="11"/>
    <x v="11"/>
    <x v="0"/>
    <x v="196"/>
    <x v="13"/>
    <x v="7"/>
    <s v="MEDIA"/>
    <s v="MEDIA"/>
    <n v="64"/>
    <s v="cumple"/>
    <x v="8"/>
    <x v="3"/>
    <x v="1297"/>
    <n v="6264"/>
    <x v="0"/>
  </r>
  <r>
    <x v="0"/>
    <x v="1"/>
    <x v="4"/>
    <x v="0"/>
    <x v="1"/>
    <x v="1"/>
    <x v="35"/>
    <x v="649"/>
    <x v="1298"/>
    <x v="178"/>
    <x v="0"/>
    <x v="178"/>
    <x v="0"/>
    <x v="0"/>
    <x v="0"/>
    <x v="42"/>
    <x v="14"/>
    <x v="0"/>
    <s v="MEDIA"/>
    <s v="MEDIA"/>
    <n v="64"/>
    <s v="cumple"/>
    <x v="8"/>
    <x v="4"/>
    <x v="1298"/>
    <n v="6496"/>
    <x v="0"/>
  </r>
  <r>
    <x v="0"/>
    <x v="1"/>
    <x v="4"/>
    <x v="0"/>
    <x v="1"/>
    <x v="1"/>
    <x v="36"/>
    <x v="649"/>
    <x v="1299"/>
    <x v="179"/>
    <x v="0"/>
    <x v="179"/>
    <x v="0"/>
    <x v="0"/>
    <x v="0"/>
    <x v="42"/>
    <x v="14"/>
    <x v="0"/>
    <s v="MEDIA"/>
    <s v="MEDIA"/>
    <n v="64"/>
    <s v="cumple"/>
    <x v="8"/>
    <x v="4"/>
    <x v="1299"/>
    <n v="6496"/>
    <x v="0"/>
  </r>
  <r>
    <x v="0"/>
    <x v="1"/>
    <x v="4"/>
    <x v="0"/>
    <x v="1"/>
    <x v="1"/>
    <x v="37"/>
    <x v="649"/>
    <x v="1300"/>
    <x v="180"/>
    <x v="0"/>
    <x v="180"/>
    <x v="0"/>
    <x v="0"/>
    <x v="0"/>
    <x v="42"/>
    <x v="14"/>
    <x v="0"/>
    <s v="MEDIA"/>
    <s v="MEDIA"/>
    <n v="64"/>
    <s v="cumple"/>
    <x v="8"/>
    <x v="4"/>
    <x v="1300"/>
    <n v="6496"/>
    <x v="0"/>
  </r>
  <r>
    <x v="0"/>
    <x v="1"/>
    <x v="4"/>
    <x v="0"/>
    <x v="1"/>
    <x v="1"/>
    <x v="38"/>
    <x v="650"/>
    <x v="1301"/>
    <x v="181"/>
    <x v="0"/>
    <x v="181"/>
    <x v="0"/>
    <x v="0"/>
    <x v="0"/>
    <x v="42"/>
    <x v="14"/>
    <x v="0"/>
    <s v="MEDIA"/>
    <s v="MEDIA"/>
    <n v="64"/>
    <s v="cumple"/>
    <x v="8"/>
    <x v="4"/>
    <x v="1301"/>
    <n v="6496"/>
    <x v="0"/>
  </r>
  <r>
    <x v="0"/>
    <x v="1"/>
    <x v="4"/>
    <x v="0"/>
    <x v="1"/>
    <x v="1"/>
    <x v="39"/>
    <x v="651"/>
    <x v="1302"/>
    <x v="182"/>
    <x v="0"/>
    <x v="182"/>
    <x v="0"/>
    <x v="0"/>
    <x v="0"/>
    <x v="42"/>
    <x v="14"/>
    <x v="0"/>
    <s v="MEDIA"/>
    <s v="MEDIA"/>
    <n v="64"/>
    <s v="cumple"/>
    <x v="8"/>
    <x v="4"/>
    <x v="1302"/>
    <n v="6496"/>
    <x v="0"/>
  </r>
  <r>
    <x v="0"/>
    <x v="1"/>
    <x v="4"/>
    <x v="0"/>
    <x v="1"/>
    <x v="1"/>
    <x v="40"/>
    <x v="651"/>
    <x v="1303"/>
    <x v="183"/>
    <x v="0"/>
    <x v="183"/>
    <x v="0"/>
    <x v="0"/>
    <x v="0"/>
    <x v="42"/>
    <x v="14"/>
    <x v="0"/>
    <s v="MEDIA"/>
    <s v="MEDIA"/>
    <n v="64"/>
    <s v="cumple"/>
    <x v="8"/>
    <x v="4"/>
    <x v="1303"/>
    <n v="6496"/>
    <x v="0"/>
  </r>
  <r>
    <x v="0"/>
    <x v="1"/>
    <x v="4"/>
    <x v="0"/>
    <x v="1"/>
    <x v="1"/>
    <x v="41"/>
    <x v="652"/>
    <x v="1304"/>
    <x v="184"/>
    <x v="0"/>
    <x v="185"/>
    <x v="0"/>
    <x v="0"/>
    <x v="0"/>
    <x v="42"/>
    <x v="14"/>
    <x v="0"/>
    <s v="MEDIA"/>
    <s v="MEDIA"/>
    <n v="64"/>
    <s v="cumple"/>
    <x v="8"/>
    <x v="4"/>
    <x v="1304"/>
    <n v="6496"/>
    <x v="0"/>
  </r>
  <r>
    <x v="0"/>
    <x v="1"/>
    <x v="4"/>
    <x v="0"/>
    <x v="1"/>
    <x v="1"/>
    <x v="42"/>
    <x v="652"/>
    <x v="1305"/>
    <x v="185"/>
    <x v="0"/>
    <x v="185"/>
    <x v="0"/>
    <x v="0"/>
    <x v="0"/>
    <x v="42"/>
    <x v="14"/>
    <x v="0"/>
    <s v="MEDIA"/>
    <s v="MEDIA"/>
    <n v="64"/>
    <s v="cumple"/>
    <x v="8"/>
    <x v="4"/>
    <x v="1305"/>
    <n v="6496"/>
    <x v="0"/>
  </r>
  <r>
    <x v="0"/>
    <x v="1"/>
    <x v="4"/>
    <x v="0"/>
    <x v="1"/>
    <x v="1"/>
    <x v="43"/>
    <x v="653"/>
    <x v="1306"/>
    <x v="186"/>
    <x v="0"/>
    <x v="186"/>
    <x v="0"/>
    <x v="0"/>
    <x v="0"/>
    <x v="42"/>
    <x v="14"/>
    <x v="0"/>
    <s v="MEDIA"/>
    <s v="MEDIA"/>
    <n v="64"/>
    <s v="cumple"/>
    <x v="8"/>
    <x v="4"/>
    <x v="1306"/>
    <n v="6496"/>
    <x v="0"/>
  </r>
  <r>
    <x v="0"/>
    <x v="1"/>
    <x v="4"/>
    <x v="0"/>
    <x v="1"/>
    <x v="2"/>
    <x v="44"/>
    <x v="654"/>
    <x v="1307"/>
    <x v="187"/>
    <x v="0"/>
    <x v="187"/>
    <x v="0"/>
    <x v="0"/>
    <x v="0"/>
    <x v="42"/>
    <x v="14"/>
    <x v="0"/>
    <s v="MEDIA"/>
    <s v="MEDIA"/>
    <n v="64"/>
    <s v="cumple"/>
    <x v="8"/>
    <x v="4"/>
    <x v="1307"/>
    <n v="6496"/>
    <x v="0"/>
  </r>
  <r>
    <x v="0"/>
    <x v="1"/>
    <x v="4"/>
    <x v="0"/>
    <x v="1"/>
    <x v="4"/>
    <x v="45"/>
    <x v="655"/>
    <x v="1308"/>
    <x v="188"/>
    <x v="0"/>
    <x v="188"/>
    <x v="0"/>
    <x v="0"/>
    <x v="0"/>
    <x v="42"/>
    <x v="14"/>
    <x v="0"/>
    <s v="MEDIA"/>
    <s v="MEDIA"/>
    <n v="64"/>
    <s v="cumple"/>
    <x v="8"/>
    <x v="4"/>
    <x v="1308"/>
    <n v="6496"/>
    <x v="0"/>
  </r>
  <r>
    <x v="0"/>
    <x v="1"/>
    <x v="4"/>
    <x v="0"/>
    <x v="1"/>
    <x v="2"/>
    <x v="46"/>
    <x v="656"/>
    <x v="1309"/>
    <x v="189"/>
    <x v="0"/>
    <x v="189"/>
    <x v="0"/>
    <x v="0"/>
    <x v="0"/>
    <x v="197"/>
    <x v="14"/>
    <x v="0"/>
    <s v="MEDIA"/>
    <s v="MEDIA"/>
    <n v="64"/>
    <s v="cumple"/>
    <x v="8"/>
    <x v="4"/>
    <x v="1309"/>
    <n v="6496"/>
    <x v="0"/>
  </r>
  <r>
    <x v="0"/>
    <x v="1"/>
    <x v="4"/>
    <x v="0"/>
    <x v="1"/>
    <x v="4"/>
    <x v="47"/>
    <x v="656"/>
    <x v="1310"/>
    <x v="190"/>
    <x v="0"/>
    <x v="190"/>
    <x v="0"/>
    <x v="0"/>
    <x v="0"/>
    <x v="197"/>
    <x v="14"/>
    <x v="0"/>
    <s v="MEDIA"/>
    <s v="MEDIA"/>
    <n v="64"/>
    <s v="cumple"/>
    <x v="8"/>
    <x v="4"/>
    <x v="1310"/>
    <n v="6496"/>
    <x v="0"/>
  </r>
  <r>
    <x v="0"/>
    <x v="1"/>
    <x v="4"/>
    <x v="0"/>
    <x v="1"/>
    <x v="1"/>
    <x v="48"/>
    <x v="657"/>
    <x v="1311"/>
    <x v="191"/>
    <x v="0"/>
    <x v="191"/>
    <x v="0"/>
    <x v="0"/>
    <x v="0"/>
    <x v="197"/>
    <x v="14"/>
    <x v="0"/>
    <s v="MEDIA"/>
    <s v="MEDIA"/>
    <n v="64"/>
    <s v="cumple"/>
    <x v="8"/>
    <x v="4"/>
    <x v="1311"/>
    <n v="6496"/>
    <x v="0"/>
  </r>
  <r>
    <x v="0"/>
    <x v="1"/>
    <x v="4"/>
    <x v="0"/>
    <x v="1"/>
    <x v="1"/>
    <x v="49"/>
    <x v="658"/>
    <x v="1312"/>
    <x v="192"/>
    <x v="0"/>
    <x v="192"/>
    <x v="0"/>
    <x v="0"/>
    <x v="0"/>
    <x v="197"/>
    <x v="14"/>
    <x v="0"/>
    <s v="MEDIA"/>
    <s v="MEDIA"/>
    <n v="64"/>
    <s v="cumple"/>
    <x v="8"/>
    <x v="4"/>
    <x v="1312"/>
    <n v="6496"/>
    <x v="0"/>
  </r>
  <r>
    <x v="0"/>
    <x v="1"/>
    <x v="4"/>
    <x v="0"/>
    <x v="1"/>
    <x v="1"/>
    <x v="50"/>
    <x v="659"/>
    <x v="1313"/>
    <x v="193"/>
    <x v="0"/>
    <x v="193"/>
    <x v="0"/>
    <x v="0"/>
    <x v="0"/>
    <x v="197"/>
    <x v="14"/>
    <x v="0"/>
    <s v="MEDIA"/>
    <s v="MEDIA"/>
    <n v="64"/>
    <s v="cumple"/>
    <x v="8"/>
    <x v="4"/>
    <x v="1313"/>
    <n v="6496"/>
    <x v="0"/>
  </r>
  <r>
    <x v="0"/>
    <x v="1"/>
    <x v="4"/>
    <x v="0"/>
    <x v="1"/>
    <x v="1"/>
    <x v="51"/>
    <x v="660"/>
    <x v="1314"/>
    <x v="194"/>
    <x v="0"/>
    <x v="194"/>
    <x v="0"/>
    <x v="0"/>
    <x v="0"/>
    <x v="197"/>
    <x v="14"/>
    <x v="0"/>
    <s v="MEDIA"/>
    <s v="MEDIA"/>
    <n v="64"/>
    <s v="cumple"/>
    <x v="8"/>
    <x v="4"/>
    <x v="1314"/>
    <n v="6496"/>
    <x v="0"/>
  </r>
  <r>
    <x v="0"/>
    <x v="1"/>
    <x v="4"/>
    <x v="0"/>
    <x v="1"/>
    <x v="1"/>
    <x v="52"/>
    <x v="661"/>
    <x v="1315"/>
    <x v="195"/>
    <x v="0"/>
    <x v="195"/>
    <x v="0"/>
    <x v="0"/>
    <x v="0"/>
    <x v="197"/>
    <x v="14"/>
    <x v="0"/>
    <s v="MEDIA"/>
    <s v="MEDIA"/>
    <n v="64"/>
    <s v="cumple"/>
    <x v="8"/>
    <x v="4"/>
    <x v="1315"/>
    <n v="6496"/>
    <x v="0"/>
  </r>
  <r>
    <x v="0"/>
    <x v="1"/>
    <x v="4"/>
    <x v="0"/>
    <x v="1"/>
    <x v="1"/>
    <x v="53"/>
    <x v="662"/>
    <x v="1316"/>
    <x v="196"/>
    <x v="0"/>
    <x v="196"/>
    <x v="0"/>
    <x v="0"/>
    <x v="0"/>
    <x v="197"/>
    <x v="14"/>
    <x v="0"/>
    <s v="MEDIA"/>
    <s v="MEDIA"/>
    <n v="64"/>
    <s v="cumple"/>
    <x v="8"/>
    <x v="4"/>
    <x v="1316"/>
    <n v="6496"/>
    <x v="0"/>
  </r>
  <r>
    <x v="0"/>
    <x v="1"/>
    <x v="4"/>
    <x v="0"/>
    <x v="1"/>
    <x v="1"/>
    <x v="54"/>
    <x v="663"/>
    <x v="1317"/>
    <x v="197"/>
    <x v="0"/>
    <x v="197"/>
    <x v="0"/>
    <x v="0"/>
    <x v="0"/>
    <x v="197"/>
    <x v="14"/>
    <x v="0"/>
    <s v="MEDIA"/>
    <s v="MEDIA"/>
    <n v="64"/>
    <s v="cumple"/>
    <x v="8"/>
    <x v="4"/>
    <x v="1317"/>
    <n v="6496"/>
    <x v="0"/>
  </r>
  <r>
    <x v="0"/>
    <x v="1"/>
    <x v="4"/>
    <x v="0"/>
    <x v="1"/>
    <x v="3"/>
    <x v="55"/>
    <x v="664"/>
    <x v="1318"/>
    <x v="198"/>
    <x v="0"/>
    <x v="198"/>
    <x v="0"/>
    <x v="0"/>
    <x v="0"/>
    <x v="197"/>
    <x v="14"/>
    <x v="0"/>
    <s v="MEDIA"/>
    <s v="MEDIA"/>
    <n v="64"/>
    <s v="cumple"/>
    <x v="8"/>
    <x v="4"/>
    <x v="1318"/>
    <n v="6496"/>
    <x v="0"/>
  </r>
  <r>
    <x v="0"/>
    <x v="5"/>
    <x v="2"/>
    <x v="0"/>
    <x v="6"/>
    <x v="5"/>
    <x v="56"/>
    <x v="39"/>
    <x v="767"/>
    <x v="178"/>
    <x v="0"/>
    <x v="178"/>
    <x v="8"/>
    <x v="2"/>
    <x v="0"/>
    <x v="198"/>
    <x v="3"/>
    <x v="1"/>
    <s v="MEDIA"/>
    <s v="MEDIA"/>
    <n v="64"/>
    <s v="cumple"/>
    <x v="8"/>
    <x v="2"/>
    <x v="767"/>
    <n v="580"/>
    <x v="0"/>
  </r>
  <r>
    <x v="0"/>
    <x v="5"/>
    <x v="2"/>
    <x v="0"/>
    <x v="6"/>
    <x v="5"/>
    <x v="57"/>
    <x v="39"/>
    <x v="1319"/>
    <x v="178"/>
    <x v="8"/>
    <x v="178"/>
    <x v="9"/>
    <x v="7"/>
    <x v="0"/>
    <x v="198"/>
    <x v="3"/>
    <x v="1"/>
    <s v="MEDIA"/>
    <s v="MEDIA"/>
    <n v="64"/>
    <s v="cumple"/>
    <x v="8"/>
    <x v="2"/>
    <x v="1319"/>
    <n v="2320"/>
    <x v="0"/>
  </r>
  <r>
    <x v="0"/>
    <x v="5"/>
    <x v="2"/>
    <x v="0"/>
    <x v="6"/>
    <x v="5"/>
    <x v="58"/>
    <x v="39"/>
    <x v="767"/>
    <x v="178"/>
    <x v="9"/>
    <x v="178"/>
    <x v="7"/>
    <x v="2"/>
    <x v="0"/>
    <x v="198"/>
    <x v="3"/>
    <x v="1"/>
    <s v="MEDIA"/>
    <s v="MEDIA"/>
    <n v="64"/>
    <s v="cumple"/>
    <x v="8"/>
    <x v="2"/>
    <x v="767"/>
    <n v="580"/>
    <x v="0"/>
  </r>
  <r>
    <x v="0"/>
    <x v="5"/>
    <x v="2"/>
    <x v="0"/>
    <x v="6"/>
    <x v="5"/>
    <x v="59"/>
    <x v="39"/>
    <x v="1320"/>
    <x v="179"/>
    <x v="0"/>
    <x v="179"/>
    <x v="15"/>
    <x v="12"/>
    <x v="0"/>
    <x v="198"/>
    <x v="3"/>
    <x v="1"/>
    <s v="MEDIA"/>
    <s v="MEDIA"/>
    <n v="64"/>
    <s v="cumple"/>
    <x v="8"/>
    <x v="2"/>
    <x v="1320"/>
    <n v="1450"/>
    <x v="0"/>
  </r>
  <r>
    <x v="0"/>
    <x v="5"/>
    <x v="2"/>
    <x v="0"/>
    <x v="6"/>
    <x v="5"/>
    <x v="60"/>
    <x v="39"/>
    <x v="1321"/>
    <x v="179"/>
    <x v="23"/>
    <x v="179"/>
    <x v="12"/>
    <x v="5"/>
    <x v="0"/>
    <x v="198"/>
    <x v="3"/>
    <x v="1"/>
    <s v="MEDIA"/>
    <s v="MEDIA"/>
    <n v="64"/>
    <s v="cumple"/>
    <x v="8"/>
    <x v="2"/>
    <x v="1321"/>
    <n v="1739.9999999999998"/>
    <x v="0"/>
  </r>
  <r>
    <x v="0"/>
    <x v="5"/>
    <x v="2"/>
    <x v="0"/>
    <x v="6"/>
    <x v="5"/>
    <x v="61"/>
    <x v="39"/>
    <x v="322"/>
    <x v="179"/>
    <x v="7"/>
    <x v="179"/>
    <x v="0"/>
    <x v="5"/>
    <x v="0"/>
    <x v="198"/>
    <x v="3"/>
    <x v="1"/>
    <s v="MEDIA"/>
    <s v="MEDIA"/>
    <n v="64"/>
    <s v="cumple"/>
    <x v="8"/>
    <x v="2"/>
    <x v="322"/>
    <n v="1739.9999999999998"/>
    <x v="0"/>
  </r>
  <r>
    <x v="0"/>
    <x v="5"/>
    <x v="2"/>
    <x v="0"/>
    <x v="6"/>
    <x v="5"/>
    <x v="62"/>
    <x v="39"/>
    <x v="516"/>
    <x v="180"/>
    <x v="0"/>
    <x v="180"/>
    <x v="13"/>
    <x v="13"/>
    <x v="0"/>
    <x v="198"/>
    <x v="3"/>
    <x v="1"/>
    <s v="MEDIA"/>
    <s v="MEDIA"/>
    <n v="64"/>
    <s v="cumple"/>
    <x v="8"/>
    <x v="2"/>
    <x v="516"/>
    <n v="2029.9999999999998"/>
    <x v="0"/>
  </r>
  <r>
    <x v="0"/>
    <x v="5"/>
    <x v="2"/>
    <x v="0"/>
    <x v="6"/>
    <x v="5"/>
    <x v="63"/>
    <x v="39"/>
    <x v="1322"/>
    <x v="180"/>
    <x v="10"/>
    <x v="180"/>
    <x v="12"/>
    <x v="4"/>
    <x v="0"/>
    <x v="198"/>
    <x v="3"/>
    <x v="1"/>
    <s v="MEDIA"/>
    <s v="MEDIA"/>
    <n v="64"/>
    <s v="cumple"/>
    <x v="8"/>
    <x v="2"/>
    <x v="1322"/>
    <n v="1160"/>
    <x v="0"/>
  </r>
  <r>
    <x v="0"/>
    <x v="5"/>
    <x v="2"/>
    <x v="0"/>
    <x v="6"/>
    <x v="5"/>
    <x v="64"/>
    <x v="39"/>
    <x v="1323"/>
    <x v="180"/>
    <x v="7"/>
    <x v="180"/>
    <x v="0"/>
    <x v="5"/>
    <x v="0"/>
    <x v="198"/>
    <x v="3"/>
    <x v="1"/>
    <s v="MEDIA"/>
    <s v="MEDIA"/>
    <n v="64"/>
    <s v="cumple"/>
    <x v="8"/>
    <x v="2"/>
    <x v="1323"/>
    <n v="1739.9999999999998"/>
    <x v="0"/>
  </r>
  <r>
    <x v="0"/>
    <x v="5"/>
    <x v="2"/>
    <x v="0"/>
    <x v="6"/>
    <x v="5"/>
    <x v="65"/>
    <x v="39"/>
    <x v="1324"/>
    <x v="181"/>
    <x v="0"/>
    <x v="181"/>
    <x v="3"/>
    <x v="4"/>
    <x v="0"/>
    <x v="198"/>
    <x v="3"/>
    <x v="1"/>
    <s v="MEDIA"/>
    <s v="MEDIA"/>
    <n v="64"/>
    <s v="cumple"/>
    <x v="8"/>
    <x v="2"/>
    <x v="1324"/>
    <n v="1160"/>
    <x v="0"/>
  </r>
  <r>
    <x v="0"/>
    <x v="5"/>
    <x v="2"/>
    <x v="0"/>
    <x v="6"/>
    <x v="5"/>
    <x v="66"/>
    <x v="39"/>
    <x v="1321"/>
    <x v="181"/>
    <x v="4"/>
    <x v="181"/>
    <x v="12"/>
    <x v="13"/>
    <x v="0"/>
    <x v="198"/>
    <x v="3"/>
    <x v="1"/>
    <s v="MEDIA"/>
    <s v="MEDIA"/>
    <n v="64"/>
    <s v="cumple"/>
    <x v="8"/>
    <x v="2"/>
    <x v="1321"/>
    <n v="2029.9999999999998"/>
    <x v="0"/>
  </r>
  <r>
    <x v="0"/>
    <x v="5"/>
    <x v="2"/>
    <x v="0"/>
    <x v="6"/>
    <x v="5"/>
    <x v="67"/>
    <x v="39"/>
    <x v="1325"/>
    <x v="181"/>
    <x v="7"/>
    <x v="181"/>
    <x v="0"/>
    <x v="5"/>
    <x v="0"/>
    <x v="198"/>
    <x v="3"/>
    <x v="1"/>
    <s v="MEDIA"/>
    <s v="MEDIA"/>
    <n v="64"/>
    <s v="cumple"/>
    <x v="8"/>
    <x v="2"/>
    <x v="1325"/>
    <n v="1739.9999999999998"/>
    <x v="0"/>
  </r>
  <r>
    <x v="0"/>
    <x v="5"/>
    <x v="2"/>
    <x v="0"/>
    <x v="6"/>
    <x v="5"/>
    <x v="68"/>
    <x v="39"/>
    <x v="1249"/>
    <x v="182"/>
    <x v="0"/>
    <x v="182"/>
    <x v="8"/>
    <x v="2"/>
    <x v="0"/>
    <x v="199"/>
    <x v="3"/>
    <x v="1"/>
    <s v="MEDIA"/>
    <s v="MEDIA"/>
    <n v="64"/>
    <s v="cumple"/>
    <x v="8"/>
    <x v="2"/>
    <x v="1249"/>
    <n v="580"/>
    <x v="0"/>
  </r>
  <r>
    <x v="0"/>
    <x v="5"/>
    <x v="2"/>
    <x v="0"/>
    <x v="6"/>
    <x v="5"/>
    <x v="69"/>
    <x v="39"/>
    <x v="322"/>
    <x v="182"/>
    <x v="8"/>
    <x v="182"/>
    <x v="14"/>
    <x v="13"/>
    <x v="0"/>
    <x v="198"/>
    <x v="3"/>
    <x v="1"/>
    <s v="MEDIA"/>
    <s v="MEDIA"/>
    <n v="64"/>
    <s v="cumple"/>
    <x v="8"/>
    <x v="2"/>
    <x v="322"/>
    <n v="2029.9999999999998"/>
    <x v="0"/>
  </r>
  <r>
    <x v="0"/>
    <x v="5"/>
    <x v="2"/>
    <x v="0"/>
    <x v="6"/>
    <x v="5"/>
    <x v="70"/>
    <x v="39"/>
    <x v="1326"/>
    <x v="182"/>
    <x v="7"/>
    <x v="182"/>
    <x v="0"/>
    <x v="7"/>
    <x v="0"/>
    <x v="198"/>
    <x v="3"/>
    <x v="1"/>
    <s v="MEDIA"/>
    <s v="MEDIA"/>
    <n v="64"/>
    <s v="cumple"/>
    <x v="8"/>
    <x v="2"/>
    <x v="1326"/>
    <n v="2320"/>
    <x v="0"/>
  </r>
  <r>
    <x v="0"/>
    <x v="5"/>
    <x v="2"/>
    <x v="0"/>
    <x v="6"/>
    <x v="5"/>
    <x v="71"/>
    <x v="39"/>
    <x v="510"/>
    <x v="183"/>
    <x v="0"/>
    <x v="183"/>
    <x v="4"/>
    <x v="5"/>
    <x v="0"/>
    <x v="198"/>
    <x v="3"/>
    <x v="1"/>
    <s v="MEDIA"/>
    <s v="MEDIA"/>
    <n v="64"/>
    <s v="cumple"/>
    <x v="8"/>
    <x v="2"/>
    <x v="510"/>
    <n v="1739.9999999999998"/>
    <x v="0"/>
  </r>
  <r>
    <x v="0"/>
    <x v="5"/>
    <x v="2"/>
    <x v="0"/>
    <x v="6"/>
    <x v="5"/>
    <x v="72"/>
    <x v="39"/>
    <x v="1327"/>
    <x v="183"/>
    <x v="6"/>
    <x v="183"/>
    <x v="7"/>
    <x v="5"/>
    <x v="0"/>
    <x v="198"/>
    <x v="3"/>
    <x v="1"/>
    <s v="MEDIA"/>
    <s v="MEDIA"/>
    <n v="64"/>
    <s v="cumple"/>
    <x v="8"/>
    <x v="2"/>
    <x v="1327"/>
    <n v="1739.9999999999998"/>
    <x v="0"/>
  </r>
  <r>
    <x v="0"/>
    <x v="5"/>
    <x v="2"/>
    <x v="0"/>
    <x v="6"/>
    <x v="5"/>
    <x v="73"/>
    <x v="39"/>
    <x v="1328"/>
    <x v="184"/>
    <x v="0"/>
    <x v="184"/>
    <x v="16"/>
    <x v="15"/>
    <x v="0"/>
    <x v="198"/>
    <x v="3"/>
    <x v="1"/>
    <s v="MEDIA"/>
    <s v="MEDIA"/>
    <n v="64"/>
    <s v="cumple"/>
    <x v="8"/>
    <x v="2"/>
    <x v="1328"/>
    <n v="869.99999999999989"/>
    <x v="0"/>
  </r>
  <r>
    <x v="0"/>
    <x v="5"/>
    <x v="2"/>
    <x v="0"/>
    <x v="6"/>
    <x v="5"/>
    <x v="74"/>
    <x v="39"/>
    <x v="1329"/>
    <x v="184"/>
    <x v="13"/>
    <x v="184"/>
    <x v="12"/>
    <x v="7"/>
    <x v="0"/>
    <x v="200"/>
    <x v="3"/>
    <x v="1"/>
    <s v="MEDIA"/>
    <s v="MEDIA"/>
    <n v="64"/>
    <s v="cumple"/>
    <x v="8"/>
    <x v="2"/>
    <x v="1329"/>
    <n v="2320"/>
    <x v="0"/>
  </r>
  <r>
    <x v="0"/>
    <x v="5"/>
    <x v="2"/>
    <x v="0"/>
    <x v="6"/>
    <x v="5"/>
    <x v="75"/>
    <x v="39"/>
    <x v="1330"/>
    <x v="184"/>
    <x v="7"/>
    <x v="184"/>
    <x v="0"/>
    <x v="5"/>
    <x v="0"/>
    <x v="201"/>
    <x v="3"/>
    <x v="1"/>
    <s v="MEDIA"/>
    <s v="MEDIA"/>
    <n v="64"/>
    <s v="cumple"/>
    <x v="8"/>
    <x v="2"/>
    <x v="1330"/>
    <n v="1739.9999999999998"/>
    <x v="0"/>
  </r>
  <r>
    <x v="0"/>
    <x v="5"/>
    <x v="2"/>
    <x v="0"/>
    <x v="6"/>
    <x v="5"/>
    <x v="76"/>
    <x v="39"/>
    <x v="1331"/>
    <x v="185"/>
    <x v="0"/>
    <x v="185"/>
    <x v="13"/>
    <x v="13"/>
    <x v="0"/>
    <x v="198"/>
    <x v="3"/>
    <x v="1"/>
    <s v="MEDIA"/>
    <s v="MEDIA"/>
    <n v="64"/>
    <s v="cumple"/>
    <x v="8"/>
    <x v="2"/>
    <x v="1331"/>
    <n v="2029.9999999999998"/>
    <x v="0"/>
  </r>
  <r>
    <x v="0"/>
    <x v="5"/>
    <x v="2"/>
    <x v="0"/>
    <x v="6"/>
    <x v="5"/>
    <x v="77"/>
    <x v="39"/>
    <x v="1332"/>
    <x v="185"/>
    <x v="10"/>
    <x v="185"/>
    <x v="12"/>
    <x v="4"/>
    <x v="0"/>
    <x v="198"/>
    <x v="3"/>
    <x v="1"/>
    <s v="MEDIA"/>
    <s v="MEDIA"/>
    <n v="64"/>
    <s v="cumple"/>
    <x v="8"/>
    <x v="2"/>
    <x v="1332"/>
    <n v="1160"/>
    <x v="0"/>
  </r>
  <r>
    <x v="0"/>
    <x v="5"/>
    <x v="2"/>
    <x v="0"/>
    <x v="6"/>
    <x v="5"/>
    <x v="78"/>
    <x v="39"/>
    <x v="1333"/>
    <x v="185"/>
    <x v="7"/>
    <x v="185"/>
    <x v="0"/>
    <x v="5"/>
    <x v="0"/>
    <x v="198"/>
    <x v="3"/>
    <x v="1"/>
    <s v="MEDIA"/>
    <s v="MEDIA"/>
    <n v="64"/>
    <s v="cumple"/>
    <x v="8"/>
    <x v="2"/>
    <x v="1333"/>
    <n v="1739.9999999999998"/>
    <x v="0"/>
  </r>
  <r>
    <x v="0"/>
    <x v="5"/>
    <x v="2"/>
    <x v="0"/>
    <x v="6"/>
    <x v="5"/>
    <x v="79"/>
    <x v="39"/>
    <x v="1334"/>
    <x v="186"/>
    <x v="0"/>
    <x v="186"/>
    <x v="5"/>
    <x v="7"/>
    <x v="0"/>
    <x v="202"/>
    <x v="3"/>
    <x v="1"/>
    <s v="MEDIA"/>
    <s v="MEDIA"/>
    <n v="64"/>
    <s v="cumple"/>
    <x v="8"/>
    <x v="2"/>
    <x v="1334"/>
    <n v="2320"/>
    <x v="0"/>
  </r>
  <r>
    <x v="0"/>
    <x v="5"/>
    <x v="2"/>
    <x v="0"/>
    <x v="6"/>
    <x v="5"/>
    <x v="80"/>
    <x v="39"/>
    <x v="1335"/>
    <x v="186"/>
    <x v="3"/>
    <x v="186"/>
    <x v="12"/>
    <x v="15"/>
    <x v="0"/>
    <x v="203"/>
    <x v="3"/>
    <x v="1"/>
    <s v="MEDIA"/>
    <s v="MEDIA"/>
    <n v="64"/>
    <s v="cumple"/>
    <x v="8"/>
    <x v="2"/>
    <x v="1335"/>
    <n v="869.99999999999989"/>
    <x v="0"/>
  </r>
  <r>
    <x v="0"/>
    <x v="5"/>
    <x v="2"/>
    <x v="0"/>
    <x v="6"/>
    <x v="5"/>
    <x v="81"/>
    <x v="39"/>
    <x v="1336"/>
    <x v="186"/>
    <x v="7"/>
    <x v="186"/>
    <x v="0"/>
    <x v="5"/>
    <x v="0"/>
    <x v="204"/>
    <x v="3"/>
    <x v="1"/>
    <s v="MEDIA"/>
    <s v="MEDIA"/>
    <n v="64"/>
    <s v="cumple"/>
    <x v="8"/>
    <x v="2"/>
    <x v="1336"/>
    <n v="1739.9999999999998"/>
    <x v="0"/>
  </r>
  <r>
    <x v="0"/>
    <x v="5"/>
    <x v="2"/>
    <x v="0"/>
    <x v="6"/>
    <x v="5"/>
    <x v="82"/>
    <x v="39"/>
    <x v="1337"/>
    <x v="187"/>
    <x v="0"/>
    <x v="187"/>
    <x v="5"/>
    <x v="7"/>
    <x v="0"/>
    <x v="204"/>
    <x v="3"/>
    <x v="1"/>
    <s v="MEDIA"/>
    <s v="MEDIA"/>
    <n v="64"/>
    <s v="cumple"/>
    <x v="8"/>
    <x v="2"/>
    <x v="1337"/>
    <n v="2320"/>
    <x v="0"/>
  </r>
  <r>
    <x v="0"/>
    <x v="5"/>
    <x v="2"/>
    <x v="0"/>
    <x v="6"/>
    <x v="5"/>
    <x v="83"/>
    <x v="39"/>
    <x v="322"/>
    <x v="187"/>
    <x v="3"/>
    <x v="187"/>
    <x v="12"/>
    <x v="15"/>
    <x v="0"/>
    <x v="198"/>
    <x v="3"/>
    <x v="1"/>
    <s v="MEDIA"/>
    <s v="MEDIA"/>
    <n v="64"/>
    <s v="cumple"/>
    <x v="8"/>
    <x v="2"/>
    <x v="322"/>
    <n v="869.99999999999989"/>
    <x v="0"/>
  </r>
  <r>
    <x v="0"/>
    <x v="5"/>
    <x v="2"/>
    <x v="0"/>
    <x v="6"/>
    <x v="5"/>
    <x v="84"/>
    <x v="39"/>
    <x v="1338"/>
    <x v="187"/>
    <x v="7"/>
    <x v="187"/>
    <x v="0"/>
    <x v="5"/>
    <x v="0"/>
    <x v="198"/>
    <x v="3"/>
    <x v="1"/>
    <s v="MEDIA"/>
    <s v="MEDIA"/>
    <n v="64"/>
    <s v="cumple"/>
    <x v="8"/>
    <x v="2"/>
    <x v="1338"/>
    <n v="1739.9999999999998"/>
    <x v="0"/>
  </r>
  <r>
    <x v="0"/>
    <x v="5"/>
    <x v="2"/>
    <x v="0"/>
    <x v="6"/>
    <x v="5"/>
    <x v="85"/>
    <x v="39"/>
    <x v="1323"/>
    <x v="188"/>
    <x v="0"/>
    <x v="188"/>
    <x v="4"/>
    <x v="5"/>
    <x v="0"/>
    <x v="198"/>
    <x v="3"/>
    <x v="1"/>
    <s v="MEDIA"/>
    <s v="MEDIA"/>
    <n v="64"/>
    <s v="cumple"/>
    <x v="8"/>
    <x v="2"/>
    <x v="1323"/>
    <n v="1739.9999999999998"/>
    <x v="0"/>
  </r>
  <r>
    <x v="0"/>
    <x v="5"/>
    <x v="2"/>
    <x v="0"/>
    <x v="6"/>
    <x v="5"/>
    <x v="86"/>
    <x v="39"/>
    <x v="1324"/>
    <x v="188"/>
    <x v="6"/>
    <x v="188"/>
    <x v="7"/>
    <x v="5"/>
    <x v="0"/>
    <x v="198"/>
    <x v="3"/>
    <x v="1"/>
    <s v="MEDIA"/>
    <s v="MEDIA"/>
    <n v="64"/>
    <s v="cumple"/>
    <x v="8"/>
    <x v="2"/>
    <x v="1324"/>
    <n v="1739.9999999999998"/>
    <x v="0"/>
  </r>
  <r>
    <x v="0"/>
    <x v="5"/>
    <x v="2"/>
    <x v="0"/>
    <x v="6"/>
    <x v="5"/>
    <x v="87"/>
    <x v="39"/>
    <x v="1339"/>
    <x v="189"/>
    <x v="0"/>
    <x v="189"/>
    <x v="13"/>
    <x v="13"/>
    <x v="0"/>
    <x v="198"/>
    <x v="3"/>
    <x v="1"/>
    <s v="MEDIA"/>
    <s v="MEDIA"/>
    <n v="64"/>
    <s v="cumple"/>
    <x v="8"/>
    <x v="2"/>
    <x v="1339"/>
    <n v="2029.9999999999998"/>
    <x v="0"/>
  </r>
  <r>
    <x v="0"/>
    <x v="5"/>
    <x v="2"/>
    <x v="0"/>
    <x v="6"/>
    <x v="5"/>
    <x v="88"/>
    <x v="39"/>
    <x v="1327"/>
    <x v="189"/>
    <x v="10"/>
    <x v="189"/>
    <x v="12"/>
    <x v="4"/>
    <x v="0"/>
    <x v="198"/>
    <x v="3"/>
    <x v="1"/>
    <s v="MEDIA"/>
    <s v="MEDIA"/>
    <n v="64"/>
    <s v="cumple"/>
    <x v="8"/>
    <x v="2"/>
    <x v="1327"/>
    <n v="1160"/>
    <x v="0"/>
  </r>
  <r>
    <x v="0"/>
    <x v="5"/>
    <x v="2"/>
    <x v="0"/>
    <x v="6"/>
    <x v="5"/>
    <x v="89"/>
    <x v="39"/>
    <x v="1340"/>
    <x v="189"/>
    <x v="7"/>
    <x v="189"/>
    <x v="0"/>
    <x v="5"/>
    <x v="0"/>
    <x v="198"/>
    <x v="3"/>
    <x v="1"/>
    <s v="MEDIA"/>
    <s v="MEDIA"/>
    <n v="64"/>
    <s v="cumple"/>
    <x v="8"/>
    <x v="2"/>
    <x v="1340"/>
    <n v="1739.9999999999998"/>
    <x v="0"/>
  </r>
  <r>
    <x v="0"/>
    <x v="5"/>
    <x v="2"/>
    <x v="0"/>
    <x v="6"/>
    <x v="5"/>
    <x v="90"/>
    <x v="39"/>
    <x v="516"/>
    <x v="190"/>
    <x v="0"/>
    <x v="190"/>
    <x v="4"/>
    <x v="5"/>
    <x v="0"/>
    <x v="198"/>
    <x v="3"/>
    <x v="1"/>
    <s v="MEDIA"/>
    <s v="MEDIA"/>
    <n v="64"/>
    <s v="cumple"/>
    <x v="8"/>
    <x v="2"/>
    <x v="516"/>
    <n v="1739.9999999999998"/>
    <x v="0"/>
  </r>
  <r>
    <x v="0"/>
    <x v="5"/>
    <x v="2"/>
    <x v="0"/>
    <x v="6"/>
    <x v="5"/>
    <x v="91"/>
    <x v="39"/>
    <x v="1333"/>
    <x v="190"/>
    <x v="6"/>
    <x v="190"/>
    <x v="12"/>
    <x v="12"/>
    <x v="0"/>
    <x v="198"/>
    <x v="3"/>
    <x v="1"/>
    <s v="MEDIA"/>
    <s v="MEDIA"/>
    <n v="64"/>
    <s v="cumple"/>
    <x v="8"/>
    <x v="2"/>
    <x v="1333"/>
    <n v="1450"/>
    <x v="0"/>
  </r>
  <r>
    <x v="0"/>
    <x v="5"/>
    <x v="2"/>
    <x v="0"/>
    <x v="6"/>
    <x v="5"/>
    <x v="92"/>
    <x v="39"/>
    <x v="1341"/>
    <x v="190"/>
    <x v="9"/>
    <x v="190"/>
    <x v="0"/>
    <x v="5"/>
    <x v="0"/>
    <x v="198"/>
    <x v="3"/>
    <x v="1"/>
    <s v="MEDIA"/>
    <s v="MEDIA"/>
    <n v="64"/>
    <s v="cumple"/>
    <x v="8"/>
    <x v="2"/>
    <x v="1341"/>
    <n v="1739.9999999999998"/>
    <x v="0"/>
  </r>
  <r>
    <x v="0"/>
    <x v="5"/>
    <x v="2"/>
    <x v="0"/>
    <x v="6"/>
    <x v="5"/>
    <x v="93"/>
    <x v="39"/>
    <x v="1342"/>
    <x v="191"/>
    <x v="0"/>
    <x v="191"/>
    <x v="15"/>
    <x v="12"/>
    <x v="0"/>
    <x v="198"/>
    <x v="3"/>
    <x v="1"/>
    <s v="MEDIA"/>
    <s v="MEDIA"/>
    <n v="64"/>
    <s v="cumple"/>
    <x v="8"/>
    <x v="2"/>
    <x v="1342"/>
    <n v="1450"/>
    <x v="0"/>
  </r>
  <r>
    <x v="0"/>
    <x v="5"/>
    <x v="2"/>
    <x v="0"/>
    <x v="6"/>
    <x v="5"/>
    <x v="94"/>
    <x v="39"/>
    <x v="1325"/>
    <x v="191"/>
    <x v="23"/>
    <x v="191"/>
    <x v="12"/>
    <x v="5"/>
    <x v="0"/>
    <x v="198"/>
    <x v="3"/>
    <x v="1"/>
    <s v="MEDIA"/>
    <s v="MEDIA"/>
    <n v="64"/>
    <s v="cumple"/>
    <x v="8"/>
    <x v="2"/>
    <x v="1325"/>
    <n v="1739.9999999999998"/>
    <x v="0"/>
  </r>
  <r>
    <x v="0"/>
    <x v="5"/>
    <x v="2"/>
    <x v="0"/>
    <x v="6"/>
    <x v="5"/>
    <x v="95"/>
    <x v="39"/>
    <x v="516"/>
    <x v="191"/>
    <x v="7"/>
    <x v="191"/>
    <x v="0"/>
    <x v="5"/>
    <x v="0"/>
    <x v="198"/>
    <x v="3"/>
    <x v="1"/>
    <s v="MEDIA"/>
    <s v="MEDIA"/>
    <n v="64"/>
    <s v="cumple"/>
    <x v="8"/>
    <x v="2"/>
    <x v="516"/>
    <n v="1739.9999999999998"/>
    <x v="0"/>
  </r>
  <r>
    <x v="0"/>
    <x v="5"/>
    <x v="2"/>
    <x v="0"/>
    <x v="6"/>
    <x v="5"/>
    <x v="96"/>
    <x v="39"/>
    <x v="1343"/>
    <x v="192"/>
    <x v="0"/>
    <x v="192"/>
    <x v="4"/>
    <x v="5"/>
    <x v="0"/>
    <x v="198"/>
    <x v="3"/>
    <x v="1"/>
    <s v="MEDIA"/>
    <s v="MEDIA"/>
    <n v="64"/>
    <s v="cumple"/>
    <x v="8"/>
    <x v="2"/>
    <x v="1343"/>
    <n v="1739.9999999999998"/>
    <x v="0"/>
  </r>
  <r>
    <x v="0"/>
    <x v="5"/>
    <x v="2"/>
    <x v="0"/>
    <x v="6"/>
    <x v="5"/>
    <x v="97"/>
    <x v="39"/>
    <x v="322"/>
    <x v="192"/>
    <x v="6"/>
    <x v="192"/>
    <x v="12"/>
    <x v="12"/>
    <x v="0"/>
    <x v="198"/>
    <x v="3"/>
    <x v="1"/>
    <s v="MEDIA"/>
    <s v="MEDIA"/>
    <n v="64"/>
    <s v="cumple"/>
    <x v="8"/>
    <x v="2"/>
    <x v="322"/>
    <n v="1450"/>
    <x v="0"/>
  </r>
  <r>
    <x v="0"/>
    <x v="5"/>
    <x v="2"/>
    <x v="0"/>
    <x v="6"/>
    <x v="5"/>
    <x v="98"/>
    <x v="39"/>
    <x v="1326"/>
    <x v="192"/>
    <x v="7"/>
    <x v="192"/>
    <x v="0"/>
    <x v="5"/>
    <x v="0"/>
    <x v="198"/>
    <x v="3"/>
    <x v="1"/>
    <s v="MEDIA"/>
    <s v="MEDIA"/>
    <n v="64"/>
    <s v="cumple"/>
    <x v="8"/>
    <x v="2"/>
    <x v="1326"/>
    <n v="1739.9999999999998"/>
    <x v="0"/>
  </r>
  <r>
    <x v="0"/>
    <x v="5"/>
    <x v="2"/>
    <x v="0"/>
    <x v="6"/>
    <x v="5"/>
    <x v="99"/>
    <x v="39"/>
    <x v="1344"/>
    <x v="193"/>
    <x v="0"/>
    <x v="193"/>
    <x v="8"/>
    <x v="2"/>
    <x v="0"/>
    <x v="202"/>
    <x v="3"/>
    <x v="1"/>
    <s v="MEDIA"/>
    <s v="MEDIA"/>
    <n v="64"/>
    <s v="cumple"/>
    <x v="8"/>
    <x v="2"/>
    <x v="1344"/>
    <n v="580"/>
    <x v="0"/>
  </r>
  <r>
    <x v="0"/>
    <x v="5"/>
    <x v="2"/>
    <x v="0"/>
    <x v="6"/>
    <x v="5"/>
    <x v="100"/>
    <x v="39"/>
    <x v="1345"/>
    <x v="193"/>
    <x v="8"/>
    <x v="193"/>
    <x v="9"/>
    <x v="7"/>
    <x v="0"/>
    <x v="203"/>
    <x v="3"/>
    <x v="1"/>
    <s v="MEDIA"/>
    <s v="MEDIA"/>
    <n v="64"/>
    <s v="cumple"/>
    <x v="8"/>
    <x v="2"/>
    <x v="1345"/>
    <n v="2320"/>
    <x v="0"/>
  </r>
  <r>
    <x v="0"/>
    <x v="5"/>
    <x v="2"/>
    <x v="0"/>
    <x v="6"/>
    <x v="5"/>
    <x v="101"/>
    <x v="39"/>
    <x v="1346"/>
    <x v="193"/>
    <x v="9"/>
    <x v="193"/>
    <x v="7"/>
    <x v="2"/>
    <x v="0"/>
    <x v="204"/>
    <x v="3"/>
    <x v="1"/>
    <s v="MEDIA"/>
    <s v="MEDIA"/>
    <n v="64"/>
    <s v="cumple"/>
    <x v="8"/>
    <x v="2"/>
    <x v="1346"/>
    <n v="580"/>
    <x v="0"/>
  </r>
  <r>
    <x v="0"/>
    <x v="5"/>
    <x v="2"/>
    <x v="0"/>
    <x v="6"/>
    <x v="5"/>
    <x v="102"/>
    <x v="39"/>
    <x v="1347"/>
    <x v="194"/>
    <x v="0"/>
    <x v="194"/>
    <x v="5"/>
    <x v="7"/>
    <x v="0"/>
    <x v="204"/>
    <x v="3"/>
    <x v="1"/>
    <s v="MEDIA"/>
    <s v="MEDIA"/>
    <n v="64"/>
    <s v="cumple"/>
    <x v="8"/>
    <x v="2"/>
    <x v="1347"/>
    <n v="2320"/>
    <x v="0"/>
  </r>
  <r>
    <x v="0"/>
    <x v="5"/>
    <x v="2"/>
    <x v="0"/>
    <x v="6"/>
    <x v="5"/>
    <x v="103"/>
    <x v="39"/>
    <x v="1342"/>
    <x v="194"/>
    <x v="3"/>
    <x v="194"/>
    <x v="12"/>
    <x v="15"/>
    <x v="0"/>
    <x v="198"/>
    <x v="3"/>
    <x v="1"/>
    <s v="MEDIA"/>
    <s v="MEDIA"/>
    <n v="64"/>
    <s v="cumple"/>
    <x v="8"/>
    <x v="2"/>
    <x v="1342"/>
    <n v="869.99999999999989"/>
    <x v="0"/>
  </r>
  <r>
    <x v="0"/>
    <x v="5"/>
    <x v="2"/>
    <x v="0"/>
    <x v="6"/>
    <x v="5"/>
    <x v="104"/>
    <x v="39"/>
    <x v="1335"/>
    <x v="194"/>
    <x v="7"/>
    <x v="194"/>
    <x v="0"/>
    <x v="5"/>
    <x v="0"/>
    <x v="198"/>
    <x v="3"/>
    <x v="1"/>
    <s v="MEDIA"/>
    <s v="MEDIA"/>
    <n v="64"/>
    <s v="cumple"/>
    <x v="8"/>
    <x v="2"/>
    <x v="1335"/>
    <n v="1739.9999999999998"/>
    <x v="0"/>
  </r>
  <r>
    <x v="0"/>
    <x v="5"/>
    <x v="2"/>
    <x v="0"/>
    <x v="6"/>
    <x v="5"/>
    <x v="105"/>
    <x v="39"/>
    <x v="1245"/>
    <x v="195"/>
    <x v="0"/>
    <x v="195"/>
    <x v="13"/>
    <x v="13"/>
    <x v="0"/>
    <x v="198"/>
    <x v="3"/>
    <x v="1"/>
    <s v="MEDIA"/>
    <s v="MEDIA"/>
    <n v="64"/>
    <s v="cumple"/>
    <x v="8"/>
    <x v="2"/>
    <x v="1245"/>
    <n v="2029.9999999999998"/>
    <x v="0"/>
  </r>
  <r>
    <x v="0"/>
    <x v="5"/>
    <x v="2"/>
    <x v="0"/>
    <x v="6"/>
    <x v="5"/>
    <x v="106"/>
    <x v="39"/>
    <x v="1336"/>
    <x v="195"/>
    <x v="10"/>
    <x v="195"/>
    <x v="12"/>
    <x v="4"/>
    <x v="0"/>
    <x v="198"/>
    <x v="3"/>
    <x v="1"/>
    <s v="MEDIA"/>
    <s v="MEDIA"/>
    <n v="64"/>
    <s v="cumple"/>
    <x v="8"/>
    <x v="2"/>
    <x v="1336"/>
    <n v="1160"/>
    <x v="0"/>
  </r>
  <r>
    <x v="0"/>
    <x v="5"/>
    <x v="2"/>
    <x v="0"/>
    <x v="6"/>
    <x v="5"/>
    <x v="107"/>
    <x v="39"/>
    <x v="1337"/>
    <x v="195"/>
    <x v="7"/>
    <x v="195"/>
    <x v="0"/>
    <x v="5"/>
    <x v="0"/>
    <x v="198"/>
    <x v="3"/>
    <x v="1"/>
    <s v="MEDIA"/>
    <s v="MEDIA"/>
    <n v="64"/>
    <s v="cumple"/>
    <x v="8"/>
    <x v="2"/>
    <x v="1337"/>
    <n v="1739.9999999999998"/>
    <x v="0"/>
  </r>
  <r>
    <x v="0"/>
    <x v="5"/>
    <x v="2"/>
    <x v="0"/>
    <x v="6"/>
    <x v="5"/>
    <x v="108"/>
    <x v="39"/>
    <x v="1320"/>
    <x v="196"/>
    <x v="0"/>
    <x v="196"/>
    <x v="15"/>
    <x v="12"/>
    <x v="0"/>
    <x v="198"/>
    <x v="3"/>
    <x v="1"/>
    <s v="MEDIA"/>
    <s v="MEDIA"/>
    <n v="64"/>
    <s v="cumple"/>
    <x v="8"/>
    <x v="2"/>
    <x v="1320"/>
    <n v="1450"/>
    <x v="0"/>
  </r>
  <r>
    <x v="0"/>
    <x v="5"/>
    <x v="2"/>
    <x v="0"/>
    <x v="6"/>
    <x v="5"/>
    <x v="109"/>
    <x v="39"/>
    <x v="1321"/>
    <x v="196"/>
    <x v="23"/>
    <x v="196"/>
    <x v="12"/>
    <x v="5"/>
    <x v="0"/>
    <x v="198"/>
    <x v="3"/>
    <x v="1"/>
    <s v="MEDIA"/>
    <s v="MEDIA"/>
    <n v="64"/>
    <s v="cumple"/>
    <x v="8"/>
    <x v="2"/>
    <x v="1321"/>
    <n v="1739.9999999999998"/>
    <x v="0"/>
  </r>
  <r>
    <x v="0"/>
    <x v="5"/>
    <x v="2"/>
    <x v="0"/>
    <x v="6"/>
    <x v="5"/>
    <x v="110"/>
    <x v="39"/>
    <x v="1348"/>
    <x v="196"/>
    <x v="7"/>
    <x v="196"/>
    <x v="0"/>
    <x v="5"/>
    <x v="0"/>
    <x v="198"/>
    <x v="3"/>
    <x v="1"/>
    <s v="MEDIA"/>
    <s v="MEDIA"/>
    <n v="64"/>
    <s v="cumple"/>
    <x v="8"/>
    <x v="2"/>
    <x v="1348"/>
    <n v="1739.9999999999998"/>
    <x v="0"/>
  </r>
  <r>
    <x v="0"/>
    <x v="5"/>
    <x v="2"/>
    <x v="0"/>
    <x v="6"/>
    <x v="5"/>
    <x v="111"/>
    <x v="39"/>
    <x v="767"/>
    <x v="197"/>
    <x v="0"/>
    <x v="197"/>
    <x v="5"/>
    <x v="7"/>
    <x v="0"/>
    <x v="198"/>
    <x v="3"/>
    <x v="1"/>
    <s v="MEDIA"/>
    <s v="MEDIA"/>
    <n v="64"/>
    <s v="cumple"/>
    <x v="8"/>
    <x v="2"/>
    <x v="767"/>
    <n v="2320"/>
    <x v="0"/>
  </r>
  <r>
    <x v="0"/>
    <x v="5"/>
    <x v="2"/>
    <x v="0"/>
    <x v="6"/>
    <x v="5"/>
    <x v="112"/>
    <x v="39"/>
    <x v="322"/>
    <x v="197"/>
    <x v="3"/>
    <x v="197"/>
    <x v="12"/>
    <x v="15"/>
    <x v="0"/>
    <x v="198"/>
    <x v="3"/>
    <x v="1"/>
    <s v="MEDIA"/>
    <s v="MEDIA"/>
    <n v="64"/>
    <s v="cumple"/>
    <x v="8"/>
    <x v="2"/>
    <x v="322"/>
    <n v="869.99999999999989"/>
    <x v="0"/>
  </r>
  <r>
    <x v="0"/>
    <x v="5"/>
    <x v="2"/>
    <x v="0"/>
    <x v="6"/>
    <x v="5"/>
    <x v="113"/>
    <x v="39"/>
    <x v="1245"/>
    <x v="197"/>
    <x v="7"/>
    <x v="197"/>
    <x v="0"/>
    <x v="5"/>
    <x v="0"/>
    <x v="198"/>
    <x v="3"/>
    <x v="1"/>
    <s v="MEDIA"/>
    <s v="MEDIA"/>
    <n v="64"/>
    <s v="cumple"/>
    <x v="8"/>
    <x v="2"/>
    <x v="1245"/>
    <n v="1739.9999999999998"/>
    <x v="0"/>
  </r>
  <r>
    <x v="0"/>
    <x v="5"/>
    <x v="2"/>
    <x v="0"/>
    <x v="6"/>
    <x v="5"/>
    <x v="114"/>
    <x v="39"/>
    <x v="1329"/>
    <x v="198"/>
    <x v="0"/>
    <x v="198"/>
    <x v="3"/>
    <x v="4"/>
    <x v="0"/>
    <x v="200"/>
    <x v="3"/>
    <x v="1"/>
    <s v="MEDIA"/>
    <s v="MEDIA"/>
    <n v="64"/>
    <s v="cumple"/>
    <x v="8"/>
    <x v="2"/>
    <x v="1329"/>
    <n v="1160"/>
    <x v="0"/>
  </r>
  <r>
    <x v="0"/>
    <x v="5"/>
    <x v="2"/>
    <x v="0"/>
    <x v="6"/>
    <x v="5"/>
    <x v="115"/>
    <x v="39"/>
    <x v="1245"/>
    <x v="198"/>
    <x v="4"/>
    <x v="198"/>
    <x v="5"/>
    <x v="4"/>
    <x v="0"/>
    <x v="198"/>
    <x v="3"/>
    <x v="1"/>
    <s v="MEDIA"/>
    <s v="MEDIA"/>
    <n v="64"/>
    <s v="cumple"/>
    <x v="8"/>
    <x v="2"/>
    <x v="1245"/>
    <n v="1160"/>
    <x v="0"/>
  </r>
  <r>
    <x v="0"/>
    <x v="5"/>
    <x v="2"/>
    <x v="0"/>
    <x v="6"/>
    <x v="5"/>
    <x v="116"/>
    <x v="39"/>
    <x v="1349"/>
    <x v="198"/>
    <x v="3"/>
    <x v="198"/>
    <x v="7"/>
    <x v="4"/>
    <x v="0"/>
    <x v="198"/>
    <x v="3"/>
    <x v="1"/>
    <s v="MEDIA"/>
    <s v="MEDIA"/>
    <n v="64"/>
    <s v="cumple"/>
    <x v="8"/>
    <x v="2"/>
    <x v="1349"/>
    <n v="1160"/>
    <x v="0"/>
  </r>
  <r>
    <x v="5"/>
    <x v="9"/>
    <x v="5"/>
    <x v="0"/>
    <x v="18"/>
    <x v="2"/>
    <x v="117"/>
    <x v="665"/>
    <x v="1350"/>
    <x v="179"/>
    <x v="0"/>
    <x v="179"/>
    <x v="5"/>
    <x v="7"/>
    <x v="0"/>
    <x v="205"/>
    <x v="15"/>
    <x v="1"/>
    <s v="MEDIA"/>
    <s v="MEDIA"/>
    <n v="64"/>
    <s v="cumple"/>
    <x v="8"/>
    <x v="5"/>
    <x v="1350"/>
    <n v="2320"/>
    <x v="0"/>
  </r>
  <r>
    <x v="5"/>
    <x v="9"/>
    <x v="5"/>
    <x v="0"/>
    <x v="18"/>
    <x v="2"/>
    <x v="118"/>
    <x v="666"/>
    <x v="1351"/>
    <x v="179"/>
    <x v="5"/>
    <x v="179"/>
    <x v="0"/>
    <x v="14"/>
    <x v="0"/>
    <x v="205"/>
    <x v="15"/>
    <x v="1"/>
    <s v="MEDIA"/>
    <s v="MEDIA"/>
    <n v="64"/>
    <s v="cumple"/>
    <x v="8"/>
    <x v="5"/>
    <x v="1351"/>
    <n v="2610"/>
    <x v="0"/>
  </r>
  <r>
    <x v="5"/>
    <x v="9"/>
    <x v="5"/>
    <x v="0"/>
    <x v="18"/>
    <x v="2"/>
    <x v="119"/>
    <x v="667"/>
    <x v="1352"/>
    <x v="180"/>
    <x v="0"/>
    <x v="180"/>
    <x v="5"/>
    <x v="7"/>
    <x v="0"/>
    <x v="205"/>
    <x v="15"/>
    <x v="1"/>
    <s v="MEDIA"/>
    <s v="MEDIA"/>
    <n v="64"/>
    <s v="cumple"/>
    <x v="8"/>
    <x v="5"/>
    <x v="1352"/>
    <n v="2320"/>
    <x v="0"/>
  </r>
  <r>
    <x v="5"/>
    <x v="0"/>
    <x v="5"/>
    <x v="0"/>
    <x v="18"/>
    <x v="9"/>
    <x v="120"/>
    <x v="668"/>
    <x v="1353"/>
    <x v="180"/>
    <x v="9"/>
    <x v="180"/>
    <x v="0"/>
    <x v="14"/>
    <x v="0"/>
    <x v="205"/>
    <x v="15"/>
    <x v="1"/>
    <s v="MEDIA"/>
    <s v="MEDIA"/>
    <n v="64"/>
    <s v="cumple"/>
    <x v="8"/>
    <x v="5"/>
    <x v="1353"/>
    <n v="2610"/>
    <x v="0"/>
  </r>
  <r>
    <x v="5"/>
    <x v="9"/>
    <x v="5"/>
    <x v="0"/>
    <x v="18"/>
    <x v="2"/>
    <x v="121"/>
    <x v="669"/>
    <x v="1352"/>
    <x v="181"/>
    <x v="0"/>
    <x v="181"/>
    <x v="9"/>
    <x v="6"/>
    <x v="0"/>
    <x v="205"/>
    <x v="15"/>
    <x v="1"/>
    <s v="MEDIA"/>
    <s v="MEDIA"/>
    <n v="64"/>
    <s v="cumple"/>
    <x v="8"/>
    <x v="5"/>
    <x v="1352"/>
    <n v="2900"/>
    <x v="0"/>
  </r>
  <r>
    <x v="5"/>
    <x v="5"/>
    <x v="5"/>
    <x v="0"/>
    <x v="18"/>
    <x v="5"/>
    <x v="122"/>
    <x v="670"/>
    <x v="1354"/>
    <x v="181"/>
    <x v="5"/>
    <x v="181"/>
    <x v="0"/>
    <x v="13"/>
    <x v="0"/>
    <x v="205"/>
    <x v="15"/>
    <x v="1"/>
    <s v="MEDIA"/>
    <s v="MEDIA"/>
    <n v="64"/>
    <s v="cumple"/>
    <x v="8"/>
    <x v="5"/>
    <x v="1354"/>
    <n v="2029.9999999999998"/>
    <x v="0"/>
  </r>
  <r>
    <x v="5"/>
    <x v="2"/>
    <x v="5"/>
    <x v="0"/>
    <x v="18"/>
    <x v="3"/>
    <x v="123"/>
    <x v="671"/>
    <x v="1355"/>
    <x v="182"/>
    <x v="0"/>
    <x v="182"/>
    <x v="0"/>
    <x v="8"/>
    <x v="0"/>
    <x v="205"/>
    <x v="15"/>
    <x v="1"/>
    <s v="MEDIA"/>
    <s v="MEDIA"/>
    <n v="64"/>
    <s v="cumple"/>
    <x v="8"/>
    <x v="5"/>
    <x v="1355"/>
    <n v="4930"/>
    <x v="0"/>
  </r>
  <r>
    <x v="5"/>
    <x v="0"/>
    <x v="5"/>
    <x v="0"/>
    <x v="18"/>
    <x v="2"/>
    <x v="124"/>
    <x v="672"/>
    <x v="1356"/>
    <x v="183"/>
    <x v="0"/>
    <x v="183"/>
    <x v="7"/>
    <x v="3"/>
    <x v="0"/>
    <x v="205"/>
    <x v="15"/>
    <x v="1"/>
    <s v="MEDIA"/>
    <s v="MEDIA"/>
    <n v="64"/>
    <s v="cumple"/>
    <x v="8"/>
    <x v="5"/>
    <x v="1356"/>
    <n v="3479.9999999999995"/>
    <x v="0"/>
  </r>
  <r>
    <x v="5"/>
    <x v="2"/>
    <x v="5"/>
    <x v="0"/>
    <x v="18"/>
    <x v="3"/>
    <x v="125"/>
    <x v="673"/>
    <x v="1355"/>
    <x v="184"/>
    <x v="0"/>
    <x v="184"/>
    <x v="3"/>
    <x v="4"/>
    <x v="0"/>
    <x v="206"/>
    <x v="15"/>
    <x v="1"/>
    <s v="MEDIA"/>
    <s v="MEDIA"/>
    <n v="64"/>
    <s v="cumple"/>
    <x v="8"/>
    <x v="5"/>
    <x v="1355"/>
    <n v="1160"/>
    <x v="0"/>
  </r>
  <r>
    <x v="5"/>
    <x v="2"/>
    <x v="5"/>
    <x v="0"/>
    <x v="18"/>
    <x v="1"/>
    <x v="126"/>
    <x v="674"/>
    <x v="1357"/>
    <x v="184"/>
    <x v="4"/>
    <x v="184"/>
    <x v="0"/>
    <x v="9"/>
    <x v="0"/>
    <x v="206"/>
    <x v="15"/>
    <x v="1"/>
    <s v="MEDIA"/>
    <s v="MEDIA"/>
    <n v="64"/>
    <s v="cumple"/>
    <x v="8"/>
    <x v="5"/>
    <x v="1357"/>
    <n v="3769.9999999999995"/>
    <x v="0"/>
  </r>
  <r>
    <x v="5"/>
    <x v="2"/>
    <x v="5"/>
    <x v="0"/>
    <x v="18"/>
    <x v="1"/>
    <x v="127"/>
    <x v="675"/>
    <x v="1358"/>
    <x v="185"/>
    <x v="0"/>
    <x v="185"/>
    <x v="4"/>
    <x v="5"/>
    <x v="0"/>
    <x v="206"/>
    <x v="15"/>
    <x v="1"/>
    <s v="MEDIA"/>
    <s v="MEDIA"/>
    <n v="64"/>
    <s v="cumple"/>
    <x v="8"/>
    <x v="5"/>
    <x v="1358"/>
    <n v="1739.9999999999998"/>
    <x v="0"/>
  </r>
  <r>
    <x v="5"/>
    <x v="8"/>
    <x v="5"/>
    <x v="0"/>
    <x v="18"/>
    <x v="5"/>
    <x v="128"/>
    <x v="676"/>
    <x v="1359"/>
    <x v="185"/>
    <x v="6"/>
    <x v="185"/>
    <x v="0"/>
    <x v="16"/>
    <x v="0"/>
    <x v="206"/>
    <x v="15"/>
    <x v="1"/>
    <s v="MEDIA"/>
    <s v="MEDIA"/>
    <n v="64"/>
    <s v="cumple"/>
    <x v="8"/>
    <x v="5"/>
    <x v="1359"/>
    <n v="3190"/>
    <x v="0"/>
  </r>
  <r>
    <x v="5"/>
    <x v="0"/>
    <x v="5"/>
    <x v="0"/>
    <x v="1"/>
    <x v="2"/>
    <x v="129"/>
    <x v="677"/>
    <x v="1350"/>
    <x v="186"/>
    <x v="0"/>
    <x v="186"/>
    <x v="8"/>
    <x v="2"/>
    <x v="0"/>
    <x v="206"/>
    <x v="15"/>
    <x v="1"/>
    <s v="MEDIA"/>
    <s v="MEDIA"/>
    <n v="64"/>
    <s v="cumple"/>
    <x v="8"/>
    <x v="5"/>
    <x v="1350"/>
    <n v="580"/>
    <x v="0"/>
  </r>
  <r>
    <x v="5"/>
    <x v="2"/>
    <x v="5"/>
    <x v="0"/>
    <x v="1"/>
    <x v="3"/>
    <x v="130"/>
    <x v="678"/>
    <x v="1360"/>
    <x v="186"/>
    <x v="8"/>
    <x v="186"/>
    <x v="13"/>
    <x v="12"/>
    <x v="0"/>
    <x v="206"/>
    <x v="15"/>
    <x v="1"/>
    <s v="MEDIA"/>
    <s v="MEDIA"/>
    <n v="64"/>
    <s v="cumple"/>
    <x v="8"/>
    <x v="5"/>
    <x v="1360"/>
    <n v="1450"/>
    <x v="0"/>
  </r>
  <r>
    <x v="5"/>
    <x v="2"/>
    <x v="5"/>
    <x v="0"/>
    <x v="1"/>
    <x v="3"/>
    <x v="131"/>
    <x v="679"/>
    <x v="1357"/>
    <x v="186"/>
    <x v="10"/>
    <x v="186"/>
    <x v="0"/>
    <x v="6"/>
    <x v="0"/>
    <x v="206"/>
    <x v="15"/>
    <x v="1"/>
    <s v="MEDIA"/>
    <s v="MEDIA"/>
    <n v="64"/>
    <s v="cumple"/>
    <x v="8"/>
    <x v="5"/>
    <x v="1357"/>
    <n v="2900"/>
    <x v="0"/>
  </r>
  <r>
    <x v="5"/>
    <x v="0"/>
    <x v="5"/>
    <x v="0"/>
    <x v="1"/>
    <x v="3"/>
    <x v="132"/>
    <x v="680"/>
    <x v="1361"/>
    <x v="187"/>
    <x v="0"/>
    <x v="187"/>
    <x v="4"/>
    <x v="5"/>
    <x v="0"/>
    <x v="206"/>
    <x v="15"/>
    <x v="1"/>
    <s v="MEDIA"/>
    <s v="MEDIA"/>
    <n v="64"/>
    <s v="cumple"/>
    <x v="8"/>
    <x v="5"/>
    <x v="1361"/>
    <n v="1739.9999999999998"/>
    <x v="0"/>
  </r>
  <r>
    <x v="5"/>
    <x v="2"/>
    <x v="5"/>
    <x v="0"/>
    <x v="1"/>
    <x v="3"/>
    <x v="133"/>
    <x v="681"/>
    <x v="1357"/>
    <x v="187"/>
    <x v="6"/>
    <x v="187"/>
    <x v="6"/>
    <x v="4"/>
    <x v="0"/>
    <x v="206"/>
    <x v="15"/>
    <x v="1"/>
    <s v="MEDIA"/>
    <s v="MEDIA"/>
    <n v="64"/>
    <s v="cumple"/>
    <x v="8"/>
    <x v="5"/>
    <x v="1357"/>
    <n v="1160"/>
    <x v="0"/>
  </r>
  <r>
    <x v="5"/>
    <x v="8"/>
    <x v="5"/>
    <x v="0"/>
    <x v="1"/>
    <x v="2"/>
    <x v="134"/>
    <x v="682"/>
    <x v="1362"/>
    <x v="187"/>
    <x v="7"/>
    <x v="187"/>
    <x v="0"/>
    <x v="13"/>
    <x v="0"/>
    <x v="206"/>
    <x v="15"/>
    <x v="1"/>
    <s v="MEDIA"/>
    <s v="MEDIA"/>
    <n v="64"/>
    <s v="cumple"/>
    <x v="8"/>
    <x v="5"/>
    <x v="1362"/>
    <n v="2029.9999999999998"/>
    <x v="0"/>
  </r>
  <r>
    <x v="5"/>
    <x v="2"/>
    <x v="5"/>
    <x v="0"/>
    <x v="1"/>
    <x v="3"/>
    <x v="135"/>
    <x v="683"/>
    <x v="1357"/>
    <x v="188"/>
    <x v="0"/>
    <x v="188"/>
    <x v="7"/>
    <x v="3"/>
    <x v="0"/>
    <x v="206"/>
    <x v="15"/>
    <x v="1"/>
    <s v="MEDIA"/>
    <s v="MEDIA"/>
    <n v="64"/>
    <s v="cumple"/>
    <x v="8"/>
    <x v="5"/>
    <x v="1357"/>
    <n v="3479.9999999999995"/>
    <x v="0"/>
  </r>
  <r>
    <x v="5"/>
    <x v="2"/>
    <x v="5"/>
    <x v="0"/>
    <x v="1"/>
    <x v="3"/>
    <x v="136"/>
    <x v="684"/>
    <x v="1363"/>
    <x v="189"/>
    <x v="0"/>
    <x v="189"/>
    <x v="5"/>
    <x v="7"/>
    <x v="0"/>
    <x v="207"/>
    <x v="15"/>
    <x v="1"/>
    <s v="MEDIA"/>
    <s v="MEDIA"/>
    <n v="64"/>
    <s v="cumple"/>
    <x v="8"/>
    <x v="5"/>
    <x v="1363"/>
    <n v="2320"/>
    <x v="0"/>
  </r>
  <r>
    <x v="5"/>
    <x v="2"/>
    <x v="5"/>
    <x v="0"/>
    <x v="1"/>
    <x v="3"/>
    <x v="137"/>
    <x v="685"/>
    <x v="1355"/>
    <x v="189"/>
    <x v="5"/>
    <x v="189"/>
    <x v="0"/>
    <x v="14"/>
    <x v="0"/>
    <x v="207"/>
    <x v="15"/>
    <x v="1"/>
    <s v="MEDIA"/>
    <s v="MEDIA"/>
    <n v="64"/>
    <s v="cumple"/>
    <x v="8"/>
    <x v="5"/>
    <x v="1355"/>
    <n v="2610"/>
    <x v="0"/>
  </r>
  <r>
    <x v="5"/>
    <x v="8"/>
    <x v="5"/>
    <x v="0"/>
    <x v="1"/>
    <x v="2"/>
    <x v="138"/>
    <x v="686"/>
    <x v="1364"/>
    <x v="190"/>
    <x v="0"/>
    <x v="190"/>
    <x v="4"/>
    <x v="5"/>
    <x v="0"/>
    <x v="207"/>
    <x v="15"/>
    <x v="1"/>
    <s v="MEDIA"/>
    <s v="MEDIA"/>
    <n v="64"/>
    <s v="cumple"/>
    <x v="8"/>
    <x v="5"/>
    <x v="1364"/>
    <n v="1739.9999999999998"/>
    <x v="0"/>
  </r>
  <r>
    <x v="5"/>
    <x v="5"/>
    <x v="5"/>
    <x v="0"/>
    <x v="1"/>
    <x v="1"/>
    <x v="139"/>
    <x v="687"/>
    <x v="1355"/>
    <x v="190"/>
    <x v="6"/>
    <x v="190"/>
    <x v="7"/>
    <x v="5"/>
    <x v="0"/>
    <x v="207"/>
    <x v="15"/>
    <x v="1"/>
    <s v="MEDIA"/>
    <s v="MEDIA"/>
    <n v="64"/>
    <s v="cumple"/>
    <x v="8"/>
    <x v="5"/>
    <x v="1355"/>
    <n v="1739.9999999999998"/>
    <x v="0"/>
  </r>
  <r>
    <x v="5"/>
    <x v="5"/>
    <x v="5"/>
    <x v="0"/>
    <x v="1"/>
    <x v="5"/>
    <x v="140"/>
    <x v="688"/>
    <x v="1365"/>
    <x v="190"/>
    <x v="7"/>
    <x v="190"/>
    <x v="0"/>
    <x v="12"/>
    <x v="0"/>
    <x v="207"/>
    <x v="15"/>
    <x v="1"/>
    <s v="MEDIA"/>
    <s v="MEDIA"/>
    <n v="64"/>
    <s v="cumple"/>
    <x v="8"/>
    <x v="5"/>
    <x v="1365"/>
    <n v="1450"/>
    <x v="0"/>
  </r>
  <r>
    <x v="5"/>
    <x v="8"/>
    <x v="5"/>
    <x v="0"/>
    <x v="18"/>
    <x v="5"/>
    <x v="141"/>
    <x v="689"/>
    <x v="1366"/>
    <x v="191"/>
    <x v="0"/>
    <x v="191"/>
    <x v="4"/>
    <x v="5"/>
    <x v="0"/>
    <x v="207"/>
    <x v="15"/>
    <x v="1"/>
    <s v="MEDIA"/>
    <s v="MEDIA"/>
    <n v="64"/>
    <s v="cumple"/>
    <x v="8"/>
    <x v="5"/>
    <x v="1366"/>
    <n v="1739.9999999999998"/>
    <x v="0"/>
  </r>
  <r>
    <x v="5"/>
    <x v="5"/>
    <x v="5"/>
    <x v="0"/>
    <x v="18"/>
    <x v="5"/>
    <x v="142"/>
    <x v="690"/>
    <x v="1367"/>
    <x v="191"/>
    <x v="6"/>
    <x v="191"/>
    <x v="12"/>
    <x v="12"/>
    <x v="0"/>
    <x v="207"/>
    <x v="15"/>
    <x v="1"/>
    <s v="MEDIA"/>
    <s v="MEDIA"/>
    <n v="64"/>
    <s v="cumple"/>
    <x v="8"/>
    <x v="5"/>
    <x v="1367"/>
    <n v="1450"/>
    <x v="0"/>
  </r>
  <r>
    <x v="5"/>
    <x v="5"/>
    <x v="5"/>
    <x v="0"/>
    <x v="18"/>
    <x v="5"/>
    <x v="143"/>
    <x v="691"/>
    <x v="1365"/>
    <x v="191"/>
    <x v="7"/>
    <x v="191"/>
    <x v="0"/>
    <x v="5"/>
    <x v="0"/>
    <x v="207"/>
    <x v="15"/>
    <x v="1"/>
    <s v="MEDIA"/>
    <s v="MEDIA"/>
    <n v="64"/>
    <s v="cumple"/>
    <x v="8"/>
    <x v="5"/>
    <x v="1365"/>
    <n v="1739.9999999999998"/>
    <x v="0"/>
  </r>
  <r>
    <x v="5"/>
    <x v="5"/>
    <x v="5"/>
    <x v="0"/>
    <x v="18"/>
    <x v="5"/>
    <x v="144"/>
    <x v="692"/>
    <x v="1365"/>
    <x v="192"/>
    <x v="0"/>
    <x v="192"/>
    <x v="12"/>
    <x v="16"/>
    <x v="0"/>
    <x v="207"/>
    <x v="15"/>
    <x v="1"/>
    <s v="MEDIA"/>
    <s v="MEDIA"/>
    <n v="64"/>
    <s v="cumple"/>
    <x v="8"/>
    <x v="5"/>
    <x v="1365"/>
    <n v="3190"/>
    <x v="0"/>
  </r>
  <r>
    <x v="5"/>
    <x v="5"/>
    <x v="5"/>
    <x v="0"/>
    <x v="1"/>
    <x v="5"/>
    <x v="145"/>
    <x v="693"/>
    <x v="1365"/>
    <x v="192"/>
    <x v="7"/>
    <x v="192"/>
    <x v="0"/>
    <x v="5"/>
    <x v="0"/>
    <x v="207"/>
    <x v="15"/>
    <x v="1"/>
    <s v="MEDIA"/>
    <s v="MEDIA"/>
    <n v="64"/>
    <s v="cumple"/>
    <x v="8"/>
    <x v="5"/>
    <x v="1365"/>
    <n v="1739.9999999999998"/>
    <x v="0"/>
  </r>
  <r>
    <x v="5"/>
    <x v="5"/>
    <x v="5"/>
    <x v="0"/>
    <x v="19"/>
    <x v="2"/>
    <x v="146"/>
    <x v="694"/>
    <x v="1350"/>
    <x v="193"/>
    <x v="0"/>
    <x v="193"/>
    <x v="3"/>
    <x v="4"/>
    <x v="0"/>
    <x v="207"/>
    <x v="15"/>
    <x v="1"/>
    <s v="MEDIA"/>
    <s v="MEDIA"/>
    <n v="64"/>
    <s v="cumple"/>
    <x v="8"/>
    <x v="5"/>
    <x v="1350"/>
    <n v="1160"/>
    <x v="0"/>
  </r>
  <r>
    <x v="5"/>
    <x v="0"/>
    <x v="5"/>
    <x v="0"/>
    <x v="19"/>
    <x v="9"/>
    <x v="147"/>
    <x v="695"/>
    <x v="1368"/>
    <x v="193"/>
    <x v="4"/>
    <x v="193"/>
    <x v="7"/>
    <x v="7"/>
    <x v="0"/>
    <x v="207"/>
    <x v="15"/>
    <x v="1"/>
    <s v="MEDIA"/>
    <s v="MEDIA"/>
    <n v="64"/>
    <s v="cumple"/>
    <x v="8"/>
    <x v="5"/>
    <x v="1368"/>
    <n v="2320"/>
    <x v="0"/>
  </r>
  <r>
    <x v="5"/>
    <x v="2"/>
    <x v="5"/>
    <x v="0"/>
    <x v="19"/>
    <x v="1"/>
    <x v="148"/>
    <x v="696"/>
    <x v="1355"/>
    <x v="194"/>
    <x v="0"/>
    <x v="194"/>
    <x v="5"/>
    <x v="7"/>
    <x v="0"/>
    <x v="208"/>
    <x v="15"/>
    <x v="1"/>
    <s v="MEDIA"/>
    <s v="MEDIA"/>
    <n v="64"/>
    <s v="cumple"/>
    <x v="8"/>
    <x v="5"/>
    <x v="1355"/>
    <n v="2320"/>
    <x v="0"/>
  </r>
  <r>
    <x v="5"/>
    <x v="5"/>
    <x v="5"/>
    <x v="0"/>
    <x v="19"/>
    <x v="5"/>
    <x v="149"/>
    <x v="697"/>
    <x v="1365"/>
    <x v="194"/>
    <x v="3"/>
    <x v="194"/>
    <x v="12"/>
    <x v="15"/>
    <x v="0"/>
    <x v="208"/>
    <x v="15"/>
    <x v="1"/>
    <s v="MEDIA"/>
    <s v="MEDIA"/>
    <n v="64"/>
    <s v="cumple"/>
    <x v="8"/>
    <x v="5"/>
    <x v="1365"/>
    <n v="869.99999999999989"/>
    <x v="0"/>
  </r>
  <r>
    <x v="5"/>
    <x v="2"/>
    <x v="5"/>
    <x v="0"/>
    <x v="19"/>
    <x v="3"/>
    <x v="150"/>
    <x v="698"/>
    <x v="1369"/>
    <x v="194"/>
    <x v="7"/>
    <x v="194"/>
    <x v="0"/>
    <x v="5"/>
    <x v="0"/>
    <x v="208"/>
    <x v="15"/>
    <x v="1"/>
    <s v="MEDIA"/>
    <s v="MEDIA"/>
    <n v="64"/>
    <s v="cumple"/>
    <x v="8"/>
    <x v="5"/>
    <x v="1369"/>
    <n v="1739.9999999999998"/>
    <x v="0"/>
  </r>
  <r>
    <x v="5"/>
    <x v="9"/>
    <x v="5"/>
    <x v="0"/>
    <x v="19"/>
    <x v="2"/>
    <x v="151"/>
    <x v="699"/>
    <x v="1370"/>
    <x v="195"/>
    <x v="0"/>
    <x v="195"/>
    <x v="12"/>
    <x v="16"/>
    <x v="0"/>
    <x v="208"/>
    <x v="15"/>
    <x v="1"/>
    <s v="MEDIA"/>
    <s v="MEDIA"/>
    <n v="64"/>
    <s v="cumple"/>
    <x v="8"/>
    <x v="5"/>
    <x v="1370"/>
    <n v="3190"/>
    <x v="0"/>
  </r>
  <r>
    <x v="5"/>
    <x v="8"/>
    <x v="5"/>
    <x v="0"/>
    <x v="19"/>
    <x v="5"/>
    <x v="152"/>
    <x v="700"/>
    <x v="1368"/>
    <x v="195"/>
    <x v="7"/>
    <x v="195"/>
    <x v="0"/>
    <x v="5"/>
    <x v="0"/>
    <x v="208"/>
    <x v="15"/>
    <x v="1"/>
    <s v="MEDIA"/>
    <s v="MEDIA"/>
    <n v="64"/>
    <s v="cumple"/>
    <x v="8"/>
    <x v="5"/>
    <x v="1368"/>
    <n v="1739.9999999999998"/>
    <x v="0"/>
  </r>
  <r>
    <x v="5"/>
    <x v="8"/>
    <x v="5"/>
    <x v="0"/>
    <x v="19"/>
    <x v="5"/>
    <x v="153"/>
    <x v="701"/>
    <x v="1368"/>
    <x v="196"/>
    <x v="0"/>
    <x v="196"/>
    <x v="0"/>
    <x v="8"/>
    <x v="0"/>
    <x v="208"/>
    <x v="15"/>
    <x v="1"/>
    <s v="MEDIA"/>
    <s v="MEDIA"/>
    <n v="64"/>
    <s v="cumple"/>
    <x v="8"/>
    <x v="5"/>
    <x v="1368"/>
    <n v="4930"/>
    <x v="0"/>
  </r>
  <r>
    <x v="5"/>
    <x v="8"/>
    <x v="5"/>
    <x v="0"/>
    <x v="19"/>
    <x v="5"/>
    <x v="154"/>
    <x v="702"/>
    <x v="1371"/>
    <x v="197"/>
    <x v="0"/>
    <x v="197"/>
    <x v="0"/>
    <x v="8"/>
    <x v="0"/>
    <x v="208"/>
    <x v="15"/>
    <x v="1"/>
    <s v="MEDIA"/>
    <s v="MEDIA"/>
    <n v="64"/>
    <s v="cumple"/>
    <x v="8"/>
    <x v="5"/>
    <x v="1371"/>
    <n v="4930"/>
    <x v="0"/>
  </r>
  <r>
    <x v="5"/>
    <x v="9"/>
    <x v="5"/>
    <x v="0"/>
    <x v="19"/>
    <x v="5"/>
    <x v="155"/>
    <x v="703"/>
    <x v="1372"/>
    <x v="198"/>
    <x v="0"/>
    <x v="198"/>
    <x v="7"/>
    <x v="3"/>
    <x v="0"/>
    <x v="208"/>
    <x v="15"/>
    <x v="1"/>
    <s v="MEDIA"/>
    <s v="MEDIA"/>
    <n v="64"/>
    <s v="cumple"/>
    <x v="8"/>
    <x v="5"/>
    <x v="1372"/>
    <n v="3479.9999999999995"/>
    <x v="0"/>
  </r>
  <r>
    <x v="0"/>
    <x v="0"/>
    <x v="1"/>
    <x v="0"/>
    <x v="3"/>
    <x v="2"/>
    <x v="156"/>
    <x v="704"/>
    <x v="1373"/>
    <x v="178"/>
    <x v="0"/>
    <x v="178"/>
    <x v="23"/>
    <x v="19"/>
    <x v="0"/>
    <x v="209"/>
    <x v="12"/>
    <x v="6"/>
    <s v="MEDIA"/>
    <s v="MEDIA"/>
    <n v="64"/>
    <s v="cumple"/>
    <x v="8"/>
    <x v="1"/>
    <x v="1373"/>
    <n v="348"/>
    <x v="0"/>
  </r>
  <r>
    <x v="0"/>
    <x v="0"/>
    <x v="1"/>
    <x v="0"/>
    <x v="3"/>
    <x v="2"/>
    <x v="157"/>
    <x v="705"/>
    <x v="1374"/>
    <x v="178"/>
    <x v="19"/>
    <x v="178"/>
    <x v="8"/>
    <x v="19"/>
    <x v="0"/>
    <x v="209"/>
    <x v="12"/>
    <x v="6"/>
    <s v="MEDIA"/>
    <s v="MEDIA"/>
    <n v="64"/>
    <s v="cumple"/>
    <x v="8"/>
    <x v="1"/>
    <x v="1374"/>
    <n v="348"/>
    <x v="0"/>
  </r>
  <r>
    <x v="0"/>
    <x v="0"/>
    <x v="1"/>
    <x v="0"/>
    <x v="3"/>
    <x v="2"/>
    <x v="158"/>
    <x v="706"/>
    <x v="1375"/>
    <x v="178"/>
    <x v="8"/>
    <x v="178"/>
    <x v="16"/>
    <x v="19"/>
    <x v="0"/>
    <x v="209"/>
    <x v="12"/>
    <x v="6"/>
    <s v="MEDIA"/>
    <s v="MEDIA"/>
    <n v="64"/>
    <s v="cumple"/>
    <x v="8"/>
    <x v="1"/>
    <x v="1375"/>
    <n v="348"/>
    <x v="0"/>
  </r>
  <r>
    <x v="0"/>
    <x v="0"/>
    <x v="1"/>
    <x v="0"/>
    <x v="3"/>
    <x v="2"/>
    <x v="159"/>
    <x v="707"/>
    <x v="1376"/>
    <x v="178"/>
    <x v="13"/>
    <x v="178"/>
    <x v="3"/>
    <x v="19"/>
    <x v="0"/>
    <x v="209"/>
    <x v="12"/>
    <x v="6"/>
    <s v="MEDIA"/>
    <s v="MEDIA"/>
    <n v="64"/>
    <s v="cumple"/>
    <x v="8"/>
    <x v="1"/>
    <x v="1376"/>
    <n v="348"/>
    <x v="0"/>
  </r>
  <r>
    <x v="0"/>
    <x v="0"/>
    <x v="1"/>
    <x v="0"/>
    <x v="3"/>
    <x v="2"/>
    <x v="160"/>
    <x v="708"/>
    <x v="1377"/>
    <x v="178"/>
    <x v="4"/>
    <x v="178"/>
    <x v="15"/>
    <x v="19"/>
    <x v="0"/>
    <x v="209"/>
    <x v="12"/>
    <x v="6"/>
    <s v="MEDIA"/>
    <s v="MEDIA"/>
    <n v="64"/>
    <s v="cumple"/>
    <x v="8"/>
    <x v="1"/>
    <x v="1377"/>
    <n v="348"/>
    <x v="0"/>
  </r>
  <r>
    <x v="0"/>
    <x v="0"/>
    <x v="1"/>
    <x v="0"/>
    <x v="3"/>
    <x v="2"/>
    <x v="161"/>
    <x v="709"/>
    <x v="1378"/>
    <x v="178"/>
    <x v="12"/>
    <x v="178"/>
    <x v="4"/>
    <x v="19"/>
    <x v="0"/>
    <x v="209"/>
    <x v="12"/>
    <x v="6"/>
    <s v="MEDIA"/>
    <s v="MEDIA"/>
    <n v="64"/>
    <s v="cumple"/>
    <x v="8"/>
    <x v="1"/>
    <x v="1378"/>
    <n v="348"/>
    <x v="0"/>
  </r>
  <r>
    <x v="0"/>
    <x v="0"/>
    <x v="1"/>
    <x v="0"/>
    <x v="3"/>
    <x v="2"/>
    <x v="162"/>
    <x v="710"/>
    <x v="1379"/>
    <x v="178"/>
    <x v="6"/>
    <x v="178"/>
    <x v="13"/>
    <x v="19"/>
    <x v="0"/>
    <x v="209"/>
    <x v="12"/>
    <x v="6"/>
    <s v="MEDIA"/>
    <s v="MEDIA"/>
    <n v="64"/>
    <s v="cumple"/>
    <x v="8"/>
    <x v="1"/>
    <x v="1379"/>
    <n v="348"/>
    <x v="0"/>
  </r>
  <r>
    <x v="0"/>
    <x v="0"/>
    <x v="1"/>
    <x v="0"/>
    <x v="3"/>
    <x v="2"/>
    <x v="163"/>
    <x v="711"/>
    <x v="1380"/>
    <x v="178"/>
    <x v="10"/>
    <x v="178"/>
    <x v="5"/>
    <x v="19"/>
    <x v="0"/>
    <x v="209"/>
    <x v="12"/>
    <x v="6"/>
    <s v="MEDIA"/>
    <s v="MEDIA"/>
    <n v="64"/>
    <s v="cumple"/>
    <x v="8"/>
    <x v="1"/>
    <x v="1380"/>
    <n v="348"/>
    <x v="0"/>
  </r>
  <r>
    <x v="0"/>
    <x v="0"/>
    <x v="1"/>
    <x v="0"/>
    <x v="3"/>
    <x v="2"/>
    <x v="164"/>
    <x v="712"/>
    <x v="1381"/>
    <x v="178"/>
    <x v="3"/>
    <x v="178"/>
    <x v="14"/>
    <x v="19"/>
    <x v="0"/>
    <x v="209"/>
    <x v="12"/>
    <x v="6"/>
    <s v="MEDIA"/>
    <s v="MEDIA"/>
    <n v="64"/>
    <s v="cumple"/>
    <x v="8"/>
    <x v="1"/>
    <x v="1381"/>
    <n v="348"/>
    <x v="0"/>
  </r>
  <r>
    <x v="0"/>
    <x v="0"/>
    <x v="1"/>
    <x v="0"/>
    <x v="3"/>
    <x v="2"/>
    <x v="165"/>
    <x v="713"/>
    <x v="1382"/>
    <x v="178"/>
    <x v="21"/>
    <x v="178"/>
    <x v="7"/>
    <x v="19"/>
    <x v="0"/>
    <x v="209"/>
    <x v="12"/>
    <x v="6"/>
    <s v="MEDIA"/>
    <s v="MEDIA"/>
    <n v="64"/>
    <s v="cumple"/>
    <x v="8"/>
    <x v="1"/>
    <x v="1382"/>
    <n v="348"/>
    <x v="0"/>
  </r>
  <r>
    <x v="0"/>
    <x v="0"/>
    <x v="1"/>
    <x v="0"/>
    <x v="3"/>
    <x v="2"/>
    <x v="166"/>
    <x v="714"/>
    <x v="1383"/>
    <x v="178"/>
    <x v="5"/>
    <x v="178"/>
    <x v="10"/>
    <x v="19"/>
    <x v="0"/>
    <x v="209"/>
    <x v="12"/>
    <x v="6"/>
    <s v="MEDIA"/>
    <s v="MEDIA"/>
    <n v="64"/>
    <s v="cumple"/>
    <x v="8"/>
    <x v="1"/>
    <x v="1383"/>
    <n v="348"/>
    <x v="0"/>
  </r>
  <r>
    <x v="0"/>
    <x v="0"/>
    <x v="1"/>
    <x v="0"/>
    <x v="3"/>
    <x v="2"/>
    <x v="167"/>
    <x v="715"/>
    <x v="1384"/>
    <x v="178"/>
    <x v="20"/>
    <x v="178"/>
    <x v="6"/>
    <x v="19"/>
    <x v="0"/>
    <x v="209"/>
    <x v="12"/>
    <x v="6"/>
    <s v="MEDIA"/>
    <s v="MEDIA"/>
    <n v="64"/>
    <s v="cumple"/>
    <x v="8"/>
    <x v="1"/>
    <x v="1384"/>
    <n v="348"/>
    <x v="0"/>
  </r>
  <r>
    <x v="0"/>
    <x v="0"/>
    <x v="1"/>
    <x v="0"/>
    <x v="3"/>
    <x v="2"/>
    <x v="168"/>
    <x v="716"/>
    <x v="1385"/>
    <x v="178"/>
    <x v="7"/>
    <x v="178"/>
    <x v="18"/>
    <x v="19"/>
    <x v="0"/>
    <x v="209"/>
    <x v="12"/>
    <x v="6"/>
    <s v="MEDIA"/>
    <s v="MEDIA"/>
    <n v="64"/>
    <s v="cumple"/>
    <x v="8"/>
    <x v="1"/>
    <x v="1385"/>
    <n v="348"/>
    <x v="0"/>
  </r>
  <r>
    <x v="0"/>
    <x v="0"/>
    <x v="1"/>
    <x v="0"/>
    <x v="3"/>
    <x v="2"/>
    <x v="169"/>
    <x v="717"/>
    <x v="1386"/>
    <x v="178"/>
    <x v="15"/>
    <x v="178"/>
    <x v="2"/>
    <x v="19"/>
    <x v="0"/>
    <x v="209"/>
    <x v="12"/>
    <x v="6"/>
    <s v="MEDIA"/>
    <s v="MEDIA"/>
    <n v="64"/>
    <s v="cumple"/>
    <x v="8"/>
    <x v="1"/>
    <x v="1386"/>
    <n v="348"/>
    <x v="0"/>
  </r>
  <r>
    <x v="0"/>
    <x v="0"/>
    <x v="1"/>
    <x v="0"/>
    <x v="3"/>
    <x v="2"/>
    <x v="170"/>
    <x v="718"/>
    <x v="1387"/>
    <x v="178"/>
    <x v="2"/>
    <x v="178"/>
    <x v="17"/>
    <x v="19"/>
    <x v="0"/>
    <x v="209"/>
    <x v="12"/>
    <x v="6"/>
    <s v="MEDIA"/>
    <s v="MEDIA"/>
    <n v="64"/>
    <s v="cumple"/>
    <x v="8"/>
    <x v="1"/>
    <x v="1387"/>
    <n v="348"/>
    <x v="0"/>
  </r>
  <r>
    <x v="0"/>
    <x v="0"/>
    <x v="1"/>
    <x v="0"/>
    <x v="3"/>
    <x v="2"/>
    <x v="171"/>
    <x v="719"/>
    <x v="1388"/>
    <x v="178"/>
    <x v="14"/>
    <x v="178"/>
    <x v="1"/>
    <x v="19"/>
    <x v="0"/>
    <x v="209"/>
    <x v="12"/>
    <x v="6"/>
    <s v="MEDIA"/>
    <s v="MEDIA"/>
    <n v="64"/>
    <s v="cumple"/>
    <x v="8"/>
    <x v="1"/>
    <x v="1388"/>
    <n v="348"/>
    <x v="0"/>
  </r>
  <r>
    <x v="0"/>
    <x v="0"/>
    <x v="1"/>
    <x v="0"/>
    <x v="3"/>
    <x v="2"/>
    <x v="172"/>
    <x v="720"/>
    <x v="1389"/>
    <x v="179"/>
    <x v="0"/>
    <x v="179"/>
    <x v="23"/>
    <x v="19"/>
    <x v="0"/>
    <x v="209"/>
    <x v="12"/>
    <x v="6"/>
    <s v="MEDIA"/>
    <s v="MEDIA"/>
    <n v="64"/>
    <s v="cumple"/>
    <x v="8"/>
    <x v="1"/>
    <x v="1389"/>
    <n v="348"/>
    <x v="0"/>
  </r>
  <r>
    <x v="0"/>
    <x v="0"/>
    <x v="1"/>
    <x v="0"/>
    <x v="3"/>
    <x v="2"/>
    <x v="173"/>
    <x v="721"/>
    <x v="1390"/>
    <x v="179"/>
    <x v="19"/>
    <x v="179"/>
    <x v="8"/>
    <x v="19"/>
    <x v="0"/>
    <x v="209"/>
    <x v="12"/>
    <x v="6"/>
    <s v="MEDIA"/>
    <s v="MEDIA"/>
    <n v="64"/>
    <s v="cumple"/>
    <x v="8"/>
    <x v="1"/>
    <x v="1390"/>
    <n v="348"/>
    <x v="0"/>
  </r>
  <r>
    <x v="0"/>
    <x v="0"/>
    <x v="1"/>
    <x v="0"/>
    <x v="3"/>
    <x v="2"/>
    <x v="174"/>
    <x v="722"/>
    <x v="1391"/>
    <x v="179"/>
    <x v="8"/>
    <x v="179"/>
    <x v="16"/>
    <x v="19"/>
    <x v="0"/>
    <x v="209"/>
    <x v="12"/>
    <x v="6"/>
    <s v="MEDIA"/>
    <s v="MEDIA"/>
    <n v="64"/>
    <s v="cumple"/>
    <x v="8"/>
    <x v="1"/>
    <x v="1391"/>
    <n v="348"/>
    <x v="0"/>
  </r>
  <r>
    <x v="0"/>
    <x v="0"/>
    <x v="1"/>
    <x v="0"/>
    <x v="3"/>
    <x v="2"/>
    <x v="175"/>
    <x v="723"/>
    <x v="1392"/>
    <x v="179"/>
    <x v="13"/>
    <x v="179"/>
    <x v="3"/>
    <x v="19"/>
    <x v="0"/>
    <x v="209"/>
    <x v="12"/>
    <x v="6"/>
    <s v="MEDIA"/>
    <s v="MEDIA"/>
    <n v="64"/>
    <s v="cumple"/>
    <x v="8"/>
    <x v="1"/>
    <x v="1392"/>
    <n v="348"/>
    <x v="0"/>
  </r>
  <r>
    <x v="0"/>
    <x v="0"/>
    <x v="1"/>
    <x v="0"/>
    <x v="3"/>
    <x v="2"/>
    <x v="176"/>
    <x v="724"/>
    <x v="1393"/>
    <x v="179"/>
    <x v="4"/>
    <x v="179"/>
    <x v="15"/>
    <x v="19"/>
    <x v="0"/>
    <x v="209"/>
    <x v="12"/>
    <x v="6"/>
    <s v="MEDIA"/>
    <s v="MEDIA"/>
    <n v="64"/>
    <s v="cumple"/>
    <x v="8"/>
    <x v="1"/>
    <x v="1393"/>
    <n v="348"/>
    <x v="0"/>
  </r>
  <r>
    <x v="0"/>
    <x v="0"/>
    <x v="1"/>
    <x v="0"/>
    <x v="3"/>
    <x v="2"/>
    <x v="177"/>
    <x v="725"/>
    <x v="1394"/>
    <x v="179"/>
    <x v="12"/>
    <x v="179"/>
    <x v="4"/>
    <x v="19"/>
    <x v="0"/>
    <x v="209"/>
    <x v="12"/>
    <x v="6"/>
    <s v="MEDIA"/>
    <s v="MEDIA"/>
    <n v="64"/>
    <s v="cumple"/>
    <x v="8"/>
    <x v="1"/>
    <x v="1394"/>
    <n v="348"/>
    <x v="0"/>
  </r>
  <r>
    <x v="0"/>
    <x v="0"/>
    <x v="1"/>
    <x v="0"/>
    <x v="3"/>
    <x v="2"/>
    <x v="178"/>
    <x v="726"/>
    <x v="1395"/>
    <x v="179"/>
    <x v="6"/>
    <x v="179"/>
    <x v="13"/>
    <x v="19"/>
    <x v="0"/>
    <x v="209"/>
    <x v="12"/>
    <x v="6"/>
    <s v="MEDIA"/>
    <s v="MEDIA"/>
    <n v="64"/>
    <s v="cumple"/>
    <x v="8"/>
    <x v="1"/>
    <x v="1395"/>
    <n v="348"/>
    <x v="0"/>
  </r>
  <r>
    <x v="0"/>
    <x v="0"/>
    <x v="1"/>
    <x v="0"/>
    <x v="3"/>
    <x v="2"/>
    <x v="179"/>
    <x v="727"/>
    <x v="1396"/>
    <x v="179"/>
    <x v="10"/>
    <x v="179"/>
    <x v="5"/>
    <x v="19"/>
    <x v="0"/>
    <x v="209"/>
    <x v="12"/>
    <x v="6"/>
    <s v="MEDIA"/>
    <s v="MEDIA"/>
    <n v="64"/>
    <s v="cumple"/>
    <x v="8"/>
    <x v="1"/>
    <x v="1396"/>
    <n v="348"/>
    <x v="0"/>
  </r>
  <r>
    <x v="0"/>
    <x v="0"/>
    <x v="1"/>
    <x v="0"/>
    <x v="3"/>
    <x v="2"/>
    <x v="180"/>
    <x v="728"/>
    <x v="1397"/>
    <x v="179"/>
    <x v="3"/>
    <x v="179"/>
    <x v="14"/>
    <x v="19"/>
    <x v="0"/>
    <x v="209"/>
    <x v="12"/>
    <x v="6"/>
    <s v="MEDIA"/>
    <s v="MEDIA"/>
    <n v="64"/>
    <s v="cumple"/>
    <x v="8"/>
    <x v="1"/>
    <x v="1397"/>
    <n v="348"/>
    <x v="0"/>
  </r>
  <r>
    <x v="0"/>
    <x v="0"/>
    <x v="1"/>
    <x v="0"/>
    <x v="3"/>
    <x v="2"/>
    <x v="181"/>
    <x v="729"/>
    <x v="1398"/>
    <x v="179"/>
    <x v="21"/>
    <x v="179"/>
    <x v="7"/>
    <x v="19"/>
    <x v="0"/>
    <x v="209"/>
    <x v="12"/>
    <x v="6"/>
    <s v="MEDIA"/>
    <s v="MEDIA"/>
    <n v="64"/>
    <s v="cumple"/>
    <x v="8"/>
    <x v="1"/>
    <x v="1398"/>
    <n v="348"/>
    <x v="0"/>
  </r>
  <r>
    <x v="0"/>
    <x v="0"/>
    <x v="1"/>
    <x v="0"/>
    <x v="3"/>
    <x v="2"/>
    <x v="182"/>
    <x v="730"/>
    <x v="1399"/>
    <x v="179"/>
    <x v="5"/>
    <x v="179"/>
    <x v="10"/>
    <x v="19"/>
    <x v="0"/>
    <x v="209"/>
    <x v="12"/>
    <x v="6"/>
    <s v="MEDIA"/>
    <s v="MEDIA"/>
    <n v="64"/>
    <s v="cumple"/>
    <x v="8"/>
    <x v="1"/>
    <x v="1399"/>
    <n v="348"/>
    <x v="0"/>
  </r>
  <r>
    <x v="0"/>
    <x v="0"/>
    <x v="1"/>
    <x v="0"/>
    <x v="3"/>
    <x v="2"/>
    <x v="183"/>
    <x v="731"/>
    <x v="1400"/>
    <x v="179"/>
    <x v="20"/>
    <x v="179"/>
    <x v="6"/>
    <x v="19"/>
    <x v="0"/>
    <x v="209"/>
    <x v="12"/>
    <x v="6"/>
    <s v="MEDIA"/>
    <s v="MEDIA"/>
    <n v="64"/>
    <s v="cumple"/>
    <x v="8"/>
    <x v="1"/>
    <x v="1400"/>
    <n v="348"/>
    <x v="0"/>
  </r>
  <r>
    <x v="0"/>
    <x v="0"/>
    <x v="1"/>
    <x v="0"/>
    <x v="3"/>
    <x v="2"/>
    <x v="184"/>
    <x v="732"/>
    <x v="1401"/>
    <x v="179"/>
    <x v="7"/>
    <x v="179"/>
    <x v="18"/>
    <x v="19"/>
    <x v="0"/>
    <x v="209"/>
    <x v="12"/>
    <x v="6"/>
    <s v="MEDIA"/>
    <s v="MEDIA"/>
    <n v="64"/>
    <s v="cumple"/>
    <x v="8"/>
    <x v="1"/>
    <x v="1401"/>
    <n v="348"/>
    <x v="0"/>
  </r>
  <r>
    <x v="0"/>
    <x v="0"/>
    <x v="1"/>
    <x v="0"/>
    <x v="3"/>
    <x v="2"/>
    <x v="185"/>
    <x v="733"/>
    <x v="1402"/>
    <x v="179"/>
    <x v="15"/>
    <x v="179"/>
    <x v="2"/>
    <x v="19"/>
    <x v="0"/>
    <x v="209"/>
    <x v="12"/>
    <x v="6"/>
    <s v="MEDIA"/>
    <s v="MEDIA"/>
    <n v="64"/>
    <s v="cumple"/>
    <x v="8"/>
    <x v="1"/>
    <x v="1402"/>
    <n v="348"/>
    <x v="0"/>
  </r>
  <r>
    <x v="0"/>
    <x v="0"/>
    <x v="1"/>
    <x v="0"/>
    <x v="3"/>
    <x v="2"/>
    <x v="186"/>
    <x v="734"/>
    <x v="1403"/>
    <x v="179"/>
    <x v="2"/>
    <x v="179"/>
    <x v="17"/>
    <x v="19"/>
    <x v="0"/>
    <x v="209"/>
    <x v="12"/>
    <x v="6"/>
    <s v="MEDIA"/>
    <s v="MEDIA"/>
    <n v="64"/>
    <s v="cumple"/>
    <x v="8"/>
    <x v="1"/>
    <x v="1403"/>
    <n v="348"/>
    <x v="0"/>
  </r>
  <r>
    <x v="0"/>
    <x v="0"/>
    <x v="1"/>
    <x v="0"/>
    <x v="3"/>
    <x v="2"/>
    <x v="187"/>
    <x v="735"/>
    <x v="1404"/>
    <x v="179"/>
    <x v="14"/>
    <x v="179"/>
    <x v="1"/>
    <x v="19"/>
    <x v="0"/>
    <x v="209"/>
    <x v="12"/>
    <x v="6"/>
    <s v="MEDIA"/>
    <s v="MEDIA"/>
    <n v="64"/>
    <s v="cumple"/>
    <x v="8"/>
    <x v="1"/>
    <x v="1404"/>
    <n v="348"/>
    <x v="0"/>
  </r>
  <r>
    <x v="0"/>
    <x v="0"/>
    <x v="1"/>
    <x v="0"/>
    <x v="3"/>
    <x v="2"/>
    <x v="188"/>
    <x v="736"/>
    <x v="1405"/>
    <x v="180"/>
    <x v="0"/>
    <x v="180"/>
    <x v="23"/>
    <x v="19"/>
    <x v="0"/>
    <x v="209"/>
    <x v="12"/>
    <x v="6"/>
    <s v="MEDIA"/>
    <s v="MEDIA"/>
    <n v="64"/>
    <s v="cumple"/>
    <x v="8"/>
    <x v="1"/>
    <x v="1405"/>
    <n v="348"/>
    <x v="0"/>
  </r>
  <r>
    <x v="0"/>
    <x v="0"/>
    <x v="1"/>
    <x v="0"/>
    <x v="3"/>
    <x v="2"/>
    <x v="189"/>
    <x v="737"/>
    <x v="1406"/>
    <x v="180"/>
    <x v="19"/>
    <x v="180"/>
    <x v="8"/>
    <x v="19"/>
    <x v="0"/>
    <x v="209"/>
    <x v="12"/>
    <x v="6"/>
    <s v="MEDIA"/>
    <s v="MEDIA"/>
    <n v="64"/>
    <s v="cumple"/>
    <x v="8"/>
    <x v="1"/>
    <x v="1406"/>
    <n v="348"/>
    <x v="0"/>
  </r>
  <r>
    <x v="0"/>
    <x v="0"/>
    <x v="1"/>
    <x v="0"/>
    <x v="3"/>
    <x v="2"/>
    <x v="190"/>
    <x v="738"/>
    <x v="1407"/>
    <x v="180"/>
    <x v="8"/>
    <x v="180"/>
    <x v="16"/>
    <x v="19"/>
    <x v="0"/>
    <x v="209"/>
    <x v="12"/>
    <x v="6"/>
    <s v="MEDIA"/>
    <s v="MEDIA"/>
    <n v="64"/>
    <s v="cumple"/>
    <x v="8"/>
    <x v="1"/>
    <x v="1407"/>
    <n v="348"/>
    <x v="0"/>
  </r>
  <r>
    <x v="0"/>
    <x v="0"/>
    <x v="1"/>
    <x v="0"/>
    <x v="3"/>
    <x v="2"/>
    <x v="191"/>
    <x v="739"/>
    <x v="1408"/>
    <x v="180"/>
    <x v="13"/>
    <x v="180"/>
    <x v="3"/>
    <x v="19"/>
    <x v="0"/>
    <x v="209"/>
    <x v="12"/>
    <x v="6"/>
    <s v="MEDIA"/>
    <s v="MEDIA"/>
    <n v="64"/>
    <s v="cumple"/>
    <x v="8"/>
    <x v="1"/>
    <x v="1408"/>
    <n v="348"/>
    <x v="0"/>
  </r>
  <r>
    <x v="0"/>
    <x v="0"/>
    <x v="1"/>
    <x v="0"/>
    <x v="3"/>
    <x v="2"/>
    <x v="192"/>
    <x v="740"/>
    <x v="1409"/>
    <x v="180"/>
    <x v="4"/>
    <x v="180"/>
    <x v="15"/>
    <x v="19"/>
    <x v="0"/>
    <x v="209"/>
    <x v="12"/>
    <x v="6"/>
    <s v="MEDIA"/>
    <s v="MEDIA"/>
    <n v="64"/>
    <s v="cumple"/>
    <x v="8"/>
    <x v="1"/>
    <x v="1409"/>
    <n v="348"/>
    <x v="0"/>
  </r>
  <r>
    <x v="0"/>
    <x v="0"/>
    <x v="1"/>
    <x v="0"/>
    <x v="3"/>
    <x v="2"/>
    <x v="193"/>
    <x v="741"/>
    <x v="1410"/>
    <x v="180"/>
    <x v="12"/>
    <x v="180"/>
    <x v="13"/>
    <x v="2"/>
    <x v="0"/>
    <x v="209"/>
    <x v="12"/>
    <x v="6"/>
    <s v="MEDIA"/>
    <s v="MEDIA"/>
    <n v="64"/>
    <s v="cumple"/>
    <x v="8"/>
    <x v="1"/>
    <x v="1410"/>
    <n v="696"/>
    <x v="0"/>
  </r>
  <r>
    <x v="0"/>
    <x v="0"/>
    <x v="1"/>
    <x v="0"/>
    <x v="3"/>
    <x v="2"/>
    <x v="194"/>
    <x v="742"/>
    <x v="1411"/>
    <x v="180"/>
    <x v="10"/>
    <x v="180"/>
    <x v="14"/>
    <x v="2"/>
    <x v="0"/>
    <x v="209"/>
    <x v="12"/>
    <x v="6"/>
    <s v="MEDIA"/>
    <s v="MEDIA"/>
    <n v="64"/>
    <s v="cumple"/>
    <x v="8"/>
    <x v="1"/>
    <x v="1411"/>
    <n v="696"/>
    <x v="0"/>
  </r>
  <r>
    <x v="0"/>
    <x v="0"/>
    <x v="1"/>
    <x v="0"/>
    <x v="3"/>
    <x v="2"/>
    <x v="195"/>
    <x v="743"/>
    <x v="1412"/>
    <x v="180"/>
    <x v="21"/>
    <x v="180"/>
    <x v="10"/>
    <x v="2"/>
    <x v="0"/>
    <x v="209"/>
    <x v="12"/>
    <x v="6"/>
    <s v="MEDIA"/>
    <s v="MEDIA"/>
    <n v="64"/>
    <s v="cumple"/>
    <x v="8"/>
    <x v="1"/>
    <x v="1412"/>
    <n v="696"/>
    <x v="0"/>
  </r>
  <r>
    <x v="0"/>
    <x v="0"/>
    <x v="1"/>
    <x v="0"/>
    <x v="3"/>
    <x v="2"/>
    <x v="196"/>
    <x v="744"/>
    <x v="1413"/>
    <x v="180"/>
    <x v="20"/>
    <x v="180"/>
    <x v="2"/>
    <x v="15"/>
    <x v="0"/>
    <x v="210"/>
    <x v="12"/>
    <x v="6"/>
    <s v="MEDIA"/>
    <s v="MEDIA"/>
    <n v="64"/>
    <s v="cumple"/>
    <x v="8"/>
    <x v="1"/>
    <x v="1413"/>
    <n v="1044"/>
    <x v="0"/>
  </r>
  <r>
    <x v="0"/>
    <x v="0"/>
    <x v="1"/>
    <x v="0"/>
    <x v="3"/>
    <x v="2"/>
    <x v="197"/>
    <x v="745"/>
    <x v="1414"/>
    <x v="180"/>
    <x v="2"/>
    <x v="180"/>
    <x v="1"/>
    <x v="2"/>
    <x v="0"/>
    <x v="210"/>
    <x v="12"/>
    <x v="6"/>
    <s v="MEDIA"/>
    <s v="MEDIA"/>
    <n v="64"/>
    <s v="cumple"/>
    <x v="8"/>
    <x v="1"/>
    <x v="1414"/>
    <n v="696"/>
    <x v="0"/>
  </r>
  <r>
    <x v="0"/>
    <x v="0"/>
    <x v="1"/>
    <x v="0"/>
    <x v="3"/>
    <x v="2"/>
    <x v="198"/>
    <x v="746"/>
    <x v="1415"/>
    <x v="181"/>
    <x v="0"/>
    <x v="181"/>
    <x v="8"/>
    <x v="2"/>
    <x v="0"/>
    <x v="210"/>
    <x v="12"/>
    <x v="6"/>
    <s v="MEDIA"/>
    <s v="MEDIA"/>
    <n v="64"/>
    <s v="cumple"/>
    <x v="8"/>
    <x v="1"/>
    <x v="1415"/>
    <n v="696"/>
    <x v="0"/>
  </r>
  <r>
    <x v="0"/>
    <x v="0"/>
    <x v="1"/>
    <x v="0"/>
    <x v="3"/>
    <x v="2"/>
    <x v="199"/>
    <x v="747"/>
    <x v="1416"/>
    <x v="181"/>
    <x v="8"/>
    <x v="181"/>
    <x v="3"/>
    <x v="2"/>
    <x v="0"/>
    <x v="210"/>
    <x v="12"/>
    <x v="6"/>
    <s v="MEDIA"/>
    <s v="MEDIA"/>
    <n v="64"/>
    <s v="cumple"/>
    <x v="8"/>
    <x v="1"/>
    <x v="1416"/>
    <n v="696"/>
    <x v="0"/>
  </r>
  <r>
    <x v="0"/>
    <x v="0"/>
    <x v="1"/>
    <x v="0"/>
    <x v="3"/>
    <x v="2"/>
    <x v="200"/>
    <x v="748"/>
    <x v="1417"/>
    <x v="181"/>
    <x v="4"/>
    <x v="181"/>
    <x v="4"/>
    <x v="2"/>
    <x v="0"/>
    <x v="211"/>
    <x v="12"/>
    <x v="6"/>
    <s v="MEDIA"/>
    <s v="MEDIA"/>
    <n v="64"/>
    <s v="cumple"/>
    <x v="8"/>
    <x v="1"/>
    <x v="1417"/>
    <n v="696"/>
    <x v="0"/>
  </r>
  <r>
    <x v="0"/>
    <x v="0"/>
    <x v="1"/>
    <x v="0"/>
    <x v="3"/>
    <x v="2"/>
    <x v="201"/>
    <x v="749"/>
    <x v="1418"/>
    <x v="181"/>
    <x v="6"/>
    <x v="181"/>
    <x v="5"/>
    <x v="2"/>
    <x v="0"/>
    <x v="211"/>
    <x v="12"/>
    <x v="6"/>
    <s v="MEDIA"/>
    <s v="MEDIA"/>
    <n v="64"/>
    <s v="cumple"/>
    <x v="8"/>
    <x v="1"/>
    <x v="1418"/>
    <n v="696"/>
    <x v="0"/>
  </r>
  <r>
    <x v="0"/>
    <x v="0"/>
    <x v="1"/>
    <x v="0"/>
    <x v="3"/>
    <x v="2"/>
    <x v="202"/>
    <x v="750"/>
    <x v="1419"/>
    <x v="181"/>
    <x v="3"/>
    <x v="181"/>
    <x v="14"/>
    <x v="19"/>
    <x v="0"/>
    <x v="211"/>
    <x v="12"/>
    <x v="6"/>
    <s v="MEDIA"/>
    <s v="MEDIA"/>
    <n v="64"/>
    <s v="cumple"/>
    <x v="8"/>
    <x v="1"/>
    <x v="1419"/>
    <n v="348"/>
    <x v="0"/>
  </r>
  <r>
    <x v="0"/>
    <x v="0"/>
    <x v="1"/>
    <x v="0"/>
    <x v="3"/>
    <x v="2"/>
    <x v="203"/>
    <x v="751"/>
    <x v="1420"/>
    <x v="181"/>
    <x v="21"/>
    <x v="181"/>
    <x v="7"/>
    <x v="19"/>
    <x v="0"/>
    <x v="211"/>
    <x v="12"/>
    <x v="6"/>
    <s v="MEDIA"/>
    <s v="MEDIA"/>
    <n v="64"/>
    <s v="cumple"/>
    <x v="8"/>
    <x v="1"/>
    <x v="1420"/>
    <n v="348"/>
    <x v="0"/>
  </r>
  <r>
    <x v="0"/>
    <x v="0"/>
    <x v="1"/>
    <x v="0"/>
    <x v="3"/>
    <x v="2"/>
    <x v="204"/>
    <x v="752"/>
    <x v="1421"/>
    <x v="181"/>
    <x v="5"/>
    <x v="181"/>
    <x v="10"/>
    <x v="19"/>
    <x v="0"/>
    <x v="211"/>
    <x v="12"/>
    <x v="6"/>
    <s v="MEDIA"/>
    <s v="MEDIA"/>
    <n v="64"/>
    <s v="cumple"/>
    <x v="8"/>
    <x v="1"/>
    <x v="1421"/>
    <n v="348"/>
    <x v="0"/>
  </r>
  <r>
    <x v="0"/>
    <x v="0"/>
    <x v="1"/>
    <x v="0"/>
    <x v="3"/>
    <x v="2"/>
    <x v="205"/>
    <x v="753"/>
    <x v="1422"/>
    <x v="181"/>
    <x v="20"/>
    <x v="181"/>
    <x v="6"/>
    <x v="19"/>
    <x v="0"/>
    <x v="211"/>
    <x v="12"/>
    <x v="6"/>
    <s v="MEDIA"/>
    <s v="MEDIA"/>
    <n v="64"/>
    <s v="cumple"/>
    <x v="8"/>
    <x v="1"/>
    <x v="1422"/>
    <n v="348"/>
    <x v="0"/>
  </r>
  <r>
    <x v="0"/>
    <x v="0"/>
    <x v="1"/>
    <x v="0"/>
    <x v="3"/>
    <x v="2"/>
    <x v="206"/>
    <x v="754"/>
    <x v="1423"/>
    <x v="181"/>
    <x v="7"/>
    <x v="181"/>
    <x v="17"/>
    <x v="15"/>
    <x v="0"/>
    <x v="211"/>
    <x v="12"/>
    <x v="6"/>
    <s v="MEDIA"/>
    <s v="MEDIA"/>
    <n v="64"/>
    <s v="cumple"/>
    <x v="8"/>
    <x v="1"/>
    <x v="1423"/>
    <n v="1044"/>
    <x v="0"/>
  </r>
  <r>
    <x v="0"/>
    <x v="0"/>
    <x v="1"/>
    <x v="0"/>
    <x v="3"/>
    <x v="2"/>
    <x v="207"/>
    <x v="755"/>
    <x v="1424"/>
    <x v="181"/>
    <x v="14"/>
    <x v="181"/>
    <x v="1"/>
    <x v="19"/>
    <x v="0"/>
    <x v="211"/>
    <x v="12"/>
    <x v="6"/>
    <s v="MEDIA"/>
    <s v="MEDIA"/>
    <n v="64"/>
    <s v="cumple"/>
    <x v="8"/>
    <x v="1"/>
    <x v="1424"/>
    <n v="348"/>
    <x v="0"/>
  </r>
  <r>
    <x v="0"/>
    <x v="0"/>
    <x v="1"/>
    <x v="0"/>
    <x v="3"/>
    <x v="2"/>
    <x v="208"/>
    <x v="756"/>
    <x v="1425"/>
    <x v="181"/>
    <x v="1"/>
    <x v="181"/>
    <x v="0"/>
    <x v="2"/>
    <x v="0"/>
    <x v="211"/>
    <x v="12"/>
    <x v="6"/>
    <s v="MEDIA"/>
    <s v="MEDIA"/>
    <n v="64"/>
    <s v="cumple"/>
    <x v="8"/>
    <x v="1"/>
    <x v="1425"/>
    <n v="696"/>
    <x v="0"/>
  </r>
  <r>
    <x v="0"/>
    <x v="0"/>
    <x v="1"/>
    <x v="0"/>
    <x v="3"/>
    <x v="2"/>
    <x v="209"/>
    <x v="757"/>
    <x v="1426"/>
    <x v="182"/>
    <x v="0"/>
    <x v="182"/>
    <x v="16"/>
    <x v="15"/>
    <x v="0"/>
    <x v="212"/>
    <x v="12"/>
    <x v="6"/>
    <s v="MEDIA"/>
    <s v="MEDIA"/>
    <n v="64"/>
    <s v="cumple"/>
    <x v="8"/>
    <x v="1"/>
    <x v="1426"/>
    <n v="1044"/>
    <x v="0"/>
  </r>
  <r>
    <x v="0"/>
    <x v="0"/>
    <x v="1"/>
    <x v="0"/>
    <x v="3"/>
    <x v="9"/>
    <x v="210"/>
    <x v="758"/>
    <x v="1427"/>
    <x v="182"/>
    <x v="13"/>
    <x v="182"/>
    <x v="3"/>
    <x v="19"/>
    <x v="0"/>
    <x v="37"/>
    <x v="12"/>
    <x v="6"/>
    <s v="MEDIA"/>
    <s v="MEDIA"/>
    <n v="64"/>
    <s v="cumple"/>
    <x v="8"/>
    <x v="1"/>
    <x v="1427"/>
    <n v="348"/>
    <x v="0"/>
  </r>
  <r>
    <x v="0"/>
    <x v="0"/>
    <x v="1"/>
    <x v="0"/>
    <x v="3"/>
    <x v="2"/>
    <x v="211"/>
    <x v="759"/>
    <x v="1428"/>
    <x v="182"/>
    <x v="4"/>
    <x v="182"/>
    <x v="13"/>
    <x v="15"/>
    <x v="0"/>
    <x v="213"/>
    <x v="12"/>
    <x v="6"/>
    <s v="MEDIA"/>
    <s v="MEDIA"/>
    <n v="64"/>
    <s v="cumple"/>
    <x v="8"/>
    <x v="1"/>
    <x v="1428"/>
    <n v="1044"/>
    <x v="0"/>
  </r>
  <r>
    <x v="0"/>
    <x v="0"/>
    <x v="1"/>
    <x v="0"/>
    <x v="3"/>
    <x v="9"/>
    <x v="212"/>
    <x v="760"/>
    <x v="1429"/>
    <x v="182"/>
    <x v="10"/>
    <x v="182"/>
    <x v="5"/>
    <x v="19"/>
    <x v="0"/>
    <x v="37"/>
    <x v="12"/>
    <x v="6"/>
    <s v="MEDIA"/>
    <s v="MEDIA"/>
    <n v="64"/>
    <s v="cumple"/>
    <x v="8"/>
    <x v="1"/>
    <x v="1429"/>
    <n v="348"/>
    <x v="0"/>
  </r>
  <r>
    <x v="0"/>
    <x v="0"/>
    <x v="1"/>
    <x v="0"/>
    <x v="3"/>
    <x v="4"/>
    <x v="213"/>
    <x v="761"/>
    <x v="1430"/>
    <x v="182"/>
    <x v="3"/>
    <x v="182"/>
    <x v="14"/>
    <x v="19"/>
    <x v="0"/>
    <x v="212"/>
    <x v="12"/>
    <x v="6"/>
    <s v="MEDIA"/>
    <s v="MEDIA"/>
    <n v="64"/>
    <s v="cumple"/>
    <x v="8"/>
    <x v="1"/>
    <x v="1430"/>
    <n v="348"/>
    <x v="0"/>
  </r>
  <r>
    <x v="0"/>
    <x v="0"/>
    <x v="1"/>
    <x v="0"/>
    <x v="3"/>
    <x v="4"/>
    <x v="214"/>
    <x v="762"/>
    <x v="1431"/>
    <x v="182"/>
    <x v="21"/>
    <x v="182"/>
    <x v="7"/>
    <x v="19"/>
    <x v="0"/>
    <x v="212"/>
    <x v="12"/>
    <x v="6"/>
    <s v="MEDIA"/>
    <s v="MEDIA"/>
    <n v="64"/>
    <s v="cumple"/>
    <x v="8"/>
    <x v="1"/>
    <x v="1431"/>
    <n v="348"/>
    <x v="0"/>
  </r>
  <r>
    <x v="0"/>
    <x v="0"/>
    <x v="1"/>
    <x v="0"/>
    <x v="3"/>
    <x v="4"/>
    <x v="215"/>
    <x v="763"/>
    <x v="1432"/>
    <x v="182"/>
    <x v="5"/>
    <x v="182"/>
    <x v="10"/>
    <x v="19"/>
    <x v="0"/>
    <x v="212"/>
    <x v="12"/>
    <x v="6"/>
    <s v="MEDIA"/>
    <s v="MEDIA"/>
    <n v="64"/>
    <s v="cumple"/>
    <x v="8"/>
    <x v="1"/>
    <x v="1432"/>
    <n v="348"/>
    <x v="0"/>
  </r>
  <r>
    <x v="0"/>
    <x v="0"/>
    <x v="1"/>
    <x v="0"/>
    <x v="3"/>
    <x v="4"/>
    <x v="216"/>
    <x v="764"/>
    <x v="1433"/>
    <x v="182"/>
    <x v="20"/>
    <x v="182"/>
    <x v="6"/>
    <x v="19"/>
    <x v="0"/>
    <x v="212"/>
    <x v="12"/>
    <x v="6"/>
    <s v="MEDIA"/>
    <s v="MEDIA"/>
    <n v="64"/>
    <s v="cumple"/>
    <x v="8"/>
    <x v="1"/>
    <x v="1433"/>
    <n v="348"/>
    <x v="0"/>
  </r>
  <r>
    <x v="0"/>
    <x v="0"/>
    <x v="1"/>
    <x v="0"/>
    <x v="3"/>
    <x v="4"/>
    <x v="217"/>
    <x v="765"/>
    <x v="1434"/>
    <x v="182"/>
    <x v="7"/>
    <x v="182"/>
    <x v="18"/>
    <x v="19"/>
    <x v="0"/>
    <x v="212"/>
    <x v="12"/>
    <x v="6"/>
    <s v="MEDIA"/>
    <s v="MEDIA"/>
    <n v="64"/>
    <s v="cumple"/>
    <x v="8"/>
    <x v="1"/>
    <x v="1434"/>
    <n v="348"/>
    <x v="0"/>
  </r>
  <r>
    <x v="0"/>
    <x v="0"/>
    <x v="1"/>
    <x v="0"/>
    <x v="3"/>
    <x v="4"/>
    <x v="218"/>
    <x v="766"/>
    <x v="1435"/>
    <x v="182"/>
    <x v="15"/>
    <x v="182"/>
    <x v="2"/>
    <x v="19"/>
    <x v="0"/>
    <x v="212"/>
    <x v="12"/>
    <x v="6"/>
    <s v="MEDIA"/>
    <s v="MEDIA"/>
    <n v="64"/>
    <s v="cumple"/>
    <x v="8"/>
    <x v="1"/>
    <x v="1435"/>
    <n v="348"/>
    <x v="0"/>
  </r>
  <r>
    <x v="0"/>
    <x v="0"/>
    <x v="1"/>
    <x v="0"/>
    <x v="3"/>
    <x v="4"/>
    <x v="219"/>
    <x v="767"/>
    <x v="1436"/>
    <x v="182"/>
    <x v="2"/>
    <x v="182"/>
    <x v="17"/>
    <x v="19"/>
    <x v="0"/>
    <x v="212"/>
    <x v="12"/>
    <x v="6"/>
    <s v="MEDIA"/>
    <s v="MEDIA"/>
    <n v="64"/>
    <s v="cumple"/>
    <x v="8"/>
    <x v="1"/>
    <x v="1436"/>
    <n v="348"/>
    <x v="0"/>
  </r>
  <r>
    <x v="0"/>
    <x v="0"/>
    <x v="1"/>
    <x v="0"/>
    <x v="3"/>
    <x v="4"/>
    <x v="220"/>
    <x v="768"/>
    <x v="1437"/>
    <x v="182"/>
    <x v="14"/>
    <x v="182"/>
    <x v="1"/>
    <x v="19"/>
    <x v="0"/>
    <x v="212"/>
    <x v="12"/>
    <x v="6"/>
    <s v="MEDIA"/>
    <s v="MEDIA"/>
    <n v="64"/>
    <s v="cumple"/>
    <x v="8"/>
    <x v="1"/>
    <x v="1437"/>
    <n v="348"/>
    <x v="0"/>
  </r>
  <r>
    <x v="0"/>
    <x v="0"/>
    <x v="1"/>
    <x v="0"/>
    <x v="3"/>
    <x v="4"/>
    <x v="221"/>
    <x v="769"/>
    <x v="1438"/>
    <x v="183"/>
    <x v="0"/>
    <x v="183"/>
    <x v="8"/>
    <x v="2"/>
    <x v="0"/>
    <x v="213"/>
    <x v="12"/>
    <x v="6"/>
    <s v="MEDIA"/>
    <s v="MEDIA"/>
    <n v="64"/>
    <s v="cumple"/>
    <x v="8"/>
    <x v="1"/>
    <x v="1438"/>
    <n v="696"/>
    <x v="0"/>
  </r>
  <r>
    <x v="0"/>
    <x v="0"/>
    <x v="1"/>
    <x v="0"/>
    <x v="3"/>
    <x v="4"/>
    <x v="222"/>
    <x v="770"/>
    <x v="1439"/>
    <x v="183"/>
    <x v="8"/>
    <x v="183"/>
    <x v="16"/>
    <x v="19"/>
    <x v="0"/>
    <x v="213"/>
    <x v="12"/>
    <x v="6"/>
    <s v="MEDIA"/>
    <s v="MEDIA"/>
    <n v="64"/>
    <s v="cumple"/>
    <x v="8"/>
    <x v="1"/>
    <x v="1439"/>
    <n v="348"/>
    <x v="0"/>
  </r>
  <r>
    <x v="0"/>
    <x v="0"/>
    <x v="1"/>
    <x v="0"/>
    <x v="3"/>
    <x v="4"/>
    <x v="223"/>
    <x v="771"/>
    <x v="1440"/>
    <x v="183"/>
    <x v="13"/>
    <x v="183"/>
    <x v="3"/>
    <x v="2"/>
    <x v="0"/>
    <x v="213"/>
    <x v="12"/>
    <x v="6"/>
    <s v="MEDIA"/>
    <s v="MEDIA"/>
    <n v="64"/>
    <s v="cumple"/>
    <x v="8"/>
    <x v="1"/>
    <x v="1440"/>
    <n v="696"/>
    <x v="0"/>
  </r>
  <r>
    <x v="0"/>
    <x v="0"/>
    <x v="1"/>
    <x v="0"/>
    <x v="3"/>
    <x v="4"/>
    <x v="224"/>
    <x v="772"/>
    <x v="1441"/>
    <x v="183"/>
    <x v="4"/>
    <x v="183"/>
    <x v="4"/>
    <x v="2"/>
    <x v="0"/>
    <x v="213"/>
    <x v="12"/>
    <x v="6"/>
    <s v="MEDIA"/>
    <s v="MEDIA"/>
    <n v="64"/>
    <s v="cumple"/>
    <x v="8"/>
    <x v="1"/>
    <x v="1441"/>
    <n v="696"/>
    <x v="0"/>
  </r>
  <r>
    <x v="0"/>
    <x v="0"/>
    <x v="1"/>
    <x v="0"/>
    <x v="3"/>
    <x v="4"/>
    <x v="225"/>
    <x v="773"/>
    <x v="1442"/>
    <x v="183"/>
    <x v="6"/>
    <x v="183"/>
    <x v="13"/>
    <x v="19"/>
    <x v="0"/>
    <x v="213"/>
    <x v="12"/>
    <x v="6"/>
    <s v="MEDIA"/>
    <s v="MEDIA"/>
    <n v="64"/>
    <s v="cumple"/>
    <x v="8"/>
    <x v="1"/>
    <x v="1442"/>
    <n v="348"/>
    <x v="0"/>
  </r>
  <r>
    <x v="0"/>
    <x v="0"/>
    <x v="1"/>
    <x v="0"/>
    <x v="3"/>
    <x v="4"/>
    <x v="226"/>
    <x v="774"/>
    <x v="1443"/>
    <x v="183"/>
    <x v="10"/>
    <x v="183"/>
    <x v="14"/>
    <x v="2"/>
    <x v="0"/>
    <x v="213"/>
    <x v="12"/>
    <x v="6"/>
    <s v="MEDIA"/>
    <s v="MEDIA"/>
    <n v="64"/>
    <s v="cumple"/>
    <x v="8"/>
    <x v="1"/>
    <x v="1443"/>
    <n v="696"/>
    <x v="0"/>
  </r>
  <r>
    <x v="0"/>
    <x v="0"/>
    <x v="1"/>
    <x v="0"/>
    <x v="3"/>
    <x v="4"/>
    <x v="227"/>
    <x v="775"/>
    <x v="1444"/>
    <x v="183"/>
    <x v="11"/>
    <x v="183"/>
    <x v="9"/>
    <x v="19"/>
    <x v="0"/>
    <x v="213"/>
    <x v="12"/>
    <x v="6"/>
    <s v="MEDIA"/>
    <s v="MEDIA"/>
    <n v="64"/>
    <s v="cumple"/>
    <x v="8"/>
    <x v="1"/>
    <x v="1444"/>
    <n v="348"/>
    <x v="0"/>
  </r>
  <r>
    <x v="0"/>
    <x v="0"/>
    <x v="1"/>
    <x v="0"/>
    <x v="3"/>
    <x v="4"/>
    <x v="228"/>
    <x v="776"/>
    <x v="1445"/>
    <x v="183"/>
    <x v="5"/>
    <x v="183"/>
    <x v="10"/>
    <x v="19"/>
    <x v="0"/>
    <x v="213"/>
    <x v="12"/>
    <x v="6"/>
    <s v="MEDIA"/>
    <s v="MEDIA"/>
    <n v="64"/>
    <s v="cumple"/>
    <x v="8"/>
    <x v="1"/>
    <x v="1445"/>
    <n v="348"/>
    <x v="0"/>
  </r>
  <r>
    <x v="0"/>
    <x v="0"/>
    <x v="1"/>
    <x v="0"/>
    <x v="3"/>
    <x v="4"/>
    <x v="229"/>
    <x v="777"/>
    <x v="1446"/>
    <x v="183"/>
    <x v="20"/>
    <x v="183"/>
    <x v="18"/>
    <x v="2"/>
    <x v="0"/>
    <x v="213"/>
    <x v="12"/>
    <x v="6"/>
    <s v="MEDIA"/>
    <s v="MEDIA"/>
    <n v="64"/>
    <s v="cumple"/>
    <x v="8"/>
    <x v="1"/>
    <x v="1446"/>
    <n v="696"/>
    <x v="0"/>
  </r>
  <r>
    <x v="0"/>
    <x v="1"/>
    <x v="1"/>
    <x v="0"/>
    <x v="3"/>
    <x v="2"/>
    <x v="230"/>
    <x v="778"/>
    <x v="1447"/>
    <x v="183"/>
    <x v="15"/>
    <x v="183"/>
    <x v="21"/>
    <x v="4"/>
    <x v="1"/>
    <x v="214"/>
    <x v="12"/>
    <x v="6"/>
    <s v="MEDIA"/>
    <s v="MEDIA"/>
    <n v="64"/>
    <s v="cumple"/>
    <x v="8"/>
    <x v="1"/>
    <x v="1447"/>
    <n v="1392"/>
    <x v="0"/>
  </r>
  <r>
    <x v="0"/>
    <x v="1"/>
    <x v="1"/>
    <x v="0"/>
    <x v="3"/>
    <x v="1"/>
    <x v="231"/>
    <x v="779"/>
    <x v="1448"/>
    <x v="184"/>
    <x v="0"/>
    <x v="184"/>
    <x v="16"/>
    <x v="15"/>
    <x v="0"/>
    <x v="37"/>
    <x v="12"/>
    <x v="6"/>
    <s v="MEDIA"/>
    <s v="MEDIA"/>
    <n v="64"/>
    <s v="cumple"/>
    <x v="8"/>
    <x v="1"/>
    <x v="1448"/>
    <n v="1044"/>
    <x v="0"/>
  </r>
  <r>
    <x v="0"/>
    <x v="1"/>
    <x v="1"/>
    <x v="0"/>
    <x v="3"/>
    <x v="1"/>
    <x v="232"/>
    <x v="780"/>
    <x v="1449"/>
    <x v="184"/>
    <x v="13"/>
    <x v="184"/>
    <x v="4"/>
    <x v="15"/>
    <x v="0"/>
    <x v="37"/>
    <x v="12"/>
    <x v="6"/>
    <s v="MEDIA"/>
    <s v="MEDIA"/>
    <n v="64"/>
    <s v="cumple"/>
    <x v="8"/>
    <x v="1"/>
    <x v="1449"/>
    <n v="1044"/>
    <x v="0"/>
  </r>
  <r>
    <x v="0"/>
    <x v="0"/>
    <x v="1"/>
    <x v="0"/>
    <x v="3"/>
    <x v="2"/>
    <x v="233"/>
    <x v="781"/>
    <x v="1450"/>
    <x v="184"/>
    <x v="6"/>
    <x v="184"/>
    <x v="5"/>
    <x v="2"/>
    <x v="0"/>
    <x v="215"/>
    <x v="12"/>
    <x v="6"/>
    <s v="MEDIA"/>
    <s v="MEDIA"/>
    <n v="64"/>
    <s v="cumple"/>
    <x v="8"/>
    <x v="1"/>
    <x v="1450"/>
    <n v="696"/>
    <x v="0"/>
  </r>
  <r>
    <x v="0"/>
    <x v="1"/>
    <x v="1"/>
    <x v="0"/>
    <x v="3"/>
    <x v="1"/>
    <x v="234"/>
    <x v="782"/>
    <x v="1451"/>
    <x v="184"/>
    <x v="9"/>
    <x v="184"/>
    <x v="2"/>
    <x v="5"/>
    <x v="0"/>
    <x v="215"/>
    <x v="12"/>
    <x v="6"/>
    <s v="MEDIA"/>
    <s v="MEDIA"/>
    <n v="64"/>
    <s v="cumple"/>
    <x v="8"/>
    <x v="1"/>
    <x v="1451"/>
    <n v="2088"/>
    <x v="0"/>
  </r>
  <r>
    <x v="0"/>
    <x v="1"/>
    <x v="1"/>
    <x v="0"/>
    <x v="3"/>
    <x v="1"/>
    <x v="235"/>
    <x v="783"/>
    <x v="1452"/>
    <x v="184"/>
    <x v="2"/>
    <x v="184"/>
    <x v="1"/>
    <x v="2"/>
    <x v="0"/>
    <x v="215"/>
    <x v="12"/>
    <x v="6"/>
    <s v="MEDIA"/>
    <s v="MEDIA"/>
    <n v="64"/>
    <s v="cumple"/>
    <x v="8"/>
    <x v="1"/>
    <x v="1452"/>
    <n v="696"/>
    <x v="0"/>
  </r>
  <r>
    <x v="0"/>
    <x v="1"/>
    <x v="1"/>
    <x v="0"/>
    <x v="3"/>
    <x v="1"/>
    <x v="236"/>
    <x v="784"/>
    <x v="1453"/>
    <x v="184"/>
    <x v="1"/>
    <x v="184"/>
    <x v="0"/>
    <x v="2"/>
    <x v="0"/>
    <x v="215"/>
    <x v="12"/>
    <x v="6"/>
    <s v="MEDIA"/>
    <s v="MEDIA"/>
    <n v="64"/>
    <s v="cumple"/>
    <x v="8"/>
    <x v="1"/>
    <x v="1453"/>
    <n v="696"/>
    <x v="0"/>
  </r>
  <r>
    <x v="0"/>
    <x v="1"/>
    <x v="1"/>
    <x v="0"/>
    <x v="3"/>
    <x v="1"/>
    <x v="237"/>
    <x v="785"/>
    <x v="1454"/>
    <x v="184"/>
    <x v="17"/>
    <x v="184"/>
    <x v="11"/>
    <x v="2"/>
    <x v="0"/>
    <x v="215"/>
    <x v="12"/>
    <x v="6"/>
    <s v="MEDIA"/>
    <s v="MEDIA"/>
    <n v="64"/>
    <s v="cumple"/>
    <x v="8"/>
    <x v="1"/>
    <x v="1454"/>
    <n v="696"/>
    <x v="0"/>
  </r>
  <r>
    <x v="0"/>
    <x v="11"/>
    <x v="1"/>
    <x v="0"/>
    <x v="3"/>
    <x v="5"/>
    <x v="238"/>
    <x v="786"/>
    <x v="1455"/>
    <x v="185"/>
    <x v="0"/>
    <x v="185"/>
    <x v="8"/>
    <x v="2"/>
    <x v="0"/>
    <x v="215"/>
    <x v="12"/>
    <x v="6"/>
    <s v="MEDIA"/>
    <s v="MEDIA"/>
    <n v="64"/>
    <s v="cumple"/>
    <x v="8"/>
    <x v="1"/>
    <x v="1455"/>
    <n v="696"/>
    <x v="0"/>
  </r>
  <r>
    <x v="0"/>
    <x v="8"/>
    <x v="1"/>
    <x v="0"/>
    <x v="3"/>
    <x v="4"/>
    <x v="239"/>
    <x v="787"/>
    <x v="1456"/>
    <x v="185"/>
    <x v="8"/>
    <x v="185"/>
    <x v="16"/>
    <x v="19"/>
    <x v="0"/>
    <x v="215"/>
    <x v="12"/>
    <x v="6"/>
    <s v="MEDIA"/>
    <s v="MEDIA"/>
    <n v="64"/>
    <s v="cumple"/>
    <x v="8"/>
    <x v="1"/>
    <x v="1456"/>
    <n v="348"/>
    <x v="0"/>
  </r>
  <r>
    <x v="0"/>
    <x v="0"/>
    <x v="1"/>
    <x v="0"/>
    <x v="3"/>
    <x v="2"/>
    <x v="240"/>
    <x v="788"/>
    <x v="1457"/>
    <x v="185"/>
    <x v="13"/>
    <x v="185"/>
    <x v="15"/>
    <x v="2"/>
    <x v="0"/>
    <x v="215"/>
    <x v="12"/>
    <x v="6"/>
    <s v="MEDIA"/>
    <s v="MEDIA"/>
    <n v="64"/>
    <s v="cumple"/>
    <x v="8"/>
    <x v="1"/>
    <x v="1457"/>
    <n v="696"/>
    <x v="0"/>
  </r>
  <r>
    <x v="0"/>
    <x v="1"/>
    <x v="1"/>
    <x v="0"/>
    <x v="3"/>
    <x v="1"/>
    <x v="241"/>
    <x v="789"/>
    <x v="1458"/>
    <x v="185"/>
    <x v="12"/>
    <x v="185"/>
    <x v="12"/>
    <x v="5"/>
    <x v="0"/>
    <x v="215"/>
    <x v="12"/>
    <x v="6"/>
    <s v="MEDIA"/>
    <s v="MEDIA"/>
    <n v="64"/>
    <s v="cumple"/>
    <x v="8"/>
    <x v="1"/>
    <x v="1458"/>
    <n v="2088"/>
    <x v="0"/>
  </r>
  <r>
    <x v="0"/>
    <x v="1"/>
    <x v="1"/>
    <x v="0"/>
    <x v="3"/>
    <x v="1"/>
    <x v="242"/>
    <x v="790"/>
    <x v="1459"/>
    <x v="185"/>
    <x v="20"/>
    <x v="185"/>
    <x v="18"/>
    <x v="2"/>
    <x v="0"/>
    <x v="215"/>
    <x v="12"/>
    <x v="6"/>
    <s v="MEDIA"/>
    <s v="MEDIA"/>
    <n v="64"/>
    <s v="cumple"/>
    <x v="8"/>
    <x v="1"/>
    <x v="1459"/>
    <n v="696"/>
    <x v="0"/>
  </r>
  <r>
    <x v="0"/>
    <x v="1"/>
    <x v="1"/>
    <x v="0"/>
    <x v="3"/>
    <x v="1"/>
    <x v="243"/>
    <x v="791"/>
    <x v="1460"/>
    <x v="185"/>
    <x v="15"/>
    <x v="185"/>
    <x v="17"/>
    <x v="2"/>
    <x v="0"/>
    <x v="215"/>
    <x v="12"/>
    <x v="6"/>
    <s v="MEDIA"/>
    <s v="MEDIA"/>
    <n v="64"/>
    <s v="cumple"/>
    <x v="8"/>
    <x v="1"/>
    <x v="1460"/>
    <n v="696"/>
    <x v="0"/>
  </r>
  <r>
    <x v="0"/>
    <x v="1"/>
    <x v="1"/>
    <x v="0"/>
    <x v="3"/>
    <x v="1"/>
    <x v="244"/>
    <x v="792"/>
    <x v="1461"/>
    <x v="185"/>
    <x v="14"/>
    <x v="185"/>
    <x v="21"/>
    <x v="2"/>
    <x v="0"/>
    <x v="215"/>
    <x v="12"/>
    <x v="6"/>
    <s v="MEDIA"/>
    <s v="MEDIA"/>
    <n v="64"/>
    <s v="cumple"/>
    <x v="8"/>
    <x v="1"/>
    <x v="1461"/>
    <n v="696"/>
    <x v="0"/>
  </r>
  <r>
    <x v="0"/>
    <x v="11"/>
    <x v="1"/>
    <x v="0"/>
    <x v="3"/>
    <x v="5"/>
    <x v="245"/>
    <x v="793"/>
    <x v="1462"/>
    <x v="185"/>
    <x v="16"/>
    <x v="185"/>
    <x v="22"/>
    <x v="2"/>
    <x v="0"/>
    <x v="215"/>
    <x v="12"/>
    <x v="6"/>
    <s v="MEDIA"/>
    <s v="MEDIA"/>
    <n v="64"/>
    <s v="cumple"/>
    <x v="8"/>
    <x v="1"/>
    <x v="1462"/>
    <n v="696"/>
    <x v="0"/>
  </r>
  <r>
    <x v="0"/>
    <x v="8"/>
    <x v="1"/>
    <x v="0"/>
    <x v="3"/>
    <x v="4"/>
    <x v="246"/>
    <x v="794"/>
    <x v="1463"/>
    <x v="186"/>
    <x v="0"/>
    <x v="186"/>
    <x v="23"/>
    <x v="19"/>
    <x v="0"/>
    <x v="215"/>
    <x v="12"/>
    <x v="6"/>
    <s v="MEDIA"/>
    <s v="MEDIA"/>
    <n v="64"/>
    <s v="cumple"/>
    <x v="8"/>
    <x v="1"/>
    <x v="1463"/>
    <n v="348"/>
    <x v="0"/>
  </r>
  <r>
    <x v="0"/>
    <x v="0"/>
    <x v="1"/>
    <x v="0"/>
    <x v="3"/>
    <x v="2"/>
    <x v="247"/>
    <x v="795"/>
    <x v="1464"/>
    <x v="186"/>
    <x v="19"/>
    <x v="186"/>
    <x v="16"/>
    <x v="2"/>
    <x v="0"/>
    <x v="215"/>
    <x v="12"/>
    <x v="6"/>
    <s v="MEDIA"/>
    <s v="MEDIA"/>
    <n v="64"/>
    <s v="cumple"/>
    <x v="8"/>
    <x v="1"/>
    <x v="1464"/>
    <n v="696"/>
    <x v="0"/>
  </r>
  <r>
    <x v="0"/>
    <x v="1"/>
    <x v="1"/>
    <x v="0"/>
    <x v="3"/>
    <x v="1"/>
    <x v="248"/>
    <x v="796"/>
    <x v="1465"/>
    <x v="186"/>
    <x v="13"/>
    <x v="186"/>
    <x v="14"/>
    <x v="5"/>
    <x v="0"/>
    <x v="215"/>
    <x v="12"/>
    <x v="6"/>
    <s v="MEDIA"/>
    <s v="MEDIA"/>
    <n v="64"/>
    <s v="cumple"/>
    <x v="8"/>
    <x v="1"/>
    <x v="1465"/>
    <n v="2088"/>
    <x v="0"/>
  </r>
  <r>
    <x v="0"/>
    <x v="1"/>
    <x v="1"/>
    <x v="0"/>
    <x v="3"/>
    <x v="1"/>
    <x v="249"/>
    <x v="797"/>
    <x v="1466"/>
    <x v="186"/>
    <x v="21"/>
    <x v="186"/>
    <x v="10"/>
    <x v="2"/>
    <x v="0"/>
    <x v="215"/>
    <x v="12"/>
    <x v="6"/>
    <s v="MEDIA"/>
    <s v="MEDIA"/>
    <n v="64"/>
    <s v="cumple"/>
    <x v="8"/>
    <x v="1"/>
    <x v="1466"/>
    <n v="696"/>
    <x v="0"/>
  </r>
  <r>
    <x v="0"/>
    <x v="1"/>
    <x v="1"/>
    <x v="0"/>
    <x v="3"/>
    <x v="1"/>
    <x v="250"/>
    <x v="798"/>
    <x v="1467"/>
    <x v="186"/>
    <x v="20"/>
    <x v="186"/>
    <x v="18"/>
    <x v="2"/>
    <x v="0"/>
    <x v="215"/>
    <x v="12"/>
    <x v="6"/>
    <s v="MEDIA"/>
    <s v="MEDIA"/>
    <n v="64"/>
    <s v="cumple"/>
    <x v="8"/>
    <x v="1"/>
    <x v="1467"/>
    <n v="696"/>
    <x v="0"/>
  </r>
  <r>
    <x v="0"/>
    <x v="1"/>
    <x v="1"/>
    <x v="0"/>
    <x v="3"/>
    <x v="1"/>
    <x v="251"/>
    <x v="799"/>
    <x v="1468"/>
    <x v="186"/>
    <x v="15"/>
    <x v="186"/>
    <x v="17"/>
    <x v="2"/>
    <x v="0"/>
    <x v="215"/>
    <x v="12"/>
    <x v="6"/>
    <s v="MEDIA"/>
    <s v="MEDIA"/>
    <n v="64"/>
    <s v="cumple"/>
    <x v="8"/>
    <x v="1"/>
    <x v="1468"/>
    <n v="696"/>
    <x v="0"/>
  </r>
  <r>
    <x v="0"/>
    <x v="11"/>
    <x v="1"/>
    <x v="0"/>
    <x v="3"/>
    <x v="5"/>
    <x v="252"/>
    <x v="800"/>
    <x v="1469"/>
    <x v="186"/>
    <x v="14"/>
    <x v="186"/>
    <x v="21"/>
    <x v="2"/>
    <x v="0"/>
    <x v="215"/>
    <x v="12"/>
    <x v="6"/>
    <s v="MEDIA"/>
    <s v="MEDIA"/>
    <n v="64"/>
    <s v="cumple"/>
    <x v="8"/>
    <x v="1"/>
    <x v="1469"/>
    <n v="696"/>
    <x v="0"/>
  </r>
  <r>
    <x v="0"/>
    <x v="8"/>
    <x v="1"/>
    <x v="0"/>
    <x v="3"/>
    <x v="4"/>
    <x v="253"/>
    <x v="801"/>
    <x v="1470"/>
    <x v="186"/>
    <x v="16"/>
    <x v="186"/>
    <x v="0"/>
    <x v="19"/>
    <x v="0"/>
    <x v="215"/>
    <x v="12"/>
    <x v="6"/>
    <s v="MEDIA"/>
    <s v="MEDIA"/>
    <n v="64"/>
    <s v="cumple"/>
    <x v="8"/>
    <x v="1"/>
    <x v="1470"/>
    <n v="348"/>
    <x v="0"/>
  </r>
  <r>
    <x v="0"/>
    <x v="0"/>
    <x v="1"/>
    <x v="0"/>
    <x v="3"/>
    <x v="2"/>
    <x v="254"/>
    <x v="802"/>
    <x v="1471"/>
    <x v="187"/>
    <x v="0"/>
    <x v="187"/>
    <x v="8"/>
    <x v="2"/>
    <x v="0"/>
    <x v="215"/>
    <x v="12"/>
    <x v="6"/>
    <s v="MEDIA"/>
    <s v="MEDIA"/>
    <n v="64"/>
    <s v="cumple"/>
    <x v="8"/>
    <x v="1"/>
    <x v="1471"/>
    <n v="696"/>
    <x v="0"/>
  </r>
  <r>
    <x v="0"/>
    <x v="1"/>
    <x v="1"/>
    <x v="0"/>
    <x v="3"/>
    <x v="1"/>
    <x v="255"/>
    <x v="803"/>
    <x v="1472"/>
    <x v="187"/>
    <x v="8"/>
    <x v="187"/>
    <x v="5"/>
    <x v="5"/>
    <x v="0"/>
    <x v="215"/>
    <x v="12"/>
    <x v="6"/>
    <s v="MEDIA"/>
    <s v="MEDIA"/>
    <n v="64"/>
    <s v="cumple"/>
    <x v="8"/>
    <x v="1"/>
    <x v="1472"/>
    <n v="2088"/>
    <x v="0"/>
  </r>
  <r>
    <x v="0"/>
    <x v="1"/>
    <x v="1"/>
    <x v="0"/>
    <x v="3"/>
    <x v="1"/>
    <x v="256"/>
    <x v="804"/>
    <x v="1473"/>
    <x v="187"/>
    <x v="3"/>
    <x v="187"/>
    <x v="9"/>
    <x v="2"/>
    <x v="0"/>
    <x v="215"/>
    <x v="12"/>
    <x v="6"/>
    <s v="MEDIA"/>
    <s v="MEDIA"/>
    <n v="64"/>
    <s v="cumple"/>
    <x v="8"/>
    <x v="1"/>
    <x v="1473"/>
    <n v="696"/>
    <x v="0"/>
  </r>
  <r>
    <x v="0"/>
    <x v="1"/>
    <x v="1"/>
    <x v="0"/>
    <x v="3"/>
    <x v="1"/>
    <x v="257"/>
    <x v="805"/>
    <x v="1474"/>
    <x v="187"/>
    <x v="5"/>
    <x v="187"/>
    <x v="6"/>
    <x v="2"/>
    <x v="0"/>
    <x v="215"/>
    <x v="12"/>
    <x v="6"/>
    <s v="MEDIA"/>
    <s v="MEDIA"/>
    <n v="64"/>
    <s v="cumple"/>
    <x v="8"/>
    <x v="1"/>
    <x v="1474"/>
    <n v="696"/>
    <x v="0"/>
  </r>
  <r>
    <x v="0"/>
    <x v="1"/>
    <x v="1"/>
    <x v="0"/>
    <x v="3"/>
    <x v="1"/>
    <x v="258"/>
    <x v="806"/>
    <x v="1475"/>
    <x v="187"/>
    <x v="7"/>
    <x v="187"/>
    <x v="2"/>
    <x v="2"/>
    <x v="0"/>
    <x v="215"/>
    <x v="12"/>
    <x v="6"/>
    <s v="MEDIA"/>
    <s v="MEDIA"/>
    <n v="64"/>
    <s v="cumple"/>
    <x v="8"/>
    <x v="1"/>
    <x v="1475"/>
    <n v="696"/>
    <x v="0"/>
  </r>
  <r>
    <x v="0"/>
    <x v="11"/>
    <x v="1"/>
    <x v="0"/>
    <x v="3"/>
    <x v="5"/>
    <x v="259"/>
    <x v="807"/>
    <x v="1476"/>
    <x v="187"/>
    <x v="2"/>
    <x v="198"/>
    <x v="1"/>
    <x v="2"/>
    <x v="0"/>
    <x v="215"/>
    <x v="12"/>
    <x v="6"/>
    <s v="MEDIA"/>
    <s v="MEDIA"/>
    <n v="64"/>
    <s v="cumple"/>
    <x v="8"/>
    <x v="1"/>
    <x v="1476"/>
    <n v="696"/>
    <x v="0"/>
  </r>
  <r>
    <x v="0"/>
    <x v="8"/>
    <x v="1"/>
    <x v="0"/>
    <x v="3"/>
    <x v="4"/>
    <x v="260"/>
    <x v="808"/>
    <x v="1477"/>
    <x v="187"/>
    <x v="1"/>
    <x v="187"/>
    <x v="21"/>
    <x v="19"/>
    <x v="0"/>
    <x v="215"/>
    <x v="12"/>
    <x v="6"/>
    <s v="MEDIA"/>
    <s v="MEDIA"/>
    <n v="64"/>
    <s v="cumple"/>
    <x v="8"/>
    <x v="1"/>
    <x v="1477"/>
    <n v="348"/>
    <x v="0"/>
  </r>
  <r>
    <x v="0"/>
    <x v="0"/>
    <x v="1"/>
    <x v="0"/>
    <x v="3"/>
    <x v="2"/>
    <x v="261"/>
    <x v="809"/>
    <x v="1478"/>
    <x v="187"/>
    <x v="16"/>
    <x v="187"/>
    <x v="22"/>
    <x v="2"/>
    <x v="0"/>
    <x v="215"/>
    <x v="12"/>
    <x v="6"/>
    <s v="MEDIA"/>
    <s v="MEDIA"/>
    <n v="64"/>
    <s v="cumple"/>
    <x v="8"/>
    <x v="1"/>
    <x v="1478"/>
    <n v="696"/>
    <x v="0"/>
  </r>
  <r>
    <x v="0"/>
    <x v="1"/>
    <x v="1"/>
    <x v="0"/>
    <x v="3"/>
    <x v="1"/>
    <x v="262"/>
    <x v="810"/>
    <x v="1479"/>
    <x v="188"/>
    <x v="0"/>
    <x v="188"/>
    <x v="4"/>
    <x v="5"/>
    <x v="0"/>
    <x v="215"/>
    <x v="12"/>
    <x v="6"/>
    <s v="MEDIA"/>
    <s v="MEDIA"/>
    <n v="64"/>
    <s v="cumple"/>
    <x v="8"/>
    <x v="1"/>
    <x v="1479"/>
    <n v="2088"/>
    <x v="0"/>
  </r>
  <r>
    <x v="0"/>
    <x v="1"/>
    <x v="1"/>
    <x v="0"/>
    <x v="3"/>
    <x v="1"/>
    <x v="263"/>
    <x v="811"/>
    <x v="1480"/>
    <x v="188"/>
    <x v="6"/>
    <x v="188"/>
    <x v="5"/>
    <x v="2"/>
    <x v="0"/>
    <x v="215"/>
    <x v="12"/>
    <x v="6"/>
    <s v="MEDIA"/>
    <s v="MEDIA"/>
    <n v="64"/>
    <s v="cumple"/>
    <x v="8"/>
    <x v="1"/>
    <x v="1480"/>
    <n v="696"/>
    <x v="0"/>
  </r>
  <r>
    <x v="0"/>
    <x v="1"/>
    <x v="1"/>
    <x v="0"/>
    <x v="3"/>
    <x v="1"/>
    <x v="264"/>
    <x v="812"/>
    <x v="1481"/>
    <x v="188"/>
    <x v="3"/>
    <x v="188"/>
    <x v="9"/>
    <x v="2"/>
    <x v="0"/>
    <x v="215"/>
    <x v="12"/>
    <x v="6"/>
    <s v="MEDIA"/>
    <s v="MEDIA"/>
    <n v="64"/>
    <s v="cumple"/>
    <x v="8"/>
    <x v="1"/>
    <x v="1481"/>
    <n v="696"/>
    <x v="0"/>
  </r>
  <r>
    <x v="0"/>
    <x v="1"/>
    <x v="1"/>
    <x v="0"/>
    <x v="3"/>
    <x v="1"/>
    <x v="265"/>
    <x v="813"/>
    <x v="1482"/>
    <x v="188"/>
    <x v="5"/>
    <x v="188"/>
    <x v="6"/>
    <x v="2"/>
    <x v="0"/>
    <x v="215"/>
    <x v="12"/>
    <x v="6"/>
    <s v="MEDIA"/>
    <s v="MEDIA"/>
    <n v="64"/>
    <s v="cumple"/>
    <x v="8"/>
    <x v="1"/>
    <x v="1482"/>
    <n v="696"/>
    <x v="0"/>
  </r>
  <r>
    <x v="0"/>
    <x v="11"/>
    <x v="1"/>
    <x v="0"/>
    <x v="3"/>
    <x v="5"/>
    <x v="266"/>
    <x v="814"/>
    <x v="1483"/>
    <x v="188"/>
    <x v="7"/>
    <x v="188"/>
    <x v="2"/>
    <x v="2"/>
    <x v="0"/>
    <x v="215"/>
    <x v="12"/>
    <x v="6"/>
    <s v="MEDIA"/>
    <s v="MEDIA"/>
    <n v="64"/>
    <s v="cumple"/>
    <x v="8"/>
    <x v="1"/>
    <x v="1483"/>
    <n v="696"/>
    <x v="0"/>
  </r>
  <r>
    <x v="0"/>
    <x v="8"/>
    <x v="1"/>
    <x v="0"/>
    <x v="3"/>
    <x v="4"/>
    <x v="267"/>
    <x v="815"/>
    <x v="1484"/>
    <x v="188"/>
    <x v="2"/>
    <x v="188"/>
    <x v="17"/>
    <x v="19"/>
    <x v="0"/>
    <x v="215"/>
    <x v="12"/>
    <x v="6"/>
    <s v="MEDIA"/>
    <s v="MEDIA"/>
    <n v="64"/>
    <s v="cumple"/>
    <x v="8"/>
    <x v="1"/>
    <x v="1484"/>
    <n v="348"/>
    <x v="0"/>
  </r>
  <r>
    <x v="0"/>
    <x v="0"/>
    <x v="1"/>
    <x v="0"/>
    <x v="3"/>
    <x v="2"/>
    <x v="268"/>
    <x v="816"/>
    <x v="1485"/>
    <x v="188"/>
    <x v="14"/>
    <x v="188"/>
    <x v="21"/>
    <x v="2"/>
    <x v="0"/>
    <x v="215"/>
    <x v="12"/>
    <x v="6"/>
    <s v="MEDIA"/>
    <s v="MEDIA"/>
    <n v="64"/>
    <s v="cumple"/>
    <x v="8"/>
    <x v="1"/>
    <x v="1485"/>
    <n v="696"/>
    <x v="0"/>
  </r>
  <r>
    <x v="0"/>
    <x v="1"/>
    <x v="1"/>
    <x v="0"/>
    <x v="3"/>
    <x v="1"/>
    <x v="269"/>
    <x v="817"/>
    <x v="1486"/>
    <x v="189"/>
    <x v="0"/>
    <x v="189"/>
    <x v="15"/>
    <x v="12"/>
    <x v="0"/>
    <x v="215"/>
    <x v="12"/>
    <x v="6"/>
    <s v="MEDIA"/>
    <s v="MEDIA"/>
    <n v="64"/>
    <s v="cumple"/>
    <x v="8"/>
    <x v="1"/>
    <x v="1486"/>
    <n v="1739.9999999999998"/>
    <x v="0"/>
  </r>
  <r>
    <x v="0"/>
    <x v="1"/>
    <x v="1"/>
    <x v="0"/>
    <x v="3"/>
    <x v="1"/>
    <x v="270"/>
    <x v="818"/>
    <x v="1487"/>
    <x v="189"/>
    <x v="12"/>
    <x v="189"/>
    <x v="13"/>
    <x v="2"/>
    <x v="0"/>
    <x v="215"/>
    <x v="12"/>
    <x v="6"/>
    <s v="MEDIA"/>
    <s v="MEDIA"/>
    <n v="64"/>
    <s v="cumple"/>
    <x v="8"/>
    <x v="1"/>
    <x v="1487"/>
    <n v="696"/>
    <x v="0"/>
  </r>
  <r>
    <x v="0"/>
    <x v="1"/>
    <x v="1"/>
    <x v="0"/>
    <x v="3"/>
    <x v="1"/>
    <x v="271"/>
    <x v="819"/>
    <x v="1488"/>
    <x v="189"/>
    <x v="10"/>
    <x v="189"/>
    <x v="14"/>
    <x v="2"/>
    <x v="0"/>
    <x v="215"/>
    <x v="12"/>
    <x v="6"/>
    <s v="MEDIA"/>
    <s v="MEDIA"/>
    <n v="64"/>
    <s v="cumple"/>
    <x v="8"/>
    <x v="1"/>
    <x v="1488"/>
    <n v="696"/>
    <x v="0"/>
  </r>
  <r>
    <x v="0"/>
    <x v="1"/>
    <x v="1"/>
    <x v="0"/>
    <x v="3"/>
    <x v="1"/>
    <x v="272"/>
    <x v="820"/>
    <x v="1489"/>
    <x v="189"/>
    <x v="21"/>
    <x v="189"/>
    <x v="10"/>
    <x v="2"/>
    <x v="0"/>
    <x v="215"/>
    <x v="12"/>
    <x v="6"/>
    <s v="MEDIA"/>
    <s v="MEDIA"/>
    <n v="64"/>
    <s v="cumple"/>
    <x v="8"/>
    <x v="1"/>
    <x v="1489"/>
    <n v="696"/>
    <x v="0"/>
  </r>
  <r>
    <x v="0"/>
    <x v="11"/>
    <x v="1"/>
    <x v="0"/>
    <x v="3"/>
    <x v="5"/>
    <x v="273"/>
    <x v="821"/>
    <x v="1490"/>
    <x v="189"/>
    <x v="20"/>
    <x v="189"/>
    <x v="18"/>
    <x v="2"/>
    <x v="0"/>
    <x v="215"/>
    <x v="12"/>
    <x v="6"/>
    <s v="MEDIA"/>
    <s v="MEDIA"/>
    <n v="64"/>
    <s v="cumple"/>
    <x v="8"/>
    <x v="1"/>
    <x v="1490"/>
    <n v="696"/>
    <x v="0"/>
  </r>
  <r>
    <x v="0"/>
    <x v="8"/>
    <x v="1"/>
    <x v="0"/>
    <x v="3"/>
    <x v="4"/>
    <x v="274"/>
    <x v="822"/>
    <x v="1491"/>
    <x v="189"/>
    <x v="15"/>
    <x v="189"/>
    <x v="2"/>
    <x v="19"/>
    <x v="0"/>
    <x v="215"/>
    <x v="12"/>
    <x v="6"/>
    <s v="MEDIA"/>
    <s v="MEDIA"/>
    <n v="64"/>
    <s v="cumple"/>
    <x v="8"/>
    <x v="1"/>
    <x v="1491"/>
    <n v="348"/>
    <x v="0"/>
  </r>
  <r>
    <x v="0"/>
    <x v="0"/>
    <x v="1"/>
    <x v="0"/>
    <x v="3"/>
    <x v="2"/>
    <x v="275"/>
    <x v="823"/>
    <x v="1492"/>
    <x v="189"/>
    <x v="2"/>
    <x v="189"/>
    <x v="1"/>
    <x v="2"/>
    <x v="0"/>
    <x v="215"/>
    <x v="12"/>
    <x v="6"/>
    <s v="MEDIA"/>
    <s v="MEDIA"/>
    <n v="64"/>
    <s v="cumple"/>
    <x v="8"/>
    <x v="1"/>
    <x v="1492"/>
    <n v="696"/>
    <x v="0"/>
  </r>
  <r>
    <x v="0"/>
    <x v="1"/>
    <x v="1"/>
    <x v="0"/>
    <x v="3"/>
    <x v="1"/>
    <x v="276"/>
    <x v="824"/>
    <x v="1493"/>
    <x v="189"/>
    <x v="1"/>
    <x v="189"/>
    <x v="22"/>
    <x v="12"/>
    <x v="0"/>
    <x v="215"/>
    <x v="12"/>
    <x v="6"/>
    <s v="MEDIA"/>
    <s v="MEDIA"/>
    <n v="64"/>
    <s v="cumple"/>
    <x v="8"/>
    <x v="1"/>
    <x v="1493"/>
    <n v="1739.9999999999998"/>
    <x v="0"/>
  </r>
  <r>
    <x v="0"/>
    <x v="1"/>
    <x v="1"/>
    <x v="0"/>
    <x v="3"/>
    <x v="1"/>
    <x v="277"/>
    <x v="825"/>
    <x v="1494"/>
    <x v="190"/>
    <x v="0"/>
    <x v="190"/>
    <x v="8"/>
    <x v="2"/>
    <x v="0"/>
    <x v="215"/>
    <x v="12"/>
    <x v="6"/>
    <s v="MEDIA"/>
    <s v="MEDIA"/>
    <n v="64"/>
    <s v="cumple"/>
    <x v="8"/>
    <x v="1"/>
    <x v="1494"/>
    <n v="696"/>
    <x v="0"/>
  </r>
  <r>
    <x v="0"/>
    <x v="1"/>
    <x v="1"/>
    <x v="0"/>
    <x v="3"/>
    <x v="1"/>
    <x v="278"/>
    <x v="826"/>
    <x v="1495"/>
    <x v="190"/>
    <x v="8"/>
    <x v="190"/>
    <x v="3"/>
    <x v="2"/>
    <x v="0"/>
    <x v="215"/>
    <x v="12"/>
    <x v="6"/>
    <s v="MEDIA"/>
    <s v="MEDIA"/>
    <n v="64"/>
    <s v="cumple"/>
    <x v="8"/>
    <x v="1"/>
    <x v="1495"/>
    <n v="696"/>
    <x v="0"/>
  </r>
  <r>
    <x v="0"/>
    <x v="1"/>
    <x v="1"/>
    <x v="0"/>
    <x v="3"/>
    <x v="1"/>
    <x v="279"/>
    <x v="827"/>
    <x v="1496"/>
    <x v="190"/>
    <x v="4"/>
    <x v="190"/>
    <x v="4"/>
    <x v="2"/>
    <x v="0"/>
    <x v="215"/>
    <x v="12"/>
    <x v="6"/>
    <s v="MEDIA"/>
    <s v="MEDIA"/>
    <n v="64"/>
    <s v="cumple"/>
    <x v="8"/>
    <x v="1"/>
    <x v="1496"/>
    <n v="696"/>
    <x v="0"/>
  </r>
  <r>
    <x v="0"/>
    <x v="11"/>
    <x v="1"/>
    <x v="0"/>
    <x v="3"/>
    <x v="5"/>
    <x v="280"/>
    <x v="828"/>
    <x v="1497"/>
    <x v="190"/>
    <x v="6"/>
    <x v="190"/>
    <x v="5"/>
    <x v="2"/>
    <x v="0"/>
    <x v="215"/>
    <x v="12"/>
    <x v="6"/>
    <s v="MEDIA"/>
    <s v="MEDIA"/>
    <n v="64"/>
    <s v="cumple"/>
    <x v="8"/>
    <x v="1"/>
    <x v="1497"/>
    <n v="696"/>
    <x v="0"/>
  </r>
  <r>
    <x v="0"/>
    <x v="8"/>
    <x v="1"/>
    <x v="0"/>
    <x v="3"/>
    <x v="4"/>
    <x v="281"/>
    <x v="829"/>
    <x v="1498"/>
    <x v="190"/>
    <x v="3"/>
    <x v="190"/>
    <x v="14"/>
    <x v="19"/>
    <x v="0"/>
    <x v="215"/>
    <x v="12"/>
    <x v="6"/>
    <s v="MEDIA"/>
    <s v="MEDIA"/>
    <n v="64"/>
    <s v="cumple"/>
    <x v="8"/>
    <x v="1"/>
    <x v="1498"/>
    <n v="348"/>
    <x v="0"/>
  </r>
  <r>
    <x v="0"/>
    <x v="0"/>
    <x v="1"/>
    <x v="0"/>
    <x v="3"/>
    <x v="2"/>
    <x v="282"/>
    <x v="830"/>
    <x v="1499"/>
    <x v="190"/>
    <x v="21"/>
    <x v="190"/>
    <x v="10"/>
    <x v="2"/>
    <x v="0"/>
    <x v="215"/>
    <x v="12"/>
    <x v="6"/>
    <s v="MEDIA"/>
    <s v="MEDIA"/>
    <n v="64"/>
    <s v="cumple"/>
    <x v="8"/>
    <x v="1"/>
    <x v="1499"/>
    <n v="696"/>
    <x v="0"/>
  </r>
  <r>
    <x v="0"/>
    <x v="1"/>
    <x v="1"/>
    <x v="0"/>
    <x v="3"/>
    <x v="1"/>
    <x v="283"/>
    <x v="831"/>
    <x v="1500"/>
    <x v="190"/>
    <x v="20"/>
    <x v="190"/>
    <x v="1"/>
    <x v="12"/>
    <x v="0"/>
    <x v="215"/>
    <x v="12"/>
    <x v="6"/>
    <s v="MEDIA"/>
    <s v="MEDIA"/>
    <n v="64"/>
    <s v="cumple"/>
    <x v="8"/>
    <x v="1"/>
    <x v="1500"/>
    <n v="1739.9999999999998"/>
    <x v="0"/>
  </r>
  <r>
    <x v="0"/>
    <x v="1"/>
    <x v="1"/>
    <x v="0"/>
    <x v="3"/>
    <x v="1"/>
    <x v="284"/>
    <x v="832"/>
    <x v="1501"/>
    <x v="190"/>
    <x v="1"/>
    <x v="190"/>
    <x v="0"/>
    <x v="2"/>
    <x v="0"/>
    <x v="215"/>
    <x v="12"/>
    <x v="6"/>
    <s v="MEDIA"/>
    <s v="MEDIA"/>
    <n v="64"/>
    <s v="cumple"/>
    <x v="8"/>
    <x v="1"/>
    <x v="1501"/>
    <n v="696"/>
    <x v="0"/>
  </r>
  <r>
    <x v="0"/>
    <x v="1"/>
    <x v="1"/>
    <x v="0"/>
    <x v="3"/>
    <x v="1"/>
    <x v="285"/>
    <x v="833"/>
    <x v="1502"/>
    <x v="191"/>
    <x v="0"/>
    <x v="191"/>
    <x v="8"/>
    <x v="2"/>
    <x v="0"/>
    <x v="215"/>
    <x v="12"/>
    <x v="6"/>
    <s v="MEDIA"/>
    <s v="MEDIA"/>
    <n v="64"/>
    <s v="cumple"/>
    <x v="8"/>
    <x v="1"/>
    <x v="1502"/>
    <n v="696"/>
    <x v="0"/>
  </r>
  <r>
    <x v="0"/>
    <x v="1"/>
    <x v="1"/>
    <x v="0"/>
    <x v="3"/>
    <x v="1"/>
    <x v="286"/>
    <x v="834"/>
    <x v="1503"/>
    <x v="191"/>
    <x v="8"/>
    <x v="191"/>
    <x v="3"/>
    <x v="2"/>
    <x v="0"/>
    <x v="215"/>
    <x v="12"/>
    <x v="6"/>
    <s v="MEDIA"/>
    <s v="MEDIA"/>
    <n v="64"/>
    <s v="cumple"/>
    <x v="8"/>
    <x v="1"/>
    <x v="1503"/>
    <n v="696"/>
    <x v="0"/>
  </r>
  <r>
    <x v="0"/>
    <x v="11"/>
    <x v="1"/>
    <x v="0"/>
    <x v="3"/>
    <x v="5"/>
    <x v="287"/>
    <x v="835"/>
    <x v="1504"/>
    <x v="191"/>
    <x v="4"/>
    <x v="191"/>
    <x v="4"/>
    <x v="2"/>
    <x v="0"/>
    <x v="215"/>
    <x v="12"/>
    <x v="6"/>
    <s v="MEDIA"/>
    <s v="MEDIA"/>
    <n v="64"/>
    <s v="cumple"/>
    <x v="8"/>
    <x v="1"/>
    <x v="1504"/>
    <n v="696"/>
    <x v="0"/>
  </r>
  <r>
    <x v="0"/>
    <x v="8"/>
    <x v="1"/>
    <x v="0"/>
    <x v="3"/>
    <x v="4"/>
    <x v="288"/>
    <x v="836"/>
    <x v="1505"/>
    <x v="191"/>
    <x v="6"/>
    <x v="191"/>
    <x v="13"/>
    <x v="19"/>
    <x v="0"/>
    <x v="215"/>
    <x v="12"/>
    <x v="6"/>
    <s v="MEDIA"/>
    <s v="MEDIA"/>
    <n v="64"/>
    <s v="cumple"/>
    <x v="8"/>
    <x v="1"/>
    <x v="1505"/>
    <n v="348"/>
    <x v="0"/>
  </r>
  <r>
    <x v="0"/>
    <x v="0"/>
    <x v="1"/>
    <x v="0"/>
    <x v="3"/>
    <x v="2"/>
    <x v="289"/>
    <x v="837"/>
    <x v="1506"/>
    <x v="191"/>
    <x v="10"/>
    <x v="191"/>
    <x v="14"/>
    <x v="2"/>
    <x v="0"/>
    <x v="215"/>
    <x v="12"/>
    <x v="6"/>
    <s v="MEDIA"/>
    <s v="MEDIA"/>
    <n v="64"/>
    <s v="cumple"/>
    <x v="8"/>
    <x v="1"/>
    <x v="1506"/>
    <n v="696"/>
    <x v="0"/>
  </r>
  <r>
    <x v="0"/>
    <x v="1"/>
    <x v="1"/>
    <x v="0"/>
    <x v="3"/>
    <x v="1"/>
    <x v="290"/>
    <x v="838"/>
    <x v="1507"/>
    <x v="191"/>
    <x v="21"/>
    <x v="191"/>
    <x v="2"/>
    <x v="12"/>
    <x v="0"/>
    <x v="215"/>
    <x v="12"/>
    <x v="6"/>
    <s v="MEDIA"/>
    <s v="MEDIA"/>
    <n v="64"/>
    <s v="cumple"/>
    <x v="8"/>
    <x v="1"/>
    <x v="1507"/>
    <n v="1739.9999999999998"/>
    <x v="0"/>
  </r>
  <r>
    <x v="0"/>
    <x v="1"/>
    <x v="1"/>
    <x v="0"/>
    <x v="3"/>
    <x v="1"/>
    <x v="291"/>
    <x v="839"/>
    <x v="1508"/>
    <x v="191"/>
    <x v="2"/>
    <x v="191"/>
    <x v="1"/>
    <x v="2"/>
    <x v="0"/>
    <x v="215"/>
    <x v="12"/>
    <x v="6"/>
    <s v="MEDIA"/>
    <s v="MEDIA"/>
    <n v="64"/>
    <s v="cumple"/>
    <x v="8"/>
    <x v="1"/>
    <x v="1508"/>
    <n v="696"/>
    <x v="0"/>
  </r>
  <r>
    <x v="0"/>
    <x v="1"/>
    <x v="1"/>
    <x v="0"/>
    <x v="3"/>
    <x v="1"/>
    <x v="292"/>
    <x v="840"/>
    <x v="1509"/>
    <x v="191"/>
    <x v="1"/>
    <x v="191"/>
    <x v="0"/>
    <x v="2"/>
    <x v="0"/>
    <x v="215"/>
    <x v="12"/>
    <x v="6"/>
    <s v="MEDIA"/>
    <s v="MEDIA"/>
    <n v="64"/>
    <s v="cumple"/>
    <x v="8"/>
    <x v="1"/>
    <x v="1509"/>
    <n v="696"/>
    <x v="0"/>
  </r>
  <r>
    <x v="0"/>
    <x v="1"/>
    <x v="1"/>
    <x v="0"/>
    <x v="3"/>
    <x v="1"/>
    <x v="293"/>
    <x v="841"/>
    <x v="1510"/>
    <x v="192"/>
    <x v="0"/>
    <x v="192"/>
    <x v="8"/>
    <x v="2"/>
    <x v="0"/>
    <x v="215"/>
    <x v="12"/>
    <x v="6"/>
    <s v="MEDIA"/>
    <s v="MEDIA"/>
    <n v="64"/>
    <s v="cumple"/>
    <x v="8"/>
    <x v="1"/>
    <x v="1510"/>
    <n v="696"/>
    <x v="0"/>
  </r>
  <r>
    <x v="0"/>
    <x v="11"/>
    <x v="1"/>
    <x v="0"/>
    <x v="3"/>
    <x v="5"/>
    <x v="294"/>
    <x v="842"/>
    <x v="1511"/>
    <x v="192"/>
    <x v="8"/>
    <x v="192"/>
    <x v="3"/>
    <x v="2"/>
    <x v="0"/>
    <x v="215"/>
    <x v="12"/>
    <x v="6"/>
    <s v="MEDIA"/>
    <s v="MEDIA"/>
    <n v="64"/>
    <s v="cumple"/>
    <x v="8"/>
    <x v="1"/>
    <x v="1511"/>
    <n v="696"/>
    <x v="0"/>
  </r>
  <r>
    <x v="0"/>
    <x v="8"/>
    <x v="1"/>
    <x v="0"/>
    <x v="3"/>
    <x v="4"/>
    <x v="295"/>
    <x v="843"/>
    <x v="1512"/>
    <x v="192"/>
    <x v="4"/>
    <x v="192"/>
    <x v="15"/>
    <x v="19"/>
    <x v="0"/>
    <x v="215"/>
    <x v="12"/>
    <x v="6"/>
    <s v="MEDIA"/>
    <s v="MEDIA"/>
    <n v="64"/>
    <s v="cumple"/>
    <x v="8"/>
    <x v="1"/>
    <x v="1512"/>
    <n v="348"/>
    <x v="0"/>
  </r>
  <r>
    <x v="0"/>
    <x v="0"/>
    <x v="1"/>
    <x v="0"/>
    <x v="3"/>
    <x v="2"/>
    <x v="296"/>
    <x v="844"/>
    <x v="1513"/>
    <x v="192"/>
    <x v="12"/>
    <x v="192"/>
    <x v="13"/>
    <x v="2"/>
    <x v="0"/>
    <x v="214"/>
    <x v="12"/>
    <x v="6"/>
    <s v="MEDIA"/>
    <s v="MEDIA"/>
    <n v="64"/>
    <s v="cumple"/>
    <x v="8"/>
    <x v="1"/>
    <x v="1513"/>
    <n v="696"/>
    <x v="0"/>
  </r>
  <r>
    <x v="0"/>
    <x v="1"/>
    <x v="1"/>
    <x v="0"/>
    <x v="3"/>
    <x v="1"/>
    <x v="297"/>
    <x v="845"/>
    <x v="1514"/>
    <x v="192"/>
    <x v="10"/>
    <x v="192"/>
    <x v="7"/>
    <x v="12"/>
    <x v="0"/>
    <x v="214"/>
    <x v="12"/>
    <x v="6"/>
    <s v="MEDIA"/>
    <s v="MEDIA"/>
    <n v="64"/>
    <s v="cumple"/>
    <x v="8"/>
    <x v="1"/>
    <x v="1514"/>
    <n v="1739.9999999999998"/>
    <x v="0"/>
  </r>
  <r>
    <x v="0"/>
    <x v="1"/>
    <x v="1"/>
    <x v="0"/>
    <x v="3"/>
    <x v="1"/>
    <x v="298"/>
    <x v="846"/>
    <x v="1515"/>
    <x v="192"/>
    <x v="7"/>
    <x v="192"/>
    <x v="2"/>
    <x v="2"/>
    <x v="0"/>
    <x v="214"/>
    <x v="12"/>
    <x v="6"/>
    <s v="MEDIA"/>
    <s v="MEDIA"/>
    <n v="64"/>
    <s v="cumple"/>
    <x v="8"/>
    <x v="1"/>
    <x v="1515"/>
    <n v="696"/>
    <x v="0"/>
  </r>
  <r>
    <x v="0"/>
    <x v="1"/>
    <x v="1"/>
    <x v="0"/>
    <x v="3"/>
    <x v="1"/>
    <x v="299"/>
    <x v="847"/>
    <x v="1453"/>
    <x v="192"/>
    <x v="2"/>
    <x v="192"/>
    <x v="1"/>
    <x v="2"/>
    <x v="0"/>
    <x v="214"/>
    <x v="12"/>
    <x v="6"/>
    <s v="MEDIA"/>
    <s v="MEDIA"/>
    <n v="64"/>
    <s v="cumple"/>
    <x v="8"/>
    <x v="1"/>
    <x v="1453"/>
    <n v="696"/>
    <x v="0"/>
  </r>
  <r>
    <x v="1"/>
    <x v="0"/>
    <x v="1"/>
    <x v="0"/>
    <x v="3"/>
    <x v="2"/>
    <x v="300"/>
    <x v="848"/>
    <x v="1516"/>
    <x v="192"/>
    <x v="1"/>
    <x v="192"/>
    <x v="0"/>
    <x v="2"/>
    <x v="0"/>
    <x v="37"/>
    <x v="12"/>
    <x v="6"/>
    <s v="MEDIA"/>
    <s v="MEDIA"/>
    <n v="64"/>
    <s v="cumple"/>
    <x v="8"/>
    <x v="1"/>
    <x v="1516"/>
    <n v="696"/>
    <x v="0"/>
  </r>
  <r>
    <x v="0"/>
    <x v="1"/>
    <x v="1"/>
    <x v="0"/>
    <x v="3"/>
    <x v="1"/>
    <x v="301"/>
    <x v="785"/>
    <x v="1454"/>
    <x v="193"/>
    <x v="0"/>
    <x v="193"/>
    <x v="8"/>
    <x v="2"/>
    <x v="0"/>
    <x v="214"/>
    <x v="12"/>
    <x v="6"/>
    <s v="MEDIA"/>
    <s v="MEDIA"/>
    <n v="64"/>
    <s v="cumple"/>
    <x v="8"/>
    <x v="1"/>
    <x v="1454"/>
    <n v="696"/>
    <x v="0"/>
  </r>
  <r>
    <x v="0"/>
    <x v="11"/>
    <x v="1"/>
    <x v="0"/>
    <x v="3"/>
    <x v="5"/>
    <x v="302"/>
    <x v="849"/>
    <x v="1455"/>
    <x v="193"/>
    <x v="8"/>
    <x v="193"/>
    <x v="16"/>
    <x v="19"/>
    <x v="0"/>
    <x v="214"/>
    <x v="12"/>
    <x v="6"/>
    <s v="MEDIA"/>
    <s v="MEDIA"/>
    <n v="64"/>
    <s v="cumple"/>
    <x v="8"/>
    <x v="1"/>
    <x v="1455"/>
    <n v="348"/>
    <x v="0"/>
  </r>
  <r>
    <x v="0"/>
    <x v="8"/>
    <x v="1"/>
    <x v="0"/>
    <x v="3"/>
    <x v="4"/>
    <x v="303"/>
    <x v="850"/>
    <x v="1517"/>
    <x v="193"/>
    <x v="13"/>
    <x v="193"/>
    <x v="15"/>
    <x v="2"/>
    <x v="0"/>
    <x v="214"/>
    <x v="12"/>
    <x v="6"/>
    <s v="MEDIA"/>
    <s v="MEDIA"/>
    <n v="64"/>
    <s v="cumple"/>
    <x v="8"/>
    <x v="1"/>
    <x v="1517"/>
    <n v="696"/>
    <x v="0"/>
  </r>
  <r>
    <x v="0"/>
    <x v="0"/>
    <x v="1"/>
    <x v="0"/>
    <x v="3"/>
    <x v="2"/>
    <x v="304"/>
    <x v="851"/>
    <x v="1518"/>
    <x v="193"/>
    <x v="12"/>
    <x v="193"/>
    <x v="14"/>
    <x v="4"/>
    <x v="0"/>
    <x v="214"/>
    <x v="12"/>
    <x v="6"/>
    <s v="MEDIA"/>
    <s v="MEDIA"/>
    <n v="64"/>
    <s v="cumple"/>
    <x v="8"/>
    <x v="1"/>
    <x v="1518"/>
    <n v="1392"/>
    <x v="0"/>
  </r>
  <r>
    <x v="0"/>
    <x v="1"/>
    <x v="1"/>
    <x v="0"/>
    <x v="3"/>
    <x v="1"/>
    <x v="305"/>
    <x v="852"/>
    <x v="1519"/>
    <x v="193"/>
    <x v="21"/>
    <x v="193"/>
    <x v="18"/>
    <x v="4"/>
    <x v="0"/>
    <x v="214"/>
    <x v="12"/>
    <x v="6"/>
    <s v="MEDIA"/>
    <s v="MEDIA"/>
    <n v="64"/>
    <s v="cumple"/>
    <x v="8"/>
    <x v="1"/>
    <x v="1519"/>
    <n v="1392"/>
    <x v="0"/>
  </r>
  <r>
    <x v="0"/>
    <x v="1"/>
    <x v="1"/>
    <x v="0"/>
    <x v="3"/>
    <x v="1"/>
    <x v="306"/>
    <x v="853"/>
    <x v="1520"/>
    <x v="193"/>
    <x v="15"/>
    <x v="193"/>
    <x v="17"/>
    <x v="2"/>
    <x v="0"/>
    <x v="214"/>
    <x v="12"/>
    <x v="6"/>
    <s v="MEDIA"/>
    <s v="MEDIA"/>
    <n v="64"/>
    <s v="cumple"/>
    <x v="8"/>
    <x v="1"/>
    <x v="1520"/>
    <n v="696"/>
    <x v="0"/>
  </r>
  <r>
    <x v="0"/>
    <x v="1"/>
    <x v="1"/>
    <x v="0"/>
    <x v="3"/>
    <x v="1"/>
    <x v="307"/>
    <x v="854"/>
    <x v="1460"/>
    <x v="193"/>
    <x v="14"/>
    <x v="193"/>
    <x v="21"/>
    <x v="2"/>
    <x v="0"/>
    <x v="214"/>
    <x v="12"/>
    <x v="6"/>
    <s v="MEDIA"/>
    <s v="MEDIA"/>
    <n v="64"/>
    <s v="cumple"/>
    <x v="8"/>
    <x v="1"/>
    <x v="1460"/>
    <n v="696"/>
    <x v="0"/>
  </r>
  <r>
    <x v="0"/>
    <x v="1"/>
    <x v="1"/>
    <x v="0"/>
    <x v="3"/>
    <x v="1"/>
    <x v="308"/>
    <x v="792"/>
    <x v="1461"/>
    <x v="193"/>
    <x v="16"/>
    <x v="193"/>
    <x v="22"/>
    <x v="2"/>
    <x v="0"/>
    <x v="214"/>
    <x v="12"/>
    <x v="6"/>
    <s v="MEDIA"/>
    <s v="MEDIA"/>
    <n v="64"/>
    <s v="cumple"/>
    <x v="8"/>
    <x v="1"/>
    <x v="1461"/>
    <n v="696"/>
    <x v="0"/>
  </r>
  <r>
    <x v="0"/>
    <x v="11"/>
    <x v="1"/>
    <x v="0"/>
    <x v="3"/>
    <x v="5"/>
    <x v="309"/>
    <x v="855"/>
    <x v="1462"/>
    <x v="194"/>
    <x v="0"/>
    <x v="194"/>
    <x v="8"/>
    <x v="2"/>
    <x v="0"/>
    <x v="214"/>
    <x v="12"/>
    <x v="6"/>
    <s v="MEDIA"/>
    <s v="MEDIA"/>
    <n v="64"/>
    <s v="cumple"/>
    <x v="8"/>
    <x v="1"/>
    <x v="1462"/>
    <n v="696"/>
    <x v="0"/>
  </r>
  <r>
    <x v="0"/>
    <x v="8"/>
    <x v="1"/>
    <x v="0"/>
    <x v="3"/>
    <x v="4"/>
    <x v="310"/>
    <x v="856"/>
    <x v="1521"/>
    <x v="194"/>
    <x v="8"/>
    <x v="194"/>
    <x v="16"/>
    <x v="19"/>
    <x v="0"/>
    <x v="214"/>
    <x v="12"/>
    <x v="6"/>
    <s v="MEDIA"/>
    <s v="MEDIA"/>
    <n v="64"/>
    <s v="cumple"/>
    <x v="8"/>
    <x v="1"/>
    <x v="1521"/>
    <n v="348"/>
    <x v="0"/>
  </r>
  <r>
    <x v="0"/>
    <x v="0"/>
    <x v="1"/>
    <x v="0"/>
    <x v="3"/>
    <x v="2"/>
    <x v="311"/>
    <x v="857"/>
    <x v="1522"/>
    <x v="194"/>
    <x v="13"/>
    <x v="194"/>
    <x v="15"/>
    <x v="2"/>
    <x v="0"/>
    <x v="214"/>
    <x v="12"/>
    <x v="6"/>
    <s v="MEDIA"/>
    <s v="MEDIA"/>
    <n v="64"/>
    <s v="cumple"/>
    <x v="8"/>
    <x v="1"/>
    <x v="1522"/>
    <n v="696"/>
    <x v="0"/>
  </r>
  <r>
    <x v="0"/>
    <x v="1"/>
    <x v="1"/>
    <x v="0"/>
    <x v="3"/>
    <x v="1"/>
    <x v="312"/>
    <x v="858"/>
    <x v="1523"/>
    <x v="194"/>
    <x v="12"/>
    <x v="194"/>
    <x v="9"/>
    <x v="12"/>
    <x v="0"/>
    <x v="214"/>
    <x v="12"/>
    <x v="6"/>
    <s v="MEDIA"/>
    <s v="MEDIA"/>
    <n v="64"/>
    <s v="cumple"/>
    <x v="8"/>
    <x v="1"/>
    <x v="1523"/>
    <n v="1739.9999999999998"/>
    <x v="0"/>
  </r>
  <r>
    <x v="0"/>
    <x v="1"/>
    <x v="1"/>
    <x v="0"/>
    <x v="3"/>
    <x v="1"/>
    <x v="313"/>
    <x v="859"/>
    <x v="1524"/>
    <x v="194"/>
    <x v="5"/>
    <x v="194"/>
    <x v="6"/>
    <x v="2"/>
    <x v="0"/>
    <x v="214"/>
    <x v="12"/>
    <x v="6"/>
    <s v="MEDIA"/>
    <s v="MEDIA"/>
    <n v="64"/>
    <s v="cumple"/>
    <x v="8"/>
    <x v="1"/>
    <x v="1524"/>
    <n v="696"/>
    <x v="0"/>
  </r>
  <r>
    <x v="0"/>
    <x v="1"/>
    <x v="1"/>
    <x v="0"/>
    <x v="3"/>
    <x v="1"/>
    <x v="314"/>
    <x v="860"/>
    <x v="1525"/>
    <x v="194"/>
    <x v="7"/>
    <x v="194"/>
    <x v="2"/>
    <x v="2"/>
    <x v="0"/>
    <x v="214"/>
    <x v="12"/>
    <x v="6"/>
    <s v="MEDIA"/>
    <s v="MEDIA"/>
    <n v="64"/>
    <s v="cumple"/>
    <x v="8"/>
    <x v="1"/>
    <x v="1525"/>
    <n v="696"/>
    <x v="0"/>
  </r>
  <r>
    <x v="0"/>
    <x v="1"/>
    <x v="1"/>
    <x v="0"/>
    <x v="3"/>
    <x v="1"/>
    <x v="315"/>
    <x v="861"/>
    <x v="1526"/>
    <x v="194"/>
    <x v="2"/>
    <x v="194"/>
    <x v="1"/>
    <x v="2"/>
    <x v="0"/>
    <x v="214"/>
    <x v="12"/>
    <x v="6"/>
    <s v="MEDIA"/>
    <s v="MEDIA"/>
    <n v="64"/>
    <s v="cumple"/>
    <x v="8"/>
    <x v="1"/>
    <x v="1526"/>
    <n v="696"/>
    <x v="0"/>
  </r>
  <r>
    <x v="0"/>
    <x v="11"/>
    <x v="1"/>
    <x v="0"/>
    <x v="3"/>
    <x v="5"/>
    <x v="316"/>
    <x v="862"/>
    <x v="1527"/>
    <x v="194"/>
    <x v="1"/>
    <x v="194"/>
    <x v="0"/>
    <x v="2"/>
    <x v="0"/>
    <x v="214"/>
    <x v="12"/>
    <x v="6"/>
    <s v="MEDIA"/>
    <s v="MEDIA"/>
    <n v="64"/>
    <s v="cumple"/>
    <x v="8"/>
    <x v="1"/>
    <x v="1527"/>
    <n v="696"/>
    <x v="0"/>
  </r>
  <r>
    <x v="0"/>
    <x v="8"/>
    <x v="1"/>
    <x v="0"/>
    <x v="3"/>
    <x v="4"/>
    <x v="317"/>
    <x v="863"/>
    <x v="1528"/>
    <x v="195"/>
    <x v="0"/>
    <x v="195"/>
    <x v="23"/>
    <x v="19"/>
    <x v="0"/>
    <x v="214"/>
    <x v="12"/>
    <x v="6"/>
    <s v="MEDIA"/>
    <s v="MEDIA"/>
    <n v="64"/>
    <s v="cumple"/>
    <x v="8"/>
    <x v="1"/>
    <x v="1528"/>
    <n v="348"/>
    <x v="0"/>
  </r>
  <r>
    <x v="0"/>
    <x v="0"/>
    <x v="1"/>
    <x v="0"/>
    <x v="3"/>
    <x v="2"/>
    <x v="318"/>
    <x v="864"/>
    <x v="1529"/>
    <x v="195"/>
    <x v="19"/>
    <x v="195"/>
    <x v="16"/>
    <x v="2"/>
    <x v="0"/>
    <x v="214"/>
    <x v="12"/>
    <x v="6"/>
    <s v="MEDIA"/>
    <s v="MEDIA"/>
    <n v="64"/>
    <s v="cumple"/>
    <x v="8"/>
    <x v="1"/>
    <x v="1529"/>
    <n v="696"/>
    <x v="0"/>
  </r>
  <r>
    <x v="0"/>
    <x v="1"/>
    <x v="1"/>
    <x v="0"/>
    <x v="3"/>
    <x v="1"/>
    <x v="319"/>
    <x v="865"/>
    <x v="1530"/>
    <x v="195"/>
    <x v="13"/>
    <x v="195"/>
    <x v="5"/>
    <x v="12"/>
    <x v="0"/>
    <x v="214"/>
    <x v="12"/>
    <x v="6"/>
    <s v="MEDIA"/>
    <s v="MEDIA"/>
    <n v="64"/>
    <s v="cumple"/>
    <x v="8"/>
    <x v="1"/>
    <x v="1530"/>
    <n v="1739.9999999999998"/>
    <x v="0"/>
  </r>
  <r>
    <x v="0"/>
    <x v="1"/>
    <x v="1"/>
    <x v="0"/>
    <x v="3"/>
    <x v="1"/>
    <x v="320"/>
    <x v="866"/>
    <x v="1531"/>
    <x v="195"/>
    <x v="3"/>
    <x v="195"/>
    <x v="9"/>
    <x v="2"/>
    <x v="0"/>
    <x v="214"/>
    <x v="12"/>
    <x v="6"/>
    <s v="MEDIA"/>
    <s v="MEDIA"/>
    <n v="64"/>
    <s v="cumple"/>
    <x v="8"/>
    <x v="1"/>
    <x v="1531"/>
    <n v="696"/>
    <x v="0"/>
  </r>
  <r>
    <x v="0"/>
    <x v="1"/>
    <x v="1"/>
    <x v="0"/>
    <x v="3"/>
    <x v="1"/>
    <x v="321"/>
    <x v="867"/>
    <x v="1532"/>
    <x v="195"/>
    <x v="5"/>
    <x v="195"/>
    <x v="6"/>
    <x v="2"/>
    <x v="0"/>
    <x v="214"/>
    <x v="12"/>
    <x v="6"/>
    <s v="MEDIA"/>
    <s v="MEDIA"/>
    <n v="64"/>
    <s v="cumple"/>
    <x v="8"/>
    <x v="1"/>
    <x v="1532"/>
    <n v="696"/>
    <x v="0"/>
  </r>
  <r>
    <x v="0"/>
    <x v="1"/>
    <x v="1"/>
    <x v="0"/>
    <x v="3"/>
    <x v="1"/>
    <x v="322"/>
    <x v="868"/>
    <x v="1533"/>
    <x v="195"/>
    <x v="7"/>
    <x v="195"/>
    <x v="2"/>
    <x v="2"/>
    <x v="0"/>
    <x v="214"/>
    <x v="12"/>
    <x v="6"/>
    <s v="MEDIA"/>
    <s v="MEDIA"/>
    <n v="64"/>
    <s v="cumple"/>
    <x v="8"/>
    <x v="1"/>
    <x v="1533"/>
    <n v="696"/>
    <x v="0"/>
  </r>
  <r>
    <x v="0"/>
    <x v="11"/>
    <x v="1"/>
    <x v="0"/>
    <x v="3"/>
    <x v="5"/>
    <x v="323"/>
    <x v="869"/>
    <x v="1534"/>
    <x v="195"/>
    <x v="2"/>
    <x v="195"/>
    <x v="1"/>
    <x v="2"/>
    <x v="0"/>
    <x v="214"/>
    <x v="12"/>
    <x v="6"/>
    <s v="MEDIA"/>
    <s v="MEDIA"/>
    <n v="64"/>
    <s v="cumple"/>
    <x v="8"/>
    <x v="1"/>
    <x v="1534"/>
    <n v="696"/>
    <x v="0"/>
  </r>
  <r>
    <x v="0"/>
    <x v="8"/>
    <x v="1"/>
    <x v="0"/>
    <x v="3"/>
    <x v="4"/>
    <x v="324"/>
    <x v="870"/>
    <x v="1535"/>
    <x v="195"/>
    <x v="1"/>
    <x v="195"/>
    <x v="21"/>
    <x v="19"/>
    <x v="0"/>
    <x v="214"/>
    <x v="12"/>
    <x v="6"/>
    <s v="MEDIA"/>
    <s v="MEDIA"/>
    <n v="64"/>
    <s v="cumple"/>
    <x v="8"/>
    <x v="1"/>
    <x v="1535"/>
    <n v="348"/>
    <x v="0"/>
  </r>
  <r>
    <x v="0"/>
    <x v="0"/>
    <x v="1"/>
    <x v="0"/>
    <x v="3"/>
    <x v="2"/>
    <x v="325"/>
    <x v="871"/>
    <x v="1536"/>
    <x v="196"/>
    <x v="0"/>
    <x v="196"/>
    <x v="8"/>
    <x v="2"/>
    <x v="0"/>
    <x v="214"/>
    <x v="12"/>
    <x v="6"/>
    <s v="MEDIA"/>
    <s v="MEDIA"/>
    <n v="64"/>
    <s v="cumple"/>
    <x v="8"/>
    <x v="1"/>
    <x v="1536"/>
    <n v="696"/>
    <x v="0"/>
  </r>
  <r>
    <x v="0"/>
    <x v="1"/>
    <x v="1"/>
    <x v="0"/>
    <x v="3"/>
    <x v="1"/>
    <x v="326"/>
    <x v="872"/>
    <x v="1537"/>
    <x v="196"/>
    <x v="8"/>
    <x v="196"/>
    <x v="4"/>
    <x v="4"/>
    <x v="0"/>
    <x v="214"/>
    <x v="12"/>
    <x v="6"/>
    <s v="MEDIA"/>
    <s v="MEDIA"/>
    <n v="64"/>
    <s v="cumple"/>
    <x v="8"/>
    <x v="1"/>
    <x v="1537"/>
    <n v="1392"/>
    <x v="0"/>
  </r>
  <r>
    <x v="0"/>
    <x v="1"/>
    <x v="1"/>
    <x v="0"/>
    <x v="3"/>
    <x v="1"/>
    <x v="327"/>
    <x v="873"/>
    <x v="1538"/>
    <x v="196"/>
    <x v="6"/>
    <x v="196"/>
    <x v="5"/>
    <x v="2"/>
    <x v="0"/>
    <x v="214"/>
    <x v="12"/>
    <x v="6"/>
    <s v="MEDIA"/>
    <s v="MEDIA"/>
    <n v="64"/>
    <s v="cumple"/>
    <x v="8"/>
    <x v="1"/>
    <x v="1538"/>
    <n v="696"/>
    <x v="0"/>
  </r>
  <r>
    <x v="0"/>
    <x v="1"/>
    <x v="1"/>
    <x v="0"/>
    <x v="3"/>
    <x v="1"/>
    <x v="328"/>
    <x v="874"/>
    <x v="1467"/>
    <x v="196"/>
    <x v="3"/>
    <x v="196"/>
    <x v="9"/>
    <x v="2"/>
    <x v="0"/>
    <x v="214"/>
    <x v="12"/>
    <x v="6"/>
    <s v="MEDIA"/>
    <s v="MEDIA"/>
    <n v="64"/>
    <s v="cumple"/>
    <x v="8"/>
    <x v="1"/>
    <x v="1467"/>
    <n v="696"/>
    <x v="0"/>
  </r>
  <r>
    <x v="0"/>
    <x v="1"/>
    <x v="1"/>
    <x v="0"/>
    <x v="3"/>
    <x v="1"/>
    <x v="329"/>
    <x v="799"/>
    <x v="1468"/>
    <x v="196"/>
    <x v="5"/>
    <x v="196"/>
    <x v="6"/>
    <x v="2"/>
    <x v="0"/>
    <x v="214"/>
    <x v="12"/>
    <x v="6"/>
    <s v="MEDIA"/>
    <s v="MEDIA"/>
    <n v="64"/>
    <s v="cumple"/>
    <x v="8"/>
    <x v="1"/>
    <x v="1468"/>
    <n v="696"/>
    <x v="0"/>
  </r>
  <r>
    <x v="0"/>
    <x v="11"/>
    <x v="1"/>
    <x v="0"/>
    <x v="3"/>
    <x v="5"/>
    <x v="330"/>
    <x v="875"/>
    <x v="1469"/>
    <x v="196"/>
    <x v="7"/>
    <x v="196"/>
    <x v="2"/>
    <x v="2"/>
    <x v="0"/>
    <x v="214"/>
    <x v="12"/>
    <x v="6"/>
    <s v="MEDIA"/>
    <s v="MEDIA"/>
    <n v="64"/>
    <s v="cumple"/>
    <x v="8"/>
    <x v="1"/>
    <x v="1469"/>
    <n v="696"/>
    <x v="0"/>
  </r>
  <r>
    <x v="0"/>
    <x v="8"/>
    <x v="1"/>
    <x v="0"/>
    <x v="3"/>
    <x v="4"/>
    <x v="331"/>
    <x v="876"/>
    <x v="1539"/>
    <x v="196"/>
    <x v="2"/>
    <x v="196"/>
    <x v="17"/>
    <x v="19"/>
    <x v="0"/>
    <x v="214"/>
    <x v="12"/>
    <x v="6"/>
    <s v="MEDIA"/>
    <s v="MEDIA"/>
    <n v="64"/>
    <s v="cumple"/>
    <x v="8"/>
    <x v="1"/>
    <x v="1539"/>
    <n v="348"/>
    <x v="0"/>
  </r>
  <r>
    <x v="0"/>
    <x v="0"/>
    <x v="1"/>
    <x v="0"/>
    <x v="3"/>
    <x v="2"/>
    <x v="332"/>
    <x v="877"/>
    <x v="1540"/>
    <x v="196"/>
    <x v="14"/>
    <x v="196"/>
    <x v="21"/>
    <x v="2"/>
    <x v="0"/>
    <x v="214"/>
    <x v="12"/>
    <x v="6"/>
    <s v="MEDIA"/>
    <s v="MEDIA"/>
    <n v="64"/>
    <s v="cumple"/>
    <x v="8"/>
    <x v="1"/>
    <x v="1540"/>
    <n v="696"/>
    <x v="0"/>
  </r>
  <r>
    <x v="0"/>
    <x v="1"/>
    <x v="1"/>
    <x v="0"/>
    <x v="3"/>
    <x v="1"/>
    <x v="333"/>
    <x v="878"/>
    <x v="1541"/>
    <x v="197"/>
    <x v="0"/>
    <x v="197"/>
    <x v="3"/>
    <x v="4"/>
    <x v="0"/>
    <x v="214"/>
    <x v="12"/>
    <x v="6"/>
    <s v="MEDIA"/>
    <s v="MEDIA"/>
    <n v="64"/>
    <s v="cumple"/>
    <x v="8"/>
    <x v="1"/>
    <x v="1541"/>
    <n v="1392"/>
    <x v="0"/>
  </r>
  <r>
    <x v="0"/>
    <x v="1"/>
    <x v="1"/>
    <x v="0"/>
    <x v="3"/>
    <x v="1"/>
    <x v="334"/>
    <x v="879"/>
    <x v="1542"/>
    <x v="197"/>
    <x v="4"/>
    <x v="197"/>
    <x v="4"/>
    <x v="2"/>
    <x v="0"/>
    <x v="214"/>
    <x v="12"/>
    <x v="6"/>
    <s v="MEDIA"/>
    <s v="MEDIA"/>
    <n v="64"/>
    <s v="cumple"/>
    <x v="8"/>
    <x v="1"/>
    <x v="1542"/>
    <n v="696"/>
    <x v="0"/>
  </r>
  <r>
    <x v="0"/>
    <x v="1"/>
    <x v="1"/>
    <x v="0"/>
    <x v="3"/>
    <x v="1"/>
    <x v="335"/>
    <x v="805"/>
    <x v="1474"/>
    <x v="197"/>
    <x v="6"/>
    <x v="197"/>
    <x v="5"/>
    <x v="2"/>
    <x v="0"/>
    <x v="214"/>
    <x v="12"/>
    <x v="6"/>
    <s v="MEDIA"/>
    <s v="MEDIA"/>
    <n v="64"/>
    <s v="cumple"/>
    <x v="8"/>
    <x v="1"/>
    <x v="1474"/>
    <n v="696"/>
    <x v="0"/>
  </r>
  <r>
    <x v="0"/>
    <x v="1"/>
    <x v="1"/>
    <x v="0"/>
    <x v="3"/>
    <x v="1"/>
    <x v="336"/>
    <x v="806"/>
    <x v="1475"/>
    <x v="197"/>
    <x v="3"/>
    <x v="197"/>
    <x v="9"/>
    <x v="2"/>
    <x v="0"/>
    <x v="214"/>
    <x v="12"/>
    <x v="6"/>
    <s v="MEDIA"/>
    <s v="MEDIA"/>
    <n v="64"/>
    <s v="cumple"/>
    <x v="8"/>
    <x v="1"/>
    <x v="1475"/>
    <n v="696"/>
    <x v="0"/>
  </r>
  <r>
    <x v="0"/>
    <x v="11"/>
    <x v="1"/>
    <x v="0"/>
    <x v="3"/>
    <x v="5"/>
    <x v="337"/>
    <x v="880"/>
    <x v="1476"/>
    <x v="197"/>
    <x v="5"/>
    <x v="197"/>
    <x v="6"/>
    <x v="2"/>
    <x v="0"/>
    <x v="214"/>
    <x v="12"/>
    <x v="6"/>
    <s v="MEDIA"/>
    <s v="MEDIA"/>
    <n v="64"/>
    <s v="cumple"/>
    <x v="8"/>
    <x v="1"/>
    <x v="1476"/>
    <n v="696"/>
    <x v="0"/>
  </r>
  <r>
    <x v="0"/>
    <x v="8"/>
    <x v="1"/>
    <x v="0"/>
    <x v="3"/>
    <x v="4"/>
    <x v="338"/>
    <x v="881"/>
    <x v="1543"/>
    <x v="197"/>
    <x v="7"/>
    <x v="197"/>
    <x v="18"/>
    <x v="19"/>
    <x v="0"/>
    <x v="214"/>
    <x v="12"/>
    <x v="6"/>
    <s v="MEDIA"/>
    <s v="MEDIA"/>
    <n v="64"/>
    <s v="cumple"/>
    <x v="8"/>
    <x v="1"/>
    <x v="1543"/>
    <n v="348"/>
    <x v="0"/>
  </r>
  <r>
    <x v="0"/>
    <x v="0"/>
    <x v="1"/>
    <x v="0"/>
    <x v="3"/>
    <x v="2"/>
    <x v="339"/>
    <x v="882"/>
    <x v="1544"/>
    <x v="197"/>
    <x v="15"/>
    <x v="197"/>
    <x v="17"/>
    <x v="2"/>
    <x v="0"/>
    <x v="214"/>
    <x v="12"/>
    <x v="6"/>
    <s v="MEDIA"/>
    <s v="MEDIA"/>
    <n v="64"/>
    <s v="cumple"/>
    <x v="8"/>
    <x v="1"/>
    <x v="1544"/>
    <n v="696"/>
    <x v="0"/>
  </r>
  <r>
    <x v="0"/>
    <x v="1"/>
    <x v="1"/>
    <x v="0"/>
    <x v="3"/>
    <x v="1"/>
    <x v="340"/>
    <x v="883"/>
    <x v="1545"/>
    <x v="197"/>
    <x v="14"/>
    <x v="197"/>
    <x v="22"/>
    <x v="4"/>
    <x v="0"/>
    <x v="214"/>
    <x v="12"/>
    <x v="6"/>
    <s v="MEDIA"/>
    <s v="MEDIA"/>
    <n v="64"/>
    <s v="cumple"/>
    <x v="8"/>
    <x v="1"/>
    <x v="1545"/>
    <n v="1392"/>
    <x v="0"/>
  </r>
  <r>
    <x v="0"/>
    <x v="1"/>
    <x v="1"/>
    <x v="0"/>
    <x v="3"/>
    <x v="1"/>
    <x v="341"/>
    <x v="884"/>
    <x v="1546"/>
    <x v="198"/>
    <x v="0"/>
    <x v="198"/>
    <x v="8"/>
    <x v="2"/>
    <x v="0"/>
    <x v="214"/>
    <x v="12"/>
    <x v="6"/>
    <s v="MEDIA"/>
    <s v="MEDIA"/>
    <n v="64"/>
    <s v="cumple"/>
    <x v="8"/>
    <x v="1"/>
    <x v="1546"/>
    <n v="696"/>
    <x v="0"/>
  </r>
  <r>
    <x v="0"/>
    <x v="1"/>
    <x v="1"/>
    <x v="0"/>
    <x v="3"/>
    <x v="1"/>
    <x v="342"/>
    <x v="812"/>
    <x v="1481"/>
    <x v="198"/>
    <x v="8"/>
    <x v="198"/>
    <x v="3"/>
    <x v="2"/>
    <x v="0"/>
    <x v="214"/>
    <x v="12"/>
    <x v="6"/>
    <s v="MEDIA"/>
    <s v="MEDIA"/>
    <n v="64"/>
    <s v="cumple"/>
    <x v="8"/>
    <x v="1"/>
    <x v="1481"/>
    <n v="696"/>
    <x v="0"/>
  </r>
  <r>
    <x v="0"/>
    <x v="1"/>
    <x v="1"/>
    <x v="0"/>
    <x v="3"/>
    <x v="1"/>
    <x v="343"/>
    <x v="813"/>
    <x v="1482"/>
    <x v="198"/>
    <x v="4"/>
    <x v="198"/>
    <x v="4"/>
    <x v="2"/>
    <x v="0"/>
    <x v="214"/>
    <x v="12"/>
    <x v="6"/>
    <s v="MEDIA"/>
    <s v="MEDIA"/>
    <n v="64"/>
    <s v="cumple"/>
    <x v="8"/>
    <x v="1"/>
    <x v="1482"/>
    <n v="696"/>
    <x v="0"/>
  </r>
  <r>
    <x v="0"/>
    <x v="11"/>
    <x v="1"/>
    <x v="0"/>
    <x v="3"/>
    <x v="5"/>
    <x v="344"/>
    <x v="885"/>
    <x v="1483"/>
    <x v="198"/>
    <x v="6"/>
    <x v="198"/>
    <x v="5"/>
    <x v="2"/>
    <x v="0"/>
    <x v="214"/>
    <x v="12"/>
    <x v="6"/>
    <s v="MEDIA"/>
    <s v="MEDIA"/>
    <n v="64"/>
    <s v="cumple"/>
    <x v="8"/>
    <x v="1"/>
    <x v="1483"/>
    <n v="696"/>
    <x v="0"/>
  </r>
  <r>
    <x v="0"/>
    <x v="8"/>
    <x v="1"/>
    <x v="0"/>
    <x v="3"/>
    <x v="4"/>
    <x v="345"/>
    <x v="886"/>
    <x v="1547"/>
    <x v="198"/>
    <x v="3"/>
    <x v="198"/>
    <x v="14"/>
    <x v="19"/>
    <x v="0"/>
    <x v="214"/>
    <x v="12"/>
    <x v="6"/>
    <s v="MEDIA"/>
    <s v="MEDIA"/>
    <n v="64"/>
    <s v="cumple"/>
    <x v="8"/>
    <x v="1"/>
    <x v="1547"/>
    <n v="348"/>
    <x v="0"/>
  </r>
  <r>
    <x v="0"/>
    <x v="0"/>
    <x v="1"/>
    <x v="0"/>
    <x v="3"/>
    <x v="2"/>
    <x v="346"/>
    <x v="887"/>
    <x v="1548"/>
    <x v="198"/>
    <x v="21"/>
    <x v="198"/>
    <x v="10"/>
    <x v="2"/>
    <x v="0"/>
    <x v="214"/>
    <x v="12"/>
    <x v="6"/>
    <s v="MEDIA"/>
    <s v="MEDIA"/>
    <n v="64"/>
    <s v="cumple"/>
    <x v="8"/>
    <x v="1"/>
    <x v="1548"/>
    <n v="696"/>
    <x v="0"/>
  </r>
  <r>
    <x v="0"/>
    <x v="1"/>
    <x v="1"/>
    <x v="0"/>
    <x v="3"/>
    <x v="1"/>
    <x v="347"/>
    <x v="888"/>
    <x v="1549"/>
    <x v="198"/>
    <x v="20"/>
    <x v="198"/>
    <x v="17"/>
    <x v="4"/>
    <x v="0"/>
    <x v="214"/>
    <x v="12"/>
    <x v="6"/>
    <s v="MEDIA"/>
    <s v="MEDIA"/>
    <n v="64"/>
    <s v="cumple"/>
    <x v="8"/>
    <x v="1"/>
    <x v="1549"/>
    <n v="1392"/>
    <x v="0"/>
  </r>
  <r>
    <x v="0"/>
    <x v="1"/>
    <x v="1"/>
    <x v="0"/>
    <x v="3"/>
    <x v="1"/>
    <x v="348"/>
    <x v="889"/>
    <x v="1550"/>
    <x v="198"/>
    <x v="14"/>
    <x v="198"/>
    <x v="21"/>
    <x v="2"/>
    <x v="0"/>
    <x v="214"/>
    <x v="12"/>
    <x v="6"/>
    <s v="MEDIA"/>
    <s v="MEDIA"/>
    <n v="64"/>
    <s v="cumple"/>
    <x v="8"/>
    <x v="1"/>
    <x v="1550"/>
    <n v="696"/>
    <x v="0"/>
  </r>
  <r>
    <x v="0"/>
    <x v="1"/>
    <x v="1"/>
    <x v="0"/>
    <x v="3"/>
    <x v="1"/>
    <x v="349"/>
    <x v="890"/>
    <x v="1551"/>
    <x v="198"/>
    <x v="16"/>
    <x v="198"/>
    <x v="22"/>
    <x v="2"/>
    <x v="0"/>
    <x v="214"/>
    <x v="12"/>
    <x v="6"/>
    <s v="MEDIA"/>
    <s v="MEDIA"/>
    <n v="64"/>
    <s v="cumple"/>
    <x v="8"/>
    <x v="1"/>
    <x v="1551"/>
    <n v="696"/>
    <x v="0"/>
  </r>
  <r>
    <x v="0"/>
    <x v="1"/>
    <x v="1"/>
    <x v="0"/>
    <x v="3"/>
    <x v="1"/>
    <x v="350"/>
    <x v="891"/>
    <x v="1552"/>
    <x v="198"/>
    <x v="18"/>
    <x v="198"/>
    <x v="20"/>
    <x v="2"/>
    <x v="0"/>
    <x v="214"/>
    <x v="12"/>
    <x v="6"/>
    <s v="MEDIA"/>
    <s v="MEDIA"/>
    <n v="64"/>
    <s v="cumple"/>
    <x v="8"/>
    <x v="1"/>
    <x v="1552"/>
    <n v="696"/>
    <x v="0"/>
  </r>
  <r>
    <x v="0"/>
    <x v="11"/>
    <x v="1"/>
    <x v="0"/>
    <x v="3"/>
    <x v="5"/>
    <x v="351"/>
    <x v="892"/>
    <x v="1553"/>
    <x v="198"/>
    <x v="24"/>
    <x v="198"/>
    <x v="25"/>
    <x v="2"/>
    <x v="0"/>
    <x v="214"/>
    <x v="12"/>
    <x v="6"/>
    <s v="MEDIA"/>
    <s v="MEDIA"/>
    <n v="64"/>
    <s v="cumple"/>
    <x v="8"/>
    <x v="1"/>
    <x v="1553"/>
    <n v="696"/>
    <x v="0"/>
  </r>
  <r>
    <x v="0"/>
    <x v="1"/>
    <x v="3"/>
    <x v="0"/>
    <x v="1"/>
    <x v="1"/>
    <x v="352"/>
    <x v="27"/>
    <x v="1554"/>
    <x v="199"/>
    <x v="0"/>
    <x v="199"/>
    <x v="0"/>
    <x v="8"/>
    <x v="1"/>
    <x v="42"/>
    <x v="11"/>
    <x v="0"/>
    <s v="MEDIA"/>
    <s v="MEDIA"/>
    <n v="64"/>
    <s v="cumple"/>
    <x v="9"/>
    <x v="3"/>
    <x v="1554"/>
    <n v="6901.9999999999991"/>
    <x v="0"/>
  </r>
  <r>
    <x v="0"/>
    <x v="1"/>
    <x v="3"/>
    <x v="0"/>
    <x v="1"/>
    <x v="1"/>
    <x v="352"/>
    <x v="27"/>
    <x v="1554"/>
    <x v="200"/>
    <x v="0"/>
    <x v="200"/>
    <x v="0"/>
    <x v="8"/>
    <x v="1"/>
    <x v="42"/>
    <x v="11"/>
    <x v="0"/>
    <s v="MEDIA"/>
    <s v="MEDIA"/>
    <n v="64"/>
    <s v="cumple"/>
    <x v="9"/>
    <x v="3"/>
    <x v="1554"/>
    <n v="6901.9999999999991"/>
    <x v="0"/>
  </r>
  <r>
    <x v="0"/>
    <x v="1"/>
    <x v="3"/>
    <x v="0"/>
    <x v="1"/>
    <x v="1"/>
    <x v="352"/>
    <x v="27"/>
    <x v="1554"/>
    <x v="201"/>
    <x v="0"/>
    <x v="201"/>
    <x v="0"/>
    <x v="8"/>
    <x v="0"/>
    <x v="42"/>
    <x v="11"/>
    <x v="0"/>
    <s v="MEDIA"/>
    <s v="MEDIA"/>
    <n v="64"/>
    <s v="cumple"/>
    <x v="9"/>
    <x v="3"/>
    <x v="1554"/>
    <n v="6901.9999999999991"/>
    <x v="0"/>
  </r>
  <r>
    <x v="0"/>
    <x v="1"/>
    <x v="3"/>
    <x v="0"/>
    <x v="1"/>
    <x v="1"/>
    <x v="353"/>
    <x v="27"/>
    <x v="1555"/>
    <x v="202"/>
    <x v="0"/>
    <x v="202"/>
    <x v="0"/>
    <x v="8"/>
    <x v="1"/>
    <x v="42"/>
    <x v="11"/>
    <x v="0"/>
    <s v="MEDIA"/>
    <s v="MEDIA"/>
    <n v="64"/>
    <s v="cumple"/>
    <x v="9"/>
    <x v="3"/>
    <x v="1555"/>
    <n v="6901.9999999999991"/>
    <x v="0"/>
  </r>
  <r>
    <x v="0"/>
    <x v="1"/>
    <x v="3"/>
    <x v="0"/>
    <x v="1"/>
    <x v="1"/>
    <x v="353"/>
    <x v="27"/>
    <x v="1555"/>
    <x v="203"/>
    <x v="0"/>
    <x v="203"/>
    <x v="7"/>
    <x v="3"/>
    <x v="1"/>
    <x v="42"/>
    <x v="11"/>
    <x v="0"/>
    <s v="MEDIA"/>
    <s v="MEDIA"/>
    <n v="64"/>
    <s v="cumple"/>
    <x v="9"/>
    <x v="3"/>
    <x v="1555"/>
    <n v="4872"/>
    <x v="0"/>
  </r>
  <r>
    <x v="0"/>
    <x v="1"/>
    <x v="3"/>
    <x v="0"/>
    <x v="1"/>
    <x v="1"/>
    <x v="353"/>
    <x v="27"/>
    <x v="1555"/>
    <x v="204"/>
    <x v="0"/>
    <x v="204"/>
    <x v="0"/>
    <x v="8"/>
    <x v="0"/>
    <x v="42"/>
    <x v="11"/>
    <x v="0"/>
    <s v="MEDIA"/>
    <s v="MEDIA"/>
    <n v="64"/>
    <s v="cumple"/>
    <x v="9"/>
    <x v="3"/>
    <x v="1555"/>
    <n v="6901.9999999999991"/>
    <x v="0"/>
  </r>
  <r>
    <x v="0"/>
    <x v="1"/>
    <x v="3"/>
    <x v="0"/>
    <x v="1"/>
    <x v="1"/>
    <x v="354"/>
    <x v="27"/>
    <x v="1556"/>
    <x v="205"/>
    <x v="0"/>
    <x v="205"/>
    <x v="0"/>
    <x v="8"/>
    <x v="1"/>
    <x v="42"/>
    <x v="11"/>
    <x v="0"/>
    <s v="MEDIA"/>
    <s v="MEDIA"/>
    <n v="64"/>
    <s v="cumple"/>
    <x v="9"/>
    <x v="3"/>
    <x v="1556"/>
    <n v="6901.9999999999991"/>
    <x v="0"/>
  </r>
  <r>
    <x v="0"/>
    <x v="1"/>
    <x v="3"/>
    <x v="0"/>
    <x v="1"/>
    <x v="1"/>
    <x v="354"/>
    <x v="27"/>
    <x v="1556"/>
    <x v="206"/>
    <x v="0"/>
    <x v="206"/>
    <x v="0"/>
    <x v="8"/>
    <x v="1"/>
    <x v="42"/>
    <x v="11"/>
    <x v="0"/>
    <s v="MEDIA"/>
    <s v="MEDIA"/>
    <n v="64"/>
    <s v="cumple"/>
    <x v="9"/>
    <x v="3"/>
    <x v="1556"/>
    <n v="6901.9999999999991"/>
    <x v="0"/>
  </r>
  <r>
    <x v="0"/>
    <x v="1"/>
    <x v="3"/>
    <x v="0"/>
    <x v="1"/>
    <x v="1"/>
    <x v="354"/>
    <x v="27"/>
    <x v="1556"/>
    <x v="207"/>
    <x v="0"/>
    <x v="207"/>
    <x v="0"/>
    <x v="8"/>
    <x v="0"/>
    <x v="42"/>
    <x v="11"/>
    <x v="0"/>
    <s v="MEDIA"/>
    <s v="MEDIA"/>
    <n v="64"/>
    <s v="cumple"/>
    <x v="9"/>
    <x v="3"/>
    <x v="1556"/>
    <n v="6901.9999999999991"/>
    <x v="0"/>
  </r>
  <r>
    <x v="0"/>
    <x v="1"/>
    <x v="3"/>
    <x v="0"/>
    <x v="1"/>
    <x v="1"/>
    <x v="355"/>
    <x v="27"/>
    <x v="1557"/>
    <x v="208"/>
    <x v="0"/>
    <x v="208"/>
    <x v="7"/>
    <x v="3"/>
    <x v="1"/>
    <x v="42"/>
    <x v="11"/>
    <x v="0"/>
    <s v="MEDIA"/>
    <s v="MEDIA"/>
    <n v="64"/>
    <s v="cumple"/>
    <x v="9"/>
    <x v="3"/>
    <x v="1557"/>
    <n v="4872"/>
    <x v="0"/>
  </r>
  <r>
    <x v="0"/>
    <x v="1"/>
    <x v="3"/>
    <x v="0"/>
    <x v="1"/>
    <x v="1"/>
    <x v="355"/>
    <x v="27"/>
    <x v="1557"/>
    <x v="209"/>
    <x v="0"/>
    <x v="209"/>
    <x v="0"/>
    <x v="8"/>
    <x v="1"/>
    <x v="42"/>
    <x v="11"/>
    <x v="0"/>
    <s v="MEDIA"/>
    <s v="MEDIA"/>
    <n v="64"/>
    <s v="cumple"/>
    <x v="9"/>
    <x v="3"/>
    <x v="1557"/>
    <n v="6901.9999999999991"/>
    <x v="0"/>
  </r>
  <r>
    <x v="0"/>
    <x v="1"/>
    <x v="3"/>
    <x v="0"/>
    <x v="1"/>
    <x v="1"/>
    <x v="355"/>
    <x v="27"/>
    <x v="1557"/>
    <x v="210"/>
    <x v="0"/>
    <x v="210"/>
    <x v="0"/>
    <x v="8"/>
    <x v="0"/>
    <x v="42"/>
    <x v="11"/>
    <x v="0"/>
    <s v="MEDIA"/>
    <s v="MEDIA"/>
    <n v="64"/>
    <s v="cumple"/>
    <x v="9"/>
    <x v="3"/>
    <x v="1557"/>
    <n v="6901.9999999999991"/>
    <x v="0"/>
  </r>
  <r>
    <x v="0"/>
    <x v="1"/>
    <x v="3"/>
    <x v="0"/>
    <x v="1"/>
    <x v="1"/>
    <x v="356"/>
    <x v="27"/>
    <x v="1558"/>
    <x v="211"/>
    <x v="0"/>
    <x v="211"/>
    <x v="0"/>
    <x v="8"/>
    <x v="1"/>
    <x v="42"/>
    <x v="11"/>
    <x v="0"/>
    <s v="MEDIA"/>
    <s v="MEDIA"/>
    <n v="64"/>
    <s v="cumple"/>
    <x v="9"/>
    <x v="3"/>
    <x v="1558"/>
    <n v="6901.9999999999991"/>
    <x v="0"/>
  </r>
  <r>
    <x v="0"/>
    <x v="1"/>
    <x v="3"/>
    <x v="0"/>
    <x v="1"/>
    <x v="1"/>
    <x v="356"/>
    <x v="27"/>
    <x v="1558"/>
    <x v="212"/>
    <x v="0"/>
    <x v="212"/>
    <x v="0"/>
    <x v="8"/>
    <x v="1"/>
    <x v="42"/>
    <x v="11"/>
    <x v="0"/>
    <s v="MEDIA"/>
    <s v="MEDIA"/>
    <n v="64"/>
    <s v="cumple"/>
    <x v="9"/>
    <x v="3"/>
    <x v="1558"/>
    <n v="6901.9999999999991"/>
    <x v="0"/>
  </r>
  <r>
    <x v="0"/>
    <x v="1"/>
    <x v="3"/>
    <x v="0"/>
    <x v="1"/>
    <x v="1"/>
    <x v="356"/>
    <x v="27"/>
    <x v="1558"/>
    <x v="213"/>
    <x v="0"/>
    <x v="213"/>
    <x v="7"/>
    <x v="3"/>
    <x v="0"/>
    <x v="42"/>
    <x v="11"/>
    <x v="0"/>
    <s v="MEDIA"/>
    <s v="MEDIA"/>
    <n v="64"/>
    <s v="cumple"/>
    <x v="9"/>
    <x v="3"/>
    <x v="1558"/>
    <n v="4872"/>
    <x v="0"/>
  </r>
  <r>
    <x v="0"/>
    <x v="1"/>
    <x v="3"/>
    <x v="0"/>
    <x v="1"/>
    <x v="1"/>
    <x v="357"/>
    <x v="27"/>
    <x v="1559"/>
    <x v="214"/>
    <x v="0"/>
    <x v="214"/>
    <x v="0"/>
    <x v="8"/>
    <x v="1"/>
    <x v="42"/>
    <x v="11"/>
    <x v="0"/>
    <s v="MEDIA"/>
    <s v="MEDIA"/>
    <n v="64"/>
    <s v="cumple"/>
    <x v="9"/>
    <x v="3"/>
    <x v="1559"/>
    <n v="6901.9999999999991"/>
    <x v="0"/>
  </r>
  <r>
    <x v="0"/>
    <x v="1"/>
    <x v="3"/>
    <x v="0"/>
    <x v="1"/>
    <x v="1"/>
    <x v="357"/>
    <x v="27"/>
    <x v="1559"/>
    <x v="215"/>
    <x v="0"/>
    <x v="215"/>
    <x v="0"/>
    <x v="8"/>
    <x v="1"/>
    <x v="42"/>
    <x v="11"/>
    <x v="0"/>
    <s v="MEDIA"/>
    <s v="MEDIA"/>
    <n v="64"/>
    <s v="cumple"/>
    <x v="9"/>
    <x v="3"/>
    <x v="1559"/>
    <n v="6901.9999999999991"/>
    <x v="0"/>
  </r>
  <r>
    <x v="0"/>
    <x v="1"/>
    <x v="3"/>
    <x v="0"/>
    <x v="1"/>
    <x v="1"/>
    <x v="357"/>
    <x v="27"/>
    <x v="1559"/>
    <x v="216"/>
    <x v="0"/>
    <x v="216"/>
    <x v="0"/>
    <x v="8"/>
    <x v="1"/>
    <x v="42"/>
    <x v="11"/>
    <x v="0"/>
    <s v="MEDIA"/>
    <s v="MEDIA"/>
    <n v="64"/>
    <s v="cumple"/>
    <x v="9"/>
    <x v="3"/>
    <x v="1559"/>
    <n v="6901.9999999999991"/>
    <x v="0"/>
  </r>
  <r>
    <x v="0"/>
    <x v="1"/>
    <x v="3"/>
    <x v="0"/>
    <x v="1"/>
    <x v="1"/>
    <x v="357"/>
    <x v="27"/>
    <x v="1559"/>
    <x v="217"/>
    <x v="0"/>
    <x v="217"/>
    <x v="0"/>
    <x v="8"/>
    <x v="0"/>
    <x v="42"/>
    <x v="11"/>
    <x v="0"/>
    <s v="MEDIA"/>
    <s v="MEDIA"/>
    <n v="64"/>
    <s v="cumple"/>
    <x v="9"/>
    <x v="3"/>
    <x v="1559"/>
    <n v="6901.9999999999991"/>
    <x v="0"/>
  </r>
  <r>
    <x v="0"/>
    <x v="1"/>
    <x v="3"/>
    <x v="0"/>
    <x v="1"/>
    <x v="1"/>
    <x v="358"/>
    <x v="27"/>
    <x v="1560"/>
    <x v="218"/>
    <x v="0"/>
    <x v="218"/>
    <x v="7"/>
    <x v="3"/>
    <x v="1"/>
    <x v="42"/>
    <x v="11"/>
    <x v="0"/>
    <s v="MEDIA"/>
    <s v="MEDIA"/>
    <n v="64"/>
    <s v="cumple"/>
    <x v="9"/>
    <x v="3"/>
    <x v="1560"/>
    <n v="4872"/>
    <x v="0"/>
  </r>
  <r>
    <x v="0"/>
    <x v="1"/>
    <x v="3"/>
    <x v="0"/>
    <x v="1"/>
    <x v="1"/>
    <x v="358"/>
    <x v="27"/>
    <x v="1560"/>
    <x v="219"/>
    <x v="0"/>
    <x v="219"/>
    <x v="0"/>
    <x v="8"/>
    <x v="1"/>
    <x v="42"/>
    <x v="11"/>
    <x v="0"/>
    <s v="MEDIA"/>
    <s v="MEDIA"/>
    <n v="64"/>
    <s v="cumple"/>
    <x v="9"/>
    <x v="3"/>
    <x v="1560"/>
    <n v="6901.9999999999991"/>
    <x v="0"/>
  </r>
  <r>
    <x v="0"/>
    <x v="1"/>
    <x v="3"/>
    <x v="0"/>
    <x v="1"/>
    <x v="1"/>
    <x v="358"/>
    <x v="27"/>
    <x v="1560"/>
    <x v="220"/>
    <x v="0"/>
    <x v="220"/>
    <x v="0"/>
    <x v="8"/>
    <x v="0"/>
    <x v="42"/>
    <x v="11"/>
    <x v="0"/>
    <s v="MEDIA"/>
    <s v="MEDIA"/>
    <n v="64"/>
    <s v="cumple"/>
    <x v="9"/>
    <x v="3"/>
    <x v="1560"/>
    <n v="6901.9999999999991"/>
    <x v="0"/>
  </r>
  <r>
    <x v="0"/>
    <x v="1"/>
    <x v="3"/>
    <x v="0"/>
    <x v="1"/>
    <x v="1"/>
    <x v="359"/>
    <x v="27"/>
    <x v="1561"/>
    <x v="199"/>
    <x v="0"/>
    <x v="199"/>
    <x v="5"/>
    <x v="7"/>
    <x v="1"/>
    <x v="35"/>
    <x v="5"/>
    <x v="0"/>
    <s v="MEDIA"/>
    <s v="MEDIA"/>
    <n v="64"/>
    <s v="cumple"/>
    <x v="9"/>
    <x v="3"/>
    <x v="1561"/>
    <n v="3248"/>
    <x v="0"/>
  </r>
  <r>
    <x v="0"/>
    <x v="1"/>
    <x v="3"/>
    <x v="0"/>
    <x v="1"/>
    <x v="1"/>
    <x v="359"/>
    <x v="27"/>
    <x v="1561"/>
    <x v="200"/>
    <x v="0"/>
    <x v="200"/>
    <x v="5"/>
    <x v="7"/>
    <x v="1"/>
    <x v="35"/>
    <x v="5"/>
    <x v="0"/>
    <s v="MEDIA"/>
    <s v="MEDIA"/>
    <n v="64"/>
    <s v="cumple"/>
    <x v="9"/>
    <x v="3"/>
    <x v="1561"/>
    <n v="3248"/>
    <x v="0"/>
  </r>
  <r>
    <x v="0"/>
    <x v="1"/>
    <x v="3"/>
    <x v="0"/>
    <x v="1"/>
    <x v="1"/>
    <x v="359"/>
    <x v="27"/>
    <x v="1561"/>
    <x v="201"/>
    <x v="0"/>
    <x v="201"/>
    <x v="5"/>
    <x v="7"/>
    <x v="0"/>
    <x v="35"/>
    <x v="5"/>
    <x v="0"/>
    <s v="MEDIA"/>
    <s v="MEDIA"/>
    <n v="64"/>
    <s v="cumple"/>
    <x v="9"/>
    <x v="3"/>
    <x v="1561"/>
    <n v="3248"/>
    <x v="0"/>
  </r>
  <r>
    <x v="0"/>
    <x v="1"/>
    <x v="3"/>
    <x v="0"/>
    <x v="1"/>
    <x v="1"/>
    <x v="360"/>
    <x v="27"/>
    <x v="1562"/>
    <x v="202"/>
    <x v="0"/>
    <x v="202"/>
    <x v="5"/>
    <x v="7"/>
    <x v="1"/>
    <x v="35"/>
    <x v="5"/>
    <x v="0"/>
    <s v="MEDIA"/>
    <s v="MEDIA"/>
    <n v="64"/>
    <s v="cumple"/>
    <x v="9"/>
    <x v="3"/>
    <x v="1562"/>
    <n v="3248"/>
    <x v="0"/>
  </r>
  <r>
    <x v="0"/>
    <x v="1"/>
    <x v="3"/>
    <x v="0"/>
    <x v="1"/>
    <x v="1"/>
    <x v="360"/>
    <x v="27"/>
    <x v="1562"/>
    <x v="203"/>
    <x v="0"/>
    <x v="203"/>
    <x v="5"/>
    <x v="7"/>
    <x v="0"/>
    <x v="35"/>
    <x v="5"/>
    <x v="0"/>
    <s v="MEDIA"/>
    <s v="MEDIA"/>
    <n v="64"/>
    <s v="cumple"/>
    <x v="9"/>
    <x v="3"/>
    <x v="1562"/>
    <n v="3248"/>
    <x v="0"/>
  </r>
  <r>
    <x v="0"/>
    <x v="1"/>
    <x v="3"/>
    <x v="0"/>
    <x v="1"/>
    <x v="1"/>
    <x v="361"/>
    <x v="27"/>
    <x v="1563"/>
    <x v="204"/>
    <x v="0"/>
    <x v="204"/>
    <x v="5"/>
    <x v="7"/>
    <x v="1"/>
    <x v="35"/>
    <x v="5"/>
    <x v="0"/>
    <s v="MEDIA"/>
    <s v="MEDIA"/>
    <n v="64"/>
    <s v="cumple"/>
    <x v="9"/>
    <x v="3"/>
    <x v="1563"/>
    <n v="3248"/>
    <x v="0"/>
  </r>
  <r>
    <x v="0"/>
    <x v="1"/>
    <x v="3"/>
    <x v="0"/>
    <x v="1"/>
    <x v="1"/>
    <x v="361"/>
    <x v="27"/>
    <x v="1563"/>
    <x v="205"/>
    <x v="0"/>
    <x v="205"/>
    <x v="5"/>
    <x v="7"/>
    <x v="0"/>
    <x v="35"/>
    <x v="5"/>
    <x v="0"/>
    <s v="MEDIA"/>
    <s v="MEDIA"/>
    <n v="64"/>
    <s v="cumple"/>
    <x v="9"/>
    <x v="3"/>
    <x v="1563"/>
    <n v="3248"/>
    <x v="0"/>
  </r>
  <r>
    <x v="0"/>
    <x v="1"/>
    <x v="3"/>
    <x v="0"/>
    <x v="1"/>
    <x v="1"/>
    <x v="362"/>
    <x v="27"/>
    <x v="1564"/>
    <x v="206"/>
    <x v="0"/>
    <x v="206"/>
    <x v="5"/>
    <x v="7"/>
    <x v="1"/>
    <x v="35"/>
    <x v="5"/>
    <x v="0"/>
    <s v="MEDIA"/>
    <s v="MEDIA"/>
    <n v="64"/>
    <s v="cumple"/>
    <x v="9"/>
    <x v="3"/>
    <x v="1564"/>
    <n v="3248"/>
    <x v="0"/>
  </r>
  <r>
    <x v="0"/>
    <x v="1"/>
    <x v="3"/>
    <x v="0"/>
    <x v="1"/>
    <x v="1"/>
    <x v="362"/>
    <x v="27"/>
    <x v="1564"/>
    <x v="207"/>
    <x v="0"/>
    <x v="207"/>
    <x v="5"/>
    <x v="7"/>
    <x v="0"/>
    <x v="35"/>
    <x v="5"/>
    <x v="0"/>
    <s v="MEDIA"/>
    <s v="MEDIA"/>
    <n v="64"/>
    <s v="cumple"/>
    <x v="9"/>
    <x v="3"/>
    <x v="1564"/>
    <n v="3248"/>
    <x v="0"/>
  </r>
  <r>
    <x v="0"/>
    <x v="1"/>
    <x v="3"/>
    <x v="0"/>
    <x v="1"/>
    <x v="1"/>
    <x v="363"/>
    <x v="27"/>
    <x v="1565"/>
    <x v="208"/>
    <x v="0"/>
    <x v="208"/>
    <x v="5"/>
    <x v="7"/>
    <x v="1"/>
    <x v="35"/>
    <x v="5"/>
    <x v="0"/>
    <s v="MEDIA"/>
    <s v="MEDIA"/>
    <n v="64"/>
    <s v="cumple"/>
    <x v="9"/>
    <x v="3"/>
    <x v="1565"/>
    <n v="3248"/>
    <x v="0"/>
  </r>
  <r>
    <x v="0"/>
    <x v="1"/>
    <x v="3"/>
    <x v="0"/>
    <x v="1"/>
    <x v="1"/>
    <x v="363"/>
    <x v="27"/>
    <x v="1565"/>
    <x v="209"/>
    <x v="0"/>
    <x v="209"/>
    <x v="5"/>
    <x v="7"/>
    <x v="0"/>
    <x v="35"/>
    <x v="5"/>
    <x v="0"/>
    <s v="MEDIA"/>
    <s v="MEDIA"/>
    <n v="64"/>
    <s v="cumple"/>
    <x v="9"/>
    <x v="3"/>
    <x v="1565"/>
    <n v="3248"/>
    <x v="0"/>
  </r>
  <r>
    <x v="0"/>
    <x v="1"/>
    <x v="3"/>
    <x v="0"/>
    <x v="1"/>
    <x v="1"/>
    <x v="364"/>
    <x v="27"/>
    <x v="1566"/>
    <x v="210"/>
    <x v="0"/>
    <x v="210"/>
    <x v="5"/>
    <x v="7"/>
    <x v="1"/>
    <x v="35"/>
    <x v="5"/>
    <x v="0"/>
    <s v="MEDIA"/>
    <s v="MEDIA"/>
    <n v="64"/>
    <s v="cumple"/>
    <x v="9"/>
    <x v="3"/>
    <x v="1566"/>
    <n v="3248"/>
    <x v="0"/>
  </r>
  <r>
    <x v="0"/>
    <x v="1"/>
    <x v="3"/>
    <x v="0"/>
    <x v="1"/>
    <x v="1"/>
    <x v="364"/>
    <x v="27"/>
    <x v="1566"/>
    <x v="211"/>
    <x v="0"/>
    <x v="211"/>
    <x v="5"/>
    <x v="7"/>
    <x v="1"/>
    <x v="35"/>
    <x v="5"/>
    <x v="0"/>
    <s v="MEDIA"/>
    <s v="MEDIA"/>
    <n v="64"/>
    <s v="cumple"/>
    <x v="9"/>
    <x v="3"/>
    <x v="1566"/>
    <n v="3248"/>
    <x v="0"/>
  </r>
  <r>
    <x v="0"/>
    <x v="1"/>
    <x v="3"/>
    <x v="0"/>
    <x v="1"/>
    <x v="1"/>
    <x v="364"/>
    <x v="27"/>
    <x v="1566"/>
    <x v="212"/>
    <x v="0"/>
    <x v="212"/>
    <x v="5"/>
    <x v="7"/>
    <x v="0"/>
    <x v="35"/>
    <x v="5"/>
    <x v="0"/>
    <s v="MEDIA"/>
    <s v="MEDIA"/>
    <n v="64"/>
    <s v="cumple"/>
    <x v="9"/>
    <x v="3"/>
    <x v="1566"/>
    <n v="3248"/>
    <x v="0"/>
  </r>
  <r>
    <x v="0"/>
    <x v="1"/>
    <x v="3"/>
    <x v="0"/>
    <x v="1"/>
    <x v="1"/>
    <x v="365"/>
    <x v="27"/>
    <x v="1567"/>
    <x v="213"/>
    <x v="0"/>
    <x v="213"/>
    <x v="5"/>
    <x v="7"/>
    <x v="1"/>
    <x v="35"/>
    <x v="5"/>
    <x v="0"/>
    <s v="MEDIA"/>
    <s v="MEDIA"/>
    <n v="64"/>
    <s v="cumple"/>
    <x v="9"/>
    <x v="3"/>
    <x v="1567"/>
    <n v="3248"/>
    <x v="0"/>
  </r>
  <r>
    <x v="0"/>
    <x v="1"/>
    <x v="3"/>
    <x v="0"/>
    <x v="1"/>
    <x v="1"/>
    <x v="365"/>
    <x v="27"/>
    <x v="1567"/>
    <x v="214"/>
    <x v="0"/>
    <x v="214"/>
    <x v="5"/>
    <x v="7"/>
    <x v="1"/>
    <x v="35"/>
    <x v="5"/>
    <x v="0"/>
    <s v="MEDIA"/>
    <s v="MEDIA"/>
    <n v="64"/>
    <s v="cumple"/>
    <x v="9"/>
    <x v="3"/>
    <x v="1567"/>
    <n v="3248"/>
    <x v="0"/>
  </r>
  <r>
    <x v="0"/>
    <x v="1"/>
    <x v="3"/>
    <x v="0"/>
    <x v="1"/>
    <x v="1"/>
    <x v="365"/>
    <x v="27"/>
    <x v="1567"/>
    <x v="215"/>
    <x v="0"/>
    <x v="215"/>
    <x v="5"/>
    <x v="7"/>
    <x v="0"/>
    <x v="35"/>
    <x v="5"/>
    <x v="0"/>
    <s v="MEDIA"/>
    <s v="MEDIA"/>
    <n v="64"/>
    <s v="cumple"/>
    <x v="9"/>
    <x v="3"/>
    <x v="1567"/>
    <n v="3248"/>
    <x v="0"/>
  </r>
  <r>
    <x v="0"/>
    <x v="1"/>
    <x v="4"/>
    <x v="0"/>
    <x v="1"/>
    <x v="2"/>
    <x v="366"/>
    <x v="893"/>
    <x v="1568"/>
    <x v="199"/>
    <x v="0"/>
    <x v="199"/>
    <x v="0"/>
    <x v="0"/>
    <x v="0"/>
    <x v="216"/>
    <x v="14"/>
    <x v="0"/>
    <s v="MEDIA"/>
    <s v="MEDIA"/>
    <n v="64"/>
    <s v="cumple"/>
    <x v="9"/>
    <x v="4"/>
    <x v="1568"/>
    <n v="6496"/>
    <x v="0"/>
  </r>
  <r>
    <x v="0"/>
    <x v="1"/>
    <x v="4"/>
    <x v="0"/>
    <x v="1"/>
    <x v="2"/>
    <x v="367"/>
    <x v="894"/>
    <x v="1569"/>
    <x v="200"/>
    <x v="0"/>
    <x v="200"/>
    <x v="0"/>
    <x v="0"/>
    <x v="0"/>
    <x v="216"/>
    <x v="14"/>
    <x v="0"/>
    <s v="MEDIA"/>
    <s v="MEDIA"/>
    <n v="64"/>
    <s v="cumple"/>
    <x v="9"/>
    <x v="4"/>
    <x v="1569"/>
    <n v="6496"/>
    <x v="0"/>
  </r>
  <r>
    <x v="0"/>
    <x v="1"/>
    <x v="4"/>
    <x v="0"/>
    <x v="1"/>
    <x v="2"/>
    <x v="368"/>
    <x v="895"/>
    <x v="1570"/>
    <x v="201"/>
    <x v="0"/>
    <x v="201"/>
    <x v="0"/>
    <x v="0"/>
    <x v="0"/>
    <x v="216"/>
    <x v="14"/>
    <x v="0"/>
    <s v="MEDIA"/>
    <s v="MEDIA"/>
    <n v="64"/>
    <s v="cumple"/>
    <x v="9"/>
    <x v="4"/>
    <x v="1570"/>
    <n v="6496"/>
    <x v="0"/>
  </r>
  <r>
    <x v="0"/>
    <x v="1"/>
    <x v="4"/>
    <x v="0"/>
    <x v="1"/>
    <x v="1"/>
    <x v="369"/>
    <x v="896"/>
    <x v="1571"/>
    <x v="202"/>
    <x v="0"/>
    <x v="202"/>
    <x v="0"/>
    <x v="0"/>
    <x v="0"/>
    <x v="216"/>
    <x v="14"/>
    <x v="0"/>
    <s v="MEDIA"/>
    <s v="MEDIA"/>
    <n v="64"/>
    <s v="cumple"/>
    <x v="9"/>
    <x v="4"/>
    <x v="1571"/>
    <n v="6496"/>
    <x v="0"/>
  </r>
  <r>
    <x v="0"/>
    <x v="1"/>
    <x v="4"/>
    <x v="0"/>
    <x v="1"/>
    <x v="1"/>
    <x v="370"/>
    <x v="897"/>
    <x v="1572"/>
    <x v="203"/>
    <x v="0"/>
    <x v="203"/>
    <x v="0"/>
    <x v="0"/>
    <x v="0"/>
    <x v="216"/>
    <x v="14"/>
    <x v="0"/>
    <s v="MEDIA"/>
    <s v="MEDIA"/>
    <n v="64"/>
    <s v="cumple"/>
    <x v="9"/>
    <x v="4"/>
    <x v="1572"/>
    <n v="6496"/>
    <x v="0"/>
  </r>
  <r>
    <x v="0"/>
    <x v="1"/>
    <x v="4"/>
    <x v="0"/>
    <x v="1"/>
    <x v="1"/>
    <x v="371"/>
    <x v="898"/>
    <x v="1573"/>
    <x v="204"/>
    <x v="0"/>
    <x v="204"/>
    <x v="0"/>
    <x v="0"/>
    <x v="0"/>
    <x v="216"/>
    <x v="14"/>
    <x v="0"/>
    <s v="MEDIA"/>
    <s v="MEDIA"/>
    <n v="64"/>
    <s v="cumple"/>
    <x v="9"/>
    <x v="4"/>
    <x v="1573"/>
    <n v="6496"/>
    <x v="0"/>
  </r>
  <r>
    <x v="0"/>
    <x v="1"/>
    <x v="4"/>
    <x v="0"/>
    <x v="1"/>
    <x v="1"/>
    <x v="372"/>
    <x v="899"/>
    <x v="1574"/>
    <x v="205"/>
    <x v="0"/>
    <x v="205"/>
    <x v="0"/>
    <x v="0"/>
    <x v="0"/>
    <x v="216"/>
    <x v="14"/>
    <x v="0"/>
    <s v="MEDIA"/>
    <s v="MEDIA"/>
    <n v="64"/>
    <s v="cumple"/>
    <x v="9"/>
    <x v="4"/>
    <x v="1574"/>
    <n v="6496"/>
    <x v="0"/>
  </r>
  <r>
    <x v="0"/>
    <x v="1"/>
    <x v="4"/>
    <x v="0"/>
    <x v="1"/>
    <x v="1"/>
    <x v="373"/>
    <x v="900"/>
    <x v="1575"/>
    <x v="206"/>
    <x v="0"/>
    <x v="206"/>
    <x v="0"/>
    <x v="0"/>
    <x v="0"/>
    <x v="216"/>
    <x v="14"/>
    <x v="0"/>
    <s v="MEDIA"/>
    <s v="MEDIA"/>
    <n v="64"/>
    <s v="cumple"/>
    <x v="9"/>
    <x v="4"/>
    <x v="1575"/>
    <n v="6496"/>
    <x v="0"/>
  </r>
  <r>
    <x v="0"/>
    <x v="1"/>
    <x v="4"/>
    <x v="0"/>
    <x v="1"/>
    <x v="1"/>
    <x v="374"/>
    <x v="901"/>
    <x v="1576"/>
    <x v="207"/>
    <x v="0"/>
    <x v="207"/>
    <x v="0"/>
    <x v="0"/>
    <x v="0"/>
    <x v="216"/>
    <x v="14"/>
    <x v="0"/>
    <s v="MEDIA"/>
    <s v="MEDIA"/>
    <n v="64"/>
    <s v="cumple"/>
    <x v="9"/>
    <x v="4"/>
    <x v="1576"/>
    <n v="6496"/>
    <x v="0"/>
  </r>
  <r>
    <x v="0"/>
    <x v="1"/>
    <x v="4"/>
    <x v="0"/>
    <x v="1"/>
    <x v="1"/>
    <x v="375"/>
    <x v="902"/>
    <x v="1577"/>
    <x v="208"/>
    <x v="0"/>
    <x v="208"/>
    <x v="0"/>
    <x v="0"/>
    <x v="0"/>
    <x v="216"/>
    <x v="14"/>
    <x v="0"/>
    <s v="MEDIA"/>
    <s v="MEDIA"/>
    <n v="64"/>
    <s v="cumple"/>
    <x v="9"/>
    <x v="4"/>
    <x v="1577"/>
    <n v="6496"/>
    <x v="0"/>
  </r>
  <r>
    <x v="0"/>
    <x v="1"/>
    <x v="4"/>
    <x v="0"/>
    <x v="1"/>
    <x v="1"/>
    <x v="376"/>
    <x v="903"/>
    <x v="1578"/>
    <x v="209"/>
    <x v="0"/>
    <x v="209"/>
    <x v="0"/>
    <x v="0"/>
    <x v="0"/>
    <x v="216"/>
    <x v="14"/>
    <x v="0"/>
    <s v="MEDIA"/>
    <s v="MEDIA"/>
    <n v="64"/>
    <s v="cumple"/>
    <x v="9"/>
    <x v="4"/>
    <x v="1578"/>
    <n v="6496"/>
    <x v="0"/>
  </r>
  <r>
    <x v="0"/>
    <x v="1"/>
    <x v="4"/>
    <x v="0"/>
    <x v="1"/>
    <x v="1"/>
    <x v="377"/>
    <x v="904"/>
    <x v="1579"/>
    <x v="210"/>
    <x v="0"/>
    <x v="210"/>
    <x v="0"/>
    <x v="0"/>
    <x v="0"/>
    <x v="216"/>
    <x v="14"/>
    <x v="0"/>
    <s v="MEDIA"/>
    <s v="MEDIA"/>
    <n v="64"/>
    <s v="cumple"/>
    <x v="9"/>
    <x v="4"/>
    <x v="1579"/>
    <n v="6496"/>
    <x v="0"/>
  </r>
  <r>
    <x v="0"/>
    <x v="1"/>
    <x v="4"/>
    <x v="0"/>
    <x v="1"/>
    <x v="1"/>
    <x v="378"/>
    <x v="905"/>
    <x v="1580"/>
    <x v="211"/>
    <x v="0"/>
    <x v="211"/>
    <x v="0"/>
    <x v="0"/>
    <x v="0"/>
    <x v="68"/>
    <x v="14"/>
    <x v="0"/>
    <s v="MEDIA"/>
    <s v="MEDIA"/>
    <n v="64"/>
    <s v="cumple"/>
    <x v="9"/>
    <x v="4"/>
    <x v="1580"/>
    <n v="6496"/>
    <x v="0"/>
  </r>
  <r>
    <x v="0"/>
    <x v="1"/>
    <x v="4"/>
    <x v="0"/>
    <x v="1"/>
    <x v="1"/>
    <x v="379"/>
    <x v="906"/>
    <x v="1581"/>
    <x v="212"/>
    <x v="0"/>
    <x v="212"/>
    <x v="0"/>
    <x v="0"/>
    <x v="0"/>
    <x v="68"/>
    <x v="14"/>
    <x v="0"/>
    <s v="MEDIA"/>
    <s v="MEDIA"/>
    <n v="64"/>
    <s v="cumple"/>
    <x v="9"/>
    <x v="4"/>
    <x v="1581"/>
    <n v="6496"/>
    <x v="0"/>
  </r>
  <r>
    <x v="0"/>
    <x v="1"/>
    <x v="4"/>
    <x v="0"/>
    <x v="1"/>
    <x v="1"/>
    <x v="380"/>
    <x v="907"/>
    <x v="1582"/>
    <x v="213"/>
    <x v="0"/>
    <x v="213"/>
    <x v="0"/>
    <x v="0"/>
    <x v="0"/>
    <x v="68"/>
    <x v="14"/>
    <x v="0"/>
    <s v="MEDIA"/>
    <s v="MEDIA"/>
    <n v="64"/>
    <s v="cumple"/>
    <x v="9"/>
    <x v="4"/>
    <x v="1582"/>
    <n v="6496"/>
    <x v="0"/>
  </r>
  <r>
    <x v="0"/>
    <x v="1"/>
    <x v="4"/>
    <x v="0"/>
    <x v="1"/>
    <x v="1"/>
    <x v="381"/>
    <x v="908"/>
    <x v="1583"/>
    <x v="214"/>
    <x v="0"/>
    <x v="214"/>
    <x v="0"/>
    <x v="0"/>
    <x v="0"/>
    <x v="68"/>
    <x v="14"/>
    <x v="0"/>
    <s v="MEDIA"/>
    <s v="MEDIA"/>
    <n v="64"/>
    <s v="cumple"/>
    <x v="9"/>
    <x v="4"/>
    <x v="1583"/>
    <n v="6496"/>
    <x v="0"/>
  </r>
  <r>
    <x v="0"/>
    <x v="1"/>
    <x v="4"/>
    <x v="0"/>
    <x v="1"/>
    <x v="1"/>
    <x v="382"/>
    <x v="909"/>
    <x v="1584"/>
    <x v="215"/>
    <x v="0"/>
    <x v="215"/>
    <x v="0"/>
    <x v="0"/>
    <x v="0"/>
    <x v="68"/>
    <x v="14"/>
    <x v="0"/>
    <s v="MEDIA"/>
    <s v="MEDIA"/>
    <n v="64"/>
    <s v="cumple"/>
    <x v="9"/>
    <x v="4"/>
    <x v="1584"/>
    <n v="6496"/>
    <x v="0"/>
  </r>
  <r>
    <x v="0"/>
    <x v="1"/>
    <x v="4"/>
    <x v="0"/>
    <x v="1"/>
    <x v="1"/>
    <x v="383"/>
    <x v="910"/>
    <x v="1585"/>
    <x v="216"/>
    <x v="0"/>
    <x v="216"/>
    <x v="0"/>
    <x v="0"/>
    <x v="0"/>
    <x v="68"/>
    <x v="14"/>
    <x v="0"/>
    <s v="MEDIA"/>
    <s v="MEDIA"/>
    <n v="64"/>
    <s v="cumple"/>
    <x v="9"/>
    <x v="4"/>
    <x v="1585"/>
    <n v="6496"/>
    <x v="0"/>
  </r>
  <r>
    <x v="0"/>
    <x v="1"/>
    <x v="4"/>
    <x v="0"/>
    <x v="1"/>
    <x v="1"/>
    <x v="384"/>
    <x v="911"/>
    <x v="1586"/>
    <x v="217"/>
    <x v="0"/>
    <x v="217"/>
    <x v="0"/>
    <x v="0"/>
    <x v="0"/>
    <x v="68"/>
    <x v="14"/>
    <x v="0"/>
    <s v="MEDIA"/>
    <s v="MEDIA"/>
    <n v="64"/>
    <s v="cumple"/>
    <x v="9"/>
    <x v="4"/>
    <x v="1586"/>
    <n v="6496"/>
    <x v="0"/>
  </r>
  <r>
    <x v="0"/>
    <x v="1"/>
    <x v="4"/>
    <x v="0"/>
    <x v="1"/>
    <x v="1"/>
    <x v="385"/>
    <x v="912"/>
    <x v="1587"/>
    <x v="218"/>
    <x v="0"/>
    <x v="218"/>
    <x v="0"/>
    <x v="0"/>
    <x v="0"/>
    <x v="68"/>
    <x v="14"/>
    <x v="0"/>
    <s v="MEDIA"/>
    <s v="MEDIA"/>
    <n v="64"/>
    <s v="cumple"/>
    <x v="9"/>
    <x v="4"/>
    <x v="1587"/>
    <n v="6496"/>
    <x v="0"/>
  </r>
  <r>
    <x v="0"/>
    <x v="1"/>
    <x v="4"/>
    <x v="0"/>
    <x v="1"/>
    <x v="1"/>
    <x v="386"/>
    <x v="913"/>
    <x v="1588"/>
    <x v="219"/>
    <x v="0"/>
    <x v="219"/>
    <x v="0"/>
    <x v="0"/>
    <x v="0"/>
    <x v="68"/>
    <x v="14"/>
    <x v="0"/>
    <s v="MEDIA"/>
    <s v="MEDIA"/>
    <n v="64"/>
    <s v="cumple"/>
    <x v="9"/>
    <x v="4"/>
    <x v="1588"/>
    <n v="6496"/>
    <x v="0"/>
  </r>
  <r>
    <x v="0"/>
    <x v="1"/>
    <x v="4"/>
    <x v="0"/>
    <x v="1"/>
    <x v="1"/>
    <x v="387"/>
    <x v="914"/>
    <x v="1589"/>
    <x v="220"/>
    <x v="0"/>
    <x v="220"/>
    <x v="0"/>
    <x v="0"/>
    <x v="0"/>
    <x v="68"/>
    <x v="14"/>
    <x v="0"/>
    <s v="MEDIA"/>
    <s v="MEDIA"/>
    <n v="64"/>
    <s v="cumple"/>
    <x v="9"/>
    <x v="4"/>
    <x v="1589"/>
    <n v="6496"/>
    <x v="0"/>
  </r>
  <r>
    <x v="0"/>
    <x v="1"/>
    <x v="4"/>
    <x v="0"/>
    <x v="20"/>
    <x v="1"/>
    <x v="388"/>
    <x v="915"/>
    <x v="1590"/>
    <x v="209"/>
    <x v="0"/>
    <x v="209"/>
    <x v="0"/>
    <x v="8"/>
    <x v="0"/>
    <x v="217"/>
    <x v="16"/>
    <x v="0"/>
    <s v="MEDIA"/>
    <s v="MEDIA"/>
    <n v="64"/>
    <s v="cumple"/>
    <x v="9"/>
    <x v="4"/>
    <x v="1590"/>
    <n v="6901.9999999999991"/>
    <x v="1"/>
  </r>
  <r>
    <x v="0"/>
    <x v="1"/>
    <x v="4"/>
    <x v="0"/>
    <x v="20"/>
    <x v="1"/>
    <x v="389"/>
    <x v="916"/>
    <x v="1591"/>
    <x v="210"/>
    <x v="0"/>
    <x v="210"/>
    <x v="0"/>
    <x v="8"/>
    <x v="0"/>
    <x v="217"/>
    <x v="16"/>
    <x v="0"/>
    <s v="MEDIA"/>
    <s v="MEDIA"/>
    <n v="64"/>
    <s v="cumple"/>
    <x v="9"/>
    <x v="4"/>
    <x v="1591"/>
    <n v="6901.9999999999991"/>
    <x v="1"/>
  </r>
  <r>
    <x v="0"/>
    <x v="1"/>
    <x v="4"/>
    <x v="0"/>
    <x v="20"/>
    <x v="1"/>
    <x v="390"/>
    <x v="917"/>
    <x v="1592"/>
    <x v="211"/>
    <x v="0"/>
    <x v="211"/>
    <x v="0"/>
    <x v="8"/>
    <x v="0"/>
    <x v="217"/>
    <x v="16"/>
    <x v="0"/>
    <s v="MEDIA"/>
    <s v="MEDIA"/>
    <n v="64"/>
    <s v="cumple"/>
    <x v="9"/>
    <x v="4"/>
    <x v="1592"/>
    <n v="6901.9999999999991"/>
    <x v="1"/>
  </r>
  <r>
    <x v="0"/>
    <x v="1"/>
    <x v="4"/>
    <x v="0"/>
    <x v="20"/>
    <x v="1"/>
    <x v="391"/>
    <x v="918"/>
    <x v="1593"/>
    <x v="212"/>
    <x v="0"/>
    <x v="212"/>
    <x v="0"/>
    <x v="8"/>
    <x v="0"/>
    <x v="217"/>
    <x v="16"/>
    <x v="0"/>
    <s v="MEDIA"/>
    <s v="MEDIA"/>
    <n v="64"/>
    <s v="cumple"/>
    <x v="9"/>
    <x v="4"/>
    <x v="1593"/>
    <n v="6901.9999999999991"/>
    <x v="1"/>
  </r>
  <r>
    <x v="0"/>
    <x v="1"/>
    <x v="4"/>
    <x v="0"/>
    <x v="20"/>
    <x v="1"/>
    <x v="392"/>
    <x v="919"/>
    <x v="1594"/>
    <x v="213"/>
    <x v="0"/>
    <x v="213"/>
    <x v="5"/>
    <x v="7"/>
    <x v="0"/>
    <x v="217"/>
    <x v="16"/>
    <x v="0"/>
    <s v="MEDIA"/>
    <s v="MEDIA"/>
    <n v="64"/>
    <s v="cumple"/>
    <x v="9"/>
    <x v="4"/>
    <x v="1594"/>
    <n v="3248"/>
    <x v="1"/>
  </r>
  <r>
    <x v="0"/>
    <x v="1"/>
    <x v="4"/>
    <x v="0"/>
    <x v="20"/>
    <x v="1"/>
    <x v="393"/>
    <x v="920"/>
    <x v="1595"/>
    <x v="213"/>
    <x v="3"/>
    <x v="213"/>
    <x v="7"/>
    <x v="4"/>
    <x v="0"/>
    <x v="217"/>
    <x v="16"/>
    <x v="0"/>
    <s v="MEDIA"/>
    <s v="MEDIA"/>
    <n v="64"/>
    <s v="cumple"/>
    <x v="9"/>
    <x v="4"/>
    <x v="1595"/>
    <n v="1624"/>
    <x v="1"/>
  </r>
  <r>
    <x v="0"/>
    <x v="1"/>
    <x v="4"/>
    <x v="0"/>
    <x v="20"/>
    <x v="1"/>
    <x v="394"/>
    <x v="921"/>
    <x v="1596"/>
    <x v="214"/>
    <x v="0"/>
    <x v="214"/>
    <x v="0"/>
    <x v="8"/>
    <x v="0"/>
    <x v="217"/>
    <x v="16"/>
    <x v="0"/>
    <s v="MEDIA"/>
    <s v="MEDIA"/>
    <n v="64"/>
    <s v="cumple"/>
    <x v="9"/>
    <x v="4"/>
    <x v="1596"/>
    <n v="6901.9999999999991"/>
    <x v="1"/>
  </r>
  <r>
    <x v="0"/>
    <x v="1"/>
    <x v="4"/>
    <x v="0"/>
    <x v="20"/>
    <x v="1"/>
    <x v="395"/>
    <x v="922"/>
    <x v="1597"/>
    <x v="215"/>
    <x v="0"/>
    <x v="215"/>
    <x v="0"/>
    <x v="8"/>
    <x v="0"/>
    <x v="217"/>
    <x v="16"/>
    <x v="0"/>
    <s v="MEDIA"/>
    <s v="MEDIA"/>
    <n v="64"/>
    <s v="cumple"/>
    <x v="9"/>
    <x v="4"/>
    <x v="1597"/>
    <n v="6901.9999999999991"/>
    <x v="1"/>
  </r>
  <r>
    <x v="0"/>
    <x v="1"/>
    <x v="4"/>
    <x v="0"/>
    <x v="20"/>
    <x v="1"/>
    <x v="396"/>
    <x v="920"/>
    <x v="1598"/>
    <x v="216"/>
    <x v="0"/>
    <x v="216"/>
    <x v="0"/>
    <x v="8"/>
    <x v="0"/>
    <x v="217"/>
    <x v="16"/>
    <x v="0"/>
    <s v="MEDIA"/>
    <s v="MEDIA"/>
    <n v="64"/>
    <s v="cumple"/>
    <x v="9"/>
    <x v="4"/>
    <x v="1598"/>
    <n v="6901.9999999999991"/>
    <x v="1"/>
  </r>
  <r>
    <x v="0"/>
    <x v="1"/>
    <x v="4"/>
    <x v="0"/>
    <x v="20"/>
    <x v="1"/>
    <x v="397"/>
    <x v="923"/>
    <x v="1599"/>
    <x v="217"/>
    <x v="0"/>
    <x v="217"/>
    <x v="0"/>
    <x v="8"/>
    <x v="0"/>
    <x v="217"/>
    <x v="16"/>
    <x v="0"/>
    <s v="MEDIA"/>
    <s v="MEDIA"/>
    <n v="64"/>
    <s v="cumple"/>
    <x v="9"/>
    <x v="4"/>
    <x v="1599"/>
    <n v="6901.9999999999991"/>
    <x v="1"/>
  </r>
  <r>
    <x v="0"/>
    <x v="1"/>
    <x v="4"/>
    <x v="0"/>
    <x v="20"/>
    <x v="1"/>
    <x v="398"/>
    <x v="924"/>
    <x v="1600"/>
    <x v="218"/>
    <x v="0"/>
    <x v="218"/>
    <x v="7"/>
    <x v="3"/>
    <x v="0"/>
    <x v="217"/>
    <x v="16"/>
    <x v="0"/>
    <s v="MEDIA"/>
    <s v="MEDIA"/>
    <n v="64"/>
    <s v="cumple"/>
    <x v="9"/>
    <x v="4"/>
    <x v="1600"/>
    <n v="4872"/>
    <x v="1"/>
  </r>
  <r>
    <x v="0"/>
    <x v="1"/>
    <x v="4"/>
    <x v="0"/>
    <x v="20"/>
    <x v="1"/>
    <x v="399"/>
    <x v="925"/>
    <x v="1601"/>
    <x v="219"/>
    <x v="0"/>
    <x v="219"/>
    <x v="0"/>
    <x v="8"/>
    <x v="0"/>
    <x v="217"/>
    <x v="16"/>
    <x v="0"/>
    <s v="MEDIA"/>
    <s v="MEDIA"/>
    <n v="64"/>
    <s v="cumple"/>
    <x v="9"/>
    <x v="4"/>
    <x v="1601"/>
    <n v="6901.9999999999991"/>
    <x v="1"/>
  </r>
  <r>
    <x v="0"/>
    <x v="1"/>
    <x v="4"/>
    <x v="0"/>
    <x v="20"/>
    <x v="1"/>
    <x v="400"/>
    <x v="926"/>
    <x v="1602"/>
    <x v="220"/>
    <x v="0"/>
    <x v="220"/>
    <x v="0"/>
    <x v="8"/>
    <x v="0"/>
    <x v="217"/>
    <x v="16"/>
    <x v="0"/>
    <s v="MEDIA"/>
    <s v="MEDIA"/>
    <n v="64"/>
    <s v="cumple"/>
    <x v="9"/>
    <x v="4"/>
    <x v="1602"/>
    <n v="6901.9999999999991"/>
    <x v="1"/>
  </r>
  <r>
    <x v="0"/>
    <x v="0"/>
    <x v="1"/>
    <x v="0"/>
    <x v="3"/>
    <x v="2"/>
    <x v="401"/>
    <x v="927"/>
    <x v="1603"/>
    <x v="199"/>
    <x v="0"/>
    <x v="199"/>
    <x v="4"/>
    <x v="5"/>
    <x v="0"/>
    <x v="215"/>
    <x v="12"/>
    <x v="6"/>
    <s v="MEDIA"/>
    <s v="MEDIA"/>
    <n v="64"/>
    <s v="cumple"/>
    <x v="9"/>
    <x v="1"/>
    <x v="1603"/>
    <n v="2088"/>
    <x v="0"/>
  </r>
  <r>
    <x v="0"/>
    <x v="0"/>
    <x v="1"/>
    <x v="0"/>
    <x v="3"/>
    <x v="2"/>
    <x v="402"/>
    <x v="928"/>
    <x v="1604"/>
    <x v="199"/>
    <x v="6"/>
    <x v="199"/>
    <x v="14"/>
    <x v="15"/>
    <x v="0"/>
    <x v="214"/>
    <x v="12"/>
    <x v="6"/>
    <s v="MEDIA"/>
    <s v="MEDIA"/>
    <n v="64"/>
    <s v="cumple"/>
    <x v="9"/>
    <x v="1"/>
    <x v="1604"/>
    <n v="1044"/>
    <x v="0"/>
  </r>
  <r>
    <x v="0"/>
    <x v="0"/>
    <x v="1"/>
    <x v="0"/>
    <x v="3"/>
    <x v="2"/>
    <x v="403"/>
    <x v="929"/>
    <x v="1605"/>
    <x v="199"/>
    <x v="21"/>
    <x v="199"/>
    <x v="6"/>
    <x v="15"/>
    <x v="0"/>
    <x v="214"/>
    <x v="12"/>
    <x v="6"/>
    <s v="MEDIA"/>
    <s v="MEDIA"/>
    <n v="64"/>
    <s v="cumple"/>
    <x v="9"/>
    <x v="1"/>
    <x v="1605"/>
    <n v="1044"/>
    <x v="0"/>
  </r>
  <r>
    <x v="0"/>
    <x v="0"/>
    <x v="1"/>
    <x v="0"/>
    <x v="3"/>
    <x v="2"/>
    <x v="404"/>
    <x v="930"/>
    <x v="1606"/>
    <x v="199"/>
    <x v="7"/>
    <x v="199"/>
    <x v="21"/>
    <x v="15"/>
    <x v="0"/>
    <x v="214"/>
    <x v="12"/>
    <x v="6"/>
    <s v="MEDIA"/>
    <s v="MEDIA"/>
    <n v="64"/>
    <s v="cumple"/>
    <x v="9"/>
    <x v="1"/>
    <x v="1606"/>
    <n v="1044"/>
    <x v="0"/>
  </r>
  <r>
    <x v="0"/>
    <x v="0"/>
    <x v="1"/>
    <x v="0"/>
    <x v="3"/>
    <x v="2"/>
    <x v="405"/>
    <x v="931"/>
    <x v="1607"/>
    <x v="199"/>
    <x v="16"/>
    <x v="199"/>
    <x v="11"/>
    <x v="15"/>
    <x v="0"/>
    <x v="214"/>
    <x v="12"/>
    <x v="6"/>
    <s v="MEDIA"/>
    <s v="MEDIA"/>
    <n v="64"/>
    <s v="cumple"/>
    <x v="9"/>
    <x v="1"/>
    <x v="1607"/>
    <n v="1044"/>
    <x v="0"/>
  </r>
  <r>
    <x v="0"/>
    <x v="0"/>
    <x v="1"/>
    <x v="0"/>
    <x v="3"/>
    <x v="2"/>
    <x v="406"/>
    <x v="932"/>
    <x v="1608"/>
    <x v="200"/>
    <x v="25"/>
    <x v="200"/>
    <x v="8"/>
    <x v="4"/>
    <x v="0"/>
    <x v="214"/>
    <x v="12"/>
    <x v="6"/>
    <s v="MEDIA"/>
    <s v="MEDIA"/>
    <n v="64"/>
    <s v="cumple"/>
    <x v="9"/>
    <x v="1"/>
    <x v="1608"/>
    <n v="1392"/>
    <x v="0"/>
  </r>
  <r>
    <x v="0"/>
    <x v="0"/>
    <x v="1"/>
    <x v="0"/>
    <x v="3"/>
    <x v="2"/>
    <x v="407"/>
    <x v="933"/>
    <x v="1609"/>
    <x v="200"/>
    <x v="8"/>
    <x v="200"/>
    <x v="15"/>
    <x v="15"/>
    <x v="0"/>
    <x v="214"/>
    <x v="12"/>
    <x v="6"/>
    <s v="MEDIA"/>
    <s v="MEDIA"/>
    <n v="64"/>
    <s v="cumple"/>
    <x v="9"/>
    <x v="1"/>
    <x v="1609"/>
    <n v="1044"/>
    <x v="0"/>
  </r>
  <r>
    <x v="0"/>
    <x v="0"/>
    <x v="1"/>
    <x v="0"/>
    <x v="3"/>
    <x v="2"/>
    <x v="408"/>
    <x v="934"/>
    <x v="1610"/>
    <x v="200"/>
    <x v="12"/>
    <x v="200"/>
    <x v="14"/>
    <x v="4"/>
    <x v="0"/>
    <x v="214"/>
    <x v="12"/>
    <x v="6"/>
    <s v="MEDIA"/>
    <s v="MEDIA"/>
    <n v="64"/>
    <s v="cumple"/>
    <x v="9"/>
    <x v="1"/>
    <x v="1610"/>
    <n v="1392"/>
    <x v="0"/>
  </r>
  <r>
    <x v="0"/>
    <x v="0"/>
    <x v="1"/>
    <x v="0"/>
    <x v="3"/>
    <x v="2"/>
    <x v="409"/>
    <x v="935"/>
    <x v="1611"/>
    <x v="200"/>
    <x v="21"/>
    <x v="200"/>
    <x v="6"/>
    <x v="15"/>
    <x v="0"/>
    <x v="214"/>
    <x v="12"/>
    <x v="6"/>
    <s v="MEDIA"/>
    <s v="MEDIA"/>
    <n v="64"/>
    <s v="cumple"/>
    <x v="9"/>
    <x v="1"/>
    <x v="1611"/>
    <n v="1044"/>
    <x v="0"/>
  </r>
  <r>
    <x v="0"/>
    <x v="0"/>
    <x v="1"/>
    <x v="0"/>
    <x v="3"/>
    <x v="2"/>
    <x v="410"/>
    <x v="936"/>
    <x v="1612"/>
    <x v="201"/>
    <x v="25"/>
    <x v="201"/>
    <x v="8"/>
    <x v="4"/>
    <x v="0"/>
    <x v="214"/>
    <x v="12"/>
    <x v="6"/>
    <s v="MEDIA"/>
    <s v="MEDIA"/>
    <n v="64"/>
    <s v="cumple"/>
    <x v="9"/>
    <x v="1"/>
    <x v="1612"/>
    <n v="1392"/>
    <x v="0"/>
  </r>
  <r>
    <x v="0"/>
    <x v="0"/>
    <x v="1"/>
    <x v="0"/>
    <x v="3"/>
    <x v="2"/>
    <x v="411"/>
    <x v="937"/>
    <x v="1613"/>
    <x v="201"/>
    <x v="8"/>
    <x v="201"/>
    <x v="15"/>
    <x v="15"/>
    <x v="0"/>
    <x v="214"/>
    <x v="12"/>
    <x v="6"/>
    <s v="MEDIA"/>
    <s v="MEDIA"/>
    <n v="64"/>
    <s v="cumple"/>
    <x v="9"/>
    <x v="1"/>
    <x v="1613"/>
    <n v="1044"/>
    <x v="0"/>
  </r>
  <r>
    <x v="0"/>
    <x v="0"/>
    <x v="1"/>
    <x v="0"/>
    <x v="3"/>
    <x v="2"/>
    <x v="412"/>
    <x v="938"/>
    <x v="1614"/>
    <x v="201"/>
    <x v="12"/>
    <x v="201"/>
    <x v="14"/>
    <x v="4"/>
    <x v="0"/>
    <x v="214"/>
    <x v="12"/>
    <x v="6"/>
    <s v="MEDIA"/>
    <s v="MEDIA"/>
    <n v="64"/>
    <s v="cumple"/>
    <x v="9"/>
    <x v="1"/>
    <x v="1614"/>
    <n v="1392"/>
    <x v="0"/>
  </r>
  <r>
    <x v="0"/>
    <x v="0"/>
    <x v="1"/>
    <x v="0"/>
    <x v="3"/>
    <x v="2"/>
    <x v="413"/>
    <x v="939"/>
    <x v="1615"/>
    <x v="201"/>
    <x v="21"/>
    <x v="201"/>
    <x v="6"/>
    <x v="15"/>
    <x v="0"/>
    <x v="214"/>
    <x v="12"/>
    <x v="6"/>
    <s v="MEDIA"/>
    <s v="MEDIA"/>
    <n v="64"/>
    <s v="cumple"/>
    <x v="9"/>
    <x v="1"/>
    <x v="1615"/>
    <n v="1044"/>
    <x v="0"/>
  </r>
  <r>
    <x v="0"/>
    <x v="0"/>
    <x v="1"/>
    <x v="0"/>
    <x v="3"/>
    <x v="2"/>
    <x v="414"/>
    <x v="940"/>
    <x v="1616"/>
    <x v="202"/>
    <x v="25"/>
    <x v="202"/>
    <x v="8"/>
    <x v="4"/>
    <x v="0"/>
    <x v="214"/>
    <x v="12"/>
    <x v="6"/>
    <s v="MEDIA"/>
    <s v="MEDIA"/>
    <n v="64"/>
    <s v="cumple"/>
    <x v="9"/>
    <x v="1"/>
    <x v="1616"/>
    <n v="1392"/>
    <x v="0"/>
  </r>
  <r>
    <x v="0"/>
    <x v="0"/>
    <x v="1"/>
    <x v="0"/>
    <x v="3"/>
    <x v="2"/>
    <x v="415"/>
    <x v="941"/>
    <x v="1617"/>
    <x v="202"/>
    <x v="8"/>
    <x v="202"/>
    <x v="15"/>
    <x v="15"/>
    <x v="0"/>
    <x v="214"/>
    <x v="12"/>
    <x v="6"/>
    <s v="MEDIA"/>
    <s v="MEDIA"/>
    <n v="64"/>
    <s v="cumple"/>
    <x v="9"/>
    <x v="1"/>
    <x v="1617"/>
    <n v="1044"/>
    <x v="0"/>
  </r>
  <r>
    <x v="0"/>
    <x v="0"/>
    <x v="1"/>
    <x v="0"/>
    <x v="3"/>
    <x v="2"/>
    <x v="416"/>
    <x v="942"/>
    <x v="1618"/>
    <x v="202"/>
    <x v="12"/>
    <x v="202"/>
    <x v="14"/>
    <x v="4"/>
    <x v="0"/>
    <x v="214"/>
    <x v="12"/>
    <x v="6"/>
    <s v="MEDIA"/>
    <s v="MEDIA"/>
    <n v="64"/>
    <s v="cumple"/>
    <x v="9"/>
    <x v="1"/>
    <x v="1618"/>
    <n v="1392"/>
    <x v="0"/>
  </r>
  <r>
    <x v="0"/>
    <x v="0"/>
    <x v="1"/>
    <x v="0"/>
    <x v="3"/>
    <x v="2"/>
    <x v="417"/>
    <x v="943"/>
    <x v="1619"/>
    <x v="202"/>
    <x v="21"/>
    <x v="202"/>
    <x v="6"/>
    <x v="15"/>
    <x v="0"/>
    <x v="214"/>
    <x v="12"/>
    <x v="6"/>
    <s v="MEDIA"/>
    <s v="MEDIA"/>
    <n v="64"/>
    <s v="cumple"/>
    <x v="9"/>
    <x v="1"/>
    <x v="1619"/>
    <n v="1044"/>
    <x v="0"/>
  </r>
  <r>
    <x v="0"/>
    <x v="0"/>
    <x v="1"/>
    <x v="0"/>
    <x v="3"/>
    <x v="4"/>
    <x v="418"/>
    <x v="944"/>
    <x v="1620"/>
    <x v="203"/>
    <x v="25"/>
    <x v="203"/>
    <x v="8"/>
    <x v="4"/>
    <x v="0"/>
    <x v="215"/>
    <x v="12"/>
    <x v="6"/>
    <s v="MEDIA"/>
    <s v="MEDIA"/>
    <n v="64"/>
    <s v="cumple"/>
    <x v="9"/>
    <x v="1"/>
    <x v="1620"/>
    <n v="1392"/>
    <x v="0"/>
  </r>
  <r>
    <x v="0"/>
    <x v="0"/>
    <x v="1"/>
    <x v="0"/>
    <x v="3"/>
    <x v="7"/>
    <x v="419"/>
    <x v="945"/>
    <x v="1621"/>
    <x v="203"/>
    <x v="8"/>
    <x v="203"/>
    <x v="15"/>
    <x v="15"/>
    <x v="0"/>
    <x v="215"/>
    <x v="12"/>
    <x v="6"/>
    <s v="MEDIA"/>
    <s v="MEDIA"/>
    <n v="64"/>
    <s v="cumple"/>
    <x v="9"/>
    <x v="1"/>
    <x v="1621"/>
    <n v="1044"/>
    <x v="0"/>
  </r>
  <r>
    <x v="0"/>
    <x v="0"/>
    <x v="1"/>
    <x v="0"/>
    <x v="3"/>
    <x v="4"/>
    <x v="420"/>
    <x v="946"/>
    <x v="1622"/>
    <x v="204"/>
    <x v="25"/>
    <x v="204"/>
    <x v="8"/>
    <x v="4"/>
    <x v="0"/>
    <x v="214"/>
    <x v="12"/>
    <x v="6"/>
    <s v="MEDIA"/>
    <s v="MEDIA"/>
    <n v="64"/>
    <s v="cumple"/>
    <x v="9"/>
    <x v="1"/>
    <x v="1622"/>
    <n v="1392"/>
    <x v="0"/>
  </r>
  <r>
    <x v="0"/>
    <x v="0"/>
    <x v="1"/>
    <x v="0"/>
    <x v="3"/>
    <x v="7"/>
    <x v="421"/>
    <x v="947"/>
    <x v="1623"/>
    <x v="204"/>
    <x v="8"/>
    <x v="204"/>
    <x v="15"/>
    <x v="15"/>
    <x v="0"/>
    <x v="214"/>
    <x v="12"/>
    <x v="6"/>
    <s v="MEDIA"/>
    <s v="MEDIA"/>
    <n v="64"/>
    <s v="cumple"/>
    <x v="9"/>
    <x v="1"/>
    <x v="1623"/>
    <n v="1044"/>
    <x v="0"/>
  </r>
  <r>
    <x v="0"/>
    <x v="0"/>
    <x v="1"/>
    <x v="0"/>
    <x v="3"/>
    <x v="2"/>
    <x v="422"/>
    <x v="948"/>
    <x v="1624"/>
    <x v="205"/>
    <x v="25"/>
    <x v="205"/>
    <x v="16"/>
    <x v="12"/>
    <x v="0"/>
    <x v="214"/>
    <x v="12"/>
    <x v="6"/>
    <s v="MEDIA"/>
    <s v="MEDIA"/>
    <n v="64"/>
    <s v="cumple"/>
    <x v="9"/>
    <x v="1"/>
    <x v="1624"/>
    <n v="1739.9999999999998"/>
    <x v="0"/>
  </r>
  <r>
    <x v="0"/>
    <x v="0"/>
    <x v="1"/>
    <x v="0"/>
    <x v="3"/>
    <x v="2"/>
    <x v="423"/>
    <x v="949"/>
    <x v="1625"/>
    <x v="206"/>
    <x v="25"/>
    <x v="206"/>
    <x v="23"/>
    <x v="15"/>
    <x v="0"/>
    <x v="214"/>
    <x v="12"/>
    <x v="6"/>
    <s v="MEDIA"/>
    <s v="MEDIA"/>
    <n v="64"/>
    <s v="cumple"/>
    <x v="9"/>
    <x v="1"/>
    <x v="1625"/>
    <n v="1044"/>
    <x v="0"/>
  </r>
  <r>
    <x v="0"/>
    <x v="0"/>
    <x v="1"/>
    <x v="0"/>
    <x v="3"/>
    <x v="2"/>
    <x v="424"/>
    <x v="950"/>
    <x v="1626"/>
    <x v="206"/>
    <x v="19"/>
    <x v="206"/>
    <x v="4"/>
    <x v="12"/>
    <x v="0"/>
    <x v="214"/>
    <x v="12"/>
    <x v="6"/>
    <s v="MEDIA"/>
    <s v="MEDIA"/>
    <n v="64"/>
    <s v="cumple"/>
    <x v="9"/>
    <x v="1"/>
    <x v="1626"/>
    <n v="1739.9999999999998"/>
    <x v="0"/>
  </r>
  <r>
    <x v="0"/>
    <x v="0"/>
    <x v="1"/>
    <x v="0"/>
    <x v="3"/>
    <x v="2"/>
    <x v="425"/>
    <x v="951"/>
    <x v="1627"/>
    <x v="207"/>
    <x v="25"/>
    <x v="207"/>
    <x v="16"/>
    <x v="12"/>
    <x v="0"/>
    <x v="214"/>
    <x v="12"/>
    <x v="6"/>
    <s v="MEDIA"/>
    <s v="MEDIA"/>
    <n v="64"/>
    <s v="cumple"/>
    <x v="9"/>
    <x v="1"/>
    <x v="1627"/>
    <n v="1739.9999999999998"/>
    <x v="0"/>
  </r>
  <r>
    <x v="0"/>
    <x v="0"/>
    <x v="1"/>
    <x v="0"/>
    <x v="3"/>
    <x v="2"/>
    <x v="426"/>
    <x v="952"/>
    <x v="1628"/>
    <x v="208"/>
    <x v="25"/>
    <x v="208"/>
    <x v="26"/>
    <x v="2"/>
    <x v="0"/>
    <x v="214"/>
    <x v="12"/>
    <x v="6"/>
    <s v="MEDIA"/>
    <s v="MEDIA"/>
    <n v="64"/>
    <s v="cumple"/>
    <x v="9"/>
    <x v="1"/>
    <x v="1628"/>
    <n v="696"/>
    <x v="0"/>
  </r>
  <r>
    <x v="0"/>
    <x v="0"/>
    <x v="1"/>
    <x v="0"/>
    <x v="3"/>
    <x v="2"/>
    <x v="427"/>
    <x v="953"/>
    <x v="1629"/>
    <x v="208"/>
    <x v="0"/>
    <x v="208"/>
    <x v="16"/>
    <x v="15"/>
    <x v="0"/>
    <x v="214"/>
    <x v="12"/>
    <x v="6"/>
    <s v="MEDIA"/>
    <s v="MEDIA"/>
    <n v="64"/>
    <s v="cumple"/>
    <x v="9"/>
    <x v="1"/>
    <x v="1629"/>
    <n v="1044"/>
    <x v="0"/>
  </r>
  <r>
    <x v="0"/>
    <x v="0"/>
    <x v="1"/>
    <x v="0"/>
    <x v="3"/>
    <x v="2"/>
    <x v="428"/>
    <x v="954"/>
    <x v="1630"/>
    <x v="208"/>
    <x v="13"/>
    <x v="208"/>
    <x v="15"/>
    <x v="2"/>
    <x v="0"/>
    <x v="214"/>
    <x v="12"/>
    <x v="6"/>
    <s v="MEDIA"/>
    <s v="MEDIA"/>
    <n v="64"/>
    <s v="cumple"/>
    <x v="9"/>
    <x v="1"/>
    <x v="1630"/>
    <n v="696"/>
    <x v="0"/>
  </r>
  <r>
    <x v="0"/>
    <x v="0"/>
    <x v="1"/>
    <x v="0"/>
    <x v="3"/>
    <x v="2"/>
    <x v="429"/>
    <x v="955"/>
    <x v="1631"/>
    <x v="208"/>
    <x v="12"/>
    <x v="208"/>
    <x v="13"/>
    <x v="2"/>
    <x v="0"/>
    <x v="214"/>
    <x v="12"/>
    <x v="6"/>
    <s v="MEDIA"/>
    <s v="MEDIA"/>
    <n v="64"/>
    <s v="cumple"/>
    <x v="9"/>
    <x v="1"/>
    <x v="1631"/>
    <n v="696"/>
    <x v="0"/>
  </r>
  <r>
    <x v="0"/>
    <x v="0"/>
    <x v="1"/>
    <x v="0"/>
    <x v="3"/>
    <x v="2"/>
    <x v="430"/>
    <x v="956"/>
    <x v="1632"/>
    <x v="208"/>
    <x v="10"/>
    <x v="208"/>
    <x v="14"/>
    <x v="2"/>
    <x v="0"/>
    <x v="214"/>
    <x v="12"/>
    <x v="6"/>
    <s v="MEDIA"/>
    <s v="MEDIA"/>
    <n v="64"/>
    <s v="cumple"/>
    <x v="9"/>
    <x v="1"/>
    <x v="1632"/>
    <n v="696"/>
    <x v="0"/>
  </r>
  <r>
    <x v="0"/>
    <x v="0"/>
    <x v="1"/>
    <x v="0"/>
    <x v="3"/>
    <x v="2"/>
    <x v="431"/>
    <x v="957"/>
    <x v="1633"/>
    <x v="208"/>
    <x v="21"/>
    <x v="208"/>
    <x v="10"/>
    <x v="2"/>
    <x v="0"/>
    <x v="214"/>
    <x v="12"/>
    <x v="6"/>
    <s v="MEDIA"/>
    <s v="MEDIA"/>
    <n v="64"/>
    <s v="cumple"/>
    <x v="9"/>
    <x v="1"/>
    <x v="1633"/>
    <n v="696"/>
    <x v="0"/>
  </r>
  <r>
    <x v="0"/>
    <x v="1"/>
    <x v="1"/>
    <x v="0"/>
    <x v="3"/>
    <x v="1"/>
    <x v="432"/>
    <x v="958"/>
    <x v="1634"/>
    <x v="208"/>
    <x v="20"/>
    <x v="208"/>
    <x v="18"/>
    <x v="2"/>
    <x v="0"/>
    <x v="214"/>
    <x v="12"/>
    <x v="6"/>
    <s v="MEDIA"/>
    <s v="MEDIA"/>
    <n v="64"/>
    <s v="cumple"/>
    <x v="9"/>
    <x v="1"/>
    <x v="1634"/>
    <n v="696"/>
    <x v="0"/>
  </r>
  <r>
    <x v="0"/>
    <x v="1"/>
    <x v="1"/>
    <x v="0"/>
    <x v="3"/>
    <x v="1"/>
    <x v="433"/>
    <x v="959"/>
    <x v="1635"/>
    <x v="208"/>
    <x v="15"/>
    <x v="208"/>
    <x v="1"/>
    <x v="15"/>
    <x v="0"/>
    <x v="214"/>
    <x v="12"/>
    <x v="6"/>
    <s v="MEDIA"/>
    <s v="MEDIA"/>
    <n v="64"/>
    <s v="cumple"/>
    <x v="9"/>
    <x v="1"/>
    <x v="1635"/>
    <n v="1044"/>
    <x v="0"/>
  </r>
  <r>
    <x v="0"/>
    <x v="1"/>
    <x v="1"/>
    <x v="0"/>
    <x v="3"/>
    <x v="1"/>
    <x v="434"/>
    <x v="960"/>
    <x v="1636"/>
    <x v="208"/>
    <x v="1"/>
    <x v="208"/>
    <x v="22"/>
    <x v="15"/>
    <x v="0"/>
    <x v="214"/>
    <x v="12"/>
    <x v="6"/>
    <s v="MEDIA"/>
    <s v="MEDIA"/>
    <n v="64"/>
    <s v="cumple"/>
    <x v="9"/>
    <x v="1"/>
    <x v="1636"/>
    <n v="1044"/>
    <x v="0"/>
  </r>
  <r>
    <x v="0"/>
    <x v="1"/>
    <x v="1"/>
    <x v="0"/>
    <x v="3"/>
    <x v="1"/>
    <x v="435"/>
    <x v="961"/>
    <x v="1637"/>
    <x v="208"/>
    <x v="18"/>
    <x v="208"/>
    <x v="20"/>
    <x v="2"/>
    <x v="0"/>
    <x v="214"/>
    <x v="12"/>
    <x v="6"/>
    <s v="MEDIA"/>
    <s v="MEDIA"/>
    <n v="64"/>
    <s v="cumple"/>
    <x v="9"/>
    <x v="1"/>
    <x v="1637"/>
    <n v="696"/>
    <x v="0"/>
  </r>
  <r>
    <x v="0"/>
    <x v="1"/>
    <x v="1"/>
    <x v="0"/>
    <x v="3"/>
    <x v="1"/>
    <x v="436"/>
    <x v="962"/>
    <x v="1638"/>
    <x v="208"/>
    <x v="24"/>
    <x v="208"/>
    <x v="25"/>
    <x v="2"/>
    <x v="0"/>
    <x v="214"/>
    <x v="12"/>
    <x v="6"/>
    <s v="MEDIA"/>
    <s v="MEDIA"/>
    <n v="64"/>
    <s v="cumple"/>
    <x v="9"/>
    <x v="1"/>
    <x v="1638"/>
    <n v="696"/>
    <x v="0"/>
  </r>
  <r>
    <x v="0"/>
    <x v="1"/>
    <x v="1"/>
    <x v="0"/>
    <x v="3"/>
    <x v="5"/>
    <x v="437"/>
    <x v="963"/>
    <x v="1639"/>
    <x v="208"/>
    <x v="26"/>
    <x v="208"/>
    <x v="27"/>
    <x v="19"/>
    <x v="0"/>
    <x v="214"/>
    <x v="12"/>
    <x v="6"/>
    <s v="MEDIA"/>
    <s v="MEDIA"/>
    <n v="64"/>
    <s v="cumple"/>
    <x v="9"/>
    <x v="1"/>
    <x v="1639"/>
    <n v="348"/>
    <x v="0"/>
  </r>
  <r>
    <x v="0"/>
    <x v="0"/>
    <x v="1"/>
    <x v="0"/>
    <x v="3"/>
    <x v="2"/>
    <x v="438"/>
    <x v="964"/>
    <x v="1640"/>
    <x v="209"/>
    <x v="25"/>
    <x v="209"/>
    <x v="23"/>
    <x v="15"/>
    <x v="0"/>
    <x v="214"/>
    <x v="12"/>
    <x v="6"/>
    <s v="MEDIA"/>
    <s v="MEDIA"/>
    <n v="64"/>
    <s v="cumple"/>
    <x v="9"/>
    <x v="1"/>
    <x v="1640"/>
    <n v="1044"/>
    <x v="0"/>
  </r>
  <r>
    <x v="0"/>
    <x v="0"/>
    <x v="1"/>
    <x v="0"/>
    <x v="3"/>
    <x v="2"/>
    <x v="439"/>
    <x v="965"/>
    <x v="1641"/>
    <x v="209"/>
    <x v="19"/>
    <x v="209"/>
    <x v="16"/>
    <x v="2"/>
    <x v="0"/>
    <x v="214"/>
    <x v="12"/>
    <x v="6"/>
    <s v="MEDIA"/>
    <s v="MEDIA"/>
    <n v="64"/>
    <s v="cumple"/>
    <x v="9"/>
    <x v="1"/>
    <x v="1641"/>
    <n v="696"/>
    <x v="0"/>
  </r>
  <r>
    <x v="0"/>
    <x v="0"/>
    <x v="1"/>
    <x v="0"/>
    <x v="3"/>
    <x v="2"/>
    <x v="440"/>
    <x v="966"/>
    <x v="1642"/>
    <x v="209"/>
    <x v="13"/>
    <x v="209"/>
    <x v="15"/>
    <x v="2"/>
    <x v="0"/>
    <x v="214"/>
    <x v="12"/>
    <x v="6"/>
    <s v="MEDIA"/>
    <s v="MEDIA"/>
    <n v="64"/>
    <s v="cumple"/>
    <x v="9"/>
    <x v="1"/>
    <x v="1642"/>
    <n v="696"/>
    <x v="0"/>
  </r>
  <r>
    <x v="0"/>
    <x v="0"/>
    <x v="1"/>
    <x v="0"/>
    <x v="3"/>
    <x v="2"/>
    <x v="441"/>
    <x v="967"/>
    <x v="1643"/>
    <x v="209"/>
    <x v="12"/>
    <x v="209"/>
    <x v="13"/>
    <x v="2"/>
    <x v="0"/>
    <x v="214"/>
    <x v="12"/>
    <x v="6"/>
    <s v="MEDIA"/>
    <s v="MEDIA"/>
    <n v="64"/>
    <s v="cumple"/>
    <x v="9"/>
    <x v="1"/>
    <x v="1643"/>
    <n v="696"/>
    <x v="0"/>
  </r>
  <r>
    <x v="0"/>
    <x v="0"/>
    <x v="1"/>
    <x v="0"/>
    <x v="3"/>
    <x v="2"/>
    <x v="442"/>
    <x v="968"/>
    <x v="1644"/>
    <x v="209"/>
    <x v="10"/>
    <x v="209"/>
    <x v="9"/>
    <x v="15"/>
    <x v="0"/>
    <x v="214"/>
    <x v="12"/>
    <x v="6"/>
    <s v="MEDIA"/>
    <s v="MEDIA"/>
    <n v="64"/>
    <s v="cumple"/>
    <x v="9"/>
    <x v="1"/>
    <x v="1644"/>
    <n v="1044"/>
    <x v="0"/>
  </r>
  <r>
    <x v="0"/>
    <x v="0"/>
    <x v="1"/>
    <x v="0"/>
    <x v="3"/>
    <x v="2"/>
    <x v="443"/>
    <x v="969"/>
    <x v="1645"/>
    <x v="210"/>
    <x v="25"/>
    <x v="210"/>
    <x v="26"/>
    <x v="2"/>
    <x v="0"/>
    <x v="214"/>
    <x v="12"/>
    <x v="6"/>
    <s v="MEDIA"/>
    <s v="MEDIA"/>
    <n v="64"/>
    <s v="cumple"/>
    <x v="9"/>
    <x v="1"/>
    <x v="1645"/>
    <n v="696"/>
    <x v="0"/>
  </r>
  <r>
    <x v="0"/>
    <x v="0"/>
    <x v="1"/>
    <x v="0"/>
    <x v="3"/>
    <x v="2"/>
    <x v="444"/>
    <x v="970"/>
    <x v="1646"/>
    <x v="210"/>
    <x v="0"/>
    <x v="210"/>
    <x v="3"/>
    <x v="4"/>
    <x v="0"/>
    <x v="214"/>
    <x v="12"/>
    <x v="6"/>
    <s v="MEDIA"/>
    <s v="MEDIA"/>
    <n v="64"/>
    <s v="cumple"/>
    <x v="9"/>
    <x v="1"/>
    <x v="1646"/>
    <n v="1392"/>
    <x v="0"/>
  </r>
  <r>
    <x v="0"/>
    <x v="0"/>
    <x v="1"/>
    <x v="0"/>
    <x v="3"/>
    <x v="2"/>
    <x v="445"/>
    <x v="971"/>
    <x v="1647"/>
    <x v="210"/>
    <x v="4"/>
    <x v="210"/>
    <x v="6"/>
    <x v="6"/>
    <x v="0"/>
    <x v="214"/>
    <x v="12"/>
    <x v="6"/>
    <s v="MEDIA"/>
    <s v="MEDIA"/>
    <n v="64"/>
    <s v="cumple"/>
    <x v="9"/>
    <x v="1"/>
    <x v="1647"/>
    <n v="3479.9999999999995"/>
    <x v="0"/>
  </r>
  <r>
    <x v="0"/>
    <x v="1"/>
    <x v="1"/>
    <x v="0"/>
    <x v="3"/>
    <x v="1"/>
    <x v="446"/>
    <x v="972"/>
    <x v="1648"/>
    <x v="210"/>
    <x v="15"/>
    <x v="210"/>
    <x v="21"/>
    <x v="4"/>
    <x v="0"/>
    <x v="214"/>
    <x v="12"/>
    <x v="6"/>
    <s v="MEDIA"/>
    <s v="MEDIA"/>
    <n v="64"/>
    <s v="cumple"/>
    <x v="9"/>
    <x v="1"/>
    <x v="1648"/>
    <n v="1392"/>
    <x v="0"/>
  </r>
  <r>
    <x v="0"/>
    <x v="1"/>
    <x v="1"/>
    <x v="0"/>
    <x v="3"/>
    <x v="1"/>
    <x v="447"/>
    <x v="973"/>
    <x v="1649"/>
    <x v="210"/>
    <x v="16"/>
    <x v="210"/>
    <x v="28"/>
    <x v="7"/>
    <x v="0"/>
    <x v="214"/>
    <x v="12"/>
    <x v="6"/>
    <s v="MEDIA"/>
    <s v="MEDIA"/>
    <n v="64"/>
    <s v="cumple"/>
    <x v="9"/>
    <x v="1"/>
    <x v="1649"/>
    <n v="2784"/>
    <x v="0"/>
  </r>
  <r>
    <x v="0"/>
    <x v="1"/>
    <x v="1"/>
    <x v="0"/>
    <x v="3"/>
    <x v="1"/>
    <x v="448"/>
    <x v="974"/>
    <x v="1650"/>
    <x v="211"/>
    <x v="25"/>
    <x v="211"/>
    <x v="26"/>
    <x v="2"/>
    <x v="0"/>
    <x v="214"/>
    <x v="12"/>
    <x v="6"/>
    <s v="MEDIA"/>
    <s v="MEDIA"/>
    <n v="64"/>
    <s v="cumple"/>
    <x v="9"/>
    <x v="1"/>
    <x v="1650"/>
    <n v="696"/>
    <x v="0"/>
  </r>
  <r>
    <x v="0"/>
    <x v="0"/>
    <x v="1"/>
    <x v="0"/>
    <x v="3"/>
    <x v="2"/>
    <x v="449"/>
    <x v="975"/>
    <x v="1651"/>
    <x v="211"/>
    <x v="0"/>
    <x v="211"/>
    <x v="8"/>
    <x v="2"/>
    <x v="0"/>
    <x v="214"/>
    <x v="12"/>
    <x v="6"/>
    <s v="MEDIA"/>
    <s v="MEDIA"/>
    <n v="64"/>
    <s v="cumple"/>
    <x v="9"/>
    <x v="1"/>
    <x v="1651"/>
    <n v="696"/>
    <x v="0"/>
  </r>
  <r>
    <x v="0"/>
    <x v="0"/>
    <x v="1"/>
    <x v="0"/>
    <x v="3"/>
    <x v="2"/>
    <x v="450"/>
    <x v="976"/>
    <x v="1652"/>
    <x v="211"/>
    <x v="8"/>
    <x v="211"/>
    <x v="3"/>
    <x v="2"/>
    <x v="0"/>
    <x v="214"/>
    <x v="12"/>
    <x v="6"/>
    <s v="MEDIA"/>
    <s v="MEDIA"/>
    <n v="64"/>
    <s v="cumple"/>
    <x v="9"/>
    <x v="1"/>
    <x v="1652"/>
    <n v="696"/>
    <x v="0"/>
  </r>
  <r>
    <x v="0"/>
    <x v="1"/>
    <x v="1"/>
    <x v="0"/>
    <x v="3"/>
    <x v="1"/>
    <x v="451"/>
    <x v="977"/>
    <x v="1653"/>
    <x v="212"/>
    <x v="25"/>
    <x v="212"/>
    <x v="16"/>
    <x v="12"/>
    <x v="0"/>
    <x v="214"/>
    <x v="12"/>
    <x v="6"/>
    <s v="MEDIA"/>
    <s v="MEDIA"/>
    <n v="64"/>
    <s v="cumple"/>
    <x v="9"/>
    <x v="1"/>
    <x v="1653"/>
    <n v="1739.9999999999998"/>
    <x v="0"/>
  </r>
  <r>
    <x v="0"/>
    <x v="1"/>
    <x v="1"/>
    <x v="0"/>
    <x v="3"/>
    <x v="1"/>
    <x v="452"/>
    <x v="978"/>
    <x v="1654"/>
    <x v="212"/>
    <x v="13"/>
    <x v="212"/>
    <x v="29"/>
    <x v="12"/>
    <x v="0"/>
    <x v="214"/>
    <x v="12"/>
    <x v="6"/>
    <s v="MEDIA"/>
    <s v="MEDIA"/>
    <n v="64"/>
    <s v="cumple"/>
    <x v="9"/>
    <x v="1"/>
    <x v="1654"/>
    <n v="1739.9999999999998"/>
    <x v="0"/>
  </r>
  <r>
    <x v="0"/>
    <x v="1"/>
    <x v="1"/>
    <x v="0"/>
    <x v="3"/>
    <x v="5"/>
    <x v="453"/>
    <x v="979"/>
    <x v="1655"/>
    <x v="212"/>
    <x v="27"/>
    <x v="212"/>
    <x v="30"/>
    <x v="2"/>
    <x v="0"/>
    <x v="214"/>
    <x v="12"/>
    <x v="6"/>
    <s v="MEDIA"/>
    <s v="MEDIA"/>
    <n v="64"/>
    <s v="cumple"/>
    <x v="9"/>
    <x v="1"/>
    <x v="1655"/>
    <n v="696"/>
    <x v="0"/>
  </r>
  <r>
    <x v="0"/>
    <x v="1"/>
    <x v="1"/>
    <x v="0"/>
    <x v="3"/>
    <x v="2"/>
    <x v="454"/>
    <x v="980"/>
    <x v="1656"/>
    <x v="213"/>
    <x v="25"/>
    <x v="213"/>
    <x v="16"/>
    <x v="12"/>
    <x v="0"/>
    <x v="214"/>
    <x v="12"/>
    <x v="6"/>
    <s v="MEDIA"/>
    <s v="MEDIA"/>
    <n v="64"/>
    <s v="cumple"/>
    <x v="9"/>
    <x v="1"/>
    <x v="1656"/>
    <n v="1739.9999999999998"/>
    <x v="0"/>
  </r>
  <r>
    <x v="0"/>
    <x v="1"/>
    <x v="1"/>
    <x v="0"/>
    <x v="3"/>
    <x v="2"/>
    <x v="455"/>
    <x v="981"/>
    <x v="1657"/>
    <x v="213"/>
    <x v="13"/>
    <x v="213"/>
    <x v="4"/>
    <x v="15"/>
    <x v="0"/>
    <x v="214"/>
    <x v="12"/>
    <x v="6"/>
    <s v="MEDIA"/>
    <s v="MEDIA"/>
    <n v="64"/>
    <s v="cumple"/>
    <x v="9"/>
    <x v="1"/>
    <x v="1657"/>
    <n v="1044"/>
    <x v="0"/>
  </r>
  <r>
    <x v="0"/>
    <x v="1"/>
    <x v="1"/>
    <x v="0"/>
    <x v="3"/>
    <x v="5"/>
    <x v="456"/>
    <x v="982"/>
    <x v="1658"/>
    <x v="213"/>
    <x v="6"/>
    <x v="213"/>
    <x v="14"/>
    <x v="15"/>
    <x v="0"/>
    <x v="214"/>
    <x v="12"/>
    <x v="6"/>
    <s v="MEDIA"/>
    <s v="MEDIA"/>
    <n v="64"/>
    <s v="cumple"/>
    <x v="9"/>
    <x v="1"/>
    <x v="1658"/>
    <n v="1044"/>
    <x v="0"/>
  </r>
  <r>
    <x v="0"/>
    <x v="1"/>
    <x v="1"/>
    <x v="0"/>
    <x v="3"/>
    <x v="5"/>
    <x v="457"/>
    <x v="983"/>
    <x v="1659"/>
    <x v="213"/>
    <x v="21"/>
    <x v="213"/>
    <x v="10"/>
    <x v="2"/>
    <x v="0"/>
    <x v="214"/>
    <x v="12"/>
    <x v="6"/>
    <s v="MEDIA"/>
    <s v="MEDIA"/>
    <n v="64"/>
    <s v="cumple"/>
    <x v="9"/>
    <x v="1"/>
    <x v="1659"/>
    <n v="696"/>
    <x v="0"/>
  </r>
  <r>
    <x v="0"/>
    <x v="0"/>
    <x v="1"/>
    <x v="0"/>
    <x v="3"/>
    <x v="2"/>
    <x v="458"/>
    <x v="984"/>
    <x v="1660"/>
    <x v="213"/>
    <x v="20"/>
    <x v="213"/>
    <x v="6"/>
    <x v="19"/>
    <x v="0"/>
    <x v="214"/>
    <x v="12"/>
    <x v="6"/>
    <s v="MEDIA"/>
    <s v="MEDIA"/>
    <n v="64"/>
    <s v="cumple"/>
    <x v="9"/>
    <x v="1"/>
    <x v="1660"/>
    <n v="348"/>
    <x v="0"/>
  </r>
  <r>
    <x v="0"/>
    <x v="1"/>
    <x v="1"/>
    <x v="0"/>
    <x v="3"/>
    <x v="1"/>
    <x v="459"/>
    <x v="985"/>
    <x v="1661"/>
    <x v="213"/>
    <x v="7"/>
    <x v="213"/>
    <x v="2"/>
    <x v="2"/>
    <x v="0"/>
    <x v="214"/>
    <x v="12"/>
    <x v="6"/>
    <s v="MEDIA"/>
    <s v="MEDIA"/>
    <n v="64"/>
    <s v="cumple"/>
    <x v="9"/>
    <x v="1"/>
    <x v="1661"/>
    <n v="696"/>
    <x v="0"/>
  </r>
  <r>
    <x v="0"/>
    <x v="1"/>
    <x v="1"/>
    <x v="0"/>
    <x v="3"/>
    <x v="5"/>
    <x v="460"/>
    <x v="979"/>
    <x v="1662"/>
    <x v="213"/>
    <x v="2"/>
    <x v="213"/>
    <x v="21"/>
    <x v="15"/>
    <x v="0"/>
    <x v="214"/>
    <x v="12"/>
    <x v="6"/>
    <s v="MEDIA"/>
    <s v="MEDIA"/>
    <n v="64"/>
    <s v="cumple"/>
    <x v="9"/>
    <x v="1"/>
    <x v="1662"/>
    <n v="1044"/>
    <x v="0"/>
  </r>
  <r>
    <x v="0"/>
    <x v="1"/>
    <x v="1"/>
    <x v="0"/>
    <x v="3"/>
    <x v="2"/>
    <x v="461"/>
    <x v="986"/>
    <x v="1663"/>
    <x v="214"/>
    <x v="25"/>
    <x v="214"/>
    <x v="23"/>
    <x v="15"/>
    <x v="0"/>
    <x v="214"/>
    <x v="12"/>
    <x v="6"/>
    <s v="MEDIA"/>
    <s v="MEDIA"/>
    <n v="64"/>
    <s v="cumple"/>
    <x v="9"/>
    <x v="1"/>
    <x v="1663"/>
    <n v="1044"/>
    <x v="0"/>
  </r>
  <r>
    <x v="0"/>
    <x v="1"/>
    <x v="1"/>
    <x v="0"/>
    <x v="3"/>
    <x v="1"/>
    <x v="462"/>
    <x v="987"/>
    <x v="1664"/>
    <x v="214"/>
    <x v="19"/>
    <x v="214"/>
    <x v="3"/>
    <x v="15"/>
    <x v="0"/>
    <x v="214"/>
    <x v="12"/>
    <x v="6"/>
    <s v="MEDIA"/>
    <s v="MEDIA"/>
    <n v="64"/>
    <s v="cumple"/>
    <x v="9"/>
    <x v="1"/>
    <x v="1664"/>
    <n v="1044"/>
    <x v="0"/>
  </r>
  <r>
    <x v="0"/>
    <x v="1"/>
    <x v="1"/>
    <x v="0"/>
    <x v="3"/>
    <x v="5"/>
    <x v="463"/>
    <x v="979"/>
    <x v="1665"/>
    <x v="214"/>
    <x v="4"/>
    <x v="214"/>
    <x v="4"/>
    <x v="2"/>
    <x v="0"/>
    <x v="214"/>
    <x v="12"/>
    <x v="6"/>
    <s v="MEDIA"/>
    <s v="MEDIA"/>
    <n v="64"/>
    <s v="cumple"/>
    <x v="9"/>
    <x v="1"/>
    <x v="1665"/>
    <n v="696"/>
    <x v="0"/>
  </r>
  <r>
    <x v="0"/>
    <x v="1"/>
    <x v="1"/>
    <x v="0"/>
    <x v="3"/>
    <x v="5"/>
    <x v="464"/>
    <x v="988"/>
    <x v="1666"/>
    <x v="214"/>
    <x v="6"/>
    <x v="214"/>
    <x v="13"/>
    <x v="19"/>
    <x v="0"/>
    <x v="214"/>
    <x v="12"/>
    <x v="6"/>
    <s v="MEDIA"/>
    <s v="MEDIA"/>
    <n v="64"/>
    <s v="cumple"/>
    <x v="9"/>
    <x v="1"/>
    <x v="1666"/>
    <n v="348"/>
    <x v="0"/>
  </r>
  <r>
    <x v="0"/>
    <x v="1"/>
    <x v="1"/>
    <x v="0"/>
    <x v="3"/>
    <x v="9"/>
    <x v="465"/>
    <x v="989"/>
    <x v="1667"/>
    <x v="214"/>
    <x v="10"/>
    <x v="214"/>
    <x v="9"/>
    <x v="15"/>
    <x v="0"/>
    <x v="214"/>
    <x v="12"/>
    <x v="6"/>
    <s v="MEDIA"/>
    <s v="MEDIA"/>
    <n v="64"/>
    <s v="cumple"/>
    <x v="9"/>
    <x v="1"/>
    <x v="1667"/>
    <n v="1044"/>
    <x v="0"/>
  </r>
  <r>
    <x v="0"/>
    <x v="1"/>
    <x v="1"/>
    <x v="0"/>
    <x v="3"/>
    <x v="1"/>
    <x v="466"/>
    <x v="990"/>
    <x v="1668"/>
    <x v="215"/>
    <x v="25"/>
    <x v="215"/>
    <x v="8"/>
    <x v="4"/>
    <x v="0"/>
    <x v="214"/>
    <x v="12"/>
    <x v="6"/>
    <s v="MEDIA"/>
    <s v="MEDIA"/>
    <n v="64"/>
    <s v="cumple"/>
    <x v="9"/>
    <x v="1"/>
    <x v="1668"/>
    <n v="1392"/>
    <x v="0"/>
  </r>
  <r>
    <x v="0"/>
    <x v="1"/>
    <x v="1"/>
    <x v="0"/>
    <x v="3"/>
    <x v="1"/>
    <x v="467"/>
    <x v="991"/>
    <x v="1669"/>
    <x v="215"/>
    <x v="8"/>
    <x v="215"/>
    <x v="3"/>
    <x v="2"/>
    <x v="0"/>
    <x v="214"/>
    <x v="12"/>
    <x v="6"/>
    <s v="MEDIA"/>
    <s v="MEDIA"/>
    <n v="64"/>
    <s v="cumple"/>
    <x v="9"/>
    <x v="1"/>
    <x v="1669"/>
    <n v="696"/>
    <x v="0"/>
  </r>
  <r>
    <x v="0"/>
    <x v="1"/>
    <x v="1"/>
    <x v="0"/>
    <x v="3"/>
    <x v="1"/>
    <x v="468"/>
    <x v="992"/>
    <x v="1670"/>
    <x v="215"/>
    <x v="4"/>
    <x v="215"/>
    <x v="5"/>
    <x v="4"/>
    <x v="0"/>
    <x v="214"/>
    <x v="12"/>
    <x v="6"/>
    <s v="MEDIA"/>
    <s v="MEDIA"/>
    <n v="64"/>
    <s v="cumple"/>
    <x v="9"/>
    <x v="1"/>
    <x v="1670"/>
    <n v="1392"/>
    <x v="0"/>
  </r>
  <r>
    <x v="0"/>
    <x v="1"/>
    <x v="1"/>
    <x v="0"/>
    <x v="3"/>
    <x v="5"/>
    <x v="469"/>
    <x v="993"/>
    <x v="1671"/>
    <x v="215"/>
    <x v="3"/>
    <x v="215"/>
    <x v="9"/>
    <x v="2"/>
    <x v="0"/>
    <x v="214"/>
    <x v="12"/>
    <x v="6"/>
    <s v="MEDIA"/>
    <s v="MEDIA"/>
    <n v="64"/>
    <s v="cumple"/>
    <x v="9"/>
    <x v="1"/>
    <x v="1671"/>
    <n v="696"/>
    <x v="0"/>
  </r>
  <r>
    <x v="0"/>
    <x v="1"/>
    <x v="1"/>
    <x v="0"/>
    <x v="3"/>
    <x v="5"/>
    <x v="470"/>
    <x v="994"/>
    <x v="1672"/>
    <x v="215"/>
    <x v="5"/>
    <x v="215"/>
    <x v="10"/>
    <x v="19"/>
    <x v="0"/>
    <x v="214"/>
    <x v="12"/>
    <x v="6"/>
    <s v="MEDIA"/>
    <s v="MEDIA"/>
    <n v="64"/>
    <s v="cumple"/>
    <x v="9"/>
    <x v="1"/>
    <x v="1672"/>
    <n v="348"/>
    <x v="0"/>
  </r>
  <r>
    <x v="0"/>
    <x v="1"/>
    <x v="1"/>
    <x v="0"/>
    <x v="3"/>
    <x v="1"/>
    <x v="471"/>
    <x v="995"/>
    <x v="1673"/>
    <x v="215"/>
    <x v="20"/>
    <x v="215"/>
    <x v="17"/>
    <x v="4"/>
    <x v="0"/>
    <x v="214"/>
    <x v="12"/>
    <x v="6"/>
    <s v="MEDIA"/>
    <s v="MEDIA"/>
    <n v="64"/>
    <s v="cumple"/>
    <x v="9"/>
    <x v="1"/>
    <x v="1673"/>
    <n v="1392"/>
    <x v="0"/>
  </r>
  <r>
    <x v="0"/>
    <x v="1"/>
    <x v="1"/>
    <x v="0"/>
    <x v="3"/>
    <x v="1"/>
    <x v="472"/>
    <x v="996"/>
    <x v="1669"/>
    <x v="215"/>
    <x v="14"/>
    <x v="215"/>
    <x v="21"/>
    <x v="2"/>
    <x v="0"/>
    <x v="214"/>
    <x v="12"/>
    <x v="6"/>
    <s v="MEDIA"/>
    <s v="MEDIA"/>
    <n v="64"/>
    <s v="cumple"/>
    <x v="9"/>
    <x v="1"/>
    <x v="1669"/>
    <n v="696"/>
    <x v="0"/>
  </r>
  <r>
    <x v="0"/>
    <x v="1"/>
    <x v="1"/>
    <x v="0"/>
    <x v="3"/>
    <x v="1"/>
    <x v="473"/>
    <x v="997"/>
    <x v="1674"/>
    <x v="215"/>
    <x v="16"/>
    <x v="215"/>
    <x v="20"/>
    <x v="4"/>
    <x v="0"/>
    <x v="214"/>
    <x v="12"/>
    <x v="6"/>
    <s v="MEDIA"/>
    <s v="MEDIA"/>
    <n v="64"/>
    <s v="cumple"/>
    <x v="9"/>
    <x v="1"/>
    <x v="1674"/>
    <n v="1392"/>
    <x v="0"/>
  </r>
  <r>
    <x v="0"/>
    <x v="1"/>
    <x v="1"/>
    <x v="0"/>
    <x v="3"/>
    <x v="5"/>
    <x v="474"/>
    <x v="998"/>
    <x v="1675"/>
    <x v="215"/>
    <x v="24"/>
    <x v="215"/>
    <x v="25"/>
    <x v="2"/>
    <x v="0"/>
    <x v="214"/>
    <x v="12"/>
    <x v="6"/>
    <s v="MEDIA"/>
    <s v="MEDIA"/>
    <n v="64"/>
    <s v="cumple"/>
    <x v="9"/>
    <x v="1"/>
    <x v="1675"/>
    <n v="696"/>
    <x v="0"/>
  </r>
  <r>
    <x v="0"/>
    <x v="1"/>
    <x v="1"/>
    <x v="0"/>
    <x v="3"/>
    <x v="5"/>
    <x v="475"/>
    <x v="999"/>
    <x v="1676"/>
    <x v="215"/>
    <x v="26"/>
    <x v="215"/>
    <x v="27"/>
    <x v="19"/>
    <x v="1"/>
    <x v="214"/>
    <x v="12"/>
    <x v="6"/>
    <s v="MEDIA"/>
    <s v="MEDIA"/>
    <n v="64"/>
    <s v="cumple"/>
    <x v="9"/>
    <x v="1"/>
    <x v="1676"/>
    <n v="348"/>
    <x v="0"/>
  </r>
  <r>
    <x v="0"/>
    <x v="1"/>
    <x v="1"/>
    <x v="0"/>
    <x v="3"/>
    <x v="1"/>
    <x v="476"/>
    <x v="1000"/>
    <x v="1677"/>
    <x v="216"/>
    <x v="28"/>
    <x v="216"/>
    <x v="31"/>
    <x v="4"/>
    <x v="0"/>
    <x v="214"/>
    <x v="12"/>
    <x v="6"/>
    <s v="MEDIA"/>
    <s v="MEDIA"/>
    <n v="64"/>
    <s v="cumple"/>
    <x v="9"/>
    <x v="1"/>
    <x v="1677"/>
    <n v="1392"/>
    <x v="0"/>
  </r>
  <r>
    <x v="0"/>
    <x v="1"/>
    <x v="1"/>
    <x v="0"/>
    <x v="3"/>
    <x v="1"/>
    <x v="477"/>
    <x v="996"/>
    <x v="1669"/>
    <x v="216"/>
    <x v="29"/>
    <x v="216"/>
    <x v="23"/>
    <x v="2"/>
    <x v="0"/>
    <x v="214"/>
    <x v="12"/>
    <x v="6"/>
    <s v="MEDIA"/>
    <s v="MEDIA"/>
    <n v="64"/>
    <s v="cumple"/>
    <x v="9"/>
    <x v="1"/>
    <x v="1669"/>
    <n v="696"/>
    <x v="0"/>
  </r>
  <r>
    <x v="0"/>
    <x v="0"/>
    <x v="1"/>
    <x v="0"/>
    <x v="3"/>
    <x v="2"/>
    <x v="478"/>
    <x v="1001"/>
    <x v="1678"/>
    <x v="216"/>
    <x v="19"/>
    <x v="216"/>
    <x v="15"/>
    <x v="4"/>
    <x v="0"/>
    <x v="214"/>
    <x v="12"/>
    <x v="6"/>
    <s v="MEDIA"/>
    <s v="MEDIA"/>
    <n v="64"/>
    <s v="cumple"/>
    <x v="9"/>
    <x v="1"/>
    <x v="1678"/>
    <n v="1392"/>
    <x v="0"/>
  </r>
  <r>
    <x v="0"/>
    <x v="1"/>
    <x v="1"/>
    <x v="0"/>
    <x v="3"/>
    <x v="1"/>
    <x v="479"/>
    <x v="1002"/>
    <x v="1679"/>
    <x v="216"/>
    <x v="12"/>
    <x v="216"/>
    <x v="13"/>
    <x v="2"/>
    <x v="0"/>
    <x v="214"/>
    <x v="12"/>
    <x v="6"/>
    <s v="MEDIA"/>
    <s v="MEDIA"/>
    <n v="64"/>
    <s v="cumple"/>
    <x v="9"/>
    <x v="1"/>
    <x v="1679"/>
    <n v="696"/>
    <x v="0"/>
  </r>
  <r>
    <x v="0"/>
    <x v="1"/>
    <x v="1"/>
    <x v="0"/>
    <x v="3"/>
    <x v="1"/>
    <x v="480"/>
    <x v="1003"/>
    <x v="1680"/>
    <x v="216"/>
    <x v="10"/>
    <x v="216"/>
    <x v="5"/>
    <x v="19"/>
    <x v="0"/>
    <x v="214"/>
    <x v="12"/>
    <x v="6"/>
    <s v="MEDIA"/>
    <s v="MEDIA"/>
    <n v="64"/>
    <s v="cumple"/>
    <x v="9"/>
    <x v="1"/>
    <x v="1680"/>
    <n v="348"/>
    <x v="0"/>
  </r>
  <r>
    <x v="0"/>
    <x v="1"/>
    <x v="1"/>
    <x v="0"/>
    <x v="3"/>
    <x v="1"/>
    <x v="481"/>
    <x v="1004"/>
    <x v="1681"/>
    <x v="216"/>
    <x v="11"/>
    <x v="216"/>
    <x v="10"/>
    <x v="4"/>
    <x v="0"/>
    <x v="214"/>
    <x v="12"/>
    <x v="6"/>
    <s v="MEDIA"/>
    <s v="MEDIA"/>
    <n v="64"/>
    <s v="cumple"/>
    <x v="9"/>
    <x v="1"/>
    <x v="1681"/>
    <n v="1392"/>
    <x v="0"/>
  </r>
  <r>
    <x v="0"/>
    <x v="1"/>
    <x v="1"/>
    <x v="0"/>
    <x v="3"/>
    <x v="1"/>
    <x v="482"/>
    <x v="996"/>
    <x v="1669"/>
    <x v="216"/>
    <x v="20"/>
    <x v="216"/>
    <x v="18"/>
    <x v="2"/>
    <x v="0"/>
    <x v="214"/>
    <x v="12"/>
    <x v="6"/>
    <s v="MEDIA"/>
    <s v="MEDIA"/>
    <n v="64"/>
    <s v="cumple"/>
    <x v="9"/>
    <x v="1"/>
    <x v="1669"/>
    <n v="696"/>
    <x v="0"/>
  </r>
  <r>
    <x v="0"/>
    <x v="11"/>
    <x v="1"/>
    <x v="0"/>
    <x v="3"/>
    <x v="5"/>
    <x v="483"/>
    <x v="1005"/>
    <x v="1682"/>
    <x v="216"/>
    <x v="15"/>
    <x v="216"/>
    <x v="21"/>
    <x v="4"/>
    <x v="0"/>
    <x v="214"/>
    <x v="12"/>
    <x v="6"/>
    <s v="MEDIA"/>
    <s v="MEDIA"/>
    <n v="64"/>
    <s v="cumple"/>
    <x v="9"/>
    <x v="1"/>
    <x v="1682"/>
    <n v="1392"/>
    <x v="0"/>
  </r>
  <r>
    <x v="0"/>
    <x v="8"/>
    <x v="1"/>
    <x v="0"/>
    <x v="3"/>
    <x v="4"/>
    <x v="484"/>
    <x v="1006"/>
    <x v="1683"/>
    <x v="216"/>
    <x v="16"/>
    <x v="216"/>
    <x v="22"/>
    <x v="2"/>
    <x v="0"/>
    <x v="214"/>
    <x v="12"/>
    <x v="6"/>
    <s v="MEDIA"/>
    <s v="MEDIA"/>
    <n v="64"/>
    <s v="cumple"/>
    <x v="9"/>
    <x v="1"/>
    <x v="1683"/>
    <n v="696"/>
    <x v="0"/>
  </r>
  <r>
    <x v="0"/>
    <x v="0"/>
    <x v="1"/>
    <x v="0"/>
    <x v="3"/>
    <x v="2"/>
    <x v="485"/>
    <x v="1007"/>
    <x v="1684"/>
    <x v="216"/>
    <x v="18"/>
    <x v="216"/>
    <x v="11"/>
    <x v="19"/>
    <x v="0"/>
    <x v="214"/>
    <x v="12"/>
    <x v="6"/>
    <s v="MEDIA"/>
    <s v="MEDIA"/>
    <n v="64"/>
    <s v="cumple"/>
    <x v="9"/>
    <x v="1"/>
    <x v="1684"/>
    <n v="348"/>
    <x v="0"/>
  </r>
  <r>
    <x v="0"/>
    <x v="1"/>
    <x v="1"/>
    <x v="0"/>
    <x v="3"/>
    <x v="1"/>
    <x v="486"/>
    <x v="1008"/>
    <x v="1685"/>
    <x v="216"/>
    <x v="22"/>
    <x v="216"/>
    <x v="24"/>
    <x v="2"/>
    <x v="0"/>
    <x v="214"/>
    <x v="12"/>
    <x v="6"/>
    <s v="MEDIA"/>
    <s v="MEDIA"/>
    <n v="64"/>
    <s v="cumple"/>
    <x v="9"/>
    <x v="1"/>
    <x v="1685"/>
    <n v="696"/>
    <x v="0"/>
  </r>
  <r>
    <x v="0"/>
    <x v="1"/>
    <x v="1"/>
    <x v="0"/>
    <x v="3"/>
    <x v="1"/>
    <x v="487"/>
    <x v="1009"/>
    <x v="1686"/>
    <x v="216"/>
    <x v="30"/>
    <x v="216"/>
    <x v="25"/>
    <x v="19"/>
    <x v="0"/>
    <x v="214"/>
    <x v="12"/>
    <x v="6"/>
    <s v="MEDIA"/>
    <s v="MEDIA"/>
    <n v="64"/>
    <s v="cumple"/>
    <x v="9"/>
    <x v="1"/>
    <x v="1686"/>
    <n v="348"/>
    <x v="0"/>
  </r>
  <r>
    <x v="0"/>
    <x v="1"/>
    <x v="1"/>
    <x v="0"/>
    <x v="3"/>
    <x v="1"/>
    <x v="488"/>
    <x v="1010"/>
    <x v="1687"/>
    <x v="216"/>
    <x v="26"/>
    <x v="216"/>
    <x v="32"/>
    <x v="15"/>
    <x v="0"/>
    <x v="214"/>
    <x v="12"/>
    <x v="6"/>
    <s v="MEDIA"/>
    <s v="MEDIA"/>
    <n v="64"/>
    <s v="cumple"/>
    <x v="9"/>
    <x v="1"/>
    <x v="1687"/>
    <n v="1044"/>
    <x v="0"/>
  </r>
  <r>
    <x v="0"/>
    <x v="1"/>
    <x v="1"/>
    <x v="0"/>
    <x v="3"/>
    <x v="1"/>
    <x v="489"/>
    <x v="1011"/>
    <x v="1688"/>
    <x v="216"/>
    <x v="31"/>
    <x v="216"/>
    <x v="33"/>
    <x v="15"/>
    <x v="0"/>
    <x v="214"/>
    <x v="12"/>
    <x v="6"/>
    <s v="MEDIA"/>
    <s v="MEDIA"/>
    <n v="64"/>
    <s v="cumple"/>
    <x v="9"/>
    <x v="1"/>
    <x v="1688"/>
    <n v="1044"/>
    <x v="0"/>
  </r>
  <r>
    <x v="0"/>
    <x v="1"/>
    <x v="1"/>
    <x v="0"/>
    <x v="3"/>
    <x v="1"/>
    <x v="490"/>
    <x v="1012"/>
    <x v="1689"/>
    <x v="217"/>
    <x v="32"/>
    <x v="217"/>
    <x v="34"/>
    <x v="4"/>
    <x v="0"/>
    <x v="214"/>
    <x v="12"/>
    <x v="6"/>
    <s v="MEDIA"/>
    <s v="MEDIA"/>
    <n v="64"/>
    <s v="cumple"/>
    <x v="9"/>
    <x v="1"/>
    <x v="1689"/>
    <n v="1392"/>
    <x v="0"/>
  </r>
  <r>
    <x v="0"/>
    <x v="1"/>
    <x v="1"/>
    <x v="0"/>
    <x v="3"/>
    <x v="1"/>
    <x v="491"/>
    <x v="996"/>
    <x v="1669"/>
    <x v="217"/>
    <x v="33"/>
    <x v="217"/>
    <x v="35"/>
    <x v="2"/>
    <x v="0"/>
    <x v="214"/>
    <x v="12"/>
    <x v="6"/>
    <s v="MEDIA"/>
    <s v="MEDIA"/>
    <n v="64"/>
    <s v="cumple"/>
    <x v="9"/>
    <x v="1"/>
    <x v="1669"/>
    <n v="696"/>
    <x v="0"/>
  </r>
  <r>
    <x v="0"/>
    <x v="1"/>
    <x v="1"/>
    <x v="0"/>
    <x v="3"/>
    <x v="1"/>
    <x v="492"/>
    <x v="1013"/>
    <x v="1690"/>
    <x v="217"/>
    <x v="25"/>
    <x v="217"/>
    <x v="8"/>
    <x v="4"/>
    <x v="0"/>
    <x v="214"/>
    <x v="12"/>
    <x v="6"/>
    <s v="MEDIA"/>
    <s v="MEDIA"/>
    <n v="64"/>
    <s v="cumple"/>
    <x v="9"/>
    <x v="1"/>
    <x v="1690"/>
    <n v="1392"/>
    <x v="0"/>
  </r>
  <r>
    <x v="0"/>
    <x v="1"/>
    <x v="1"/>
    <x v="0"/>
    <x v="3"/>
    <x v="5"/>
    <x v="493"/>
    <x v="1014"/>
    <x v="1691"/>
    <x v="217"/>
    <x v="8"/>
    <x v="217"/>
    <x v="3"/>
    <x v="2"/>
    <x v="0"/>
    <x v="214"/>
    <x v="12"/>
    <x v="6"/>
    <s v="MEDIA"/>
    <s v="MEDIA"/>
    <n v="64"/>
    <s v="cumple"/>
    <x v="9"/>
    <x v="1"/>
    <x v="1691"/>
    <n v="696"/>
    <x v="0"/>
  </r>
  <r>
    <x v="0"/>
    <x v="1"/>
    <x v="1"/>
    <x v="0"/>
    <x v="3"/>
    <x v="5"/>
    <x v="494"/>
    <x v="1015"/>
    <x v="1692"/>
    <x v="217"/>
    <x v="4"/>
    <x v="217"/>
    <x v="15"/>
    <x v="19"/>
    <x v="0"/>
    <x v="214"/>
    <x v="12"/>
    <x v="6"/>
    <s v="MEDIA"/>
    <s v="MEDIA"/>
    <n v="64"/>
    <s v="cumple"/>
    <x v="9"/>
    <x v="1"/>
    <x v="1692"/>
    <n v="348"/>
    <x v="0"/>
  </r>
  <r>
    <x v="0"/>
    <x v="1"/>
    <x v="1"/>
    <x v="0"/>
    <x v="3"/>
    <x v="1"/>
    <x v="495"/>
    <x v="1016"/>
    <x v="1693"/>
    <x v="217"/>
    <x v="12"/>
    <x v="217"/>
    <x v="5"/>
    <x v="4"/>
    <x v="0"/>
    <x v="214"/>
    <x v="12"/>
    <x v="6"/>
    <s v="MEDIA"/>
    <s v="MEDIA"/>
    <n v="64"/>
    <s v="cumple"/>
    <x v="9"/>
    <x v="1"/>
    <x v="1693"/>
    <n v="1392"/>
    <x v="0"/>
  </r>
  <r>
    <x v="0"/>
    <x v="1"/>
    <x v="1"/>
    <x v="0"/>
    <x v="3"/>
    <x v="1"/>
    <x v="496"/>
    <x v="996"/>
    <x v="1669"/>
    <x v="217"/>
    <x v="3"/>
    <x v="217"/>
    <x v="9"/>
    <x v="2"/>
    <x v="0"/>
    <x v="214"/>
    <x v="12"/>
    <x v="6"/>
    <s v="MEDIA"/>
    <s v="MEDIA"/>
    <n v="64"/>
    <s v="cumple"/>
    <x v="9"/>
    <x v="1"/>
    <x v="1669"/>
    <n v="696"/>
    <x v="0"/>
  </r>
  <r>
    <x v="0"/>
    <x v="1"/>
    <x v="1"/>
    <x v="0"/>
    <x v="3"/>
    <x v="1"/>
    <x v="497"/>
    <x v="1017"/>
    <x v="1694"/>
    <x v="217"/>
    <x v="21"/>
    <x v="217"/>
    <x v="18"/>
    <x v="4"/>
    <x v="0"/>
    <x v="214"/>
    <x v="12"/>
    <x v="6"/>
    <s v="MEDIA"/>
    <s v="MEDIA"/>
    <n v="64"/>
    <s v="cumple"/>
    <x v="9"/>
    <x v="1"/>
    <x v="1694"/>
    <n v="1392"/>
    <x v="0"/>
  </r>
  <r>
    <x v="0"/>
    <x v="1"/>
    <x v="1"/>
    <x v="0"/>
    <x v="3"/>
    <x v="1"/>
    <x v="498"/>
    <x v="1018"/>
    <x v="1695"/>
    <x v="217"/>
    <x v="15"/>
    <x v="217"/>
    <x v="17"/>
    <x v="2"/>
    <x v="0"/>
    <x v="214"/>
    <x v="12"/>
    <x v="6"/>
    <s v="MEDIA"/>
    <s v="MEDIA"/>
    <n v="64"/>
    <s v="cumple"/>
    <x v="9"/>
    <x v="1"/>
    <x v="1695"/>
    <n v="696"/>
    <x v="0"/>
  </r>
  <r>
    <x v="0"/>
    <x v="1"/>
    <x v="1"/>
    <x v="0"/>
    <x v="3"/>
    <x v="5"/>
    <x v="499"/>
    <x v="1019"/>
    <x v="1696"/>
    <x v="217"/>
    <x v="14"/>
    <x v="217"/>
    <x v="1"/>
    <x v="19"/>
    <x v="0"/>
    <x v="214"/>
    <x v="12"/>
    <x v="6"/>
    <s v="MEDIA"/>
    <s v="MEDIA"/>
    <n v="64"/>
    <s v="cumple"/>
    <x v="9"/>
    <x v="1"/>
    <x v="1696"/>
    <n v="348"/>
    <x v="0"/>
  </r>
  <r>
    <x v="0"/>
    <x v="1"/>
    <x v="1"/>
    <x v="0"/>
    <x v="3"/>
    <x v="1"/>
    <x v="500"/>
    <x v="1020"/>
    <x v="1697"/>
    <x v="217"/>
    <x v="1"/>
    <x v="217"/>
    <x v="11"/>
    <x v="4"/>
    <x v="0"/>
    <x v="214"/>
    <x v="12"/>
    <x v="6"/>
    <s v="MEDIA"/>
    <s v="MEDIA"/>
    <n v="64"/>
    <s v="cumple"/>
    <x v="9"/>
    <x v="1"/>
    <x v="1697"/>
    <n v="1392"/>
    <x v="0"/>
  </r>
  <r>
    <x v="0"/>
    <x v="1"/>
    <x v="1"/>
    <x v="0"/>
    <x v="3"/>
    <x v="1"/>
    <x v="501"/>
    <x v="996"/>
    <x v="1669"/>
    <x v="217"/>
    <x v="22"/>
    <x v="217"/>
    <x v="24"/>
    <x v="2"/>
    <x v="0"/>
    <x v="214"/>
    <x v="12"/>
    <x v="6"/>
    <s v="MEDIA"/>
    <s v="MEDIA"/>
    <n v="64"/>
    <s v="cumple"/>
    <x v="9"/>
    <x v="1"/>
    <x v="1669"/>
    <n v="696"/>
    <x v="0"/>
  </r>
  <r>
    <x v="0"/>
    <x v="1"/>
    <x v="1"/>
    <x v="0"/>
    <x v="3"/>
    <x v="1"/>
    <x v="502"/>
    <x v="1021"/>
    <x v="1698"/>
    <x v="217"/>
    <x v="30"/>
    <x v="217"/>
    <x v="32"/>
    <x v="4"/>
    <x v="0"/>
    <x v="214"/>
    <x v="12"/>
    <x v="6"/>
    <s v="MEDIA"/>
    <s v="MEDIA"/>
    <n v="64"/>
    <s v="cumple"/>
    <x v="9"/>
    <x v="1"/>
    <x v="1698"/>
    <n v="1392"/>
    <x v="0"/>
  </r>
  <r>
    <x v="0"/>
    <x v="1"/>
    <x v="1"/>
    <x v="0"/>
    <x v="3"/>
    <x v="5"/>
    <x v="503"/>
    <x v="1022"/>
    <x v="1699"/>
    <x v="217"/>
    <x v="31"/>
    <x v="217"/>
    <x v="33"/>
    <x v="2"/>
    <x v="0"/>
    <x v="214"/>
    <x v="12"/>
    <x v="6"/>
    <s v="MEDIA"/>
    <s v="MEDIA"/>
    <n v="64"/>
    <s v="cumple"/>
    <x v="9"/>
    <x v="1"/>
    <x v="1699"/>
    <n v="696"/>
    <x v="0"/>
  </r>
  <r>
    <x v="0"/>
    <x v="1"/>
    <x v="1"/>
    <x v="0"/>
    <x v="3"/>
    <x v="5"/>
    <x v="504"/>
    <x v="1023"/>
    <x v="1700"/>
    <x v="217"/>
    <x v="34"/>
    <x v="218"/>
    <x v="36"/>
    <x v="19"/>
    <x v="0"/>
    <x v="214"/>
    <x v="12"/>
    <x v="6"/>
    <s v="MEDIA"/>
    <s v="MEDIA"/>
    <n v="64"/>
    <s v="cumple"/>
    <x v="9"/>
    <x v="1"/>
    <x v="1700"/>
    <n v="348"/>
    <x v="0"/>
  </r>
  <r>
    <x v="0"/>
    <x v="1"/>
    <x v="1"/>
    <x v="0"/>
    <x v="3"/>
    <x v="1"/>
    <x v="505"/>
    <x v="1024"/>
    <x v="1701"/>
    <x v="218"/>
    <x v="25"/>
    <x v="218"/>
    <x v="8"/>
    <x v="4"/>
    <x v="0"/>
    <x v="214"/>
    <x v="12"/>
    <x v="6"/>
    <s v="MEDIA"/>
    <s v="MEDIA"/>
    <n v="64"/>
    <s v="cumple"/>
    <x v="9"/>
    <x v="1"/>
    <x v="1701"/>
    <n v="1392"/>
    <x v="0"/>
  </r>
  <r>
    <x v="0"/>
    <x v="1"/>
    <x v="1"/>
    <x v="0"/>
    <x v="3"/>
    <x v="1"/>
    <x v="506"/>
    <x v="996"/>
    <x v="1669"/>
    <x v="218"/>
    <x v="8"/>
    <x v="218"/>
    <x v="3"/>
    <x v="2"/>
    <x v="0"/>
    <x v="214"/>
    <x v="12"/>
    <x v="6"/>
    <s v="MEDIA"/>
    <s v="MEDIA"/>
    <n v="64"/>
    <s v="cumple"/>
    <x v="9"/>
    <x v="1"/>
    <x v="1669"/>
    <n v="696"/>
    <x v="0"/>
  </r>
  <r>
    <x v="0"/>
    <x v="1"/>
    <x v="1"/>
    <x v="0"/>
    <x v="3"/>
    <x v="1"/>
    <x v="507"/>
    <x v="1025"/>
    <x v="1702"/>
    <x v="218"/>
    <x v="4"/>
    <x v="218"/>
    <x v="5"/>
    <x v="4"/>
    <x v="0"/>
    <x v="214"/>
    <x v="12"/>
    <x v="6"/>
    <s v="MEDIA"/>
    <s v="MEDIA"/>
    <n v="64"/>
    <s v="cumple"/>
    <x v="9"/>
    <x v="1"/>
    <x v="1702"/>
    <n v="1392"/>
    <x v="0"/>
  </r>
  <r>
    <x v="0"/>
    <x v="1"/>
    <x v="1"/>
    <x v="0"/>
    <x v="3"/>
    <x v="5"/>
    <x v="508"/>
    <x v="1026"/>
    <x v="1703"/>
    <x v="218"/>
    <x v="3"/>
    <x v="218"/>
    <x v="9"/>
    <x v="2"/>
    <x v="0"/>
    <x v="214"/>
    <x v="12"/>
    <x v="6"/>
    <s v="MEDIA"/>
    <s v="MEDIA"/>
    <n v="64"/>
    <s v="cumple"/>
    <x v="9"/>
    <x v="1"/>
    <x v="1703"/>
    <n v="696"/>
    <x v="0"/>
  </r>
  <r>
    <x v="0"/>
    <x v="1"/>
    <x v="1"/>
    <x v="0"/>
    <x v="3"/>
    <x v="5"/>
    <x v="509"/>
    <x v="1027"/>
    <x v="1704"/>
    <x v="218"/>
    <x v="21"/>
    <x v="218"/>
    <x v="7"/>
    <x v="19"/>
    <x v="0"/>
    <x v="214"/>
    <x v="12"/>
    <x v="6"/>
    <s v="MEDIA"/>
    <s v="MEDIA"/>
    <n v="64"/>
    <s v="cumple"/>
    <x v="9"/>
    <x v="1"/>
    <x v="1704"/>
    <n v="348"/>
    <x v="0"/>
  </r>
  <r>
    <x v="0"/>
    <x v="1"/>
    <x v="1"/>
    <x v="0"/>
    <x v="3"/>
    <x v="1"/>
    <x v="510"/>
    <x v="1028"/>
    <x v="1705"/>
    <x v="218"/>
    <x v="5"/>
    <x v="218"/>
    <x v="2"/>
    <x v="4"/>
    <x v="0"/>
    <x v="214"/>
    <x v="12"/>
    <x v="6"/>
    <s v="MEDIA"/>
    <s v="MEDIA"/>
    <n v="64"/>
    <s v="cumple"/>
    <x v="9"/>
    <x v="1"/>
    <x v="1705"/>
    <n v="1392"/>
    <x v="0"/>
  </r>
  <r>
    <x v="0"/>
    <x v="1"/>
    <x v="1"/>
    <x v="0"/>
    <x v="3"/>
    <x v="1"/>
    <x v="511"/>
    <x v="996"/>
    <x v="1669"/>
    <x v="218"/>
    <x v="2"/>
    <x v="218"/>
    <x v="1"/>
    <x v="2"/>
    <x v="0"/>
    <x v="214"/>
    <x v="12"/>
    <x v="6"/>
    <s v="MEDIA"/>
    <s v="MEDIA"/>
    <n v="64"/>
    <s v="cumple"/>
    <x v="9"/>
    <x v="1"/>
    <x v="1669"/>
    <n v="696"/>
    <x v="0"/>
  </r>
  <r>
    <x v="0"/>
    <x v="1"/>
    <x v="1"/>
    <x v="0"/>
    <x v="3"/>
    <x v="1"/>
    <x v="512"/>
    <x v="1029"/>
    <x v="1706"/>
    <x v="218"/>
    <x v="1"/>
    <x v="218"/>
    <x v="11"/>
    <x v="4"/>
    <x v="0"/>
    <x v="214"/>
    <x v="12"/>
    <x v="6"/>
    <s v="MEDIA"/>
    <s v="MEDIA"/>
    <n v="64"/>
    <s v="cumple"/>
    <x v="9"/>
    <x v="1"/>
    <x v="1706"/>
    <n v="1392"/>
    <x v="0"/>
  </r>
  <r>
    <x v="0"/>
    <x v="1"/>
    <x v="1"/>
    <x v="0"/>
    <x v="3"/>
    <x v="5"/>
    <x v="513"/>
    <x v="1030"/>
    <x v="1707"/>
    <x v="218"/>
    <x v="22"/>
    <x v="218"/>
    <x v="24"/>
    <x v="2"/>
    <x v="0"/>
    <x v="214"/>
    <x v="12"/>
    <x v="6"/>
    <s v="MEDIA"/>
    <s v="MEDIA"/>
    <n v="64"/>
    <s v="cumple"/>
    <x v="9"/>
    <x v="1"/>
    <x v="1707"/>
    <n v="696"/>
    <x v="0"/>
  </r>
  <r>
    <x v="0"/>
    <x v="1"/>
    <x v="1"/>
    <x v="0"/>
    <x v="3"/>
    <x v="5"/>
    <x v="514"/>
    <x v="1031"/>
    <x v="1708"/>
    <x v="218"/>
    <x v="30"/>
    <x v="218"/>
    <x v="25"/>
    <x v="19"/>
    <x v="0"/>
    <x v="214"/>
    <x v="12"/>
    <x v="6"/>
    <s v="MEDIA"/>
    <s v="MEDIA"/>
    <n v="64"/>
    <s v="cumple"/>
    <x v="9"/>
    <x v="1"/>
    <x v="1708"/>
    <n v="348"/>
    <x v="0"/>
  </r>
  <r>
    <x v="0"/>
    <x v="1"/>
    <x v="1"/>
    <x v="0"/>
    <x v="3"/>
    <x v="1"/>
    <x v="515"/>
    <x v="1032"/>
    <x v="1709"/>
    <x v="219"/>
    <x v="25"/>
    <x v="219"/>
    <x v="8"/>
    <x v="4"/>
    <x v="0"/>
    <x v="214"/>
    <x v="12"/>
    <x v="6"/>
    <s v="MEDIA"/>
    <s v="MEDIA"/>
    <n v="64"/>
    <s v="cumple"/>
    <x v="9"/>
    <x v="1"/>
    <x v="1709"/>
    <n v="1392"/>
    <x v="0"/>
  </r>
  <r>
    <x v="0"/>
    <x v="1"/>
    <x v="1"/>
    <x v="0"/>
    <x v="3"/>
    <x v="1"/>
    <x v="516"/>
    <x v="996"/>
    <x v="1669"/>
    <x v="219"/>
    <x v="8"/>
    <x v="219"/>
    <x v="3"/>
    <x v="2"/>
    <x v="0"/>
    <x v="214"/>
    <x v="12"/>
    <x v="6"/>
    <s v="MEDIA"/>
    <s v="MEDIA"/>
    <n v="64"/>
    <s v="cumple"/>
    <x v="9"/>
    <x v="1"/>
    <x v="1669"/>
    <n v="696"/>
    <x v="0"/>
  </r>
  <r>
    <x v="0"/>
    <x v="1"/>
    <x v="1"/>
    <x v="0"/>
    <x v="3"/>
    <x v="1"/>
    <x v="517"/>
    <x v="1033"/>
    <x v="1710"/>
    <x v="219"/>
    <x v="4"/>
    <x v="219"/>
    <x v="5"/>
    <x v="4"/>
    <x v="0"/>
    <x v="214"/>
    <x v="12"/>
    <x v="6"/>
    <s v="MEDIA"/>
    <s v="MEDIA"/>
    <n v="64"/>
    <s v="cumple"/>
    <x v="9"/>
    <x v="1"/>
    <x v="1710"/>
    <n v="1392"/>
    <x v="0"/>
  </r>
  <r>
    <x v="0"/>
    <x v="1"/>
    <x v="1"/>
    <x v="0"/>
    <x v="3"/>
    <x v="5"/>
    <x v="518"/>
    <x v="1034"/>
    <x v="1711"/>
    <x v="219"/>
    <x v="3"/>
    <x v="219"/>
    <x v="9"/>
    <x v="2"/>
    <x v="0"/>
    <x v="214"/>
    <x v="12"/>
    <x v="6"/>
    <s v="MEDIA"/>
    <s v="MEDIA"/>
    <n v="64"/>
    <s v="cumple"/>
    <x v="9"/>
    <x v="1"/>
    <x v="1711"/>
    <n v="696"/>
    <x v="0"/>
  </r>
  <r>
    <x v="0"/>
    <x v="1"/>
    <x v="1"/>
    <x v="0"/>
    <x v="3"/>
    <x v="5"/>
    <x v="519"/>
    <x v="1035"/>
    <x v="1712"/>
    <x v="219"/>
    <x v="21"/>
    <x v="219"/>
    <x v="7"/>
    <x v="19"/>
    <x v="0"/>
    <x v="214"/>
    <x v="12"/>
    <x v="6"/>
    <s v="MEDIA"/>
    <s v="MEDIA"/>
    <n v="64"/>
    <s v="cumple"/>
    <x v="9"/>
    <x v="1"/>
    <x v="1712"/>
    <n v="348"/>
    <x v="0"/>
  </r>
  <r>
    <x v="0"/>
    <x v="1"/>
    <x v="1"/>
    <x v="0"/>
    <x v="3"/>
    <x v="4"/>
    <x v="520"/>
    <x v="1036"/>
    <x v="1713"/>
    <x v="219"/>
    <x v="5"/>
    <x v="219"/>
    <x v="6"/>
    <x v="2"/>
    <x v="0"/>
    <x v="214"/>
    <x v="12"/>
    <x v="6"/>
    <s v="MEDIA"/>
    <s v="MEDIA"/>
    <n v="64"/>
    <s v="cumple"/>
    <x v="9"/>
    <x v="1"/>
    <x v="1713"/>
    <n v="696"/>
    <x v="0"/>
  </r>
  <r>
    <x v="0"/>
    <x v="1"/>
    <x v="1"/>
    <x v="0"/>
    <x v="3"/>
    <x v="1"/>
    <x v="521"/>
    <x v="1037"/>
    <x v="1714"/>
    <x v="219"/>
    <x v="7"/>
    <x v="219"/>
    <x v="1"/>
    <x v="4"/>
    <x v="0"/>
    <x v="214"/>
    <x v="12"/>
    <x v="6"/>
    <s v="MEDIA"/>
    <s v="MEDIA"/>
    <n v="64"/>
    <s v="cumple"/>
    <x v="9"/>
    <x v="1"/>
    <x v="1714"/>
    <n v="1392"/>
    <x v="0"/>
  </r>
  <r>
    <x v="0"/>
    <x v="1"/>
    <x v="1"/>
    <x v="0"/>
    <x v="3"/>
    <x v="1"/>
    <x v="522"/>
    <x v="996"/>
    <x v="1669"/>
    <x v="219"/>
    <x v="1"/>
    <x v="219"/>
    <x v="0"/>
    <x v="2"/>
    <x v="0"/>
    <x v="214"/>
    <x v="12"/>
    <x v="6"/>
    <s v="MEDIA"/>
    <s v="MEDIA"/>
    <n v="64"/>
    <s v="cumple"/>
    <x v="9"/>
    <x v="1"/>
    <x v="1669"/>
    <n v="696"/>
    <x v="0"/>
  </r>
  <r>
    <x v="0"/>
    <x v="1"/>
    <x v="1"/>
    <x v="0"/>
    <x v="3"/>
    <x v="1"/>
    <x v="523"/>
    <x v="1038"/>
    <x v="1715"/>
    <x v="219"/>
    <x v="17"/>
    <x v="219"/>
    <x v="24"/>
    <x v="4"/>
    <x v="0"/>
    <x v="214"/>
    <x v="12"/>
    <x v="6"/>
    <s v="MEDIA"/>
    <s v="MEDIA"/>
    <n v="64"/>
    <s v="cumple"/>
    <x v="9"/>
    <x v="1"/>
    <x v="1715"/>
    <n v="1392"/>
    <x v="0"/>
  </r>
  <r>
    <x v="0"/>
    <x v="1"/>
    <x v="1"/>
    <x v="0"/>
    <x v="3"/>
    <x v="5"/>
    <x v="524"/>
    <x v="1039"/>
    <x v="1716"/>
    <x v="219"/>
    <x v="30"/>
    <x v="219"/>
    <x v="27"/>
    <x v="2"/>
    <x v="0"/>
    <x v="214"/>
    <x v="12"/>
    <x v="6"/>
    <s v="MEDIA"/>
    <s v="MEDIA"/>
    <n v="64"/>
    <s v="cumple"/>
    <x v="9"/>
    <x v="1"/>
    <x v="1716"/>
    <n v="696"/>
    <x v="0"/>
  </r>
  <r>
    <x v="0"/>
    <x v="1"/>
    <x v="1"/>
    <x v="0"/>
    <x v="3"/>
    <x v="1"/>
    <x v="525"/>
    <x v="1040"/>
    <x v="1717"/>
    <x v="219"/>
    <x v="35"/>
    <x v="219"/>
    <x v="28"/>
    <x v="19"/>
    <x v="0"/>
    <x v="214"/>
    <x v="12"/>
    <x v="6"/>
    <s v="MEDIA"/>
    <s v="MEDIA"/>
    <n v="64"/>
    <s v="cumple"/>
    <x v="9"/>
    <x v="1"/>
    <x v="1717"/>
    <n v="348"/>
    <x v="0"/>
  </r>
  <r>
    <x v="0"/>
    <x v="1"/>
    <x v="1"/>
    <x v="0"/>
    <x v="3"/>
    <x v="1"/>
    <x v="526"/>
    <x v="1041"/>
    <x v="1718"/>
    <x v="220"/>
    <x v="25"/>
    <x v="220"/>
    <x v="23"/>
    <x v="15"/>
    <x v="0"/>
    <x v="214"/>
    <x v="12"/>
    <x v="6"/>
    <s v="MEDIA"/>
    <s v="MEDIA"/>
    <n v="64"/>
    <s v="cumple"/>
    <x v="9"/>
    <x v="1"/>
    <x v="1718"/>
    <n v="1044"/>
    <x v="0"/>
  </r>
  <r>
    <x v="0"/>
    <x v="1"/>
    <x v="1"/>
    <x v="0"/>
    <x v="3"/>
    <x v="1"/>
    <x v="527"/>
    <x v="1042"/>
    <x v="1719"/>
    <x v="220"/>
    <x v="19"/>
    <x v="220"/>
    <x v="3"/>
    <x v="15"/>
    <x v="0"/>
    <x v="214"/>
    <x v="12"/>
    <x v="6"/>
    <s v="MEDIA"/>
    <s v="MEDIA"/>
    <n v="64"/>
    <s v="cumple"/>
    <x v="9"/>
    <x v="1"/>
    <x v="1719"/>
    <n v="1044"/>
    <x v="0"/>
  </r>
  <r>
    <x v="0"/>
    <x v="0"/>
    <x v="1"/>
    <x v="0"/>
    <x v="3"/>
    <x v="2"/>
    <x v="528"/>
    <x v="1043"/>
    <x v="1720"/>
    <x v="220"/>
    <x v="4"/>
    <x v="220"/>
    <x v="4"/>
    <x v="2"/>
    <x v="0"/>
    <x v="214"/>
    <x v="12"/>
    <x v="6"/>
    <s v="MEDIA"/>
    <s v="MEDIA"/>
    <n v="64"/>
    <s v="cumple"/>
    <x v="9"/>
    <x v="1"/>
    <x v="1720"/>
    <n v="696"/>
    <x v="0"/>
  </r>
  <r>
    <x v="0"/>
    <x v="0"/>
    <x v="1"/>
    <x v="0"/>
    <x v="3"/>
    <x v="2"/>
    <x v="529"/>
    <x v="1044"/>
    <x v="1721"/>
    <x v="220"/>
    <x v="6"/>
    <x v="220"/>
    <x v="13"/>
    <x v="19"/>
    <x v="0"/>
    <x v="214"/>
    <x v="12"/>
    <x v="6"/>
    <s v="MEDIA"/>
    <s v="MEDIA"/>
    <n v="64"/>
    <s v="cumple"/>
    <x v="9"/>
    <x v="1"/>
    <x v="1721"/>
    <n v="348"/>
    <x v="0"/>
  </r>
  <r>
    <x v="0"/>
    <x v="0"/>
    <x v="1"/>
    <x v="0"/>
    <x v="3"/>
    <x v="2"/>
    <x v="530"/>
    <x v="1045"/>
    <x v="1722"/>
    <x v="220"/>
    <x v="10"/>
    <x v="220"/>
    <x v="5"/>
    <x v="19"/>
    <x v="0"/>
    <x v="214"/>
    <x v="12"/>
    <x v="6"/>
    <s v="MEDIA"/>
    <s v="MEDIA"/>
    <n v="64"/>
    <s v="cumple"/>
    <x v="9"/>
    <x v="1"/>
    <x v="1722"/>
    <n v="348"/>
    <x v="0"/>
  </r>
  <r>
    <x v="0"/>
    <x v="0"/>
    <x v="1"/>
    <x v="0"/>
    <x v="3"/>
    <x v="2"/>
    <x v="531"/>
    <x v="1046"/>
    <x v="1723"/>
    <x v="220"/>
    <x v="3"/>
    <x v="220"/>
    <x v="14"/>
    <x v="19"/>
    <x v="0"/>
    <x v="214"/>
    <x v="12"/>
    <x v="6"/>
    <s v="MEDIA"/>
    <s v="MEDIA"/>
    <n v="64"/>
    <s v="cumple"/>
    <x v="9"/>
    <x v="1"/>
    <x v="1723"/>
    <n v="348"/>
    <x v="0"/>
  </r>
  <r>
    <x v="0"/>
    <x v="1"/>
    <x v="1"/>
    <x v="0"/>
    <x v="3"/>
    <x v="1"/>
    <x v="532"/>
    <x v="1047"/>
    <x v="1724"/>
    <x v="220"/>
    <x v="11"/>
    <x v="220"/>
    <x v="12"/>
    <x v="2"/>
    <x v="0"/>
    <x v="214"/>
    <x v="12"/>
    <x v="6"/>
    <s v="MEDIA"/>
    <s v="MEDIA"/>
    <n v="64"/>
    <s v="cumple"/>
    <x v="9"/>
    <x v="1"/>
    <x v="1724"/>
    <n v="696"/>
    <x v="0"/>
  </r>
  <r>
    <x v="0"/>
    <x v="1"/>
    <x v="1"/>
    <x v="0"/>
    <x v="3"/>
    <x v="1"/>
    <x v="533"/>
    <x v="1048"/>
    <x v="1725"/>
    <x v="220"/>
    <x v="20"/>
    <x v="220"/>
    <x v="18"/>
    <x v="2"/>
    <x v="0"/>
    <x v="214"/>
    <x v="12"/>
    <x v="6"/>
    <s v="MEDIA"/>
    <s v="MEDIA"/>
    <n v="64"/>
    <s v="cumple"/>
    <x v="9"/>
    <x v="1"/>
    <x v="1725"/>
    <n v="696"/>
    <x v="0"/>
  </r>
  <r>
    <x v="0"/>
    <x v="1"/>
    <x v="1"/>
    <x v="0"/>
    <x v="3"/>
    <x v="1"/>
    <x v="534"/>
    <x v="1049"/>
    <x v="1726"/>
    <x v="220"/>
    <x v="15"/>
    <x v="220"/>
    <x v="17"/>
    <x v="2"/>
    <x v="0"/>
    <x v="214"/>
    <x v="12"/>
    <x v="6"/>
    <s v="MEDIA"/>
    <s v="MEDIA"/>
    <n v="64"/>
    <s v="cumple"/>
    <x v="9"/>
    <x v="1"/>
    <x v="1726"/>
    <n v="696"/>
    <x v="0"/>
  </r>
  <r>
    <x v="0"/>
    <x v="1"/>
    <x v="1"/>
    <x v="0"/>
    <x v="3"/>
    <x v="5"/>
    <x v="535"/>
    <x v="1050"/>
    <x v="1727"/>
    <x v="220"/>
    <x v="14"/>
    <x v="220"/>
    <x v="0"/>
    <x v="15"/>
    <x v="0"/>
    <x v="214"/>
    <x v="12"/>
    <x v="6"/>
    <s v="MEDIA"/>
    <s v="MEDIA"/>
    <n v="64"/>
    <s v="cumple"/>
    <x v="9"/>
    <x v="1"/>
    <x v="1727"/>
    <n v="1044"/>
    <x v="0"/>
  </r>
  <r>
    <x v="0"/>
    <x v="5"/>
    <x v="2"/>
    <x v="0"/>
    <x v="6"/>
    <x v="5"/>
    <x v="536"/>
    <x v="39"/>
    <x v="1325"/>
    <x v="199"/>
    <x v="0"/>
    <x v="199"/>
    <x v="3"/>
    <x v="4"/>
    <x v="0"/>
    <x v="218"/>
    <x v="3"/>
    <x v="1"/>
    <s v="MEDIA"/>
    <s v="MEDIA"/>
    <n v="64"/>
    <s v="cumple"/>
    <x v="9"/>
    <x v="2"/>
    <x v="1325"/>
    <n v="1160"/>
    <x v="0"/>
  </r>
  <r>
    <x v="0"/>
    <x v="5"/>
    <x v="2"/>
    <x v="0"/>
    <x v="6"/>
    <x v="5"/>
    <x v="537"/>
    <x v="39"/>
    <x v="1319"/>
    <x v="199"/>
    <x v="4"/>
    <x v="199"/>
    <x v="12"/>
    <x v="13"/>
    <x v="0"/>
    <x v="219"/>
    <x v="3"/>
    <x v="1"/>
    <s v="MEDIA"/>
    <s v="MEDIA"/>
    <n v="64"/>
    <s v="cumple"/>
    <x v="9"/>
    <x v="2"/>
    <x v="1319"/>
    <n v="2029.9999999999998"/>
    <x v="0"/>
  </r>
  <r>
    <x v="0"/>
    <x v="5"/>
    <x v="2"/>
    <x v="0"/>
    <x v="6"/>
    <x v="5"/>
    <x v="538"/>
    <x v="39"/>
    <x v="1728"/>
    <x v="199"/>
    <x v="7"/>
    <x v="199"/>
    <x v="0"/>
    <x v="5"/>
    <x v="0"/>
    <x v="218"/>
    <x v="3"/>
    <x v="1"/>
    <s v="MEDIA"/>
    <s v="MEDIA"/>
    <n v="64"/>
    <s v="cumple"/>
    <x v="9"/>
    <x v="2"/>
    <x v="1728"/>
    <n v="1739.9999999999998"/>
    <x v="0"/>
  </r>
  <r>
    <x v="0"/>
    <x v="5"/>
    <x v="2"/>
    <x v="0"/>
    <x v="6"/>
    <x v="5"/>
    <x v="539"/>
    <x v="39"/>
    <x v="1729"/>
    <x v="200"/>
    <x v="0"/>
    <x v="200"/>
    <x v="13"/>
    <x v="13"/>
    <x v="0"/>
    <x v="220"/>
    <x v="3"/>
    <x v="1"/>
    <s v="MEDIA"/>
    <s v="MEDIA"/>
    <n v="64"/>
    <s v="cumple"/>
    <x v="9"/>
    <x v="2"/>
    <x v="1729"/>
    <n v="2029.9999999999998"/>
    <x v="0"/>
  </r>
  <r>
    <x v="0"/>
    <x v="5"/>
    <x v="2"/>
    <x v="0"/>
    <x v="6"/>
    <x v="5"/>
    <x v="540"/>
    <x v="39"/>
    <x v="1730"/>
    <x v="200"/>
    <x v="10"/>
    <x v="200"/>
    <x v="12"/>
    <x v="4"/>
    <x v="0"/>
    <x v="221"/>
    <x v="3"/>
    <x v="1"/>
    <s v="MEDIA"/>
    <s v="MEDIA"/>
    <n v="64"/>
    <s v="cumple"/>
    <x v="9"/>
    <x v="2"/>
    <x v="1730"/>
    <n v="1160"/>
    <x v="0"/>
  </r>
  <r>
    <x v="0"/>
    <x v="5"/>
    <x v="2"/>
    <x v="0"/>
    <x v="6"/>
    <x v="5"/>
    <x v="541"/>
    <x v="39"/>
    <x v="1731"/>
    <x v="200"/>
    <x v="7"/>
    <x v="200"/>
    <x v="0"/>
    <x v="5"/>
    <x v="0"/>
    <x v="222"/>
    <x v="3"/>
    <x v="1"/>
    <s v="MEDIA"/>
    <s v="MEDIA"/>
    <n v="64"/>
    <s v="cumple"/>
    <x v="9"/>
    <x v="2"/>
    <x v="1731"/>
    <n v="1739.9999999999998"/>
    <x v="0"/>
  </r>
  <r>
    <x v="0"/>
    <x v="5"/>
    <x v="2"/>
    <x v="0"/>
    <x v="6"/>
    <x v="5"/>
    <x v="542"/>
    <x v="39"/>
    <x v="767"/>
    <x v="201"/>
    <x v="0"/>
    <x v="201"/>
    <x v="15"/>
    <x v="12"/>
    <x v="0"/>
    <x v="218"/>
    <x v="3"/>
    <x v="1"/>
    <s v="MEDIA"/>
    <s v="MEDIA"/>
    <n v="64"/>
    <s v="cumple"/>
    <x v="9"/>
    <x v="2"/>
    <x v="767"/>
    <n v="1450"/>
    <x v="0"/>
  </r>
  <r>
    <x v="0"/>
    <x v="5"/>
    <x v="2"/>
    <x v="0"/>
    <x v="6"/>
    <x v="5"/>
    <x v="543"/>
    <x v="39"/>
    <x v="1732"/>
    <x v="201"/>
    <x v="12"/>
    <x v="201"/>
    <x v="12"/>
    <x v="5"/>
    <x v="0"/>
    <x v="223"/>
    <x v="3"/>
    <x v="1"/>
    <s v="MEDIA"/>
    <s v="MEDIA"/>
    <n v="64"/>
    <s v="cumple"/>
    <x v="9"/>
    <x v="2"/>
    <x v="1732"/>
    <n v="1739.9999999999998"/>
    <x v="0"/>
  </r>
  <r>
    <x v="0"/>
    <x v="5"/>
    <x v="2"/>
    <x v="0"/>
    <x v="6"/>
    <x v="5"/>
    <x v="544"/>
    <x v="39"/>
    <x v="504"/>
    <x v="201"/>
    <x v="7"/>
    <x v="201"/>
    <x v="0"/>
    <x v="5"/>
    <x v="0"/>
    <x v="223"/>
    <x v="3"/>
    <x v="1"/>
    <s v="MEDIA"/>
    <s v="MEDIA"/>
    <n v="64"/>
    <s v="cumple"/>
    <x v="9"/>
    <x v="2"/>
    <x v="504"/>
    <n v="1739.9999999999998"/>
    <x v="0"/>
  </r>
  <r>
    <x v="0"/>
    <x v="5"/>
    <x v="2"/>
    <x v="0"/>
    <x v="6"/>
    <x v="5"/>
    <x v="545"/>
    <x v="39"/>
    <x v="1733"/>
    <x v="202"/>
    <x v="0"/>
    <x v="202"/>
    <x v="15"/>
    <x v="12"/>
    <x v="0"/>
    <x v="224"/>
    <x v="3"/>
    <x v="1"/>
    <s v="MEDIA"/>
    <s v="MEDIA"/>
    <n v="64"/>
    <s v="cumple"/>
    <x v="9"/>
    <x v="2"/>
    <x v="1733"/>
    <n v="1450"/>
    <x v="0"/>
  </r>
  <r>
    <x v="0"/>
    <x v="5"/>
    <x v="2"/>
    <x v="0"/>
    <x v="6"/>
    <x v="5"/>
    <x v="546"/>
    <x v="39"/>
    <x v="1734"/>
    <x v="202"/>
    <x v="12"/>
    <x v="202"/>
    <x v="12"/>
    <x v="5"/>
    <x v="0"/>
    <x v="225"/>
    <x v="3"/>
    <x v="1"/>
    <s v="MEDIA"/>
    <s v="MEDIA"/>
    <n v="64"/>
    <s v="cumple"/>
    <x v="9"/>
    <x v="2"/>
    <x v="1734"/>
    <n v="1739.9999999999998"/>
    <x v="0"/>
  </r>
  <r>
    <x v="0"/>
    <x v="5"/>
    <x v="2"/>
    <x v="0"/>
    <x v="6"/>
    <x v="5"/>
    <x v="547"/>
    <x v="39"/>
    <x v="1321"/>
    <x v="202"/>
    <x v="7"/>
    <x v="202"/>
    <x v="0"/>
    <x v="5"/>
    <x v="0"/>
    <x v="218"/>
    <x v="3"/>
    <x v="1"/>
    <s v="MEDIA"/>
    <s v="MEDIA"/>
    <n v="64"/>
    <s v="cumple"/>
    <x v="9"/>
    <x v="2"/>
    <x v="1321"/>
    <n v="1739.9999999999998"/>
    <x v="0"/>
  </r>
  <r>
    <x v="0"/>
    <x v="5"/>
    <x v="2"/>
    <x v="0"/>
    <x v="6"/>
    <x v="5"/>
    <x v="548"/>
    <x v="39"/>
    <x v="1735"/>
    <x v="203"/>
    <x v="0"/>
    <x v="203"/>
    <x v="3"/>
    <x v="4"/>
    <x v="0"/>
    <x v="226"/>
    <x v="3"/>
    <x v="1"/>
    <s v="MEDIA"/>
    <s v="MEDIA"/>
    <n v="64"/>
    <s v="cumple"/>
    <x v="9"/>
    <x v="2"/>
    <x v="1735"/>
    <n v="1160"/>
    <x v="0"/>
  </r>
  <r>
    <x v="0"/>
    <x v="5"/>
    <x v="2"/>
    <x v="0"/>
    <x v="6"/>
    <x v="5"/>
    <x v="549"/>
    <x v="39"/>
    <x v="1736"/>
    <x v="203"/>
    <x v="4"/>
    <x v="203"/>
    <x v="5"/>
    <x v="4"/>
    <x v="0"/>
    <x v="223"/>
    <x v="3"/>
    <x v="1"/>
    <s v="MEDIA"/>
    <s v="MEDIA"/>
    <n v="64"/>
    <s v="cumple"/>
    <x v="9"/>
    <x v="2"/>
    <x v="1736"/>
    <n v="1160"/>
    <x v="0"/>
  </r>
  <r>
    <x v="0"/>
    <x v="5"/>
    <x v="2"/>
    <x v="0"/>
    <x v="6"/>
    <x v="5"/>
    <x v="550"/>
    <x v="39"/>
    <x v="1325"/>
    <x v="203"/>
    <x v="3"/>
    <x v="203"/>
    <x v="7"/>
    <x v="4"/>
    <x v="0"/>
    <x v="227"/>
    <x v="3"/>
    <x v="1"/>
    <s v="MEDIA"/>
    <s v="MEDIA"/>
    <n v="64"/>
    <s v="cumple"/>
    <x v="9"/>
    <x v="2"/>
    <x v="1325"/>
    <n v="1160"/>
    <x v="0"/>
  </r>
  <r>
    <x v="0"/>
    <x v="5"/>
    <x v="2"/>
    <x v="0"/>
    <x v="6"/>
    <x v="5"/>
    <x v="551"/>
    <x v="39"/>
    <x v="1737"/>
    <x v="204"/>
    <x v="0"/>
    <x v="204"/>
    <x v="15"/>
    <x v="12"/>
    <x v="0"/>
    <x v="218"/>
    <x v="3"/>
    <x v="1"/>
    <s v="MEDIA"/>
    <s v="MEDIA"/>
    <n v="64"/>
    <s v="cumple"/>
    <x v="9"/>
    <x v="2"/>
    <x v="1737"/>
    <n v="1450"/>
    <x v="0"/>
  </r>
  <r>
    <x v="0"/>
    <x v="5"/>
    <x v="2"/>
    <x v="0"/>
    <x v="6"/>
    <x v="5"/>
    <x v="552"/>
    <x v="39"/>
    <x v="1738"/>
    <x v="204"/>
    <x v="12"/>
    <x v="204"/>
    <x v="12"/>
    <x v="5"/>
    <x v="0"/>
    <x v="225"/>
    <x v="3"/>
    <x v="1"/>
    <s v="MEDIA"/>
    <s v="MEDIA"/>
    <n v="64"/>
    <s v="cumple"/>
    <x v="9"/>
    <x v="2"/>
    <x v="1738"/>
    <n v="1739.9999999999998"/>
    <x v="0"/>
  </r>
  <r>
    <x v="0"/>
    <x v="5"/>
    <x v="2"/>
    <x v="0"/>
    <x v="6"/>
    <x v="5"/>
    <x v="553"/>
    <x v="39"/>
    <x v="1739"/>
    <x v="204"/>
    <x v="7"/>
    <x v="204"/>
    <x v="0"/>
    <x v="5"/>
    <x v="0"/>
    <x v="218"/>
    <x v="3"/>
    <x v="1"/>
    <s v="MEDIA"/>
    <s v="MEDIA"/>
    <n v="64"/>
    <s v="cumple"/>
    <x v="9"/>
    <x v="2"/>
    <x v="1739"/>
    <n v="1739.9999999999998"/>
    <x v="0"/>
  </r>
  <r>
    <x v="0"/>
    <x v="5"/>
    <x v="2"/>
    <x v="0"/>
    <x v="6"/>
    <x v="5"/>
    <x v="554"/>
    <x v="39"/>
    <x v="1728"/>
    <x v="205"/>
    <x v="0"/>
    <x v="205"/>
    <x v="3"/>
    <x v="4"/>
    <x v="0"/>
    <x v="218"/>
    <x v="3"/>
    <x v="1"/>
    <s v="MEDIA"/>
    <s v="MEDIA"/>
    <n v="64"/>
    <s v="cumple"/>
    <x v="9"/>
    <x v="2"/>
    <x v="1728"/>
    <n v="1160"/>
    <x v="0"/>
  </r>
  <r>
    <x v="0"/>
    <x v="5"/>
    <x v="2"/>
    <x v="0"/>
    <x v="6"/>
    <x v="5"/>
    <x v="555"/>
    <x v="39"/>
    <x v="1319"/>
    <x v="205"/>
    <x v="4"/>
    <x v="205"/>
    <x v="12"/>
    <x v="13"/>
    <x v="0"/>
    <x v="218"/>
    <x v="3"/>
    <x v="1"/>
    <s v="MEDIA"/>
    <s v="MEDIA"/>
    <n v="64"/>
    <s v="cumple"/>
    <x v="9"/>
    <x v="2"/>
    <x v="1319"/>
    <n v="2029.9999999999998"/>
    <x v="0"/>
  </r>
  <r>
    <x v="0"/>
    <x v="5"/>
    <x v="2"/>
    <x v="0"/>
    <x v="6"/>
    <x v="5"/>
    <x v="556"/>
    <x v="39"/>
    <x v="767"/>
    <x v="205"/>
    <x v="7"/>
    <x v="205"/>
    <x v="0"/>
    <x v="5"/>
    <x v="0"/>
    <x v="218"/>
    <x v="3"/>
    <x v="1"/>
    <s v="MEDIA"/>
    <s v="MEDIA"/>
    <n v="64"/>
    <s v="cumple"/>
    <x v="9"/>
    <x v="2"/>
    <x v="767"/>
    <n v="1739.9999999999998"/>
    <x v="0"/>
  </r>
  <r>
    <x v="0"/>
    <x v="5"/>
    <x v="2"/>
    <x v="0"/>
    <x v="6"/>
    <x v="5"/>
    <x v="557"/>
    <x v="39"/>
    <x v="1342"/>
    <x v="206"/>
    <x v="0"/>
    <x v="206"/>
    <x v="3"/>
    <x v="4"/>
    <x v="0"/>
    <x v="228"/>
    <x v="3"/>
    <x v="1"/>
    <s v="MEDIA"/>
    <s v="MEDIA"/>
    <n v="64"/>
    <s v="cumple"/>
    <x v="9"/>
    <x v="2"/>
    <x v="1342"/>
    <n v="1160"/>
    <x v="0"/>
  </r>
  <r>
    <x v="0"/>
    <x v="5"/>
    <x v="2"/>
    <x v="0"/>
    <x v="6"/>
    <x v="5"/>
    <x v="558"/>
    <x v="39"/>
    <x v="1740"/>
    <x v="206"/>
    <x v="4"/>
    <x v="206"/>
    <x v="12"/>
    <x v="13"/>
    <x v="0"/>
    <x v="229"/>
    <x v="3"/>
    <x v="1"/>
    <s v="MEDIA"/>
    <s v="MEDIA"/>
    <n v="64"/>
    <s v="cumple"/>
    <x v="9"/>
    <x v="2"/>
    <x v="1740"/>
    <n v="2029.9999999999998"/>
    <x v="0"/>
  </r>
  <r>
    <x v="0"/>
    <x v="5"/>
    <x v="2"/>
    <x v="0"/>
    <x v="6"/>
    <x v="5"/>
    <x v="559"/>
    <x v="39"/>
    <x v="1741"/>
    <x v="206"/>
    <x v="7"/>
    <x v="206"/>
    <x v="0"/>
    <x v="5"/>
    <x v="0"/>
    <x v="229"/>
    <x v="3"/>
    <x v="1"/>
    <s v="MEDIA"/>
    <s v="MEDIA"/>
    <n v="64"/>
    <s v="cumple"/>
    <x v="9"/>
    <x v="2"/>
    <x v="1741"/>
    <n v="1739.9999999999998"/>
    <x v="0"/>
  </r>
  <r>
    <x v="0"/>
    <x v="5"/>
    <x v="2"/>
    <x v="0"/>
    <x v="6"/>
    <x v="5"/>
    <x v="560"/>
    <x v="39"/>
    <x v="1342"/>
    <x v="207"/>
    <x v="0"/>
    <x v="207"/>
    <x v="13"/>
    <x v="13"/>
    <x v="0"/>
    <x v="218"/>
    <x v="3"/>
    <x v="1"/>
    <s v="MEDIA"/>
    <s v="MEDIA"/>
    <n v="64"/>
    <s v="cumple"/>
    <x v="9"/>
    <x v="2"/>
    <x v="1342"/>
    <n v="2029.9999999999998"/>
    <x v="0"/>
  </r>
  <r>
    <x v="0"/>
    <x v="5"/>
    <x v="2"/>
    <x v="0"/>
    <x v="6"/>
    <x v="5"/>
    <x v="561"/>
    <x v="39"/>
    <x v="1733"/>
    <x v="207"/>
    <x v="10"/>
    <x v="207"/>
    <x v="12"/>
    <x v="4"/>
    <x v="0"/>
    <x v="224"/>
    <x v="3"/>
    <x v="1"/>
    <s v="MEDIA"/>
    <s v="MEDIA"/>
    <n v="64"/>
    <s v="cumple"/>
    <x v="9"/>
    <x v="2"/>
    <x v="1733"/>
    <n v="1160"/>
    <x v="0"/>
  </r>
  <r>
    <x v="0"/>
    <x v="5"/>
    <x v="2"/>
    <x v="0"/>
    <x v="6"/>
    <x v="5"/>
    <x v="562"/>
    <x v="39"/>
    <x v="504"/>
    <x v="207"/>
    <x v="7"/>
    <x v="207"/>
    <x v="0"/>
    <x v="5"/>
    <x v="0"/>
    <x v="218"/>
    <x v="3"/>
    <x v="1"/>
    <s v="MEDIA"/>
    <s v="MEDIA"/>
    <n v="64"/>
    <s v="cumple"/>
    <x v="9"/>
    <x v="2"/>
    <x v="504"/>
    <n v="1739.9999999999998"/>
    <x v="0"/>
  </r>
  <r>
    <x v="0"/>
    <x v="5"/>
    <x v="2"/>
    <x v="0"/>
    <x v="6"/>
    <x v="5"/>
    <x v="563"/>
    <x v="39"/>
    <x v="1325"/>
    <x v="208"/>
    <x v="0"/>
    <x v="208"/>
    <x v="4"/>
    <x v="5"/>
    <x v="0"/>
    <x v="218"/>
    <x v="3"/>
    <x v="1"/>
    <s v="MEDIA"/>
    <s v="MEDIA"/>
    <n v="64"/>
    <s v="cumple"/>
    <x v="9"/>
    <x v="2"/>
    <x v="1325"/>
    <n v="1739.9999999999998"/>
    <x v="0"/>
  </r>
  <r>
    <x v="0"/>
    <x v="5"/>
    <x v="2"/>
    <x v="0"/>
    <x v="6"/>
    <x v="5"/>
    <x v="564"/>
    <x v="39"/>
    <x v="1742"/>
    <x v="208"/>
    <x v="6"/>
    <x v="208"/>
    <x v="5"/>
    <x v="2"/>
    <x v="0"/>
    <x v="230"/>
    <x v="3"/>
    <x v="1"/>
    <s v="MEDIA"/>
    <s v="MEDIA"/>
    <n v="64"/>
    <s v="cumple"/>
    <x v="9"/>
    <x v="2"/>
    <x v="1742"/>
    <n v="580"/>
    <x v="0"/>
  </r>
  <r>
    <x v="0"/>
    <x v="5"/>
    <x v="2"/>
    <x v="0"/>
    <x v="6"/>
    <x v="5"/>
    <x v="565"/>
    <x v="39"/>
    <x v="1743"/>
    <x v="208"/>
    <x v="3"/>
    <x v="208"/>
    <x v="7"/>
    <x v="4"/>
    <x v="0"/>
    <x v="226"/>
    <x v="3"/>
    <x v="1"/>
    <s v="MEDIA"/>
    <s v="MEDIA"/>
    <n v="64"/>
    <s v="cumple"/>
    <x v="9"/>
    <x v="2"/>
    <x v="1743"/>
    <n v="1160"/>
    <x v="0"/>
  </r>
  <r>
    <x v="0"/>
    <x v="5"/>
    <x v="2"/>
    <x v="0"/>
    <x v="6"/>
    <x v="5"/>
    <x v="566"/>
    <x v="39"/>
    <x v="1744"/>
    <x v="209"/>
    <x v="0"/>
    <x v="209"/>
    <x v="13"/>
    <x v="13"/>
    <x v="0"/>
    <x v="223"/>
    <x v="3"/>
    <x v="1"/>
    <s v="MEDIA"/>
    <s v="MEDIA"/>
    <n v="64"/>
    <s v="cumple"/>
    <x v="9"/>
    <x v="2"/>
    <x v="1744"/>
    <n v="2029.9999999999998"/>
    <x v="0"/>
  </r>
  <r>
    <x v="0"/>
    <x v="5"/>
    <x v="2"/>
    <x v="0"/>
    <x v="6"/>
    <x v="5"/>
    <x v="567"/>
    <x v="39"/>
    <x v="1745"/>
    <x v="209"/>
    <x v="10"/>
    <x v="209"/>
    <x v="12"/>
    <x v="4"/>
    <x v="0"/>
    <x v="226"/>
    <x v="3"/>
    <x v="1"/>
    <s v="MEDIA"/>
    <s v="MEDIA"/>
    <n v="64"/>
    <s v="cumple"/>
    <x v="9"/>
    <x v="2"/>
    <x v="1745"/>
    <n v="1160"/>
    <x v="0"/>
  </r>
  <r>
    <x v="0"/>
    <x v="5"/>
    <x v="2"/>
    <x v="0"/>
    <x v="6"/>
    <x v="5"/>
    <x v="568"/>
    <x v="39"/>
    <x v="1746"/>
    <x v="209"/>
    <x v="7"/>
    <x v="209"/>
    <x v="0"/>
    <x v="5"/>
    <x v="0"/>
    <x v="220"/>
    <x v="3"/>
    <x v="1"/>
    <s v="MEDIA"/>
    <s v="MEDIA"/>
    <n v="64"/>
    <s v="cumple"/>
    <x v="9"/>
    <x v="2"/>
    <x v="1746"/>
    <n v="1739.9999999999998"/>
    <x v="0"/>
  </r>
  <r>
    <x v="0"/>
    <x v="5"/>
    <x v="2"/>
    <x v="0"/>
    <x v="6"/>
    <x v="5"/>
    <x v="569"/>
    <x v="39"/>
    <x v="1746"/>
    <x v="210"/>
    <x v="0"/>
    <x v="210"/>
    <x v="13"/>
    <x v="13"/>
    <x v="0"/>
    <x v="220"/>
    <x v="3"/>
    <x v="1"/>
    <s v="MEDIA"/>
    <s v="MEDIA"/>
    <n v="64"/>
    <s v="cumple"/>
    <x v="9"/>
    <x v="2"/>
    <x v="1746"/>
    <n v="2029.9999999999998"/>
    <x v="0"/>
  </r>
  <r>
    <x v="0"/>
    <x v="5"/>
    <x v="2"/>
    <x v="0"/>
    <x v="6"/>
    <x v="5"/>
    <x v="570"/>
    <x v="39"/>
    <x v="1747"/>
    <x v="210"/>
    <x v="10"/>
    <x v="210"/>
    <x v="12"/>
    <x v="4"/>
    <x v="0"/>
    <x v="230"/>
    <x v="3"/>
    <x v="1"/>
    <s v="MEDIA"/>
    <s v="MEDIA"/>
    <n v="64"/>
    <s v="cumple"/>
    <x v="9"/>
    <x v="2"/>
    <x v="1747"/>
    <n v="1160"/>
    <x v="0"/>
  </r>
  <r>
    <x v="0"/>
    <x v="5"/>
    <x v="2"/>
    <x v="0"/>
    <x v="6"/>
    <x v="5"/>
    <x v="571"/>
    <x v="39"/>
    <x v="1748"/>
    <x v="210"/>
    <x v="7"/>
    <x v="210"/>
    <x v="2"/>
    <x v="2"/>
    <x v="0"/>
    <x v="231"/>
    <x v="3"/>
    <x v="1"/>
    <s v="MEDIA"/>
    <s v="MEDIA"/>
    <n v="64"/>
    <s v="cumple"/>
    <x v="9"/>
    <x v="2"/>
    <x v="1748"/>
    <n v="580"/>
    <x v="0"/>
  </r>
  <r>
    <x v="0"/>
    <x v="5"/>
    <x v="2"/>
    <x v="0"/>
    <x v="6"/>
    <x v="5"/>
    <x v="572"/>
    <x v="39"/>
    <x v="1749"/>
    <x v="210"/>
    <x v="2"/>
    <x v="210"/>
    <x v="0"/>
    <x v="4"/>
    <x v="0"/>
    <x v="222"/>
    <x v="3"/>
    <x v="1"/>
    <s v="MEDIA"/>
    <s v="MEDIA"/>
    <n v="64"/>
    <s v="cumple"/>
    <x v="9"/>
    <x v="2"/>
    <x v="1749"/>
    <n v="1160"/>
    <x v="0"/>
  </r>
  <r>
    <x v="0"/>
    <x v="5"/>
    <x v="2"/>
    <x v="0"/>
    <x v="6"/>
    <x v="5"/>
    <x v="573"/>
    <x v="39"/>
    <x v="1736"/>
    <x v="211"/>
    <x v="0"/>
    <x v="211"/>
    <x v="13"/>
    <x v="13"/>
    <x v="0"/>
    <x v="223"/>
    <x v="3"/>
    <x v="1"/>
    <s v="MEDIA"/>
    <s v="MEDIA"/>
    <n v="64"/>
    <s v="cumple"/>
    <x v="9"/>
    <x v="2"/>
    <x v="1736"/>
    <n v="2029.9999999999998"/>
    <x v="0"/>
  </r>
  <r>
    <x v="0"/>
    <x v="5"/>
    <x v="2"/>
    <x v="0"/>
    <x v="6"/>
    <x v="5"/>
    <x v="574"/>
    <x v="39"/>
    <x v="1750"/>
    <x v="211"/>
    <x v="10"/>
    <x v="211"/>
    <x v="12"/>
    <x v="4"/>
    <x v="0"/>
    <x v="223"/>
    <x v="3"/>
    <x v="1"/>
    <s v="MEDIA"/>
    <s v="MEDIA"/>
    <n v="64"/>
    <s v="cumple"/>
    <x v="9"/>
    <x v="2"/>
    <x v="1750"/>
    <n v="1160"/>
    <x v="0"/>
  </r>
  <r>
    <x v="0"/>
    <x v="5"/>
    <x v="2"/>
    <x v="0"/>
    <x v="6"/>
    <x v="5"/>
    <x v="575"/>
    <x v="39"/>
    <x v="1751"/>
    <x v="211"/>
    <x v="7"/>
    <x v="211"/>
    <x v="2"/>
    <x v="2"/>
    <x v="0"/>
    <x v="229"/>
    <x v="3"/>
    <x v="1"/>
    <s v="MEDIA"/>
    <s v="MEDIA"/>
    <n v="64"/>
    <s v="cumple"/>
    <x v="9"/>
    <x v="2"/>
    <x v="1751"/>
    <n v="580"/>
    <x v="0"/>
  </r>
  <r>
    <x v="0"/>
    <x v="5"/>
    <x v="2"/>
    <x v="0"/>
    <x v="6"/>
    <x v="5"/>
    <x v="576"/>
    <x v="39"/>
    <x v="1319"/>
    <x v="211"/>
    <x v="2"/>
    <x v="211"/>
    <x v="0"/>
    <x v="4"/>
    <x v="0"/>
    <x v="218"/>
    <x v="3"/>
    <x v="1"/>
    <s v="MEDIA"/>
    <s v="MEDIA"/>
    <n v="64"/>
    <s v="cumple"/>
    <x v="9"/>
    <x v="2"/>
    <x v="1319"/>
    <n v="1160"/>
    <x v="0"/>
  </r>
  <r>
    <x v="0"/>
    <x v="5"/>
    <x v="2"/>
    <x v="0"/>
    <x v="6"/>
    <x v="5"/>
    <x v="577"/>
    <x v="39"/>
    <x v="1752"/>
    <x v="212"/>
    <x v="0"/>
    <x v="212"/>
    <x v="15"/>
    <x v="12"/>
    <x v="0"/>
    <x v="226"/>
    <x v="3"/>
    <x v="1"/>
    <s v="MEDIA"/>
    <s v="MEDIA"/>
    <n v="64"/>
    <s v="cumple"/>
    <x v="9"/>
    <x v="2"/>
    <x v="1752"/>
    <n v="1450"/>
    <x v="0"/>
  </r>
  <r>
    <x v="0"/>
    <x v="5"/>
    <x v="2"/>
    <x v="0"/>
    <x v="6"/>
    <x v="5"/>
    <x v="578"/>
    <x v="39"/>
    <x v="1753"/>
    <x v="212"/>
    <x v="12"/>
    <x v="212"/>
    <x v="14"/>
    <x v="4"/>
    <x v="0"/>
    <x v="223"/>
    <x v="3"/>
    <x v="1"/>
    <s v="MEDIA"/>
    <s v="MEDIA"/>
    <n v="64"/>
    <s v="cumple"/>
    <x v="9"/>
    <x v="2"/>
    <x v="1753"/>
    <n v="1160"/>
    <x v="0"/>
  </r>
  <r>
    <x v="0"/>
    <x v="5"/>
    <x v="2"/>
    <x v="0"/>
    <x v="6"/>
    <x v="5"/>
    <x v="579"/>
    <x v="39"/>
    <x v="1733"/>
    <x v="212"/>
    <x v="11"/>
    <x v="212"/>
    <x v="12"/>
    <x v="2"/>
    <x v="0"/>
    <x v="232"/>
    <x v="3"/>
    <x v="1"/>
    <s v="MEDIA"/>
    <s v="MEDIA"/>
    <n v="64"/>
    <s v="cumple"/>
    <x v="9"/>
    <x v="2"/>
    <x v="1733"/>
    <n v="580"/>
    <x v="0"/>
  </r>
  <r>
    <x v="0"/>
    <x v="5"/>
    <x v="2"/>
    <x v="0"/>
    <x v="6"/>
    <x v="5"/>
    <x v="580"/>
    <x v="39"/>
    <x v="767"/>
    <x v="212"/>
    <x v="7"/>
    <x v="212"/>
    <x v="0"/>
    <x v="5"/>
    <x v="0"/>
    <x v="218"/>
    <x v="3"/>
    <x v="1"/>
    <s v="MEDIA"/>
    <s v="MEDIA"/>
    <n v="64"/>
    <s v="cumple"/>
    <x v="9"/>
    <x v="2"/>
    <x v="767"/>
    <n v="1739.9999999999998"/>
    <x v="0"/>
  </r>
  <r>
    <x v="0"/>
    <x v="5"/>
    <x v="2"/>
    <x v="0"/>
    <x v="6"/>
    <x v="5"/>
    <x v="581"/>
    <x v="39"/>
    <x v="1754"/>
    <x v="213"/>
    <x v="0"/>
    <x v="213"/>
    <x v="4"/>
    <x v="5"/>
    <x v="0"/>
    <x v="233"/>
    <x v="3"/>
    <x v="1"/>
    <s v="MEDIA"/>
    <s v="MEDIA"/>
    <n v="64"/>
    <s v="cumple"/>
    <x v="9"/>
    <x v="2"/>
    <x v="1754"/>
    <n v="1739.9999999999998"/>
    <x v="0"/>
  </r>
  <r>
    <x v="0"/>
    <x v="5"/>
    <x v="2"/>
    <x v="0"/>
    <x v="6"/>
    <x v="5"/>
    <x v="582"/>
    <x v="39"/>
    <x v="1755"/>
    <x v="213"/>
    <x v="6"/>
    <x v="213"/>
    <x v="5"/>
    <x v="2"/>
    <x v="0"/>
    <x v="234"/>
    <x v="3"/>
    <x v="1"/>
    <s v="MEDIA"/>
    <s v="MEDIA"/>
    <n v="64"/>
    <s v="cumple"/>
    <x v="9"/>
    <x v="2"/>
    <x v="1755"/>
    <n v="580"/>
    <x v="0"/>
  </r>
  <r>
    <x v="0"/>
    <x v="5"/>
    <x v="2"/>
    <x v="0"/>
    <x v="6"/>
    <x v="5"/>
    <x v="583"/>
    <x v="39"/>
    <x v="1756"/>
    <x v="213"/>
    <x v="3"/>
    <x v="213"/>
    <x v="9"/>
    <x v="2"/>
    <x v="0"/>
    <x v="222"/>
    <x v="3"/>
    <x v="1"/>
    <s v="MEDIA"/>
    <s v="MEDIA"/>
    <n v="64"/>
    <s v="cumple"/>
    <x v="9"/>
    <x v="2"/>
    <x v="1756"/>
    <n v="580"/>
    <x v="0"/>
  </r>
  <r>
    <x v="0"/>
    <x v="5"/>
    <x v="2"/>
    <x v="0"/>
    <x v="6"/>
    <x v="5"/>
    <x v="584"/>
    <x v="39"/>
    <x v="1757"/>
    <x v="213"/>
    <x v="9"/>
    <x v="213"/>
    <x v="7"/>
    <x v="2"/>
    <x v="0"/>
    <x v="226"/>
    <x v="3"/>
    <x v="1"/>
    <s v="MEDIA"/>
    <s v="MEDIA"/>
    <n v="64"/>
    <s v="cumple"/>
    <x v="9"/>
    <x v="2"/>
    <x v="1757"/>
    <n v="580"/>
    <x v="0"/>
  </r>
  <r>
    <x v="0"/>
    <x v="5"/>
    <x v="2"/>
    <x v="0"/>
    <x v="6"/>
    <x v="5"/>
    <x v="585"/>
    <x v="39"/>
    <x v="1747"/>
    <x v="214"/>
    <x v="0"/>
    <x v="214"/>
    <x v="4"/>
    <x v="5"/>
    <x v="0"/>
    <x v="230"/>
    <x v="3"/>
    <x v="1"/>
    <s v="MEDIA"/>
    <s v="MEDIA"/>
    <n v="64"/>
    <s v="cumple"/>
    <x v="9"/>
    <x v="2"/>
    <x v="1747"/>
    <n v="1739.9999999999998"/>
    <x v="0"/>
  </r>
  <r>
    <x v="0"/>
    <x v="5"/>
    <x v="2"/>
    <x v="0"/>
    <x v="6"/>
    <x v="5"/>
    <x v="586"/>
    <x v="39"/>
    <x v="1748"/>
    <x v="214"/>
    <x v="6"/>
    <x v="214"/>
    <x v="12"/>
    <x v="12"/>
    <x v="0"/>
    <x v="235"/>
    <x v="3"/>
    <x v="1"/>
    <s v="MEDIA"/>
    <s v="MEDIA"/>
    <n v="64"/>
    <s v="cumple"/>
    <x v="9"/>
    <x v="2"/>
    <x v="1748"/>
    <n v="1450"/>
    <x v="0"/>
  </r>
  <r>
    <x v="0"/>
    <x v="5"/>
    <x v="2"/>
    <x v="0"/>
    <x v="6"/>
    <x v="5"/>
    <x v="587"/>
    <x v="39"/>
    <x v="1734"/>
    <x v="214"/>
    <x v="7"/>
    <x v="214"/>
    <x v="0"/>
    <x v="5"/>
    <x v="0"/>
    <x v="225"/>
    <x v="3"/>
    <x v="1"/>
    <s v="MEDIA"/>
    <s v="MEDIA"/>
    <n v="64"/>
    <s v="cumple"/>
    <x v="9"/>
    <x v="2"/>
    <x v="1734"/>
    <n v="1739.9999999999998"/>
    <x v="0"/>
  </r>
  <r>
    <x v="0"/>
    <x v="5"/>
    <x v="2"/>
    <x v="0"/>
    <x v="6"/>
    <x v="5"/>
    <x v="588"/>
    <x v="39"/>
    <x v="1758"/>
    <x v="215"/>
    <x v="0"/>
    <x v="215"/>
    <x v="3"/>
    <x v="4"/>
    <x v="0"/>
    <x v="218"/>
    <x v="3"/>
    <x v="1"/>
    <s v="MEDIA"/>
    <s v="MEDIA"/>
    <n v="64"/>
    <s v="cumple"/>
    <x v="9"/>
    <x v="2"/>
    <x v="1758"/>
    <n v="1160"/>
    <x v="0"/>
  </r>
  <r>
    <x v="0"/>
    <x v="5"/>
    <x v="2"/>
    <x v="0"/>
    <x v="6"/>
    <x v="5"/>
    <x v="589"/>
    <x v="39"/>
    <x v="1759"/>
    <x v="215"/>
    <x v="4"/>
    <x v="215"/>
    <x v="12"/>
    <x v="13"/>
    <x v="0"/>
    <x v="218"/>
    <x v="3"/>
    <x v="1"/>
    <s v="MEDIA"/>
    <s v="MEDIA"/>
    <n v="64"/>
    <s v="cumple"/>
    <x v="9"/>
    <x v="2"/>
    <x v="1759"/>
    <n v="2029.9999999999998"/>
    <x v="0"/>
  </r>
  <r>
    <x v="0"/>
    <x v="5"/>
    <x v="2"/>
    <x v="0"/>
    <x v="6"/>
    <x v="5"/>
    <x v="590"/>
    <x v="39"/>
    <x v="1760"/>
    <x v="215"/>
    <x v="7"/>
    <x v="215"/>
    <x v="0"/>
    <x v="5"/>
    <x v="0"/>
    <x v="236"/>
    <x v="3"/>
    <x v="1"/>
    <s v="MEDIA"/>
    <s v="MEDIA"/>
    <n v="64"/>
    <s v="cumple"/>
    <x v="9"/>
    <x v="2"/>
    <x v="1760"/>
    <n v="1739.9999999999998"/>
    <x v="0"/>
  </r>
  <r>
    <x v="0"/>
    <x v="5"/>
    <x v="2"/>
    <x v="0"/>
    <x v="6"/>
    <x v="5"/>
    <x v="591"/>
    <x v="39"/>
    <x v="1761"/>
    <x v="216"/>
    <x v="0"/>
    <x v="216"/>
    <x v="15"/>
    <x v="12"/>
    <x v="0"/>
    <x v="230"/>
    <x v="3"/>
    <x v="1"/>
    <s v="MEDIA"/>
    <s v="MEDIA"/>
    <n v="64"/>
    <s v="cumple"/>
    <x v="9"/>
    <x v="2"/>
    <x v="1761"/>
    <n v="1450"/>
    <x v="0"/>
  </r>
  <r>
    <x v="0"/>
    <x v="5"/>
    <x v="2"/>
    <x v="0"/>
    <x v="6"/>
    <x v="5"/>
    <x v="592"/>
    <x v="39"/>
    <x v="1762"/>
    <x v="216"/>
    <x v="12"/>
    <x v="216"/>
    <x v="14"/>
    <x v="4"/>
    <x v="0"/>
    <x v="218"/>
    <x v="3"/>
    <x v="1"/>
    <s v="MEDIA"/>
    <s v="MEDIA"/>
    <n v="64"/>
    <s v="cumple"/>
    <x v="9"/>
    <x v="2"/>
    <x v="1762"/>
    <n v="1160"/>
    <x v="0"/>
  </r>
  <r>
    <x v="0"/>
    <x v="5"/>
    <x v="2"/>
    <x v="0"/>
    <x v="6"/>
    <x v="5"/>
    <x v="593"/>
    <x v="39"/>
    <x v="1763"/>
    <x v="216"/>
    <x v="11"/>
    <x v="216"/>
    <x v="12"/>
    <x v="2"/>
    <x v="0"/>
    <x v="237"/>
    <x v="3"/>
    <x v="1"/>
    <s v="MEDIA"/>
    <s v="MEDIA"/>
    <n v="64"/>
    <s v="cumple"/>
    <x v="9"/>
    <x v="2"/>
    <x v="1763"/>
    <n v="580"/>
    <x v="0"/>
  </r>
  <r>
    <x v="0"/>
    <x v="5"/>
    <x v="2"/>
    <x v="0"/>
    <x v="6"/>
    <x v="5"/>
    <x v="594"/>
    <x v="39"/>
    <x v="1322"/>
    <x v="216"/>
    <x v="7"/>
    <x v="216"/>
    <x v="0"/>
    <x v="5"/>
    <x v="0"/>
    <x v="218"/>
    <x v="3"/>
    <x v="1"/>
    <s v="MEDIA"/>
    <s v="MEDIA"/>
    <n v="64"/>
    <s v="cumple"/>
    <x v="9"/>
    <x v="2"/>
    <x v="1322"/>
    <n v="1739.9999999999998"/>
    <x v="0"/>
  </r>
  <r>
    <x v="0"/>
    <x v="5"/>
    <x v="2"/>
    <x v="0"/>
    <x v="6"/>
    <x v="5"/>
    <x v="595"/>
    <x v="39"/>
    <x v="1333"/>
    <x v="217"/>
    <x v="0"/>
    <x v="217"/>
    <x v="15"/>
    <x v="12"/>
    <x v="0"/>
    <x v="219"/>
    <x v="3"/>
    <x v="1"/>
    <s v="MEDIA"/>
    <s v="MEDIA"/>
    <n v="64"/>
    <s v="cumple"/>
    <x v="9"/>
    <x v="2"/>
    <x v="1333"/>
    <n v="1450"/>
    <x v="0"/>
  </r>
  <r>
    <x v="0"/>
    <x v="5"/>
    <x v="2"/>
    <x v="0"/>
    <x v="6"/>
    <x v="5"/>
    <x v="596"/>
    <x v="39"/>
    <x v="1733"/>
    <x v="217"/>
    <x v="12"/>
    <x v="217"/>
    <x v="14"/>
    <x v="4"/>
    <x v="0"/>
    <x v="232"/>
    <x v="3"/>
    <x v="1"/>
    <s v="MEDIA"/>
    <s v="MEDIA"/>
    <n v="64"/>
    <s v="cumple"/>
    <x v="9"/>
    <x v="2"/>
    <x v="1733"/>
    <n v="1160"/>
    <x v="0"/>
  </r>
  <r>
    <x v="0"/>
    <x v="5"/>
    <x v="2"/>
    <x v="0"/>
    <x v="6"/>
    <x v="5"/>
    <x v="597"/>
    <x v="39"/>
    <x v="1764"/>
    <x v="217"/>
    <x v="11"/>
    <x v="217"/>
    <x v="12"/>
    <x v="2"/>
    <x v="0"/>
    <x v="223"/>
    <x v="3"/>
    <x v="1"/>
    <s v="MEDIA"/>
    <s v="MEDIA"/>
    <n v="64"/>
    <s v="cumple"/>
    <x v="9"/>
    <x v="2"/>
    <x v="1764"/>
    <n v="580"/>
    <x v="0"/>
  </r>
  <r>
    <x v="0"/>
    <x v="5"/>
    <x v="2"/>
    <x v="0"/>
    <x v="6"/>
    <x v="5"/>
    <x v="598"/>
    <x v="39"/>
    <x v="1732"/>
    <x v="217"/>
    <x v="7"/>
    <x v="217"/>
    <x v="0"/>
    <x v="5"/>
    <x v="0"/>
    <x v="218"/>
    <x v="3"/>
    <x v="1"/>
    <s v="MEDIA"/>
    <s v="MEDIA"/>
    <n v="64"/>
    <s v="cumple"/>
    <x v="9"/>
    <x v="2"/>
    <x v="1732"/>
    <n v="1739.9999999999998"/>
    <x v="0"/>
  </r>
  <r>
    <x v="0"/>
    <x v="5"/>
    <x v="2"/>
    <x v="0"/>
    <x v="6"/>
    <x v="5"/>
    <x v="599"/>
    <x v="39"/>
    <x v="1319"/>
    <x v="218"/>
    <x v="0"/>
    <x v="218"/>
    <x v="3"/>
    <x v="4"/>
    <x v="0"/>
    <x v="218"/>
    <x v="3"/>
    <x v="1"/>
    <s v="MEDIA"/>
    <s v="MEDIA"/>
    <n v="64"/>
    <s v="cumple"/>
    <x v="9"/>
    <x v="2"/>
    <x v="1319"/>
    <n v="1160"/>
    <x v="0"/>
  </r>
  <r>
    <x v="0"/>
    <x v="5"/>
    <x v="2"/>
    <x v="0"/>
    <x v="6"/>
    <x v="5"/>
    <x v="600"/>
    <x v="39"/>
    <x v="1322"/>
    <x v="218"/>
    <x v="4"/>
    <x v="218"/>
    <x v="37"/>
    <x v="5"/>
    <x v="0"/>
    <x v="231"/>
    <x v="3"/>
    <x v="1"/>
    <s v="MEDIA"/>
    <s v="MEDIA"/>
    <n v="64"/>
    <s v="cumple"/>
    <x v="9"/>
    <x v="2"/>
    <x v="1322"/>
    <n v="1739.9999999999998"/>
    <x v="0"/>
  </r>
  <r>
    <x v="0"/>
    <x v="5"/>
    <x v="2"/>
    <x v="0"/>
    <x v="6"/>
    <x v="5"/>
    <x v="601"/>
    <x v="39"/>
    <x v="1765"/>
    <x v="218"/>
    <x v="36"/>
    <x v="218"/>
    <x v="7"/>
    <x v="2"/>
    <x v="0"/>
    <x v="223"/>
    <x v="3"/>
    <x v="1"/>
    <s v="MEDIA"/>
    <s v="MEDIA"/>
    <n v="64"/>
    <s v="cumple"/>
    <x v="9"/>
    <x v="2"/>
    <x v="1765"/>
    <n v="580"/>
    <x v="0"/>
  </r>
  <r>
    <x v="0"/>
    <x v="5"/>
    <x v="2"/>
    <x v="0"/>
    <x v="6"/>
    <x v="5"/>
    <x v="602"/>
    <x v="39"/>
    <x v="1736"/>
    <x v="219"/>
    <x v="0"/>
    <x v="219"/>
    <x v="13"/>
    <x v="13"/>
    <x v="0"/>
    <x v="223"/>
    <x v="3"/>
    <x v="1"/>
    <s v="MEDIA"/>
    <s v="MEDIA"/>
    <n v="64"/>
    <s v="cumple"/>
    <x v="9"/>
    <x v="2"/>
    <x v="1736"/>
    <n v="2029.9999999999998"/>
    <x v="0"/>
  </r>
  <r>
    <x v="0"/>
    <x v="5"/>
    <x v="2"/>
    <x v="0"/>
    <x v="6"/>
    <x v="5"/>
    <x v="603"/>
    <x v="39"/>
    <x v="1766"/>
    <x v="219"/>
    <x v="10"/>
    <x v="219"/>
    <x v="12"/>
    <x v="4"/>
    <x v="0"/>
    <x v="237"/>
    <x v="3"/>
    <x v="1"/>
    <s v="MEDIA"/>
    <s v="MEDIA"/>
    <n v="64"/>
    <s v="cumple"/>
    <x v="9"/>
    <x v="2"/>
    <x v="1766"/>
    <n v="1160"/>
    <x v="0"/>
  </r>
  <r>
    <x v="0"/>
    <x v="5"/>
    <x v="2"/>
    <x v="0"/>
    <x v="6"/>
    <x v="5"/>
    <x v="604"/>
    <x v="39"/>
    <x v="1767"/>
    <x v="219"/>
    <x v="7"/>
    <x v="219"/>
    <x v="0"/>
    <x v="5"/>
    <x v="0"/>
    <x v="226"/>
    <x v="3"/>
    <x v="1"/>
    <s v="MEDIA"/>
    <s v="MEDIA"/>
    <n v="64"/>
    <s v="cumple"/>
    <x v="9"/>
    <x v="2"/>
    <x v="1767"/>
    <n v="1739.9999999999998"/>
    <x v="0"/>
  </r>
  <r>
    <x v="0"/>
    <x v="5"/>
    <x v="2"/>
    <x v="0"/>
    <x v="6"/>
    <x v="5"/>
    <x v="605"/>
    <x v="39"/>
    <x v="1768"/>
    <x v="220"/>
    <x v="0"/>
    <x v="220"/>
    <x v="16"/>
    <x v="15"/>
    <x v="0"/>
    <x v="228"/>
    <x v="3"/>
    <x v="1"/>
    <s v="MEDIA"/>
    <s v="MEDIA"/>
    <n v="64"/>
    <s v="cumple"/>
    <x v="9"/>
    <x v="2"/>
    <x v="1768"/>
    <n v="869.99999999999989"/>
    <x v="0"/>
  </r>
  <r>
    <x v="0"/>
    <x v="5"/>
    <x v="2"/>
    <x v="0"/>
    <x v="6"/>
    <x v="5"/>
    <x v="606"/>
    <x v="39"/>
    <x v="1769"/>
    <x v="220"/>
    <x v="13"/>
    <x v="220"/>
    <x v="13"/>
    <x v="4"/>
    <x v="0"/>
    <x v="223"/>
    <x v="3"/>
    <x v="1"/>
    <s v="MEDIA"/>
    <s v="MEDIA"/>
    <n v="64"/>
    <s v="cumple"/>
    <x v="9"/>
    <x v="2"/>
    <x v="1769"/>
    <n v="1160"/>
    <x v="0"/>
  </r>
  <r>
    <x v="0"/>
    <x v="5"/>
    <x v="2"/>
    <x v="0"/>
    <x v="6"/>
    <x v="5"/>
    <x v="607"/>
    <x v="39"/>
    <x v="1732"/>
    <x v="220"/>
    <x v="10"/>
    <x v="220"/>
    <x v="12"/>
    <x v="4"/>
    <x v="0"/>
    <x v="218"/>
    <x v="3"/>
    <x v="1"/>
    <s v="MEDIA"/>
    <s v="MEDIA"/>
    <n v="64"/>
    <s v="cumple"/>
    <x v="9"/>
    <x v="2"/>
    <x v="1732"/>
    <n v="1160"/>
    <x v="0"/>
  </r>
  <r>
    <x v="0"/>
    <x v="5"/>
    <x v="2"/>
    <x v="0"/>
    <x v="6"/>
    <x v="5"/>
    <x v="608"/>
    <x v="39"/>
    <x v="1322"/>
    <x v="220"/>
    <x v="7"/>
    <x v="220"/>
    <x v="0"/>
    <x v="5"/>
    <x v="0"/>
    <x v="231"/>
    <x v="3"/>
    <x v="1"/>
    <s v="MEDIA"/>
    <s v="MEDIA"/>
    <n v="64"/>
    <s v="cumple"/>
    <x v="9"/>
    <x v="2"/>
    <x v="1322"/>
    <n v="1739.9999999999998"/>
    <x v="0"/>
  </r>
  <r>
    <x v="1"/>
    <x v="0"/>
    <x v="3"/>
    <x v="0"/>
    <x v="16"/>
    <x v="3"/>
    <x v="609"/>
    <x v="1051"/>
    <x v="1770"/>
    <x v="199"/>
    <x v="37"/>
    <x v="199"/>
    <x v="38"/>
    <x v="11"/>
    <x v="1"/>
    <x v="196"/>
    <x v="13"/>
    <x v="7"/>
    <s v="MEDIA"/>
    <s v="MEDIA"/>
    <n v="64"/>
    <s v="cumple"/>
    <x v="9"/>
    <x v="3"/>
    <x v="1770"/>
    <n v="6264"/>
    <x v="0"/>
  </r>
  <r>
    <x v="1"/>
    <x v="0"/>
    <x v="3"/>
    <x v="0"/>
    <x v="16"/>
    <x v="3"/>
    <x v="609"/>
    <x v="1051"/>
    <x v="1770"/>
    <x v="200"/>
    <x v="0"/>
    <x v="200"/>
    <x v="0"/>
    <x v="8"/>
    <x v="1"/>
    <x v="196"/>
    <x v="13"/>
    <x v="7"/>
    <s v="MEDIA"/>
    <s v="MEDIA"/>
    <n v="64"/>
    <s v="cumple"/>
    <x v="9"/>
    <x v="3"/>
    <x v="1770"/>
    <n v="5916"/>
    <x v="0"/>
  </r>
  <r>
    <x v="1"/>
    <x v="0"/>
    <x v="3"/>
    <x v="0"/>
    <x v="16"/>
    <x v="3"/>
    <x v="609"/>
    <x v="1051"/>
    <x v="1770"/>
    <x v="201"/>
    <x v="38"/>
    <x v="201"/>
    <x v="39"/>
    <x v="8"/>
    <x v="1"/>
    <x v="196"/>
    <x v="13"/>
    <x v="7"/>
    <s v="MEDIA"/>
    <s v="MEDIA"/>
    <n v="64"/>
    <s v="cumple"/>
    <x v="9"/>
    <x v="3"/>
    <x v="1770"/>
    <n v="5916"/>
    <x v="0"/>
  </r>
  <r>
    <x v="1"/>
    <x v="0"/>
    <x v="3"/>
    <x v="0"/>
    <x v="16"/>
    <x v="3"/>
    <x v="609"/>
    <x v="1051"/>
    <x v="1770"/>
    <x v="202"/>
    <x v="37"/>
    <x v="202"/>
    <x v="38"/>
    <x v="8"/>
    <x v="1"/>
    <x v="196"/>
    <x v="13"/>
    <x v="7"/>
    <s v="MEDIA"/>
    <s v="MEDIA"/>
    <n v="64"/>
    <s v="cumple"/>
    <x v="9"/>
    <x v="3"/>
    <x v="1770"/>
    <n v="5916"/>
    <x v="0"/>
  </r>
  <r>
    <x v="1"/>
    <x v="0"/>
    <x v="3"/>
    <x v="0"/>
    <x v="16"/>
    <x v="3"/>
    <x v="609"/>
    <x v="1051"/>
    <x v="1770"/>
    <x v="203"/>
    <x v="39"/>
    <x v="203"/>
    <x v="40"/>
    <x v="8"/>
    <x v="0"/>
    <x v="196"/>
    <x v="13"/>
    <x v="7"/>
    <s v="MEDIA"/>
    <s v="MEDIA"/>
    <n v="64"/>
    <s v="cumple"/>
    <x v="9"/>
    <x v="3"/>
    <x v="1770"/>
    <n v="5916"/>
    <x v="0"/>
  </r>
  <r>
    <x v="1"/>
    <x v="0"/>
    <x v="3"/>
    <x v="0"/>
    <x v="16"/>
    <x v="3"/>
    <x v="610"/>
    <x v="1052"/>
    <x v="1771"/>
    <x v="204"/>
    <x v="0"/>
    <x v="204"/>
    <x v="0"/>
    <x v="11"/>
    <x v="1"/>
    <x v="196"/>
    <x v="13"/>
    <x v="7"/>
    <s v="MEDIA"/>
    <s v="MEDIA"/>
    <n v="64"/>
    <s v="cumple"/>
    <x v="9"/>
    <x v="3"/>
    <x v="1771"/>
    <n v="6264"/>
    <x v="0"/>
  </r>
  <r>
    <x v="1"/>
    <x v="0"/>
    <x v="3"/>
    <x v="0"/>
    <x v="16"/>
    <x v="3"/>
    <x v="610"/>
    <x v="1052"/>
    <x v="1771"/>
    <x v="205"/>
    <x v="0"/>
    <x v="205"/>
    <x v="0"/>
    <x v="8"/>
    <x v="1"/>
    <x v="196"/>
    <x v="13"/>
    <x v="7"/>
    <s v="MEDIA"/>
    <s v="MEDIA"/>
    <n v="64"/>
    <s v="cumple"/>
    <x v="9"/>
    <x v="3"/>
    <x v="1771"/>
    <n v="5916"/>
    <x v="0"/>
  </r>
  <r>
    <x v="1"/>
    <x v="0"/>
    <x v="3"/>
    <x v="0"/>
    <x v="16"/>
    <x v="3"/>
    <x v="610"/>
    <x v="1052"/>
    <x v="1771"/>
    <x v="206"/>
    <x v="0"/>
    <x v="206"/>
    <x v="40"/>
    <x v="8"/>
    <x v="1"/>
    <x v="196"/>
    <x v="13"/>
    <x v="7"/>
    <s v="MEDIA"/>
    <s v="MEDIA"/>
    <n v="64"/>
    <s v="cumple"/>
    <x v="9"/>
    <x v="3"/>
    <x v="1771"/>
    <n v="5916"/>
    <x v="0"/>
  </r>
  <r>
    <x v="1"/>
    <x v="0"/>
    <x v="3"/>
    <x v="0"/>
    <x v="16"/>
    <x v="3"/>
    <x v="610"/>
    <x v="1052"/>
    <x v="1771"/>
    <x v="207"/>
    <x v="0"/>
    <x v="207"/>
    <x v="0"/>
    <x v="8"/>
    <x v="1"/>
    <x v="196"/>
    <x v="13"/>
    <x v="7"/>
    <s v="MEDIA"/>
    <s v="MEDIA"/>
    <n v="64"/>
    <s v="cumple"/>
    <x v="9"/>
    <x v="3"/>
    <x v="1771"/>
    <n v="5916"/>
    <x v="0"/>
  </r>
  <r>
    <x v="1"/>
    <x v="0"/>
    <x v="3"/>
    <x v="0"/>
    <x v="16"/>
    <x v="3"/>
    <x v="610"/>
    <x v="1052"/>
    <x v="1771"/>
    <x v="208"/>
    <x v="0"/>
    <x v="208"/>
    <x v="0"/>
    <x v="8"/>
    <x v="0"/>
    <x v="196"/>
    <x v="13"/>
    <x v="7"/>
    <s v="MEDIA"/>
    <s v="MEDIA"/>
    <n v="64"/>
    <s v="cumple"/>
    <x v="9"/>
    <x v="3"/>
    <x v="1771"/>
    <n v="5916"/>
    <x v="0"/>
  </r>
  <r>
    <x v="1"/>
    <x v="0"/>
    <x v="3"/>
    <x v="0"/>
    <x v="16"/>
    <x v="3"/>
    <x v="611"/>
    <x v="1053"/>
    <x v="1772"/>
    <x v="209"/>
    <x v="40"/>
    <x v="209"/>
    <x v="41"/>
    <x v="11"/>
    <x v="1"/>
    <x v="196"/>
    <x v="13"/>
    <x v="7"/>
    <s v="MEDIA"/>
    <s v="MEDIA"/>
    <n v="64"/>
    <s v="cumple"/>
    <x v="9"/>
    <x v="3"/>
    <x v="1772"/>
    <n v="6264"/>
    <x v="0"/>
  </r>
  <r>
    <x v="1"/>
    <x v="0"/>
    <x v="3"/>
    <x v="0"/>
    <x v="16"/>
    <x v="3"/>
    <x v="611"/>
    <x v="1053"/>
    <x v="1772"/>
    <x v="210"/>
    <x v="40"/>
    <x v="210"/>
    <x v="41"/>
    <x v="11"/>
    <x v="0"/>
    <x v="196"/>
    <x v="13"/>
    <x v="7"/>
    <s v="MEDIA"/>
    <s v="MEDIA"/>
    <n v="64"/>
    <s v="cumple"/>
    <x v="9"/>
    <x v="3"/>
    <x v="1772"/>
    <n v="6264"/>
    <x v="0"/>
  </r>
  <r>
    <x v="1"/>
    <x v="0"/>
    <x v="3"/>
    <x v="0"/>
    <x v="16"/>
    <x v="3"/>
    <x v="612"/>
    <x v="1054"/>
    <x v="1773"/>
    <x v="211"/>
    <x v="41"/>
    <x v="211"/>
    <x v="42"/>
    <x v="8"/>
    <x v="1"/>
    <x v="238"/>
    <x v="13"/>
    <x v="7"/>
    <s v="MEDIA"/>
    <s v="MEDIA"/>
    <n v="64"/>
    <s v="cumple"/>
    <x v="9"/>
    <x v="3"/>
    <x v="1773"/>
    <n v="5916"/>
    <x v="0"/>
  </r>
  <r>
    <x v="1"/>
    <x v="0"/>
    <x v="3"/>
    <x v="0"/>
    <x v="16"/>
    <x v="3"/>
    <x v="612"/>
    <x v="1054"/>
    <x v="1773"/>
    <x v="212"/>
    <x v="40"/>
    <x v="212"/>
    <x v="41"/>
    <x v="8"/>
    <x v="0"/>
    <x v="238"/>
    <x v="13"/>
    <x v="7"/>
    <s v="MEDIA"/>
    <s v="MEDIA"/>
    <n v="64"/>
    <s v="cumple"/>
    <x v="9"/>
    <x v="3"/>
    <x v="1773"/>
    <n v="5916"/>
    <x v="0"/>
  </r>
  <r>
    <x v="1"/>
    <x v="0"/>
    <x v="3"/>
    <x v="0"/>
    <x v="16"/>
    <x v="3"/>
    <x v="613"/>
    <x v="1055"/>
    <x v="1774"/>
    <x v="213"/>
    <x v="42"/>
    <x v="213"/>
    <x v="43"/>
    <x v="8"/>
    <x v="1"/>
    <x v="196"/>
    <x v="13"/>
    <x v="7"/>
    <s v="MEDIA"/>
    <s v="MEDIA"/>
    <n v="64"/>
    <s v="cumple"/>
    <x v="9"/>
    <x v="3"/>
    <x v="1774"/>
    <n v="5916"/>
    <x v="0"/>
  </r>
  <r>
    <x v="1"/>
    <x v="0"/>
    <x v="3"/>
    <x v="0"/>
    <x v="16"/>
    <x v="3"/>
    <x v="613"/>
    <x v="1055"/>
    <x v="1774"/>
    <x v="214"/>
    <x v="41"/>
    <x v="214"/>
    <x v="42"/>
    <x v="11"/>
    <x v="1"/>
    <x v="196"/>
    <x v="13"/>
    <x v="7"/>
    <s v="MEDIA"/>
    <s v="MEDIA"/>
    <n v="64"/>
    <s v="cumple"/>
    <x v="9"/>
    <x v="3"/>
    <x v="1774"/>
    <n v="6264"/>
    <x v="0"/>
  </r>
  <r>
    <x v="1"/>
    <x v="0"/>
    <x v="3"/>
    <x v="0"/>
    <x v="16"/>
    <x v="3"/>
    <x v="613"/>
    <x v="1055"/>
    <x v="1774"/>
    <x v="215"/>
    <x v="43"/>
    <x v="215"/>
    <x v="44"/>
    <x v="11"/>
    <x v="0"/>
    <x v="196"/>
    <x v="13"/>
    <x v="7"/>
    <s v="MEDIA"/>
    <s v="MEDIA"/>
    <n v="64"/>
    <s v="cumple"/>
    <x v="9"/>
    <x v="3"/>
    <x v="1774"/>
    <n v="6264"/>
    <x v="0"/>
  </r>
  <r>
    <x v="1"/>
    <x v="0"/>
    <x v="3"/>
    <x v="0"/>
    <x v="16"/>
    <x v="3"/>
    <x v="614"/>
    <x v="1056"/>
    <x v="1775"/>
    <x v="216"/>
    <x v="41"/>
    <x v="216"/>
    <x v="42"/>
    <x v="8"/>
    <x v="0"/>
    <x v="196"/>
    <x v="13"/>
    <x v="7"/>
    <s v="MEDIA"/>
    <s v="MEDIA"/>
    <n v="64"/>
    <s v="cumple"/>
    <x v="9"/>
    <x v="3"/>
    <x v="1775"/>
    <n v="5916"/>
    <x v="0"/>
  </r>
  <r>
    <x v="1"/>
    <x v="0"/>
    <x v="3"/>
    <x v="0"/>
    <x v="16"/>
    <x v="3"/>
    <x v="615"/>
    <x v="1057"/>
    <x v="1776"/>
    <x v="217"/>
    <x v="37"/>
    <x v="217"/>
    <x v="38"/>
    <x v="8"/>
    <x v="0"/>
    <x v="239"/>
    <x v="13"/>
    <x v="7"/>
    <s v="MEDIA"/>
    <s v="MEDIA"/>
    <n v="64"/>
    <s v="cumple"/>
    <x v="9"/>
    <x v="3"/>
    <x v="1776"/>
    <n v="5916"/>
    <x v="0"/>
  </r>
  <r>
    <x v="1"/>
    <x v="0"/>
    <x v="3"/>
    <x v="0"/>
    <x v="16"/>
    <x v="3"/>
    <x v="616"/>
    <x v="1058"/>
    <x v="1777"/>
    <x v="218"/>
    <x v="39"/>
    <x v="218"/>
    <x v="40"/>
    <x v="8"/>
    <x v="0"/>
    <x v="195"/>
    <x v="13"/>
    <x v="7"/>
    <s v="MEDIA"/>
    <s v="MEDIA"/>
    <n v="64"/>
    <s v="cumple"/>
    <x v="9"/>
    <x v="3"/>
    <x v="1777"/>
    <n v="5916"/>
    <x v="0"/>
  </r>
  <r>
    <x v="1"/>
    <x v="0"/>
    <x v="3"/>
    <x v="0"/>
    <x v="16"/>
    <x v="3"/>
    <x v="617"/>
    <x v="1059"/>
    <x v="1778"/>
    <x v="219"/>
    <x v="44"/>
    <x v="219"/>
    <x v="45"/>
    <x v="11"/>
    <x v="1"/>
    <x v="195"/>
    <x v="13"/>
    <x v="7"/>
    <s v="MEDIA"/>
    <s v="MEDIA"/>
    <n v="64"/>
    <s v="cumple"/>
    <x v="9"/>
    <x v="3"/>
    <x v="1778"/>
    <n v="6264"/>
    <x v="0"/>
  </r>
  <r>
    <x v="2"/>
    <x v="9"/>
    <x v="3"/>
    <x v="0"/>
    <x v="16"/>
    <x v="3"/>
    <x v="617"/>
    <x v="1059"/>
    <x v="1778"/>
    <x v="220"/>
    <x v="0"/>
    <x v="220"/>
    <x v="0"/>
    <x v="8"/>
    <x v="0"/>
    <x v="196"/>
    <x v="13"/>
    <x v="7"/>
    <s v="MEDIA"/>
    <s v="MEDIA"/>
    <n v="64"/>
    <s v="cumple"/>
    <x v="9"/>
    <x v="3"/>
    <x v="1778"/>
    <n v="5916"/>
    <x v="0"/>
  </r>
  <r>
    <x v="5"/>
    <x v="8"/>
    <x v="5"/>
    <x v="0"/>
    <x v="19"/>
    <x v="5"/>
    <x v="618"/>
    <x v="1060"/>
    <x v="1779"/>
    <x v="199"/>
    <x v="0"/>
    <x v="199"/>
    <x v="0"/>
    <x v="0"/>
    <x v="0"/>
    <x v="240"/>
    <x v="15"/>
    <x v="1"/>
    <s v="MEDIA"/>
    <s v="MEDIA"/>
    <n v="64"/>
    <s v="cumple"/>
    <x v="9"/>
    <x v="5"/>
    <x v="1779"/>
    <n v="4640"/>
    <x v="0"/>
  </r>
  <r>
    <x v="5"/>
    <x v="8"/>
    <x v="5"/>
    <x v="0"/>
    <x v="19"/>
    <x v="5"/>
    <x v="619"/>
    <x v="1061"/>
    <x v="1780"/>
    <x v="200"/>
    <x v="0"/>
    <x v="200"/>
    <x v="0"/>
    <x v="7"/>
    <x v="0"/>
    <x v="240"/>
    <x v="15"/>
    <x v="1"/>
    <s v="MEDIA"/>
    <s v="MEDIA"/>
    <n v="64"/>
    <s v="cumple"/>
    <x v="9"/>
    <x v="5"/>
    <x v="1780"/>
    <n v="2320"/>
    <x v="0"/>
  </r>
  <r>
    <x v="5"/>
    <x v="9"/>
    <x v="5"/>
    <x v="0"/>
    <x v="19"/>
    <x v="7"/>
    <x v="620"/>
    <x v="1062"/>
    <x v="1781"/>
    <x v="201"/>
    <x v="0"/>
    <x v="201"/>
    <x v="9"/>
    <x v="6"/>
    <x v="0"/>
    <x v="240"/>
    <x v="15"/>
    <x v="1"/>
    <s v="MEDIA"/>
    <s v="MEDIA"/>
    <n v="64"/>
    <s v="cumple"/>
    <x v="9"/>
    <x v="5"/>
    <x v="1781"/>
    <n v="2900"/>
    <x v="0"/>
  </r>
  <r>
    <x v="5"/>
    <x v="0"/>
    <x v="5"/>
    <x v="0"/>
    <x v="21"/>
    <x v="2"/>
    <x v="621"/>
    <x v="1063"/>
    <x v="1782"/>
    <x v="201"/>
    <x v="9"/>
    <x v="201"/>
    <x v="0"/>
    <x v="5"/>
    <x v="0"/>
    <x v="240"/>
    <x v="15"/>
    <x v="1"/>
    <s v="MEDIA"/>
    <s v="MEDIA"/>
    <n v="64"/>
    <s v="cumple"/>
    <x v="9"/>
    <x v="5"/>
    <x v="1782"/>
    <n v="1739.9999999999998"/>
    <x v="0"/>
  </r>
  <r>
    <x v="5"/>
    <x v="5"/>
    <x v="5"/>
    <x v="0"/>
    <x v="22"/>
    <x v="9"/>
    <x v="622"/>
    <x v="1064"/>
    <x v="1783"/>
    <x v="202"/>
    <x v="0"/>
    <x v="202"/>
    <x v="3"/>
    <x v="4"/>
    <x v="0"/>
    <x v="240"/>
    <x v="15"/>
    <x v="1"/>
    <s v="MEDIA"/>
    <s v="MEDIA"/>
    <n v="64"/>
    <s v="cumple"/>
    <x v="9"/>
    <x v="5"/>
    <x v="1783"/>
    <n v="1160"/>
    <x v="0"/>
  </r>
  <r>
    <x v="5"/>
    <x v="11"/>
    <x v="5"/>
    <x v="0"/>
    <x v="21"/>
    <x v="5"/>
    <x v="623"/>
    <x v="1065"/>
    <x v="1784"/>
    <x v="202"/>
    <x v="4"/>
    <x v="202"/>
    <x v="0"/>
    <x v="3"/>
    <x v="0"/>
    <x v="240"/>
    <x v="15"/>
    <x v="1"/>
    <s v="MEDIA"/>
    <s v="MEDIA"/>
    <n v="64"/>
    <s v="cumple"/>
    <x v="9"/>
    <x v="5"/>
    <x v="1784"/>
    <n v="3479.9999999999995"/>
    <x v="0"/>
  </r>
  <r>
    <x v="5"/>
    <x v="5"/>
    <x v="5"/>
    <x v="0"/>
    <x v="21"/>
    <x v="5"/>
    <x v="624"/>
    <x v="1066"/>
    <x v="1785"/>
    <x v="203"/>
    <x v="0"/>
    <x v="203"/>
    <x v="4"/>
    <x v="5"/>
    <x v="0"/>
    <x v="240"/>
    <x v="15"/>
    <x v="1"/>
    <s v="MEDIA"/>
    <s v="MEDIA"/>
    <n v="64"/>
    <s v="cumple"/>
    <x v="9"/>
    <x v="5"/>
    <x v="1785"/>
    <n v="1739.9999999999998"/>
    <x v="0"/>
  </r>
  <r>
    <x v="5"/>
    <x v="0"/>
    <x v="5"/>
    <x v="0"/>
    <x v="21"/>
    <x v="5"/>
    <x v="625"/>
    <x v="1067"/>
    <x v="1786"/>
    <x v="203"/>
    <x v="6"/>
    <x v="203"/>
    <x v="7"/>
    <x v="5"/>
    <x v="0"/>
    <x v="240"/>
    <x v="15"/>
    <x v="1"/>
    <s v="MEDIA"/>
    <s v="MEDIA"/>
    <n v="64"/>
    <s v="cumple"/>
    <x v="9"/>
    <x v="5"/>
    <x v="1786"/>
    <n v="1739.9999999999998"/>
    <x v="0"/>
  </r>
  <r>
    <x v="5"/>
    <x v="0"/>
    <x v="5"/>
    <x v="0"/>
    <x v="21"/>
    <x v="5"/>
    <x v="626"/>
    <x v="1068"/>
    <x v="1787"/>
    <x v="204"/>
    <x v="0"/>
    <x v="204"/>
    <x v="4"/>
    <x v="5"/>
    <x v="0"/>
    <x v="241"/>
    <x v="15"/>
    <x v="1"/>
    <s v="MEDIA"/>
    <s v="MEDIA"/>
    <n v="64"/>
    <s v="cumple"/>
    <x v="9"/>
    <x v="5"/>
    <x v="1787"/>
    <n v="1739.9999999999998"/>
    <x v="0"/>
  </r>
  <r>
    <x v="5"/>
    <x v="5"/>
    <x v="5"/>
    <x v="0"/>
    <x v="21"/>
    <x v="5"/>
    <x v="627"/>
    <x v="1069"/>
    <x v="1788"/>
    <x v="204"/>
    <x v="6"/>
    <x v="204"/>
    <x v="0"/>
    <x v="6"/>
    <x v="0"/>
    <x v="241"/>
    <x v="15"/>
    <x v="1"/>
    <s v="MEDIA"/>
    <s v="MEDIA"/>
    <n v="64"/>
    <s v="cumple"/>
    <x v="9"/>
    <x v="5"/>
    <x v="1788"/>
    <n v="2900"/>
    <x v="0"/>
  </r>
  <r>
    <x v="5"/>
    <x v="5"/>
    <x v="5"/>
    <x v="0"/>
    <x v="21"/>
    <x v="5"/>
    <x v="628"/>
    <x v="1070"/>
    <x v="1789"/>
    <x v="205"/>
    <x v="0"/>
    <x v="205"/>
    <x v="5"/>
    <x v="7"/>
    <x v="0"/>
    <x v="241"/>
    <x v="15"/>
    <x v="1"/>
    <s v="MEDIA"/>
    <s v="MEDIA"/>
    <n v="64"/>
    <s v="cumple"/>
    <x v="9"/>
    <x v="5"/>
    <x v="1789"/>
    <n v="2320"/>
    <x v="0"/>
  </r>
  <r>
    <x v="5"/>
    <x v="0"/>
    <x v="5"/>
    <x v="0"/>
    <x v="23"/>
    <x v="2"/>
    <x v="629"/>
    <x v="1071"/>
    <x v="1790"/>
    <x v="205"/>
    <x v="3"/>
    <x v="205"/>
    <x v="0"/>
    <x v="7"/>
    <x v="0"/>
    <x v="241"/>
    <x v="15"/>
    <x v="1"/>
    <s v="MEDIA"/>
    <s v="MEDIA"/>
    <n v="64"/>
    <s v="cumple"/>
    <x v="9"/>
    <x v="5"/>
    <x v="1790"/>
    <n v="2320"/>
    <x v="0"/>
  </r>
  <r>
    <x v="5"/>
    <x v="5"/>
    <x v="5"/>
    <x v="0"/>
    <x v="21"/>
    <x v="5"/>
    <x v="630"/>
    <x v="1072"/>
    <x v="1791"/>
    <x v="206"/>
    <x v="0"/>
    <x v="206"/>
    <x v="4"/>
    <x v="5"/>
    <x v="0"/>
    <x v="241"/>
    <x v="15"/>
    <x v="1"/>
    <s v="MEDIA"/>
    <s v="MEDIA"/>
    <n v="64"/>
    <s v="cumple"/>
    <x v="9"/>
    <x v="5"/>
    <x v="1791"/>
    <n v="1739.9999999999998"/>
    <x v="0"/>
  </r>
  <r>
    <x v="5"/>
    <x v="5"/>
    <x v="5"/>
    <x v="0"/>
    <x v="23"/>
    <x v="5"/>
    <x v="631"/>
    <x v="1073"/>
    <x v="1792"/>
    <x v="206"/>
    <x v="6"/>
    <x v="206"/>
    <x v="0"/>
    <x v="6"/>
    <x v="0"/>
    <x v="241"/>
    <x v="15"/>
    <x v="1"/>
    <s v="MEDIA"/>
    <s v="MEDIA"/>
    <n v="64"/>
    <s v="cumple"/>
    <x v="9"/>
    <x v="5"/>
    <x v="1792"/>
    <n v="2900"/>
    <x v="0"/>
  </r>
  <r>
    <x v="5"/>
    <x v="5"/>
    <x v="5"/>
    <x v="0"/>
    <x v="21"/>
    <x v="7"/>
    <x v="632"/>
    <x v="1074"/>
    <x v="1793"/>
    <x v="207"/>
    <x v="0"/>
    <x v="207"/>
    <x v="0"/>
    <x v="0"/>
    <x v="0"/>
    <x v="241"/>
    <x v="15"/>
    <x v="1"/>
    <s v="MEDIA"/>
    <s v="MEDIA"/>
    <n v="64"/>
    <s v="cumple"/>
    <x v="9"/>
    <x v="5"/>
    <x v="1793"/>
    <n v="4640"/>
    <x v="0"/>
  </r>
  <r>
    <x v="5"/>
    <x v="8"/>
    <x v="5"/>
    <x v="0"/>
    <x v="19"/>
    <x v="7"/>
    <x v="633"/>
    <x v="1075"/>
    <x v="1794"/>
    <x v="208"/>
    <x v="0"/>
    <x v="208"/>
    <x v="7"/>
    <x v="3"/>
    <x v="0"/>
    <x v="241"/>
    <x v="15"/>
    <x v="1"/>
    <s v="MEDIA"/>
    <s v="MEDIA"/>
    <n v="64"/>
    <s v="cumple"/>
    <x v="9"/>
    <x v="5"/>
    <x v="1794"/>
    <n v="3479.9999999999995"/>
    <x v="0"/>
  </r>
  <r>
    <x v="5"/>
    <x v="5"/>
    <x v="5"/>
    <x v="0"/>
    <x v="24"/>
    <x v="5"/>
    <x v="634"/>
    <x v="1076"/>
    <x v="1795"/>
    <x v="209"/>
    <x v="0"/>
    <x v="209"/>
    <x v="0"/>
    <x v="0"/>
    <x v="0"/>
    <x v="242"/>
    <x v="15"/>
    <x v="1"/>
    <s v="MEDIA"/>
    <s v="MEDIA"/>
    <n v="64"/>
    <s v="cumple"/>
    <x v="9"/>
    <x v="5"/>
    <x v="1795"/>
    <n v="4640"/>
    <x v="0"/>
  </r>
  <r>
    <x v="5"/>
    <x v="0"/>
    <x v="5"/>
    <x v="0"/>
    <x v="24"/>
    <x v="2"/>
    <x v="635"/>
    <x v="1077"/>
    <x v="1796"/>
    <x v="210"/>
    <x v="0"/>
    <x v="210"/>
    <x v="2"/>
    <x v="3"/>
    <x v="0"/>
    <x v="242"/>
    <x v="15"/>
    <x v="1"/>
    <s v="MEDIA"/>
    <s v="MEDIA"/>
    <n v="64"/>
    <s v="cumple"/>
    <x v="9"/>
    <x v="5"/>
    <x v="1796"/>
    <n v="3479.9999999999995"/>
    <x v="0"/>
  </r>
  <r>
    <x v="5"/>
    <x v="4"/>
    <x v="5"/>
    <x v="0"/>
    <x v="24"/>
    <x v="3"/>
    <x v="636"/>
    <x v="1078"/>
    <x v="1797"/>
    <x v="210"/>
    <x v="2"/>
    <x v="210"/>
    <x v="0"/>
    <x v="4"/>
    <x v="0"/>
    <x v="242"/>
    <x v="15"/>
    <x v="1"/>
    <s v="MEDIA"/>
    <s v="MEDIA"/>
    <n v="64"/>
    <s v="cumple"/>
    <x v="9"/>
    <x v="5"/>
    <x v="1797"/>
    <n v="1160"/>
    <x v="0"/>
  </r>
  <r>
    <x v="5"/>
    <x v="0"/>
    <x v="5"/>
    <x v="0"/>
    <x v="24"/>
    <x v="1"/>
    <x v="637"/>
    <x v="1079"/>
    <x v="1798"/>
    <x v="211"/>
    <x v="0"/>
    <x v="211"/>
    <x v="0"/>
    <x v="7"/>
    <x v="0"/>
    <x v="242"/>
    <x v="15"/>
    <x v="1"/>
    <s v="MEDIA"/>
    <s v="MEDIA"/>
    <n v="64"/>
    <s v="cumple"/>
    <x v="9"/>
    <x v="5"/>
    <x v="1798"/>
    <n v="2320"/>
    <x v="0"/>
  </r>
  <r>
    <x v="5"/>
    <x v="0"/>
    <x v="5"/>
    <x v="0"/>
    <x v="24"/>
    <x v="1"/>
    <x v="638"/>
    <x v="1079"/>
    <x v="1798"/>
    <x v="212"/>
    <x v="0"/>
    <x v="212"/>
    <x v="0"/>
    <x v="0"/>
    <x v="0"/>
    <x v="242"/>
    <x v="15"/>
    <x v="1"/>
    <s v="MEDIA"/>
    <s v="MEDIA"/>
    <n v="64"/>
    <s v="cumple"/>
    <x v="9"/>
    <x v="5"/>
    <x v="1798"/>
    <n v="4640"/>
    <x v="0"/>
  </r>
  <r>
    <x v="5"/>
    <x v="0"/>
    <x v="5"/>
    <x v="0"/>
    <x v="24"/>
    <x v="1"/>
    <x v="639"/>
    <x v="1079"/>
    <x v="1798"/>
    <x v="213"/>
    <x v="0"/>
    <x v="213"/>
    <x v="7"/>
    <x v="3"/>
    <x v="0"/>
    <x v="242"/>
    <x v="15"/>
    <x v="1"/>
    <s v="MEDIA"/>
    <s v="MEDIA"/>
    <n v="64"/>
    <s v="cumple"/>
    <x v="9"/>
    <x v="5"/>
    <x v="1798"/>
    <n v="3479.9999999999995"/>
    <x v="0"/>
  </r>
  <r>
    <x v="5"/>
    <x v="0"/>
    <x v="5"/>
    <x v="0"/>
    <x v="24"/>
    <x v="1"/>
    <x v="640"/>
    <x v="1080"/>
    <x v="1799"/>
    <x v="214"/>
    <x v="0"/>
    <x v="214"/>
    <x v="0"/>
    <x v="7"/>
    <x v="0"/>
    <x v="243"/>
    <x v="15"/>
    <x v="1"/>
    <s v="MEDIA"/>
    <s v="MEDIA"/>
    <n v="64"/>
    <s v="cumple"/>
    <x v="9"/>
    <x v="5"/>
    <x v="1799"/>
    <n v="2320"/>
    <x v="0"/>
  </r>
  <r>
    <x v="5"/>
    <x v="0"/>
    <x v="5"/>
    <x v="0"/>
    <x v="24"/>
    <x v="1"/>
    <x v="641"/>
    <x v="1081"/>
    <x v="1800"/>
    <x v="215"/>
    <x v="0"/>
    <x v="215"/>
    <x v="3"/>
    <x v="4"/>
    <x v="0"/>
    <x v="243"/>
    <x v="15"/>
    <x v="1"/>
    <s v="MEDIA"/>
    <s v="MEDIA"/>
    <n v="64"/>
    <s v="cumple"/>
    <x v="9"/>
    <x v="5"/>
    <x v="1800"/>
    <n v="1160"/>
    <x v="0"/>
  </r>
  <r>
    <x v="5"/>
    <x v="0"/>
    <x v="5"/>
    <x v="0"/>
    <x v="24"/>
    <x v="1"/>
    <x v="642"/>
    <x v="1082"/>
    <x v="1801"/>
    <x v="215"/>
    <x v="4"/>
    <x v="215"/>
    <x v="0"/>
    <x v="3"/>
    <x v="0"/>
    <x v="243"/>
    <x v="15"/>
    <x v="1"/>
    <s v="MEDIA"/>
    <s v="MEDIA"/>
    <n v="64"/>
    <s v="cumple"/>
    <x v="9"/>
    <x v="5"/>
    <x v="1801"/>
    <n v="3479.9999999999995"/>
    <x v="0"/>
  </r>
  <r>
    <x v="5"/>
    <x v="0"/>
    <x v="5"/>
    <x v="0"/>
    <x v="24"/>
    <x v="1"/>
    <x v="643"/>
    <x v="1082"/>
    <x v="1801"/>
    <x v="216"/>
    <x v="0"/>
    <x v="216"/>
    <x v="5"/>
    <x v="7"/>
    <x v="0"/>
    <x v="243"/>
    <x v="15"/>
    <x v="1"/>
    <s v="MEDIA"/>
    <s v="MEDIA"/>
    <n v="64"/>
    <s v="cumple"/>
    <x v="9"/>
    <x v="5"/>
    <x v="1801"/>
    <n v="2320"/>
    <x v="0"/>
  </r>
  <r>
    <x v="5"/>
    <x v="0"/>
    <x v="5"/>
    <x v="0"/>
    <x v="24"/>
    <x v="2"/>
    <x v="644"/>
    <x v="1083"/>
    <x v="1802"/>
    <x v="216"/>
    <x v="3"/>
    <x v="216"/>
    <x v="0"/>
    <x v="7"/>
    <x v="0"/>
    <x v="243"/>
    <x v="15"/>
    <x v="1"/>
    <s v="MEDIA"/>
    <s v="MEDIA"/>
    <n v="64"/>
    <s v="cumple"/>
    <x v="9"/>
    <x v="5"/>
    <x v="1802"/>
    <n v="2320"/>
    <x v="0"/>
  </r>
  <r>
    <x v="5"/>
    <x v="0"/>
    <x v="5"/>
    <x v="0"/>
    <x v="24"/>
    <x v="1"/>
    <x v="645"/>
    <x v="1084"/>
    <x v="1803"/>
    <x v="217"/>
    <x v="0"/>
    <x v="217"/>
    <x v="0"/>
    <x v="0"/>
    <x v="0"/>
    <x v="243"/>
    <x v="15"/>
    <x v="1"/>
    <s v="MEDIA"/>
    <s v="MEDIA"/>
    <n v="64"/>
    <s v="cumple"/>
    <x v="9"/>
    <x v="5"/>
    <x v="1803"/>
    <n v="4640"/>
    <x v="0"/>
  </r>
  <r>
    <x v="5"/>
    <x v="2"/>
    <x v="5"/>
    <x v="0"/>
    <x v="24"/>
    <x v="3"/>
    <x v="646"/>
    <x v="1085"/>
    <x v="1804"/>
    <x v="218"/>
    <x v="0"/>
    <x v="218"/>
    <x v="0"/>
    <x v="0"/>
    <x v="0"/>
    <x v="243"/>
    <x v="15"/>
    <x v="1"/>
    <s v="MEDIA"/>
    <s v="MEDIA"/>
    <n v="64"/>
    <s v="cumple"/>
    <x v="9"/>
    <x v="5"/>
    <x v="1804"/>
    <n v="4640"/>
    <x v="0"/>
  </r>
  <r>
    <x v="5"/>
    <x v="0"/>
    <x v="5"/>
    <x v="0"/>
    <x v="24"/>
    <x v="2"/>
    <x v="647"/>
    <x v="1086"/>
    <x v="1805"/>
    <x v="218"/>
    <x v="0"/>
    <x v="218"/>
    <x v="7"/>
    <x v="3"/>
    <x v="0"/>
    <x v="243"/>
    <x v="15"/>
    <x v="1"/>
    <s v="MEDIA"/>
    <s v="MEDIA"/>
    <n v="64"/>
    <s v="cumple"/>
    <x v="9"/>
    <x v="5"/>
    <x v="1805"/>
    <n v="3479.9999999999995"/>
    <x v="0"/>
  </r>
  <r>
    <x v="5"/>
    <x v="0"/>
    <x v="5"/>
    <x v="0"/>
    <x v="24"/>
    <x v="1"/>
    <x v="648"/>
    <x v="1087"/>
    <x v="1806"/>
    <x v="219"/>
    <x v="0"/>
    <x v="219"/>
    <x v="0"/>
    <x v="7"/>
    <x v="0"/>
    <x v="244"/>
    <x v="15"/>
    <x v="1"/>
    <s v="MEDIA"/>
    <s v="MEDIA"/>
    <n v="64"/>
    <s v="cumple"/>
    <x v="9"/>
    <x v="5"/>
    <x v="1806"/>
    <n v="2320"/>
    <x v="0"/>
  </r>
  <r>
    <x v="5"/>
    <x v="0"/>
    <x v="5"/>
    <x v="0"/>
    <x v="24"/>
    <x v="1"/>
    <x v="649"/>
    <x v="1087"/>
    <x v="1806"/>
    <x v="220"/>
    <x v="0"/>
    <x v="220"/>
    <x v="0"/>
    <x v="0"/>
    <x v="0"/>
    <x v="244"/>
    <x v="15"/>
    <x v="1"/>
    <s v="MEDIA"/>
    <s v="MEDIA"/>
    <n v="64"/>
    <s v="cumple"/>
    <x v="9"/>
    <x v="5"/>
    <x v="1806"/>
    <n v="4640"/>
    <x v="0"/>
  </r>
  <r>
    <x v="0"/>
    <x v="10"/>
    <x v="2"/>
    <x v="0"/>
    <x v="25"/>
    <x v="2"/>
    <x v="650"/>
    <x v="1088"/>
    <x v="1807"/>
    <x v="204"/>
    <x v="40"/>
    <x v="204"/>
    <x v="41"/>
    <x v="0"/>
    <x v="0"/>
    <x v="245"/>
    <x v="17"/>
    <x v="8"/>
    <s v="MEDIA"/>
    <s v="MEDIA"/>
    <n v="64"/>
    <s v="cumple"/>
    <x v="9"/>
    <x v="2"/>
    <x v="1807"/>
    <n v="4176"/>
    <x v="1"/>
  </r>
  <r>
    <x v="0"/>
    <x v="10"/>
    <x v="2"/>
    <x v="0"/>
    <x v="25"/>
    <x v="1"/>
    <x v="651"/>
    <x v="1089"/>
    <x v="1808"/>
    <x v="205"/>
    <x v="0"/>
    <x v="205"/>
    <x v="0"/>
    <x v="0"/>
    <x v="0"/>
    <x v="245"/>
    <x v="17"/>
    <x v="8"/>
    <s v="MEDIA"/>
    <s v="MEDIA"/>
    <n v="64"/>
    <s v="cumple"/>
    <x v="9"/>
    <x v="2"/>
    <x v="1808"/>
    <n v="4176"/>
    <x v="1"/>
  </r>
  <r>
    <x v="0"/>
    <x v="10"/>
    <x v="2"/>
    <x v="0"/>
    <x v="25"/>
    <x v="1"/>
    <x v="652"/>
    <x v="1090"/>
    <x v="1809"/>
    <x v="206"/>
    <x v="0"/>
    <x v="206"/>
    <x v="0"/>
    <x v="0"/>
    <x v="1"/>
    <x v="246"/>
    <x v="17"/>
    <x v="8"/>
    <s v="MEDIA"/>
    <s v="MEDIA"/>
    <n v="64"/>
    <s v="cumple"/>
    <x v="9"/>
    <x v="2"/>
    <x v="1809"/>
    <n v="4176"/>
    <x v="1"/>
  </r>
  <r>
    <x v="0"/>
    <x v="10"/>
    <x v="2"/>
    <x v="0"/>
    <x v="25"/>
    <x v="1"/>
    <x v="652"/>
    <x v="1090"/>
    <x v="1809"/>
    <x v="207"/>
    <x v="0"/>
    <x v="207"/>
    <x v="5"/>
    <x v="7"/>
    <x v="0"/>
    <x v="246"/>
    <x v="17"/>
    <x v="8"/>
    <s v="MEDIA"/>
    <s v="MEDIA"/>
    <n v="64"/>
    <s v="cumple"/>
    <x v="9"/>
    <x v="2"/>
    <x v="1809"/>
    <n v="2088"/>
    <x v="1"/>
  </r>
  <r>
    <x v="0"/>
    <x v="10"/>
    <x v="2"/>
    <x v="0"/>
    <x v="25"/>
    <x v="1"/>
    <x v="653"/>
    <x v="1091"/>
    <x v="1810"/>
    <x v="207"/>
    <x v="3"/>
    <x v="207"/>
    <x v="38"/>
    <x v="7"/>
    <x v="1"/>
    <x v="247"/>
    <x v="17"/>
    <x v="8"/>
    <s v="MEDIA"/>
    <s v="MEDIA"/>
    <n v="64"/>
    <s v="cumple"/>
    <x v="9"/>
    <x v="2"/>
    <x v="1810"/>
    <n v="2088"/>
    <x v="1"/>
  </r>
  <r>
    <x v="0"/>
    <x v="10"/>
    <x v="2"/>
    <x v="0"/>
    <x v="25"/>
    <x v="1"/>
    <x v="653"/>
    <x v="1091"/>
    <x v="1810"/>
    <x v="208"/>
    <x v="0"/>
    <x v="208"/>
    <x v="5"/>
    <x v="7"/>
    <x v="0"/>
    <x v="247"/>
    <x v="17"/>
    <x v="8"/>
    <s v="MEDIA"/>
    <s v="MEDIA"/>
    <n v="64"/>
    <s v="cumple"/>
    <x v="9"/>
    <x v="2"/>
    <x v="1810"/>
    <n v="2088"/>
    <x v="1"/>
  </r>
  <r>
    <x v="0"/>
    <x v="10"/>
    <x v="2"/>
    <x v="0"/>
    <x v="25"/>
    <x v="1"/>
    <x v="654"/>
    <x v="1092"/>
    <x v="1811"/>
    <x v="208"/>
    <x v="3"/>
    <x v="208"/>
    <x v="0"/>
    <x v="7"/>
    <x v="0"/>
    <x v="248"/>
    <x v="17"/>
    <x v="8"/>
    <s v="MEDIA"/>
    <s v="MEDIA"/>
    <n v="64"/>
    <s v="cumple"/>
    <x v="9"/>
    <x v="2"/>
    <x v="1811"/>
    <n v="2088"/>
    <x v="1"/>
  </r>
  <r>
    <x v="0"/>
    <x v="10"/>
    <x v="2"/>
    <x v="0"/>
    <x v="25"/>
    <x v="1"/>
    <x v="655"/>
    <x v="1093"/>
    <x v="1812"/>
    <x v="209"/>
    <x v="0"/>
    <x v="209"/>
    <x v="5"/>
    <x v="7"/>
    <x v="1"/>
    <x v="249"/>
    <x v="17"/>
    <x v="8"/>
    <s v="MEDIA"/>
    <s v="MEDIA"/>
    <n v="64"/>
    <s v="cumple"/>
    <x v="9"/>
    <x v="2"/>
    <x v="1812"/>
    <n v="2088"/>
    <x v="1"/>
  </r>
  <r>
    <x v="0"/>
    <x v="10"/>
    <x v="2"/>
    <x v="0"/>
    <x v="25"/>
    <x v="1"/>
    <x v="655"/>
    <x v="1093"/>
    <x v="1812"/>
    <x v="209"/>
    <x v="3"/>
    <x v="209"/>
    <x v="0"/>
    <x v="7"/>
    <x v="0"/>
    <x v="249"/>
    <x v="17"/>
    <x v="8"/>
    <s v="MEDIA"/>
    <s v="MEDIA"/>
    <n v="64"/>
    <s v="cumple"/>
    <x v="9"/>
    <x v="2"/>
    <x v="1812"/>
    <n v="2088"/>
    <x v="1"/>
  </r>
  <r>
    <x v="0"/>
    <x v="10"/>
    <x v="2"/>
    <x v="0"/>
    <x v="25"/>
    <x v="1"/>
    <x v="655"/>
    <x v="1093"/>
    <x v="1812"/>
    <x v="210"/>
    <x v="45"/>
    <x v="210"/>
    <x v="46"/>
    <x v="0"/>
    <x v="0"/>
    <x v="250"/>
    <x v="17"/>
    <x v="8"/>
    <s v="MEDIA"/>
    <s v="MEDIA"/>
    <n v="64"/>
    <s v="cumple"/>
    <x v="9"/>
    <x v="2"/>
    <x v="1812"/>
    <n v="4176"/>
    <x v="1"/>
  </r>
  <r>
    <x v="0"/>
    <x v="10"/>
    <x v="2"/>
    <x v="0"/>
    <x v="25"/>
    <x v="1"/>
    <x v="656"/>
    <x v="1094"/>
    <x v="1813"/>
    <x v="211"/>
    <x v="0"/>
    <x v="211"/>
    <x v="0"/>
    <x v="0"/>
    <x v="1"/>
    <x v="251"/>
    <x v="17"/>
    <x v="8"/>
    <s v="MEDIA"/>
    <s v="MEDIA"/>
    <n v="64"/>
    <s v="cumple"/>
    <x v="9"/>
    <x v="2"/>
    <x v="1813"/>
    <n v="4176"/>
    <x v="1"/>
  </r>
  <r>
    <x v="0"/>
    <x v="10"/>
    <x v="2"/>
    <x v="0"/>
    <x v="25"/>
    <x v="1"/>
    <x v="656"/>
    <x v="1094"/>
    <x v="1813"/>
    <x v="212"/>
    <x v="46"/>
    <x v="212"/>
    <x v="47"/>
    <x v="0"/>
    <x v="0"/>
    <x v="251"/>
    <x v="17"/>
    <x v="8"/>
    <s v="MEDIA"/>
    <s v="MEDIA"/>
    <n v="64"/>
    <s v="cumple"/>
    <x v="9"/>
    <x v="2"/>
    <x v="1813"/>
    <n v="4176"/>
    <x v="1"/>
  </r>
  <r>
    <x v="0"/>
    <x v="10"/>
    <x v="2"/>
    <x v="0"/>
    <x v="25"/>
    <x v="1"/>
    <x v="657"/>
    <x v="1095"/>
    <x v="1814"/>
    <x v="213"/>
    <x v="0"/>
    <x v="213"/>
    <x v="0"/>
    <x v="0"/>
    <x v="1"/>
    <x v="252"/>
    <x v="17"/>
    <x v="8"/>
    <s v="MEDIA"/>
    <s v="MEDIA"/>
    <n v="64"/>
    <s v="cumple"/>
    <x v="9"/>
    <x v="2"/>
    <x v="1814"/>
    <n v="4176"/>
    <x v="1"/>
  </r>
  <r>
    <x v="0"/>
    <x v="10"/>
    <x v="2"/>
    <x v="0"/>
    <x v="25"/>
    <x v="1"/>
    <x v="657"/>
    <x v="1095"/>
    <x v="1814"/>
    <x v="214"/>
    <x v="0"/>
    <x v="214"/>
    <x v="0"/>
    <x v="0"/>
    <x v="0"/>
    <x v="252"/>
    <x v="17"/>
    <x v="8"/>
    <s v="MEDIA"/>
    <s v="MEDIA"/>
    <n v="64"/>
    <s v="cumple"/>
    <x v="9"/>
    <x v="2"/>
    <x v="1814"/>
    <n v="4176"/>
    <x v="1"/>
  </r>
  <r>
    <x v="0"/>
    <x v="10"/>
    <x v="2"/>
    <x v="0"/>
    <x v="25"/>
    <x v="1"/>
    <x v="658"/>
    <x v="1096"/>
    <x v="1815"/>
    <x v="215"/>
    <x v="38"/>
    <x v="215"/>
    <x v="39"/>
    <x v="0"/>
    <x v="1"/>
    <x v="253"/>
    <x v="17"/>
    <x v="8"/>
    <s v="MEDIA"/>
    <s v="MEDIA"/>
    <n v="64"/>
    <s v="cumple"/>
    <x v="9"/>
    <x v="2"/>
    <x v="1815"/>
    <n v="4176"/>
    <x v="1"/>
  </r>
  <r>
    <x v="0"/>
    <x v="10"/>
    <x v="2"/>
    <x v="0"/>
    <x v="25"/>
    <x v="1"/>
    <x v="658"/>
    <x v="1096"/>
    <x v="1815"/>
    <x v="216"/>
    <x v="0"/>
    <x v="216"/>
    <x v="0"/>
    <x v="0"/>
    <x v="0"/>
    <x v="253"/>
    <x v="17"/>
    <x v="8"/>
    <s v="MEDIA"/>
    <s v="MEDIA"/>
    <n v="64"/>
    <s v="cumple"/>
    <x v="9"/>
    <x v="2"/>
    <x v="1815"/>
    <n v="4176"/>
    <x v="1"/>
  </r>
  <r>
    <x v="0"/>
    <x v="10"/>
    <x v="2"/>
    <x v="0"/>
    <x v="25"/>
    <x v="1"/>
    <x v="659"/>
    <x v="1097"/>
    <x v="1816"/>
    <x v="217"/>
    <x v="0"/>
    <x v="217"/>
    <x v="0"/>
    <x v="0"/>
    <x v="1"/>
    <x v="254"/>
    <x v="17"/>
    <x v="8"/>
    <s v="MEDIA"/>
    <s v="MEDIA"/>
    <n v="64"/>
    <s v="cumple"/>
    <x v="9"/>
    <x v="2"/>
    <x v="1816"/>
    <n v="4176"/>
    <x v="1"/>
  </r>
  <r>
    <x v="0"/>
    <x v="10"/>
    <x v="2"/>
    <x v="0"/>
    <x v="25"/>
    <x v="1"/>
    <x v="659"/>
    <x v="1097"/>
    <x v="1816"/>
    <x v="218"/>
    <x v="0"/>
    <x v="218"/>
    <x v="0"/>
    <x v="0"/>
    <x v="0"/>
    <x v="254"/>
    <x v="17"/>
    <x v="8"/>
    <s v="MEDIA"/>
    <s v="MEDIA"/>
    <n v="64"/>
    <s v="cumple"/>
    <x v="9"/>
    <x v="2"/>
    <x v="1816"/>
    <n v="4176"/>
    <x v="1"/>
  </r>
  <r>
    <x v="0"/>
    <x v="10"/>
    <x v="2"/>
    <x v="0"/>
    <x v="25"/>
    <x v="1"/>
    <x v="660"/>
    <x v="1098"/>
    <x v="1817"/>
    <x v="219"/>
    <x v="47"/>
    <x v="219"/>
    <x v="48"/>
    <x v="0"/>
    <x v="1"/>
    <x v="255"/>
    <x v="17"/>
    <x v="8"/>
    <s v="MEDIA"/>
    <s v="MEDIA"/>
    <n v="64"/>
    <s v="cumple"/>
    <x v="9"/>
    <x v="2"/>
    <x v="1817"/>
    <n v="4176"/>
    <x v="1"/>
  </r>
  <r>
    <x v="0"/>
    <x v="10"/>
    <x v="2"/>
    <x v="0"/>
    <x v="25"/>
    <x v="1"/>
    <x v="660"/>
    <x v="1098"/>
    <x v="1817"/>
    <x v="220"/>
    <x v="41"/>
    <x v="220"/>
    <x v="42"/>
    <x v="0"/>
    <x v="0"/>
    <x v="255"/>
    <x v="17"/>
    <x v="8"/>
    <s v="MEDIA"/>
    <s v="MEDIA"/>
    <n v="64"/>
    <s v="cumple"/>
    <x v="9"/>
    <x v="2"/>
    <x v="1817"/>
    <n v="4176"/>
    <x v="1"/>
  </r>
  <r>
    <x v="1"/>
    <x v="0"/>
    <x v="0"/>
    <x v="0"/>
    <x v="26"/>
    <x v="2"/>
    <x v="661"/>
    <x v="1099"/>
    <x v="1818"/>
    <x v="204"/>
    <x v="0"/>
    <x v="204"/>
    <x v="0"/>
    <x v="0"/>
    <x v="0"/>
    <x v="256"/>
    <x v="18"/>
    <x v="9"/>
    <s v="MEDIA"/>
    <s v="MEDIA"/>
    <n v="64"/>
    <s v="cumple"/>
    <x v="9"/>
    <x v="0"/>
    <x v="1818"/>
    <n v="4176"/>
    <x v="1"/>
  </r>
  <r>
    <x v="1"/>
    <x v="0"/>
    <x v="0"/>
    <x v="0"/>
    <x v="26"/>
    <x v="2"/>
    <x v="662"/>
    <x v="1099"/>
    <x v="1819"/>
    <x v="205"/>
    <x v="0"/>
    <x v="205"/>
    <x v="0"/>
    <x v="0"/>
    <x v="0"/>
    <x v="256"/>
    <x v="18"/>
    <x v="9"/>
    <s v="MEDIA"/>
    <s v="MEDIA"/>
    <n v="64"/>
    <s v="cumple"/>
    <x v="9"/>
    <x v="0"/>
    <x v="1819"/>
    <n v="4176"/>
    <x v="1"/>
  </r>
  <r>
    <x v="1"/>
    <x v="0"/>
    <x v="0"/>
    <x v="0"/>
    <x v="26"/>
    <x v="2"/>
    <x v="663"/>
    <x v="1099"/>
    <x v="1820"/>
    <x v="206"/>
    <x v="0"/>
    <x v="206"/>
    <x v="0"/>
    <x v="0"/>
    <x v="0"/>
    <x v="256"/>
    <x v="18"/>
    <x v="9"/>
    <s v="MEDIA"/>
    <s v="MEDIA"/>
    <n v="64"/>
    <s v="cumple"/>
    <x v="9"/>
    <x v="0"/>
    <x v="1820"/>
    <n v="4176"/>
    <x v="1"/>
  </r>
  <r>
    <x v="1"/>
    <x v="0"/>
    <x v="0"/>
    <x v="0"/>
    <x v="26"/>
    <x v="2"/>
    <x v="664"/>
    <x v="1099"/>
    <x v="1821"/>
    <x v="207"/>
    <x v="0"/>
    <x v="207"/>
    <x v="0"/>
    <x v="0"/>
    <x v="0"/>
    <x v="256"/>
    <x v="18"/>
    <x v="9"/>
    <s v="MEDIA"/>
    <s v="MEDIA"/>
    <n v="64"/>
    <s v="cumple"/>
    <x v="9"/>
    <x v="0"/>
    <x v="1821"/>
    <n v="4176"/>
    <x v="1"/>
  </r>
  <r>
    <x v="1"/>
    <x v="0"/>
    <x v="0"/>
    <x v="0"/>
    <x v="26"/>
    <x v="2"/>
    <x v="665"/>
    <x v="1099"/>
    <x v="1822"/>
    <x v="208"/>
    <x v="0"/>
    <x v="208"/>
    <x v="0"/>
    <x v="0"/>
    <x v="0"/>
    <x v="256"/>
    <x v="18"/>
    <x v="9"/>
    <s v="MEDIA"/>
    <s v="MEDIA"/>
    <n v="64"/>
    <s v="cumple"/>
    <x v="9"/>
    <x v="0"/>
    <x v="1822"/>
    <n v="4176"/>
    <x v="1"/>
  </r>
  <r>
    <x v="1"/>
    <x v="0"/>
    <x v="0"/>
    <x v="0"/>
    <x v="26"/>
    <x v="2"/>
    <x v="666"/>
    <x v="1099"/>
    <x v="1823"/>
    <x v="209"/>
    <x v="0"/>
    <x v="209"/>
    <x v="0"/>
    <x v="0"/>
    <x v="0"/>
    <x v="256"/>
    <x v="18"/>
    <x v="9"/>
    <s v="MEDIA"/>
    <s v="MEDIA"/>
    <n v="64"/>
    <s v="cumple"/>
    <x v="9"/>
    <x v="0"/>
    <x v="1823"/>
    <n v="4176"/>
    <x v="1"/>
  </r>
  <r>
    <x v="1"/>
    <x v="0"/>
    <x v="0"/>
    <x v="0"/>
    <x v="26"/>
    <x v="2"/>
    <x v="667"/>
    <x v="1099"/>
    <x v="1824"/>
    <x v="210"/>
    <x v="0"/>
    <x v="210"/>
    <x v="0"/>
    <x v="0"/>
    <x v="0"/>
    <x v="256"/>
    <x v="18"/>
    <x v="9"/>
    <s v="MEDIA"/>
    <s v="MEDIA"/>
    <n v="64"/>
    <s v="cumple"/>
    <x v="9"/>
    <x v="0"/>
    <x v="1824"/>
    <n v="4176"/>
    <x v="1"/>
  </r>
  <r>
    <x v="1"/>
    <x v="0"/>
    <x v="0"/>
    <x v="0"/>
    <x v="26"/>
    <x v="2"/>
    <x v="668"/>
    <x v="1099"/>
    <x v="1825"/>
    <x v="211"/>
    <x v="0"/>
    <x v="211"/>
    <x v="0"/>
    <x v="0"/>
    <x v="0"/>
    <x v="256"/>
    <x v="18"/>
    <x v="9"/>
    <s v="MEDIA"/>
    <s v="MEDIA"/>
    <n v="64"/>
    <s v="cumple"/>
    <x v="9"/>
    <x v="0"/>
    <x v="1825"/>
    <n v="4176"/>
    <x v="1"/>
  </r>
  <r>
    <x v="1"/>
    <x v="0"/>
    <x v="0"/>
    <x v="0"/>
    <x v="26"/>
    <x v="2"/>
    <x v="669"/>
    <x v="1099"/>
    <x v="1826"/>
    <x v="212"/>
    <x v="0"/>
    <x v="212"/>
    <x v="0"/>
    <x v="0"/>
    <x v="0"/>
    <x v="256"/>
    <x v="18"/>
    <x v="9"/>
    <s v="MEDIA"/>
    <s v="MEDIA"/>
    <n v="64"/>
    <s v="cumple"/>
    <x v="9"/>
    <x v="0"/>
    <x v="1826"/>
    <n v="4176"/>
    <x v="1"/>
  </r>
  <r>
    <x v="1"/>
    <x v="0"/>
    <x v="0"/>
    <x v="0"/>
    <x v="26"/>
    <x v="2"/>
    <x v="670"/>
    <x v="1099"/>
    <x v="1827"/>
    <x v="213"/>
    <x v="0"/>
    <x v="213"/>
    <x v="0"/>
    <x v="0"/>
    <x v="0"/>
    <x v="256"/>
    <x v="18"/>
    <x v="9"/>
    <s v="MEDIA"/>
    <s v="MEDIA"/>
    <n v="64"/>
    <s v="cumple"/>
    <x v="9"/>
    <x v="0"/>
    <x v="1827"/>
    <n v="4176"/>
    <x v="1"/>
  </r>
  <r>
    <x v="1"/>
    <x v="0"/>
    <x v="0"/>
    <x v="0"/>
    <x v="26"/>
    <x v="2"/>
    <x v="671"/>
    <x v="1099"/>
    <x v="1828"/>
    <x v="214"/>
    <x v="0"/>
    <x v="214"/>
    <x v="0"/>
    <x v="0"/>
    <x v="0"/>
    <x v="256"/>
    <x v="18"/>
    <x v="9"/>
    <s v="MEDIA"/>
    <s v="MEDIA"/>
    <n v="64"/>
    <s v="cumple"/>
    <x v="9"/>
    <x v="0"/>
    <x v="1828"/>
    <n v="4176"/>
    <x v="1"/>
  </r>
  <r>
    <x v="1"/>
    <x v="0"/>
    <x v="0"/>
    <x v="0"/>
    <x v="26"/>
    <x v="2"/>
    <x v="672"/>
    <x v="1099"/>
    <x v="1829"/>
    <x v="215"/>
    <x v="0"/>
    <x v="215"/>
    <x v="0"/>
    <x v="0"/>
    <x v="0"/>
    <x v="256"/>
    <x v="18"/>
    <x v="9"/>
    <s v="MEDIA"/>
    <s v="MEDIA"/>
    <n v="64"/>
    <s v="cumple"/>
    <x v="9"/>
    <x v="0"/>
    <x v="1829"/>
    <n v="4176"/>
    <x v="1"/>
  </r>
  <r>
    <x v="1"/>
    <x v="0"/>
    <x v="0"/>
    <x v="0"/>
    <x v="26"/>
    <x v="2"/>
    <x v="673"/>
    <x v="1099"/>
    <x v="1830"/>
    <x v="216"/>
    <x v="0"/>
    <x v="216"/>
    <x v="0"/>
    <x v="0"/>
    <x v="0"/>
    <x v="256"/>
    <x v="18"/>
    <x v="9"/>
    <s v="MEDIA"/>
    <s v="MEDIA"/>
    <n v="64"/>
    <s v="cumple"/>
    <x v="9"/>
    <x v="0"/>
    <x v="1830"/>
    <n v="4176"/>
    <x v="1"/>
  </r>
  <r>
    <x v="1"/>
    <x v="0"/>
    <x v="0"/>
    <x v="0"/>
    <x v="26"/>
    <x v="2"/>
    <x v="674"/>
    <x v="1099"/>
    <x v="1831"/>
    <x v="217"/>
    <x v="0"/>
    <x v="217"/>
    <x v="0"/>
    <x v="0"/>
    <x v="0"/>
    <x v="256"/>
    <x v="18"/>
    <x v="9"/>
    <s v="MEDIA"/>
    <s v="MEDIA"/>
    <n v="64"/>
    <s v="cumple"/>
    <x v="9"/>
    <x v="0"/>
    <x v="1831"/>
    <n v="4176"/>
    <x v="1"/>
  </r>
  <r>
    <x v="1"/>
    <x v="0"/>
    <x v="0"/>
    <x v="0"/>
    <x v="26"/>
    <x v="2"/>
    <x v="675"/>
    <x v="1099"/>
    <x v="1832"/>
    <x v="218"/>
    <x v="0"/>
    <x v="218"/>
    <x v="0"/>
    <x v="0"/>
    <x v="0"/>
    <x v="256"/>
    <x v="18"/>
    <x v="9"/>
    <s v="MEDIA"/>
    <s v="MEDIA"/>
    <n v="64"/>
    <s v="cumple"/>
    <x v="9"/>
    <x v="0"/>
    <x v="1832"/>
    <n v="4176"/>
    <x v="1"/>
  </r>
  <r>
    <x v="1"/>
    <x v="0"/>
    <x v="0"/>
    <x v="0"/>
    <x v="26"/>
    <x v="2"/>
    <x v="676"/>
    <x v="1099"/>
    <x v="1833"/>
    <x v="219"/>
    <x v="0"/>
    <x v="219"/>
    <x v="0"/>
    <x v="0"/>
    <x v="0"/>
    <x v="256"/>
    <x v="18"/>
    <x v="9"/>
    <s v="MEDIA"/>
    <s v="MEDIA"/>
    <n v="64"/>
    <s v="cumple"/>
    <x v="9"/>
    <x v="0"/>
    <x v="1833"/>
    <n v="4176"/>
    <x v="1"/>
  </r>
  <r>
    <x v="1"/>
    <x v="0"/>
    <x v="0"/>
    <x v="0"/>
    <x v="26"/>
    <x v="2"/>
    <x v="677"/>
    <x v="1099"/>
    <x v="1834"/>
    <x v="220"/>
    <x v="0"/>
    <x v="220"/>
    <x v="0"/>
    <x v="0"/>
    <x v="0"/>
    <x v="256"/>
    <x v="18"/>
    <x v="9"/>
    <s v="MEDIA"/>
    <s v="MEDIA"/>
    <n v="64"/>
    <s v="cumple"/>
    <x v="9"/>
    <x v="0"/>
    <x v="1834"/>
    <n v="4176"/>
    <x v="1"/>
  </r>
  <r>
    <x v="1"/>
    <x v="3"/>
    <x v="0"/>
    <x v="0"/>
    <x v="26"/>
    <x v="4"/>
    <x v="678"/>
    <x v="1100"/>
    <x v="1835"/>
    <x v="217"/>
    <x v="0"/>
    <x v="217"/>
    <x v="0"/>
    <x v="0"/>
    <x v="0"/>
    <x v="257"/>
    <x v="19"/>
    <x v="1"/>
    <s v="MEDIA"/>
    <s v="MEDIA"/>
    <n v="64"/>
    <s v="cumple"/>
    <x v="9"/>
    <x v="0"/>
    <x v="1835"/>
    <n v="4640"/>
    <x v="1"/>
  </r>
  <r>
    <x v="1"/>
    <x v="3"/>
    <x v="0"/>
    <x v="0"/>
    <x v="26"/>
    <x v="4"/>
    <x v="679"/>
    <x v="1100"/>
    <x v="1836"/>
    <x v="218"/>
    <x v="0"/>
    <x v="218"/>
    <x v="0"/>
    <x v="0"/>
    <x v="0"/>
    <x v="257"/>
    <x v="19"/>
    <x v="1"/>
    <s v="MEDIA"/>
    <s v="MEDIA"/>
    <n v="64"/>
    <s v="cumple"/>
    <x v="9"/>
    <x v="0"/>
    <x v="1836"/>
    <n v="4640"/>
    <x v="1"/>
  </r>
  <r>
    <x v="1"/>
    <x v="3"/>
    <x v="0"/>
    <x v="0"/>
    <x v="26"/>
    <x v="4"/>
    <x v="680"/>
    <x v="1100"/>
    <x v="1837"/>
    <x v="219"/>
    <x v="0"/>
    <x v="219"/>
    <x v="0"/>
    <x v="0"/>
    <x v="0"/>
    <x v="257"/>
    <x v="19"/>
    <x v="1"/>
    <s v="MEDIA"/>
    <s v="MEDIA"/>
    <n v="64"/>
    <s v="cumple"/>
    <x v="9"/>
    <x v="0"/>
    <x v="1837"/>
    <n v="4640"/>
    <x v="1"/>
  </r>
  <r>
    <x v="1"/>
    <x v="3"/>
    <x v="0"/>
    <x v="0"/>
    <x v="26"/>
    <x v="4"/>
    <x v="681"/>
    <x v="1100"/>
    <x v="1838"/>
    <x v="220"/>
    <x v="0"/>
    <x v="220"/>
    <x v="0"/>
    <x v="0"/>
    <x v="0"/>
    <x v="257"/>
    <x v="19"/>
    <x v="1"/>
    <s v="MEDIA"/>
    <s v="MEDIA"/>
    <n v="64"/>
    <s v="cumple"/>
    <x v="9"/>
    <x v="0"/>
    <x v="1838"/>
    <n v="4640"/>
    <x v="1"/>
  </r>
  <r>
    <x v="1"/>
    <x v="0"/>
    <x v="0"/>
    <x v="0"/>
    <x v="26"/>
    <x v="2"/>
    <x v="682"/>
    <x v="1101"/>
    <x v="1839"/>
    <x v="202"/>
    <x v="0"/>
    <x v="202"/>
    <x v="0"/>
    <x v="0"/>
    <x v="0"/>
    <x v="258"/>
    <x v="20"/>
    <x v="10"/>
    <s v="MEDIA"/>
    <s v="MEDIA"/>
    <n v="64"/>
    <s v="cumple"/>
    <x v="9"/>
    <x v="0"/>
    <x v="1839"/>
    <n v="5568"/>
    <x v="1"/>
  </r>
  <r>
    <x v="1"/>
    <x v="9"/>
    <x v="0"/>
    <x v="0"/>
    <x v="26"/>
    <x v="2"/>
    <x v="683"/>
    <x v="1102"/>
    <x v="1840"/>
    <x v="203"/>
    <x v="0"/>
    <x v="203"/>
    <x v="8"/>
    <x v="2"/>
    <x v="0"/>
    <x v="258"/>
    <x v="20"/>
    <x v="10"/>
    <s v="MEDIA"/>
    <s v="MEDIA"/>
    <n v="64"/>
    <s v="cumple"/>
    <x v="9"/>
    <x v="0"/>
    <x v="1840"/>
    <n v="696"/>
    <x v="1"/>
  </r>
  <r>
    <x v="1"/>
    <x v="0"/>
    <x v="0"/>
    <x v="0"/>
    <x v="26"/>
    <x v="2"/>
    <x v="684"/>
    <x v="1101"/>
    <x v="1841"/>
    <x v="204"/>
    <x v="0"/>
    <x v="204"/>
    <x v="1"/>
    <x v="1"/>
    <x v="0"/>
    <x v="258"/>
    <x v="20"/>
    <x v="10"/>
    <s v="MEDIA"/>
    <s v="MEDIA"/>
    <n v="64"/>
    <s v="cumple"/>
    <x v="9"/>
    <x v="0"/>
    <x v="1841"/>
    <n v="4872"/>
    <x v="1"/>
  </r>
  <r>
    <x v="1"/>
    <x v="0"/>
    <x v="0"/>
    <x v="0"/>
    <x v="26"/>
    <x v="2"/>
    <x v="685"/>
    <x v="1103"/>
    <x v="1842"/>
    <x v="204"/>
    <x v="0"/>
    <x v="204"/>
    <x v="8"/>
    <x v="2"/>
    <x v="0"/>
    <x v="259"/>
    <x v="20"/>
    <x v="10"/>
    <s v="MEDIA"/>
    <s v="MEDIA"/>
    <n v="64"/>
    <s v="cumple"/>
    <x v="9"/>
    <x v="0"/>
    <x v="1842"/>
    <n v="696"/>
    <x v="1"/>
  </r>
  <r>
    <x v="1"/>
    <x v="0"/>
    <x v="0"/>
    <x v="0"/>
    <x v="26"/>
    <x v="2"/>
    <x v="686"/>
    <x v="1104"/>
    <x v="1843"/>
    <x v="205"/>
    <x v="0"/>
    <x v="205"/>
    <x v="8"/>
    <x v="2"/>
    <x v="0"/>
    <x v="259"/>
    <x v="20"/>
    <x v="10"/>
    <s v="MEDIA"/>
    <s v="MEDIA"/>
    <n v="64"/>
    <s v="cumple"/>
    <x v="9"/>
    <x v="0"/>
    <x v="1843"/>
    <n v="696"/>
    <x v="1"/>
  </r>
  <r>
    <x v="1"/>
    <x v="0"/>
    <x v="0"/>
    <x v="0"/>
    <x v="26"/>
    <x v="2"/>
    <x v="687"/>
    <x v="1104"/>
    <x v="1844"/>
    <x v="206"/>
    <x v="0"/>
    <x v="206"/>
    <x v="8"/>
    <x v="2"/>
    <x v="0"/>
    <x v="259"/>
    <x v="20"/>
    <x v="10"/>
    <s v="MEDIA"/>
    <s v="MEDIA"/>
    <n v="64"/>
    <s v="cumple"/>
    <x v="9"/>
    <x v="0"/>
    <x v="1844"/>
    <n v="696"/>
    <x v="1"/>
  </r>
  <r>
    <x v="1"/>
    <x v="0"/>
    <x v="0"/>
    <x v="0"/>
    <x v="26"/>
    <x v="2"/>
    <x v="688"/>
    <x v="1104"/>
    <x v="1845"/>
    <x v="207"/>
    <x v="0"/>
    <x v="207"/>
    <x v="8"/>
    <x v="2"/>
    <x v="0"/>
    <x v="259"/>
    <x v="20"/>
    <x v="10"/>
    <s v="MEDIA"/>
    <s v="MEDIA"/>
    <n v="64"/>
    <s v="cumple"/>
    <x v="9"/>
    <x v="0"/>
    <x v="1845"/>
    <n v="696"/>
    <x v="1"/>
  </r>
  <r>
    <x v="1"/>
    <x v="0"/>
    <x v="0"/>
    <x v="0"/>
    <x v="26"/>
    <x v="2"/>
    <x v="689"/>
    <x v="1104"/>
    <x v="1846"/>
    <x v="208"/>
    <x v="0"/>
    <x v="208"/>
    <x v="8"/>
    <x v="2"/>
    <x v="0"/>
    <x v="259"/>
    <x v="20"/>
    <x v="10"/>
    <s v="MEDIA"/>
    <s v="MEDIA"/>
    <n v="64"/>
    <s v="cumple"/>
    <x v="9"/>
    <x v="0"/>
    <x v="1846"/>
    <n v="696"/>
    <x v="1"/>
  </r>
  <r>
    <x v="1"/>
    <x v="0"/>
    <x v="0"/>
    <x v="0"/>
    <x v="26"/>
    <x v="2"/>
    <x v="690"/>
    <x v="1104"/>
    <x v="1847"/>
    <x v="209"/>
    <x v="0"/>
    <x v="209"/>
    <x v="8"/>
    <x v="2"/>
    <x v="0"/>
    <x v="259"/>
    <x v="20"/>
    <x v="10"/>
    <s v="MEDIA"/>
    <s v="MEDIA"/>
    <n v="64"/>
    <s v="cumple"/>
    <x v="9"/>
    <x v="0"/>
    <x v="1847"/>
    <n v="696"/>
    <x v="1"/>
  </r>
  <r>
    <x v="1"/>
    <x v="0"/>
    <x v="0"/>
    <x v="0"/>
    <x v="26"/>
    <x v="2"/>
    <x v="691"/>
    <x v="1104"/>
    <x v="1847"/>
    <x v="210"/>
    <x v="0"/>
    <x v="210"/>
    <x v="8"/>
    <x v="2"/>
    <x v="0"/>
    <x v="259"/>
    <x v="20"/>
    <x v="10"/>
    <s v="MEDIA"/>
    <s v="MEDIA"/>
    <n v="64"/>
    <s v="cumple"/>
    <x v="9"/>
    <x v="0"/>
    <x v="1847"/>
    <n v="696"/>
    <x v="1"/>
  </r>
  <r>
    <x v="1"/>
    <x v="0"/>
    <x v="0"/>
    <x v="0"/>
    <x v="26"/>
    <x v="2"/>
    <x v="692"/>
    <x v="1104"/>
    <x v="1847"/>
    <x v="211"/>
    <x v="0"/>
    <x v="211"/>
    <x v="8"/>
    <x v="2"/>
    <x v="0"/>
    <x v="259"/>
    <x v="20"/>
    <x v="10"/>
    <s v="MEDIA"/>
    <s v="MEDIA"/>
    <n v="64"/>
    <s v="cumple"/>
    <x v="9"/>
    <x v="0"/>
    <x v="1847"/>
    <n v="696"/>
    <x v="1"/>
  </r>
  <r>
    <x v="1"/>
    <x v="0"/>
    <x v="0"/>
    <x v="0"/>
    <x v="26"/>
    <x v="2"/>
    <x v="693"/>
    <x v="1104"/>
    <x v="1847"/>
    <x v="212"/>
    <x v="0"/>
    <x v="212"/>
    <x v="8"/>
    <x v="2"/>
    <x v="0"/>
    <x v="259"/>
    <x v="20"/>
    <x v="10"/>
    <s v="MEDIA"/>
    <s v="MEDIA"/>
    <n v="64"/>
    <s v="cumple"/>
    <x v="9"/>
    <x v="0"/>
    <x v="1847"/>
    <n v="696"/>
    <x v="1"/>
  </r>
  <r>
    <x v="1"/>
    <x v="0"/>
    <x v="0"/>
    <x v="0"/>
    <x v="26"/>
    <x v="2"/>
    <x v="694"/>
    <x v="1104"/>
    <x v="1847"/>
    <x v="213"/>
    <x v="0"/>
    <x v="213"/>
    <x v="8"/>
    <x v="2"/>
    <x v="0"/>
    <x v="259"/>
    <x v="20"/>
    <x v="10"/>
    <s v="MEDIA"/>
    <s v="MEDIA"/>
    <n v="64"/>
    <s v="cumple"/>
    <x v="9"/>
    <x v="0"/>
    <x v="1847"/>
    <n v="696"/>
    <x v="1"/>
  </r>
  <r>
    <x v="0"/>
    <x v="1"/>
    <x v="3"/>
    <x v="0"/>
    <x v="1"/>
    <x v="1"/>
    <x v="695"/>
    <x v="27"/>
    <x v="1848"/>
    <x v="221"/>
    <x v="0"/>
    <x v="221"/>
    <x v="0"/>
    <x v="8"/>
    <x v="1"/>
    <x v="42"/>
    <x v="11"/>
    <x v="0"/>
    <s v="MEDIA"/>
    <s v="MEDIA"/>
    <n v="64"/>
    <s v="cumple"/>
    <x v="10"/>
    <x v="3"/>
    <x v="1848"/>
    <n v="6901.9999999999991"/>
    <x v="0"/>
  </r>
  <r>
    <x v="0"/>
    <x v="1"/>
    <x v="3"/>
    <x v="0"/>
    <x v="1"/>
    <x v="1"/>
    <x v="695"/>
    <x v="27"/>
    <x v="1848"/>
    <x v="222"/>
    <x v="0"/>
    <x v="222"/>
    <x v="7"/>
    <x v="3"/>
    <x v="1"/>
    <x v="42"/>
    <x v="11"/>
    <x v="0"/>
    <s v="MEDIA"/>
    <s v="MEDIA"/>
    <n v="64"/>
    <s v="cumple"/>
    <x v="10"/>
    <x v="3"/>
    <x v="1848"/>
    <n v="4872"/>
    <x v="0"/>
  </r>
  <r>
    <x v="0"/>
    <x v="1"/>
    <x v="3"/>
    <x v="0"/>
    <x v="1"/>
    <x v="1"/>
    <x v="695"/>
    <x v="27"/>
    <x v="1848"/>
    <x v="223"/>
    <x v="0"/>
    <x v="223"/>
    <x v="0"/>
    <x v="8"/>
    <x v="1"/>
    <x v="42"/>
    <x v="11"/>
    <x v="0"/>
    <s v="MEDIA"/>
    <s v="MEDIA"/>
    <n v="64"/>
    <s v="cumple"/>
    <x v="10"/>
    <x v="3"/>
    <x v="1848"/>
    <n v="6901.9999999999991"/>
    <x v="0"/>
  </r>
  <r>
    <x v="0"/>
    <x v="1"/>
    <x v="3"/>
    <x v="0"/>
    <x v="1"/>
    <x v="1"/>
    <x v="695"/>
    <x v="27"/>
    <x v="1848"/>
    <x v="224"/>
    <x v="0"/>
    <x v="224"/>
    <x v="0"/>
    <x v="8"/>
    <x v="0"/>
    <x v="42"/>
    <x v="11"/>
    <x v="0"/>
    <s v="MEDIA"/>
    <s v="MEDIA"/>
    <n v="64"/>
    <s v="cumple"/>
    <x v="10"/>
    <x v="3"/>
    <x v="1848"/>
    <n v="6901.9999999999991"/>
    <x v="0"/>
  </r>
  <r>
    <x v="0"/>
    <x v="1"/>
    <x v="3"/>
    <x v="0"/>
    <x v="1"/>
    <x v="1"/>
    <x v="696"/>
    <x v="27"/>
    <x v="1849"/>
    <x v="225"/>
    <x v="0"/>
    <x v="225"/>
    <x v="0"/>
    <x v="8"/>
    <x v="1"/>
    <x v="42"/>
    <x v="11"/>
    <x v="0"/>
    <s v="MEDIA"/>
    <s v="MEDIA"/>
    <n v="64"/>
    <s v="cumple"/>
    <x v="10"/>
    <x v="3"/>
    <x v="1849"/>
    <n v="6901.9999999999991"/>
    <x v="0"/>
  </r>
  <r>
    <x v="0"/>
    <x v="1"/>
    <x v="3"/>
    <x v="0"/>
    <x v="1"/>
    <x v="1"/>
    <x v="696"/>
    <x v="27"/>
    <x v="1849"/>
    <x v="226"/>
    <x v="0"/>
    <x v="226"/>
    <x v="0"/>
    <x v="8"/>
    <x v="1"/>
    <x v="42"/>
    <x v="11"/>
    <x v="0"/>
    <s v="MEDIA"/>
    <s v="MEDIA"/>
    <n v="64"/>
    <s v="cumple"/>
    <x v="10"/>
    <x v="3"/>
    <x v="1849"/>
    <n v="6901.9999999999991"/>
    <x v="0"/>
  </r>
  <r>
    <x v="0"/>
    <x v="1"/>
    <x v="3"/>
    <x v="0"/>
    <x v="1"/>
    <x v="1"/>
    <x v="696"/>
    <x v="27"/>
    <x v="1849"/>
    <x v="227"/>
    <x v="0"/>
    <x v="227"/>
    <x v="7"/>
    <x v="3"/>
    <x v="1"/>
    <x v="42"/>
    <x v="11"/>
    <x v="0"/>
    <s v="MEDIA"/>
    <s v="MEDIA"/>
    <n v="64"/>
    <s v="cumple"/>
    <x v="10"/>
    <x v="3"/>
    <x v="1849"/>
    <n v="4872"/>
    <x v="0"/>
  </r>
  <r>
    <x v="0"/>
    <x v="1"/>
    <x v="3"/>
    <x v="0"/>
    <x v="1"/>
    <x v="1"/>
    <x v="696"/>
    <x v="27"/>
    <x v="1849"/>
    <x v="228"/>
    <x v="0"/>
    <x v="228"/>
    <x v="0"/>
    <x v="8"/>
    <x v="0"/>
    <x v="42"/>
    <x v="11"/>
    <x v="0"/>
    <s v="MEDIA"/>
    <s v="MEDIA"/>
    <n v="64"/>
    <s v="cumple"/>
    <x v="10"/>
    <x v="3"/>
    <x v="1849"/>
    <n v="6901.9999999999991"/>
    <x v="0"/>
  </r>
  <r>
    <x v="0"/>
    <x v="1"/>
    <x v="3"/>
    <x v="0"/>
    <x v="1"/>
    <x v="1"/>
    <x v="697"/>
    <x v="27"/>
    <x v="1850"/>
    <x v="229"/>
    <x v="0"/>
    <x v="229"/>
    <x v="0"/>
    <x v="8"/>
    <x v="1"/>
    <x v="42"/>
    <x v="11"/>
    <x v="0"/>
    <s v="MEDIA"/>
    <s v="MEDIA"/>
    <n v="64"/>
    <s v="cumple"/>
    <x v="10"/>
    <x v="3"/>
    <x v="1850"/>
    <n v="6901.9999999999991"/>
    <x v="0"/>
  </r>
  <r>
    <x v="0"/>
    <x v="1"/>
    <x v="3"/>
    <x v="0"/>
    <x v="1"/>
    <x v="1"/>
    <x v="697"/>
    <x v="27"/>
    <x v="1850"/>
    <x v="230"/>
    <x v="0"/>
    <x v="230"/>
    <x v="0"/>
    <x v="8"/>
    <x v="1"/>
    <x v="42"/>
    <x v="11"/>
    <x v="0"/>
    <s v="MEDIA"/>
    <s v="MEDIA"/>
    <n v="64"/>
    <s v="cumple"/>
    <x v="10"/>
    <x v="3"/>
    <x v="1850"/>
    <n v="6901.9999999999991"/>
    <x v="0"/>
  </r>
  <r>
    <x v="0"/>
    <x v="1"/>
    <x v="3"/>
    <x v="0"/>
    <x v="1"/>
    <x v="1"/>
    <x v="697"/>
    <x v="27"/>
    <x v="1850"/>
    <x v="231"/>
    <x v="0"/>
    <x v="231"/>
    <x v="0"/>
    <x v="8"/>
    <x v="1"/>
    <x v="42"/>
    <x v="11"/>
    <x v="0"/>
    <s v="MEDIA"/>
    <s v="MEDIA"/>
    <n v="64"/>
    <s v="cumple"/>
    <x v="10"/>
    <x v="3"/>
    <x v="1850"/>
    <n v="6901.9999999999991"/>
    <x v="0"/>
  </r>
  <r>
    <x v="0"/>
    <x v="1"/>
    <x v="3"/>
    <x v="0"/>
    <x v="1"/>
    <x v="1"/>
    <x v="697"/>
    <x v="27"/>
    <x v="1850"/>
    <x v="232"/>
    <x v="0"/>
    <x v="232"/>
    <x v="22"/>
    <x v="11"/>
    <x v="0"/>
    <x v="42"/>
    <x v="11"/>
    <x v="0"/>
    <s v="MEDIA"/>
    <s v="MEDIA"/>
    <n v="64"/>
    <s v="cumple"/>
    <x v="10"/>
    <x v="3"/>
    <x v="1850"/>
    <n v="7307.9999999999991"/>
    <x v="0"/>
  </r>
  <r>
    <x v="0"/>
    <x v="1"/>
    <x v="3"/>
    <x v="0"/>
    <x v="1"/>
    <x v="1"/>
    <x v="698"/>
    <x v="27"/>
    <x v="1851"/>
    <x v="233"/>
    <x v="0"/>
    <x v="233"/>
    <x v="0"/>
    <x v="8"/>
    <x v="0"/>
    <x v="42"/>
    <x v="11"/>
    <x v="0"/>
    <s v="MEDIA"/>
    <s v="MEDIA"/>
    <n v="64"/>
    <s v="cumple"/>
    <x v="10"/>
    <x v="3"/>
    <x v="1851"/>
    <n v="6901.9999999999991"/>
    <x v="0"/>
  </r>
  <r>
    <x v="0"/>
    <x v="1"/>
    <x v="3"/>
    <x v="0"/>
    <x v="1"/>
    <x v="1"/>
    <x v="699"/>
    <x v="27"/>
    <x v="1852"/>
    <x v="234"/>
    <x v="0"/>
    <x v="234"/>
    <x v="0"/>
    <x v="8"/>
    <x v="1"/>
    <x v="42"/>
    <x v="11"/>
    <x v="0"/>
    <s v="MEDIA"/>
    <s v="MEDIA"/>
    <n v="64"/>
    <s v="cumple"/>
    <x v="10"/>
    <x v="3"/>
    <x v="1852"/>
    <n v="6901.9999999999991"/>
    <x v="0"/>
  </r>
  <r>
    <x v="0"/>
    <x v="1"/>
    <x v="3"/>
    <x v="0"/>
    <x v="1"/>
    <x v="1"/>
    <x v="699"/>
    <x v="27"/>
    <x v="1852"/>
    <x v="235"/>
    <x v="0"/>
    <x v="235"/>
    <x v="0"/>
    <x v="8"/>
    <x v="0"/>
    <x v="42"/>
    <x v="11"/>
    <x v="0"/>
    <s v="MEDIA"/>
    <s v="MEDIA"/>
    <n v="64"/>
    <s v="cumple"/>
    <x v="10"/>
    <x v="3"/>
    <x v="1852"/>
    <n v="6901.9999999999991"/>
    <x v="0"/>
  </r>
  <r>
    <x v="0"/>
    <x v="1"/>
    <x v="3"/>
    <x v="0"/>
    <x v="1"/>
    <x v="1"/>
    <x v="700"/>
    <x v="27"/>
    <x v="1853"/>
    <x v="236"/>
    <x v="0"/>
    <x v="236"/>
    <x v="7"/>
    <x v="3"/>
    <x v="0"/>
    <x v="42"/>
    <x v="11"/>
    <x v="0"/>
    <s v="MEDIA"/>
    <s v="MEDIA"/>
    <n v="64"/>
    <s v="cumple"/>
    <x v="10"/>
    <x v="3"/>
    <x v="1853"/>
    <n v="4872"/>
    <x v="0"/>
  </r>
  <r>
    <x v="0"/>
    <x v="1"/>
    <x v="3"/>
    <x v="0"/>
    <x v="1"/>
    <x v="1"/>
    <x v="701"/>
    <x v="27"/>
    <x v="1854"/>
    <x v="237"/>
    <x v="0"/>
    <x v="237"/>
    <x v="0"/>
    <x v="8"/>
    <x v="1"/>
    <x v="42"/>
    <x v="11"/>
    <x v="0"/>
    <s v="MEDIA"/>
    <s v="MEDIA"/>
    <n v="64"/>
    <s v="cumple"/>
    <x v="10"/>
    <x v="3"/>
    <x v="1854"/>
    <n v="6901.9999999999991"/>
    <x v="0"/>
  </r>
  <r>
    <x v="0"/>
    <x v="1"/>
    <x v="3"/>
    <x v="0"/>
    <x v="1"/>
    <x v="1"/>
    <x v="701"/>
    <x v="27"/>
    <x v="1854"/>
    <x v="238"/>
    <x v="0"/>
    <x v="238"/>
    <x v="0"/>
    <x v="8"/>
    <x v="0"/>
    <x v="42"/>
    <x v="11"/>
    <x v="0"/>
    <s v="MEDIA"/>
    <s v="MEDIA"/>
    <n v="64"/>
    <s v="cumple"/>
    <x v="10"/>
    <x v="3"/>
    <x v="1854"/>
    <n v="6901.9999999999991"/>
    <x v="0"/>
  </r>
  <r>
    <x v="0"/>
    <x v="1"/>
    <x v="3"/>
    <x v="0"/>
    <x v="1"/>
    <x v="1"/>
    <x v="702"/>
    <x v="27"/>
    <x v="1855"/>
    <x v="239"/>
    <x v="0"/>
    <x v="239"/>
    <x v="0"/>
    <x v="8"/>
    <x v="1"/>
    <x v="42"/>
    <x v="11"/>
    <x v="0"/>
    <s v="MEDIA"/>
    <s v="MEDIA"/>
    <n v="64"/>
    <s v="cumple"/>
    <x v="10"/>
    <x v="3"/>
    <x v="1855"/>
    <n v="6901.9999999999991"/>
    <x v="0"/>
  </r>
  <r>
    <x v="0"/>
    <x v="1"/>
    <x v="3"/>
    <x v="0"/>
    <x v="1"/>
    <x v="1"/>
    <x v="702"/>
    <x v="27"/>
    <x v="1855"/>
    <x v="240"/>
    <x v="0"/>
    <x v="240"/>
    <x v="0"/>
    <x v="8"/>
    <x v="0"/>
    <x v="42"/>
    <x v="11"/>
    <x v="0"/>
    <s v="MEDIA"/>
    <s v="MEDIA"/>
    <n v="64"/>
    <s v="cumple"/>
    <x v="10"/>
    <x v="3"/>
    <x v="1855"/>
    <n v="6901.9999999999991"/>
    <x v="0"/>
  </r>
  <r>
    <x v="0"/>
    <x v="1"/>
    <x v="3"/>
    <x v="0"/>
    <x v="1"/>
    <x v="1"/>
    <x v="703"/>
    <x v="27"/>
    <x v="1856"/>
    <x v="221"/>
    <x v="0"/>
    <x v="221"/>
    <x v="0"/>
    <x v="8"/>
    <x v="1"/>
    <x v="35"/>
    <x v="5"/>
    <x v="0"/>
    <s v="MEDIA"/>
    <s v="MEDIA"/>
    <n v="64"/>
    <s v="cumple"/>
    <x v="10"/>
    <x v="3"/>
    <x v="1856"/>
    <n v="6901.9999999999991"/>
    <x v="0"/>
  </r>
  <r>
    <x v="0"/>
    <x v="1"/>
    <x v="3"/>
    <x v="0"/>
    <x v="1"/>
    <x v="1"/>
    <x v="703"/>
    <x v="27"/>
    <x v="1856"/>
    <x v="222"/>
    <x v="0"/>
    <x v="222"/>
    <x v="7"/>
    <x v="3"/>
    <x v="1"/>
    <x v="35"/>
    <x v="5"/>
    <x v="0"/>
    <s v="MEDIA"/>
    <s v="MEDIA"/>
    <n v="64"/>
    <s v="cumple"/>
    <x v="10"/>
    <x v="3"/>
    <x v="1856"/>
    <n v="4872"/>
    <x v="0"/>
  </r>
  <r>
    <x v="0"/>
    <x v="1"/>
    <x v="3"/>
    <x v="0"/>
    <x v="1"/>
    <x v="1"/>
    <x v="703"/>
    <x v="27"/>
    <x v="1856"/>
    <x v="223"/>
    <x v="0"/>
    <x v="223"/>
    <x v="0"/>
    <x v="8"/>
    <x v="1"/>
    <x v="35"/>
    <x v="5"/>
    <x v="0"/>
    <s v="MEDIA"/>
    <s v="MEDIA"/>
    <n v="64"/>
    <s v="cumple"/>
    <x v="10"/>
    <x v="3"/>
    <x v="1856"/>
    <n v="6901.9999999999991"/>
    <x v="0"/>
  </r>
  <r>
    <x v="0"/>
    <x v="1"/>
    <x v="3"/>
    <x v="0"/>
    <x v="1"/>
    <x v="1"/>
    <x v="703"/>
    <x v="27"/>
    <x v="1856"/>
    <x v="224"/>
    <x v="0"/>
    <x v="224"/>
    <x v="0"/>
    <x v="8"/>
    <x v="0"/>
    <x v="35"/>
    <x v="5"/>
    <x v="0"/>
    <s v="MEDIA"/>
    <s v="MEDIA"/>
    <n v="64"/>
    <s v="cumple"/>
    <x v="10"/>
    <x v="3"/>
    <x v="1856"/>
    <n v="6901.9999999999991"/>
    <x v="0"/>
  </r>
  <r>
    <x v="0"/>
    <x v="1"/>
    <x v="3"/>
    <x v="0"/>
    <x v="1"/>
    <x v="1"/>
    <x v="704"/>
    <x v="27"/>
    <x v="1857"/>
    <x v="225"/>
    <x v="0"/>
    <x v="225"/>
    <x v="0"/>
    <x v="8"/>
    <x v="1"/>
    <x v="35"/>
    <x v="5"/>
    <x v="0"/>
    <s v="MEDIA"/>
    <s v="MEDIA"/>
    <n v="64"/>
    <s v="cumple"/>
    <x v="10"/>
    <x v="3"/>
    <x v="1857"/>
    <n v="6901.9999999999991"/>
    <x v="0"/>
  </r>
  <r>
    <x v="0"/>
    <x v="1"/>
    <x v="3"/>
    <x v="0"/>
    <x v="1"/>
    <x v="1"/>
    <x v="704"/>
    <x v="27"/>
    <x v="1857"/>
    <x v="226"/>
    <x v="0"/>
    <x v="226"/>
    <x v="0"/>
    <x v="8"/>
    <x v="0"/>
    <x v="35"/>
    <x v="5"/>
    <x v="0"/>
    <s v="MEDIA"/>
    <s v="MEDIA"/>
    <n v="64"/>
    <s v="cumple"/>
    <x v="10"/>
    <x v="3"/>
    <x v="1857"/>
    <n v="6901.9999999999991"/>
    <x v="0"/>
  </r>
  <r>
    <x v="0"/>
    <x v="1"/>
    <x v="3"/>
    <x v="0"/>
    <x v="1"/>
    <x v="1"/>
    <x v="705"/>
    <x v="27"/>
    <x v="1858"/>
    <x v="227"/>
    <x v="0"/>
    <x v="227"/>
    <x v="7"/>
    <x v="3"/>
    <x v="1"/>
    <x v="35"/>
    <x v="5"/>
    <x v="0"/>
    <s v="MEDIA"/>
    <s v="MEDIA"/>
    <n v="64"/>
    <s v="cumple"/>
    <x v="10"/>
    <x v="3"/>
    <x v="1858"/>
    <n v="4872"/>
    <x v="0"/>
  </r>
  <r>
    <x v="0"/>
    <x v="1"/>
    <x v="3"/>
    <x v="0"/>
    <x v="1"/>
    <x v="1"/>
    <x v="705"/>
    <x v="27"/>
    <x v="1858"/>
    <x v="228"/>
    <x v="0"/>
    <x v="228"/>
    <x v="0"/>
    <x v="8"/>
    <x v="1"/>
    <x v="35"/>
    <x v="5"/>
    <x v="0"/>
    <s v="MEDIA"/>
    <s v="MEDIA"/>
    <n v="64"/>
    <s v="cumple"/>
    <x v="10"/>
    <x v="3"/>
    <x v="1858"/>
    <n v="6901.9999999999991"/>
    <x v="0"/>
  </r>
  <r>
    <x v="0"/>
    <x v="1"/>
    <x v="3"/>
    <x v="0"/>
    <x v="1"/>
    <x v="1"/>
    <x v="705"/>
    <x v="27"/>
    <x v="1858"/>
    <x v="229"/>
    <x v="0"/>
    <x v="229"/>
    <x v="0"/>
    <x v="8"/>
    <x v="1"/>
    <x v="35"/>
    <x v="5"/>
    <x v="0"/>
    <s v="MEDIA"/>
    <s v="MEDIA"/>
    <n v="64"/>
    <s v="cumple"/>
    <x v="10"/>
    <x v="3"/>
    <x v="1858"/>
    <n v="6901.9999999999991"/>
    <x v="0"/>
  </r>
  <r>
    <x v="0"/>
    <x v="1"/>
    <x v="3"/>
    <x v="0"/>
    <x v="1"/>
    <x v="1"/>
    <x v="705"/>
    <x v="27"/>
    <x v="1858"/>
    <x v="230"/>
    <x v="0"/>
    <x v="230"/>
    <x v="22"/>
    <x v="11"/>
    <x v="1"/>
    <x v="35"/>
    <x v="5"/>
    <x v="0"/>
    <s v="MEDIA"/>
    <s v="MEDIA"/>
    <n v="64"/>
    <s v="cumple"/>
    <x v="10"/>
    <x v="3"/>
    <x v="1858"/>
    <n v="7307.9999999999991"/>
    <x v="0"/>
  </r>
  <r>
    <x v="0"/>
    <x v="1"/>
    <x v="3"/>
    <x v="0"/>
    <x v="1"/>
    <x v="1"/>
    <x v="705"/>
    <x v="27"/>
    <x v="1858"/>
    <x v="231"/>
    <x v="0"/>
    <x v="231"/>
    <x v="22"/>
    <x v="11"/>
    <x v="1"/>
    <x v="35"/>
    <x v="5"/>
    <x v="0"/>
    <s v="MEDIA"/>
    <s v="MEDIA"/>
    <n v="64"/>
    <s v="cumple"/>
    <x v="10"/>
    <x v="3"/>
    <x v="1858"/>
    <n v="7307.9999999999991"/>
    <x v="0"/>
  </r>
  <r>
    <x v="0"/>
    <x v="1"/>
    <x v="3"/>
    <x v="0"/>
    <x v="1"/>
    <x v="1"/>
    <x v="705"/>
    <x v="27"/>
    <x v="1858"/>
    <x v="232"/>
    <x v="0"/>
    <x v="232"/>
    <x v="22"/>
    <x v="11"/>
    <x v="0"/>
    <x v="35"/>
    <x v="5"/>
    <x v="0"/>
    <s v="MEDIA"/>
    <s v="MEDIA"/>
    <n v="64"/>
    <s v="cumple"/>
    <x v="10"/>
    <x v="3"/>
    <x v="1858"/>
    <n v="7307.9999999999991"/>
    <x v="0"/>
  </r>
  <r>
    <x v="0"/>
    <x v="1"/>
    <x v="3"/>
    <x v="0"/>
    <x v="1"/>
    <x v="1"/>
    <x v="706"/>
    <x v="27"/>
    <x v="1859"/>
    <x v="233"/>
    <x v="0"/>
    <x v="233"/>
    <x v="0"/>
    <x v="8"/>
    <x v="1"/>
    <x v="35"/>
    <x v="5"/>
    <x v="0"/>
    <s v="MEDIA"/>
    <s v="MEDIA"/>
    <n v="64"/>
    <s v="cumple"/>
    <x v="10"/>
    <x v="3"/>
    <x v="1859"/>
    <n v="6901.9999999999991"/>
    <x v="0"/>
  </r>
  <r>
    <x v="0"/>
    <x v="1"/>
    <x v="3"/>
    <x v="0"/>
    <x v="1"/>
    <x v="1"/>
    <x v="706"/>
    <x v="27"/>
    <x v="1859"/>
    <x v="234"/>
    <x v="0"/>
    <x v="234"/>
    <x v="0"/>
    <x v="8"/>
    <x v="1"/>
    <x v="35"/>
    <x v="5"/>
    <x v="0"/>
    <s v="MEDIA"/>
    <s v="MEDIA"/>
    <n v="64"/>
    <s v="cumple"/>
    <x v="10"/>
    <x v="3"/>
    <x v="1859"/>
    <n v="6901.9999999999991"/>
    <x v="0"/>
  </r>
  <r>
    <x v="0"/>
    <x v="1"/>
    <x v="3"/>
    <x v="0"/>
    <x v="1"/>
    <x v="1"/>
    <x v="706"/>
    <x v="27"/>
    <x v="1859"/>
    <x v="235"/>
    <x v="0"/>
    <x v="235"/>
    <x v="0"/>
    <x v="8"/>
    <x v="1"/>
    <x v="35"/>
    <x v="5"/>
    <x v="0"/>
    <s v="MEDIA"/>
    <s v="MEDIA"/>
    <n v="64"/>
    <s v="cumple"/>
    <x v="10"/>
    <x v="3"/>
    <x v="1859"/>
    <n v="6901.9999999999991"/>
    <x v="0"/>
  </r>
  <r>
    <x v="0"/>
    <x v="1"/>
    <x v="3"/>
    <x v="0"/>
    <x v="1"/>
    <x v="1"/>
    <x v="706"/>
    <x v="27"/>
    <x v="1859"/>
    <x v="236"/>
    <x v="0"/>
    <x v="236"/>
    <x v="7"/>
    <x v="3"/>
    <x v="1"/>
    <x v="35"/>
    <x v="5"/>
    <x v="0"/>
    <s v="MEDIA"/>
    <s v="MEDIA"/>
    <n v="64"/>
    <s v="cumple"/>
    <x v="10"/>
    <x v="3"/>
    <x v="1859"/>
    <n v="4872"/>
    <x v="0"/>
  </r>
  <r>
    <x v="0"/>
    <x v="1"/>
    <x v="3"/>
    <x v="0"/>
    <x v="1"/>
    <x v="1"/>
    <x v="706"/>
    <x v="27"/>
    <x v="1859"/>
    <x v="237"/>
    <x v="0"/>
    <x v="237"/>
    <x v="0"/>
    <x v="8"/>
    <x v="1"/>
    <x v="35"/>
    <x v="5"/>
    <x v="0"/>
    <s v="MEDIA"/>
    <s v="MEDIA"/>
    <n v="64"/>
    <s v="cumple"/>
    <x v="10"/>
    <x v="3"/>
    <x v="1859"/>
    <n v="6901.9999999999991"/>
    <x v="0"/>
  </r>
  <r>
    <x v="0"/>
    <x v="1"/>
    <x v="3"/>
    <x v="0"/>
    <x v="1"/>
    <x v="1"/>
    <x v="706"/>
    <x v="27"/>
    <x v="1859"/>
    <x v="238"/>
    <x v="0"/>
    <x v="238"/>
    <x v="0"/>
    <x v="8"/>
    <x v="0"/>
    <x v="35"/>
    <x v="5"/>
    <x v="0"/>
    <s v="MEDIA"/>
    <s v="MEDIA"/>
    <n v="64"/>
    <s v="cumple"/>
    <x v="10"/>
    <x v="3"/>
    <x v="1859"/>
    <n v="6901.9999999999991"/>
    <x v="0"/>
  </r>
  <r>
    <x v="0"/>
    <x v="1"/>
    <x v="3"/>
    <x v="0"/>
    <x v="1"/>
    <x v="1"/>
    <x v="707"/>
    <x v="27"/>
    <x v="1860"/>
    <x v="239"/>
    <x v="0"/>
    <x v="239"/>
    <x v="0"/>
    <x v="8"/>
    <x v="1"/>
    <x v="35"/>
    <x v="5"/>
    <x v="0"/>
    <s v="MEDIA"/>
    <s v="MEDIA"/>
    <n v="64"/>
    <s v="cumple"/>
    <x v="10"/>
    <x v="3"/>
    <x v="1860"/>
    <n v="6901.9999999999991"/>
    <x v="0"/>
  </r>
  <r>
    <x v="0"/>
    <x v="1"/>
    <x v="3"/>
    <x v="0"/>
    <x v="1"/>
    <x v="1"/>
    <x v="707"/>
    <x v="27"/>
    <x v="1860"/>
    <x v="240"/>
    <x v="0"/>
    <x v="240"/>
    <x v="0"/>
    <x v="8"/>
    <x v="0"/>
    <x v="35"/>
    <x v="5"/>
    <x v="0"/>
    <s v="MEDIA"/>
    <s v="MEDIA"/>
    <n v="64"/>
    <s v="cumple"/>
    <x v="10"/>
    <x v="3"/>
    <x v="1860"/>
    <n v="6901.9999999999991"/>
    <x v="0"/>
  </r>
  <r>
    <x v="0"/>
    <x v="1"/>
    <x v="3"/>
    <x v="0"/>
    <x v="14"/>
    <x v="1"/>
    <x v="708"/>
    <x v="27"/>
    <x v="1861"/>
    <x v="221"/>
    <x v="0"/>
    <x v="221"/>
    <x v="0"/>
    <x v="8"/>
    <x v="0"/>
    <x v="105"/>
    <x v="21"/>
    <x v="0"/>
    <s v="MEDIA"/>
    <s v="MEDIA"/>
    <n v="64"/>
    <s v="cumple"/>
    <x v="10"/>
    <x v="3"/>
    <x v="1861"/>
    <n v="6901.9999999999991"/>
    <x v="0"/>
  </r>
  <r>
    <x v="0"/>
    <x v="1"/>
    <x v="3"/>
    <x v="0"/>
    <x v="14"/>
    <x v="1"/>
    <x v="709"/>
    <x v="27"/>
    <x v="1862"/>
    <x v="222"/>
    <x v="0"/>
    <x v="222"/>
    <x v="0"/>
    <x v="8"/>
    <x v="0"/>
    <x v="105"/>
    <x v="21"/>
    <x v="0"/>
    <s v="MEDIA"/>
    <s v="MEDIA"/>
    <n v="64"/>
    <s v="cumple"/>
    <x v="10"/>
    <x v="3"/>
    <x v="1862"/>
    <n v="6901.9999999999991"/>
    <x v="0"/>
  </r>
  <r>
    <x v="0"/>
    <x v="1"/>
    <x v="3"/>
    <x v="0"/>
    <x v="14"/>
    <x v="1"/>
    <x v="710"/>
    <x v="27"/>
    <x v="1863"/>
    <x v="223"/>
    <x v="0"/>
    <x v="223"/>
    <x v="0"/>
    <x v="8"/>
    <x v="1"/>
    <x v="105"/>
    <x v="21"/>
    <x v="0"/>
    <s v="MEDIA"/>
    <s v="MEDIA"/>
    <n v="64"/>
    <s v="cumple"/>
    <x v="10"/>
    <x v="3"/>
    <x v="1863"/>
    <n v="6901.9999999999991"/>
    <x v="0"/>
  </r>
  <r>
    <x v="0"/>
    <x v="1"/>
    <x v="3"/>
    <x v="0"/>
    <x v="14"/>
    <x v="1"/>
    <x v="710"/>
    <x v="27"/>
    <x v="1863"/>
    <x v="224"/>
    <x v="0"/>
    <x v="224"/>
    <x v="0"/>
    <x v="8"/>
    <x v="0"/>
    <x v="105"/>
    <x v="21"/>
    <x v="0"/>
    <s v="MEDIA"/>
    <s v="MEDIA"/>
    <n v="64"/>
    <s v="cumple"/>
    <x v="10"/>
    <x v="3"/>
    <x v="1863"/>
    <n v="6901.9999999999991"/>
    <x v="0"/>
  </r>
  <r>
    <x v="0"/>
    <x v="1"/>
    <x v="3"/>
    <x v="0"/>
    <x v="14"/>
    <x v="1"/>
    <x v="711"/>
    <x v="27"/>
    <x v="1864"/>
    <x v="225"/>
    <x v="0"/>
    <x v="225"/>
    <x v="0"/>
    <x v="8"/>
    <x v="0"/>
    <x v="105"/>
    <x v="21"/>
    <x v="0"/>
    <s v="MEDIA"/>
    <s v="MEDIA"/>
    <n v="64"/>
    <s v="cumple"/>
    <x v="10"/>
    <x v="3"/>
    <x v="1864"/>
    <n v="6901.9999999999991"/>
    <x v="0"/>
  </r>
  <r>
    <x v="0"/>
    <x v="1"/>
    <x v="3"/>
    <x v="0"/>
    <x v="14"/>
    <x v="1"/>
    <x v="712"/>
    <x v="27"/>
    <x v="1865"/>
    <x v="226"/>
    <x v="0"/>
    <x v="226"/>
    <x v="4"/>
    <x v="5"/>
    <x v="0"/>
    <x v="105"/>
    <x v="21"/>
    <x v="0"/>
    <s v="MEDIA"/>
    <s v="MEDIA"/>
    <n v="64"/>
    <s v="cumple"/>
    <x v="10"/>
    <x v="3"/>
    <x v="1865"/>
    <n v="2436"/>
    <x v="0"/>
  </r>
  <r>
    <x v="0"/>
    <x v="1"/>
    <x v="3"/>
    <x v="0"/>
    <x v="14"/>
    <x v="1"/>
    <x v="713"/>
    <x v="27"/>
    <x v="1866"/>
    <x v="226"/>
    <x v="6"/>
    <x v="226"/>
    <x v="17"/>
    <x v="7"/>
    <x v="0"/>
    <x v="105"/>
    <x v="21"/>
    <x v="0"/>
    <s v="MEDIA"/>
    <s v="MEDIA"/>
    <n v="64"/>
    <s v="cumple"/>
    <x v="10"/>
    <x v="3"/>
    <x v="1866"/>
    <n v="3248"/>
    <x v="0"/>
  </r>
  <r>
    <x v="0"/>
    <x v="1"/>
    <x v="3"/>
    <x v="0"/>
    <x v="14"/>
    <x v="1"/>
    <x v="714"/>
    <x v="27"/>
    <x v="1867"/>
    <x v="226"/>
    <x v="14"/>
    <x v="226"/>
    <x v="0"/>
    <x v="15"/>
    <x v="0"/>
    <x v="105"/>
    <x v="21"/>
    <x v="0"/>
    <s v="MEDIA"/>
    <s v="MEDIA"/>
    <n v="64"/>
    <s v="cumple"/>
    <x v="10"/>
    <x v="3"/>
    <x v="1867"/>
    <n v="1218"/>
    <x v="0"/>
  </r>
  <r>
    <x v="0"/>
    <x v="1"/>
    <x v="3"/>
    <x v="0"/>
    <x v="14"/>
    <x v="1"/>
    <x v="715"/>
    <x v="27"/>
    <x v="1868"/>
    <x v="227"/>
    <x v="0"/>
    <x v="227"/>
    <x v="5"/>
    <x v="7"/>
    <x v="0"/>
    <x v="105"/>
    <x v="21"/>
    <x v="0"/>
    <s v="MEDIA"/>
    <s v="MEDIA"/>
    <n v="64"/>
    <s v="cumple"/>
    <x v="10"/>
    <x v="3"/>
    <x v="1868"/>
    <n v="3248"/>
    <x v="0"/>
  </r>
  <r>
    <x v="0"/>
    <x v="1"/>
    <x v="3"/>
    <x v="0"/>
    <x v="14"/>
    <x v="1"/>
    <x v="716"/>
    <x v="27"/>
    <x v="1869"/>
    <x v="227"/>
    <x v="3"/>
    <x v="227"/>
    <x v="18"/>
    <x v="4"/>
    <x v="0"/>
    <x v="105"/>
    <x v="21"/>
    <x v="0"/>
    <s v="MEDIA"/>
    <s v="MEDIA"/>
    <n v="64"/>
    <s v="cumple"/>
    <x v="10"/>
    <x v="3"/>
    <x v="1869"/>
    <n v="1624"/>
    <x v="0"/>
  </r>
  <r>
    <x v="0"/>
    <x v="1"/>
    <x v="3"/>
    <x v="0"/>
    <x v="14"/>
    <x v="1"/>
    <x v="717"/>
    <x v="27"/>
    <x v="1870"/>
    <x v="227"/>
    <x v="15"/>
    <x v="227"/>
    <x v="0"/>
    <x v="12"/>
    <x v="0"/>
    <x v="105"/>
    <x v="21"/>
    <x v="0"/>
    <s v="MEDIA"/>
    <s v="MEDIA"/>
    <n v="64"/>
    <s v="cumple"/>
    <x v="10"/>
    <x v="3"/>
    <x v="1870"/>
    <n v="2029.9999999999998"/>
    <x v="0"/>
  </r>
  <r>
    <x v="0"/>
    <x v="1"/>
    <x v="3"/>
    <x v="0"/>
    <x v="14"/>
    <x v="1"/>
    <x v="718"/>
    <x v="27"/>
    <x v="1871"/>
    <x v="228"/>
    <x v="0"/>
    <x v="228"/>
    <x v="3"/>
    <x v="4"/>
    <x v="0"/>
    <x v="105"/>
    <x v="21"/>
    <x v="0"/>
    <s v="MEDIA"/>
    <s v="MEDIA"/>
    <n v="64"/>
    <s v="cumple"/>
    <x v="10"/>
    <x v="3"/>
    <x v="1871"/>
    <n v="1624"/>
    <x v="0"/>
  </r>
  <r>
    <x v="0"/>
    <x v="1"/>
    <x v="3"/>
    <x v="0"/>
    <x v="14"/>
    <x v="1"/>
    <x v="719"/>
    <x v="27"/>
    <x v="1872"/>
    <x v="228"/>
    <x v="4"/>
    <x v="228"/>
    <x v="5"/>
    <x v="4"/>
    <x v="0"/>
    <x v="105"/>
    <x v="21"/>
    <x v="0"/>
    <s v="MEDIA"/>
    <s v="MEDIA"/>
    <n v="64"/>
    <s v="cumple"/>
    <x v="10"/>
    <x v="3"/>
    <x v="1872"/>
    <n v="1624"/>
    <x v="0"/>
  </r>
  <r>
    <x v="0"/>
    <x v="1"/>
    <x v="3"/>
    <x v="0"/>
    <x v="14"/>
    <x v="1"/>
    <x v="720"/>
    <x v="27"/>
    <x v="1873"/>
    <x v="228"/>
    <x v="3"/>
    <x v="228"/>
    <x v="18"/>
    <x v="4"/>
    <x v="0"/>
    <x v="105"/>
    <x v="21"/>
    <x v="0"/>
    <s v="MEDIA"/>
    <s v="MEDIA"/>
    <n v="64"/>
    <s v="cumple"/>
    <x v="10"/>
    <x v="3"/>
    <x v="1873"/>
    <n v="1624"/>
    <x v="0"/>
  </r>
  <r>
    <x v="0"/>
    <x v="1"/>
    <x v="3"/>
    <x v="0"/>
    <x v="14"/>
    <x v="1"/>
    <x v="721"/>
    <x v="27"/>
    <x v="1874"/>
    <x v="228"/>
    <x v="15"/>
    <x v="228"/>
    <x v="0"/>
    <x v="12"/>
    <x v="0"/>
    <x v="105"/>
    <x v="21"/>
    <x v="0"/>
    <s v="MEDIA"/>
    <s v="MEDIA"/>
    <n v="64"/>
    <s v="cumple"/>
    <x v="10"/>
    <x v="3"/>
    <x v="1874"/>
    <n v="2029.9999999999998"/>
    <x v="0"/>
  </r>
  <r>
    <x v="0"/>
    <x v="1"/>
    <x v="3"/>
    <x v="0"/>
    <x v="14"/>
    <x v="1"/>
    <x v="722"/>
    <x v="27"/>
    <x v="1875"/>
    <x v="229"/>
    <x v="0"/>
    <x v="229"/>
    <x v="5"/>
    <x v="7"/>
    <x v="0"/>
    <x v="105"/>
    <x v="21"/>
    <x v="0"/>
    <s v="MEDIA"/>
    <s v="MEDIA"/>
    <n v="64"/>
    <s v="cumple"/>
    <x v="10"/>
    <x v="3"/>
    <x v="1875"/>
    <n v="3248"/>
    <x v="0"/>
  </r>
  <r>
    <x v="0"/>
    <x v="1"/>
    <x v="3"/>
    <x v="0"/>
    <x v="14"/>
    <x v="1"/>
    <x v="723"/>
    <x v="27"/>
    <x v="1876"/>
    <x v="229"/>
    <x v="3"/>
    <x v="229"/>
    <x v="0"/>
    <x v="14"/>
    <x v="0"/>
    <x v="105"/>
    <x v="21"/>
    <x v="0"/>
    <s v="MEDIA"/>
    <s v="MEDIA"/>
    <n v="64"/>
    <s v="cumple"/>
    <x v="10"/>
    <x v="3"/>
    <x v="1876"/>
    <n v="3653.9999999999995"/>
    <x v="0"/>
  </r>
  <r>
    <x v="0"/>
    <x v="1"/>
    <x v="3"/>
    <x v="0"/>
    <x v="14"/>
    <x v="1"/>
    <x v="724"/>
    <x v="27"/>
    <x v="1877"/>
    <x v="230"/>
    <x v="0"/>
    <x v="230"/>
    <x v="0"/>
    <x v="8"/>
    <x v="0"/>
    <x v="105"/>
    <x v="21"/>
    <x v="0"/>
    <s v="MEDIA"/>
    <s v="MEDIA"/>
    <n v="64"/>
    <s v="cumple"/>
    <x v="10"/>
    <x v="3"/>
    <x v="1877"/>
    <n v="6901.9999999999991"/>
    <x v="0"/>
  </r>
  <r>
    <x v="0"/>
    <x v="1"/>
    <x v="3"/>
    <x v="0"/>
    <x v="14"/>
    <x v="1"/>
    <x v="725"/>
    <x v="27"/>
    <x v="1878"/>
    <x v="231"/>
    <x v="0"/>
    <x v="231"/>
    <x v="0"/>
    <x v="8"/>
    <x v="1"/>
    <x v="105"/>
    <x v="21"/>
    <x v="0"/>
    <s v="MEDIA"/>
    <s v="MEDIA"/>
    <n v="64"/>
    <s v="cumple"/>
    <x v="10"/>
    <x v="3"/>
    <x v="1878"/>
    <n v="6901.9999999999991"/>
    <x v="0"/>
  </r>
  <r>
    <x v="0"/>
    <x v="1"/>
    <x v="3"/>
    <x v="0"/>
    <x v="14"/>
    <x v="1"/>
    <x v="725"/>
    <x v="27"/>
    <x v="1878"/>
    <x v="232"/>
    <x v="0"/>
    <x v="232"/>
    <x v="0"/>
    <x v="8"/>
    <x v="1"/>
    <x v="105"/>
    <x v="21"/>
    <x v="0"/>
    <s v="MEDIA"/>
    <s v="MEDIA"/>
    <n v="64"/>
    <s v="cumple"/>
    <x v="10"/>
    <x v="3"/>
    <x v="1878"/>
    <n v="6901.9999999999991"/>
    <x v="0"/>
  </r>
  <r>
    <x v="0"/>
    <x v="1"/>
    <x v="3"/>
    <x v="0"/>
    <x v="14"/>
    <x v="1"/>
    <x v="725"/>
    <x v="27"/>
    <x v="1878"/>
    <x v="233"/>
    <x v="0"/>
    <x v="233"/>
    <x v="0"/>
    <x v="8"/>
    <x v="1"/>
    <x v="105"/>
    <x v="21"/>
    <x v="0"/>
    <s v="MEDIA"/>
    <s v="MEDIA"/>
    <n v="64"/>
    <s v="cumple"/>
    <x v="10"/>
    <x v="3"/>
    <x v="1878"/>
    <n v="6901.9999999999991"/>
    <x v="0"/>
  </r>
  <r>
    <x v="0"/>
    <x v="1"/>
    <x v="3"/>
    <x v="0"/>
    <x v="14"/>
    <x v="1"/>
    <x v="725"/>
    <x v="27"/>
    <x v="1878"/>
    <x v="234"/>
    <x v="0"/>
    <x v="234"/>
    <x v="0"/>
    <x v="8"/>
    <x v="0"/>
    <x v="105"/>
    <x v="21"/>
    <x v="0"/>
    <s v="MEDIA"/>
    <s v="MEDIA"/>
    <n v="64"/>
    <s v="cumple"/>
    <x v="10"/>
    <x v="3"/>
    <x v="1878"/>
    <n v="6901.9999999999991"/>
    <x v="0"/>
  </r>
  <r>
    <x v="0"/>
    <x v="1"/>
    <x v="3"/>
    <x v="0"/>
    <x v="14"/>
    <x v="1"/>
    <x v="726"/>
    <x v="27"/>
    <x v="1879"/>
    <x v="235"/>
    <x v="0"/>
    <x v="235"/>
    <x v="0"/>
    <x v="8"/>
    <x v="1"/>
    <x v="105"/>
    <x v="21"/>
    <x v="0"/>
    <s v="MEDIA"/>
    <s v="MEDIA"/>
    <n v="64"/>
    <s v="cumple"/>
    <x v="10"/>
    <x v="3"/>
    <x v="1879"/>
    <n v="6901.9999999999991"/>
    <x v="0"/>
  </r>
  <r>
    <x v="0"/>
    <x v="1"/>
    <x v="3"/>
    <x v="0"/>
    <x v="14"/>
    <x v="1"/>
    <x v="726"/>
    <x v="27"/>
    <x v="1879"/>
    <x v="236"/>
    <x v="0"/>
    <x v="236"/>
    <x v="7"/>
    <x v="3"/>
    <x v="1"/>
    <x v="105"/>
    <x v="21"/>
    <x v="0"/>
    <s v="MEDIA"/>
    <s v="MEDIA"/>
    <n v="64"/>
    <s v="cumple"/>
    <x v="10"/>
    <x v="3"/>
    <x v="1879"/>
    <n v="4872"/>
    <x v="0"/>
  </r>
  <r>
    <x v="0"/>
    <x v="1"/>
    <x v="3"/>
    <x v="0"/>
    <x v="14"/>
    <x v="1"/>
    <x v="726"/>
    <x v="27"/>
    <x v="1879"/>
    <x v="237"/>
    <x v="0"/>
    <x v="237"/>
    <x v="0"/>
    <x v="8"/>
    <x v="1"/>
    <x v="105"/>
    <x v="21"/>
    <x v="0"/>
    <s v="MEDIA"/>
    <s v="MEDIA"/>
    <n v="64"/>
    <s v="cumple"/>
    <x v="10"/>
    <x v="3"/>
    <x v="1879"/>
    <n v="6901.9999999999991"/>
    <x v="0"/>
  </r>
  <r>
    <x v="0"/>
    <x v="1"/>
    <x v="3"/>
    <x v="0"/>
    <x v="14"/>
    <x v="1"/>
    <x v="726"/>
    <x v="27"/>
    <x v="1879"/>
    <x v="238"/>
    <x v="0"/>
    <x v="238"/>
    <x v="22"/>
    <x v="11"/>
    <x v="0"/>
    <x v="105"/>
    <x v="21"/>
    <x v="0"/>
    <s v="MEDIA"/>
    <s v="MEDIA"/>
    <n v="64"/>
    <s v="cumple"/>
    <x v="10"/>
    <x v="3"/>
    <x v="1879"/>
    <n v="7307.9999999999991"/>
    <x v="0"/>
  </r>
  <r>
    <x v="0"/>
    <x v="1"/>
    <x v="3"/>
    <x v="0"/>
    <x v="14"/>
    <x v="1"/>
    <x v="727"/>
    <x v="27"/>
    <x v="1880"/>
    <x v="239"/>
    <x v="0"/>
    <x v="239"/>
    <x v="0"/>
    <x v="8"/>
    <x v="1"/>
    <x v="105"/>
    <x v="21"/>
    <x v="0"/>
    <s v="MEDIA"/>
    <s v="MEDIA"/>
    <n v="64"/>
    <s v="cumple"/>
    <x v="10"/>
    <x v="3"/>
    <x v="1880"/>
    <n v="6901.9999999999991"/>
    <x v="0"/>
  </r>
  <r>
    <x v="0"/>
    <x v="1"/>
    <x v="3"/>
    <x v="0"/>
    <x v="14"/>
    <x v="1"/>
    <x v="727"/>
    <x v="27"/>
    <x v="1880"/>
    <x v="240"/>
    <x v="0"/>
    <x v="240"/>
    <x v="0"/>
    <x v="8"/>
    <x v="0"/>
    <x v="105"/>
    <x v="21"/>
    <x v="0"/>
    <s v="MEDIA"/>
    <s v="MEDIA"/>
    <n v="64"/>
    <s v="cumple"/>
    <x v="10"/>
    <x v="3"/>
    <x v="1880"/>
    <n v="6901.9999999999991"/>
    <x v="0"/>
  </r>
  <r>
    <x v="0"/>
    <x v="1"/>
    <x v="3"/>
    <x v="0"/>
    <x v="1"/>
    <x v="1"/>
    <x v="728"/>
    <x v="27"/>
    <x v="1881"/>
    <x v="221"/>
    <x v="0"/>
    <x v="221"/>
    <x v="0"/>
    <x v="8"/>
    <x v="0"/>
    <x v="35"/>
    <x v="22"/>
    <x v="0"/>
    <s v="MEDIA"/>
    <s v="MEDIA"/>
    <n v="64"/>
    <s v="cumple"/>
    <x v="10"/>
    <x v="3"/>
    <x v="1881"/>
    <n v="6901.9999999999991"/>
    <x v="0"/>
  </r>
  <r>
    <x v="0"/>
    <x v="1"/>
    <x v="3"/>
    <x v="0"/>
    <x v="1"/>
    <x v="1"/>
    <x v="729"/>
    <x v="27"/>
    <x v="1882"/>
    <x v="222"/>
    <x v="0"/>
    <x v="222"/>
    <x v="11"/>
    <x v="10"/>
    <x v="1"/>
    <x v="35"/>
    <x v="22"/>
    <x v="0"/>
    <s v="MEDIA"/>
    <s v="MEDIA"/>
    <n v="64"/>
    <s v="cumple"/>
    <x v="10"/>
    <x v="3"/>
    <x v="1882"/>
    <n v="8119.9999999999991"/>
    <x v="0"/>
  </r>
  <r>
    <x v="0"/>
    <x v="1"/>
    <x v="3"/>
    <x v="0"/>
    <x v="1"/>
    <x v="1"/>
    <x v="729"/>
    <x v="27"/>
    <x v="1882"/>
    <x v="223"/>
    <x v="0"/>
    <x v="223"/>
    <x v="0"/>
    <x v="8"/>
    <x v="1"/>
    <x v="35"/>
    <x v="22"/>
    <x v="0"/>
    <s v="MEDIA"/>
    <s v="MEDIA"/>
    <n v="64"/>
    <s v="cumple"/>
    <x v="10"/>
    <x v="3"/>
    <x v="1882"/>
    <n v="6901.9999999999991"/>
    <x v="0"/>
  </r>
  <r>
    <x v="0"/>
    <x v="1"/>
    <x v="3"/>
    <x v="0"/>
    <x v="1"/>
    <x v="1"/>
    <x v="729"/>
    <x v="27"/>
    <x v="1882"/>
    <x v="224"/>
    <x v="0"/>
    <x v="224"/>
    <x v="0"/>
    <x v="8"/>
    <x v="0"/>
    <x v="35"/>
    <x v="22"/>
    <x v="0"/>
    <s v="MEDIA"/>
    <s v="MEDIA"/>
    <n v="64"/>
    <s v="cumple"/>
    <x v="10"/>
    <x v="3"/>
    <x v="1882"/>
    <n v="6901.9999999999991"/>
    <x v="0"/>
  </r>
  <r>
    <x v="0"/>
    <x v="1"/>
    <x v="3"/>
    <x v="0"/>
    <x v="1"/>
    <x v="1"/>
    <x v="730"/>
    <x v="27"/>
    <x v="1883"/>
    <x v="225"/>
    <x v="0"/>
    <x v="225"/>
    <x v="0"/>
    <x v="8"/>
    <x v="1"/>
    <x v="35"/>
    <x v="22"/>
    <x v="0"/>
    <s v="MEDIA"/>
    <s v="MEDIA"/>
    <n v="64"/>
    <s v="cumple"/>
    <x v="10"/>
    <x v="3"/>
    <x v="1883"/>
    <n v="6901.9999999999991"/>
    <x v="0"/>
  </r>
  <r>
    <x v="0"/>
    <x v="1"/>
    <x v="3"/>
    <x v="0"/>
    <x v="1"/>
    <x v="1"/>
    <x v="730"/>
    <x v="27"/>
    <x v="1883"/>
    <x v="226"/>
    <x v="0"/>
    <x v="226"/>
    <x v="0"/>
    <x v="8"/>
    <x v="1"/>
    <x v="35"/>
    <x v="22"/>
    <x v="0"/>
    <s v="MEDIA"/>
    <s v="MEDIA"/>
    <n v="64"/>
    <s v="cumple"/>
    <x v="10"/>
    <x v="3"/>
    <x v="1883"/>
    <n v="6901.9999999999991"/>
    <x v="0"/>
  </r>
  <r>
    <x v="0"/>
    <x v="1"/>
    <x v="3"/>
    <x v="0"/>
    <x v="1"/>
    <x v="1"/>
    <x v="730"/>
    <x v="27"/>
    <x v="1883"/>
    <x v="227"/>
    <x v="0"/>
    <x v="227"/>
    <x v="7"/>
    <x v="3"/>
    <x v="1"/>
    <x v="35"/>
    <x v="22"/>
    <x v="0"/>
    <s v="MEDIA"/>
    <s v="MEDIA"/>
    <n v="64"/>
    <s v="cumple"/>
    <x v="10"/>
    <x v="3"/>
    <x v="1883"/>
    <n v="4872"/>
    <x v="0"/>
  </r>
  <r>
    <x v="0"/>
    <x v="1"/>
    <x v="3"/>
    <x v="0"/>
    <x v="1"/>
    <x v="1"/>
    <x v="730"/>
    <x v="27"/>
    <x v="1883"/>
    <x v="228"/>
    <x v="0"/>
    <x v="228"/>
    <x v="0"/>
    <x v="8"/>
    <x v="0"/>
    <x v="35"/>
    <x v="22"/>
    <x v="0"/>
    <s v="MEDIA"/>
    <s v="MEDIA"/>
    <n v="64"/>
    <s v="cumple"/>
    <x v="10"/>
    <x v="3"/>
    <x v="1883"/>
    <n v="6901.9999999999991"/>
    <x v="0"/>
  </r>
  <r>
    <x v="0"/>
    <x v="1"/>
    <x v="3"/>
    <x v="0"/>
    <x v="1"/>
    <x v="1"/>
    <x v="731"/>
    <x v="27"/>
    <x v="1884"/>
    <x v="229"/>
    <x v="0"/>
    <x v="229"/>
    <x v="0"/>
    <x v="8"/>
    <x v="1"/>
    <x v="105"/>
    <x v="22"/>
    <x v="0"/>
    <s v="MEDIA"/>
    <s v="MEDIA"/>
    <n v="64"/>
    <s v="cumple"/>
    <x v="10"/>
    <x v="3"/>
    <x v="1884"/>
    <n v="6901.9999999999991"/>
    <x v="0"/>
  </r>
  <r>
    <x v="0"/>
    <x v="1"/>
    <x v="3"/>
    <x v="0"/>
    <x v="1"/>
    <x v="1"/>
    <x v="731"/>
    <x v="27"/>
    <x v="1884"/>
    <x v="230"/>
    <x v="0"/>
    <x v="230"/>
    <x v="0"/>
    <x v="8"/>
    <x v="1"/>
    <x v="105"/>
    <x v="22"/>
    <x v="0"/>
    <s v="MEDIA"/>
    <s v="MEDIA"/>
    <n v="64"/>
    <s v="cumple"/>
    <x v="10"/>
    <x v="3"/>
    <x v="1884"/>
    <n v="6901.9999999999991"/>
    <x v="0"/>
  </r>
  <r>
    <x v="0"/>
    <x v="1"/>
    <x v="3"/>
    <x v="0"/>
    <x v="1"/>
    <x v="1"/>
    <x v="731"/>
    <x v="27"/>
    <x v="1884"/>
    <x v="231"/>
    <x v="0"/>
    <x v="231"/>
    <x v="0"/>
    <x v="8"/>
    <x v="1"/>
    <x v="105"/>
    <x v="22"/>
    <x v="0"/>
    <s v="MEDIA"/>
    <s v="MEDIA"/>
    <n v="64"/>
    <s v="cumple"/>
    <x v="10"/>
    <x v="3"/>
    <x v="1884"/>
    <n v="6901.9999999999991"/>
    <x v="0"/>
  </r>
  <r>
    <x v="0"/>
    <x v="1"/>
    <x v="3"/>
    <x v="0"/>
    <x v="1"/>
    <x v="1"/>
    <x v="731"/>
    <x v="27"/>
    <x v="1884"/>
    <x v="232"/>
    <x v="0"/>
    <x v="232"/>
    <x v="0"/>
    <x v="8"/>
    <x v="0"/>
    <x v="105"/>
    <x v="22"/>
    <x v="0"/>
    <s v="MEDIA"/>
    <s v="MEDIA"/>
    <n v="64"/>
    <s v="cumple"/>
    <x v="10"/>
    <x v="3"/>
    <x v="1884"/>
    <n v="6901.9999999999991"/>
    <x v="0"/>
  </r>
  <r>
    <x v="0"/>
    <x v="1"/>
    <x v="3"/>
    <x v="0"/>
    <x v="1"/>
    <x v="1"/>
    <x v="732"/>
    <x v="27"/>
    <x v="1885"/>
    <x v="233"/>
    <x v="0"/>
    <x v="233"/>
    <x v="0"/>
    <x v="8"/>
    <x v="1"/>
    <x v="35"/>
    <x v="22"/>
    <x v="0"/>
    <s v="MEDIA"/>
    <s v="MEDIA"/>
    <n v="64"/>
    <s v="cumple"/>
    <x v="10"/>
    <x v="3"/>
    <x v="1885"/>
    <n v="6901.9999999999991"/>
    <x v="0"/>
  </r>
  <r>
    <x v="0"/>
    <x v="1"/>
    <x v="3"/>
    <x v="0"/>
    <x v="1"/>
    <x v="1"/>
    <x v="732"/>
    <x v="27"/>
    <x v="1885"/>
    <x v="234"/>
    <x v="0"/>
    <x v="234"/>
    <x v="0"/>
    <x v="8"/>
    <x v="1"/>
    <x v="35"/>
    <x v="22"/>
    <x v="0"/>
    <s v="MEDIA"/>
    <s v="MEDIA"/>
    <n v="64"/>
    <s v="cumple"/>
    <x v="10"/>
    <x v="3"/>
    <x v="1885"/>
    <n v="6901.9999999999991"/>
    <x v="0"/>
  </r>
  <r>
    <x v="0"/>
    <x v="1"/>
    <x v="3"/>
    <x v="0"/>
    <x v="1"/>
    <x v="1"/>
    <x v="732"/>
    <x v="27"/>
    <x v="1885"/>
    <x v="235"/>
    <x v="0"/>
    <x v="235"/>
    <x v="0"/>
    <x v="8"/>
    <x v="1"/>
    <x v="35"/>
    <x v="22"/>
    <x v="0"/>
    <s v="MEDIA"/>
    <s v="MEDIA"/>
    <n v="64"/>
    <s v="cumple"/>
    <x v="10"/>
    <x v="3"/>
    <x v="1885"/>
    <n v="6901.9999999999991"/>
    <x v="0"/>
  </r>
  <r>
    <x v="0"/>
    <x v="1"/>
    <x v="3"/>
    <x v="0"/>
    <x v="1"/>
    <x v="1"/>
    <x v="732"/>
    <x v="27"/>
    <x v="1885"/>
    <x v="236"/>
    <x v="0"/>
    <x v="236"/>
    <x v="10"/>
    <x v="9"/>
    <x v="0"/>
    <x v="35"/>
    <x v="22"/>
    <x v="0"/>
    <s v="MEDIA"/>
    <s v="MEDIA"/>
    <n v="64"/>
    <s v="cumple"/>
    <x v="10"/>
    <x v="3"/>
    <x v="1885"/>
    <n v="5278"/>
    <x v="0"/>
  </r>
  <r>
    <x v="0"/>
    <x v="1"/>
    <x v="3"/>
    <x v="0"/>
    <x v="1"/>
    <x v="1"/>
    <x v="733"/>
    <x v="27"/>
    <x v="1886"/>
    <x v="237"/>
    <x v="0"/>
    <x v="237"/>
    <x v="0"/>
    <x v="8"/>
    <x v="1"/>
    <x v="35"/>
    <x v="22"/>
    <x v="0"/>
    <s v="MEDIA"/>
    <s v="MEDIA"/>
    <n v="64"/>
    <s v="cumple"/>
    <x v="10"/>
    <x v="3"/>
    <x v="1886"/>
    <n v="6901.9999999999991"/>
    <x v="0"/>
  </r>
  <r>
    <x v="0"/>
    <x v="1"/>
    <x v="3"/>
    <x v="0"/>
    <x v="1"/>
    <x v="1"/>
    <x v="733"/>
    <x v="27"/>
    <x v="1886"/>
    <x v="238"/>
    <x v="0"/>
    <x v="238"/>
    <x v="0"/>
    <x v="8"/>
    <x v="1"/>
    <x v="35"/>
    <x v="22"/>
    <x v="0"/>
    <s v="MEDIA"/>
    <s v="MEDIA"/>
    <n v="64"/>
    <s v="cumple"/>
    <x v="10"/>
    <x v="3"/>
    <x v="1886"/>
    <n v="6901.9999999999991"/>
    <x v="0"/>
  </r>
  <r>
    <x v="0"/>
    <x v="1"/>
    <x v="3"/>
    <x v="0"/>
    <x v="1"/>
    <x v="1"/>
    <x v="733"/>
    <x v="27"/>
    <x v="1886"/>
    <x v="239"/>
    <x v="0"/>
    <x v="239"/>
    <x v="0"/>
    <x v="8"/>
    <x v="1"/>
    <x v="35"/>
    <x v="22"/>
    <x v="0"/>
    <s v="MEDIA"/>
    <s v="MEDIA"/>
    <n v="64"/>
    <s v="cumple"/>
    <x v="10"/>
    <x v="3"/>
    <x v="1886"/>
    <n v="6901.9999999999991"/>
    <x v="0"/>
  </r>
  <r>
    <x v="0"/>
    <x v="1"/>
    <x v="3"/>
    <x v="0"/>
    <x v="1"/>
    <x v="1"/>
    <x v="733"/>
    <x v="27"/>
    <x v="1886"/>
    <x v="240"/>
    <x v="0"/>
    <x v="240"/>
    <x v="0"/>
    <x v="8"/>
    <x v="0"/>
    <x v="35"/>
    <x v="22"/>
    <x v="0"/>
    <s v="MEDIA"/>
    <s v="MEDIA"/>
    <n v="64"/>
    <s v="cumple"/>
    <x v="10"/>
    <x v="3"/>
    <x v="1886"/>
    <n v="6901.9999999999991"/>
    <x v="0"/>
  </r>
  <r>
    <x v="0"/>
    <x v="1"/>
    <x v="1"/>
    <x v="0"/>
    <x v="20"/>
    <x v="1"/>
    <x v="734"/>
    <x v="1105"/>
    <x v="1887"/>
    <x v="221"/>
    <x v="0"/>
    <x v="221"/>
    <x v="0"/>
    <x v="8"/>
    <x v="1"/>
    <x v="217"/>
    <x v="16"/>
    <x v="0"/>
    <s v="MEDIA"/>
    <s v="MEDIA"/>
    <n v="64"/>
    <s v="cumple"/>
    <x v="10"/>
    <x v="1"/>
    <x v="1887"/>
    <n v="6901.9999999999991"/>
    <x v="1"/>
  </r>
  <r>
    <x v="0"/>
    <x v="1"/>
    <x v="1"/>
    <x v="0"/>
    <x v="20"/>
    <x v="1"/>
    <x v="734"/>
    <x v="1105"/>
    <x v="1887"/>
    <x v="222"/>
    <x v="0"/>
    <x v="222"/>
    <x v="7"/>
    <x v="3"/>
    <x v="0"/>
    <x v="217"/>
    <x v="16"/>
    <x v="0"/>
    <s v="MEDIA"/>
    <s v="MEDIA"/>
    <n v="64"/>
    <s v="cumple"/>
    <x v="10"/>
    <x v="1"/>
    <x v="1887"/>
    <n v="4872"/>
    <x v="1"/>
  </r>
  <r>
    <x v="0"/>
    <x v="1"/>
    <x v="1"/>
    <x v="0"/>
    <x v="20"/>
    <x v="1"/>
    <x v="735"/>
    <x v="1106"/>
    <x v="1888"/>
    <x v="223"/>
    <x v="0"/>
    <x v="223"/>
    <x v="0"/>
    <x v="8"/>
    <x v="0"/>
    <x v="217"/>
    <x v="16"/>
    <x v="0"/>
    <s v="MEDIA"/>
    <s v="MEDIA"/>
    <n v="64"/>
    <s v="cumple"/>
    <x v="10"/>
    <x v="1"/>
    <x v="1888"/>
    <n v="6901.9999999999991"/>
    <x v="1"/>
  </r>
  <r>
    <x v="0"/>
    <x v="1"/>
    <x v="1"/>
    <x v="0"/>
    <x v="20"/>
    <x v="1"/>
    <x v="736"/>
    <x v="1107"/>
    <x v="1889"/>
    <x v="224"/>
    <x v="0"/>
    <x v="224"/>
    <x v="0"/>
    <x v="8"/>
    <x v="0"/>
    <x v="217"/>
    <x v="16"/>
    <x v="0"/>
    <s v="MEDIA"/>
    <s v="MEDIA"/>
    <n v="64"/>
    <s v="cumple"/>
    <x v="10"/>
    <x v="1"/>
    <x v="1889"/>
    <n v="6901.9999999999991"/>
    <x v="1"/>
  </r>
  <r>
    <x v="0"/>
    <x v="1"/>
    <x v="1"/>
    <x v="0"/>
    <x v="20"/>
    <x v="1"/>
    <x v="737"/>
    <x v="1108"/>
    <x v="1890"/>
    <x v="225"/>
    <x v="0"/>
    <x v="225"/>
    <x v="0"/>
    <x v="8"/>
    <x v="0"/>
    <x v="217"/>
    <x v="16"/>
    <x v="0"/>
    <s v="MEDIA"/>
    <s v="MEDIA"/>
    <n v="64"/>
    <s v="cumple"/>
    <x v="10"/>
    <x v="1"/>
    <x v="1890"/>
    <n v="6901.9999999999991"/>
    <x v="1"/>
  </r>
  <r>
    <x v="0"/>
    <x v="1"/>
    <x v="0"/>
    <x v="0"/>
    <x v="27"/>
    <x v="1"/>
    <x v="738"/>
    <x v="1109"/>
    <x v="1891"/>
    <x v="226"/>
    <x v="0"/>
    <x v="226"/>
    <x v="0"/>
    <x v="8"/>
    <x v="0"/>
    <x v="260"/>
    <x v="16"/>
    <x v="0"/>
    <s v="MEDIA"/>
    <s v="MEDIA"/>
    <n v="64"/>
    <s v="cumple"/>
    <x v="10"/>
    <x v="0"/>
    <x v="1891"/>
    <n v="6901.9999999999991"/>
    <x v="1"/>
  </r>
  <r>
    <x v="0"/>
    <x v="1"/>
    <x v="0"/>
    <x v="0"/>
    <x v="27"/>
    <x v="1"/>
    <x v="738"/>
    <x v="1109"/>
    <x v="1891"/>
    <x v="227"/>
    <x v="0"/>
    <x v="227"/>
    <x v="7"/>
    <x v="3"/>
    <x v="0"/>
    <x v="260"/>
    <x v="16"/>
    <x v="0"/>
    <s v="MEDIA"/>
    <s v="MEDIA"/>
    <n v="64"/>
    <s v="cumple"/>
    <x v="10"/>
    <x v="0"/>
    <x v="1891"/>
    <n v="4872"/>
    <x v="1"/>
  </r>
  <r>
    <x v="0"/>
    <x v="1"/>
    <x v="0"/>
    <x v="0"/>
    <x v="27"/>
    <x v="1"/>
    <x v="739"/>
    <x v="1110"/>
    <x v="1892"/>
    <x v="228"/>
    <x v="0"/>
    <x v="228"/>
    <x v="0"/>
    <x v="8"/>
    <x v="0"/>
    <x v="260"/>
    <x v="16"/>
    <x v="0"/>
    <s v="MEDIA"/>
    <s v="MEDIA"/>
    <n v="64"/>
    <s v="cumple"/>
    <x v="10"/>
    <x v="0"/>
    <x v="1892"/>
    <n v="6901.9999999999991"/>
    <x v="1"/>
  </r>
  <r>
    <x v="0"/>
    <x v="1"/>
    <x v="0"/>
    <x v="0"/>
    <x v="27"/>
    <x v="1"/>
    <x v="740"/>
    <x v="1111"/>
    <x v="1893"/>
    <x v="229"/>
    <x v="0"/>
    <x v="229"/>
    <x v="0"/>
    <x v="8"/>
    <x v="0"/>
    <x v="260"/>
    <x v="16"/>
    <x v="0"/>
    <s v="MEDIA"/>
    <s v="MEDIA"/>
    <n v="64"/>
    <s v="cumple"/>
    <x v="10"/>
    <x v="0"/>
    <x v="1893"/>
    <n v="6901.9999999999991"/>
    <x v="1"/>
  </r>
  <r>
    <x v="0"/>
    <x v="1"/>
    <x v="0"/>
    <x v="0"/>
    <x v="27"/>
    <x v="1"/>
    <x v="741"/>
    <x v="1112"/>
    <x v="1894"/>
    <x v="230"/>
    <x v="0"/>
    <x v="230"/>
    <x v="0"/>
    <x v="8"/>
    <x v="0"/>
    <x v="260"/>
    <x v="16"/>
    <x v="0"/>
    <s v="MEDIA"/>
    <s v="MEDIA"/>
    <n v="64"/>
    <s v="cumple"/>
    <x v="10"/>
    <x v="0"/>
    <x v="1894"/>
    <n v="6901.9999999999991"/>
    <x v="1"/>
  </r>
  <r>
    <x v="0"/>
    <x v="1"/>
    <x v="0"/>
    <x v="0"/>
    <x v="27"/>
    <x v="1"/>
    <x v="742"/>
    <x v="1113"/>
    <x v="1895"/>
    <x v="231"/>
    <x v="0"/>
    <x v="231"/>
    <x v="0"/>
    <x v="8"/>
    <x v="0"/>
    <x v="260"/>
    <x v="16"/>
    <x v="0"/>
    <s v="MEDIA"/>
    <s v="MEDIA"/>
    <n v="64"/>
    <s v="cumple"/>
    <x v="10"/>
    <x v="0"/>
    <x v="1895"/>
    <n v="6901.9999999999991"/>
    <x v="1"/>
  </r>
  <r>
    <x v="0"/>
    <x v="1"/>
    <x v="0"/>
    <x v="0"/>
    <x v="27"/>
    <x v="1"/>
    <x v="743"/>
    <x v="1114"/>
    <x v="1896"/>
    <x v="232"/>
    <x v="0"/>
    <x v="232"/>
    <x v="7"/>
    <x v="3"/>
    <x v="0"/>
    <x v="260"/>
    <x v="16"/>
    <x v="0"/>
    <s v="MEDIA"/>
    <s v="MEDIA"/>
    <n v="64"/>
    <s v="cumple"/>
    <x v="10"/>
    <x v="0"/>
    <x v="1896"/>
    <n v="4872"/>
    <x v="1"/>
  </r>
  <r>
    <x v="0"/>
    <x v="1"/>
    <x v="0"/>
    <x v="0"/>
    <x v="27"/>
    <x v="1"/>
    <x v="744"/>
    <x v="1115"/>
    <x v="1897"/>
    <x v="233"/>
    <x v="0"/>
    <x v="233"/>
    <x v="0"/>
    <x v="8"/>
    <x v="0"/>
    <x v="260"/>
    <x v="16"/>
    <x v="0"/>
    <s v="MEDIA"/>
    <s v="MEDIA"/>
    <n v="64"/>
    <s v="cumple"/>
    <x v="10"/>
    <x v="0"/>
    <x v="1897"/>
    <n v="6901.9999999999991"/>
    <x v="1"/>
  </r>
  <r>
    <x v="0"/>
    <x v="1"/>
    <x v="0"/>
    <x v="0"/>
    <x v="27"/>
    <x v="1"/>
    <x v="745"/>
    <x v="1116"/>
    <x v="1898"/>
    <x v="234"/>
    <x v="0"/>
    <x v="234"/>
    <x v="0"/>
    <x v="8"/>
    <x v="0"/>
    <x v="260"/>
    <x v="16"/>
    <x v="0"/>
    <s v="MEDIA"/>
    <s v="MEDIA"/>
    <n v="64"/>
    <s v="cumple"/>
    <x v="10"/>
    <x v="0"/>
    <x v="1898"/>
    <n v="6901.9999999999991"/>
    <x v="1"/>
  </r>
  <r>
    <x v="0"/>
    <x v="1"/>
    <x v="0"/>
    <x v="0"/>
    <x v="27"/>
    <x v="1"/>
    <x v="746"/>
    <x v="1117"/>
    <x v="1899"/>
    <x v="235"/>
    <x v="0"/>
    <x v="235"/>
    <x v="0"/>
    <x v="8"/>
    <x v="0"/>
    <x v="260"/>
    <x v="16"/>
    <x v="0"/>
    <s v="MEDIA"/>
    <s v="MEDIA"/>
    <n v="64"/>
    <s v="cumple"/>
    <x v="10"/>
    <x v="0"/>
    <x v="1899"/>
    <n v="6901.9999999999991"/>
    <x v="1"/>
  </r>
  <r>
    <x v="0"/>
    <x v="1"/>
    <x v="0"/>
    <x v="0"/>
    <x v="27"/>
    <x v="1"/>
    <x v="747"/>
    <x v="1118"/>
    <x v="1900"/>
    <x v="236"/>
    <x v="0"/>
    <x v="236"/>
    <x v="7"/>
    <x v="3"/>
    <x v="0"/>
    <x v="260"/>
    <x v="16"/>
    <x v="0"/>
    <s v="MEDIA"/>
    <s v="MEDIA"/>
    <n v="64"/>
    <s v="cumple"/>
    <x v="10"/>
    <x v="0"/>
    <x v="1900"/>
    <n v="4872"/>
    <x v="1"/>
  </r>
  <r>
    <x v="0"/>
    <x v="1"/>
    <x v="0"/>
    <x v="0"/>
    <x v="27"/>
    <x v="1"/>
    <x v="748"/>
    <x v="1119"/>
    <x v="1901"/>
    <x v="237"/>
    <x v="0"/>
    <x v="237"/>
    <x v="0"/>
    <x v="8"/>
    <x v="1"/>
    <x v="260"/>
    <x v="16"/>
    <x v="0"/>
    <s v="MEDIA"/>
    <s v="MEDIA"/>
    <n v="64"/>
    <s v="cumple"/>
    <x v="10"/>
    <x v="0"/>
    <x v="1901"/>
    <n v="6901.9999999999991"/>
    <x v="1"/>
  </r>
  <r>
    <x v="0"/>
    <x v="1"/>
    <x v="0"/>
    <x v="0"/>
    <x v="27"/>
    <x v="1"/>
    <x v="748"/>
    <x v="1119"/>
    <x v="1901"/>
    <x v="238"/>
    <x v="0"/>
    <x v="238"/>
    <x v="0"/>
    <x v="8"/>
    <x v="0"/>
    <x v="260"/>
    <x v="16"/>
    <x v="0"/>
    <s v="MEDIA"/>
    <s v="MEDIA"/>
    <n v="64"/>
    <s v="cumple"/>
    <x v="10"/>
    <x v="0"/>
    <x v="1901"/>
    <n v="6901.9999999999991"/>
    <x v="1"/>
  </r>
  <r>
    <x v="0"/>
    <x v="1"/>
    <x v="0"/>
    <x v="0"/>
    <x v="27"/>
    <x v="1"/>
    <x v="749"/>
    <x v="1120"/>
    <x v="1902"/>
    <x v="239"/>
    <x v="0"/>
    <x v="239"/>
    <x v="0"/>
    <x v="8"/>
    <x v="0"/>
    <x v="260"/>
    <x v="16"/>
    <x v="0"/>
    <s v="MEDIA"/>
    <s v="MEDIA"/>
    <n v="64"/>
    <s v="cumple"/>
    <x v="10"/>
    <x v="0"/>
    <x v="1902"/>
    <n v="6901.9999999999991"/>
    <x v="1"/>
  </r>
  <r>
    <x v="0"/>
    <x v="1"/>
    <x v="0"/>
    <x v="0"/>
    <x v="27"/>
    <x v="1"/>
    <x v="750"/>
    <x v="1121"/>
    <x v="1903"/>
    <x v="240"/>
    <x v="0"/>
    <x v="240"/>
    <x v="0"/>
    <x v="8"/>
    <x v="0"/>
    <x v="260"/>
    <x v="16"/>
    <x v="0"/>
    <s v="MEDIA"/>
    <s v="MEDIA"/>
    <n v="64"/>
    <s v="cumple"/>
    <x v="10"/>
    <x v="0"/>
    <x v="1903"/>
    <n v="6901.9999999999991"/>
    <x v="1"/>
  </r>
  <r>
    <x v="0"/>
    <x v="1"/>
    <x v="4"/>
    <x v="0"/>
    <x v="1"/>
    <x v="1"/>
    <x v="751"/>
    <x v="1122"/>
    <x v="1904"/>
    <x v="221"/>
    <x v="0"/>
    <x v="221"/>
    <x v="0"/>
    <x v="8"/>
    <x v="0"/>
    <x v="216"/>
    <x v="14"/>
    <x v="0"/>
    <s v="MEDIA"/>
    <s v="MEDIA"/>
    <n v="64"/>
    <s v="cumple"/>
    <x v="10"/>
    <x v="4"/>
    <x v="1904"/>
    <n v="6901.9999999999991"/>
    <x v="0"/>
  </r>
  <r>
    <x v="0"/>
    <x v="1"/>
    <x v="4"/>
    <x v="0"/>
    <x v="1"/>
    <x v="1"/>
    <x v="752"/>
    <x v="1123"/>
    <x v="1905"/>
    <x v="222"/>
    <x v="0"/>
    <x v="222"/>
    <x v="7"/>
    <x v="3"/>
    <x v="0"/>
    <x v="216"/>
    <x v="14"/>
    <x v="0"/>
    <s v="MEDIA"/>
    <s v="MEDIA"/>
    <n v="64"/>
    <s v="cumple"/>
    <x v="10"/>
    <x v="4"/>
    <x v="1905"/>
    <n v="4872"/>
    <x v="0"/>
  </r>
  <r>
    <x v="0"/>
    <x v="1"/>
    <x v="4"/>
    <x v="0"/>
    <x v="1"/>
    <x v="1"/>
    <x v="753"/>
    <x v="1124"/>
    <x v="1906"/>
    <x v="223"/>
    <x v="0"/>
    <x v="223"/>
    <x v="0"/>
    <x v="8"/>
    <x v="0"/>
    <x v="216"/>
    <x v="14"/>
    <x v="0"/>
    <s v="MEDIA"/>
    <s v="MEDIA"/>
    <n v="64"/>
    <s v="cumple"/>
    <x v="10"/>
    <x v="4"/>
    <x v="1906"/>
    <n v="6901.9999999999991"/>
    <x v="0"/>
  </r>
  <r>
    <x v="0"/>
    <x v="1"/>
    <x v="4"/>
    <x v="0"/>
    <x v="1"/>
    <x v="1"/>
    <x v="754"/>
    <x v="1125"/>
    <x v="1907"/>
    <x v="224"/>
    <x v="0"/>
    <x v="224"/>
    <x v="0"/>
    <x v="8"/>
    <x v="0"/>
    <x v="216"/>
    <x v="14"/>
    <x v="0"/>
    <s v="MEDIA"/>
    <s v="MEDIA"/>
    <n v="64"/>
    <s v="cumple"/>
    <x v="10"/>
    <x v="4"/>
    <x v="1907"/>
    <n v="6901.9999999999991"/>
    <x v="0"/>
  </r>
  <r>
    <x v="0"/>
    <x v="1"/>
    <x v="4"/>
    <x v="0"/>
    <x v="1"/>
    <x v="1"/>
    <x v="755"/>
    <x v="1126"/>
    <x v="1908"/>
    <x v="225"/>
    <x v="0"/>
    <x v="225"/>
    <x v="0"/>
    <x v="8"/>
    <x v="0"/>
    <x v="216"/>
    <x v="14"/>
    <x v="0"/>
    <s v="MEDIA"/>
    <s v="MEDIA"/>
    <n v="64"/>
    <s v="cumple"/>
    <x v="10"/>
    <x v="4"/>
    <x v="1908"/>
    <n v="6901.9999999999991"/>
    <x v="0"/>
  </r>
  <r>
    <x v="0"/>
    <x v="1"/>
    <x v="4"/>
    <x v="0"/>
    <x v="1"/>
    <x v="1"/>
    <x v="756"/>
    <x v="1127"/>
    <x v="1909"/>
    <x v="226"/>
    <x v="0"/>
    <x v="226"/>
    <x v="0"/>
    <x v="8"/>
    <x v="0"/>
    <x v="216"/>
    <x v="14"/>
    <x v="0"/>
    <s v="MEDIA"/>
    <s v="MEDIA"/>
    <n v="64"/>
    <s v="cumple"/>
    <x v="10"/>
    <x v="4"/>
    <x v="1909"/>
    <n v="6901.9999999999991"/>
    <x v="0"/>
  </r>
  <r>
    <x v="0"/>
    <x v="1"/>
    <x v="4"/>
    <x v="0"/>
    <x v="1"/>
    <x v="1"/>
    <x v="757"/>
    <x v="1128"/>
    <x v="1910"/>
    <x v="227"/>
    <x v="0"/>
    <x v="227"/>
    <x v="7"/>
    <x v="3"/>
    <x v="1"/>
    <x v="216"/>
    <x v="14"/>
    <x v="0"/>
    <s v="MEDIA"/>
    <s v="MEDIA"/>
    <n v="64"/>
    <s v="cumple"/>
    <x v="10"/>
    <x v="4"/>
    <x v="1910"/>
    <n v="4872"/>
    <x v="0"/>
  </r>
  <r>
    <x v="0"/>
    <x v="1"/>
    <x v="4"/>
    <x v="0"/>
    <x v="1"/>
    <x v="1"/>
    <x v="757"/>
    <x v="1128"/>
    <x v="1910"/>
    <x v="228"/>
    <x v="0"/>
    <x v="228"/>
    <x v="0"/>
    <x v="8"/>
    <x v="0"/>
    <x v="216"/>
    <x v="14"/>
    <x v="0"/>
    <s v="MEDIA"/>
    <s v="MEDIA"/>
    <n v="64"/>
    <s v="cumple"/>
    <x v="10"/>
    <x v="4"/>
    <x v="1910"/>
    <n v="6901.9999999999991"/>
    <x v="0"/>
  </r>
  <r>
    <x v="0"/>
    <x v="1"/>
    <x v="4"/>
    <x v="0"/>
    <x v="1"/>
    <x v="1"/>
    <x v="758"/>
    <x v="1129"/>
    <x v="1911"/>
    <x v="229"/>
    <x v="0"/>
    <x v="229"/>
    <x v="0"/>
    <x v="8"/>
    <x v="0"/>
    <x v="216"/>
    <x v="14"/>
    <x v="0"/>
    <s v="MEDIA"/>
    <s v="MEDIA"/>
    <n v="64"/>
    <s v="cumple"/>
    <x v="10"/>
    <x v="4"/>
    <x v="1911"/>
    <n v="6901.9999999999991"/>
    <x v="0"/>
  </r>
  <r>
    <x v="0"/>
    <x v="1"/>
    <x v="4"/>
    <x v="0"/>
    <x v="1"/>
    <x v="1"/>
    <x v="759"/>
    <x v="1130"/>
    <x v="1912"/>
    <x v="230"/>
    <x v="0"/>
    <x v="230"/>
    <x v="0"/>
    <x v="8"/>
    <x v="0"/>
    <x v="216"/>
    <x v="14"/>
    <x v="0"/>
    <s v="MEDIA"/>
    <s v="MEDIA"/>
    <n v="64"/>
    <s v="cumple"/>
    <x v="10"/>
    <x v="4"/>
    <x v="1912"/>
    <n v="6901.9999999999991"/>
    <x v="0"/>
  </r>
  <r>
    <x v="0"/>
    <x v="1"/>
    <x v="4"/>
    <x v="0"/>
    <x v="1"/>
    <x v="1"/>
    <x v="760"/>
    <x v="1131"/>
    <x v="1913"/>
    <x v="231"/>
    <x v="0"/>
    <x v="231"/>
    <x v="0"/>
    <x v="8"/>
    <x v="0"/>
    <x v="68"/>
    <x v="14"/>
    <x v="0"/>
    <s v="MEDIA"/>
    <s v="MEDIA"/>
    <n v="64"/>
    <s v="cumple"/>
    <x v="10"/>
    <x v="4"/>
    <x v="1913"/>
    <n v="6901.9999999999991"/>
    <x v="0"/>
  </r>
  <r>
    <x v="0"/>
    <x v="1"/>
    <x v="4"/>
    <x v="0"/>
    <x v="1"/>
    <x v="1"/>
    <x v="761"/>
    <x v="1132"/>
    <x v="1914"/>
    <x v="232"/>
    <x v="0"/>
    <x v="232"/>
    <x v="7"/>
    <x v="3"/>
    <x v="0"/>
    <x v="68"/>
    <x v="14"/>
    <x v="0"/>
    <s v="MEDIA"/>
    <s v="MEDIA"/>
    <n v="64"/>
    <s v="cumple"/>
    <x v="10"/>
    <x v="4"/>
    <x v="1914"/>
    <n v="4872"/>
    <x v="0"/>
  </r>
  <r>
    <x v="0"/>
    <x v="1"/>
    <x v="4"/>
    <x v="0"/>
    <x v="1"/>
    <x v="1"/>
    <x v="762"/>
    <x v="1133"/>
    <x v="1915"/>
    <x v="233"/>
    <x v="0"/>
    <x v="233"/>
    <x v="0"/>
    <x v="8"/>
    <x v="0"/>
    <x v="68"/>
    <x v="14"/>
    <x v="0"/>
    <s v="MEDIA"/>
    <s v="MEDIA"/>
    <n v="64"/>
    <s v="cumple"/>
    <x v="10"/>
    <x v="4"/>
    <x v="1915"/>
    <n v="6901.9999999999991"/>
    <x v="0"/>
  </r>
  <r>
    <x v="0"/>
    <x v="1"/>
    <x v="4"/>
    <x v="0"/>
    <x v="1"/>
    <x v="1"/>
    <x v="762"/>
    <x v="1134"/>
    <x v="1915"/>
    <x v="234"/>
    <x v="0"/>
    <x v="234"/>
    <x v="0"/>
    <x v="8"/>
    <x v="0"/>
    <x v="68"/>
    <x v="14"/>
    <x v="0"/>
    <s v="MEDIA"/>
    <s v="MEDIA"/>
    <n v="64"/>
    <s v="cumple"/>
    <x v="10"/>
    <x v="4"/>
    <x v="1915"/>
    <n v="6901.9999999999991"/>
    <x v="0"/>
  </r>
  <r>
    <x v="0"/>
    <x v="1"/>
    <x v="4"/>
    <x v="0"/>
    <x v="1"/>
    <x v="1"/>
    <x v="763"/>
    <x v="1135"/>
    <x v="1916"/>
    <x v="235"/>
    <x v="0"/>
    <x v="235"/>
    <x v="0"/>
    <x v="8"/>
    <x v="0"/>
    <x v="68"/>
    <x v="14"/>
    <x v="0"/>
    <s v="MEDIA"/>
    <s v="MEDIA"/>
    <n v="64"/>
    <s v="cumple"/>
    <x v="10"/>
    <x v="4"/>
    <x v="1916"/>
    <n v="6901.9999999999991"/>
    <x v="0"/>
  </r>
  <r>
    <x v="0"/>
    <x v="1"/>
    <x v="4"/>
    <x v="0"/>
    <x v="1"/>
    <x v="1"/>
    <x v="764"/>
    <x v="1136"/>
    <x v="1917"/>
    <x v="236"/>
    <x v="0"/>
    <x v="236"/>
    <x v="7"/>
    <x v="3"/>
    <x v="0"/>
    <x v="68"/>
    <x v="14"/>
    <x v="0"/>
    <s v="MEDIA"/>
    <s v="MEDIA"/>
    <n v="64"/>
    <s v="cumple"/>
    <x v="10"/>
    <x v="4"/>
    <x v="1917"/>
    <n v="4872"/>
    <x v="0"/>
  </r>
  <r>
    <x v="0"/>
    <x v="1"/>
    <x v="4"/>
    <x v="0"/>
    <x v="1"/>
    <x v="1"/>
    <x v="765"/>
    <x v="1137"/>
    <x v="1918"/>
    <x v="237"/>
    <x v="0"/>
    <x v="237"/>
    <x v="0"/>
    <x v="8"/>
    <x v="0"/>
    <x v="68"/>
    <x v="14"/>
    <x v="0"/>
    <s v="MEDIA"/>
    <s v="MEDIA"/>
    <n v="64"/>
    <s v="cumple"/>
    <x v="10"/>
    <x v="4"/>
    <x v="1918"/>
    <n v="6901.9999999999991"/>
    <x v="0"/>
  </r>
  <r>
    <x v="0"/>
    <x v="1"/>
    <x v="4"/>
    <x v="0"/>
    <x v="1"/>
    <x v="1"/>
    <x v="766"/>
    <x v="1138"/>
    <x v="1919"/>
    <x v="238"/>
    <x v="0"/>
    <x v="238"/>
    <x v="0"/>
    <x v="8"/>
    <x v="0"/>
    <x v="68"/>
    <x v="14"/>
    <x v="0"/>
    <s v="MEDIA"/>
    <s v="MEDIA"/>
    <n v="64"/>
    <s v="cumple"/>
    <x v="10"/>
    <x v="4"/>
    <x v="1919"/>
    <n v="6901.9999999999991"/>
    <x v="0"/>
  </r>
  <r>
    <x v="0"/>
    <x v="1"/>
    <x v="4"/>
    <x v="0"/>
    <x v="1"/>
    <x v="1"/>
    <x v="767"/>
    <x v="1139"/>
    <x v="1920"/>
    <x v="239"/>
    <x v="0"/>
    <x v="239"/>
    <x v="0"/>
    <x v="8"/>
    <x v="0"/>
    <x v="68"/>
    <x v="14"/>
    <x v="0"/>
    <s v="MEDIA"/>
    <s v="MEDIA"/>
    <n v="64"/>
    <s v="cumple"/>
    <x v="10"/>
    <x v="4"/>
    <x v="1920"/>
    <n v="6901.9999999999991"/>
    <x v="0"/>
  </r>
  <r>
    <x v="0"/>
    <x v="1"/>
    <x v="4"/>
    <x v="0"/>
    <x v="1"/>
    <x v="1"/>
    <x v="768"/>
    <x v="1140"/>
    <x v="1921"/>
    <x v="240"/>
    <x v="0"/>
    <x v="240"/>
    <x v="0"/>
    <x v="8"/>
    <x v="0"/>
    <x v="68"/>
    <x v="14"/>
    <x v="0"/>
    <s v="MEDIA"/>
    <s v="MEDIA"/>
    <n v="64"/>
    <s v="cumple"/>
    <x v="10"/>
    <x v="4"/>
    <x v="1921"/>
    <n v="6901.9999999999991"/>
    <x v="0"/>
  </r>
  <r>
    <x v="0"/>
    <x v="5"/>
    <x v="2"/>
    <x v="0"/>
    <x v="6"/>
    <x v="5"/>
    <x v="769"/>
    <x v="39"/>
    <x v="1922"/>
    <x v="221"/>
    <x v="0"/>
    <x v="221"/>
    <x v="3"/>
    <x v="4"/>
    <x v="0"/>
    <x v="261"/>
    <x v="3"/>
    <x v="1"/>
    <s v="MEDIA"/>
    <s v="MEDIA"/>
    <n v="64"/>
    <s v="cumple"/>
    <x v="10"/>
    <x v="2"/>
    <x v="1922"/>
    <n v="1160"/>
    <x v="0"/>
  </r>
  <r>
    <x v="0"/>
    <x v="5"/>
    <x v="2"/>
    <x v="0"/>
    <x v="6"/>
    <x v="5"/>
    <x v="770"/>
    <x v="39"/>
    <x v="1923"/>
    <x v="221"/>
    <x v="4"/>
    <x v="221"/>
    <x v="12"/>
    <x v="13"/>
    <x v="0"/>
    <x v="262"/>
    <x v="3"/>
    <x v="1"/>
    <s v="MEDIA"/>
    <s v="MEDIA"/>
    <n v="64"/>
    <s v="cumple"/>
    <x v="10"/>
    <x v="2"/>
    <x v="1923"/>
    <n v="2029.9999999999998"/>
    <x v="0"/>
  </r>
  <r>
    <x v="0"/>
    <x v="5"/>
    <x v="2"/>
    <x v="0"/>
    <x v="6"/>
    <x v="5"/>
    <x v="771"/>
    <x v="39"/>
    <x v="1924"/>
    <x v="221"/>
    <x v="7"/>
    <x v="221"/>
    <x v="0"/>
    <x v="5"/>
    <x v="0"/>
    <x v="261"/>
    <x v="3"/>
    <x v="1"/>
    <s v="MEDIA"/>
    <s v="MEDIA"/>
    <n v="64"/>
    <s v="cumple"/>
    <x v="10"/>
    <x v="2"/>
    <x v="1924"/>
    <n v="1739.9999999999998"/>
    <x v="0"/>
  </r>
  <r>
    <x v="0"/>
    <x v="5"/>
    <x v="2"/>
    <x v="0"/>
    <x v="6"/>
    <x v="5"/>
    <x v="772"/>
    <x v="39"/>
    <x v="1925"/>
    <x v="222"/>
    <x v="0"/>
    <x v="222"/>
    <x v="3"/>
    <x v="4"/>
    <x v="0"/>
    <x v="261"/>
    <x v="3"/>
    <x v="1"/>
    <s v="MEDIA"/>
    <s v="MEDIA"/>
    <n v="64"/>
    <s v="cumple"/>
    <x v="10"/>
    <x v="2"/>
    <x v="1925"/>
    <n v="1160"/>
    <x v="0"/>
  </r>
  <r>
    <x v="0"/>
    <x v="5"/>
    <x v="2"/>
    <x v="0"/>
    <x v="6"/>
    <x v="5"/>
    <x v="773"/>
    <x v="39"/>
    <x v="644"/>
    <x v="222"/>
    <x v="4"/>
    <x v="222"/>
    <x v="4"/>
    <x v="2"/>
    <x v="0"/>
    <x v="261"/>
    <x v="3"/>
    <x v="1"/>
    <s v="MEDIA"/>
    <s v="MEDIA"/>
    <n v="64"/>
    <s v="cumple"/>
    <x v="10"/>
    <x v="2"/>
    <x v="644"/>
    <n v="580"/>
    <x v="0"/>
  </r>
  <r>
    <x v="0"/>
    <x v="5"/>
    <x v="2"/>
    <x v="0"/>
    <x v="6"/>
    <x v="5"/>
    <x v="774"/>
    <x v="39"/>
    <x v="1926"/>
    <x v="222"/>
    <x v="6"/>
    <x v="222"/>
    <x v="7"/>
    <x v="5"/>
    <x v="0"/>
    <x v="261"/>
    <x v="3"/>
    <x v="1"/>
    <s v="MEDIA"/>
    <s v="MEDIA"/>
    <n v="64"/>
    <s v="cumple"/>
    <x v="10"/>
    <x v="2"/>
    <x v="1926"/>
    <n v="1739.9999999999998"/>
    <x v="0"/>
  </r>
  <r>
    <x v="0"/>
    <x v="5"/>
    <x v="2"/>
    <x v="0"/>
    <x v="6"/>
    <x v="5"/>
    <x v="775"/>
    <x v="39"/>
    <x v="648"/>
    <x v="223"/>
    <x v="0"/>
    <x v="223"/>
    <x v="12"/>
    <x v="16"/>
    <x v="0"/>
    <x v="261"/>
    <x v="3"/>
    <x v="1"/>
    <s v="MEDIA"/>
    <s v="MEDIA"/>
    <n v="64"/>
    <s v="cumple"/>
    <x v="10"/>
    <x v="2"/>
    <x v="648"/>
    <n v="3190"/>
    <x v="0"/>
  </r>
  <r>
    <x v="0"/>
    <x v="5"/>
    <x v="2"/>
    <x v="0"/>
    <x v="6"/>
    <x v="5"/>
    <x v="776"/>
    <x v="39"/>
    <x v="1927"/>
    <x v="223"/>
    <x v="7"/>
    <x v="223"/>
    <x v="0"/>
    <x v="5"/>
    <x v="0"/>
    <x v="263"/>
    <x v="3"/>
    <x v="1"/>
    <s v="MEDIA"/>
    <s v="MEDIA"/>
    <n v="64"/>
    <s v="cumple"/>
    <x v="10"/>
    <x v="2"/>
    <x v="1927"/>
    <n v="1739.9999999999998"/>
    <x v="0"/>
  </r>
  <r>
    <x v="0"/>
    <x v="5"/>
    <x v="2"/>
    <x v="0"/>
    <x v="6"/>
    <x v="5"/>
    <x v="777"/>
    <x v="39"/>
    <x v="1928"/>
    <x v="224"/>
    <x v="0"/>
    <x v="224"/>
    <x v="13"/>
    <x v="13"/>
    <x v="0"/>
    <x v="261"/>
    <x v="3"/>
    <x v="1"/>
    <s v="MEDIA"/>
    <s v="MEDIA"/>
    <n v="64"/>
    <s v="cumple"/>
    <x v="10"/>
    <x v="2"/>
    <x v="1928"/>
    <n v="2029.9999999999998"/>
    <x v="0"/>
  </r>
  <r>
    <x v="0"/>
    <x v="5"/>
    <x v="2"/>
    <x v="0"/>
    <x v="6"/>
    <x v="5"/>
    <x v="778"/>
    <x v="39"/>
    <x v="1929"/>
    <x v="224"/>
    <x v="10"/>
    <x v="224"/>
    <x v="12"/>
    <x v="4"/>
    <x v="0"/>
    <x v="264"/>
    <x v="3"/>
    <x v="1"/>
    <s v="MEDIA"/>
    <s v="MEDIA"/>
    <n v="64"/>
    <s v="cumple"/>
    <x v="10"/>
    <x v="2"/>
    <x v="1929"/>
    <n v="1160"/>
    <x v="0"/>
  </r>
  <r>
    <x v="0"/>
    <x v="5"/>
    <x v="2"/>
    <x v="0"/>
    <x v="6"/>
    <x v="5"/>
    <x v="779"/>
    <x v="39"/>
    <x v="1930"/>
    <x v="224"/>
    <x v="7"/>
    <x v="224"/>
    <x v="0"/>
    <x v="5"/>
    <x v="0"/>
    <x v="261"/>
    <x v="3"/>
    <x v="1"/>
    <s v="MEDIA"/>
    <s v="MEDIA"/>
    <n v="64"/>
    <s v="cumple"/>
    <x v="10"/>
    <x v="2"/>
    <x v="1930"/>
    <n v="1739.9999999999998"/>
    <x v="0"/>
  </r>
  <r>
    <x v="0"/>
    <x v="5"/>
    <x v="2"/>
    <x v="0"/>
    <x v="6"/>
    <x v="5"/>
    <x v="780"/>
    <x v="39"/>
    <x v="1931"/>
    <x v="225"/>
    <x v="0"/>
    <x v="225"/>
    <x v="12"/>
    <x v="16"/>
    <x v="0"/>
    <x v="265"/>
    <x v="3"/>
    <x v="1"/>
    <s v="MEDIA"/>
    <s v="MEDIA"/>
    <n v="64"/>
    <s v="cumple"/>
    <x v="10"/>
    <x v="2"/>
    <x v="1931"/>
    <n v="3190"/>
    <x v="0"/>
  </r>
  <r>
    <x v="0"/>
    <x v="5"/>
    <x v="2"/>
    <x v="0"/>
    <x v="6"/>
    <x v="5"/>
    <x v="781"/>
    <x v="39"/>
    <x v="1932"/>
    <x v="225"/>
    <x v="7"/>
    <x v="225"/>
    <x v="0"/>
    <x v="5"/>
    <x v="0"/>
    <x v="266"/>
    <x v="3"/>
    <x v="1"/>
    <s v="MEDIA"/>
    <s v="MEDIA"/>
    <n v="64"/>
    <s v="cumple"/>
    <x v="10"/>
    <x v="2"/>
    <x v="1932"/>
    <n v="1739.9999999999998"/>
    <x v="0"/>
  </r>
  <r>
    <x v="0"/>
    <x v="5"/>
    <x v="2"/>
    <x v="0"/>
    <x v="6"/>
    <x v="5"/>
    <x v="782"/>
    <x v="39"/>
    <x v="1933"/>
    <x v="226"/>
    <x v="0"/>
    <x v="226"/>
    <x v="12"/>
    <x v="16"/>
    <x v="0"/>
    <x v="262"/>
    <x v="3"/>
    <x v="1"/>
    <s v="MEDIA"/>
    <s v="MEDIA"/>
    <n v="64"/>
    <s v="cumple"/>
    <x v="10"/>
    <x v="2"/>
    <x v="1933"/>
    <n v="3190"/>
    <x v="0"/>
  </r>
  <r>
    <x v="0"/>
    <x v="5"/>
    <x v="2"/>
    <x v="0"/>
    <x v="6"/>
    <x v="5"/>
    <x v="783"/>
    <x v="39"/>
    <x v="1934"/>
    <x v="226"/>
    <x v="7"/>
    <x v="226"/>
    <x v="0"/>
    <x v="5"/>
    <x v="0"/>
    <x v="267"/>
    <x v="3"/>
    <x v="1"/>
    <s v="MEDIA"/>
    <s v="MEDIA"/>
    <n v="64"/>
    <s v="cumple"/>
    <x v="10"/>
    <x v="2"/>
    <x v="1934"/>
    <n v="1739.9999999999998"/>
    <x v="0"/>
  </r>
  <r>
    <x v="0"/>
    <x v="5"/>
    <x v="2"/>
    <x v="0"/>
    <x v="6"/>
    <x v="5"/>
    <x v="784"/>
    <x v="39"/>
    <x v="1935"/>
    <x v="227"/>
    <x v="0"/>
    <x v="227"/>
    <x v="4"/>
    <x v="5"/>
    <x v="0"/>
    <x v="268"/>
    <x v="3"/>
    <x v="1"/>
    <s v="MEDIA"/>
    <s v="MEDIA"/>
    <n v="64"/>
    <s v="cumple"/>
    <x v="10"/>
    <x v="2"/>
    <x v="1935"/>
    <n v="1739.9999999999998"/>
    <x v="0"/>
  </r>
  <r>
    <x v="0"/>
    <x v="5"/>
    <x v="2"/>
    <x v="0"/>
    <x v="6"/>
    <x v="5"/>
    <x v="785"/>
    <x v="39"/>
    <x v="1936"/>
    <x v="227"/>
    <x v="6"/>
    <x v="227"/>
    <x v="7"/>
    <x v="5"/>
    <x v="0"/>
    <x v="269"/>
    <x v="3"/>
    <x v="1"/>
    <s v="MEDIA"/>
    <s v="MEDIA"/>
    <n v="64"/>
    <s v="cumple"/>
    <x v="10"/>
    <x v="2"/>
    <x v="1936"/>
    <n v="1739.9999999999998"/>
    <x v="0"/>
  </r>
  <r>
    <x v="0"/>
    <x v="5"/>
    <x v="2"/>
    <x v="0"/>
    <x v="6"/>
    <x v="5"/>
    <x v="786"/>
    <x v="39"/>
    <x v="1937"/>
    <x v="228"/>
    <x v="0"/>
    <x v="228"/>
    <x v="12"/>
    <x v="16"/>
    <x v="0"/>
    <x v="270"/>
    <x v="3"/>
    <x v="1"/>
    <s v="MEDIA"/>
    <s v="MEDIA"/>
    <n v="64"/>
    <s v="cumple"/>
    <x v="10"/>
    <x v="2"/>
    <x v="1937"/>
    <n v="3190"/>
    <x v="0"/>
  </r>
  <r>
    <x v="0"/>
    <x v="5"/>
    <x v="2"/>
    <x v="0"/>
    <x v="6"/>
    <x v="5"/>
    <x v="787"/>
    <x v="39"/>
    <x v="1938"/>
    <x v="228"/>
    <x v="7"/>
    <x v="228"/>
    <x v="0"/>
    <x v="5"/>
    <x v="0"/>
    <x v="264"/>
    <x v="3"/>
    <x v="1"/>
    <s v="MEDIA"/>
    <s v="MEDIA"/>
    <n v="64"/>
    <s v="cumple"/>
    <x v="10"/>
    <x v="2"/>
    <x v="1938"/>
    <n v="1739.9999999999998"/>
    <x v="0"/>
  </r>
  <r>
    <x v="0"/>
    <x v="5"/>
    <x v="2"/>
    <x v="0"/>
    <x v="6"/>
    <x v="5"/>
    <x v="788"/>
    <x v="39"/>
    <x v="1939"/>
    <x v="229"/>
    <x v="0"/>
    <x v="229"/>
    <x v="12"/>
    <x v="16"/>
    <x v="0"/>
    <x v="263"/>
    <x v="3"/>
    <x v="1"/>
    <s v="MEDIA"/>
    <s v="MEDIA"/>
    <n v="64"/>
    <s v="cumple"/>
    <x v="10"/>
    <x v="2"/>
    <x v="1939"/>
    <n v="3190"/>
    <x v="0"/>
  </r>
  <r>
    <x v="0"/>
    <x v="5"/>
    <x v="2"/>
    <x v="0"/>
    <x v="6"/>
    <x v="5"/>
    <x v="789"/>
    <x v="39"/>
    <x v="1940"/>
    <x v="229"/>
    <x v="7"/>
    <x v="229"/>
    <x v="0"/>
    <x v="5"/>
    <x v="0"/>
    <x v="266"/>
    <x v="3"/>
    <x v="1"/>
    <s v="MEDIA"/>
    <s v="MEDIA"/>
    <n v="64"/>
    <s v="cumple"/>
    <x v="10"/>
    <x v="2"/>
    <x v="1940"/>
    <n v="1739.9999999999998"/>
    <x v="0"/>
  </r>
  <r>
    <x v="0"/>
    <x v="5"/>
    <x v="2"/>
    <x v="0"/>
    <x v="6"/>
    <x v="5"/>
    <x v="790"/>
    <x v="39"/>
    <x v="1941"/>
    <x v="230"/>
    <x v="0"/>
    <x v="230"/>
    <x v="12"/>
    <x v="16"/>
    <x v="0"/>
    <x v="270"/>
    <x v="3"/>
    <x v="1"/>
    <s v="MEDIA"/>
    <s v="MEDIA"/>
    <n v="64"/>
    <s v="cumple"/>
    <x v="10"/>
    <x v="2"/>
    <x v="1941"/>
    <n v="3190"/>
    <x v="0"/>
  </r>
  <r>
    <x v="0"/>
    <x v="5"/>
    <x v="2"/>
    <x v="0"/>
    <x v="6"/>
    <x v="5"/>
    <x v="791"/>
    <x v="39"/>
    <x v="1942"/>
    <x v="230"/>
    <x v="7"/>
    <x v="230"/>
    <x v="0"/>
    <x v="5"/>
    <x v="0"/>
    <x v="268"/>
    <x v="3"/>
    <x v="1"/>
    <s v="MEDIA"/>
    <s v="MEDIA"/>
    <n v="64"/>
    <s v="cumple"/>
    <x v="10"/>
    <x v="2"/>
    <x v="1942"/>
    <n v="1739.9999999999998"/>
    <x v="0"/>
  </r>
  <r>
    <x v="0"/>
    <x v="5"/>
    <x v="2"/>
    <x v="0"/>
    <x v="6"/>
    <x v="5"/>
    <x v="792"/>
    <x v="39"/>
    <x v="1943"/>
    <x v="231"/>
    <x v="0"/>
    <x v="231"/>
    <x v="12"/>
    <x v="16"/>
    <x v="0"/>
    <x v="267"/>
    <x v="3"/>
    <x v="1"/>
    <s v="MEDIA"/>
    <s v="MEDIA"/>
    <n v="64"/>
    <s v="cumple"/>
    <x v="10"/>
    <x v="2"/>
    <x v="1943"/>
    <n v="3190"/>
    <x v="0"/>
  </r>
  <r>
    <x v="0"/>
    <x v="5"/>
    <x v="2"/>
    <x v="0"/>
    <x v="6"/>
    <x v="5"/>
    <x v="793"/>
    <x v="39"/>
    <x v="1944"/>
    <x v="231"/>
    <x v="7"/>
    <x v="231"/>
    <x v="0"/>
    <x v="5"/>
    <x v="0"/>
    <x v="264"/>
    <x v="3"/>
    <x v="1"/>
    <s v="MEDIA"/>
    <s v="MEDIA"/>
    <n v="64"/>
    <s v="cumple"/>
    <x v="10"/>
    <x v="2"/>
    <x v="1944"/>
    <n v="1739.9999999999998"/>
    <x v="0"/>
  </r>
  <r>
    <x v="0"/>
    <x v="5"/>
    <x v="2"/>
    <x v="0"/>
    <x v="6"/>
    <x v="5"/>
    <x v="794"/>
    <x v="39"/>
    <x v="1945"/>
    <x v="232"/>
    <x v="0"/>
    <x v="232"/>
    <x v="4"/>
    <x v="5"/>
    <x v="0"/>
    <x v="270"/>
    <x v="3"/>
    <x v="1"/>
    <s v="MEDIA"/>
    <s v="MEDIA"/>
    <n v="64"/>
    <s v="cumple"/>
    <x v="10"/>
    <x v="2"/>
    <x v="1945"/>
    <n v="1739.9999999999998"/>
    <x v="0"/>
  </r>
  <r>
    <x v="0"/>
    <x v="5"/>
    <x v="2"/>
    <x v="0"/>
    <x v="6"/>
    <x v="5"/>
    <x v="795"/>
    <x v="39"/>
    <x v="1946"/>
    <x v="232"/>
    <x v="6"/>
    <x v="232"/>
    <x v="7"/>
    <x v="5"/>
    <x v="0"/>
    <x v="269"/>
    <x v="3"/>
    <x v="1"/>
    <s v="MEDIA"/>
    <s v="MEDIA"/>
    <n v="64"/>
    <s v="cumple"/>
    <x v="10"/>
    <x v="2"/>
    <x v="1946"/>
    <n v="1739.9999999999998"/>
    <x v="0"/>
  </r>
  <r>
    <x v="0"/>
    <x v="5"/>
    <x v="2"/>
    <x v="0"/>
    <x v="6"/>
    <x v="5"/>
    <x v="796"/>
    <x v="39"/>
    <x v="1947"/>
    <x v="233"/>
    <x v="0"/>
    <x v="233"/>
    <x v="12"/>
    <x v="16"/>
    <x v="0"/>
    <x v="271"/>
    <x v="3"/>
    <x v="1"/>
    <s v="MEDIA"/>
    <s v="MEDIA"/>
    <n v="64"/>
    <s v="cumple"/>
    <x v="10"/>
    <x v="2"/>
    <x v="1947"/>
    <n v="3190"/>
    <x v="0"/>
  </r>
  <r>
    <x v="0"/>
    <x v="5"/>
    <x v="2"/>
    <x v="0"/>
    <x v="6"/>
    <x v="5"/>
    <x v="797"/>
    <x v="39"/>
    <x v="644"/>
    <x v="233"/>
    <x v="7"/>
    <x v="233"/>
    <x v="0"/>
    <x v="5"/>
    <x v="0"/>
    <x v="265"/>
    <x v="3"/>
    <x v="1"/>
    <s v="MEDIA"/>
    <s v="MEDIA"/>
    <n v="64"/>
    <s v="cumple"/>
    <x v="10"/>
    <x v="2"/>
    <x v="644"/>
    <n v="1739.9999999999998"/>
    <x v="0"/>
  </r>
  <r>
    <x v="0"/>
    <x v="5"/>
    <x v="2"/>
    <x v="0"/>
    <x v="6"/>
    <x v="5"/>
    <x v="798"/>
    <x v="39"/>
    <x v="1948"/>
    <x v="234"/>
    <x v="0"/>
    <x v="234"/>
    <x v="3"/>
    <x v="4"/>
    <x v="0"/>
    <x v="261"/>
    <x v="3"/>
    <x v="1"/>
    <s v="MEDIA"/>
    <s v="MEDIA"/>
    <n v="64"/>
    <s v="cumple"/>
    <x v="10"/>
    <x v="2"/>
    <x v="1948"/>
    <n v="1160"/>
    <x v="0"/>
  </r>
  <r>
    <x v="0"/>
    <x v="5"/>
    <x v="2"/>
    <x v="0"/>
    <x v="6"/>
    <x v="5"/>
    <x v="799"/>
    <x v="39"/>
    <x v="1949"/>
    <x v="234"/>
    <x v="4"/>
    <x v="234"/>
    <x v="12"/>
    <x v="13"/>
    <x v="0"/>
    <x v="261"/>
    <x v="3"/>
    <x v="1"/>
    <s v="MEDIA"/>
    <s v="MEDIA"/>
    <n v="64"/>
    <s v="cumple"/>
    <x v="10"/>
    <x v="2"/>
    <x v="1949"/>
    <n v="2029.9999999999998"/>
    <x v="0"/>
  </r>
  <r>
    <x v="0"/>
    <x v="5"/>
    <x v="2"/>
    <x v="0"/>
    <x v="6"/>
    <x v="5"/>
    <x v="800"/>
    <x v="39"/>
    <x v="1926"/>
    <x v="234"/>
    <x v="7"/>
    <x v="234"/>
    <x v="0"/>
    <x v="5"/>
    <x v="0"/>
    <x v="261"/>
    <x v="3"/>
    <x v="1"/>
    <s v="MEDIA"/>
    <s v="MEDIA"/>
    <n v="64"/>
    <s v="cumple"/>
    <x v="10"/>
    <x v="2"/>
    <x v="1926"/>
    <n v="1739.9999999999998"/>
    <x v="0"/>
  </r>
  <r>
    <x v="0"/>
    <x v="5"/>
    <x v="2"/>
    <x v="0"/>
    <x v="6"/>
    <x v="5"/>
    <x v="801"/>
    <x v="39"/>
    <x v="1950"/>
    <x v="235"/>
    <x v="0"/>
    <x v="235"/>
    <x v="3"/>
    <x v="4"/>
    <x v="0"/>
    <x v="261"/>
    <x v="3"/>
    <x v="1"/>
    <s v="MEDIA"/>
    <s v="MEDIA"/>
    <n v="64"/>
    <s v="cumple"/>
    <x v="10"/>
    <x v="2"/>
    <x v="1950"/>
    <n v="1160"/>
    <x v="0"/>
  </r>
  <r>
    <x v="0"/>
    <x v="5"/>
    <x v="2"/>
    <x v="0"/>
    <x v="6"/>
    <x v="5"/>
    <x v="802"/>
    <x v="39"/>
    <x v="1951"/>
    <x v="235"/>
    <x v="4"/>
    <x v="235"/>
    <x v="12"/>
    <x v="13"/>
    <x v="0"/>
    <x v="272"/>
    <x v="3"/>
    <x v="1"/>
    <s v="MEDIA"/>
    <s v="MEDIA"/>
    <n v="64"/>
    <s v="cumple"/>
    <x v="10"/>
    <x v="2"/>
    <x v="1951"/>
    <n v="2029.9999999999998"/>
    <x v="0"/>
  </r>
  <r>
    <x v="0"/>
    <x v="5"/>
    <x v="2"/>
    <x v="0"/>
    <x v="6"/>
    <x v="5"/>
    <x v="803"/>
    <x v="39"/>
    <x v="1952"/>
    <x v="235"/>
    <x v="7"/>
    <x v="235"/>
    <x v="0"/>
    <x v="5"/>
    <x v="0"/>
    <x v="261"/>
    <x v="3"/>
    <x v="1"/>
    <s v="MEDIA"/>
    <s v="MEDIA"/>
    <n v="64"/>
    <s v="cumple"/>
    <x v="10"/>
    <x v="2"/>
    <x v="1952"/>
    <n v="1739.9999999999998"/>
    <x v="0"/>
  </r>
  <r>
    <x v="0"/>
    <x v="5"/>
    <x v="2"/>
    <x v="0"/>
    <x v="6"/>
    <x v="5"/>
    <x v="804"/>
    <x v="39"/>
    <x v="1953"/>
    <x v="236"/>
    <x v="0"/>
    <x v="236"/>
    <x v="4"/>
    <x v="5"/>
    <x v="0"/>
    <x v="261"/>
    <x v="3"/>
    <x v="1"/>
    <s v="MEDIA"/>
    <s v="MEDIA"/>
    <n v="64"/>
    <s v="cumple"/>
    <x v="10"/>
    <x v="2"/>
    <x v="1953"/>
    <n v="1739.9999999999998"/>
    <x v="0"/>
  </r>
  <r>
    <x v="0"/>
    <x v="5"/>
    <x v="2"/>
    <x v="0"/>
    <x v="6"/>
    <x v="5"/>
    <x v="805"/>
    <x v="39"/>
    <x v="1949"/>
    <x v="236"/>
    <x v="6"/>
    <x v="236"/>
    <x v="7"/>
    <x v="5"/>
    <x v="0"/>
    <x v="261"/>
    <x v="3"/>
    <x v="1"/>
    <s v="MEDIA"/>
    <s v="MEDIA"/>
    <n v="64"/>
    <s v="cumple"/>
    <x v="10"/>
    <x v="2"/>
    <x v="1949"/>
    <n v="1739.9999999999998"/>
    <x v="0"/>
  </r>
  <r>
    <x v="0"/>
    <x v="5"/>
    <x v="2"/>
    <x v="0"/>
    <x v="6"/>
    <x v="5"/>
    <x v="806"/>
    <x v="39"/>
    <x v="1922"/>
    <x v="237"/>
    <x v="0"/>
    <x v="237"/>
    <x v="4"/>
    <x v="5"/>
    <x v="0"/>
    <x v="261"/>
    <x v="3"/>
    <x v="1"/>
    <s v="MEDIA"/>
    <s v="MEDIA"/>
    <n v="64"/>
    <s v="cumple"/>
    <x v="10"/>
    <x v="2"/>
    <x v="1922"/>
    <n v="1739.9999999999998"/>
    <x v="0"/>
  </r>
  <r>
    <x v="0"/>
    <x v="5"/>
    <x v="2"/>
    <x v="0"/>
    <x v="6"/>
    <x v="5"/>
    <x v="807"/>
    <x v="39"/>
    <x v="644"/>
    <x v="237"/>
    <x v="6"/>
    <x v="237"/>
    <x v="12"/>
    <x v="12"/>
    <x v="0"/>
    <x v="261"/>
    <x v="3"/>
    <x v="1"/>
    <s v="MEDIA"/>
    <s v="MEDIA"/>
    <n v="64"/>
    <s v="cumple"/>
    <x v="10"/>
    <x v="2"/>
    <x v="644"/>
    <n v="1450"/>
    <x v="0"/>
  </r>
  <r>
    <x v="0"/>
    <x v="5"/>
    <x v="2"/>
    <x v="0"/>
    <x v="6"/>
    <x v="5"/>
    <x v="808"/>
    <x v="39"/>
    <x v="1954"/>
    <x v="237"/>
    <x v="7"/>
    <x v="237"/>
    <x v="0"/>
    <x v="5"/>
    <x v="0"/>
    <x v="261"/>
    <x v="3"/>
    <x v="1"/>
    <s v="MEDIA"/>
    <s v="MEDIA"/>
    <n v="64"/>
    <s v="cumple"/>
    <x v="10"/>
    <x v="2"/>
    <x v="1954"/>
    <n v="1739.9999999999998"/>
    <x v="0"/>
  </r>
  <r>
    <x v="0"/>
    <x v="5"/>
    <x v="2"/>
    <x v="0"/>
    <x v="6"/>
    <x v="5"/>
    <x v="809"/>
    <x v="39"/>
    <x v="1948"/>
    <x v="238"/>
    <x v="0"/>
    <x v="238"/>
    <x v="12"/>
    <x v="16"/>
    <x v="0"/>
    <x v="261"/>
    <x v="3"/>
    <x v="1"/>
    <s v="MEDIA"/>
    <s v="MEDIA"/>
    <n v="64"/>
    <s v="cumple"/>
    <x v="10"/>
    <x v="2"/>
    <x v="1948"/>
    <n v="3190"/>
    <x v="0"/>
  </r>
  <r>
    <x v="0"/>
    <x v="5"/>
    <x v="2"/>
    <x v="0"/>
    <x v="6"/>
    <x v="5"/>
    <x v="810"/>
    <x v="39"/>
    <x v="1923"/>
    <x v="238"/>
    <x v="7"/>
    <x v="238"/>
    <x v="0"/>
    <x v="5"/>
    <x v="0"/>
    <x v="270"/>
    <x v="3"/>
    <x v="1"/>
    <s v="MEDIA"/>
    <s v="MEDIA"/>
    <n v="64"/>
    <s v="cumple"/>
    <x v="10"/>
    <x v="2"/>
    <x v="1923"/>
    <n v="1739.9999999999998"/>
    <x v="0"/>
  </r>
  <r>
    <x v="0"/>
    <x v="5"/>
    <x v="2"/>
    <x v="0"/>
    <x v="6"/>
    <x v="5"/>
    <x v="811"/>
    <x v="39"/>
    <x v="1955"/>
    <x v="239"/>
    <x v="0"/>
    <x v="239"/>
    <x v="13"/>
    <x v="13"/>
    <x v="0"/>
    <x v="261"/>
    <x v="3"/>
    <x v="1"/>
    <s v="MEDIA"/>
    <s v="MEDIA"/>
    <n v="64"/>
    <s v="cumple"/>
    <x v="10"/>
    <x v="2"/>
    <x v="1955"/>
    <n v="2029.9999999999998"/>
    <x v="0"/>
  </r>
  <r>
    <x v="0"/>
    <x v="5"/>
    <x v="2"/>
    <x v="0"/>
    <x v="6"/>
    <x v="5"/>
    <x v="812"/>
    <x v="39"/>
    <x v="1956"/>
    <x v="239"/>
    <x v="10"/>
    <x v="239"/>
    <x v="12"/>
    <x v="4"/>
    <x v="0"/>
    <x v="261"/>
    <x v="3"/>
    <x v="1"/>
    <s v="MEDIA"/>
    <s v="MEDIA"/>
    <n v="64"/>
    <s v="cumple"/>
    <x v="10"/>
    <x v="2"/>
    <x v="1956"/>
    <n v="1160"/>
    <x v="0"/>
  </r>
  <r>
    <x v="0"/>
    <x v="5"/>
    <x v="2"/>
    <x v="0"/>
    <x v="6"/>
    <x v="5"/>
    <x v="813"/>
    <x v="39"/>
    <x v="1957"/>
    <x v="239"/>
    <x v="7"/>
    <x v="239"/>
    <x v="0"/>
    <x v="5"/>
    <x v="0"/>
    <x v="264"/>
    <x v="3"/>
    <x v="1"/>
    <s v="MEDIA"/>
    <s v="MEDIA"/>
    <n v="64"/>
    <s v="cumple"/>
    <x v="10"/>
    <x v="2"/>
    <x v="1957"/>
    <n v="1739.9999999999998"/>
    <x v="0"/>
  </r>
  <r>
    <x v="0"/>
    <x v="5"/>
    <x v="2"/>
    <x v="0"/>
    <x v="6"/>
    <x v="5"/>
    <x v="814"/>
    <x v="39"/>
    <x v="1958"/>
    <x v="240"/>
    <x v="0"/>
    <x v="240"/>
    <x v="12"/>
    <x v="16"/>
    <x v="0"/>
    <x v="261"/>
    <x v="3"/>
    <x v="1"/>
    <s v="MEDIA"/>
    <s v="MEDIA"/>
    <n v="64"/>
    <s v="cumple"/>
    <x v="10"/>
    <x v="2"/>
    <x v="1958"/>
    <n v="3190"/>
    <x v="0"/>
  </r>
  <r>
    <x v="0"/>
    <x v="5"/>
    <x v="2"/>
    <x v="0"/>
    <x v="6"/>
    <x v="5"/>
    <x v="815"/>
    <x v="39"/>
    <x v="1959"/>
    <x v="240"/>
    <x v="7"/>
    <x v="240"/>
    <x v="0"/>
    <x v="5"/>
    <x v="0"/>
    <x v="272"/>
    <x v="3"/>
    <x v="1"/>
    <s v="MEDIA"/>
    <s v="MEDIA"/>
    <n v="64"/>
    <s v="cumple"/>
    <x v="10"/>
    <x v="2"/>
    <x v="1959"/>
    <n v="1739.9999999999998"/>
    <x v="0"/>
  </r>
  <r>
    <x v="0"/>
    <x v="0"/>
    <x v="2"/>
    <x v="0"/>
    <x v="25"/>
    <x v="1"/>
    <x v="816"/>
    <x v="1141"/>
    <x v="1960"/>
    <x v="221"/>
    <x v="0"/>
    <x v="221"/>
    <x v="0"/>
    <x v="8"/>
    <x v="0"/>
    <x v="273"/>
    <x v="17"/>
    <x v="8"/>
    <s v="MEDIA"/>
    <s v="MEDIA"/>
    <n v="64"/>
    <s v="cumple"/>
    <x v="10"/>
    <x v="2"/>
    <x v="1960"/>
    <n v="4437"/>
    <x v="1"/>
  </r>
  <r>
    <x v="0"/>
    <x v="0"/>
    <x v="2"/>
    <x v="0"/>
    <x v="25"/>
    <x v="1"/>
    <x v="817"/>
    <x v="1142"/>
    <x v="1961"/>
    <x v="222"/>
    <x v="0"/>
    <x v="222"/>
    <x v="7"/>
    <x v="3"/>
    <x v="1"/>
    <x v="274"/>
    <x v="17"/>
    <x v="8"/>
    <s v="MEDIA"/>
    <s v="MEDIA"/>
    <n v="64"/>
    <s v="cumple"/>
    <x v="10"/>
    <x v="2"/>
    <x v="1961"/>
    <n v="3132"/>
    <x v="1"/>
  </r>
  <r>
    <x v="0"/>
    <x v="0"/>
    <x v="2"/>
    <x v="0"/>
    <x v="25"/>
    <x v="1"/>
    <x v="817"/>
    <x v="1142"/>
    <x v="1961"/>
    <x v="223"/>
    <x v="0"/>
    <x v="223"/>
    <x v="0"/>
    <x v="8"/>
    <x v="0"/>
    <x v="274"/>
    <x v="17"/>
    <x v="8"/>
    <s v="MEDIA"/>
    <s v="MEDIA"/>
    <n v="64"/>
    <s v="cumple"/>
    <x v="10"/>
    <x v="2"/>
    <x v="1961"/>
    <n v="4437"/>
    <x v="1"/>
  </r>
  <r>
    <x v="0"/>
    <x v="0"/>
    <x v="2"/>
    <x v="0"/>
    <x v="25"/>
    <x v="1"/>
    <x v="818"/>
    <x v="1143"/>
    <x v="1962"/>
    <x v="224"/>
    <x v="0"/>
    <x v="224"/>
    <x v="0"/>
    <x v="8"/>
    <x v="1"/>
    <x v="274"/>
    <x v="17"/>
    <x v="8"/>
    <s v="MEDIA"/>
    <s v="MEDIA"/>
    <n v="64"/>
    <s v="cumple"/>
    <x v="10"/>
    <x v="2"/>
    <x v="1962"/>
    <n v="4437"/>
    <x v="1"/>
  </r>
  <r>
    <x v="0"/>
    <x v="0"/>
    <x v="2"/>
    <x v="0"/>
    <x v="25"/>
    <x v="1"/>
    <x v="818"/>
    <x v="1143"/>
    <x v="1962"/>
    <x v="225"/>
    <x v="0"/>
    <x v="225"/>
    <x v="0"/>
    <x v="8"/>
    <x v="0"/>
    <x v="274"/>
    <x v="17"/>
    <x v="8"/>
    <s v="MEDIA"/>
    <s v="MEDIA"/>
    <n v="64"/>
    <s v="cumple"/>
    <x v="10"/>
    <x v="2"/>
    <x v="1962"/>
    <n v="4437"/>
    <x v="1"/>
  </r>
  <r>
    <x v="0"/>
    <x v="0"/>
    <x v="2"/>
    <x v="0"/>
    <x v="25"/>
    <x v="1"/>
    <x v="819"/>
    <x v="1144"/>
    <x v="1963"/>
    <x v="226"/>
    <x v="0"/>
    <x v="226"/>
    <x v="0"/>
    <x v="8"/>
    <x v="1"/>
    <x v="274"/>
    <x v="17"/>
    <x v="8"/>
    <s v="MEDIA"/>
    <s v="MEDIA"/>
    <n v="64"/>
    <s v="cumple"/>
    <x v="10"/>
    <x v="2"/>
    <x v="1963"/>
    <n v="4437"/>
    <x v="1"/>
  </r>
  <r>
    <x v="0"/>
    <x v="0"/>
    <x v="2"/>
    <x v="0"/>
    <x v="25"/>
    <x v="1"/>
    <x v="819"/>
    <x v="1144"/>
    <x v="1963"/>
    <x v="227"/>
    <x v="0"/>
    <x v="227"/>
    <x v="7"/>
    <x v="3"/>
    <x v="1"/>
    <x v="274"/>
    <x v="17"/>
    <x v="8"/>
    <s v="MEDIA"/>
    <s v="MEDIA"/>
    <n v="64"/>
    <s v="cumple"/>
    <x v="10"/>
    <x v="2"/>
    <x v="1963"/>
    <n v="3132"/>
    <x v="1"/>
  </r>
  <r>
    <x v="0"/>
    <x v="0"/>
    <x v="2"/>
    <x v="0"/>
    <x v="25"/>
    <x v="1"/>
    <x v="819"/>
    <x v="1144"/>
    <x v="1963"/>
    <x v="228"/>
    <x v="0"/>
    <x v="228"/>
    <x v="0"/>
    <x v="8"/>
    <x v="1"/>
    <x v="274"/>
    <x v="17"/>
    <x v="8"/>
    <s v="MEDIA"/>
    <s v="MEDIA"/>
    <n v="64"/>
    <s v="cumple"/>
    <x v="10"/>
    <x v="2"/>
    <x v="1963"/>
    <n v="4437"/>
    <x v="1"/>
  </r>
  <r>
    <x v="0"/>
    <x v="0"/>
    <x v="2"/>
    <x v="0"/>
    <x v="25"/>
    <x v="1"/>
    <x v="819"/>
    <x v="1144"/>
    <x v="1963"/>
    <x v="229"/>
    <x v="0"/>
    <x v="229"/>
    <x v="0"/>
    <x v="8"/>
    <x v="1"/>
    <x v="274"/>
    <x v="17"/>
    <x v="8"/>
    <s v="MEDIA"/>
    <s v="MEDIA"/>
    <n v="64"/>
    <s v="cumple"/>
    <x v="10"/>
    <x v="2"/>
    <x v="1963"/>
    <n v="4437"/>
    <x v="1"/>
  </r>
  <r>
    <x v="0"/>
    <x v="0"/>
    <x v="2"/>
    <x v="0"/>
    <x v="25"/>
    <x v="1"/>
    <x v="819"/>
    <x v="1144"/>
    <x v="1963"/>
    <x v="230"/>
    <x v="0"/>
    <x v="230"/>
    <x v="0"/>
    <x v="8"/>
    <x v="1"/>
    <x v="274"/>
    <x v="17"/>
    <x v="8"/>
    <s v="MEDIA"/>
    <s v="MEDIA"/>
    <n v="64"/>
    <s v="cumple"/>
    <x v="10"/>
    <x v="2"/>
    <x v="1963"/>
    <n v="4437"/>
    <x v="1"/>
  </r>
  <r>
    <x v="0"/>
    <x v="0"/>
    <x v="2"/>
    <x v="0"/>
    <x v="25"/>
    <x v="1"/>
    <x v="819"/>
    <x v="1144"/>
    <x v="1963"/>
    <x v="231"/>
    <x v="0"/>
    <x v="231"/>
    <x v="0"/>
    <x v="8"/>
    <x v="0"/>
    <x v="274"/>
    <x v="17"/>
    <x v="8"/>
    <s v="MEDIA"/>
    <s v="MEDIA"/>
    <n v="64"/>
    <s v="cumple"/>
    <x v="10"/>
    <x v="2"/>
    <x v="1963"/>
    <n v="4437"/>
    <x v="1"/>
  </r>
  <r>
    <x v="0"/>
    <x v="0"/>
    <x v="2"/>
    <x v="0"/>
    <x v="25"/>
    <x v="1"/>
    <x v="820"/>
    <x v="1145"/>
    <x v="1964"/>
    <x v="232"/>
    <x v="0"/>
    <x v="232"/>
    <x v="7"/>
    <x v="3"/>
    <x v="1"/>
    <x v="274"/>
    <x v="17"/>
    <x v="8"/>
    <s v="MEDIA"/>
    <s v="MEDIA"/>
    <n v="64"/>
    <s v="cumple"/>
    <x v="10"/>
    <x v="2"/>
    <x v="1964"/>
    <n v="3132"/>
    <x v="1"/>
  </r>
  <r>
    <x v="0"/>
    <x v="0"/>
    <x v="2"/>
    <x v="0"/>
    <x v="25"/>
    <x v="1"/>
    <x v="820"/>
    <x v="1145"/>
    <x v="1964"/>
    <x v="233"/>
    <x v="0"/>
    <x v="233"/>
    <x v="0"/>
    <x v="8"/>
    <x v="1"/>
    <x v="274"/>
    <x v="17"/>
    <x v="8"/>
    <s v="MEDIA"/>
    <s v="MEDIA"/>
    <n v="64"/>
    <s v="cumple"/>
    <x v="10"/>
    <x v="2"/>
    <x v="1964"/>
    <n v="4437"/>
    <x v="1"/>
  </r>
  <r>
    <x v="0"/>
    <x v="0"/>
    <x v="2"/>
    <x v="0"/>
    <x v="25"/>
    <x v="1"/>
    <x v="820"/>
    <x v="1145"/>
    <x v="1964"/>
    <x v="234"/>
    <x v="0"/>
    <x v="234"/>
    <x v="0"/>
    <x v="8"/>
    <x v="1"/>
    <x v="274"/>
    <x v="17"/>
    <x v="8"/>
    <s v="MEDIA"/>
    <s v="MEDIA"/>
    <n v="64"/>
    <s v="cumple"/>
    <x v="10"/>
    <x v="2"/>
    <x v="1964"/>
    <n v="4437"/>
    <x v="1"/>
  </r>
  <r>
    <x v="0"/>
    <x v="0"/>
    <x v="2"/>
    <x v="0"/>
    <x v="25"/>
    <x v="1"/>
    <x v="820"/>
    <x v="1145"/>
    <x v="1964"/>
    <x v="235"/>
    <x v="0"/>
    <x v="235"/>
    <x v="0"/>
    <x v="8"/>
    <x v="0"/>
    <x v="274"/>
    <x v="17"/>
    <x v="8"/>
    <s v="MEDIA"/>
    <s v="MEDIA"/>
    <n v="64"/>
    <s v="cumple"/>
    <x v="10"/>
    <x v="2"/>
    <x v="1964"/>
    <n v="4437"/>
    <x v="1"/>
  </r>
  <r>
    <x v="0"/>
    <x v="0"/>
    <x v="2"/>
    <x v="0"/>
    <x v="25"/>
    <x v="1"/>
    <x v="821"/>
    <x v="1146"/>
    <x v="1965"/>
    <x v="236"/>
    <x v="0"/>
    <x v="236"/>
    <x v="7"/>
    <x v="3"/>
    <x v="0"/>
    <x v="274"/>
    <x v="17"/>
    <x v="8"/>
    <s v="MEDIA"/>
    <s v="MEDIA"/>
    <n v="64"/>
    <s v="cumple"/>
    <x v="10"/>
    <x v="2"/>
    <x v="1965"/>
    <n v="3132"/>
    <x v="1"/>
  </r>
  <r>
    <x v="0"/>
    <x v="0"/>
    <x v="2"/>
    <x v="0"/>
    <x v="25"/>
    <x v="1"/>
    <x v="822"/>
    <x v="1146"/>
    <x v="1966"/>
    <x v="237"/>
    <x v="0"/>
    <x v="237"/>
    <x v="0"/>
    <x v="8"/>
    <x v="0"/>
    <x v="274"/>
    <x v="17"/>
    <x v="8"/>
    <s v="MEDIA"/>
    <s v="MEDIA"/>
    <n v="64"/>
    <s v="cumple"/>
    <x v="10"/>
    <x v="2"/>
    <x v="1966"/>
    <n v="4437"/>
    <x v="1"/>
  </r>
  <r>
    <x v="0"/>
    <x v="0"/>
    <x v="2"/>
    <x v="0"/>
    <x v="25"/>
    <x v="1"/>
    <x v="823"/>
    <x v="1146"/>
    <x v="1967"/>
    <x v="238"/>
    <x v="0"/>
    <x v="238"/>
    <x v="0"/>
    <x v="8"/>
    <x v="0"/>
    <x v="274"/>
    <x v="17"/>
    <x v="8"/>
    <s v="MEDIA"/>
    <s v="MEDIA"/>
    <n v="64"/>
    <s v="cumple"/>
    <x v="10"/>
    <x v="2"/>
    <x v="1967"/>
    <n v="4437"/>
    <x v="1"/>
  </r>
  <r>
    <x v="0"/>
    <x v="0"/>
    <x v="2"/>
    <x v="0"/>
    <x v="25"/>
    <x v="1"/>
    <x v="824"/>
    <x v="1146"/>
    <x v="1968"/>
    <x v="239"/>
    <x v="0"/>
    <x v="239"/>
    <x v="0"/>
    <x v="8"/>
    <x v="0"/>
    <x v="274"/>
    <x v="17"/>
    <x v="8"/>
    <s v="MEDIA"/>
    <s v="MEDIA"/>
    <n v="64"/>
    <s v="cumple"/>
    <x v="10"/>
    <x v="2"/>
    <x v="1968"/>
    <n v="4437"/>
    <x v="1"/>
  </r>
  <r>
    <x v="0"/>
    <x v="0"/>
    <x v="2"/>
    <x v="0"/>
    <x v="25"/>
    <x v="1"/>
    <x v="825"/>
    <x v="1146"/>
    <x v="1969"/>
    <x v="240"/>
    <x v="0"/>
    <x v="240"/>
    <x v="0"/>
    <x v="8"/>
    <x v="0"/>
    <x v="274"/>
    <x v="17"/>
    <x v="8"/>
    <s v="MEDIA"/>
    <s v="MEDIA"/>
    <n v="64"/>
    <s v="cumple"/>
    <x v="10"/>
    <x v="2"/>
    <x v="1969"/>
    <n v="4437"/>
    <x v="1"/>
  </r>
  <r>
    <x v="0"/>
    <x v="1"/>
    <x v="1"/>
    <x v="0"/>
    <x v="9"/>
    <x v="1"/>
    <x v="826"/>
    <x v="1147"/>
    <x v="1970"/>
    <x v="233"/>
    <x v="40"/>
    <x v="233"/>
    <x v="41"/>
    <x v="0"/>
    <x v="0"/>
    <x v="275"/>
    <x v="9"/>
    <x v="4"/>
    <s v="MEDIA"/>
    <s v="MEDIA"/>
    <n v="64"/>
    <s v="cumple"/>
    <x v="10"/>
    <x v="1"/>
    <x v="1970"/>
    <n v="4640"/>
    <x v="1"/>
  </r>
  <r>
    <x v="0"/>
    <x v="1"/>
    <x v="1"/>
    <x v="0"/>
    <x v="9"/>
    <x v="1"/>
    <x v="827"/>
    <x v="1148"/>
    <x v="1971"/>
    <x v="234"/>
    <x v="0"/>
    <x v="234"/>
    <x v="3"/>
    <x v="4"/>
    <x v="0"/>
    <x v="275"/>
    <x v="9"/>
    <x v="4"/>
    <s v="MEDIA"/>
    <s v="MEDIA"/>
    <n v="64"/>
    <s v="cumple"/>
    <x v="10"/>
    <x v="1"/>
    <x v="1971"/>
    <n v="1160"/>
    <x v="1"/>
  </r>
  <r>
    <x v="0"/>
    <x v="1"/>
    <x v="1"/>
    <x v="0"/>
    <x v="9"/>
    <x v="1"/>
    <x v="828"/>
    <x v="1149"/>
    <x v="1972"/>
    <x v="234"/>
    <x v="4"/>
    <x v="234"/>
    <x v="0"/>
    <x v="3"/>
    <x v="1"/>
    <x v="275"/>
    <x v="9"/>
    <x v="4"/>
    <s v="MEDIA"/>
    <s v="MEDIA"/>
    <n v="64"/>
    <s v="cumple"/>
    <x v="10"/>
    <x v="1"/>
    <x v="1972"/>
    <n v="3479.9999999999995"/>
    <x v="1"/>
  </r>
  <r>
    <x v="0"/>
    <x v="1"/>
    <x v="1"/>
    <x v="0"/>
    <x v="9"/>
    <x v="1"/>
    <x v="828"/>
    <x v="1149"/>
    <x v="1972"/>
    <x v="235"/>
    <x v="0"/>
    <x v="235"/>
    <x v="2"/>
    <x v="3"/>
    <x v="0"/>
    <x v="275"/>
    <x v="9"/>
    <x v="4"/>
    <s v="MEDIA"/>
    <s v="MEDIA"/>
    <n v="64"/>
    <s v="cumple"/>
    <x v="10"/>
    <x v="1"/>
    <x v="1972"/>
    <n v="3479.9999999999995"/>
    <x v="1"/>
  </r>
  <r>
    <x v="0"/>
    <x v="1"/>
    <x v="1"/>
    <x v="0"/>
    <x v="9"/>
    <x v="1"/>
    <x v="829"/>
    <x v="1150"/>
    <x v="1973"/>
    <x v="235"/>
    <x v="2"/>
    <x v="235"/>
    <x v="1"/>
    <x v="2"/>
    <x v="0"/>
    <x v="275"/>
    <x v="9"/>
    <x v="4"/>
    <s v="MEDIA"/>
    <s v="MEDIA"/>
    <n v="64"/>
    <s v="cumple"/>
    <x v="10"/>
    <x v="1"/>
    <x v="1973"/>
    <n v="580"/>
    <x v="1"/>
  </r>
  <r>
    <x v="0"/>
    <x v="1"/>
    <x v="1"/>
    <x v="0"/>
    <x v="9"/>
    <x v="1"/>
    <x v="830"/>
    <x v="1151"/>
    <x v="1974"/>
    <x v="235"/>
    <x v="1"/>
    <x v="235"/>
    <x v="0"/>
    <x v="2"/>
    <x v="0"/>
    <x v="275"/>
    <x v="9"/>
    <x v="4"/>
    <s v="MEDIA"/>
    <s v="MEDIA"/>
    <n v="64"/>
    <s v="cumple"/>
    <x v="10"/>
    <x v="1"/>
    <x v="1974"/>
    <n v="580"/>
    <x v="1"/>
  </r>
  <r>
    <x v="0"/>
    <x v="1"/>
    <x v="1"/>
    <x v="0"/>
    <x v="9"/>
    <x v="1"/>
    <x v="831"/>
    <x v="1152"/>
    <x v="1975"/>
    <x v="236"/>
    <x v="0"/>
    <x v="236"/>
    <x v="8"/>
    <x v="2"/>
    <x v="0"/>
    <x v="275"/>
    <x v="9"/>
    <x v="4"/>
    <s v="MEDIA"/>
    <s v="MEDIA"/>
    <n v="64"/>
    <s v="cumple"/>
    <x v="10"/>
    <x v="1"/>
    <x v="1975"/>
    <n v="580"/>
    <x v="1"/>
  </r>
  <r>
    <x v="0"/>
    <x v="1"/>
    <x v="1"/>
    <x v="0"/>
    <x v="9"/>
    <x v="1"/>
    <x v="832"/>
    <x v="1153"/>
    <x v="1976"/>
    <x v="236"/>
    <x v="8"/>
    <x v="236"/>
    <x v="4"/>
    <x v="4"/>
    <x v="0"/>
    <x v="275"/>
    <x v="9"/>
    <x v="4"/>
    <s v="MEDIA"/>
    <s v="MEDIA"/>
    <n v="64"/>
    <s v="cumple"/>
    <x v="10"/>
    <x v="1"/>
    <x v="1976"/>
    <n v="1160"/>
    <x v="1"/>
  </r>
  <r>
    <x v="0"/>
    <x v="1"/>
    <x v="1"/>
    <x v="0"/>
    <x v="9"/>
    <x v="1"/>
    <x v="833"/>
    <x v="1152"/>
    <x v="1975"/>
    <x v="236"/>
    <x v="6"/>
    <x v="236"/>
    <x v="0"/>
    <x v="6"/>
    <x v="0"/>
    <x v="275"/>
    <x v="9"/>
    <x v="4"/>
    <s v="MEDIA"/>
    <s v="MEDIA"/>
    <n v="64"/>
    <s v="cumple"/>
    <x v="10"/>
    <x v="1"/>
    <x v="1975"/>
    <n v="2900"/>
    <x v="1"/>
  </r>
  <r>
    <x v="0"/>
    <x v="1"/>
    <x v="1"/>
    <x v="0"/>
    <x v="9"/>
    <x v="1"/>
    <x v="834"/>
    <x v="1149"/>
    <x v="1977"/>
    <x v="237"/>
    <x v="0"/>
    <x v="237"/>
    <x v="3"/>
    <x v="4"/>
    <x v="0"/>
    <x v="275"/>
    <x v="9"/>
    <x v="4"/>
    <s v="MEDIA"/>
    <s v="MEDIA"/>
    <n v="64"/>
    <s v="cumple"/>
    <x v="10"/>
    <x v="1"/>
    <x v="1977"/>
    <n v="1160"/>
    <x v="1"/>
  </r>
  <r>
    <x v="0"/>
    <x v="1"/>
    <x v="1"/>
    <x v="0"/>
    <x v="9"/>
    <x v="1"/>
    <x v="835"/>
    <x v="1154"/>
    <x v="1978"/>
    <x v="237"/>
    <x v="4"/>
    <x v="237"/>
    <x v="0"/>
    <x v="3"/>
    <x v="0"/>
    <x v="275"/>
    <x v="9"/>
    <x v="4"/>
    <s v="MEDIA"/>
    <s v="MEDIA"/>
    <n v="64"/>
    <s v="cumple"/>
    <x v="10"/>
    <x v="1"/>
    <x v="1978"/>
    <n v="3479.9999999999995"/>
    <x v="1"/>
  </r>
  <r>
    <x v="0"/>
    <x v="1"/>
    <x v="1"/>
    <x v="0"/>
    <x v="9"/>
    <x v="1"/>
    <x v="836"/>
    <x v="1152"/>
    <x v="1975"/>
    <x v="238"/>
    <x v="0"/>
    <x v="238"/>
    <x v="8"/>
    <x v="2"/>
    <x v="0"/>
    <x v="275"/>
    <x v="9"/>
    <x v="4"/>
    <s v="MEDIA"/>
    <s v="MEDIA"/>
    <n v="64"/>
    <s v="cumple"/>
    <x v="10"/>
    <x v="1"/>
    <x v="1975"/>
    <n v="580"/>
    <x v="1"/>
  </r>
  <r>
    <x v="0"/>
    <x v="1"/>
    <x v="1"/>
    <x v="0"/>
    <x v="9"/>
    <x v="1"/>
    <x v="837"/>
    <x v="1155"/>
    <x v="1979"/>
    <x v="238"/>
    <x v="8"/>
    <x v="238"/>
    <x v="3"/>
    <x v="2"/>
    <x v="0"/>
    <x v="275"/>
    <x v="9"/>
    <x v="4"/>
    <s v="MEDIA"/>
    <s v="MEDIA"/>
    <n v="64"/>
    <s v="cumple"/>
    <x v="10"/>
    <x v="1"/>
    <x v="1979"/>
    <n v="580"/>
    <x v="1"/>
  </r>
  <r>
    <x v="0"/>
    <x v="1"/>
    <x v="1"/>
    <x v="0"/>
    <x v="9"/>
    <x v="1"/>
    <x v="838"/>
    <x v="1156"/>
    <x v="1980"/>
    <x v="238"/>
    <x v="4"/>
    <x v="238"/>
    <x v="0"/>
    <x v="3"/>
    <x v="0"/>
    <x v="275"/>
    <x v="9"/>
    <x v="4"/>
    <s v="MEDIA"/>
    <s v="MEDIA"/>
    <n v="64"/>
    <s v="cumple"/>
    <x v="10"/>
    <x v="1"/>
    <x v="1980"/>
    <n v="3479.9999999999995"/>
    <x v="1"/>
  </r>
  <r>
    <x v="0"/>
    <x v="1"/>
    <x v="1"/>
    <x v="0"/>
    <x v="9"/>
    <x v="1"/>
    <x v="839"/>
    <x v="1149"/>
    <x v="1972"/>
    <x v="239"/>
    <x v="0"/>
    <x v="239"/>
    <x v="0"/>
    <x v="0"/>
    <x v="1"/>
    <x v="275"/>
    <x v="9"/>
    <x v="4"/>
    <s v="MEDIA"/>
    <s v="MEDIA"/>
    <n v="64"/>
    <s v="cumple"/>
    <x v="10"/>
    <x v="1"/>
    <x v="1972"/>
    <n v="4640"/>
    <x v="1"/>
  </r>
  <r>
    <x v="0"/>
    <x v="1"/>
    <x v="1"/>
    <x v="0"/>
    <x v="9"/>
    <x v="1"/>
    <x v="839"/>
    <x v="1149"/>
    <x v="1972"/>
    <x v="240"/>
    <x v="0"/>
    <x v="240"/>
    <x v="8"/>
    <x v="2"/>
    <x v="0"/>
    <x v="275"/>
    <x v="9"/>
    <x v="4"/>
    <s v="MEDIA"/>
    <s v="MEDIA"/>
    <n v="64"/>
    <s v="cumple"/>
    <x v="10"/>
    <x v="1"/>
    <x v="1972"/>
    <n v="580"/>
    <x v="1"/>
  </r>
  <r>
    <x v="0"/>
    <x v="1"/>
    <x v="1"/>
    <x v="0"/>
    <x v="9"/>
    <x v="1"/>
    <x v="840"/>
    <x v="1150"/>
    <x v="1973"/>
    <x v="240"/>
    <x v="8"/>
    <x v="240"/>
    <x v="4"/>
    <x v="4"/>
    <x v="0"/>
    <x v="275"/>
    <x v="9"/>
    <x v="4"/>
    <s v="MEDIA"/>
    <s v="MEDIA"/>
    <n v="64"/>
    <s v="cumple"/>
    <x v="10"/>
    <x v="1"/>
    <x v="1973"/>
    <n v="1160"/>
    <x v="1"/>
  </r>
  <r>
    <x v="0"/>
    <x v="1"/>
    <x v="1"/>
    <x v="0"/>
    <x v="9"/>
    <x v="1"/>
    <x v="841"/>
    <x v="1149"/>
    <x v="1972"/>
    <x v="240"/>
    <x v="6"/>
    <x v="240"/>
    <x v="0"/>
    <x v="6"/>
    <x v="0"/>
    <x v="275"/>
    <x v="9"/>
    <x v="4"/>
    <s v="MEDIA"/>
    <s v="MEDIA"/>
    <n v="64"/>
    <s v="cumple"/>
    <x v="10"/>
    <x v="1"/>
    <x v="1972"/>
    <n v="2900"/>
    <x v="1"/>
  </r>
  <r>
    <x v="5"/>
    <x v="0"/>
    <x v="4"/>
    <x v="0"/>
    <x v="17"/>
    <x v="2"/>
    <x v="842"/>
    <x v="1157"/>
    <x v="1981"/>
    <x v="221"/>
    <x v="0"/>
    <x v="221"/>
    <x v="0"/>
    <x v="0"/>
    <x v="1"/>
    <x v="276"/>
    <x v="15"/>
    <x v="1"/>
    <s v="MEDIA"/>
    <s v="MEDIA"/>
    <n v="64"/>
    <s v="cumple"/>
    <x v="10"/>
    <x v="4"/>
    <x v="1981"/>
    <n v="4640"/>
    <x v="0"/>
  </r>
  <r>
    <x v="5"/>
    <x v="0"/>
    <x v="4"/>
    <x v="0"/>
    <x v="17"/>
    <x v="2"/>
    <x v="842"/>
    <x v="1157"/>
    <x v="1981"/>
    <x v="222"/>
    <x v="0"/>
    <x v="222"/>
    <x v="2"/>
    <x v="6"/>
    <x v="0"/>
    <x v="276"/>
    <x v="15"/>
    <x v="1"/>
    <s v="MEDIA"/>
    <s v="MEDIA"/>
    <n v="64"/>
    <s v="cumple"/>
    <x v="10"/>
    <x v="4"/>
    <x v="1981"/>
    <n v="2900"/>
    <x v="0"/>
  </r>
  <r>
    <x v="5"/>
    <x v="3"/>
    <x v="4"/>
    <x v="0"/>
    <x v="17"/>
    <x v="3"/>
    <x v="843"/>
    <x v="1158"/>
    <x v="1982"/>
    <x v="223"/>
    <x v="0"/>
    <x v="223"/>
    <x v="0"/>
    <x v="0"/>
    <x v="0"/>
    <x v="277"/>
    <x v="15"/>
    <x v="1"/>
    <s v="MEDIA"/>
    <s v="MEDIA"/>
    <n v="64"/>
    <s v="cumple"/>
    <x v="10"/>
    <x v="4"/>
    <x v="1982"/>
    <n v="4640"/>
    <x v="0"/>
  </r>
  <r>
    <x v="5"/>
    <x v="0"/>
    <x v="4"/>
    <x v="0"/>
    <x v="17"/>
    <x v="1"/>
    <x v="844"/>
    <x v="1159"/>
    <x v="1983"/>
    <x v="224"/>
    <x v="0"/>
    <x v="224"/>
    <x v="0"/>
    <x v="0"/>
    <x v="0"/>
    <x v="277"/>
    <x v="15"/>
    <x v="1"/>
    <s v="MEDIA"/>
    <s v="MEDIA"/>
    <n v="64"/>
    <s v="cumple"/>
    <x v="10"/>
    <x v="4"/>
    <x v="1983"/>
    <n v="4640"/>
    <x v="0"/>
  </r>
  <r>
    <x v="5"/>
    <x v="3"/>
    <x v="4"/>
    <x v="0"/>
    <x v="17"/>
    <x v="1"/>
    <x v="845"/>
    <x v="1160"/>
    <x v="1984"/>
    <x v="225"/>
    <x v="0"/>
    <x v="225"/>
    <x v="9"/>
    <x v="6"/>
    <x v="0"/>
    <x v="277"/>
    <x v="15"/>
    <x v="1"/>
    <s v="MEDIA"/>
    <s v="MEDIA"/>
    <n v="64"/>
    <s v="cumple"/>
    <x v="10"/>
    <x v="4"/>
    <x v="1984"/>
    <n v="2900"/>
    <x v="0"/>
  </r>
  <r>
    <x v="5"/>
    <x v="0"/>
    <x v="4"/>
    <x v="0"/>
    <x v="17"/>
    <x v="2"/>
    <x v="846"/>
    <x v="1161"/>
    <x v="1985"/>
    <x v="225"/>
    <x v="5"/>
    <x v="225"/>
    <x v="11"/>
    <x v="6"/>
    <x v="0"/>
    <x v="277"/>
    <x v="15"/>
    <x v="1"/>
    <s v="MEDIA"/>
    <s v="MEDIA"/>
    <n v="64"/>
    <s v="cumple"/>
    <x v="10"/>
    <x v="4"/>
    <x v="1985"/>
    <n v="2900"/>
    <x v="0"/>
  </r>
  <r>
    <x v="5"/>
    <x v="3"/>
    <x v="4"/>
    <x v="0"/>
    <x v="17"/>
    <x v="1"/>
    <x v="847"/>
    <x v="1162"/>
    <x v="1986"/>
    <x v="226"/>
    <x v="0"/>
    <x v="226"/>
    <x v="0"/>
    <x v="0"/>
    <x v="0"/>
    <x v="277"/>
    <x v="15"/>
    <x v="1"/>
    <s v="MEDIA"/>
    <s v="MEDIA"/>
    <n v="64"/>
    <s v="cumple"/>
    <x v="10"/>
    <x v="4"/>
    <x v="1986"/>
    <n v="4640"/>
    <x v="0"/>
  </r>
  <r>
    <x v="5"/>
    <x v="0"/>
    <x v="4"/>
    <x v="0"/>
    <x v="17"/>
    <x v="2"/>
    <x v="848"/>
    <x v="1157"/>
    <x v="1987"/>
    <x v="227"/>
    <x v="0"/>
    <x v="227"/>
    <x v="7"/>
    <x v="3"/>
    <x v="0"/>
    <x v="277"/>
    <x v="15"/>
    <x v="1"/>
    <s v="MEDIA"/>
    <s v="MEDIA"/>
    <n v="64"/>
    <s v="cumple"/>
    <x v="10"/>
    <x v="4"/>
    <x v="1987"/>
    <n v="3479.9999999999995"/>
    <x v="0"/>
  </r>
  <r>
    <x v="5"/>
    <x v="3"/>
    <x v="4"/>
    <x v="0"/>
    <x v="17"/>
    <x v="1"/>
    <x v="849"/>
    <x v="1163"/>
    <x v="1988"/>
    <x v="228"/>
    <x v="0"/>
    <x v="228"/>
    <x v="9"/>
    <x v="6"/>
    <x v="0"/>
    <x v="278"/>
    <x v="15"/>
    <x v="1"/>
    <s v="MEDIA"/>
    <s v="MEDIA"/>
    <n v="64"/>
    <s v="cumple"/>
    <x v="10"/>
    <x v="4"/>
    <x v="1988"/>
    <n v="2900"/>
    <x v="0"/>
  </r>
  <r>
    <x v="5"/>
    <x v="8"/>
    <x v="0"/>
    <x v="0"/>
    <x v="19"/>
    <x v="2"/>
    <x v="850"/>
    <x v="1164"/>
    <x v="1989"/>
    <x v="228"/>
    <x v="5"/>
    <x v="228"/>
    <x v="0"/>
    <x v="7"/>
    <x v="0"/>
    <x v="278"/>
    <x v="15"/>
    <x v="1"/>
    <s v="MEDIA"/>
    <s v="MEDIA"/>
    <n v="64"/>
    <s v="cumple"/>
    <x v="10"/>
    <x v="0"/>
    <x v="1989"/>
    <n v="2320"/>
    <x v="0"/>
  </r>
  <r>
    <x v="5"/>
    <x v="8"/>
    <x v="4"/>
    <x v="0"/>
    <x v="17"/>
    <x v="1"/>
    <x v="851"/>
    <x v="1165"/>
    <x v="1990"/>
    <x v="229"/>
    <x v="0"/>
    <x v="229"/>
    <x v="0"/>
    <x v="0"/>
    <x v="0"/>
    <x v="278"/>
    <x v="15"/>
    <x v="1"/>
    <s v="MEDIA"/>
    <s v="MEDIA"/>
    <n v="64"/>
    <s v="cumple"/>
    <x v="10"/>
    <x v="4"/>
    <x v="1990"/>
    <n v="4640"/>
    <x v="0"/>
  </r>
  <r>
    <x v="5"/>
    <x v="11"/>
    <x v="4"/>
    <x v="0"/>
    <x v="17"/>
    <x v="5"/>
    <x v="852"/>
    <x v="1166"/>
    <x v="1991"/>
    <x v="230"/>
    <x v="0"/>
    <x v="230"/>
    <x v="0"/>
    <x v="0"/>
    <x v="0"/>
    <x v="278"/>
    <x v="15"/>
    <x v="1"/>
    <s v="MEDIA"/>
    <s v="MEDIA"/>
    <n v="64"/>
    <s v="cumple"/>
    <x v="10"/>
    <x v="4"/>
    <x v="1991"/>
    <n v="4640"/>
    <x v="0"/>
  </r>
  <r>
    <x v="5"/>
    <x v="11"/>
    <x v="4"/>
    <x v="0"/>
    <x v="17"/>
    <x v="5"/>
    <x v="853"/>
    <x v="1167"/>
    <x v="1992"/>
    <x v="231"/>
    <x v="0"/>
    <x v="231"/>
    <x v="9"/>
    <x v="6"/>
    <x v="0"/>
    <x v="278"/>
    <x v="15"/>
    <x v="1"/>
    <s v="MEDIA"/>
    <s v="MEDIA"/>
    <n v="64"/>
    <s v="cumple"/>
    <x v="10"/>
    <x v="4"/>
    <x v="1992"/>
    <n v="2900"/>
    <x v="0"/>
  </r>
  <r>
    <x v="5"/>
    <x v="11"/>
    <x v="4"/>
    <x v="0"/>
    <x v="17"/>
    <x v="5"/>
    <x v="854"/>
    <x v="1168"/>
    <x v="1993"/>
    <x v="231"/>
    <x v="5"/>
    <x v="231"/>
    <x v="0"/>
    <x v="7"/>
    <x v="0"/>
    <x v="278"/>
    <x v="15"/>
    <x v="1"/>
    <s v="MEDIA"/>
    <s v="MEDIA"/>
    <n v="64"/>
    <s v="cumple"/>
    <x v="10"/>
    <x v="4"/>
    <x v="1993"/>
    <n v="2320"/>
    <x v="0"/>
  </r>
  <r>
    <x v="5"/>
    <x v="11"/>
    <x v="0"/>
    <x v="0"/>
    <x v="19"/>
    <x v="5"/>
    <x v="855"/>
    <x v="1169"/>
    <x v="1994"/>
    <x v="232"/>
    <x v="0"/>
    <x v="232"/>
    <x v="0"/>
    <x v="0"/>
    <x v="0"/>
    <x v="278"/>
    <x v="15"/>
    <x v="1"/>
    <s v="MEDIA"/>
    <s v="MEDIA"/>
    <n v="64"/>
    <s v="cumple"/>
    <x v="10"/>
    <x v="0"/>
    <x v="1994"/>
    <n v="4640"/>
    <x v="0"/>
  </r>
  <r>
    <x v="5"/>
    <x v="11"/>
    <x v="0"/>
    <x v="0"/>
    <x v="19"/>
    <x v="5"/>
    <x v="856"/>
    <x v="1170"/>
    <x v="1995"/>
    <x v="233"/>
    <x v="0"/>
    <x v="233"/>
    <x v="9"/>
    <x v="6"/>
    <x v="0"/>
    <x v="279"/>
    <x v="15"/>
    <x v="1"/>
    <s v="MEDIA"/>
    <s v="MEDIA"/>
    <n v="64"/>
    <s v="cumple"/>
    <x v="10"/>
    <x v="0"/>
    <x v="1995"/>
    <n v="2900"/>
    <x v="0"/>
  </r>
  <r>
    <x v="5"/>
    <x v="11"/>
    <x v="0"/>
    <x v="0"/>
    <x v="19"/>
    <x v="5"/>
    <x v="857"/>
    <x v="1171"/>
    <x v="1996"/>
    <x v="233"/>
    <x v="5"/>
    <x v="233"/>
    <x v="0"/>
    <x v="7"/>
    <x v="0"/>
    <x v="279"/>
    <x v="15"/>
    <x v="1"/>
    <s v="MEDIA"/>
    <s v="MEDIA"/>
    <n v="64"/>
    <s v="cumple"/>
    <x v="10"/>
    <x v="0"/>
    <x v="1996"/>
    <n v="2320"/>
    <x v="0"/>
  </r>
  <r>
    <x v="5"/>
    <x v="11"/>
    <x v="0"/>
    <x v="0"/>
    <x v="19"/>
    <x v="5"/>
    <x v="858"/>
    <x v="1172"/>
    <x v="1997"/>
    <x v="234"/>
    <x v="0"/>
    <x v="234"/>
    <x v="9"/>
    <x v="6"/>
    <x v="0"/>
    <x v="279"/>
    <x v="15"/>
    <x v="1"/>
    <s v="MEDIA"/>
    <s v="MEDIA"/>
    <n v="64"/>
    <s v="cumple"/>
    <x v="10"/>
    <x v="0"/>
    <x v="1997"/>
    <n v="2900"/>
    <x v="0"/>
  </r>
  <r>
    <x v="5"/>
    <x v="9"/>
    <x v="0"/>
    <x v="0"/>
    <x v="19"/>
    <x v="7"/>
    <x v="859"/>
    <x v="1173"/>
    <x v="1998"/>
    <x v="234"/>
    <x v="5"/>
    <x v="234"/>
    <x v="0"/>
    <x v="7"/>
    <x v="0"/>
    <x v="279"/>
    <x v="15"/>
    <x v="1"/>
    <s v="MEDIA"/>
    <s v="MEDIA"/>
    <n v="64"/>
    <s v="cumple"/>
    <x v="10"/>
    <x v="0"/>
    <x v="1998"/>
    <n v="2320"/>
    <x v="0"/>
  </r>
  <r>
    <x v="5"/>
    <x v="0"/>
    <x v="4"/>
    <x v="0"/>
    <x v="17"/>
    <x v="1"/>
    <x v="860"/>
    <x v="1174"/>
    <x v="1999"/>
    <x v="235"/>
    <x v="0"/>
    <x v="235"/>
    <x v="0"/>
    <x v="0"/>
    <x v="0"/>
    <x v="279"/>
    <x v="15"/>
    <x v="1"/>
    <s v="MEDIA"/>
    <s v="MEDIA"/>
    <n v="64"/>
    <s v="cumple"/>
    <x v="10"/>
    <x v="4"/>
    <x v="1999"/>
    <n v="4640"/>
    <x v="0"/>
  </r>
  <r>
    <x v="5"/>
    <x v="3"/>
    <x v="4"/>
    <x v="0"/>
    <x v="17"/>
    <x v="1"/>
    <x v="861"/>
    <x v="1175"/>
    <x v="2000"/>
    <x v="236"/>
    <x v="0"/>
    <x v="236"/>
    <x v="7"/>
    <x v="3"/>
    <x v="0"/>
    <x v="279"/>
    <x v="15"/>
    <x v="1"/>
    <s v="MEDIA"/>
    <s v="MEDIA"/>
    <n v="64"/>
    <s v="cumple"/>
    <x v="10"/>
    <x v="4"/>
    <x v="2000"/>
    <n v="3479.9999999999995"/>
    <x v="0"/>
  </r>
  <r>
    <x v="5"/>
    <x v="3"/>
    <x v="4"/>
    <x v="0"/>
    <x v="17"/>
    <x v="1"/>
    <x v="862"/>
    <x v="1176"/>
    <x v="2001"/>
    <x v="237"/>
    <x v="0"/>
    <x v="237"/>
    <x v="9"/>
    <x v="6"/>
    <x v="0"/>
    <x v="280"/>
    <x v="15"/>
    <x v="1"/>
    <s v="MEDIA"/>
    <s v="MEDIA"/>
    <n v="64"/>
    <s v="cumple"/>
    <x v="10"/>
    <x v="4"/>
    <x v="2001"/>
    <n v="2900"/>
    <x v="0"/>
  </r>
  <r>
    <x v="5"/>
    <x v="2"/>
    <x v="4"/>
    <x v="0"/>
    <x v="17"/>
    <x v="1"/>
    <x v="863"/>
    <x v="1177"/>
    <x v="2002"/>
    <x v="237"/>
    <x v="5"/>
    <x v="237"/>
    <x v="0"/>
    <x v="7"/>
    <x v="0"/>
    <x v="280"/>
    <x v="15"/>
    <x v="1"/>
    <s v="MEDIA"/>
    <s v="MEDIA"/>
    <n v="64"/>
    <s v="cumple"/>
    <x v="10"/>
    <x v="4"/>
    <x v="2002"/>
    <n v="2320"/>
    <x v="0"/>
  </r>
  <r>
    <x v="5"/>
    <x v="9"/>
    <x v="4"/>
    <x v="0"/>
    <x v="17"/>
    <x v="9"/>
    <x v="864"/>
    <x v="1178"/>
    <x v="2003"/>
    <x v="238"/>
    <x v="0"/>
    <x v="238"/>
    <x v="0"/>
    <x v="0"/>
    <x v="0"/>
    <x v="280"/>
    <x v="15"/>
    <x v="1"/>
    <s v="MEDIA"/>
    <s v="MEDIA"/>
    <n v="64"/>
    <s v="cumple"/>
    <x v="10"/>
    <x v="4"/>
    <x v="2003"/>
    <n v="4640"/>
    <x v="0"/>
  </r>
  <r>
    <x v="5"/>
    <x v="9"/>
    <x v="4"/>
    <x v="0"/>
    <x v="17"/>
    <x v="9"/>
    <x v="865"/>
    <x v="1179"/>
    <x v="2004"/>
    <x v="239"/>
    <x v="0"/>
    <x v="239"/>
    <x v="0"/>
    <x v="0"/>
    <x v="1"/>
    <x v="280"/>
    <x v="15"/>
    <x v="1"/>
    <s v="MEDIA"/>
    <s v="MEDIA"/>
    <n v="64"/>
    <s v="cumple"/>
    <x v="10"/>
    <x v="4"/>
    <x v="2004"/>
    <n v="4640"/>
    <x v="0"/>
  </r>
  <r>
    <x v="5"/>
    <x v="9"/>
    <x v="4"/>
    <x v="0"/>
    <x v="17"/>
    <x v="9"/>
    <x v="865"/>
    <x v="1180"/>
    <x v="2004"/>
    <x v="240"/>
    <x v="0"/>
    <x v="240"/>
    <x v="0"/>
    <x v="0"/>
    <x v="0"/>
    <x v="280"/>
    <x v="15"/>
    <x v="1"/>
    <s v="MEDIA"/>
    <s v="MEDIA"/>
    <n v="64"/>
    <s v="cumple"/>
    <x v="10"/>
    <x v="4"/>
    <x v="2004"/>
    <n v="4640"/>
    <x v="0"/>
  </r>
  <r>
    <x v="0"/>
    <x v="1"/>
    <x v="0"/>
    <x v="0"/>
    <x v="26"/>
    <x v="1"/>
    <x v="866"/>
    <x v="1181"/>
    <x v="2005"/>
    <x v="221"/>
    <x v="0"/>
    <x v="221"/>
    <x v="8"/>
    <x v="2"/>
    <x v="0"/>
    <x v="281"/>
    <x v="20"/>
    <x v="10"/>
    <s v="MEDIA"/>
    <s v="MEDIA"/>
    <n v="64"/>
    <s v="cumple"/>
    <x v="10"/>
    <x v="0"/>
    <x v="2005"/>
    <n v="696"/>
    <x v="1"/>
  </r>
  <r>
    <x v="0"/>
    <x v="1"/>
    <x v="0"/>
    <x v="0"/>
    <x v="26"/>
    <x v="1"/>
    <x v="867"/>
    <x v="1181"/>
    <x v="2005"/>
    <x v="222"/>
    <x v="0"/>
    <x v="222"/>
    <x v="8"/>
    <x v="2"/>
    <x v="0"/>
    <x v="281"/>
    <x v="20"/>
    <x v="10"/>
    <s v="MEDIA"/>
    <s v="MEDIA"/>
    <n v="64"/>
    <s v="cumple"/>
    <x v="10"/>
    <x v="0"/>
    <x v="2005"/>
    <n v="696"/>
    <x v="1"/>
  </r>
  <r>
    <x v="0"/>
    <x v="1"/>
    <x v="0"/>
    <x v="0"/>
    <x v="26"/>
    <x v="1"/>
    <x v="868"/>
    <x v="1181"/>
    <x v="2006"/>
    <x v="222"/>
    <x v="6"/>
    <x v="223"/>
    <x v="5"/>
    <x v="2"/>
    <x v="0"/>
    <x v="282"/>
    <x v="20"/>
    <x v="10"/>
    <s v="MEDIA"/>
    <s v="MEDIA"/>
    <n v="64"/>
    <s v="cumple"/>
    <x v="10"/>
    <x v="0"/>
    <x v="2006"/>
    <n v="696"/>
    <x v="1"/>
  </r>
  <r>
    <x v="0"/>
    <x v="1"/>
    <x v="0"/>
    <x v="0"/>
    <x v="26"/>
    <x v="1"/>
    <x v="869"/>
    <x v="1181"/>
    <x v="2007"/>
    <x v="222"/>
    <x v="6"/>
    <x v="223"/>
    <x v="5"/>
    <x v="2"/>
    <x v="0"/>
    <x v="283"/>
    <x v="20"/>
    <x v="10"/>
    <s v="MEDIA"/>
    <s v="MEDIA"/>
    <n v="64"/>
    <s v="cumple"/>
    <x v="10"/>
    <x v="0"/>
    <x v="2007"/>
    <n v="696"/>
    <x v="1"/>
  </r>
  <r>
    <x v="0"/>
    <x v="1"/>
    <x v="0"/>
    <x v="0"/>
    <x v="26"/>
    <x v="1"/>
    <x v="870"/>
    <x v="1181"/>
    <x v="2008"/>
    <x v="223"/>
    <x v="6"/>
    <x v="223"/>
    <x v="5"/>
    <x v="2"/>
    <x v="0"/>
    <x v="284"/>
    <x v="20"/>
    <x v="10"/>
    <s v="MEDIA"/>
    <s v="MEDIA"/>
    <n v="64"/>
    <s v="cumple"/>
    <x v="10"/>
    <x v="0"/>
    <x v="2008"/>
    <n v="696"/>
    <x v="1"/>
  </r>
  <r>
    <x v="0"/>
    <x v="1"/>
    <x v="0"/>
    <x v="0"/>
    <x v="26"/>
    <x v="1"/>
    <x v="871"/>
    <x v="1181"/>
    <x v="2005"/>
    <x v="223"/>
    <x v="0"/>
    <x v="223"/>
    <x v="8"/>
    <x v="2"/>
    <x v="0"/>
    <x v="281"/>
    <x v="20"/>
    <x v="10"/>
    <s v="MEDIA"/>
    <s v="MEDIA"/>
    <n v="64"/>
    <s v="cumple"/>
    <x v="10"/>
    <x v="0"/>
    <x v="2005"/>
    <n v="696"/>
    <x v="1"/>
  </r>
  <r>
    <x v="0"/>
    <x v="1"/>
    <x v="0"/>
    <x v="0"/>
    <x v="26"/>
    <x v="1"/>
    <x v="872"/>
    <x v="1181"/>
    <x v="2005"/>
    <x v="224"/>
    <x v="0"/>
    <x v="224"/>
    <x v="8"/>
    <x v="2"/>
    <x v="0"/>
    <x v="281"/>
    <x v="20"/>
    <x v="10"/>
    <s v="MEDIA"/>
    <s v="MEDIA"/>
    <n v="64"/>
    <s v="cumple"/>
    <x v="10"/>
    <x v="0"/>
    <x v="2005"/>
    <n v="696"/>
    <x v="1"/>
  </r>
  <r>
    <x v="0"/>
    <x v="1"/>
    <x v="0"/>
    <x v="0"/>
    <x v="26"/>
    <x v="1"/>
    <x v="873"/>
    <x v="1181"/>
    <x v="2005"/>
    <x v="225"/>
    <x v="0"/>
    <x v="225"/>
    <x v="8"/>
    <x v="2"/>
    <x v="0"/>
    <x v="281"/>
    <x v="20"/>
    <x v="10"/>
    <s v="MEDIA"/>
    <s v="MEDIA"/>
    <n v="64"/>
    <s v="cumple"/>
    <x v="10"/>
    <x v="0"/>
    <x v="2005"/>
    <n v="696"/>
    <x v="1"/>
  </r>
  <r>
    <x v="0"/>
    <x v="1"/>
    <x v="0"/>
    <x v="0"/>
    <x v="26"/>
    <x v="1"/>
    <x v="874"/>
    <x v="1181"/>
    <x v="2005"/>
    <x v="226"/>
    <x v="0"/>
    <x v="226"/>
    <x v="8"/>
    <x v="2"/>
    <x v="0"/>
    <x v="281"/>
    <x v="20"/>
    <x v="10"/>
    <s v="MEDIA"/>
    <s v="MEDIA"/>
    <n v="64"/>
    <s v="cumple"/>
    <x v="10"/>
    <x v="0"/>
    <x v="2005"/>
    <n v="696"/>
    <x v="1"/>
  </r>
  <r>
    <x v="0"/>
    <x v="1"/>
    <x v="0"/>
    <x v="0"/>
    <x v="26"/>
    <x v="1"/>
    <x v="875"/>
    <x v="1181"/>
    <x v="2005"/>
    <x v="227"/>
    <x v="0"/>
    <x v="227"/>
    <x v="8"/>
    <x v="2"/>
    <x v="0"/>
    <x v="281"/>
    <x v="20"/>
    <x v="10"/>
    <s v="MEDIA"/>
    <s v="MEDIA"/>
    <n v="64"/>
    <s v="cumple"/>
    <x v="10"/>
    <x v="0"/>
    <x v="2005"/>
    <n v="696"/>
    <x v="1"/>
  </r>
  <r>
    <x v="0"/>
    <x v="1"/>
    <x v="0"/>
    <x v="0"/>
    <x v="26"/>
    <x v="1"/>
    <x v="876"/>
    <x v="1181"/>
    <x v="2006"/>
    <x v="227"/>
    <x v="0"/>
    <x v="227"/>
    <x v="8"/>
    <x v="2"/>
    <x v="0"/>
    <x v="282"/>
    <x v="20"/>
    <x v="10"/>
    <s v="MEDIA"/>
    <s v="MEDIA"/>
    <n v="64"/>
    <s v="cumple"/>
    <x v="10"/>
    <x v="0"/>
    <x v="2006"/>
    <n v="696"/>
    <x v="1"/>
  </r>
  <r>
    <x v="0"/>
    <x v="1"/>
    <x v="0"/>
    <x v="0"/>
    <x v="26"/>
    <x v="1"/>
    <x v="877"/>
    <x v="1181"/>
    <x v="2007"/>
    <x v="227"/>
    <x v="0"/>
    <x v="227"/>
    <x v="8"/>
    <x v="2"/>
    <x v="0"/>
    <x v="283"/>
    <x v="20"/>
    <x v="10"/>
    <s v="MEDIA"/>
    <s v="MEDIA"/>
    <n v="64"/>
    <s v="cumple"/>
    <x v="10"/>
    <x v="0"/>
    <x v="2007"/>
    <n v="696"/>
    <x v="1"/>
  </r>
  <r>
    <x v="0"/>
    <x v="1"/>
    <x v="0"/>
    <x v="0"/>
    <x v="26"/>
    <x v="1"/>
    <x v="878"/>
    <x v="1181"/>
    <x v="2009"/>
    <x v="228"/>
    <x v="6"/>
    <x v="228"/>
    <x v="5"/>
    <x v="2"/>
    <x v="0"/>
    <x v="284"/>
    <x v="20"/>
    <x v="10"/>
    <s v="MEDIA"/>
    <s v="MEDIA"/>
    <n v="64"/>
    <s v="cumple"/>
    <x v="10"/>
    <x v="0"/>
    <x v="2009"/>
    <n v="696"/>
    <x v="1"/>
  </r>
  <r>
    <x v="0"/>
    <x v="1"/>
    <x v="0"/>
    <x v="0"/>
    <x v="26"/>
    <x v="1"/>
    <x v="879"/>
    <x v="1181"/>
    <x v="2005"/>
    <x v="228"/>
    <x v="0"/>
    <x v="228"/>
    <x v="8"/>
    <x v="2"/>
    <x v="0"/>
    <x v="281"/>
    <x v="20"/>
    <x v="10"/>
    <s v="MEDIA"/>
    <s v="MEDIA"/>
    <n v="64"/>
    <s v="cumple"/>
    <x v="10"/>
    <x v="0"/>
    <x v="2005"/>
    <n v="696"/>
    <x v="1"/>
  </r>
  <r>
    <x v="0"/>
    <x v="1"/>
    <x v="0"/>
    <x v="0"/>
    <x v="26"/>
    <x v="1"/>
    <x v="880"/>
    <x v="1181"/>
    <x v="2005"/>
    <x v="229"/>
    <x v="0"/>
    <x v="229"/>
    <x v="8"/>
    <x v="2"/>
    <x v="0"/>
    <x v="281"/>
    <x v="20"/>
    <x v="10"/>
    <s v="MEDIA"/>
    <s v="MEDIA"/>
    <n v="64"/>
    <s v="cumple"/>
    <x v="10"/>
    <x v="0"/>
    <x v="2005"/>
    <n v="696"/>
    <x v="1"/>
  </r>
  <r>
    <x v="0"/>
    <x v="1"/>
    <x v="0"/>
    <x v="0"/>
    <x v="26"/>
    <x v="1"/>
    <x v="881"/>
    <x v="1181"/>
    <x v="2005"/>
    <x v="230"/>
    <x v="0"/>
    <x v="230"/>
    <x v="8"/>
    <x v="2"/>
    <x v="0"/>
    <x v="281"/>
    <x v="20"/>
    <x v="10"/>
    <s v="MEDIA"/>
    <s v="MEDIA"/>
    <n v="64"/>
    <s v="cumple"/>
    <x v="10"/>
    <x v="0"/>
    <x v="2005"/>
    <n v="696"/>
    <x v="1"/>
  </r>
  <r>
    <x v="0"/>
    <x v="1"/>
    <x v="0"/>
    <x v="0"/>
    <x v="26"/>
    <x v="1"/>
    <x v="882"/>
    <x v="1181"/>
    <x v="2005"/>
    <x v="231"/>
    <x v="0"/>
    <x v="231"/>
    <x v="8"/>
    <x v="2"/>
    <x v="0"/>
    <x v="281"/>
    <x v="20"/>
    <x v="10"/>
    <s v="MEDIA"/>
    <s v="MEDIA"/>
    <n v="64"/>
    <s v="cumple"/>
    <x v="10"/>
    <x v="0"/>
    <x v="2005"/>
    <n v="696"/>
    <x v="1"/>
  </r>
  <r>
    <x v="0"/>
    <x v="1"/>
    <x v="0"/>
    <x v="0"/>
    <x v="26"/>
    <x v="1"/>
    <x v="883"/>
    <x v="1181"/>
    <x v="2005"/>
    <x v="232"/>
    <x v="0"/>
    <x v="232"/>
    <x v="8"/>
    <x v="2"/>
    <x v="0"/>
    <x v="281"/>
    <x v="20"/>
    <x v="10"/>
    <s v="MEDIA"/>
    <s v="MEDIA"/>
    <n v="64"/>
    <s v="cumple"/>
    <x v="10"/>
    <x v="0"/>
    <x v="2005"/>
    <n v="696"/>
    <x v="1"/>
  </r>
  <r>
    <x v="0"/>
    <x v="1"/>
    <x v="0"/>
    <x v="0"/>
    <x v="26"/>
    <x v="1"/>
    <x v="884"/>
    <x v="1181"/>
    <x v="2006"/>
    <x v="232"/>
    <x v="0"/>
    <x v="232"/>
    <x v="8"/>
    <x v="2"/>
    <x v="0"/>
    <x v="282"/>
    <x v="20"/>
    <x v="10"/>
    <s v="MEDIA"/>
    <s v="MEDIA"/>
    <n v="64"/>
    <s v="cumple"/>
    <x v="10"/>
    <x v="0"/>
    <x v="2006"/>
    <n v="696"/>
    <x v="1"/>
  </r>
  <r>
    <x v="0"/>
    <x v="1"/>
    <x v="0"/>
    <x v="0"/>
    <x v="26"/>
    <x v="1"/>
    <x v="885"/>
    <x v="1181"/>
    <x v="2007"/>
    <x v="232"/>
    <x v="0"/>
    <x v="232"/>
    <x v="8"/>
    <x v="2"/>
    <x v="0"/>
    <x v="283"/>
    <x v="20"/>
    <x v="10"/>
    <s v="MEDIA"/>
    <s v="MEDIA"/>
    <n v="64"/>
    <s v="cumple"/>
    <x v="10"/>
    <x v="0"/>
    <x v="2007"/>
    <n v="696"/>
    <x v="1"/>
  </r>
  <r>
    <x v="0"/>
    <x v="1"/>
    <x v="0"/>
    <x v="0"/>
    <x v="26"/>
    <x v="1"/>
    <x v="886"/>
    <x v="1181"/>
    <x v="2010"/>
    <x v="233"/>
    <x v="6"/>
    <x v="233"/>
    <x v="5"/>
    <x v="2"/>
    <x v="0"/>
    <x v="284"/>
    <x v="20"/>
    <x v="10"/>
    <s v="MEDIA"/>
    <s v="MEDIA"/>
    <n v="64"/>
    <s v="cumple"/>
    <x v="10"/>
    <x v="0"/>
    <x v="2010"/>
    <n v="696"/>
    <x v="1"/>
  </r>
  <r>
    <x v="0"/>
    <x v="1"/>
    <x v="0"/>
    <x v="0"/>
    <x v="26"/>
    <x v="1"/>
    <x v="887"/>
    <x v="1181"/>
    <x v="2005"/>
    <x v="233"/>
    <x v="0"/>
    <x v="233"/>
    <x v="8"/>
    <x v="2"/>
    <x v="0"/>
    <x v="281"/>
    <x v="20"/>
    <x v="10"/>
    <s v="MEDIA"/>
    <s v="MEDIA"/>
    <n v="64"/>
    <s v="cumple"/>
    <x v="10"/>
    <x v="0"/>
    <x v="2005"/>
    <n v="696"/>
    <x v="1"/>
  </r>
  <r>
    <x v="0"/>
    <x v="1"/>
    <x v="0"/>
    <x v="0"/>
    <x v="26"/>
    <x v="1"/>
    <x v="888"/>
    <x v="1181"/>
    <x v="2005"/>
    <x v="234"/>
    <x v="0"/>
    <x v="234"/>
    <x v="8"/>
    <x v="2"/>
    <x v="0"/>
    <x v="281"/>
    <x v="20"/>
    <x v="10"/>
    <s v="MEDIA"/>
    <s v="MEDIA"/>
    <n v="64"/>
    <s v="cumple"/>
    <x v="10"/>
    <x v="0"/>
    <x v="2005"/>
    <n v="696"/>
    <x v="1"/>
  </r>
  <r>
    <x v="0"/>
    <x v="1"/>
    <x v="0"/>
    <x v="0"/>
    <x v="26"/>
    <x v="1"/>
    <x v="889"/>
    <x v="1181"/>
    <x v="2005"/>
    <x v="235"/>
    <x v="0"/>
    <x v="235"/>
    <x v="8"/>
    <x v="2"/>
    <x v="0"/>
    <x v="281"/>
    <x v="20"/>
    <x v="10"/>
    <s v="MEDIA"/>
    <s v="MEDIA"/>
    <n v="64"/>
    <s v="cumple"/>
    <x v="10"/>
    <x v="0"/>
    <x v="2005"/>
    <n v="696"/>
    <x v="1"/>
  </r>
  <r>
    <x v="0"/>
    <x v="1"/>
    <x v="0"/>
    <x v="0"/>
    <x v="26"/>
    <x v="1"/>
    <x v="890"/>
    <x v="1181"/>
    <x v="2005"/>
    <x v="236"/>
    <x v="0"/>
    <x v="236"/>
    <x v="8"/>
    <x v="2"/>
    <x v="0"/>
    <x v="281"/>
    <x v="20"/>
    <x v="10"/>
    <s v="MEDIA"/>
    <s v="MEDIA"/>
    <n v="64"/>
    <s v="cumple"/>
    <x v="10"/>
    <x v="0"/>
    <x v="2005"/>
    <n v="696"/>
    <x v="1"/>
  </r>
  <r>
    <x v="0"/>
    <x v="1"/>
    <x v="0"/>
    <x v="0"/>
    <x v="26"/>
    <x v="1"/>
    <x v="891"/>
    <x v="1181"/>
    <x v="2006"/>
    <x v="236"/>
    <x v="0"/>
    <x v="236"/>
    <x v="8"/>
    <x v="2"/>
    <x v="0"/>
    <x v="282"/>
    <x v="20"/>
    <x v="10"/>
    <s v="MEDIA"/>
    <s v="MEDIA"/>
    <n v="64"/>
    <s v="cumple"/>
    <x v="10"/>
    <x v="0"/>
    <x v="2006"/>
    <n v="696"/>
    <x v="1"/>
  </r>
  <r>
    <x v="0"/>
    <x v="1"/>
    <x v="0"/>
    <x v="0"/>
    <x v="26"/>
    <x v="1"/>
    <x v="892"/>
    <x v="1181"/>
    <x v="2007"/>
    <x v="236"/>
    <x v="0"/>
    <x v="236"/>
    <x v="8"/>
    <x v="2"/>
    <x v="0"/>
    <x v="283"/>
    <x v="20"/>
    <x v="10"/>
    <s v="MEDIA"/>
    <s v="MEDIA"/>
    <n v="64"/>
    <s v="cumple"/>
    <x v="10"/>
    <x v="0"/>
    <x v="2007"/>
    <n v="696"/>
    <x v="1"/>
  </r>
  <r>
    <x v="0"/>
    <x v="1"/>
    <x v="0"/>
    <x v="0"/>
    <x v="26"/>
    <x v="1"/>
    <x v="893"/>
    <x v="1181"/>
    <x v="2011"/>
    <x v="237"/>
    <x v="6"/>
    <x v="237"/>
    <x v="5"/>
    <x v="2"/>
    <x v="0"/>
    <x v="284"/>
    <x v="20"/>
    <x v="10"/>
    <s v="MEDIA"/>
    <s v="MEDIA"/>
    <n v="64"/>
    <s v="cumple"/>
    <x v="10"/>
    <x v="0"/>
    <x v="2011"/>
    <n v="696"/>
    <x v="1"/>
  </r>
  <r>
    <x v="0"/>
    <x v="1"/>
    <x v="0"/>
    <x v="0"/>
    <x v="26"/>
    <x v="1"/>
    <x v="894"/>
    <x v="1181"/>
    <x v="2005"/>
    <x v="237"/>
    <x v="0"/>
    <x v="237"/>
    <x v="8"/>
    <x v="2"/>
    <x v="0"/>
    <x v="281"/>
    <x v="20"/>
    <x v="10"/>
    <s v="MEDIA"/>
    <s v="MEDIA"/>
    <n v="64"/>
    <s v="cumple"/>
    <x v="10"/>
    <x v="0"/>
    <x v="2005"/>
    <n v="696"/>
    <x v="1"/>
  </r>
  <r>
    <x v="0"/>
    <x v="1"/>
    <x v="0"/>
    <x v="0"/>
    <x v="26"/>
    <x v="1"/>
    <x v="895"/>
    <x v="1181"/>
    <x v="2005"/>
    <x v="238"/>
    <x v="0"/>
    <x v="238"/>
    <x v="8"/>
    <x v="2"/>
    <x v="0"/>
    <x v="281"/>
    <x v="20"/>
    <x v="10"/>
    <s v="MEDIA"/>
    <s v="MEDIA"/>
    <n v="64"/>
    <s v="cumple"/>
    <x v="10"/>
    <x v="0"/>
    <x v="2005"/>
    <n v="696"/>
    <x v="1"/>
  </r>
  <r>
    <x v="0"/>
    <x v="1"/>
    <x v="0"/>
    <x v="0"/>
    <x v="26"/>
    <x v="1"/>
    <x v="896"/>
    <x v="1181"/>
    <x v="2005"/>
    <x v="239"/>
    <x v="0"/>
    <x v="239"/>
    <x v="8"/>
    <x v="2"/>
    <x v="0"/>
    <x v="281"/>
    <x v="20"/>
    <x v="10"/>
    <s v="MEDIA"/>
    <s v="MEDIA"/>
    <n v="64"/>
    <s v="cumple"/>
    <x v="10"/>
    <x v="0"/>
    <x v="2005"/>
    <n v="696"/>
    <x v="1"/>
  </r>
  <r>
    <x v="0"/>
    <x v="1"/>
    <x v="0"/>
    <x v="0"/>
    <x v="26"/>
    <x v="1"/>
    <x v="897"/>
    <x v="1181"/>
    <x v="2005"/>
    <x v="240"/>
    <x v="0"/>
    <x v="240"/>
    <x v="8"/>
    <x v="2"/>
    <x v="0"/>
    <x v="281"/>
    <x v="20"/>
    <x v="10"/>
    <s v="MEDIA"/>
    <s v="MEDIA"/>
    <n v="64"/>
    <s v="cumple"/>
    <x v="10"/>
    <x v="0"/>
    <x v="2005"/>
    <n v="696"/>
    <x v="1"/>
  </r>
  <r>
    <x v="0"/>
    <x v="1"/>
    <x v="0"/>
    <x v="0"/>
    <x v="28"/>
    <x v="1"/>
    <x v="898"/>
    <x v="1182"/>
    <x v="2012"/>
    <x v="221"/>
    <x v="0"/>
    <x v="221"/>
    <x v="0"/>
    <x v="8"/>
    <x v="0"/>
    <x v="285"/>
    <x v="10"/>
    <x v="5"/>
    <s v="MEDIA"/>
    <s v="MEDIA"/>
    <n v="64"/>
    <s v="cumple"/>
    <x v="10"/>
    <x v="0"/>
    <x v="2012"/>
    <n v="7887.9999999999991"/>
    <x v="1"/>
  </r>
  <r>
    <x v="0"/>
    <x v="1"/>
    <x v="0"/>
    <x v="0"/>
    <x v="28"/>
    <x v="1"/>
    <x v="899"/>
    <x v="1183"/>
    <x v="2013"/>
    <x v="222"/>
    <x v="0"/>
    <x v="222"/>
    <x v="7"/>
    <x v="3"/>
    <x v="1"/>
    <x v="285"/>
    <x v="10"/>
    <x v="5"/>
    <s v="MEDIA"/>
    <s v="MEDIA"/>
    <n v="64"/>
    <s v="cumple"/>
    <x v="10"/>
    <x v="0"/>
    <x v="2013"/>
    <n v="5568"/>
    <x v="1"/>
  </r>
  <r>
    <x v="0"/>
    <x v="1"/>
    <x v="0"/>
    <x v="0"/>
    <x v="28"/>
    <x v="1"/>
    <x v="899"/>
    <x v="1183"/>
    <x v="2013"/>
    <x v="223"/>
    <x v="0"/>
    <x v="223"/>
    <x v="0"/>
    <x v="8"/>
    <x v="0"/>
    <x v="285"/>
    <x v="10"/>
    <x v="5"/>
    <s v="MEDIA"/>
    <s v="MEDIA"/>
    <n v="64"/>
    <s v="cumple"/>
    <x v="10"/>
    <x v="0"/>
    <x v="2013"/>
    <n v="7887.9999999999991"/>
    <x v="1"/>
  </r>
  <r>
    <x v="0"/>
    <x v="1"/>
    <x v="0"/>
    <x v="0"/>
    <x v="28"/>
    <x v="1"/>
    <x v="900"/>
    <x v="1184"/>
    <x v="2014"/>
    <x v="224"/>
    <x v="0"/>
    <x v="224"/>
    <x v="0"/>
    <x v="8"/>
    <x v="1"/>
    <x v="285"/>
    <x v="10"/>
    <x v="5"/>
    <s v="MEDIA"/>
    <s v="MEDIA"/>
    <n v="64"/>
    <s v="cumple"/>
    <x v="10"/>
    <x v="0"/>
    <x v="2014"/>
    <n v="7887.9999999999991"/>
    <x v="1"/>
  </r>
  <r>
    <x v="0"/>
    <x v="1"/>
    <x v="0"/>
    <x v="0"/>
    <x v="28"/>
    <x v="1"/>
    <x v="900"/>
    <x v="1184"/>
    <x v="2014"/>
    <x v="225"/>
    <x v="0"/>
    <x v="225"/>
    <x v="0"/>
    <x v="8"/>
    <x v="1"/>
    <x v="285"/>
    <x v="10"/>
    <x v="5"/>
    <s v="MEDIA"/>
    <s v="MEDIA"/>
    <n v="64"/>
    <s v="cumple"/>
    <x v="10"/>
    <x v="0"/>
    <x v="2014"/>
    <n v="7887.9999999999991"/>
    <x v="1"/>
  </r>
  <r>
    <x v="0"/>
    <x v="1"/>
    <x v="0"/>
    <x v="0"/>
    <x v="28"/>
    <x v="1"/>
    <x v="900"/>
    <x v="1184"/>
    <x v="2014"/>
    <x v="226"/>
    <x v="0"/>
    <x v="226"/>
    <x v="0"/>
    <x v="8"/>
    <x v="1"/>
    <x v="285"/>
    <x v="10"/>
    <x v="5"/>
    <s v="MEDIA"/>
    <s v="MEDIA"/>
    <n v="64"/>
    <s v="cumple"/>
    <x v="10"/>
    <x v="0"/>
    <x v="2014"/>
    <n v="7887.9999999999991"/>
    <x v="1"/>
  </r>
  <r>
    <x v="0"/>
    <x v="1"/>
    <x v="0"/>
    <x v="0"/>
    <x v="28"/>
    <x v="1"/>
    <x v="900"/>
    <x v="1184"/>
    <x v="2014"/>
    <x v="227"/>
    <x v="0"/>
    <x v="227"/>
    <x v="0"/>
    <x v="3"/>
    <x v="1"/>
    <x v="285"/>
    <x v="10"/>
    <x v="5"/>
    <s v="MEDIA"/>
    <s v="MEDIA"/>
    <n v="64"/>
    <s v="cumple"/>
    <x v="10"/>
    <x v="0"/>
    <x v="2014"/>
    <n v="5568"/>
    <x v="1"/>
  </r>
  <r>
    <x v="0"/>
    <x v="1"/>
    <x v="0"/>
    <x v="0"/>
    <x v="28"/>
    <x v="1"/>
    <x v="900"/>
    <x v="1184"/>
    <x v="2014"/>
    <x v="228"/>
    <x v="0"/>
    <x v="228"/>
    <x v="0"/>
    <x v="8"/>
    <x v="0"/>
    <x v="285"/>
    <x v="10"/>
    <x v="5"/>
    <s v="MEDIA"/>
    <s v="MEDIA"/>
    <n v="64"/>
    <s v="cumple"/>
    <x v="10"/>
    <x v="0"/>
    <x v="2014"/>
    <n v="7887.9999999999991"/>
    <x v="1"/>
  </r>
  <r>
    <x v="0"/>
    <x v="1"/>
    <x v="0"/>
    <x v="0"/>
    <x v="28"/>
    <x v="1"/>
    <x v="901"/>
    <x v="1185"/>
    <x v="2015"/>
    <x v="229"/>
    <x v="0"/>
    <x v="229"/>
    <x v="0"/>
    <x v="8"/>
    <x v="0"/>
    <x v="285"/>
    <x v="10"/>
    <x v="5"/>
    <s v="MEDIA"/>
    <s v="MEDIA"/>
    <n v="64"/>
    <s v="cumple"/>
    <x v="10"/>
    <x v="0"/>
    <x v="2015"/>
    <n v="7887.9999999999991"/>
    <x v="1"/>
  </r>
  <r>
    <x v="0"/>
    <x v="1"/>
    <x v="0"/>
    <x v="0"/>
    <x v="28"/>
    <x v="1"/>
    <x v="902"/>
    <x v="1186"/>
    <x v="2016"/>
    <x v="230"/>
    <x v="0"/>
    <x v="230"/>
    <x v="0"/>
    <x v="8"/>
    <x v="1"/>
    <x v="285"/>
    <x v="10"/>
    <x v="5"/>
    <s v="MEDIA"/>
    <s v="MEDIA"/>
    <n v="64"/>
    <s v="cumple"/>
    <x v="10"/>
    <x v="0"/>
    <x v="2016"/>
    <n v="7887.9999999999991"/>
    <x v="1"/>
  </r>
  <r>
    <x v="0"/>
    <x v="1"/>
    <x v="0"/>
    <x v="0"/>
    <x v="28"/>
    <x v="1"/>
    <x v="902"/>
    <x v="1186"/>
    <x v="2016"/>
    <x v="231"/>
    <x v="0"/>
    <x v="231"/>
    <x v="0"/>
    <x v="8"/>
    <x v="0"/>
    <x v="285"/>
    <x v="10"/>
    <x v="5"/>
    <s v="MEDIA"/>
    <s v="MEDIA"/>
    <n v="64"/>
    <s v="cumple"/>
    <x v="10"/>
    <x v="0"/>
    <x v="2016"/>
    <n v="7887.9999999999991"/>
    <x v="1"/>
  </r>
  <r>
    <x v="0"/>
    <x v="1"/>
    <x v="0"/>
    <x v="0"/>
    <x v="28"/>
    <x v="1"/>
    <x v="903"/>
    <x v="1187"/>
    <x v="2017"/>
    <x v="232"/>
    <x v="0"/>
    <x v="232"/>
    <x v="0"/>
    <x v="3"/>
    <x v="1"/>
    <x v="285"/>
    <x v="10"/>
    <x v="5"/>
    <s v="MEDIA"/>
    <s v="MEDIA"/>
    <n v="64"/>
    <s v="cumple"/>
    <x v="10"/>
    <x v="0"/>
    <x v="2017"/>
    <n v="5568"/>
    <x v="1"/>
  </r>
  <r>
    <x v="0"/>
    <x v="1"/>
    <x v="0"/>
    <x v="0"/>
    <x v="28"/>
    <x v="1"/>
    <x v="903"/>
    <x v="1187"/>
    <x v="2017"/>
    <x v="233"/>
    <x v="0"/>
    <x v="233"/>
    <x v="0"/>
    <x v="8"/>
    <x v="0"/>
    <x v="285"/>
    <x v="10"/>
    <x v="5"/>
    <s v="MEDIA"/>
    <s v="MEDIA"/>
    <n v="64"/>
    <s v="cumple"/>
    <x v="10"/>
    <x v="0"/>
    <x v="2017"/>
    <n v="7887.9999999999991"/>
    <x v="1"/>
  </r>
  <r>
    <x v="0"/>
    <x v="1"/>
    <x v="0"/>
    <x v="0"/>
    <x v="28"/>
    <x v="1"/>
    <x v="904"/>
    <x v="1188"/>
    <x v="2018"/>
    <x v="234"/>
    <x v="0"/>
    <x v="234"/>
    <x v="0"/>
    <x v="8"/>
    <x v="1"/>
    <x v="285"/>
    <x v="10"/>
    <x v="5"/>
    <s v="MEDIA"/>
    <s v="MEDIA"/>
    <n v="64"/>
    <s v="cumple"/>
    <x v="10"/>
    <x v="0"/>
    <x v="2018"/>
    <n v="7887.9999999999991"/>
    <x v="1"/>
  </r>
  <r>
    <x v="0"/>
    <x v="1"/>
    <x v="0"/>
    <x v="0"/>
    <x v="28"/>
    <x v="1"/>
    <x v="904"/>
    <x v="1188"/>
    <x v="2018"/>
    <x v="235"/>
    <x v="0"/>
    <x v="235"/>
    <x v="0"/>
    <x v="8"/>
    <x v="0"/>
    <x v="285"/>
    <x v="10"/>
    <x v="5"/>
    <s v="MEDIA"/>
    <s v="MEDIA"/>
    <n v="64"/>
    <s v="cumple"/>
    <x v="10"/>
    <x v="0"/>
    <x v="2018"/>
    <n v="7887.9999999999991"/>
    <x v="1"/>
  </r>
  <r>
    <x v="0"/>
    <x v="1"/>
    <x v="0"/>
    <x v="0"/>
    <x v="28"/>
    <x v="1"/>
    <x v="905"/>
    <x v="1189"/>
    <x v="2019"/>
    <x v="236"/>
    <x v="0"/>
    <x v="236"/>
    <x v="7"/>
    <x v="3"/>
    <x v="0"/>
    <x v="285"/>
    <x v="10"/>
    <x v="5"/>
    <s v="MEDIA"/>
    <s v="MEDIA"/>
    <n v="64"/>
    <s v="cumple"/>
    <x v="10"/>
    <x v="0"/>
    <x v="2019"/>
    <n v="5568"/>
    <x v="1"/>
  </r>
  <r>
    <x v="0"/>
    <x v="1"/>
    <x v="0"/>
    <x v="0"/>
    <x v="28"/>
    <x v="1"/>
    <x v="906"/>
    <x v="1190"/>
    <x v="2020"/>
    <x v="237"/>
    <x v="0"/>
    <x v="237"/>
    <x v="5"/>
    <x v="7"/>
    <x v="0"/>
    <x v="285"/>
    <x v="10"/>
    <x v="5"/>
    <s v="MEDIA"/>
    <s v="MEDIA"/>
    <n v="64"/>
    <s v="cumple"/>
    <x v="10"/>
    <x v="0"/>
    <x v="2020"/>
    <n v="3711.9999999999995"/>
    <x v="1"/>
  </r>
  <r>
    <x v="0"/>
    <x v="1"/>
    <x v="0"/>
    <x v="0"/>
    <x v="28"/>
    <x v="1"/>
    <x v="907"/>
    <x v="1191"/>
    <x v="2021"/>
    <x v="237"/>
    <x v="3"/>
    <x v="237"/>
    <x v="24"/>
    <x v="14"/>
    <x v="0"/>
    <x v="285"/>
    <x v="10"/>
    <x v="5"/>
    <s v="MEDIA"/>
    <s v="MEDIA"/>
    <n v="64"/>
    <s v="cumple"/>
    <x v="10"/>
    <x v="0"/>
    <x v="2021"/>
    <n v="4176"/>
    <x v="1"/>
  </r>
  <r>
    <x v="0"/>
    <x v="1"/>
    <x v="0"/>
    <x v="0"/>
    <x v="28"/>
    <x v="1"/>
    <x v="908"/>
    <x v="1192"/>
    <x v="2022"/>
    <x v="238"/>
    <x v="0"/>
    <x v="238"/>
    <x v="0"/>
    <x v="8"/>
    <x v="0"/>
    <x v="285"/>
    <x v="10"/>
    <x v="5"/>
    <s v="MEDIA"/>
    <s v="MEDIA"/>
    <n v="64"/>
    <s v="cumple"/>
    <x v="10"/>
    <x v="0"/>
    <x v="2022"/>
    <n v="7887.9999999999991"/>
    <x v="1"/>
  </r>
  <r>
    <x v="0"/>
    <x v="1"/>
    <x v="0"/>
    <x v="0"/>
    <x v="28"/>
    <x v="1"/>
    <x v="909"/>
    <x v="1193"/>
    <x v="2023"/>
    <x v="239"/>
    <x v="0"/>
    <x v="239"/>
    <x v="0"/>
    <x v="8"/>
    <x v="0"/>
    <x v="285"/>
    <x v="10"/>
    <x v="5"/>
    <s v="MEDIA"/>
    <s v="MEDIA"/>
    <n v="64"/>
    <s v="cumple"/>
    <x v="10"/>
    <x v="0"/>
    <x v="2023"/>
    <n v="7887.9999999999991"/>
    <x v="1"/>
  </r>
  <r>
    <x v="0"/>
    <x v="1"/>
    <x v="0"/>
    <x v="0"/>
    <x v="28"/>
    <x v="1"/>
    <x v="910"/>
    <x v="1194"/>
    <x v="2024"/>
    <x v="240"/>
    <x v="0"/>
    <x v="240"/>
    <x v="0"/>
    <x v="8"/>
    <x v="0"/>
    <x v="285"/>
    <x v="10"/>
    <x v="5"/>
    <s v="MEDIA"/>
    <s v="MEDIA"/>
    <n v="64"/>
    <s v="cumple"/>
    <x v="10"/>
    <x v="0"/>
    <x v="2024"/>
    <n v="7887.9999999999991"/>
    <x v="1"/>
  </r>
  <r>
    <x v="0"/>
    <x v="0"/>
    <x v="1"/>
    <x v="0"/>
    <x v="3"/>
    <x v="2"/>
    <x v="911"/>
    <x v="1195"/>
    <x v="2025"/>
    <x v="221"/>
    <x v="0"/>
    <x v="221"/>
    <x v="8"/>
    <x v="2"/>
    <x v="0"/>
    <x v="286"/>
    <x v="12"/>
    <x v="6"/>
    <s v="MEDIA"/>
    <s v="MEDIA"/>
    <n v="64"/>
    <s v="cumple"/>
    <x v="10"/>
    <x v="1"/>
    <x v="2025"/>
    <n v="696"/>
    <x v="0"/>
  </r>
  <r>
    <x v="0"/>
    <x v="0"/>
    <x v="1"/>
    <x v="0"/>
    <x v="3"/>
    <x v="2"/>
    <x v="912"/>
    <x v="1196"/>
    <x v="2026"/>
    <x v="221"/>
    <x v="8"/>
    <x v="221"/>
    <x v="14"/>
    <x v="13"/>
    <x v="0"/>
    <x v="287"/>
    <x v="12"/>
    <x v="6"/>
    <s v="MEDIA"/>
    <s v="MEDIA"/>
    <n v="64"/>
    <s v="cumple"/>
    <x v="10"/>
    <x v="1"/>
    <x v="2026"/>
    <n v="2436"/>
    <x v="0"/>
  </r>
  <r>
    <x v="0"/>
    <x v="8"/>
    <x v="1"/>
    <x v="0"/>
    <x v="3"/>
    <x v="2"/>
    <x v="913"/>
    <x v="1197"/>
    <x v="2027"/>
    <x v="221"/>
    <x v="11"/>
    <x v="221"/>
    <x v="12"/>
    <x v="2"/>
    <x v="0"/>
    <x v="286"/>
    <x v="12"/>
    <x v="6"/>
    <s v="MEDIA"/>
    <s v="MEDIA"/>
    <n v="64"/>
    <s v="cumple"/>
    <x v="10"/>
    <x v="1"/>
    <x v="2027"/>
    <n v="696"/>
    <x v="0"/>
  </r>
  <r>
    <x v="0"/>
    <x v="8"/>
    <x v="1"/>
    <x v="0"/>
    <x v="3"/>
    <x v="2"/>
    <x v="914"/>
    <x v="1198"/>
    <x v="2028"/>
    <x v="221"/>
    <x v="7"/>
    <x v="221"/>
    <x v="11"/>
    <x v="7"/>
    <x v="0"/>
    <x v="286"/>
    <x v="12"/>
    <x v="6"/>
    <s v="MEDIA"/>
    <s v="MEDIA"/>
    <n v="64"/>
    <s v="cumple"/>
    <x v="10"/>
    <x v="1"/>
    <x v="2028"/>
    <n v="2784"/>
    <x v="0"/>
  </r>
  <r>
    <x v="0"/>
    <x v="8"/>
    <x v="1"/>
    <x v="0"/>
    <x v="3"/>
    <x v="2"/>
    <x v="915"/>
    <x v="1199"/>
    <x v="2029"/>
    <x v="241"/>
    <x v="0"/>
    <x v="241"/>
    <x v="5"/>
    <x v="7"/>
    <x v="0"/>
    <x v="286"/>
    <x v="12"/>
    <x v="6"/>
    <s v="MEDIA"/>
    <s v="MEDIA"/>
    <n v="64"/>
    <s v="cumple"/>
    <x v="10"/>
    <x v="1"/>
    <x v="2029"/>
    <n v="2784"/>
    <x v="0"/>
  </r>
  <r>
    <x v="0"/>
    <x v="8"/>
    <x v="1"/>
    <x v="0"/>
    <x v="3"/>
    <x v="2"/>
    <x v="916"/>
    <x v="1200"/>
    <x v="2030"/>
    <x v="241"/>
    <x v="3"/>
    <x v="241"/>
    <x v="12"/>
    <x v="15"/>
    <x v="0"/>
    <x v="286"/>
    <x v="12"/>
    <x v="6"/>
    <s v="MEDIA"/>
    <s v="MEDIA"/>
    <n v="64"/>
    <s v="cumple"/>
    <x v="10"/>
    <x v="1"/>
    <x v="2030"/>
    <n v="1044"/>
    <x v="0"/>
  </r>
  <r>
    <x v="0"/>
    <x v="8"/>
    <x v="1"/>
    <x v="0"/>
    <x v="3"/>
    <x v="2"/>
    <x v="917"/>
    <x v="1201"/>
    <x v="2031"/>
    <x v="241"/>
    <x v="7"/>
    <x v="241"/>
    <x v="11"/>
    <x v="7"/>
    <x v="0"/>
    <x v="286"/>
    <x v="12"/>
    <x v="6"/>
    <s v="MEDIA"/>
    <s v="MEDIA"/>
    <n v="64"/>
    <s v="cumple"/>
    <x v="10"/>
    <x v="1"/>
    <x v="2031"/>
    <n v="2784"/>
    <x v="0"/>
  </r>
  <r>
    <x v="0"/>
    <x v="8"/>
    <x v="1"/>
    <x v="0"/>
    <x v="3"/>
    <x v="1"/>
    <x v="918"/>
    <x v="1202"/>
    <x v="2032"/>
    <x v="222"/>
    <x v="0"/>
    <x v="222"/>
    <x v="4"/>
    <x v="5"/>
    <x v="0"/>
    <x v="286"/>
    <x v="12"/>
    <x v="6"/>
    <s v="MEDIA"/>
    <s v="MEDIA"/>
    <n v="64"/>
    <s v="cumple"/>
    <x v="10"/>
    <x v="1"/>
    <x v="2032"/>
    <n v="2088"/>
    <x v="0"/>
  </r>
  <r>
    <x v="0"/>
    <x v="0"/>
    <x v="1"/>
    <x v="0"/>
    <x v="3"/>
    <x v="2"/>
    <x v="919"/>
    <x v="1203"/>
    <x v="2033"/>
    <x v="222"/>
    <x v="6"/>
    <x v="222"/>
    <x v="12"/>
    <x v="12"/>
    <x v="0"/>
    <x v="287"/>
    <x v="12"/>
    <x v="6"/>
    <s v="MEDIA"/>
    <s v="MEDIA"/>
    <n v="64"/>
    <s v="cumple"/>
    <x v="10"/>
    <x v="1"/>
    <x v="2033"/>
    <n v="1739.9999999999998"/>
    <x v="0"/>
  </r>
  <r>
    <x v="0"/>
    <x v="0"/>
    <x v="1"/>
    <x v="0"/>
    <x v="3"/>
    <x v="2"/>
    <x v="920"/>
    <x v="1204"/>
    <x v="2034"/>
    <x v="222"/>
    <x v="7"/>
    <x v="223"/>
    <x v="18"/>
    <x v="19"/>
    <x v="0"/>
    <x v="287"/>
    <x v="12"/>
    <x v="6"/>
    <s v="MEDIA"/>
    <s v="MEDIA"/>
    <n v="64"/>
    <s v="cumple"/>
    <x v="10"/>
    <x v="1"/>
    <x v="2034"/>
    <n v="348"/>
    <x v="0"/>
  </r>
  <r>
    <x v="0"/>
    <x v="0"/>
    <x v="1"/>
    <x v="0"/>
    <x v="3"/>
    <x v="2"/>
    <x v="921"/>
    <x v="1205"/>
    <x v="2035"/>
    <x v="222"/>
    <x v="15"/>
    <x v="223"/>
    <x v="11"/>
    <x v="13"/>
    <x v="0"/>
    <x v="287"/>
    <x v="12"/>
    <x v="6"/>
    <s v="MEDIA"/>
    <s v="MEDIA"/>
    <n v="64"/>
    <s v="cumple"/>
    <x v="10"/>
    <x v="1"/>
    <x v="2035"/>
    <n v="2436"/>
    <x v="0"/>
  </r>
  <r>
    <x v="0"/>
    <x v="1"/>
    <x v="1"/>
    <x v="0"/>
    <x v="3"/>
    <x v="1"/>
    <x v="922"/>
    <x v="1206"/>
    <x v="1648"/>
    <x v="223"/>
    <x v="0"/>
    <x v="223"/>
    <x v="8"/>
    <x v="2"/>
    <x v="0"/>
    <x v="287"/>
    <x v="12"/>
    <x v="6"/>
    <s v="MEDIA"/>
    <s v="MEDIA"/>
    <n v="64"/>
    <s v="cumple"/>
    <x v="10"/>
    <x v="1"/>
    <x v="1648"/>
    <n v="696"/>
    <x v="0"/>
  </r>
  <r>
    <x v="0"/>
    <x v="1"/>
    <x v="1"/>
    <x v="0"/>
    <x v="3"/>
    <x v="1"/>
    <x v="923"/>
    <x v="1207"/>
    <x v="2036"/>
    <x v="223"/>
    <x v="8"/>
    <x v="223"/>
    <x v="15"/>
    <x v="15"/>
    <x v="0"/>
    <x v="287"/>
    <x v="12"/>
    <x v="6"/>
    <s v="MEDIA"/>
    <s v="MEDIA"/>
    <n v="64"/>
    <s v="cumple"/>
    <x v="10"/>
    <x v="1"/>
    <x v="2036"/>
    <n v="1044"/>
    <x v="0"/>
  </r>
  <r>
    <x v="0"/>
    <x v="1"/>
    <x v="1"/>
    <x v="0"/>
    <x v="3"/>
    <x v="1"/>
    <x v="924"/>
    <x v="1208"/>
    <x v="2037"/>
    <x v="223"/>
    <x v="12"/>
    <x v="223"/>
    <x v="14"/>
    <x v="4"/>
    <x v="0"/>
    <x v="287"/>
    <x v="12"/>
    <x v="6"/>
    <s v="MEDIA"/>
    <s v="MEDIA"/>
    <n v="64"/>
    <s v="cumple"/>
    <x v="10"/>
    <x v="1"/>
    <x v="2037"/>
    <n v="1392"/>
    <x v="0"/>
  </r>
  <r>
    <x v="0"/>
    <x v="1"/>
    <x v="1"/>
    <x v="0"/>
    <x v="3"/>
    <x v="1"/>
    <x v="925"/>
    <x v="1209"/>
    <x v="2038"/>
    <x v="223"/>
    <x v="11"/>
    <x v="223"/>
    <x v="12"/>
    <x v="2"/>
    <x v="0"/>
    <x v="287"/>
    <x v="12"/>
    <x v="6"/>
    <s v="MEDIA"/>
    <s v="MEDIA"/>
    <n v="64"/>
    <s v="cumple"/>
    <x v="10"/>
    <x v="1"/>
    <x v="2038"/>
    <n v="696"/>
    <x v="0"/>
  </r>
  <r>
    <x v="0"/>
    <x v="1"/>
    <x v="1"/>
    <x v="0"/>
    <x v="3"/>
    <x v="5"/>
    <x v="926"/>
    <x v="1210"/>
    <x v="2039"/>
    <x v="223"/>
    <x v="7"/>
    <x v="223"/>
    <x v="18"/>
    <x v="19"/>
    <x v="0"/>
    <x v="287"/>
    <x v="12"/>
    <x v="6"/>
    <s v="MEDIA"/>
    <s v="MEDIA"/>
    <n v="64"/>
    <s v="cumple"/>
    <x v="10"/>
    <x v="1"/>
    <x v="2039"/>
    <n v="348"/>
    <x v="0"/>
  </r>
  <r>
    <x v="0"/>
    <x v="1"/>
    <x v="1"/>
    <x v="0"/>
    <x v="3"/>
    <x v="1"/>
    <x v="927"/>
    <x v="1211"/>
    <x v="2040"/>
    <x v="223"/>
    <x v="15"/>
    <x v="223"/>
    <x v="17"/>
    <x v="2"/>
    <x v="0"/>
    <x v="287"/>
    <x v="12"/>
    <x v="6"/>
    <s v="MEDIA"/>
    <s v="MEDIA"/>
    <n v="64"/>
    <s v="cumple"/>
    <x v="10"/>
    <x v="1"/>
    <x v="2040"/>
    <n v="696"/>
    <x v="0"/>
  </r>
  <r>
    <x v="0"/>
    <x v="1"/>
    <x v="1"/>
    <x v="0"/>
    <x v="3"/>
    <x v="5"/>
    <x v="928"/>
    <x v="1212"/>
    <x v="2041"/>
    <x v="223"/>
    <x v="14"/>
    <x v="223"/>
    <x v="11"/>
    <x v="12"/>
    <x v="0"/>
    <x v="287"/>
    <x v="12"/>
    <x v="6"/>
    <s v="MEDIA"/>
    <s v="MEDIA"/>
    <n v="64"/>
    <s v="cumple"/>
    <x v="10"/>
    <x v="1"/>
    <x v="2041"/>
    <n v="1739.9999999999998"/>
    <x v="0"/>
  </r>
  <r>
    <x v="0"/>
    <x v="0"/>
    <x v="1"/>
    <x v="0"/>
    <x v="3"/>
    <x v="2"/>
    <x v="929"/>
    <x v="1213"/>
    <x v="2042"/>
    <x v="224"/>
    <x v="0"/>
    <x v="224"/>
    <x v="23"/>
    <x v="19"/>
    <x v="0"/>
    <x v="287"/>
    <x v="12"/>
    <x v="6"/>
    <s v="MEDIA"/>
    <s v="MEDIA"/>
    <n v="64"/>
    <s v="cumple"/>
    <x v="10"/>
    <x v="1"/>
    <x v="2042"/>
    <n v="348"/>
    <x v="0"/>
  </r>
  <r>
    <x v="0"/>
    <x v="1"/>
    <x v="1"/>
    <x v="0"/>
    <x v="3"/>
    <x v="1"/>
    <x v="930"/>
    <x v="1214"/>
    <x v="2043"/>
    <x v="224"/>
    <x v="19"/>
    <x v="224"/>
    <x v="8"/>
    <x v="19"/>
    <x v="0"/>
    <x v="287"/>
    <x v="12"/>
    <x v="6"/>
    <s v="MEDIA"/>
    <s v="MEDIA"/>
    <n v="64"/>
    <s v="cumple"/>
    <x v="10"/>
    <x v="1"/>
    <x v="2043"/>
    <n v="348"/>
    <x v="0"/>
  </r>
  <r>
    <x v="0"/>
    <x v="1"/>
    <x v="1"/>
    <x v="0"/>
    <x v="3"/>
    <x v="5"/>
    <x v="931"/>
    <x v="1215"/>
    <x v="2044"/>
    <x v="224"/>
    <x v="8"/>
    <x v="224"/>
    <x v="16"/>
    <x v="19"/>
    <x v="0"/>
    <x v="287"/>
    <x v="12"/>
    <x v="6"/>
    <s v="MEDIA"/>
    <s v="MEDIA"/>
    <n v="64"/>
    <s v="cumple"/>
    <x v="10"/>
    <x v="1"/>
    <x v="2044"/>
    <n v="348"/>
    <x v="0"/>
  </r>
  <r>
    <x v="0"/>
    <x v="9"/>
    <x v="1"/>
    <x v="0"/>
    <x v="3"/>
    <x v="7"/>
    <x v="932"/>
    <x v="1216"/>
    <x v="2045"/>
    <x v="224"/>
    <x v="13"/>
    <x v="224"/>
    <x v="3"/>
    <x v="19"/>
    <x v="0"/>
    <x v="287"/>
    <x v="12"/>
    <x v="6"/>
    <s v="MEDIA"/>
    <s v="MEDIA"/>
    <n v="64"/>
    <s v="cumple"/>
    <x v="10"/>
    <x v="1"/>
    <x v="2045"/>
    <n v="348"/>
    <x v="0"/>
  </r>
  <r>
    <x v="0"/>
    <x v="1"/>
    <x v="1"/>
    <x v="0"/>
    <x v="3"/>
    <x v="1"/>
    <x v="933"/>
    <x v="1217"/>
    <x v="2046"/>
    <x v="224"/>
    <x v="4"/>
    <x v="224"/>
    <x v="4"/>
    <x v="2"/>
    <x v="0"/>
    <x v="287"/>
    <x v="12"/>
    <x v="6"/>
    <s v="MEDIA"/>
    <s v="MEDIA"/>
    <n v="64"/>
    <s v="cumple"/>
    <x v="10"/>
    <x v="1"/>
    <x v="2046"/>
    <n v="696"/>
    <x v="0"/>
  </r>
  <r>
    <x v="0"/>
    <x v="1"/>
    <x v="1"/>
    <x v="0"/>
    <x v="3"/>
    <x v="5"/>
    <x v="934"/>
    <x v="1218"/>
    <x v="1669"/>
    <x v="224"/>
    <x v="6"/>
    <x v="224"/>
    <x v="5"/>
    <x v="2"/>
    <x v="0"/>
    <x v="287"/>
    <x v="12"/>
    <x v="6"/>
    <s v="MEDIA"/>
    <s v="MEDIA"/>
    <n v="64"/>
    <s v="cumple"/>
    <x v="10"/>
    <x v="1"/>
    <x v="1669"/>
    <n v="696"/>
    <x v="0"/>
  </r>
  <r>
    <x v="0"/>
    <x v="1"/>
    <x v="1"/>
    <x v="0"/>
    <x v="3"/>
    <x v="1"/>
    <x v="935"/>
    <x v="1219"/>
    <x v="2047"/>
    <x v="224"/>
    <x v="3"/>
    <x v="224"/>
    <x v="12"/>
    <x v="15"/>
    <x v="0"/>
    <x v="287"/>
    <x v="12"/>
    <x v="6"/>
    <s v="MEDIA"/>
    <s v="MEDIA"/>
    <n v="64"/>
    <s v="cumple"/>
    <x v="10"/>
    <x v="1"/>
    <x v="2047"/>
    <n v="1044"/>
    <x v="0"/>
  </r>
  <r>
    <x v="0"/>
    <x v="1"/>
    <x v="1"/>
    <x v="0"/>
    <x v="3"/>
    <x v="5"/>
    <x v="936"/>
    <x v="1220"/>
    <x v="2048"/>
    <x v="224"/>
    <x v="7"/>
    <x v="224"/>
    <x v="2"/>
    <x v="2"/>
    <x v="0"/>
    <x v="287"/>
    <x v="12"/>
    <x v="6"/>
    <s v="MEDIA"/>
    <s v="MEDIA"/>
    <n v="64"/>
    <s v="cumple"/>
    <x v="10"/>
    <x v="1"/>
    <x v="2048"/>
    <n v="696"/>
    <x v="0"/>
  </r>
  <r>
    <x v="0"/>
    <x v="9"/>
    <x v="1"/>
    <x v="0"/>
    <x v="3"/>
    <x v="7"/>
    <x v="937"/>
    <x v="1221"/>
    <x v="2049"/>
    <x v="224"/>
    <x v="2"/>
    <x v="224"/>
    <x v="17"/>
    <x v="19"/>
    <x v="0"/>
    <x v="287"/>
    <x v="12"/>
    <x v="6"/>
    <s v="MEDIA"/>
    <s v="MEDIA"/>
    <n v="64"/>
    <s v="cumple"/>
    <x v="10"/>
    <x v="1"/>
    <x v="2049"/>
    <n v="348"/>
    <x v="0"/>
  </r>
  <r>
    <x v="0"/>
    <x v="0"/>
    <x v="1"/>
    <x v="0"/>
    <x v="3"/>
    <x v="2"/>
    <x v="938"/>
    <x v="1222"/>
    <x v="2050"/>
    <x v="224"/>
    <x v="14"/>
    <x v="224"/>
    <x v="1"/>
    <x v="19"/>
    <x v="0"/>
    <x v="287"/>
    <x v="12"/>
    <x v="6"/>
    <s v="MEDIA"/>
    <s v="MEDIA"/>
    <n v="64"/>
    <s v="cumple"/>
    <x v="10"/>
    <x v="1"/>
    <x v="2050"/>
    <n v="348"/>
    <x v="0"/>
  </r>
  <r>
    <x v="0"/>
    <x v="1"/>
    <x v="1"/>
    <x v="0"/>
    <x v="3"/>
    <x v="1"/>
    <x v="939"/>
    <x v="1223"/>
    <x v="2051"/>
    <x v="224"/>
    <x v="1"/>
    <x v="224"/>
    <x v="0"/>
    <x v="2"/>
    <x v="0"/>
    <x v="287"/>
    <x v="12"/>
    <x v="6"/>
    <s v="MEDIA"/>
    <s v="MEDIA"/>
    <n v="64"/>
    <s v="cumple"/>
    <x v="10"/>
    <x v="1"/>
    <x v="2051"/>
    <n v="696"/>
    <x v="0"/>
  </r>
  <r>
    <x v="0"/>
    <x v="1"/>
    <x v="1"/>
    <x v="0"/>
    <x v="3"/>
    <x v="5"/>
    <x v="940"/>
    <x v="1218"/>
    <x v="1669"/>
    <x v="225"/>
    <x v="0"/>
    <x v="225"/>
    <x v="23"/>
    <x v="19"/>
    <x v="0"/>
    <x v="287"/>
    <x v="12"/>
    <x v="6"/>
    <s v="MEDIA"/>
    <s v="MEDIA"/>
    <n v="64"/>
    <s v="cumple"/>
    <x v="10"/>
    <x v="1"/>
    <x v="1669"/>
    <n v="348"/>
    <x v="0"/>
  </r>
  <r>
    <x v="0"/>
    <x v="1"/>
    <x v="1"/>
    <x v="0"/>
    <x v="3"/>
    <x v="1"/>
    <x v="941"/>
    <x v="1224"/>
    <x v="2052"/>
    <x v="225"/>
    <x v="19"/>
    <x v="225"/>
    <x v="3"/>
    <x v="15"/>
    <x v="0"/>
    <x v="287"/>
    <x v="12"/>
    <x v="6"/>
    <s v="MEDIA"/>
    <s v="MEDIA"/>
    <n v="64"/>
    <s v="cumple"/>
    <x v="10"/>
    <x v="1"/>
    <x v="2052"/>
    <n v="1044"/>
    <x v="0"/>
  </r>
  <r>
    <x v="0"/>
    <x v="1"/>
    <x v="1"/>
    <x v="0"/>
    <x v="3"/>
    <x v="5"/>
    <x v="942"/>
    <x v="1225"/>
    <x v="2053"/>
    <x v="225"/>
    <x v="4"/>
    <x v="225"/>
    <x v="15"/>
    <x v="19"/>
    <x v="0"/>
    <x v="287"/>
    <x v="12"/>
    <x v="6"/>
    <s v="MEDIA"/>
    <s v="MEDIA"/>
    <n v="64"/>
    <s v="cumple"/>
    <x v="10"/>
    <x v="1"/>
    <x v="2053"/>
    <n v="348"/>
    <x v="0"/>
  </r>
  <r>
    <x v="0"/>
    <x v="9"/>
    <x v="1"/>
    <x v="0"/>
    <x v="3"/>
    <x v="7"/>
    <x v="943"/>
    <x v="1226"/>
    <x v="2054"/>
    <x v="225"/>
    <x v="12"/>
    <x v="225"/>
    <x v="4"/>
    <x v="19"/>
    <x v="0"/>
    <x v="287"/>
    <x v="12"/>
    <x v="6"/>
    <s v="MEDIA"/>
    <s v="MEDIA"/>
    <n v="64"/>
    <s v="cumple"/>
    <x v="10"/>
    <x v="1"/>
    <x v="2054"/>
    <n v="348"/>
    <x v="0"/>
  </r>
  <r>
    <x v="0"/>
    <x v="1"/>
    <x v="1"/>
    <x v="0"/>
    <x v="3"/>
    <x v="1"/>
    <x v="944"/>
    <x v="1227"/>
    <x v="2055"/>
    <x v="225"/>
    <x v="6"/>
    <x v="225"/>
    <x v="5"/>
    <x v="2"/>
    <x v="0"/>
    <x v="287"/>
    <x v="12"/>
    <x v="6"/>
    <s v="MEDIA"/>
    <s v="MEDIA"/>
    <n v="64"/>
    <s v="cumple"/>
    <x v="10"/>
    <x v="1"/>
    <x v="2055"/>
    <n v="696"/>
    <x v="0"/>
  </r>
  <r>
    <x v="0"/>
    <x v="1"/>
    <x v="1"/>
    <x v="0"/>
    <x v="3"/>
    <x v="5"/>
    <x v="945"/>
    <x v="1228"/>
    <x v="2039"/>
    <x v="225"/>
    <x v="3"/>
    <x v="225"/>
    <x v="12"/>
    <x v="15"/>
    <x v="0"/>
    <x v="287"/>
    <x v="12"/>
    <x v="6"/>
    <s v="MEDIA"/>
    <s v="MEDIA"/>
    <n v="64"/>
    <s v="cumple"/>
    <x v="10"/>
    <x v="1"/>
    <x v="2039"/>
    <n v="1044"/>
    <x v="0"/>
  </r>
  <r>
    <x v="0"/>
    <x v="1"/>
    <x v="1"/>
    <x v="0"/>
    <x v="3"/>
    <x v="5"/>
    <x v="946"/>
    <x v="1229"/>
    <x v="2056"/>
    <x v="225"/>
    <x v="7"/>
    <x v="225"/>
    <x v="18"/>
    <x v="19"/>
    <x v="0"/>
    <x v="287"/>
    <x v="12"/>
    <x v="6"/>
    <s v="MEDIA"/>
    <s v="MEDIA"/>
    <n v="64"/>
    <s v="cumple"/>
    <x v="10"/>
    <x v="1"/>
    <x v="2056"/>
    <n v="348"/>
    <x v="0"/>
  </r>
  <r>
    <x v="0"/>
    <x v="9"/>
    <x v="1"/>
    <x v="0"/>
    <x v="3"/>
    <x v="7"/>
    <x v="947"/>
    <x v="1230"/>
    <x v="2057"/>
    <x v="225"/>
    <x v="15"/>
    <x v="225"/>
    <x v="2"/>
    <x v="19"/>
    <x v="0"/>
    <x v="287"/>
    <x v="12"/>
    <x v="6"/>
    <s v="MEDIA"/>
    <s v="MEDIA"/>
    <n v="64"/>
    <s v="cumple"/>
    <x v="10"/>
    <x v="1"/>
    <x v="2057"/>
    <n v="348"/>
    <x v="0"/>
  </r>
  <r>
    <x v="0"/>
    <x v="1"/>
    <x v="1"/>
    <x v="0"/>
    <x v="3"/>
    <x v="1"/>
    <x v="948"/>
    <x v="1231"/>
    <x v="2058"/>
    <x v="225"/>
    <x v="2"/>
    <x v="225"/>
    <x v="1"/>
    <x v="2"/>
    <x v="0"/>
    <x v="287"/>
    <x v="12"/>
    <x v="6"/>
    <s v="MEDIA"/>
    <s v="MEDIA"/>
    <n v="64"/>
    <s v="cumple"/>
    <x v="10"/>
    <x v="1"/>
    <x v="2058"/>
    <n v="696"/>
    <x v="0"/>
  </r>
  <r>
    <x v="0"/>
    <x v="1"/>
    <x v="1"/>
    <x v="0"/>
    <x v="3"/>
    <x v="5"/>
    <x v="949"/>
    <x v="1232"/>
    <x v="2039"/>
    <x v="225"/>
    <x v="1"/>
    <x v="225"/>
    <x v="21"/>
    <x v="19"/>
    <x v="0"/>
    <x v="287"/>
    <x v="12"/>
    <x v="6"/>
    <s v="MEDIA"/>
    <s v="MEDIA"/>
    <n v="64"/>
    <s v="cumple"/>
    <x v="10"/>
    <x v="1"/>
    <x v="2039"/>
    <n v="348"/>
    <x v="0"/>
  </r>
  <r>
    <x v="0"/>
    <x v="1"/>
    <x v="1"/>
    <x v="0"/>
    <x v="3"/>
    <x v="1"/>
    <x v="950"/>
    <x v="1233"/>
    <x v="2059"/>
    <x v="225"/>
    <x v="16"/>
    <x v="225"/>
    <x v="11"/>
    <x v="15"/>
    <x v="0"/>
    <x v="287"/>
    <x v="12"/>
    <x v="6"/>
    <s v="MEDIA"/>
    <s v="MEDIA"/>
    <n v="64"/>
    <s v="cumple"/>
    <x v="10"/>
    <x v="1"/>
    <x v="2059"/>
    <n v="1044"/>
    <x v="0"/>
  </r>
  <r>
    <x v="0"/>
    <x v="1"/>
    <x v="1"/>
    <x v="0"/>
    <x v="3"/>
    <x v="5"/>
    <x v="951"/>
    <x v="1234"/>
    <x v="2060"/>
    <x v="226"/>
    <x v="0"/>
    <x v="226"/>
    <x v="23"/>
    <x v="19"/>
    <x v="0"/>
    <x v="287"/>
    <x v="12"/>
    <x v="6"/>
    <s v="MEDIA"/>
    <s v="MEDIA"/>
    <n v="64"/>
    <s v="cumple"/>
    <x v="10"/>
    <x v="1"/>
    <x v="2060"/>
    <n v="348"/>
    <x v="0"/>
  </r>
  <r>
    <x v="0"/>
    <x v="9"/>
    <x v="1"/>
    <x v="0"/>
    <x v="3"/>
    <x v="7"/>
    <x v="952"/>
    <x v="1235"/>
    <x v="2061"/>
    <x v="226"/>
    <x v="19"/>
    <x v="226"/>
    <x v="8"/>
    <x v="19"/>
    <x v="0"/>
    <x v="287"/>
    <x v="12"/>
    <x v="6"/>
    <s v="MEDIA"/>
    <s v="MEDIA"/>
    <n v="64"/>
    <s v="cumple"/>
    <x v="10"/>
    <x v="1"/>
    <x v="2061"/>
    <n v="348"/>
    <x v="0"/>
  </r>
  <r>
    <x v="0"/>
    <x v="1"/>
    <x v="1"/>
    <x v="0"/>
    <x v="3"/>
    <x v="1"/>
    <x v="953"/>
    <x v="1236"/>
    <x v="2062"/>
    <x v="226"/>
    <x v="8"/>
    <x v="226"/>
    <x v="3"/>
    <x v="2"/>
    <x v="0"/>
    <x v="287"/>
    <x v="12"/>
    <x v="6"/>
    <s v="MEDIA"/>
    <s v="MEDIA"/>
    <n v="64"/>
    <s v="cumple"/>
    <x v="10"/>
    <x v="1"/>
    <x v="2062"/>
    <n v="696"/>
    <x v="0"/>
  </r>
  <r>
    <x v="0"/>
    <x v="1"/>
    <x v="1"/>
    <x v="0"/>
    <x v="3"/>
    <x v="5"/>
    <x v="954"/>
    <x v="1232"/>
    <x v="2039"/>
    <x v="226"/>
    <x v="4"/>
    <x v="226"/>
    <x v="15"/>
    <x v="19"/>
    <x v="0"/>
    <x v="287"/>
    <x v="12"/>
    <x v="6"/>
    <s v="MEDIA"/>
    <s v="MEDIA"/>
    <n v="64"/>
    <s v="cumple"/>
    <x v="10"/>
    <x v="1"/>
    <x v="2039"/>
    <n v="348"/>
    <x v="0"/>
  </r>
  <r>
    <x v="0"/>
    <x v="1"/>
    <x v="1"/>
    <x v="0"/>
    <x v="3"/>
    <x v="1"/>
    <x v="955"/>
    <x v="1237"/>
    <x v="2063"/>
    <x v="226"/>
    <x v="12"/>
    <x v="226"/>
    <x v="13"/>
    <x v="2"/>
    <x v="0"/>
    <x v="287"/>
    <x v="12"/>
    <x v="6"/>
    <s v="MEDIA"/>
    <s v="MEDIA"/>
    <n v="64"/>
    <s v="cumple"/>
    <x v="10"/>
    <x v="1"/>
    <x v="2063"/>
    <n v="696"/>
    <x v="0"/>
  </r>
  <r>
    <x v="0"/>
    <x v="1"/>
    <x v="1"/>
    <x v="0"/>
    <x v="3"/>
    <x v="5"/>
    <x v="956"/>
    <x v="1238"/>
    <x v="2064"/>
    <x v="226"/>
    <x v="10"/>
    <x v="226"/>
    <x v="5"/>
    <x v="19"/>
    <x v="0"/>
    <x v="287"/>
    <x v="12"/>
    <x v="6"/>
    <s v="MEDIA"/>
    <s v="MEDIA"/>
    <n v="64"/>
    <s v="cumple"/>
    <x v="10"/>
    <x v="1"/>
    <x v="2064"/>
    <n v="348"/>
    <x v="0"/>
  </r>
  <r>
    <x v="0"/>
    <x v="9"/>
    <x v="1"/>
    <x v="0"/>
    <x v="3"/>
    <x v="7"/>
    <x v="957"/>
    <x v="1239"/>
    <x v="2065"/>
    <x v="226"/>
    <x v="3"/>
    <x v="226"/>
    <x v="14"/>
    <x v="19"/>
    <x v="0"/>
    <x v="287"/>
    <x v="12"/>
    <x v="6"/>
    <s v="MEDIA"/>
    <s v="MEDIA"/>
    <n v="64"/>
    <s v="cumple"/>
    <x v="10"/>
    <x v="1"/>
    <x v="2065"/>
    <n v="348"/>
    <x v="0"/>
  </r>
  <r>
    <x v="0"/>
    <x v="1"/>
    <x v="1"/>
    <x v="0"/>
    <x v="3"/>
    <x v="1"/>
    <x v="958"/>
    <x v="1240"/>
    <x v="2066"/>
    <x v="226"/>
    <x v="11"/>
    <x v="226"/>
    <x v="12"/>
    <x v="2"/>
    <x v="0"/>
    <x v="287"/>
    <x v="12"/>
    <x v="6"/>
    <s v="MEDIA"/>
    <s v="MEDIA"/>
    <n v="64"/>
    <s v="cumple"/>
    <x v="10"/>
    <x v="1"/>
    <x v="2066"/>
    <n v="696"/>
    <x v="0"/>
  </r>
  <r>
    <x v="0"/>
    <x v="1"/>
    <x v="1"/>
    <x v="0"/>
    <x v="3"/>
    <x v="1"/>
    <x v="959"/>
    <x v="1241"/>
    <x v="2067"/>
    <x v="226"/>
    <x v="7"/>
    <x v="226"/>
    <x v="2"/>
    <x v="2"/>
    <x v="0"/>
    <x v="287"/>
    <x v="12"/>
    <x v="6"/>
    <s v="MEDIA"/>
    <s v="MEDIA"/>
    <n v="64"/>
    <s v="cumple"/>
    <x v="10"/>
    <x v="1"/>
    <x v="2067"/>
    <n v="696"/>
    <x v="0"/>
  </r>
  <r>
    <x v="0"/>
    <x v="1"/>
    <x v="1"/>
    <x v="0"/>
    <x v="3"/>
    <x v="5"/>
    <x v="960"/>
    <x v="1242"/>
    <x v="2068"/>
    <x v="226"/>
    <x v="2"/>
    <x v="226"/>
    <x v="17"/>
    <x v="19"/>
    <x v="0"/>
    <x v="287"/>
    <x v="12"/>
    <x v="6"/>
    <s v="MEDIA"/>
    <s v="MEDIA"/>
    <n v="64"/>
    <s v="cumple"/>
    <x v="10"/>
    <x v="1"/>
    <x v="2068"/>
    <n v="348"/>
    <x v="0"/>
  </r>
  <r>
    <x v="0"/>
    <x v="9"/>
    <x v="1"/>
    <x v="0"/>
    <x v="3"/>
    <x v="7"/>
    <x v="961"/>
    <x v="1243"/>
    <x v="2069"/>
    <x v="226"/>
    <x v="14"/>
    <x v="226"/>
    <x v="1"/>
    <x v="19"/>
    <x v="0"/>
    <x v="287"/>
    <x v="12"/>
    <x v="6"/>
    <s v="MEDIA"/>
    <s v="MEDIA"/>
    <n v="64"/>
    <s v="cumple"/>
    <x v="10"/>
    <x v="1"/>
    <x v="2069"/>
    <n v="348"/>
    <x v="0"/>
  </r>
  <r>
    <x v="0"/>
    <x v="1"/>
    <x v="1"/>
    <x v="0"/>
    <x v="3"/>
    <x v="1"/>
    <x v="962"/>
    <x v="1244"/>
    <x v="2070"/>
    <x v="226"/>
    <x v="1"/>
    <x v="226"/>
    <x v="11"/>
    <x v="4"/>
    <x v="0"/>
    <x v="287"/>
    <x v="12"/>
    <x v="6"/>
    <s v="MEDIA"/>
    <s v="MEDIA"/>
    <n v="64"/>
    <s v="cumple"/>
    <x v="10"/>
    <x v="1"/>
    <x v="2070"/>
    <n v="1392"/>
    <x v="0"/>
  </r>
  <r>
    <x v="0"/>
    <x v="1"/>
    <x v="1"/>
    <x v="0"/>
    <x v="3"/>
    <x v="5"/>
    <x v="963"/>
    <x v="1218"/>
    <x v="1669"/>
    <x v="227"/>
    <x v="0"/>
    <x v="227"/>
    <x v="23"/>
    <x v="19"/>
    <x v="0"/>
    <x v="287"/>
    <x v="12"/>
    <x v="6"/>
    <s v="MEDIA"/>
    <s v="MEDIA"/>
    <n v="64"/>
    <s v="cumple"/>
    <x v="10"/>
    <x v="1"/>
    <x v="1669"/>
    <n v="348"/>
    <x v="0"/>
  </r>
  <r>
    <x v="0"/>
    <x v="1"/>
    <x v="1"/>
    <x v="0"/>
    <x v="3"/>
    <x v="1"/>
    <x v="964"/>
    <x v="1245"/>
    <x v="2071"/>
    <x v="227"/>
    <x v="19"/>
    <x v="227"/>
    <x v="16"/>
    <x v="2"/>
    <x v="0"/>
    <x v="287"/>
    <x v="12"/>
    <x v="6"/>
    <s v="MEDIA"/>
    <s v="MEDIA"/>
    <n v="64"/>
    <s v="cumple"/>
    <x v="10"/>
    <x v="1"/>
    <x v="2071"/>
    <n v="696"/>
    <x v="0"/>
  </r>
  <r>
    <x v="0"/>
    <x v="1"/>
    <x v="1"/>
    <x v="0"/>
    <x v="3"/>
    <x v="5"/>
    <x v="965"/>
    <x v="1246"/>
    <x v="2072"/>
    <x v="227"/>
    <x v="13"/>
    <x v="227"/>
    <x v="3"/>
    <x v="19"/>
    <x v="0"/>
    <x v="287"/>
    <x v="12"/>
    <x v="6"/>
    <s v="MEDIA"/>
    <s v="MEDIA"/>
    <n v="64"/>
    <s v="cumple"/>
    <x v="10"/>
    <x v="1"/>
    <x v="2072"/>
    <n v="348"/>
    <x v="0"/>
  </r>
  <r>
    <x v="0"/>
    <x v="9"/>
    <x v="1"/>
    <x v="0"/>
    <x v="3"/>
    <x v="7"/>
    <x v="966"/>
    <x v="1247"/>
    <x v="2073"/>
    <x v="227"/>
    <x v="4"/>
    <x v="227"/>
    <x v="15"/>
    <x v="19"/>
    <x v="0"/>
    <x v="287"/>
    <x v="12"/>
    <x v="6"/>
    <s v="MEDIA"/>
    <s v="MEDIA"/>
    <n v="64"/>
    <s v="cumple"/>
    <x v="10"/>
    <x v="1"/>
    <x v="2073"/>
    <n v="348"/>
    <x v="0"/>
  </r>
  <r>
    <x v="0"/>
    <x v="1"/>
    <x v="1"/>
    <x v="0"/>
    <x v="3"/>
    <x v="1"/>
    <x v="967"/>
    <x v="1248"/>
    <x v="2074"/>
    <x v="227"/>
    <x v="12"/>
    <x v="227"/>
    <x v="13"/>
    <x v="2"/>
    <x v="0"/>
    <x v="287"/>
    <x v="12"/>
    <x v="6"/>
    <s v="MEDIA"/>
    <s v="MEDIA"/>
    <n v="64"/>
    <s v="cumple"/>
    <x v="10"/>
    <x v="1"/>
    <x v="2074"/>
    <n v="696"/>
    <x v="0"/>
  </r>
  <r>
    <x v="0"/>
    <x v="1"/>
    <x v="1"/>
    <x v="0"/>
    <x v="3"/>
    <x v="5"/>
    <x v="968"/>
    <x v="1232"/>
    <x v="2039"/>
    <x v="227"/>
    <x v="10"/>
    <x v="227"/>
    <x v="5"/>
    <x v="19"/>
    <x v="0"/>
    <x v="287"/>
    <x v="12"/>
    <x v="6"/>
    <s v="MEDIA"/>
    <s v="MEDIA"/>
    <n v="64"/>
    <s v="cumple"/>
    <x v="10"/>
    <x v="1"/>
    <x v="2039"/>
    <n v="348"/>
    <x v="0"/>
  </r>
  <r>
    <x v="0"/>
    <x v="1"/>
    <x v="1"/>
    <x v="0"/>
    <x v="3"/>
    <x v="1"/>
    <x v="969"/>
    <x v="1249"/>
    <x v="2075"/>
    <x v="227"/>
    <x v="3"/>
    <x v="227"/>
    <x v="9"/>
    <x v="2"/>
    <x v="0"/>
    <x v="287"/>
    <x v="12"/>
    <x v="6"/>
    <s v="MEDIA"/>
    <s v="MEDIA"/>
    <n v="64"/>
    <s v="cumple"/>
    <x v="10"/>
    <x v="1"/>
    <x v="2075"/>
    <n v="696"/>
    <x v="0"/>
  </r>
  <r>
    <x v="0"/>
    <x v="1"/>
    <x v="1"/>
    <x v="0"/>
    <x v="3"/>
    <x v="5"/>
    <x v="970"/>
    <x v="1250"/>
    <x v="2076"/>
    <x v="227"/>
    <x v="9"/>
    <x v="227"/>
    <x v="12"/>
    <x v="19"/>
    <x v="0"/>
    <x v="287"/>
    <x v="12"/>
    <x v="6"/>
    <s v="MEDIA"/>
    <s v="MEDIA"/>
    <n v="64"/>
    <s v="cumple"/>
    <x v="10"/>
    <x v="1"/>
    <x v="2076"/>
    <n v="348"/>
    <x v="0"/>
  </r>
  <r>
    <x v="0"/>
    <x v="0"/>
    <x v="1"/>
    <x v="0"/>
    <x v="3"/>
    <x v="2"/>
    <x v="971"/>
    <x v="1251"/>
    <x v="2077"/>
    <x v="227"/>
    <x v="7"/>
    <x v="227"/>
    <x v="18"/>
    <x v="19"/>
    <x v="0"/>
    <x v="287"/>
    <x v="12"/>
    <x v="6"/>
    <s v="MEDIA"/>
    <s v="MEDIA"/>
    <n v="64"/>
    <s v="cumple"/>
    <x v="10"/>
    <x v="1"/>
    <x v="2077"/>
    <n v="348"/>
    <x v="0"/>
  </r>
  <r>
    <x v="0"/>
    <x v="1"/>
    <x v="1"/>
    <x v="0"/>
    <x v="3"/>
    <x v="1"/>
    <x v="972"/>
    <x v="1252"/>
    <x v="2078"/>
    <x v="227"/>
    <x v="15"/>
    <x v="227"/>
    <x v="17"/>
    <x v="2"/>
    <x v="0"/>
    <x v="287"/>
    <x v="12"/>
    <x v="6"/>
    <s v="MEDIA"/>
    <s v="MEDIA"/>
    <n v="64"/>
    <s v="cumple"/>
    <x v="10"/>
    <x v="1"/>
    <x v="2078"/>
    <n v="696"/>
    <x v="0"/>
  </r>
  <r>
    <x v="0"/>
    <x v="1"/>
    <x v="1"/>
    <x v="0"/>
    <x v="3"/>
    <x v="1"/>
    <x v="973"/>
    <x v="1253"/>
    <x v="2079"/>
    <x v="227"/>
    <x v="14"/>
    <x v="227"/>
    <x v="21"/>
    <x v="2"/>
    <x v="0"/>
    <x v="287"/>
    <x v="12"/>
    <x v="6"/>
    <s v="MEDIA"/>
    <s v="MEDIA"/>
    <n v="64"/>
    <s v="cumple"/>
    <x v="10"/>
    <x v="1"/>
    <x v="2079"/>
    <n v="696"/>
    <x v="0"/>
  </r>
  <r>
    <x v="0"/>
    <x v="1"/>
    <x v="1"/>
    <x v="0"/>
    <x v="3"/>
    <x v="1"/>
    <x v="974"/>
    <x v="1254"/>
    <x v="2080"/>
    <x v="227"/>
    <x v="16"/>
    <x v="227"/>
    <x v="11"/>
    <x v="15"/>
    <x v="0"/>
    <x v="287"/>
    <x v="12"/>
    <x v="6"/>
    <s v="MEDIA"/>
    <s v="MEDIA"/>
    <n v="64"/>
    <s v="cumple"/>
    <x v="10"/>
    <x v="1"/>
    <x v="2080"/>
    <n v="1044"/>
    <x v="0"/>
  </r>
  <r>
    <x v="0"/>
    <x v="9"/>
    <x v="1"/>
    <x v="0"/>
    <x v="3"/>
    <x v="7"/>
    <x v="975"/>
    <x v="1255"/>
    <x v="2081"/>
    <x v="228"/>
    <x v="0"/>
    <x v="228"/>
    <x v="23"/>
    <x v="19"/>
    <x v="0"/>
    <x v="287"/>
    <x v="12"/>
    <x v="6"/>
    <s v="MEDIA"/>
    <s v="MEDIA"/>
    <n v="64"/>
    <s v="cumple"/>
    <x v="10"/>
    <x v="1"/>
    <x v="2081"/>
    <n v="348"/>
    <x v="0"/>
  </r>
  <r>
    <x v="0"/>
    <x v="0"/>
    <x v="1"/>
    <x v="0"/>
    <x v="3"/>
    <x v="2"/>
    <x v="976"/>
    <x v="1256"/>
    <x v="2082"/>
    <x v="228"/>
    <x v="19"/>
    <x v="228"/>
    <x v="16"/>
    <x v="2"/>
    <x v="0"/>
    <x v="288"/>
    <x v="12"/>
    <x v="6"/>
    <s v="MEDIA"/>
    <s v="MEDIA"/>
    <n v="64"/>
    <s v="cumple"/>
    <x v="10"/>
    <x v="1"/>
    <x v="2082"/>
    <n v="696"/>
    <x v="0"/>
  </r>
  <r>
    <x v="0"/>
    <x v="0"/>
    <x v="1"/>
    <x v="0"/>
    <x v="3"/>
    <x v="2"/>
    <x v="977"/>
    <x v="1257"/>
    <x v="2083"/>
    <x v="228"/>
    <x v="13"/>
    <x v="228"/>
    <x v="3"/>
    <x v="19"/>
    <x v="0"/>
    <x v="288"/>
    <x v="12"/>
    <x v="6"/>
    <s v="MEDIA"/>
    <s v="MEDIA"/>
    <n v="64"/>
    <s v="cumple"/>
    <x v="10"/>
    <x v="1"/>
    <x v="2083"/>
    <n v="348"/>
    <x v="0"/>
  </r>
  <r>
    <x v="0"/>
    <x v="0"/>
    <x v="1"/>
    <x v="0"/>
    <x v="3"/>
    <x v="2"/>
    <x v="978"/>
    <x v="1205"/>
    <x v="2035"/>
    <x v="228"/>
    <x v="4"/>
    <x v="228"/>
    <x v="15"/>
    <x v="19"/>
    <x v="0"/>
    <x v="288"/>
    <x v="12"/>
    <x v="6"/>
    <s v="MEDIA"/>
    <s v="MEDIA"/>
    <n v="64"/>
    <s v="cumple"/>
    <x v="10"/>
    <x v="1"/>
    <x v="2035"/>
    <n v="348"/>
    <x v="0"/>
  </r>
  <r>
    <x v="0"/>
    <x v="1"/>
    <x v="1"/>
    <x v="0"/>
    <x v="3"/>
    <x v="1"/>
    <x v="979"/>
    <x v="1258"/>
    <x v="2084"/>
    <x v="228"/>
    <x v="12"/>
    <x v="228"/>
    <x v="13"/>
    <x v="2"/>
    <x v="1"/>
    <x v="288"/>
    <x v="12"/>
    <x v="6"/>
    <s v="MEDIA"/>
    <s v="MEDIA"/>
    <n v="64"/>
    <s v="cumple"/>
    <x v="10"/>
    <x v="1"/>
    <x v="2084"/>
    <n v="696"/>
    <x v="0"/>
  </r>
  <r>
    <x v="0"/>
    <x v="1"/>
    <x v="1"/>
    <x v="0"/>
    <x v="3"/>
    <x v="1"/>
    <x v="980"/>
    <x v="1259"/>
    <x v="2085"/>
    <x v="228"/>
    <x v="10"/>
    <x v="228"/>
    <x v="14"/>
    <x v="2"/>
    <x v="0"/>
    <x v="288"/>
    <x v="12"/>
    <x v="6"/>
    <s v="MEDIA"/>
    <s v="MEDIA"/>
    <n v="64"/>
    <s v="cumple"/>
    <x v="10"/>
    <x v="1"/>
    <x v="2085"/>
    <n v="696"/>
    <x v="0"/>
  </r>
  <r>
    <x v="0"/>
    <x v="1"/>
    <x v="1"/>
    <x v="0"/>
    <x v="3"/>
    <x v="1"/>
    <x v="981"/>
    <x v="1260"/>
    <x v="2086"/>
    <x v="228"/>
    <x v="11"/>
    <x v="228"/>
    <x v="12"/>
    <x v="2"/>
    <x v="0"/>
    <x v="288"/>
    <x v="12"/>
    <x v="6"/>
    <s v="MEDIA"/>
    <s v="MEDIA"/>
    <n v="64"/>
    <s v="cumple"/>
    <x v="10"/>
    <x v="1"/>
    <x v="2086"/>
    <n v="696"/>
    <x v="0"/>
  </r>
  <r>
    <x v="0"/>
    <x v="1"/>
    <x v="1"/>
    <x v="0"/>
    <x v="3"/>
    <x v="1"/>
    <x v="982"/>
    <x v="1261"/>
    <x v="2087"/>
    <x v="228"/>
    <x v="7"/>
    <x v="228"/>
    <x v="18"/>
    <x v="19"/>
    <x v="0"/>
    <x v="288"/>
    <x v="12"/>
    <x v="6"/>
    <s v="MEDIA"/>
    <s v="MEDIA"/>
    <n v="64"/>
    <s v="cumple"/>
    <x v="10"/>
    <x v="1"/>
    <x v="2087"/>
    <n v="348"/>
    <x v="0"/>
  </r>
  <r>
    <x v="0"/>
    <x v="1"/>
    <x v="1"/>
    <x v="0"/>
    <x v="3"/>
    <x v="5"/>
    <x v="983"/>
    <x v="1218"/>
    <x v="1669"/>
    <x v="228"/>
    <x v="15"/>
    <x v="228"/>
    <x v="2"/>
    <x v="19"/>
    <x v="0"/>
    <x v="288"/>
    <x v="12"/>
    <x v="6"/>
    <s v="MEDIA"/>
    <s v="MEDIA"/>
    <n v="64"/>
    <s v="cumple"/>
    <x v="10"/>
    <x v="1"/>
    <x v="1669"/>
    <n v="348"/>
    <x v="0"/>
  </r>
  <r>
    <x v="0"/>
    <x v="1"/>
    <x v="1"/>
    <x v="0"/>
    <x v="3"/>
    <x v="1"/>
    <x v="984"/>
    <x v="1262"/>
    <x v="2088"/>
    <x v="228"/>
    <x v="2"/>
    <x v="228"/>
    <x v="21"/>
    <x v="15"/>
    <x v="0"/>
    <x v="288"/>
    <x v="12"/>
    <x v="6"/>
    <s v="MEDIA"/>
    <s v="MEDIA"/>
    <n v="64"/>
    <s v="cumple"/>
    <x v="10"/>
    <x v="1"/>
    <x v="2088"/>
    <n v="1044"/>
    <x v="0"/>
  </r>
  <r>
    <x v="0"/>
    <x v="1"/>
    <x v="1"/>
    <x v="0"/>
    <x v="3"/>
    <x v="5"/>
    <x v="985"/>
    <x v="1215"/>
    <x v="2089"/>
    <x v="228"/>
    <x v="16"/>
    <x v="228"/>
    <x v="11"/>
    <x v="15"/>
    <x v="0"/>
    <x v="288"/>
    <x v="12"/>
    <x v="6"/>
    <s v="MEDIA"/>
    <s v="MEDIA"/>
    <n v="64"/>
    <s v="cumple"/>
    <x v="10"/>
    <x v="1"/>
    <x v="2089"/>
    <n v="1044"/>
    <x v="0"/>
  </r>
  <r>
    <x v="0"/>
    <x v="1"/>
    <x v="1"/>
    <x v="0"/>
    <x v="3"/>
    <x v="1"/>
    <x v="986"/>
    <x v="1263"/>
    <x v="2090"/>
    <x v="229"/>
    <x v="0"/>
    <x v="229"/>
    <x v="16"/>
    <x v="15"/>
    <x v="0"/>
    <x v="288"/>
    <x v="12"/>
    <x v="6"/>
    <s v="MEDIA"/>
    <s v="MEDIA"/>
    <n v="64"/>
    <s v="cumple"/>
    <x v="10"/>
    <x v="1"/>
    <x v="2090"/>
    <n v="1044"/>
    <x v="0"/>
  </r>
  <r>
    <x v="0"/>
    <x v="1"/>
    <x v="1"/>
    <x v="0"/>
    <x v="3"/>
    <x v="5"/>
    <x v="987"/>
    <x v="1218"/>
    <x v="1669"/>
    <x v="229"/>
    <x v="13"/>
    <x v="229"/>
    <x v="15"/>
    <x v="2"/>
    <x v="0"/>
    <x v="288"/>
    <x v="12"/>
    <x v="6"/>
    <s v="MEDIA"/>
    <s v="MEDIA"/>
    <n v="64"/>
    <s v="cumple"/>
    <x v="10"/>
    <x v="1"/>
    <x v="1669"/>
    <n v="696"/>
    <x v="0"/>
  </r>
  <r>
    <x v="0"/>
    <x v="1"/>
    <x v="1"/>
    <x v="0"/>
    <x v="3"/>
    <x v="1"/>
    <x v="988"/>
    <x v="1264"/>
    <x v="2047"/>
    <x v="229"/>
    <x v="12"/>
    <x v="229"/>
    <x v="14"/>
    <x v="4"/>
    <x v="0"/>
    <x v="288"/>
    <x v="12"/>
    <x v="6"/>
    <s v="MEDIA"/>
    <s v="MEDIA"/>
    <n v="64"/>
    <s v="cumple"/>
    <x v="10"/>
    <x v="1"/>
    <x v="2047"/>
    <n v="1392"/>
    <x v="0"/>
  </r>
  <r>
    <x v="0"/>
    <x v="1"/>
    <x v="1"/>
    <x v="0"/>
    <x v="3"/>
    <x v="5"/>
    <x v="989"/>
    <x v="1265"/>
    <x v="2048"/>
    <x v="229"/>
    <x v="11"/>
    <x v="229"/>
    <x v="9"/>
    <x v="19"/>
    <x v="0"/>
    <x v="288"/>
    <x v="12"/>
    <x v="6"/>
    <s v="MEDIA"/>
    <s v="MEDIA"/>
    <n v="64"/>
    <s v="cumple"/>
    <x v="10"/>
    <x v="1"/>
    <x v="2048"/>
    <n v="348"/>
    <x v="0"/>
  </r>
  <r>
    <x v="0"/>
    <x v="9"/>
    <x v="1"/>
    <x v="0"/>
    <x v="3"/>
    <x v="7"/>
    <x v="990"/>
    <x v="994"/>
    <x v="2091"/>
    <x v="229"/>
    <x v="9"/>
    <x v="229"/>
    <x v="12"/>
    <x v="19"/>
    <x v="0"/>
    <x v="288"/>
    <x v="12"/>
    <x v="6"/>
    <s v="MEDIA"/>
    <s v="MEDIA"/>
    <n v="64"/>
    <s v="cumple"/>
    <x v="10"/>
    <x v="1"/>
    <x v="2091"/>
    <n v="348"/>
    <x v="0"/>
  </r>
  <r>
    <x v="0"/>
    <x v="1"/>
    <x v="1"/>
    <x v="0"/>
    <x v="3"/>
    <x v="1"/>
    <x v="991"/>
    <x v="1266"/>
    <x v="2092"/>
    <x v="229"/>
    <x v="7"/>
    <x v="229"/>
    <x v="18"/>
    <x v="19"/>
    <x v="0"/>
    <x v="288"/>
    <x v="12"/>
    <x v="6"/>
    <s v="MEDIA"/>
    <s v="MEDIA"/>
    <n v="64"/>
    <s v="cumple"/>
    <x v="10"/>
    <x v="1"/>
    <x v="2092"/>
    <n v="348"/>
    <x v="0"/>
  </r>
  <r>
    <x v="0"/>
    <x v="1"/>
    <x v="1"/>
    <x v="0"/>
    <x v="3"/>
    <x v="5"/>
    <x v="992"/>
    <x v="1218"/>
    <x v="1669"/>
    <x v="229"/>
    <x v="15"/>
    <x v="229"/>
    <x v="2"/>
    <x v="19"/>
    <x v="0"/>
    <x v="288"/>
    <x v="12"/>
    <x v="6"/>
    <s v="MEDIA"/>
    <s v="MEDIA"/>
    <n v="64"/>
    <s v="cumple"/>
    <x v="10"/>
    <x v="1"/>
    <x v="1669"/>
    <n v="348"/>
    <x v="0"/>
  </r>
  <r>
    <x v="0"/>
    <x v="1"/>
    <x v="1"/>
    <x v="0"/>
    <x v="3"/>
    <x v="1"/>
    <x v="993"/>
    <x v="1267"/>
    <x v="2093"/>
    <x v="229"/>
    <x v="2"/>
    <x v="229"/>
    <x v="21"/>
    <x v="15"/>
    <x v="0"/>
    <x v="288"/>
    <x v="12"/>
    <x v="6"/>
    <s v="MEDIA"/>
    <s v="MEDIA"/>
    <n v="64"/>
    <s v="cumple"/>
    <x v="10"/>
    <x v="1"/>
    <x v="2093"/>
    <n v="1044"/>
    <x v="0"/>
  </r>
  <r>
    <x v="0"/>
    <x v="1"/>
    <x v="1"/>
    <x v="0"/>
    <x v="3"/>
    <x v="5"/>
    <x v="994"/>
    <x v="1268"/>
    <x v="2094"/>
    <x v="229"/>
    <x v="16"/>
    <x v="229"/>
    <x v="0"/>
    <x v="19"/>
    <x v="0"/>
    <x v="288"/>
    <x v="12"/>
    <x v="6"/>
    <s v="MEDIA"/>
    <s v="MEDIA"/>
    <n v="64"/>
    <s v="cumple"/>
    <x v="10"/>
    <x v="1"/>
    <x v="2094"/>
    <n v="348"/>
    <x v="0"/>
  </r>
  <r>
    <x v="0"/>
    <x v="9"/>
    <x v="1"/>
    <x v="0"/>
    <x v="3"/>
    <x v="7"/>
    <x v="995"/>
    <x v="1269"/>
    <x v="2095"/>
    <x v="230"/>
    <x v="0"/>
    <x v="230"/>
    <x v="23"/>
    <x v="19"/>
    <x v="0"/>
    <x v="288"/>
    <x v="12"/>
    <x v="6"/>
    <s v="MEDIA"/>
    <s v="MEDIA"/>
    <n v="64"/>
    <s v="cumple"/>
    <x v="10"/>
    <x v="1"/>
    <x v="2095"/>
    <n v="348"/>
    <x v="0"/>
  </r>
  <r>
    <x v="0"/>
    <x v="1"/>
    <x v="1"/>
    <x v="0"/>
    <x v="3"/>
    <x v="1"/>
    <x v="996"/>
    <x v="1270"/>
    <x v="2096"/>
    <x v="230"/>
    <x v="19"/>
    <x v="230"/>
    <x v="16"/>
    <x v="2"/>
    <x v="0"/>
    <x v="288"/>
    <x v="12"/>
    <x v="6"/>
    <s v="MEDIA"/>
    <s v="MEDIA"/>
    <n v="64"/>
    <s v="cumple"/>
    <x v="10"/>
    <x v="1"/>
    <x v="2096"/>
    <n v="696"/>
    <x v="0"/>
  </r>
  <r>
    <x v="0"/>
    <x v="9"/>
    <x v="1"/>
    <x v="0"/>
    <x v="3"/>
    <x v="7"/>
    <x v="997"/>
    <x v="1232"/>
    <x v="2039"/>
    <x v="230"/>
    <x v="13"/>
    <x v="230"/>
    <x v="3"/>
    <x v="19"/>
    <x v="0"/>
    <x v="288"/>
    <x v="12"/>
    <x v="6"/>
    <s v="MEDIA"/>
    <s v="MEDIA"/>
    <n v="64"/>
    <s v="cumple"/>
    <x v="10"/>
    <x v="1"/>
    <x v="2039"/>
    <n v="348"/>
    <x v="0"/>
  </r>
  <r>
    <x v="0"/>
    <x v="1"/>
    <x v="1"/>
    <x v="0"/>
    <x v="3"/>
    <x v="1"/>
    <x v="998"/>
    <x v="1271"/>
    <x v="2097"/>
    <x v="230"/>
    <x v="4"/>
    <x v="230"/>
    <x v="13"/>
    <x v="15"/>
    <x v="0"/>
    <x v="288"/>
    <x v="12"/>
    <x v="6"/>
    <s v="MEDIA"/>
    <s v="MEDIA"/>
    <n v="64"/>
    <s v="cumple"/>
    <x v="10"/>
    <x v="1"/>
    <x v="2097"/>
    <n v="1044"/>
    <x v="0"/>
  </r>
  <r>
    <x v="0"/>
    <x v="1"/>
    <x v="1"/>
    <x v="0"/>
    <x v="3"/>
    <x v="5"/>
    <x v="999"/>
    <x v="1272"/>
    <x v="2098"/>
    <x v="230"/>
    <x v="10"/>
    <x v="230"/>
    <x v="5"/>
    <x v="19"/>
    <x v="0"/>
    <x v="288"/>
    <x v="12"/>
    <x v="6"/>
    <s v="MEDIA"/>
    <s v="MEDIA"/>
    <n v="64"/>
    <s v="cumple"/>
    <x v="10"/>
    <x v="1"/>
    <x v="2098"/>
    <n v="348"/>
    <x v="0"/>
  </r>
  <r>
    <x v="0"/>
    <x v="9"/>
    <x v="1"/>
    <x v="0"/>
    <x v="3"/>
    <x v="7"/>
    <x v="1000"/>
    <x v="1230"/>
    <x v="2057"/>
    <x v="230"/>
    <x v="3"/>
    <x v="230"/>
    <x v="14"/>
    <x v="19"/>
    <x v="0"/>
    <x v="288"/>
    <x v="12"/>
    <x v="6"/>
    <s v="MEDIA"/>
    <s v="MEDIA"/>
    <n v="64"/>
    <s v="cumple"/>
    <x v="10"/>
    <x v="1"/>
    <x v="2057"/>
    <n v="348"/>
    <x v="0"/>
  </r>
  <r>
    <x v="0"/>
    <x v="1"/>
    <x v="1"/>
    <x v="0"/>
    <x v="3"/>
    <x v="1"/>
    <x v="1001"/>
    <x v="1273"/>
    <x v="2099"/>
    <x v="230"/>
    <x v="11"/>
    <x v="230"/>
    <x v="12"/>
    <x v="2"/>
    <x v="0"/>
    <x v="288"/>
    <x v="12"/>
    <x v="6"/>
    <s v="MEDIA"/>
    <s v="MEDIA"/>
    <n v="64"/>
    <s v="cumple"/>
    <x v="10"/>
    <x v="1"/>
    <x v="2099"/>
    <n v="696"/>
    <x v="0"/>
  </r>
  <r>
    <x v="0"/>
    <x v="1"/>
    <x v="1"/>
    <x v="0"/>
    <x v="3"/>
    <x v="1"/>
    <x v="1002"/>
    <x v="1274"/>
    <x v="2100"/>
    <x v="230"/>
    <x v="7"/>
    <x v="230"/>
    <x v="2"/>
    <x v="2"/>
    <x v="0"/>
    <x v="288"/>
    <x v="12"/>
    <x v="6"/>
    <s v="MEDIA"/>
    <s v="MEDIA"/>
    <n v="64"/>
    <s v="cumple"/>
    <x v="10"/>
    <x v="1"/>
    <x v="2100"/>
    <n v="696"/>
    <x v="0"/>
  </r>
  <r>
    <x v="0"/>
    <x v="1"/>
    <x v="1"/>
    <x v="0"/>
    <x v="3"/>
    <x v="5"/>
    <x v="1003"/>
    <x v="1275"/>
    <x v="2101"/>
    <x v="230"/>
    <x v="2"/>
    <x v="230"/>
    <x v="1"/>
    <x v="2"/>
    <x v="0"/>
    <x v="288"/>
    <x v="12"/>
    <x v="6"/>
    <s v="MEDIA"/>
    <s v="MEDIA"/>
    <n v="64"/>
    <s v="cumple"/>
    <x v="10"/>
    <x v="1"/>
    <x v="2101"/>
    <n v="696"/>
    <x v="0"/>
  </r>
  <r>
    <x v="0"/>
    <x v="9"/>
    <x v="1"/>
    <x v="0"/>
    <x v="3"/>
    <x v="7"/>
    <x v="1004"/>
    <x v="1235"/>
    <x v="2102"/>
    <x v="230"/>
    <x v="1"/>
    <x v="230"/>
    <x v="21"/>
    <x v="19"/>
    <x v="0"/>
    <x v="288"/>
    <x v="12"/>
    <x v="6"/>
    <s v="MEDIA"/>
    <s v="MEDIA"/>
    <n v="64"/>
    <s v="cumple"/>
    <x v="10"/>
    <x v="1"/>
    <x v="2102"/>
    <n v="348"/>
    <x v="0"/>
  </r>
  <r>
    <x v="0"/>
    <x v="1"/>
    <x v="1"/>
    <x v="0"/>
    <x v="3"/>
    <x v="1"/>
    <x v="1005"/>
    <x v="1276"/>
    <x v="2103"/>
    <x v="230"/>
    <x v="16"/>
    <x v="230"/>
    <x v="11"/>
    <x v="15"/>
    <x v="0"/>
    <x v="288"/>
    <x v="12"/>
    <x v="6"/>
    <s v="MEDIA"/>
    <s v="MEDIA"/>
    <n v="64"/>
    <s v="cumple"/>
    <x v="10"/>
    <x v="1"/>
    <x v="2103"/>
    <n v="1044"/>
    <x v="0"/>
  </r>
  <r>
    <x v="0"/>
    <x v="1"/>
    <x v="1"/>
    <x v="0"/>
    <x v="3"/>
    <x v="5"/>
    <x v="1006"/>
    <x v="1218"/>
    <x v="1669"/>
    <x v="231"/>
    <x v="0"/>
    <x v="231"/>
    <x v="23"/>
    <x v="19"/>
    <x v="0"/>
    <x v="288"/>
    <x v="12"/>
    <x v="6"/>
    <s v="MEDIA"/>
    <s v="MEDIA"/>
    <n v="64"/>
    <s v="cumple"/>
    <x v="10"/>
    <x v="1"/>
    <x v="1669"/>
    <n v="348"/>
    <x v="0"/>
  </r>
  <r>
    <x v="0"/>
    <x v="1"/>
    <x v="1"/>
    <x v="0"/>
    <x v="3"/>
    <x v="1"/>
    <x v="1007"/>
    <x v="1277"/>
    <x v="2104"/>
    <x v="231"/>
    <x v="19"/>
    <x v="231"/>
    <x v="3"/>
    <x v="15"/>
    <x v="0"/>
    <x v="288"/>
    <x v="12"/>
    <x v="6"/>
    <s v="MEDIA"/>
    <s v="MEDIA"/>
    <n v="64"/>
    <s v="cumple"/>
    <x v="10"/>
    <x v="1"/>
    <x v="2104"/>
    <n v="1044"/>
    <x v="0"/>
  </r>
  <r>
    <x v="0"/>
    <x v="1"/>
    <x v="1"/>
    <x v="0"/>
    <x v="3"/>
    <x v="5"/>
    <x v="1008"/>
    <x v="1278"/>
    <x v="2105"/>
    <x v="231"/>
    <x v="4"/>
    <x v="231"/>
    <x v="15"/>
    <x v="19"/>
    <x v="0"/>
    <x v="288"/>
    <x v="12"/>
    <x v="6"/>
    <s v="MEDIA"/>
    <s v="MEDIA"/>
    <n v="64"/>
    <s v="cumple"/>
    <x v="10"/>
    <x v="1"/>
    <x v="2105"/>
    <n v="348"/>
    <x v="0"/>
  </r>
  <r>
    <x v="0"/>
    <x v="9"/>
    <x v="1"/>
    <x v="0"/>
    <x v="3"/>
    <x v="7"/>
    <x v="1009"/>
    <x v="1239"/>
    <x v="2106"/>
    <x v="231"/>
    <x v="12"/>
    <x v="231"/>
    <x v="4"/>
    <x v="19"/>
    <x v="0"/>
    <x v="288"/>
    <x v="12"/>
    <x v="6"/>
    <s v="MEDIA"/>
    <s v="MEDIA"/>
    <n v="64"/>
    <s v="cumple"/>
    <x v="10"/>
    <x v="1"/>
    <x v="2106"/>
    <n v="348"/>
    <x v="0"/>
  </r>
  <r>
    <x v="0"/>
    <x v="0"/>
    <x v="1"/>
    <x v="0"/>
    <x v="3"/>
    <x v="2"/>
    <x v="1010"/>
    <x v="1279"/>
    <x v="2107"/>
    <x v="231"/>
    <x v="6"/>
    <x v="231"/>
    <x v="5"/>
    <x v="2"/>
    <x v="0"/>
    <x v="288"/>
    <x v="12"/>
    <x v="6"/>
    <s v="MEDIA"/>
    <s v="MEDIA"/>
    <n v="64"/>
    <s v="cumple"/>
    <x v="10"/>
    <x v="1"/>
    <x v="2107"/>
    <n v="696"/>
    <x v="0"/>
  </r>
  <r>
    <x v="0"/>
    <x v="1"/>
    <x v="1"/>
    <x v="0"/>
    <x v="3"/>
    <x v="1"/>
    <x v="1011"/>
    <x v="1280"/>
    <x v="2108"/>
    <x v="231"/>
    <x v="3"/>
    <x v="231"/>
    <x v="12"/>
    <x v="15"/>
    <x v="0"/>
    <x v="288"/>
    <x v="12"/>
    <x v="6"/>
    <s v="MEDIA"/>
    <s v="MEDIA"/>
    <n v="64"/>
    <s v="cumple"/>
    <x v="10"/>
    <x v="1"/>
    <x v="2108"/>
    <n v="1044"/>
    <x v="0"/>
  </r>
  <r>
    <x v="0"/>
    <x v="1"/>
    <x v="1"/>
    <x v="0"/>
    <x v="3"/>
    <x v="5"/>
    <x v="1012"/>
    <x v="1232"/>
    <x v="2039"/>
    <x v="231"/>
    <x v="7"/>
    <x v="231"/>
    <x v="18"/>
    <x v="19"/>
    <x v="0"/>
    <x v="288"/>
    <x v="12"/>
    <x v="6"/>
    <s v="MEDIA"/>
    <s v="MEDIA"/>
    <n v="64"/>
    <s v="cumple"/>
    <x v="10"/>
    <x v="1"/>
    <x v="2039"/>
    <n v="348"/>
    <x v="0"/>
  </r>
  <r>
    <x v="0"/>
    <x v="1"/>
    <x v="1"/>
    <x v="0"/>
    <x v="3"/>
    <x v="1"/>
    <x v="1013"/>
    <x v="1281"/>
    <x v="2109"/>
    <x v="231"/>
    <x v="15"/>
    <x v="231"/>
    <x v="1"/>
    <x v="15"/>
    <x v="0"/>
    <x v="288"/>
    <x v="12"/>
    <x v="6"/>
    <s v="MEDIA"/>
    <s v="MEDIA"/>
    <n v="64"/>
    <s v="cumple"/>
    <x v="10"/>
    <x v="1"/>
    <x v="2109"/>
    <n v="1044"/>
    <x v="0"/>
  </r>
  <r>
    <x v="0"/>
    <x v="1"/>
    <x v="1"/>
    <x v="0"/>
    <x v="3"/>
    <x v="5"/>
    <x v="1014"/>
    <x v="1282"/>
    <x v="2110"/>
    <x v="231"/>
    <x v="1"/>
    <x v="231"/>
    <x v="0"/>
    <x v="2"/>
    <x v="0"/>
    <x v="288"/>
    <x v="12"/>
    <x v="6"/>
    <s v="MEDIA"/>
    <s v="MEDIA"/>
    <n v="64"/>
    <s v="cumple"/>
    <x v="10"/>
    <x v="1"/>
    <x v="2110"/>
    <n v="696"/>
    <x v="0"/>
  </r>
  <r>
    <x v="0"/>
    <x v="9"/>
    <x v="1"/>
    <x v="0"/>
    <x v="3"/>
    <x v="7"/>
    <x v="1015"/>
    <x v="1283"/>
    <x v="2111"/>
    <x v="232"/>
    <x v="0"/>
    <x v="232"/>
    <x v="23"/>
    <x v="19"/>
    <x v="0"/>
    <x v="288"/>
    <x v="12"/>
    <x v="6"/>
    <s v="MEDIA"/>
    <s v="MEDIA"/>
    <n v="64"/>
    <s v="cumple"/>
    <x v="10"/>
    <x v="1"/>
    <x v="2111"/>
    <n v="348"/>
    <x v="0"/>
  </r>
  <r>
    <x v="0"/>
    <x v="1"/>
    <x v="1"/>
    <x v="0"/>
    <x v="3"/>
    <x v="1"/>
    <x v="1016"/>
    <x v="1284"/>
    <x v="2112"/>
    <x v="232"/>
    <x v="19"/>
    <x v="232"/>
    <x v="3"/>
    <x v="15"/>
    <x v="0"/>
    <x v="287"/>
    <x v="12"/>
    <x v="6"/>
    <s v="MEDIA"/>
    <s v="MEDIA"/>
    <n v="64"/>
    <s v="cumple"/>
    <x v="10"/>
    <x v="1"/>
    <x v="2112"/>
    <n v="1044"/>
    <x v="0"/>
  </r>
  <r>
    <x v="0"/>
    <x v="1"/>
    <x v="1"/>
    <x v="0"/>
    <x v="3"/>
    <x v="5"/>
    <x v="1017"/>
    <x v="1232"/>
    <x v="2039"/>
    <x v="232"/>
    <x v="4"/>
    <x v="232"/>
    <x v="4"/>
    <x v="2"/>
    <x v="0"/>
    <x v="287"/>
    <x v="12"/>
    <x v="6"/>
    <s v="MEDIA"/>
    <s v="MEDIA"/>
    <n v="64"/>
    <s v="cumple"/>
    <x v="10"/>
    <x v="1"/>
    <x v="2039"/>
    <n v="696"/>
    <x v="0"/>
  </r>
  <r>
    <x v="0"/>
    <x v="1"/>
    <x v="1"/>
    <x v="0"/>
    <x v="3"/>
    <x v="1"/>
    <x v="1018"/>
    <x v="1285"/>
    <x v="2113"/>
    <x v="232"/>
    <x v="6"/>
    <x v="232"/>
    <x v="14"/>
    <x v="15"/>
    <x v="0"/>
    <x v="287"/>
    <x v="12"/>
    <x v="6"/>
    <s v="MEDIA"/>
    <s v="MEDIA"/>
    <n v="64"/>
    <s v="cumple"/>
    <x v="10"/>
    <x v="1"/>
    <x v="2113"/>
    <n v="1044"/>
    <x v="0"/>
  </r>
  <r>
    <x v="0"/>
    <x v="1"/>
    <x v="1"/>
    <x v="0"/>
    <x v="3"/>
    <x v="5"/>
    <x v="1019"/>
    <x v="1286"/>
    <x v="2114"/>
    <x v="232"/>
    <x v="11"/>
    <x v="232"/>
    <x v="12"/>
    <x v="2"/>
    <x v="0"/>
    <x v="287"/>
    <x v="12"/>
    <x v="6"/>
    <s v="MEDIA"/>
    <s v="MEDIA"/>
    <n v="64"/>
    <s v="cumple"/>
    <x v="10"/>
    <x v="1"/>
    <x v="2114"/>
    <n v="696"/>
    <x v="0"/>
  </r>
  <r>
    <x v="0"/>
    <x v="0"/>
    <x v="1"/>
    <x v="0"/>
    <x v="3"/>
    <x v="2"/>
    <x v="1020"/>
    <x v="1287"/>
    <x v="2115"/>
    <x v="232"/>
    <x v="7"/>
    <x v="232"/>
    <x v="18"/>
    <x v="19"/>
    <x v="0"/>
    <x v="287"/>
    <x v="12"/>
    <x v="6"/>
    <s v="MEDIA"/>
    <s v="MEDIA"/>
    <n v="64"/>
    <s v="cumple"/>
    <x v="10"/>
    <x v="1"/>
    <x v="2115"/>
    <n v="348"/>
    <x v="0"/>
  </r>
  <r>
    <x v="0"/>
    <x v="0"/>
    <x v="1"/>
    <x v="0"/>
    <x v="3"/>
    <x v="2"/>
    <x v="1021"/>
    <x v="1288"/>
    <x v="2116"/>
    <x v="232"/>
    <x v="15"/>
    <x v="232"/>
    <x v="2"/>
    <x v="19"/>
    <x v="0"/>
    <x v="287"/>
    <x v="12"/>
    <x v="6"/>
    <s v="MEDIA"/>
    <s v="MEDIA"/>
    <n v="64"/>
    <s v="cumple"/>
    <x v="10"/>
    <x v="1"/>
    <x v="2116"/>
    <n v="348"/>
    <x v="0"/>
  </r>
  <r>
    <x v="0"/>
    <x v="1"/>
    <x v="1"/>
    <x v="0"/>
    <x v="3"/>
    <x v="4"/>
    <x v="1022"/>
    <x v="1289"/>
    <x v="2117"/>
    <x v="232"/>
    <x v="2"/>
    <x v="232"/>
    <x v="0"/>
    <x v="4"/>
    <x v="0"/>
    <x v="286"/>
    <x v="12"/>
    <x v="6"/>
    <s v="MEDIA"/>
    <s v="MEDIA"/>
    <n v="64"/>
    <s v="cumple"/>
    <x v="10"/>
    <x v="1"/>
    <x v="2117"/>
    <n v="1392"/>
    <x v="0"/>
  </r>
  <r>
    <x v="0"/>
    <x v="1"/>
    <x v="1"/>
    <x v="0"/>
    <x v="3"/>
    <x v="4"/>
    <x v="1023"/>
    <x v="1290"/>
    <x v="2118"/>
    <x v="233"/>
    <x v="0"/>
    <x v="233"/>
    <x v="16"/>
    <x v="15"/>
    <x v="0"/>
    <x v="286"/>
    <x v="12"/>
    <x v="6"/>
    <s v="MEDIA"/>
    <s v="MEDIA"/>
    <n v="64"/>
    <s v="cumple"/>
    <x v="10"/>
    <x v="1"/>
    <x v="2118"/>
    <n v="1044"/>
    <x v="0"/>
  </r>
  <r>
    <x v="0"/>
    <x v="1"/>
    <x v="1"/>
    <x v="0"/>
    <x v="3"/>
    <x v="4"/>
    <x v="1024"/>
    <x v="1291"/>
    <x v="2119"/>
    <x v="233"/>
    <x v="13"/>
    <x v="233"/>
    <x v="3"/>
    <x v="19"/>
    <x v="0"/>
    <x v="286"/>
    <x v="12"/>
    <x v="6"/>
    <s v="MEDIA"/>
    <s v="MEDIA"/>
    <n v="64"/>
    <s v="cumple"/>
    <x v="10"/>
    <x v="1"/>
    <x v="2119"/>
    <n v="348"/>
    <x v="0"/>
  </r>
  <r>
    <x v="0"/>
    <x v="1"/>
    <x v="1"/>
    <x v="0"/>
    <x v="3"/>
    <x v="4"/>
    <x v="1025"/>
    <x v="1292"/>
    <x v="2120"/>
    <x v="233"/>
    <x v="4"/>
    <x v="233"/>
    <x v="15"/>
    <x v="19"/>
    <x v="0"/>
    <x v="286"/>
    <x v="12"/>
    <x v="6"/>
    <s v="MEDIA"/>
    <s v="MEDIA"/>
    <n v="64"/>
    <s v="cumple"/>
    <x v="10"/>
    <x v="1"/>
    <x v="2120"/>
    <n v="348"/>
    <x v="0"/>
  </r>
  <r>
    <x v="0"/>
    <x v="1"/>
    <x v="1"/>
    <x v="0"/>
    <x v="3"/>
    <x v="4"/>
    <x v="1026"/>
    <x v="1292"/>
    <x v="2121"/>
    <x v="233"/>
    <x v="12"/>
    <x v="233"/>
    <x v="4"/>
    <x v="19"/>
    <x v="0"/>
    <x v="286"/>
    <x v="12"/>
    <x v="6"/>
    <s v="MEDIA"/>
    <s v="MEDIA"/>
    <n v="64"/>
    <s v="cumple"/>
    <x v="10"/>
    <x v="1"/>
    <x v="2121"/>
    <n v="348"/>
    <x v="0"/>
  </r>
  <r>
    <x v="0"/>
    <x v="1"/>
    <x v="1"/>
    <x v="0"/>
    <x v="3"/>
    <x v="4"/>
    <x v="1027"/>
    <x v="1292"/>
    <x v="2122"/>
    <x v="233"/>
    <x v="6"/>
    <x v="233"/>
    <x v="13"/>
    <x v="19"/>
    <x v="0"/>
    <x v="286"/>
    <x v="12"/>
    <x v="6"/>
    <s v="MEDIA"/>
    <s v="MEDIA"/>
    <n v="64"/>
    <s v="cumple"/>
    <x v="10"/>
    <x v="1"/>
    <x v="2122"/>
    <n v="348"/>
    <x v="0"/>
  </r>
  <r>
    <x v="0"/>
    <x v="1"/>
    <x v="1"/>
    <x v="0"/>
    <x v="3"/>
    <x v="1"/>
    <x v="1028"/>
    <x v="1293"/>
    <x v="2123"/>
    <x v="233"/>
    <x v="10"/>
    <x v="233"/>
    <x v="9"/>
    <x v="15"/>
    <x v="0"/>
    <x v="286"/>
    <x v="12"/>
    <x v="6"/>
    <s v="MEDIA"/>
    <s v="MEDIA"/>
    <n v="64"/>
    <s v="cumple"/>
    <x v="10"/>
    <x v="1"/>
    <x v="2123"/>
    <n v="1044"/>
    <x v="0"/>
  </r>
  <r>
    <x v="0"/>
    <x v="1"/>
    <x v="1"/>
    <x v="0"/>
    <x v="3"/>
    <x v="1"/>
    <x v="1029"/>
    <x v="1294"/>
    <x v="2124"/>
    <x v="233"/>
    <x v="9"/>
    <x v="233"/>
    <x v="12"/>
    <x v="19"/>
    <x v="0"/>
    <x v="286"/>
    <x v="12"/>
    <x v="6"/>
    <s v="MEDIA"/>
    <s v="MEDIA"/>
    <n v="64"/>
    <s v="cumple"/>
    <x v="10"/>
    <x v="1"/>
    <x v="2124"/>
    <n v="348"/>
    <x v="0"/>
  </r>
  <r>
    <x v="0"/>
    <x v="9"/>
    <x v="1"/>
    <x v="0"/>
    <x v="3"/>
    <x v="7"/>
    <x v="1030"/>
    <x v="1295"/>
    <x v="2125"/>
    <x v="233"/>
    <x v="7"/>
    <x v="233"/>
    <x v="2"/>
    <x v="2"/>
    <x v="0"/>
    <x v="286"/>
    <x v="12"/>
    <x v="6"/>
    <s v="MEDIA"/>
    <s v="MEDIA"/>
    <n v="64"/>
    <s v="cumple"/>
    <x v="10"/>
    <x v="1"/>
    <x v="2125"/>
    <n v="696"/>
    <x v="0"/>
  </r>
  <r>
    <x v="0"/>
    <x v="0"/>
    <x v="1"/>
    <x v="0"/>
    <x v="3"/>
    <x v="2"/>
    <x v="1031"/>
    <x v="1296"/>
    <x v="2126"/>
    <x v="233"/>
    <x v="2"/>
    <x v="233"/>
    <x v="17"/>
    <x v="19"/>
    <x v="0"/>
    <x v="288"/>
    <x v="12"/>
    <x v="6"/>
    <s v="MEDIA"/>
    <s v="MEDIA"/>
    <n v="64"/>
    <s v="cumple"/>
    <x v="10"/>
    <x v="1"/>
    <x v="2126"/>
    <n v="348"/>
    <x v="0"/>
  </r>
  <r>
    <x v="0"/>
    <x v="1"/>
    <x v="1"/>
    <x v="0"/>
    <x v="3"/>
    <x v="1"/>
    <x v="1032"/>
    <x v="1297"/>
    <x v="2127"/>
    <x v="233"/>
    <x v="14"/>
    <x v="233"/>
    <x v="1"/>
    <x v="19"/>
    <x v="0"/>
    <x v="288"/>
    <x v="12"/>
    <x v="6"/>
    <s v="MEDIA"/>
    <s v="MEDIA"/>
    <n v="64"/>
    <s v="cumple"/>
    <x v="10"/>
    <x v="1"/>
    <x v="2127"/>
    <n v="348"/>
    <x v="0"/>
  </r>
  <r>
    <x v="0"/>
    <x v="1"/>
    <x v="1"/>
    <x v="0"/>
    <x v="3"/>
    <x v="5"/>
    <x v="1033"/>
    <x v="1232"/>
    <x v="2039"/>
    <x v="233"/>
    <x v="1"/>
    <x v="233"/>
    <x v="21"/>
    <x v="19"/>
    <x v="0"/>
    <x v="288"/>
    <x v="12"/>
    <x v="6"/>
    <s v="MEDIA"/>
    <s v="MEDIA"/>
    <n v="64"/>
    <s v="cumple"/>
    <x v="10"/>
    <x v="1"/>
    <x v="2039"/>
    <n v="348"/>
    <x v="0"/>
  </r>
  <r>
    <x v="0"/>
    <x v="1"/>
    <x v="1"/>
    <x v="0"/>
    <x v="3"/>
    <x v="1"/>
    <x v="1034"/>
    <x v="1298"/>
    <x v="2128"/>
    <x v="233"/>
    <x v="16"/>
    <x v="233"/>
    <x v="11"/>
    <x v="15"/>
    <x v="0"/>
    <x v="288"/>
    <x v="12"/>
    <x v="6"/>
    <s v="MEDIA"/>
    <s v="MEDIA"/>
    <n v="64"/>
    <s v="cumple"/>
    <x v="10"/>
    <x v="1"/>
    <x v="2128"/>
    <n v="1044"/>
    <x v="0"/>
  </r>
  <r>
    <x v="0"/>
    <x v="1"/>
    <x v="1"/>
    <x v="0"/>
    <x v="3"/>
    <x v="5"/>
    <x v="1035"/>
    <x v="1299"/>
    <x v="2129"/>
    <x v="234"/>
    <x v="0"/>
    <x v="234"/>
    <x v="8"/>
    <x v="2"/>
    <x v="0"/>
    <x v="288"/>
    <x v="12"/>
    <x v="6"/>
    <s v="MEDIA"/>
    <s v="MEDIA"/>
    <n v="64"/>
    <s v="cumple"/>
    <x v="10"/>
    <x v="1"/>
    <x v="2129"/>
    <n v="696"/>
    <x v="0"/>
  </r>
  <r>
    <x v="0"/>
    <x v="9"/>
    <x v="1"/>
    <x v="0"/>
    <x v="3"/>
    <x v="7"/>
    <x v="1036"/>
    <x v="1243"/>
    <x v="2130"/>
    <x v="234"/>
    <x v="8"/>
    <x v="234"/>
    <x v="16"/>
    <x v="19"/>
    <x v="0"/>
    <x v="288"/>
    <x v="12"/>
    <x v="6"/>
    <s v="MEDIA"/>
    <s v="MEDIA"/>
    <n v="64"/>
    <s v="cumple"/>
    <x v="10"/>
    <x v="1"/>
    <x v="2130"/>
    <n v="348"/>
    <x v="0"/>
  </r>
  <r>
    <x v="0"/>
    <x v="1"/>
    <x v="1"/>
    <x v="0"/>
    <x v="3"/>
    <x v="1"/>
    <x v="1037"/>
    <x v="1300"/>
    <x v="2131"/>
    <x v="234"/>
    <x v="13"/>
    <x v="234"/>
    <x v="15"/>
    <x v="2"/>
    <x v="0"/>
    <x v="286"/>
    <x v="12"/>
    <x v="6"/>
    <s v="MEDIA"/>
    <s v="MEDIA"/>
    <n v="64"/>
    <s v="cumple"/>
    <x v="10"/>
    <x v="1"/>
    <x v="2131"/>
    <n v="696"/>
    <x v="0"/>
  </r>
  <r>
    <x v="0"/>
    <x v="1"/>
    <x v="1"/>
    <x v="0"/>
    <x v="3"/>
    <x v="5"/>
    <x v="1038"/>
    <x v="1301"/>
    <x v="2132"/>
    <x v="234"/>
    <x v="12"/>
    <x v="234"/>
    <x v="13"/>
    <x v="2"/>
    <x v="0"/>
    <x v="286"/>
    <x v="12"/>
    <x v="6"/>
    <s v="MEDIA"/>
    <s v="MEDIA"/>
    <n v="64"/>
    <s v="cumple"/>
    <x v="10"/>
    <x v="1"/>
    <x v="2132"/>
    <n v="696"/>
    <x v="0"/>
  </r>
  <r>
    <x v="0"/>
    <x v="1"/>
    <x v="1"/>
    <x v="0"/>
    <x v="3"/>
    <x v="1"/>
    <x v="1039"/>
    <x v="1302"/>
    <x v="2133"/>
    <x v="234"/>
    <x v="10"/>
    <x v="234"/>
    <x v="9"/>
    <x v="15"/>
    <x v="0"/>
    <x v="286"/>
    <x v="12"/>
    <x v="6"/>
    <s v="MEDIA"/>
    <s v="MEDIA"/>
    <n v="64"/>
    <s v="cumple"/>
    <x v="10"/>
    <x v="1"/>
    <x v="2133"/>
    <n v="1044"/>
    <x v="0"/>
  </r>
  <r>
    <x v="0"/>
    <x v="1"/>
    <x v="1"/>
    <x v="0"/>
    <x v="3"/>
    <x v="5"/>
    <x v="1040"/>
    <x v="1018"/>
    <x v="2134"/>
    <x v="234"/>
    <x v="9"/>
    <x v="234"/>
    <x v="12"/>
    <x v="19"/>
    <x v="0"/>
    <x v="286"/>
    <x v="12"/>
    <x v="6"/>
    <s v="MEDIA"/>
    <s v="MEDIA"/>
    <n v="64"/>
    <s v="cumple"/>
    <x v="10"/>
    <x v="1"/>
    <x v="2134"/>
    <n v="348"/>
    <x v="0"/>
  </r>
  <r>
    <x v="0"/>
    <x v="9"/>
    <x v="1"/>
    <x v="0"/>
    <x v="3"/>
    <x v="7"/>
    <x v="1041"/>
    <x v="1303"/>
    <x v="2135"/>
    <x v="234"/>
    <x v="7"/>
    <x v="234"/>
    <x v="18"/>
    <x v="19"/>
    <x v="0"/>
    <x v="286"/>
    <x v="12"/>
    <x v="6"/>
    <s v="MEDIA"/>
    <s v="MEDIA"/>
    <n v="64"/>
    <s v="cumple"/>
    <x v="10"/>
    <x v="1"/>
    <x v="2135"/>
    <n v="348"/>
    <x v="0"/>
  </r>
  <r>
    <x v="0"/>
    <x v="1"/>
    <x v="1"/>
    <x v="0"/>
    <x v="3"/>
    <x v="1"/>
    <x v="1042"/>
    <x v="1304"/>
    <x v="2136"/>
    <x v="234"/>
    <x v="15"/>
    <x v="234"/>
    <x v="17"/>
    <x v="2"/>
    <x v="0"/>
    <x v="286"/>
    <x v="12"/>
    <x v="6"/>
    <s v="MEDIA"/>
    <s v="MEDIA"/>
    <n v="64"/>
    <s v="cumple"/>
    <x v="10"/>
    <x v="1"/>
    <x v="2136"/>
    <n v="696"/>
    <x v="0"/>
  </r>
  <r>
    <x v="0"/>
    <x v="1"/>
    <x v="1"/>
    <x v="0"/>
    <x v="3"/>
    <x v="5"/>
    <x v="1043"/>
    <x v="1301"/>
    <x v="2132"/>
    <x v="234"/>
    <x v="14"/>
    <x v="234"/>
    <x v="21"/>
    <x v="2"/>
    <x v="0"/>
    <x v="286"/>
    <x v="12"/>
    <x v="6"/>
    <s v="MEDIA"/>
    <s v="MEDIA"/>
    <n v="64"/>
    <s v="cumple"/>
    <x v="10"/>
    <x v="1"/>
    <x v="2132"/>
    <n v="696"/>
    <x v="0"/>
  </r>
  <r>
    <x v="0"/>
    <x v="1"/>
    <x v="1"/>
    <x v="0"/>
    <x v="3"/>
    <x v="1"/>
    <x v="1044"/>
    <x v="1305"/>
    <x v="2137"/>
    <x v="234"/>
    <x v="16"/>
    <x v="234"/>
    <x v="0"/>
    <x v="19"/>
    <x v="0"/>
    <x v="286"/>
    <x v="12"/>
    <x v="6"/>
    <s v="MEDIA"/>
    <s v="MEDIA"/>
    <n v="64"/>
    <s v="cumple"/>
    <x v="10"/>
    <x v="1"/>
    <x v="2137"/>
    <n v="348"/>
    <x v="0"/>
  </r>
  <r>
    <x v="0"/>
    <x v="1"/>
    <x v="1"/>
    <x v="0"/>
    <x v="3"/>
    <x v="5"/>
    <x v="1045"/>
    <x v="1022"/>
    <x v="2138"/>
    <x v="235"/>
    <x v="0"/>
    <x v="235"/>
    <x v="8"/>
    <x v="2"/>
    <x v="0"/>
    <x v="286"/>
    <x v="12"/>
    <x v="6"/>
    <s v="MEDIA"/>
    <s v="MEDIA"/>
    <n v="64"/>
    <s v="cumple"/>
    <x v="10"/>
    <x v="1"/>
    <x v="2138"/>
    <n v="696"/>
    <x v="0"/>
  </r>
  <r>
    <x v="0"/>
    <x v="9"/>
    <x v="1"/>
    <x v="0"/>
    <x v="3"/>
    <x v="7"/>
    <x v="1046"/>
    <x v="1306"/>
    <x v="2139"/>
    <x v="235"/>
    <x v="8"/>
    <x v="235"/>
    <x v="16"/>
    <x v="19"/>
    <x v="0"/>
    <x v="286"/>
    <x v="12"/>
    <x v="6"/>
    <s v="MEDIA"/>
    <s v="MEDIA"/>
    <n v="64"/>
    <s v="cumple"/>
    <x v="10"/>
    <x v="1"/>
    <x v="2139"/>
    <n v="348"/>
    <x v="0"/>
  </r>
  <r>
    <x v="0"/>
    <x v="1"/>
    <x v="1"/>
    <x v="0"/>
    <x v="3"/>
    <x v="1"/>
    <x v="1047"/>
    <x v="1307"/>
    <x v="2140"/>
    <x v="235"/>
    <x v="13"/>
    <x v="235"/>
    <x v="15"/>
    <x v="2"/>
    <x v="0"/>
    <x v="287"/>
    <x v="12"/>
    <x v="6"/>
    <s v="MEDIA"/>
    <s v="MEDIA"/>
    <n v="64"/>
    <s v="cumple"/>
    <x v="10"/>
    <x v="1"/>
    <x v="2140"/>
    <n v="696"/>
    <x v="0"/>
  </r>
  <r>
    <x v="0"/>
    <x v="1"/>
    <x v="1"/>
    <x v="0"/>
    <x v="3"/>
    <x v="5"/>
    <x v="1048"/>
    <x v="1308"/>
    <x v="2141"/>
    <x v="235"/>
    <x v="12"/>
    <x v="235"/>
    <x v="13"/>
    <x v="2"/>
    <x v="0"/>
    <x v="287"/>
    <x v="12"/>
    <x v="6"/>
    <s v="MEDIA"/>
    <s v="MEDIA"/>
    <n v="64"/>
    <s v="cumple"/>
    <x v="10"/>
    <x v="1"/>
    <x v="2141"/>
    <n v="696"/>
    <x v="0"/>
  </r>
  <r>
    <x v="0"/>
    <x v="1"/>
    <x v="1"/>
    <x v="0"/>
    <x v="3"/>
    <x v="1"/>
    <x v="1049"/>
    <x v="1309"/>
    <x v="2142"/>
    <x v="235"/>
    <x v="10"/>
    <x v="235"/>
    <x v="14"/>
    <x v="2"/>
    <x v="0"/>
    <x v="287"/>
    <x v="12"/>
    <x v="6"/>
    <s v="MEDIA"/>
    <s v="MEDIA"/>
    <n v="64"/>
    <s v="cumple"/>
    <x v="10"/>
    <x v="1"/>
    <x v="2142"/>
    <n v="696"/>
    <x v="0"/>
  </r>
  <r>
    <x v="0"/>
    <x v="1"/>
    <x v="1"/>
    <x v="0"/>
    <x v="3"/>
    <x v="5"/>
    <x v="1050"/>
    <x v="1282"/>
    <x v="2110"/>
    <x v="235"/>
    <x v="11"/>
    <x v="235"/>
    <x v="12"/>
    <x v="2"/>
    <x v="0"/>
    <x v="287"/>
    <x v="12"/>
    <x v="6"/>
    <s v="MEDIA"/>
    <s v="MEDIA"/>
    <n v="64"/>
    <s v="cumple"/>
    <x v="10"/>
    <x v="1"/>
    <x v="2110"/>
    <n v="696"/>
    <x v="0"/>
  </r>
  <r>
    <x v="0"/>
    <x v="1"/>
    <x v="1"/>
    <x v="0"/>
    <x v="3"/>
    <x v="1"/>
    <x v="1051"/>
    <x v="1310"/>
    <x v="2143"/>
    <x v="235"/>
    <x v="7"/>
    <x v="235"/>
    <x v="2"/>
    <x v="2"/>
    <x v="0"/>
    <x v="287"/>
    <x v="12"/>
    <x v="6"/>
    <s v="MEDIA"/>
    <s v="MEDIA"/>
    <n v="64"/>
    <s v="cumple"/>
    <x v="10"/>
    <x v="1"/>
    <x v="2143"/>
    <n v="696"/>
    <x v="0"/>
  </r>
  <r>
    <x v="0"/>
    <x v="1"/>
    <x v="1"/>
    <x v="0"/>
    <x v="3"/>
    <x v="5"/>
    <x v="1052"/>
    <x v="1301"/>
    <x v="2132"/>
    <x v="235"/>
    <x v="2"/>
    <x v="235"/>
    <x v="1"/>
    <x v="2"/>
    <x v="0"/>
    <x v="287"/>
    <x v="12"/>
    <x v="6"/>
    <s v="MEDIA"/>
    <s v="MEDIA"/>
    <n v="64"/>
    <s v="cumple"/>
    <x v="10"/>
    <x v="1"/>
    <x v="2132"/>
    <n v="696"/>
    <x v="0"/>
  </r>
  <r>
    <x v="0"/>
    <x v="1"/>
    <x v="1"/>
    <x v="0"/>
    <x v="3"/>
    <x v="1"/>
    <x v="1053"/>
    <x v="1311"/>
    <x v="2144"/>
    <x v="235"/>
    <x v="1"/>
    <x v="235"/>
    <x v="0"/>
    <x v="2"/>
    <x v="0"/>
    <x v="287"/>
    <x v="12"/>
    <x v="6"/>
    <s v="MEDIA"/>
    <s v="MEDIA"/>
    <n v="64"/>
    <s v="cumple"/>
    <x v="10"/>
    <x v="1"/>
    <x v="2144"/>
    <n v="696"/>
    <x v="0"/>
  </r>
  <r>
    <x v="0"/>
    <x v="1"/>
    <x v="1"/>
    <x v="0"/>
    <x v="3"/>
    <x v="5"/>
    <x v="1054"/>
    <x v="1234"/>
    <x v="2060"/>
    <x v="236"/>
    <x v="0"/>
    <x v="236"/>
    <x v="8"/>
    <x v="2"/>
    <x v="0"/>
    <x v="287"/>
    <x v="12"/>
    <x v="6"/>
    <s v="MEDIA"/>
    <s v="MEDIA"/>
    <n v="64"/>
    <s v="cumple"/>
    <x v="10"/>
    <x v="1"/>
    <x v="2060"/>
    <n v="696"/>
    <x v="0"/>
  </r>
  <r>
    <x v="0"/>
    <x v="9"/>
    <x v="1"/>
    <x v="0"/>
    <x v="3"/>
    <x v="7"/>
    <x v="1055"/>
    <x v="1312"/>
    <x v="2145"/>
    <x v="236"/>
    <x v="8"/>
    <x v="236"/>
    <x v="16"/>
    <x v="19"/>
    <x v="0"/>
    <x v="287"/>
    <x v="12"/>
    <x v="6"/>
    <s v="MEDIA"/>
    <s v="MEDIA"/>
    <n v="64"/>
    <s v="cumple"/>
    <x v="10"/>
    <x v="1"/>
    <x v="2145"/>
    <n v="348"/>
    <x v="0"/>
  </r>
  <r>
    <x v="0"/>
    <x v="1"/>
    <x v="1"/>
    <x v="0"/>
    <x v="3"/>
    <x v="1"/>
    <x v="1056"/>
    <x v="1313"/>
    <x v="2146"/>
    <x v="236"/>
    <x v="13"/>
    <x v="236"/>
    <x v="15"/>
    <x v="2"/>
    <x v="0"/>
    <x v="287"/>
    <x v="12"/>
    <x v="6"/>
    <s v="MEDIA"/>
    <s v="MEDIA"/>
    <n v="64"/>
    <s v="cumple"/>
    <x v="10"/>
    <x v="1"/>
    <x v="2146"/>
    <n v="696"/>
    <x v="0"/>
  </r>
  <r>
    <x v="0"/>
    <x v="1"/>
    <x v="1"/>
    <x v="0"/>
    <x v="3"/>
    <x v="5"/>
    <x v="1057"/>
    <x v="1301"/>
    <x v="2132"/>
    <x v="236"/>
    <x v="12"/>
    <x v="236"/>
    <x v="13"/>
    <x v="2"/>
    <x v="0"/>
    <x v="287"/>
    <x v="12"/>
    <x v="6"/>
    <s v="MEDIA"/>
    <s v="MEDIA"/>
    <n v="64"/>
    <s v="cumple"/>
    <x v="10"/>
    <x v="1"/>
    <x v="2132"/>
    <n v="696"/>
    <x v="0"/>
  </r>
  <r>
    <x v="0"/>
    <x v="1"/>
    <x v="1"/>
    <x v="0"/>
    <x v="3"/>
    <x v="1"/>
    <x v="1058"/>
    <x v="1314"/>
    <x v="2147"/>
    <x v="236"/>
    <x v="10"/>
    <x v="236"/>
    <x v="14"/>
    <x v="2"/>
    <x v="0"/>
    <x v="287"/>
    <x v="12"/>
    <x v="6"/>
    <s v="MEDIA"/>
    <s v="MEDIA"/>
    <n v="64"/>
    <s v="cumple"/>
    <x v="10"/>
    <x v="1"/>
    <x v="2147"/>
    <n v="696"/>
    <x v="0"/>
  </r>
  <r>
    <x v="0"/>
    <x v="1"/>
    <x v="1"/>
    <x v="0"/>
    <x v="3"/>
    <x v="5"/>
    <x v="1059"/>
    <x v="1238"/>
    <x v="2064"/>
    <x v="236"/>
    <x v="11"/>
    <x v="236"/>
    <x v="12"/>
    <x v="2"/>
    <x v="0"/>
    <x v="287"/>
    <x v="12"/>
    <x v="6"/>
    <s v="MEDIA"/>
    <s v="MEDIA"/>
    <n v="64"/>
    <s v="cumple"/>
    <x v="10"/>
    <x v="1"/>
    <x v="2064"/>
    <n v="696"/>
    <x v="0"/>
  </r>
  <r>
    <x v="0"/>
    <x v="1"/>
    <x v="1"/>
    <x v="0"/>
    <x v="3"/>
    <x v="1"/>
    <x v="1060"/>
    <x v="1315"/>
    <x v="2148"/>
    <x v="236"/>
    <x v="7"/>
    <x v="236"/>
    <x v="2"/>
    <x v="2"/>
    <x v="0"/>
    <x v="287"/>
    <x v="12"/>
    <x v="6"/>
    <s v="MEDIA"/>
    <s v="MEDIA"/>
    <n v="64"/>
    <s v="cumple"/>
    <x v="10"/>
    <x v="1"/>
    <x v="2148"/>
    <n v="696"/>
    <x v="0"/>
  </r>
  <r>
    <x v="0"/>
    <x v="1"/>
    <x v="1"/>
    <x v="0"/>
    <x v="3"/>
    <x v="5"/>
    <x v="1061"/>
    <x v="1301"/>
    <x v="2132"/>
    <x v="236"/>
    <x v="2"/>
    <x v="236"/>
    <x v="1"/>
    <x v="2"/>
    <x v="0"/>
    <x v="287"/>
    <x v="12"/>
    <x v="6"/>
    <s v="MEDIA"/>
    <s v="MEDIA"/>
    <n v="64"/>
    <s v="cumple"/>
    <x v="10"/>
    <x v="1"/>
    <x v="2132"/>
    <n v="696"/>
    <x v="0"/>
  </r>
  <r>
    <x v="0"/>
    <x v="1"/>
    <x v="1"/>
    <x v="0"/>
    <x v="3"/>
    <x v="1"/>
    <x v="1062"/>
    <x v="1316"/>
    <x v="2149"/>
    <x v="236"/>
    <x v="1"/>
    <x v="236"/>
    <x v="0"/>
    <x v="2"/>
    <x v="0"/>
    <x v="287"/>
    <x v="12"/>
    <x v="6"/>
    <s v="MEDIA"/>
    <s v="MEDIA"/>
    <n v="64"/>
    <s v="cumple"/>
    <x v="10"/>
    <x v="1"/>
    <x v="2149"/>
    <n v="696"/>
    <x v="0"/>
  </r>
  <r>
    <x v="0"/>
    <x v="1"/>
    <x v="1"/>
    <x v="0"/>
    <x v="3"/>
    <x v="5"/>
    <x v="1063"/>
    <x v="1242"/>
    <x v="2068"/>
    <x v="237"/>
    <x v="0"/>
    <x v="237"/>
    <x v="8"/>
    <x v="2"/>
    <x v="0"/>
    <x v="287"/>
    <x v="12"/>
    <x v="6"/>
    <s v="MEDIA"/>
    <s v="MEDIA"/>
    <n v="64"/>
    <s v="cumple"/>
    <x v="10"/>
    <x v="1"/>
    <x v="2068"/>
    <n v="696"/>
    <x v="0"/>
  </r>
  <r>
    <x v="0"/>
    <x v="9"/>
    <x v="1"/>
    <x v="0"/>
    <x v="3"/>
    <x v="7"/>
    <x v="1064"/>
    <x v="1317"/>
    <x v="2150"/>
    <x v="237"/>
    <x v="8"/>
    <x v="237"/>
    <x v="16"/>
    <x v="19"/>
    <x v="0"/>
    <x v="287"/>
    <x v="12"/>
    <x v="6"/>
    <s v="MEDIA"/>
    <s v="MEDIA"/>
    <n v="64"/>
    <s v="cumple"/>
    <x v="10"/>
    <x v="1"/>
    <x v="2150"/>
    <n v="348"/>
    <x v="0"/>
  </r>
  <r>
    <x v="0"/>
    <x v="1"/>
    <x v="1"/>
    <x v="0"/>
    <x v="3"/>
    <x v="1"/>
    <x v="1065"/>
    <x v="1318"/>
    <x v="2151"/>
    <x v="237"/>
    <x v="13"/>
    <x v="237"/>
    <x v="15"/>
    <x v="2"/>
    <x v="0"/>
    <x v="287"/>
    <x v="12"/>
    <x v="6"/>
    <s v="MEDIA"/>
    <s v="MEDIA"/>
    <n v="64"/>
    <s v="cumple"/>
    <x v="10"/>
    <x v="1"/>
    <x v="2151"/>
    <n v="696"/>
    <x v="0"/>
  </r>
  <r>
    <x v="0"/>
    <x v="1"/>
    <x v="1"/>
    <x v="0"/>
    <x v="3"/>
    <x v="5"/>
    <x v="1066"/>
    <x v="1319"/>
    <x v="2132"/>
    <x v="237"/>
    <x v="12"/>
    <x v="237"/>
    <x v="13"/>
    <x v="2"/>
    <x v="0"/>
    <x v="287"/>
    <x v="12"/>
    <x v="6"/>
    <s v="MEDIA"/>
    <s v="MEDIA"/>
    <n v="64"/>
    <s v="cumple"/>
    <x v="10"/>
    <x v="1"/>
    <x v="2132"/>
    <n v="696"/>
    <x v="0"/>
  </r>
  <r>
    <x v="0"/>
    <x v="1"/>
    <x v="1"/>
    <x v="0"/>
    <x v="3"/>
    <x v="1"/>
    <x v="1067"/>
    <x v="1320"/>
    <x v="2152"/>
    <x v="237"/>
    <x v="10"/>
    <x v="237"/>
    <x v="14"/>
    <x v="2"/>
    <x v="0"/>
    <x v="287"/>
    <x v="12"/>
    <x v="6"/>
    <s v="MEDIA"/>
    <s v="MEDIA"/>
    <n v="64"/>
    <s v="cumple"/>
    <x v="10"/>
    <x v="1"/>
    <x v="2152"/>
    <n v="696"/>
    <x v="0"/>
  </r>
  <r>
    <x v="0"/>
    <x v="1"/>
    <x v="1"/>
    <x v="0"/>
    <x v="3"/>
    <x v="5"/>
    <x v="1068"/>
    <x v="1246"/>
    <x v="2072"/>
    <x v="237"/>
    <x v="11"/>
    <x v="237"/>
    <x v="12"/>
    <x v="2"/>
    <x v="0"/>
    <x v="287"/>
    <x v="12"/>
    <x v="6"/>
    <s v="MEDIA"/>
    <s v="MEDIA"/>
    <n v="64"/>
    <s v="cumple"/>
    <x v="10"/>
    <x v="1"/>
    <x v="2072"/>
    <n v="696"/>
    <x v="0"/>
  </r>
  <r>
    <x v="0"/>
    <x v="1"/>
    <x v="1"/>
    <x v="0"/>
    <x v="3"/>
    <x v="1"/>
    <x v="1069"/>
    <x v="1321"/>
    <x v="2153"/>
    <x v="237"/>
    <x v="7"/>
    <x v="237"/>
    <x v="2"/>
    <x v="2"/>
    <x v="0"/>
    <x v="287"/>
    <x v="12"/>
    <x v="6"/>
    <s v="MEDIA"/>
    <s v="MEDIA"/>
    <n v="64"/>
    <s v="cumple"/>
    <x v="10"/>
    <x v="1"/>
    <x v="2153"/>
    <n v="696"/>
    <x v="0"/>
  </r>
  <r>
    <x v="0"/>
    <x v="1"/>
    <x v="1"/>
    <x v="0"/>
    <x v="3"/>
    <x v="5"/>
    <x v="1070"/>
    <x v="1301"/>
    <x v="2132"/>
    <x v="237"/>
    <x v="2"/>
    <x v="237"/>
    <x v="1"/>
    <x v="2"/>
    <x v="0"/>
    <x v="287"/>
    <x v="12"/>
    <x v="6"/>
    <s v="MEDIA"/>
    <s v="MEDIA"/>
    <n v="64"/>
    <s v="cumple"/>
    <x v="10"/>
    <x v="1"/>
    <x v="2132"/>
    <n v="696"/>
    <x v="0"/>
  </r>
  <r>
    <x v="0"/>
    <x v="1"/>
    <x v="1"/>
    <x v="0"/>
    <x v="3"/>
    <x v="1"/>
    <x v="1071"/>
    <x v="1322"/>
    <x v="2154"/>
    <x v="237"/>
    <x v="1"/>
    <x v="237"/>
    <x v="0"/>
    <x v="2"/>
    <x v="0"/>
    <x v="287"/>
    <x v="12"/>
    <x v="6"/>
    <s v="MEDIA"/>
    <s v="MEDIA"/>
    <n v="64"/>
    <s v="cumple"/>
    <x v="10"/>
    <x v="1"/>
    <x v="2154"/>
    <n v="696"/>
    <x v="0"/>
  </r>
  <r>
    <x v="0"/>
    <x v="1"/>
    <x v="1"/>
    <x v="0"/>
    <x v="3"/>
    <x v="5"/>
    <x v="1072"/>
    <x v="1272"/>
    <x v="2098"/>
    <x v="238"/>
    <x v="0"/>
    <x v="238"/>
    <x v="8"/>
    <x v="2"/>
    <x v="0"/>
    <x v="287"/>
    <x v="12"/>
    <x v="6"/>
    <s v="MEDIA"/>
    <s v="MEDIA"/>
    <n v="64"/>
    <s v="cumple"/>
    <x v="10"/>
    <x v="1"/>
    <x v="2098"/>
    <n v="696"/>
    <x v="0"/>
  </r>
  <r>
    <x v="0"/>
    <x v="9"/>
    <x v="1"/>
    <x v="0"/>
    <x v="3"/>
    <x v="7"/>
    <x v="1073"/>
    <x v="1323"/>
    <x v="2155"/>
    <x v="238"/>
    <x v="8"/>
    <x v="238"/>
    <x v="16"/>
    <x v="19"/>
    <x v="0"/>
    <x v="287"/>
    <x v="12"/>
    <x v="6"/>
    <s v="MEDIA"/>
    <s v="MEDIA"/>
    <n v="64"/>
    <s v="cumple"/>
    <x v="10"/>
    <x v="1"/>
    <x v="2155"/>
    <n v="348"/>
    <x v="0"/>
  </r>
  <r>
    <x v="0"/>
    <x v="1"/>
    <x v="1"/>
    <x v="0"/>
    <x v="3"/>
    <x v="5"/>
    <x v="1074"/>
    <x v="1324"/>
    <x v="2156"/>
    <x v="238"/>
    <x v="13"/>
    <x v="238"/>
    <x v="3"/>
    <x v="19"/>
    <x v="0"/>
    <x v="287"/>
    <x v="12"/>
    <x v="6"/>
    <s v="MEDIA"/>
    <s v="MEDIA"/>
    <n v="64"/>
    <s v="cumple"/>
    <x v="10"/>
    <x v="1"/>
    <x v="2156"/>
    <n v="348"/>
    <x v="0"/>
  </r>
  <r>
    <x v="0"/>
    <x v="0"/>
    <x v="1"/>
    <x v="0"/>
    <x v="3"/>
    <x v="2"/>
    <x v="1075"/>
    <x v="1325"/>
    <x v="2157"/>
    <x v="238"/>
    <x v="4"/>
    <x v="238"/>
    <x v="4"/>
    <x v="2"/>
    <x v="0"/>
    <x v="286"/>
    <x v="12"/>
    <x v="6"/>
    <s v="MEDIA"/>
    <s v="MEDIA"/>
    <n v="64"/>
    <s v="cumple"/>
    <x v="10"/>
    <x v="1"/>
    <x v="2157"/>
    <n v="696"/>
    <x v="0"/>
  </r>
  <r>
    <x v="0"/>
    <x v="1"/>
    <x v="1"/>
    <x v="0"/>
    <x v="3"/>
    <x v="1"/>
    <x v="1076"/>
    <x v="1326"/>
    <x v="2158"/>
    <x v="238"/>
    <x v="6"/>
    <x v="238"/>
    <x v="5"/>
    <x v="2"/>
    <x v="0"/>
    <x v="286"/>
    <x v="12"/>
    <x v="6"/>
    <s v="MEDIA"/>
    <s v="MEDIA"/>
    <n v="64"/>
    <s v="cumple"/>
    <x v="10"/>
    <x v="1"/>
    <x v="2158"/>
    <n v="696"/>
    <x v="0"/>
  </r>
  <r>
    <x v="0"/>
    <x v="1"/>
    <x v="1"/>
    <x v="0"/>
    <x v="3"/>
    <x v="1"/>
    <x v="1077"/>
    <x v="1327"/>
    <x v="2159"/>
    <x v="238"/>
    <x v="3"/>
    <x v="238"/>
    <x v="9"/>
    <x v="2"/>
    <x v="0"/>
    <x v="286"/>
    <x v="12"/>
    <x v="6"/>
    <s v="MEDIA"/>
    <s v="MEDIA"/>
    <n v="64"/>
    <s v="cumple"/>
    <x v="10"/>
    <x v="1"/>
    <x v="2159"/>
    <n v="696"/>
    <x v="0"/>
  </r>
  <r>
    <x v="0"/>
    <x v="1"/>
    <x v="1"/>
    <x v="0"/>
    <x v="3"/>
    <x v="5"/>
    <x v="1078"/>
    <x v="963"/>
    <x v="2160"/>
    <x v="238"/>
    <x v="9"/>
    <x v="238"/>
    <x v="12"/>
    <x v="19"/>
    <x v="0"/>
    <x v="286"/>
    <x v="12"/>
    <x v="6"/>
    <s v="MEDIA"/>
    <s v="MEDIA"/>
    <n v="64"/>
    <s v="cumple"/>
    <x v="10"/>
    <x v="1"/>
    <x v="2160"/>
    <n v="348"/>
    <x v="0"/>
  </r>
  <r>
    <x v="0"/>
    <x v="1"/>
    <x v="1"/>
    <x v="0"/>
    <x v="3"/>
    <x v="1"/>
    <x v="1079"/>
    <x v="1328"/>
    <x v="2161"/>
    <x v="238"/>
    <x v="7"/>
    <x v="238"/>
    <x v="18"/>
    <x v="19"/>
    <x v="0"/>
    <x v="286"/>
    <x v="12"/>
    <x v="6"/>
    <s v="MEDIA"/>
    <s v="MEDIA"/>
    <n v="64"/>
    <s v="cumple"/>
    <x v="10"/>
    <x v="1"/>
    <x v="2161"/>
    <n v="348"/>
    <x v="0"/>
  </r>
  <r>
    <x v="0"/>
    <x v="1"/>
    <x v="1"/>
    <x v="0"/>
    <x v="3"/>
    <x v="1"/>
    <x v="1080"/>
    <x v="1329"/>
    <x v="2162"/>
    <x v="238"/>
    <x v="15"/>
    <x v="238"/>
    <x v="2"/>
    <x v="19"/>
    <x v="0"/>
    <x v="286"/>
    <x v="12"/>
    <x v="6"/>
    <s v="MEDIA"/>
    <s v="MEDIA"/>
    <n v="64"/>
    <s v="cumple"/>
    <x v="10"/>
    <x v="1"/>
    <x v="2162"/>
    <n v="348"/>
    <x v="0"/>
  </r>
  <r>
    <x v="0"/>
    <x v="1"/>
    <x v="1"/>
    <x v="0"/>
    <x v="3"/>
    <x v="5"/>
    <x v="1081"/>
    <x v="993"/>
    <x v="2163"/>
    <x v="238"/>
    <x v="2"/>
    <x v="238"/>
    <x v="17"/>
    <x v="19"/>
    <x v="0"/>
    <x v="286"/>
    <x v="12"/>
    <x v="6"/>
    <s v="MEDIA"/>
    <s v="MEDIA"/>
    <n v="64"/>
    <s v="cumple"/>
    <x v="10"/>
    <x v="1"/>
    <x v="2163"/>
    <n v="348"/>
    <x v="0"/>
  </r>
  <r>
    <x v="0"/>
    <x v="1"/>
    <x v="1"/>
    <x v="0"/>
    <x v="3"/>
    <x v="1"/>
    <x v="1082"/>
    <x v="1330"/>
    <x v="2164"/>
    <x v="238"/>
    <x v="14"/>
    <x v="238"/>
    <x v="1"/>
    <x v="19"/>
    <x v="0"/>
    <x v="286"/>
    <x v="12"/>
    <x v="6"/>
    <s v="MEDIA"/>
    <s v="MEDIA"/>
    <n v="64"/>
    <s v="cumple"/>
    <x v="10"/>
    <x v="1"/>
    <x v="2164"/>
    <n v="348"/>
    <x v="0"/>
  </r>
  <r>
    <x v="0"/>
    <x v="1"/>
    <x v="1"/>
    <x v="0"/>
    <x v="3"/>
    <x v="1"/>
    <x v="1083"/>
    <x v="1331"/>
    <x v="2165"/>
    <x v="238"/>
    <x v="1"/>
    <x v="239"/>
    <x v="21"/>
    <x v="19"/>
    <x v="0"/>
    <x v="286"/>
    <x v="12"/>
    <x v="6"/>
    <s v="MEDIA"/>
    <s v="MEDIA"/>
    <n v="64"/>
    <s v="cumple"/>
    <x v="10"/>
    <x v="1"/>
    <x v="2165"/>
    <n v="348"/>
    <x v="0"/>
  </r>
  <r>
    <x v="0"/>
    <x v="1"/>
    <x v="1"/>
    <x v="0"/>
    <x v="3"/>
    <x v="5"/>
    <x v="1084"/>
    <x v="998"/>
    <x v="2166"/>
    <x v="238"/>
    <x v="16"/>
    <x v="239"/>
    <x v="0"/>
    <x v="19"/>
    <x v="0"/>
    <x v="286"/>
    <x v="12"/>
    <x v="6"/>
    <s v="MEDIA"/>
    <s v="MEDIA"/>
    <n v="64"/>
    <s v="cumple"/>
    <x v="10"/>
    <x v="1"/>
    <x v="2166"/>
    <n v="348"/>
    <x v="0"/>
  </r>
  <r>
    <x v="0"/>
    <x v="1"/>
    <x v="1"/>
    <x v="0"/>
    <x v="3"/>
    <x v="1"/>
    <x v="1085"/>
    <x v="1332"/>
    <x v="2167"/>
    <x v="238"/>
    <x v="17"/>
    <x v="239"/>
    <x v="11"/>
    <x v="2"/>
    <x v="0"/>
    <x v="286"/>
    <x v="12"/>
    <x v="6"/>
    <s v="MEDIA"/>
    <s v="MEDIA"/>
    <n v="64"/>
    <s v="cumple"/>
    <x v="10"/>
    <x v="1"/>
    <x v="2167"/>
    <n v="696"/>
    <x v="0"/>
  </r>
  <r>
    <x v="0"/>
    <x v="1"/>
    <x v="1"/>
    <x v="0"/>
    <x v="3"/>
    <x v="1"/>
    <x v="1086"/>
    <x v="1333"/>
    <x v="2168"/>
    <x v="239"/>
    <x v="0"/>
    <x v="239"/>
    <x v="23"/>
    <x v="19"/>
    <x v="0"/>
    <x v="286"/>
    <x v="12"/>
    <x v="6"/>
    <s v="MEDIA"/>
    <s v="MEDIA"/>
    <n v="64"/>
    <s v="cumple"/>
    <x v="10"/>
    <x v="1"/>
    <x v="2168"/>
    <n v="348"/>
    <x v="0"/>
  </r>
  <r>
    <x v="0"/>
    <x v="1"/>
    <x v="1"/>
    <x v="0"/>
    <x v="3"/>
    <x v="5"/>
    <x v="1087"/>
    <x v="1002"/>
    <x v="2169"/>
    <x v="239"/>
    <x v="19"/>
    <x v="239"/>
    <x v="8"/>
    <x v="19"/>
    <x v="0"/>
    <x v="286"/>
    <x v="12"/>
    <x v="6"/>
    <s v="MEDIA"/>
    <s v="MEDIA"/>
    <n v="64"/>
    <s v="cumple"/>
    <x v="10"/>
    <x v="1"/>
    <x v="2169"/>
    <n v="348"/>
    <x v="0"/>
  </r>
  <r>
    <x v="0"/>
    <x v="1"/>
    <x v="1"/>
    <x v="0"/>
    <x v="3"/>
    <x v="1"/>
    <x v="1088"/>
    <x v="1334"/>
    <x v="2170"/>
    <x v="239"/>
    <x v="8"/>
    <x v="239"/>
    <x v="3"/>
    <x v="2"/>
    <x v="0"/>
    <x v="286"/>
    <x v="12"/>
    <x v="6"/>
    <s v="MEDIA"/>
    <s v="MEDIA"/>
    <n v="64"/>
    <s v="cumple"/>
    <x v="10"/>
    <x v="1"/>
    <x v="2170"/>
    <n v="696"/>
    <x v="0"/>
  </r>
  <r>
    <x v="0"/>
    <x v="1"/>
    <x v="1"/>
    <x v="0"/>
    <x v="3"/>
    <x v="1"/>
    <x v="1089"/>
    <x v="1335"/>
    <x v="2171"/>
    <x v="239"/>
    <x v="4"/>
    <x v="239"/>
    <x v="15"/>
    <x v="19"/>
    <x v="0"/>
    <x v="286"/>
    <x v="12"/>
    <x v="6"/>
    <s v="MEDIA"/>
    <s v="MEDIA"/>
    <n v="64"/>
    <s v="cumple"/>
    <x v="10"/>
    <x v="1"/>
    <x v="2171"/>
    <n v="348"/>
    <x v="0"/>
  </r>
  <r>
    <x v="0"/>
    <x v="1"/>
    <x v="1"/>
    <x v="0"/>
    <x v="3"/>
    <x v="5"/>
    <x v="1090"/>
    <x v="1336"/>
    <x v="2172"/>
    <x v="239"/>
    <x v="12"/>
    <x v="239"/>
    <x v="4"/>
    <x v="19"/>
    <x v="0"/>
    <x v="286"/>
    <x v="12"/>
    <x v="6"/>
    <s v="MEDIA"/>
    <s v="MEDIA"/>
    <n v="64"/>
    <s v="cumple"/>
    <x v="10"/>
    <x v="1"/>
    <x v="2172"/>
    <n v="348"/>
    <x v="0"/>
  </r>
  <r>
    <x v="0"/>
    <x v="1"/>
    <x v="1"/>
    <x v="0"/>
    <x v="3"/>
    <x v="1"/>
    <x v="1091"/>
    <x v="1337"/>
    <x v="2173"/>
    <x v="239"/>
    <x v="6"/>
    <x v="239"/>
    <x v="13"/>
    <x v="19"/>
    <x v="0"/>
    <x v="286"/>
    <x v="12"/>
    <x v="6"/>
    <s v="MEDIA"/>
    <s v="MEDIA"/>
    <n v="64"/>
    <s v="cumple"/>
    <x v="10"/>
    <x v="1"/>
    <x v="2173"/>
    <n v="348"/>
    <x v="0"/>
  </r>
  <r>
    <x v="0"/>
    <x v="1"/>
    <x v="1"/>
    <x v="0"/>
    <x v="3"/>
    <x v="1"/>
    <x v="1092"/>
    <x v="1338"/>
    <x v="2174"/>
    <x v="239"/>
    <x v="10"/>
    <x v="239"/>
    <x v="5"/>
    <x v="19"/>
    <x v="0"/>
    <x v="286"/>
    <x v="12"/>
    <x v="6"/>
    <s v="MEDIA"/>
    <s v="MEDIA"/>
    <n v="64"/>
    <s v="cumple"/>
    <x v="10"/>
    <x v="1"/>
    <x v="2174"/>
    <n v="348"/>
    <x v="0"/>
  </r>
  <r>
    <x v="0"/>
    <x v="1"/>
    <x v="1"/>
    <x v="0"/>
    <x v="3"/>
    <x v="5"/>
    <x v="1093"/>
    <x v="1014"/>
    <x v="2175"/>
    <x v="239"/>
    <x v="3"/>
    <x v="239"/>
    <x v="14"/>
    <x v="19"/>
    <x v="0"/>
    <x v="286"/>
    <x v="12"/>
    <x v="6"/>
    <s v="MEDIA"/>
    <s v="MEDIA"/>
    <n v="64"/>
    <s v="cumple"/>
    <x v="10"/>
    <x v="1"/>
    <x v="2175"/>
    <n v="348"/>
    <x v="0"/>
  </r>
  <r>
    <x v="0"/>
    <x v="1"/>
    <x v="1"/>
    <x v="0"/>
    <x v="3"/>
    <x v="1"/>
    <x v="1094"/>
    <x v="1339"/>
    <x v="2176"/>
    <x v="239"/>
    <x v="11"/>
    <x v="239"/>
    <x v="12"/>
    <x v="2"/>
    <x v="0"/>
    <x v="286"/>
    <x v="12"/>
    <x v="6"/>
    <s v="MEDIA"/>
    <s v="MEDIA"/>
    <n v="64"/>
    <s v="cumple"/>
    <x v="10"/>
    <x v="1"/>
    <x v="2176"/>
    <n v="696"/>
    <x v="0"/>
  </r>
  <r>
    <x v="0"/>
    <x v="1"/>
    <x v="1"/>
    <x v="0"/>
    <x v="3"/>
    <x v="5"/>
    <x v="1095"/>
    <x v="1018"/>
    <x v="2177"/>
    <x v="239"/>
    <x v="7"/>
    <x v="239"/>
    <x v="2"/>
    <x v="2"/>
    <x v="0"/>
    <x v="286"/>
    <x v="12"/>
    <x v="6"/>
    <s v="MEDIA"/>
    <s v="MEDIA"/>
    <n v="64"/>
    <s v="cumple"/>
    <x v="10"/>
    <x v="1"/>
    <x v="2177"/>
    <n v="696"/>
    <x v="0"/>
  </r>
  <r>
    <x v="0"/>
    <x v="1"/>
    <x v="1"/>
    <x v="0"/>
    <x v="3"/>
    <x v="1"/>
    <x v="1096"/>
    <x v="1340"/>
    <x v="2178"/>
    <x v="239"/>
    <x v="2"/>
    <x v="239"/>
    <x v="1"/>
    <x v="2"/>
    <x v="0"/>
    <x v="286"/>
    <x v="12"/>
    <x v="6"/>
    <s v="MEDIA"/>
    <s v="MEDIA"/>
    <n v="64"/>
    <s v="cumple"/>
    <x v="10"/>
    <x v="1"/>
    <x v="2178"/>
    <n v="696"/>
    <x v="0"/>
  </r>
  <r>
    <x v="0"/>
    <x v="1"/>
    <x v="1"/>
    <x v="0"/>
    <x v="3"/>
    <x v="1"/>
    <x v="1097"/>
    <x v="1341"/>
    <x v="2179"/>
    <x v="239"/>
    <x v="1"/>
    <x v="239"/>
    <x v="21"/>
    <x v="19"/>
    <x v="0"/>
    <x v="286"/>
    <x v="12"/>
    <x v="6"/>
    <s v="MEDIA"/>
    <s v="MEDIA"/>
    <n v="64"/>
    <s v="cumple"/>
    <x v="10"/>
    <x v="1"/>
    <x v="2179"/>
    <n v="348"/>
    <x v="0"/>
  </r>
  <r>
    <x v="0"/>
    <x v="1"/>
    <x v="1"/>
    <x v="0"/>
    <x v="3"/>
    <x v="5"/>
    <x v="1098"/>
    <x v="1342"/>
    <x v="2180"/>
    <x v="239"/>
    <x v="16"/>
    <x v="239"/>
    <x v="0"/>
    <x v="19"/>
    <x v="0"/>
    <x v="286"/>
    <x v="12"/>
    <x v="6"/>
    <s v="MEDIA"/>
    <s v="MEDIA"/>
    <n v="64"/>
    <s v="cumple"/>
    <x v="10"/>
    <x v="1"/>
    <x v="2180"/>
    <n v="348"/>
    <x v="0"/>
  </r>
  <r>
    <x v="0"/>
    <x v="1"/>
    <x v="1"/>
    <x v="0"/>
    <x v="3"/>
    <x v="1"/>
    <x v="1099"/>
    <x v="1343"/>
    <x v="2181"/>
    <x v="239"/>
    <x v="17"/>
    <x v="239"/>
    <x v="22"/>
    <x v="19"/>
    <x v="0"/>
    <x v="286"/>
    <x v="12"/>
    <x v="6"/>
    <s v="MEDIA"/>
    <s v="MEDIA"/>
    <n v="64"/>
    <s v="cumple"/>
    <x v="10"/>
    <x v="1"/>
    <x v="2181"/>
    <n v="348"/>
    <x v="0"/>
  </r>
  <r>
    <x v="0"/>
    <x v="1"/>
    <x v="1"/>
    <x v="0"/>
    <x v="3"/>
    <x v="1"/>
    <x v="1100"/>
    <x v="1344"/>
    <x v="2182"/>
    <x v="240"/>
    <x v="0"/>
    <x v="240"/>
    <x v="23"/>
    <x v="19"/>
    <x v="0"/>
    <x v="286"/>
    <x v="12"/>
    <x v="6"/>
    <s v="MEDIA"/>
    <s v="MEDIA"/>
    <n v="64"/>
    <s v="cumple"/>
    <x v="10"/>
    <x v="1"/>
    <x v="2182"/>
    <n v="348"/>
    <x v="0"/>
  </r>
  <r>
    <x v="0"/>
    <x v="1"/>
    <x v="1"/>
    <x v="0"/>
    <x v="3"/>
    <x v="1"/>
    <x v="1101"/>
    <x v="1345"/>
    <x v="2183"/>
    <x v="240"/>
    <x v="19"/>
    <x v="240"/>
    <x v="3"/>
    <x v="15"/>
    <x v="0"/>
    <x v="286"/>
    <x v="12"/>
    <x v="6"/>
    <s v="MEDIA"/>
    <s v="MEDIA"/>
    <n v="64"/>
    <s v="cumple"/>
    <x v="10"/>
    <x v="1"/>
    <x v="2183"/>
    <n v="1044"/>
    <x v="0"/>
  </r>
  <r>
    <x v="0"/>
    <x v="1"/>
    <x v="1"/>
    <x v="0"/>
    <x v="3"/>
    <x v="1"/>
    <x v="1102"/>
    <x v="1346"/>
    <x v="2184"/>
    <x v="240"/>
    <x v="4"/>
    <x v="240"/>
    <x v="4"/>
    <x v="2"/>
    <x v="0"/>
    <x v="286"/>
    <x v="12"/>
    <x v="6"/>
    <s v="MEDIA"/>
    <s v="MEDIA"/>
    <n v="64"/>
    <s v="cumple"/>
    <x v="10"/>
    <x v="1"/>
    <x v="2184"/>
    <n v="696"/>
    <x v="0"/>
  </r>
  <r>
    <x v="0"/>
    <x v="1"/>
    <x v="1"/>
    <x v="0"/>
    <x v="3"/>
    <x v="5"/>
    <x v="1103"/>
    <x v="1030"/>
    <x v="2185"/>
    <x v="240"/>
    <x v="6"/>
    <x v="240"/>
    <x v="13"/>
    <x v="19"/>
    <x v="0"/>
    <x v="286"/>
    <x v="12"/>
    <x v="6"/>
    <s v="MEDIA"/>
    <s v="MEDIA"/>
    <n v="64"/>
    <s v="cumple"/>
    <x v="10"/>
    <x v="1"/>
    <x v="2185"/>
    <n v="348"/>
    <x v="0"/>
  </r>
  <r>
    <x v="0"/>
    <x v="1"/>
    <x v="1"/>
    <x v="0"/>
    <x v="3"/>
    <x v="1"/>
    <x v="1104"/>
    <x v="1347"/>
    <x v="2186"/>
    <x v="240"/>
    <x v="10"/>
    <x v="240"/>
    <x v="5"/>
    <x v="19"/>
    <x v="0"/>
    <x v="286"/>
    <x v="12"/>
    <x v="6"/>
    <s v="MEDIA"/>
    <s v="MEDIA"/>
    <n v="64"/>
    <s v="cumple"/>
    <x v="10"/>
    <x v="1"/>
    <x v="2186"/>
    <n v="348"/>
    <x v="0"/>
  </r>
  <r>
    <x v="0"/>
    <x v="1"/>
    <x v="1"/>
    <x v="0"/>
    <x v="3"/>
    <x v="1"/>
    <x v="1105"/>
    <x v="1348"/>
    <x v="2187"/>
    <x v="240"/>
    <x v="3"/>
    <x v="240"/>
    <x v="9"/>
    <x v="2"/>
    <x v="0"/>
    <x v="286"/>
    <x v="12"/>
    <x v="6"/>
    <s v="MEDIA"/>
    <s v="MEDIA"/>
    <n v="64"/>
    <s v="cumple"/>
    <x v="10"/>
    <x v="1"/>
    <x v="2187"/>
    <n v="696"/>
    <x v="0"/>
  </r>
  <r>
    <x v="0"/>
    <x v="1"/>
    <x v="1"/>
    <x v="0"/>
    <x v="3"/>
    <x v="5"/>
    <x v="1106"/>
    <x v="1034"/>
    <x v="2188"/>
    <x v="240"/>
    <x v="9"/>
    <x v="240"/>
    <x v="12"/>
    <x v="19"/>
    <x v="0"/>
    <x v="286"/>
    <x v="12"/>
    <x v="6"/>
    <s v="MEDIA"/>
    <s v="MEDIA"/>
    <n v="64"/>
    <s v="cumple"/>
    <x v="10"/>
    <x v="1"/>
    <x v="2188"/>
    <n v="348"/>
    <x v="0"/>
  </r>
  <r>
    <x v="0"/>
    <x v="1"/>
    <x v="1"/>
    <x v="0"/>
    <x v="3"/>
    <x v="1"/>
    <x v="1107"/>
    <x v="1349"/>
    <x v="2189"/>
    <x v="240"/>
    <x v="7"/>
    <x v="240"/>
    <x v="2"/>
    <x v="2"/>
    <x v="0"/>
    <x v="286"/>
    <x v="12"/>
    <x v="6"/>
    <s v="MEDIA"/>
    <s v="MEDIA"/>
    <n v="64"/>
    <s v="cumple"/>
    <x v="10"/>
    <x v="1"/>
    <x v="2189"/>
    <n v="696"/>
    <x v="0"/>
  </r>
  <r>
    <x v="0"/>
    <x v="1"/>
    <x v="1"/>
    <x v="0"/>
    <x v="3"/>
    <x v="5"/>
    <x v="1108"/>
    <x v="1350"/>
    <x v="2190"/>
    <x v="240"/>
    <x v="2"/>
    <x v="240"/>
    <x v="17"/>
    <x v="19"/>
    <x v="0"/>
    <x v="286"/>
    <x v="12"/>
    <x v="6"/>
    <s v="MEDIA"/>
    <s v="MEDIA"/>
    <n v="64"/>
    <s v="cumple"/>
    <x v="10"/>
    <x v="1"/>
    <x v="2190"/>
    <n v="348"/>
    <x v="0"/>
  </r>
  <r>
    <x v="0"/>
    <x v="1"/>
    <x v="1"/>
    <x v="0"/>
    <x v="3"/>
    <x v="1"/>
    <x v="1109"/>
    <x v="1351"/>
    <x v="2191"/>
    <x v="240"/>
    <x v="14"/>
    <x v="240"/>
    <x v="1"/>
    <x v="19"/>
    <x v="0"/>
    <x v="286"/>
    <x v="12"/>
    <x v="6"/>
    <s v="MEDIA"/>
    <s v="MEDIA"/>
    <n v="64"/>
    <s v="cumple"/>
    <x v="10"/>
    <x v="1"/>
    <x v="2191"/>
    <n v="348"/>
    <x v="0"/>
  </r>
  <r>
    <x v="0"/>
    <x v="1"/>
    <x v="1"/>
    <x v="0"/>
    <x v="3"/>
    <x v="1"/>
    <x v="1110"/>
    <x v="1352"/>
    <x v="2192"/>
    <x v="240"/>
    <x v="1"/>
    <x v="240"/>
    <x v="0"/>
    <x v="2"/>
    <x v="0"/>
    <x v="286"/>
    <x v="12"/>
    <x v="6"/>
    <s v="MEDIA"/>
    <s v="MEDIA"/>
    <n v="64"/>
    <s v="cumple"/>
    <x v="10"/>
    <x v="1"/>
    <x v="2192"/>
    <n v="696"/>
    <x v="0"/>
  </r>
  <r>
    <x v="0"/>
    <x v="1"/>
    <x v="1"/>
    <x v="0"/>
    <x v="3"/>
    <x v="5"/>
    <x v="1111"/>
    <x v="1353"/>
    <x v="2193"/>
    <x v="240"/>
    <x v="17"/>
    <x v="240"/>
    <x v="22"/>
    <x v="19"/>
    <x v="0"/>
    <x v="286"/>
    <x v="12"/>
    <x v="6"/>
    <s v="MEDIA"/>
    <s v="MEDIA"/>
    <n v="64"/>
    <s v="cumple"/>
    <x v="10"/>
    <x v="1"/>
    <x v="2193"/>
    <n v="348"/>
    <x v="0"/>
  </r>
  <r>
    <x v="1"/>
    <x v="0"/>
    <x v="3"/>
    <x v="0"/>
    <x v="16"/>
    <x v="3"/>
    <x v="1112"/>
    <x v="1354"/>
    <x v="2194"/>
    <x v="221"/>
    <x v="37"/>
    <x v="221"/>
    <x v="49"/>
    <x v="20"/>
    <x v="0"/>
    <x v="196"/>
    <x v="13"/>
    <x v="7"/>
    <s v="MEDIA"/>
    <s v="MEDIA"/>
    <n v="64"/>
    <s v="cumple"/>
    <x v="10"/>
    <x v="3"/>
    <x v="2194"/>
    <n v="6611.9999999999991"/>
    <x v="0"/>
  </r>
  <r>
    <x v="1"/>
    <x v="0"/>
    <x v="3"/>
    <x v="0"/>
    <x v="16"/>
    <x v="3"/>
    <x v="1113"/>
    <x v="1355"/>
    <x v="2195"/>
    <x v="222"/>
    <x v="0"/>
    <x v="222"/>
    <x v="11"/>
    <x v="20"/>
    <x v="0"/>
    <x v="196"/>
    <x v="13"/>
    <x v="7"/>
    <s v="MEDIA"/>
    <s v="MEDIA"/>
    <n v="64"/>
    <s v="cumple"/>
    <x v="10"/>
    <x v="3"/>
    <x v="2195"/>
    <n v="6611.9999999999991"/>
    <x v="0"/>
  </r>
  <r>
    <x v="1"/>
    <x v="0"/>
    <x v="3"/>
    <x v="0"/>
    <x v="16"/>
    <x v="3"/>
    <x v="1114"/>
    <x v="1354"/>
    <x v="2196"/>
    <x v="223"/>
    <x v="0"/>
    <x v="223"/>
    <x v="11"/>
    <x v="20"/>
    <x v="1"/>
    <x v="196"/>
    <x v="13"/>
    <x v="7"/>
    <s v="MEDIA"/>
    <s v="MEDIA"/>
    <n v="64"/>
    <s v="cumple"/>
    <x v="10"/>
    <x v="3"/>
    <x v="2196"/>
    <n v="6611.9999999999991"/>
    <x v="0"/>
  </r>
  <r>
    <x v="1"/>
    <x v="0"/>
    <x v="3"/>
    <x v="0"/>
    <x v="16"/>
    <x v="3"/>
    <x v="1114"/>
    <x v="1354"/>
    <x v="2196"/>
    <x v="224"/>
    <x v="0"/>
    <x v="224"/>
    <x v="11"/>
    <x v="20"/>
    <x v="1"/>
    <x v="196"/>
    <x v="13"/>
    <x v="7"/>
    <s v="MEDIA"/>
    <s v="MEDIA"/>
    <n v="64"/>
    <s v="cumple"/>
    <x v="10"/>
    <x v="3"/>
    <x v="2196"/>
    <n v="6611.9999999999991"/>
    <x v="0"/>
  </r>
  <r>
    <x v="1"/>
    <x v="0"/>
    <x v="3"/>
    <x v="0"/>
    <x v="16"/>
    <x v="3"/>
    <x v="1114"/>
    <x v="1354"/>
    <x v="2196"/>
    <x v="225"/>
    <x v="0"/>
    <x v="225"/>
    <x v="11"/>
    <x v="20"/>
    <x v="1"/>
    <x v="196"/>
    <x v="13"/>
    <x v="7"/>
    <s v="MEDIA"/>
    <s v="MEDIA"/>
    <n v="64"/>
    <s v="cumple"/>
    <x v="10"/>
    <x v="3"/>
    <x v="2196"/>
    <n v="6611.9999999999991"/>
    <x v="0"/>
  </r>
  <r>
    <x v="1"/>
    <x v="0"/>
    <x v="3"/>
    <x v="0"/>
    <x v="16"/>
    <x v="3"/>
    <x v="1114"/>
    <x v="1354"/>
    <x v="2196"/>
    <x v="226"/>
    <x v="0"/>
    <x v="226"/>
    <x v="11"/>
    <x v="20"/>
    <x v="1"/>
    <x v="196"/>
    <x v="13"/>
    <x v="7"/>
    <s v="MEDIA"/>
    <s v="MEDIA"/>
    <n v="64"/>
    <s v="cumple"/>
    <x v="10"/>
    <x v="3"/>
    <x v="2196"/>
    <n v="6611.9999999999991"/>
    <x v="0"/>
  </r>
  <r>
    <x v="1"/>
    <x v="0"/>
    <x v="3"/>
    <x v="0"/>
    <x v="16"/>
    <x v="3"/>
    <x v="1114"/>
    <x v="1354"/>
    <x v="2196"/>
    <x v="227"/>
    <x v="41"/>
    <x v="227"/>
    <x v="50"/>
    <x v="20"/>
    <x v="0"/>
    <x v="196"/>
    <x v="13"/>
    <x v="7"/>
    <s v="MEDIA"/>
    <s v="MEDIA"/>
    <n v="64"/>
    <s v="cumple"/>
    <x v="10"/>
    <x v="3"/>
    <x v="2196"/>
    <n v="6611.9999999999991"/>
    <x v="0"/>
  </r>
  <r>
    <x v="1"/>
    <x v="0"/>
    <x v="3"/>
    <x v="0"/>
    <x v="16"/>
    <x v="3"/>
    <x v="1115"/>
    <x v="1356"/>
    <x v="2197"/>
    <x v="228"/>
    <x v="0"/>
    <x v="228"/>
    <x v="11"/>
    <x v="20"/>
    <x v="0"/>
    <x v="196"/>
    <x v="13"/>
    <x v="7"/>
    <s v="MEDIA"/>
    <s v="MEDIA"/>
    <n v="64"/>
    <s v="cumple"/>
    <x v="10"/>
    <x v="3"/>
    <x v="2197"/>
    <n v="6611.9999999999991"/>
    <x v="0"/>
  </r>
  <r>
    <x v="1"/>
    <x v="0"/>
    <x v="3"/>
    <x v="0"/>
    <x v="16"/>
    <x v="3"/>
    <x v="1116"/>
    <x v="1357"/>
    <x v="2198"/>
    <x v="229"/>
    <x v="0"/>
    <x v="229"/>
    <x v="11"/>
    <x v="20"/>
    <x v="0"/>
    <x v="196"/>
    <x v="13"/>
    <x v="7"/>
    <s v="MEDIA"/>
    <s v="MEDIA"/>
    <n v="64"/>
    <s v="cumple"/>
    <x v="10"/>
    <x v="3"/>
    <x v="2198"/>
    <n v="6611.9999999999991"/>
    <x v="0"/>
  </r>
  <r>
    <x v="1"/>
    <x v="0"/>
    <x v="3"/>
    <x v="0"/>
    <x v="16"/>
    <x v="3"/>
    <x v="1117"/>
    <x v="1356"/>
    <x v="2197"/>
    <x v="230"/>
    <x v="0"/>
    <x v="230"/>
    <x v="11"/>
    <x v="20"/>
    <x v="0"/>
    <x v="196"/>
    <x v="13"/>
    <x v="7"/>
    <s v="MEDIA"/>
    <s v="MEDIA"/>
    <n v="64"/>
    <s v="cumple"/>
    <x v="10"/>
    <x v="3"/>
    <x v="2197"/>
    <n v="6611.9999999999991"/>
    <x v="0"/>
  </r>
  <r>
    <x v="1"/>
    <x v="0"/>
    <x v="3"/>
    <x v="0"/>
    <x v="16"/>
    <x v="3"/>
    <x v="1118"/>
    <x v="1358"/>
    <x v="2199"/>
    <x v="231"/>
    <x v="0"/>
    <x v="231"/>
    <x v="11"/>
    <x v="20"/>
    <x v="0"/>
    <x v="196"/>
    <x v="13"/>
    <x v="7"/>
    <s v="MEDIA"/>
    <s v="MEDIA"/>
    <n v="64"/>
    <s v="cumple"/>
    <x v="10"/>
    <x v="3"/>
    <x v="2199"/>
    <n v="6611.9999999999991"/>
    <x v="0"/>
  </r>
  <r>
    <x v="1"/>
    <x v="0"/>
    <x v="3"/>
    <x v="0"/>
    <x v="16"/>
    <x v="3"/>
    <x v="1119"/>
    <x v="1356"/>
    <x v="2197"/>
    <x v="232"/>
    <x v="0"/>
    <x v="232"/>
    <x v="11"/>
    <x v="20"/>
    <x v="0"/>
    <x v="196"/>
    <x v="13"/>
    <x v="7"/>
    <s v="MEDIA"/>
    <s v="MEDIA"/>
    <n v="64"/>
    <s v="cumple"/>
    <x v="10"/>
    <x v="3"/>
    <x v="2197"/>
    <n v="6611.9999999999991"/>
    <x v="0"/>
  </r>
  <r>
    <x v="1"/>
    <x v="0"/>
    <x v="3"/>
    <x v="0"/>
    <x v="16"/>
    <x v="3"/>
    <x v="1120"/>
    <x v="1359"/>
    <x v="2200"/>
    <x v="233"/>
    <x v="41"/>
    <x v="233"/>
    <x v="50"/>
    <x v="20"/>
    <x v="1"/>
    <x v="238"/>
    <x v="13"/>
    <x v="7"/>
    <s v="MEDIA"/>
    <s v="MEDIA"/>
    <n v="64"/>
    <s v="cumple"/>
    <x v="10"/>
    <x v="3"/>
    <x v="2200"/>
    <n v="6611.9999999999991"/>
    <x v="0"/>
  </r>
  <r>
    <x v="1"/>
    <x v="0"/>
    <x v="3"/>
    <x v="0"/>
    <x v="16"/>
    <x v="3"/>
    <x v="1120"/>
    <x v="1359"/>
    <x v="2200"/>
    <x v="234"/>
    <x v="42"/>
    <x v="234"/>
    <x v="51"/>
    <x v="20"/>
    <x v="1"/>
    <x v="238"/>
    <x v="13"/>
    <x v="7"/>
    <s v="MEDIA"/>
    <s v="MEDIA"/>
    <n v="64"/>
    <s v="cumple"/>
    <x v="10"/>
    <x v="3"/>
    <x v="2200"/>
    <n v="6611.9999999999991"/>
    <x v="0"/>
  </r>
  <r>
    <x v="1"/>
    <x v="0"/>
    <x v="3"/>
    <x v="0"/>
    <x v="16"/>
    <x v="3"/>
    <x v="1120"/>
    <x v="1359"/>
    <x v="2200"/>
    <x v="235"/>
    <x v="41"/>
    <x v="235"/>
    <x v="50"/>
    <x v="20"/>
    <x v="0"/>
    <x v="238"/>
    <x v="13"/>
    <x v="7"/>
    <s v="MEDIA"/>
    <s v="MEDIA"/>
    <n v="64"/>
    <s v="cumple"/>
    <x v="10"/>
    <x v="3"/>
    <x v="2200"/>
    <n v="6611.9999999999991"/>
    <x v="0"/>
  </r>
  <r>
    <x v="1"/>
    <x v="0"/>
    <x v="3"/>
    <x v="0"/>
    <x v="16"/>
    <x v="3"/>
    <x v="1121"/>
    <x v="1360"/>
    <x v="2201"/>
    <x v="236"/>
    <x v="37"/>
    <x v="236"/>
    <x v="49"/>
    <x v="20"/>
    <x v="1"/>
    <x v="238"/>
    <x v="13"/>
    <x v="7"/>
    <s v="MEDIA"/>
    <s v="MEDIA"/>
    <n v="64"/>
    <s v="cumple"/>
    <x v="10"/>
    <x v="3"/>
    <x v="2201"/>
    <n v="6611.9999999999991"/>
    <x v="0"/>
  </r>
  <r>
    <x v="1"/>
    <x v="0"/>
    <x v="3"/>
    <x v="0"/>
    <x v="16"/>
    <x v="7"/>
    <x v="1121"/>
    <x v="1360"/>
    <x v="2201"/>
    <x v="237"/>
    <x v="0"/>
    <x v="237"/>
    <x v="11"/>
    <x v="20"/>
    <x v="1"/>
    <x v="238"/>
    <x v="13"/>
    <x v="7"/>
    <s v="MEDIA"/>
    <s v="MEDIA"/>
    <n v="64"/>
    <s v="cumple"/>
    <x v="10"/>
    <x v="3"/>
    <x v="2201"/>
    <n v="6611.9999999999991"/>
    <x v="0"/>
  </r>
  <r>
    <x v="1"/>
    <x v="0"/>
    <x v="3"/>
    <x v="0"/>
    <x v="16"/>
    <x v="7"/>
    <x v="1121"/>
    <x v="1360"/>
    <x v="2201"/>
    <x v="238"/>
    <x v="0"/>
    <x v="238"/>
    <x v="11"/>
    <x v="20"/>
    <x v="1"/>
    <x v="238"/>
    <x v="13"/>
    <x v="7"/>
    <s v="MEDIA"/>
    <s v="MEDIA"/>
    <n v="64"/>
    <s v="cumple"/>
    <x v="10"/>
    <x v="3"/>
    <x v="2201"/>
    <n v="6611.9999999999991"/>
    <x v="0"/>
  </r>
  <r>
    <x v="1"/>
    <x v="0"/>
    <x v="3"/>
    <x v="0"/>
    <x v="16"/>
    <x v="7"/>
    <x v="1121"/>
    <x v="1360"/>
    <x v="2201"/>
    <x v="239"/>
    <x v="0"/>
    <x v="239"/>
    <x v="11"/>
    <x v="10"/>
    <x v="1"/>
    <x v="238"/>
    <x v="13"/>
    <x v="7"/>
    <s v="MEDIA"/>
    <s v="MEDIA"/>
    <n v="64"/>
    <s v="cumple"/>
    <x v="10"/>
    <x v="3"/>
    <x v="2201"/>
    <n v="6959.9999999999991"/>
    <x v="0"/>
  </r>
  <r>
    <x v="1"/>
    <x v="0"/>
    <x v="3"/>
    <x v="0"/>
    <x v="16"/>
    <x v="7"/>
    <x v="1121"/>
    <x v="1360"/>
    <x v="2201"/>
    <x v="240"/>
    <x v="0"/>
    <x v="240"/>
    <x v="11"/>
    <x v="20"/>
    <x v="0"/>
    <x v="238"/>
    <x v="13"/>
    <x v="7"/>
    <s v="MEDIA"/>
    <s v="MEDIA"/>
    <n v="64"/>
    <s v="cumple"/>
    <x v="10"/>
    <x v="3"/>
    <x v="2201"/>
    <n v="6611.9999999999991"/>
    <x v="0"/>
  </r>
  <r>
    <x v="0"/>
    <x v="1"/>
    <x v="0"/>
    <x v="0"/>
    <x v="26"/>
    <x v="1"/>
    <x v="1122"/>
    <x v="1361"/>
    <x v="2202"/>
    <x v="221"/>
    <x v="0"/>
    <x v="221"/>
    <x v="12"/>
    <x v="16"/>
    <x v="0"/>
    <x v="289"/>
    <x v="23"/>
    <x v="0"/>
    <s v="MEDIA"/>
    <s v="MEDIA"/>
    <n v="64"/>
    <s v="cumple"/>
    <x v="10"/>
    <x v="0"/>
    <x v="2202"/>
    <n v="4466"/>
    <x v="1"/>
  </r>
  <r>
    <x v="0"/>
    <x v="1"/>
    <x v="0"/>
    <x v="0"/>
    <x v="26"/>
    <x v="1"/>
    <x v="1123"/>
    <x v="1361"/>
    <x v="2203"/>
    <x v="221"/>
    <x v="7"/>
    <x v="221"/>
    <x v="0"/>
    <x v="5"/>
    <x v="0"/>
    <x v="289"/>
    <x v="23"/>
    <x v="0"/>
    <s v="MEDIA"/>
    <s v="MEDIA"/>
    <n v="64"/>
    <s v="cumple"/>
    <x v="10"/>
    <x v="0"/>
    <x v="2203"/>
    <n v="2436"/>
    <x v="1"/>
  </r>
  <r>
    <x v="0"/>
    <x v="1"/>
    <x v="0"/>
    <x v="0"/>
    <x v="26"/>
    <x v="1"/>
    <x v="1124"/>
    <x v="1361"/>
    <x v="2204"/>
    <x v="222"/>
    <x v="0"/>
    <x v="222"/>
    <x v="12"/>
    <x v="16"/>
    <x v="0"/>
    <x v="289"/>
    <x v="23"/>
    <x v="0"/>
    <s v="MEDIA"/>
    <s v="MEDIA"/>
    <n v="64"/>
    <s v="cumple"/>
    <x v="10"/>
    <x v="0"/>
    <x v="2204"/>
    <n v="4466"/>
    <x v="1"/>
  </r>
  <r>
    <x v="0"/>
    <x v="1"/>
    <x v="0"/>
    <x v="0"/>
    <x v="26"/>
    <x v="1"/>
    <x v="1125"/>
    <x v="1361"/>
    <x v="2205"/>
    <x v="222"/>
    <x v="7"/>
    <x v="222"/>
    <x v="0"/>
    <x v="5"/>
    <x v="0"/>
    <x v="289"/>
    <x v="23"/>
    <x v="0"/>
    <s v="MEDIA"/>
    <s v="MEDIA"/>
    <n v="64"/>
    <s v="cumple"/>
    <x v="10"/>
    <x v="0"/>
    <x v="2205"/>
    <n v="2436"/>
    <x v="1"/>
  </r>
  <r>
    <x v="0"/>
    <x v="1"/>
    <x v="0"/>
    <x v="0"/>
    <x v="26"/>
    <x v="1"/>
    <x v="1126"/>
    <x v="1361"/>
    <x v="2206"/>
    <x v="223"/>
    <x v="0"/>
    <x v="223"/>
    <x v="11"/>
    <x v="11"/>
    <x v="1"/>
    <x v="37"/>
    <x v="23"/>
    <x v="0"/>
    <s v="MEDIA"/>
    <s v="MEDIA"/>
    <n v="64"/>
    <s v="cumple"/>
    <x v="10"/>
    <x v="0"/>
    <x v="2206"/>
    <n v="7307.9999999999991"/>
    <x v="1"/>
  </r>
  <r>
    <x v="0"/>
    <x v="1"/>
    <x v="0"/>
    <x v="0"/>
    <x v="26"/>
    <x v="1"/>
    <x v="1126"/>
    <x v="1361"/>
    <x v="2206"/>
    <x v="224"/>
    <x v="0"/>
    <x v="224"/>
    <x v="11"/>
    <x v="11"/>
    <x v="0"/>
    <x v="289"/>
    <x v="23"/>
    <x v="0"/>
    <s v="MEDIA"/>
    <s v="MEDIA"/>
    <n v="64"/>
    <s v="cumple"/>
    <x v="10"/>
    <x v="0"/>
    <x v="2206"/>
    <n v="7307.9999999999991"/>
    <x v="1"/>
  </r>
  <r>
    <x v="0"/>
    <x v="1"/>
    <x v="0"/>
    <x v="0"/>
    <x v="26"/>
    <x v="1"/>
    <x v="1127"/>
    <x v="1361"/>
    <x v="2207"/>
    <x v="225"/>
    <x v="0"/>
    <x v="225"/>
    <x v="11"/>
    <x v="11"/>
    <x v="0"/>
    <x v="289"/>
    <x v="23"/>
    <x v="0"/>
    <s v="MEDIA"/>
    <s v="MEDIA"/>
    <n v="64"/>
    <s v="cumple"/>
    <x v="10"/>
    <x v="0"/>
    <x v="2207"/>
    <n v="7307.9999999999991"/>
    <x v="1"/>
  </r>
  <r>
    <x v="0"/>
    <x v="1"/>
    <x v="0"/>
    <x v="0"/>
    <x v="26"/>
    <x v="1"/>
    <x v="1128"/>
    <x v="1361"/>
    <x v="2208"/>
    <x v="226"/>
    <x v="0"/>
    <x v="226"/>
    <x v="0"/>
    <x v="8"/>
    <x v="0"/>
    <x v="289"/>
    <x v="23"/>
    <x v="0"/>
    <s v="MEDIA"/>
    <s v="MEDIA"/>
    <n v="64"/>
    <s v="cumple"/>
    <x v="10"/>
    <x v="0"/>
    <x v="2208"/>
    <n v="6901.9999999999991"/>
    <x v="1"/>
  </r>
  <r>
    <x v="0"/>
    <x v="1"/>
    <x v="0"/>
    <x v="0"/>
    <x v="26"/>
    <x v="1"/>
    <x v="1129"/>
    <x v="1361"/>
    <x v="2209"/>
    <x v="227"/>
    <x v="0"/>
    <x v="227"/>
    <x v="0"/>
    <x v="8"/>
    <x v="1"/>
    <x v="37"/>
    <x v="23"/>
    <x v="0"/>
    <s v="MEDIA"/>
    <s v="MEDIA"/>
    <n v="64"/>
    <s v="cumple"/>
    <x v="10"/>
    <x v="0"/>
    <x v="2209"/>
    <n v="6901.9999999999991"/>
    <x v="1"/>
  </r>
  <r>
    <x v="0"/>
    <x v="1"/>
    <x v="0"/>
    <x v="0"/>
    <x v="26"/>
    <x v="1"/>
    <x v="1129"/>
    <x v="1361"/>
    <x v="2209"/>
    <x v="228"/>
    <x v="0"/>
    <x v="228"/>
    <x v="12"/>
    <x v="16"/>
    <x v="0"/>
    <x v="289"/>
    <x v="23"/>
    <x v="0"/>
    <s v="MEDIA"/>
    <s v="MEDIA"/>
    <n v="64"/>
    <s v="cumple"/>
    <x v="10"/>
    <x v="0"/>
    <x v="2209"/>
    <n v="4466"/>
    <x v="1"/>
  </r>
  <r>
    <x v="0"/>
    <x v="1"/>
    <x v="0"/>
    <x v="0"/>
    <x v="26"/>
    <x v="1"/>
    <x v="1130"/>
    <x v="1362"/>
    <x v="2210"/>
    <x v="228"/>
    <x v="7"/>
    <x v="228"/>
    <x v="11"/>
    <x v="7"/>
    <x v="1"/>
    <x v="37"/>
    <x v="23"/>
    <x v="0"/>
    <s v="MEDIA"/>
    <s v="MEDIA"/>
    <n v="64"/>
    <s v="cumple"/>
    <x v="10"/>
    <x v="0"/>
    <x v="2210"/>
    <n v="3248"/>
    <x v="1"/>
  </r>
  <r>
    <x v="0"/>
    <x v="1"/>
    <x v="0"/>
    <x v="0"/>
    <x v="26"/>
    <x v="1"/>
    <x v="1130"/>
    <x v="1362"/>
    <x v="2210"/>
    <x v="229"/>
    <x v="0"/>
    <x v="229"/>
    <x v="12"/>
    <x v="16"/>
    <x v="0"/>
    <x v="289"/>
    <x v="23"/>
    <x v="0"/>
    <s v="MEDIA"/>
    <s v="MEDIA"/>
    <n v="64"/>
    <s v="cumple"/>
    <x v="10"/>
    <x v="0"/>
    <x v="2210"/>
    <n v="4466"/>
    <x v="1"/>
  </r>
  <r>
    <x v="0"/>
    <x v="1"/>
    <x v="0"/>
    <x v="0"/>
    <x v="26"/>
    <x v="1"/>
    <x v="1131"/>
    <x v="1362"/>
    <x v="2211"/>
    <x v="229"/>
    <x v="7"/>
    <x v="229"/>
    <x v="11"/>
    <x v="7"/>
    <x v="0"/>
    <x v="289"/>
    <x v="23"/>
    <x v="0"/>
    <s v="MEDIA"/>
    <s v="MEDIA"/>
    <n v="64"/>
    <s v="cumple"/>
    <x v="10"/>
    <x v="0"/>
    <x v="2211"/>
    <n v="3248"/>
    <x v="1"/>
  </r>
  <r>
    <x v="0"/>
    <x v="1"/>
    <x v="0"/>
    <x v="0"/>
    <x v="26"/>
    <x v="1"/>
    <x v="1132"/>
    <x v="1362"/>
    <x v="2212"/>
    <x v="230"/>
    <x v="0"/>
    <x v="230"/>
    <x v="3"/>
    <x v="4"/>
    <x v="0"/>
    <x v="289"/>
    <x v="23"/>
    <x v="0"/>
    <s v="MEDIA"/>
    <s v="MEDIA"/>
    <n v="64"/>
    <s v="cumple"/>
    <x v="10"/>
    <x v="0"/>
    <x v="2212"/>
    <n v="1624"/>
    <x v="1"/>
  </r>
  <r>
    <x v="0"/>
    <x v="1"/>
    <x v="0"/>
    <x v="0"/>
    <x v="26"/>
    <x v="1"/>
    <x v="1133"/>
    <x v="1362"/>
    <x v="2213"/>
    <x v="232"/>
    <x v="4"/>
    <x v="232"/>
    <x v="4"/>
    <x v="2"/>
    <x v="0"/>
    <x v="289"/>
    <x v="23"/>
    <x v="0"/>
    <s v="MEDIA"/>
    <s v="MEDIA"/>
    <n v="64"/>
    <s v="cumple"/>
    <x v="10"/>
    <x v="0"/>
    <x v="2213"/>
    <n v="812"/>
    <x v="1"/>
  </r>
  <r>
    <x v="0"/>
    <x v="1"/>
    <x v="0"/>
    <x v="0"/>
    <x v="26"/>
    <x v="1"/>
    <x v="1134"/>
    <x v="1362"/>
    <x v="2214"/>
    <x v="232"/>
    <x v="6"/>
    <x v="232"/>
    <x v="12"/>
    <x v="12"/>
    <x v="0"/>
    <x v="289"/>
    <x v="23"/>
    <x v="0"/>
    <s v="MEDIA"/>
    <s v="MEDIA"/>
    <n v="64"/>
    <s v="cumple"/>
    <x v="10"/>
    <x v="0"/>
    <x v="2214"/>
    <n v="2029.9999999999998"/>
    <x v="1"/>
  </r>
  <r>
    <x v="0"/>
    <x v="1"/>
    <x v="0"/>
    <x v="0"/>
    <x v="26"/>
    <x v="1"/>
    <x v="1135"/>
    <x v="1362"/>
    <x v="2215"/>
    <x v="232"/>
    <x v="7"/>
    <x v="232"/>
    <x v="2"/>
    <x v="2"/>
    <x v="0"/>
    <x v="289"/>
    <x v="23"/>
    <x v="0"/>
    <s v="MEDIA"/>
    <s v="MEDIA"/>
    <n v="64"/>
    <s v="cumple"/>
    <x v="10"/>
    <x v="0"/>
    <x v="2215"/>
    <n v="812"/>
    <x v="1"/>
  </r>
  <r>
    <x v="0"/>
    <x v="1"/>
    <x v="0"/>
    <x v="0"/>
    <x v="26"/>
    <x v="1"/>
    <x v="1136"/>
    <x v="1362"/>
    <x v="2216"/>
    <x v="232"/>
    <x v="2"/>
    <x v="232"/>
    <x v="1"/>
    <x v="2"/>
    <x v="0"/>
    <x v="289"/>
    <x v="23"/>
    <x v="0"/>
    <s v="MEDIA"/>
    <s v="MEDIA"/>
    <n v="64"/>
    <s v="cumple"/>
    <x v="10"/>
    <x v="0"/>
    <x v="2216"/>
    <n v="812"/>
    <x v="1"/>
  </r>
  <r>
    <x v="0"/>
    <x v="1"/>
    <x v="0"/>
    <x v="0"/>
    <x v="26"/>
    <x v="1"/>
    <x v="1137"/>
    <x v="1362"/>
    <x v="2217"/>
    <x v="233"/>
    <x v="0"/>
    <x v="233"/>
    <x v="12"/>
    <x v="16"/>
    <x v="0"/>
    <x v="289"/>
    <x v="23"/>
    <x v="0"/>
    <s v="MEDIA"/>
    <s v="MEDIA"/>
    <n v="64"/>
    <s v="cumple"/>
    <x v="10"/>
    <x v="0"/>
    <x v="2217"/>
    <n v="4466"/>
    <x v="1"/>
  </r>
  <r>
    <x v="0"/>
    <x v="1"/>
    <x v="0"/>
    <x v="0"/>
    <x v="26"/>
    <x v="1"/>
    <x v="1138"/>
    <x v="1362"/>
    <x v="2218"/>
    <x v="233"/>
    <x v="7"/>
    <x v="233"/>
    <x v="1"/>
    <x v="4"/>
    <x v="0"/>
    <x v="289"/>
    <x v="23"/>
    <x v="0"/>
    <s v="MEDIA"/>
    <s v="MEDIA"/>
    <n v="64"/>
    <s v="cumple"/>
    <x v="10"/>
    <x v="0"/>
    <x v="2218"/>
    <n v="1624"/>
    <x v="1"/>
  </r>
  <r>
    <x v="0"/>
    <x v="1"/>
    <x v="0"/>
    <x v="0"/>
    <x v="26"/>
    <x v="1"/>
    <x v="1139"/>
    <x v="1362"/>
    <x v="2219"/>
    <x v="233"/>
    <x v="1"/>
    <x v="233"/>
    <x v="11"/>
    <x v="4"/>
    <x v="0"/>
    <x v="289"/>
    <x v="23"/>
    <x v="0"/>
    <s v="MEDIA"/>
    <s v="MEDIA"/>
    <n v="64"/>
    <s v="cumple"/>
    <x v="10"/>
    <x v="0"/>
    <x v="2219"/>
    <n v="1624"/>
    <x v="1"/>
  </r>
  <r>
    <x v="0"/>
    <x v="1"/>
    <x v="0"/>
    <x v="0"/>
    <x v="26"/>
    <x v="1"/>
    <x v="1140"/>
    <x v="1362"/>
    <x v="2220"/>
    <x v="234"/>
    <x v="0"/>
    <x v="234"/>
    <x v="3"/>
    <x v="4"/>
    <x v="0"/>
    <x v="289"/>
    <x v="23"/>
    <x v="0"/>
    <s v="MEDIA"/>
    <s v="MEDIA"/>
    <n v="64"/>
    <s v="cumple"/>
    <x v="10"/>
    <x v="0"/>
    <x v="2220"/>
    <n v="1624"/>
    <x v="1"/>
  </r>
  <r>
    <x v="0"/>
    <x v="1"/>
    <x v="0"/>
    <x v="0"/>
    <x v="26"/>
    <x v="1"/>
    <x v="1141"/>
    <x v="1362"/>
    <x v="2221"/>
    <x v="234"/>
    <x v="4"/>
    <x v="234"/>
    <x v="5"/>
    <x v="4"/>
    <x v="0"/>
    <x v="289"/>
    <x v="23"/>
    <x v="0"/>
    <s v="MEDIA"/>
    <s v="MEDIA"/>
    <n v="64"/>
    <s v="cumple"/>
    <x v="10"/>
    <x v="0"/>
    <x v="2221"/>
    <n v="1624"/>
    <x v="1"/>
  </r>
  <r>
    <x v="0"/>
    <x v="1"/>
    <x v="0"/>
    <x v="0"/>
    <x v="26"/>
    <x v="1"/>
    <x v="1142"/>
    <x v="1362"/>
    <x v="2222"/>
    <x v="234"/>
    <x v="3"/>
    <x v="234"/>
    <x v="12"/>
    <x v="15"/>
    <x v="0"/>
    <x v="289"/>
    <x v="23"/>
    <x v="0"/>
    <s v="MEDIA"/>
    <s v="MEDIA"/>
    <n v="64"/>
    <s v="cumple"/>
    <x v="10"/>
    <x v="0"/>
    <x v="2222"/>
    <n v="1218"/>
    <x v="1"/>
  </r>
  <r>
    <x v="0"/>
    <x v="1"/>
    <x v="0"/>
    <x v="0"/>
    <x v="26"/>
    <x v="1"/>
    <x v="1143"/>
    <x v="1362"/>
    <x v="2223"/>
    <x v="234"/>
    <x v="7"/>
    <x v="234"/>
    <x v="1"/>
    <x v="4"/>
    <x v="0"/>
    <x v="289"/>
    <x v="23"/>
    <x v="0"/>
    <s v="MEDIA"/>
    <s v="MEDIA"/>
    <n v="64"/>
    <s v="cumple"/>
    <x v="10"/>
    <x v="0"/>
    <x v="2223"/>
    <n v="1624"/>
    <x v="1"/>
  </r>
  <r>
    <x v="0"/>
    <x v="1"/>
    <x v="0"/>
    <x v="0"/>
    <x v="26"/>
    <x v="1"/>
    <x v="1144"/>
    <x v="1362"/>
    <x v="2224"/>
    <x v="234"/>
    <x v="1"/>
    <x v="234"/>
    <x v="11"/>
    <x v="4"/>
    <x v="0"/>
    <x v="289"/>
    <x v="23"/>
    <x v="0"/>
    <s v="MEDIA"/>
    <s v="MEDIA"/>
    <n v="64"/>
    <s v="cumple"/>
    <x v="10"/>
    <x v="0"/>
    <x v="2224"/>
    <n v="1624"/>
    <x v="1"/>
  </r>
  <r>
    <x v="0"/>
    <x v="1"/>
    <x v="0"/>
    <x v="0"/>
    <x v="26"/>
    <x v="1"/>
    <x v="1145"/>
    <x v="1362"/>
    <x v="2225"/>
    <x v="235"/>
    <x v="0"/>
    <x v="235"/>
    <x v="3"/>
    <x v="4"/>
    <x v="0"/>
    <x v="289"/>
    <x v="23"/>
    <x v="0"/>
    <s v="MEDIA"/>
    <s v="MEDIA"/>
    <n v="64"/>
    <s v="cumple"/>
    <x v="10"/>
    <x v="0"/>
    <x v="2225"/>
    <n v="1624"/>
    <x v="1"/>
  </r>
  <r>
    <x v="0"/>
    <x v="1"/>
    <x v="0"/>
    <x v="0"/>
    <x v="26"/>
    <x v="1"/>
    <x v="1146"/>
    <x v="1362"/>
    <x v="2226"/>
    <x v="235"/>
    <x v="4"/>
    <x v="235"/>
    <x v="4"/>
    <x v="2"/>
    <x v="0"/>
    <x v="289"/>
    <x v="23"/>
    <x v="0"/>
    <s v="MEDIA"/>
    <s v="MEDIA"/>
    <n v="64"/>
    <s v="cumple"/>
    <x v="10"/>
    <x v="0"/>
    <x v="2226"/>
    <n v="812"/>
    <x v="1"/>
  </r>
  <r>
    <x v="0"/>
    <x v="1"/>
    <x v="0"/>
    <x v="0"/>
    <x v="26"/>
    <x v="1"/>
    <x v="1147"/>
    <x v="1362"/>
    <x v="2227"/>
    <x v="235"/>
    <x v="6"/>
    <x v="235"/>
    <x v="5"/>
    <x v="2"/>
    <x v="0"/>
    <x v="289"/>
    <x v="23"/>
    <x v="0"/>
    <s v="MEDIA"/>
    <s v="MEDIA"/>
    <n v="64"/>
    <s v="cumple"/>
    <x v="10"/>
    <x v="0"/>
    <x v="2227"/>
    <n v="812"/>
    <x v="1"/>
  </r>
  <r>
    <x v="0"/>
    <x v="1"/>
    <x v="0"/>
    <x v="0"/>
    <x v="26"/>
    <x v="1"/>
    <x v="1148"/>
    <x v="1362"/>
    <x v="2228"/>
    <x v="235"/>
    <x v="3"/>
    <x v="235"/>
    <x v="2"/>
    <x v="12"/>
    <x v="0"/>
    <x v="289"/>
    <x v="23"/>
    <x v="0"/>
    <s v="MEDIA"/>
    <s v="MEDIA"/>
    <n v="64"/>
    <s v="cumple"/>
    <x v="10"/>
    <x v="0"/>
    <x v="2228"/>
    <n v="2029.9999999999998"/>
    <x v="1"/>
  </r>
  <r>
    <x v="0"/>
    <x v="1"/>
    <x v="0"/>
    <x v="0"/>
    <x v="26"/>
    <x v="1"/>
    <x v="1149"/>
    <x v="1362"/>
    <x v="2229"/>
    <x v="235"/>
    <x v="2"/>
    <x v="235"/>
    <x v="11"/>
    <x v="5"/>
    <x v="0"/>
    <x v="289"/>
    <x v="23"/>
    <x v="0"/>
    <s v="MEDIA"/>
    <s v="MEDIA"/>
    <n v="64"/>
    <s v="cumple"/>
    <x v="10"/>
    <x v="0"/>
    <x v="2229"/>
    <n v="2436"/>
    <x v="1"/>
  </r>
  <r>
    <x v="0"/>
    <x v="1"/>
    <x v="0"/>
    <x v="0"/>
    <x v="26"/>
    <x v="1"/>
    <x v="1150"/>
    <x v="1362"/>
    <x v="2230"/>
    <x v="236"/>
    <x v="0"/>
    <x v="236"/>
    <x v="3"/>
    <x v="4"/>
    <x v="0"/>
    <x v="289"/>
    <x v="23"/>
    <x v="0"/>
    <s v="MEDIA"/>
    <s v="MEDIA"/>
    <n v="64"/>
    <s v="cumple"/>
    <x v="10"/>
    <x v="0"/>
    <x v="2230"/>
    <n v="1624"/>
    <x v="1"/>
  </r>
  <r>
    <x v="0"/>
    <x v="1"/>
    <x v="0"/>
    <x v="0"/>
    <x v="26"/>
    <x v="1"/>
    <x v="1151"/>
    <x v="1362"/>
    <x v="2231"/>
    <x v="236"/>
    <x v="4"/>
    <x v="236"/>
    <x v="5"/>
    <x v="4"/>
    <x v="0"/>
    <x v="289"/>
    <x v="23"/>
    <x v="0"/>
    <s v="MEDIA"/>
    <s v="MEDIA"/>
    <n v="64"/>
    <s v="cumple"/>
    <x v="10"/>
    <x v="0"/>
    <x v="2231"/>
    <n v="1624"/>
    <x v="1"/>
  </r>
  <r>
    <x v="0"/>
    <x v="1"/>
    <x v="0"/>
    <x v="0"/>
    <x v="26"/>
    <x v="1"/>
    <x v="1152"/>
    <x v="1362"/>
    <x v="2232"/>
    <x v="236"/>
    <x v="3"/>
    <x v="236"/>
    <x v="7"/>
    <x v="4"/>
    <x v="0"/>
    <x v="289"/>
    <x v="23"/>
    <x v="0"/>
    <s v="MEDIA"/>
    <s v="MEDIA"/>
    <n v="64"/>
    <s v="cumple"/>
    <x v="10"/>
    <x v="0"/>
    <x v="2232"/>
    <n v="1624"/>
    <x v="1"/>
  </r>
  <r>
    <x v="0"/>
    <x v="1"/>
    <x v="0"/>
    <x v="0"/>
    <x v="26"/>
    <x v="1"/>
    <x v="1153"/>
    <x v="1362"/>
    <x v="2233"/>
    <x v="237"/>
    <x v="0"/>
    <x v="237"/>
    <x v="4"/>
    <x v="5"/>
    <x v="1"/>
    <x v="289"/>
    <x v="23"/>
    <x v="0"/>
    <s v="MEDIA"/>
    <s v="MEDIA"/>
    <n v="64"/>
    <s v="cumple"/>
    <x v="10"/>
    <x v="0"/>
    <x v="2233"/>
    <n v="2436"/>
    <x v="1"/>
  </r>
  <r>
    <x v="0"/>
    <x v="1"/>
    <x v="0"/>
    <x v="0"/>
    <x v="26"/>
    <x v="1"/>
    <x v="1153"/>
    <x v="1362"/>
    <x v="2233"/>
    <x v="237"/>
    <x v="6"/>
    <x v="237"/>
    <x v="11"/>
    <x v="9"/>
    <x v="0"/>
    <x v="289"/>
    <x v="23"/>
    <x v="0"/>
    <s v="MEDIA"/>
    <s v="MEDIA"/>
    <n v="64"/>
    <s v="cumple"/>
    <x v="10"/>
    <x v="0"/>
    <x v="2233"/>
    <n v="5278"/>
    <x v="1"/>
  </r>
  <r>
    <x v="0"/>
    <x v="1"/>
    <x v="0"/>
    <x v="0"/>
    <x v="26"/>
    <x v="1"/>
    <x v="1154"/>
    <x v="1362"/>
    <x v="2234"/>
    <x v="238"/>
    <x v="0"/>
    <x v="238"/>
    <x v="8"/>
    <x v="2"/>
    <x v="0"/>
    <x v="289"/>
    <x v="23"/>
    <x v="0"/>
    <s v="MEDIA"/>
    <s v="MEDIA"/>
    <n v="64"/>
    <s v="cumple"/>
    <x v="10"/>
    <x v="0"/>
    <x v="2234"/>
    <n v="812"/>
    <x v="1"/>
  </r>
  <r>
    <x v="0"/>
    <x v="1"/>
    <x v="0"/>
    <x v="0"/>
    <x v="26"/>
    <x v="1"/>
    <x v="1155"/>
    <x v="1362"/>
    <x v="2235"/>
    <x v="238"/>
    <x v="8"/>
    <x v="238"/>
    <x v="3"/>
    <x v="2"/>
    <x v="0"/>
    <x v="289"/>
    <x v="23"/>
    <x v="0"/>
    <s v="MEDIA"/>
    <s v="MEDIA"/>
    <n v="64"/>
    <s v="cumple"/>
    <x v="10"/>
    <x v="0"/>
    <x v="2235"/>
    <n v="812"/>
    <x v="1"/>
  </r>
  <r>
    <x v="0"/>
    <x v="1"/>
    <x v="0"/>
    <x v="0"/>
    <x v="26"/>
    <x v="1"/>
    <x v="1156"/>
    <x v="1362"/>
    <x v="2236"/>
    <x v="238"/>
    <x v="4"/>
    <x v="238"/>
    <x v="12"/>
    <x v="13"/>
    <x v="0"/>
    <x v="289"/>
    <x v="23"/>
    <x v="0"/>
    <s v="MEDIA"/>
    <s v="MEDIA"/>
    <n v="64"/>
    <s v="cumple"/>
    <x v="10"/>
    <x v="0"/>
    <x v="2236"/>
    <n v="2842"/>
    <x v="1"/>
  </r>
  <r>
    <x v="0"/>
    <x v="1"/>
    <x v="0"/>
    <x v="0"/>
    <x v="26"/>
    <x v="1"/>
    <x v="1157"/>
    <x v="1363"/>
    <x v="2237"/>
    <x v="238"/>
    <x v="7"/>
    <x v="238"/>
    <x v="1"/>
    <x v="4"/>
    <x v="0"/>
    <x v="289"/>
    <x v="23"/>
    <x v="0"/>
    <s v="MEDIA"/>
    <s v="MEDIA"/>
    <n v="64"/>
    <s v="cumple"/>
    <x v="10"/>
    <x v="0"/>
    <x v="2237"/>
    <n v="1624"/>
    <x v="1"/>
  </r>
  <r>
    <x v="0"/>
    <x v="1"/>
    <x v="0"/>
    <x v="0"/>
    <x v="26"/>
    <x v="1"/>
    <x v="1158"/>
    <x v="1363"/>
    <x v="2238"/>
    <x v="238"/>
    <x v="1"/>
    <x v="238"/>
    <x v="0"/>
    <x v="2"/>
    <x v="1"/>
    <x v="289"/>
    <x v="23"/>
    <x v="0"/>
    <s v="MEDIA"/>
    <s v="MEDIA"/>
    <n v="64"/>
    <s v="cumple"/>
    <x v="10"/>
    <x v="0"/>
    <x v="2238"/>
    <n v="812"/>
    <x v="1"/>
  </r>
  <r>
    <x v="0"/>
    <x v="1"/>
    <x v="0"/>
    <x v="0"/>
    <x v="26"/>
    <x v="1"/>
    <x v="1158"/>
    <x v="1363"/>
    <x v="2238"/>
    <x v="239"/>
    <x v="0"/>
    <x v="239"/>
    <x v="8"/>
    <x v="2"/>
    <x v="0"/>
    <x v="289"/>
    <x v="23"/>
    <x v="0"/>
    <s v="MEDIA"/>
    <s v="MEDIA"/>
    <n v="64"/>
    <s v="cumple"/>
    <x v="10"/>
    <x v="0"/>
    <x v="2238"/>
    <n v="812"/>
    <x v="1"/>
  </r>
  <r>
    <x v="0"/>
    <x v="1"/>
    <x v="0"/>
    <x v="0"/>
    <x v="26"/>
    <x v="1"/>
    <x v="1159"/>
    <x v="1363"/>
    <x v="2239"/>
    <x v="239"/>
    <x v="8"/>
    <x v="239"/>
    <x v="3"/>
    <x v="2"/>
    <x v="0"/>
    <x v="289"/>
    <x v="23"/>
    <x v="0"/>
    <s v="MEDIA"/>
    <s v="MEDIA"/>
    <n v="64"/>
    <s v="cumple"/>
    <x v="10"/>
    <x v="0"/>
    <x v="2239"/>
    <n v="812"/>
    <x v="1"/>
  </r>
  <r>
    <x v="0"/>
    <x v="1"/>
    <x v="0"/>
    <x v="0"/>
    <x v="26"/>
    <x v="1"/>
    <x v="1160"/>
    <x v="1363"/>
    <x v="2240"/>
    <x v="239"/>
    <x v="4"/>
    <x v="239"/>
    <x v="4"/>
    <x v="2"/>
    <x v="0"/>
    <x v="289"/>
    <x v="23"/>
    <x v="0"/>
    <s v="MEDIA"/>
    <s v="MEDIA"/>
    <n v="64"/>
    <s v="cumple"/>
    <x v="10"/>
    <x v="0"/>
    <x v="2240"/>
    <n v="812"/>
    <x v="1"/>
  </r>
  <r>
    <x v="0"/>
    <x v="1"/>
    <x v="0"/>
    <x v="0"/>
    <x v="26"/>
    <x v="1"/>
    <x v="1161"/>
    <x v="1363"/>
    <x v="2241"/>
    <x v="239"/>
    <x v="6"/>
    <x v="239"/>
    <x v="0"/>
    <x v="16"/>
    <x v="1"/>
    <x v="289"/>
    <x v="23"/>
    <x v="0"/>
    <s v="MEDIA"/>
    <s v="MEDIA"/>
    <n v="64"/>
    <s v="cumple"/>
    <x v="10"/>
    <x v="0"/>
    <x v="2241"/>
    <n v="4466"/>
    <x v="1"/>
  </r>
  <r>
    <x v="0"/>
    <x v="1"/>
    <x v="0"/>
    <x v="0"/>
    <x v="26"/>
    <x v="1"/>
    <x v="1161"/>
    <x v="1363"/>
    <x v="2241"/>
    <x v="240"/>
    <x v="0"/>
    <x v="240"/>
    <x v="4"/>
    <x v="5"/>
    <x v="0"/>
    <x v="289"/>
    <x v="23"/>
    <x v="0"/>
    <s v="MEDIA"/>
    <s v="MEDIA"/>
    <n v="64"/>
    <s v="cumple"/>
    <x v="10"/>
    <x v="0"/>
    <x v="2241"/>
    <n v="2436"/>
    <x v="1"/>
  </r>
  <r>
    <x v="0"/>
    <x v="1"/>
    <x v="0"/>
    <x v="0"/>
    <x v="26"/>
    <x v="1"/>
    <x v="1162"/>
    <x v="1363"/>
    <x v="2242"/>
    <x v="240"/>
    <x v="6"/>
    <x v="240"/>
    <x v="12"/>
    <x v="12"/>
    <x v="0"/>
    <x v="289"/>
    <x v="23"/>
    <x v="0"/>
    <s v="MEDIA"/>
    <s v="MEDIA"/>
    <n v="64"/>
    <s v="cumple"/>
    <x v="10"/>
    <x v="0"/>
    <x v="2242"/>
    <n v="2029.9999999999998"/>
    <x v="1"/>
  </r>
  <r>
    <x v="0"/>
    <x v="1"/>
    <x v="0"/>
    <x v="0"/>
    <x v="26"/>
    <x v="1"/>
    <x v="1163"/>
    <x v="1363"/>
    <x v="2243"/>
    <x v="240"/>
    <x v="7"/>
    <x v="240"/>
    <x v="2"/>
    <x v="2"/>
    <x v="0"/>
    <x v="289"/>
    <x v="23"/>
    <x v="0"/>
    <s v="MEDIA"/>
    <s v="MEDIA"/>
    <n v="64"/>
    <s v="cumple"/>
    <x v="10"/>
    <x v="0"/>
    <x v="2243"/>
    <n v="812"/>
    <x v="1"/>
  </r>
  <r>
    <x v="0"/>
    <x v="1"/>
    <x v="0"/>
    <x v="0"/>
    <x v="26"/>
    <x v="1"/>
    <x v="1164"/>
    <x v="1363"/>
    <x v="2244"/>
    <x v="240"/>
    <x v="2"/>
    <x v="240"/>
    <x v="1"/>
    <x v="2"/>
    <x v="0"/>
    <x v="289"/>
    <x v="23"/>
    <x v="0"/>
    <s v="MEDIA"/>
    <s v="MEDIA"/>
    <n v="64"/>
    <s v="cumple"/>
    <x v="10"/>
    <x v="0"/>
    <x v="2244"/>
    <n v="812"/>
    <x v="1"/>
  </r>
  <r>
    <x v="0"/>
    <x v="1"/>
    <x v="0"/>
    <x v="0"/>
    <x v="26"/>
    <x v="1"/>
    <x v="1165"/>
    <x v="1363"/>
    <x v="2245"/>
    <x v="240"/>
    <x v="1"/>
    <x v="240"/>
    <x v="0"/>
    <x v="2"/>
    <x v="0"/>
    <x v="289"/>
    <x v="23"/>
    <x v="0"/>
    <s v="MEDIA"/>
    <s v="MEDIA"/>
    <n v="64"/>
    <s v="cumple"/>
    <x v="10"/>
    <x v="0"/>
    <x v="2245"/>
    <n v="812"/>
    <x v="1"/>
  </r>
  <r>
    <x v="0"/>
    <x v="1"/>
    <x v="0"/>
    <x v="0"/>
    <x v="26"/>
    <x v="1"/>
    <x v="1166"/>
    <x v="1363"/>
    <x v="2246"/>
    <x v="240"/>
    <x v="17"/>
    <x v="240"/>
    <x v="24"/>
    <x v="4"/>
    <x v="0"/>
    <x v="289"/>
    <x v="23"/>
    <x v="0"/>
    <s v="MEDIA"/>
    <s v="MEDIA"/>
    <n v="64"/>
    <s v="cumple"/>
    <x v="10"/>
    <x v="0"/>
    <x v="2246"/>
    <n v="1624"/>
    <x v="1"/>
  </r>
  <r>
    <x v="0"/>
    <x v="1"/>
    <x v="0"/>
    <x v="0"/>
    <x v="26"/>
    <x v="1"/>
    <x v="1167"/>
    <x v="1363"/>
    <x v="2247"/>
    <x v="240"/>
    <x v="30"/>
    <x v="240"/>
    <x v="27"/>
    <x v="2"/>
    <x v="0"/>
    <x v="289"/>
    <x v="23"/>
    <x v="0"/>
    <s v="MEDIA"/>
    <s v="MEDIA"/>
    <n v="64"/>
    <s v="cumple"/>
    <x v="10"/>
    <x v="0"/>
    <x v="2247"/>
    <n v="812"/>
    <x v="1"/>
  </r>
  <r>
    <x v="0"/>
    <x v="1"/>
    <x v="0"/>
    <x v="0"/>
    <x v="26"/>
    <x v="1"/>
    <x v="1168"/>
    <x v="1361"/>
    <x v="2203"/>
    <x v="221"/>
    <x v="0"/>
    <x v="221"/>
    <x v="0"/>
    <x v="0"/>
    <x v="1"/>
    <x v="290"/>
    <x v="24"/>
    <x v="0"/>
    <s v="MEDIA"/>
    <s v="MEDIA"/>
    <n v="64"/>
    <s v="cumple"/>
    <x v="10"/>
    <x v="0"/>
    <x v="2203"/>
    <n v="6496"/>
    <x v="1"/>
  </r>
  <r>
    <x v="0"/>
    <x v="1"/>
    <x v="0"/>
    <x v="0"/>
    <x v="26"/>
    <x v="1"/>
    <x v="1168"/>
    <x v="1361"/>
    <x v="2203"/>
    <x v="222"/>
    <x v="0"/>
    <x v="222"/>
    <x v="7"/>
    <x v="3"/>
    <x v="0"/>
    <x v="290"/>
    <x v="24"/>
    <x v="0"/>
    <s v="MEDIA"/>
    <s v="MEDIA"/>
    <n v="64"/>
    <s v="cumple"/>
    <x v="10"/>
    <x v="0"/>
    <x v="2203"/>
    <n v="4872"/>
    <x v="1"/>
  </r>
  <r>
    <x v="0"/>
    <x v="1"/>
    <x v="0"/>
    <x v="0"/>
    <x v="26"/>
    <x v="1"/>
    <x v="1169"/>
    <x v="1361"/>
    <x v="2206"/>
    <x v="223"/>
    <x v="0"/>
    <x v="223"/>
    <x v="11"/>
    <x v="11"/>
    <x v="1"/>
    <x v="290"/>
    <x v="24"/>
    <x v="0"/>
    <s v="MEDIA"/>
    <s v="MEDIA"/>
    <n v="64"/>
    <s v="cumple"/>
    <x v="10"/>
    <x v="0"/>
    <x v="2206"/>
    <n v="7307.9999999999991"/>
    <x v="1"/>
  </r>
  <r>
    <x v="0"/>
    <x v="1"/>
    <x v="0"/>
    <x v="0"/>
    <x v="26"/>
    <x v="1"/>
    <x v="1169"/>
    <x v="1361"/>
    <x v="2206"/>
    <x v="224"/>
    <x v="0"/>
    <x v="224"/>
    <x v="11"/>
    <x v="11"/>
    <x v="0"/>
    <x v="290"/>
    <x v="24"/>
    <x v="0"/>
    <s v="MEDIA"/>
    <s v="MEDIA"/>
    <n v="64"/>
    <s v="cumple"/>
    <x v="10"/>
    <x v="0"/>
    <x v="2206"/>
    <n v="7307.9999999999991"/>
    <x v="1"/>
  </r>
  <r>
    <x v="0"/>
    <x v="1"/>
    <x v="0"/>
    <x v="0"/>
    <x v="26"/>
    <x v="1"/>
    <x v="1170"/>
    <x v="1361"/>
    <x v="2208"/>
    <x v="225"/>
    <x v="0"/>
    <x v="225"/>
    <x v="11"/>
    <x v="11"/>
    <x v="0"/>
    <x v="290"/>
    <x v="24"/>
    <x v="0"/>
    <s v="MEDIA"/>
    <s v="MEDIA"/>
    <n v="64"/>
    <s v="cumple"/>
    <x v="10"/>
    <x v="0"/>
    <x v="2208"/>
    <n v="7307.9999999999991"/>
    <x v="1"/>
  </r>
  <r>
    <x v="0"/>
    <x v="1"/>
    <x v="0"/>
    <x v="0"/>
    <x v="26"/>
    <x v="1"/>
    <x v="1171"/>
    <x v="1361"/>
    <x v="2209"/>
    <x v="226"/>
    <x v="0"/>
    <x v="226"/>
    <x v="0"/>
    <x v="0"/>
    <x v="1"/>
    <x v="290"/>
    <x v="24"/>
    <x v="0"/>
    <s v="MEDIA"/>
    <s v="MEDIA"/>
    <n v="64"/>
    <s v="cumple"/>
    <x v="10"/>
    <x v="0"/>
    <x v="2209"/>
    <n v="6496"/>
    <x v="1"/>
  </r>
  <r>
    <x v="0"/>
    <x v="1"/>
    <x v="0"/>
    <x v="0"/>
    <x v="26"/>
    <x v="1"/>
    <x v="1171"/>
    <x v="1361"/>
    <x v="2209"/>
    <x v="227"/>
    <x v="0"/>
    <x v="227"/>
    <x v="7"/>
    <x v="3"/>
    <x v="1"/>
    <x v="290"/>
    <x v="24"/>
    <x v="0"/>
    <s v="MEDIA"/>
    <s v="MEDIA"/>
    <n v="64"/>
    <s v="cumple"/>
    <x v="10"/>
    <x v="0"/>
    <x v="2209"/>
    <n v="4872"/>
    <x v="1"/>
  </r>
  <r>
    <x v="0"/>
    <x v="1"/>
    <x v="0"/>
    <x v="0"/>
    <x v="26"/>
    <x v="1"/>
    <x v="1171"/>
    <x v="1361"/>
    <x v="2209"/>
    <x v="228"/>
    <x v="0"/>
    <x v="228"/>
    <x v="11"/>
    <x v="11"/>
    <x v="1"/>
    <x v="290"/>
    <x v="24"/>
    <x v="0"/>
    <s v="MEDIA"/>
    <s v="MEDIA"/>
    <n v="64"/>
    <s v="cumple"/>
    <x v="10"/>
    <x v="0"/>
    <x v="2209"/>
    <n v="7307.9999999999991"/>
    <x v="1"/>
  </r>
  <r>
    <x v="0"/>
    <x v="1"/>
    <x v="0"/>
    <x v="0"/>
    <x v="26"/>
    <x v="1"/>
    <x v="1171"/>
    <x v="1361"/>
    <x v="2209"/>
    <x v="229"/>
    <x v="0"/>
    <x v="229"/>
    <x v="11"/>
    <x v="11"/>
    <x v="1"/>
    <x v="290"/>
    <x v="24"/>
    <x v="0"/>
    <s v="MEDIA"/>
    <s v="MEDIA"/>
    <n v="64"/>
    <s v="cumple"/>
    <x v="10"/>
    <x v="0"/>
    <x v="2209"/>
    <n v="7307.9999999999991"/>
    <x v="1"/>
  </r>
  <r>
    <x v="0"/>
    <x v="1"/>
    <x v="0"/>
    <x v="0"/>
    <x v="26"/>
    <x v="1"/>
    <x v="1171"/>
    <x v="1361"/>
    <x v="2209"/>
    <x v="230"/>
    <x v="0"/>
    <x v="230"/>
    <x v="0"/>
    <x v="0"/>
    <x v="0"/>
    <x v="290"/>
    <x v="24"/>
    <x v="0"/>
    <s v="MEDIA"/>
    <s v="MEDIA"/>
    <n v="64"/>
    <s v="cumple"/>
    <x v="10"/>
    <x v="0"/>
    <x v="2209"/>
    <n v="6496"/>
    <x v="1"/>
  </r>
  <r>
    <x v="0"/>
    <x v="1"/>
    <x v="0"/>
    <x v="0"/>
    <x v="26"/>
    <x v="1"/>
    <x v="1172"/>
    <x v="1362"/>
    <x v="2210"/>
    <x v="231"/>
    <x v="0"/>
    <x v="231"/>
    <x v="11"/>
    <x v="11"/>
    <x v="1"/>
    <x v="290"/>
    <x v="24"/>
    <x v="0"/>
    <s v="MEDIA"/>
    <s v="MEDIA"/>
    <n v="64"/>
    <s v="cumple"/>
    <x v="10"/>
    <x v="0"/>
    <x v="2210"/>
    <n v="7307.9999999999991"/>
    <x v="1"/>
  </r>
  <r>
    <x v="0"/>
    <x v="1"/>
    <x v="0"/>
    <x v="0"/>
    <x v="26"/>
    <x v="1"/>
    <x v="1172"/>
    <x v="1362"/>
    <x v="2210"/>
    <x v="232"/>
    <x v="0"/>
    <x v="232"/>
    <x v="5"/>
    <x v="7"/>
    <x v="0"/>
    <x v="290"/>
    <x v="24"/>
    <x v="0"/>
    <s v="MEDIA"/>
    <s v="MEDIA"/>
    <n v="64"/>
    <s v="cumple"/>
    <x v="10"/>
    <x v="0"/>
    <x v="2210"/>
    <n v="3248"/>
    <x v="1"/>
  </r>
  <r>
    <x v="0"/>
    <x v="1"/>
    <x v="0"/>
    <x v="0"/>
    <x v="26"/>
    <x v="1"/>
    <x v="1173"/>
    <x v="1362"/>
    <x v="2211"/>
    <x v="232"/>
    <x v="3"/>
    <x v="233"/>
    <x v="7"/>
    <x v="4"/>
    <x v="1"/>
    <x v="290"/>
    <x v="24"/>
    <x v="0"/>
    <s v="MEDIA"/>
    <s v="MEDIA"/>
    <n v="64"/>
    <s v="cumple"/>
    <x v="10"/>
    <x v="0"/>
    <x v="2211"/>
    <n v="1624"/>
    <x v="1"/>
  </r>
  <r>
    <x v="0"/>
    <x v="1"/>
    <x v="0"/>
    <x v="0"/>
    <x v="26"/>
    <x v="1"/>
    <x v="1173"/>
    <x v="1362"/>
    <x v="2211"/>
    <x v="233"/>
    <x v="0"/>
    <x v="233"/>
    <x v="5"/>
    <x v="7"/>
    <x v="0"/>
    <x v="290"/>
    <x v="24"/>
    <x v="0"/>
    <s v="MEDIA"/>
    <s v="MEDIA"/>
    <n v="64"/>
    <s v="cumple"/>
    <x v="10"/>
    <x v="0"/>
    <x v="2211"/>
    <n v="3248"/>
    <x v="1"/>
  </r>
  <r>
    <x v="0"/>
    <x v="1"/>
    <x v="0"/>
    <x v="0"/>
    <x v="26"/>
    <x v="1"/>
    <x v="1174"/>
    <x v="1362"/>
    <x v="2212"/>
    <x v="233"/>
    <x v="3"/>
    <x v="233"/>
    <x v="0"/>
    <x v="7"/>
    <x v="1"/>
    <x v="290"/>
    <x v="24"/>
    <x v="0"/>
    <s v="MEDIA"/>
    <s v="MEDIA"/>
    <n v="64"/>
    <s v="cumple"/>
    <x v="10"/>
    <x v="0"/>
    <x v="2212"/>
    <n v="3248"/>
    <x v="1"/>
  </r>
  <r>
    <x v="0"/>
    <x v="1"/>
    <x v="0"/>
    <x v="0"/>
    <x v="26"/>
    <x v="1"/>
    <x v="1174"/>
    <x v="1362"/>
    <x v="2212"/>
    <x v="234"/>
    <x v="0"/>
    <x v="234"/>
    <x v="5"/>
    <x v="7"/>
    <x v="0"/>
    <x v="290"/>
    <x v="24"/>
    <x v="0"/>
    <s v="MEDIA"/>
    <s v="MEDIA"/>
    <n v="64"/>
    <s v="cumple"/>
    <x v="10"/>
    <x v="0"/>
    <x v="2212"/>
    <n v="3248"/>
    <x v="1"/>
  </r>
  <r>
    <x v="0"/>
    <x v="1"/>
    <x v="0"/>
    <x v="0"/>
    <x v="26"/>
    <x v="1"/>
    <x v="1175"/>
    <x v="1362"/>
    <x v="2213"/>
    <x v="234"/>
    <x v="3"/>
    <x v="234"/>
    <x v="0"/>
    <x v="6"/>
    <x v="1"/>
    <x v="290"/>
    <x v="24"/>
    <x v="0"/>
    <s v="MEDIA"/>
    <s v="MEDIA"/>
    <n v="64"/>
    <s v="cumple"/>
    <x v="10"/>
    <x v="0"/>
    <x v="2213"/>
    <n v="4059.9999999999995"/>
    <x v="1"/>
  </r>
  <r>
    <x v="0"/>
    <x v="1"/>
    <x v="0"/>
    <x v="0"/>
    <x v="26"/>
    <x v="1"/>
    <x v="1175"/>
    <x v="1362"/>
    <x v="2213"/>
    <x v="235"/>
    <x v="0"/>
    <x v="235"/>
    <x v="4"/>
    <x v="5"/>
    <x v="0"/>
    <x v="290"/>
    <x v="24"/>
    <x v="0"/>
    <s v="MEDIA"/>
    <s v="MEDIA"/>
    <n v="64"/>
    <s v="cumple"/>
    <x v="10"/>
    <x v="0"/>
    <x v="2213"/>
    <n v="2436"/>
    <x v="1"/>
  </r>
  <r>
    <x v="0"/>
    <x v="1"/>
    <x v="0"/>
    <x v="0"/>
    <x v="26"/>
    <x v="1"/>
    <x v="1176"/>
    <x v="1362"/>
    <x v="2214"/>
    <x v="235"/>
    <x v="6"/>
    <x v="235"/>
    <x v="0"/>
    <x v="6"/>
    <x v="0"/>
    <x v="290"/>
    <x v="24"/>
    <x v="0"/>
    <s v="MEDIA"/>
    <s v="MEDIA"/>
    <n v="64"/>
    <s v="cumple"/>
    <x v="10"/>
    <x v="0"/>
    <x v="2214"/>
    <n v="4059.9999999999995"/>
    <x v="1"/>
  </r>
  <r>
    <x v="0"/>
    <x v="1"/>
    <x v="0"/>
    <x v="0"/>
    <x v="26"/>
    <x v="1"/>
    <x v="1177"/>
    <x v="1362"/>
    <x v="2215"/>
    <x v="236"/>
    <x v="0"/>
    <x v="236"/>
    <x v="7"/>
    <x v="3"/>
    <x v="1"/>
    <x v="290"/>
    <x v="24"/>
    <x v="0"/>
    <s v="MEDIA"/>
    <s v="MEDIA"/>
    <n v="64"/>
    <s v="cumple"/>
    <x v="10"/>
    <x v="0"/>
    <x v="2215"/>
    <n v="4872"/>
    <x v="1"/>
  </r>
  <r>
    <x v="0"/>
    <x v="1"/>
    <x v="0"/>
    <x v="0"/>
    <x v="26"/>
    <x v="1"/>
    <x v="1177"/>
    <x v="1362"/>
    <x v="2215"/>
    <x v="237"/>
    <x v="0"/>
    <x v="237"/>
    <x v="0"/>
    <x v="0"/>
    <x v="1"/>
    <x v="290"/>
    <x v="24"/>
    <x v="0"/>
    <s v="MEDIA"/>
    <s v="MEDIA"/>
    <n v="64"/>
    <s v="cumple"/>
    <x v="10"/>
    <x v="0"/>
    <x v="2215"/>
    <n v="6496"/>
    <x v="1"/>
  </r>
  <r>
    <x v="0"/>
    <x v="1"/>
    <x v="0"/>
    <x v="0"/>
    <x v="26"/>
    <x v="1"/>
    <x v="1177"/>
    <x v="1362"/>
    <x v="2215"/>
    <x v="238"/>
    <x v="0"/>
    <x v="238"/>
    <x v="11"/>
    <x v="11"/>
    <x v="0"/>
    <x v="290"/>
    <x v="24"/>
    <x v="0"/>
    <s v="MEDIA"/>
    <s v="MEDIA"/>
    <n v="64"/>
    <s v="cumple"/>
    <x v="10"/>
    <x v="0"/>
    <x v="2215"/>
    <n v="7307.9999999999991"/>
    <x v="1"/>
  </r>
  <r>
    <x v="0"/>
    <x v="1"/>
    <x v="0"/>
    <x v="0"/>
    <x v="26"/>
    <x v="1"/>
    <x v="1178"/>
    <x v="1362"/>
    <x v="2217"/>
    <x v="239"/>
    <x v="0"/>
    <x v="239"/>
    <x v="2"/>
    <x v="3"/>
    <x v="0"/>
    <x v="290"/>
    <x v="24"/>
    <x v="0"/>
    <s v="MEDIA"/>
    <s v="MEDIA"/>
    <n v="64"/>
    <s v="cumple"/>
    <x v="10"/>
    <x v="0"/>
    <x v="2217"/>
    <n v="4872"/>
    <x v="1"/>
  </r>
  <r>
    <x v="0"/>
    <x v="1"/>
    <x v="0"/>
    <x v="0"/>
    <x v="26"/>
    <x v="1"/>
    <x v="1179"/>
    <x v="1362"/>
    <x v="2218"/>
    <x v="239"/>
    <x v="2"/>
    <x v="239"/>
    <x v="0"/>
    <x v="4"/>
    <x v="0"/>
    <x v="290"/>
    <x v="24"/>
    <x v="0"/>
    <s v="MEDIA"/>
    <s v="MEDIA"/>
    <n v="64"/>
    <s v="cumple"/>
    <x v="10"/>
    <x v="0"/>
    <x v="2218"/>
    <n v="1624"/>
    <x v="1"/>
  </r>
  <r>
    <x v="0"/>
    <x v="1"/>
    <x v="0"/>
    <x v="0"/>
    <x v="26"/>
    <x v="1"/>
    <x v="1180"/>
    <x v="1362"/>
    <x v="2219"/>
    <x v="240"/>
    <x v="0"/>
    <x v="240"/>
    <x v="8"/>
    <x v="2"/>
    <x v="0"/>
    <x v="290"/>
    <x v="24"/>
    <x v="0"/>
    <s v="MEDIA"/>
    <s v="MEDIA"/>
    <n v="64"/>
    <s v="cumple"/>
    <x v="10"/>
    <x v="0"/>
    <x v="2219"/>
    <n v="812"/>
    <x v="1"/>
  </r>
  <r>
    <x v="0"/>
    <x v="1"/>
    <x v="0"/>
    <x v="0"/>
    <x v="26"/>
    <x v="1"/>
    <x v="1181"/>
    <x v="1362"/>
    <x v="2220"/>
    <x v="240"/>
    <x v="8"/>
    <x v="240"/>
    <x v="0"/>
    <x v="1"/>
    <x v="0"/>
    <x v="290"/>
    <x v="24"/>
    <x v="0"/>
    <s v="MEDIA"/>
    <s v="MEDIA"/>
    <n v="64"/>
    <s v="cumple"/>
    <x v="10"/>
    <x v="0"/>
    <x v="2220"/>
    <n v="5684"/>
    <x v="1"/>
  </r>
  <r>
    <x v="0"/>
    <x v="1"/>
    <x v="0"/>
    <x v="0"/>
    <x v="26"/>
    <x v="5"/>
    <x v="1182"/>
    <x v="1364"/>
    <x v="2248"/>
    <x v="221"/>
    <x v="0"/>
    <x v="221"/>
    <x v="0"/>
    <x v="0"/>
    <x v="1"/>
    <x v="291"/>
    <x v="19"/>
    <x v="1"/>
    <s v="MEDIA"/>
    <s v="MEDIA"/>
    <n v="64"/>
    <s v="cumple"/>
    <x v="10"/>
    <x v="0"/>
    <x v="2248"/>
    <n v="4640"/>
    <x v="1"/>
  </r>
  <r>
    <x v="0"/>
    <x v="1"/>
    <x v="0"/>
    <x v="0"/>
    <x v="26"/>
    <x v="5"/>
    <x v="1182"/>
    <x v="1364"/>
    <x v="2249"/>
    <x v="222"/>
    <x v="0"/>
    <x v="222"/>
    <x v="0"/>
    <x v="0"/>
    <x v="0"/>
    <x v="291"/>
    <x v="19"/>
    <x v="1"/>
    <s v="MEDIA"/>
    <s v="MEDIA"/>
    <n v="64"/>
    <s v="cumple"/>
    <x v="10"/>
    <x v="0"/>
    <x v="2249"/>
    <n v="4640"/>
    <x v="1"/>
  </r>
  <r>
    <x v="0"/>
    <x v="1"/>
    <x v="0"/>
    <x v="0"/>
    <x v="26"/>
    <x v="5"/>
    <x v="1183"/>
    <x v="1364"/>
    <x v="2250"/>
    <x v="223"/>
    <x v="0"/>
    <x v="223"/>
    <x v="0"/>
    <x v="0"/>
    <x v="0"/>
    <x v="291"/>
    <x v="19"/>
    <x v="1"/>
    <s v="MEDIA"/>
    <s v="MEDIA"/>
    <n v="64"/>
    <s v="cumple"/>
    <x v="10"/>
    <x v="0"/>
    <x v="2250"/>
    <n v="4640"/>
    <x v="1"/>
  </r>
  <r>
    <x v="0"/>
    <x v="1"/>
    <x v="0"/>
    <x v="0"/>
    <x v="26"/>
    <x v="5"/>
    <x v="1184"/>
    <x v="1364"/>
    <x v="2251"/>
    <x v="224"/>
    <x v="0"/>
    <x v="224"/>
    <x v="0"/>
    <x v="0"/>
    <x v="0"/>
    <x v="291"/>
    <x v="19"/>
    <x v="1"/>
    <s v="MEDIA"/>
    <s v="MEDIA"/>
    <n v="64"/>
    <s v="cumple"/>
    <x v="10"/>
    <x v="0"/>
    <x v="2251"/>
    <n v="4640"/>
    <x v="1"/>
  </r>
  <r>
    <x v="0"/>
    <x v="1"/>
    <x v="0"/>
    <x v="0"/>
    <x v="26"/>
    <x v="5"/>
    <x v="1185"/>
    <x v="1364"/>
    <x v="2252"/>
    <x v="225"/>
    <x v="0"/>
    <x v="225"/>
    <x v="0"/>
    <x v="0"/>
    <x v="0"/>
    <x v="291"/>
    <x v="19"/>
    <x v="1"/>
    <s v="MEDIA"/>
    <s v="MEDIA"/>
    <n v="64"/>
    <s v="cumple"/>
    <x v="10"/>
    <x v="0"/>
    <x v="2252"/>
    <n v="4640"/>
    <x v="1"/>
  </r>
  <r>
    <x v="0"/>
    <x v="1"/>
    <x v="0"/>
    <x v="0"/>
    <x v="26"/>
    <x v="5"/>
    <x v="1186"/>
    <x v="1364"/>
    <x v="2253"/>
    <x v="226"/>
    <x v="0"/>
    <x v="226"/>
    <x v="0"/>
    <x v="0"/>
    <x v="1"/>
    <x v="291"/>
    <x v="19"/>
    <x v="1"/>
    <s v="MEDIA"/>
    <s v="MEDIA"/>
    <n v="64"/>
    <s v="cumple"/>
    <x v="10"/>
    <x v="0"/>
    <x v="2253"/>
    <n v="4640"/>
    <x v="1"/>
  </r>
  <r>
    <x v="0"/>
    <x v="1"/>
    <x v="0"/>
    <x v="0"/>
    <x v="26"/>
    <x v="5"/>
    <x v="1186"/>
    <x v="1364"/>
    <x v="2253"/>
    <x v="227"/>
    <x v="0"/>
    <x v="227"/>
    <x v="0"/>
    <x v="0"/>
    <x v="1"/>
    <x v="291"/>
    <x v="19"/>
    <x v="1"/>
    <s v="MEDIA"/>
    <s v="MEDIA"/>
    <n v="64"/>
    <s v="cumple"/>
    <x v="10"/>
    <x v="0"/>
    <x v="2253"/>
    <n v="4640"/>
    <x v="1"/>
  </r>
  <r>
    <x v="0"/>
    <x v="1"/>
    <x v="0"/>
    <x v="0"/>
    <x v="26"/>
    <x v="5"/>
    <x v="1186"/>
    <x v="1364"/>
    <x v="2253"/>
    <x v="228"/>
    <x v="0"/>
    <x v="228"/>
    <x v="0"/>
    <x v="0"/>
    <x v="0"/>
    <x v="291"/>
    <x v="19"/>
    <x v="1"/>
    <s v="MEDIA"/>
    <s v="MEDIA"/>
    <n v="64"/>
    <s v="cumple"/>
    <x v="10"/>
    <x v="0"/>
    <x v="2253"/>
    <n v="4640"/>
    <x v="1"/>
  </r>
  <r>
    <x v="0"/>
    <x v="1"/>
    <x v="0"/>
    <x v="0"/>
    <x v="26"/>
    <x v="5"/>
    <x v="1187"/>
    <x v="1364"/>
    <x v="2254"/>
    <x v="229"/>
    <x v="0"/>
    <x v="229"/>
    <x v="0"/>
    <x v="0"/>
    <x v="1"/>
    <x v="291"/>
    <x v="19"/>
    <x v="1"/>
    <s v="MEDIA"/>
    <s v="MEDIA"/>
    <n v="64"/>
    <s v="cumple"/>
    <x v="10"/>
    <x v="0"/>
    <x v="2254"/>
    <n v="4640"/>
    <x v="1"/>
  </r>
  <r>
    <x v="0"/>
    <x v="1"/>
    <x v="0"/>
    <x v="0"/>
    <x v="26"/>
    <x v="5"/>
    <x v="1187"/>
    <x v="1364"/>
    <x v="2254"/>
    <x v="230"/>
    <x v="0"/>
    <x v="230"/>
    <x v="0"/>
    <x v="0"/>
    <x v="0"/>
    <x v="291"/>
    <x v="19"/>
    <x v="1"/>
    <s v="MEDIA"/>
    <s v="MEDIA"/>
    <n v="64"/>
    <s v="cumple"/>
    <x v="10"/>
    <x v="0"/>
    <x v="2254"/>
    <n v="4640"/>
    <x v="1"/>
  </r>
  <r>
    <x v="0"/>
    <x v="1"/>
    <x v="0"/>
    <x v="0"/>
    <x v="26"/>
    <x v="5"/>
    <x v="1188"/>
    <x v="1364"/>
    <x v="2255"/>
    <x v="231"/>
    <x v="0"/>
    <x v="231"/>
    <x v="0"/>
    <x v="0"/>
    <x v="1"/>
    <x v="291"/>
    <x v="19"/>
    <x v="1"/>
    <s v="MEDIA"/>
    <s v="MEDIA"/>
    <n v="64"/>
    <s v="cumple"/>
    <x v="10"/>
    <x v="0"/>
    <x v="2255"/>
    <n v="4640"/>
    <x v="1"/>
  </r>
  <r>
    <x v="0"/>
    <x v="1"/>
    <x v="0"/>
    <x v="0"/>
    <x v="26"/>
    <x v="5"/>
    <x v="1188"/>
    <x v="1364"/>
    <x v="2255"/>
    <x v="232"/>
    <x v="0"/>
    <x v="232"/>
    <x v="0"/>
    <x v="0"/>
    <x v="0"/>
    <x v="291"/>
    <x v="19"/>
    <x v="1"/>
    <s v="MEDIA"/>
    <s v="MEDIA"/>
    <n v="64"/>
    <s v="cumple"/>
    <x v="10"/>
    <x v="0"/>
    <x v="2255"/>
    <n v="4640"/>
    <x v="1"/>
  </r>
  <r>
    <x v="0"/>
    <x v="1"/>
    <x v="0"/>
    <x v="0"/>
    <x v="26"/>
    <x v="5"/>
    <x v="1189"/>
    <x v="1364"/>
    <x v="2256"/>
    <x v="233"/>
    <x v="0"/>
    <x v="233"/>
    <x v="0"/>
    <x v="0"/>
    <x v="1"/>
    <x v="291"/>
    <x v="19"/>
    <x v="1"/>
    <s v="MEDIA"/>
    <s v="MEDIA"/>
    <n v="64"/>
    <s v="cumple"/>
    <x v="10"/>
    <x v="0"/>
    <x v="2256"/>
    <n v="4640"/>
    <x v="1"/>
  </r>
  <r>
    <x v="0"/>
    <x v="1"/>
    <x v="0"/>
    <x v="0"/>
    <x v="26"/>
    <x v="5"/>
    <x v="1189"/>
    <x v="1364"/>
    <x v="2256"/>
    <x v="234"/>
    <x v="0"/>
    <x v="234"/>
    <x v="0"/>
    <x v="0"/>
    <x v="1"/>
    <x v="291"/>
    <x v="19"/>
    <x v="1"/>
    <s v="MEDIA"/>
    <s v="MEDIA"/>
    <n v="64"/>
    <s v="cumple"/>
    <x v="10"/>
    <x v="0"/>
    <x v="2256"/>
    <n v="4640"/>
    <x v="1"/>
  </r>
  <r>
    <x v="0"/>
    <x v="1"/>
    <x v="0"/>
    <x v="0"/>
    <x v="26"/>
    <x v="5"/>
    <x v="1189"/>
    <x v="1364"/>
    <x v="2256"/>
    <x v="235"/>
    <x v="0"/>
    <x v="235"/>
    <x v="0"/>
    <x v="0"/>
    <x v="1"/>
    <x v="291"/>
    <x v="19"/>
    <x v="1"/>
    <s v="MEDIA"/>
    <s v="MEDIA"/>
    <n v="64"/>
    <s v="cumple"/>
    <x v="10"/>
    <x v="0"/>
    <x v="2256"/>
    <n v="4640"/>
    <x v="1"/>
  </r>
  <r>
    <x v="0"/>
    <x v="1"/>
    <x v="0"/>
    <x v="0"/>
    <x v="26"/>
    <x v="5"/>
    <x v="1189"/>
    <x v="1364"/>
    <x v="2256"/>
    <x v="236"/>
    <x v="0"/>
    <x v="236"/>
    <x v="0"/>
    <x v="0"/>
    <x v="0"/>
    <x v="291"/>
    <x v="19"/>
    <x v="1"/>
    <s v="MEDIA"/>
    <s v="MEDIA"/>
    <n v="64"/>
    <s v="cumple"/>
    <x v="10"/>
    <x v="0"/>
    <x v="2256"/>
    <n v="4640"/>
    <x v="1"/>
  </r>
  <r>
    <x v="0"/>
    <x v="1"/>
    <x v="0"/>
    <x v="0"/>
    <x v="26"/>
    <x v="5"/>
    <x v="1190"/>
    <x v="1365"/>
    <x v="2257"/>
    <x v="237"/>
    <x v="0"/>
    <x v="237"/>
    <x v="0"/>
    <x v="0"/>
    <x v="1"/>
    <x v="291"/>
    <x v="19"/>
    <x v="1"/>
    <s v="MEDIA"/>
    <s v="MEDIA"/>
    <n v="64"/>
    <s v="cumple"/>
    <x v="10"/>
    <x v="0"/>
    <x v="2257"/>
    <n v="4640"/>
    <x v="1"/>
  </r>
  <r>
    <x v="0"/>
    <x v="1"/>
    <x v="0"/>
    <x v="0"/>
    <x v="26"/>
    <x v="5"/>
    <x v="1190"/>
    <x v="1365"/>
    <x v="2257"/>
    <x v="238"/>
    <x v="0"/>
    <x v="238"/>
    <x v="0"/>
    <x v="0"/>
    <x v="1"/>
    <x v="291"/>
    <x v="19"/>
    <x v="1"/>
    <s v="MEDIA"/>
    <s v="MEDIA"/>
    <n v="64"/>
    <s v="cumple"/>
    <x v="10"/>
    <x v="0"/>
    <x v="2257"/>
    <n v="4640"/>
    <x v="1"/>
  </r>
  <r>
    <x v="0"/>
    <x v="1"/>
    <x v="0"/>
    <x v="0"/>
    <x v="26"/>
    <x v="5"/>
    <x v="1190"/>
    <x v="1365"/>
    <x v="2257"/>
    <x v="239"/>
    <x v="0"/>
    <x v="239"/>
    <x v="0"/>
    <x v="0"/>
    <x v="1"/>
    <x v="291"/>
    <x v="19"/>
    <x v="1"/>
    <s v="MEDIA"/>
    <s v="MEDIA"/>
    <n v="64"/>
    <s v="cumple"/>
    <x v="10"/>
    <x v="0"/>
    <x v="2257"/>
    <n v="4640"/>
    <x v="1"/>
  </r>
  <r>
    <x v="0"/>
    <x v="1"/>
    <x v="0"/>
    <x v="0"/>
    <x v="26"/>
    <x v="5"/>
    <x v="1190"/>
    <x v="1365"/>
    <x v="2257"/>
    <x v="240"/>
    <x v="0"/>
    <x v="240"/>
    <x v="0"/>
    <x v="0"/>
    <x v="0"/>
    <x v="291"/>
    <x v="19"/>
    <x v="1"/>
    <s v="MEDIA"/>
    <s v="MEDIA"/>
    <n v="64"/>
    <s v="cumple"/>
    <x v="10"/>
    <x v="0"/>
    <x v="2257"/>
    <n v="4640"/>
    <x v="1"/>
  </r>
  <r>
    <x v="0"/>
    <x v="1"/>
    <x v="3"/>
    <x v="0"/>
    <x v="1"/>
    <x v="1"/>
    <x v="1191"/>
    <x v="27"/>
    <x v="2258"/>
    <x v="242"/>
    <x v="0"/>
    <x v="242"/>
    <x v="0"/>
    <x v="8"/>
    <x v="1"/>
    <x v="35"/>
    <x v="22"/>
    <x v="0"/>
    <s v="MEDIA"/>
    <s v="MEDIA"/>
    <n v="64"/>
    <s v="cumple"/>
    <x v="11"/>
    <x v="3"/>
    <x v="2258"/>
    <n v="6901.9999999999991"/>
    <x v="0"/>
  </r>
  <r>
    <x v="0"/>
    <x v="1"/>
    <x v="3"/>
    <x v="0"/>
    <x v="1"/>
    <x v="1"/>
    <x v="1191"/>
    <x v="27"/>
    <x v="2258"/>
    <x v="243"/>
    <x v="0"/>
    <x v="243"/>
    <x v="0"/>
    <x v="8"/>
    <x v="1"/>
    <x v="35"/>
    <x v="22"/>
    <x v="0"/>
    <s v="MEDIA"/>
    <s v="MEDIA"/>
    <n v="64"/>
    <s v="cumple"/>
    <x v="11"/>
    <x v="3"/>
    <x v="2258"/>
    <n v="6901.9999999999991"/>
    <x v="0"/>
  </r>
  <r>
    <x v="0"/>
    <x v="1"/>
    <x v="3"/>
    <x v="0"/>
    <x v="1"/>
    <x v="1"/>
    <x v="1191"/>
    <x v="27"/>
    <x v="2258"/>
    <x v="244"/>
    <x v="0"/>
    <x v="244"/>
    <x v="0"/>
    <x v="8"/>
    <x v="1"/>
    <x v="35"/>
    <x v="22"/>
    <x v="0"/>
    <s v="MEDIA"/>
    <s v="MEDIA"/>
    <n v="64"/>
    <s v="cumple"/>
    <x v="11"/>
    <x v="3"/>
    <x v="2258"/>
    <n v="6901.9999999999991"/>
    <x v="0"/>
  </r>
  <r>
    <x v="0"/>
    <x v="1"/>
    <x v="3"/>
    <x v="0"/>
    <x v="1"/>
    <x v="1"/>
    <x v="1191"/>
    <x v="27"/>
    <x v="2258"/>
    <x v="245"/>
    <x v="0"/>
    <x v="245"/>
    <x v="0"/>
    <x v="8"/>
    <x v="0"/>
    <x v="35"/>
    <x v="22"/>
    <x v="0"/>
    <s v="MEDIA"/>
    <s v="MEDIA"/>
    <n v="64"/>
    <s v="cumple"/>
    <x v="11"/>
    <x v="3"/>
    <x v="2258"/>
    <n v="6901.9999999999991"/>
    <x v="0"/>
  </r>
  <r>
    <x v="0"/>
    <x v="1"/>
    <x v="3"/>
    <x v="0"/>
    <x v="1"/>
    <x v="1"/>
    <x v="1192"/>
    <x v="27"/>
    <x v="2259"/>
    <x v="246"/>
    <x v="0"/>
    <x v="246"/>
    <x v="0"/>
    <x v="8"/>
    <x v="1"/>
    <x v="35"/>
    <x v="22"/>
    <x v="0"/>
    <s v="MEDIA"/>
    <s v="MEDIA"/>
    <n v="64"/>
    <s v="cumple"/>
    <x v="11"/>
    <x v="3"/>
    <x v="2259"/>
    <n v="6901.9999999999991"/>
    <x v="0"/>
  </r>
  <r>
    <x v="0"/>
    <x v="1"/>
    <x v="3"/>
    <x v="0"/>
    <x v="1"/>
    <x v="1"/>
    <x v="1192"/>
    <x v="27"/>
    <x v="2259"/>
    <x v="247"/>
    <x v="0"/>
    <x v="247"/>
    <x v="0"/>
    <x v="8"/>
    <x v="1"/>
    <x v="35"/>
    <x v="22"/>
    <x v="0"/>
    <s v="MEDIA"/>
    <s v="MEDIA"/>
    <n v="64"/>
    <s v="cumple"/>
    <x v="11"/>
    <x v="3"/>
    <x v="2259"/>
    <n v="6901.9999999999991"/>
    <x v="0"/>
  </r>
  <r>
    <x v="0"/>
    <x v="1"/>
    <x v="3"/>
    <x v="0"/>
    <x v="1"/>
    <x v="1"/>
    <x v="1192"/>
    <x v="27"/>
    <x v="2259"/>
    <x v="248"/>
    <x v="0"/>
    <x v="248"/>
    <x v="0"/>
    <x v="8"/>
    <x v="1"/>
    <x v="35"/>
    <x v="22"/>
    <x v="0"/>
    <s v="MEDIA"/>
    <s v="MEDIA"/>
    <n v="64"/>
    <s v="cumple"/>
    <x v="11"/>
    <x v="3"/>
    <x v="2259"/>
    <n v="6901.9999999999991"/>
    <x v="0"/>
  </r>
  <r>
    <x v="0"/>
    <x v="1"/>
    <x v="3"/>
    <x v="0"/>
    <x v="1"/>
    <x v="1"/>
    <x v="1192"/>
    <x v="27"/>
    <x v="2259"/>
    <x v="249"/>
    <x v="0"/>
    <x v="249"/>
    <x v="0"/>
    <x v="8"/>
    <x v="0"/>
    <x v="35"/>
    <x v="22"/>
    <x v="0"/>
    <s v="MEDIA"/>
    <s v="MEDIA"/>
    <n v="64"/>
    <s v="cumple"/>
    <x v="11"/>
    <x v="3"/>
    <x v="2259"/>
    <n v="6901.9999999999991"/>
    <x v="0"/>
  </r>
  <r>
    <x v="0"/>
    <x v="1"/>
    <x v="3"/>
    <x v="0"/>
    <x v="1"/>
    <x v="1"/>
    <x v="1193"/>
    <x v="27"/>
    <x v="2260"/>
    <x v="250"/>
    <x v="0"/>
    <x v="250"/>
    <x v="0"/>
    <x v="8"/>
    <x v="1"/>
    <x v="35"/>
    <x v="22"/>
    <x v="0"/>
    <s v="MEDIA"/>
    <s v="MEDIA"/>
    <n v="64"/>
    <s v="cumple"/>
    <x v="11"/>
    <x v="3"/>
    <x v="2260"/>
    <n v="6901.9999999999991"/>
    <x v="0"/>
  </r>
  <r>
    <x v="0"/>
    <x v="1"/>
    <x v="3"/>
    <x v="0"/>
    <x v="1"/>
    <x v="1"/>
    <x v="1193"/>
    <x v="27"/>
    <x v="2260"/>
    <x v="251"/>
    <x v="0"/>
    <x v="251"/>
    <x v="0"/>
    <x v="8"/>
    <x v="1"/>
    <x v="35"/>
    <x v="22"/>
    <x v="0"/>
    <s v="MEDIA"/>
    <s v="MEDIA"/>
    <n v="64"/>
    <s v="cumple"/>
    <x v="11"/>
    <x v="3"/>
    <x v="2260"/>
    <n v="6901.9999999999991"/>
    <x v="0"/>
  </r>
  <r>
    <x v="0"/>
    <x v="1"/>
    <x v="3"/>
    <x v="0"/>
    <x v="1"/>
    <x v="1"/>
    <x v="1193"/>
    <x v="27"/>
    <x v="2260"/>
    <x v="252"/>
    <x v="0"/>
    <x v="252"/>
    <x v="0"/>
    <x v="8"/>
    <x v="1"/>
    <x v="35"/>
    <x v="22"/>
    <x v="0"/>
    <s v="MEDIA"/>
    <s v="MEDIA"/>
    <n v="64"/>
    <s v="cumple"/>
    <x v="11"/>
    <x v="3"/>
    <x v="2260"/>
    <n v="6901.9999999999991"/>
    <x v="0"/>
  </r>
  <r>
    <x v="0"/>
    <x v="1"/>
    <x v="3"/>
    <x v="0"/>
    <x v="1"/>
    <x v="1"/>
    <x v="1193"/>
    <x v="27"/>
    <x v="2260"/>
    <x v="253"/>
    <x v="0"/>
    <x v="253"/>
    <x v="0"/>
    <x v="8"/>
    <x v="0"/>
    <x v="35"/>
    <x v="22"/>
    <x v="0"/>
    <s v="MEDIA"/>
    <s v="MEDIA"/>
    <n v="64"/>
    <s v="cumple"/>
    <x v="11"/>
    <x v="3"/>
    <x v="2260"/>
    <n v="6901.9999999999991"/>
    <x v="0"/>
  </r>
  <r>
    <x v="0"/>
    <x v="1"/>
    <x v="3"/>
    <x v="0"/>
    <x v="1"/>
    <x v="1"/>
    <x v="1194"/>
    <x v="27"/>
    <x v="2261"/>
    <x v="254"/>
    <x v="0"/>
    <x v="254"/>
    <x v="0"/>
    <x v="8"/>
    <x v="1"/>
    <x v="35"/>
    <x v="22"/>
    <x v="0"/>
    <s v="MEDIA"/>
    <s v="MEDIA"/>
    <n v="64"/>
    <s v="cumple"/>
    <x v="11"/>
    <x v="3"/>
    <x v="2261"/>
    <n v="6901.9999999999991"/>
    <x v="0"/>
  </r>
  <r>
    <x v="0"/>
    <x v="1"/>
    <x v="3"/>
    <x v="0"/>
    <x v="1"/>
    <x v="1"/>
    <x v="1194"/>
    <x v="27"/>
    <x v="2261"/>
    <x v="255"/>
    <x v="0"/>
    <x v="255"/>
    <x v="0"/>
    <x v="8"/>
    <x v="1"/>
    <x v="35"/>
    <x v="22"/>
    <x v="0"/>
    <s v="MEDIA"/>
    <s v="MEDIA"/>
    <n v="64"/>
    <s v="cumple"/>
    <x v="11"/>
    <x v="3"/>
    <x v="2261"/>
    <n v="6901.9999999999991"/>
    <x v="0"/>
  </r>
  <r>
    <x v="0"/>
    <x v="1"/>
    <x v="3"/>
    <x v="0"/>
    <x v="1"/>
    <x v="1"/>
    <x v="1194"/>
    <x v="27"/>
    <x v="2261"/>
    <x v="256"/>
    <x v="0"/>
    <x v="256"/>
    <x v="0"/>
    <x v="8"/>
    <x v="1"/>
    <x v="35"/>
    <x v="22"/>
    <x v="0"/>
    <s v="MEDIA"/>
    <s v="MEDIA"/>
    <n v="64"/>
    <s v="cumple"/>
    <x v="11"/>
    <x v="3"/>
    <x v="2261"/>
    <n v="6901.9999999999991"/>
    <x v="0"/>
  </r>
  <r>
    <x v="0"/>
    <x v="1"/>
    <x v="3"/>
    <x v="0"/>
    <x v="1"/>
    <x v="1"/>
    <x v="1194"/>
    <x v="27"/>
    <x v="2261"/>
    <x v="257"/>
    <x v="0"/>
    <x v="257"/>
    <x v="0"/>
    <x v="8"/>
    <x v="0"/>
    <x v="35"/>
    <x v="22"/>
    <x v="0"/>
    <s v="MEDIA"/>
    <s v="MEDIA"/>
    <n v="64"/>
    <s v="cumple"/>
    <x v="11"/>
    <x v="3"/>
    <x v="2261"/>
    <n v="6901.9999999999991"/>
    <x v="0"/>
  </r>
  <r>
    <x v="0"/>
    <x v="1"/>
    <x v="3"/>
    <x v="0"/>
    <x v="1"/>
    <x v="1"/>
    <x v="1195"/>
    <x v="27"/>
    <x v="2262"/>
    <x v="258"/>
    <x v="0"/>
    <x v="258"/>
    <x v="0"/>
    <x v="8"/>
    <x v="1"/>
    <x v="35"/>
    <x v="22"/>
    <x v="0"/>
    <s v="MEDIA"/>
    <s v="MEDIA"/>
    <n v="64"/>
    <s v="cumple"/>
    <x v="11"/>
    <x v="3"/>
    <x v="2262"/>
    <n v="6901.9999999999991"/>
    <x v="0"/>
  </r>
  <r>
    <x v="0"/>
    <x v="1"/>
    <x v="3"/>
    <x v="0"/>
    <x v="1"/>
    <x v="1"/>
    <x v="1195"/>
    <x v="27"/>
    <x v="2262"/>
    <x v="259"/>
    <x v="0"/>
    <x v="259"/>
    <x v="0"/>
    <x v="8"/>
    <x v="1"/>
    <x v="35"/>
    <x v="22"/>
    <x v="0"/>
    <s v="MEDIA"/>
    <s v="MEDIA"/>
    <n v="64"/>
    <s v="cumple"/>
    <x v="11"/>
    <x v="3"/>
    <x v="2262"/>
    <n v="6901.9999999999991"/>
    <x v="0"/>
  </r>
  <r>
    <x v="0"/>
    <x v="1"/>
    <x v="3"/>
    <x v="0"/>
    <x v="1"/>
    <x v="1"/>
    <x v="1195"/>
    <x v="27"/>
    <x v="2262"/>
    <x v="260"/>
    <x v="0"/>
    <x v="260"/>
    <x v="0"/>
    <x v="8"/>
    <x v="1"/>
    <x v="35"/>
    <x v="22"/>
    <x v="0"/>
    <s v="MEDIA"/>
    <s v="MEDIA"/>
    <n v="64"/>
    <s v="cumple"/>
    <x v="11"/>
    <x v="3"/>
    <x v="2262"/>
    <n v="6901.9999999999991"/>
    <x v="0"/>
  </r>
  <r>
    <x v="0"/>
    <x v="1"/>
    <x v="3"/>
    <x v="0"/>
    <x v="1"/>
    <x v="1"/>
    <x v="1195"/>
    <x v="27"/>
    <x v="2262"/>
    <x v="261"/>
    <x v="0"/>
    <x v="261"/>
    <x v="1"/>
    <x v="21"/>
    <x v="0"/>
    <x v="35"/>
    <x v="22"/>
    <x v="0"/>
    <s v="MEDIA"/>
    <s v="MEDIA"/>
    <n v="64"/>
    <s v="cumple"/>
    <x v="11"/>
    <x v="3"/>
    <x v="2262"/>
    <n v="6090"/>
    <x v="0"/>
  </r>
  <r>
    <x v="0"/>
    <x v="1"/>
    <x v="3"/>
    <x v="0"/>
    <x v="1"/>
    <x v="1"/>
    <x v="1196"/>
    <x v="27"/>
    <x v="2263"/>
    <x v="242"/>
    <x v="0"/>
    <x v="242"/>
    <x v="6"/>
    <x v="1"/>
    <x v="0"/>
    <x v="292"/>
    <x v="21"/>
    <x v="0"/>
    <s v="MEDIA"/>
    <s v="MEDIA"/>
    <n v="64"/>
    <s v="cumple"/>
    <x v="11"/>
    <x v="3"/>
    <x v="2263"/>
    <n v="5684"/>
    <x v="0"/>
  </r>
  <r>
    <x v="0"/>
    <x v="1"/>
    <x v="3"/>
    <x v="0"/>
    <x v="1"/>
    <x v="1"/>
    <x v="1197"/>
    <x v="27"/>
    <x v="2264"/>
    <x v="243"/>
    <x v="0"/>
    <x v="243"/>
    <x v="0"/>
    <x v="8"/>
    <x v="0"/>
    <x v="292"/>
    <x v="21"/>
    <x v="0"/>
    <s v="MEDIA"/>
    <s v="MEDIA"/>
    <n v="64"/>
    <s v="cumple"/>
    <x v="11"/>
    <x v="3"/>
    <x v="2264"/>
    <n v="6901.9999999999991"/>
    <x v="0"/>
  </r>
  <r>
    <x v="0"/>
    <x v="1"/>
    <x v="3"/>
    <x v="0"/>
    <x v="1"/>
    <x v="1"/>
    <x v="1198"/>
    <x v="27"/>
    <x v="2265"/>
    <x v="244"/>
    <x v="0"/>
    <x v="244"/>
    <x v="0"/>
    <x v="8"/>
    <x v="1"/>
    <x v="292"/>
    <x v="21"/>
    <x v="0"/>
    <s v="MEDIA"/>
    <s v="MEDIA"/>
    <n v="64"/>
    <s v="cumple"/>
    <x v="11"/>
    <x v="3"/>
    <x v="2265"/>
    <n v="6901.9999999999991"/>
    <x v="0"/>
  </r>
  <r>
    <x v="0"/>
    <x v="1"/>
    <x v="3"/>
    <x v="0"/>
    <x v="1"/>
    <x v="1"/>
    <x v="1198"/>
    <x v="27"/>
    <x v="2265"/>
    <x v="245"/>
    <x v="0"/>
    <x v="245"/>
    <x v="0"/>
    <x v="8"/>
    <x v="0"/>
    <x v="292"/>
    <x v="21"/>
    <x v="0"/>
    <s v="MEDIA"/>
    <s v="MEDIA"/>
    <n v="64"/>
    <s v="cumple"/>
    <x v="11"/>
    <x v="3"/>
    <x v="2265"/>
    <n v="6901.9999999999991"/>
    <x v="0"/>
  </r>
  <r>
    <x v="0"/>
    <x v="1"/>
    <x v="3"/>
    <x v="0"/>
    <x v="1"/>
    <x v="1"/>
    <x v="1199"/>
    <x v="27"/>
    <x v="2266"/>
    <x v="246"/>
    <x v="0"/>
    <x v="246"/>
    <x v="0"/>
    <x v="8"/>
    <x v="1"/>
    <x v="292"/>
    <x v="21"/>
    <x v="0"/>
    <s v="MEDIA"/>
    <s v="MEDIA"/>
    <n v="64"/>
    <s v="cumple"/>
    <x v="11"/>
    <x v="3"/>
    <x v="2266"/>
    <n v="6901.9999999999991"/>
    <x v="0"/>
  </r>
  <r>
    <x v="0"/>
    <x v="1"/>
    <x v="3"/>
    <x v="0"/>
    <x v="1"/>
    <x v="1"/>
    <x v="1199"/>
    <x v="27"/>
    <x v="2266"/>
    <x v="247"/>
    <x v="0"/>
    <x v="247"/>
    <x v="0"/>
    <x v="8"/>
    <x v="0"/>
    <x v="292"/>
    <x v="21"/>
    <x v="0"/>
    <s v="MEDIA"/>
    <s v="MEDIA"/>
    <n v="64"/>
    <s v="cumple"/>
    <x v="11"/>
    <x v="3"/>
    <x v="2266"/>
    <n v="6901.9999999999991"/>
    <x v="0"/>
  </r>
  <r>
    <x v="0"/>
    <x v="1"/>
    <x v="3"/>
    <x v="0"/>
    <x v="1"/>
    <x v="1"/>
    <x v="1200"/>
    <x v="27"/>
    <x v="2267"/>
    <x v="248"/>
    <x v="0"/>
    <x v="248"/>
    <x v="0"/>
    <x v="8"/>
    <x v="1"/>
    <x v="292"/>
    <x v="21"/>
    <x v="0"/>
    <s v="MEDIA"/>
    <s v="MEDIA"/>
    <n v="64"/>
    <s v="cumple"/>
    <x v="11"/>
    <x v="3"/>
    <x v="2267"/>
    <n v="6901.9999999999991"/>
    <x v="0"/>
  </r>
  <r>
    <x v="0"/>
    <x v="1"/>
    <x v="3"/>
    <x v="0"/>
    <x v="1"/>
    <x v="1"/>
    <x v="1200"/>
    <x v="27"/>
    <x v="2267"/>
    <x v="249"/>
    <x v="0"/>
    <x v="249"/>
    <x v="0"/>
    <x v="8"/>
    <x v="0"/>
    <x v="292"/>
    <x v="21"/>
    <x v="0"/>
    <s v="MEDIA"/>
    <s v="MEDIA"/>
    <n v="64"/>
    <s v="cumple"/>
    <x v="11"/>
    <x v="3"/>
    <x v="2267"/>
    <n v="6901.9999999999991"/>
    <x v="0"/>
  </r>
  <r>
    <x v="0"/>
    <x v="1"/>
    <x v="3"/>
    <x v="0"/>
    <x v="1"/>
    <x v="1"/>
    <x v="1201"/>
    <x v="27"/>
    <x v="2268"/>
    <x v="250"/>
    <x v="0"/>
    <x v="250"/>
    <x v="0"/>
    <x v="8"/>
    <x v="1"/>
    <x v="292"/>
    <x v="21"/>
    <x v="0"/>
    <s v="MEDIA"/>
    <s v="MEDIA"/>
    <n v="64"/>
    <s v="cumple"/>
    <x v="11"/>
    <x v="3"/>
    <x v="2268"/>
    <n v="6901.9999999999991"/>
    <x v="0"/>
  </r>
  <r>
    <x v="0"/>
    <x v="1"/>
    <x v="3"/>
    <x v="0"/>
    <x v="1"/>
    <x v="1"/>
    <x v="1201"/>
    <x v="27"/>
    <x v="2268"/>
    <x v="251"/>
    <x v="0"/>
    <x v="251"/>
    <x v="0"/>
    <x v="8"/>
    <x v="0"/>
    <x v="292"/>
    <x v="21"/>
    <x v="0"/>
    <s v="MEDIA"/>
    <s v="MEDIA"/>
    <n v="64"/>
    <s v="cumple"/>
    <x v="11"/>
    <x v="3"/>
    <x v="2268"/>
    <n v="6901.9999999999991"/>
    <x v="0"/>
  </r>
  <r>
    <x v="0"/>
    <x v="1"/>
    <x v="3"/>
    <x v="0"/>
    <x v="1"/>
    <x v="1"/>
    <x v="1202"/>
    <x v="27"/>
    <x v="2269"/>
    <x v="252"/>
    <x v="0"/>
    <x v="252"/>
    <x v="0"/>
    <x v="8"/>
    <x v="0"/>
    <x v="292"/>
    <x v="21"/>
    <x v="0"/>
    <s v="MEDIA"/>
    <s v="MEDIA"/>
    <n v="64"/>
    <s v="cumple"/>
    <x v="11"/>
    <x v="3"/>
    <x v="2269"/>
    <n v="6901.9999999999991"/>
    <x v="0"/>
  </r>
  <r>
    <x v="0"/>
    <x v="1"/>
    <x v="3"/>
    <x v="0"/>
    <x v="1"/>
    <x v="1"/>
    <x v="1203"/>
    <x v="27"/>
    <x v="2270"/>
    <x v="253"/>
    <x v="0"/>
    <x v="253"/>
    <x v="0"/>
    <x v="8"/>
    <x v="0"/>
    <x v="292"/>
    <x v="21"/>
    <x v="0"/>
    <s v="MEDIA"/>
    <s v="MEDIA"/>
    <n v="64"/>
    <s v="cumple"/>
    <x v="11"/>
    <x v="3"/>
    <x v="2270"/>
    <n v="6901.9999999999991"/>
    <x v="0"/>
  </r>
  <r>
    <x v="0"/>
    <x v="1"/>
    <x v="3"/>
    <x v="0"/>
    <x v="1"/>
    <x v="1"/>
    <x v="1204"/>
    <x v="27"/>
    <x v="2271"/>
    <x v="254"/>
    <x v="0"/>
    <x v="254"/>
    <x v="0"/>
    <x v="8"/>
    <x v="1"/>
    <x v="292"/>
    <x v="21"/>
    <x v="0"/>
    <s v="MEDIA"/>
    <s v="MEDIA"/>
    <n v="64"/>
    <s v="cumple"/>
    <x v="11"/>
    <x v="3"/>
    <x v="2271"/>
    <n v="6901.9999999999991"/>
    <x v="0"/>
  </r>
  <r>
    <x v="0"/>
    <x v="1"/>
    <x v="3"/>
    <x v="0"/>
    <x v="1"/>
    <x v="1"/>
    <x v="1204"/>
    <x v="27"/>
    <x v="2271"/>
    <x v="255"/>
    <x v="0"/>
    <x v="255"/>
    <x v="0"/>
    <x v="8"/>
    <x v="0"/>
    <x v="292"/>
    <x v="21"/>
    <x v="0"/>
    <s v="MEDIA"/>
    <s v="MEDIA"/>
    <n v="64"/>
    <s v="cumple"/>
    <x v="11"/>
    <x v="3"/>
    <x v="2271"/>
    <n v="6901.9999999999991"/>
    <x v="0"/>
  </r>
  <r>
    <x v="0"/>
    <x v="1"/>
    <x v="3"/>
    <x v="0"/>
    <x v="1"/>
    <x v="1"/>
    <x v="1205"/>
    <x v="27"/>
    <x v="2272"/>
    <x v="256"/>
    <x v="0"/>
    <x v="256"/>
    <x v="0"/>
    <x v="8"/>
    <x v="1"/>
    <x v="292"/>
    <x v="21"/>
    <x v="0"/>
    <s v="MEDIA"/>
    <s v="MEDIA"/>
    <n v="64"/>
    <s v="cumple"/>
    <x v="11"/>
    <x v="3"/>
    <x v="2272"/>
    <n v="6901.9999999999991"/>
    <x v="0"/>
  </r>
  <r>
    <x v="0"/>
    <x v="1"/>
    <x v="3"/>
    <x v="0"/>
    <x v="1"/>
    <x v="1"/>
    <x v="1205"/>
    <x v="27"/>
    <x v="2272"/>
    <x v="257"/>
    <x v="0"/>
    <x v="257"/>
    <x v="0"/>
    <x v="8"/>
    <x v="0"/>
    <x v="292"/>
    <x v="21"/>
    <x v="0"/>
    <s v="MEDIA"/>
    <s v="MEDIA"/>
    <n v="64"/>
    <s v="cumple"/>
    <x v="11"/>
    <x v="3"/>
    <x v="2272"/>
    <n v="6901.9999999999991"/>
    <x v="0"/>
  </r>
  <r>
    <x v="0"/>
    <x v="1"/>
    <x v="3"/>
    <x v="0"/>
    <x v="1"/>
    <x v="1"/>
    <x v="1206"/>
    <x v="27"/>
    <x v="2273"/>
    <x v="258"/>
    <x v="0"/>
    <x v="258"/>
    <x v="0"/>
    <x v="8"/>
    <x v="1"/>
    <x v="292"/>
    <x v="21"/>
    <x v="0"/>
    <s v="MEDIA"/>
    <s v="MEDIA"/>
    <n v="64"/>
    <s v="cumple"/>
    <x v="11"/>
    <x v="3"/>
    <x v="2273"/>
    <n v="6901.9999999999991"/>
    <x v="0"/>
  </r>
  <r>
    <x v="0"/>
    <x v="1"/>
    <x v="3"/>
    <x v="0"/>
    <x v="1"/>
    <x v="1"/>
    <x v="1206"/>
    <x v="27"/>
    <x v="2273"/>
    <x v="259"/>
    <x v="0"/>
    <x v="259"/>
    <x v="0"/>
    <x v="8"/>
    <x v="0"/>
    <x v="292"/>
    <x v="21"/>
    <x v="0"/>
    <s v="MEDIA"/>
    <s v="MEDIA"/>
    <n v="64"/>
    <s v="cumple"/>
    <x v="11"/>
    <x v="3"/>
    <x v="2273"/>
    <n v="6901.9999999999991"/>
    <x v="0"/>
  </r>
  <r>
    <x v="0"/>
    <x v="1"/>
    <x v="3"/>
    <x v="0"/>
    <x v="1"/>
    <x v="1"/>
    <x v="1207"/>
    <x v="27"/>
    <x v="2274"/>
    <x v="260"/>
    <x v="0"/>
    <x v="260"/>
    <x v="0"/>
    <x v="8"/>
    <x v="1"/>
    <x v="292"/>
    <x v="21"/>
    <x v="0"/>
    <s v="MEDIA"/>
    <s v="MEDIA"/>
    <n v="64"/>
    <s v="cumple"/>
    <x v="11"/>
    <x v="3"/>
    <x v="2274"/>
    <n v="6901.9999999999991"/>
    <x v="0"/>
  </r>
  <r>
    <x v="0"/>
    <x v="1"/>
    <x v="3"/>
    <x v="0"/>
    <x v="1"/>
    <x v="1"/>
    <x v="1207"/>
    <x v="27"/>
    <x v="2274"/>
    <x v="261"/>
    <x v="0"/>
    <x v="261"/>
    <x v="7"/>
    <x v="3"/>
    <x v="0"/>
    <x v="292"/>
    <x v="21"/>
    <x v="0"/>
    <s v="MEDIA"/>
    <s v="MEDIA"/>
    <n v="64"/>
    <s v="cumple"/>
    <x v="11"/>
    <x v="3"/>
    <x v="2274"/>
    <n v="4872"/>
    <x v="0"/>
  </r>
  <r>
    <x v="0"/>
    <x v="1"/>
    <x v="3"/>
    <x v="0"/>
    <x v="1"/>
    <x v="1"/>
    <x v="1208"/>
    <x v="27"/>
    <x v="2275"/>
    <x v="242"/>
    <x v="0"/>
    <x v="242"/>
    <x v="7"/>
    <x v="3"/>
    <x v="0"/>
    <x v="292"/>
    <x v="11"/>
    <x v="0"/>
    <s v="MEDIA"/>
    <s v="MEDIA"/>
    <n v="64"/>
    <s v="cumple"/>
    <x v="11"/>
    <x v="3"/>
    <x v="2275"/>
    <n v="4872"/>
    <x v="0"/>
  </r>
  <r>
    <x v="0"/>
    <x v="1"/>
    <x v="3"/>
    <x v="0"/>
    <x v="1"/>
    <x v="1"/>
    <x v="1209"/>
    <x v="27"/>
    <x v="2276"/>
    <x v="243"/>
    <x v="0"/>
    <x v="243"/>
    <x v="0"/>
    <x v="8"/>
    <x v="1"/>
    <x v="292"/>
    <x v="11"/>
    <x v="0"/>
    <s v="MEDIA"/>
    <s v="MEDIA"/>
    <n v="64"/>
    <s v="cumple"/>
    <x v="11"/>
    <x v="3"/>
    <x v="2276"/>
    <n v="6901.9999999999991"/>
    <x v="0"/>
  </r>
  <r>
    <x v="0"/>
    <x v="1"/>
    <x v="3"/>
    <x v="0"/>
    <x v="1"/>
    <x v="1"/>
    <x v="1209"/>
    <x v="27"/>
    <x v="2276"/>
    <x v="244"/>
    <x v="0"/>
    <x v="244"/>
    <x v="0"/>
    <x v="8"/>
    <x v="0"/>
    <x v="292"/>
    <x v="11"/>
    <x v="0"/>
    <s v="MEDIA"/>
    <s v="MEDIA"/>
    <n v="64"/>
    <s v="cumple"/>
    <x v="11"/>
    <x v="3"/>
    <x v="2276"/>
    <n v="6901.9999999999991"/>
    <x v="0"/>
  </r>
  <r>
    <x v="0"/>
    <x v="1"/>
    <x v="3"/>
    <x v="0"/>
    <x v="1"/>
    <x v="1"/>
    <x v="1210"/>
    <x v="27"/>
    <x v="2277"/>
    <x v="245"/>
    <x v="0"/>
    <x v="245"/>
    <x v="0"/>
    <x v="8"/>
    <x v="1"/>
    <x v="292"/>
    <x v="11"/>
    <x v="0"/>
    <s v="MEDIA"/>
    <s v="MEDIA"/>
    <n v="64"/>
    <s v="cumple"/>
    <x v="11"/>
    <x v="3"/>
    <x v="2277"/>
    <n v="6901.9999999999991"/>
    <x v="0"/>
  </r>
  <r>
    <x v="0"/>
    <x v="1"/>
    <x v="3"/>
    <x v="0"/>
    <x v="1"/>
    <x v="1"/>
    <x v="1210"/>
    <x v="27"/>
    <x v="2277"/>
    <x v="246"/>
    <x v="0"/>
    <x v="246"/>
    <x v="0"/>
    <x v="8"/>
    <x v="0"/>
    <x v="292"/>
    <x v="11"/>
    <x v="0"/>
    <s v="MEDIA"/>
    <s v="MEDIA"/>
    <n v="64"/>
    <s v="cumple"/>
    <x v="11"/>
    <x v="3"/>
    <x v="2277"/>
    <n v="6901.9999999999991"/>
    <x v="0"/>
  </r>
  <r>
    <x v="0"/>
    <x v="1"/>
    <x v="3"/>
    <x v="0"/>
    <x v="1"/>
    <x v="1"/>
    <x v="1211"/>
    <x v="27"/>
    <x v="2278"/>
    <x v="247"/>
    <x v="0"/>
    <x v="247"/>
    <x v="10"/>
    <x v="9"/>
    <x v="1"/>
    <x v="292"/>
    <x v="11"/>
    <x v="0"/>
    <s v="MEDIA"/>
    <s v="MEDIA"/>
    <n v="64"/>
    <s v="cumple"/>
    <x v="11"/>
    <x v="3"/>
    <x v="2278"/>
    <n v="5278"/>
    <x v="0"/>
  </r>
  <r>
    <x v="0"/>
    <x v="1"/>
    <x v="3"/>
    <x v="0"/>
    <x v="1"/>
    <x v="1"/>
    <x v="1211"/>
    <x v="27"/>
    <x v="2278"/>
    <x v="248"/>
    <x v="0"/>
    <x v="248"/>
    <x v="0"/>
    <x v="8"/>
    <x v="0"/>
    <x v="292"/>
    <x v="11"/>
    <x v="0"/>
    <s v="MEDIA"/>
    <s v="MEDIA"/>
    <n v="64"/>
    <s v="cumple"/>
    <x v="11"/>
    <x v="3"/>
    <x v="2278"/>
    <n v="6901.9999999999991"/>
    <x v="0"/>
  </r>
  <r>
    <x v="0"/>
    <x v="1"/>
    <x v="3"/>
    <x v="0"/>
    <x v="1"/>
    <x v="1"/>
    <x v="1212"/>
    <x v="27"/>
    <x v="2279"/>
    <x v="249"/>
    <x v="0"/>
    <x v="249"/>
    <x v="0"/>
    <x v="8"/>
    <x v="1"/>
    <x v="292"/>
    <x v="11"/>
    <x v="0"/>
    <s v="MEDIA"/>
    <s v="MEDIA"/>
    <n v="64"/>
    <s v="cumple"/>
    <x v="11"/>
    <x v="3"/>
    <x v="2279"/>
    <n v="6901.9999999999991"/>
    <x v="0"/>
  </r>
  <r>
    <x v="0"/>
    <x v="1"/>
    <x v="3"/>
    <x v="0"/>
    <x v="1"/>
    <x v="1"/>
    <x v="1212"/>
    <x v="27"/>
    <x v="2279"/>
    <x v="250"/>
    <x v="0"/>
    <x v="250"/>
    <x v="0"/>
    <x v="8"/>
    <x v="0"/>
    <x v="292"/>
    <x v="11"/>
    <x v="0"/>
    <s v="MEDIA"/>
    <s v="MEDIA"/>
    <n v="64"/>
    <s v="cumple"/>
    <x v="11"/>
    <x v="3"/>
    <x v="2279"/>
    <n v="6901.9999999999991"/>
    <x v="0"/>
  </r>
  <r>
    <x v="0"/>
    <x v="1"/>
    <x v="3"/>
    <x v="0"/>
    <x v="1"/>
    <x v="1"/>
    <x v="1213"/>
    <x v="27"/>
    <x v="2280"/>
    <x v="251"/>
    <x v="0"/>
    <x v="251"/>
    <x v="0"/>
    <x v="8"/>
    <x v="1"/>
    <x v="292"/>
    <x v="11"/>
    <x v="0"/>
    <s v="MEDIA"/>
    <s v="MEDIA"/>
    <n v="64"/>
    <s v="cumple"/>
    <x v="11"/>
    <x v="3"/>
    <x v="2280"/>
    <n v="6901.9999999999991"/>
    <x v="0"/>
  </r>
  <r>
    <x v="0"/>
    <x v="1"/>
    <x v="3"/>
    <x v="0"/>
    <x v="1"/>
    <x v="1"/>
    <x v="1213"/>
    <x v="27"/>
    <x v="2280"/>
    <x v="252"/>
    <x v="0"/>
    <x v="252"/>
    <x v="0"/>
    <x v="8"/>
    <x v="0"/>
    <x v="292"/>
    <x v="11"/>
    <x v="0"/>
    <s v="MEDIA"/>
    <s v="MEDIA"/>
    <n v="64"/>
    <s v="cumple"/>
    <x v="11"/>
    <x v="3"/>
    <x v="2280"/>
    <n v="6901.9999999999991"/>
    <x v="0"/>
  </r>
  <r>
    <x v="0"/>
    <x v="1"/>
    <x v="3"/>
    <x v="0"/>
    <x v="1"/>
    <x v="1"/>
    <x v="1214"/>
    <x v="27"/>
    <x v="2281"/>
    <x v="253"/>
    <x v="0"/>
    <x v="253"/>
    <x v="0"/>
    <x v="8"/>
    <x v="1"/>
    <x v="292"/>
    <x v="11"/>
    <x v="0"/>
    <s v="MEDIA"/>
    <s v="MEDIA"/>
    <n v="64"/>
    <s v="cumple"/>
    <x v="11"/>
    <x v="3"/>
    <x v="2281"/>
    <n v="6901.9999999999991"/>
    <x v="0"/>
  </r>
  <r>
    <x v="0"/>
    <x v="1"/>
    <x v="3"/>
    <x v="0"/>
    <x v="1"/>
    <x v="1"/>
    <x v="1215"/>
    <x v="27"/>
    <x v="2281"/>
    <x v="254"/>
    <x v="0"/>
    <x v="254"/>
    <x v="0"/>
    <x v="8"/>
    <x v="0"/>
    <x v="292"/>
    <x v="11"/>
    <x v="0"/>
    <s v="MEDIA"/>
    <s v="MEDIA"/>
    <n v="64"/>
    <s v="cumple"/>
    <x v="11"/>
    <x v="3"/>
    <x v="2281"/>
    <n v="6901.9999999999991"/>
    <x v="0"/>
  </r>
  <r>
    <x v="0"/>
    <x v="1"/>
    <x v="3"/>
    <x v="0"/>
    <x v="1"/>
    <x v="1"/>
    <x v="1216"/>
    <x v="27"/>
    <x v="2282"/>
    <x v="255"/>
    <x v="0"/>
    <x v="255"/>
    <x v="0"/>
    <x v="8"/>
    <x v="0"/>
    <x v="292"/>
    <x v="11"/>
    <x v="0"/>
    <s v="MEDIA"/>
    <s v="MEDIA"/>
    <n v="64"/>
    <s v="cumple"/>
    <x v="11"/>
    <x v="3"/>
    <x v="2282"/>
    <n v="6901.9999999999991"/>
    <x v="0"/>
  </r>
  <r>
    <x v="0"/>
    <x v="1"/>
    <x v="3"/>
    <x v="0"/>
    <x v="1"/>
    <x v="1"/>
    <x v="1217"/>
    <x v="27"/>
    <x v="2283"/>
    <x v="256"/>
    <x v="0"/>
    <x v="256"/>
    <x v="0"/>
    <x v="8"/>
    <x v="0"/>
    <x v="292"/>
    <x v="11"/>
    <x v="0"/>
    <s v="MEDIA"/>
    <s v="MEDIA"/>
    <n v="64"/>
    <s v="cumple"/>
    <x v="11"/>
    <x v="3"/>
    <x v="2283"/>
    <n v="6901.9999999999991"/>
    <x v="0"/>
  </r>
  <r>
    <x v="0"/>
    <x v="1"/>
    <x v="3"/>
    <x v="0"/>
    <x v="1"/>
    <x v="1"/>
    <x v="1218"/>
    <x v="27"/>
    <x v="2284"/>
    <x v="257"/>
    <x v="0"/>
    <x v="257"/>
    <x v="0"/>
    <x v="8"/>
    <x v="0"/>
    <x v="292"/>
    <x v="11"/>
    <x v="0"/>
    <s v="MEDIA"/>
    <s v="MEDIA"/>
    <n v="64"/>
    <s v="cumple"/>
    <x v="11"/>
    <x v="3"/>
    <x v="2284"/>
    <n v="6901.9999999999991"/>
    <x v="0"/>
  </r>
  <r>
    <x v="0"/>
    <x v="1"/>
    <x v="3"/>
    <x v="0"/>
    <x v="1"/>
    <x v="1"/>
    <x v="1219"/>
    <x v="27"/>
    <x v="2285"/>
    <x v="258"/>
    <x v="0"/>
    <x v="258"/>
    <x v="0"/>
    <x v="8"/>
    <x v="1"/>
    <x v="292"/>
    <x v="11"/>
    <x v="0"/>
    <s v="MEDIA"/>
    <s v="MEDIA"/>
    <n v="64"/>
    <s v="cumple"/>
    <x v="11"/>
    <x v="3"/>
    <x v="2285"/>
    <n v="6901.9999999999991"/>
    <x v="0"/>
  </r>
  <r>
    <x v="0"/>
    <x v="1"/>
    <x v="3"/>
    <x v="0"/>
    <x v="1"/>
    <x v="1"/>
    <x v="1219"/>
    <x v="27"/>
    <x v="2285"/>
    <x v="259"/>
    <x v="0"/>
    <x v="259"/>
    <x v="0"/>
    <x v="8"/>
    <x v="0"/>
    <x v="292"/>
    <x v="11"/>
    <x v="0"/>
    <s v="MEDIA"/>
    <s v="MEDIA"/>
    <n v="64"/>
    <s v="cumple"/>
    <x v="11"/>
    <x v="3"/>
    <x v="2285"/>
    <n v="6901.9999999999991"/>
    <x v="0"/>
  </r>
  <r>
    <x v="0"/>
    <x v="1"/>
    <x v="3"/>
    <x v="0"/>
    <x v="1"/>
    <x v="1"/>
    <x v="1220"/>
    <x v="27"/>
    <x v="2286"/>
    <x v="260"/>
    <x v="0"/>
    <x v="260"/>
    <x v="0"/>
    <x v="8"/>
    <x v="1"/>
    <x v="292"/>
    <x v="11"/>
    <x v="0"/>
    <s v="MEDIA"/>
    <s v="MEDIA"/>
    <n v="64"/>
    <s v="cumple"/>
    <x v="11"/>
    <x v="3"/>
    <x v="2286"/>
    <n v="6901.9999999999991"/>
    <x v="0"/>
  </r>
  <r>
    <x v="0"/>
    <x v="1"/>
    <x v="3"/>
    <x v="0"/>
    <x v="1"/>
    <x v="1"/>
    <x v="1220"/>
    <x v="27"/>
    <x v="2286"/>
    <x v="261"/>
    <x v="0"/>
    <x v="261"/>
    <x v="7"/>
    <x v="3"/>
    <x v="0"/>
    <x v="292"/>
    <x v="11"/>
    <x v="0"/>
    <s v="MEDIA"/>
    <s v="MEDIA"/>
    <n v="64"/>
    <s v="cumple"/>
    <x v="11"/>
    <x v="3"/>
    <x v="2286"/>
    <n v="4872"/>
    <x v="0"/>
  </r>
  <r>
    <x v="0"/>
    <x v="0"/>
    <x v="2"/>
    <x v="0"/>
    <x v="25"/>
    <x v="1"/>
    <x v="1221"/>
    <x v="1366"/>
    <x v="2287"/>
    <x v="242"/>
    <x v="0"/>
    <x v="242"/>
    <x v="7"/>
    <x v="3"/>
    <x v="1"/>
    <x v="293"/>
    <x v="17"/>
    <x v="8"/>
    <s v="MEDIA"/>
    <s v="MEDIA"/>
    <n v="64"/>
    <s v="cumple"/>
    <x v="11"/>
    <x v="2"/>
    <x v="2287"/>
    <n v="3132"/>
    <x v="1"/>
  </r>
  <r>
    <x v="0"/>
    <x v="0"/>
    <x v="2"/>
    <x v="0"/>
    <x v="25"/>
    <x v="1"/>
    <x v="1221"/>
    <x v="1366"/>
    <x v="2287"/>
    <x v="243"/>
    <x v="0"/>
    <x v="243"/>
    <x v="12"/>
    <x v="16"/>
    <x v="0"/>
    <x v="293"/>
    <x v="17"/>
    <x v="8"/>
    <s v="MEDIA"/>
    <s v="MEDIA"/>
    <n v="64"/>
    <s v="cumple"/>
    <x v="11"/>
    <x v="2"/>
    <x v="2287"/>
    <n v="2871"/>
    <x v="1"/>
  </r>
  <r>
    <x v="0"/>
    <x v="0"/>
    <x v="2"/>
    <x v="0"/>
    <x v="25"/>
    <x v="1"/>
    <x v="1222"/>
    <x v="1366"/>
    <x v="2288"/>
    <x v="243"/>
    <x v="7"/>
    <x v="243"/>
    <x v="0"/>
    <x v="5"/>
    <x v="0"/>
    <x v="293"/>
    <x v="17"/>
    <x v="8"/>
    <s v="MEDIA"/>
    <s v="MEDIA"/>
    <n v="64"/>
    <s v="cumple"/>
    <x v="11"/>
    <x v="2"/>
    <x v="2288"/>
    <n v="1566"/>
    <x v="1"/>
  </r>
  <r>
    <x v="0"/>
    <x v="0"/>
    <x v="2"/>
    <x v="0"/>
    <x v="25"/>
    <x v="1"/>
    <x v="1223"/>
    <x v="1366"/>
    <x v="2289"/>
    <x v="244"/>
    <x v="0"/>
    <x v="244"/>
    <x v="12"/>
    <x v="16"/>
    <x v="1"/>
    <x v="294"/>
    <x v="17"/>
    <x v="8"/>
    <s v="MEDIA"/>
    <s v="MEDIA"/>
    <n v="64"/>
    <s v="cumple"/>
    <x v="11"/>
    <x v="2"/>
    <x v="2289"/>
    <n v="2871"/>
    <x v="1"/>
  </r>
  <r>
    <x v="0"/>
    <x v="0"/>
    <x v="2"/>
    <x v="0"/>
    <x v="25"/>
    <x v="1"/>
    <x v="1223"/>
    <x v="1366"/>
    <x v="2289"/>
    <x v="244"/>
    <x v="7"/>
    <x v="244"/>
    <x v="0"/>
    <x v="5"/>
    <x v="0"/>
    <x v="294"/>
    <x v="17"/>
    <x v="8"/>
    <s v="MEDIA"/>
    <s v="MEDIA"/>
    <n v="64"/>
    <s v="cumple"/>
    <x v="11"/>
    <x v="2"/>
    <x v="2289"/>
    <n v="1566"/>
    <x v="1"/>
  </r>
  <r>
    <x v="0"/>
    <x v="0"/>
    <x v="2"/>
    <x v="0"/>
    <x v="25"/>
    <x v="1"/>
    <x v="1224"/>
    <x v="1366"/>
    <x v="2290"/>
    <x v="245"/>
    <x v="0"/>
    <x v="245"/>
    <x v="12"/>
    <x v="16"/>
    <x v="1"/>
    <x v="295"/>
    <x v="17"/>
    <x v="8"/>
    <s v="MEDIA"/>
    <s v="MEDIA"/>
    <n v="64"/>
    <s v="cumple"/>
    <x v="11"/>
    <x v="2"/>
    <x v="2290"/>
    <n v="2871"/>
    <x v="1"/>
  </r>
  <r>
    <x v="0"/>
    <x v="0"/>
    <x v="2"/>
    <x v="0"/>
    <x v="25"/>
    <x v="1"/>
    <x v="1224"/>
    <x v="1366"/>
    <x v="2290"/>
    <x v="245"/>
    <x v="7"/>
    <x v="245"/>
    <x v="0"/>
    <x v="5"/>
    <x v="0"/>
    <x v="295"/>
    <x v="17"/>
    <x v="8"/>
    <s v="MEDIA"/>
    <s v="MEDIA"/>
    <n v="64"/>
    <s v="cumple"/>
    <x v="11"/>
    <x v="2"/>
    <x v="2290"/>
    <n v="1566"/>
    <x v="1"/>
  </r>
  <r>
    <x v="0"/>
    <x v="0"/>
    <x v="2"/>
    <x v="0"/>
    <x v="25"/>
    <x v="1"/>
    <x v="1225"/>
    <x v="1366"/>
    <x v="2291"/>
    <x v="246"/>
    <x v="0"/>
    <x v="246"/>
    <x v="12"/>
    <x v="16"/>
    <x v="1"/>
    <x v="296"/>
    <x v="17"/>
    <x v="8"/>
    <s v="MEDIA"/>
    <s v="MEDIA"/>
    <n v="64"/>
    <s v="cumple"/>
    <x v="11"/>
    <x v="2"/>
    <x v="2291"/>
    <n v="2871"/>
    <x v="1"/>
  </r>
  <r>
    <x v="0"/>
    <x v="0"/>
    <x v="2"/>
    <x v="0"/>
    <x v="25"/>
    <x v="1"/>
    <x v="1225"/>
    <x v="1366"/>
    <x v="2291"/>
    <x v="246"/>
    <x v="7"/>
    <x v="246"/>
    <x v="0"/>
    <x v="5"/>
    <x v="0"/>
    <x v="296"/>
    <x v="17"/>
    <x v="8"/>
    <s v="MEDIA"/>
    <s v="MEDIA"/>
    <n v="64"/>
    <s v="cumple"/>
    <x v="11"/>
    <x v="2"/>
    <x v="2291"/>
    <n v="1566"/>
    <x v="1"/>
  </r>
  <r>
    <x v="0"/>
    <x v="1"/>
    <x v="1"/>
    <x v="0"/>
    <x v="9"/>
    <x v="1"/>
    <x v="1226"/>
    <x v="1149"/>
    <x v="2292"/>
    <x v="242"/>
    <x v="40"/>
    <x v="242"/>
    <x v="52"/>
    <x v="3"/>
    <x v="0"/>
    <x v="275"/>
    <x v="9"/>
    <x v="4"/>
    <s v="MEDIA"/>
    <s v="MEDIA"/>
    <n v="64"/>
    <s v="cumple"/>
    <x v="11"/>
    <x v="1"/>
    <x v="2292"/>
    <n v="3479.9999999999995"/>
    <x v="1"/>
  </r>
  <r>
    <x v="0"/>
    <x v="1"/>
    <x v="1"/>
    <x v="0"/>
    <x v="9"/>
    <x v="1"/>
    <x v="1227"/>
    <x v="1149"/>
    <x v="2293"/>
    <x v="243"/>
    <x v="0"/>
    <x v="243"/>
    <x v="0"/>
    <x v="0"/>
    <x v="0"/>
    <x v="275"/>
    <x v="9"/>
    <x v="4"/>
    <s v="MEDIA"/>
    <s v="MEDIA"/>
    <n v="64"/>
    <s v="cumple"/>
    <x v="11"/>
    <x v="1"/>
    <x v="2293"/>
    <n v="4640"/>
    <x v="1"/>
  </r>
  <r>
    <x v="0"/>
    <x v="1"/>
    <x v="1"/>
    <x v="0"/>
    <x v="9"/>
    <x v="1"/>
    <x v="1228"/>
    <x v="1149"/>
    <x v="2292"/>
    <x v="244"/>
    <x v="0"/>
    <x v="244"/>
    <x v="8"/>
    <x v="2"/>
    <x v="0"/>
    <x v="275"/>
    <x v="9"/>
    <x v="4"/>
    <s v="MEDIA"/>
    <s v="MEDIA"/>
    <n v="64"/>
    <s v="cumple"/>
    <x v="11"/>
    <x v="1"/>
    <x v="2292"/>
    <n v="580"/>
    <x v="1"/>
  </r>
  <r>
    <x v="0"/>
    <x v="1"/>
    <x v="1"/>
    <x v="0"/>
    <x v="9"/>
    <x v="1"/>
    <x v="1229"/>
    <x v="1149"/>
    <x v="2294"/>
    <x v="244"/>
    <x v="8"/>
    <x v="244"/>
    <x v="1"/>
    <x v="3"/>
    <x v="0"/>
    <x v="275"/>
    <x v="9"/>
    <x v="4"/>
    <s v="MEDIA"/>
    <s v="MEDIA"/>
    <n v="64"/>
    <s v="cumple"/>
    <x v="11"/>
    <x v="1"/>
    <x v="2294"/>
    <n v="3479.9999999999995"/>
    <x v="1"/>
  </r>
  <r>
    <x v="0"/>
    <x v="1"/>
    <x v="1"/>
    <x v="0"/>
    <x v="9"/>
    <x v="1"/>
    <x v="1230"/>
    <x v="1367"/>
    <x v="2295"/>
    <x v="244"/>
    <x v="1"/>
    <x v="244"/>
    <x v="0"/>
    <x v="2"/>
    <x v="0"/>
    <x v="275"/>
    <x v="9"/>
    <x v="4"/>
    <s v="MEDIA"/>
    <s v="MEDIA"/>
    <n v="64"/>
    <s v="cumple"/>
    <x v="11"/>
    <x v="1"/>
    <x v="2295"/>
    <n v="580"/>
    <x v="1"/>
  </r>
  <r>
    <x v="0"/>
    <x v="1"/>
    <x v="1"/>
    <x v="0"/>
    <x v="9"/>
    <x v="1"/>
    <x v="1231"/>
    <x v="1149"/>
    <x v="2296"/>
    <x v="245"/>
    <x v="0"/>
    <x v="245"/>
    <x v="12"/>
    <x v="6"/>
    <x v="0"/>
    <x v="275"/>
    <x v="9"/>
    <x v="4"/>
    <s v="MEDIA"/>
    <s v="MEDIA"/>
    <n v="64"/>
    <s v="cumple"/>
    <x v="11"/>
    <x v="1"/>
    <x v="2296"/>
    <n v="2900"/>
    <x v="1"/>
  </r>
  <r>
    <x v="0"/>
    <x v="1"/>
    <x v="1"/>
    <x v="0"/>
    <x v="9"/>
    <x v="1"/>
    <x v="1232"/>
    <x v="1149"/>
    <x v="2297"/>
    <x v="245"/>
    <x v="7"/>
    <x v="245"/>
    <x v="2"/>
    <x v="2"/>
    <x v="0"/>
    <x v="275"/>
    <x v="9"/>
    <x v="4"/>
    <s v="MEDIA"/>
    <s v="MEDIA"/>
    <n v="64"/>
    <s v="cumple"/>
    <x v="11"/>
    <x v="1"/>
    <x v="2297"/>
    <n v="580"/>
    <x v="1"/>
  </r>
  <r>
    <x v="0"/>
    <x v="1"/>
    <x v="1"/>
    <x v="0"/>
    <x v="9"/>
    <x v="1"/>
    <x v="1233"/>
    <x v="1149"/>
    <x v="2298"/>
    <x v="245"/>
    <x v="2"/>
    <x v="245"/>
    <x v="0"/>
    <x v="4"/>
    <x v="0"/>
    <x v="275"/>
    <x v="9"/>
    <x v="4"/>
    <s v="MEDIA"/>
    <s v="MEDIA"/>
    <n v="64"/>
    <s v="cumple"/>
    <x v="11"/>
    <x v="1"/>
    <x v="2298"/>
    <n v="1160"/>
    <x v="1"/>
  </r>
  <r>
    <x v="0"/>
    <x v="1"/>
    <x v="1"/>
    <x v="0"/>
    <x v="9"/>
    <x v="1"/>
    <x v="1234"/>
    <x v="1149"/>
    <x v="2296"/>
    <x v="246"/>
    <x v="0"/>
    <x v="246"/>
    <x v="0"/>
    <x v="0"/>
    <x v="0"/>
    <x v="275"/>
    <x v="9"/>
    <x v="4"/>
    <s v="MEDIA"/>
    <s v="MEDIA"/>
    <n v="64"/>
    <s v="cumple"/>
    <x v="11"/>
    <x v="1"/>
    <x v="2296"/>
    <n v="4640"/>
    <x v="1"/>
  </r>
  <r>
    <x v="0"/>
    <x v="1"/>
    <x v="1"/>
    <x v="0"/>
    <x v="9"/>
    <x v="1"/>
    <x v="1235"/>
    <x v="1368"/>
    <x v="2299"/>
    <x v="247"/>
    <x v="0"/>
    <x v="247"/>
    <x v="0"/>
    <x v="0"/>
    <x v="0"/>
    <x v="275"/>
    <x v="9"/>
    <x v="4"/>
    <s v="MEDIA"/>
    <s v="MEDIA"/>
    <n v="64"/>
    <s v="cumple"/>
    <x v="11"/>
    <x v="1"/>
    <x v="2299"/>
    <n v="4640"/>
    <x v="1"/>
  </r>
  <r>
    <x v="0"/>
    <x v="1"/>
    <x v="1"/>
    <x v="0"/>
    <x v="9"/>
    <x v="1"/>
    <x v="1236"/>
    <x v="1369"/>
    <x v="2300"/>
    <x v="248"/>
    <x v="0"/>
    <x v="248"/>
    <x v="0"/>
    <x v="0"/>
    <x v="1"/>
    <x v="275"/>
    <x v="9"/>
    <x v="4"/>
    <s v="MEDIA"/>
    <s v="MEDIA"/>
    <n v="64"/>
    <s v="cumple"/>
    <x v="11"/>
    <x v="1"/>
    <x v="2300"/>
    <n v="4640"/>
    <x v="1"/>
  </r>
  <r>
    <x v="0"/>
    <x v="1"/>
    <x v="1"/>
    <x v="0"/>
    <x v="9"/>
    <x v="1"/>
    <x v="1237"/>
    <x v="1369"/>
    <x v="2300"/>
    <x v="249"/>
    <x v="0"/>
    <x v="249"/>
    <x v="0"/>
    <x v="0"/>
    <x v="1"/>
    <x v="275"/>
    <x v="9"/>
    <x v="4"/>
    <s v="MEDIA"/>
    <s v="MEDIA"/>
    <n v="64"/>
    <s v="cumple"/>
    <x v="11"/>
    <x v="1"/>
    <x v="2300"/>
    <n v="4640"/>
    <x v="1"/>
  </r>
  <r>
    <x v="0"/>
    <x v="1"/>
    <x v="1"/>
    <x v="0"/>
    <x v="9"/>
    <x v="1"/>
    <x v="1237"/>
    <x v="1369"/>
    <x v="2300"/>
    <x v="250"/>
    <x v="0"/>
    <x v="250"/>
    <x v="0"/>
    <x v="0"/>
    <x v="1"/>
    <x v="275"/>
    <x v="9"/>
    <x v="4"/>
    <s v="MEDIA"/>
    <s v="MEDIA"/>
    <n v="64"/>
    <s v="cumple"/>
    <x v="11"/>
    <x v="1"/>
    <x v="2300"/>
    <n v="4640"/>
    <x v="1"/>
  </r>
  <r>
    <x v="0"/>
    <x v="1"/>
    <x v="1"/>
    <x v="0"/>
    <x v="9"/>
    <x v="1"/>
    <x v="1237"/>
    <x v="1369"/>
    <x v="2300"/>
    <x v="251"/>
    <x v="0"/>
    <x v="251"/>
    <x v="0"/>
    <x v="0"/>
    <x v="1"/>
    <x v="275"/>
    <x v="9"/>
    <x v="4"/>
    <s v="MEDIA"/>
    <s v="MEDIA"/>
    <n v="64"/>
    <s v="cumple"/>
    <x v="11"/>
    <x v="1"/>
    <x v="2300"/>
    <n v="4640"/>
    <x v="1"/>
  </r>
  <r>
    <x v="0"/>
    <x v="1"/>
    <x v="1"/>
    <x v="0"/>
    <x v="9"/>
    <x v="1"/>
    <x v="1237"/>
    <x v="1369"/>
    <x v="2300"/>
    <x v="252"/>
    <x v="0"/>
    <x v="252"/>
    <x v="0"/>
    <x v="0"/>
    <x v="1"/>
    <x v="275"/>
    <x v="9"/>
    <x v="4"/>
    <s v="MEDIA"/>
    <s v="MEDIA"/>
    <n v="64"/>
    <s v="cumple"/>
    <x v="11"/>
    <x v="1"/>
    <x v="2300"/>
    <n v="4640"/>
    <x v="1"/>
  </r>
  <r>
    <x v="0"/>
    <x v="1"/>
    <x v="1"/>
    <x v="0"/>
    <x v="9"/>
    <x v="1"/>
    <x v="1237"/>
    <x v="1369"/>
    <x v="2300"/>
    <x v="253"/>
    <x v="0"/>
    <x v="253"/>
    <x v="0"/>
    <x v="0"/>
    <x v="1"/>
    <x v="275"/>
    <x v="9"/>
    <x v="4"/>
    <s v="MEDIA"/>
    <s v="MEDIA"/>
    <n v="64"/>
    <s v="cumple"/>
    <x v="11"/>
    <x v="1"/>
    <x v="2300"/>
    <n v="4640"/>
    <x v="1"/>
  </r>
  <r>
    <x v="0"/>
    <x v="1"/>
    <x v="1"/>
    <x v="0"/>
    <x v="9"/>
    <x v="1"/>
    <x v="1237"/>
    <x v="1369"/>
    <x v="2300"/>
    <x v="254"/>
    <x v="0"/>
    <x v="254"/>
    <x v="0"/>
    <x v="0"/>
    <x v="0"/>
    <x v="275"/>
    <x v="9"/>
    <x v="4"/>
    <s v="MEDIA"/>
    <s v="MEDIA"/>
    <n v="64"/>
    <s v="cumple"/>
    <x v="11"/>
    <x v="1"/>
    <x v="2300"/>
    <n v="4640"/>
    <x v="1"/>
  </r>
  <r>
    <x v="0"/>
    <x v="5"/>
    <x v="2"/>
    <x v="0"/>
    <x v="6"/>
    <x v="5"/>
    <x v="1238"/>
    <x v="39"/>
    <x v="2301"/>
    <x v="242"/>
    <x v="0"/>
    <x v="242"/>
    <x v="4"/>
    <x v="5"/>
    <x v="0"/>
    <x v="37"/>
    <x v="3"/>
    <x v="1"/>
    <s v="MEDIA"/>
    <s v="MEDIA"/>
    <n v="64"/>
    <s v="cumple"/>
    <x v="11"/>
    <x v="2"/>
    <x v="2301"/>
    <n v="1739.9999999999998"/>
    <x v="0"/>
  </r>
  <r>
    <x v="0"/>
    <x v="5"/>
    <x v="2"/>
    <x v="0"/>
    <x v="6"/>
    <x v="5"/>
    <x v="1239"/>
    <x v="39"/>
    <x v="2302"/>
    <x v="242"/>
    <x v="6"/>
    <x v="242"/>
    <x v="1"/>
    <x v="6"/>
    <x v="0"/>
    <x v="37"/>
    <x v="3"/>
    <x v="1"/>
    <s v="MEDIA"/>
    <s v="MEDIA"/>
    <n v="64"/>
    <s v="cumple"/>
    <x v="11"/>
    <x v="2"/>
    <x v="2302"/>
    <n v="2900"/>
    <x v="0"/>
  </r>
  <r>
    <x v="0"/>
    <x v="5"/>
    <x v="2"/>
    <x v="0"/>
    <x v="6"/>
    <x v="5"/>
    <x v="1240"/>
    <x v="39"/>
    <x v="2303"/>
    <x v="243"/>
    <x v="0"/>
    <x v="243"/>
    <x v="13"/>
    <x v="13"/>
    <x v="0"/>
    <x v="37"/>
    <x v="3"/>
    <x v="1"/>
    <s v="MEDIA"/>
    <s v="MEDIA"/>
    <n v="64"/>
    <s v="cumple"/>
    <x v="11"/>
    <x v="2"/>
    <x v="2303"/>
    <n v="2029.9999999999998"/>
    <x v="0"/>
  </r>
  <r>
    <x v="0"/>
    <x v="5"/>
    <x v="2"/>
    <x v="0"/>
    <x v="6"/>
    <x v="5"/>
    <x v="1241"/>
    <x v="39"/>
    <x v="2304"/>
    <x v="243"/>
    <x v="10"/>
    <x v="243"/>
    <x v="12"/>
    <x v="4"/>
    <x v="0"/>
    <x v="37"/>
    <x v="3"/>
    <x v="1"/>
    <s v="MEDIA"/>
    <s v="MEDIA"/>
    <n v="64"/>
    <s v="cumple"/>
    <x v="11"/>
    <x v="2"/>
    <x v="2304"/>
    <n v="1160"/>
    <x v="0"/>
  </r>
  <r>
    <x v="0"/>
    <x v="5"/>
    <x v="2"/>
    <x v="0"/>
    <x v="6"/>
    <x v="5"/>
    <x v="1242"/>
    <x v="39"/>
    <x v="2305"/>
    <x v="243"/>
    <x v="7"/>
    <x v="243"/>
    <x v="0"/>
    <x v="5"/>
    <x v="0"/>
    <x v="37"/>
    <x v="3"/>
    <x v="1"/>
    <s v="MEDIA"/>
    <s v="MEDIA"/>
    <n v="64"/>
    <s v="cumple"/>
    <x v="11"/>
    <x v="2"/>
    <x v="2305"/>
    <n v="1739.9999999999998"/>
    <x v="0"/>
  </r>
  <r>
    <x v="0"/>
    <x v="5"/>
    <x v="2"/>
    <x v="0"/>
    <x v="6"/>
    <x v="5"/>
    <x v="1243"/>
    <x v="39"/>
    <x v="1332"/>
    <x v="244"/>
    <x v="0"/>
    <x v="244"/>
    <x v="15"/>
    <x v="12"/>
    <x v="0"/>
    <x v="37"/>
    <x v="3"/>
    <x v="1"/>
    <s v="MEDIA"/>
    <s v="MEDIA"/>
    <n v="64"/>
    <s v="cumple"/>
    <x v="11"/>
    <x v="2"/>
    <x v="1332"/>
    <n v="1450"/>
    <x v="0"/>
  </r>
  <r>
    <x v="0"/>
    <x v="5"/>
    <x v="2"/>
    <x v="0"/>
    <x v="6"/>
    <x v="5"/>
    <x v="1244"/>
    <x v="39"/>
    <x v="2306"/>
    <x v="244"/>
    <x v="12"/>
    <x v="244"/>
    <x v="12"/>
    <x v="5"/>
    <x v="0"/>
    <x v="37"/>
    <x v="3"/>
    <x v="1"/>
    <s v="MEDIA"/>
    <s v="MEDIA"/>
    <n v="64"/>
    <s v="cumple"/>
    <x v="11"/>
    <x v="2"/>
    <x v="2306"/>
    <n v="1739.9999999999998"/>
    <x v="0"/>
  </r>
  <r>
    <x v="0"/>
    <x v="5"/>
    <x v="2"/>
    <x v="0"/>
    <x v="6"/>
    <x v="5"/>
    <x v="1245"/>
    <x v="39"/>
    <x v="2307"/>
    <x v="244"/>
    <x v="7"/>
    <x v="244"/>
    <x v="0"/>
    <x v="5"/>
    <x v="0"/>
    <x v="37"/>
    <x v="3"/>
    <x v="1"/>
    <s v="MEDIA"/>
    <s v="MEDIA"/>
    <n v="64"/>
    <s v="cumple"/>
    <x v="11"/>
    <x v="2"/>
    <x v="2307"/>
    <n v="1739.9999999999998"/>
    <x v="0"/>
  </r>
  <r>
    <x v="0"/>
    <x v="5"/>
    <x v="2"/>
    <x v="0"/>
    <x v="6"/>
    <x v="5"/>
    <x v="1246"/>
    <x v="39"/>
    <x v="2308"/>
    <x v="245"/>
    <x v="0"/>
    <x v="245"/>
    <x v="15"/>
    <x v="12"/>
    <x v="0"/>
    <x v="37"/>
    <x v="3"/>
    <x v="1"/>
    <s v="MEDIA"/>
    <s v="MEDIA"/>
    <n v="64"/>
    <s v="cumple"/>
    <x v="11"/>
    <x v="2"/>
    <x v="2308"/>
    <n v="1450"/>
    <x v="0"/>
  </r>
  <r>
    <x v="0"/>
    <x v="5"/>
    <x v="2"/>
    <x v="0"/>
    <x v="6"/>
    <x v="5"/>
    <x v="1247"/>
    <x v="39"/>
    <x v="1753"/>
    <x v="245"/>
    <x v="12"/>
    <x v="245"/>
    <x v="12"/>
    <x v="5"/>
    <x v="0"/>
    <x v="37"/>
    <x v="3"/>
    <x v="1"/>
    <s v="MEDIA"/>
    <s v="MEDIA"/>
    <n v="64"/>
    <s v="cumple"/>
    <x v="11"/>
    <x v="2"/>
    <x v="1753"/>
    <n v="1739.9999999999998"/>
    <x v="0"/>
  </r>
  <r>
    <x v="0"/>
    <x v="5"/>
    <x v="2"/>
    <x v="0"/>
    <x v="6"/>
    <x v="5"/>
    <x v="1248"/>
    <x v="39"/>
    <x v="2302"/>
    <x v="245"/>
    <x v="7"/>
    <x v="245"/>
    <x v="0"/>
    <x v="5"/>
    <x v="0"/>
    <x v="37"/>
    <x v="3"/>
    <x v="1"/>
    <s v="MEDIA"/>
    <s v="MEDIA"/>
    <n v="64"/>
    <s v="cumple"/>
    <x v="11"/>
    <x v="2"/>
    <x v="2302"/>
    <n v="1739.9999999999998"/>
    <x v="0"/>
  </r>
  <r>
    <x v="0"/>
    <x v="5"/>
    <x v="2"/>
    <x v="0"/>
    <x v="6"/>
    <x v="5"/>
    <x v="1249"/>
    <x v="39"/>
    <x v="2309"/>
    <x v="246"/>
    <x v="0"/>
    <x v="246"/>
    <x v="3"/>
    <x v="4"/>
    <x v="0"/>
    <x v="37"/>
    <x v="3"/>
    <x v="1"/>
    <s v="MEDIA"/>
    <s v="MEDIA"/>
    <n v="64"/>
    <s v="cumple"/>
    <x v="11"/>
    <x v="2"/>
    <x v="2309"/>
    <n v="1160"/>
    <x v="0"/>
  </r>
  <r>
    <x v="0"/>
    <x v="5"/>
    <x v="2"/>
    <x v="0"/>
    <x v="6"/>
    <x v="5"/>
    <x v="1250"/>
    <x v="39"/>
    <x v="2310"/>
    <x v="246"/>
    <x v="4"/>
    <x v="246"/>
    <x v="12"/>
    <x v="13"/>
    <x v="0"/>
    <x v="37"/>
    <x v="3"/>
    <x v="1"/>
    <s v="MEDIA"/>
    <s v="MEDIA"/>
    <n v="64"/>
    <s v="cumple"/>
    <x v="11"/>
    <x v="2"/>
    <x v="2310"/>
    <n v="2029.9999999999998"/>
    <x v="0"/>
  </r>
  <r>
    <x v="0"/>
    <x v="5"/>
    <x v="2"/>
    <x v="0"/>
    <x v="6"/>
    <x v="5"/>
    <x v="1251"/>
    <x v="39"/>
    <x v="2301"/>
    <x v="246"/>
    <x v="7"/>
    <x v="246"/>
    <x v="0"/>
    <x v="5"/>
    <x v="0"/>
    <x v="37"/>
    <x v="3"/>
    <x v="1"/>
    <s v="MEDIA"/>
    <s v="MEDIA"/>
    <n v="64"/>
    <s v="cumple"/>
    <x v="11"/>
    <x v="2"/>
    <x v="2301"/>
    <n v="1739.9999999999998"/>
    <x v="0"/>
  </r>
  <r>
    <x v="0"/>
    <x v="5"/>
    <x v="2"/>
    <x v="0"/>
    <x v="6"/>
    <x v="5"/>
    <x v="1252"/>
    <x v="39"/>
    <x v="2311"/>
    <x v="247"/>
    <x v="0"/>
    <x v="247"/>
    <x v="4"/>
    <x v="5"/>
    <x v="0"/>
    <x v="37"/>
    <x v="3"/>
    <x v="1"/>
    <s v="MEDIA"/>
    <s v="MEDIA"/>
    <n v="64"/>
    <s v="cumple"/>
    <x v="11"/>
    <x v="2"/>
    <x v="2311"/>
    <n v="1739.9999999999998"/>
    <x v="0"/>
  </r>
  <r>
    <x v="0"/>
    <x v="5"/>
    <x v="2"/>
    <x v="0"/>
    <x v="6"/>
    <x v="5"/>
    <x v="1253"/>
    <x v="39"/>
    <x v="1732"/>
    <x v="247"/>
    <x v="6"/>
    <x v="247"/>
    <x v="1"/>
    <x v="6"/>
    <x v="0"/>
    <x v="37"/>
    <x v="3"/>
    <x v="1"/>
    <s v="MEDIA"/>
    <s v="MEDIA"/>
    <n v="64"/>
    <s v="cumple"/>
    <x v="11"/>
    <x v="2"/>
    <x v="1732"/>
    <n v="2900"/>
    <x v="0"/>
  </r>
  <r>
    <x v="0"/>
    <x v="5"/>
    <x v="2"/>
    <x v="0"/>
    <x v="6"/>
    <x v="5"/>
    <x v="1254"/>
    <x v="39"/>
    <x v="2312"/>
    <x v="248"/>
    <x v="0"/>
    <x v="248"/>
    <x v="3"/>
    <x v="4"/>
    <x v="0"/>
    <x v="37"/>
    <x v="3"/>
    <x v="1"/>
    <s v="MEDIA"/>
    <s v="MEDIA"/>
    <n v="64"/>
    <s v="cumple"/>
    <x v="11"/>
    <x v="2"/>
    <x v="2312"/>
    <n v="1160"/>
    <x v="0"/>
  </r>
  <r>
    <x v="0"/>
    <x v="5"/>
    <x v="2"/>
    <x v="0"/>
    <x v="6"/>
    <x v="5"/>
    <x v="1255"/>
    <x v="39"/>
    <x v="2313"/>
    <x v="248"/>
    <x v="4"/>
    <x v="248"/>
    <x v="12"/>
    <x v="13"/>
    <x v="0"/>
    <x v="37"/>
    <x v="3"/>
    <x v="1"/>
    <s v="MEDIA"/>
    <s v="MEDIA"/>
    <n v="64"/>
    <s v="cumple"/>
    <x v="11"/>
    <x v="2"/>
    <x v="2313"/>
    <n v="2029.9999999999998"/>
    <x v="0"/>
  </r>
  <r>
    <x v="0"/>
    <x v="5"/>
    <x v="2"/>
    <x v="0"/>
    <x v="6"/>
    <x v="5"/>
    <x v="1256"/>
    <x v="39"/>
    <x v="2308"/>
    <x v="248"/>
    <x v="7"/>
    <x v="248"/>
    <x v="0"/>
    <x v="5"/>
    <x v="0"/>
    <x v="37"/>
    <x v="3"/>
    <x v="1"/>
    <s v="MEDIA"/>
    <s v="MEDIA"/>
    <n v="64"/>
    <s v="cumple"/>
    <x v="11"/>
    <x v="2"/>
    <x v="2308"/>
    <n v="1739.9999999999998"/>
    <x v="0"/>
  </r>
  <r>
    <x v="0"/>
    <x v="5"/>
    <x v="2"/>
    <x v="0"/>
    <x v="6"/>
    <x v="5"/>
    <x v="1257"/>
    <x v="39"/>
    <x v="1322"/>
    <x v="249"/>
    <x v="0"/>
    <x v="249"/>
    <x v="13"/>
    <x v="13"/>
    <x v="0"/>
    <x v="37"/>
    <x v="3"/>
    <x v="1"/>
    <s v="MEDIA"/>
    <s v="MEDIA"/>
    <n v="64"/>
    <s v="cumple"/>
    <x v="11"/>
    <x v="2"/>
    <x v="1322"/>
    <n v="2029.9999999999998"/>
    <x v="0"/>
  </r>
  <r>
    <x v="0"/>
    <x v="5"/>
    <x v="2"/>
    <x v="0"/>
    <x v="6"/>
    <x v="5"/>
    <x v="1258"/>
    <x v="39"/>
    <x v="504"/>
    <x v="249"/>
    <x v="10"/>
    <x v="249"/>
    <x v="12"/>
    <x v="4"/>
    <x v="0"/>
    <x v="37"/>
    <x v="3"/>
    <x v="1"/>
    <s v="MEDIA"/>
    <s v="MEDIA"/>
    <n v="64"/>
    <s v="cumple"/>
    <x v="11"/>
    <x v="2"/>
    <x v="504"/>
    <n v="1160"/>
    <x v="0"/>
  </r>
  <r>
    <x v="0"/>
    <x v="5"/>
    <x v="2"/>
    <x v="0"/>
    <x v="6"/>
    <x v="5"/>
    <x v="1259"/>
    <x v="39"/>
    <x v="2314"/>
    <x v="249"/>
    <x v="7"/>
    <x v="249"/>
    <x v="0"/>
    <x v="5"/>
    <x v="0"/>
    <x v="37"/>
    <x v="3"/>
    <x v="1"/>
    <s v="MEDIA"/>
    <s v="MEDIA"/>
    <n v="64"/>
    <s v="cumple"/>
    <x v="11"/>
    <x v="2"/>
    <x v="2314"/>
    <n v="1739.9999999999998"/>
    <x v="0"/>
  </r>
  <r>
    <x v="0"/>
    <x v="5"/>
    <x v="2"/>
    <x v="0"/>
    <x v="6"/>
    <x v="5"/>
    <x v="1260"/>
    <x v="39"/>
    <x v="2315"/>
    <x v="250"/>
    <x v="0"/>
    <x v="250"/>
    <x v="12"/>
    <x v="16"/>
    <x v="0"/>
    <x v="37"/>
    <x v="3"/>
    <x v="1"/>
    <s v="MEDIA"/>
    <s v="MEDIA"/>
    <n v="64"/>
    <s v="cumple"/>
    <x v="11"/>
    <x v="2"/>
    <x v="2315"/>
    <n v="3190"/>
    <x v="0"/>
  </r>
  <r>
    <x v="0"/>
    <x v="5"/>
    <x v="2"/>
    <x v="0"/>
    <x v="6"/>
    <x v="5"/>
    <x v="1261"/>
    <x v="39"/>
    <x v="2306"/>
    <x v="250"/>
    <x v="7"/>
    <x v="250"/>
    <x v="0"/>
    <x v="5"/>
    <x v="0"/>
    <x v="37"/>
    <x v="3"/>
    <x v="1"/>
    <s v="MEDIA"/>
    <s v="MEDIA"/>
    <n v="64"/>
    <s v="cumple"/>
    <x v="11"/>
    <x v="2"/>
    <x v="2306"/>
    <n v="1739.9999999999998"/>
    <x v="0"/>
  </r>
  <r>
    <x v="0"/>
    <x v="5"/>
    <x v="2"/>
    <x v="0"/>
    <x v="6"/>
    <x v="5"/>
    <x v="1262"/>
    <x v="39"/>
    <x v="1332"/>
    <x v="251"/>
    <x v="0"/>
    <x v="251"/>
    <x v="3"/>
    <x v="4"/>
    <x v="0"/>
    <x v="37"/>
    <x v="3"/>
    <x v="1"/>
    <s v="MEDIA"/>
    <s v="MEDIA"/>
    <n v="64"/>
    <s v="cumple"/>
    <x v="11"/>
    <x v="2"/>
    <x v="1332"/>
    <n v="1160"/>
    <x v="0"/>
  </r>
  <r>
    <x v="0"/>
    <x v="5"/>
    <x v="2"/>
    <x v="0"/>
    <x v="6"/>
    <x v="5"/>
    <x v="1263"/>
    <x v="39"/>
    <x v="2316"/>
    <x v="251"/>
    <x v="4"/>
    <x v="251"/>
    <x v="12"/>
    <x v="13"/>
    <x v="0"/>
    <x v="37"/>
    <x v="3"/>
    <x v="1"/>
    <s v="MEDIA"/>
    <s v="MEDIA"/>
    <n v="64"/>
    <s v="cumple"/>
    <x v="11"/>
    <x v="2"/>
    <x v="2316"/>
    <n v="2029.9999999999998"/>
    <x v="0"/>
  </r>
  <r>
    <x v="0"/>
    <x v="5"/>
    <x v="2"/>
    <x v="0"/>
    <x v="6"/>
    <x v="5"/>
    <x v="1264"/>
    <x v="39"/>
    <x v="2301"/>
    <x v="251"/>
    <x v="7"/>
    <x v="251"/>
    <x v="0"/>
    <x v="5"/>
    <x v="0"/>
    <x v="37"/>
    <x v="3"/>
    <x v="1"/>
    <s v="MEDIA"/>
    <s v="MEDIA"/>
    <n v="64"/>
    <s v="cumple"/>
    <x v="11"/>
    <x v="2"/>
    <x v="2301"/>
    <n v="1739.9999999999998"/>
    <x v="0"/>
  </r>
  <r>
    <x v="0"/>
    <x v="5"/>
    <x v="2"/>
    <x v="0"/>
    <x v="6"/>
    <x v="5"/>
    <x v="1265"/>
    <x v="39"/>
    <x v="2317"/>
    <x v="252"/>
    <x v="0"/>
    <x v="252"/>
    <x v="4"/>
    <x v="5"/>
    <x v="0"/>
    <x v="37"/>
    <x v="3"/>
    <x v="1"/>
    <s v="MEDIA"/>
    <s v="MEDIA"/>
    <n v="64"/>
    <s v="cumple"/>
    <x v="11"/>
    <x v="2"/>
    <x v="2317"/>
    <n v="1739.9999999999998"/>
    <x v="0"/>
  </r>
  <r>
    <x v="0"/>
    <x v="5"/>
    <x v="2"/>
    <x v="0"/>
    <x v="6"/>
    <x v="5"/>
    <x v="1266"/>
    <x v="39"/>
    <x v="2318"/>
    <x v="252"/>
    <x v="6"/>
    <x v="252"/>
    <x v="1"/>
    <x v="6"/>
    <x v="0"/>
    <x v="37"/>
    <x v="3"/>
    <x v="1"/>
    <s v="MEDIA"/>
    <s v="MEDIA"/>
    <n v="64"/>
    <s v="cumple"/>
    <x v="11"/>
    <x v="2"/>
    <x v="2318"/>
    <n v="2900"/>
    <x v="0"/>
  </r>
  <r>
    <x v="0"/>
    <x v="5"/>
    <x v="2"/>
    <x v="0"/>
    <x v="6"/>
    <x v="5"/>
    <x v="1267"/>
    <x v="39"/>
    <x v="2319"/>
    <x v="253"/>
    <x v="0"/>
    <x v="253"/>
    <x v="12"/>
    <x v="16"/>
    <x v="0"/>
    <x v="37"/>
    <x v="3"/>
    <x v="1"/>
    <s v="MEDIA"/>
    <s v="MEDIA"/>
    <n v="64"/>
    <s v="cumple"/>
    <x v="11"/>
    <x v="2"/>
    <x v="2319"/>
    <n v="3190"/>
    <x v="0"/>
  </r>
  <r>
    <x v="0"/>
    <x v="5"/>
    <x v="2"/>
    <x v="0"/>
    <x v="6"/>
    <x v="5"/>
    <x v="1268"/>
    <x v="39"/>
    <x v="2320"/>
    <x v="253"/>
    <x v="7"/>
    <x v="253"/>
    <x v="0"/>
    <x v="5"/>
    <x v="0"/>
    <x v="37"/>
    <x v="3"/>
    <x v="1"/>
    <s v="MEDIA"/>
    <s v="MEDIA"/>
    <n v="64"/>
    <s v="cumple"/>
    <x v="11"/>
    <x v="2"/>
    <x v="2320"/>
    <n v="1739.9999999999998"/>
    <x v="0"/>
  </r>
  <r>
    <x v="0"/>
    <x v="5"/>
    <x v="2"/>
    <x v="0"/>
    <x v="6"/>
    <x v="5"/>
    <x v="1269"/>
    <x v="39"/>
    <x v="2321"/>
    <x v="254"/>
    <x v="0"/>
    <x v="254"/>
    <x v="12"/>
    <x v="16"/>
    <x v="0"/>
    <x v="37"/>
    <x v="3"/>
    <x v="1"/>
    <s v="MEDIA"/>
    <s v="MEDIA"/>
    <n v="64"/>
    <s v="cumple"/>
    <x v="11"/>
    <x v="2"/>
    <x v="2321"/>
    <n v="3190"/>
    <x v="0"/>
  </r>
  <r>
    <x v="0"/>
    <x v="5"/>
    <x v="2"/>
    <x v="0"/>
    <x v="6"/>
    <x v="5"/>
    <x v="1270"/>
    <x v="39"/>
    <x v="2322"/>
    <x v="254"/>
    <x v="7"/>
    <x v="254"/>
    <x v="0"/>
    <x v="5"/>
    <x v="0"/>
    <x v="37"/>
    <x v="3"/>
    <x v="1"/>
    <s v="MEDIA"/>
    <s v="MEDIA"/>
    <n v="64"/>
    <s v="cumple"/>
    <x v="11"/>
    <x v="2"/>
    <x v="2322"/>
    <n v="1739.9999999999998"/>
    <x v="0"/>
  </r>
  <r>
    <x v="0"/>
    <x v="5"/>
    <x v="2"/>
    <x v="0"/>
    <x v="6"/>
    <x v="5"/>
    <x v="1271"/>
    <x v="39"/>
    <x v="2323"/>
    <x v="255"/>
    <x v="0"/>
    <x v="255"/>
    <x v="12"/>
    <x v="16"/>
    <x v="0"/>
    <x v="37"/>
    <x v="3"/>
    <x v="1"/>
    <s v="MEDIA"/>
    <s v="MEDIA"/>
    <n v="64"/>
    <s v="cumple"/>
    <x v="11"/>
    <x v="2"/>
    <x v="2323"/>
    <n v="3190"/>
    <x v="0"/>
  </r>
  <r>
    <x v="0"/>
    <x v="5"/>
    <x v="2"/>
    <x v="0"/>
    <x v="6"/>
    <x v="5"/>
    <x v="1272"/>
    <x v="39"/>
    <x v="2324"/>
    <x v="255"/>
    <x v="7"/>
    <x v="255"/>
    <x v="0"/>
    <x v="5"/>
    <x v="0"/>
    <x v="37"/>
    <x v="3"/>
    <x v="1"/>
    <s v="MEDIA"/>
    <s v="MEDIA"/>
    <n v="64"/>
    <s v="cumple"/>
    <x v="11"/>
    <x v="2"/>
    <x v="2324"/>
    <n v="1739.9999999999998"/>
    <x v="0"/>
  </r>
  <r>
    <x v="0"/>
    <x v="5"/>
    <x v="2"/>
    <x v="0"/>
    <x v="6"/>
    <x v="5"/>
    <x v="1273"/>
    <x v="39"/>
    <x v="2325"/>
    <x v="256"/>
    <x v="0"/>
    <x v="256"/>
    <x v="12"/>
    <x v="16"/>
    <x v="0"/>
    <x v="37"/>
    <x v="3"/>
    <x v="1"/>
    <s v="MEDIA"/>
    <s v="MEDIA"/>
    <n v="64"/>
    <s v="cumple"/>
    <x v="11"/>
    <x v="2"/>
    <x v="2325"/>
    <n v="3190"/>
    <x v="0"/>
  </r>
  <r>
    <x v="0"/>
    <x v="5"/>
    <x v="2"/>
    <x v="0"/>
    <x v="6"/>
    <x v="5"/>
    <x v="1274"/>
    <x v="39"/>
    <x v="2326"/>
    <x v="256"/>
    <x v="7"/>
    <x v="256"/>
    <x v="0"/>
    <x v="5"/>
    <x v="0"/>
    <x v="37"/>
    <x v="3"/>
    <x v="1"/>
    <s v="MEDIA"/>
    <s v="MEDIA"/>
    <n v="64"/>
    <s v="cumple"/>
    <x v="11"/>
    <x v="2"/>
    <x v="2326"/>
    <n v="1739.9999999999998"/>
    <x v="0"/>
  </r>
  <r>
    <x v="0"/>
    <x v="5"/>
    <x v="2"/>
    <x v="0"/>
    <x v="6"/>
    <x v="5"/>
    <x v="1275"/>
    <x v="39"/>
    <x v="2327"/>
    <x v="257"/>
    <x v="0"/>
    <x v="257"/>
    <x v="4"/>
    <x v="5"/>
    <x v="0"/>
    <x v="37"/>
    <x v="3"/>
    <x v="1"/>
    <s v="MEDIA"/>
    <s v="MEDIA"/>
    <n v="64"/>
    <s v="cumple"/>
    <x v="11"/>
    <x v="2"/>
    <x v="2327"/>
    <n v="1739.9999999999998"/>
    <x v="0"/>
  </r>
  <r>
    <x v="0"/>
    <x v="5"/>
    <x v="2"/>
    <x v="0"/>
    <x v="6"/>
    <x v="5"/>
    <x v="1276"/>
    <x v="39"/>
    <x v="2328"/>
    <x v="257"/>
    <x v="6"/>
    <x v="257"/>
    <x v="7"/>
    <x v="5"/>
    <x v="0"/>
    <x v="37"/>
    <x v="3"/>
    <x v="1"/>
    <s v="MEDIA"/>
    <s v="MEDIA"/>
    <n v="64"/>
    <s v="cumple"/>
    <x v="11"/>
    <x v="2"/>
    <x v="2328"/>
    <n v="1739.9999999999998"/>
    <x v="0"/>
  </r>
  <r>
    <x v="0"/>
    <x v="5"/>
    <x v="2"/>
    <x v="0"/>
    <x v="6"/>
    <x v="5"/>
    <x v="1277"/>
    <x v="39"/>
    <x v="2329"/>
    <x v="258"/>
    <x v="0"/>
    <x v="258"/>
    <x v="3"/>
    <x v="4"/>
    <x v="0"/>
    <x v="37"/>
    <x v="3"/>
    <x v="1"/>
    <s v="MEDIA"/>
    <s v="MEDIA"/>
    <n v="64"/>
    <s v="cumple"/>
    <x v="11"/>
    <x v="2"/>
    <x v="2329"/>
    <n v="1160"/>
    <x v="0"/>
  </r>
  <r>
    <x v="0"/>
    <x v="5"/>
    <x v="2"/>
    <x v="0"/>
    <x v="6"/>
    <x v="5"/>
    <x v="1278"/>
    <x v="39"/>
    <x v="2330"/>
    <x v="258"/>
    <x v="4"/>
    <x v="258"/>
    <x v="12"/>
    <x v="13"/>
    <x v="0"/>
    <x v="37"/>
    <x v="3"/>
    <x v="1"/>
    <s v="MEDIA"/>
    <s v="MEDIA"/>
    <n v="64"/>
    <s v="cumple"/>
    <x v="11"/>
    <x v="2"/>
    <x v="2330"/>
    <n v="2029.9999999999998"/>
    <x v="0"/>
  </r>
  <r>
    <x v="0"/>
    <x v="5"/>
    <x v="2"/>
    <x v="0"/>
    <x v="6"/>
    <x v="5"/>
    <x v="1279"/>
    <x v="39"/>
    <x v="2331"/>
    <x v="258"/>
    <x v="7"/>
    <x v="258"/>
    <x v="20"/>
    <x v="14"/>
    <x v="0"/>
    <x v="37"/>
    <x v="3"/>
    <x v="1"/>
    <s v="MEDIA"/>
    <s v="MEDIA"/>
    <n v="64"/>
    <s v="cumple"/>
    <x v="11"/>
    <x v="2"/>
    <x v="2331"/>
    <n v="2610"/>
    <x v="0"/>
  </r>
  <r>
    <x v="0"/>
    <x v="5"/>
    <x v="2"/>
    <x v="0"/>
    <x v="6"/>
    <x v="5"/>
    <x v="1280"/>
    <x v="39"/>
    <x v="2307"/>
    <x v="259"/>
    <x v="0"/>
    <x v="259"/>
    <x v="12"/>
    <x v="16"/>
    <x v="0"/>
    <x v="37"/>
    <x v="3"/>
    <x v="1"/>
    <s v="MEDIA"/>
    <s v="MEDIA"/>
    <n v="64"/>
    <s v="cumple"/>
    <x v="11"/>
    <x v="2"/>
    <x v="2307"/>
    <n v="3190"/>
    <x v="0"/>
  </r>
  <r>
    <x v="0"/>
    <x v="5"/>
    <x v="2"/>
    <x v="0"/>
    <x v="6"/>
    <x v="5"/>
    <x v="1281"/>
    <x v="39"/>
    <x v="504"/>
    <x v="259"/>
    <x v="7"/>
    <x v="259"/>
    <x v="11"/>
    <x v="7"/>
    <x v="0"/>
    <x v="37"/>
    <x v="3"/>
    <x v="1"/>
    <s v="MEDIA"/>
    <s v="MEDIA"/>
    <n v="64"/>
    <s v="cumple"/>
    <x v="11"/>
    <x v="2"/>
    <x v="504"/>
    <n v="2320"/>
    <x v="0"/>
  </r>
  <r>
    <x v="0"/>
    <x v="5"/>
    <x v="2"/>
    <x v="0"/>
    <x v="6"/>
    <x v="5"/>
    <x v="1282"/>
    <x v="39"/>
    <x v="2306"/>
    <x v="260"/>
    <x v="0"/>
    <x v="260"/>
    <x v="13"/>
    <x v="13"/>
    <x v="0"/>
    <x v="37"/>
    <x v="3"/>
    <x v="1"/>
    <s v="MEDIA"/>
    <s v="MEDIA"/>
    <n v="64"/>
    <s v="cumple"/>
    <x v="11"/>
    <x v="2"/>
    <x v="2306"/>
    <n v="2029.9999999999998"/>
    <x v="0"/>
  </r>
  <r>
    <x v="0"/>
    <x v="5"/>
    <x v="2"/>
    <x v="0"/>
    <x v="6"/>
    <x v="5"/>
    <x v="1283"/>
    <x v="39"/>
    <x v="1753"/>
    <x v="260"/>
    <x v="10"/>
    <x v="260"/>
    <x v="12"/>
    <x v="4"/>
    <x v="0"/>
    <x v="37"/>
    <x v="3"/>
    <x v="1"/>
    <s v="MEDIA"/>
    <s v="MEDIA"/>
    <n v="64"/>
    <s v="cumple"/>
    <x v="11"/>
    <x v="2"/>
    <x v="1753"/>
    <n v="1160"/>
    <x v="0"/>
  </r>
  <r>
    <x v="0"/>
    <x v="5"/>
    <x v="2"/>
    <x v="0"/>
    <x v="6"/>
    <x v="5"/>
    <x v="1284"/>
    <x v="39"/>
    <x v="2301"/>
    <x v="260"/>
    <x v="7"/>
    <x v="260"/>
    <x v="0"/>
    <x v="5"/>
    <x v="0"/>
    <x v="37"/>
    <x v="3"/>
    <x v="1"/>
    <s v="MEDIA"/>
    <s v="MEDIA"/>
    <n v="64"/>
    <s v="cumple"/>
    <x v="11"/>
    <x v="2"/>
    <x v="2301"/>
    <n v="1739.9999999999998"/>
    <x v="0"/>
  </r>
  <r>
    <x v="0"/>
    <x v="5"/>
    <x v="2"/>
    <x v="0"/>
    <x v="6"/>
    <x v="5"/>
    <x v="1285"/>
    <x v="39"/>
    <x v="1732"/>
    <x v="261"/>
    <x v="0"/>
    <x v="261"/>
    <x v="4"/>
    <x v="5"/>
    <x v="0"/>
    <x v="37"/>
    <x v="3"/>
    <x v="1"/>
    <s v="MEDIA"/>
    <s v="MEDIA"/>
    <n v="64"/>
    <s v="cumple"/>
    <x v="11"/>
    <x v="2"/>
    <x v="1732"/>
    <n v="1739.9999999999998"/>
    <x v="0"/>
  </r>
  <r>
    <x v="0"/>
    <x v="5"/>
    <x v="2"/>
    <x v="0"/>
    <x v="6"/>
    <x v="5"/>
    <x v="1286"/>
    <x v="39"/>
    <x v="2310"/>
    <x v="261"/>
    <x v="6"/>
    <x v="261"/>
    <x v="7"/>
    <x v="5"/>
    <x v="0"/>
    <x v="37"/>
    <x v="3"/>
    <x v="1"/>
    <s v="MEDIA"/>
    <s v="MEDIA"/>
    <n v="64"/>
    <s v="cumple"/>
    <x v="11"/>
    <x v="2"/>
    <x v="2310"/>
    <n v="1739.9999999999998"/>
    <x v="0"/>
  </r>
  <r>
    <x v="0"/>
    <x v="1"/>
    <x v="4"/>
    <x v="0"/>
    <x v="1"/>
    <x v="1"/>
    <x v="1287"/>
    <x v="1370"/>
    <x v="2332"/>
    <x v="242"/>
    <x v="0"/>
    <x v="242"/>
    <x v="0"/>
    <x v="0"/>
    <x v="0"/>
    <x v="297"/>
    <x v="14"/>
    <x v="0"/>
    <s v="MEDIA"/>
    <s v="MEDIA"/>
    <n v="64"/>
    <s v="cumple"/>
    <x v="11"/>
    <x v="4"/>
    <x v="2332"/>
    <n v="6496"/>
    <x v="0"/>
  </r>
  <r>
    <x v="0"/>
    <x v="1"/>
    <x v="4"/>
    <x v="0"/>
    <x v="1"/>
    <x v="1"/>
    <x v="1288"/>
    <x v="1371"/>
    <x v="2333"/>
    <x v="243"/>
    <x v="0"/>
    <x v="243"/>
    <x v="11"/>
    <x v="10"/>
    <x v="0"/>
    <x v="298"/>
    <x v="14"/>
    <x v="0"/>
    <s v="MEDIA"/>
    <s v="MEDIA"/>
    <n v="64"/>
    <s v="cumple"/>
    <x v="11"/>
    <x v="4"/>
    <x v="2333"/>
    <n v="8119.9999999999991"/>
    <x v="0"/>
  </r>
  <r>
    <x v="0"/>
    <x v="1"/>
    <x v="4"/>
    <x v="0"/>
    <x v="1"/>
    <x v="1"/>
    <x v="1289"/>
    <x v="1372"/>
    <x v="2334"/>
    <x v="244"/>
    <x v="0"/>
    <x v="244"/>
    <x v="0"/>
    <x v="0"/>
    <x v="0"/>
    <x v="299"/>
    <x v="14"/>
    <x v="0"/>
    <s v="MEDIA"/>
    <s v="MEDIA"/>
    <n v="64"/>
    <s v="cumple"/>
    <x v="11"/>
    <x v="4"/>
    <x v="2334"/>
    <n v="6496"/>
    <x v="0"/>
  </r>
  <r>
    <x v="0"/>
    <x v="1"/>
    <x v="4"/>
    <x v="0"/>
    <x v="1"/>
    <x v="1"/>
    <x v="1290"/>
    <x v="1373"/>
    <x v="2335"/>
    <x v="245"/>
    <x v="0"/>
    <x v="245"/>
    <x v="11"/>
    <x v="10"/>
    <x v="0"/>
    <x v="300"/>
    <x v="14"/>
    <x v="0"/>
    <s v="MEDIA"/>
    <s v="MEDIA"/>
    <n v="64"/>
    <s v="cumple"/>
    <x v="11"/>
    <x v="4"/>
    <x v="2335"/>
    <n v="8119.9999999999991"/>
    <x v="0"/>
  </r>
  <r>
    <x v="0"/>
    <x v="1"/>
    <x v="4"/>
    <x v="0"/>
    <x v="1"/>
    <x v="1"/>
    <x v="1291"/>
    <x v="1374"/>
    <x v="2336"/>
    <x v="246"/>
    <x v="0"/>
    <x v="246"/>
    <x v="11"/>
    <x v="10"/>
    <x v="0"/>
    <x v="301"/>
    <x v="14"/>
    <x v="0"/>
    <s v="MEDIA"/>
    <s v="MEDIA"/>
    <n v="64"/>
    <s v="cumple"/>
    <x v="11"/>
    <x v="4"/>
    <x v="2336"/>
    <n v="8119.9999999999991"/>
    <x v="0"/>
  </r>
  <r>
    <x v="0"/>
    <x v="1"/>
    <x v="4"/>
    <x v="0"/>
    <x v="1"/>
    <x v="1"/>
    <x v="1292"/>
    <x v="1375"/>
    <x v="2337"/>
    <x v="247"/>
    <x v="0"/>
    <x v="247"/>
    <x v="0"/>
    <x v="0"/>
    <x v="0"/>
    <x v="302"/>
    <x v="14"/>
    <x v="0"/>
    <s v="MEDIA"/>
    <s v="MEDIA"/>
    <n v="64"/>
    <s v="cumple"/>
    <x v="11"/>
    <x v="4"/>
    <x v="2337"/>
    <n v="6496"/>
    <x v="0"/>
  </r>
  <r>
    <x v="0"/>
    <x v="1"/>
    <x v="4"/>
    <x v="0"/>
    <x v="1"/>
    <x v="1"/>
    <x v="1293"/>
    <x v="1376"/>
    <x v="2338"/>
    <x v="248"/>
    <x v="0"/>
    <x v="248"/>
    <x v="0"/>
    <x v="0"/>
    <x v="0"/>
    <x v="303"/>
    <x v="14"/>
    <x v="0"/>
    <s v="MEDIA"/>
    <s v="MEDIA"/>
    <n v="64"/>
    <s v="cumple"/>
    <x v="11"/>
    <x v="4"/>
    <x v="2338"/>
    <n v="6496"/>
    <x v="0"/>
  </r>
  <r>
    <x v="0"/>
    <x v="1"/>
    <x v="4"/>
    <x v="0"/>
    <x v="1"/>
    <x v="1"/>
    <x v="1294"/>
    <x v="1377"/>
    <x v="2339"/>
    <x v="249"/>
    <x v="0"/>
    <x v="249"/>
    <x v="0"/>
    <x v="0"/>
    <x v="0"/>
    <x v="304"/>
    <x v="14"/>
    <x v="0"/>
    <s v="MEDIA"/>
    <s v="MEDIA"/>
    <n v="64"/>
    <s v="cumple"/>
    <x v="11"/>
    <x v="4"/>
    <x v="2339"/>
    <n v="6496"/>
    <x v="0"/>
  </r>
  <r>
    <x v="0"/>
    <x v="1"/>
    <x v="4"/>
    <x v="0"/>
    <x v="1"/>
    <x v="1"/>
    <x v="1295"/>
    <x v="1378"/>
    <x v="2340"/>
    <x v="250"/>
    <x v="0"/>
    <x v="250"/>
    <x v="0"/>
    <x v="0"/>
    <x v="0"/>
    <x v="305"/>
    <x v="14"/>
    <x v="0"/>
    <s v="MEDIA"/>
    <s v="MEDIA"/>
    <n v="64"/>
    <s v="cumple"/>
    <x v="11"/>
    <x v="4"/>
    <x v="2340"/>
    <n v="6496"/>
    <x v="0"/>
  </r>
  <r>
    <x v="0"/>
    <x v="1"/>
    <x v="4"/>
    <x v="0"/>
    <x v="1"/>
    <x v="1"/>
    <x v="1296"/>
    <x v="1379"/>
    <x v="2341"/>
    <x v="251"/>
    <x v="0"/>
    <x v="251"/>
    <x v="0"/>
    <x v="0"/>
    <x v="0"/>
    <x v="68"/>
    <x v="14"/>
    <x v="0"/>
    <s v="MEDIA"/>
    <s v="MEDIA"/>
    <n v="64"/>
    <s v="cumple"/>
    <x v="11"/>
    <x v="4"/>
    <x v="2341"/>
    <n v="6496"/>
    <x v="0"/>
  </r>
  <r>
    <x v="0"/>
    <x v="1"/>
    <x v="4"/>
    <x v="0"/>
    <x v="1"/>
    <x v="1"/>
    <x v="1297"/>
    <x v="1380"/>
    <x v="2342"/>
    <x v="252"/>
    <x v="0"/>
    <x v="252"/>
    <x v="0"/>
    <x v="0"/>
    <x v="0"/>
    <x v="68"/>
    <x v="14"/>
    <x v="0"/>
    <s v="MEDIA"/>
    <s v="MEDIA"/>
    <n v="64"/>
    <s v="cumple"/>
    <x v="11"/>
    <x v="4"/>
    <x v="2342"/>
    <n v="6496"/>
    <x v="0"/>
  </r>
  <r>
    <x v="0"/>
    <x v="1"/>
    <x v="4"/>
    <x v="0"/>
    <x v="1"/>
    <x v="1"/>
    <x v="1298"/>
    <x v="1381"/>
    <x v="2343"/>
    <x v="253"/>
    <x v="0"/>
    <x v="253"/>
    <x v="0"/>
    <x v="0"/>
    <x v="0"/>
    <x v="68"/>
    <x v="14"/>
    <x v="0"/>
    <s v="MEDIA"/>
    <s v="MEDIA"/>
    <n v="64"/>
    <s v="cumple"/>
    <x v="11"/>
    <x v="4"/>
    <x v="2343"/>
    <n v="6496"/>
    <x v="0"/>
  </r>
  <r>
    <x v="0"/>
    <x v="1"/>
    <x v="4"/>
    <x v="0"/>
    <x v="1"/>
    <x v="1"/>
    <x v="1299"/>
    <x v="1382"/>
    <x v="2344"/>
    <x v="254"/>
    <x v="0"/>
    <x v="254"/>
    <x v="0"/>
    <x v="0"/>
    <x v="0"/>
    <x v="68"/>
    <x v="14"/>
    <x v="0"/>
    <s v="MEDIA"/>
    <s v="MEDIA"/>
    <n v="64"/>
    <s v="cumple"/>
    <x v="11"/>
    <x v="4"/>
    <x v="2344"/>
    <n v="6496"/>
    <x v="0"/>
  </r>
  <r>
    <x v="0"/>
    <x v="1"/>
    <x v="4"/>
    <x v="0"/>
    <x v="1"/>
    <x v="1"/>
    <x v="1300"/>
    <x v="1383"/>
    <x v="2345"/>
    <x v="255"/>
    <x v="0"/>
    <x v="255"/>
    <x v="0"/>
    <x v="0"/>
    <x v="0"/>
    <x v="68"/>
    <x v="14"/>
    <x v="0"/>
    <s v="MEDIA"/>
    <s v="MEDIA"/>
    <n v="64"/>
    <s v="cumple"/>
    <x v="11"/>
    <x v="4"/>
    <x v="2345"/>
    <n v="6496"/>
    <x v="0"/>
  </r>
  <r>
    <x v="0"/>
    <x v="1"/>
    <x v="4"/>
    <x v="0"/>
    <x v="1"/>
    <x v="1"/>
    <x v="1301"/>
    <x v="1383"/>
    <x v="2346"/>
    <x v="256"/>
    <x v="0"/>
    <x v="256"/>
    <x v="0"/>
    <x v="0"/>
    <x v="0"/>
    <x v="68"/>
    <x v="14"/>
    <x v="0"/>
    <s v="MEDIA"/>
    <s v="MEDIA"/>
    <n v="64"/>
    <s v="cumple"/>
    <x v="11"/>
    <x v="4"/>
    <x v="2346"/>
    <n v="6496"/>
    <x v="0"/>
  </r>
  <r>
    <x v="0"/>
    <x v="1"/>
    <x v="4"/>
    <x v="0"/>
    <x v="1"/>
    <x v="1"/>
    <x v="1302"/>
    <x v="1384"/>
    <x v="2347"/>
    <x v="257"/>
    <x v="0"/>
    <x v="257"/>
    <x v="0"/>
    <x v="0"/>
    <x v="0"/>
    <x v="68"/>
    <x v="14"/>
    <x v="0"/>
    <s v="MEDIA"/>
    <s v="MEDIA"/>
    <n v="64"/>
    <s v="cumple"/>
    <x v="11"/>
    <x v="4"/>
    <x v="2347"/>
    <n v="6496"/>
    <x v="0"/>
  </r>
  <r>
    <x v="0"/>
    <x v="1"/>
    <x v="4"/>
    <x v="0"/>
    <x v="1"/>
    <x v="1"/>
    <x v="1303"/>
    <x v="1385"/>
    <x v="2348"/>
    <x v="258"/>
    <x v="0"/>
    <x v="258"/>
    <x v="0"/>
    <x v="0"/>
    <x v="0"/>
    <x v="68"/>
    <x v="14"/>
    <x v="0"/>
    <s v="MEDIA"/>
    <s v="MEDIA"/>
    <n v="64"/>
    <s v="cumple"/>
    <x v="11"/>
    <x v="4"/>
    <x v="2348"/>
    <n v="6496"/>
    <x v="0"/>
  </r>
  <r>
    <x v="0"/>
    <x v="1"/>
    <x v="4"/>
    <x v="0"/>
    <x v="1"/>
    <x v="1"/>
    <x v="1304"/>
    <x v="1386"/>
    <x v="2349"/>
    <x v="259"/>
    <x v="0"/>
    <x v="259"/>
    <x v="0"/>
    <x v="0"/>
    <x v="0"/>
    <x v="68"/>
    <x v="14"/>
    <x v="0"/>
    <s v="MEDIA"/>
    <s v="MEDIA"/>
    <n v="64"/>
    <s v="cumple"/>
    <x v="11"/>
    <x v="4"/>
    <x v="2349"/>
    <n v="6496"/>
    <x v="0"/>
  </r>
  <r>
    <x v="0"/>
    <x v="1"/>
    <x v="4"/>
    <x v="0"/>
    <x v="1"/>
    <x v="1"/>
    <x v="1305"/>
    <x v="1387"/>
    <x v="1588"/>
    <x v="260"/>
    <x v="0"/>
    <x v="260"/>
    <x v="0"/>
    <x v="0"/>
    <x v="0"/>
    <x v="68"/>
    <x v="14"/>
    <x v="0"/>
    <s v="MEDIA"/>
    <s v="MEDIA"/>
    <n v="64"/>
    <s v="cumple"/>
    <x v="11"/>
    <x v="4"/>
    <x v="1588"/>
    <n v="6496"/>
    <x v="0"/>
  </r>
  <r>
    <x v="0"/>
    <x v="1"/>
    <x v="4"/>
    <x v="0"/>
    <x v="1"/>
    <x v="1"/>
    <x v="1306"/>
    <x v="1388"/>
    <x v="1589"/>
    <x v="261"/>
    <x v="0"/>
    <x v="261"/>
    <x v="0"/>
    <x v="0"/>
    <x v="0"/>
    <x v="68"/>
    <x v="14"/>
    <x v="0"/>
    <s v="MEDIA"/>
    <s v="MEDIA"/>
    <n v="64"/>
    <s v="cumple"/>
    <x v="11"/>
    <x v="4"/>
    <x v="1589"/>
    <n v="6496"/>
    <x v="0"/>
  </r>
  <r>
    <x v="5"/>
    <x v="0"/>
    <x v="4"/>
    <x v="0"/>
    <x v="29"/>
    <x v="9"/>
    <x v="1307"/>
    <x v="1389"/>
    <x v="2350"/>
    <x v="242"/>
    <x v="0"/>
    <x v="242"/>
    <x v="7"/>
    <x v="3"/>
    <x v="0"/>
    <x v="306"/>
    <x v="15"/>
    <x v="1"/>
    <s v="MEDIA"/>
    <s v="MEDIA"/>
    <n v="64"/>
    <s v="cumple"/>
    <x v="11"/>
    <x v="4"/>
    <x v="2350"/>
    <n v="3479.9999999999995"/>
    <x v="0"/>
  </r>
  <r>
    <x v="5"/>
    <x v="5"/>
    <x v="4"/>
    <x v="0"/>
    <x v="29"/>
    <x v="5"/>
    <x v="1308"/>
    <x v="1390"/>
    <x v="2351"/>
    <x v="243"/>
    <x v="0"/>
    <x v="243"/>
    <x v="0"/>
    <x v="8"/>
    <x v="0"/>
    <x v="307"/>
    <x v="15"/>
    <x v="1"/>
    <s v="MEDIA"/>
    <s v="MEDIA"/>
    <n v="64"/>
    <s v="cumple"/>
    <x v="11"/>
    <x v="4"/>
    <x v="2351"/>
    <n v="4930"/>
    <x v="0"/>
  </r>
  <r>
    <x v="5"/>
    <x v="8"/>
    <x v="4"/>
    <x v="0"/>
    <x v="29"/>
    <x v="5"/>
    <x v="1309"/>
    <x v="1391"/>
    <x v="2352"/>
    <x v="244"/>
    <x v="0"/>
    <x v="244"/>
    <x v="0"/>
    <x v="8"/>
    <x v="0"/>
    <x v="307"/>
    <x v="15"/>
    <x v="1"/>
    <s v="MEDIA"/>
    <s v="MEDIA"/>
    <n v="64"/>
    <s v="cumple"/>
    <x v="11"/>
    <x v="4"/>
    <x v="2352"/>
    <n v="4930"/>
    <x v="0"/>
  </r>
  <r>
    <x v="5"/>
    <x v="0"/>
    <x v="4"/>
    <x v="0"/>
    <x v="29"/>
    <x v="5"/>
    <x v="1310"/>
    <x v="1392"/>
    <x v="2353"/>
    <x v="245"/>
    <x v="0"/>
    <x v="245"/>
    <x v="0"/>
    <x v="8"/>
    <x v="0"/>
    <x v="307"/>
    <x v="15"/>
    <x v="1"/>
    <s v="MEDIA"/>
    <s v="MEDIA"/>
    <n v="64"/>
    <s v="cumple"/>
    <x v="11"/>
    <x v="4"/>
    <x v="2353"/>
    <n v="4930"/>
    <x v="0"/>
  </r>
  <r>
    <x v="5"/>
    <x v="0"/>
    <x v="2"/>
    <x v="0"/>
    <x v="30"/>
    <x v="2"/>
    <x v="1311"/>
    <x v="1393"/>
    <x v="2354"/>
    <x v="246"/>
    <x v="0"/>
    <x v="246"/>
    <x v="5"/>
    <x v="7"/>
    <x v="0"/>
    <x v="307"/>
    <x v="15"/>
    <x v="1"/>
    <s v="MEDIA"/>
    <s v="MEDIA"/>
    <n v="64"/>
    <s v="cumple"/>
    <x v="11"/>
    <x v="2"/>
    <x v="2354"/>
    <n v="2320"/>
    <x v="0"/>
  </r>
  <r>
    <x v="5"/>
    <x v="0"/>
    <x v="2"/>
    <x v="0"/>
    <x v="30"/>
    <x v="2"/>
    <x v="1312"/>
    <x v="1394"/>
    <x v="2355"/>
    <x v="246"/>
    <x v="3"/>
    <x v="246"/>
    <x v="0"/>
    <x v="14"/>
    <x v="0"/>
    <x v="307"/>
    <x v="15"/>
    <x v="1"/>
    <s v="MEDIA"/>
    <s v="MEDIA"/>
    <n v="64"/>
    <s v="cumple"/>
    <x v="11"/>
    <x v="2"/>
    <x v="2355"/>
    <n v="2610"/>
    <x v="0"/>
  </r>
  <r>
    <x v="5"/>
    <x v="0"/>
    <x v="2"/>
    <x v="0"/>
    <x v="30"/>
    <x v="2"/>
    <x v="1313"/>
    <x v="1395"/>
    <x v="2356"/>
    <x v="247"/>
    <x v="0"/>
    <x v="247"/>
    <x v="7"/>
    <x v="3"/>
    <x v="0"/>
    <x v="307"/>
    <x v="15"/>
    <x v="1"/>
    <s v="MEDIA"/>
    <s v="MEDIA"/>
    <n v="64"/>
    <s v="cumple"/>
    <x v="11"/>
    <x v="2"/>
    <x v="2356"/>
    <n v="3479.9999999999995"/>
    <x v="0"/>
  </r>
  <r>
    <x v="5"/>
    <x v="3"/>
    <x v="2"/>
    <x v="0"/>
    <x v="30"/>
    <x v="1"/>
    <x v="1314"/>
    <x v="1396"/>
    <x v="2357"/>
    <x v="248"/>
    <x v="0"/>
    <x v="248"/>
    <x v="22"/>
    <x v="11"/>
    <x v="1"/>
    <x v="37"/>
    <x v="15"/>
    <x v="1"/>
    <s v="MEDIA"/>
    <s v="MEDIA"/>
    <n v="64"/>
    <s v="cumple"/>
    <x v="11"/>
    <x v="2"/>
    <x v="2357"/>
    <n v="5220"/>
    <x v="0"/>
  </r>
  <r>
    <x v="5"/>
    <x v="3"/>
    <x v="2"/>
    <x v="0"/>
    <x v="30"/>
    <x v="1"/>
    <x v="1315"/>
    <x v="1396"/>
    <x v="2357"/>
    <x v="249"/>
    <x v="0"/>
    <x v="249"/>
    <x v="0"/>
    <x v="8"/>
    <x v="0"/>
    <x v="308"/>
    <x v="15"/>
    <x v="1"/>
    <s v="MEDIA"/>
    <s v="MEDIA"/>
    <n v="64"/>
    <s v="cumple"/>
    <x v="11"/>
    <x v="2"/>
    <x v="2357"/>
    <n v="4930"/>
    <x v="0"/>
  </r>
  <r>
    <x v="5"/>
    <x v="5"/>
    <x v="2"/>
    <x v="0"/>
    <x v="30"/>
    <x v="5"/>
    <x v="1316"/>
    <x v="1397"/>
    <x v="2358"/>
    <x v="250"/>
    <x v="0"/>
    <x v="250"/>
    <x v="0"/>
    <x v="8"/>
    <x v="0"/>
    <x v="308"/>
    <x v="15"/>
    <x v="1"/>
    <s v="MEDIA"/>
    <s v="MEDIA"/>
    <n v="64"/>
    <s v="cumple"/>
    <x v="11"/>
    <x v="2"/>
    <x v="2358"/>
    <n v="4930"/>
    <x v="0"/>
  </r>
  <r>
    <x v="5"/>
    <x v="5"/>
    <x v="2"/>
    <x v="0"/>
    <x v="30"/>
    <x v="5"/>
    <x v="1317"/>
    <x v="1398"/>
    <x v="2359"/>
    <x v="251"/>
    <x v="0"/>
    <x v="251"/>
    <x v="0"/>
    <x v="8"/>
    <x v="0"/>
    <x v="308"/>
    <x v="15"/>
    <x v="1"/>
    <s v="MEDIA"/>
    <s v="MEDIA"/>
    <n v="64"/>
    <s v="cumple"/>
    <x v="11"/>
    <x v="2"/>
    <x v="2359"/>
    <n v="4930"/>
    <x v="0"/>
  </r>
  <r>
    <x v="5"/>
    <x v="5"/>
    <x v="2"/>
    <x v="0"/>
    <x v="30"/>
    <x v="5"/>
    <x v="1318"/>
    <x v="1399"/>
    <x v="2360"/>
    <x v="252"/>
    <x v="0"/>
    <x v="252"/>
    <x v="7"/>
    <x v="3"/>
    <x v="0"/>
    <x v="308"/>
    <x v="15"/>
    <x v="1"/>
    <s v="MEDIA"/>
    <s v="MEDIA"/>
    <n v="64"/>
    <s v="cumple"/>
    <x v="11"/>
    <x v="2"/>
    <x v="2360"/>
    <n v="3479.9999999999995"/>
    <x v="0"/>
  </r>
  <r>
    <x v="5"/>
    <x v="5"/>
    <x v="2"/>
    <x v="0"/>
    <x v="30"/>
    <x v="5"/>
    <x v="1319"/>
    <x v="1400"/>
    <x v="2361"/>
    <x v="253"/>
    <x v="0"/>
    <x v="253"/>
    <x v="0"/>
    <x v="8"/>
    <x v="0"/>
    <x v="309"/>
    <x v="15"/>
    <x v="1"/>
    <s v="MEDIA"/>
    <s v="MEDIA"/>
    <n v="64"/>
    <s v="cumple"/>
    <x v="11"/>
    <x v="2"/>
    <x v="2361"/>
    <n v="4930"/>
    <x v="0"/>
  </r>
  <r>
    <x v="5"/>
    <x v="5"/>
    <x v="2"/>
    <x v="0"/>
    <x v="30"/>
    <x v="5"/>
    <x v="1320"/>
    <x v="1401"/>
    <x v="2362"/>
    <x v="254"/>
    <x v="0"/>
    <x v="254"/>
    <x v="0"/>
    <x v="8"/>
    <x v="0"/>
    <x v="309"/>
    <x v="15"/>
    <x v="1"/>
    <s v="MEDIA"/>
    <s v="MEDIA"/>
    <n v="64"/>
    <s v="cumple"/>
    <x v="11"/>
    <x v="2"/>
    <x v="2362"/>
    <n v="4930"/>
    <x v="0"/>
  </r>
  <r>
    <x v="5"/>
    <x v="5"/>
    <x v="2"/>
    <x v="0"/>
    <x v="30"/>
    <x v="5"/>
    <x v="1321"/>
    <x v="1402"/>
    <x v="2363"/>
    <x v="255"/>
    <x v="0"/>
    <x v="255"/>
    <x v="0"/>
    <x v="8"/>
    <x v="0"/>
    <x v="309"/>
    <x v="15"/>
    <x v="1"/>
    <s v="MEDIA"/>
    <s v="MEDIA"/>
    <n v="64"/>
    <s v="cumple"/>
    <x v="11"/>
    <x v="2"/>
    <x v="2363"/>
    <n v="4930"/>
    <x v="0"/>
  </r>
  <r>
    <x v="0"/>
    <x v="1"/>
    <x v="0"/>
    <x v="0"/>
    <x v="27"/>
    <x v="1"/>
    <x v="1322"/>
    <x v="1403"/>
    <x v="2364"/>
    <x v="242"/>
    <x v="0"/>
    <x v="240"/>
    <x v="7"/>
    <x v="3"/>
    <x v="0"/>
    <x v="260"/>
    <x v="16"/>
    <x v="0"/>
    <s v="MEDIA"/>
    <s v="MEDIA"/>
    <n v="64"/>
    <s v="cumple"/>
    <x v="11"/>
    <x v="0"/>
    <x v="2364"/>
    <n v="4872"/>
    <x v="1"/>
  </r>
  <r>
    <x v="0"/>
    <x v="1"/>
    <x v="0"/>
    <x v="0"/>
    <x v="27"/>
    <x v="1"/>
    <x v="1323"/>
    <x v="1404"/>
    <x v="2365"/>
    <x v="243"/>
    <x v="0"/>
    <x v="240"/>
    <x v="22"/>
    <x v="8"/>
    <x v="0"/>
    <x v="260"/>
    <x v="16"/>
    <x v="0"/>
    <s v="MEDIA"/>
    <s v="MEDIA"/>
    <n v="64"/>
    <s v="cumple"/>
    <x v="11"/>
    <x v="0"/>
    <x v="2365"/>
    <n v="6901.9999999999991"/>
    <x v="1"/>
  </r>
  <r>
    <x v="0"/>
    <x v="1"/>
    <x v="0"/>
    <x v="0"/>
    <x v="27"/>
    <x v="1"/>
    <x v="1324"/>
    <x v="1405"/>
    <x v="2366"/>
    <x v="244"/>
    <x v="0"/>
    <x v="240"/>
    <x v="22"/>
    <x v="8"/>
    <x v="0"/>
    <x v="260"/>
    <x v="16"/>
    <x v="0"/>
    <s v="MEDIA"/>
    <s v="MEDIA"/>
    <n v="64"/>
    <s v="cumple"/>
    <x v="11"/>
    <x v="0"/>
    <x v="2366"/>
    <n v="6901.9999999999991"/>
    <x v="1"/>
  </r>
  <r>
    <x v="0"/>
    <x v="1"/>
    <x v="0"/>
    <x v="0"/>
    <x v="27"/>
    <x v="1"/>
    <x v="1325"/>
    <x v="1406"/>
    <x v="2367"/>
    <x v="245"/>
    <x v="0"/>
    <x v="240"/>
    <x v="22"/>
    <x v="8"/>
    <x v="0"/>
    <x v="260"/>
    <x v="16"/>
    <x v="0"/>
    <s v="MEDIA"/>
    <s v="MEDIA"/>
    <n v="64"/>
    <s v="cumple"/>
    <x v="11"/>
    <x v="0"/>
    <x v="2367"/>
    <n v="6901.9999999999991"/>
    <x v="1"/>
  </r>
  <r>
    <x v="0"/>
    <x v="1"/>
    <x v="0"/>
    <x v="0"/>
    <x v="27"/>
    <x v="1"/>
    <x v="1326"/>
    <x v="1407"/>
    <x v="2368"/>
    <x v="246"/>
    <x v="0"/>
    <x v="240"/>
    <x v="22"/>
    <x v="8"/>
    <x v="0"/>
    <x v="260"/>
    <x v="16"/>
    <x v="0"/>
    <s v="MEDIA"/>
    <s v="MEDIA"/>
    <n v="64"/>
    <s v="cumple"/>
    <x v="11"/>
    <x v="0"/>
    <x v="2368"/>
    <n v="6901.9999999999991"/>
    <x v="1"/>
  </r>
  <r>
    <x v="0"/>
    <x v="1"/>
    <x v="0"/>
    <x v="0"/>
    <x v="27"/>
    <x v="1"/>
    <x v="1327"/>
    <x v="1408"/>
    <x v="2369"/>
    <x v="247"/>
    <x v="0"/>
    <x v="240"/>
    <x v="7"/>
    <x v="3"/>
    <x v="0"/>
    <x v="260"/>
    <x v="16"/>
    <x v="0"/>
    <s v="MEDIA"/>
    <s v="MEDIA"/>
    <n v="64"/>
    <s v="cumple"/>
    <x v="11"/>
    <x v="0"/>
    <x v="2369"/>
    <n v="4872"/>
    <x v="1"/>
  </r>
  <r>
    <x v="0"/>
    <x v="1"/>
    <x v="0"/>
    <x v="0"/>
    <x v="27"/>
    <x v="1"/>
    <x v="1328"/>
    <x v="1409"/>
    <x v="2370"/>
    <x v="248"/>
    <x v="0"/>
    <x v="240"/>
    <x v="22"/>
    <x v="8"/>
    <x v="0"/>
    <x v="260"/>
    <x v="16"/>
    <x v="0"/>
    <s v="MEDIA"/>
    <s v="MEDIA"/>
    <n v="64"/>
    <s v="cumple"/>
    <x v="11"/>
    <x v="0"/>
    <x v="2370"/>
    <n v="6901.9999999999991"/>
    <x v="1"/>
  </r>
  <r>
    <x v="0"/>
    <x v="1"/>
    <x v="0"/>
    <x v="0"/>
    <x v="27"/>
    <x v="1"/>
    <x v="1329"/>
    <x v="1410"/>
    <x v="2371"/>
    <x v="249"/>
    <x v="0"/>
    <x v="240"/>
    <x v="22"/>
    <x v="8"/>
    <x v="0"/>
    <x v="260"/>
    <x v="16"/>
    <x v="0"/>
    <s v="MEDIA"/>
    <s v="MEDIA"/>
    <n v="64"/>
    <s v="cumple"/>
    <x v="11"/>
    <x v="0"/>
    <x v="2371"/>
    <n v="6901.9999999999991"/>
    <x v="1"/>
  </r>
  <r>
    <x v="0"/>
    <x v="1"/>
    <x v="0"/>
    <x v="0"/>
    <x v="27"/>
    <x v="1"/>
    <x v="1330"/>
    <x v="1411"/>
    <x v="2372"/>
    <x v="250"/>
    <x v="0"/>
    <x v="240"/>
    <x v="22"/>
    <x v="8"/>
    <x v="0"/>
    <x v="260"/>
    <x v="16"/>
    <x v="0"/>
    <s v="MEDIA"/>
    <s v="MEDIA"/>
    <n v="64"/>
    <s v="cumple"/>
    <x v="11"/>
    <x v="0"/>
    <x v="2372"/>
    <n v="6901.9999999999991"/>
    <x v="1"/>
  </r>
  <r>
    <x v="0"/>
    <x v="1"/>
    <x v="0"/>
    <x v="0"/>
    <x v="27"/>
    <x v="1"/>
    <x v="1331"/>
    <x v="1412"/>
    <x v="2373"/>
    <x v="251"/>
    <x v="0"/>
    <x v="240"/>
    <x v="22"/>
    <x v="8"/>
    <x v="0"/>
    <x v="260"/>
    <x v="16"/>
    <x v="0"/>
    <s v="MEDIA"/>
    <s v="MEDIA"/>
    <n v="64"/>
    <s v="cumple"/>
    <x v="11"/>
    <x v="0"/>
    <x v="2373"/>
    <n v="6901.9999999999991"/>
    <x v="1"/>
  </r>
  <r>
    <x v="0"/>
    <x v="0"/>
    <x v="1"/>
    <x v="0"/>
    <x v="3"/>
    <x v="2"/>
    <x v="1332"/>
    <x v="1413"/>
    <x v="2374"/>
    <x v="242"/>
    <x v="0"/>
    <x v="242"/>
    <x v="8"/>
    <x v="2"/>
    <x v="0"/>
    <x v="287"/>
    <x v="12"/>
    <x v="6"/>
    <s v="MEDIA"/>
    <s v="MEDIA"/>
    <n v="64"/>
    <s v="cumple"/>
    <x v="11"/>
    <x v="1"/>
    <x v="2374"/>
    <n v="696"/>
    <x v="0"/>
  </r>
  <r>
    <x v="0"/>
    <x v="1"/>
    <x v="1"/>
    <x v="0"/>
    <x v="3"/>
    <x v="1"/>
    <x v="1333"/>
    <x v="1414"/>
    <x v="2375"/>
    <x v="242"/>
    <x v="8"/>
    <x v="242"/>
    <x v="4"/>
    <x v="4"/>
    <x v="0"/>
    <x v="287"/>
    <x v="12"/>
    <x v="6"/>
    <s v="MEDIA"/>
    <s v="MEDIA"/>
    <n v="64"/>
    <s v="cumple"/>
    <x v="11"/>
    <x v="1"/>
    <x v="2375"/>
    <n v="1392"/>
    <x v="0"/>
  </r>
  <r>
    <x v="0"/>
    <x v="1"/>
    <x v="1"/>
    <x v="0"/>
    <x v="3"/>
    <x v="1"/>
    <x v="1334"/>
    <x v="1415"/>
    <x v="2376"/>
    <x v="242"/>
    <x v="6"/>
    <x v="242"/>
    <x v="12"/>
    <x v="12"/>
    <x v="0"/>
    <x v="287"/>
    <x v="12"/>
    <x v="6"/>
    <s v="MEDIA"/>
    <s v="MEDIA"/>
    <n v="64"/>
    <s v="cumple"/>
    <x v="11"/>
    <x v="1"/>
    <x v="2376"/>
    <n v="1739.9999999999998"/>
    <x v="0"/>
  </r>
  <r>
    <x v="0"/>
    <x v="1"/>
    <x v="1"/>
    <x v="0"/>
    <x v="3"/>
    <x v="5"/>
    <x v="1335"/>
    <x v="1215"/>
    <x v="2377"/>
    <x v="242"/>
    <x v="7"/>
    <x v="242"/>
    <x v="18"/>
    <x v="19"/>
    <x v="0"/>
    <x v="287"/>
    <x v="12"/>
    <x v="6"/>
    <s v="MEDIA"/>
    <s v="MEDIA"/>
    <n v="64"/>
    <s v="cumple"/>
    <x v="11"/>
    <x v="1"/>
    <x v="2377"/>
    <n v="348"/>
    <x v="0"/>
  </r>
  <r>
    <x v="0"/>
    <x v="1"/>
    <x v="1"/>
    <x v="0"/>
    <x v="3"/>
    <x v="1"/>
    <x v="1336"/>
    <x v="1416"/>
    <x v="2378"/>
    <x v="242"/>
    <x v="15"/>
    <x v="242"/>
    <x v="17"/>
    <x v="2"/>
    <x v="0"/>
    <x v="287"/>
    <x v="12"/>
    <x v="6"/>
    <s v="MEDIA"/>
    <s v="MEDIA"/>
    <n v="64"/>
    <s v="cumple"/>
    <x v="11"/>
    <x v="1"/>
    <x v="2378"/>
    <n v="696"/>
    <x v="0"/>
  </r>
  <r>
    <x v="0"/>
    <x v="1"/>
    <x v="1"/>
    <x v="0"/>
    <x v="3"/>
    <x v="1"/>
    <x v="1337"/>
    <x v="1417"/>
    <x v="2379"/>
    <x v="242"/>
    <x v="14"/>
    <x v="242"/>
    <x v="21"/>
    <x v="2"/>
    <x v="0"/>
    <x v="287"/>
    <x v="12"/>
    <x v="6"/>
    <s v="MEDIA"/>
    <s v="MEDIA"/>
    <n v="64"/>
    <s v="cumple"/>
    <x v="11"/>
    <x v="1"/>
    <x v="2379"/>
    <n v="696"/>
    <x v="0"/>
  </r>
  <r>
    <x v="0"/>
    <x v="1"/>
    <x v="1"/>
    <x v="0"/>
    <x v="3"/>
    <x v="5"/>
    <x v="1338"/>
    <x v="1220"/>
    <x v="2380"/>
    <x v="242"/>
    <x v="16"/>
    <x v="242"/>
    <x v="24"/>
    <x v="12"/>
    <x v="0"/>
    <x v="287"/>
    <x v="12"/>
    <x v="6"/>
    <s v="MEDIA"/>
    <s v="MEDIA"/>
    <n v="64"/>
    <s v="cumple"/>
    <x v="11"/>
    <x v="1"/>
    <x v="2380"/>
    <n v="1739.9999999999998"/>
    <x v="0"/>
  </r>
  <r>
    <x v="0"/>
    <x v="1"/>
    <x v="1"/>
    <x v="0"/>
    <x v="3"/>
    <x v="1"/>
    <x v="1339"/>
    <x v="1418"/>
    <x v="2381"/>
    <x v="243"/>
    <x v="0"/>
    <x v="243"/>
    <x v="16"/>
    <x v="15"/>
    <x v="0"/>
    <x v="287"/>
    <x v="12"/>
    <x v="6"/>
    <s v="MEDIA"/>
    <s v="MEDIA"/>
    <n v="64"/>
    <s v="cumple"/>
    <x v="11"/>
    <x v="1"/>
    <x v="2381"/>
    <n v="1044"/>
    <x v="0"/>
  </r>
  <r>
    <x v="0"/>
    <x v="1"/>
    <x v="1"/>
    <x v="0"/>
    <x v="3"/>
    <x v="1"/>
    <x v="1340"/>
    <x v="1419"/>
    <x v="2382"/>
    <x v="243"/>
    <x v="13"/>
    <x v="243"/>
    <x v="4"/>
    <x v="15"/>
    <x v="0"/>
    <x v="287"/>
    <x v="12"/>
    <x v="6"/>
    <s v="MEDIA"/>
    <s v="MEDIA"/>
    <n v="64"/>
    <s v="cumple"/>
    <x v="11"/>
    <x v="1"/>
    <x v="2382"/>
    <n v="1044"/>
    <x v="0"/>
  </r>
  <r>
    <x v="0"/>
    <x v="1"/>
    <x v="1"/>
    <x v="0"/>
    <x v="3"/>
    <x v="5"/>
    <x v="1341"/>
    <x v="1225"/>
    <x v="2383"/>
    <x v="243"/>
    <x v="6"/>
    <x v="243"/>
    <x v="5"/>
    <x v="2"/>
    <x v="0"/>
    <x v="287"/>
    <x v="12"/>
    <x v="6"/>
    <s v="MEDIA"/>
    <s v="MEDIA"/>
    <n v="64"/>
    <s v="cumple"/>
    <x v="11"/>
    <x v="1"/>
    <x v="2383"/>
    <n v="696"/>
    <x v="0"/>
  </r>
  <r>
    <x v="0"/>
    <x v="1"/>
    <x v="1"/>
    <x v="0"/>
    <x v="3"/>
    <x v="1"/>
    <x v="1342"/>
    <x v="1420"/>
    <x v="2384"/>
    <x v="243"/>
    <x v="3"/>
    <x v="243"/>
    <x v="12"/>
    <x v="15"/>
    <x v="0"/>
    <x v="287"/>
    <x v="12"/>
    <x v="6"/>
    <s v="MEDIA"/>
    <s v="MEDIA"/>
    <n v="64"/>
    <s v="cumple"/>
    <x v="11"/>
    <x v="1"/>
    <x v="2384"/>
    <n v="1044"/>
    <x v="0"/>
  </r>
  <r>
    <x v="0"/>
    <x v="1"/>
    <x v="1"/>
    <x v="0"/>
    <x v="3"/>
    <x v="1"/>
    <x v="1343"/>
    <x v="1421"/>
    <x v="2385"/>
    <x v="243"/>
    <x v="7"/>
    <x v="243"/>
    <x v="18"/>
    <x v="19"/>
    <x v="0"/>
    <x v="287"/>
    <x v="12"/>
    <x v="6"/>
    <s v="MEDIA"/>
    <s v="MEDIA"/>
    <n v="64"/>
    <s v="cumple"/>
    <x v="11"/>
    <x v="1"/>
    <x v="2385"/>
    <n v="348"/>
    <x v="0"/>
  </r>
  <r>
    <x v="0"/>
    <x v="1"/>
    <x v="1"/>
    <x v="0"/>
    <x v="3"/>
    <x v="5"/>
    <x v="1344"/>
    <x v="1229"/>
    <x v="2386"/>
    <x v="243"/>
    <x v="15"/>
    <x v="243"/>
    <x v="1"/>
    <x v="15"/>
    <x v="0"/>
    <x v="287"/>
    <x v="12"/>
    <x v="6"/>
    <s v="MEDIA"/>
    <s v="MEDIA"/>
    <n v="64"/>
    <s v="cumple"/>
    <x v="11"/>
    <x v="1"/>
    <x v="2386"/>
    <n v="1044"/>
    <x v="0"/>
  </r>
  <r>
    <x v="0"/>
    <x v="1"/>
    <x v="1"/>
    <x v="0"/>
    <x v="3"/>
    <x v="1"/>
    <x v="1345"/>
    <x v="1422"/>
    <x v="2387"/>
    <x v="243"/>
    <x v="1"/>
    <x v="243"/>
    <x v="11"/>
    <x v="4"/>
    <x v="0"/>
    <x v="287"/>
    <x v="12"/>
    <x v="6"/>
    <s v="MEDIA"/>
    <s v="MEDIA"/>
    <n v="64"/>
    <s v="cumple"/>
    <x v="11"/>
    <x v="1"/>
    <x v="2387"/>
    <n v="1392"/>
    <x v="0"/>
  </r>
  <r>
    <x v="0"/>
    <x v="1"/>
    <x v="1"/>
    <x v="0"/>
    <x v="3"/>
    <x v="1"/>
    <x v="1346"/>
    <x v="1423"/>
    <x v="2388"/>
    <x v="244"/>
    <x v="0"/>
    <x v="244"/>
    <x v="3"/>
    <x v="4"/>
    <x v="0"/>
    <x v="287"/>
    <x v="12"/>
    <x v="6"/>
    <s v="MEDIA"/>
    <s v="MEDIA"/>
    <n v="64"/>
    <s v="cumple"/>
    <x v="11"/>
    <x v="1"/>
    <x v="2388"/>
    <n v="1392"/>
    <x v="0"/>
  </r>
  <r>
    <x v="0"/>
    <x v="1"/>
    <x v="1"/>
    <x v="0"/>
    <x v="3"/>
    <x v="5"/>
    <x v="1347"/>
    <x v="1234"/>
    <x v="2389"/>
    <x v="244"/>
    <x v="4"/>
    <x v="244"/>
    <x v="4"/>
    <x v="2"/>
    <x v="0"/>
    <x v="287"/>
    <x v="12"/>
    <x v="6"/>
    <s v="MEDIA"/>
    <s v="MEDIA"/>
    <n v="64"/>
    <s v="cumple"/>
    <x v="11"/>
    <x v="1"/>
    <x v="2389"/>
    <n v="696"/>
    <x v="0"/>
  </r>
  <r>
    <x v="0"/>
    <x v="1"/>
    <x v="1"/>
    <x v="0"/>
    <x v="3"/>
    <x v="1"/>
    <x v="1348"/>
    <x v="1424"/>
    <x v="2390"/>
    <x v="244"/>
    <x v="6"/>
    <x v="244"/>
    <x v="12"/>
    <x v="12"/>
    <x v="0"/>
    <x v="287"/>
    <x v="12"/>
    <x v="6"/>
    <s v="MEDIA"/>
    <s v="MEDIA"/>
    <n v="64"/>
    <s v="cumple"/>
    <x v="11"/>
    <x v="1"/>
    <x v="2390"/>
    <n v="1739.9999999999998"/>
    <x v="0"/>
  </r>
  <r>
    <x v="0"/>
    <x v="1"/>
    <x v="1"/>
    <x v="0"/>
    <x v="3"/>
    <x v="1"/>
    <x v="1349"/>
    <x v="1425"/>
    <x v="2391"/>
    <x v="244"/>
    <x v="21"/>
    <x v="244"/>
    <x v="6"/>
    <x v="15"/>
    <x v="0"/>
    <x v="287"/>
    <x v="12"/>
    <x v="6"/>
    <s v="MEDIA"/>
    <s v="MEDIA"/>
    <n v="64"/>
    <s v="cumple"/>
    <x v="11"/>
    <x v="1"/>
    <x v="2391"/>
    <n v="1044"/>
    <x v="0"/>
  </r>
  <r>
    <x v="0"/>
    <x v="1"/>
    <x v="1"/>
    <x v="0"/>
    <x v="3"/>
    <x v="5"/>
    <x v="1350"/>
    <x v="1238"/>
    <x v="2392"/>
    <x v="244"/>
    <x v="7"/>
    <x v="244"/>
    <x v="2"/>
    <x v="2"/>
    <x v="0"/>
    <x v="287"/>
    <x v="12"/>
    <x v="6"/>
    <s v="MEDIA"/>
    <s v="MEDIA"/>
    <n v="64"/>
    <s v="cumple"/>
    <x v="11"/>
    <x v="1"/>
    <x v="2392"/>
    <n v="696"/>
    <x v="0"/>
  </r>
  <r>
    <x v="0"/>
    <x v="1"/>
    <x v="1"/>
    <x v="0"/>
    <x v="3"/>
    <x v="1"/>
    <x v="1351"/>
    <x v="1426"/>
    <x v="2393"/>
    <x v="244"/>
    <x v="2"/>
    <x v="244"/>
    <x v="1"/>
    <x v="2"/>
    <x v="0"/>
    <x v="287"/>
    <x v="12"/>
    <x v="6"/>
    <s v="MEDIA"/>
    <s v="MEDIA"/>
    <n v="64"/>
    <s v="cumple"/>
    <x v="11"/>
    <x v="1"/>
    <x v="2393"/>
    <n v="696"/>
    <x v="0"/>
  </r>
  <r>
    <x v="0"/>
    <x v="1"/>
    <x v="1"/>
    <x v="0"/>
    <x v="3"/>
    <x v="1"/>
    <x v="1352"/>
    <x v="1427"/>
    <x v="2394"/>
    <x v="244"/>
    <x v="1"/>
    <x v="244"/>
    <x v="20"/>
    <x v="12"/>
    <x v="0"/>
    <x v="287"/>
    <x v="12"/>
    <x v="6"/>
    <s v="MEDIA"/>
    <s v="MEDIA"/>
    <n v="64"/>
    <s v="cumple"/>
    <x v="11"/>
    <x v="1"/>
    <x v="2394"/>
    <n v="1739.9999999999998"/>
    <x v="0"/>
  </r>
  <r>
    <x v="0"/>
    <x v="1"/>
    <x v="1"/>
    <x v="0"/>
    <x v="3"/>
    <x v="5"/>
    <x v="1353"/>
    <x v="1242"/>
    <x v="2395"/>
    <x v="245"/>
    <x v="0"/>
    <x v="245"/>
    <x v="8"/>
    <x v="2"/>
    <x v="0"/>
    <x v="287"/>
    <x v="12"/>
    <x v="6"/>
    <s v="MEDIA"/>
    <s v="MEDIA"/>
    <n v="64"/>
    <s v="cumple"/>
    <x v="11"/>
    <x v="1"/>
    <x v="2395"/>
    <n v="696"/>
    <x v="0"/>
  </r>
  <r>
    <x v="0"/>
    <x v="1"/>
    <x v="1"/>
    <x v="0"/>
    <x v="3"/>
    <x v="1"/>
    <x v="1354"/>
    <x v="1428"/>
    <x v="2396"/>
    <x v="245"/>
    <x v="8"/>
    <x v="245"/>
    <x v="15"/>
    <x v="15"/>
    <x v="0"/>
    <x v="287"/>
    <x v="12"/>
    <x v="6"/>
    <s v="MEDIA"/>
    <s v="MEDIA"/>
    <n v="64"/>
    <s v="cumple"/>
    <x v="11"/>
    <x v="1"/>
    <x v="2396"/>
    <n v="1044"/>
    <x v="0"/>
  </r>
  <r>
    <x v="0"/>
    <x v="1"/>
    <x v="1"/>
    <x v="0"/>
    <x v="3"/>
    <x v="1"/>
    <x v="1355"/>
    <x v="1429"/>
    <x v="2397"/>
    <x v="245"/>
    <x v="12"/>
    <x v="245"/>
    <x v="5"/>
    <x v="15"/>
    <x v="0"/>
    <x v="287"/>
    <x v="12"/>
    <x v="6"/>
    <s v="MEDIA"/>
    <s v="MEDIA"/>
    <n v="64"/>
    <s v="cumple"/>
    <x v="11"/>
    <x v="1"/>
    <x v="2397"/>
    <n v="1044"/>
    <x v="0"/>
  </r>
  <r>
    <x v="0"/>
    <x v="1"/>
    <x v="1"/>
    <x v="0"/>
    <x v="3"/>
    <x v="5"/>
    <x v="1356"/>
    <x v="1246"/>
    <x v="2398"/>
    <x v="245"/>
    <x v="3"/>
    <x v="245"/>
    <x v="12"/>
    <x v="2"/>
    <x v="0"/>
    <x v="287"/>
    <x v="12"/>
    <x v="6"/>
    <s v="MEDIA"/>
    <s v="MEDIA"/>
    <n v="64"/>
    <s v="cumple"/>
    <x v="11"/>
    <x v="1"/>
    <x v="2398"/>
    <n v="696"/>
    <x v="0"/>
  </r>
  <r>
    <x v="0"/>
    <x v="1"/>
    <x v="1"/>
    <x v="0"/>
    <x v="3"/>
    <x v="1"/>
    <x v="1357"/>
    <x v="1430"/>
    <x v="2399"/>
    <x v="245"/>
    <x v="5"/>
    <x v="245"/>
    <x v="18"/>
    <x v="15"/>
    <x v="0"/>
    <x v="287"/>
    <x v="12"/>
    <x v="6"/>
    <s v="MEDIA"/>
    <s v="MEDIA"/>
    <n v="64"/>
    <s v="cumple"/>
    <x v="11"/>
    <x v="1"/>
    <x v="2399"/>
    <n v="1044"/>
    <x v="0"/>
  </r>
  <r>
    <x v="0"/>
    <x v="1"/>
    <x v="1"/>
    <x v="0"/>
    <x v="3"/>
    <x v="1"/>
    <x v="1358"/>
    <x v="1431"/>
    <x v="2400"/>
    <x v="245"/>
    <x v="15"/>
    <x v="245"/>
    <x v="17"/>
    <x v="2"/>
    <x v="0"/>
    <x v="287"/>
    <x v="12"/>
    <x v="6"/>
    <s v="MEDIA"/>
    <s v="MEDIA"/>
    <n v="64"/>
    <s v="cumple"/>
    <x v="11"/>
    <x v="1"/>
    <x v="2400"/>
    <n v="696"/>
    <x v="0"/>
  </r>
  <r>
    <x v="0"/>
    <x v="1"/>
    <x v="1"/>
    <x v="0"/>
    <x v="3"/>
    <x v="5"/>
    <x v="1359"/>
    <x v="1250"/>
    <x v="2401"/>
    <x v="245"/>
    <x v="14"/>
    <x v="245"/>
    <x v="20"/>
    <x v="5"/>
    <x v="0"/>
    <x v="287"/>
    <x v="12"/>
    <x v="6"/>
    <s v="MEDIA"/>
    <s v="MEDIA"/>
    <n v="64"/>
    <s v="cumple"/>
    <x v="11"/>
    <x v="1"/>
    <x v="2401"/>
    <n v="2088"/>
    <x v="0"/>
  </r>
  <r>
    <x v="0"/>
    <x v="1"/>
    <x v="1"/>
    <x v="0"/>
    <x v="3"/>
    <x v="1"/>
    <x v="1360"/>
    <x v="1432"/>
    <x v="2402"/>
    <x v="246"/>
    <x v="0"/>
    <x v="246"/>
    <x v="16"/>
    <x v="15"/>
    <x v="0"/>
    <x v="287"/>
    <x v="12"/>
    <x v="6"/>
    <s v="MEDIA"/>
    <s v="MEDIA"/>
    <n v="64"/>
    <s v="cumple"/>
    <x v="11"/>
    <x v="1"/>
    <x v="2402"/>
    <n v="1044"/>
    <x v="0"/>
  </r>
  <r>
    <x v="0"/>
    <x v="1"/>
    <x v="1"/>
    <x v="0"/>
    <x v="3"/>
    <x v="1"/>
    <x v="1361"/>
    <x v="1433"/>
    <x v="2403"/>
    <x v="246"/>
    <x v="13"/>
    <x v="246"/>
    <x v="4"/>
    <x v="15"/>
    <x v="0"/>
    <x v="287"/>
    <x v="12"/>
    <x v="6"/>
    <s v="MEDIA"/>
    <s v="MEDIA"/>
    <n v="64"/>
    <s v="cumple"/>
    <x v="11"/>
    <x v="1"/>
    <x v="2403"/>
    <n v="1044"/>
    <x v="0"/>
  </r>
  <r>
    <x v="0"/>
    <x v="1"/>
    <x v="1"/>
    <x v="0"/>
    <x v="3"/>
    <x v="5"/>
    <x v="1362"/>
    <x v="1286"/>
    <x v="2404"/>
    <x v="246"/>
    <x v="6"/>
    <x v="246"/>
    <x v="5"/>
    <x v="2"/>
    <x v="0"/>
    <x v="287"/>
    <x v="12"/>
    <x v="6"/>
    <s v="MEDIA"/>
    <s v="MEDIA"/>
    <n v="64"/>
    <s v="cumple"/>
    <x v="11"/>
    <x v="1"/>
    <x v="2404"/>
    <n v="696"/>
    <x v="0"/>
  </r>
  <r>
    <x v="0"/>
    <x v="0"/>
    <x v="1"/>
    <x v="0"/>
    <x v="3"/>
    <x v="2"/>
    <x v="1363"/>
    <x v="1434"/>
    <x v="2405"/>
    <x v="246"/>
    <x v="3"/>
    <x v="246"/>
    <x v="12"/>
    <x v="15"/>
    <x v="0"/>
    <x v="310"/>
    <x v="12"/>
    <x v="6"/>
    <s v="MEDIA"/>
    <s v="MEDIA"/>
    <n v="64"/>
    <s v="cumple"/>
    <x v="11"/>
    <x v="1"/>
    <x v="2405"/>
    <n v="1044"/>
    <x v="0"/>
  </r>
  <r>
    <x v="0"/>
    <x v="0"/>
    <x v="1"/>
    <x v="0"/>
    <x v="3"/>
    <x v="2"/>
    <x v="1364"/>
    <x v="1435"/>
    <x v="2406"/>
    <x v="246"/>
    <x v="2"/>
    <x v="246"/>
    <x v="6"/>
    <x v="2"/>
    <x v="0"/>
    <x v="310"/>
    <x v="12"/>
    <x v="6"/>
    <s v="MEDIA"/>
    <s v="MEDIA"/>
    <n v="64"/>
    <s v="cumple"/>
    <x v="11"/>
    <x v="1"/>
    <x v="2406"/>
    <n v="696"/>
    <x v="0"/>
  </r>
  <r>
    <x v="0"/>
    <x v="0"/>
    <x v="1"/>
    <x v="0"/>
    <x v="3"/>
    <x v="2"/>
    <x v="1365"/>
    <x v="1436"/>
    <x v="2407"/>
    <x v="246"/>
    <x v="7"/>
    <x v="246"/>
    <x v="17"/>
    <x v="15"/>
    <x v="0"/>
    <x v="310"/>
    <x v="12"/>
    <x v="6"/>
    <s v="MEDIA"/>
    <s v="MEDIA"/>
    <n v="64"/>
    <s v="cumple"/>
    <x v="11"/>
    <x v="1"/>
    <x v="2407"/>
    <n v="1044"/>
    <x v="0"/>
  </r>
  <r>
    <x v="0"/>
    <x v="0"/>
    <x v="1"/>
    <x v="0"/>
    <x v="3"/>
    <x v="2"/>
    <x v="1366"/>
    <x v="1437"/>
    <x v="2408"/>
    <x v="246"/>
    <x v="14"/>
    <x v="246"/>
    <x v="20"/>
    <x v="5"/>
    <x v="0"/>
    <x v="310"/>
    <x v="12"/>
    <x v="6"/>
    <s v="MEDIA"/>
    <s v="MEDIA"/>
    <n v="64"/>
    <s v="cumple"/>
    <x v="11"/>
    <x v="1"/>
    <x v="2408"/>
    <n v="2088"/>
    <x v="0"/>
  </r>
  <r>
    <x v="0"/>
    <x v="0"/>
    <x v="1"/>
    <x v="0"/>
    <x v="3"/>
    <x v="2"/>
    <x v="1367"/>
    <x v="1438"/>
    <x v="2409"/>
    <x v="247"/>
    <x v="0"/>
    <x v="247"/>
    <x v="16"/>
    <x v="15"/>
    <x v="0"/>
    <x v="310"/>
    <x v="12"/>
    <x v="6"/>
    <s v="MEDIA"/>
    <s v="MEDIA"/>
    <n v="64"/>
    <s v="cumple"/>
    <x v="11"/>
    <x v="1"/>
    <x v="2409"/>
    <n v="1044"/>
    <x v="0"/>
  </r>
  <r>
    <x v="0"/>
    <x v="0"/>
    <x v="1"/>
    <x v="0"/>
    <x v="3"/>
    <x v="2"/>
    <x v="1368"/>
    <x v="1439"/>
    <x v="2410"/>
    <x v="247"/>
    <x v="13"/>
    <x v="247"/>
    <x v="4"/>
    <x v="15"/>
    <x v="0"/>
    <x v="310"/>
    <x v="12"/>
    <x v="6"/>
    <s v="MEDIA"/>
    <s v="MEDIA"/>
    <n v="64"/>
    <s v="cumple"/>
    <x v="11"/>
    <x v="1"/>
    <x v="2410"/>
    <n v="1044"/>
    <x v="0"/>
  </r>
  <r>
    <x v="0"/>
    <x v="0"/>
    <x v="1"/>
    <x v="0"/>
    <x v="3"/>
    <x v="2"/>
    <x v="1369"/>
    <x v="1440"/>
    <x v="2411"/>
    <x v="247"/>
    <x v="6"/>
    <x v="247"/>
    <x v="14"/>
    <x v="15"/>
    <x v="0"/>
    <x v="310"/>
    <x v="12"/>
    <x v="6"/>
    <s v="MEDIA"/>
    <s v="MEDIA"/>
    <n v="64"/>
    <s v="cumple"/>
    <x v="11"/>
    <x v="1"/>
    <x v="2411"/>
    <n v="1044"/>
    <x v="0"/>
  </r>
  <r>
    <x v="0"/>
    <x v="0"/>
    <x v="1"/>
    <x v="0"/>
    <x v="3"/>
    <x v="2"/>
    <x v="1370"/>
    <x v="1441"/>
    <x v="2412"/>
    <x v="247"/>
    <x v="11"/>
    <x v="247"/>
    <x v="12"/>
    <x v="2"/>
    <x v="0"/>
    <x v="310"/>
    <x v="12"/>
    <x v="6"/>
    <s v="MEDIA"/>
    <s v="MEDIA"/>
    <n v="64"/>
    <s v="cumple"/>
    <x v="11"/>
    <x v="1"/>
    <x v="2412"/>
    <n v="696"/>
    <x v="0"/>
  </r>
  <r>
    <x v="0"/>
    <x v="0"/>
    <x v="1"/>
    <x v="0"/>
    <x v="3"/>
    <x v="2"/>
    <x v="1371"/>
    <x v="1442"/>
    <x v="2413"/>
    <x v="247"/>
    <x v="7"/>
    <x v="247"/>
    <x v="2"/>
    <x v="2"/>
    <x v="0"/>
    <x v="310"/>
    <x v="12"/>
    <x v="6"/>
    <s v="MEDIA"/>
    <s v="MEDIA"/>
    <n v="64"/>
    <s v="cumple"/>
    <x v="11"/>
    <x v="1"/>
    <x v="2413"/>
    <n v="696"/>
    <x v="0"/>
  </r>
  <r>
    <x v="0"/>
    <x v="0"/>
    <x v="1"/>
    <x v="0"/>
    <x v="3"/>
    <x v="2"/>
    <x v="1372"/>
    <x v="1443"/>
    <x v="2414"/>
    <x v="247"/>
    <x v="2"/>
    <x v="247"/>
    <x v="1"/>
    <x v="2"/>
    <x v="0"/>
    <x v="310"/>
    <x v="12"/>
    <x v="6"/>
    <s v="MEDIA"/>
    <s v="MEDIA"/>
    <n v="64"/>
    <s v="cumple"/>
    <x v="11"/>
    <x v="1"/>
    <x v="2414"/>
    <n v="696"/>
    <x v="0"/>
  </r>
  <r>
    <x v="0"/>
    <x v="0"/>
    <x v="1"/>
    <x v="0"/>
    <x v="3"/>
    <x v="2"/>
    <x v="1373"/>
    <x v="1444"/>
    <x v="2415"/>
    <x v="247"/>
    <x v="1"/>
    <x v="247"/>
    <x v="20"/>
    <x v="12"/>
    <x v="0"/>
    <x v="310"/>
    <x v="12"/>
    <x v="6"/>
    <s v="MEDIA"/>
    <s v="MEDIA"/>
    <n v="64"/>
    <s v="cumple"/>
    <x v="11"/>
    <x v="1"/>
    <x v="2415"/>
    <n v="1739.9999999999998"/>
    <x v="0"/>
  </r>
  <r>
    <x v="0"/>
    <x v="0"/>
    <x v="1"/>
    <x v="0"/>
    <x v="3"/>
    <x v="2"/>
    <x v="1374"/>
    <x v="1445"/>
    <x v="2416"/>
    <x v="248"/>
    <x v="0"/>
    <x v="248"/>
    <x v="8"/>
    <x v="2"/>
    <x v="0"/>
    <x v="310"/>
    <x v="12"/>
    <x v="6"/>
    <s v="MEDIA"/>
    <s v="MEDIA"/>
    <n v="64"/>
    <s v="cumple"/>
    <x v="11"/>
    <x v="1"/>
    <x v="2416"/>
    <n v="696"/>
    <x v="0"/>
  </r>
  <r>
    <x v="0"/>
    <x v="0"/>
    <x v="1"/>
    <x v="0"/>
    <x v="3"/>
    <x v="2"/>
    <x v="1375"/>
    <x v="1446"/>
    <x v="2417"/>
    <x v="248"/>
    <x v="8"/>
    <x v="248"/>
    <x v="15"/>
    <x v="15"/>
    <x v="0"/>
    <x v="310"/>
    <x v="12"/>
    <x v="6"/>
    <s v="MEDIA"/>
    <s v="MEDIA"/>
    <n v="64"/>
    <s v="cumple"/>
    <x v="11"/>
    <x v="1"/>
    <x v="2417"/>
    <n v="1044"/>
    <x v="0"/>
  </r>
  <r>
    <x v="0"/>
    <x v="0"/>
    <x v="1"/>
    <x v="0"/>
    <x v="3"/>
    <x v="2"/>
    <x v="1376"/>
    <x v="1447"/>
    <x v="2418"/>
    <x v="248"/>
    <x v="12"/>
    <x v="248"/>
    <x v="13"/>
    <x v="2"/>
    <x v="0"/>
    <x v="310"/>
    <x v="12"/>
    <x v="6"/>
    <s v="MEDIA"/>
    <s v="MEDIA"/>
    <n v="64"/>
    <s v="cumple"/>
    <x v="11"/>
    <x v="1"/>
    <x v="2418"/>
    <n v="696"/>
    <x v="0"/>
  </r>
  <r>
    <x v="0"/>
    <x v="1"/>
    <x v="1"/>
    <x v="0"/>
    <x v="3"/>
    <x v="1"/>
    <x v="1377"/>
    <x v="1448"/>
    <x v="2419"/>
    <x v="248"/>
    <x v="10"/>
    <x v="248"/>
    <x v="12"/>
    <x v="4"/>
    <x v="0"/>
    <x v="310"/>
    <x v="12"/>
    <x v="6"/>
    <s v="MEDIA"/>
    <s v="MEDIA"/>
    <n v="64"/>
    <s v="cumple"/>
    <x v="11"/>
    <x v="1"/>
    <x v="2419"/>
    <n v="1392"/>
    <x v="0"/>
  </r>
  <r>
    <x v="0"/>
    <x v="1"/>
    <x v="1"/>
    <x v="0"/>
    <x v="3"/>
    <x v="1"/>
    <x v="1378"/>
    <x v="779"/>
    <x v="1448"/>
    <x v="248"/>
    <x v="7"/>
    <x v="248"/>
    <x v="18"/>
    <x v="19"/>
    <x v="0"/>
    <x v="310"/>
    <x v="12"/>
    <x v="6"/>
    <s v="MEDIA"/>
    <s v="MEDIA"/>
    <n v="64"/>
    <s v="cumple"/>
    <x v="11"/>
    <x v="1"/>
    <x v="1448"/>
    <n v="348"/>
    <x v="0"/>
  </r>
  <r>
    <x v="0"/>
    <x v="1"/>
    <x v="1"/>
    <x v="0"/>
    <x v="3"/>
    <x v="1"/>
    <x v="1379"/>
    <x v="780"/>
    <x v="1449"/>
    <x v="248"/>
    <x v="15"/>
    <x v="248"/>
    <x v="2"/>
    <x v="19"/>
    <x v="0"/>
    <x v="310"/>
    <x v="12"/>
    <x v="6"/>
    <s v="MEDIA"/>
    <s v="MEDIA"/>
    <n v="64"/>
    <s v="cumple"/>
    <x v="11"/>
    <x v="1"/>
    <x v="1449"/>
    <n v="348"/>
    <x v="0"/>
  </r>
  <r>
    <x v="0"/>
    <x v="0"/>
    <x v="1"/>
    <x v="0"/>
    <x v="3"/>
    <x v="2"/>
    <x v="1380"/>
    <x v="1449"/>
    <x v="2420"/>
    <x v="248"/>
    <x v="2"/>
    <x v="248"/>
    <x v="11"/>
    <x v="5"/>
    <x v="0"/>
    <x v="310"/>
    <x v="12"/>
    <x v="6"/>
    <s v="MEDIA"/>
    <s v="MEDIA"/>
    <n v="64"/>
    <s v="cumple"/>
    <x v="11"/>
    <x v="1"/>
    <x v="2420"/>
    <n v="2088"/>
    <x v="0"/>
  </r>
  <r>
    <x v="0"/>
    <x v="1"/>
    <x v="1"/>
    <x v="0"/>
    <x v="3"/>
    <x v="1"/>
    <x v="1381"/>
    <x v="1450"/>
    <x v="2421"/>
    <x v="249"/>
    <x v="0"/>
    <x v="249"/>
    <x v="16"/>
    <x v="15"/>
    <x v="0"/>
    <x v="310"/>
    <x v="12"/>
    <x v="6"/>
    <s v="MEDIA"/>
    <s v="MEDIA"/>
    <n v="64"/>
    <s v="cumple"/>
    <x v="11"/>
    <x v="1"/>
    <x v="2421"/>
    <n v="1044"/>
    <x v="0"/>
  </r>
  <r>
    <x v="0"/>
    <x v="1"/>
    <x v="1"/>
    <x v="0"/>
    <x v="3"/>
    <x v="1"/>
    <x v="1382"/>
    <x v="846"/>
    <x v="1515"/>
    <x v="249"/>
    <x v="13"/>
    <x v="249"/>
    <x v="4"/>
    <x v="15"/>
    <x v="0"/>
    <x v="310"/>
    <x v="12"/>
    <x v="6"/>
    <s v="MEDIA"/>
    <s v="MEDIA"/>
    <n v="64"/>
    <s v="cumple"/>
    <x v="11"/>
    <x v="1"/>
    <x v="1515"/>
    <n v="1044"/>
    <x v="0"/>
  </r>
  <r>
    <x v="0"/>
    <x v="1"/>
    <x v="1"/>
    <x v="0"/>
    <x v="3"/>
    <x v="1"/>
    <x v="1383"/>
    <x v="847"/>
    <x v="1453"/>
    <x v="249"/>
    <x v="6"/>
    <x v="249"/>
    <x v="5"/>
    <x v="2"/>
    <x v="0"/>
    <x v="310"/>
    <x v="12"/>
    <x v="6"/>
    <s v="MEDIA"/>
    <s v="MEDIA"/>
    <n v="64"/>
    <s v="cumple"/>
    <x v="11"/>
    <x v="1"/>
    <x v="1453"/>
    <n v="696"/>
    <x v="0"/>
  </r>
  <r>
    <x v="0"/>
    <x v="1"/>
    <x v="1"/>
    <x v="0"/>
    <x v="3"/>
    <x v="1"/>
    <x v="1384"/>
    <x v="785"/>
    <x v="1454"/>
    <x v="249"/>
    <x v="3"/>
    <x v="249"/>
    <x v="12"/>
    <x v="15"/>
    <x v="0"/>
    <x v="310"/>
    <x v="12"/>
    <x v="6"/>
    <s v="MEDIA"/>
    <s v="MEDIA"/>
    <n v="64"/>
    <s v="cumple"/>
    <x v="11"/>
    <x v="1"/>
    <x v="1454"/>
    <n v="1044"/>
    <x v="0"/>
  </r>
  <r>
    <x v="0"/>
    <x v="1"/>
    <x v="1"/>
    <x v="0"/>
    <x v="3"/>
    <x v="5"/>
    <x v="1385"/>
    <x v="849"/>
    <x v="1455"/>
    <x v="249"/>
    <x v="7"/>
    <x v="249"/>
    <x v="18"/>
    <x v="19"/>
    <x v="0"/>
    <x v="310"/>
    <x v="12"/>
    <x v="6"/>
    <s v="MEDIA"/>
    <s v="MEDIA"/>
    <n v="64"/>
    <s v="cumple"/>
    <x v="11"/>
    <x v="1"/>
    <x v="1455"/>
    <n v="348"/>
    <x v="0"/>
  </r>
  <r>
    <x v="0"/>
    <x v="3"/>
    <x v="1"/>
    <x v="0"/>
    <x v="3"/>
    <x v="7"/>
    <x v="1386"/>
    <x v="1451"/>
    <x v="2422"/>
    <x v="249"/>
    <x v="15"/>
    <x v="249"/>
    <x v="2"/>
    <x v="19"/>
    <x v="0"/>
    <x v="310"/>
    <x v="12"/>
    <x v="6"/>
    <s v="MEDIA"/>
    <s v="MEDIA"/>
    <n v="64"/>
    <s v="cumple"/>
    <x v="11"/>
    <x v="1"/>
    <x v="2422"/>
    <n v="348"/>
    <x v="0"/>
  </r>
  <r>
    <x v="0"/>
    <x v="0"/>
    <x v="1"/>
    <x v="0"/>
    <x v="3"/>
    <x v="2"/>
    <x v="1387"/>
    <x v="1452"/>
    <x v="2423"/>
    <x v="249"/>
    <x v="2"/>
    <x v="249"/>
    <x v="11"/>
    <x v="5"/>
    <x v="0"/>
    <x v="310"/>
    <x v="12"/>
    <x v="6"/>
    <s v="MEDIA"/>
    <s v="MEDIA"/>
    <n v="64"/>
    <s v="cumple"/>
    <x v="11"/>
    <x v="1"/>
    <x v="2423"/>
    <n v="2088"/>
    <x v="0"/>
  </r>
  <r>
    <x v="0"/>
    <x v="1"/>
    <x v="1"/>
    <x v="0"/>
    <x v="3"/>
    <x v="1"/>
    <x v="1388"/>
    <x v="1453"/>
    <x v="2424"/>
    <x v="250"/>
    <x v="0"/>
    <x v="250"/>
    <x v="16"/>
    <x v="15"/>
    <x v="0"/>
    <x v="310"/>
    <x v="12"/>
    <x v="6"/>
    <s v="MEDIA"/>
    <s v="MEDIA"/>
    <n v="64"/>
    <s v="cumple"/>
    <x v="11"/>
    <x v="1"/>
    <x v="2424"/>
    <n v="1044"/>
    <x v="0"/>
  </r>
  <r>
    <x v="0"/>
    <x v="1"/>
    <x v="1"/>
    <x v="0"/>
    <x v="3"/>
    <x v="1"/>
    <x v="1389"/>
    <x v="853"/>
    <x v="1520"/>
    <x v="250"/>
    <x v="13"/>
    <x v="250"/>
    <x v="4"/>
    <x v="15"/>
    <x v="0"/>
    <x v="310"/>
    <x v="12"/>
    <x v="6"/>
    <s v="MEDIA"/>
    <s v="MEDIA"/>
    <n v="64"/>
    <s v="cumple"/>
    <x v="11"/>
    <x v="1"/>
    <x v="1520"/>
    <n v="1044"/>
    <x v="0"/>
  </r>
  <r>
    <x v="0"/>
    <x v="1"/>
    <x v="1"/>
    <x v="0"/>
    <x v="3"/>
    <x v="1"/>
    <x v="1390"/>
    <x v="854"/>
    <x v="1460"/>
    <x v="250"/>
    <x v="6"/>
    <x v="250"/>
    <x v="5"/>
    <x v="2"/>
    <x v="0"/>
    <x v="310"/>
    <x v="12"/>
    <x v="6"/>
    <s v="MEDIA"/>
    <s v="MEDIA"/>
    <n v="64"/>
    <s v="cumple"/>
    <x v="11"/>
    <x v="1"/>
    <x v="1460"/>
    <n v="696"/>
    <x v="0"/>
  </r>
  <r>
    <x v="0"/>
    <x v="1"/>
    <x v="1"/>
    <x v="0"/>
    <x v="3"/>
    <x v="1"/>
    <x v="1391"/>
    <x v="792"/>
    <x v="1461"/>
    <x v="250"/>
    <x v="3"/>
    <x v="250"/>
    <x v="12"/>
    <x v="15"/>
    <x v="0"/>
    <x v="310"/>
    <x v="12"/>
    <x v="6"/>
    <s v="MEDIA"/>
    <s v="MEDIA"/>
    <n v="64"/>
    <s v="cumple"/>
    <x v="11"/>
    <x v="1"/>
    <x v="1461"/>
    <n v="1044"/>
    <x v="0"/>
  </r>
  <r>
    <x v="0"/>
    <x v="1"/>
    <x v="1"/>
    <x v="0"/>
    <x v="3"/>
    <x v="5"/>
    <x v="1392"/>
    <x v="855"/>
    <x v="1462"/>
    <x v="250"/>
    <x v="7"/>
    <x v="250"/>
    <x v="2"/>
    <x v="2"/>
    <x v="0"/>
    <x v="310"/>
    <x v="12"/>
    <x v="6"/>
    <s v="MEDIA"/>
    <s v="MEDIA"/>
    <n v="64"/>
    <s v="cumple"/>
    <x v="11"/>
    <x v="1"/>
    <x v="1462"/>
    <n v="696"/>
    <x v="0"/>
  </r>
  <r>
    <x v="0"/>
    <x v="3"/>
    <x v="1"/>
    <x v="0"/>
    <x v="3"/>
    <x v="7"/>
    <x v="1393"/>
    <x v="1454"/>
    <x v="2425"/>
    <x v="250"/>
    <x v="2"/>
    <x v="250"/>
    <x v="1"/>
    <x v="2"/>
    <x v="0"/>
    <x v="310"/>
    <x v="12"/>
    <x v="6"/>
    <s v="MEDIA"/>
    <s v="MEDIA"/>
    <n v="64"/>
    <s v="cumple"/>
    <x v="11"/>
    <x v="1"/>
    <x v="2425"/>
    <n v="696"/>
    <x v="0"/>
  </r>
  <r>
    <x v="0"/>
    <x v="0"/>
    <x v="1"/>
    <x v="0"/>
    <x v="3"/>
    <x v="2"/>
    <x v="1394"/>
    <x v="1455"/>
    <x v="2426"/>
    <x v="250"/>
    <x v="1"/>
    <x v="250"/>
    <x v="11"/>
    <x v="4"/>
    <x v="0"/>
    <x v="310"/>
    <x v="12"/>
    <x v="6"/>
    <s v="MEDIA"/>
    <s v="MEDIA"/>
    <n v="64"/>
    <s v="cumple"/>
    <x v="11"/>
    <x v="1"/>
    <x v="2426"/>
    <n v="1392"/>
    <x v="0"/>
  </r>
  <r>
    <x v="0"/>
    <x v="1"/>
    <x v="1"/>
    <x v="0"/>
    <x v="3"/>
    <x v="1"/>
    <x v="1395"/>
    <x v="1456"/>
    <x v="2427"/>
    <x v="251"/>
    <x v="0"/>
    <x v="251"/>
    <x v="16"/>
    <x v="15"/>
    <x v="0"/>
    <x v="310"/>
    <x v="12"/>
    <x v="6"/>
    <s v="MEDIA"/>
    <s v="MEDIA"/>
    <n v="64"/>
    <s v="cumple"/>
    <x v="11"/>
    <x v="1"/>
    <x v="2427"/>
    <n v="1044"/>
    <x v="0"/>
  </r>
  <r>
    <x v="0"/>
    <x v="1"/>
    <x v="1"/>
    <x v="0"/>
    <x v="3"/>
    <x v="1"/>
    <x v="1396"/>
    <x v="859"/>
    <x v="1524"/>
    <x v="251"/>
    <x v="13"/>
    <x v="251"/>
    <x v="4"/>
    <x v="15"/>
    <x v="0"/>
    <x v="310"/>
    <x v="12"/>
    <x v="6"/>
    <s v="MEDIA"/>
    <s v="MEDIA"/>
    <n v="64"/>
    <s v="cumple"/>
    <x v="11"/>
    <x v="1"/>
    <x v="1524"/>
    <n v="1044"/>
    <x v="0"/>
  </r>
  <r>
    <x v="0"/>
    <x v="1"/>
    <x v="1"/>
    <x v="0"/>
    <x v="3"/>
    <x v="1"/>
    <x v="1397"/>
    <x v="860"/>
    <x v="1525"/>
    <x v="251"/>
    <x v="6"/>
    <x v="251"/>
    <x v="5"/>
    <x v="2"/>
    <x v="0"/>
    <x v="310"/>
    <x v="12"/>
    <x v="6"/>
    <s v="MEDIA"/>
    <s v="MEDIA"/>
    <n v="64"/>
    <s v="cumple"/>
    <x v="11"/>
    <x v="1"/>
    <x v="1525"/>
    <n v="696"/>
    <x v="0"/>
  </r>
  <r>
    <x v="0"/>
    <x v="1"/>
    <x v="1"/>
    <x v="0"/>
    <x v="3"/>
    <x v="1"/>
    <x v="1398"/>
    <x v="861"/>
    <x v="1526"/>
    <x v="251"/>
    <x v="3"/>
    <x v="251"/>
    <x v="12"/>
    <x v="15"/>
    <x v="0"/>
    <x v="310"/>
    <x v="12"/>
    <x v="6"/>
    <s v="MEDIA"/>
    <s v="MEDIA"/>
    <n v="64"/>
    <s v="cumple"/>
    <x v="11"/>
    <x v="1"/>
    <x v="1526"/>
    <n v="1044"/>
    <x v="0"/>
  </r>
  <r>
    <x v="0"/>
    <x v="1"/>
    <x v="1"/>
    <x v="0"/>
    <x v="3"/>
    <x v="5"/>
    <x v="1399"/>
    <x v="862"/>
    <x v="1527"/>
    <x v="251"/>
    <x v="7"/>
    <x v="251"/>
    <x v="2"/>
    <x v="2"/>
    <x v="0"/>
    <x v="310"/>
    <x v="12"/>
    <x v="6"/>
    <s v="MEDIA"/>
    <s v="MEDIA"/>
    <n v="64"/>
    <s v="cumple"/>
    <x v="11"/>
    <x v="1"/>
    <x v="1527"/>
    <n v="696"/>
    <x v="0"/>
  </r>
  <r>
    <x v="0"/>
    <x v="3"/>
    <x v="1"/>
    <x v="0"/>
    <x v="3"/>
    <x v="7"/>
    <x v="1400"/>
    <x v="1457"/>
    <x v="2428"/>
    <x v="251"/>
    <x v="2"/>
    <x v="251"/>
    <x v="21"/>
    <x v="15"/>
    <x v="0"/>
    <x v="310"/>
    <x v="12"/>
    <x v="6"/>
    <s v="MEDIA"/>
    <s v="MEDIA"/>
    <n v="64"/>
    <s v="cumple"/>
    <x v="11"/>
    <x v="1"/>
    <x v="2428"/>
    <n v="1044"/>
    <x v="0"/>
  </r>
  <r>
    <x v="0"/>
    <x v="0"/>
    <x v="1"/>
    <x v="0"/>
    <x v="3"/>
    <x v="2"/>
    <x v="1401"/>
    <x v="1458"/>
    <x v="2429"/>
    <x v="251"/>
    <x v="16"/>
    <x v="251"/>
    <x v="11"/>
    <x v="15"/>
    <x v="0"/>
    <x v="310"/>
    <x v="12"/>
    <x v="6"/>
    <s v="MEDIA"/>
    <s v="MEDIA"/>
    <n v="64"/>
    <s v="cumple"/>
    <x v="11"/>
    <x v="1"/>
    <x v="2429"/>
    <n v="1044"/>
    <x v="0"/>
  </r>
  <r>
    <x v="0"/>
    <x v="1"/>
    <x v="1"/>
    <x v="0"/>
    <x v="3"/>
    <x v="1"/>
    <x v="1402"/>
    <x v="1459"/>
    <x v="2430"/>
    <x v="252"/>
    <x v="0"/>
    <x v="252"/>
    <x v="16"/>
    <x v="15"/>
    <x v="0"/>
    <x v="310"/>
    <x v="12"/>
    <x v="6"/>
    <s v="MEDIA"/>
    <s v="MEDIA"/>
    <n v="64"/>
    <s v="cumple"/>
    <x v="11"/>
    <x v="1"/>
    <x v="2430"/>
    <n v="1044"/>
    <x v="0"/>
  </r>
  <r>
    <x v="0"/>
    <x v="1"/>
    <x v="1"/>
    <x v="0"/>
    <x v="3"/>
    <x v="1"/>
    <x v="1403"/>
    <x v="866"/>
    <x v="1531"/>
    <x v="252"/>
    <x v="13"/>
    <x v="252"/>
    <x v="4"/>
    <x v="15"/>
    <x v="0"/>
    <x v="310"/>
    <x v="12"/>
    <x v="6"/>
    <s v="MEDIA"/>
    <s v="MEDIA"/>
    <n v="64"/>
    <s v="cumple"/>
    <x v="11"/>
    <x v="1"/>
    <x v="1531"/>
    <n v="1044"/>
    <x v="0"/>
  </r>
  <r>
    <x v="0"/>
    <x v="1"/>
    <x v="1"/>
    <x v="0"/>
    <x v="3"/>
    <x v="1"/>
    <x v="1404"/>
    <x v="867"/>
    <x v="1532"/>
    <x v="252"/>
    <x v="6"/>
    <x v="252"/>
    <x v="5"/>
    <x v="2"/>
    <x v="0"/>
    <x v="310"/>
    <x v="12"/>
    <x v="6"/>
    <s v="MEDIA"/>
    <s v="MEDIA"/>
    <n v="64"/>
    <s v="cumple"/>
    <x v="11"/>
    <x v="1"/>
    <x v="1532"/>
    <n v="696"/>
    <x v="0"/>
  </r>
  <r>
    <x v="0"/>
    <x v="1"/>
    <x v="1"/>
    <x v="0"/>
    <x v="3"/>
    <x v="1"/>
    <x v="1405"/>
    <x v="868"/>
    <x v="1533"/>
    <x v="252"/>
    <x v="3"/>
    <x v="252"/>
    <x v="12"/>
    <x v="15"/>
    <x v="0"/>
    <x v="310"/>
    <x v="12"/>
    <x v="6"/>
    <s v="MEDIA"/>
    <s v="MEDIA"/>
    <n v="64"/>
    <s v="cumple"/>
    <x v="11"/>
    <x v="1"/>
    <x v="1533"/>
    <n v="1044"/>
    <x v="0"/>
  </r>
  <r>
    <x v="0"/>
    <x v="1"/>
    <x v="1"/>
    <x v="0"/>
    <x v="3"/>
    <x v="5"/>
    <x v="1406"/>
    <x v="869"/>
    <x v="1534"/>
    <x v="252"/>
    <x v="7"/>
    <x v="252"/>
    <x v="18"/>
    <x v="19"/>
    <x v="1"/>
    <x v="310"/>
    <x v="12"/>
    <x v="6"/>
    <s v="MEDIA"/>
    <s v="MEDIA"/>
    <n v="64"/>
    <s v="cumple"/>
    <x v="11"/>
    <x v="1"/>
    <x v="1534"/>
    <n v="348"/>
    <x v="0"/>
  </r>
  <r>
    <x v="0"/>
    <x v="1"/>
    <x v="1"/>
    <x v="0"/>
    <x v="3"/>
    <x v="7"/>
    <x v="1407"/>
    <x v="1460"/>
    <x v="2431"/>
    <x v="252"/>
    <x v="15"/>
    <x v="252"/>
    <x v="2"/>
    <x v="19"/>
    <x v="0"/>
    <x v="310"/>
    <x v="12"/>
    <x v="6"/>
    <s v="MEDIA"/>
    <s v="MEDIA"/>
    <n v="64"/>
    <s v="cumple"/>
    <x v="11"/>
    <x v="1"/>
    <x v="2431"/>
    <n v="348"/>
    <x v="0"/>
  </r>
  <r>
    <x v="0"/>
    <x v="0"/>
    <x v="1"/>
    <x v="0"/>
    <x v="3"/>
    <x v="2"/>
    <x v="1408"/>
    <x v="1461"/>
    <x v="2432"/>
    <x v="252"/>
    <x v="2"/>
    <x v="252"/>
    <x v="0"/>
    <x v="4"/>
    <x v="0"/>
    <x v="310"/>
    <x v="12"/>
    <x v="6"/>
    <s v="MEDIA"/>
    <s v="MEDIA"/>
    <n v="64"/>
    <s v="cumple"/>
    <x v="11"/>
    <x v="1"/>
    <x v="2432"/>
    <n v="1392"/>
    <x v="0"/>
  </r>
  <r>
    <x v="0"/>
    <x v="1"/>
    <x v="1"/>
    <x v="0"/>
    <x v="3"/>
    <x v="1"/>
    <x v="1409"/>
    <x v="1462"/>
    <x v="2433"/>
    <x v="253"/>
    <x v="0"/>
    <x v="253"/>
    <x v="16"/>
    <x v="15"/>
    <x v="0"/>
    <x v="310"/>
    <x v="12"/>
    <x v="6"/>
    <s v="MEDIA"/>
    <s v="MEDIA"/>
    <n v="64"/>
    <s v="cumple"/>
    <x v="11"/>
    <x v="1"/>
    <x v="2433"/>
    <n v="1044"/>
    <x v="0"/>
  </r>
  <r>
    <x v="0"/>
    <x v="1"/>
    <x v="1"/>
    <x v="0"/>
    <x v="3"/>
    <x v="1"/>
    <x v="1410"/>
    <x v="873"/>
    <x v="1538"/>
    <x v="253"/>
    <x v="13"/>
    <x v="253"/>
    <x v="4"/>
    <x v="15"/>
    <x v="0"/>
    <x v="310"/>
    <x v="12"/>
    <x v="6"/>
    <s v="MEDIA"/>
    <s v="MEDIA"/>
    <n v="64"/>
    <s v="cumple"/>
    <x v="11"/>
    <x v="1"/>
    <x v="1538"/>
    <n v="1044"/>
    <x v="0"/>
  </r>
  <r>
    <x v="0"/>
    <x v="1"/>
    <x v="1"/>
    <x v="0"/>
    <x v="3"/>
    <x v="1"/>
    <x v="1411"/>
    <x v="874"/>
    <x v="1467"/>
    <x v="253"/>
    <x v="6"/>
    <x v="253"/>
    <x v="5"/>
    <x v="2"/>
    <x v="0"/>
    <x v="310"/>
    <x v="12"/>
    <x v="6"/>
    <s v="MEDIA"/>
    <s v="MEDIA"/>
    <n v="64"/>
    <s v="cumple"/>
    <x v="11"/>
    <x v="1"/>
    <x v="1467"/>
    <n v="696"/>
    <x v="0"/>
  </r>
  <r>
    <x v="0"/>
    <x v="1"/>
    <x v="1"/>
    <x v="0"/>
    <x v="3"/>
    <x v="1"/>
    <x v="1412"/>
    <x v="799"/>
    <x v="1468"/>
    <x v="253"/>
    <x v="3"/>
    <x v="253"/>
    <x v="12"/>
    <x v="15"/>
    <x v="0"/>
    <x v="310"/>
    <x v="12"/>
    <x v="6"/>
    <s v="MEDIA"/>
    <s v="MEDIA"/>
    <n v="64"/>
    <s v="cumple"/>
    <x v="11"/>
    <x v="1"/>
    <x v="1468"/>
    <n v="1044"/>
    <x v="0"/>
  </r>
  <r>
    <x v="0"/>
    <x v="1"/>
    <x v="1"/>
    <x v="0"/>
    <x v="3"/>
    <x v="5"/>
    <x v="1413"/>
    <x v="875"/>
    <x v="1469"/>
    <x v="253"/>
    <x v="7"/>
    <x v="253"/>
    <x v="18"/>
    <x v="19"/>
    <x v="0"/>
    <x v="310"/>
    <x v="12"/>
    <x v="6"/>
    <s v="MEDIA"/>
    <s v="MEDIA"/>
    <n v="64"/>
    <s v="cumple"/>
    <x v="11"/>
    <x v="1"/>
    <x v="1469"/>
    <n v="348"/>
    <x v="0"/>
  </r>
  <r>
    <x v="0"/>
    <x v="3"/>
    <x v="1"/>
    <x v="0"/>
    <x v="3"/>
    <x v="7"/>
    <x v="1414"/>
    <x v="1463"/>
    <x v="2434"/>
    <x v="253"/>
    <x v="15"/>
    <x v="253"/>
    <x v="2"/>
    <x v="19"/>
    <x v="0"/>
    <x v="310"/>
    <x v="12"/>
    <x v="6"/>
    <s v="MEDIA"/>
    <s v="MEDIA"/>
    <n v="64"/>
    <s v="cumple"/>
    <x v="11"/>
    <x v="1"/>
    <x v="2434"/>
    <n v="348"/>
    <x v="0"/>
  </r>
  <r>
    <x v="0"/>
    <x v="0"/>
    <x v="1"/>
    <x v="0"/>
    <x v="3"/>
    <x v="2"/>
    <x v="1415"/>
    <x v="1464"/>
    <x v="2435"/>
    <x v="253"/>
    <x v="2"/>
    <x v="253"/>
    <x v="11"/>
    <x v="5"/>
    <x v="0"/>
    <x v="310"/>
    <x v="12"/>
    <x v="6"/>
    <s v="MEDIA"/>
    <s v="MEDIA"/>
    <n v="64"/>
    <s v="cumple"/>
    <x v="11"/>
    <x v="1"/>
    <x v="2435"/>
    <n v="2088"/>
    <x v="0"/>
  </r>
  <r>
    <x v="0"/>
    <x v="1"/>
    <x v="1"/>
    <x v="0"/>
    <x v="3"/>
    <x v="1"/>
    <x v="1416"/>
    <x v="1465"/>
    <x v="2436"/>
    <x v="254"/>
    <x v="0"/>
    <x v="254"/>
    <x v="16"/>
    <x v="15"/>
    <x v="0"/>
    <x v="310"/>
    <x v="12"/>
    <x v="6"/>
    <s v="MEDIA"/>
    <s v="MEDIA"/>
    <n v="64"/>
    <s v="cumple"/>
    <x v="11"/>
    <x v="1"/>
    <x v="2436"/>
    <n v="1044"/>
    <x v="0"/>
  </r>
  <r>
    <x v="0"/>
    <x v="1"/>
    <x v="1"/>
    <x v="0"/>
    <x v="3"/>
    <x v="1"/>
    <x v="1417"/>
    <x v="879"/>
    <x v="1542"/>
    <x v="254"/>
    <x v="13"/>
    <x v="254"/>
    <x v="4"/>
    <x v="15"/>
    <x v="0"/>
    <x v="310"/>
    <x v="12"/>
    <x v="6"/>
    <s v="MEDIA"/>
    <s v="MEDIA"/>
    <n v="64"/>
    <s v="cumple"/>
    <x v="11"/>
    <x v="1"/>
    <x v="1542"/>
    <n v="1044"/>
    <x v="0"/>
  </r>
  <r>
    <x v="0"/>
    <x v="1"/>
    <x v="1"/>
    <x v="0"/>
    <x v="3"/>
    <x v="1"/>
    <x v="1418"/>
    <x v="805"/>
    <x v="1474"/>
    <x v="254"/>
    <x v="6"/>
    <x v="254"/>
    <x v="5"/>
    <x v="2"/>
    <x v="0"/>
    <x v="310"/>
    <x v="12"/>
    <x v="6"/>
    <s v="MEDIA"/>
    <s v="MEDIA"/>
    <n v="64"/>
    <s v="cumple"/>
    <x v="11"/>
    <x v="1"/>
    <x v="1474"/>
    <n v="696"/>
    <x v="0"/>
  </r>
  <r>
    <x v="0"/>
    <x v="1"/>
    <x v="1"/>
    <x v="0"/>
    <x v="3"/>
    <x v="1"/>
    <x v="1419"/>
    <x v="806"/>
    <x v="1475"/>
    <x v="254"/>
    <x v="3"/>
    <x v="254"/>
    <x v="12"/>
    <x v="15"/>
    <x v="0"/>
    <x v="310"/>
    <x v="12"/>
    <x v="6"/>
    <s v="MEDIA"/>
    <s v="MEDIA"/>
    <n v="64"/>
    <s v="cumple"/>
    <x v="11"/>
    <x v="1"/>
    <x v="1475"/>
    <n v="1044"/>
    <x v="0"/>
  </r>
  <r>
    <x v="0"/>
    <x v="1"/>
    <x v="1"/>
    <x v="0"/>
    <x v="3"/>
    <x v="5"/>
    <x v="1420"/>
    <x v="880"/>
    <x v="1476"/>
    <x v="254"/>
    <x v="7"/>
    <x v="254"/>
    <x v="18"/>
    <x v="19"/>
    <x v="0"/>
    <x v="310"/>
    <x v="12"/>
    <x v="6"/>
    <s v="MEDIA"/>
    <s v="MEDIA"/>
    <n v="64"/>
    <s v="cumple"/>
    <x v="11"/>
    <x v="1"/>
    <x v="1476"/>
    <n v="348"/>
    <x v="0"/>
  </r>
  <r>
    <x v="0"/>
    <x v="3"/>
    <x v="1"/>
    <x v="0"/>
    <x v="3"/>
    <x v="7"/>
    <x v="1421"/>
    <x v="1466"/>
    <x v="2437"/>
    <x v="254"/>
    <x v="15"/>
    <x v="254"/>
    <x v="2"/>
    <x v="19"/>
    <x v="0"/>
    <x v="310"/>
    <x v="12"/>
    <x v="6"/>
    <s v="MEDIA"/>
    <s v="MEDIA"/>
    <n v="64"/>
    <s v="cumple"/>
    <x v="11"/>
    <x v="1"/>
    <x v="2437"/>
    <n v="348"/>
    <x v="0"/>
  </r>
  <r>
    <x v="0"/>
    <x v="0"/>
    <x v="1"/>
    <x v="0"/>
    <x v="3"/>
    <x v="2"/>
    <x v="1422"/>
    <x v="1467"/>
    <x v="2438"/>
    <x v="254"/>
    <x v="2"/>
    <x v="254"/>
    <x v="20"/>
    <x v="13"/>
    <x v="0"/>
    <x v="310"/>
    <x v="12"/>
    <x v="6"/>
    <s v="MEDIA"/>
    <s v="MEDIA"/>
    <n v="64"/>
    <s v="cumple"/>
    <x v="11"/>
    <x v="1"/>
    <x v="2438"/>
    <n v="2436"/>
    <x v="0"/>
  </r>
  <r>
    <x v="0"/>
    <x v="1"/>
    <x v="1"/>
    <x v="0"/>
    <x v="3"/>
    <x v="1"/>
    <x v="1423"/>
    <x v="1468"/>
    <x v="2439"/>
    <x v="255"/>
    <x v="0"/>
    <x v="255"/>
    <x v="16"/>
    <x v="15"/>
    <x v="0"/>
    <x v="310"/>
    <x v="12"/>
    <x v="6"/>
    <s v="MEDIA"/>
    <s v="MEDIA"/>
    <n v="64"/>
    <s v="cumple"/>
    <x v="11"/>
    <x v="1"/>
    <x v="2439"/>
    <n v="1044"/>
    <x v="0"/>
  </r>
  <r>
    <x v="0"/>
    <x v="1"/>
    <x v="1"/>
    <x v="0"/>
    <x v="3"/>
    <x v="1"/>
    <x v="1424"/>
    <x v="884"/>
    <x v="1546"/>
    <x v="255"/>
    <x v="13"/>
    <x v="255"/>
    <x v="4"/>
    <x v="15"/>
    <x v="0"/>
    <x v="310"/>
    <x v="12"/>
    <x v="6"/>
    <s v="MEDIA"/>
    <s v="MEDIA"/>
    <n v="64"/>
    <s v="cumple"/>
    <x v="11"/>
    <x v="1"/>
    <x v="1546"/>
    <n v="1044"/>
    <x v="0"/>
  </r>
  <r>
    <x v="0"/>
    <x v="1"/>
    <x v="1"/>
    <x v="0"/>
    <x v="3"/>
    <x v="1"/>
    <x v="1425"/>
    <x v="812"/>
    <x v="1481"/>
    <x v="255"/>
    <x v="6"/>
    <x v="255"/>
    <x v="14"/>
    <x v="15"/>
    <x v="0"/>
    <x v="310"/>
    <x v="12"/>
    <x v="6"/>
    <s v="MEDIA"/>
    <s v="MEDIA"/>
    <n v="64"/>
    <s v="cumple"/>
    <x v="11"/>
    <x v="1"/>
    <x v="1481"/>
    <n v="1044"/>
    <x v="0"/>
  </r>
  <r>
    <x v="0"/>
    <x v="1"/>
    <x v="1"/>
    <x v="0"/>
    <x v="3"/>
    <x v="1"/>
    <x v="1426"/>
    <x v="813"/>
    <x v="1482"/>
    <x v="255"/>
    <x v="11"/>
    <x v="255"/>
    <x v="12"/>
    <x v="2"/>
    <x v="0"/>
    <x v="310"/>
    <x v="12"/>
    <x v="6"/>
    <s v="MEDIA"/>
    <s v="MEDIA"/>
    <n v="64"/>
    <s v="cumple"/>
    <x v="11"/>
    <x v="1"/>
    <x v="1482"/>
    <n v="696"/>
    <x v="0"/>
  </r>
  <r>
    <x v="0"/>
    <x v="1"/>
    <x v="1"/>
    <x v="0"/>
    <x v="3"/>
    <x v="5"/>
    <x v="1427"/>
    <x v="885"/>
    <x v="1483"/>
    <x v="255"/>
    <x v="21"/>
    <x v="255"/>
    <x v="1"/>
    <x v="15"/>
    <x v="0"/>
    <x v="310"/>
    <x v="12"/>
    <x v="6"/>
    <s v="MEDIA"/>
    <s v="MEDIA"/>
    <n v="64"/>
    <s v="cumple"/>
    <x v="11"/>
    <x v="1"/>
    <x v="1483"/>
    <n v="1044"/>
    <x v="0"/>
  </r>
  <r>
    <x v="0"/>
    <x v="3"/>
    <x v="1"/>
    <x v="0"/>
    <x v="3"/>
    <x v="7"/>
    <x v="1428"/>
    <x v="1469"/>
    <x v="2440"/>
    <x v="255"/>
    <x v="1"/>
    <x v="255"/>
    <x v="11"/>
    <x v="4"/>
    <x v="0"/>
    <x v="310"/>
    <x v="12"/>
    <x v="6"/>
    <s v="MEDIA"/>
    <s v="MEDIA"/>
    <n v="64"/>
    <s v="cumple"/>
    <x v="11"/>
    <x v="1"/>
    <x v="2440"/>
    <n v="1392"/>
    <x v="0"/>
  </r>
  <r>
    <x v="0"/>
    <x v="0"/>
    <x v="1"/>
    <x v="0"/>
    <x v="3"/>
    <x v="2"/>
    <x v="1429"/>
    <x v="1470"/>
    <x v="2441"/>
    <x v="256"/>
    <x v="0"/>
    <x v="256"/>
    <x v="16"/>
    <x v="15"/>
    <x v="0"/>
    <x v="310"/>
    <x v="12"/>
    <x v="6"/>
    <s v="MEDIA"/>
    <s v="MEDIA"/>
    <n v="64"/>
    <s v="cumple"/>
    <x v="11"/>
    <x v="1"/>
    <x v="2441"/>
    <n v="1044"/>
    <x v="0"/>
  </r>
  <r>
    <x v="0"/>
    <x v="1"/>
    <x v="1"/>
    <x v="0"/>
    <x v="3"/>
    <x v="1"/>
    <x v="1430"/>
    <x v="888"/>
    <x v="1549"/>
    <x v="256"/>
    <x v="13"/>
    <x v="256"/>
    <x v="4"/>
    <x v="15"/>
    <x v="0"/>
    <x v="310"/>
    <x v="12"/>
    <x v="6"/>
    <s v="MEDIA"/>
    <s v="MEDIA"/>
    <n v="64"/>
    <s v="cumple"/>
    <x v="11"/>
    <x v="1"/>
    <x v="1549"/>
    <n v="1044"/>
    <x v="0"/>
  </r>
  <r>
    <x v="0"/>
    <x v="1"/>
    <x v="1"/>
    <x v="0"/>
    <x v="3"/>
    <x v="1"/>
    <x v="1431"/>
    <x v="889"/>
    <x v="1550"/>
    <x v="256"/>
    <x v="6"/>
    <x v="256"/>
    <x v="14"/>
    <x v="15"/>
    <x v="0"/>
    <x v="310"/>
    <x v="12"/>
    <x v="6"/>
    <s v="MEDIA"/>
    <s v="MEDIA"/>
    <n v="64"/>
    <s v="cumple"/>
    <x v="11"/>
    <x v="1"/>
    <x v="1550"/>
    <n v="1044"/>
    <x v="0"/>
  </r>
  <r>
    <x v="0"/>
    <x v="1"/>
    <x v="1"/>
    <x v="0"/>
    <x v="3"/>
    <x v="1"/>
    <x v="1432"/>
    <x v="890"/>
    <x v="1551"/>
    <x v="256"/>
    <x v="11"/>
    <x v="256"/>
    <x v="12"/>
    <x v="2"/>
    <x v="0"/>
    <x v="310"/>
    <x v="12"/>
    <x v="6"/>
    <s v="MEDIA"/>
    <s v="MEDIA"/>
    <n v="64"/>
    <s v="cumple"/>
    <x v="11"/>
    <x v="1"/>
    <x v="1551"/>
    <n v="696"/>
    <x v="0"/>
  </r>
  <r>
    <x v="0"/>
    <x v="1"/>
    <x v="1"/>
    <x v="0"/>
    <x v="3"/>
    <x v="1"/>
    <x v="1433"/>
    <x v="891"/>
    <x v="1552"/>
    <x v="256"/>
    <x v="7"/>
    <x v="256"/>
    <x v="2"/>
    <x v="2"/>
    <x v="0"/>
    <x v="310"/>
    <x v="12"/>
    <x v="6"/>
    <s v="MEDIA"/>
    <s v="MEDIA"/>
    <n v="64"/>
    <s v="cumple"/>
    <x v="11"/>
    <x v="1"/>
    <x v="1552"/>
    <n v="696"/>
    <x v="0"/>
  </r>
  <r>
    <x v="0"/>
    <x v="1"/>
    <x v="1"/>
    <x v="0"/>
    <x v="3"/>
    <x v="5"/>
    <x v="1434"/>
    <x v="892"/>
    <x v="1553"/>
    <x v="256"/>
    <x v="2"/>
    <x v="256"/>
    <x v="22"/>
    <x v="12"/>
    <x v="0"/>
    <x v="310"/>
    <x v="12"/>
    <x v="6"/>
    <s v="MEDIA"/>
    <s v="MEDIA"/>
    <n v="64"/>
    <s v="cumple"/>
    <x v="11"/>
    <x v="1"/>
    <x v="1553"/>
    <n v="1739.9999999999998"/>
    <x v="0"/>
  </r>
  <r>
    <x v="0"/>
    <x v="3"/>
    <x v="1"/>
    <x v="0"/>
    <x v="3"/>
    <x v="7"/>
    <x v="1435"/>
    <x v="1471"/>
    <x v="2442"/>
    <x v="257"/>
    <x v="0"/>
    <x v="257"/>
    <x v="8"/>
    <x v="2"/>
    <x v="0"/>
    <x v="310"/>
    <x v="12"/>
    <x v="6"/>
    <s v="MEDIA"/>
    <s v="MEDIA"/>
    <n v="64"/>
    <s v="cumple"/>
    <x v="11"/>
    <x v="1"/>
    <x v="2442"/>
    <n v="696"/>
    <x v="0"/>
  </r>
  <r>
    <x v="0"/>
    <x v="0"/>
    <x v="1"/>
    <x v="0"/>
    <x v="3"/>
    <x v="2"/>
    <x v="1436"/>
    <x v="1472"/>
    <x v="2443"/>
    <x v="257"/>
    <x v="8"/>
    <x v="257"/>
    <x v="15"/>
    <x v="15"/>
    <x v="0"/>
    <x v="310"/>
    <x v="12"/>
    <x v="6"/>
    <s v="MEDIA"/>
    <s v="MEDIA"/>
    <n v="64"/>
    <s v="cumple"/>
    <x v="11"/>
    <x v="1"/>
    <x v="2443"/>
    <n v="1044"/>
    <x v="0"/>
  </r>
  <r>
    <x v="0"/>
    <x v="1"/>
    <x v="1"/>
    <x v="0"/>
    <x v="3"/>
    <x v="1"/>
    <x v="1437"/>
    <x v="1473"/>
    <x v="2444"/>
    <x v="257"/>
    <x v="12"/>
    <x v="257"/>
    <x v="5"/>
    <x v="15"/>
    <x v="0"/>
    <x v="310"/>
    <x v="12"/>
    <x v="6"/>
    <s v="MEDIA"/>
    <s v="MEDIA"/>
    <n v="64"/>
    <s v="cumple"/>
    <x v="11"/>
    <x v="1"/>
    <x v="2444"/>
    <n v="1044"/>
    <x v="0"/>
  </r>
  <r>
    <x v="0"/>
    <x v="1"/>
    <x v="1"/>
    <x v="0"/>
    <x v="3"/>
    <x v="1"/>
    <x v="1438"/>
    <x v="1474"/>
    <x v="2445"/>
    <x v="257"/>
    <x v="3"/>
    <x v="257"/>
    <x v="12"/>
    <x v="15"/>
    <x v="0"/>
    <x v="310"/>
    <x v="12"/>
    <x v="6"/>
    <s v="MEDIA"/>
    <s v="MEDIA"/>
    <n v="64"/>
    <s v="cumple"/>
    <x v="11"/>
    <x v="1"/>
    <x v="2445"/>
    <n v="1044"/>
    <x v="0"/>
  </r>
  <r>
    <x v="0"/>
    <x v="1"/>
    <x v="1"/>
    <x v="0"/>
    <x v="3"/>
    <x v="1"/>
    <x v="1439"/>
    <x v="1475"/>
    <x v="2446"/>
    <x v="257"/>
    <x v="7"/>
    <x v="257"/>
    <x v="2"/>
    <x v="2"/>
    <x v="0"/>
    <x v="310"/>
    <x v="12"/>
    <x v="6"/>
    <s v="MEDIA"/>
    <s v="MEDIA"/>
    <n v="64"/>
    <s v="cumple"/>
    <x v="11"/>
    <x v="1"/>
    <x v="2446"/>
    <n v="696"/>
    <x v="0"/>
  </r>
  <r>
    <x v="0"/>
    <x v="1"/>
    <x v="1"/>
    <x v="0"/>
    <x v="3"/>
    <x v="1"/>
    <x v="1440"/>
    <x v="1476"/>
    <x v="2447"/>
    <x v="257"/>
    <x v="2"/>
    <x v="257"/>
    <x v="0"/>
    <x v="4"/>
    <x v="0"/>
    <x v="310"/>
    <x v="12"/>
    <x v="6"/>
    <s v="MEDIA"/>
    <s v="MEDIA"/>
    <n v="64"/>
    <s v="cumple"/>
    <x v="11"/>
    <x v="1"/>
    <x v="2447"/>
    <n v="1392"/>
    <x v="0"/>
  </r>
  <r>
    <x v="0"/>
    <x v="1"/>
    <x v="1"/>
    <x v="0"/>
    <x v="3"/>
    <x v="5"/>
    <x v="1441"/>
    <x v="1477"/>
    <x v="2448"/>
    <x v="258"/>
    <x v="0"/>
    <x v="258"/>
    <x v="16"/>
    <x v="15"/>
    <x v="0"/>
    <x v="310"/>
    <x v="12"/>
    <x v="6"/>
    <s v="MEDIA"/>
    <s v="MEDIA"/>
    <n v="64"/>
    <s v="cumple"/>
    <x v="11"/>
    <x v="1"/>
    <x v="2448"/>
    <n v="1044"/>
    <x v="0"/>
  </r>
  <r>
    <x v="0"/>
    <x v="3"/>
    <x v="1"/>
    <x v="0"/>
    <x v="3"/>
    <x v="7"/>
    <x v="1442"/>
    <x v="1478"/>
    <x v="2449"/>
    <x v="258"/>
    <x v="13"/>
    <x v="258"/>
    <x v="15"/>
    <x v="2"/>
    <x v="0"/>
    <x v="310"/>
    <x v="12"/>
    <x v="6"/>
    <s v="MEDIA"/>
    <s v="MEDIA"/>
    <n v="64"/>
    <s v="cumple"/>
    <x v="11"/>
    <x v="1"/>
    <x v="2449"/>
    <n v="696"/>
    <x v="0"/>
  </r>
  <r>
    <x v="0"/>
    <x v="0"/>
    <x v="1"/>
    <x v="0"/>
    <x v="3"/>
    <x v="2"/>
    <x v="1443"/>
    <x v="1479"/>
    <x v="2450"/>
    <x v="258"/>
    <x v="12"/>
    <x v="258"/>
    <x v="5"/>
    <x v="15"/>
    <x v="0"/>
    <x v="310"/>
    <x v="12"/>
    <x v="6"/>
    <s v="MEDIA"/>
    <s v="MEDIA"/>
    <n v="64"/>
    <s v="cumple"/>
    <x v="11"/>
    <x v="1"/>
    <x v="2450"/>
    <n v="1044"/>
    <x v="0"/>
  </r>
  <r>
    <x v="0"/>
    <x v="1"/>
    <x v="1"/>
    <x v="0"/>
    <x v="3"/>
    <x v="1"/>
    <x v="1444"/>
    <x v="1480"/>
    <x v="2451"/>
    <x v="258"/>
    <x v="3"/>
    <x v="258"/>
    <x v="12"/>
    <x v="4"/>
    <x v="0"/>
    <x v="310"/>
    <x v="12"/>
    <x v="6"/>
    <s v="MEDIA"/>
    <s v="MEDIA"/>
    <n v="64"/>
    <s v="cumple"/>
    <x v="11"/>
    <x v="1"/>
    <x v="2451"/>
    <n v="1392"/>
    <x v="0"/>
  </r>
  <r>
    <x v="0"/>
    <x v="1"/>
    <x v="1"/>
    <x v="0"/>
    <x v="3"/>
    <x v="1"/>
    <x v="1445"/>
    <x v="1481"/>
    <x v="2452"/>
    <x v="258"/>
    <x v="7"/>
    <x v="258"/>
    <x v="17"/>
    <x v="15"/>
    <x v="0"/>
    <x v="310"/>
    <x v="12"/>
    <x v="6"/>
    <s v="MEDIA"/>
    <s v="MEDIA"/>
    <n v="64"/>
    <s v="cumple"/>
    <x v="11"/>
    <x v="1"/>
    <x v="2452"/>
    <n v="1044"/>
    <x v="0"/>
  </r>
  <r>
    <x v="0"/>
    <x v="1"/>
    <x v="1"/>
    <x v="0"/>
    <x v="3"/>
    <x v="1"/>
    <x v="1446"/>
    <x v="819"/>
    <x v="1488"/>
    <x v="258"/>
    <x v="14"/>
    <x v="258"/>
    <x v="0"/>
    <x v="15"/>
    <x v="0"/>
    <x v="310"/>
    <x v="12"/>
    <x v="6"/>
    <s v="MEDIA"/>
    <s v="MEDIA"/>
    <n v="64"/>
    <s v="cumple"/>
    <x v="11"/>
    <x v="1"/>
    <x v="1488"/>
    <n v="1044"/>
    <x v="0"/>
  </r>
  <r>
    <x v="0"/>
    <x v="1"/>
    <x v="1"/>
    <x v="0"/>
    <x v="3"/>
    <x v="1"/>
    <x v="1447"/>
    <x v="820"/>
    <x v="1489"/>
    <x v="259"/>
    <x v="0"/>
    <x v="259"/>
    <x v="16"/>
    <x v="15"/>
    <x v="0"/>
    <x v="310"/>
    <x v="12"/>
    <x v="6"/>
    <s v="MEDIA"/>
    <s v="MEDIA"/>
    <n v="64"/>
    <s v="cumple"/>
    <x v="11"/>
    <x v="1"/>
    <x v="1489"/>
    <n v="1044"/>
    <x v="0"/>
  </r>
  <r>
    <x v="0"/>
    <x v="1"/>
    <x v="1"/>
    <x v="0"/>
    <x v="3"/>
    <x v="5"/>
    <x v="1448"/>
    <x v="821"/>
    <x v="1490"/>
    <x v="259"/>
    <x v="13"/>
    <x v="259"/>
    <x v="4"/>
    <x v="15"/>
    <x v="0"/>
    <x v="310"/>
    <x v="12"/>
    <x v="6"/>
    <s v="MEDIA"/>
    <s v="MEDIA"/>
    <n v="64"/>
    <s v="cumple"/>
    <x v="11"/>
    <x v="1"/>
    <x v="1490"/>
    <n v="1044"/>
    <x v="0"/>
  </r>
  <r>
    <x v="0"/>
    <x v="3"/>
    <x v="1"/>
    <x v="0"/>
    <x v="3"/>
    <x v="7"/>
    <x v="1449"/>
    <x v="1482"/>
    <x v="2453"/>
    <x v="259"/>
    <x v="6"/>
    <x v="259"/>
    <x v="5"/>
    <x v="2"/>
    <x v="0"/>
    <x v="310"/>
    <x v="12"/>
    <x v="6"/>
    <s v="MEDIA"/>
    <s v="MEDIA"/>
    <n v="64"/>
    <s v="cumple"/>
    <x v="11"/>
    <x v="1"/>
    <x v="2453"/>
    <n v="696"/>
    <x v="0"/>
  </r>
  <r>
    <x v="0"/>
    <x v="0"/>
    <x v="1"/>
    <x v="0"/>
    <x v="3"/>
    <x v="2"/>
    <x v="1450"/>
    <x v="1483"/>
    <x v="2454"/>
    <x v="259"/>
    <x v="3"/>
    <x v="259"/>
    <x v="12"/>
    <x v="15"/>
    <x v="0"/>
    <x v="310"/>
    <x v="12"/>
    <x v="6"/>
    <s v="MEDIA"/>
    <s v="MEDIA"/>
    <n v="64"/>
    <s v="cumple"/>
    <x v="11"/>
    <x v="1"/>
    <x v="2454"/>
    <n v="1044"/>
    <x v="0"/>
  </r>
  <r>
    <x v="0"/>
    <x v="1"/>
    <x v="1"/>
    <x v="0"/>
    <x v="3"/>
    <x v="1"/>
    <x v="1451"/>
    <x v="1484"/>
    <x v="2455"/>
    <x v="259"/>
    <x v="7"/>
    <x v="259"/>
    <x v="2"/>
    <x v="2"/>
    <x v="0"/>
    <x v="310"/>
    <x v="12"/>
    <x v="6"/>
    <s v="MEDIA"/>
    <s v="MEDIA"/>
    <n v="64"/>
    <s v="cumple"/>
    <x v="11"/>
    <x v="1"/>
    <x v="2455"/>
    <n v="696"/>
    <x v="0"/>
  </r>
  <r>
    <x v="0"/>
    <x v="1"/>
    <x v="1"/>
    <x v="0"/>
    <x v="3"/>
    <x v="1"/>
    <x v="1452"/>
    <x v="1485"/>
    <x v="2456"/>
    <x v="259"/>
    <x v="2"/>
    <x v="259"/>
    <x v="22"/>
    <x v="12"/>
    <x v="0"/>
    <x v="310"/>
    <x v="12"/>
    <x v="6"/>
    <s v="MEDIA"/>
    <s v="MEDIA"/>
    <n v="64"/>
    <s v="cumple"/>
    <x v="11"/>
    <x v="1"/>
    <x v="2456"/>
    <n v="1739.9999999999998"/>
    <x v="0"/>
  </r>
  <r>
    <x v="0"/>
    <x v="1"/>
    <x v="1"/>
    <x v="0"/>
    <x v="3"/>
    <x v="1"/>
    <x v="1453"/>
    <x v="826"/>
    <x v="1495"/>
    <x v="260"/>
    <x v="0"/>
    <x v="260"/>
    <x v="16"/>
    <x v="15"/>
    <x v="0"/>
    <x v="310"/>
    <x v="12"/>
    <x v="6"/>
    <s v="MEDIA"/>
    <s v="MEDIA"/>
    <n v="64"/>
    <s v="cumple"/>
    <x v="11"/>
    <x v="1"/>
    <x v="1495"/>
    <n v="1044"/>
    <x v="0"/>
  </r>
  <r>
    <x v="0"/>
    <x v="1"/>
    <x v="1"/>
    <x v="0"/>
    <x v="3"/>
    <x v="1"/>
    <x v="1454"/>
    <x v="827"/>
    <x v="1496"/>
    <x v="260"/>
    <x v="13"/>
    <x v="260"/>
    <x v="4"/>
    <x v="15"/>
    <x v="0"/>
    <x v="310"/>
    <x v="12"/>
    <x v="6"/>
    <s v="MEDIA"/>
    <s v="MEDIA"/>
    <n v="64"/>
    <s v="cumple"/>
    <x v="11"/>
    <x v="1"/>
    <x v="1496"/>
    <n v="1044"/>
    <x v="0"/>
  </r>
  <r>
    <x v="0"/>
    <x v="1"/>
    <x v="1"/>
    <x v="0"/>
    <x v="3"/>
    <x v="5"/>
    <x v="1455"/>
    <x v="828"/>
    <x v="1497"/>
    <x v="260"/>
    <x v="6"/>
    <x v="260"/>
    <x v="12"/>
    <x v="15"/>
    <x v="0"/>
    <x v="310"/>
    <x v="12"/>
    <x v="6"/>
    <s v="MEDIA"/>
    <s v="MEDIA"/>
    <n v="64"/>
    <s v="cumple"/>
    <x v="11"/>
    <x v="1"/>
    <x v="1497"/>
    <n v="1044"/>
    <x v="0"/>
  </r>
  <r>
    <x v="0"/>
    <x v="3"/>
    <x v="1"/>
    <x v="0"/>
    <x v="3"/>
    <x v="7"/>
    <x v="1456"/>
    <x v="1486"/>
    <x v="2457"/>
    <x v="260"/>
    <x v="7"/>
    <x v="260"/>
    <x v="18"/>
    <x v="19"/>
    <x v="0"/>
    <x v="310"/>
    <x v="12"/>
    <x v="6"/>
    <s v="MEDIA"/>
    <s v="MEDIA"/>
    <n v="64"/>
    <s v="cumple"/>
    <x v="11"/>
    <x v="1"/>
    <x v="2457"/>
    <n v="348"/>
    <x v="0"/>
  </r>
  <r>
    <x v="0"/>
    <x v="0"/>
    <x v="1"/>
    <x v="0"/>
    <x v="3"/>
    <x v="2"/>
    <x v="1457"/>
    <x v="1487"/>
    <x v="2458"/>
    <x v="260"/>
    <x v="15"/>
    <x v="260"/>
    <x v="17"/>
    <x v="2"/>
    <x v="0"/>
    <x v="310"/>
    <x v="12"/>
    <x v="6"/>
    <s v="MEDIA"/>
    <s v="MEDIA"/>
    <n v="64"/>
    <s v="cumple"/>
    <x v="11"/>
    <x v="1"/>
    <x v="2458"/>
    <n v="696"/>
    <x v="0"/>
  </r>
  <r>
    <x v="0"/>
    <x v="1"/>
    <x v="1"/>
    <x v="0"/>
    <x v="3"/>
    <x v="1"/>
    <x v="1458"/>
    <x v="1488"/>
    <x v="2459"/>
    <x v="260"/>
    <x v="14"/>
    <x v="260"/>
    <x v="0"/>
    <x v="15"/>
    <x v="0"/>
    <x v="310"/>
    <x v="12"/>
    <x v="6"/>
    <s v="MEDIA"/>
    <s v="MEDIA"/>
    <n v="64"/>
    <s v="cumple"/>
    <x v="11"/>
    <x v="1"/>
    <x v="2459"/>
    <n v="1044"/>
    <x v="0"/>
  </r>
  <r>
    <x v="0"/>
    <x v="1"/>
    <x v="1"/>
    <x v="0"/>
    <x v="3"/>
    <x v="1"/>
    <x v="1459"/>
    <x v="1489"/>
    <x v="2460"/>
    <x v="261"/>
    <x v="0"/>
    <x v="261"/>
    <x v="16"/>
    <x v="15"/>
    <x v="0"/>
    <x v="310"/>
    <x v="12"/>
    <x v="6"/>
    <s v="MEDIA"/>
    <s v="MEDIA"/>
    <n v="64"/>
    <s v="cumple"/>
    <x v="11"/>
    <x v="1"/>
    <x v="2460"/>
    <n v="1044"/>
    <x v="0"/>
  </r>
  <r>
    <x v="0"/>
    <x v="1"/>
    <x v="1"/>
    <x v="0"/>
    <x v="3"/>
    <x v="1"/>
    <x v="1460"/>
    <x v="840"/>
    <x v="1509"/>
    <x v="261"/>
    <x v="13"/>
    <x v="261"/>
    <x v="4"/>
    <x v="15"/>
    <x v="0"/>
    <x v="310"/>
    <x v="12"/>
    <x v="6"/>
    <s v="MEDIA"/>
    <s v="MEDIA"/>
    <n v="64"/>
    <s v="cumple"/>
    <x v="11"/>
    <x v="1"/>
    <x v="1509"/>
    <n v="1044"/>
    <x v="0"/>
  </r>
  <r>
    <x v="0"/>
    <x v="1"/>
    <x v="1"/>
    <x v="0"/>
    <x v="3"/>
    <x v="1"/>
    <x v="1461"/>
    <x v="841"/>
    <x v="1510"/>
    <x v="261"/>
    <x v="6"/>
    <x v="261"/>
    <x v="5"/>
    <x v="2"/>
    <x v="0"/>
    <x v="310"/>
    <x v="12"/>
    <x v="6"/>
    <s v="MEDIA"/>
    <s v="MEDIA"/>
    <n v="64"/>
    <s v="cumple"/>
    <x v="11"/>
    <x v="1"/>
    <x v="1510"/>
    <n v="696"/>
    <x v="0"/>
  </r>
  <r>
    <x v="0"/>
    <x v="1"/>
    <x v="1"/>
    <x v="0"/>
    <x v="3"/>
    <x v="5"/>
    <x v="1462"/>
    <x v="842"/>
    <x v="1511"/>
    <x v="261"/>
    <x v="3"/>
    <x v="261"/>
    <x v="12"/>
    <x v="15"/>
    <x v="0"/>
    <x v="310"/>
    <x v="12"/>
    <x v="6"/>
    <s v="MEDIA"/>
    <s v="MEDIA"/>
    <n v="64"/>
    <s v="cumple"/>
    <x v="11"/>
    <x v="1"/>
    <x v="1511"/>
    <n v="1044"/>
    <x v="0"/>
  </r>
  <r>
    <x v="0"/>
    <x v="3"/>
    <x v="1"/>
    <x v="0"/>
    <x v="3"/>
    <x v="7"/>
    <x v="1463"/>
    <x v="1490"/>
    <x v="2461"/>
    <x v="261"/>
    <x v="7"/>
    <x v="261"/>
    <x v="18"/>
    <x v="19"/>
    <x v="0"/>
    <x v="310"/>
    <x v="12"/>
    <x v="6"/>
    <s v="MEDIA"/>
    <s v="MEDIA"/>
    <n v="64"/>
    <s v="cumple"/>
    <x v="11"/>
    <x v="1"/>
    <x v="2461"/>
    <n v="348"/>
    <x v="0"/>
  </r>
  <r>
    <x v="0"/>
    <x v="0"/>
    <x v="1"/>
    <x v="0"/>
    <x v="3"/>
    <x v="2"/>
    <x v="1464"/>
    <x v="1491"/>
    <x v="2462"/>
    <x v="261"/>
    <x v="15"/>
    <x v="261"/>
    <x v="1"/>
    <x v="15"/>
    <x v="0"/>
    <x v="310"/>
    <x v="12"/>
    <x v="6"/>
    <s v="MEDIA"/>
    <s v="MEDIA"/>
    <n v="64"/>
    <s v="cumple"/>
    <x v="11"/>
    <x v="1"/>
    <x v="2462"/>
    <n v="1044"/>
    <x v="0"/>
  </r>
  <r>
    <x v="0"/>
    <x v="1"/>
    <x v="1"/>
    <x v="0"/>
    <x v="3"/>
    <x v="1"/>
    <x v="1465"/>
    <x v="1492"/>
    <x v="2463"/>
    <x v="261"/>
    <x v="1"/>
    <x v="261"/>
    <x v="11"/>
    <x v="4"/>
    <x v="0"/>
    <x v="310"/>
    <x v="12"/>
    <x v="6"/>
    <s v="MEDIA"/>
    <s v="MEDIA"/>
    <n v="64"/>
    <s v="cumple"/>
    <x v="11"/>
    <x v="1"/>
    <x v="2463"/>
    <n v="1392"/>
    <x v="0"/>
  </r>
  <r>
    <x v="0"/>
    <x v="1"/>
    <x v="0"/>
    <x v="0"/>
    <x v="26"/>
    <x v="1"/>
    <x v="1466"/>
    <x v="1181"/>
    <x v="2005"/>
    <x v="242"/>
    <x v="0"/>
    <x v="242"/>
    <x v="23"/>
    <x v="19"/>
    <x v="0"/>
    <x v="281"/>
    <x v="20"/>
    <x v="10"/>
    <s v="MEDIA"/>
    <s v="MEDIA"/>
    <n v="64"/>
    <s v="cumple"/>
    <x v="11"/>
    <x v="0"/>
    <x v="2005"/>
    <n v="348"/>
    <x v="1"/>
  </r>
  <r>
    <x v="0"/>
    <x v="1"/>
    <x v="0"/>
    <x v="0"/>
    <x v="26"/>
    <x v="1"/>
    <x v="1467"/>
    <x v="1181"/>
    <x v="2005"/>
    <x v="243"/>
    <x v="0"/>
    <x v="243"/>
    <x v="23"/>
    <x v="19"/>
    <x v="0"/>
    <x v="281"/>
    <x v="20"/>
    <x v="10"/>
    <s v="MEDIA"/>
    <s v="MEDIA"/>
    <n v="64"/>
    <s v="cumple"/>
    <x v="11"/>
    <x v="0"/>
    <x v="2005"/>
    <n v="348"/>
    <x v="1"/>
  </r>
  <r>
    <x v="0"/>
    <x v="1"/>
    <x v="0"/>
    <x v="0"/>
    <x v="26"/>
    <x v="1"/>
    <x v="1468"/>
    <x v="1181"/>
    <x v="2006"/>
    <x v="243"/>
    <x v="4"/>
    <x v="243"/>
    <x v="4"/>
    <x v="2"/>
    <x v="0"/>
    <x v="282"/>
    <x v="20"/>
    <x v="10"/>
    <s v="MEDIA"/>
    <s v="MEDIA"/>
    <n v="64"/>
    <s v="cumple"/>
    <x v="11"/>
    <x v="0"/>
    <x v="2006"/>
    <n v="696"/>
    <x v="1"/>
  </r>
  <r>
    <x v="0"/>
    <x v="1"/>
    <x v="0"/>
    <x v="0"/>
    <x v="26"/>
    <x v="1"/>
    <x v="1469"/>
    <x v="1181"/>
    <x v="2007"/>
    <x v="243"/>
    <x v="6"/>
    <x v="243"/>
    <x v="5"/>
    <x v="2"/>
    <x v="0"/>
    <x v="283"/>
    <x v="20"/>
    <x v="10"/>
    <s v="MEDIA"/>
    <s v="MEDIA"/>
    <n v="64"/>
    <s v="cumple"/>
    <x v="11"/>
    <x v="0"/>
    <x v="2007"/>
    <n v="696"/>
    <x v="1"/>
  </r>
  <r>
    <x v="0"/>
    <x v="1"/>
    <x v="0"/>
    <x v="0"/>
    <x v="26"/>
    <x v="1"/>
    <x v="1470"/>
    <x v="1181"/>
    <x v="2464"/>
    <x v="243"/>
    <x v="6"/>
    <x v="243"/>
    <x v="5"/>
    <x v="2"/>
    <x v="0"/>
    <x v="284"/>
    <x v="20"/>
    <x v="10"/>
    <s v="MEDIA"/>
    <s v="MEDIA"/>
    <n v="64"/>
    <s v="cumple"/>
    <x v="11"/>
    <x v="0"/>
    <x v="2464"/>
    <n v="696"/>
    <x v="1"/>
  </r>
  <r>
    <x v="0"/>
    <x v="1"/>
    <x v="0"/>
    <x v="0"/>
    <x v="26"/>
    <x v="1"/>
    <x v="1471"/>
    <x v="1181"/>
    <x v="2005"/>
    <x v="244"/>
    <x v="0"/>
    <x v="244"/>
    <x v="23"/>
    <x v="19"/>
    <x v="0"/>
    <x v="281"/>
    <x v="20"/>
    <x v="10"/>
    <s v="MEDIA"/>
    <s v="MEDIA"/>
    <n v="64"/>
    <s v="cumple"/>
    <x v="11"/>
    <x v="0"/>
    <x v="2005"/>
    <n v="348"/>
    <x v="1"/>
  </r>
  <r>
    <x v="0"/>
    <x v="1"/>
    <x v="0"/>
    <x v="0"/>
    <x v="31"/>
    <x v="1"/>
    <x v="1472"/>
    <x v="1181"/>
    <x v="2005"/>
    <x v="245"/>
    <x v="0"/>
    <x v="245"/>
    <x v="23"/>
    <x v="19"/>
    <x v="0"/>
    <x v="281"/>
    <x v="20"/>
    <x v="10"/>
    <s v="MEDIA"/>
    <s v="MEDIA"/>
    <n v="64"/>
    <s v="cumple"/>
    <x v="11"/>
    <x v="0"/>
    <x v="2005"/>
    <n v="348"/>
    <x v="1"/>
  </r>
  <r>
    <x v="0"/>
    <x v="1"/>
    <x v="0"/>
    <x v="0"/>
    <x v="32"/>
    <x v="1"/>
    <x v="1473"/>
    <x v="1181"/>
    <x v="2005"/>
    <x v="246"/>
    <x v="0"/>
    <x v="246"/>
    <x v="23"/>
    <x v="19"/>
    <x v="0"/>
    <x v="281"/>
    <x v="20"/>
    <x v="10"/>
    <s v="MEDIA"/>
    <s v="MEDIA"/>
    <n v="64"/>
    <s v="cumple"/>
    <x v="11"/>
    <x v="0"/>
    <x v="2005"/>
    <n v="348"/>
    <x v="1"/>
  </r>
  <r>
    <x v="0"/>
    <x v="1"/>
    <x v="0"/>
    <x v="0"/>
    <x v="33"/>
    <x v="1"/>
    <x v="1474"/>
    <x v="1181"/>
    <x v="2005"/>
    <x v="247"/>
    <x v="0"/>
    <x v="247"/>
    <x v="23"/>
    <x v="19"/>
    <x v="0"/>
    <x v="281"/>
    <x v="20"/>
    <x v="10"/>
    <s v="MEDIA"/>
    <s v="MEDIA"/>
    <n v="64"/>
    <s v="cumple"/>
    <x v="11"/>
    <x v="0"/>
    <x v="2005"/>
    <n v="348"/>
    <x v="1"/>
  </r>
  <r>
    <x v="0"/>
    <x v="1"/>
    <x v="0"/>
    <x v="0"/>
    <x v="34"/>
    <x v="1"/>
    <x v="1475"/>
    <x v="1181"/>
    <x v="2005"/>
    <x v="248"/>
    <x v="0"/>
    <x v="248"/>
    <x v="23"/>
    <x v="19"/>
    <x v="0"/>
    <x v="281"/>
    <x v="20"/>
    <x v="10"/>
    <s v="MEDIA"/>
    <s v="MEDIA"/>
    <n v="64"/>
    <s v="cumple"/>
    <x v="11"/>
    <x v="0"/>
    <x v="2005"/>
    <n v="348"/>
    <x v="1"/>
  </r>
  <r>
    <x v="0"/>
    <x v="1"/>
    <x v="0"/>
    <x v="0"/>
    <x v="35"/>
    <x v="1"/>
    <x v="1476"/>
    <x v="1181"/>
    <x v="2006"/>
    <x v="248"/>
    <x v="0"/>
    <x v="248"/>
    <x v="8"/>
    <x v="2"/>
    <x v="0"/>
    <x v="282"/>
    <x v="20"/>
    <x v="10"/>
    <s v="MEDIA"/>
    <s v="MEDIA"/>
    <n v="64"/>
    <s v="cumple"/>
    <x v="11"/>
    <x v="0"/>
    <x v="2006"/>
    <n v="696"/>
    <x v="1"/>
  </r>
  <r>
    <x v="0"/>
    <x v="1"/>
    <x v="0"/>
    <x v="0"/>
    <x v="36"/>
    <x v="1"/>
    <x v="1477"/>
    <x v="1181"/>
    <x v="2007"/>
    <x v="248"/>
    <x v="0"/>
    <x v="248"/>
    <x v="8"/>
    <x v="2"/>
    <x v="0"/>
    <x v="283"/>
    <x v="20"/>
    <x v="10"/>
    <s v="MEDIA"/>
    <s v="MEDIA"/>
    <n v="64"/>
    <s v="cumple"/>
    <x v="11"/>
    <x v="0"/>
    <x v="2007"/>
    <n v="696"/>
    <x v="1"/>
  </r>
  <r>
    <x v="0"/>
    <x v="1"/>
    <x v="0"/>
    <x v="0"/>
    <x v="26"/>
    <x v="1"/>
    <x v="1478"/>
    <x v="1181"/>
    <x v="2465"/>
    <x v="248"/>
    <x v="6"/>
    <x v="248"/>
    <x v="5"/>
    <x v="2"/>
    <x v="0"/>
    <x v="284"/>
    <x v="20"/>
    <x v="10"/>
    <s v="MEDIA"/>
    <s v="MEDIA"/>
    <n v="64"/>
    <s v="cumple"/>
    <x v="11"/>
    <x v="0"/>
    <x v="2465"/>
    <n v="696"/>
    <x v="1"/>
  </r>
  <r>
    <x v="0"/>
    <x v="1"/>
    <x v="0"/>
    <x v="0"/>
    <x v="26"/>
    <x v="1"/>
    <x v="1479"/>
    <x v="1181"/>
    <x v="2005"/>
    <x v="249"/>
    <x v="0"/>
    <x v="249"/>
    <x v="23"/>
    <x v="19"/>
    <x v="0"/>
    <x v="281"/>
    <x v="20"/>
    <x v="10"/>
    <s v="MEDIA"/>
    <s v="MEDIA"/>
    <n v="64"/>
    <s v="cumple"/>
    <x v="11"/>
    <x v="0"/>
    <x v="2005"/>
    <n v="348"/>
    <x v="1"/>
  </r>
  <r>
    <x v="0"/>
    <x v="1"/>
    <x v="0"/>
    <x v="0"/>
    <x v="26"/>
    <x v="1"/>
    <x v="1480"/>
    <x v="1181"/>
    <x v="2005"/>
    <x v="250"/>
    <x v="0"/>
    <x v="250"/>
    <x v="8"/>
    <x v="2"/>
    <x v="0"/>
    <x v="281"/>
    <x v="20"/>
    <x v="10"/>
    <s v="MEDIA"/>
    <s v="MEDIA"/>
    <n v="64"/>
    <s v="cumple"/>
    <x v="11"/>
    <x v="0"/>
    <x v="2005"/>
    <n v="696"/>
    <x v="1"/>
  </r>
  <r>
    <x v="0"/>
    <x v="1"/>
    <x v="0"/>
    <x v="0"/>
    <x v="26"/>
    <x v="1"/>
    <x v="1481"/>
    <x v="1181"/>
    <x v="2005"/>
    <x v="251"/>
    <x v="0"/>
    <x v="251"/>
    <x v="8"/>
    <x v="2"/>
    <x v="0"/>
    <x v="281"/>
    <x v="20"/>
    <x v="10"/>
    <s v="MEDIA"/>
    <s v="MEDIA"/>
    <n v="64"/>
    <s v="cumple"/>
    <x v="11"/>
    <x v="0"/>
    <x v="2005"/>
    <n v="696"/>
    <x v="1"/>
  </r>
  <r>
    <x v="0"/>
    <x v="1"/>
    <x v="0"/>
    <x v="0"/>
    <x v="26"/>
    <x v="1"/>
    <x v="1482"/>
    <x v="1181"/>
    <x v="2005"/>
    <x v="252"/>
    <x v="0"/>
    <x v="252"/>
    <x v="23"/>
    <x v="19"/>
    <x v="0"/>
    <x v="281"/>
    <x v="20"/>
    <x v="10"/>
    <s v="MEDIA"/>
    <s v="MEDIA"/>
    <n v="64"/>
    <s v="cumple"/>
    <x v="11"/>
    <x v="0"/>
    <x v="2005"/>
    <n v="348"/>
    <x v="1"/>
  </r>
  <r>
    <x v="0"/>
    <x v="1"/>
    <x v="0"/>
    <x v="0"/>
    <x v="26"/>
    <x v="1"/>
    <x v="1483"/>
    <x v="1181"/>
    <x v="2005"/>
    <x v="253"/>
    <x v="0"/>
    <x v="253"/>
    <x v="23"/>
    <x v="19"/>
    <x v="0"/>
    <x v="281"/>
    <x v="20"/>
    <x v="10"/>
    <s v="MEDIA"/>
    <s v="MEDIA"/>
    <n v="64"/>
    <s v="cumple"/>
    <x v="11"/>
    <x v="0"/>
    <x v="2005"/>
    <n v="348"/>
    <x v="1"/>
  </r>
  <r>
    <x v="0"/>
    <x v="1"/>
    <x v="0"/>
    <x v="0"/>
    <x v="26"/>
    <x v="1"/>
    <x v="1484"/>
    <x v="1181"/>
    <x v="2006"/>
    <x v="253"/>
    <x v="0"/>
    <x v="253"/>
    <x v="8"/>
    <x v="2"/>
    <x v="0"/>
    <x v="282"/>
    <x v="20"/>
    <x v="10"/>
    <s v="MEDIA"/>
    <s v="MEDIA"/>
    <n v="64"/>
    <s v="cumple"/>
    <x v="11"/>
    <x v="0"/>
    <x v="2006"/>
    <n v="696"/>
    <x v="1"/>
  </r>
  <r>
    <x v="0"/>
    <x v="1"/>
    <x v="0"/>
    <x v="0"/>
    <x v="26"/>
    <x v="1"/>
    <x v="1485"/>
    <x v="1181"/>
    <x v="2007"/>
    <x v="253"/>
    <x v="0"/>
    <x v="253"/>
    <x v="8"/>
    <x v="2"/>
    <x v="0"/>
    <x v="283"/>
    <x v="20"/>
    <x v="10"/>
    <s v="MEDIA"/>
    <s v="MEDIA"/>
    <n v="64"/>
    <s v="cumple"/>
    <x v="11"/>
    <x v="0"/>
    <x v="2007"/>
    <n v="696"/>
    <x v="1"/>
  </r>
  <r>
    <x v="0"/>
    <x v="1"/>
    <x v="0"/>
    <x v="0"/>
    <x v="26"/>
    <x v="1"/>
    <x v="1486"/>
    <x v="1181"/>
    <x v="2466"/>
    <x v="253"/>
    <x v="6"/>
    <x v="253"/>
    <x v="5"/>
    <x v="2"/>
    <x v="0"/>
    <x v="284"/>
    <x v="20"/>
    <x v="10"/>
    <s v="MEDIA"/>
    <s v="MEDIA"/>
    <n v="64"/>
    <s v="cumple"/>
    <x v="11"/>
    <x v="0"/>
    <x v="2466"/>
    <n v="696"/>
    <x v="1"/>
  </r>
  <r>
    <x v="0"/>
    <x v="1"/>
    <x v="0"/>
    <x v="0"/>
    <x v="26"/>
    <x v="1"/>
    <x v="1487"/>
    <x v="1181"/>
    <x v="2005"/>
    <x v="254"/>
    <x v="0"/>
    <x v="254"/>
    <x v="8"/>
    <x v="2"/>
    <x v="0"/>
    <x v="281"/>
    <x v="20"/>
    <x v="10"/>
    <s v="MEDIA"/>
    <s v="MEDIA"/>
    <n v="64"/>
    <s v="cumple"/>
    <x v="11"/>
    <x v="0"/>
    <x v="2005"/>
    <n v="696"/>
    <x v="1"/>
  </r>
  <r>
    <x v="0"/>
    <x v="1"/>
    <x v="0"/>
    <x v="0"/>
    <x v="26"/>
    <x v="1"/>
    <x v="1488"/>
    <x v="1181"/>
    <x v="2005"/>
    <x v="255"/>
    <x v="0"/>
    <x v="255"/>
    <x v="8"/>
    <x v="2"/>
    <x v="0"/>
    <x v="281"/>
    <x v="20"/>
    <x v="10"/>
    <s v="MEDIA"/>
    <s v="MEDIA"/>
    <n v="64"/>
    <s v="cumple"/>
    <x v="11"/>
    <x v="0"/>
    <x v="2005"/>
    <n v="696"/>
    <x v="1"/>
  </r>
  <r>
    <x v="0"/>
    <x v="1"/>
    <x v="0"/>
    <x v="0"/>
    <x v="26"/>
    <x v="1"/>
    <x v="1489"/>
    <x v="1181"/>
    <x v="2005"/>
    <x v="256"/>
    <x v="0"/>
    <x v="256"/>
    <x v="23"/>
    <x v="19"/>
    <x v="0"/>
    <x v="281"/>
    <x v="20"/>
    <x v="10"/>
    <s v="MEDIA"/>
    <s v="MEDIA"/>
    <n v="64"/>
    <s v="cumple"/>
    <x v="11"/>
    <x v="0"/>
    <x v="2005"/>
    <n v="348"/>
    <x v="1"/>
  </r>
  <r>
    <x v="0"/>
    <x v="1"/>
    <x v="0"/>
    <x v="0"/>
    <x v="26"/>
    <x v="1"/>
    <x v="1490"/>
    <x v="1181"/>
    <x v="2005"/>
    <x v="257"/>
    <x v="0"/>
    <x v="257"/>
    <x v="8"/>
    <x v="2"/>
    <x v="0"/>
    <x v="281"/>
    <x v="20"/>
    <x v="10"/>
    <s v="MEDIA"/>
    <s v="MEDIA"/>
    <n v="64"/>
    <s v="cumple"/>
    <x v="11"/>
    <x v="0"/>
    <x v="2005"/>
    <n v="696"/>
    <x v="1"/>
  </r>
  <r>
    <x v="0"/>
    <x v="1"/>
    <x v="0"/>
    <x v="0"/>
    <x v="26"/>
    <x v="1"/>
    <x v="1491"/>
    <x v="1181"/>
    <x v="2006"/>
    <x v="258"/>
    <x v="0"/>
    <x v="258"/>
    <x v="8"/>
    <x v="2"/>
    <x v="0"/>
    <x v="282"/>
    <x v="20"/>
    <x v="10"/>
    <s v="MEDIA"/>
    <s v="MEDIA"/>
    <n v="64"/>
    <s v="cumple"/>
    <x v="11"/>
    <x v="0"/>
    <x v="2006"/>
    <n v="696"/>
    <x v="1"/>
  </r>
  <r>
    <x v="0"/>
    <x v="1"/>
    <x v="0"/>
    <x v="0"/>
    <x v="26"/>
    <x v="1"/>
    <x v="1492"/>
    <x v="1181"/>
    <x v="2007"/>
    <x v="258"/>
    <x v="0"/>
    <x v="258"/>
    <x v="8"/>
    <x v="2"/>
    <x v="0"/>
    <x v="283"/>
    <x v="20"/>
    <x v="10"/>
    <s v="MEDIA"/>
    <s v="MEDIA"/>
    <n v="64"/>
    <s v="cumple"/>
    <x v="11"/>
    <x v="0"/>
    <x v="2007"/>
    <n v="696"/>
    <x v="1"/>
  </r>
  <r>
    <x v="0"/>
    <x v="1"/>
    <x v="0"/>
    <x v="0"/>
    <x v="26"/>
    <x v="1"/>
    <x v="1493"/>
    <x v="1181"/>
    <x v="2467"/>
    <x v="258"/>
    <x v="6"/>
    <x v="258"/>
    <x v="5"/>
    <x v="2"/>
    <x v="0"/>
    <x v="284"/>
    <x v="20"/>
    <x v="10"/>
    <s v="MEDIA"/>
    <s v="MEDIA"/>
    <n v="64"/>
    <s v="cumple"/>
    <x v="11"/>
    <x v="0"/>
    <x v="2467"/>
    <n v="696"/>
    <x v="1"/>
  </r>
  <r>
    <x v="0"/>
    <x v="1"/>
    <x v="0"/>
    <x v="0"/>
    <x v="26"/>
    <x v="1"/>
    <x v="1494"/>
    <x v="1181"/>
    <x v="2005"/>
    <x v="259"/>
    <x v="0"/>
    <x v="259"/>
    <x v="23"/>
    <x v="19"/>
    <x v="0"/>
    <x v="281"/>
    <x v="20"/>
    <x v="10"/>
    <s v="MEDIA"/>
    <s v="MEDIA"/>
    <n v="64"/>
    <s v="cumple"/>
    <x v="11"/>
    <x v="0"/>
    <x v="2005"/>
    <n v="348"/>
    <x v="1"/>
  </r>
  <r>
    <x v="0"/>
    <x v="1"/>
    <x v="0"/>
    <x v="0"/>
    <x v="26"/>
    <x v="1"/>
    <x v="1495"/>
    <x v="1181"/>
    <x v="2005"/>
    <x v="260"/>
    <x v="0"/>
    <x v="260"/>
    <x v="23"/>
    <x v="19"/>
    <x v="0"/>
    <x v="281"/>
    <x v="20"/>
    <x v="10"/>
    <s v="MEDIA"/>
    <s v="MEDIA"/>
    <n v="64"/>
    <s v="cumple"/>
    <x v="11"/>
    <x v="0"/>
    <x v="2005"/>
    <n v="348"/>
    <x v="1"/>
  </r>
  <r>
    <x v="0"/>
    <x v="1"/>
    <x v="0"/>
    <x v="0"/>
    <x v="26"/>
    <x v="1"/>
    <x v="1496"/>
    <x v="1181"/>
    <x v="2005"/>
    <x v="261"/>
    <x v="0"/>
    <x v="261"/>
    <x v="23"/>
    <x v="19"/>
    <x v="0"/>
    <x v="281"/>
    <x v="20"/>
    <x v="10"/>
    <s v="MEDIA"/>
    <s v="MEDIA"/>
    <n v="64"/>
    <s v="cumple"/>
    <x v="11"/>
    <x v="0"/>
    <x v="2005"/>
    <n v="348"/>
    <x v="1"/>
  </r>
  <r>
    <x v="0"/>
    <x v="1"/>
    <x v="0"/>
    <x v="0"/>
    <x v="26"/>
    <x v="5"/>
    <x v="1497"/>
    <x v="1364"/>
    <x v="2468"/>
    <x v="257"/>
    <x v="0"/>
    <x v="257"/>
    <x v="5"/>
    <x v="7"/>
    <x v="0"/>
    <x v="291"/>
    <x v="19"/>
    <x v="1"/>
    <s v="MEDIA"/>
    <s v="MEDIA"/>
    <n v="64"/>
    <s v="cumple"/>
    <x v="11"/>
    <x v="0"/>
    <x v="2468"/>
    <n v="2320"/>
    <x v="1"/>
  </r>
  <r>
    <x v="0"/>
    <x v="1"/>
    <x v="0"/>
    <x v="0"/>
    <x v="26"/>
    <x v="5"/>
    <x v="1498"/>
    <x v="1364"/>
    <x v="2469"/>
    <x v="260"/>
    <x v="0"/>
    <x v="260"/>
    <x v="5"/>
    <x v="7"/>
    <x v="0"/>
    <x v="291"/>
    <x v="19"/>
    <x v="1"/>
    <s v="MEDIA"/>
    <s v="MEDIA"/>
    <n v="64"/>
    <s v="cumple"/>
    <x v="11"/>
    <x v="0"/>
    <x v="2469"/>
    <n v="2320"/>
    <x v="1"/>
  </r>
  <r>
    <x v="0"/>
    <x v="1"/>
    <x v="0"/>
    <x v="0"/>
    <x v="26"/>
    <x v="5"/>
    <x v="1499"/>
    <x v="1364"/>
    <x v="2470"/>
    <x v="260"/>
    <x v="0"/>
    <x v="260"/>
    <x v="5"/>
    <x v="7"/>
    <x v="0"/>
    <x v="291"/>
    <x v="19"/>
    <x v="1"/>
    <s v="MEDIA"/>
    <s v="MEDIA"/>
    <n v="64"/>
    <s v="cumple"/>
    <x v="11"/>
    <x v="0"/>
    <x v="2470"/>
    <n v="2320"/>
    <x v="1"/>
  </r>
  <r>
    <x v="0"/>
    <x v="1"/>
    <x v="0"/>
    <x v="0"/>
    <x v="26"/>
    <x v="1"/>
    <x v="1500"/>
    <x v="1493"/>
    <x v="2471"/>
    <x v="242"/>
    <x v="0"/>
    <x v="242"/>
    <x v="4"/>
    <x v="5"/>
    <x v="0"/>
    <x v="289"/>
    <x v="23"/>
    <x v="0"/>
    <s v="MEDIA"/>
    <s v="MEDIA"/>
    <n v="64"/>
    <s v="cumple"/>
    <x v="11"/>
    <x v="0"/>
    <x v="2471"/>
    <n v="2436"/>
    <x v="1"/>
  </r>
  <r>
    <x v="0"/>
    <x v="1"/>
    <x v="0"/>
    <x v="0"/>
    <x v="26"/>
    <x v="1"/>
    <x v="1501"/>
    <x v="1493"/>
    <x v="2472"/>
    <x v="242"/>
    <x v="6"/>
    <x v="242"/>
    <x v="17"/>
    <x v="7"/>
    <x v="0"/>
    <x v="289"/>
    <x v="23"/>
    <x v="0"/>
    <s v="MEDIA"/>
    <s v="MEDIA"/>
    <n v="64"/>
    <s v="cumple"/>
    <x v="11"/>
    <x v="0"/>
    <x v="2472"/>
    <n v="3248"/>
    <x v="1"/>
  </r>
  <r>
    <x v="0"/>
    <x v="1"/>
    <x v="0"/>
    <x v="0"/>
    <x v="26"/>
    <x v="1"/>
    <x v="1502"/>
    <x v="1493"/>
    <x v="2473"/>
    <x v="242"/>
    <x v="14"/>
    <x v="262"/>
    <x v="20"/>
    <x v="5"/>
    <x v="0"/>
    <x v="289"/>
    <x v="23"/>
    <x v="0"/>
    <s v="MEDIA"/>
    <s v="MEDIA"/>
    <n v="64"/>
    <s v="cumple"/>
    <x v="11"/>
    <x v="0"/>
    <x v="2473"/>
    <n v="2436"/>
    <x v="1"/>
  </r>
  <r>
    <x v="0"/>
    <x v="1"/>
    <x v="0"/>
    <x v="0"/>
    <x v="26"/>
    <x v="1"/>
    <x v="1503"/>
    <x v="1493"/>
    <x v="2474"/>
    <x v="243"/>
    <x v="0"/>
    <x v="243"/>
    <x v="12"/>
    <x v="16"/>
    <x v="0"/>
    <x v="289"/>
    <x v="23"/>
    <x v="0"/>
    <s v="MEDIA"/>
    <s v="MEDIA"/>
    <n v="64"/>
    <s v="cumple"/>
    <x v="11"/>
    <x v="0"/>
    <x v="2474"/>
    <n v="4466"/>
    <x v="1"/>
  </r>
  <r>
    <x v="0"/>
    <x v="1"/>
    <x v="0"/>
    <x v="0"/>
    <x v="26"/>
    <x v="1"/>
    <x v="1504"/>
    <x v="1494"/>
    <x v="2202"/>
    <x v="243"/>
    <x v="7"/>
    <x v="244"/>
    <x v="18"/>
    <x v="19"/>
    <x v="0"/>
    <x v="37"/>
    <x v="23"/>
    <x v="0"/>
    <s v="MEDIA"/>
    <s v="MEDIA"/>
    <n v="64"/>
    <s v="cumple"/>
    <x v="11"/>
    <x v="0"/>
    <x v="2202"/>
    <n v="406"/>
    <x v="1"/>
  </r>
  <r>
    <x v="0"/>
    <x v="1"/>
    <x v="0"/>
    <x v="0"/>
    <x v="26"/>
    <x v="1"/>
    <x v="1505"/>
    <x v="1494"/>
    <x v="2203"/>
    <x v="243"/>
    <x v="15"/>
    <x v="245"/>
    <x v="2"/>
    <x v="19"/>
    <x v="0"/>
    <x v="289"/>
    <x v="23"/>
    <x v="0"/>
    <s v="MEDIA"/>
    <s v="MEDIA"/>
    <n v="64"/>
    <s v="cumple"/>
    <x v="11"/>
    <x v="0"/>
    <x v="2203"/>
    <n v="406"/>
    <x v="1"/>
  </r>
  <r>
    <x v="0"/>
    <x v="1"/>
    <x v="0"/>
    <x v="0"/>
    <x v="26"/>
    <x v="1"/>
    <x v="1506"/>
    <x v="1494"/>
    <x v="2204"/>
    <x v="243"/>
    <x v="2"/>
    <x v="246"/>
    <x v="17"/>
    <x v="19"/>
    <x v="0"/>
    <x v="289"/>
    <x v="23"/>
    <x v="0"/>
    <s v="MEDIA"/>
    <s v="MEDIA"/>
    <n v="64"/>
    <s v="cumple"/>
    <x v="11"/>
    <x v="0"/>
    <x v="2204"/>
    <n v="406"/>
    <x v="1"/>
  </r>
  <r>
    <x v="0"/>
    <x v="1"/>
    <x v="0"/>
    <x v="0"/>
    <x v="26"/>
    <x v="1"/>
    <x v="1507"/>
    <x v="1494"/>
    <x v="2205"/>
    <x v="243"/>
    <x v="14"/>
    <x v="247"/>
    <x v="21"/>
    <x v="2"/>
    <x v="0"/>
    <x v="289"/>
    <x v="23"/>
    <x v="0"/>
    <s v="MEDIA"/>
    <s v="MEDIA"/>
    <n v="64"/>
    <s v="cumple"/>
    <x v="11"/>
    <x v="0"/>
    <x v="2205"/>
    <n v="812"/>
    <x v="1"/>
  </r>
  <r>
    <x v="0"/>
    <x v="1"/>
    <x v="0"/>
    <x v="0"/>
    <x v="26"/>
    <x v="1"/>
    <x v="1508"/>
    <x v="1494"/>
    <x v="2206"/>
    <x v="243"/>
    <x v="16"/>
    <x v="263"/>
    <x v="22"/>
    <x v="2"/>
    <x v="0"/>
    <x v="37"/>
    <x v="23"/>
    <x v="0"/>
    <s v="MEDIA"/>
    <s v="MEDIA"/>
    <n v="64"/>
    <s v="cumple"/>
    <x v="11"/>
    <x v="0"/>
    <x v="2206"/>
    <n v="812"/>
    <x v="1"/>
  </r>
  <r>
    <x v="0"/>
    <x v="1"/>
    <x v="0"/>
    <x v="0"/>
    <x v="26"/>
    <x v="1"/>
    <x v="1509"/>
    <x v="1494"/>
    <x v="2207"/>
    <x v="244"/>
    <x v="0"/>
    <x v="264"/>
    <x v="8"/>
    <x v="2"/>
    <x v="0"/>
    <x v="289"/>
    <x v="23"/>
    <x v="0"/>
    <s v="MEDIA"/>
    <s v="MEDIA"/>
    <n v="64"/>
    <s v="cumple"/>
    <x v="11"/>
    <x v="0"/>
    <x v="2207"/>
    <n v="812"/>
    <x v="1"/>
  </r>
  <r>
    <x v="0"/>
    <x v="1"/>
    <x v="0"/>
    <x v="0"/>
    <x v="26"/>
    <x v="1"/>
    <x v="1510"/>
    <x v="1494"/>
    <x v="2208"/>
    <x v="244"/>
    <x v="8"/>
    <x v="248"/>
    <x v="3"/>
    <x v="2"/>
    <x v="0"/>
    <x v="37"/>
    <x v="23"/>
    <x v="0"/>
    <s v="MEDIA"/>
    <s v="MEDIA"/>
    <n v="64"/>
    <s v="cumple"/>
    <x v="11"/>
    <x v="0"/>
    <x v="2208"/>
    <n v="812"/>
    <x v="1"/>
  </r>
  <r>
    <x v="0"/>
    <x v="1"/>
    <x v="0"/>
    <x v="0"/>
    <x v="26"/>
    <x v="1"/>
    <x v="1511"/>
    <x v="1494"/>
    <x v="2209"/>
    <x v="244"/>
    <x v="4"/>
    <x v="249"/>
    <x v="4"/>
    <x v="2"/>
    <x v="0"/>
    <x v="289"/>
    <x v="23"/>
    <x v="0"/>
    <s v="MEDIA"/>
    <s v="MEDIA"/>
    <n v="64"/>
    <s v="cumple"/>
    <x v="11"/>
    <x v="0"/>
    <x v="2209"/>
    <n v="812"/>
    <x v="1"/>
  </r>
  <r>
    <x v="0"/>
    <x v="1"/>
    <x v="0"/>
    <x v="0"/>
    <x v="26"/>
    <x v="1"/>
    <x v="1512"/>
    <x v="1495"/>
    <x v="2475"/>
    <x v="244"/>
    <x v="6"/>
    <x v="250"/>
    <x v="5"/>
    <x v="2"/>
    <x v="0"/>
    <x v="289"/>
    <x v="23"/>
    <x v="0"/>
    <s v="MEDIA"/>
    <s v="MEDIA"/>
    <n v="64"/>
    <s v="cumple"/>
    <x v="11"/>
    <x v="0"/>
    <x v="2475"/>
    <n v="812"/>
    <x v="1"/>
  </r>
  <r>
    <x v="0"/>
    <x v="1"/>
    <x v="0"/>
    <x v="0"/>
    <x v="26"/>
    <x v="1"/>
    <x v="1513"/>
    <x v="1495"/>
    <x v="2476"/>
    <x v="244"/>
    <x v="3"/>
    <x v="251"/>
    <x v="9"/>
    <x v="2"/>
    <x v="0"/>
    <x v="289"/>
    <x v="23"/>
    <x v="0"/>
    <s v="MEDIA"/>
    <s v="MEDIA"/>
    <n v="64"/>
    <s v="cumple"/>
    <x v="11"/>
    <x v="0"/>
    <x v="2476"/>
    <n v="812"/>
    <x v="1"/>
  </r>
  <r>
    <x v="0"/>
    <x v="1"/>
    <x v="0"/>
    <x v="0"/>
    <x v="26"/>
    <x v="1"/>
    <x v="1514"/>
    <x v="1495"/>
    <x v="2477"/>
    <x v="244"/>
    <x v="6"/>
    <x v="252"/>
    <x v="5"/>
    <x v="2"/>
    <x v="0"/>
    <x v="289"/>
    <x v="23"/>
    <x v="0"/>
    <s v="MEDIA"/>
    <s v="MEDIA"/>
    <n v="64"/>
    <s v="cumple"/>
    <x v="11"/>
    <x v="0"/>
    <x v="2477"/>
    <n v="812"/>
    <x v="1"/>
  </r>
  <r>
    <x v="0"/>
    <x v="1"/>
    <x v="0"/>
    <x v="0"/>
    <x v="26"/>
    <x v="1"/>
    <x v="1515"/>
    <x v="1495"/>
    <x v="2478"/>
    <x v="244"/>
    <x v="3"/>
    <x v="265"/>
    <x v="9"/>
    <x v="2"/>
    <x v="0"/>
    <x v="289"/>
    <x v="23"/>
    <x v="0"/>
    <s v="MEDIA"/>
    <s v="MEDIA"/>
    <n v="64"/>
    <s v="cumple"/>
    <x v="11"/>
    <x v="0"/>
    <x v="2478"/>
    <n v="812"/>
    <x v="1"/>
  </r>
  <r>
    <x v="0"/>
    <x v="1"/>
    <x v="0"/>
    <x v="0"/>
    <x v="26"/>
    <x v="1"/>
    <x v="1516"/>
    <x v="1495"/>
    <x v="2479"/>
    <x v="244"/>
    <x v="7"/>
    <x v="266"/>
    <x v="2"/>
    <x v="2"/>
    <x v="0"/>
    <x v="289"/>
    <x v="23"/>
    <x v="0"/>
    <s v="MEDIA"/>
    <s v="MEDIA"/>
    <n v="64"/>
    <s v="cumple"/>
    <x v="11"/>
    <x v="0"/>
    <x v="2479"/>
    <n v="812"/>
    <x v="1"/>
  </r>
  <r>
    <x v="0"/>
    <x v="1"/>
    <x v="0"/>
    <x v="0"/>
    <x v="26"/>
    <x v="1"/>
    <x v="1517"/>
    <x v="1495"/>
    <x v="2480"/>
    <x v="244"/>
    <x v="2"/>
    <x v="253"/>
    <x v="1"/>
    <x v="2"/>
    <x v="0"/>
    <x v="289"/>
    <x v="23"/>
    <x v="0"/>
    <s v="MEDIA"/>
    <s v="MEDIA"/>
    <n v="64"/>
    <s v="cumple"/>
    <x v="11"/>
    <x v="0"/>
    <x v="2480"/>
    <n v="812"/>
    <x v="1"/>
  </r>
  <r>
    <x v="0"/>
    <x v="1"/>
    <x v="0"/>
    <x v="0"/>
    <x v="26"/>
    <x v="1"/>
    <x v="1518"/>
    <x v="1495"/>
    <x v="2481"/>
    <x v="244"/>
    <x v="1"/>
    <x v="254"/>
    <x v="0"/>
    <x v="2"/>
    <x v="0"/>
    <x v="289"/>
    <x v="23"/>
    <x v="0"/>
    <s v="MEDIA"/>
    <s v="MEDIA"/>
    <n v="64"/>
    <s v="cumple"/>
    <x v="11"/>
    <x v="0"/>
    <x v="2481"/>
    <n v="812"/>
    <x v="1"/>
  </r>
  <r>
    <x v="0"/>
    <x v="1"/>
    <x v="0"/>
    <x v="0"/>
    <x v="26"/>
    <x v="1"/>
    <x v="1519"/>
    <x v="1495"/>
    <x v="2482"/>
    <x v="245"/>
    <x v="0"/>
    <x v="255"/>
    <x v="8"/>
    <x v="2"/>
    <x v="0"/>
    <x v="289"/>
    <x v="23"/>
    <x v="0"/>
    <s v="MEDIA"/>
    <s v="MEDIA"/>
    <n v="64"/>
    <s v="cumple"/>
    <x v="11"/>
    <x v="0"/>
    <x v="2482"/>
    <n v="812"/>
    <x v="1"/>
  </r>
  <r>
    <x v="0"/>
    <x v="1"/>
    <x v="0"/>
    <x v="0"/>
    <x v="26"/>
    <x v="1"/>
    <x v="1520"/>
    <x v="1495"/>
    <x v="2483"/>
    <x v="245"/>
    <x v="8"/>
    <x v="256"/>
    <x v="3"/>
    <x v="2"/>
    <x v="0"/>
    <x v="289"/>
    <x v="23"/>
    <x v="0"/>
    <s v="MEDIA"/>
    <s v="MEDIA"/>
    <n v="64"/>
    <s v="cumple"/>
    <x v="11"/>
    <x v="0"/>
    <x v="2483"/>
    <n v="812"/>
    <x v="1"/>
  </r>
  <r>
    <x v="0"/>
    <x v="1"/>
    <x v="0"/>
    <x v="0"/>
    <x v="26"/>
    <x v="1"/>
    <x v="1521"/>
    <x v="1495"/>
    <x v="2484"/>
    <x v="245"/>
    <x v="4"/>
    <x v="257"/>
    <x v="4"/>
    <x v="2"/>
    <x v="0"/>
    <x v="289"/>
    <x v="23"/>
    <x v="0"/>
    <s v="MEDIA"/>
    <s v="MEDIA"/>
    <n v="64"/>
    <s v="cumple"/>
    <x v="11"/>
    <x v="0"/>
    <x v="2484"/>
    <n v="812"/>
    <x v="1"/>
  </r>
  <r>
    <x v="0"/>
    <x v="1"/>
    <x v="0"/>
    <x v="0"/>
    <x v="26"/>
    <x v="1"/>
    <x v="1522"/>
    <x v="1495"/>
    <x v="2485"/>
    <x v="245"/>
    <x v="6"/>
    <x v="267"/>
    <x v="5"/>
    <x v="2"/>
    <x v="0"/>
    <x v="289"/>
    <x v="23"/>
    <x v="0"/>
    <s v="MEDIA"/>
    <s v="MEDIA"/>
    <n v="64"/>
    <s v="cumple"/>
    <x v="11"/>
    <x v="0"/>
    <x v="2485"/>
    <n v="812"/>
    <x v="1"/>
  </r>
  <r>
    <x v="0"/>
    <x v="1"/>
    <x v="0"/>
    <x v="0"/>
    <x v="26"/>
    <x v="1"/>
    <x v="1523"/>
    <x v="1495"/>
    <x v="2486"/>
    <x v="245"/>
    <x v="3"/>
    <x v="268"/>
    <x v="12"/>
    <x v="15"/>
    <x v="0"/>
    <x v="289"/>
    <x v="23"/>
    <x v="0"/>
    <s v="MEDIA"/>
    <s v="MEDIA"/>
    <n v="64"/>
    <s v="cumple"/>
    <x v="11"/>
    <x v="0"/>
    <x v="2486"/>
    <n v="1218"/>
    <x v="1"/>
  </r>
  <r>
    <x v="0"/>
    <x v="1"/>
    <x v="0"/>
    <x v="0"/>
    <x v="26"/>
    <x v="1"/>
    <x v="1524"/>
    <x v="1496"/>
    <x v="2210"/>
    <x v="245"/>
    <x v="7"/>
    <x v="269"/>
    <x v="18"/>
    <x v="19"/>
    <x v="0"/>
    <x v="289"/>
    <x v="23"/>
    <x v="0"/>
    <s v="MEDIA"/>
    <s v="MEDIA"/>
    <n v="64"/>
    <s v="cumple"/>
    <x v="11"/>
    <x v="0"/>
    <x v="2210"/>
    <n v="406"/>
    <x v="1"/>
  </r>
  <r>
    <x v="0"/>
    <x v="1"/>
    <x v="0"/>
    <x v="0"/>
    <x v="26"/>
    <x v="1"/>
    <x v="1525"/>
    <x v="1496"/>
    <x v="2211"/>
    <x v="245"/>
    <x v="15"/>
    <x v="258"/>
    <x v="17"/>
    <x v="2"/>
    <x v="0"/>
    <x v="289"/>
    <x v="23"/>
    <x v="0"/>
    <s v="MEDIA"/>
    <s v="MEDIA"/>
    <n v="64"/>
    <s v="cumple"/>
    <x v="11"/>
    <x v="0"/>
    <x v="2211"/>
    <n v="812"/>
    <x v="1"/>
  </r>
  <r>
    <x v="0"/>
    <x v="1"/>
    <x v="0"/>
    <x v="0"/>
    <x v="26"/>
    <x v="1"/>
    <x v="1526"/>
    <x v="1496"/>
    <x v="2487"/>
    <x v="245"/>
    <x v="14"/>
    <x v="259"/>
    <x v="21"/>
    <x v="2"/>
    <x v="0"/>
    <x v="289"/>
    <x v="23"/>
    <x v="0"/>
    <s v="MEDIA"/>
    <s v="MEDIA"/>
    <n v="64"/>
    <s v="cumple"/>
    <x v="11"/>
    <x v="0"/>
    <x v="2487"/>
    <n v="812"/>
    <x v="1"/>
  </r>
  <r>
    <x v="0"/>
    <x v="1"/>
    <x v="0"/>
    <x v="0"/>
    <x v="26"/>
    <x v="1"/>
    <x v="1527"/>
    <x v="1496"/>
    <x v="2212"/>
    <x v="245"/>
    <x v="16"/>
    <x v="260"/>
    <x v="22"/>
    <x v="2"/>
    <x v="0"/>
    <x v="289"/>
    <x v="23"/>
    <x v="0"/>
    <s v="MEDIA"/>
    <s v="MEDIA"/>
    <n v="64"/>
    <s v="cumple"/>
    <x v="11"/>
    <x v="0"/>
    <x v="2212"/>
    <n v="812"/>
    <x v="1"/>
  </r>
  <r>
    <x v="0"/>
    <x v="1"/>
    <x v="0"/>
    <x v="0"/>
    <x v="26"/>
    <x v="1"/>
    <x v="1528"/>
    <x v="1496"/>
    <x v="2213"/>
    <x v="246"/>
    <x v="0"/>
    <x v="261"/>
    <x v="8"/>
    <x v="2"/>
    <x v="0"/>
    <x v="289"/>
    <x v="23"/>
    <x v="0"/>
    <s v="MEDIA"/>
    <s v="MEDIA"/>
    <n v="64"/>
    <s v="cumple"/>
    <x v="11"/>
    <x v="0"/>
    <x v="2213"/>
    <n v="812"/>
    <x v="1"/>
  </r>
  <r>
    <x v="0"/>
    <x v="1"/>
    <x v="0"/>
    <x v="0"/>
    <x v="26"/>
    <x v="1"/>
    <x v="1529"/>
    <x v="1496"/>
    <x v="2214"/>
    <x v="246"/>
    <x v="3"/>
    <x v="270"/>
    <x v="12"/>
    <x v="15"/>
    <x v="0"/>
    <x v="289"/>
    <x v="23"/>
    <x v="0"/>
    <s v="MEDIA"/>
    <s v="MEDIA"/>
    <n v="64"/>
    <s v="cumple"/>
    <x v="11"/>
    <x v="0"/>
    <x v="2214"/>
    <n v="1218"/>
    <x v="1"/>
  </r>
  <r>
    <x v="0"/>
    <x v="1"/>
    <x v="0"/>
    <x v="0"/>
    <x v="26"/>
    <x v="1"/>
    <x v="1530"/>
    <x v="1496"/>
    <x v="2215"/>
    <x v="246"/>
    <x v="7"/>
    <x v="271"/>
    <x v="18"/>
    <x v="19"/>
    <x v="0"/>
    <x v="289"/>
    <x v="23"/>
    <x v="0"/>
    <s v="MEDIA"/>
    <s v="MEDIA"/>
    <n v="64"/>
    <s v="cumple"/>
    <x v="11"/>
    <x v="0"/>
    <x v="2215"/>
    <n v="406"/>
    <x v="1"/>
  </r>
  <r>
    <x v="0"/>
    <x v="1"/>
    <x v="0"/>
    <x v="0"/>
    <x v="26"/>
    <x v="1"/>
    <x v="1531"/>
    <x v="1496"/>
    <x v="2216"/>
    <x v="246"/>
    <x v="15"/>
    <x v="272"/>
    <x v="17"/>
    <x v="2"/>
    <x v="0"/>
    <x v="289"/>
    <x v="23"/>
    <x v="0"/>
    <s v="MEDIA"/>
    <s v="MEDIA"/>
    <n v="64"/>
    <s v="cumple"/>
    <x v="11"/>
    <x v="0"/>
    <x v="2216"/>
    <n v="812"/>
    <x v="1"/>
  </r>
  <r>
    <x v="0"/>
    <x v="1"/>
    <x v="0"/>
    <x v="0"/>
    <x v="26"/>
    <x v="1"/>
    <x v="1532"/>
    <x v="1496"/>
    <x v="2217"/>
    <x v="246"/>
    <x v="14"/>
    <x v="273"/>
    <x v="21"/>
    <x v="2"/>
    <x v="0"/>
    <x v="289"/>
    <x v="23"/>
    <x v="0"/>
    <s v="MEDIA"/>
    <s v="MEDIA"/>
    <n v="64"/>
    <s v="cumple"/>
    <x v="11"/>
    <x v="0"/>
    <x v="2217"/>
    <n v="812"/>
    <x v="1"/>
  </r>
  <r>
    <x v="0"/>
    <x v="1"/>
    <x v="0"/>
    <x v="0"/>
    <x v="26"/>
    <x v="1"/>
    <x v="1533"/>
    <x v="1496"/>
    <x v="2218"/>
    <x v="246"/>
    <x v="16"/>
    <x v="274"/>
    <x v="22"/>
    <x v="2"/>
    <x v="0"/>
    <x v="289"/>
    <x v="23"/>
    <x v="0"/>
    <s v="MEDIA"/>
    <s v="MEDIA"/>
    <n v="64"/>
    <s v="cumple"/>
    <x v="11"/>
    <x v="0"/>
    <x v="2218"/>
    <n v="812"/>
    <x v="1"/>
  </r>
  <r>
    <x v="0"/>
    <x v="1"/>
    <x v="0"/>
    <x v="0"/>
    <x v="26"/>
    <x v="1"/>
    <x v="1534"/>
    <x v="1496"/>
    <x v="2219"/>
    <x v="247"/>
    <x v="0"/>
    <x v="275"/>
    <x v="8"/>
    <x v="2"/>
    <x v="0"/>
    <x v="289"/>
    <x v="23"/>
    <x v="0"/>
    <s v="MEDIA"/>
    <s v="MEDIA"/>
    <n v="64"/>
    <s v="cumple"/>
    <x v="11"/>
    <x v="0"/>
    <x v="2219"/>
    <n v="812"/>
    <x v="1"/>
  </r>
  <r>
    <x v="0"/>
    <x v="1"/>
    <x v="0"/>
    <x v="0"/>
    <x v="26"/>
    <x v="1"/>
    <x v="1535"/>
    <x v="1496"/>
    <x v="2220"/>
    <x v="247"/>
    <x v="8"/>
    <x v="276"/>
    <x v="3"/>
    <x v="2"/>
    <x v="0"/>
    <x v="289"/>
    <x v="23"/>
    <x v="0"/>
    <s v="MEDIA"/>
    <s v="MEDIA"/>
    <n v="64"/>
    <s v="cumple"/>
    <x v="11"/>
    <x v="0"/>
    <x v="2220"/>
    <n v="812"/>
    <x v="1"/>
  </r>
  <r>
    <x v="0"/>
    <x v="1"/>
    <x v="0"/>
    <x v="0"/>
    <x v="26"/>
    <x v="1"/>
    <x v="1536"/>
    <x v="1496"/>
    <x v="2221"/>
    <x v="247"/>
    <x v="0"/>
    <x v="277"/>
    <x v="8"/>
    <x v="2"/>
    <x v="0"/>
    <x v="289"/>
    <x v="23"/>
    <x v="0"/>
    <s v="MEDIA"/>
    <s v="MEDIA"/>
    <n v="64"/>
    <s v="cumple"/>
    <x v="11"/>
    <x v="0"/>
    <x v="2221"/>
    <n v="812"/>
    <x v="1"/>
  </r>
  <r>
    <x v="0"/>
    <x v="1"/>
    <x v="0"/>
    <x v="0"/>
    <x v="26"/>
    <x v="1"/>
    <x v="1537"/>
    <x v="1496"/>
    <x v="2222"/>
    <x v="247"/>
    <x v="8"/>
    <x v="278"/>
    <x v="3"/>
    <x v="2"/>
    <x v="0"/>
    <x v="289"/>
    <x v="23"/>
    <x v="0"/>
    <s v="MEDIA"/>
    <s v="MEDIA"/>
    <n v="64"/>
    <s v="cumple"/>
    <x v="11"/>
    <x v="0"/>
    <x v="2222"/>
    <n v="812"/>
    <x v="1"/>
  </r>
  <r>
    <x v="0"/>
    <x v="1"/>
    <x v="0"/>
    <x v="0"/>
    <x v="26"/>
    <x v="1"/>
    <x v="1538"/>
    <x v="1496"/>
    <x v="2223"/>
    <x v="247"/>
    <x v="4"/>
    <x v="279"/>
    <x v="4"/>
    <x v="2"/>
    <x v="0"/>
    <x v="289"/>
    <x v="23"/>
    <x v="0"/>
    <s v="MEDIA"/>
    <s v="MEDIA"/>
    <n v="64"/>
    <s v="cumple"/>
    <x v="11"/>
    <x v="0"/>
    <x v="2223"/>
    <n v="812"/>
    <x v="1"/>
  </r>
  <r>
    <x v="0"/>
    <x v="1"/>
    <x v="0"/>
    <x v="0"/>
    <x v="26"/>
    <x v="1"/>
    <x v="1539"/>
    <x v="1496"/>
    <x v="2224"/>
    <x v="247"/>
    <x v="6"/>
    <x v="280"/>
    <x v="5"/>
    <x v="2"/>
    <x v="0"/>
    <x v="289"/>
    <x v="23"/>
    <x v="0"/>
    <s v="MEDIA"/>
    <s v="MEDIA"/>
    <n v="64"/>
    <s v="cumple"/>
    <x v="11"/>
    <x v="0"/>
    <x v="2224"/>
    <n v="812"/>
    <x v="1"/>
  </r>
  <r>
    <x v="0"/>
    <x v="1"/>
    <x v="0"/>
    <x v="0"/>
    <x v="26"/>
    <x v="1"/>
    <x v="1540"/>
    <x v="1496"/>
    <x v="2225"/>
    <x v="247"/>
    <x v="3"/>
    <x v="281"/>
    <x v="9"/>
    <x v="2"/>
    <x v="0"/>
    <x v="289"/>
    <x v="23"/>
    <x v="0"/>
    <s v="MEDIA"/>
    <s v="MEDIA"/>
    <n v="64"/>
    <s v="cumple"/>
    <x v="11"/>
    <x v="0"/>
    <x v="2225"/>
    <n v="812"/>
    <x v="1"/>
  </r>
  <r>
    <x v="0"/>
    <x v="1"/>
    <x v="0"/>
    <x v="0"/>
    <x v="26"/>
    <x v="1"/>
    <x v="1541"/>
    <x v="1496"/>
    <x v="2226"/>
    <x v="247"/>
    <x v="9"/>
    <x v="282"/>
    <x v="18"/>
    <x v="2"/>
    <x v="0"/>
    <x v="289"/>
    <x v="23"/>
    <x v="0"/>
    <s v="MEDIA"/>
    <s v="MEDIA"/>
    <n v="64"/>
    <s v="cumple"/>
    <x v="11"/>
    <x v="0"/>
    <x v="2226"/>
    <n v="812"/>
    <x v="1"/>
  </r>
  <r>
    <x v="0"/>
    <x v="1"/>
    <x v="0"/>
    <x v="0"/>
    <x v="26"/>
    <x v="1"/>
    <x v="1542"/>
    <x v="1496"/>
    <x v="2227"/>
    <x v="247"/>
    <x v="15"/>
    <x v="283"/>
    <x v="17"/>
    <x v="2"/>
    <x v="0"/>
    <x v="289"/>
    <x v="23"/>
    <x v="0"/>
    <s v="MEDIA"/>
    <s v="MEDIA"/>
    <n v="64"/>
    <s v="cumple"/>
    <x v="11"/>
    <x v="0"/>
    <x v="2227"/>
    <n v="812"/>
    <x v="1"/>
  </r>
  <r>
    <x v="0"/>
    <x v="1"/>
    <x v="0"/>
    <x v="0"/>
    <x v="26"/>
    <x v="1"/>
    <x v="1543"/>
    <x v="1496"/>
    <x v="2228"/>
    <x v="247"/>
    <x v="14"/>
    <x v="284"/>
    <x v="21"/>
    <x v="2"/>
    <x v="0"/>
    <x v="289"/>
    <x v="23"/>
    <x v="0"/>
    <s v="MEDIA"/>
    <s v="MEDIA"/>
    <n v="64"/>
    <s v="cumple"/>
    <x v="11"/>
    <x v="0"/>
    <x v="2228"/>
    <n v="812"/>
    <x v="1"/>
  </r>
  <r>
    <x v="0"/>
    <x v="1"/>
    <x v="0"/>
    <x v="0"/>
    <x v="26"/>
    <x v="1"/>
    <x v="1544"/>
    <x v="1496"/>
    <x v="2229"/>
    <x v="247"/>
    <x v="16"/>
    <x v="285"/>
    <x v="22"/>
    <x v="2"/>
    <x v="0"/>
    <x v="289"/>
    <x v="23"/>
    <x v="0"/>
    <s v="MEDIA"/>
    <s v="MEDIA"/>
    <n v="64"/>
    <s v="cumple"/>
    <x v="11"/>
    <x v="0"/>
    <x v="2229"/>
    <n v="812"/>
    <x v="1"/>
  </r>
  <r>
    <x v="0"/>
    <x v="1"/>
    <x v="0"/>
    <x v="0"/>
    <x v="26"/>
    <x v="1"/>
    <x v="1545"/>
    <x v="1496"/>
    <x v="2230"/>
    <x v="248"/>
    <x v="0"/>
    <x v="286"/>
    <x v="8"/>
    <x v="2"/>
    <x v="0"/>
    <x v="289"/>
    <x v="23"/>
    <x v="0"/>
    <s v="MEDIA"/>
    <s v="MEDIA"/>
    <n v="64"/>
    <s v="cumple"/>
    <x v="11"/>
    <x v="0"/>
    <x v="2230"/>
    <n v="812"/>
    <x v="1"/>
  </r>
  <r>
    <x v="0"/>
    <x v="1"/>
    <x v="0"/>
    <x v="0"/>
    <x v="26"/>
    <x v="1"/>
    <x v="1546"/>
    <x v="1496"/>
    <x v="2231"/>
    <x v="248"/>
    <x v="8"/>
    <x v="287"/>
    <x v="3"/>
    <x v="2"/>
    <x v="0"/>
    <x v="289"/>
    <x v="23"/>
    <x v="0"/>
    <s v="MEDIA"/>
    <s v="MEDIA"/>
    <n v="64"/>
    <s v="cumple"/>
    <x v="11"/>
    <x v="0"/>
    <x v="2231"/>
    <n v="812"/>
    <x v="1"/>
  </r>
  <r>
    <x v="0"/>
    <x v="1"/>
    <x v="0"/>
    <x v="0"/>
    <x v="26"/>
    <x v="1"/>
    <x v="1547"/>
    <x v="1496"/>
    <x v="2232"/>
    <x v="248"/>
    <x v="4"/>
    <x v="288"/>
    <x v="4"/>
    <x v="2"/>
    <x v="0"/>
    <x v="289"/>
    <x v="23"/>
    <x v="0"/>
    <s v="MEDIA"/>
    <s v="MEDIA"/>
    <n v="64"/>
    <s v="cumple"/>
    <x v="11"/>
    <x v="0"/>
    <x v="2232"/>
    <n v="812"/>
    <x v="1"/>
  </r>
  <r>
    <x v="0"/>
    <x v="1"/>
    <x v="0"/>
    <x v="0"/>
    <x v="26"/>
    <x v="1"/>
    <x v="1548"/>
    <x v="1496"/>
    <x v="2233"/>
    <x v="248"/>
    <x v="6"/>
    <x v="289"/>
    <x v="5"/>
    <x v="2"/>
    <x v="0"/>
    <x v="289"/>
    <x v="23"/>
    <x v="0"/>
    <s v="MEDIA"/>
    <s v="MEDIA"/>
    <n v="64"/>
    <s v="cumple"/>
    <x v="11"/>
    <x v="0"/>
    <x v="2233"/>
    <n v="812"/>
    <x v="1"/>
  </r>
  <r>
    <x v="0"/>
    <x v="1"/>
    <x v="0"/>
    <x v="0"/>
    <x v="26"/>
    <x v="1"/>
    <x v="1549"/>
    <x v="1496"/>
    <x v="2234"/>
    <x v="248"/>
    <x v="3"/>
    <x v="290"/>
    <x v="9"/>
    <x v="2"/>
    <x v="0"/>
    <x v="289"/>
    <x v="23"/>
    <x v="0"/>
    <s v="MEDIA"/>
    <s v="MEDIA"/>
    <n v="64"/>
    <s v="cumple"/>
    <x v="11"/>
    <x v="0"/>
    <x v="2234"/>
    <n v="812"/>
    <x v="1"/>
  </r>
  <r>
    <x v="0"/>
    <x v="1"/>
    <x v="0"/>
    <x v="0"/>
    <x v="26"/>
    <x v="1"/>
    <x v="1550"/>
    <x v="1496"/>
    <x v="2235"/>
    <x v="248"/>
    <x v="9"/>
    <x v="291"/>
    <x v="18"/>
    <x v="2"/>
    <x v="0"/>
    <x v="289"/>
    <x v="23"/>
    <x v="0"/>
    <s v="MEDIA"/>
    <s v="MEDIA"/>
    <n v="64"/>
    <s v="cumple"/>
    <x v="11"/>
    <x v="0"/>
    <x v="2235"/>
    <n v="812"/>
    <x v="1"/>
  </r>
  <r>
    <x v="0"/>
    <x v="1"/>
    <x v="0"/>
    <x v="0"/>
    <x v="26"/>
    <x v="1"/>
    <x v="1551"/>
    <x v="1496"/>
    <x v="2236"/>
    <x v="248"/>
    <x v="15"/>
    <x v="292"/>
    <x v="17"/>
    <x v="2"/>
    <x v="0"/>
    <x v="289"/>
    <x v="23"/>
    <x v="0"/>
    <s v="MEDIA"/>
    <s v="MEDIA"/>
    <n v="64"/>
    <s v="cumple"/>
    <x v="11"/>
    <x v="0"/>
    <x v="2236"/>
    <n v="812"/>
    <x v="1"/>
  </r>
  <r>
    <x v="0"/>
    <x v="1"/>
    <x v="0"/>
    <x v="0"/>
    <x v="26"/>
    <x v="1"/>
    <x v="1552"/>
    <x v="1497"/>
    <x v="2237"/>
    <x v="248"/>
    <x v="14"/>
    <x v="293"/>
    <x v="21"/>
    <x v="2"/>
    <x v="0"/>
    <x v="289"/>
    <x v="23"/>
    <x v="0"/>
    <s v="MEDIA"/>
    <s v="MEDIA"/>
    <n v="64"/>
    <s v="cumple"/>
    <x v="11"/>
    <x v="0"/>
    <x v="2237"/>
    <n v="812"/>
    <x v="1"/>
  </r>
  <r>
    <x v="0"/>
    <x v="1"/>
    <x v="0"/>
    <x v="0"/>
    <x v="26"/>
    <x v="1"/>
    <x v="1553"/>
    <x v="1497"/>
    <x v="2238"/>
    <x v="248"/>
    <x v="16"/>
    <x v="294"/>
    <x v="22"/>
    <x v="2"/>
    <x v="0"/>
    <x v="289"/>
    <x v="23"/>
    <x v="0"/>
    <s v="MEDIA"/>
    <s v="MEDIA"/>
    <n v="64"/>
    <s v="cumple"/>
    <x v="11"/>
    <x v="0"/>
    <x v="2238"/>
    <n v="812"/>
    <x v="1"/>
  </r>
  <r>
    <x v="0"/>
    <x v="1"/>
    <x v="0"/>
    <x v="0"/>
    <x v="26"/>
    <x v="1"/>
    <x v="1554"/>
    <x v="1497"/>
    <x v="2239"/>
    <x v="249"/>
    <x v="0"/>
    <x v="295"/>
    <x v="8"/>
    <x v="2"/>
    <x v="0"/>
    <x v="289"/>
    <x v="23"/>
    <x v="0"/>
    <s v="MEDIA"/>
    <s v="MEDIA"/>
    <n v="64"/>
    <s v="cumple"/>
    <x v="11"/>
    <x v="0"/>
    <x v="2239"/>
    <n v="812"/>
    <x v="1"/>
  </r>
  <r>
    <x v="0"/>
    <x v="1"/>
    <x v="0"/>
    <x v="0"/>
    <x v="26"/>
    <x v="1"/>
    <x v="1555"/>
    <x v="1497"/>
    <x v="2240"/>
    <x v="249"/>
    <x v="8"/>
    <x v="296"/>
    <x v="3"/>
    <x v="2"/>
    <x v="0"/>
    <x v="289"/>
    <x v="23"/>
    <x v="0"/>
    <s v="MEDIA"/>
    <s v="MEDIA"/>
    <n v="64"/>
    <s v="cumple"/>
    <x v="11"/>
    <x v="0"/>
    <x v="2240"/>
    <n v="812"/>
    <x v="1"/>
  </r>
  <r>
    <x v="0"/>
    <x v="1"/>
    <x v="0"/>
    <x v="0"/>
    <x v="26"/>
    <x v="1"/>
    <x v="1556"/>
    <x v="1497"/>
    <x v="2488"/>
    <x v="249"/>
    <x v="4"/>
    <x v="297"/>
    <x v="4"/>
    <x v="2"/>
    <x v="0"/>
    <x v="289"/>
    <x v="23"/>
    <x v="0"/>
    <s v="MEDIA"/>
    <s v="MEDIA"/>
    <n v="64"/>
    <s v="cumple"/>
    <x v="11"/>
    <x v="0"/>
    <x v="2488"/>
    <n v="812"/>
    <x v="1"/>
  </r>
  <r>
    <x v="0"/>
    <x v="1"/>
    <x v="0"/>
    <x v="0"/>
    <x v="26"/>
    <x v="1"/>
    <x v="1557"/>
    <x v="1497"/>
    <x v="2241"/>
    <x v="249"/>
    <x v="6"/>
    <x v="298"/>
    <x v="5"/>
    <x v="2"/>
    <x v="0"/>
    <x v="289"/>
    <x v="23"/>
    <x v="0"/>
    <s v="MEDIA"/>
    <s v="MEDIA"/>
    <n v="64"/>
    <s v="cumple"/>
    <x v="11"/>
    <x v="0"/>
    <x v="2241"/>
    <n v="812"/>
    <x v="1"/>
  </r>
  <r>
    <x v="0"/>
    <x v="1"/>
    <x v="0"/>
    <x v="0"/>
    <x v="26"/>
    <x v="1"/>
    <x v="1558"/>
    <x v="1497"/>
    <x v="2242"/>
    <x v="249"/>
    <x v="3"/>
    <x v="299"/>
    <x v="9"/>
    <x v="2"/>
    <x v="0"/>
    <x v="289"/>
    <x v="23"/>
    <x v="0"/>
    <s v="MEDIA"/>
    <s v="MEDIA"/>
    <n v="64"/>
    <s v="cumple"/>
    <x v="11"/>
    <x v="0"/>
    <x v="2242"/>
    <n v="812"/>
    <x v="1"/>
  </r>
  <r>
    <x v="0"/>
    <x v="1"/>
    <x v="0"/>
    <x v="0"/>
    <x v="26"/>
    <x v="1"/>
    <x v="1559"/>
    <x v="1497"/>
    <x v="2243"/>
    <x v="249"/>
    <x v="9"/>
    <x v="300"/>
    <x v="18"/>
    <x v="2"/>
    <x v="0"/>
    <x v="289"/>
    <x v="23"/>
    <x v="0"/>
    <s v="MEDIA"/>
    <s v="MEDIA"/>
    <n v="64"/>
    <s v="cumple"/>
    <x v="11"/>
    <x v="0"/>
    <x v="2243"/>
    <n v="812"/>
    <x v="1"/>
  </r>
  <r>
    <x v="0"/>
    <x v="1"/>
    <x v="0"/>
    <x v="0"/>
    <x v="26"/>
    <x v="1"/>
    <x v="1560"/>
    <x v="1497"/>
    <x v="2244"/>
    <x v="249"/>
    <x v="15"/>
    <x v="301"/>
    <x v="17"/>
    <x v="2"/>
    <x v="0"/>
    <x v="289"/>
    <x v="23"/>
    <x v="0"/>
    <s v="MEDIA"/>
    <s v="MEDIA"/>
    <n v="64"/>
    <s v="cumple"/>
    <x v="11"/>
    <x v="0"/>
    <x v="2244"/>
    <n v="812"/>
    <x v="1"/>
  </r>
  <r>
    <x v="0"/>
    <x v="1"/>
    <x v="0"/>
    <x v="0"/>
    <x v="26"/>
    <x v="1"/>
    <x v="1561"/>
    <x v="1497"/>
    <x v="2245"/>
    <x v="249"/>
    <x v="14"/>
    <x v="302"/>
    <x v="21"/>
    <x v="2"/>
    <x v="0"/>
    <x v="289"/>
    <x v="23"/>
    <x v="0"/>
    <s v="MEDIA"/>
    <s v="MEDIA"/>
    <n v="64"/>
    <s v="cumple"/>
    <x v="11"/>
    <x v="0"/>
    <x v="2245"/>
    <n v="812"/>
    <x v="1"/>
  </r>
  <r>
    <x v="0"/>
    <x v="1"/>
    <x v="0"/>
    <x v="0"/>
    <x v="26"/>
    <x v="1"/>
    <x v="1562"/>
    <x v="1497"/>
    <x v="2246"/>
    <x v="249"/>
    <x v="16"/>
    <x v="303"/>
    <x v="22"/>
    <x v="2"/>
    <x v="0"/>
    <x v="289"/>
    <x v="23"/>
    <x v="0"/>
    <s v="MEDIA"/>
    <s v="MEDIA"/>
    <n v="64"/>
    <s v="cumple"/>
    <x v="11"/>
    <x v="0"/>
    <x v="2246"/>
    <n v="812"/>
    <x v="1"/>
  </r>
  <r>
    <x v="0"/>
    <x v="1"/>
    <x v="0"/>
    <x v="0"/>
    <x v="26"/>
    <x v="1"/>
    <x v="1563"/>
    <x v="1497"/>
    <x v="2247"/>
    <x v="250"/>
    <x v="0"/>
    <x v="304"/>
    <x v="8"/>
    <x v="2"/>
    <x v="0"/>
    <x v="289"/>
    <x v="23"/>
    <x v="0"/>
    <s v="MEDIA"/>
    <s v="MEDIA"/>
    <n v="64"/>
    <s v="cumple"/>
    <x v="11"/>
    <x v="0"/>
    <x v="2247"/>
    <n v="812"/>
    <x v="1"/>
  </r>
  <r>
    <x v="0"/>
    <x v="1"/>
    <x v="0"/>
    <x v="0"/>
    <x v="26"/>
    <x v="1"/>
    <x v="1564"/>
    <x v="1498"/>
    <x v="2471"/>
    <x v="250"/>
    <x v="8"/>
    <x v="305"/>
    <x v="3"/>
    <x v="2"/>
    <x v="0"/>
    <x v="289"/>
    <x v="23"/>
    <x v="0"/>
    <s v="MEDIA"/>
    <s v="MEDIA"/>
    <n v="64"/>
    <s v="cumple"/>
    <x v="11"/>
    <x v="0"/>
    <x v="2471"/>
    <n v="812"/>
    <x v="1"/>
  </r>
  <r>
    <x v="0"/>
    <x v="1"/>
    <x v="0"/>
    <x v="0"/>
    <x v="26"/>
    <x v="1"/>
    <x v="1565"/>
    <x v="1498"/>
    <x v="2472"/>
    <x v="250"/>
    <x v="4"/>
    <x v="306"/>
    <x v="4"/>
    <x v="2"/>
    <x v="0"/>
    <x v="289"/>
    <x v="23"/>
    <x v="0"/>
    <s v="MEDIA"/>
    <s v="MEDIA"/>
    <n v="64"/>
    <s v="cumple"/>
    <x v="11"/>
    <x v="0"/>
    <x v="2472"/>
    <n v="812"/>
    <x v="1"/>
  </r>
  <r>
    <x v="0"/>
    <x v="1"/>
    <x v="0"/>
    <x v="0"/>
    <x v="26"/>
    <x v="1"/>
    <x v="1566"/>
    <x v="1498"/>
    <x v="2473"/>
    <x v="250"/>
    <x v="6"/>
    <x v="307"/>
    <x v="5"/>
    <x v="2"/>
    <x v="0"/>
    <x v="289"/>
    <x v="23"/>
    <x v="0"/>
    <s v="MEDIA"/>
    <s v="MEDIA"/>
    <n v="64"/>
    <s v="cumple"/>
    <x v="11"/>
    <x v="0"/>
    <x v="2473"/>
    <n v="812"/>
    <x v="1"/>
  </r>
  <r>
    <x v="0"/>
    <x v="1"/>
    <x v="0"/>
    <x v="0"/>
    <x v="26"/>
    <x v="1"/>
    <x v="1567"/>
    <x v="1498"/>
    <x v="2474"/>
    <x v="250"/>
    <x v="3"/>
    <x v="308"/>
    <x v="9"/>
    <x v="2"/>
    <x v="0"/>
    <x v="289"/>
    <x v="23"/>
    <x v="0"/>
    <s v="MEDIA"/>
    <s v="MEDIA"/>
    <n v="64"/>
    <s v="cumple"/>
    <x v="11"/>
    <x v="0"/>
    <x v="2474"/>
    <n v="812"/>
    <x v="1"/>
  </r>
  <r>
    <x v="0"/>
    <x v="1"/>
    <x v="0"/>
    <x v="0"/>
    <x v="26"/>
    <x v="1"/>
    <x v="1568"/>
    <x v="1362"/>
    <x v="2221"/>
    <x v="242"/>
    <x v="0"/>
    <x v="242"/>
    <x v="4"/>
    <x v="5"/>
    <x v="0"/>
    <x v="290"/>
    <x v="24"/>
    <x v="0"/>
    <s v="MEDIA"/>
    <s v="MEDIA"/>
    <n v="64"/>
    <s v="cumple"/>
    <x v="11"/>
    <x v="0"/>
    <x v="2221"/>
    <n v="2436"/>
    <x v="1"/>
  </r>
  <r>
    <x v="0"/>
    <x v="1"/>
    <x v="0"/>
    <x v="0"/>
    <x v="26"/>
    <x v="1"/>
    <x v="1569"/>
    <x v="1362"/>
    <x v="2222"/>
    <x v="242"/>
    <x v="6"/>
    <x v="242"/>
    <x v="7"/>
    <x v="5"/>
    <x v="0"/>
    <x v="290"/>
    <x v="24"/>
    <x v="0"/>
    <s v="MEDIA"/>
    <s v="MEDIA"/>
    <n v="64"/>
    <s v="cumple"/>
    <x v="11"/>
    <x v="0"/>
    <x v="2222"/>
    <n v="2436"/>
    <x v="1"/>
  </r>
  <r>
    <x v="0"/>
    <x v="1"/>
    <x v="0"/>
    <x v="0"/>
    <x v="26"/>
    <x v="1"/>
    <x v="1570"/>
    <x v="1362"/>
    <x v="2223"/>
    <x v="243"/>
    <x v="0"/>
    <x v="243"/>
    <x v="8"/>
    <x v="2"/>
    <x v="0"/>
    <x v="290"/>
    <x v="24"/>
    <x v="0"/>
    <s v="MEDIA"/>
    <s v="MEDIA"/>
    <n v="64"/>
    <s v="cumple"/>
    <x v="11"/>
    <x v="0"/>
    <x v="2223"/>
    <n v="812"/>
    <x v="1"/>
  </r>
  <r>
    <x v="0"/>
    <x v="1"/>
    <x v="0"/>
    <x v="0"/>
    <x v="26"/>
    <x v="1"/>
    <x v="1571"/>
    <x v="1362"/>
    <x v="2224"/>
    <x v="243"/>
    <x v="8"/>
    <x v="243"/>
    <x v="4"/>
    <x v="4"/>
    <x v="0"/>
    <x v="290"/>
    <x v="24"/>
    <x v="0"/>
    <s v="MEDIA"/>
    <s v="MEDIA"/>
    <n v="64"/>
    <s v="cumple"/>
    <x v="11"/>
    <x v="0"/>
    <x v="2224"/>
    <n v="1624"/>
    <x v="1"/>
  </r>
  <r>
    <x v="0"/>
    <x v="1"/>
    <x v="0"/>
    <x v="0"/>
    <x v="26"/>
    <x v="1"/>
    <x v="1572"/>
    <x v="1362"/>
    <x v="2225"/>
    <x v="243"/>
    <x v="6"/>
    <x v="243"/>
    <x v="12"/>
    <x v="12"/>
    <x v="0"/>
    <x v="290"/>
    <x v="24"/>
    <x v="0"/>
    <s v="MEDIA"/>
    <s v="MEDIA"/>
    <n v="64"/>
    <s v="cumple"/>
    <x v="11"/>
    <x v="0"/>
    <x v="2225"/>
    <n v="2029.9999999999998"/>
    <x v="1"/>
  </r>
  <r>
    <x v="0"/>
    <x v="1"/>
    <x v="0"/>
    <x v="0"/>
    <x v="26"/>
    <x v="1"/>
    <x v="1573"/>
    <x v="1362"/>
    <x v="2226"/>
    <x v="243"/>
    <x v="7"/>
    <x v="243"/>
    <x v="17"/>
    <x v="15"/>
    <x v="0"/>
    <x v="290"/>
    <x v="24"/>
    <x v="0"/>
    <s v="MEDIA"/>
    <s v="MEDIA"/>
    <n v="64"/>
    <s v="cumple"/>
    <x v="11"/>
    <x v="0"/>
    <x v="2226"/>
    <n v="1218"/>
    <x v="1"/>
  </r>
  <r>
    <x v="0"/>
    <x v="1"/>
    <x v="0"/>
    <x v="0"/>
    <x v="26"/>
    <x v="1"/>
    <x v="1574"/>
    <x v="1362"/>
    <x v="2227"/>
    <x v="243"/>
    <x v="14"/>
    <x v="243"/>
    <x v="0"/>
    <x v="15"/>
    <x v="0"/>
    <x v="290"/>
    <x v="24"/>
    <x v="0"/>
    <s v="MEDIA"/>
    <s v="MEDIA"/>
    <n v="64"/>
    <s v="cumple"/>
    <x v="11"/>
    <x v="0"/>
    <x v="2227"/>
    <n v="1218"/>
    <x v="1"/>
  </r>
  <r>
    <x v="0"/>
    <x v="1"/>
    <x v="0"/>
    <x v="0"/>
    <x v="26"/>
    <x v="1"/>
    <x v="1575"/>
    <x v="1362"/>
    <x v="2228"/>
    <x v="244"/>
    <x v="0"/>
    <x v="244"/>
    <x v="15"/>
    <x v="12"/>
    <x v="0"/>
    <x v="290"/>
    <x v="24"/>
    <x v="0"/>
    <s v="MEDIA"/>
    <s v="MEDIA"/>
    <n v="64"/>
    <s v="cumple"/>
    <x v="11"/>
    <x v="0"/>
    <x v="2228"/>
    <n v="2029.9999999999998"/>
    <x v="1"/>
  </r>
  <r>
    <x v="0"/>
    <x v="1"/>
    <x v="0"/>
    <x v="0"/>
    <x v="26"/>
    <x v="1"/>
    <x v="1576"/>
    <x v="1362"/>
    <x v="2229"/>
    <x v="244"/>
    <x v="12"/>
    <x v="244"/>
    <x v="12"/>
    <x v="5"/>
    <x v="0"/>
    <x v="290"/>
    <x v="24"/>
    <x v="0"/>
    <s v="MEDIA"/>
    <s v="MEDIA"/>
    <n v="64"/>
    <s v="cumple"/>
    <x v="11"/>
    <x v="0"/>
    <x v="2229"/>
    <n v="2436"/>
    <x v="1"/>
  </r>
  <r>
    <x v="0"/>
    <x v="1"/>
    <x v="0"/>
    <x v="0"/>
    <x v="26"/>
    <x v="1"/>
    <x v="1577"/>
    <x v="1362"/>
    <x v="2230"/>
    <x v="244"/>
    <x v="7"/>
    <x v="244"/>
    <x v="0"/>
    <x v="5"/>
    <x v="0"/>
    <x v="290"/>
    <x v="24"/>
    <x v="0"/>
    <s v="MEDIA"/>
    <s v="MEDIA"/>
    <n v="64"/>
    <s v="cumple"/>
    <x v="11"/>
    <x v="0"/>
    <x v="2230"/>
    <n v="2436"/>
    <x v="1"/>
  </r>
  <r>
    <x v="0"/>
    <x v="1"/>
    <x v="0"/>
    <x v="0"/>
    <x v="26"/>
    <x v="1"/>
    <x v="1578"/>
    <x v="1362"/>
    <x v="2231"/>
    <x v="245"/>
    <x v="0"/>
    <x v="245"/>
    <x v="3"/>
    <x v="4"/>
    <x v="0"/>
    <x v="290"/>
    <x v="24"/>
    <x v="0"/>
    <s v="MEDIA"/>
    <s v="MEDIA"/>
    <n v="64"/>
    <s v="cumple"/>
    <x v="11"/>
    <x v="0"/>
    <x v="2231"/>
    <n v="1624"/>
    <x v="1"/>
  </r>
  <r>
    <x v="0"/>
    <x v="1"/>
    <x v="0"/>
    <x v="0"/>
    <x v="26"/>
    <x v="1"/>
    <x v="1579"/>
    <x v="1362"/>
    <x v="2232"/>
    <x v="245"/>
    <x v="4"/>
    <x v="245"/>
    <x v="12"/>
    <x v="12"/>
    <x v="0"/>
    <x v="290"/>
    <x v="24"/>
    <x v="0"/>
    <s v="MEDIA"/>
    <s v="MEDIA"/>
    <n v="64"/>
    <s v="cumple"/>
    <x v="11"/>
    <x v="0"/>
    <x v="2232"/>
    <n v="2029.9999999999998"/>
    <x v="1"/>
  </r>
  <r>
    <x v="0"/>
    <x v="1"/>
    <x v="0"/>
    <x v="0"/>
    <x v="26"/>
    <x v="1"/>
    <x v="1580"/>
    <x v="1362"/>
    <x v="2233"/>
    <x v="245"/>
    <x v="7"/>
    <x v="245"/>
    <x v="21"/>
    <x v="12"/>
    <x v="0"/>
    <x v="290"/>
    <x v="24"/>
    <x v="0"/>
    <s v="MEDIA"/>
    <s v="MEDIA"/>
    <n v="64"/>
    <s v="cumple"/>
    <x v="11"/>
    <x v="0"/>
    <x v="2233"/>
    <n v="2029.9999999999998"/>
    <x v="1"/>
  </r>
  <r>
    <x v="0"/>
    <x v="1"/>
    <x v="0"/>
    <x v="0"/>
    <x v="26"/>
    <x v="1"/>
    <x v="1581"/>
    <x v="1362"/>
    <x v="2234"/>
    <x v="245"/>
    <x v="16"/>
    <x v="245"/>
    <x v="11"/>
    <x v="4"/>
    <x v="0"/>
    <x v="290"/>
    <x v="24"/>
    <x v="0"/>
    <s v="MEDIA"/>
    <s v="MEDIA"/>
    <n v="64"/>
    <s v="cumple"/>
    <x v="11"/>
    <x v="0"/>
    <x v="2234"/>
    <n v="1624"/>
    <x v="1"/>
  </r>
  <r>
    <x v="0"/>
    <x v="1"/>
    <x v="0"/>
    <x v="0"/>
    <x v="26"/>
    <x v="1"/>
    <x v="1582"/>
    <x v="1362"/>
    <x v="2235"/>
    <x v="246"/>
    <x v="0"/>
    <x v="246"/>
    <x v="3"/>
    <x v="4"/>
    <x v="0"/>
    <x v="290"/>
    <x v="24"/>
    <x v="0"/>
    <s v="MEDIA"/>
    <s v="MEDIA"/>
    <n v="64"/>
    <s v="cumple"/>
    <x v="11"/>
    <x v="0"/>
    <x v="2235"/>
    <n v="1624"/>
    <x v="1"/>
  </r>
  <r>
    <x v="0"/>
    <x v="1"/>
    <x v="0"/>
    <x v="0"/>
    <x v="26"/>
    <x v="1"/>
    <x v="1583"/>
    <x v="1362"/>
    <x v="2236"/>
    <x v="246"/>
    <x v="4"/>
    <x v="246"/>
    <x v="13"/>
    <x v="15"/>
    <x v="0"/>
    <x v="290"/>
    <x v="24"/>
    <x v="0"/>
    <s v="MEDIA"/>
    <s v="MEDIA"/>
    <n v="64"/>
    <s v="cumple"/>
    <x v="11"/>
    <x v="0"/>
    <x v="2236"/>
    <n v="1218"/>
    <x v="1"/>
  </r>
  <r>
    <x v="0"/>
    <x v="1"/>
    <x v="0"/>
    <x v="0"/>
    <x v="26"/>
    <x v="1"/>
    <x v="1584"/>
    <x v="1363"/>
    <x v="2237"/>
    <x v="246"/>
    <x v="10"/>
    <x v="246"/>
    <x v="12"/>
    <x v="4"/>
    <x v="0"/>
    <x v="290"/>
    <x v="24"/>
    <x v="0"/>
    <s v="MEDIA"/>
    <s v="MEDIA"/>
    <n v="64"/>
    <s v="cumple"/>
    <x v="11"/>
    <x v="0"/>
    <x v="2237"/>
    <n v="1624"/>
    <x v="1"/>
  </r>
  <r>
    <x v="0"/>
    <x v="1"/>
    <x v="0"/>
    <x v="0"/>
    <x v="26"/>
    <x v="1"/>
    <x v="1585"/>
    <x v="1363"/>
    <x v="2238"/>
    <x v="246"/>
    <x v="7"/>
    <x v="246"/>
    <x v="1"/>
    <x v="4"/>
    <x v="0"/>
    <x v="290"/>
    <x v="24"/>
    <x v="0"/>
    <s v="MEDIA"/>
    <s v="MEDIA"/>
    <n v="64"/>
    <s v="cumple"/>
    <x v="11"/>
    <x v="0"/>
    <x v="2238"/>
    <n v="1624"/>
    <x v="1"/>
  </r>
  <r>
    <x v="0"/>
    <x v="1"/>
    <x v="0"/>
    <x v="0"/>
    <x v="26"/>
    <x v="1"/>
    <x v="1586"/>
    <x v="1363"/>
    <x v="2239"/>
    <x v="246"/>
    <x v="1"/>
    <x v="246"/>
    <x v="0"/>
    <x v="2"/>
    <x v="0"/>
    <x v="290"/>
    <x v="24"/>
    <x v="0"/>
    <s v="MEDIA"/>
    <s v="MEDIA"/>
    <n v="64"/>
    <s v="cumple"/>
    <x v="11"/>
    <x v="0"/>
    <x v="2239"/>
    <n v="812"/>
    <x v="1"/>
  </r>
  <r>
    <x v="0"/>
    <x v="1"/>
    <x v="0"/>
    <x v="0"/>
    <x v="26"/>
    <x v="1"/>
    <x v="1587"/>
    <x v="1363"/>
    <x v="2240"/>
    <x v="247"/>
    <x v="0"/>
    <x v="247"/>
    <x v="12"/>
    <x v="16"/>
    <x v="0"/>
    <x v="290"/>
    <x v="24"/>
    <x v="0"/>
    <s v="MEDIA"/>
    <s v="MEDIA"/>
    <n v="64"/>
    <s v="cumple"/>
    <x v="11"/>
    <x v="0"/>
    <x v="2240"/>
    <n v="4466"/>
    <x v="1"/>
  </r>
  <r>
    <x v="0"/>
    <x v="1"/>
    <x v="0"/>
    <x v="0"/>
    <x v="26"/>
    <x v="1"/>
    <x v="1588"/>
    <x v="1363"/>
    <x v="2488"/>
    <x v="247"/>
    <x v="7"/>
    <x v="247"/>
    <x v="22"/>
    <x v="12"/>
    <x v="0"/>
    <x v="290"/>
    <x v="24"/>
    <x v="0"/>
    <s v="MEDIA"/>
    <s v="MEDIA"/>
    <n v="64"/>
    <s v="cumple"/>
    <x v="11"/>
    <x v="0"/>
    <x v="2488"/>
    <n v="2029.9999999999998"/>
    <x v="1"/>
  </r>
  <r>
    <x v="0"/>
    <x v="1"/>
    <x v="0"/>
    <x v="0"/>
    <x v="26"/>
    <x v="1"/>
    <x v="1589"/>
    <x v="1363"/>
    <x v="2241"/>
    <x v="262"/>
    <x v="0"/>
    <x v="263"/>
    <x v="12"/>
    <x v="16"/>
    <x v="0"/>
    <x v="290"/>
    <x v="24"/>
    <x v="0"/>
    <s v="MEDIA"/>
    <s v="MEDIA"/>
    <n v="64"/>
    <s v="cumple"/>
    <x v="11"/>
    <x v="0"/>
    <x v="2241"/>
    <n v="4466"/>
    <x v="1"/>
  </r>
  <r>
    <x v="0"/>
    <x v="1"/>
    <x v="0"/>
    <x v="0"/>
    <x v="26"/>
    <x v="1"/>
    <x v="1590"/>
    <x v="1363"/>
    <x v="2242"/>
    <x v="262"/>
    <x v="7"/>
    <x v="263"/>
    <x v="0"/>
    <x v="5"/>
    <x v="0"/>
    <x v="290"/>
    <x v="24"/>
    <x v="0"/>
    <s v="MEDIA"/>
    <s v="MEDIA"/>
    <n v="64"/>
    <s v="cumple"/>
    <x v="11"/>
    <x v="0"/>
    <x v="2242"/>
    <n v="2436"/>
    <x v="1"/>
  </r>
  <r>
    <x v="0"/>
    <x v="1"/>
    <x v="0"/>
    <x v="0"/>
    <x v="26"/>
    <x v="1"/>
    <x v="1591"/>
    <x v="1363"/>
    <x v="2243"/>
    <x v="263"/>
    <x v="0"/>
    <x v="264"/>
    <x v="12"/>
    <x v="16"/>
    <x v="0"/>
    <x v="290"/>
    <x v="24"/>
    <x v="0"/>
    <s v="MEDIA"/>
    <s v="MEDIA"/>
    <n v="64"/>
    <s v="cumple"/>
    <x v="11"/>
    <x v="0"/>
    <x v="2243"/>
    <n v="4466"/>
    <x v="1"/>
  </r>
  <r>
    <x v="0"/>
    <x v="1"/>
    <x v="0"/>
    <x v="0"/>
    <x v="26"/>
    <x v="1"/>
    <x v="1592"/>
    <x v="1363"/>
    <x v="2244"/>
    <x v="263"/>
    <x v="7"/>
    <x v="264"/>
    <x v="0"/>
    <x v="5"/>
    <x v="0"/>
    <x v="290"/>
    <x v="24"/>
    <x v="0"/>
    <s v="MEDIA"/>
    <s v="MEDIA"/>
    <n v="64"/>
    <s v="cumple"/>
    <x v="11"/>
    <x v="0"/>
    <x v="2244"/>
    <n v="2436"/>
    <x v="1"/>
  </r>
  <r>
    <x v="0"/>
    <x v="1"/>
    <x v="0"/>
    <x v="0"/>
    <x v="26"/>
    <x v="1"/>
    <x v="1593"/>
    <x v="1363"/>
    <x v="2245"/>
    <x v="248"/>
    <x v="0"/>
    <x v="248"/>
    <x v="13"/>
    <x v="13"/>
    <x v="0"/>
    <x v="290"/>
    <x v="24"/>
    <x v="0"/>
    <s v="MEDIA"/>
    <s v="MEDIA"/>
    <n v="64"/>
    <s v="cumple"/>
    <x v="11"/>
    <x v="0"/>
    <x v="2245"/>
    <n v="2842"/>
    <x v="1"/>
  </r>
  <r>
    <x v="0"/>
    <x v="1"/>
    <x v="0"/>
    <x v="0"/>
    <x v="26"/>
    <x v="1"/>
    <x v="1594"/>
    <x v="1363"/>
    <x v="2246"/>
    <x v="248"/>
    <x v="10"/>
    <x v="248"/>
    <x v="12"/>
    <x v="4"/>
    <x v="0"/>
    <x v="290"/>
    <x v="24"/>
    <x v="0"/>
    <s v="MEDIA"/>
    <s v="MEDIA"/>
    <n v="64"/>
    <s v="cumple"/>
    <x v="11"/>
    <x v="0"/>
    <x v="2246"/>
    <n v="1624"/>
    <x v="1"/>
  </r>
  <r>
    <x v="0"/>
    <x v="1"/>
    <x v="0"/>
    <x v="0"/>
    <x v="26"/>
    <x v="1"/>
    <x v="1595"/>
    <x v="1363"/>
    <x v="2247"/>
    <x v="248"/>
    <x v="7"/>
    <x v="248"/>
    <x v="2"/>
    <x v="2"/>
    <x v="0"/>
    <x v="290"/>
    <x v="24"/>
    <x v="0"/>
    <s v="MEDIA"/>
    <s v="MEDIA"/>
    <n v="64"/>
    <s v="cumple"/>
    <x v="11"/>
    <x v="0"/>
    <x v="2247"/>
    <n v="812"/>
    <x v="1"/>
  </r>
  <r>
    <x v="0"/>
    <x v="1"/>
    <x v="0"/>
    <x v="0"/>
    <x v="26"/>
    <x v="1"/>
    <x v="1596"/>
    <x v="1493"/>
    <x v="2471"/>
    <x v="248"/>
    <x v="2"/>
    <x v="248"/>
    <x v="1"/>
    <x v="2"/>
    <x v="0"/>
    <x v="290"/>
    <x v="24"/>
    <x v="0"/>
    <s v="MEDIA"/>
    <s v="MEDIA"/>
    <n v="64"/>
    <s v="cumple"/>
    <x v="11"/>
    <x v="0"/>
    <x v="2471"/>
    <n v="812"/>
    <x v="1"/>
  </r>
  <r>
    <x v="0"/>
    <x v="1"/>
    <x v="0"/>
    <x v="0"/>
    <x v="26"/>
    <x v="1"/>
    <x v="1597"/>
    <x v="1493"/>
    <x v="2472"/>
    <x v="248"/>
    <x v="1"/>
    <x v="248"/>
    <x v="0"/>
    <x v="2"/>
    <x v="0"/>
    <x v="290"/>
    <x v="24"/>
    <x v="0"/>
    <s v="MEDIA"/>
    <s v="MEDIA"/>
    <n v="64"/>
    <s v="cumple"/>
    <x v="11"/>
    <x v="0"/>
    <x v="2472"/>
    <n v="812"/>
    <x v="1"/>
  </r>
  <r>
    <x v="0"/>
    <x v="1"/>
    <x v="0"/>
    <x v="0"/>
    <x v="26"/>
    <x v="1"/>
    <x v="1598"/>
    <x v="1493"/>
    <x v="2473"/>
    <x v="249"/>
    <x v="0"/>
    <x v="249"/>
    <x v="3"/>
    <x v="4"/>
    <x v="0"/>
    <x v="290"/>
    <x v="24"/>
    <x v="0"/>
    <s v="MEDIA"/>
    <s v="MEDIA"/>
    <n v="64"/>
    <s v="cumple"/>
    <x v="11"/>
    <x v="0"/>
    <x v="2473"/>
    <n v="1624"/>
    <x v="1"/>
  </r>
  <r>
    <x v="0"/>
    <x v="1"/>
    <x v="0"/>
    <x v="0"/>
    <x v="26"/>
    <x v="1"/>
    <x v="1599"/>
    <x v="1493"/>
    <x v="2474"/>
    <x v="249"/>
    <x v="4"/>
    <x v="249"/>
    <x v="9"/>
    <x v="4"/>
    <x v="0"/>
    <x v="290"/>
    <x v="24"/>
    <x v="0"/>
    <s v="MEDIA"/>
    <s v="MEDIA"/>
    <n v="64"/>
    <s v="cumple"/>
    <x v="11"/>
    <x v="0"/>
    <x v="2474"/>
    <n v="1624"/>
    <x v="1"/>
  </r>
  <r>
    <x v="1"/>
    <x v="0"/>
    <x v="3"/>
    <x v="0"/>
    <x v="16"/>
    <x v="3"/>
    <x v="1600"/>
    <x v="1354"/>
    <x v="2489"/>
    <x v="242"/>
    <x v="37"/>
    <x v="242"/>
    <x v="49"/>
    <x v="20"/>
    <x v="0"/>
    <x v="196"/>
    <x v="13"/>
    <x v="7"/>
    <s v="MEDIA"/>
    <s v="MEDIA"/>
    <n v="64"/>
    <s v="cumple"/>
    <x v="11"/>
    <x v="3"/>
    <x v="2489"/>
    <n v="6611.9999999999991"/>
    <x v="0"/>
  </r>
  <r>
    <x v="1"/>
    <x v="0"/>
    <x v="3"/>
    <x v="0"/>
    <x v="16"/>
    <x v="3"/>
    <x v="1601"/>
    <x v="1355"/>
    <x v="2490"/>
    <x v="243"/>
    <x v="0"/>
    <x v="243"/>
    <x v="11"/>
    <x v="20"/>
    <x v="0"/>
    <x v="196"/>
    <x v="13"/>
    <x v="7"/>
    <s v="MEDIA"/>
    <s v="MEDIA"/>
    <n v="64"/>
    <s v="cumple"/>
    <x v="11"/>
    <x v="3"/>
    <x v="2490"/>
    <n v="6611.9999999999991"/>
    <x v="0"/>
  </r>
  <r>
    <x v="1"/>
    <x v="0"/>
    <x v="3"/>
    <x v="0"/>
    <x v="16"/>
    <x v="3"/>
    <x v="1602"/>
    <x v="1354"/>
    <x v="2491"/>
    <x v="244"/>
    <x v="0"/>
    <x v="244"/>
    <x v="11"/>
    <x v="20"/>
    <x v="0"/>
    <x v="196"/>
    <x v="13"/>
    <x v="7"/>
    <s v="MEDIA"/>
    <s v="MEDIA"/>
    <n v="64"/>
    <s v="cumple"/>
    <x v="11"/>
    <x v="3"/>
    <x v="2491"/>
    <n v="6611.9999999999991"/>
    <x v="0"/>
  </r>
  <r>
    <x v="1"/>
    <x v="0"/>
    <x v="3"/>
    <x v="0"/>
    <x v="16"/>
    <x v="3"/>
    <x v="1603"/>
    <x v="1354"/>
    <x v="2492"/>
    <x v="245"/>
    <x v="0"/>
    <x v="245"/>
    <x v="11"/>
    <x v="20"/>
    <x v="0"/>
    <x v="196"/>
    <x v="13"/>
    <x v="7"/>
    <s v="MEDIA"/>
    <s v="MEDIA"/>
    <n v="64"/>
    <s v="cumple"/>
    <x v="11"/>
    <x v="3"/>
    <x v="2492"/>
    <n v="6611.9999999999991"/>
    <x v="0"/>
  </r>
  <r>
    <x v="1"/>
    <x v="0"/>
    <x v="3"/>
    <x v="0"/>
    <x v="16"/>
    <x v="3"/>
    <x v="1604"/>
    <x v="1354"/>
    <x v="2493"/>
    <x v="246"/>
    <x v="0"/>
    <x v="246"/>
    <x v="11"/>
    <x v="20"/>
    <x v="0"/>
    <x v="196"/>
    <x v="13"/>
    <x v="7"/>
    <s v="MEDIA"/>
    <s v="MEDIA"/>
    <n v="64"/>
    <s v="cumple"/>
    <x v="11"/>
    <x v="3"/>
    <x v="2493"/>
    <n v="6611.9999999999991"/>
    <x v="0"/>
  </r>
  <r>
    <x v="1"/>
    <x v="0"/>
    <x v="3"/>
    <x v="0"/>
    <x v="16"/>
    <x v="3"/>
    <x v="1605"/>
    <x v="1354"/>
    <x v="2494"/>
    <x v="247"/>
    <x v="0"/>
    <x v="247"/>
    <x v="11"/>
    <x v="20"/>
    <x v="0"/>
    <x v="196"/>
    <x v="13"/>
    <x v="7"/>
    <s v="MEDIA"/>
    <s v="MEDIA"/>
    <n v="64"/>
    <s v="cumple"/>
    <x v="11"/>
    <x v="3"/>
    <x v="2494"/>
    <n v="6611.9999999999991"/>
    <x v="0"/>
  </r>
  <r>
    <x v="1"/>
    <x v="0"/>
    <x v="3"/>
    <x v="0"/>
    <x v="16"/>
    <x v="3"/>
    <x v="1606"/>
    <x v="1354"/>
    <x v="2495"/>
    <x v="248"/>
    <x v="41"/>
    <x v="248"/>
    <x v="50"/>
    <x v="20"/>
    <x v="0"/>
    <x v="196"/>
    <x v="13"/>
    <x v="7"/>
    <s v="MEDIA"/>
    <s v="MEDIA"/>
    <n v="64"/>
    <s v="cumple"/>
    <x v="11"/>
    <x v="3"/>
    <x v="2495"/>
    <n v="6611.9999999999991"/>
    <x v="0"/>
  </r>
  <r>
    <x v="1"/>
    <x v="0"/>
    <x v="3"/>
    <x v="0"/>
    <x v="16"/>
    <x v="3"/>
    <x v="1607"/>
    <x v="1356"/>
    <x v="2496"/>
    <x v="263"/>
    <x v="0"/>
    <x v="264"/>
    <x v="11"/>
    <x v="20"/>
    <x v="0"/>
    <x v="196"/>
    <x v="13"/>
    <x v="7"/>
    <s v="MEDIA"/>
    <s v="MEDIA"/>
    <n v="64"/>
    <s v="cumple"/>
    <x v="11"/>
    <x v="3"/>
    <x v="2496"/>
    <n v="6611.9999999999991"/>
    <x v="0"/>
  </r>
  <r>
    <x v="1"/>
    <x v="0"/>
    <x v="3"/>
    <x v="0"/>
    <x v="16"/>
    <x v="3"/>
    <x v="1608"/>
    <x v="1357"/>
    <x v="2497"/>
    <x v="248"/>
    <x v="0"/>
    <x v="248"/>
    <x v="11"/>
    <x v="20"/>
    <x v="0"/>
    <x v="196"/>
    <x v="13"/>
    <x v="7"/>
    <s v="MEDIA"/>
    <s v="MEDIA"/>
    <n v="64"/>
    <s v="cumple"/>
    <x v="11"/>
    <x v="3"/>
    <x v="2497"/>
    <n v="6611.9999999999991"/>
    <x v="0"/>
  </r>
  <r>
    <x v="1"/>
    <x v="0"/>
    <x v="3"/>
    <x v="0"/>
    <x v="16"/>
    <x v="3"/>
    <x v="1609"/>
    <x v="1356"/>
    <x v="2498"/>
    <x v="249"/>
    <x v="0"/>
    <x v="249"/>
    <x v="11"/>
    <x v="20"/>
    <x v="0"/>
    <x v="196"/>
    <x v="13"/>
    <x v="7"/>
    <s v="MEDIA"/>
    <s v="MEDIA"/>
    <n v="64"/>
    <s v="cumple"/>
    <x v="11"/>
    <x v="3"/>
    <x v="2498"/>
    <n v="6611.9999999999991"/>
    <x v="0"/>
  </r>
  <r>
    <x v="1"/>
    <x v="0"/>
    <x v="3"/>
    <x v="0"/>
    <x v="16"/>
    <x v="3"/>
    <x v="1610"/>
    <x v="1358"/>
    <x v="2499"/>
    <x v="250"/>
    <x v="0"/>
    <x v="250"/>
    <x v="11"/>
    <x v="20"/>
    <x v="0"/>
    <x v="196"/>
    <x v="13"/>
    <x v="7"/>
    <s v="MEDIA"/>
    <s v="MEDIA"/>
    <n v="64"/>
    <s v="cumple"/>
    <x v="11"/>
    <x v="3"/>
    <x v="2499"/>
    <n v="6611.9999999999991"/>
    <x v="0"/>
  </r>
  <r>
    <x v="1"/>
    <x v="0"/>
    <x v="3"/>
    <x v="0"/>
    <x v="16"/>
    <x v="3"/>
    <x v="1611"/>
    <x v="1356"/>
    <x v="2500"/>
    <x v="251"/>
    <x v="0"/>
    <x v="251"/>
    <x v="11"/>
    <x v="20"/>
    <x v="0"/>
    <x v="196"/>
    <x v="13"/>
    <x v="7"/>
    <s v="MEDIA"/>
    <s v="MEDIA"/>
    <n v="64"/>
    <s v="cumple"/>
    <x v="11"/>
    <x v="3"/>
    <x v="2500"/>
    <n v="6611.9999999999991"/>
    <x v="0"/>
  </r>
  <r>
    <x v="1"/>
    <x v="0"/>
    <x v="3"/>
    <x v="0"/>
    <x v="16"/>
    <x v="3"/>
    <x v="1612"/>
    <x v="1359"/>
    <x v="2501"/>
    <x v="252"/>
    <x v="41"/>
    <x v="252"/>
    <x v="50"/>
    <x v="20"/>
    <x v="0"/>
    <x v="196"/>
    <x v="13"/>
    <x v="7"/>
    <s v="MEDIA"/>
    <s v="MEDIA"/>
    <n v="64"/>
    <s v="cumple"/>
    <x v="11"/>
    <x v="3"/>
    <x v="2501"/>
    <n v="6611.9999999999991"/>
    <x v="0"/>
  </r>
  <r>
    <x v="1"/>
    <x v="0"/>
    <x v="3"/>
    <x v="0"/>
    <x v="16"/>
    <x v="3"/>
    <x v="1613"/>
    <x v="1360"/>
    <x v="2502"/>
    <x v="253"/>
    <x v="42"/>
    <x v="253"/>
    <x v="51"/>
    <x v="20"/>
    <x v="0"/>
    <x v="196"/>
    <x v="13"/>
    <x v="7"/>
    <s v="MEDIA"/>
    <s v="MEDIA"/>
    <n v="64"/>
    <s v="cumple"/>
    <x v="11"/>
    <x v="3"/>
    <x v="2502"/>
    <n v="6611.9999999999991"/>
    <x v="0"/>
  </r>
  <r>
    <x v="1"/>
    <x v="0"/>
    <x v="3"/>
    <x v="0"/>
    <x v="16"/>
    <x v="3"/>
    <x v="1614"/>
    <x v="1360"/>
    <x v="2503"/>
    <x v="254"/>
    <x v="41"/>
    <x v="254"/>
    <x v="50"/>
    <x v="20"/>
    <x v="0"/>
    <x v="196"/>
    <x v="13"/>
    <x v="7"/>
    <s v="MEDIA"/>
    <s v="MEDIA"/>
    <n v="64"/>
    <s v="cumple"/>
    <x v="11"/>
    <x v="3"/>
    <x v="2503"/>
    <n v="6611.9999999999991"/>
    <x v="0"/>
  </r>
  <r>
    <x v="1"/>
    <x v="0"/>
    <x v="3"/>
    <x v="0"/>
    <x v="16"/>
    <x v="3"/>
    <x v="1615"/>
    <x v="1360"/>
    <x v="2504"/>
    <x v="255"/>
    <x v="37"/>
    <x v="255"/>
    <x v="49"/>
    <x v="20"/>
    <x v="0"/>
    <x v="196"/>
    <x v="13"/>
    <x v="7"/>
    <s v="MEDIA"/>
    <s v="MEDIA"/>
    <n v="64"/>
    <s v="cumple"/>
    <x v="11"/>
    <x v="3"/>
    <x v="2504"/>
    <n v="6611.9999999999991"/>
    <x v="0"/>
  </r>
  <r>
    <x v="1"/>
    <x v="0"/>
    <x v="3"/>
    <x v="0"/>
    <x v="16"/>
    <x v="7"/>
    <x v="1616"/>
    <x v="1360"/>
    <x v="2505"/>
    <x v="256"/>
    <x v="0"/>
    <x v="256"/>
    <x v="11"/>
    <x v="20"/>
    <x v="0"/>
    <x v="196"/>
    <x v="13"/>
    <x v="7"/>
    <s v="MEDIA"/>
    <s v="MEDIA"/>
    <n v="64"/>
    <s v="cumple"/>
    <x v="11"/>
    <x v="3"/>
    <x v="2505"/>
    <n v="6611.9999999999991"/>
    <x v="0"/>
  </r>
  <r>
    <x v="1"/>
    <x v="0"/>
    <x v="3"/>
    <x v="0"/>
    <x v="16"/>
    <x v="7"/>
    <x v="1617"/>
    <x v="1360"/>
    <x v="2506"/>
    <x v="257"/>
    <x v="0"/>
    <x v="257"/>
    <x v="11"/>
    <x v="20"/>
    <x v="0"/>
    <x v="196"/>
    <x v="13"/>
    <x v="7"/>
    <s v="MEDIA"/>
    <s v="MEDIA"/>
    <n v="64"/>
    <s v="cumple"/>
    <x v="11"/>
    <x v="3"/>
    <x v="2506"/>
    <n v="6611.9999999999991"/>
    <x v="0"/>
  </r>
  <r>
    <x v="1"/>
    <x v="0"/>
    <x v="3"/>
    <x v="0"/>
    <x v="16"/>
    <x v="7"/>
    <x v="1616"/>
    <x v="1360"/>
    <x v="2507"/>
    <x v="258"/>
    <x v="0"/>
    <x v="258"/>
    <x v="11"/>
    <x v="20"/>
    <x v="0"/>
    <x v="196"/>
    <x v="13"/>
    <x v="7"/>
    <s v="MEDIA"/>
    <s v="MEDIA"/>
    <n v="64"/>
    <s v="cumple"/>
    <x v="11"/>
    <x v="3"/>
    <x v="2507"/>
    <n v="6611.9999999999991"/>
    <x v="0"/>
  </r>
  <r>
    <x v="1"/>
    <x v="0"/>
    <x v="3"/>
    <x v="0"/>
    <x v="16"/>
    <x v="7"/>
    <x v="1617"/>
    <x v="1360"/>
    <x v="2508"/>
    <x v="259"/>
    <x v="0"/>
    <x v="259"/>
    <x v="1"/>
    <x v="1"/>
    <x v="0"/>
    <x v="196"/>
    <x v="13"/>
    <x v="7"/>
    <s v="MEDIA"/>
    <s v="MEDIA"/>
    <n v="64"/>
    <s v="cumple"/>
    <x v="11"/>
    <x v="3"/>
    <x v="2508"/>
    <n v="4872"/>
    <x v="0"/>
  </r>
  <r>
    <x v="1"/>
    <x v="0"/>
    <x v="3"/>
    <x v="0"/>
    <x v="16"/>
    <x v="7"/>
    <x v="1618"/>
    <x v="1360"/>
    <x v="2509"/>
    <x v="260"/>
    <x v="0"/>
    <x v="260"/>
    <x v="11"/>
    <x v="15"/>
    <x v="0"/>
    <x v="196"/>
    <x v="13"/>
    <x v="7"/>
    <s v="MEDIA"/>
    <s v="MEDIA"/>
    <n v="64"/>
    <s v="cumple"/>
    <x v="11"/>
    <x v="3"/>
    <x v="2509"/>
    <n v="1044"/>
    <x v="0"/>
  </r>
  <r>
    <x v="1"/>
    <x v="0"/>
    <x v="3"/>
    <x v="0"/>
    <x v="16"/>
    <x v="7"/>
    <x v="1619"/>
    <x v="1360"/>
    <x v="2510"/>
    <x v="261"/>
    <x v="0"/>
    <x v="261"/>
    <x v="11"/>
    <x v="15"/>
    <x v="0"/>
    <x v="196"/>
    <x v="13"/>
    <x v="7"/>
    <s v="MEDIA"/>
    <s v="MEDIA"/>
    <n v="64"/>
    <s v="cumple"/>
    <x v="11"/>
    <x v="3"/>
    <x v="2510"/>
    <n v="1044"/>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r>
    <x v="6"/>
    <x v="12"/>
    <x v="6"/>
    <x v="0"/>
    <x v="37"/>
    <x v="10"/>
    <x v="0"/>
    <x v="1499"/>
    <x v="2511"/>
    <x v="264"/>
    <x v="48"/>
    <x v="309"/>
    <x v="53"/>
    <x v="22"/>
    <x v="2"/>
    <x v="37"/>
    <x v="25"/>
    <x v="11"/>
    <m/>
    <m/>
    <s v=""/>
    <s v=""/>
    <x v="12"/>
    <x v="6"/>
    <x v="2511"/>
    <e v="#N/A"/>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6" cacheId="26" applyNumberFormats="0" applyBorderFormats="0" applyFontFormats="0" applyPatternFormats="0" applyAlignmentFormats="0" applyWidthHeightFormats="1" dataCaption="Valores" updatedVersion="8" minRefreshableVersion="3" useAutoFormatting="1" itemPrintTitles="1" createdVersion="6" indent="0" compact="0" compactData="0" multipleFieldFilters="0">
  <location ref="M412:O415" firstHeaderRow="1" firstDataRow="1" firstDataCol="2" rowPageCount="3" colPageCount="1"/>
  <pivotFields count="27">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outline="0" showAll="0"/>
    <pivotField compact="0" outline="0" showAll="0" defaultSubtotal="0"/>
    <pivotField compact="0" outline="0" showAll="0"/>
    <pivotField dataField="1" compact="0" outline="0" showAll="0" defaultSubtotal="0"/>
    <pivotField compact="0" outline="0" showAll="0" defaultSubtotal="0"/>
    <pivotField compact="0" outline="0" showAll="0" defaultSubtotal="0"/>
    <pivotField axis="axisRow" compact="0" outline="0" showAll="0" defaultSubtotal="0">
      <items count="76">
        <item m="1" x="67"/>
        <item m="1" x="63"/>
        <item m="1" x="60"/>
        <item x="20"/>
        <item m="1" x="73"/>
        <item m="1" x="47"/>
        <item m="1" x="74"/>
        <item m="1" x="30"/>
        <item m="1" x="42"/>
        <item x="6"/>
        <item m="1" x="28"/>
        <item m="1" x="39"/>
        <item x="25"/>
        <item m="1" x="41"/>
        <item m="1" x="72"/>
        <item m="1" x="26"/>
        <item m="1" x="69"/>
        <item x="3"/>
        <item x="5"/>
        <item x="9"/>
        <item m="1" x="61"/>
        <item x="4"/>
        <item m="1" x="49"/>
        <item m="1" x="75"/>
        <item m="1" x="62"/>
        <item m="1" x="29"/>
        <item m="1" x="50"/>
        <item m="1" x="33"/>
        <item m="1" x="59"/>
        <item m="1" x="65"/>
        <item m="1" x="53"/>
        <item m="1" x="56"/>
        <item x="2"/>
        <item x="1"/>
        <item m="1" x="54"/>
        <item m="1" x="44"/>
        <item m="1" x="34"/>
        <item m="1" x="64"/>
        <item m="1" x="46"/>
        <item m="1" x="37"/>
        <item m="1" x="45"/>
        <item m="1" x="27"/>
        <item m="1" x="55"/>
        <item m="1" x="36"/>
        <item m="1" x="52"/>
        <item m="1" x="43"/>
        <item m="1" x="31"/>
        <item m="1" x="38"/>
        <item m="1" x="66"/>
        <item x="0"/>
        <item m="1" x="48"/>
        <item x="7"/>
        <item x="8"/>
        <item m="1" x="70"/>
        <item x="10"/>
        <item x="11"/>
        <item m="1" x="57"/>
        <item m="1" x="35"/>
        <item x="12"/>
        <item x="13"/>
        <item m="1" x="58"/>
        <item m="1" x="71"/>
        <item x="14"/>
        <item x="15"/>
        <item x="16"/>
        <item m="1" x="32"/>
        <item m="1" x="68"/>
        <item x="18"/>
        <item x="19"/>
        <item x="21"/>
        <item x="22"/>
        <item m="1" x="51"/>
        <item m="1" x="40"/>
        <item x="17"/>
        <item x="23"/>
        <item x="24"/>
      </items>
    </pivotField>
    <pivotField axis="axisRow" compact="0" outline="0" showAll="0" defaultSubtotal="0">
      <items count="22">
        <item m="1" x="17"/>
        <item x="0"/>
        <item m="1" x="15"/>
        <item m="1" x="14"/>
        <item m="1" x="18"/>
        <item m="1" x="20"/>
        <item x="8"/>
        <item x="2"/>
        <item x="11"/>
        <item m="1" x="21"/>
        <item x="1"/>
        <item m="1" x="19"/>
        <item x="4"/>
        <item x="10"/>
        <item m="1" x="13"/>
        <item m="1" x="12"/>
        <item x="9"/>
        <item x="3"/>
        <item x="5"/>
        <item m="1" x="16"/>
        <item x="6"/>
        <item x="7"/>
      </items>
    </pivotField>
    <pivotField compact="0" outline="0" showAll="0" defaultSubtotal="0"/>
    <pivotField compact="0" outline="0" showAll="0" defaultSubtotal="0"/>
    <pivotField compact="0" outline="0" showAll="0" defaultSubtotal="0"/>
    <pivotField compact="0" outline="0" showAll="0" defaultSubtotal="0"/>
    <pivotField axis="axisPage" compact="0" outline="0" showAll="0" defaultSubtotal="0">
      <items count="14">
        <item x="0"/>
        <item x="12"/>
        <item x="1"/>
        <item x="2"/>
        <item x="3"/>
        <item x="4"/>
        <item x="5"/>
        <item x="6"/>
        <item x="7"/>
        <item x="8"/>
        <item x="9"/>
        <item x="10"/>
        <item x="11"/>
        <item m="1" x="13"/>
      </items>
    </pivotField>
    <pivotField axis="axisPage" compact="0" outline="0" showAll="0" defaultSubtotal="0">
      <items count="7">
        <item x="6"/>
        <item x="0"/>
        <item x="1"/>
        <item x="2"/>
        <item x="3"/>
        <item x="4"/>
        <item x="5"/>
      </items>
    </pivotField>
    <pivotField compact="0" outline="0" showAll="0" defaultSubtotal="0"/>
    <pivotField compact="0" numFmtId="44" outline="0" showAll="0" defaultSubtotal="0"/>
    <pivotField name="Tipo" axis="axisPage" compact="0" outline="0" showAll="0" defaultSubtotal="0">
      <items count="2">
        <item x="1"/>
        <item x="0"/>
      </items>
    </pivotField>
  </pivotFields>
  <rowFields count="2">
    <field x="16"/>
    <field x="17"/>
  </rowFields>
  <rowItems count="3">
    <i>
      <x v="9"/>
      <x v="7"/>
    </i>
    <i>
      <x v="49"/>
      <x v="1"/>
    </i>
    <i t="grand">
      <x/>
    </i>
  </rowItems>
  <colItems count="1">
    <i/>
  </colItems>
  <pageFields count="3">
    <pageField fld="23" item="1" hier="-1"/>
    <pageField fld="22" item="0" hier="-1"/>
    <pageField fld="26" item="1" hier="-1"/>
  </pageFields>
  <dataFields count="1">
    <dataField name="Suma de Tiempo_x000a_(Hrs 00/100)" fld="13" baseField="0" baseItem="0"/>
  </dataFields>
  <formats count="32">
    <format dxfId="1448">
      <pivotArea type="all" dataOnly="0" outline="0" fieldPosition="0"/>
    </format>
    <format dxfId="1447">
      <pivotArea outline="0" collapsedLevelsAreSubtotals="1" fieldPosition="0"/>
    </format>
    <format dxfId="1446">
      <pivotArea field="16" type="button" dataOnly="0" labelOnly="1" outline="0" axis="axisRow" fieldPosition="0"/>
    </format>
    <format dxfId="1445">
      <pivotArea field="17" type="button" dataOnly="0" labelOnly="1" outline="0" axis="axisRow" fieldPosition="1"/>
    </format>
    <format dxfId="1444">
      <pivotArea dataOnly="0" labelOnly="1" outline="0" axis="axisValues" fieldPosition="0"/>
    </format>
    <format dxfId="1443">
      <pivotArea dataOnly="0" labelOnly="1" outline="0" fieldPosition="0">
        <references count="1">
          <reference field="16" count="0"/>
        </references>
      </pivotArea>
    </format>
    <format dxfId="1442">
      <pivotArea dataOnly="0" labelOnly="1" grandRow="1" outline="0" fieldPosition="0"/>
    </format>
    <format dxfId="1441">
      <pivotArea dataOnly="0" labelOnly="1" outline="0" fieldPosition="0">
        <references count="2">
          <reference field="16" count="1" selected="0">
            <x v="0"/>
          </reference>
          <reference field="17" count="1">
            <x v="4"/>
          </reference>
        </references>
      </pivotArea>
    </format>
    <format dxfId="1440">
      <pivotArea dataOnly="0" labelOnly="1" outline="0" fieldPosition="0">
        <references count="2">
          <reference field="16" count="1" selected="0">
            <x v="1"/>
          </reference>
          <reference field="17" count="1">
            <x v="2"/>
          </reference>
        </references>
      </pivotArea>
    </format>
    <format dxfId="1439">
      <pivotArea dataOnly="0" labelOnly="1" outline="0" fieldPosition="0">
        <references count="2">
          <reference field="16" count="1" selected="0">
            <x v="2"/>
          </reference>
          <reference field="17" count="1">
            <x v="3"/>
          </reference>
        </references>
      </pivotArea>
    </format>
    <format dxfId="1438">
      <pivotArea dataOnly="0" labelOnly="1" outline="0" fieldPosition="0">
        <references count="2">
          <reference field="16" count="1" selected="0">
            <x v="3"/>
          </reference>
          <reference field="17" count="1">
            <x v="0"/>
          </reference>
        </references>
      </pivotArea>
    </format>
    <format dxfId="1437">
      <pivotArea dataOnly="0" labelOnly="1" outline="0" fieldPosition="0">
        <references count="2">
          <reference field="16" count="1" selected="0">
            <x v="4"/>
          </reference>
          <reference field="17" count="1">
            <x v="1"/>
          </reference>
        </references>
      </pivotArea>
    </format>
    <format dxfId="1436">
      <pivotArea dataOnly="0" labelOnly="1" outline="0" fieldPosition="0">
        <references count="2">
          <reference field="16" count="1" selected="0">
            <x v="5"/>
          </reference>
          <reference field="17" count="1">
            <x v="3"/>
          </reference>
        </references>
      </pivotArea>
    </format>
    <format dxfId="1435">
      <pivotArea dataOnly="0" labelOnly="1" outline="0" axis="axisValues" fieldPosition="0"/>
    </format>
    <format dxfId="1434">
      <pivotArea type="all" dataOnly="0" outline="0" fieldPosition="0"/>
    </format>
    <format dxfId="1433">
      <pivotArea outline="0" collapsedLevelsAreSubtotals="1" fieldPosition="0"/>
    </format>
    <format dxfId="1432">
      <pivotArea field="16" type="button" dataOnly="0" labelOnly="1" outline="0" axis="axisRow" fieldPosition="0"/>
    </format>
    <format dxfId="1431">
      <pivotArea field="17" type="button" dataOnly="0" labelOnly="1" outline="0" axis="axisRow" fieldPosition="1"/>
    </format>
    <format dxfId="1430">
      <pivotArea dataOnly="0" labelOnly="1" outline="0" axis="axisValues" fieldPosition="0"/>
    </format>
    <format dxfId="1429">
      <pivotArea dataOnly="0" labelOnly="1" outline="0" fieldPosition="0">
        <references count="1">
          <reference field="16" count="0"/>
        </references>
      </pivotArea>
    </format>
    <format dxfId="1428">
      <pivotArea dataOnly="0" labelOnly="1" grandRow="1" outline="0" fieldPosition="0"/>
    </format>
    <format dxfId="1427">
      <pivotArea dataOnly="0" labelOnly="1" outline="0" fieldPosition="0">
        <references count="2">
          <reference field="16" count="1" selected="0">
            <x v="0"/>
          </reference>
          <reference field="17" count="1">
            <x v="4"/>
          </reference>
        </references>
      </pivotArea>
    </format>
    <format dxfId="1426">
      <pivotArea dataOnly="0" labelOnly="1" outline="0" fieldPosition="0">
        <references count="2">
          <reference field="16" count="1" selected="0">
            <x v="1"/>
          </reference>
          <reference field="17" count="1">
            <x v="2"/>
          </reference>
        </references>
      </pivotArea>
    </format>
    <format dxfId="1425">
      <pivotArea dataOnly="0" labelOnly="1" outline="0" fieldPosition="0">
        <references count="2">
          <reference field="16" count="1" selected="0">
            <x v="2"/>
          </reference>
          <reference field="17" count="1">
            <x v="3"/>
          </reference>
        </references>
      </pivotArea>
    </format>
    <format dxfId="1424">
      <pivotArea dataOnly="0" labelOnly="1" outline="0" fieldPosition="0">
        <references count="2">
          <reference field="16" count="1" selected="0">
            <x v="3"/>
          </reference>
          <reference field="17" count="1">
            <x v="0"/>
          </reference>
        </references>
      </pivotArea>
    </format>
    <format dxfId="1423">
      <pivotArea dataOnly="0" labelOnly="1" outline="0" fieldPosition="0">
        <references count="2">
          <reference field="16" count="1" selected="0">
            <x v="4"/>
          </reference>
          <reference field="17" count="1">
            <x v="1"/>
          </reference>
        </references>
      </pivotArea>
    </format>
    <format dxfId="1422">
      <pivotArea dataOnly="0" labelOnly="1" outline="0" fieldPosition="0">
        <references count="2">
          <reference field="16" count="1" selected="0">
            <x v="5"/>
          </reference>
          <reference field="17" count="1">
            <x v="3"/>
          </reference>
        </references>
      </pivotArea>
    </format>
    <format dxfId="1421">
      <pivotArea dataOnly="0" labelOnly="1" outline="0" axis="axisValues" fieldPosition="0"/>
    </format>
    <format dxfId="1420">
      <pivotArea field="16" type="button" dataOnly="0" labelOnly="1" outline="0" axis="axisRow" fieldPosition="0"/>
    </format>
    <format dxfId="1419">
      <pivotArea field="17" type="button" dataOnly="0" labelOnly="1" outline="0" axis="axisRow" fieldPosition="1"/>
    </format>
    <format dxfId="1418">
      <pivotArea dataOnly="0" labelOnly="1" outline="0" axis="axisValues" fieldPosition="0"/>
    </format>
    <format dxfId="141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TablaDinámica5" cacheId="26" applyNumberFormats="0" applyBorderFormats="0" applyFontFormats="0" applyPatternFormats="0" applyAlignmentFormats="0" applyWidthHeightFormats="1" dataCaption="Valores" updatedVersion="8" minRefreshableVersion="3" useAutoFormatting="1" rowGrandTotals="0" colGrandTotals="0" itemPrintTitles="1" createdVersion="6" indent="0" outline="1" outlineData="1" multipleFieldFilters="0" rowHeaderCaption="Recursos">
  <location ref="B60:B62" firstHeaderRow="1" firstDataRow="1" firstDataCol="1" rowPageCount="3" colPageCount="1"/>
  <pivotFields count="27">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7">
        <item m="1" x="67"/>
        <item m="1" x="74"/>
        <item m="1" x="63"/>
        <item m="1" x="60"/>
        <item x="20"/>
        <item m="1" x="73"/>
        <item m="1" x="47"/>
        <item m="1" x="30"/>
        <item m="1" x="42"/>
        <item x="6"/>
        <item m="1" x="28"/>
        <item m="1" x="39"/>
        <item x="25"/>
        <item m="1" x="41"/>
        <item m="1" x="72"/>
        <item m="1" x="26"/>
        <item m="1" x="69"/>
        <item x="3"/>
        <item x="5"/>
        <item x="9"/>
        <item m="1" x="61"/>
        <item x="4"/>
        <item m="1" x="49"/>
        <item m="1" x="75"/>
        <item m="1" x="62"/>
        <item m="1" x="29"/>
        <item m="1" x="50"/>
        <item m="1" x="33"/>
        <item m="1" x="59"/>
        <item m="1" x="65"/>
        <item m="1" x="53"/>
        <item m="1" x="56"/>
        <item x="2"/>
        <item x="1"/>
        <item m="1" x="54"/>
        <item m="1" x="44"/>
        <item m="1" x="34"/>
        <item m="1" x="64"/>
        <item m="1" x="46"/>
        <item m="1" x="37"/>
        <item m="1" x="45"/>
        <item m="1" x="27"/>
        <item m="1" x="55"/>
        <item m="1" x="36"/>
        <item m="1" x="52"/>
        <item m="1" x="43"/>
        <item m="1" x="31"/>
        <item m="1" x="38"/>
        <item m="1" x="66"/>
        <item x="0"/>
        <item m="1" x="48"/>
        <item x="7"/>
        <item x="8"/>
        <item m="1" x="70"/>
        <item x="10"/>
        <item x="11"/>
        <item m="1" x="57"/>
        <item m="1" x="35"/>
        <item x="12"/>
        <item x="13"/>
        <item m="1" x="58"/>
        <item m="1" x="71"/>
        <item x="14"/>
        <item x="15"/>
        <item x="16"/>
        <item m="1" x="32"/>
        <item m="1" x="68"/>
        <item x="18"/>
        <item x="19"/>
        <item x="21"/>
        <item x="22"/>
        <item m="1" x="51"/>
        <item m="1" x="40"/>
        <item x="17"/>
        <item x="23"/>
        <item x="24"/>
        <item t="default"/>
      </items>
    </pivotField>
    <pivotField axis="axisRow" showAll="0">
      <items count="23">
        <item m="1" x="17"/>
        <item x="0"/>
        <item m="1" x="15"/>
        <item m="1" x="14"/>
        <item m="1" x="18"/>
        <item m="1" x="20"/>
        <item x="8"/>
        <item x="2"/>
        <item x="11"/>
        <item m="1" x="21"/>
        <item x="1"/>
        <item m="1" x="19"/>
        <item x="4"/>
        <item x="10"/>
        <item m="1" x="13"/>
        <item m="1" x="12"/>
        <item x="9"/>
        <item x="3"/>
        <item x="5"/>
        <item m="1" x="16"/>
        <item x="6"/>
        <item x="7"/>
        <item t="default"/>
      </items>
    </pivotField>
    <pivotField showAll="0" defaultSubtotal="0"/>
    <pivotField showAll="0" defaultSubtotal="0"/>
    <pivotField showAll="0" defaultSubtotal="0"/>
    <pivotField showAll="0" defaultSubtotal="0"/>
    <pivotField axis="axisPage" showAll="0">
      <items count="15">
        <item x="0"/>
        <item x="12"/>
        <item x="1"/>
        <item x="2"/>
        <item x="3"/>
        <item x="4"/>
        <item x="5"/>
        <item x="6"/>
        <item x="7"/>
        <item x="8"/>
        <item x="9"/>
        <item x="10"/>
        <item x="11"/>
        <item m="1" x="13"/>
        <item t="default"/>
      </items>
    </pivotField>
    <pivotField axis="axisPage" showAll="0">
      <items count="8">
        <item x="6"/>
        <item x="0"/>
        <item x="1"/>
        <item x="2"/>
        <item x="3"/>
        <item x="4"/>
        <item x="5"/>
        <item t="default"/>
      </items>
    </pivotField>
    <pivotField showAll="0"/>
    <pivotField numFmtId="44" showAll="0"/>
    <pivotField name="Tipo" axis="axisPage" showAll="0" defaultSubtotal="0">
      <items count="2">
        <item x="1"/>
        <item x="0"/>
      </items>
    </pivotField>
  </pivotFields>
  <rowFields count="2">
    <field x="16"/>
    <field x="17"/>
  </rowFields>
  <rowItems count="2">
    <i>
      <x v="12"/>
    </i>
    <i r="1">
      <x v="8"/>
    </i>
  </rowItems>
  <colItems count="1">
    <i/>
  </colItems>
  <pageFields count="3">
    <pageField fld="23" hier="-1"/>
    <pageField fld="22" item="1" hier="-1"/>
    <pageField fld="26"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900-000003000000}" name="TablaDinámica6" cacheId="26"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5" rowHeaderCaption="Nombre">
  <location ref="B79:D81" firstHeaderRow="0" firstDataRow="1" firstDataCol="1" rowPageCount="3" colPageCount="1"/>
  <pivotFields count="27">
    <pivotField showAll="0"/>
    <pivotField showAll="0"/>
    <pivotField showAll="0"/>
    <pivotField showAll="0"/>
    <pivotField axis="axisRow" dataField="1" showAll="0">
      <items count="215">
        <item m="1" x="163"/>
        <item m="1" x="188"/>
        <item m="1" x="65"/>
        <item m="1" x="161"/>
        <item m="1" x="68"/>
        <item m="1" x="82"/>
        <item m="1" x="43"/>
        <item m="1" x="149"/>
        <item m="1" x="170"/>
        <item m="1" x="84"/>
        <item m="1" x="126"/>
        <item m="1" x="146"/>
        <item m="1" x="119"/>
        <item m="1" x="184"/>
        <item m="1" x="98"/>
        <item m="1" x="158"/>
        <item m="1" x="180"/>
        <item m="1" x="152"/>
        <item m="1" x="53"/>
        <item m="1" x="49"/>
        <item m="1" x="203"/>
        <item m="1" x="187"/>
        <item m="1" x="137"/>
        <item m="1" x="69"/>
        <item m="1" x="79"/>
        <item x="1"/>
        <item m="1" x="206"/>
        <item m="1" x="196"/>
        <item x="5"/>
        <item m="1" x="190"/>
        <item m="1" x="211"/>
        <item m="1" x="61"/>
        <item m="1" x="90"/>
        <item m="1" x="114"/>
        <item m="1" x="133"/>
        <item m="1" x="72"/>
        <item m="1" x="70"/>
        <item m="1" x="175"/>
        <item m="1" x="60"/>
        <item m="1" x="164"/>
        <item m="1" x="76"/>
        <item m="1" x="173"/>
        <item m="1" x="92"/>
        <item m="1" x="71"/>
        <item m="1" x="111"/>
        <item m="1" x="44"/>
        <item m="1" x="192"/>
        <item m="1" x="138"/>
        <item m="1" x="130"/>
        <item m="1" x="199"/>
        <item m="1" x="57"/>
        <item m="1" x="209"/>
        <item m="1" x="45"/>
        <item m="1" x="136"/>
        <item m="1" x="62"/>
        <item m="1" x="181"/>
        <item m="1" x="41"/>
        <item m="1" x="113"/>
        <item m="1" x="191"/>
        <item m="1" x="202"/>
        <item m="1" x="123"/>
        <item m="1" x="177"/>
        <item x="4"/>
        <item m="1" x="85"/>
        <item m="1" x="107"/>
        <item m="1" x="117"/>
        <item m="1" x="88"/>
        <item m="1" x="66"/>
        <item m="1" x="132"/>
        <item m="1" x="81"/>
        <item m="1" x="47"/>
        <item m="1" x="112"/>
        <item m="1" x="200"/>
        <item m="1" x="83"/>
        <item m="1" x="75"/>
        <item m="1" x="213"/>
        <item m="1" x="63"/>
        <item m="1" x="171"/>
        <item m="1" x="183"/>
        <item m="1" x="194"/>
        <item m="1" x="212"/>
        <item m="1" x="193"/>
        <item m="1" x="100"/>
        <item m="1" x="127"/>
        <item m="1" x="99"/>
        <item x="2"/>
        <item m="1" x="143"/>
        <item m="1" x="118"/>
        <item m="1" x="40"/>
        <item m="1" x="167"/>
        <item m="1" x="96"/>
        <item m="1" x="157"/>
        <item m="1" x="148"/>
        <item m="1" x="73"/>
        <item m="1" x="102"/>
        <item m="1" x="178"/>
        <item m="1" x="176"/>
        <item m="1" x="39"/>
        <item m="1" x="151"/>
        <item m="1" x="104"/>
        <item m="1" x="86"/>
        <item m="1" x="153"/>
        <item m="1" x="94"/>
        <item m="1" x="182"/>
        <item m="1" x="154"/>
        <item m="1" x="46"/>
        <item x="29"/>
        <item x="37"/>
        <item m="1" x="201"/>
        <item x="9"/>
        <item m="1" x="147"/>
        <item m="1" x="55"/>
        <item m="1" x="174"/>
        <item m="1" x="64"/>
        <item m="1" x="38"/>
        <item m="1" x="42"/>
        <item m="1" x="105"/>
        <item m="1" x="116"/>
        <item m="1" x="56"/>
        <item m="1" x="58"/>
        <item m="1" x="179"/>
        <item m="1" x="125"/>
        <item m="1" x="89"/>
        <item m="1" x="131"/>
        <item m="1" x="109"/>
        <item m="1" x="155"/>
        <item m="1" x="91"/>
        <item m="1" x="165"/>
        <item m="1" x="124"/>
        <item m="1" x="145"/>
        <item m="1" x="87"/>
        <item m="1" x="210"/>
        <item m="1" x="128"/>
        <item m="1" x="197"/>
        <item m="1" x="78"/>
        <item m="1" x="108"/>
        <item m="1" x="160"/>
        <item m="1" x="103"/>
        <item m="1" x="189"/>
        <item m="1" x="80"/>
        <item m="1" x="51"/>
        <item m="1" x="207"/>
        <item x="3"/>
        <item m="1" x="185"/>
        <item m="1" x="139"/>
        <item m="1" x="204"/>
        <item m="1" x="121"/>
        <item m="1" x="135"/>
        <item m="1" x="198"/>
        <item m="1" x="52"/>
        <item m="1" x="115"/>
        <item m="1" x="93"/>
        <item m="1" x="59"/>
        <item m="1" x="142"/>
        <item m="1" x="150"/>
        <item m="1" x="120"/>
        <item m="1" x="140"/>
        <item m="1" x="169"/>
        <item m="1" x="50"/>
        <item m="1" x="122"/>
        <item m="1" x="186"/>
        <item m="1" x="129"/>
        <item m="1" x="208"/>
        <item m="1" x="106"/>
        <item m="1" x="166"/>
        <item m="1" x="77"/>
        <item m="1" x="162"/>
        <item m="1" x="144"/>
        <item m="1" x="141"/>
        <item m="1" x="172"/>
        <item m="1" x="156"/>
        <item m="1" x="74"/>
        <item m="1" x="110"/>
        <item m="1" x="159"/>
        <item x="17"/>
        <item m="1" x="48"/>
        <item m="1" x="101"/>
        <item m="1" x="168"/>
        <item m="1" x="205"/>
        <item m="1" x="195"/>
        <item m="1" x="54"/>
        <item m="1" x="95"/>
        <item m="1" x="97"/>
        <item m="1" x="67"/>
        <item x="0"/>
        <item x="6"/>
        <item x="7"/>
        <item x="8"/>
        <item x="10"/>
        <item x="11"/>
        <item x="12"/>
        <item x="13"/>
        <item x="14"/>
        <item x="15"/>
        <item x="16"/>
        <item x="18"/>
        <item x="19"/>
        <item m="1" x="134"/>
        <item x="25"/>
        <item x="21"/>
        <item x="22"/>
        <item x="23"/>
        <item x="24"/>
        <item x="20"/>
        <item x="26"/>
        <item x="27"/>
        <item x="28"/>
        <item x="30"/>
        <item x="31"/>
        <item x="32"/>
        <item x="33"/>
        <item x="34"/>
        <item x="35"/>
        <item x="36"/>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defaultSubtotal="0"/>
    <pivotField showAll="0" defaultSubtotal="0"/>
    <pivotField showAll="0" defaultSubtotal="0"/>
    <pivotField showAll="0" defaultSubtotal="0"/>
    <pivotField axis="axisPage" showAll="0">
      <items count="15">
        <item x="0"/>
        <item x="12"/>
        <item x="1"/>
        <item x="2"/>
        <item x="3"/>
        <item x="4"/>
        <item x="5"/>
        <item x="6"/>
        <item x="7"/>
        <item x="8"/>
        <item x="9"/>
        <item x="10"/>
        <item x="11"/>
        <item m="1" x="13"/>
        <item t="default"/>
      </items>
    </pivotField>
    <pivotField axis="axisPage" showAll="0">
      <items count="8">
        <item x="6"/>
        <item x="0"/>
        <item x="1"/>
        <item x="2"/>
        <item x="3"/>
        <item x="4"/>
        <item x="5"/>
        <item t="default"/>
      </items>
    </pivotField>
    <pivotField showAll="0"/>
    <pivotField numFmtId="44" showAll="0"/>
    <pivotField name="Tipo" axis="axisPage" showAll="0" defaultSubtotal="0">
      <items count="2">
        <item x="1"/>
        <item x="0"/>
      </items>
    </pivotField>
  </pivotFields>
  <rowFields count="1">
    <field x="4"/>
  </rowFields>
  <rowItems count="2">
    <i>
      <x v="107"/>
    </i>
    <i t="grand">
      <x/>
    </i>
  </rowItems>
  <colFields count="1">
    <field x="-2"/>
  </colFields>
  <colItems count="2">
    <i>
      <x/>
    </i>
    <i i="1">
      <x v="1"/>
    </i>
  </colItems>
  <pageFields count="3">
    <pageField fld="23" hier="-1"/>
    <pageField fld="22" item="1" hier="-1"/>
    <pageField fld="26" hier="-1"/>
  </pageFields>
  <dataFields count="2">
    <dataField name="# Servicios" fld="4" subtotal="count" baseField="0" baseItem="0"/>
    <dataField name="Horas consumidas" fld="13" baseField="0" baseItem="0"/>
  </dataFields>
  <chartFormats count="30">
    <chartFormat chart="4" format="32">
      <pivotArea type="data" outline="0" fieldPosition="0">
        <references count="2">
          <reference field="4294967294" count="1" selected="0">
            <x v="0"/>
          </reference>
          <reference field="4" count="1" selected="0">
            <x v="12"/>
          </reference>
        </references>
      </pivotArea>
    </chartFormat>
    <chartFormat chart="4" format="33">
      <pivotArea type="data" outline="0" fieldPosition="0">
        <references count="2">
          <reference field="4294967294" count="1" selected="0">
            <x v="0"/>
          </reference>
          <reference field="4" count="1" selected="0">
            <x v="36"/>
          </reference>
        </references>
      </pivotArea>
    </chartFormat>
    <chartFormat chart="4" format="34" series="1">
      <pivotArea type="data" outline="0" fieldPosition="0">
        <references count="1">
          <reference field="4294967294" count="1" selected="0">
            <x v="0"/>
          </reference>
        </references>
      </pivotArea>
    </chartFormat>
    <chartFormat chart="4" format="35">
      <pivotArea type="data" outline="0" fieldPosition="0">
        <references count="2">
          <reference field="4294967294" count="1" selected="0">
            <x v="0"/>
          </reference>
          <reference field="4" count="1" selected="0">
            <x v="13"/>
          </reference>
        </references>
      </pivotArea>
    </chartFormat>
    <chartFormat chart="4" format="36">
      <pivotArea type="data" outline="0" fieldPosition="0">
        <references count="2">
          <reference field="4294967294" count="1" selected="0">
            <x v="0"/>
          </reference>
          <reference field="4" count="1" selected="0">
            <x v="14"/>
          </reference>
        </references>
      </pivotArea>
    </chartFormat>
    <chartFormat chart="4" format="37">
      <pivotArea type="data" outline="0" fieldPosition="0">
        <references count="2">
          <reference field="4294967294" count="1" selected="0">
            <x v="0"/>
          </reference>
          <reference field="4" count="1" selected="0">
            <x v="15"/>
          </reference>
        </references>
      </pivotArea>
    </chartFormat>
    <chartFormat chart="4" format="38">
      <pivotArea type="data" outline="0" fieldPosition="0">
        <references count="2">
          <reference field="4294967294" count="1" selected="0">
            <x v="0"/>
          </reference>
          <reference field="4" count="1" selected="0">
            <x v="17"/>
          </reference>
        </references>
      </pivotArea>
    </chartFormat>
    <chartFormat chart="4" format="39">
      <pivotArea type="data" outline="0" fieldPosition="0">
        <references count="2">
          <reference field="4294967294" count="1" selected="0">
            <x v="0"/>
          </reference>
          <reference field="4" count="1" selected="0">
            <x v="18"/>
          </reference>
        </references>
      </pivotArea>
    </chartFormat>
    <chartFormat chart="4" format="40">
      <pivotArea type="data" outline="0" fieldPosition="0">
        <references count="2">
          <reference field="4294967294" count="1" selected="0">
            <x v="0"/>
          </reference>
          <reference field="4" count="1" selected="0">
            <x v="19"/>
          </reference>
        </references>
      </pivotArea>
    </chartFormat>
    <chartFormat chart="4" format="41">
      <pivotArea type="data" outline="0" fieldPosition="0">
        <references count="2">
          <reference field="4294967294" count="1" selected="0">
            <x v="0"/>
          </reference>
          <reference field="4" count="1" selected="0">
            <x v="20"/>
          </reference>
        </references>
      </pivotArea>
    </chartFormat>
    <chartFormat chart="4" format="42">
      <pivotArea type="data" outline="0" fieldPosition="0">
        <references count="2">
          <reference field="4294967294" count="1" selected="0">
            <x v="0"/>
          </reference>
          <reference field="4" count="1" selected="0">
            <x v="21"/>
          </reference>
        </references>
      </pivotArea>
    </chartFormat>
    <chartFormat chart="4" format="43">
      <pivotArea type="data" outline="0" fieldPosition="0">
        <references count="2">
          <reference field="4294967294" count="1" selected="0">
            <x v="0"/>
          </reference>
          <reference field="4" count="1" selected="0">
            <x v="23"/>
          </reference>
        </references>
      </pivotArea>
    </chartFormat>
    <chartFormat chart="4" format="44">
      <pivotArea type="data" outline="0" fieldPosition="0">
        <references count="2">
          <reference field="4294967294" count="1" selected="0">
            <x v="0"/>
          </reference>
          <reference field="4" count="1" selected="0">
            <x v="24"/>
          </reference>
        </references>
      </pivotArea>
    </chartFormat>
    <chartFormat chart="4" format="45">
      <pivotArea type="data" outline="0" fieldPosition="0">
        <references count="2">
          <reference field="4294967294" count="1" selected="0">
            <x v="0"/>
          </reference>
          <reference field="4" count="1" selected="0">
            <x v="27"/>
          </reference>
        </references>
      </pivotArea>
    </chartFormat>
    <chartFormat chart="4" format="46">
      <pivotArea type="data" outline="0" fieldPosition="0">
        <references count="2">
          <reference field="4294967294" count="1" selected="0">
            <x v="0"/>
          </reference>
          <reference field="4" count="1" selected="0">
            <x v="32"/>
          </reference>
        </references>
      </pivotArea>
    </chartFormat>
    <chartFormat chart="4" format="47" series="1">
      <pivotArea type="data" outline="0" fieldPosition="0">
        <references count="1">
          <reference field="4294967294" count="1" selected="0">
            <x v="1"/>
          </reference>
        </references>
      </pivotArea>
    </chartFormat>
    <chartFormat chart="4" format="48">
      <pivotArea type="data" outline="0" fieldPosition="0">
        <references count="2">
          <reference field="4294967294" count="1" selected="0">
            <x v="1"/>
          </reference>
          <reference field="4" count="1" selected="0">
            <x v="12"/>
          </reference>
        </references>
      </pivotArea>
    </chartFormat>
    <chartFormat chart="4" format="49">
      <pivotArea type="data" outline="0" fieldPosition="0">
        <references count="2">
          <reference field="4294967294" count="1" selected="0">
            <x v="1"/>
          </reference>
          <reference field="4" count="1" selected="0">
            <x v="13"/>
          </reference>
        </references>
      </pivotArea>
    </chartFormat>
    <chartFormat chart="4" format="50">
      <pivotArea type="data" outline="0" fieldPosition="0">
        <references count="2">
          <reference field="4294967294" count="1" selected="0">
            <x v="1"/>
          </reference>
          <reference field="4" count="1" selected="0">
            <x v="14"/>
          </reference>
        </references>
      </pivotArea>
    </chartFormat>
    <chartFormat chart="4" format="51">
      <pivotArea type="data" outline="0" fieldPosition="0">
        <references count="2">
          <reference field="4294967294" count="1" selected="0">
            <x v="1"/>
          </reference>
          <reference field="4" count="1" selected="0">
            <x v="15"/>
          </reference>
        </references>
      </pivotArea>
    </chartFormat>
    <chartFormat chart="4" format="52">
      <pivotArea type="data" outline="0" fieldPosition="0">
        <references count="2">
          <reference field="4294967294" count="1" selected="0">
            <x v="1"/>
          </reference>
          <reference field="4" count="1" selected="0">
            <x v="17"/>
          </reference>
        </references>
      </pivotArea>
    </chartFormat>
    <chartFormat chart="4" format="53">
      <pivotArea type="data" outline="0" fieldPosition="0">
        <references count="2">
          <reference field="4294967294" count="1" selected="0">
            <x v="1"/>
          </reference>
          <reference field="4" count="1" selected="0">
            <x v="18"/>
          </reference>
        </references>
      </pivotArea>
    </chartFormat>
    <chartFormat chart="4" format="54">
      <pivotArea type="data" outline="0" fieldPosition="0">
        <references count="2">
          <reference field="4294967294" count="1" selected="0">
            <x v="1"/>
          </reference>
          <reference field="4" count="1" selected="0">
            <x v="19"/>
          </reference>
        </references>
      </pivotArea>
    </chartFormat>
    <chartFormat chart="4" format="55">
      <pivotArea type="data" outline="0" fieldPosition="0">
        <references count="2">
          <reference field="4294967294" count="1" selected="0">
            <x v="1"/>
          </reference>
          <reference field="4" count="1" selected="0">
            <x v="20"/>
          </reference>
        </references>
      </pivotArea>
    </chartFormat>
    <chartFormat chart="4" format="56">
      <pivotArea type="data" outline="0" fieldPosition="0">
        <references count="2">
          <reference field="4294967294" count="1" selected="0">
            <x v="1"/>
          </reference>
          <reference field="4" count="1" selected="0">
            <x v="21"/>
          </reference>
        </references>
      </pivotArea>
    </chartFormat>
    <chartFormat chart="4" format="57">
      <pivotArea type="data" outline="0" fieldPosition="0">
        <references count="2">
          <reference field="4294967294" count="1" selected="0">
            <x v="1"/>
          </reference>
          <reference field="4" count="1" selected="0">
            <x v="23"/>
          </reference>
        </references>
      </pivotArea>
    </chartFormat>
    <chartFormat chart="4" format="58">
      <pivotArea type="data" outline="0" fieldPosition="0">
        <references count="2">
          <reference field="4294967294" count="1" selected="0">
            <x v="1"/>
          </reference>
          <reference field="4" count="1" selected="0">
            <x v="24"/>
          </reference>
        </references>
      </pivotArea>
    </chartFormat>
    <chartFormat chart="4" format="59">
      <pivotArea type="data" outline="0" fieldPosition="0">
        <references count="2">
          <reference field="4294967294" count="1" selected="0">
            <x v="1"/>
          </reference>
          <reference field="4" count="1" selected="0">
            <x v="27"/>
          </reference>
        </references>
      </pivotArea>
    </chartFormat>
    <chartFormat chart="4" format="60">
      <pivotArea type="data" outline="0" fieldPosition="0">
        <references count="2">
          <reference field="4294967294" count="1" selected="0">
            <x v="1"/>
          </reference>
          <reference field="4" count="1" selected="0">
            <x v="32"/>
          </reference>
        </references>
      </pivotArea>
    </chartFormat>
    <chartFormat chart="4" format="61">
      <pivotArea type="data" outline="0" fieldPosition="0">
        <references count="2">
          <reference field="4294967294" count="1" selected="0">
            <x v="1"/>
          </reference>
          <reference field="4" count="1" selected="0">
            <x v="3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900-000004000000}" name="TablaDinámica8" cacheId="26"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Perfil" colHeaderCaption="Mes">
  <location ref="B142:C155" firstHeaderRow="1" firstDataRow="1" firstDataCol="1" rowPageCount="3" colPageCount="1"/>
  <pivotFields count="27">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4" showAll="0" defaultSubtotal="0"/>
    <pivotField showAll="0"/>
    <pivotField showAll="0" defaultSubtotal="0"/>
    <pivotField showAll="0"/>
    <pivotField dataField="1" showAll="0" defaultSubtotal="0"/>
    <pivotField showAll="0" defaultSubtotal="0"/>
    <pivotField showAll="0" defaultSubtotal="0"/>
    <pivotField showAll="0" defaultSubtotal="0"/>
    <pivotField axis="axisRow" showAll="0" defaultSubtotal="0">
      <items count="22">
        <item m="1" x="17"/>
        <item x="0"/>
        <item m="1" x="15"/>
        <item m="1" x="14"/>
        <item m="1" x="18"/>
        <item m="1" x="20"/>
        <item x="8"/>
        <item x="2"/>
        <item x="11"/>
        <item m="1" x="21"/>
        <item x="1"/>
        <item m="1" x="19"/>
        <item x="4"/>
        <item x="10"/>
        <item m="1" x="13"/>
        <item m="1" x="12"/>
        <item x="9"/>
        <item x="3"/>
        <item x="5"/>
        <item m="1" x="16"/>
        <item x="6"/>
        <item x="7"/>
      </items>
    </pivotField>
    <pivotField showAll="0" defaultSubtotal="0"/>
    <pivotField showAll="0" defaultSubtotal="0"/>
    <pivotField showAll="0" defaultSubtotal="0"/>
    <pivotField showAll="0" defaultSubtotal="0"/>
    <pivotField axis="axisPage" showAll="0" defaultSubtotal="0">
      <items count="14">
        <item x="0"/>
        <item x="1"/>
        <item x="2"/>
        <item x="3"/>
        <item x="4"/>
        <item x="5"/>
        <item x="6"/>
        <item x="7"/>
        <item x="8"/>
        <item x="9"/>
        <item x="10"/>
        <item x="11"/>
        <item m="1" x="13"/>
        <item x="12"/>
      </items>
    </pivotField>
    <pivotField axis="axisPage" multipleItemSelectionAllowed="1" showAll="0" defaultSubtotal="0">
      <items count="7">
        <item x="6"/>
        <item x="0"/>
        <item x="1"/>
        <item x="2"/>
        <item x="3"/>
        <item x="4"/>
        <item x="5"/>
      </items>
    </pivotField>
    <pivotField showAll="0" defaultSubtotal="0"/>
    <pivotField numFmtId="44" showAll="0" defaultSubtotal="0"/>
    <pivotField name="Tipo" axis="axisPage" showAll="0" defaultSubtotal="0">
      <items count="2">
        <item x="1"/>
        <item x="0"/>
      </items>
    </pivotField>
  </pivotFields>
  <rowFields count="1">
    <field x="17"/>
  </rowFields>
  <rowItems count="13">
    <i>
      <x v="1"/>
    </i>
    <i>
      <x v="6"/>
    </i>
    <i>
      <x v="7"/>
    </i>
    <i>
      <x v="8"/>
    </i>
    <i>
      <x v="10"/>
    </i>
    <i>
      <x v="12"/>
    </i>
    <i>
      <x v="13"/>
    </i>
    <i>
      <x v="16"/>
    </i>
    <i>
      <x v="17"/>
    </i>
    <i>
      <x v="18"/>
    </i>
    <i>
      <x v="20"/>
    </i>
    <i>
      <x v="21"/>
    </i>
    <i t="grand">
      <x/>
    </i>
  </rowItems>
  <colItems count="1">
    <i/>
  </colItems>
  <pageFields count="3">
    <pageField fld="23" hier="-1"/>
    <pageField fld="22" hier="-1"/>
    <pageField fld="26" hier="-1"/>
  </pageFields>
  <dataFields count="1">
    <dataField name="Horas consumidas 2023" fld="13" baseField="0" baseItem="0"/>
  </dataFields>
  <formats count="27">
    <format dxfId="1334">
      <pivotArea outline="0" collapsedLevelsAreSubtotals="1" fieldPosition="0"/>
    </format>
    <format dxfId="1333">
      <pivotArea type="origin" dataOnly="0" labelOnly="1" outline="0" offset="A2" fieldPosition="0"/>
    </format>
    <format dxfId="1332">
      <pivotArea field="17" type="button" dataOnly="0" labelOnly="1" outline="0" axis="axisRow" fieldPosition="0"/>
    </format>
    <format dxfId="1331">
      <pivotArea dataOnly="0" labelOnly="1" fieldPosition="0">
        <references count="1">
          <reference field="17" count="0"/>
        </references>
      </pivotArea>
    </format>
    <format dxfId="1330">
      <pivotArea dataOnly="0" labelOnly="1" grandRow="1" outline="0" fieldPosition="0"/>
    </format>
    <format dxfId="1329">
      <pivotArea field="22" dataOnly="0" labelOnly="1" grandCol="1" outline="0" axis="axisPage" fieldPosition="1">
        <references count="1">
          <reference field="4294967294" count="1" selected="0">
            <x v="0"/>
          </reference>
        </references>
      </pivotArea>
    </format>
    <format dxfId="1328">
      <pivotArea field="22" dataOnly="0" labelOnly="1" grandCol="1" outline="0" axis="axisPage" fieldPosition="1">
        <references count="1">
          <reference field="4294967294" count="1" selected="0">
            <x v="0"/>
          </reference>
        </references>
      </pivotArea>
    </format>
    <format dxfId="1327">
      <pivotArea field="22" dataOnly="0" labelOnly="1" grandCol="1" outline="0" axis="axisPage" fieldPosition="1">
        <references count="1">
          <reference field="4294967294" count="1" selected="0">
            <x v="0"/>
          </reference>
        </references>
      </pivotArea>
    </format>
    <format dxfId="1326">
      <pivotArea field="22" dataOnly="0" labelOnly="1" grandCol="1" outline="0" axis="axisPage" fieldPosition="1">
        <references count="1">
          <reference field="4294967294" count="1" selected="0">
            <x v="0"/>
          </reference>
        </references>
      </pivotArea>
    </format>
    <format dxfId="1325">
      <pivotArea grandRow="1" grandCol="1" outline="0" collapsedLevelsAreSubtotals="1" fieldPosition="0">
        <references count="1">
          <reference field="4294967294" count="1" selected="0">
            <x v="0"/>
          </reference>
        </references>
      </pivotArea>
    </format>
    <format dxfId="1324">
      <pivotArea field="22" dataOnly="0" labelOnly="1" grandCol="1" outline="0" axis="axisPage" fieldPosition="1">
        <references count="1">
          <reference field="4294967294" count="1" selected="0">
            <x v="0"/>
          </reference>
        </references>
      </pivotArea>
    </format>
    <format dxfId="1323">
      <pivotArea field="22" dataOnly="0" labelOnly="1" grandCol="1" outline="0" axis="axisPage" fieldPosition="1">
        <references count="1">
          <reference field="4294967294" count="1" selected="0">
            <x v="0"/>
          </reference>
        </references>
      </pivotArea>
    </format>
    <format dxfId="1322">
      <pivotArea grandRow="1" grandCol="1" outline="0" collapsedLevelsAreSubtotals="1" fieldPosition="0">
        <references count="1">
          <reference field="4294967294" count="1" selected="0">
            <x v="0"/>
          </reference>
        </references>
      </pivotArea>
    </format>
    <format dxfId="1321">
      <pivotArea grandRow="1" grandCol="1" outline="0" collapsedLevelsAreSubtotals="1" fieldPosition="0">
        <references count="1">
          <reference field="4294967294" count="1" selected="0">
            <x v="0"/>
          </reference>
        </references>
      </pivotArea>
    </format>
    <format dxfId="1320">
      <pivotArea field="22" dataOnly="0" labelOnly="1" grandCol="1" outline="0" axis="axisPage" fieldPosition="1">
        <references count="1">
          <reference field="4294967294" count="1" selected="0">
            <x v="0"/>
          </reference>
        </references>
      </pivotArea>
    </format>
    <format dxfId="1319">
      <pivotArea field="22" dataOnly="0" labelOnly="1" grandCol="1" outline="0" axis="axisPage" fieldPosition="1">
        <references count="1">
          <reference field="4294967294" count="1" selected="0">
            <x v="0"/>
          </reference>
        </references>
      </pivotArea>
    </format>
    <format dxfId="1318">
      <pivotArea field="22" dataOnly="0" labelOnly="1" grandCol="1" outline="0" axis="axisPage" fieldPosition="1">
        <references count="1">
          <reference field="4294967294" count="1" selected="0">
            <x v="0"/>
          </reference>
        </references>
      </pivotArea>
    </format>
    <format dxfId="1317">
      <pivotArea field="22" dataOnly="0" labelOnly="1" grandCol="1" outline="0" axis="axisPage" fieldPosition="1">
        <references count="1">
          <reference field="4294967294" count="1" selected="0">
            <x v="0"/>
          </reference>
        </references>
      </pivotArea>
    </format>
    <format dxfId="1316">
      <pivotArea dataOnly="0" labelOnly="1" fieldPosition="0">
        <references count="1">
          <reference field="17" count="1">
            <x v="0"/>
          </reference>
        </references>
      </pivotArea>
    </format>
    <format dxfId="1315">
      <pivotArea collapsedLevelsAreSubtotals="1" fieldPosition="0">
        <references count="1">
          <reference field="17" count="2">
            <x v="0"/>
            <x v="4"/>
          </reference>
        </references>
      </pivotArea>
    </format>
    <format dxfId="1314">
      <pivotArea dataOnly="0" labelOnly="1" fieldPosition="0">
        <references count="1">
          <reference field="17" count="2">
            <x v="0"/>
            <x v="4"/>
          </reference>
        </references>
      </pivotArea>
    </format>
    <format dxfId="1313">
      <pivotArea dataOnly="0" labelOnly="1" outline="0" axis="axisValues" fieldPosition="0"/>
    </format>
    <format dxfId="1312">
      <pivotArea dataOnly="0" labelOnly="1" outline="0" axis="axisValues" fieldPosition="0"/>
    </format>
    <format dxfId="1311">
      <pivotArea dataOnly="0" labelOnly="1" outline="0" axis="axisValues" fieldPosition="0"/>
    </format>
    <format dxfId="1310">
      <pivotArea dataOnly="0" labelOnly="1" outline="0" axis="axisValues" fieldPosition="0"/>
    </format>
    <format dxfId="1309">
      <pivotArea dataOnly="0" labelOnly="1" outline="0" axis="axisValues" fieldPosition="0"/>
    </format>
    <format dxfId="130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26"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2" rowHeaderCaption="Perfil">
  <location ref="B110:D112" firstHeaderRow="0" firstDataRow="1" firstDataCol="1" rowPageCount="3" colPageCount="1"/>
  <pivotFields count="27">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axis="axisRow" showAll="0">
      <items count="23">
        <item m="1" x="17"/>
        <item x="0"/>
        <item m="1" x="15"/>
        <item m="1" x="14"/>
        <item m="1" x="18"/>
        <item m="1" x="20"/>
        <item x="8"/>
        <item x="2"/>
        <item x="11"/>
        <item m="1" x="21"/>
        <item x="1"/>
        <item m="1" x="19"/>
        <item x="4"/>
        <item x="10"/>
        <item m="1" x="13"/>
        <item m="1" x="12"/>
        <item x="9"/>
        <item x="3"/>
        <item x="5"/>
        <item m="1" x="16"/>
        <item x="6"/>
        <item x="7"/>
        <item t="default"/>
      </items>
    </pivotField>
    <pivotField showAll="0" defaultSubtotal="0"/>
    <pivotField showAll="0" defaultSubtotal="0"/>
    <pivotField showAll="0" defaultSubtotal="0"/>
    <pivotField showAll="0" defaultSubtotal="0"/>
    <pivotField axis="axisPage" showAll="0">
      <items count="15">
        <item x="0"/>
        <item x="12"/>
        <item x="1"/>
        <item x="2"/>
        <item x="3"/>
        <item x="4"/>
        <item x="5"/>
        <item x="6"/>
        <item x="7"/>
        <item x="8"/>
        <item x="9"/>
        <item x="10"/>
        <item x="11"/>
        <item m="1" x="13"/>
        <item t="default"/>
      </items>
    </pivotField>
    <pivotField axis="axisPage" showAll="0">
      <items count="8">
        <item x="6"/>
        <item x="0"/>
        <item x="1"/>
        <item x="2"/>
        <item x="3"/>
        <item x="4"/>
        <item x="5"/>
        <item t="default"/>
      </items>
    </pivotField>
    <pivotField showAll="0"/>
    <pivotField numFmtId="44" showAll="0"/>
    <pivotField name="Tipo" axis="axisPage" showAll="0" defaultSubtotal="0">
      <items count="2">
        <item x="1"/>
        <item x="0"/>
      </items>
    </pivotField>
  </pivotFields>
  <rowFields count="1">
    <field x="17"/>
  </rowFields>
  <rowItems count="2">
    <i>
      <x v="8"/>
    </i>
    <i t="grand">
      <x/>
    </i>
  </rowItems>
  <colFields count="1">
    <field x="-2"/>
  </colFields>
  <colItems count="2">
    <i>
      <x/>
    </i>
    <i i="1">
      <x v="1"/>
    </i>
  </colItems>
  <pageFields count="3">
    <pageField fld="23" hier="-1"/>
    <pageField fld="22" item="1" hier="-1"/>
    <pageField fld="26" hier="-1"/>
  </pageFields>
  <dataFields count="2">
    <dataField name="Servicios por perfil" fld="0" subtotal="count" baseField="0" baseItem="0"/>
    <dataField name="Horas por perfil" fld="13" baseField="0" baseItem="0"/>
  </dataFields>
  <chartFormats count="4">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1" cacheId="26" applyNumberFormats="0" applyBorderFormats="0" applyFontFormats="0" applyPatternFormats="0" applyAlignmentFormats="0" applyWidthHeightFormats="1" dataCaption="Valores" updatedVersion="8" minRefreshableVersion="3" useAutoFormatting="1" rowGrandTotals="0" colGrandTotals="0" itemPrintTitles="1" createdVersion="6" indent="0" compact="0" compactData="0" multipleFieldFilters="0">
  <location ref="B3:D29" firstHeaderRow="1" firstDataRow="1" firstDataCol="2" rowPageCount="1" colPageCount="1"/>
  <pivotFields count="27">
    <pivotField axis="axisPage" compact="0" outline="0" multipleItemSelectionAllowed="1" showAll="0" defaultSubtotal="0">
      <items count="11">
        <item m="1" x="7"/>
        <item x="1"/>
        <item m="1" x="10"/>
        <item x="0"/>
        <item m="1" x="8"/>
        <item x="4"/>
        <item x="2"/>
        <item m="1" x="9"/>
        <item x="6"/>
        <item x="3"/>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sortType="ascending" defaultSubtotal="0">
      <items count="76">
        <item x="25"/>
        <item x="3"/>
        <item m="1" x="45"/>
        <item m="1" x="72"/>
        <item m="1" x="50"/>
        <item m="1" x="34"/>
        <item x="6"/>
        <item m="1" x="41"/>
        <item m="1" x="37"/>
        <item m="1" x="36"/>
        <item x="4"/>
        <item m="1" x="47"/>
        <item m="1" x="56"/>
        <item m="1" x="73"/>
        <item x="20"/>
        <item x="1"/>
        <item m="1" x="59"/>
        <item m="1" x="60"/>
        <item m="1" x="61"/>
        <item m="1" x="63"/>
        <item m="1" x="44"/>
        <item m="1" x="26"/>
        <item m="1" x="55"/>
        <item m="1" x="54"/>
        <item m="1" x="27"/>
        <item m="1" x="42"/>
        <item m="1" x="74"/>
        <item m="1" x="53"/>
        <item m="1" x="33"/>
        <item m="1" x="28"/>
        <item m="1" x="46"/>
        <item x="2"/>
        <item m="1" x="39"/>
        <item x="5"/>
        <item m="1" x="49"/>
        <item m="1" x="62"/>
        <item m="1" x="67"/>
        <item m="1" x="29"/>
        <item m="1" x="64"/>
        <item m="1" x="65"/>
        <item m="1" x="75"/>
        <item m="1" x="69"/>
        <item x="9"/>
        <item m="1" x="30"/>
        <item m="1" x="52"/>
        <item m="1" x="43"/>
        <item m="1" x="31"/>
        <item m="1" x="38"/>
        <item m="1" x="66"/>
        <item x="0"/>
        <item m="1" x="48"/>
        <item x="7"/>
        <item x="8"/>
        <item m="1" x="70"/>
        <item x="10"/>
        <item x="11"/>
        <item m="1" x="57"/>
        <item m="1" x="35"/>
        <item x="12"/>
        <item x="13"/>
        <item m="1" x="58"/>
        <item m="1" x="71"/>
        <item x="14"/>
        <item x="15"/>
        <item x="16"/>
        <item m="1" x="32"/>
        <item m="1" x="68"/>
        <item x="18"/>
        <item x="19"/>
        <item x="21"/>
        <item x="22"/>
        <item m="1" x="51"/>
        <item m="1" x="40"/>
        <item x="17"/>
        <item x="23"/>
        <item x="24"/>
      </items>
      <autoSortScope>
        <pivotArea dataOnly="0" outline="0" fieldPosition="0">
          <references count="1">
            <reference field="4294967294" count="1" selected="0">
              <x v="0"/>
            </reference>
          </references>
        </pivotArea>
      </autoSortScope>
    </pivotField>
    <pivotField axis="axisRow" compact="0" outline="0" showAll="0" defaultSubtotal="0">
      <items count="22">
        <item m="1" x="21"/>
        <item x="9"/>
        <item x="10"/>
        <item m="1" x="13"/>
        <item m="1" x="17"/>
        <item x="1"/>
        <item x="4"/>
        <item x="0"/>
        <item m="1" x="19"/>
        <item x="8"/>
        <item m="1" x="12"/>
        <item x="2"/>
        <item m="1" x="15"/>
        <item m="1" x="14"/>
        <item m="1" x="20"/>
        <item m="1" x="18"/>
        <item x="11"/>
        <item x="3"/>
        <item x="5"/>
        <item m="1" x="16"/>
        <item x="6"/>
        <item x="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16"/>
    <field x="17"/>
  </rowFields>
  <rowItems count="26">
    <i>
      <x/>
      <x v="16"/>
    </i>
    <i>
      <x v="15"/>
      <x v="7"/>
    </i>
    <i>
      <x v="31"/>
      <x v="7"/>
    </i>
    <i>
      <x v="49"/>
      <x v="7"/>
    </i>
    <i>
      <x v="33"/>
      <x v="7"/>
    </i>
    <i>
      <x v="1"/>
      <x v="5"/>
    </i>
    <i>
      <x v="10"/>
      <x v="7"/>
    </i>
    <i>
      <x v="6"/>
      <x v="11"/>
    </i>
    <i>
      <x v="42"/>
      <x v="6"/>
    </i>
    <i>
      <x v="52"/>
      <x v="17"/>
    </i>
    <i>
      <x v="54"/>
      <x v="18"/>
    </i>
    <i>
      <x v="51"/>
      <x v="7"/>
    </i>
    <i>
      <x v="55"/>
      <x v="7"/>
    </i>
    <i>
      <x v="59"/>
      <x v="21"/>
    </i>
    <i>
      <x v="58"/>
      <x v="20"/>
    </i>
    <i>
      <x v="62"/>
      <x v="7"/>
    </i>
    <i>
      <x v="63"/>
      <x v="5"/>
    </i>
    <i>
      <x v="14"/>
      <x v="2"/>
    </i>
    <i>
      <x v="73"/>
      <x v="9"/>
    </i>
    <i>
      <x v="67"/>
      <x v="1"/>
    </i>
    <i>
      <x v="64"/>
      <x v="7"/>
    </i>
    <i>
      <x v="68"/>
      <x v="5"/>
    </i>
    <i>
      <x v="69"/>
      <x v="7"/>
    </i>
    <i>
      <x v="74"/>
      <x v="7"/>
    </i>
    <i>
      <x v="70"/>
      <x v="7"/>
    </i>
    <i>
      <x v="75"/>
      <x v="7"/>
    </i>
  </rowItems>
  <colItems count="1">
    <i/>
  </colItems>
  <pageFields count="1">
    <pageField fld="0" hier="-1"/>
  </pageFields>
  <dataFields count="1">
    <dataField name="Mín. de Fecha Inicio (dd/mm/aaaa)" fld="9" subtotal="min" baseField="15" baseItem="6" numFmtId="14"/>
  </dataFields>
  <formats count="26">
    <format dxfId="1303">
      <pivotArea outline="0" collapsedLevelsAreSubtotals="1" fieldPosition="0"/>
    </format>
    <format dxfId="1302">
      <pivotArea dataOnly="0" labelOnly="1" outline="0" axis="axisValues" fieldPosition="0"/>
    </format>
    <format dxfId="1301">
      <pivotArea dataOnly="0" labelOnly="1" outline="0" axis="axisValues" fieldPosition="0"/>
    </format>
    <format dxfId="1300">
      <pivotArea field="16" type="button" dataOnly="0" labelOnly="1" outline="0" axis="axisRow" fieldPosition="0"/>
    </format>
    <format dxfId="1299">
      <pivotArea field="17" type="button" dataOnly="0" labelOnly="1" outline="0" axis="axisRow" fieldPosition="1"/>
    </format>
    <format dxfId="1298">
      <pivotArea dataOnly="0" labelOnly="1" outline="0" axis="axisValues" fieldPosition="0"/>
    </format>
    <format dxfId="1297">
      <pivotArea dataOnly="0" labelOnly="1" outline="0" axis="axisValues" fieldPosition="0"/>
    </format>
    <format dxfId="1296">
      <pivotArea field="16" type="button" dataOnly="0" labelOnly="1" outline="0" axis="axisRow" fieldPosition="0"/>
    </format>
    <format dxfId="1295">
      <pivotArea field="17" type="button" dataOnly="0" labelOnly="1" outline="0" axis="axisRow" fieldPosition="1"/>
    </format>
    <format dxfId="1294">
      <pivotArea dataOnly="0" labelOnly="1" outline="0" axis="axisValues" fieldPosition="0"/>
    </format>
    <format dxfId="1293">
      <pivotArea dataOnly="0" labelOnly="1" outline="0" axis="axisValues" fieldPosition="0"/>
    </format>
    <format dxfId="1292">
      <pivotArea field="16" type="button" dataOnly="0" labelOnly="1" outline="0" axis="axisRow" fieldPosition="0"/>
    </format>
    <format dxfId="1291">
      <pivotArea field="17" type="button" dataOnly="0" labelOnly="1" outline="0" axis="axisRow" fieldPosition="1"/>
    </format>
    <format dxfId="1290">
      <pivotArea dataOnly="0" labelOnly="1" outline="0" axis="axisValues" fieldPosition="0"/>
    </format>
    <format dxfId="1289">
      <pivotArea dataOnly="0" labelOnly="1" outline="0" axis="axisValues" fieldPosition="0"/>
    </format>
    <format dxfId="1288">
      <pivotArea outline="0" collapsedLevelsAreSubtotals="1" fieldPosition="0"/>
    </format>
    <format dxfId="1287">
      <pivotArea dataOnly="0" labelOnly="1" outline="0" axis="axisValues" fieldPosition="0"/>
    </format>
    <format dxfId="1286">
      <pivotArea dataOnly="0" labelOnly="1" outline="0" axis="axisValues" fieldPosition="0"/>
    </format>
    <format dxfId="1285">
      <pivotArea outline="0" fieldPosition="0">
        <references count="2">
          <reference field="16" count="1" selected="0">
            <x v="14"/>
          </reference>
          <reference field="17" count="1" selected="0">
            <x v="2"/>
          </reference>
        </references>
      </pivotArea>
    </format>
    <format dxfId="1284">
      <pivotArea dataOnly="0" labelOnly="1" outline="0" fieldPosition="0">
        <references count="2">
          <reference field="16" count="1" selected="0">
            <x v="14"/>
          </reference>
          <reference field="17" count="1">
            <x v="2"/>
          </reference>
        </references>
      </pivotArea>
    </format>
    <format dxfId="1283">
      <pivotArea outline="0" fieldPosition="0">
        <references count="2">
          <reference field="16" count="1" selected="0">
            <x v="67"/>
          </reference>
          <reference field="17" count="1" selected="0">
            <x v="1"/>
          </reference>
        </references>
      </pivotArea>
    </format>
    <format dxfId="1282">
      <pivotArea dataOnly="0" labelOnly="1" outline="0" fieldPosition="0">
        <references count="1">
          <reference field="16" count="5">
            <x v="14"/>
            <x v="64"/>
            <x v="66"/>
            <x v="67"/>
            <x v="68"/>
          </reference>
        </references>
      </pivotArea>
    </format>
    <format dxfId="1281">
      <pivotArea dataOnly="0" labelOnly="1" outline="0" fieldPosition="0">
        <references count="1">
          <reference field="16" count="1">
            <x v="67"/>
          </reference>
        </references>
      </pivotArea>
    </format>
    <format dxfId="1280">
      <pivotArea dataOnly="0" labelOnly="1" outline="0" fieldPosition="0">
        <references count="1">
          <reference field="16" count="1">
            <x v="68"/>
          </reference>
        </references>
      </pivotArea>
    </format>
    <format dxfId="1279">
      <pivotArea dataOnly="0" labelOnly="1" outline="0" fieldPosition="0">
        <references count="1">
          <reference field="16" count="1">
            <x v="14"/>
          </reference>
        </references>
      </pivotArea>
    </format>
    <format dxfId="1278">
      <pivotArea dataOnly="0" labelOnly="1" outline="0" fieldPosition="0">
        <references count="1">
          <reference field="16" count="1">
            <x v="5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7654D722-C768-47E1-ADF3-AA056FE07322}" name="TablaDinámica1" cacheId="0" applyNumberFormats="0" applyBorderFormats="0" applyFontFormats="0" applyPatternFormats="0" applyAlignmentFormats="0" applyWidthHeightFormats="1" dataCaption="Valores" updatedVersion="7" minRefreshableVersion="3" useAutoFormatting="1" rowGrandTotals="0" colGrandTotals="0" itemPrintTitles="1" createdVersion="7" indent="0" outline="1" outlineData="1" multipleFieldFilters="0" rowHeaderCaption="Perfil">
  <location ref="C15:D22" firstHeaderRow="1" firstDataRow="1" firstDataCol="1"/>
  <pivotFields count="6">
    <pivotField showAll="0" defaultSubtotal="0">
      <extLst>
        <ext xmlns:x14="http://schemas.microsoft.com/office/spreadsheetml/2009/9/main" uri="{2946ED86-A175-432a-8AC1-64E0C546D7DE}">
          <x14:pivotField fillDownLabels="1"/>
        </ext>
      </extLst>
    </pivotField>
    <pivotField axis="axisRow" showAll="0" defaultSubtotal="0">
      <items count="7">
        <item x="1"/>
        <item x="0"/>
        <item x="4"/>
        <item x="6"/>
        <item x="3"/>
        <item x="2"/>
        <item x="5"/>
      </items>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numFmtId="44" showAll="0" defaultSubtotal="0">
      <extLst>
        <ext xmlns:x14="http://schemas.microsoft.com/office/spreadsheetml/2009/9/main" uri="{2946ED86-A175-432a-8AC1-64E0C546D7DE}">
          <x14:pivotField fillDownLabels="1"/>
        </ext>
      </extLst>
    </pivotField>
    <pivotField numFmtId="44" showAll="0" defaultSubtotal="0">
      <extLst>
        <ext xmlns:x14="http://schemas.microsoft.com/office/spreadsheetml/2009/9/main" uri="{2946ED86-A175-432a-8AC1-64E0C546D7DE}">
          <x14:pivotField fillDownLabels="1"/>
        </ext>
      </extLst>
    </pivotField>
    <pivotField numFmtId="44" showAll="0" defaultSubtotal="0">
      <extLst>
        <ext xmlns:x14="http://schemas.microsoft.com/office/spreadsheetml/2009/9/main" uri="{2946ED86-A175-432a-8AC1-64E0C546D7DE}">
          <x14:pivotField fillDownLabels="1"/>
        </ext>
      </extLst>
    </pivotField>
  </pivotFields>
  <rowFields count="1">
    <field x="1"/>
  </rowFields>
  <rowItems count="7">
    <i>
      <x/>
    </i>
    <i>
      <x v="1"/>
    </i>
    <i>
      <x v="2"/>
    </i>
    <i>
      <x v="3"/>
    </i>
    <i>
      <x v="4"/>
    </i>
    <i>
      <x v="5"/>
    </i>
    <i>
      <x v="6"/>
    </i>
  </rowItems>
  <colItems count="1">
    <i/>
  </colItems>
  <dataFields count="1">
    <dataField name="Horas estimadas por perfil" fld="2" baseField="0" baseItem="0"/>
  </dataFields>
  <formats count="10">
    <format dxfId="1277">
      <pivotArea dataOnly="0" labelOnly="1" outline="0" axis="axisValues" fieldPosition="0"/>
    </format>
    <format dxfId="1276">
      <pivotArea field="1" type="button" dataOnly="0" labelOnly="1" outline="0" axis="axisRow" fieldPosition="0"/>
    </format>
    <format dxfId="1275">
      <pivotArea dataOnly="0" labelOnly="1" outline="0" axis="axisValues" fieldPosition="0"/>
    </format>
    <format dxfId="1274">
      <pivotArea field="1" type="button" dataOnly="0" labelOnly="1" outline="0" axis="axisRow" fieldPosition="0"/>
    </format>
    <format dxfId="1273">
      <pivotArea dataOnly="0" labelOnly="1" outline="0" axis="axisValues" fieldPosition="0"/>
    </format>
    <format dxfId="1272">
      <pivotArea type="all" dataOnly="0" outline="0" fieldPosition="0"/>
    </format>
    <format dxfId="1271">
      <pivotArea outline="0" collapsedLevelsAreSubtotals="1" fieldPosition="0"/>
    </format>
    <format dxfId="1270">
      <pivotArea field="1" type="button" dataOnly="0" labelOnly="1" outline="0" axis="axisRow" fieldPosition="0"/>
    </format>
    <format dxfId="1269">
      <pivotArea dataOnly="0" labelOnly="1" fieldPosition="0">
        <references count="1">
          <reference field="1" count="0"/>
        </references>
      </pivotArea>
    </format>
    <format dxfId="126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7F4D353D-00CB-4901-8E2C-39572F7B7E4B}" name="TablaDinámica1" cacheId="26" applyNumberFormats="0" applyBorderFormats="0" applyFontFormats="0" applyPatternFormats="0" applyAlignmentFormats="0" applyWidthHeightFormats="1" dataCaption="Valores" updatedVersion="8" minRefreshableVersion="3" useAutoFormatting="1" colGrandTotals="0" itemPrintTitles="1" createdVersion="6" indent="0" compact="0" compactData="0" multipleFieldFilters="0">
  <location ref="B12:J34" firstHeaderRow="1" firstDataRow="1" firstDataCol="8" rowPageCount="2" colPageCount="1"/>
  <pivotFields count="27">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14">
        <item m="1" x="73"/>
        <item m="1" x="74"/>
        <item m="1" x="163"/>
        <item m="1" x="75"/>
        <item m="1" x="89"/>
        <item m="1" x="88"/>
        <item m="1" x="159"/>
        <item x="9"/>
        <item m="1" x="188"/>
        <item m="1" x="201"/>
        <item m="1" x="77"/>
        <item m="1" x="141"/>
        <item m="1" x="95"/>
        <item m="1" x="130"/>
        <item m="1" x="138"/>
        <item m="1" x="99"/>
        <item x="4"/>
        <item m="1" x="107"/>
        <item m="1" x="156"/>
        <item m="1" x="142"/>
        <item m="1" x="60"/>
        <item m="1" x="205"/>
        <item m="1" x="176"/>
        <item m="1" x="65"/>
        <item m="1" x="41"/>
        <item m="1" x="100"/>
        <item m="1" x="153"/>
        <item m="1" x="116"/>
        <item m="1" x="97"/>
        <item m="1" x="182"/>
        <item m="1" x="191"/>
        <item m="1" x="161"/>
        <item m="1" x="68"/>
        <item m="1" x="154"/>
        <item m="1" x="82"/>
        <item m="1" x="131"/>
        <item m="1" x="198"/>
        <item m="1" x="178"/>
        <item m="1" x="147"/>
        <item m="1" x="55"/>
        <item m="1" x="43"/>
        <item m="1" x="155"/>
        <item m="1" x="143"/>
        <item m="1" x="149"/>
        <item m="1" x="42"/>
        <item m="1" x="52"/>
        <item m="1" x="168"/>
        <item m="1" x="162"/>
        <item m="1" x="170"/>
        <item m="1" x="192"/>
        <item m="1" x="39"/>
        <item m="1" x="199"/>
        <item m="1" x="165"/>
        <item m="1" x="109"/>
        <item m="1" x="84"/>
        <item m="1" x="202"/>
        <item m="1" x="126"/>
        <item m="1" x="146"/>
        <item m="1" x="105"/>
        <item m="1" x="81"/>
        <item m="1" x="119"/>
        <item m="1" x="184"/>
        <item m="1" x="200"/>
        <item m="1" x="148"/>
        <item m="1" x="177"/>
        <item m="1" x="171"/>
        <item m="1" x="98"/>
        <item m="1" x="212"/>
        <item m="1" x="158"/>
        <item m="1" x="194"/>
        <item m="1" x="180"/>
        <item m="1" x="166"/>
        <item m="1" x="40"/>
        <item m="1" x="47"/>
        <item m="1" x="173"/>
        <item m="1" x="167"/>
        <item m="1" x="112"/>
        <item m="1" x="66"/>
        <item m="1" x="152"/>
        <item m="1" x="123"/>
        <item m="1" x="124"/>
        <item m="1" x="53"/>
        <item m="1" x="49"/>
        <item m="1" x="203"/>
        <item m="1" x="92"/>
        <item m="1" x="174"/>
        <item m="1" x="187"/>
        <item m="1" x="46"/>
        <item m="1" x="71"/>
        <item m="1" x="137"/>
        <item m="1" x="193"/>
        <item m="1" x="157"/>
        <item m="1" x="63"/>
        <item m="1" x="69"/>
        <item m="1" x="96"/>
        <item m="1" x="183"/>
        <item m="1" x="79"/>
        <item m="1" x="94"/>
        <item m="1" x="57"/>
        <item m="1" x="151"/>
        <item m="1" x="83"/>
        <item m="1" x="64"/>
        <item m="1" x="125"/>
        <item m="1" x="106"/>
        <item m="1" x="129"/>
        <item m="1" x="186"/>
        <item m="1" x="208"/>
        <item m="1" x="128"/>
        <item m="1" x="210"/>
        <item m="1" x="185"/>
        <item m="1" x="207"/>
        <item m="1" x="145"/>
        <item m="1" x="87"/>
        <item m="1" x="197"/>
        <item x="17"/>
        <item m="1" x="44"/>
        <item m="1" x="121"/>
        <item m="1" x="136"/>
        <item m="1" x="195"/>
        <item m="1" x="51"/>
        <item m="1" x="101"/>
        <item m="1" x="45"/>
        <item m="1" x="117"/>
        <item m="1" x="179"/>
        <item m="1" x="175"/>
        <item m="1" x="181"/>
        <item m="1" x="164"/>
        <item m="1" x="56"/>
        <item x="2"/>
        <item x="0"/>
        <item m="1" x="213"/>
        <item m="1" x="209"/>
        <item m="1" x="113"/>
        <item m="1" x="91"/>
        <item x="1"/>
        <item m="1" x="132"/>
        <item m="1" x="206"/>
        <item m="1" x="196"/>
        <item m="1" x="144"/>
        <item m="1" x="127"/>
        <item x="5"/>
        <item m="1" x="58"/>
        <item m="1" x="172"/>
        <item m="1" x="62"/>
        <item m="1" x="54"/>
        <item m="1" x="110"/>
        <item m="1" x="190"/>
        <item m="1" x="76"/>
        <item m="1" x="102"/>
        <item m="1" x="211"/>
        <item m="1" x="115"/>
        <item m="1" x="61"/>
        <item x="3"/>
        <item m="1" x="85"/>
        <item m="1" x="67"/>
        <item m="1" x="90"/>
        <item m="1" x="114"/>
        <item m="1" x="111"/>
        <item m="1" x="59"/>
        <item m="1" x="150"/>
        <item m="1" x="108"/>
        <item m="1" x="169"/>
        <item m="1" x="140"/>
        <item m="1" x="93"/>
        <item m="1" x="80"/>
        <item m="1" x="50"/>
        <item m="1" x="103"/>
        <item m="1" x="160"/>
        <item m="1" x="78"/>
        <item m="1" x="204"/>
        <item m="1" x="122"/>
        <item m="1" x="135"/>
        <item m="1" x="189"/>
        <item m="1" x="139"/>
        <item m="1" x="120"/>
        <item m="1" x="133"/>
        <item m="1" x="72"/>
        <item m="1" x="48"/>
        <item m="1" x="118"/>
        <item x="29"/>
        <item m="1" x="70"/>
        <item m="1" x="38"/>
        <item m="1" x="86"/>
        <item m="1" x="104"/>
        <item x="37"/>
        <item x="6"/>
        <item x="7"/>
        <item x="8"/>
        <item x="10"/>
        <item x="11"/>
        <item x="12"/>
        <item x="13"/>
        <item x="14"/>
        <item x="15"/>
        <item x="16"/>
        <item x="18"/>
        <item x="19"/>
        <item m="1" x="134"/>
        <item x="25"/>
        <item x="21"/>
        <item x="22"/>
        <item x="23"/>
        <item x="24"/>
        <item x="20"/>
        <item x="26"/>
        <item x="27"/>
        <item x="28"/>
        <item x="30"/>
        <item x="31"/>
        <item x="32"/>
        <item x="33"/>
        <item x="34"/>
        <item x="35"/>
        <item x="3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000">
        <item m="1" x="6349"/>
        <item m="1" x="7980"/>
        <item m="1" x="7044"/>
        <item m="1" x="7045"/>
        <item m="1" x="7046"/>
        <item m="1" x="2720"/>
        <item m="1" x="3048"/>
        <item m="1" x="2768"/>
        <item m="1" x="2769"/>
        <item m="1" x="2770"/>
        <item m="1" x="6004"/>
        <item m="1" x="7707"/>
        <item m="1" x="7073"/>
        <item m="1" x="2724"/>
        <item m="1" x="4207"/>
        <item m="1" x="3491"/>
        <item m="1" x="3664"/>
        <item m="1" x="2732"/>
        <item m="1" x="2733"/>
        <item m="1" x="4730"/>
        <item m="1" x="5300"/>
        <item m="1" x="5869"/>
        <item m="1" x="5924"/>
        <item m="1" x="5716"/>
        <item m="1" x="6669"/>
        <item m="1" x="5377"/>
        <item m="1" x="3981"/>
        <item m="1" x="3563"/>
        <item m="1" x="5970"/>
        <item m="1" x="4644"/>
        <item m="1" x="2665"/>
        <item m="1" x="3307"/>
        <item m="1" x="4542"/>
        <item m="1" x="4670"/>
        <item m="1" x="6509"/>
        <item m="1" x="7021"/>
        <item m="1" x="2608"/>
        <item m="1" x="7154"/>
        <item m="1" x="2609"/>
        <item m="1" x="7155"/>
        <item m="1" x="5348"/>
        <item m="1" x="5928"/>
        <item m="1" x="7945"/>
        <item m="1" x="2930"/>
        <item m="1" x="2547"/>
        <item m="1" x="7502"/>
        <item m="1" x="2759"/>
        <item m="1" x="3647"/>
        <item m="1" x="4350"/>
        <item m="1" x="7447"/>
        <item m="1" x="2983"/>
        <item m="1" x="4442"/>
        <item m="1" x="7448"/>
        <item m="1" x="4443"/>
        <item m="1" x="4444"/>
        <item m="1" x="7482"/>
        <item m="1" x="2984"/>
        <item m="1" x="4445"/>
        <item m="1" x="7449"/>
        <item m="1" x="7450"/>
        <item m="1" x="7451"/>
        <item m="1" x="2985"/>
        <item m="1" x="4446"/>
        <item m="1" x="7655"/>
        <item m="1" x="3955"/>
        <item m="1" x="3332"/>
        <item m="1" x="4829"/>
        <item m="1" x="3333"/>
        <item m="1" x="4830"/>
        <item m="1" x="5088"/>
        <item m="1" x="4864"/>
        <item m="1" x="4865"/>
        <item m="1" x="4866"/>
        <item m="1" x="4867"/>
        <item m="1" x="4868"/>
        <item m="1" x="4869"/>
        <item m="1" x="4870"/>
        <item m="1" x="4871"/>
        <item m="1" x="4872"/>
        <item m="1" x="6992"/>
        <item m="1" x="5618"/>
        <item m="1" x="7727"/>
        <item m="1" x="7728"/>
        <item m="1" x="7729"/>
        <item m="1" x="7375"/>
        <item m="1" x="6520"/>
        <item m="1" x="6432"/>
        <item m="1" x="5411"/>
        <item m="1" x="7677"/>
        <item m="1" x="7820"/>
        <item m="1" x="5614"/>
        <item m="1" x="4144"/>
        <item m="1" x="4357"/>
        <item m="1" x="3817"/>
        <item m="1" x="7452"/>
        <item m="1" x="3517"/>
        <item m="1" x="7376"/>
        <item m="1" x="6668"/>
        <item m="1" x="5289"/>
        <item m="1" x="5934"/>
        <item m="1" x="2819"/>
        <item m="1" x="5194"/>
        <item m="1" x="6915"/>
        <item m="1" x="3789"/>
        <item m="1" x="5425"/>
        <item m="1" x="4079"/>
        <item m="1" x="2586"/>
        <item m="1" x="3172"/>
        <item m="1" x="6312"/>
        <item m="1" x="2587"/>
        <item m="1" x="6674"/>
        <item m="1" x="3754"/>
        <item m="1" x="2544"/>
        <item m="1" x="5996"/>
        <item m="1" x="3282"/>
        <item m="1" x="6410"/>
        <item m="1" x="7873"/>
        <item m="1" x="7049"/>
        <item m="1" x="3300"/>
        <item m="1" x="7611"/>
        <item m="1" x="3210"/>
        <item m="1" x="6199"/>
        <item m="1" x="6160"/>
        <item m="1" x="2710"/>
        <item m="1" x="3104"/>
        <item m="1" x="3781"/>
        <item m="1" x="3084"/>
        <item m="1" x="3861"/>
        <item m="1" x="6102"/>
        <item m="1" x="6836"/>
        <item m="1" x="3564"/>
        <item m="1" x="7883"/>
        <item m="1" x="7966"/>
        <item m="1" x="3788"/>
        <item m="1" x="7328"/>
        <item m="1" x="7869"/>
        <item m="1" x="6755"/>
        <item m="1" x="5762"/>
        <item m="1" x="3330"/>
        <item m="1" x="6780"/>
        <item m="1" x="3833"/>
        <item m="1" x="7371"/>
        <item m="1" x="4021"/>
        <item m="1" x="4032"/>
        <item m="1" x="7914"/>
        <item m="1" x="2548"/>
        <item m="1" x="4234"/>
        <item m="1" x="4158"/>
        <item m="1" x="3135"/>
        <item m="1" x="7854"/>
        <item m="1" x="7440"/>
        <item m="1" x="5498"/>
        <item m="1" x="5955"/>
        <item m="1" x="5246"/>
        <item m="1" x="6096"/>
        <item m="1" x="4202"/>
        <item m="1" x="3938"/>
        <item m="1" x="6313"/>
        <item m="1" x="4677"/>
        <item m="1" x="5675"/>
        <item m="1" x="3832"/>
        <item m="1" x="6400"/>
        <item m="1" x="6045"/>
        <item m="1" x="4713"/>
        <item m="1" x="2931"/>
        <item m="1" x="6825"/>
        <item m="1" x="5334"/>
        <item m="1" x="6871"/>
        <item m="1" x="2621"/>
        <item m="1" x="6016"/>
        <item m="1" x="4358"/>
        <item m="1" x="5564"/>
        <item m="1" x="7929"/>
        <item m="1" x="6632"/>
        <item m="1" x="3974"/>
        <item m="1" x="3609"/>
        <item m="1" x="4394"/>
        <item m="1" x="2842"/>
        <item m="1" x="5131"/>
        <item m="1" x="3023"/>
        <item m="1" x="5966"/>
        <item m="1" x="5077"/>
        <item m="1" x="7768"/>
        <item m="1" x="5935"/>
        <item m="1" x="3802"/>
        <item m="1" x="3132"/>
        <item m="1" x="6061"/>
        <item m="1" x="4349"/>
        <item m="1" x="3670"/>
        <item m="1" x="6657"/>
        <item m="1" x="3683"/>
        <item m="1" x="7442"/>
        <item m="1" x="4264"/>
        <item m="1" x="6007"/>
        <item m="1" x="2972"/>
        <item m="1" x="3051"/>
        <item m="1" x="6751"/>
        <item m="1" x="4904"/>
        <item m="1" x="7593"/>
        <item m="1" x="2519"/>
        <item m="1" x="6716"/>
        <item m="1" x="6062"/>
        <item m="1" x="7161"/>
        <item m="1" x="2947"/>
        <item m="1" x="5941"/>
        <item m="1" x="2699"/>
        <item m="1" x="5091"/>
        <item m="1" x="7761"/>
        <item m="1" x="3827"/>
        <item m="1" x="2513"/>
        <item m="1" x="3326"/>
        <item m="1" x="6855"/>
        <item m="1" x="3843"/>
        <item m="1" x="4473"/>
        <item m="1" x="3708"/>
        <item m="1" x="4359"/>
        <item m="1" x="3701"/>
        <item m="1" x="6830"/>
        <item m="1" x="5469"/>
        <item m="1" x="2566"/>
        <item m="1" x="5492"/>
        <item m="1" x="6843"/>
        <item m="1" x="2848"/>
        <item m="1" x="3631"/>
        <item m="1" x="3714"/>
        <item m="1" x="5769"/>
        <item m="1" x="3879"/>
        <item m="1" x="3295"/>
        <item m="1" x="5354"/>
        <item m="1" x="4188"/>
        <item m="1" x="6001"/>
        <item m="1" x="2954"/>
        <item m="1" x="3909"/>
        <item m="1" x="4181"/>
        <item m="1" x="3918"/>
        <item m="1" x="5871"/>
        <item m="1" x="4216"/>
        <item m="1" x="4584"/>
        <item m="1" x="4031"/>
        <item m="1" x="7329"/>
        <item m="1" x="3910"/>
        <item m="1" x="6026"/>
        <item m="1" x="6340"/>
        <item m="1" x="4998"/>
        <item m="1" x="2725"/>
        <item m="1" x="7949"/>
        <item m="1" x="3496"/>
        <item m="1" x="5188"/>
        <item m="1" x="4319"/>
        <item m="1" x="3527"/>
        <item m="1" x="3542"/>
        <item m="1" x="5418"/>
        <item m="1" x="7159"/>
        <item m="1" x="4328"/>
        <item m="1" x="6090"/>
        <item m="1" x="7338"/>
        <item m="1" x="4162"/>
        <item m="1" x="5135"/>
        <item m="1" x="7122"/>
        <item m="1" x="4080"/>
        <item m="1" x="7771"/>
        <item m="1" x="7387"/>
        <item m="1" x="2563"/>
        <item m="1" x="5167"/>
        <item m="1" x="2714"/>
        <item m="1" x="7127"/>
        <item m="1" x="2590"/>
        <item m="1" x="3790"/>
        <item m="1" x="2666"/>
        <item m="1" x="3996"/>
        <item m="1" x="2571"/>
        <item m="1" x="5157"/>
        <item m="1" x="6884"/>
        <item m="1" x="2909"/>
        <item m="1" x="3684"/>
        <item m="1" x="5056"/>
        <item m="1" x="5392"/>
        <item m="1" x="6706"/>
        <item m="1" x="4294"/>
        <item m="1" x="3585"/>
        <item m="1" x="4241"/>
        <item m="1" x="7353"/>
        <item m="1" x="4224"/>
        <item m="1" x="5721"/>
        <item m="1" x="7078"/>
        <item m="1" x="4043"/>
        <item m="1" x="3094"/>
        <item m="1" x="6424"/>
        <item m="1" x="5159"/>
        <item m="1" x="6990"/>
        <item m="1" x="5412"/>
        <item m="1" x="7931"/>
        <item m="1" x="3813"/>
        <item m="1" x="3612"/>
        <item m="1" x="2545"/>
        <item m="1" x="2674"/>
        <item m="1" x="4204"/>
        <item m="1" x="5853"/>
        <item m="1" x="3088"/>
        <item m="1" x="4149"/>
        <item m="1" x="7913"/>
        <item m="1" x="2521"/>
        <item m="1" x="4532"/>
        <item m="1" x="5123"/>
        <item m="1" x="7112"/>
        <item m="1" x="4278"/>
        <item m="1" x="3301"/>
        <item m="1" x="7457"/>
        <item m="1" x="3919"/>
        <item m="1" x="4286"/>
        <item m="1" x="4894"/>
        <item m="1" x="4203"/>
        <item m="1" x="5975"/>
        <item m="1" x="4560"/>
        <item m="1" x="7920"/>
        <item m="1" x="3990"/>
        <item m="1" x="4828"/>
        <item m="1" x="3033"/>
        <item m="1" x="6479"/>
        <item m="1" x="4147"/>
        <item m="1" x="3319"/>
        <item m="1" x="7525"/>
        <item m="1" x="5324"/>
        <item m="1" x="7137"/>
        <item m="1" x="2672"/>
        <item m="1" x="7400"/>
        <item m="1" x="6216"/>
        <item m="1" x="5698"/>
        <item m="1" x="4809"/>
        <item m="1" x="6183"/>
        <item m="1" x="5822"/>
        <item m="1" x="2564"/>
        <item m="1" x="7149"/>
        <item m="1" x="4375"/>
        <item m="1" x="4029"/>
        <item m="1" x="4711"/>
        <item m="1" x="7595"/>
        <item m="1" x="5204"/>
        <item m="1" x="4420"/>
        <item m="1" x="7979"/>
        <item m="1" x="5904"/>
        <item m="1" x="5910"/>
        <item m="1" x="6489"/>
        <item m="1" x="7360"/>
        <item m="1" x="6712"/>
        <item m="1" x="3306"/>
        <item m="1" x="6722"/>
        <item m="1" x="3819"/>
        <item m="1" x="3277"/>
        <item m="1" x="3289"/>
        <item m="1" x="3115"/>
        <item m="1" x="3036"/>
        <item m="1" x="5651"/>
        <item m="1" x="3144"/>
        <item m="1" x="7079"/>
        <item m="1" x="6032"/>
        <item m="1" x="7210"/>
        <item m="1" x="2946"/>
        <item m="1" x="4082"/>
        <item m="1" x="3090"/>
        <item m="1" x="4626"/>
        <item m="1" x="3738"/>
        <item m="1" x="4589"/>
        <item m="1" x="4407"/>
        <item m="1" x="2637"/>
        <item m="1" x="7506"/>
        <item m="1" x="7662"/>
        <item m="1" x="6132"/>
        <item m="1" x="6606"/>
        <item m="1" x="5225"/>
        <item m="1" x="7962"/>
        <item m="1" x="3583"/>
        <item m="1" x="3595"/>
        <item m="1" x="6888"/>
        <item m="1" x="7887"/>
        <item m="1" x="6863"/>
        <item x="27"/>
        <item m="1" x="2799"/>
        <item m="1" x="4578"/>
        <item m="1" x="3449"/>
        <item m="1" x="4225"/>
        <item m="1" x="7643"/>
        <item m="1" x="4750"/>
        <item m="1" x="3884"/>
        <item m="1" x="5297"/>
        <item m="1" x="4641"/>
        <item m="1" x="5344"/>
        <item m="1" x="3345"/>
        <item m="1" x="6051"/>
        <item m="1" x="6809"/>
        <item m="1" x="3729"/>
        <item m="1" x="2692"/>
        <item m="1" x="6705"/>
        <item m="1" x="6336"/>
        <item m="1" x="5286"/>
        <item m="1" x="7177"/>
        <item m="1" x="5567"/>
        <item m="1" x="7759"/>
        <item m="1" x="7003"/>
        <item m="1" x="5521"/>
        <item m="1" x="4516"/>
        <item m="1" x="6421"/>
        <item m="1" x="7939"/>
        <item m="1" x="7322"/>
        <item m="1" x="3046"/>
        <item m="1" x="2651"/>
        <item m="1" x="7111"/>
        <item m="1" x="4572"/>
        <item m="1" x="4763"/>
        <item m="1" x="6485"/>
        <item m="1" x="5432"/>
        <item m="1" x="5470"/>
        <item m="1" x="5668"/>
        <item m="1" x="5349"/>
        <item m="1" x="7551"/>
        <item m="1" x="3852"/>
        <item m="1" x="3857"/>
        <item m="1" x="3816"/>
        <item m="1" x="3296"/>
        <item m="1" x="3303"/>
        <item m="1" x="2929"/>
        <item m="1" x="7109"/>
        <item m="1" x="5421"/>
        <item m="1" x="3098"/>
        <item m="1" x="7930"/>
        <item m="1" x="7529"/>
        <item m="1" x="6961"/>
        <item m="1" x="5011"/>
        <item m="1" x="7428"/>
        <item m="1" x="4640"/>
        <item m="1" x="4793"/>
        <item m="1" x="2767"/>
        <item m="1" x="4351"/>
        <item m="1" x="7205"/>
        <item m="1" x="3745"/>
        <item m="1" x="6343"/>
        <item m="1" x="7153"/>
        <item m="1" x="7465"/>
        <item m="1" x="5893"/>
        <item m="1" x="2903"/>
        <item m="1" x="6677"/>
        <item m="1" x="2604"/>
        <item m="1" x="2632"/>
        <item m="1" x="4066"/>
        <item m="1" x="3157"/>
        <item m="1" x="4298"/>
        <item m="1" x="4931"/>
        <item m="1" x="7569"/>
        <item m="1" x="3055"/>
        <item m="1" x="7578"/>
        <item m="1" x="7579"/>
        <item m="1" x="7580"/>
        <item m="1" x="7496"/>
        <item m="1" x="7069"/>
        <item m="1" x="3720"/>
        <item m="1" x="5746"/>
        <item m="1" x="3181"/>
        <item m="1" x="5608"/>
        <item m="1" x="5829"/>
        <item m="1" x="2856"/>
        <item m="1" x="7693"/>
        <item m="1" x="6020"/>
        <item m="1" x="4915"/>
        <item m="1" x="5277"/>
        <item m="1" x="6369"/>
        <item m="1" x="5707"/>
        <item m="1" x="7407"/>
        <item m="1" x="4636"/>
        <item m="1" x="2781"/>
        <item m="1" x="5678"/>
        <item m="1" x="3216"/>
        <item m="1" x="3506"/>
        <item m="1" x="7713"/>
        <item m="1" x="6158"/>
        <item m="1" x="4200"/>
        <item m="1" x="4891"/>
        <item m="1" x="2832"/>
        <item m="1" x="3617"/>
        <item m="1" x="4728"/>
        <item m="1" x="4382"/>
        <item m="1" x="5836"/>
        <item m="1" x="3937"/>
        <item m="1" x="6464"/>
        <item m="1" x="7368"/>
        <item m="1" x="5714"/>
        <item m="1" x="5626"/>
        <item m="1" x="3001"/>
        <item m="1" x="6363"/>
        <item m="1" x="4751"/>
        <item m="1" x="2935"/>
        <item m="1" x="6734"/>
        <item m="1" x="5295"/>
        <item m="1" x="4979"/>
        <item m="1" x="5071"/>
        <item m="1" x="3673"/>
        <item m="1" x="6131"/>
        <item m="1" x="3234"/>
        <item m="1" x="4994"/>
        <item m="1" x="6423"/>
        <item m="1" x="6531"/>
        <item m="1" x="2595"/>
        <item m="1" x="7241"/>
        <item m="1" x="6603"/>
        <item m="1" x="7081"/>
        <item m="1" x="5511"/>
        <item m="1" x="7944"/>
        <item m="1" x="3953"/>
        <item m="1" x="3524"/>
        <item m="1" x="6218"/>
        <item m="1" x="7568"/>
        <item m="1" x="4518"/>
        <item m="1" x="7600"/>
        <item m="1" x="4764"/>
        <item m="1" x="7267"/>
        <item m="1" x="6231"/>
        <item m="1" x="6416"/>
        <item m="1" x="7785"/>
        <item m="1" x="4721"/>
        <item m="1" x="4486"/>
        <item m="1" x="5958"/>
        <item m="1" x="2691"/>
        <item m="1" x="7396"/>
        <item m="1" x="7582"/>
        <item m="1" x="5809"/>
        <item m="1" x="6453"/>
        <item m="1" x="3646"/>
        <item m="1" x="5185"/>
        <item m="1" x="7165"/>
        <item m="1" x="6587"/>
        <item m="1" x="7697"/>
        <item m="1" x="2727"/>
        <item m="1" x="2868"/>
        <item m="1" x="2992"/>
        <item m="1" x="3810"/>
        <item m="1" x="7097"/>
        <item m="1" x="4510"/>
        <item m="1" x="6173"/>
        <item m="1" x="2949"/>
        <item m="1" x="4433"/>
        <item m="1" x="2589"/>
        <item m="1" x="5248"/>
        <item m="1" x="4899"/>
        <item m="1" x="7499"/>
        <item m="1" x="5950"/>
        <item m="1" x="4352"/>
        <item m="1" x="6510"/>
        <item m="1" x="7937"/>
        <item m="1" x="2884"/>
        <item m="1" x="6617"/>
        <item m="1" x="7209"/>
        <item m="1" x="5581"/>
        <item m="1" x="7116"/>
        <item m="1" x="3614"/>
        <item m="1" x="3313"/>
        <item m="1" x="7091"/>
        <item m="1" x="2839"/>
        <item m="1" x="6493"/>
        <item m="1" x="6494"/>
        <item m="1" x="6495"/>
        <item m="1" x="6496"/>
        <item m="1" x="6549"/>
        <item m="1" x="6550"/>
        <item m="1" x="6551"/>
        <item m="1" x="6552"/>
        <item m="1" x="6553"/>
        <item m="1" x="6554"/>
        <item m="1" x="6555"/>
        <item m="1" x="6556"/>
        <item m="1" x="6557"/>
        <item m="1" x="6558"/>
        <item m="1" x="6559"/>
        <item m="1" x="6560"/>
        <item m="1" x="5943"/>
        <item m="1" x="6956"/>
        <item m="1" x="7351"/>
        <item m="1" x="3003"/>
        <item m="1" x="6948"/>
        <item m="1" x="6575"/>
        <item m="1" x="4521"/>
        <item m="1" x="5409"/>
        <item m="1" x="5224"/>
        <item m="1" x="4449"/>
        <item m="1" x="6967"/>
        <item m="1" x="7908"/>
        <item m="1" x="4450"/>
        <item m="1" x="4451"/>
        <item m="1" x="4452"/>
        <item m="1" x="6968"/>
        <item m="1" x="6969"/>
        <item m="1" x="4453"/>
        <item m="1" x="4067"/>
        <item m="1" x="4454"/>
        <item m="1" x="4310"/>
        <item m="1" x="4311"/>
        <item m="1" x="6576"/>
        <item m="1" x="5310"/>
        <item m="1" x="6970"/>
        <item m="1" x="4455"/>
        <item m="1" x="4456"/>
        <item m="1" x="4457"/>
        <item m="1" x="4458"/>
        <item m="1" x="4459"/>
        <item m="1" x="6971"/>
        <item m="1" x="3979"/>
        <item m="1" x="7577"/>
        <item m="1" x="4312"/>
        <item m="1" x="5311"/>
        <item m="1" x="6972"/>
        <item m="1" x="6130"/>
        <item m="1" x="6973"/>
        <item m="1" x="3142"/>
        <item m="1" x="4460"/>
        <item m="1" x="4461"/>
        <item m="1" x="4313"/>
        <item m="1" x="4314"/>
        <item m="1" x="4315"/>
        <item m="1" x="7380"/>
        <item m="1" x="6974"/>
        <item m="1" x="3141"/>
        <item m="1" x="4822"/>
        <item m="1" x="4823"/>
        <item m="1" x="5200"/>
        <item m="1" x="4824"/>
        <item m="1" x="4922"/>
        <item m="1" x="3976"/>
        <item m="1" x="7574"/>
        <item m="1" x="5703"/>
        <item m="1" x="6693"/>
        <item m="1" x="5092"/>
        <item m="1" x="4151"/>
        <item m="1" x="6081"/>
        <item m="1" x="7554"/>
        <item m="1" x="4625"/>
        <item m="1" x="2945"/>
        <item m="1" x="2557"/>
        <item m="1" x="5886"/>
        <item m="1" x="7319"/>
        <item m="1" x="6714"/>
        <item m="1" x="7764"/>
        <item m="1" x="7978"/>
        <item m="1" x="7297"/>
        <item m="1" x="5342"/>
        <item m="1" x="4396"/>
        <item m="1" x="5182"/>
        <item m="1" x="7432"/>
        <item m="1" x="3821"/>
        <item m="1" x="4391"/>
        <item m="1" x="6590"/>
        <item m="1" x="4318"/>
        <item m="1" x="4238"/>
        <item m="1" x="7997"/>
        <item m="1" x="7110"/>
        <item m="1" x="7200"/>
        <item m="1" x="7606"/>
        <item m="1" x="3189"/>
        <item m="1" x="6591"/>
        <item m="1" x="6795"/>
        <item m="1" x="3352"/>
        <item m="1" x="3411"/>
        <item m="1" x="7852"/>
        <item m="1" x="6592"/>
        <item m="1" x="3190"/>
        <item m="1" x="7738"/>
        <item m="1" x="7082"/>
        <item m="1" x="6796"/>
        <item m="1" x="6797"/>
        <item m="1" x="6798"/>
        <item m="1" x="7739"/>
        <item m="1" x="7472"/>
        <item m="1" x="6799"/>
        <item m="1" x="4810"/>
        <item m="1" x="3412"/>
        <item m="1" x="3413"/>
        <item m="1" x="7323"/>
        <item m="1" x="2610"/>
        <item m="1" x="6593"/>
        <item m="1" x="3622"/>
        <item m="1" x="6800"/>
        <item m="1" x="7324"/>
        <item m="1" x="7473"/>
        <item m="1" x="6801"/>
        <item m="1" x="6768"/>
        <item m="1" x="6802"/>
        <item m="1" x="7325"/>
        <item m="1" x="7679"/>
        <item m="1" x="7740"/>
        <item m="1" x="6769"/>
        <item m="1" x="6803"/>
        <item m="1" x="7326"/>
        <item m="1" x="6804"/>
        <item m="1" x="7474"/>
        <item m="1" x="3191"/>
        <item m="1" x="5859"/>
        <item m="1" x="7475"/>
        <item m="1" x="7476"/>
        <item m="1" x="7741"/>
        <item m="1" x="7680"/>
        <item m="1" x="3414"/>
        <item m="1" x="3494"/>
        <item m="1" x="7742"/>
        <item m="1" x="3192"/>
        <item m="1" x="7477"/>
        <item m="1" x="6805"/>
        <item m="1" x="7478"/>
        <item m="1" x="6806"/>
        <item m="1" x="3415"/>
        <item m="1" x="7681"/>
        <item m="1" x="7479"/>
        <item m="1" x="3193"/>
        <item m="1" x="7480"/>
        <item m="1" x="7537"/>
        <item m="1" x="3353"/>
        <item m="1" x="4175"/>
        <item m="1" x="6840"/>
        <item m="1" x="7244"/>
        <item m="1" x="2823"/>
        <item m="1" x="4205"/>
        <item m="1" x="7234"/>
        <item m="1" x="6934"/>
        <item m="1" x="3160"/>
        <item m="1" x="3388"/>
        <item m="1" x="3161"/>
        <item m="1" x="6776"/>
        <item m="1" x="6506"/>
        <item m="1" x="3389"/>
        <item m="1" x="3162"/>
        <item m="1" x="4052"/>
        <item m="1" x="7143"/>
        <item m="1" x="7520"/>
        <item m="1" x="4115"/>
        <item m="1" x="7678"/>
        <item m="1" x="6980"/>
        <item m="1" x="6981"/>
        <item m="1" x="6982"/>
        <item m="1" x="3869"/>
        <item m="1" x="6697"/>
        <item m="1" x="6148"/>
        <item m="1" x="6983"/>
        <item m="1" x="5119"/>
        <item m="1" x="5120"/>
        <item m="1" x="3753"/>
        <item m="1" x="7215"/>
        <item m="1" x="5291"/>
        <item m="1" x="5436"/>
        <item m="1" x="5181"/>
        <item m="1" x="6043"/>
        <item m="1" x="4389"/>
        <item m="1" x="4729"/>
        <item m="1" x="4776"/>
        <item m="1" x="3759"/>
        <item m="1" x="5973"/>
        <item m="1" x="6498"/>
        <item m="1" x="7826"/>
        <item m="1" x="3546"/>
        <item m="1" x="6596"/>
        <item m="1" x="5041"/>
        <item m="1" x="3848"/>
        <item m="1" x="3547"/>
        <item m="1" x="5474"/>
        <item m="1" x="7722"/>
        <item m="1" x="5900"/>
        <item m="1" x="7096"/>
        <item m="1" x="5743"/>
        <item m="1" x="3548"/>
        <item m="1" x="5042"/>
        <item m="1" x="7056"/>
        <item m="1" x="5475"/>
        <item m="1" x="5476"/>
        <item m="1" x="5043"/>
        <item m="1" x="7748"/>
        <item m="1" x="5744"/>
        <item m="1" x="3549"/>
        <item m="1" x="5477"/>
        <item m="1" x="5044"/>
        <item m="1" x="5927"/>
        <item m="1" x="2517"/>
        <item m="1" x="3550"/>
        <item m="1" x="5478"/>
        <item m="1" x="5045"/>
        <item m="1" x="5479"/>
        <item m="1" x="5480"/>
        <item m="1" x="6597"/>
        <item m="1" x="6621"/>
        <item m="1" x="5046"/>
        <item m="1" x="5481"/>
        <item m="1" x="5482"/>
        <item m="1" x="5047"/>
        <item m="1" x="3824"/>
        <item m="1" x="3551"/>
        <item m="1" x="3552"/>
        <item m="1" x="5483"/>
        <item m="1" x="3553"/>
        <item m="1" x="5484"/>
        <item m="1" x="3554"/>
        <item m="1" x="6598"/>
        <item m="1" x="7827"/>
        <item m="1" x="5485"/>
        <item m="1" x="3555"/>
        <item m="1" x="3556"/>
        <item m="1" x="5149"/>
        <item m="1" x="3870"/>
        <item m="1" x="5486"/>
        <item m="1" x="5487"/>
        <item m="1" x="7828"/>
        <item m="1" x="3557"/>
        <item m="1" x="3558"/>
        <item m="1" x="5048"/>
        <item m="1" x="3559"/>
        <item m="1" x="3560"/>
        <item m="1" x="5488"/>
        <item m="1" x="5489"/>
        <item m="1" x="3561"/>
        <item m="1" x="5490"/>
        <item m="1" x="5491"/>
        <item m="1" x="3562"/>
        <item m="1" x="5049"/>
        <item m="1" x="5050"/>
        <item m="1" x="3908"/>
        <item m="1" x="6599"/>
        <item m="1" x="7057"/>
        <item m="1" x="4498"/>
        <item m="1" x="7808"/>
        <item m="1" x="6350"/>
        <item m="1" x="5548"/>
        <item m="1" x="5549"/>
        <item m="1" x="5550"/>
        <item m="1" x="3943"/>
        <item m="1" x="7853"/>
        <item m="1" x="6002"/>
        <item m="1" x="7698"/>
        <item m="1" x="7236"/>
        <item m="1" x="2780"/>
        <item m="1" x="5066"/>
        <item m="1" x="5389"/>
        <item m="1" x="2964"/>
        <item m="1" x="2575"/>
        <item m="1" x="7406"/>
        <item m="1" x="7877"/>
        <item m="1" x="7878"/>
        <item m="1" x="2980"/>
        <item m="1" x="6724"/>
        <item m="1" x="6723"/>
        <item m="1" x="5856"/>
        <item m="1" x="3328"/>
        <item m="1" x="5217"/>
        <item m="1" x="5346"/>
        <item m="1" x="5814"/>
        <item m="1" x="7436"/>
        <item m="1" x="5083"/>
        <item m="1" x="5815"/>
        <item m="1" x="5084"/>
        <item m="1" x="5085"/>
        <item m="1" x="6067"/>
        <item m="1" x="5062"/>
        <item m="1" x="5692"/>
        <item m="1" x="7865"/>
        <item m="1" x="5685"/>
        <item m="1" x="5693"/>
        <item m="1" x="4183"/>
        <item m="1" x="3071"/>
        <item m="1" x="5268"/>
        <item m="1" x="3877"/>
        <item m="1" x="6977"/>
        <item m="1" x="7942"/>
        <item m="1" x="7780"/>
        <item m="1" x="5961"/>
        <item m="1" x="5226"/>
        <item m="1" x="5215"/>
        <item m="1" x="5281"/>
        <item m="1" x="7065"/>
        <item m="1" x="2953"/>
        <item m="1" x="3721"/>
        <item m="1" x="6282"/>
        <item m="1" x="6283"/>
        <item m="1" x="6284"/>
        <item m="1" x="6285"/>
        <item m="1" x="6286"/>
        <item m="1" x="6287"/>
        <item m="1" x="6288"/>
        <item m="1" x="6289"/>
        <item m="1" x="6290"/>
        <item m="1" x="6291"/>
        <item m="1" x="6292"/>
        <item m="1" x="6293"/>
        <item m="1" x="3634"/>
        <item m="1" x="3635"/>
        <item m="1" x="3636"/>
        <item m="1" x="3637"/>
        <item m="1" x="3638"/>
        <item m="1" x="3639"/>
        <item m="1" x="3640"/>
        <item m="1" x="3641"/>
        <item m="1" x="3642"/>
        <item m="1" x="7556"/>
        <item m="1" x="4215"/>
        <item m="1" x="6620"/>
        <item m="1" x="7083"/>
        <item m="1" x="7805"/>
        <item m="1" x="7571"/>
        <item m="1" x="7572"/>
        <item m="1" x="6115"/>
        <item m="1" x="5763"/>
        <item m="1" x="7265"/>
        <item m="1" x="3042"/>
        <item m="1" x="5401"/>
        <item m="1" x="5402"/>
        <item m="1" x="2915"/>
        <item m="1" x="5403"/>
        <item m="1" x="7339"/>
        <item m="1" x="7340"/>
        <item m="1" x="6695"/>
        <item m="1" x="5681"/>
        <item m="1" x="7629"/>
        <item m="1" x="7581"/>
        <item m="1" x="6238"/>
        <item m="1" x="2625"/>
        <item m="1" x="4416"/>
        <item m="1" x="4417"/>
        <item m="1" x="7055"/>
        <item m="1" x="2670"/>
        <item m="1" x="5761"/>
        <item m="1" x="5090"/>
        <item m="1" x="3842"/>
        <item m="1" x="6653"/>
        <item m="1" x="5643"/>
        <item m="1" x="4954"/>
        <item m="1" x="4689"/>
        <item m="1" x="6297"/>
        <item m="1" x="7540"/>
        <item m="1" x="5035"/>
        <item m="1" x="5000"/>
        <item m="1" x="4813"/>
        <item m="1" x="4126"/>
        <item m="1" x="5873"/>
        <item m="1" x="6829"/>
        <item m="1" x="2838"/>
        <item m="1" x="3163"/>
        <item m="1" x="2886"/>
        <item m="1" x="5327"/>
        <item m="1" x="4071"/>
        <item m="1" x="3951"/>
        <item m="1" x="3120"/>
        <item m="1" x="5895"/>
        <item m="1" x="4099"/>
        <item m="1" x="7225"/>
        <item m="1" x="6911"/>
        <item m="1" x="7799"/>
        <item m="1" x="3742"/>
        <item m="1" x="3766"/>
        <item m="1" x="4218"/>
        <item m="1" x="2711"/>
        <item m="1" x="3420"/>
        <item m="1" x="3580"/>
        <item m="1" x="7423"/>
        <item m="1" x="2612"/>
        <item m="1" x="7393"/>
        <item m="1" x="3067"/>
        <item m="1" x="5405"/>
        <item m="1" x="6445"/>
        <item m="1" x="4621"/>
        <item m="1" x="6715"/>
        <item m="1" x="3762"/>
        <item m="1" x="6167"/>
        <item m="1" x="4211"/>
        <item m="1" x="6758"/>
        <item m="1" x="4092"/>
        <item m="1" x="3783"/>
        <item m="1" x="5207"/>
        <item m="1" x="3026"/>
        <item m="1" x="5449"/>
        <item m="1" x="6076"/>
        <item m="1" x="7912"/>
        <item m="1" x="4943"/>
        <item m="1" x="6702"/>
        <item m="1" x="5393"/>
        <item m="1" x="6835"/>
        <item m="1" x="6895"/>
        <item m="1" x="6976"/>
        <item m="1" x="7160"/>
        <item m="1" x="5771"/>
        <item m="1" x="4832"/>
        <item m="1" x="7517"/>
        <item m="1" x="5666"/>
        <item m="1" x="7361"/>
        <item m="1" x="4701"/>
        <item m="1" x="6826"/>
        <item m="1" x="3579"/>
        <item m="1" x="7856"/>
        <item m="1" x="6327"/>
        <item m="1" x="4646"/>
        <item m="1" x="2789"/>
        <item m="1" x="6388"/>
        <item m="1" x="7518"/>
        <item m="1" x="4777"/>
        <item m="1" x="7139"/>
        <item m="1" x="7018"/>
        <item m="1" x="7532"/>
        <item m="1" x="2650"/>
        <item m="1" x="4858"/>
        <item m="1" x="4006"/>
        <item m="1" x="6093"/>
        <item m="1" x="6109"/>
        <item m="1" x="7029"/>
        <item m="1" x="2970"/>
        <item m="1" x="2663"/>
        <item m="1" x="3440"/>
        <item m="1" x="2773"/>
        <item m="1" x="6955"/>
        <item m="1" x="5360"/>
        <item m="1" x="5983"/>
        <item m="1" x="3511"/>
        <item m="1" x="3236"/>
        <item m="1" x="6645"/>
        <item m="1" x="3037"/>
        <item m="1" x="7634"/>
        <item m="1" x="6503"/>
        <item m="1" x="3499"/>
        <item m="1" x="3940"/>
        <item m="1" x="6816"/>
        <item m="1" x="3992"/>
        <item m="1" x="3584"/>
        <item m="1" x="6601"/>
        <item m="1" x="7460"/>
        <item m="1" x="4143"/>
        <item m="1" x="5113"/>
        <item m="1" x="6089"/>
        <item m="1" x="4792"/>
        <item m="1" x="6773"/>
        <item m="1" x="5037"/>
        <item m="1" x="7905"/>
        <item m="1" x="4309"/>
        <item m="1" x="4967"/>
        <item m="1" x="4600"/>
        <item m="1" x="5211"/>
        <item m="1" x="7705"/>
        <item m="1" x="5936"/>
        <item m="1" x="5514"/>
        <item m="1" x="4995"/>
        <item m="1" x="6078"/>
        <item m="1" x="3728"/>
        <item m="1" x="4639"/>
        <item m="1" x="3092"/>
        <item m="1" x="4725"/>
        <item m="1" x="4390"/>
        <item m="1" x="5278"/>
        <item m="1" x="5720"/>
        <item m="1" x="3240"/>
        <item m="1" x="3410"/>
        <item m="1" x="5095"/>
        <item m="1" x="6204"/>
        <item m="1" x="6277"/>
        <item m="1" x="2851"/>
        <item m="1" x="4876"/>
        <item m="1" x="4398"/>
        <item m="1" x="3074"/>
        <item m="1" x="4477"/>
        <item m="1" x="3724"/>
        <item m="1" x="4127"/>
        <item m="1" x="4370"/>
        <item m="1" x="6752"/>
        <item m="1" x="6169"/>
        <item m="1" x="3446"/>
        <item m="1" x="3716"/>
        <item m="1" x="3390"/>
        <item m="1" x="6468"/>
        <item m="1" x="5435"/>
        <item m="1" x="4535"/>
        <item m="1" x="3687"/>
        <item m="1" x="7072"/>
        <item m="1" x="4376"/>
        <item m="1" x="6940"/>
        <item m="1" x="5883"/>
        <item m="1" x="5705"/>
        <item m="1" x="6772"/>
        <item m="1" x="3275"/>
        <item m="1" x="5330"/>
        <item m="1" x="5997"/>
        <item m="1" x="4615"/>
        <item m="1" x="6667"/>
        <item m="1" x="6624"/>
        <item m="1" x="7388"/>
        <item m="1" x="6530"/>
        <item m="1" x="6505"/>
        <item m="1" x="4074"/>
        <item m="1" x="6914"/>
        <item m="1" x="7128"/>
        <item m="1" x="4620"/>
        <item m="1" x="5408"/>
        <item m="1" x="3703"/>
        <item m="1" x="7309"/>
        <item m="1" x="4604"/>
        <item m="1" x="6117"/>
        <item m="1" x="7282"/>
        <item m="1" x="5170"/>
        <item m="1" x="3875"/>
        <item m="1" x="3681"/>
        <item m="1" x="7058"/>
        <item m="1" x="6570"/>
        <item m="1" x="3355"/>
        <item m="1" x="7891"/>
        <item m="1" x="3369"/>
        <item m="1" x="4616"/>
        <item m="1" x="4530"/>
        <item m="1" x="4378"/>
        <item m="1" x="3941"/>
        <item m="1" x="6950"/>
        <item m="1" x="6986"/>
        <item m="1" x="3793"/>
        <item m="1" x="2512"/>
        <item m="1" x="3744"/>
        <item m="1" x="6444"/>
        <item m="1" x="4261"/>
        <item m="1" x="6367"/>
        <item m="1" x="4733"/>
        <item m="1" x="4253"/>
        <item m="1" x="4255"/>
        <item m="1" x="6028"/>
        <item m="1" x="7135"/>
        <item m="1" x="3498"/>
        <item m="1" x="7355"/>
        <item m="1" x="3007"/>
        <item m="1" x="3928"/>
        <item m="1" x="3957"/>
        <item m="1" x="6295"/>
        <item m="1" x="3630"/>
        <item m="1" x="6913"/>
        <item m="1" x="4254"/>
        <item m="1" x="4015"/>
        <item m="1" x="2948"/>
        <item m="1" x="5434"/>
        <item m="1" x="3424"/>
        <item m="1" x="4974"/>
        <item m="1" x="3922"/>
        <item m="1" x="5704"/>
        <item m="1" x="5333"/>
        <item m="1" x="4788"/>
        <item m="1" x="4073"/>
        <item m="1" x="7644"/>
        <item m="1" x="6443"/>
        <item m="1" x="6119"/>
        <item m="1" x="7317"/>
        <item m="1" x="3377"/>
        <item m="1" x="7795"/>
        <item m="1" x="5986"/>
        <item m="1" x="3167"/>
        <item m="1" x="6492"/>
        <item m="1" x="7847"/>
        <item m="1" x="7094"/>
        <item m="1" x="5384"/>
        <item m="1" x="4645"/>
        <item m="1" x="7843"/>
        <item m="1" x="5288"/>
        <item m="1" x="7535"/>
        <item m="1" x="3686"/>
        <item m="1" x="5870"/>
        <item m="1" x="3239"/>
        <item m="1" x="3409"/>
        <item m="1" x="6005"/>
        <item m="1" x="4170"/>
        <item m="1" x="4134"/>
        <item m="1" x="6874"/>
        <item m="1" x="5629"/>
        <item m="1" x="2962"/>
        <item m="1" x="2611"/>
        <item m="1" x="2536"/>
        <item m="1" x="5323"/>
        <item m="1" x="7636"/>
        <item m="1" x="4753"/>
        <item m="1" x="6408"/>
        <item m="1" x="7175"/>
        <item m="1" x="7495"/>
        <item m="1" x="7870"/>
        <item m="1" x="7714"/>
        <item m="1" x="3836"/>
        <item m="1" x="3383"/>
        <item m="1" x="4076"/>
        <item m="1" x="3801"/>
        <item m="1" x="5706"/>
        <item m="1" x="2743"/>
        <item m="1" x="7221"/>
        <item m="1" x="6482"/>
        <item m="1" x="4077"/>
        <item m="1" x="2899"/>
        <item m="1" x="3082"/>
        <item m="1" x="3787"/>
        <item m="1" x="6217"/>
        <item m="1" x="7426"/>
        <item m="1" x="4296"/>
        <item m="1" x="4905"/>
        <item m="1" x="3102"/>
        <item m="1" x="2790"/>
        <item m="1" x="4466"/>
        <item m="1" x="7262"/>
        <item m="1" x="4441"/>
        <item m="1" x="7231"/>
        <item m="1" x="5684"/>
        <item m="1" x="7527"/>
        <item m="1" x="2731"/>
        <item m="1" x="7514"/>
        <item m="1" x="6427"/>
        <item m="1" x="5034"/>
        <item m="1" x="6352"/>
        <item m="1" x="4195"/>
        <item m="1" x="7484"/>
        <item m="1" x="4549"/>
        <item m="1" x="7719"/>
        <item m="1" x="3097"/>
        <item m="1" x="2763"/>
        <item m="1" x="4802"/>
        <item m="1" x="7321"/>
        <item m="1" x="7068"/>
        <item m="1" x="6880"/>
        <item m="1" x="4727"/>
        <item m="1" x="7772"/>
        <item m="1" x="4548"/>
        <item m="1" x="7963"/>
        <item m="1" x="4592"/>
        <item m="1" x="7365"/>
        <item m="1" x="7138"/>
        <item m="1" x="6679"/>
        <item m="1" x="5652"/>
        <item m="1" x="6429"/>
        <item m="1" x="7246"/>
        <item m="1" x="2721"/>
        <item m="1" x="6212"/>
        <item m="1" x="5265"/>
        <item m="1" x="4141"/>
        <item m="1" x="7162"/>
        <item m="1" x="4533"/>
        <item m="1" x="6073"/>
        <item m="1" x="7455"/>
        <item m="1" x="7760"/>
        <item m="1" x="7833"/>
        <item m="1" x="6264"/>
        <item m="1" x="5844"/>
        <item m="1" x="4232"/>
        <item m="1" x="2795"/>
        <item m="1" x="4198"/>
        <item m="1" x="5398"/>
        <item m="1" x="2865"/>
        <item m="1" x="3183"/>
        <item m="1" x="7754"/>
        <item m="1" x="4414"/>
        <item m="1" x="3386"/>
        <item m="1" x="4354"/>
        <item m="1" x="3598"/>
        <item m="1" x="5370"/>
        <item m="1" x="3777"/>
        <item m="1" x="6049"/>
        <item m="1" x="5472"/>
        <item m="1" x="5725"/>
        <item m="1" x="5319"/>
        <item m="1" x="5320"/>
        <item m="1" x="5321"/>
        <item m="1" x="5322"/>
        <item m="1" x="5325"/>
        <item m="1" x="5328"/>
        <item m="1" x="7383"/>
        <item m="1" x="6808"/>
        <item m="1" x="5876"/>
        <item m="1" x="5301"/>
        <item m="1" x="4044"/>
        <item m="1" x="5443"/>
        <item m="1" x="4682"/>
        <item m="1" x="5728"/>
        <item m="1" x="4435"/>
        <item m="1" x="6789"/>
        <item m="1" x="3934"/>
        <item m="1" x="2516"/>
        <item m="1" x="2679"/>
        <item m="1" x="2874"/>
        <item m="1" x="6245"/>
        <item m="1" x="7923"/>
        <item m="1" x="7985"/>
        <item m="1" x="5445"/>
        <item m="1" x="5446"/>
        <item m="1" x="5515"/>
        <item m="1" x="6072"/>
        <item m="1" x="3676"/>
        <item m="1" x="6197"/>
        <item m="1" x="6930"/>
        <item m="1" x="6878"/>
        <item m="1" x="3076"/>
        <item m="1" x="4850"/>
        <item m="1" x="6629"/>
        <item m="1" x="6248"/>
        <item m="1" x="6572"/>
        <item m="1" x="4758"/>
        <item m="1" x="2893"/>
        <item m="1" x="6711"/>
        <item m="1" x="4034"/>
        <item m="1" x="7354"/>
        <item m="1" x="7959"/>
        <item m="1" x="5197"/>
        <item m="1" x="5231"/>
        <item m="1" x="2561"/>
        <item m="1" x="6949"/>
        <item m="1" x="7796"/>
        <item m="1" x="2854"/>
        <item m="1" x="4495"/>
        <item m="1" x="6055"/>
        <item m="1" x="4852"/>
        <item m="1" x="7090"/>
        <item m="1" x="4172"/>
        <item m="1" x="6656"/>
        <item m="1" x="3997"/>
        <item m="1" x="7790"/>
        <item m="1" x="7996"/>
        <item m="1" x="5736"/>
        <item m="1" x="7492"/>
        <item m="1" x="4624"/>
        <item m="1" x="3487"/>
        <item m="1" x="2678"/>
        <item m="1" x="6164"/>
        <item m="1" x="3281"/>
        <item m="1" x="3741"/>
        <item m="1" x="6784"/>
        <item m="1" x="5999"/>
        <item m="1" x="7013"/>
        <item m="1" x="6116"/>
        <item m="1" x="6418"/>
        <item m="1" x="4851"/>
        <item m="1" x="5875"/>
        <item m="1" x="5282"/>
        <item m="1" x="5336"/>
        <item m="1" x="7762"/>
        <item m="1" x="3570"/>
        <item m="1" x="3573"/>
        <item m="1" x="2850"/>
        <item m="1" x="7184"/>
        <item m="1" x="2840"/>
        <item m="1" x="7605"/>
        <item m="1" x="7217"/>
        <item m="1" x="7296"/>
        <item m="1" x="6909"/>
        <item m="1" x="4469"/>
        <item m="1" x="7341"/>
        <item m="1" x="7928"/>
        <item m="1" x="7438"/>
        <item m="1" x="4888"/>
        <item m="1" x="6379"/>
        <item m="1" x="6104"/>
        <item m="1" x="5452"/>
        <item m="1" x="6946"/>
        <item m="1" x="4651"/>
        <item m="1" x="4474"/>
        <item m="1" x="3674"/>
        <item m="1" x="7374"/>
        <item m="1" x="6486"/>
        <item m="1" x="4480"/>
        <item m="1" x="6906"/>
        <item m="1" x="3049"/>
        <item m="1" x="3860"/>
        <item m="1" x="3818"/>
        <item m="1" x="2736"/>
        <item m="1" x="5464"/>
        <item m="1" x="7623"/>
        <item m="1" x="4233"/>
        <item m="1" x="3323"/>
        <item m="1" x="7000"/>
        <item m="1" x="6561"/>
        <item m="1" x="4368"/>
        <item m="1" x="2772"/>
        <item m="1" x="4565"/>
        <item m="1" x="3740"/>
        <item m="1" x="6523"/>
        <item m="1" x="7272"/>
        <item m="1" x="2706"/>
        <item m="1" x="7961"/>
        <item m="1" x="3077"/>
        <item m="1" x="2873"/>
        <item m="1" x="7331"/>
        <item m="1" x="5036"/>
        <item m="1" x="2698"/>
        <item m="1" x="2755"/>
        <item m="1" x="5773"/>
        <item m="1" x="4880"/>
        <item m="1" x="5196"/>
        <item m="1" x="3070"/>
        <item m="1" x="3235"/>
        <item m="1" x="7308"/>
        <item m="1" x="6337"/>
        <item m="1" x="4762"/>
        <item m="1" x="5533"/>
        <item m="1" x="7295"/>
        <item m="1" x="4393"/>
        <item m="1" x="6625"/>
        <item m="1" x="5590"/>
        <item m="1" x="6548"/>
        <item m="1" x="7335"/>
        <item m="1" x="6953"/>
        <item m="1" x="5294"/>
        <item m="1" x="4419"/>
        <item m="1" x="7092"/>
        <item m="1" x="3944"/>
        <item m="1" x="6084"/>
        <item m="1" x="7281"/>
        <item m="1" x="2939"/>
        <item m="1" x="4094"/>
        <item m="1" x="5951"/>
        <item m="1" x="7167"/>
        <item m="1" x="2836"/>
        <item m="1" x="3971"/>
        <item m="1" x="5805"/>
        <item m="1" x="7051"/>
        <item m="1" x="7389"/>
        <item m="1" x="4193"/>
        <item m="1" x="7829"/>
        <item m="1" x="2938"/>
        <item m="1" x="4488"/>
        <item m="1" x="2738"/>
        <item m="1" x="2765"/>
        <item m="1" x="6978"/>
        <item m="1" x="3185"/>
        <item m="1" x="7366"/>
        <item m="1" x="7543"/>
        <item m="1" x="6473"/>
        <item m="1" x="6359"/>
        <item m="1" x="4411"/>
        <item m="1" x="3357"/>
        <item m="1" x="6628"/>
        <item m="1" x="3785"/>
        <item m="1" x="5699"/>
        <item m="1" x="5554"/>
        <item m="1" x="5719"/>
        <item m="1" x="5823"/>
        <item m="1" x="3830"/>
        <item m="1" x="6338"/>
        <item m="1" x="4546"/>
        <item m="1" x="4380"/>
        <item m="1" x="7336"/>
        <item m="1" x="7343"/>
        <item m="1" x="4695"/>
        <item m="1" x="2921"/>
        <item m="1" x="4116"/>
        <item m="1" x="5458"/>
        <item m="1" x="5896"/>
        <item m="1" x="7093"/>
        <item m="1" x="6999"/>
        <item m="1" x="5439"/>
        <item m="1" x="7788"/>
        <item m="1" x="2596"/>
        <item m="1" x="7483"/>
        <item m="1" x="4171"/>
        <item m="1" x="4676"/>
        <item m="1" x="4554"/>
        <item m="1" x="6842"/>
        <item m="1" x="6023"/>
        <item m="1" x="7555"/>
        <item m="1" x="3486"/>
        <item m="1" x="5963"/>
        <item m="1" x="6964"/>
        <item m="1" x="3505"/>
        <item m="1" x="4933"/>
        <item m="1" x="5857"/>
        <item m="1" x="2794"/>
        <item m="1" x="6989"/>
        <item m="1" x="3038"/>
        <item m="1" x="2618"/>
        <item m="1" x="7037"/>
        <item m="1" x="2834"/>
        <item m="1" x="7519"/>
        <item m="1" x="3392"/>
        <item m="1" x="3384"/>
        <item m="1" x="5137"/>
        <item m="1" x="3393"/>
        <item m="1" x="7183"/>
        <item m="1" x="7613"/>
        <item m="1" x="6252"/>
        <item m="1" x="3431"/>
        <item m="1" x="5252"/>
        <item m="1" x="4937"/>
        <item m="1" x="5239"/>
        <item m="1" x="4501"/>
        <item m="1" x="4585"/>
        <item m="1" x="6301"/>
        <item m="1" x="3956"/>
        <item m="1" x="4606"/>
        <item m="1" x="7289"/>
        <item m="1" x="3532"/>
        <item m="1" x="6137"/>
        <item m="1" x="7990"/>
        <item m="1" x="5788"/>
        <item m="1" x="4623"/>
        <item m="1" x="7253"/>
        <item m="1" x="2630"/>
        <item m="1" x="2844"/>
        <item m="1" x="7897"/>
        <item m="1" x="2976"/>
        <item m="1" x="6029"/>
        <item m="1" x="6095"/>
        <item m="1" x="4374"/>
        <item m="1" x="4231"/>
        <item m="1" x="3948"/>
        <item m="1" x="4112"/>
        <item m="1" x="5969"/>
        <item m="1" x="5358"/>
        <item m="1" x="3719"/>
        <item m="1" x="7872"/>
        <item m="1" x="2927"/>
        <item m="1" x="5839"/>
        <item m="1" x="7775"/>
        <item m="1" x="5906"/>
        <item m="1" x="4500"/>
        <item m="1" x="6684"/>
        <item m="1" x="4028"/>
        <item m="1" x="5760"/>
        <item m="1" x="7786"/>
        <item m="1" x="3429"/>
        <item m="1" x="4425"/>
        <item m="1" x="6220"/>
        <item m="1" x="2523"/>
        <item m="1" x="7384"/>
        <item m="1" x="3767"/>
        <item m="1" x="7378"/>
        <item m="1" x="2826"/>
        <item m="1" x="5847"/>
        <item m="1" x="6208"/>
        <item m="1" x="5069"/>
        <item m="1" x="6807"/>
        <item m="1" x="6375"/>
        <item m="1" x="6401"/>
        <item m="1" x="7133"/>
        <item m="1" x="6310"/>
        <item m="1" x="3422"/>
        <item m="1" x="2577"/>
        <item m="1" x="6850"/>
        <item m="1" x="2525"/>
        <item m="1" x="4924"/>
        <item m="1" x="6533"/>
        <item m="1" x="5466"/>
        <item m="1" x="6396"/>
        <item m="1" x="2870"/>
        <item m="1" x="2673"/>
        <item m="1" x="5021"/>
        <item m="1" x="5341"/>
        <item m="1" x="4008"/>
        <item m="1" x="7431"/>
        <item m="1" x="6122"/>
        <item m="1" x="5081"/>
        <item m="1" x="6642"/>
        <item m="1" x="2597"/>
        <item m="1" x="7397"/>
        <item m="1" x="3581"/>
        <item m="1" x="2812"/>
        <item m="1" x="3969"/>
        <item m="1" x="7196"/>
        <item m="1" x="2550"/>
        <item m="1" x="7692"/>
        <item m="1" x="7710"/>
        <item m="1" x="2638"/>
        <item m="1" x="6140"/>
        <item m="1" x="4583"/>
        <item m="1" x="3124"/>
        <item m="1" x="7882"/>
        <item m="1" x="7898"/>
        <item m="1" x="6110"/>
        <item m="1" x="7968"/>
        <item m="1" x="4890"/>
        <item m="1" x="7831"/>
        <item m="1" x="5709"/>
        <item m="1" x="6639"/>
        <item m="1" x="6229"/>
        <item m="1" x="6091"/>
        <item m="1" x="7233"/>
        <item m="1" x="6255"/>
        <item m="1" x="4519"/>
        <item m="1" x="2708"/>
        <item m="1" x="7182"/>
        <item m="1" x="6680"/>
        <item m="1" x="3202"/>
        <item m="1" x="4377"/>
        <item m="1" x="7903"/>
        <item m="1" x="5173"/>
        <item m="1" x="4520"/>
        <item m="1" x="6759"/>
        <item m="1" x="3260"/>
        <item m="1" x="4884"/>
        <item m="1" x="7186"/>
        <item m="1" x="7346"/>
        <item m="1" x="7392"/>
        <item m="1" x="4153"/>
        <item m="1" x="6481"/>
        <item m="1" x="7243"/>
        <item m="1" x="4091"/>
        <item m="1" x="4497"/>
        <item m="1" x="4327"/>
        <item m="1" x="3541"/>
        <item m="1" x="6648"/>
        <item m="1" x="7621"/>
        <item m="1" x="3276"/>
        <item m="1" x="6689"/>
        <item m="1" x="2824"/>
        <item m="1" x="2757"/>
        <item m="1" x="6619"/>
        <item m="1" x="5793"/>
        <item m="1" x="3380"/>
        <item m="1" x="5911"/>
        <item m="1" x="4386"/>
        <item m="1" x="7254"/>
        <item m="1" x="5459"/>
        <item m="1" x="7471"/>
        <item m="1" x="6052"/>
        <item m="1" x="3993"/>
        <item m="1" x="5186"/>
        <item m="1" x="4547"/>
        <item m="1" x="4448"/>
        <item m="1" x="2658"/>
        <item m="1" x="3988"/>
        <item m="1" x="2599"/>
        <item m="1" x="2898"/>
        <item m="1" x="4130"/>
        <item m="1" x="6141"/>
        <item m="1" x="7736"/>
        <item m="1" x="7238"/>
        <item m="1" x="7521"/>
        <item m="1" x="7648"/>
        <item m="1" x="5192"/>
        <item m="1" x="2922"/>
        <item m="1" x="7172"/>
        <item m="1" x="7635"/>
        <item m="1" x="7933"/>
        <item m="1" x="7249"/>
        <item m="1" x="5913"/>
        <item m="1" x="6586"/>
        <item m="1" x="3529"/>
        <item m="1" x="2578"/>
        <item m="1" x="4678"/>
        <item m="1" x="7813"/>
        <item m="1" x="7668"/>
        <item m="1" x="3379"/>
        <item m="1" x="6578"/>
        <item m="1" x="4834"/>
        <item m="1" x="7798"/>
        <item m="1" x="5797"/>
        <item m="1" x="5798"/>
        <item m="1" x="5799"/>
        <item m="1" x="5800"/>
        <item m="1" x="6736"/>
        <item m="1" x="6737"/>
        <item m="1" x="6738"/>
        <item m="1" x="6739"/>
        <item m="1" x="6740"/>
        <item m="1" x="6741"/>
        <item m="1" x="6742"/>
        <item m="1" x="6743"/>
        <item m="1" x="6744"/>
        <item m="1" x="6745"/>
        <item m="1" x="6746"/>
        <item m="1" x="6747"/>
        <item m="1" x="6540"/>
        <item m="1" x="6541"/>
        <item m="1" x="6542"/>
        <item m="1" x="6543"/>
        <item m="1" x="6544"/>
        <item m="1" x="6545"/>
        <item m="1" x="6546"/>
        <item m="1" x="6547"/>
        <item m="1" x="2600"/>
        <item m="1" x="3575"/>
        <item m="1" x="4121"/>
        <item m="1" x="6844"/>
        <item m="1" x="3655"/>
        <item m="1" x="2748"/>
        <item m="1" x="7385"/>
        <item m="1" x="7276"/>
        <item m="1" x="7806"/>
        <item m="1" x="6700"/>
        <item m="1" x="3043"/>
        <item m="1" x="5116"/>
        <item m="1" x="3693"/>
        <item m="1" x="7252"/>
        <item m="1" x="7802"/>
        <item m="1" x="3543"/>
        <item m="1" x="5600"/>
        <item m="1" x="2882"/>
        <item m="1" x="6191"/>
        <item m="1" x="5234"/>
        <item m="1" x="5154"/>
        <item m="1" x="5039"/>
        <item m="1" x="3291"/>
        <item m="1" x="5243"/>
        <item m="1" x="5749"/>
        <item m="1" x="4513"/>
        <item m="1" x="7976"/>
        <item m="1" x="4356"/>
        <item m="1" x="7280"/>
        <item m="1" x="6087"/>
        <item m="1" x="5108"/>
        <item m="1" x="5559"/>
        <item m="1" x="2853"/>
        <item m="1" x="5072"/>
        <item m="1" x="4493"/>
        <item m="1" x="4969"/>
        <item m="1" x="3483"/>
        <item m="1" x="5993"/>
        <item m="1" x="3400"/>
        <item m="1" x="7228"/>
        <item m="1" x="4775"/>
        <item m="1" x="3401"/>
        <item m="1" x="6512"/>
        <item m="1" x="5345"/>
        <item m="1" x="5031"/>
        <item m="1" x="6889"/>
        <item m="1" x="6763"/>
        <item m="1" x="6497"/>
        <item m="1" x="6226"/>
        <item m="1" x="4786"/>
        <item m="1" x="3358"/>
        <item m="1" x="7232"/>
        <item m="1" x="5141"/>
        <item m="1" x="7053"/>
        <item m="1" x="2669"/>
        <item m="1" x="6236"/>
        <item m="1" x="7211"/>
        <item m="1" x="5939"/>
        <item m="1" x="6688"/>
        <item m="1" x="7597"/>
        <item m="1" x="6647"/>
        <item m="1" x="6124"/>
        <item m="1" x="7784"/>
        <item m="1" x="6892"/>
        <item m="1" x="3075"/>
        <item m="1" x="4244"/>
        <item m="1" x="4699"/>
        <item m="1" x="5280"/>
        <item m="1" x="4503"/>
        <item m="1" x="5547"/>
        <item m="1" x="4757"/>
        <item m="1" x="4754"/>
        <item m="1" x="3828"/>
        <item m="1" x="6195"/>
        <item m="1" x="5884"/>
        <item m="1" x="4597"/>
        <item m="1" x="5894"/>
        <item m="1" x="7077"/>
        <item m="1" x="6988"/>
        <item m="1" x="7934"/>
        <item m="1" x="2746"/>
        <item m="1" x="7941"/>
        <item m="1" x="7312"/>
        <item m="1" x="5803"/>
        <item m="1" x="4185"/>
        <item m="1" x="3985"/>
        <item m="1" x="3203"/>
        <item m="1" x="4827"/>
        <item m="1" x="5454"/>
        <item m="1" x="7036"/>
        <item m="1" x="4252"/>
        <item m="1" x="5315"/>
        <item m="1" x="4289"/>
        <item m="1" x="7691"/>
        <item m="1" x="5525"/>
        <item m="1" x="3052"/>
        <item m="1" x="4186"/>
        <item m="1" x="3863"/>
        <item m="1" x="7034"/>
        <item m="1" x="7107"/>
        <item m="1" x="7364"/>
        <item m="1" x="2852"/>
        <item m="1" x="2858"/>
        <item m="1" x="4491"/>
        <item m="1" x="3925"/>
        <item m="1" x="5794"/>
        <item m="1" x="5848"/>
        <item m="1" x="7866"/>
        <item m="1" x="3378"/>
        <item m="1" x="5995"/>
        <item m="1" x="4105"/>
        <item m="1" x="3169"/>
        <item m="1" x="2514"/>
        <item m="1" x="6904"/>
        <item m="1" x="4439"/>
        <item m="1" x="7557"/>
        <item m="1" x="6749"/>
        <item m="1" x="7199"/>
        <item m="1" x="7682"/>
        <item m="1" x="2987"/>
        <item m="1" x="7641"/>
        <item m="1" x="7975"/>
        <item m="1" x="7224"/>
        <item m="1" x="3170"/>
        <item m="1" x="6995"/>
        <item m="1" x="7951"/>
        <item m="1" x="5680"/>
        <item m="1" x="2668"/>
        <item m="1" x="6517"/>
        <item m="1" x="5610"/>
        <item m="1" x="3894"/>
        <item m="1" x="6457"/>
        <item m="1" x="6083"/>
        <item m="1" x="4120"/>
        <item m="1" x="6431"/>
        <item m="1" x="3112"/>
        <item m="1" x="6221"/>
        <item m="1" x="6134"/>
        <item m="1" x="4731"/>
        <item m="1" x="7548"/>
        <item m="1" x="3244"/>
        <item m="1" x="7337"/>
        <item m="1" x="5694"/>
        <item m="1" x="3820"/>
        <item m="1" x="3227"/>
        <item m="1" x="5057"/>
        <item m="1" x="4118"/>
        <item m="1" x="3516"/>
        <item m="1" x="7178"/>
        <item m="1" x="7299"/>
        <item m="1" x="6886"/>
        <item m="1" x="2937"/>
        <item m="1" x="2902"/>
        <item m="1" x="4385"/>
        <item m="1" x="3603"/>
        <item m="1" x="2804"/>
        <item m="1" x="7220"/>
        <item m="1" x="4652"/>
        <item m="1" x="2989"/>
        <item m="1" x="5576"/>
        <item m="1" x="4018"/>
        <item m="1" x="6161"/>
        <item m="1" x="5546"/>
        <item m="1" x="4602"/>
        <item m="1" x="5502"/>
        <item m="1" x="3538"/>
        <item m="1" x="7746"/>
        <item m="1" x="4812"/>
        <item m="1" x="3675"/>
        <item m="1" x="4557"/>
        <item m="1" x="2530"/>
        <item m="1" x="4509"/>
        <item m="1" x="6184"/>
        <item m="1" x="4853"/>
        <item m="1" x="3241"/>
        <item m="1" x="6869"/>
        <item m="1" x="6139"/>
        <item m="1" x="5109"/>
        <item m="1" x="6275"/>
        <item m="1" x="7163"/>
        <item m="1" x="7035"/>
        <item m="1" x="4326"/>
        <item m="1" x="4138"/>
        <item m="1" x="7456"/>
        <item m="1" x="5826"/>
        <item m="1" x="2552"/>
        <item m="1" x="2754"/>
        <item m="1" x="2700"/>
        <item m="1" x="4576"/>
        <item m="1" x="2662"/>
        <item m="1" x="5819"/>
        <item m="1" x="7616"/>
        <item m="1" x="7628"/>
        <item m="1" x="6079"/>
        <item m="1" x="6890"/>
        <item m="1" x="6348"/>
        <item m="1" x="6938"/>
        <item m="1" x="4036"/>
        <item m="1" x="7216"/>
        <item m="1" x="6438"/>
        <item m="1" x="7703"/>
        <item m="1" x="4558"/>
        <item m="1" x="7429"/>
        <item m="1" x="5380"/>
        <item m="1" x="4293"/>
        <item m="1" x="3761"/>
        <item m="1" x="5179"/>
        <item m="1" x="6260"/>
        <item m="1" x="4821"/>
        <item m="1" x="6316"/>
        <item m="1" x="3101"/>
        <item m="1" x="5076"/>
        <item m="1" x="6126"/>
        <item m="1" x="3312"/>
        <item m="1" x="7814"/>
        <item m="1" x="6790"/>
        <item m="1" x="4791"/>
        <item m="1" x="2928"/>
        <item m="1" x="3484"/>
        <item m="1" x="7022"/>
        <item m="1" x="2966"/>
        <item m="1" x="3627"/>
        <item m="1" x="5785"/>
        <item m="1" x="5858"/>
        <item m="1" x="7720"/>
        <item m="1" x="6902"/>
        <item m="1" x="4135"/>
        <item m="1" x="2783"/>
        <item m="1" x="2965"/>
        <item m="1" x="3448"/>
        <item m="1" x="3567"/>
        <item m="1" x="4675"/>
        <item m="1" x="3518"/>
        <item m="1" x="5981"/>
        <item m="1" x="3694"/>
        <item m="1" x="2677"/>
        <item m="1" x="7671"/>
        <item m="1" x="3756"/>
        <item m="1" x="6916"/>
        <item m="1" x="7906"/>
        <item m="1" x="7594"/>
        <item m="1" x="2906"/>
        <item m="1" x="4001"/>
        <item m="1" x="2869"/>
        <item m="1" x="4173"/>
        <item m="1" x="4367"/>
        <item m="1" x="3652"/>
        <item m="1" x="7493"/>
        <item m="1" x="4017"/>
        <item m="1" x="7372"/>
        <item m="1" x="6269"/>
        <item m="1" x="4277"/>
        <item m="1" x="6727"/>
        <item m="1" x="6320"/>
        <item m="1" x="3375"/>
        <item m="1" x="5128"/>
        <item m="1" x="6086"/>
        <item m="1" x="3936"/>
        <item m="1" x="3398"/>
        <item m="1" x="3064"/>
        <item m="1" x="6791"/>
        <item m="1" x="3600"/>
        <item m="1" x="6145"/>
        <item m="1" x="3531"/>
        <item m="1" x="7607"/>
        <item m="1" x="3886"/>
        <item m="1" x="5946"/>
        <item m="1" x="3462"/>
        <item m="1" x="4778"/>
        <item m="1" x="6321"/>
        <item m="1" x="7837"/>
        <item m="1" x="6613"/>
        <item m="1" x="3006"/>
        <item m="1" x="4302"/>
        <item m="1" x="7417"/>
        <item m="1" x="5953"/>
        <item m="1" x="2576"/>
        <item m="1" x="6504"/>
        <item m="1" x="7488"/>
        <item m="1" x="6701"/>
        <item m="1" x="7038"/>
        <item m="1" x="5101"/>
        <item m="1" x="7459"/>
        <item m="1" x="6858"/>
        <item m="1" x="4022"/>
        <item m="1" x="6859"/>
        <item m="1" x="5868"/>
        <item m="1" x="2558"/>
        <item m="1" x="6652"/>
        <item m="1" x="5074"/>
        <item m="1" x="3053"/>
        <item m="1" x="5739"/>
        <item m="1" x="2845"/>
        <item m="1" x="6430"/>
        <item m="1" x="4840"/>
        <item m="1" x="4653"/>
        <item m="1" x="7444"/>
        <item m="1" x="6635"/>
        <item m="1" x="5863"/>
        <item m="1" x="3068"/>
        <item m="1" x="6841"/>
        <item m="1" x="7039"/>
        <item m="1" x="7766"/>
        <item m="1" x="4805"/>
        <item m="1" x="4892"/>
        <item m="1" x="7300"/>
        <item m="1" x="7357"/>
        <item m="1" x="6476"/>
        <item m="1" x="7136"/>
        <item m="1" x="7717"/>
        <item m="1" x="4634"/>
        <item m="1" x="3602"/>
        <item m="1" x="7126"/>
        <item m="1" x="3662"/>
        <item m="1" x="3966"/>
        <item m="1" x="3245"/>
        <item m="1" x="5347"/>
        <item m="1" x="6362"/>
        <item m="1" x="4536"/>
        <item m="1" x="3903"/>
        <item m="1" x="4860"/>
        <item m="1" x="5593"/>
        <item m="1" x="6219"/>
        <item m="1" x="3136"/>
        <item m="1" x="7359"/>
        <item m="1" x="5634"/>
        <item m="1" x="3537"/>
        <item m="1" x="4347"/>
        <item m="1" x="4169"/>
        <item m="1" x="5238"/>
        <item m="1" x="3171"/>
        <item m="1" x="3243"/>
        <item m="1" x="3456"/>
        <item m="1" x="3660"/>
        <item m="1" x="7303"/>
        <item m="1" x="6513"/>
        <item m="1" x="6351"/>
        <item m="1" x="5579"/>
        <item m="1" x="5588"/>
        <item m="1" x="4048"/>
        <item m="1" x="5671"/>
        <item m="1" x="6406"/>
        <item m="1" x="4402"/>
        <item m="1" x="4800"/>
        <item m="1" x="5700"/>
        <item m="1" x="3850"/>
        <item m="1" x="6757"/>
        <item m="1" x="5948"/>
        <item m="1" x="6685"/>
        <item m="1" x="6259"/>
        <item m="1" x="2872"/>
        <item m="1" x="7926"/>
        <item m="1" x="5276"/>
        <item m="1" x="6314"/>
        <item m="1" x="4628"/>
        <item m="1" x="7823"/>
        <item m="1" x="4673"/>
        <item m="1" x="3932"/>
        <item m="1" x="6856"/>
        <item m="1" x="7181"/>
        <item m="1" x="6094"/>
        <item m="1" x="4598"/>
        <item m="1" x="7663"/>
        <item m="1" x="7825"/>
        <item m="1" x="3748"/>
        <item m="1" x="7430"/>
        <item m="1" x="3964"/>
        <item m="1" x="7103"/>
        <item m="1" x="4768"/>
        <item m="1" x="7830"/>
        <item m="1" x="3525"/>
        <item m="1" x="4490"/>
        <item m="1" x="2605"/>
        <item m="1" x="2682"/>
        <item m="1" x="5583"/>
        <item m="1" x="7999"/>
        <item m="1" x="2866"/>
        <item m="1" x="6382"/>
        <item m="1" x="5444"/>
        <item m="1" x="3488"/>
        <item m="1" x="6762"/>
        <item m="1" x="5506"/>
        <item m="1" x="5261"/>
        <item m="1" x="3116"/>
        <item m="1" x="3143"/>
        <item m="1" x="3155"/>
        <item m="1" x="5437"/>
        <item m="1" x="6074"/>
        <item m="1" x="7840"/>
        <item m="1" x="4942"/>
        <item m="1" x="2582"/>
        <item m="1" x="5956"/>
        <item m="1" x="3999"/>
        <item m="1" x="4320"/>
        <item m="1" x="6828"/>
        <item m="1" x="7421"/>
        <item m="1" x="6883"/>
        <item m="1" x="4551"/>
        <item m="1" x="7689"/>
        <item m="1" x="4667"/>
        <item m="1" x="4423"/>
        <item m="1" x="5164"/>
        <item m="1" x="6483"/>
        <item m="1" x="5254"/>
        <item m="1" x="6262"/>
        <item m="1" x="7888"/>
        <item m="1" x="6584"/>
        <item m="1" x="7148"/>
        <item m="1" x="7811"/>
        <item m="1" x="4661"/>
        <item m="1" x="4504"/>
        <item m="1" x="7050"/>
        <item m="1" x="6267"/>
        <item m="1" x="6814"/>
        <item m="1" x="7969"/>
        <item m="1" x="5688"/>
        <item m="1" x="7684"/>
        <item m="1" x="5623"/>
        <item m="1" x="5992"/>
        <item m="1" x="6143"/>
        <item m="1" x="7755"/>
        <item m="1" x="5710"/>
        <item m="1" x="6434"/>
        <item m="1" x="6480"/>
        <item m="1" x="4072"/>
        <item m="1" x="4179"/>
        <item m="1" x="7657"/>
        <item m="1" x="5302"/>
        <item m="1" x="5229"/>
        <item m="1" x="5497"/>
        <item m="1" x="5461"/>
        <item m="1" x="6246"/>
        <item m="1" x="6563"/>
        <item m="1" x="6686"/>
        <item m="1" x="4545"/>
        <item m="1" x="5093"/>
        <item m="1" x="5622"/>
        <item m="1" x="6777"/>
        <item m="1" x="7700"/>
        <item m="1" x="7646"/>
        <item m="1" x="3273"/>
        <item m="1" x="5516"/>
        <item m="1" x="6309"/>
        <item m="1" x="6766"/>
        <item m="1" x="5708"/>
        <item m="1" x="6298"/>
        <item m="1" x="4803"/>
        <item m="1" x="3565"/>
        <item m="1" x="5457"/>
        <item m="1" x="7589"/>
        <item m="1" x="6644"/>
        <item m="1" x="7619"/>
        <item m="1" x="4573"/>
        <item m="1" x="5262"/>
        <item m="1" x="7352"/>
        <item m="1" x="7974"/>
        <item m="1" x="2901"/>
        <item m="1" x="7936"/>
        <item m="1" x="4688"/>
        <item m="1" x="3914"/>
        <item m="1" x="6189"/>
        <item m="1" x="6765"/>
        <item m="1" x="4373"/>
        <item m="1" x="7688"/>
        <item m="1" x="6435"/>
        <item m="1" x="5016"/>
        <item m="1" x="3489"/>
        <item m="1" x="7498"/>
        <item m="1" x="6919"/>
        <item m="1" x="6501"/>
        <item m="1" x="5002"/>
        <item m="1" x="4528"/>
        <item m="1" x="7894"/>
        <item m="1" x="4339"/>
        <item m="1" x="6717"/>
        <item m="1" x="6128"/>
        <item m="1" x="4515"/>
        <item m="1" x="3623"/>
        <item m="1" x="3625"/>
        <item m="1" x="2894"/>
        <item m="1" x="7778"/>
        <item m="1" x="7981"/>
        <item m="1" x="5136"/>
        <item m="1" x="5104"/>
        <item m="1" x="6860"/>
        <item m="1" x="7468"/>
        <item m="1" x="7258"/>
        <item m="1" x="7972"/>
        <item m="1" x="5880"/>
        <item m="1" x="3892"/>
        <item m="1" x="3707"/>
        <item m="1" x="5606"/>
        <item m="1" x="3040"/>
        <item m="1" x="7734"/>
        <item m="1" x="4582"/>
        <item m="1" x="4955"/>
        <item m="1" x="7461"/>
        <item m="1" x="4484"/>
        <item m="1" x="7995"/>
        <item m="1" x="4861"/>
        <item m="1" x="5864"/>
        <item m="1" x="4692"/>
        <item m="1" x="4239"/>
        <item m="1" x="3490"/>
        <item m="1" x="4538"/>
        <item m="1" x="6944"/>
        <item m="1" x="5212"/>
        <item m="1" x="4666"/>
        <item m="1" x="6574"/>
        <item m="1" x="5427"/>
        <item m="1" x="5015"/>
        <item m="1" x="6174"/>
        <item m="1" x="4996"/>
        <item m="1" x="3481"/>
        <item m="1" x="5121"/>
        <item m="1" x="5156"/>
        <item m="1" x="4746"/>
        <item m="1" x="6209"/>
        <item m="1" x="6386"/>
        <item m="1" x="7040"/>
        <item m="1" x="4842"/>
        <item m="1" x="3576"/>
        <item m="1" x="7824"/>
        <item m="1" x="7958"/>
        <item m="1" x="4874"/>
        <item m="1" x="5003"/>
        <item m="1" x="2570"/>
        <item m="1" x="4759"/>
        <item m="1" x="2627"/>
        <item m="1" x="2527"/>
        <item m="1" x="7879"/>
        <item m="1" x="4322"/>
        <item m="1" x="4896"/>
        <item m="1" x="6322"/>
        <item m="1" x="3361"/>
        <item m="1" x="7627"/>
        <item m="1" x="7716"/>
        <item m="1" x="3864"/>
        <item m="1" x="4906"/>
        <item m="1" x="3403"/>
        <item m="1" x="5007"/>
        <item m="1" x="4463"/>
        <item m="1" x="4590"/>
        <item m="1" x="4925"/>
        <item m="1" x="5249"/>
        <item m="1" x="6206"/>
        <item m="1" x="5636"/>
        <item m="1" x="5026"/>
        <item m="1" x="6370"/>
        <item m="1" x="5717"/>
        <item m="1" x="6615"/>
        <item m="1" x="3854"/>
        <item m="1" x="4881"/>
        <item m="1" x="4305"/>
        <item m="1" x="6185"/>
        <item m="1" x="2967"/>
        <item m="1" x="5832"/>
        <item m="1" x="5782"/>
        <item m="1" x="4122"/>
        <item m="1" x="7043"/>
        <item m="1" x="4013"/>
        <item m="1" x="4507"/>
        <item m="1" x="4755"/>
        <item m="1" x="3374"/>
        <item m="1" x="6491"/>
        <item m="1" x="7603"/>
        <item m="1" x="5838"/>
        <item m="1" x="2815"/>
        <item m="1" x="4986"/>
        <item m="1" x="4568"/>
        <item m="1" x="6419"/>
        <item m="1" x="3605"/>
        <item m="1" x="4848"/>
        <item m="1" x="6573"/>
        <item m="1" x="6651"/>
        <item m="1" x="5571"/>
        <item m="1" x="5627"/>
        <item m="1" x="5658"/>
        <item m="1" x="6633"/>
        <item m="1" x="4862"/>
        <item m="1" x="5597"/>
        <item m="1" x="5874"/>
        <item m="1" x="4176"/>
        <item m="1" x="7119"/>
        <item m="1" x="5441"/>
        <item m="1" x="6044"/>
        <item m="1" x="3179"/>
        <item m="1" x="5551"/>
        <item m="1" x="7899"/>
        <item m="1" x="3255"/>
        <item m="1" x="4514"/>
        <item m="1" x="4878"/>
        <item m="1" x="4412"/>
        <item m="1" x="5786"/>
        <item m="1" x="5601"/>
        <item m="1" x="4544"/>
        <item m="1" x="6640"/>
        <item m="1" x="6622"/>
        <item m="1" x="7816"/>
        <item m="1" x="4556"/>
        <item m="1" x="3942"/>
        <item m="1" x="6997"/>
        <item m="1" x="3851"/>
        <item m="1" x="4779"/>
        <item m="1" x="3586"/>
        <item m="1" x="4152"/>
        <item m="1" x="3607"/>
        <item m="1" x="5630"/>
        <item m="1" x="3874"/>
        <item m="1" x="3195"/>
        <item m="1" x="6524"/>
        <item m="1" x="5177"/>
        <item m="1" x="4601"/>
        <item m="1" x="7007"/>
        <item m="1" x="6355"/>
        <item m="1" x="4553"/>
        <item m="1" x="4287"/>
        <item m="1" x="6263"/>
        <item m="1" x="4991"/>
        <item m="1" x="6303"/>
        <item m="1" x="5613"/>
        <item m="1" x="6899"/>
        <item m="1" x="3337"/>
        <item m="1" x="3254"/>
        <item m="1" x="7620"/>
        <item m="1" x="5689"/>
        <item m="1" x="4564"/>
        <item m="1" x="7188"/>
        <item m="1" x="2520"/>
        <item m="1" x="4447"/>
        <item m="1" x="2613"/>
        <item m="1" x="6214"/>
        <item m="1" x="4308"/>
        <item m="1" x="2581"/>
        <item m="1" x="5151"/>
        <item m="1" x="4569"/>
        <item m="1" x="4157"/>
        <item m="1" x="2543"/>
        <item m="1" x="4907"/>
        <item m="1" x="6118"/>
        <item m="1" x="5406"/>
        <item m="1" x="3196"/>
        <item m="1" x="2675"/>
        <item m="1" x="3178"/>
        <item m="1" x="4647"/>
        <item m="1" x="6068"/>
        <item m="1" x="3512"/>
        <item m="1" x="7848"/>
        <item m="1" x="3688"/>
        <item m="1" x="3118"/>
        <item m="1" x="5523"/>
        <item m="1" x="5753"/>
        <item m="1" x="3970"/>
        <item m="1" x="4246"/>
        <item m="1" x="3208"/>
        <item m="1" x="3206"/>
        <item m="1" x="7237"/>
        <item m="1" x="2583"/>
        <item m="1" x="4330"/>
        <item m="1" x="6341"/>
        <item m="1" x="6371"/>
        <item m="1" x="5835"/>
        <item m="1" x="7171"/>
        <item m="1" x="6210"/>
        <item m="1" x="3086"/>
        <item m="1" x="4334"/>
        <item m="1" x="2982"/>
        <item m="1" x="5949"/>
        <item m="1" x="6848"/>
        <item m="1" x="2606"/>
        <item m="1" x="5672"/>
        <item m="1" x="5451"/>
        <item m="1" x="3129"/>
        <item m="1" x="7953"/>
        <item m="1" x="3815"/>
        <item m="1" x="5312"/>
        <item m="1" x="3883"/>
        <item m="1" x="6395"/>
        <item m="1" x="6436"/>
        <item m="1" x="7583"/>
        <item m="1" x="6474"/>
        <item m="1" x="3856"/>
        <item m="1" x="2776"/>
        <item m="1" x="4371"/>
        <item m="1" x="5617"/>
        <item m="1" x="2849"/>
        <item m="1" x="4961"/>
        <item m="1" x="2859"/>
        <item m="1" x="4665"/>
        <item m="1" x="6296"/>
        <item m="1" x="2591"/>
        <item m="1" x="6709"/>
        <item m="1" x="3628"/>
        <item m="1" x="6346"/>
        <item m="1" x="7524"/>
        <item m="1" x="3806"/>
        <item m="1" x="7947"/>
        <item m="1" x="7118"/>
        <item m="1" x="7534"/>
        <item m="1" x="7650"/>
        <item m="1" x="6665"/>
        <item m="1" x="6373"/>
        <item m="1" x="7970"/>
        <item m="1" x="2895"/>
        <item m="1" x="4807"/>
        <item m="1" x="4831"/>
        <item m="1" x="5235"/>
        <item m="1" x="6181"/>
        <item m="1" x="5645"/>
        <item m="1" x="5332"/>
        <item m="1" x="5653"/>
        <item m="1" x="5813"/>
        <item m="1" x="6240"/>
        <item m="1" x="4413"/>
        <item m="1" x="4882"/>
        <item m="1" x="6403"/>
        <item m="1" x="4932"/>
        <item m="1" x="3220"/>
        <item m="1" x="2652"/>
        <item m="1" x="5517"/>
        <item m="1" x="5673"/>
        <item m="1" x="5512"/>
        <item m="1" x="5055"/>
        <item m="1" x="4804"/>
        <item m="1" x="4782"/>
        <item m="1" x="4335"/>
        <item m="1" x="3279"/>
        <item m="1" x="3063"/>
        <item m="1" x="7977"/>
        <item m="1" x="4587"/>
        <item m="1" x="2774"/>
        <item m="1" x="6865"/>
        <item m="1" x="6785"/>
        <item m="1" x="5724"/>
        <item m="1" x="5552"/>
        <item m="1" x="5664"/>
        <item m="1" x="5989"/>
        <item m="1" x="5796"/>
        <item m="1" x="2653"/>
        <item m="1" x="2584"/>
        <item m="1" x="4321"/>
        <item m="1" x="3175"/>
        <item m="1" x="3899"/>
        <item m="1" x="5316"/>
        <item m="1" x="7924"/>
        <item m="1" x="5947"/>
        <item m="1" x="5232"/>
        <item m="1" x="4629"/>
        <item m="1" x="7561"/>
        <item m="1" x="6166"/>
        <item m="1" x="5122"/>
        <item m="1" x="7675"/>
        <item m="1" x="7347"/>
        <item m="1" x="6775"/>
        <item m="1" x="6729"/>
        <item m="1" x="5501"/>
        <item m="1" x="5624"/>
        <item m="1" x="6861"/>
        <item m="1" x="3893"/>
        <item m="1" x="5818"/>
        <item m="1" x="6247"/>
        <item m="1" x="7019"/>
        <item m="1" x="4355"/>
        <item m="1" x="7504"/>
        <item m="1" x="5711"/>
        <item m="1" x="2622"/>
        <item m="1" x="7025"/>
        <item m="1" x="5247"/>
        <item m="1" x="7544"/>
        <item m="1" x="7575"/>
        <item m="1" x="5712"/>
        <item m="1" x="2628"/>
        <item m="1" x="5178"/>
        <item m="1" x="3327"/>
        <item m="1" x="4716"/>
        <item m="1" x="5422"/>
        <item m="1" x="7769"/>
        <item m="1" x="3381"/>
        <item m="1" x="4843"/>
        <item m="1" x="3251"/>
        <item m="1" x="4437"/>
        <item m="1" x="3365"/>
        <item m="1" x="7909"/>
        <item m="1" x="4934"/>
        <item m="1" x="3896"/>
        <item m="1" x="3362"/>
        <item m="1" x="7932"/>
        <item m="1" x="4529"/>
        <item m="1" x="3513"/>
        <item m="1" x="7849"/>
        <item m="1" x="3689"/>
        <item m="1" x="3246"/>
        <item m="1" x="7783"/>
        <item m="1" x="4893"/>
        <item m="1" x="3283"/>
        <item m="1" x="6344"/>
        <item m="1" x="3408"/>
        <item m="1" x="7919"/>
        <item m="1" x="5532"/>
        <item m="1" x="7590"/>
        <item m="1" x="6707"/>
        <item m="1" x="6708"/>
        <item m="1" x="5810"/>
        <item m="1" x="4794"/>
        <item m="1" x="6781"/>
        <item m="1" x="6957"/>
        <item m="1" x="4912"/>
        <item m="1" x="7880"/>
        <item m="1" x="5504"/>
        <item m="1" x="5184"/>
        <item m="1" x="5580"/>
        <item m="1" x="3734"/>
        <item m="1" x="6834"/>
        <item m="1" x="7189"/>
        <item m="1" x="3463"/>
        <item m="1" x="6726"/>
        <item m="1" x="7886"/>
        <item m="1" x="5299"/>
        <item m="1" x="4939"/>
        <item m="1" x="4462"/>
        <item m="1" x="5730"/>
        <item m="1" x="4975"/>
        <item m="1" x="2615"/>
        <item m="1" x="5264"/>
        <item m="1" x="3930"/>
        <item m="1" x="2892"/>
        <item m="1" x="3536"/>
        <item m="1" x="6500"/>
        <item m="1" x="6820"/>
        <item m="1" x="3723"/>
        <item m="1" x="4709"/>
        <item m="1" x="5105"/>
        <item m="1" x="4696"/>
        <item m="1" x="5754"/>
        <item m="1" x="5503"/>
        <item m="1" x="5423"/>
        <item m="1" x="7651"/>
        <item m="1" x="6650"/>
        <item m="1" x="6266"/>
        <item m="1" x="4946"/>
        <item m="1" x="5399"/>
        <item m="1" x="5755"/>
        <item m="1" x="2924"/>
        <item m="1" x="3913"/>
        <item m="1" x="3427"/>
        <item m="1" x="5127"/>
        <item m="1" x="6952"/>
        <item m="1" x="6412"/>
        <item m="1" x="6917"/>
        <item m="1" x="5820"/>
        <item m="1" x="3475"/>
        <item m="1" x="4674"/>
        <item m="1" x="6527"/>
        <item m="1" x="5051"/>
        <item m="1" x="3197"/>
        <item m="1" x="2896"/>
        <item m="1" x="5493"/>
        <item m="1" x="3314"/>
        <item m="1" x="5448"/>
        <item m="1" x="7706"/>
        <item m="1" x="2904"/>
        <item m="1" x="3504"/>
        <item m="1" x="7991"/>
        <item m="1" x="2837"/>
        <item m="1" x="7179"/>
        <item m="1" x="5642"/>
        <item m="1" x="2861"/>
        <item m="1" x="4540"/>
        <item m="1" x="6862"/>
        <item m="1" x="5218"/>
        <item m="1" x="4610"/>
        <item m="1" x="4947"/>
        <item m="1" x="7664"/>
        <item m="1" x="3519"/>
        <item m="1" x="5456"/>
        <item m="1" x="2592"/>
        <item m="1" x="4574"/>
        <item m="1" x="3521"/>
        <item m="1" x="6660"/>
        <item m="1" x="4426"/>
        <item m="1" x="3472"/>
        <item m="1" x="3917"/>
        <item m="1" x="4706"/>
        <item m="1" x="5381"/>
        <item m="1" x="3807"/>
        <item m="1" x="6306"/>
        <item m="1" x="2977"/>
        <item m="1" x="5806"/>
        <item m="1" x="6188"/>
        <item m="1" x="6682"/>
        <item m="1" x="5929"/>
        <item m="1" x="2559"/>
        <item m="1" x="6413"/>
        <item m="1" x="7672"/>
        <item m="1" x="5054"/>
        <item m="1" x="4331"/>
        <item m="1" x="7640"/>
        <item m="1" x="7956"/>
        <item m="1" x="3599"/>
        <item m="1" x="3900"/>
        <item m="1" x="4987"/>
        <item m="1" x="2888"/>
        <item m="1" x="4818"/>
        <item m="1" x="5183"/>
        <item m="1" x="5734"/>
        <item m="1" x="4344"/>
        <item m="1" x="3826"/>
        <item m="1" x="7009"/>
        <item m="1" x="3209"/>
        <item m="1" x="5930"/>
        <item m="1" x="2616"/>
        <item m="1" x="7665"/>
        <item m="1" x="7982"/>
        <item m="1" x="2634"/>
        <item m="1" x="6342"/>
        <item m="1" x="5702"/>
        <item m="1" x="7753"/>
        <item m="1" x="6323"/>
        <item m="1" x="3696"/>
        <item m="1" x="5625"/>
        <item m="1" x="4765"/>
        <item m="1" x="7469"/>
        <item m="1" x="4766"/>
        <item m="1" x="4972"/>
        <item m="1" x="5821"/>
        <item m="1" x="4898"/>
        <item m="1" x="5584"/>
        <item m="1" x="5210"/>
        <item m="1" x="6675"/>
        <item m="1" x="2537"/>
        <item m="1" x="2809"/>
        <item m="1" x="4301"/>
        <item m="1" x="5748"/>
        <item m="1" x="7070"/>
        <item m="1" x="4783"/>
        <item m="1" x="5669"/>
        <item m="1" x="3198"/>
        <item m="1" x="6019"/>
        <item m="1" x="6813"/>
        <item m="1" x="2808"/>
        <item m="1" x="5783"/>
        <item m="1" x="3269"/>
        <item m="1" x="4836"/>
        <item m="1" x="4935"/>
        <item m="1" x="5842"/>
        <item m="1" x="6998"/>
        <item m="1" x="6251"/>
        <item m="1" x="7141"/>
        <item m="1" x="7673"/>
        <item m="1" x="4949"/>
        <item m="1" x="4950"/>
        <item m="1" x="2828"/>
        <item m="1" x="4951"/>
        <item m="1" x="3763"/>
        <item m="1" x="3770"/>
        <item m="1" x="5494"/>
        <item m="1" x="5599"/>
        <item m="1" x="4988"/>
        <item m="1" x="5428"/>
        <item m="1" x="6907"/>
        <item m="1" x="4494"/>
        <item m="1" x="5284"/>
        <item m="1" x="7712"/>
        <item m="1" x="2993"/>
        <item m="1" x="6144"/>
        <item m="1" x="5892"/>
        <item m="1" x="2897"/>
        <item m="1" x="7067"/>
        <item m="1" x="6207"/>
        <item m="1" x="6837"/>
        <item m="1" x="6069"/>
        <item m="1" x="6170"/>
        <item m="1" x="5574"/>
        <item m="1" x="3798"/>
        <item m="1" x="5543"/>
        <item m="1" x="3109"/>
        <item m="1" x="3751"/>
        <item m="1" x="3176"/>
        <item m="1" x="5365"/>
        <item m="1" x="6364"/>
        <item m="1" x="6764"/>
        <item m="1" x="5133"/>
        <item m="1" x="3920"/>
        <item m="1" x="5759"/>
        <item m="1" x="6036"/>
        <item m="1" x="7508"/>
        <item m="1" x="3180"/>
        <item m="1" x="2805"/>
        <item m="1" x="4304"/>
        <item m="1" x="4940"/>
        <item m="1" x="6678"/>
        <item m="1" x="3515"/>
        <item m="1" x="7545"/>
        <item m="1" x="3119"/>
        <item m="1" x="4992"/>
        <item m="1" x="6223"/>
        <item m="1" x="5620"/>
        <item m="1" x="4948"/>
        <item m="1" x="2875"/>
        <item m="1" x="6897"/>
        <item m="1" x="6057"/>
        <item m="1" x="5520"/>
        <item m="1" x="3073"/>
        <item m="1" x="7152"/>
        <item m="1" x="7576"/>
        <item m="1" x="3977"/>
        <item m="1" x="6908"/>
        <item m="1" x="6417"/>
        <item m="1" x="3137"/>
        <item m="1" x="6529"/>
        <item m="1" x="4833"/>
        <item m="1" x="5271"/>
        <item m="1" x="5147"/>
        <item m="1" x="4085"/>
        <item m="1" x="3809"/>
        <item m="1" x="2555"/>
        <item m="1" x="3514"/>
        <item m="1" x="7850"/>
        <item m="1" x="3690"/>
        <item m="1" x="3247"/>
        <item m="1" x="3901"/>
        <item m="1" x="5649"/>
        <item m="1" x="4926"/>
        <item m="1" x="5656"/>
        <item m="1" x="6437"/>
        <item m="1" x="5331"/>
        <item m="1" x="6304"/>
        <item m="1" x="3897"/>
        <item m="1" x="2553"/>
        <item m="1" x="5013"/>
        <item m="1" x="4137"/>
        <item m="1" x="6331"/>
        <item m="1" x="3822"/>
        <item m="1" x="4387"/>
        <item m="1" x="3895"/>
        <item m="1" x="3452"/>
        <item m="1" x="3890"/>
        <item m="1" x="5865"/>
        <item m="1" x="6070"/>
        <item m="1" x="5126"/>
        <item m="1" x="5843"/>
        <item m="1" x="7059"/>
        <item m="1" x="6010"/>
        <item m="1" x="7084"/>
        <item m="1" x="5006"/>
        <item m="1" x="7511"/>
        <item m="1" x="6926"/>
        <item m="1" x="4879"/>
        <item m="1" x="6108"/>
        <item m="1" x="4475"/>
        <item m="1" x="5236"/>
        <item m="1" x="5061"/>
        <item m="1" x="3572"/>
        <item m="1" x="4505"/>
        <item m="1" x="6234"/>
        <item m="1" x="5646"/>
        <item m="1" x="5572"/>
        <item m="1" x="3593"/>
        <item m="1" x="2572"/>
        <item m="1" x="4956"/>
        <item m="1" x="3442"/>
        <item m="1" x="6420"/>
        <item m="1" x="7893"/>
        <item m="1" x="5931"/>
        <item m="1" x="3975"/>
        <item m="1" x="4902"/>
        <item m="1" x="5990"/>
        <item m="1" x="2745"/>
        <item m="1" x="6274"/>
        <item m="1" x="4819"/>
        <item m="1" x="5768"/>
        <item m="1" x="6335"/>
        <item m="1" x="6521"/>
        <item m="1" x="7134"/>
        <item m="1" x="5106"/>
        <item m="1" x="7846"/>
        <item m="1" x="4980"/>
        <item m="1" x="5991"/>
        <item m="1" x="7666"/>
        <item m="1" x="3823"/>
        <item m="1" x="6196"/>
        <item m="1" x="6881"/>
        <item m="1" x="5791"/>
        <item m="1" x="5905"/>
        <item m="1" x="5138"/>
        <item m="1" x="3131"/>
        <item m="1" x="2528"/>
        <item m="1" x="6407"/>
        <item m="1" x="7512"/>
        <item m="1" x="5129"/>
        <item m="1" x="7815"/>
        <item m="1" x="4177"/>
        <item m="1" x="4883"/>
        <item m="1" x="3145"/>
        <item m="1" x="3056"/>
        <item m="1" x="7584"/>
        <item m="1" x="6882"/>
        <item m="1" x="5833"/>
        <item m="1" x="2533"/>
        <item m="1" x="3648"/>
        <item m="1" x="6928"/>
        <item m="1" x="4737"/>
        <item m="1" x="2998"/>
        <item m="1" x="7546"/>
        <item m="1" x="4795"/>
        <item m="1" x="7801"/>
        <item m="1" x="2573"/>
        <item m="1" x="4539"/>
        <item m="1" x="4973"/>
        <item m="1" x="3752"/>
        <item m="1" x="6750"/>
        <item m="1" x="7954"/>
        <item m="1" x="6588"/>
        <item m="1" x="4816"/>
        <item m="1" x="3865"/>
        <item m="1" x="7470"/>
        <item m="1" x="6654"/>
        <item m="1" x="5967"/>
        <item m="1" x="4323"/>
        <item m="1" x="7984"/>
        <item m="1" x="5429"/>
        <item m="1" x="7851"/>
        <item m="1" x="3128"/>
        <item m="1" x="7622"/>
        <item m="1" x="4090"/>
        <item m="1" x="7060"/>
        <item m="1" x="3099"/>
        <item m="1" x="4434"/>
        <item m="1" x="4936"/>
        <item m="1" x="7291"/>
        <item m="1" x="4856"/>
        <item m="1" x="2593"/>
        <item m="1" x="6013"/>
        <item m="1" x="6718"/>
        <item m="1" x="6374"/>
        <item m="1" x="5008"/>
        <item m="1" x="3130"/>
        <item m="1" x="6294"/>
        <item m="1" x="6305"/>
        <item m="1" x="3898"/>
        <item m="1" x="4910"/>
        <item m="1" x="5495"/>
        <item m="1" x="3397"/>
        <item m="1" x="4363"/>
        <item m="1" x="3199"/>
        <item m="1" x="6831"/>
        <item m="1" x="6237"/>
        <item m="1" x="7513"/>
        <item m="1" x="5657"/>
        <item m="1" x="2996"/>
        <item m="1" x="7676"/>
        <item m="1" x="4476"/>
        <item m="1" x="6920"/>
        <item m="1" x="7503"/>
        <item m="1" x="7667"/>
        <item m="1" x="5496"/>
        <item m="1" x="5530"/>
        <item m="1" x="3811"/>
        <item m="1" x="5145"/>
        <item m="1" x="6037"/>
        <item m="1" x="5811"/>
        <item m="1" x="5605"/>
        <item m="1" x="6602"/>
        <item m="1" x="6243"/>
        <item m="1" x="4780"/>
        <item m="1" x="6433"/>
        <item m="1" x="5518"/>
        <item m="1" x="5881"/>
        <item m="1" x="3230"/>
        <item m="1" x="5654"/>
        <item m="1" x="5430"/>
        <item m="1" x="6937"/>
        <item m="1" x="5038"/>
        <item m="1" x="5329"/>
        <item m="1" x="5094"/>
        <item m="1" x="3002"/>
        <item m="1" x="7744"/>
        <item m="1" x="5647"/>
        <item m="1" x="3351"/>
        <item m="1" x="5780"/>
        <item m="1" x="4599"/>
        <item m="1" x="6372"/>
        <item m="1" x="4901"/>
        <item m="1" x="4772"/>
        <item m="1" x="5690"/>
        <item m="1" x="5957"/>
        <item m="1" x="3700"/>
        <item m="1" x="7030"/>
        <item m="1" x="3882"/>
        <item m="1" x="7522"/>
        <item m="1" x="6152"/>
        <item m="1" x="7032"/>
        <item m="1" x="5216"/>
        <item m="1" x="6224"/>
        <item m="1" x="5595"/>
        <item m="1" x="3285"/>
        <item m="1" x="5536"/>
        <item m="1" x="2829"/>
        <item m="1" x="7907"/>
        <item m="1" x="4155"/>
        <item m="1" x="4981"/>
        <item m="1" x="4571"/>
        <item m="1" x="5846"/>
        <item m="1" x="6225"/>
        <item m="1" x="5017"/>
        <item m="1" x="5594"/>
        <item m="1" x="4575"/>
        <item m="1" x="3110"/>
        <item m="1" x="6272"/>
        <item m="1" x="6239"/>
        <item m="1" x="3989"/>
        <item m="1" x="2957"/>
        <item m="1" x="3139"/>
        <item m="1" x="3096"/>
        <item m="1" x="3107"/>
        <item m="1" x="5032"/>
        <item m="1" x="6935"/>
        <item m="1" x="3457"/>
        <item m="1" x="5033"/>
        <item m="1" x="6353"/>
        <item m="1" x="7652"/>
        <item m="1" x="5240"/>
        <item m="1" x="5363"/>
        <item m="1" x="6634"/>
        <item m="1" x="7857"/>
        <item m="1" x="5208"/>
        <item m="1" x="5087"/>
        <item m="1" x="4796"/>
        <item m="1" x="4815"/>
        <item m="1" x="2918"/>
        <item m="1" x="5531"/>
        <item m="1" x="4555"/>
        <item m="1" x="2623"/>
        <item m="1" x="5134"/>
        <item m="1" x="4886"/>
        <item m="1" x="5962"/>
        <item m="1" x="4259"/>
        <item m="1" x="5417"/>
        <item m="1" x="3229"/>
        <item m="1" x="7552"/>
        <item m="1" x="7100"/>
        <item m="1" x="5166"/>
        <item m="1" x="2932"/>
        <item m="1" x="5524"/>
        <item m="1" x="4913"/>
        <item m="1" x="4409"/>
        <item m="1" x="7988"/>
        <item m="1" x="4027"/>
        <item m="1" x="5808"/>
        <item m="1" x="6387"/>
        <item m="1" x="4424"/>
        <item m="1" x="4747"/>
        <item m="1" x="6280"/>
        <item m="1" x="3435"/>
        <item m="1" x="3679"/>
        <item m="1" x="3438"/>
        <item m="1" x="7709"/>
        <item m="1" x="6567"/>
        <item m="1" x="5998"/>
        <item m="1" x="2905"/>
        <item m="1" x="5575"/>
        <item m="1" x="4687"/>
        <item m="1" x="7704"/>
        <item m="1" x="7486"/>
        <item m="1" x="6782"/>
        <item m="1" x="5513"/>
        <item m="1" x="4984"/>
        <item m="1" x="4579"/>
        <item m="1" x="7115"/>
        <item m="1" x="6060"/>
        <item m="1" x="4174"/>
        <item m="1" x="4184"/>
        <item m="1" x="7549"/>
        <item m="1" x="3458"/>
        <item m="1" x="7015"/>
        <item m="1" x="5404"/>
        <item m="1" x="5659"/>
        <item m="1" x="6589"/>
        <item m="1" x="2986"/>
        <item m="1" x="2857"/>
        <item m="1" x="6924"/>
        <item m="1" x="3968"/>
        <item m="1" x="4889"/>
        <item m="1" x="4395"/>
        <item m="1" x="4345"/>
        <item m="1" x="4957"/>
        <item m="1" x="4502"/>
        <item m="1" x="4983"/>
        <item m="1" x="4655"/>
        <item m="1" x="5665"/>
        <item m="1" x="3044"/>
        <item m="1" x="6898"/>
        <item m="1" x="2667"/>
        <item m="1" x="4767"/>
        <item m="1" x="6018"/>
        <item m="1" x="7505"/>
        <item m="1" x="3419"/>
        <item m="1" x="4773"/>
        <item m="1" x="6058"/>
        <item m="1" x="3205"/>
        <item m="1" x="5462"/>
        <item m="1" x="5537"/>
        <item m="1" x="5598"/>
        <item m="1" x="4038"/>
        <item m="1" x="5202"/>
        <item m="1" x="4506"/>
        <item m="1" x="7523"/>
        <item m="1" x="3294"/>
        <item m="1" x="4479"/>
        <item m="1" x="2574"/>
        <item m="1" x="5544"/>
        <item m="1" x="7922"/>
        <item m="1" x="5063"/>
        <item m="1" x="4014"/>
        <item m="1" x="5616"/>
        <item m="1" x="4903"/>
        <item m="1" x="5100"/>
        <item m="1" x="3758"/>
        <item m="1" x="6182"/>
        <item m="1" x="5052"/>
        <item m="1" x="4916"/>
        <item m="1" x="4383"/>
        <item m="1" x="7725"/>
        <item m="1" x="4492"/>
        <item m="1" x="5442"/>
        <item m="1" x="3350"/>
        <item m="1" x="2923"/>
        <item m="1" x="2958"/>
        <item m="1" x="5602"/>
        <item m="1" x="3363"/>
        <item m="1" x="3902"/>
        <item m="1" x="3060"/>
        <item m="1" x="6171"/>
        <item m="1" x="5726"/>
        <item m="1" x="4403"/>
        <item m="1" x="7948"/>
        <item m="1" x="3317"/>
        <item m="1" x="3476"/>
        <item m="1" x="5102"/>
        <item m="1" x="3284"/>
        <item m="1" x="7391"/>
        <item m="1" x="4938"/>
        <item m="1" x="4989"/>
        <item m="1" x="3215"/>
        <item m="1" x="7596"/>
        <item m="1" x="5907"/>
        <item m="1" x="4611"/>
        <item m="1" x="3226"/>
        <item m="1" x="6354"/>
        <item m="1" x="4837"/>
        <item m="1" x="3468"/>
        <item m="1" x="3382"/>
        <item m="1" x="3402"/>
        <item m="1" x="7074"/>
        <item m="1" x="6175"/>
        <item m="1" x="4512"/>
        <item m="1" x="4965"/>
        <item m="1" x="3013"/>
        <item m="1" x="4591"/>
        <item m="1" x="4379"/>
        <item m="1" x="6268"/>
        <item m="1" x="7515"/>
        <item m="1" x="6921"/>
        <item m="1" x="5582"/>
        <item m="1" x="6377"/>
        <item m="1" x="4588"/>
        <item m="1" x="4749"/>
        <item m="1" x="3266"/>
        <item m="1" x="6461"/>
        <item m="1" x="6092"/>
        <item m="1" x="2988"/>
        <item m="1" x="3451"/>
        <item m="1" x="6731"/>
        <item m="1" x="5519"/>
        <item m="1" x="5407"/>
        <item m="1" x="5394"/>
        <item m="1" x="4303"/>
        <item m="1" x="5509"/>
        <item m="1" x="4139"/>
        <item m="1" x="4140"/>
        <item m="1" x="4806"/>
        <item m="1" x="7462"/>
        <item m="1" x="5257"/>
        <item m="1" x="6253"/>
        <item m="1" x="2775"/>
        <item m="1" x="2580"/>
        <item m="1" x="6470"/>
        <item m="1" x="4985"/>
        <item m="1" x="6463"/>
        <item m="1" x="7889"/>
        <item m="1" x="3057"/>
        <item m="1" x="4633"/>
        <item m="1" x="5375"/>
        <item m="1" x="4930"/>
        <item m="1" x="3735"/>
        <item m="1" x="4009"/>
        <item m="1" x="5938"/>
        <item m="1" x="7614"/>
        <item m="1" x="7776"/>
        <item m="1" x="4024"/>
        <item m="1" x="3582"/>
        <item m="1" x="4885"/>
        <item m="1" x="3455"/>
        <item m="1" x="4708"/>
        <item m="1" x="7986"/>
        <item m="1" x="6579"/>
        <item m="1" x="2707"/>
        <item m="1" x="2881"/>
        <item m="1" x="6242"/>
        <item m="1" x="7943"/>
        <item m="1" x="6958"/>
        <item m="1" x="4895"/>
        <item m="1" x="4002"/>
        <item m="1" x="2846"/>
        <item m="1" x="7598"/>
        <item m="1" x="7660"/>
        <item m="1" x="3318"/>
        <item m="1" x="3293"/>
        <item m="1" x="3108"/>
        <item m="1" x="3111"/>
        <item m="1" x="7193"/>
        <item m="1" x="3270"/>
        <item m="1" x="3138"/>
        <item m="1" x="5125"/>
        <item m="1" x="3271"/>
        <item m="1" x="2750"/>
        <item m="1" x="7601"/>
        <item m="1" x="7301"/>
        <item m="1" x="4406"/>
        <item m="1" x="5059"/>
        <item m="1" x="4306"/>
        <item m="1" x="6193"/>
        <item m="1" x="6384"/>
        <item m="1" x="3154"/>
        <item m="1" x="6405"/>
        <item m="1" x="5937"/>
        <item m="1" x="3238"/>
        <item m="1" x="2847"/>
        <item m="1" x="5233"/>
        <item m="1" x="2659"/>
        <item m="1" x="7910"/>
        <item m="1" x="5274"/>
        <item m="1" x="3310"/>
        <item m="1" x="7792"/>
        <item m="1" x="6233"/>
        <item m="1" x="3939"/>
        <item m="1" x="5012"/>
        <item m="1" x="6385"/>
        <item m="1" x="3372"/>
        <item m="1" x="4083"/>
        <item m="1" x="3613"/>
        <item m="1" x="2657"/>
        <item m="1" x="5353"/>
        <item m="1" x="5223"/>
        <item m="1" x="7661"/>
        <item m="1" x="5383"/>
        <item m="1" x="4003"/>
        <item m="1" x="4527"/>
        <item m="1" x="5912"/>
        <item m="1" x="4798"/>
        <item m="1" x="5650"/>
        <item m="1" x="5942"/>
        <item m="1" x="6271"/>
        <item m="1" x="5609"/>
        <item m="1" x="4191"/>
        <item m="1" x="3024"/>
        <item m="1" x="6380"/>
        <item m="1" x="6698"/>
        <item m="1" x="7398"/>
        <item m="1" x="2686"/>
        <item m="1" x="5298"/>
        <item m="1" x="3597"/>
        <item m="1" x="2786"/>
        <item m="1" x="6676"/>
        <item m="1" x="6959"/>
        <item m="1" x="6951"/>
        <item m="1" x="2542"/>
        <item m="1" x="3950"/>
        <item m="1" x="3080"/>
        <item m="1" x="3739"/>
        <item m="1" x="6815"/>
        <item m="1" x="2704"/>
        <item m="1" x="5169"/>
        <item m="1" x="6462"/>
        <item m="1" x="5872"/>
        <item m="1" x="3308"/>
        <item m="1" x="2681"/>
        <item m="1" x="4911"/>
        <item m="1" x="3677"/>
        <item m="1" x="7332"/>
        <item m="1" x="5453"/>
        <item m="1" x="4537"/>
        <item m="1" x="3278"/>
        <item m="1" x="4664"/>
        <item m="1" x="4517"/>
        <item m="1" x="3117"/>
        <item m="1" x="3059"/>
        <item m="1" x="4197"/>
        <item m="1" x="4292"/>
        <item m="1" x="6099"/>
        <item m="1" x="7749"/>
        <item m="1" x="3691"/>
        <item m="1" x="4324"/>
        <item m="1" x="4136"/>
        <item m="1" x="6979"/>
        <item m="1" x="5764"/>
        <item m="1" x="7466"/>
        <item m="1" x="3248"/>
        <item m="1" x="6276"/>
        <item m="1" x="4194"/>
        <item m="1" x="3011"/>
        <item m="1" x="6123"/>
        <item m="1" x="3725"/>
        <item m="1" x="5507"/>
        <item m="1" x="5683"/>
        <item m="1" x="7638"/>
        <item m="1" x="7381"/>
        <item m="1" x="4694"/>
        <item m="1" x="3881"/>
        <item m="1" x="5250"/>
        <item m="1" x="2726"/>
        <item m="1" x="5740"/>
        <item m="1" x="6356"/>
        <item m="1" x="2889"/>
        <item m="1" x="2810"/>
        <item m="1" x="6487"/>
        <item m="1" x="5568"/>
        <item m="1" x="3047"/>
        <item m="1" x="4040"/>
        <item m="1" x="3437"/>
        <item m="1" x="3453"/>
        <item m="1" x="3041"/>
        <item m="1" x="7453"/>
        <item m="1" x="3771"/>
        <item m="1" x="7867"/>
        <item m="1" x="2579"/>
        <item m="1" x="5361"/>
        <item m="1" x="3233"/>
        <item m="1" x="7642"/>
        <item m="1" x="6228"/>
        <item m="1" x="2761"/>
        <item m="1" x="3574"/>
        <item m="1" x="4857"/>
        <item m="1" x="3757"/>
        <item m="1" x="7531"/>
        <item m="1" x="7817"/>
        <item m="1" x="3265"/>
        <item m="1" x="5619"/>
        <item m="1" x="3946"/>
        <item m="1" x="3749"/>
        <item m="1" x="5522"/>
        <item m="1" x="2554"/>
        <item m="1" x="6585"/>
        <item m="1" x="5545"/>
        <item m="1" x="3010"/>
        <item m="1" x="2749"/>
        <item m="1" x="7318"/>
        <item m="1" x="7955"/>
        <item m="1" x="5189"/>
        <item m="1" x="6817"/>
        <item m="1" x="2680"/>
        <item m="1" x="4756"/>
        <item m="1" x="6449"/>
        <item m="1" x="6404"/>
        <item m="1" x="4632"/>
        <item m="1" x="3858"/>
        <item m="1" x="4049"/>
        <item m="1" x="4465"/>
        <item m="1" x="7255"/>
        <item m="1" x="3434"/>
        <item m="1" x="4317"/>
        <item m="1" x="6455"/>
        <item m="1" x="7345"/>
        <item m="1" x="4959"/>
        <item m="1" x="7293"/>
        <item m="1" x="7023"/>
        <item m="1" x="4909"/>
        <item m="1" x="5040"/>
        <item m="1" x="6378"/>
        <item m="1" x="7047"/>
        <item m="1" x="3050"/>
        <item m="1" x="3322"/>
        <item m="1" x="6730"/>
        <item m="1" x="7721"/>
        <item m="1" x="7509"/>
        <item m="1" x="5187"/>
        <item m="1" x="6153"/>
        <item m="1" x="5679"/>
        <item m="1" x="6832"/>
        <item m="1" x="4410"/>
        <item m="1" x="2740"/>
        <item m="1" x="4648"/>
        <item m="1" x="3668"/>
        <item m="1" x="3711"/>
        <item m="1" x="6031"/>
        <item m="1" x="6630"/>
        <item m="1" x="3921"/>
        <item m="1" x="2933"/>
        <item m="1" x="3736"/>
        <item m="1" x="4845"/>
        <item m="1" x="7497"/>
        <item m="1" x="6925"/>
        <item m="1" x="4251"/>
        <item m="1" x="6411"/>
        <item m="1" x="6564"/>
        <item m="1" x="7424"/>
        <item m="1" x="4997"/>
        <item m="1" x="7565"/>
        <item m="1" x="2880"/>
        <item m="1" x="6041"/>
        <item m="1" x="3717"/>
        <item m="1" x="4307"/>
        <item m="1" x="4291"/>
        <item m="1" x="5227"/>
        <item m="1" x="2973"/>
        <item m="1" x="3534"/>
        <item m="1" x="4206"/>
        <item m="1" x="7187"/>
        <item m="1" x="6315"/>
        <item m="1" x="4290"/>
        <item m="1" x="5648"/>
        <item m="1" x="3888"/>
        <item m="1" x="3259"/>
        <item m="1" x="3978"/>
        <item m="1" x="7989"/>
        <item m="1" x="6594"/>
        <item m="1" x="7266"/>
        <item m="1" x="6612"/>
        <item m="1" x="3100"/>
        <item m="1" x="7409"/>
        <item m="1" x="3510"/>
        <item m="1" x="7403"/>
        <item m="1" x="7404"/>
        <item m="1" x="7405"/>
        <item m="1" x="7408"/>
        <item m="1" x="7410"/>
        <item m="1" x="7411"/>
        <item m="1" x="7412"/>
        <item m="1" x="7414"/>
        <item m="1" x="7415"/>
        <item m="1" x="7416"/>
        <item m="1" x="3433"/>
        <item m="1" x="4086"/>
        <item m="1" x="3444"/>
        <item m="1" x="6120"/>
        <item m="1" x="6519"/>
        <item m="1" x="4209"/>
        <item m="1" x="4210"/>
        <item m="1" x="4212"/>
        <item m="1" x="4213"/>
        <item m="1" x="4214"/>
        <item m="1" x="4217"/>
        <item m="1" x="4219"/>
        <item m="1" x="4220"/>
        <item m="1" x="4221"/>
        <item m="1" x="4222"/>
        <item m="1" x="6447"/>
        <item m="1" x="7151"/>
        <item m="1" x="6460"/>
        <item m="1" x="2961"/>
        <item m="1" x="7528"/>
        <item m="1" x="3309"/>
        <item m="1" x="3962"/>
        <item m="1" x="3321"/>
        <item m="1" x="5978"/>
        <item m="1" x="6325"/>
        <item m="1" x="7028"/>
        <item m="1" x="6339"/>
        <item m="1" x="2863"/>
        <item m="1" x="3837"/>
        <item m="1" x="3428"/>
        <item m="1" x="3164"/>
        <item m="1" x="5834"/>
        <item m="1" x="6180"/>
        <item m="1" x="6187"/>
        <item m="1" x="3005"/>
        <item m="1" x="3017"/>
        <item m="1" x="6024"/>
        <item m="1" x="4059"/>
        <item m="1" x="4060"/>
        <item m="1" x="4061"/>
        <item m="1" x="4062"/>
        <item m="1" x="4063"/>
        <item m="1" x="4064"/>
        <item m="1" x="4065"/>
        <item m="1" x="2641"/>
        <item m="1" x="2642"/>
        <item m="1" x="2643"/>
        <item m="1" x="2644"/>
        <item m="1" x="2645"/>
        <item m="1" x="2646"/>
        <item m="1" x="2647"/>
        <item m="1" x="2648"/>
        <item m="1" x="2649"/>
        <item m="1" x="5915"/>
        <item m="1" x="5916"/>
        <item m="1" x="5917"/>
        <item m="1" x="5918"/>
        <item m="1" x="5919"/>
        <item m="1" x="5920"/>
        <item m="1" x="5921"/>
        <item m="1" x="5922"/>
        <item m="1" x="2778"/>
        <item m="1" x="7145"/>
        <item m="1" x="5304"/>
        <item m="1" x="7239"/>
        <item m="1" x="4811"/>
        <item m="1" x="3712"/>
        <item m="1" x="3867"/>
        <item m="1" x="7876"/>
        <item m="1" x="5374"/>
        <item m="1" x="6975"/>
        <item m="1" x="5317"/>
        <item m="1" x="5114"/>
        <item m="1" x="6673"/>
        <item m="1" x="4056"/>
        <item m="1" x="5735"/>
        <item m="1" x="6947"/>
        <item m="1" x="6641"/>
        <item m="1" x="7198"/>
        <item m="1" x="4128"/>
        <item m="1" x="2788"/>
        <item m="1" x="7174"/>
        <item m="1" x="4470"/>
        <item m="1" x="2569"/>
        <item m="1" x="3926"/>
        <item m="1" x="7283"/>
        <item m="1" x="6426"/>
        <item m="1" x="3407"/>
        <item m="1" x="6317"/>
        <item m="1" x="3304"/>
        <item m="1" x="2756"/>
        <item m="1" x="7020"/>
        <item m="1" x="4685"/>
        <item m="1" x="3249"/>
        <item m="1" x="3416"/>
        <item m="1" x="6244"/>
        <item m="1" x="3544"/>
        <item m="1" x="2737"/>
        <item m="1" x="6528"/>
        <item m="1" x="2952"/>
        <item m="1" x="6891"/>
        <item m="1" x="7863"/>
        <item m="1" x="5984"/>
        <item m="1" x="5988"/>
        <item m="1" x="4941"/>
        <item m="1" x="5313"/>
        <item m="1" x="3290"/>
        <item m="1" x="3644"/>
        <item m="1" x="4799"/>
        <item m="1" x="7002"/>
        <item m="1" x="5259"/>
        <item m="1" x="4276"/>
        <item m="1" x="6361"/>
        <item m="1" x="6725"/>
        <item m="1" x="7563"/>
        <item m="1" x="7564"/>
        <item m="1" x="4256"/>
        <item m="1" x="4400"/>
        <item m="1" x="3991"/>
        <item m="1" x="3174"/>
        <item m="1" x="4960"/>
        <item m="1" x="6783"/>
        <item m="1" x="6854"/>
        <item m="1" x="7285"/>
        <item m="1" x="3624"/>
        <item m="1" x="5687"/>
        <item m="1" x="3147"/>
        <item m="1" x="6666"/>
        <item m="1" x="7290"/>
        <item m="1" x="4707"/>
        <item m="1" x="5199"/>
        <item m="1" x="6901"/>
        <item m="1" x="4663"/>
        <item m="1" x="7170"/>
        <item m="1" x="4612"/>
        <item m="1" x="6265"/>
        <item m="1" x="6687"/>
        <item m="1" x="3153"/>
        <item m="1" x="7166"/>
        <item m="1" x="4245"/>
        <item m="1" x="3194"/>
        <item m="1" x="5253"/>
        <item m="1" x="7201"/>
        <item m="1" x="4129"/>
        <item m="1" x="5902"/>
        <item m="1" x="6254"/>
        <item m="1" x="4559"/>
        <item m="1" x="2785"/>
        <item m="1" x="7745"/>
        <item m="1" x="4325"/>
        <item m="1" x="3651"/>
        <item m="1" x="6518"/>
        <item m="1" x="3441"/>
        <item m="1" x="5713"/>
        <item m="1" x="5413"/>
        <item m="1" x="6232"/>
        <item m="1" x="6756"/>
        <item m="1" x="7604"/>
        <item m="1" x="6649"/>
        <item m="1" x="5756"/>
        <item m="1" x="2601"/>
        <item m="1" x="3772"/>
        <item m="1" x="4887"/>
        <item m="1" x="5573"/>
        <item m="1" x="7731"/>
        <item m="1" x="6138"/>
        <item m="1" x="4743"/>
        <item m="1" x="4690"/>
        <item m="1" x="3150"/>
        <item m="1" x="6009"/>
        <item m="1" x="3445"/>
        <item m="1" x="5440"/>
        <item m="1" x="5745"/>
        <item m="1" x="5269"/>
        <item m="1" x="6157"/>
        <item m="1" x="3093"/>
        <item m="1" x="3045"/>
        <item m="1" x="6903"/>
        <item m="1" x="4011"/>
        <item m="1" x="7558"/>
        <item m="1" x="6562"/>
        <item m="1" x="3933"/>
        <item m="1" x="4543"/>
        <item m="1" x="7026"/>
        <item m="1" x="7585"/>
        <item m="1" x="3829"/>
        <item m="1" x="3364"/>
        <item m="1" x="6672"/>
        <item m="1" x="6467"/>
        <item m="1" x="3610"/>
        <item m="1" x="5663"/>
        <item m="1" x="4736"/>
        <item m="1" x="5419"/>
        <item m="1" x="5644"/>
        <item m="1" x="7533"/>
        <item m="1" x="7214"/>
        <item m="1" x="5932"/>
        <item m="1" x="5914"/>
        <item m="1" x="4100"/>
        <item m="1" x="5338"/>
        <item m="1" x="3825"/>
        <item m="1" x="7789"/>
        <item m="1" x="3292"/>
        <item m="1" x="4340"/>
        <item m="1" x="7288"/>
        <item m="1" x="3087"/>
        <item m="1" x="6662"/>
        <item m="1" x="6414"/>
        <item m="1" x="4732"/>
        <item m="1" x="7588"/>
        <item m="1" x="3502"/>
        <item m="1" x="5633"/>
        <item m="1" x="6866"/>
        <item m="1" x="7630"/>
        <item m="1" x="5569"/>
        <item m="1" x="6201"/>
        <item m="1" x="5014"/>
        <item m="1" x="2751"/>
        <item m="1" x="7113"/>
        <item m="1" x="2779"/>
        <item m="1" x="3474"/>
        <item m="1" x="3371"/>
        <item m="1" x="5570"/>
        <item m="1" x="2841"/>
        <item m="1" x="7098"/>
        <item m="1" x="3794"/>
        <item m="1" x="3841"/>
        <item m="1" x="4343"/>
        <item m="1" x="4659"/>
        <item m="1" x="4580"/>
        <item m="1" x="5987"/>
        <item m="1" x="7925"/>
        <item m="1" x="6133"/>
        <item m="1" x="5837"/>
        <item m="1" x="5849"/>
        <item m="1" x="7993"/>
        <item m="1" x="7256"/>
        <item m="1" x="7631"/>
        <item m="1" x="6194"/>
        <item m="1" x="5158"/>
        <item m="1" x="5968"/>
        <item m="1" x="4603"/>
        <item m="1" x="6006"/>
        <item m="1" x="5337"/>
        <item m="1" x="4041"/>
        <item m="1" x="4752"/>
        <item m="1" x="6965"/>
        <item m="1" x="4271"/>
        <item m="1" x="4820"/>
        <item m="1" x="5589"/>
        <item m="1" x="2919"/>
        <item m="1" x="6186"/>
        <item m="1" x="4392"/>
        <item m="1" x="6879"/>
        <item m="1" x="2730"/>
        <item m="1" x="3464"/>
        <item m="1" x="7750"/>
        <item m="1" x="5433"/>
        <item m="1" x="4167"/>
        <item m="1" x="7610"/>
        <item m="1" x="6661"/>
        <item m="1" x="3779"/>
        <item m="1" x="7653"/>
        <item m="1" x="6202"/>
        <item m="1" x="6389"/>
        <item m="1" x="4107"/>
        <item m="1" x="3297"/>
        <item m="1" x="7487"/>
        <item m="1" x="5024"/>
        <item m="1" x="3839"/>
        <item m="1" x="5335"/>
        <item m="1" x="4280"/>
        <item m="1" x="7765"/>
        <item m="1" x="3020"/>
        <item m="1" x="3069"/>
        <item m="1" x="5163"/>
        <item m="1" x="2535"/>
        <item m="1" x="6450"/>
        <item m="1" x="3665"/>
        <item m="1" x="5553"/>
        <item m="1" x="4004"/>
        <item m="1" x="3907"/>
        <item m="1" x="6522"/>
        <item m="1" x="7559"/>
        <item m="1" x="5908"/>
        <item m="1" x="3911"/>
        <item m="1" x="3792"/>
        <item m="1" x="6537"/>
        <item m="1" x="3329"/>
        <item m="1" x="7695"/>
        <item m="1" x="3065"/>
        <item m="1" x="6136"/>
        <item m="1" x="5682"/>
        <item m="1" x="7247"/>
        <item m="1" x="6912"/>
        <item m="1" x="6142"/>
        <item m="1" x="7373"/>
        <item m="1" x="5695"/>
        <item m="1" x="7101"/>
        <item m="1" x="4785"/>
        <item m="1" x="4684"/>
        <item m="1" x="4281"/>
        <item m="1" x="6696"/>
        <item m="1" x="6038"/>
        <item m="1" x="3346"/>
        <item m="1" x="3177"/>
        <item m="1" x="4075"/>
        <item m="1" x="5777"/>
        <item m="1" x="3632"/>
        <item m="1" x="4672"/>
        <item m="1" x="4047"/>
        <item m="1" x="6398"/>
        <item m="1" x="5640"/>
        <item m="1" x="5757"/>
        <item m="1" x="3924"/>
        <item m="1" x="6256"/>
        <item m="1" x="3643"/>
        <item m="1" x="4274"/>
        <item m="1" x="6663"/>
        <item m="1" x="7756"/>
        <item m="1" x="4704"/>
        <item m="1" x="7185"/>
        <item m="1" x="7218"/>
        <item m="1" x="3366"/>
        <item m="1" x="5615"/>
        <item m="1" x="6821"/>
        <item m="1" x="7858"/>
        <item m="1" x="6105"/>
        <item m="1" x="7250"/>
        <item m="1" x="3768"/>
        <item m="1" x="6065"/>
        <item m="1" x="7859"/>
        <item m="1" x="6107"/>
        <item m="1" x="3430"/>
        <item m="1" x="3871"/>
        <item m="1" x="3469"/>
        <item m="1" x="7952"/>
        <item m="1" x="3500"/>
        <item m="1" x="3927"/>
        <item m="1" x="5073"/>
        <item m="1" x="5508"/>
        <item m="1" x="6692"/>
        <item m="1" x="3713"/>
        <item m="1" x="7158"/>
        <item m="1" x="3302"/>
        <item m="1" x="5535"/>
        <item m="1" x="6033"/>
        <item m="1" x="4784"/>
        <item m="1" x="7251"/>
        <item m="1" x="7895"/>
        <item m="1" x="6149"/>
        <item m="1" x="7284"/>
        <item m="1" x="4487"/>
        <item m="1" x="5697"/>
        <item m="1" x="7918"/>
        <item m="1" x="3872"/>
        <item m="1" x="6190"/>
        <item m="1" x="7313"/>
        <item m="1" x="4522"/>
        <item m="1" x="3338"/>
        <item m="1" x="7835"/>
        <item m="1" x="4404"/>
        <item m="1" x="6827"/>
        <item m="1" x="4877"/>
        <item m="1" x="6864"/>
        <item m="1" x="4927"/>
        <item m="1" x="6150"/>
        <item m="1" x="3432"/>
        <item m="1" x="5701"/>
        <item m="1" x="4523"/>
        <item m="1" x="6923"/>
        <item m="1" x="4436"/>
        <item m="1" x="7987"/>
        <item m="1" x="7075"/>
        <item m="1" x="3656"/>
        <item m="1" x="5237"/>
        <item m="1" x="3106"/>
        <item m="1" x="5367"/>
        <item m="1" x="3591"/>
        <item m="1" x="4686"/>
        <item m="1" x="4166"/>
        <item m="1" x="7085"/>
        <item m="1" x="7747"/>
        <item m="1" x="7845"/>
        <item m="1" x="6984"/>
        <item m="1" x="7602"/>
        <item m="1" x="3523"/>
        <item m="1" x="6713"/>
        <item m="1" x="3360"/>
        <item m="1" x="5604"/>
        <item m="1" x="5351"/>
        <item m="1" x="3571"/>
        <item m="1" x="4055"/>
        <item m="1" x="7547"/>
        <item m="1" x="5219"/>
        <item m="1" x="6771"/>
        <item m="1" x="6299"/>
        <item m="1" x="6106"/>
        <item m="1" x="7885"/>
        <item m="1" x="2975"/>
        <item m="1" x="5260"/>
        <item m="1" x="6192"/>
        <item m="1" x="6227"/>
        <item m="1" x="2567"/>
        <item m="1" x="5959"/>
        <item m="1" x="4068"/>
        <item m="1" x="7169"/>
        <item m="1" x="4761"/>
        <item m="1" x="6003"/>
        <item m="1" x="3616"/>
        <item m="1" x="2534"/>
        <item m="1" x="3685"/>
        <item m="1" x="2629"/>
        <item m="1" x="3021"/>
        <item m="1" x="4102"/>
        <item m="1" x="6452"/>
        <item m="1" x="2631"/>
        <item m="1" x="2703"/>
        <item m="1" x="7298"/>
        <item m="1" x="7206"/>
        <item m="1" x="4142"/>
        <item m="1" x="4156"/>
        <item m="1" x="7012"/>
        <item m="1" x="5362"/>
        <item m="1" x="6565"/>
        <item m="1" x="5557"/>
        <item m="1" x="4422"/>
        <item m="1" x="6939"/>
        <item m="1" x="5111"/>
        <item m="1" x="5357"/>
        <item m="1" x="7654"/>
        <item m="1" x="4561"/>
        <item m="1" x="3747"/>
        <item m="1" x="7008"/>
        <item m="1" x="4279"/>
        <item m="1" x="4650"/>
        <item m="1" x="4808"/>
        <item m="1" x="3480"/>
        <item m="1" x="4534"/>
        <item m="1" x="3257"/>
        <item m="1" x="3587"/>
        <item m="1" x="6966"/>
        <item m="1" x="6326"/>
        <item m="1" x="2908"/>
        <item m="1" x="4012"/>
        <item m="1" x="5174"/>
        <item m="1" x="7781"/>
        <item m="1" x="5132"/>
        <item m="1" x="5140"/>
        <item m="1" x="5142"/>
        <item m="1" x="7566"/>
        <item m="1" x="5359"/>
        <item m="1" x="7306"/>
        <item m="1" x="5631"/>
        <item m="1" x="7260"/>
        <item m="1" x="5438"/>
        <item m="1" x="5103"/>
        <item m="1" x="3359"/>
        <item m="1" x="4053"/>
        <item m="1" x="7087"/>
        <item m="1" x="3954"/>
        <item m="1" x="4023"/>
        <item m="1" x="7874"/>
        <item m="1" x="3765"/>
        <item m="1" x="7751"/>
        <item m="1" x="3891"/>
        <item m="1" x="3633"/>
        <item m="1" x="6671"/>
        <item m="1" x="6703"/>
        <item m="1" x="7881"/>
        <item m="1" x="6691"/>
        <item m="1" x="2885"/>
        <item m="1" x="6257"/>
        <item m="1" x="3960"/>
        <item m="1" x="5112"/>
        <item m="1" x="3186"/>
        <item m="1" x="4849"/>
        <item m="1" x="4190"/>
        <item m="1" x="4146"/>
        <item m="1" x="4839"/>
        <item m="1" x="6127"/>
        <item m="1" x="7226"/>
        <item m="1" x="7024"/>
        <item m="1" x="7031"/>
        <item m="1" x="6636"/>
        <item m="1" x="6490"/>
        <item m="1" x="6502"/>
        <item m="1" x="6507"/>
        <item m="1" x="5977"/>
        <item m="1" x="5242"/>
        <item m="1" x="4618"/>
        <item m="1" x="3471"/>
        <item m="1" x="4609"/>
        <item m="1" x="3539"/>
        <item m="1" x="6415"/>
        <item m="1" x="4104"/>
        <item m="1" x="3054"/>
        <item m="1" x="7732"/>
        <item m="1" x="3421"/>
        <item m="1" x="3125"/>
        <item m="1" x="7263"/>
        <item m="1" x="7264"/>
        <item m="1" x="5889"/>
        <item m="1" x="3594"/>
        <item m="1" x="4265"/>
        <item m="1" x="6368"/>
        <item m="1" x="2968"/>
        <item m="1" x="7105"/>
        <item m="1" x="7394"/>
        <item m="1" x="7542"/>
        <item m="1" x="5677"/>
        <item m="1" x="6942"/>
        <item m="1" x="5287"/>
        <item m="1" x="7463"/>
        <item m="1" x="6156"/>
        <item m="1" x="6943"/>
        <item m="1" x="4229"/>
        <item m="1" x="5855"/>
        <item m="1" x="7617"/>
        <item m="1" x="6838"/>
        <item m="1" x="4485"/>
        <item m="1" x="4787"/>
        <item m="1" x="5058"/>
        <item m="1" x="5397"/>
        <item m="1" x="4164"/>
        <item m="1" x="2934"/>
        <item m="1" x="6015"/>
        <item m="1" x="6536"/>
        <item m="1" x="5586"/>
        <item m="1" x="3035"/>
        <item m="1" x="4262"/>
        <item m="1" x="5592"/>
        <item m="1" x="5027"/>
        <item m="1" x="6779"/>
        <item m="1" x="4070"/>
        <item m="1" x="6987"/>
        <item m="1" x="3083"/>
        <item m="1" x="3963"/>
        <item m="1" x="5410"/>
        <item m="1" x="6163"/>
        <item m="1" x="3834"/>
        <item m="1" x="6053"/>
        <item m="1" x="4971"/>
        <item m="1" x="4541"/>
        <item m="1" x="4742"/>
        <item m="1" x="7900"/>
        <item m="1" x="6466"/>
        <item m="1" x="5463"/>
        <item m="1" x="2715"/>
        <item m="1" x="4333"/>
        <item m="1" x="3935"/>
        <item m="1" x="5670"/>
        <item m="1" x="7427"/>
        <item m="1" x="7670"/>
        <item m="1" x="6875"/>
        <item m="1" x="6085"/>
        <item m="1" x="2793"/>
        <item m="1" x="2917"/>
        <item m="1" x="3650"/>
        <item m="1" x="4081"/>
        <item m="1" x="3682"/>
        <item m="1" x="6022"/>
        <item m="1" x="4088"/>
        <item m="1" x="4801"/>
        <item m="1" x="3376"/>
        <item m="1" x="6568"/>
        <item m="1" x="6121"/>
        <item m="1" x="3791"/>
        <item m="1" x="5925"/>
        <item m="1" x="4797"/>
        <item m="1" x="3121"/>
        <item m="1" x="3769"/>
        <item m="1" x="3608"/>
        <item m="1" x="3231"/>
        <item m="1" x="7973"/>
        <item m="1" x="6566"/>
        <item m="1" x="6760"/>
        <item m="1" x="7553"/>
        <item m="1" x="5901"/>
        <item m="1" x="2981"/>
        <item m="1" x="6824"/>
        <item m="1" x="4093"/>
        <item m="1" x="4748"/>
        <item m="1" x="3980"/>
        <item m="1" x="4710"/>
        <item m="1" x="5244"/>
        <item m="1" x="6112"/>
        <item m="1" x="6525"/>
        <item m="1" x="7014"/>
        <item m="1" x="5455"/>
        <item m="1" x="3287"/>
        <item m="1" x="6516"/>
        <item m="1" x="5068"/>
        <item m="1" x="6849"/>
        <item m="1" x="5662"/>
        <item m="1" x="5854"/>
        <item m="1" x="3831"/>
        <item m="1" x="7773"/>
        <item m="1" x="2801"/>
        <item m="1" x="6249"/>
        <item m="1" x="2792"/>
        <item m="1" x="7777"/>
        <item m="1" x="4964"/>
        <item m="1" x="6391"/>
        <item m="1" x="6535"/>
        <item m="1" x="3533"/>
        <item m="1" x="5273"/>
        <item m="1" x="2565"/>
        <item m="1" x="7242"/>
        <item m="1" x="7066"/>
        <item m="1" x="3122"/>
        <item m="1" x="7562"/>
        <item m="1" x="6582"/>
        <item m="1" x="6571"/>
        <item m="1" x="7446"/>
        <item m="1" x="4020"/>
        <item m="1" x="6788"/>
        <item m="1" x="6873"/>
        <item m="1" x="7632"/>
        <item m="1" x="4789"/>
        <item m="1" x="3743"/>
        <item m="1" x="6376"/>
        <item m="1" x="6014"/>
        <item m="1" x="6178"/>
        <item m="1" x="3367"/>
        <item m="1" x="2722"/>
        <item m="1" x="3008"/>
        <item m="1" x="6945"/>
        <item m="1" x="7229"/>
        <item m="1" x="3596"/>
        <item m="1" x="3133"/>
        <item m="1" x="3967"/>
        <item m="1" x="3998"/>
        <item m="1" x="7656"/>
        <item m="1" x="5228"/>
        <item m="1" x="6600"/>
        <item m="1" x="4966"/>
        <item m="1" x="5023"/>
        <item m="1" x="5162"/>
        <item m="1" x="7793"/>
        <item m="1" x="7763"/>
        <item m="1" x="6719"/>
        <item m="1" x="3718"/>
        <item m="1" x="3611"/>
        <item m="1" x="7669"/>
        <item m="1" x="4360"/>
        <item m="1" x="4962"/>
        <item m="1" x="5585"/>
        <item m="1" x="6213"/>
        <item m="1" x="3396"/>
        <item m="1" x="4039"/>
        <item m="1" x="2940"/>
        <item m="1" x="4051"/>
        <item m="1" x="5621"/>
        <item m="1" x="6035"/>
        <item m="1" x="3019"/>
        <item m="1" x="2531"/>
        <item m="1" x="7674"/>
        <item m="1" x="3845"/>
        <item m="1" x="2655"/>
        <item m="1" x="3009"/>
        <item m="1" x="4106"/>
        <item m="1" x="5816"/>
        <item m="1" x="6441"/>
        <item m="1" x="5974"/>
        <item m="1" x="4235"/>
        <item m="1" x="3200"/>
        <item m="1" x="6893"/>
        <item m="1" x="3726"/>
        <item m="1" x="3173"/>
        <item m="1" x="7180"/>
        <item m="1" x="7048"/>
        <item m="1" x="5775"/>
        <item m="1" x="6638"/>
        <item m="1" x="3058"/>
        <item m="1" x="5926"/>
        <item m="1" x="3479"/>
        <item m="1" x="4010"/>
        <item m="1" x="5371"/>
        <item m="1" x="4101"/>
        <item m="1" x="4637"/>
        <item m="1" x="5270"/>
        <item m="1" x="5850"/>
        <item m="1" x="7437"/>
        <item m="1" x="3000"/>
        <item m="1" x="3606"/>
        <item m="1" x="4117"/>
        <item m="1" x="3127"/>
        <item m="1" x="7292"/>
        <item m="1" x="3460"/>
        <item m="1" x="4283"/>
        <item m="1" x="5352"/>
        <item m="1" x="3803"/>
        <item m="1" x="7443"/>
        <item m="1" x="3253"/>
        <item m="1" x="4847"/>
        <item m="1" x="4854"/>
        <item m="1" x="2741"/>
        <item m="1" x="6761"/>
        <item m="1" x="2936"/>
        <item m="1" x="6409"/>
        <item m="1" x="6623"/>
        <item m="1" x="7464"/>
        <item m="1" x="7861"/>
        <item m="1" x="2735"/>
        <item m="1" x="3012"/>
        <item m="1" x="6261"/>
        <item m="1" x="3478"/>
        <item m="1" x="6000"/>
        <item m="1" x="3347"/>
        <item m="1" x="5737"/>
        <item m="1" x="5471"/>
        <item m="1" x="5635"/>
        <item m="1" x="7348"/>
        <item m="1" x="5867"/>
        <item m="1" x="5960"/>
        <item m="1" x="7541"/>
        <item m="1" x="6877"/>
        <item m="1" x="5727"/>
        <item m="1" x="5424"/>
        <item m="1" x="6332"/>
        <item m="1" x="2694"/>
        <item m="1" x="6933"/>
        <item m="1" x="4744"/>
        <item m="1" x="2695"/>
        <item m="1" x="5632"/>
        <item m="1" x="7538"/>
        <item m="1" x="7844"/>
        <item m="1" x="2941"/>
        <item m="1" x="4923"/>
        <item m="1" x="2951"/>
        <item m="1" x="7702"/>
        <item m="1" x="4683"/>
        <item m="1" x="5660"/>
        <item m="1" x="4489"/>
        <item m="1" x="5195"/>
        <item m="1" x="6867"/>
        <item m="1" x="5395"/>
        <item m="1" x="7855"/>
        <item m="1" x="7946"/>
        <item m="1" x="4388"/>
        <item m="1" x="4471"/>
        <item m="1" x="3095"/>
        <item m="1" x="7121"/>
        <item m="1" x="6488"/>
        <item m="1" x="3545"/>
        <item m="1" x="6539"/>
        <item m="1" x="6526"/>
        <item m="1" x="4037"/>
        <item m="1" x="3667"/>
        <item m="1" x="5534"/>
        <item m="1" x="7402"/>
        <item m="1" x="6577"/>
        <item m="1" x="4993"/>
        <item m="1" x="7723"/>
        <item m="1" x="7921"/>
        <item m="1" x="7683"/>
        <item m="1" x="4000"/>
        <item m="1" x="6402"/>
        <item m="1" x="2540"/>
        <item m="1" x="6595"/>
        <item m="1" x="3091"/>
        <item m="1" x="2913"/>
        <item m="1" x="5251"/>
        <item m="1" x="4132"/>
        <item m="1" x="6066"/>
        <item m="1" x="4681"/>
        <item m="1" x="5220"/>
        <item m="1" x="3031"/>
        <item m="1" x="2654"/>
        <item m="1" x="6962"/>
        <item m="1" x="3984"/>
        <item m="1" x="4745"/>
        <item m="1" x="5674"/>
        <item m="1" x="2685"/>
        <item m="1" x="7064"/>
        <item m="1" x="3659"/>
        <item m="1" x="6646"/>
        <item m="1" x="4482"/>
        <item m="1" x="7195"/>
        <item m="1" x="7041"/>
        <item m="1" x="6471"/>
        <item m="1" x="2551"/>
        <item m="1" x="6168"/>
        <item m="1" x="4508"/>
        <item m="1" x="7649"/>
        <item m="1" x="4929"/>
        <item m="1" x="5130"/>
        <item m="1" x="2607"/>
        <item m="1" x="7787"/>
        <item m="1" x="2876"/>
        <item m="1" x="7715"/>
        <item m="1" x="6472"/>
        <item m="1" x="6538"/>
        <item m="1" x="2619"/>
        <item m="1" x="7726"/>
        <item m="1" x="7550"/>
        <item m="1" x="4859"/>
        <item m="1" x="4045"/>
        <item m="1" x="6690"/>
        <item m="1" x="7278"/>
        <item m="1" x="4622"/>
        <item m="1" x="5366"/>
        <item m="1" x="2633"/>
        <item m="1" x="2900"/>
        <item m="1" x="7227"/>
        <item m="1" x="3228"/>
        <item m="1" x="7086"/>
        <item m="1" x="7842"/>
        <item m="1" x="3846"/>
        <item m="1" x="3849"/>
        <item m="1" x="4110"/>
        <item m="1" x="4526"/>
        <item m="1" x="5293"/>
        <item m="1" x="7836"/>
        <item m="1" x="5150"/>
        <item m="1" x="4958"/>
        <item m="1" x="6211"/>
        <item m="1" x="4656"/>
        <item m="1" x="5009"/>
        <item m="1" x="6302"/>
        <item m="1" x="2701"/>
        <item m="1" x="6478"/>
        <item m="1" x="3697"/>
        <item m="1" x="6440"/>
        <item m="1" x="7967"/>
        <item m="1" x="3520"/>
        <item m="1" x="6754"/>
        <item m="1" x="7334"/>
        <item m="1" x="5774"/>
        <item m="1" x="3987"/>
        <item m="1" x="5611"/>
        <item m="1" x="6205"/>
        <item m="1" x="3256"/>
        <item m="1" x="7992"/>
        <item m="1" x="5556"/>
        <item m="1" x="7832"/>
        <item m="1" x="5080"/>
        <item m="1" x="5364"/>
        <item m="1" x="3986"/>
        <item m="1" x="7377"/>
        <item m="1" x="6794"/>
        <item m="1" x="2598"/>
        <item m="1" x="3709"/>
        <item m="1" x="4617"/>
        <item m="1" x="5096"/>
        <item m="1" x="5309"/>
        <item m="1" x="3912"/>
        <item m="1" x="5431"/>
        <item m="1" x="5222"/>
        <item m="1" x="7330"/>
        <item m="1" x="4005"/>
        <item m="1" x="7190"/>
        <item m="1" x="4050"/>
        <item m="1" x="4875"/>
        <item m="1" x="4098"/>
        <item m="1" x="6446"/>
        <item m="1" x="4163"/>
        <item m="1" x="3391"/>
        <item m="1" x="7567"/>
        <item m="1" x="7197"/>
        <item m="1" x="2771"/>
        <item m="1" x="5638"/>
        <item m="1" x="2926"/>
        <item m="1" x="3213"/>
        <item m="1" x="3916"/>
        <item m="1" x="5562"/>
        <item m="1" x="3653"/>
        <item m="1" x="7333"/>
        <item m="1" x="7658"/>
        <item m="1" x="5153"/>
        <item m="1" x="5022"/>
        <item m="1" x="6868"/>
        <item m="1" x="7157"/>
        <item m="1" x="7441"/>
        <item m="1" x="6960"/>
        <item m="1" x="7419"/>
        <item m="1" x="4150"/>
        <item m="1" x="5628"/>
        <item m="1" x="5526"/>
        <item m="1" x="7916"/>
        <item m="1" x="6876"/>
        <item m="1" x="2864"/>
        <item m="1" x="7711"/>
        <item m="1" x="3618"/>
        <item m="1" x="7208"/>
        <item m="1" x="4741"/>
        <item m="1" x="7915"/>
        <item m="1" x="7275"/>
        <item m="1" x="7080"/>
        <item m="1" x="2830"/>
        <item m="1" x="6659"/>
        <item m="1" x="4614"/>
        <item m="1" x="3423"/>
        <item m="1" x="7054"/>
        <item m="1" x="6885"/>
        <item m="1" x="5731"/>
        <item m="1" x="3952"/>
        <item m="1" x="5326"/>
        <item m="1" x="5285"/>
        <item m="1" x="7259"/>
        <item m="1" x="5146"/>
        <item m="1" x="6846"/>
        <item m="1" x="6894"/>
        <item m="1" x="3661"/>
        <item m="1" x="4638"/>
        <item m="1" x="2568"/>
        <item m="1" x="5019"/>
        <item m="1" x="3808"/>
        <item m="1" x="6699"/>
        <item m="1" x="7279"/>
        <item m="1" x="6910"/>
        <item m="1" x="3577"/>
        <item m="1" x="2705"/>
        <item m="1" x="7108"/>
        <item m="1" x="6017"/>
        <item m="1" x="5563"/>
        <item m="1" x="4619"/>
        <item m="1" x="7587"/>
        <item m="1" x="4226"/>
        <item m="1" x="6328"/>
        <item m="1" x="6333"/>
        <item m="1" x="2990"/>
        <item m="1" x="5899"/>
        <item m="1" x="5266"/>
        <item m="1" x="5279"/>
        <item m="1" x="4660"/>
        <item m="1" x="2684"/>
        <item m="1" x="5390"/>
        <item m="1" x="3286"/>
        <item m="1" x="2719"/>
        <item m="1" x="3014"/>
        <item m="1" x="4165"/>
        <item m="1" x="4187"/>
        <item m="1" x="3698"/>
        <item m="1" x="3704"/>
        <item m="1" x="3149"/>
        <item m="1" x="3156"/>
        <item m="1" x="3078"/>
        <item m="1" x="7573"/>
        <item m="1" x="3737"/>
        <item m="1" x="2831"/>
        <item m="1" x="5355"/>
        <item m="1" x="6767"/>
        <item m="1" x="7950"/>
        <item m="1" x="4243"/>
        <item m="1" x="5386"/>
        <item m="1" x="4247"/>
        <item m="1" x="6484"/>
        <item m="1" x="7774"/>
        <item m="1" x="2676"/>
        <item m="1" x="5098"/>
        <item m="1" x="3299"/>
        <item m="1" x="5897"/>
        <item m="1" x="7063"/>
        <item m="1" x="5368"/>
        <item m="1" x="7350"/>
        <item m="1" x="3218"/>
        <item m="1" x="6774"/>
        <item m="1" x="6345"/>
        <item m="1" x="5980"/>
        <item m="1" x="7124"/>
        <item m="1" x="4982"/>
        <item m="1" x="4230"/>
        <item m="1" x="4381"/>
        <item m="1" x="3835"/>
        <item m="1" x="2635"/>
        <item m="1" x="3062"/>
        <item m="1" x="5972"/>
        <item m="1" x="7718"/>
        <item m="1" x="7819"/>
        <item m="1" x="2807"/>
        <item m="1" x="4467"/>
        <item m="1" x="6683"/>
        <item m="1" x="5198"/>
        <item m="1" x="7102"/>
        <item m="1" x="4511"/>
        <item m="1" x="4691"/>
        <item m="1" x="6963"/>
        <item m="1" x="3015"/>
        <item m="1" x="4180"/>
        <item m="1" x="5460"/>
        <item m="1" x="3443"/>
        <item m="1" x="4332"/>
        <item m="1" x="5789"/>
        <item m="1" x="7370"/>
        <item m="1" x="5801"/>
        <item m="1" x="3114"/>
        <item m="1" x="5718"/>
        <item m="1" x="5082"/>
        <item m="1" x="2879"/>
        <item m="1" x="3722"/>
        <item m="1" x="3814"/>
        <item m="1" x="3354"/>
        <item m="1" x="5795"/>
        <item m="1" x="7875"/>
        <item m="1" x="6905"/>
        <item m="1" x="4430"/>
        <item m="1" x="6607"/>
        <item m="1" x="4397"/>
        <item m="1" x="6103"/>
        <item m="1" x="2603"/>
        <item m="1" x="7071"/>
        <item m="1" x="6732"/>
        <item m="1" x="4586"/>
        <item m="1" x="7485"/>
        <item m="1" x="6056"/>
        <item m="1" x="4978"/>
        <item m="1" x="7342"/>
        <item m="1" x="2764"/>
        <item m="1" x="6857"/>
        <item m="1" x="7782"/>
        <item m="1" x="5190"/>
        <item m="1" x="5891"/>
        <item m="1" x="7422"/>
        <item m="1" x="3731"/>
        <item m="1" x="5144"/>
        <item m="1" x="7608"/>
        <item m="1" x="2910"/>
        <item m="1" x="4714"/>
        <item m="1" x="6198"/>
        <item m="1" x="4288"/>
        <item m="1" x="5339"/>
        <item m="1" x="2639"/>
        <item m="1" x="4405"/>
        <item m="1" x="2688"/>
        <item m="1" x="6311"/>
        <item m="1" x="2820"/>
        <item m="1" x="3232"/>
        <item m="1" x="4178"/>
        <item m="1" x="7917"/>
        <item m="1" x="2959"/>
        <item m="1" x="6270"/>
        <item m="1" x="4928"/>
        <item m="1" x="3876"/>
        <item m="1" x="3027"/>
        <item m="1" x="4361"/>
        <item m="1" x="5391"/>
        <item m="1" x="3348"/>
        <item m="1" x="2816"/>
        <item m="1" x="6853"/>
        <item m="1" x="4297"/>
        <item m="1" x="4566"/>
        <item m="1" x="7294"/>
        <item m="1" x="2522"/>
        <item m="1" x="3399"/>
        <item m="1" x="5350"/>
        <item m="1" x="6358"/>
        <item m="1" x="7006"/>
        <item m="1" x="4718"/>
        <item m="1" x="4103"/>
        <item m="1" x="5804"/>
        <item m="1" x="3025"/>
        <item m="1" x="6839"/>
        <item m="1" x="5577"/>
        <item m="1" x="7730"/>
        <item m="1" x="2752"/>
        <item m="1" x="2744"/>
        <item m="1" x="7701"/>
        <item m="1" x="7311"/>
        <item m="1" x="7592"/>
        <item m="1" x="4719"/>
        <item m="1" x="6608"/>
        <item m="1" x="6392"/>
        <item m="1" x="5245"/>
        <item m="1" x="5152"/>
        <item m="1" x="2843"/>
        <item m="1" x="2664"/>
        <item m="1" x="2822"/>
        <item m="1" x="3501"/>
        <item m="1" x="3508"/>
        <item m="1" x="7420"/>
        <item m="1" x="5878"/>
        <item m="1" x="6046"/>
        <item m="1" x="6710"/>
        <item m="1" x="7156"/>
        <item m="1" x="3706"/>
        <item m="1" x="6728"/>
        <item m="1" x="5538"/>
        <item m="1" x="5539"/>
        <item m="1" x="5540"/>
        <item m="1" x="5541"/>
        <item m="1" x="5542"/>
        <item m="1" x="6394"/>
        <item m="1" x="3649"/>
        <item m="1" x="3214"/>
        <item m="1" x="6215"/>
        <item m="1" x="3663"/>
        <item m="1" x="2617"/>
        <item m="1" x="2529"/>
        <item m="1" x="5976"/>
        <item m="1" x="3904"/>
        <item m="1" x="6748"/>
        <item m="1" x="3126"/>
        <item m="1" x="6931"/>
        <item m="1" x="7626"/>
        <item m="1" x="4337"/>
        <item m="1" x="3540"/>
        <item m="1" x="6162"/>
        <item m="1" x="5191"/>
        <item m="1" x="5275"/>
        <item m="1" x="4977"/>
        <item m="1" x="6281"/>
        <item m="1" x="2855"/>
        <item m="1" x="6203"/>
        <item m="1" x="7770"/>
        <item m="1" x="6077"/>
        <item m="1" x="4697"/>
        <item m="1" x="7645"/>
        <item m="1" x="6991"/>
        <item m="1" x="7257"/>
        <item m="1" x="3666"/>
        <item m="1" x="2683"/>
        <item m="1" x="7129"/>
        <item m="1" x="6390"/>
        <item m="1" x="4814"/>
        <item m="1" x="6810"/>
        <item m="1" x="7089"/>
        <item m="1" x="4148"/>
        <item m="1" x="2697"/>
        <item m="1" x="6155"/>
        <item m="1" x="6514"/>
        <item m="1" x="5356"/>
        <item m="1" x="4270"/>
        <item m="1" x="3105"/>
        <item m="1" x="2796"/>
        <item m="1" x="3211"/>
        <item m="1" x="3495"/>
        <item m="1" x="6604"/>
        <item m="1" x="3343"/>
        <item m="1" x="6681"/>
        <item m="1" x="2723"/>
        <item m="1" x="3887"/>
        <item m="1" x="3795"/>
        <item m="1" x="6179"/>
        <item m="1" x="3672"/>
        <item m="1" x="5903"/>
        <item m="1" x="3799"/>
        <item m="1" x="2920"/>
        <item m="1" x="3268"/>
        <item m="1" x="5206"/>
        <item m="1" x="5214"/>
        <item m="1" x="5241"/>
        <item m="1" x="4920"/>
        <item m="1" x="2974"/>
        <item m="1" x="4715"/>
        <item m="1" x="4724"/>
        <item m="1" x="4114"/>
        <item m="1" x="4123"/>
        <item m="1" x="2784"/>
        <item m="1" x="7010"/>
        <item m="1" x="5841"/>
        <item m="1" x="3066"/>
        <item m="1" x="5770"/>
        <item m="1" x="5776"/>
        <item m="1" x="5758"/>
        <item m="1" x="4817"/>
        <item m="1" x="3889"/>
        <item m="1" x="2907"/>
        <item m="1" x="5965"/>
        <item m="1" x="3028"/>
        <item m="1" x="2798"/>
        <item m="1" x="3373"/>
        <item m="1" x="4844"/>
        <item m="1" x="5722"/>
        <item m="1" x="6397"/>
        <item m="1" x="3447"/>
        <item m="1" x="3324"/>
        <item m="1" x="2585"/>
        <item m="1" x="2979"/>
        <item m="1" x="3730"/>
        <item m="1" x="6511"/>
        <item m="1" x="4362"/>
        <item m="1" x="4228"/>
        <item m="1" x="2636"/>
        <item m="1" x="7310"/>
        <item m="1" x="5148"/>
        <item m="1" x="5752"/>
        <item m="1" x="5733"/>
        <item m="1" x="7268"/>
        <item m="1" x="7591"/>
        <item m="1" x="7822"/>
        <item m="1" x="6258"/>
        <item m="1" x="6040"/>
        <item m="1" x="3473"/>
        <item m="1" x="3305"/>
        <item m="1" x="4192"/>
        <item m="1" x="3123"/>
        <item m="1" x="3148"/>
        <item m="1" x="3165"/>
        <item m="1" x="5029"/>
        <item m="1" x="5064"/>
        <item m="1" x="5086"/>
        <item m="1" x="5107"/>
        <item m="1" x="5124"/>
        <item m="1" x="3959"/>
        <item m="1" x="3982"/>
        <item m="1" x="3994"/>
        <item m="1" x="4016"/>
        <item m="1" x="4026"/>
        <item m="1" x="2943"/>
        <item m="1" x="2960"/>
        <item m="1" x="2969"/>
        <item m="1" x="7957"/>
        <item m="1" x="7971"/>
        <item m="1" x="3436"/>
        <item m="1" x="4963"/>
        <item m="1" x="5067"/>
        <item m="1" x="6439"/>
        <item m="1" x="6442"/>
        <item m="1" x="5415"/>
        <item m="1" x="3906"/>
        <item m="1" x="3995"/>
        <item m="1" x="7033"/>
        <item m="1" x="5426"/>
        <item m="1" x="5292"/>
        <item m="1" x="5825"/>
        <item m="1" x="7838"/>
        <item m="1" x="3336"/>
        <item m="1" x="3626"/>
        <item m="1" x="5729"/>
        <item m="1" x="7458"/>
        <item m="1" x="7841"/>
        <item m="1" x="2995"/>
        <item m="1" x="6075"/>
        <item m="1" x="5308"/>
        <item m="1" x="6792"/>
        <item m="1" x="4790"/>
        <item m="1" x="6034"/>
        <item m="1" x="3873"/>
        <item m="1" x="6932"/>
        <item m="1" x="3316"/>
        <item m="1" x="7114"/>
        <item m="1" x="7305"/>
        <item m="1" x="3461"/>
        <item m="1" x="7130"/>
        <item m="1" x="2887"/>
        <item m="1" x="2978"/>
        <item m="1" x="6852"/>
        <item m="1" x="6941"/>
        <item m="1" x="4240"/>
        <item m="1" x="6918"/>
        <item m="1" x="4740"/>
        <item m="1" x="3152"/>
        <item m="1" x="2588"/>
        <item m="1" x="5499"/>
        <item m="1" x="6609"/>
        <item m="1" x="7395"/>
        <item m="1" x="3760"/>
        <item m="1" x="5639"/>
        <item m="1" x="3016"/>
        <item m="1" x="3805"/>
        <item m="1" x="6637"/>
        <item m="1" x="7445"/>
        <item m="1" x="4260"/>
        <item m="1" x="3621"/>
        <item m="1" x="6811"/>
        <item m="1" x="5767"/>
        <item m="1" x="7696"/>
        <item m="1" x="5205"/>
        <item m="1" x="4769"/>
        <item m="1" x="7960"/>
        <item m="1" x="7500"/>
        <item m="1" x="5263"/>
        <item m="1" x="7140"/>
        <item m="1" x="4030"/>
        <item m="1" x="7927"/>
        <item m="1" x="3342"/>
        <item m="1" x="6324"/>
        <item m="1" x="3331"/>
        <item m="1" x="3134"/>
        <item m="1" x="5812"/>
        <item m="1" x="6887"/>
        <item m="1" x="5387"/>
        <item m="1" x="2916"/>
        <item m="1" x="6012"/>
        <item m="1" x="5378"/>
        <item m="1" x="3746"/>
        <item m="1" x="5772"/>
        <item m="1" x="6614"/>
        <item m="1" x="7390"/>
        <item m="1" x="6793"/>
        <item m="1" x="7647"/>
        <item m="1" x="3780"/>
        <item m="1" x="3947"/>
        <item m="1" x="5172"/>
        <item m="1" x="2620"/>
        <item m="1" x="7481"/>
        <item m="1" x="2766"/>
        <item m="1" x="5985"/>
        <item m="1" x="6616"/>
        <item m="1" x="5738"/>
        <item m="1" x="2690"/>
        <item m="1" x="4438"/>
        <item m="1" x="7042"/>
        <item m="1" x="6721"/>
        <item m="1" x="4199"/>
        <item m="1" x="3280"/>
        <item m="1" x="4698"/>
        <item m="1" x="5255"/>
        <item m="1" x="3222"/>
        <item m="1" x="3604"/>
        <item m="1" x="2787"/>
        <item m="1" x="4336"/>
        <item m="1" x="4078"/>
        <item m="1" x="7896"/>
        <item m="1" x="6569"/>
        <item m="1" x="2549"/>
        <item m="1" x="6279"/>
        <item m="1" x="5256"/>
        <item m="1" x="3804"/>
        <item m="1" x="6027"/>
        <item m="1" x="3619"/>
        <item m="1" x="7433"/>
        <item m="1" x="7737"/>
        <item m="1" x="5561"/>
        <item m="1" x="4483"/>
        <item m="1" x="6469"/>
        <item m="1" x="5877"/>
        <item m="1" x="3566"/>
        <item m="1" x="7439"/>
        <item m="1" x="5161"/>
        <item m="1" x="7864"/>
        <item m="1" x="4364"/>
        <item m="1" x="5860"/>
        <item m="1" x="4365"/>
        <item m="1" x="4366"/>
        <item m="1" x="6050"/>
        <item m="1" x="4353"/>
        <item m="1" x="3146"/>
        <item m="1" x="5303"/>
        <item m="1" x="5596"/>
        <item m="1" x="3113"/>
        <item m="1" x="7150"/>
        <item m="1" x="5792"/>
        <item m="1" x="7142"/>
        <item m="1" x="4712"/>
        <item m="1" x="5882"/>
        <item m="1" x="6100"/>
        <item m="1" x="3750"/>
        <item m="1" x="5885"/>
        <item m="1" x="6366"/>
        <item m="1" x="7868"/>
        <item m="1" x="4722"/>
        <item m="1" x="5416"/>
        <item m="1" x="6454"/>
        <item m="1" x="4089"/>
        <item m="1" x="4316"/>
        <item m="1" x="4108"/>
        <item m="1" x="2956"/>
        <item m="1" x="4720"/>
        <item m="1" x="4208"/>
        <item m="1" x="7016"/>
        <item m="1" x="3263"/>
        <item m="1" x="6580"/>
        <item m="1" x="6819"/>
        <item m="1" x="3298"/>
        <item m="1" x="3695"/>
        <item m="1" x="6477"/>
        <item m="1" x="4738"/>
        <item m="1" x="4680"/>
        <item m="1" x="2800"/>
        <item m="1" x="4550"/>
        <item m="1" x="7212"/>
        <item m="1" x="4945"/>
        <item m="1" x="5420"/>
        <item m="1" x="7248"/>
        <item m="1" x="4161"/>
        <item m="1" x="4384"/>
        <item m="1" x="7320"/>
        <item m="1" x="7690"/>
        <item m="1" x="7367"/>
        <item m="1" x="2994"/>
        <item m="1" x="4595"/>
        <item m="1" x="4908"/>
        <item m="1" x="4662"/>
        <item m="1" x="2912"/>
        <item m="1" x="7609"/>
        <item m="1" x="7277"/>
        <item m="1" x="7904"/>
        <item m="1" x="7240"/>
        <item m="1" x="5784"/>
        <item m="1" x="6030"/>
        <item m="1" x="5944"/>
        <item m="1" x="7624"/>
        <item m="1" x="2556"/>
        <item m="1" x="3039"/>
        <item m="1" x="5465"/>
        <item m="1" x="7027"/>
        <item m="1" x="3450"/>
        <item m="1" x="4399"/>
        <item m="1" x="3274"/>
        <item m="1" x="4627"/>
        <item m="1" x="4418"/>
        <item m="1" x="6241"/>
        <item m="1" x="7839"/>
        <item m="1" x="4703"/>
        <item m="1" x="4268"/>
        <item m="1" x="5305"/>
        <item m="1" x="6611"/>
        <item m="1" x="6475"/>
        <item m="1" x="4642"/>
        <item m="1" x="5369"/>
        <item m="1" x="5510"/>
        <item m="1" x="5025"/>
        <item m="1" x="3187"/>
        <item m="1" x="5831"/>
        <item m="1" x="7938"/>
        <item m="1" x="4299"/>
        <item m="1" x="6626"/>
        <item m="1" x="3034"/>
        <item m="1" x="3965"/>
        <item m="1" x="3140"/>
        <item m="1" x="7618"/>
        <item m="1" x="5982"/>
        <item m="1" x="3710"/>
        <item m="1" x="6307"/>
        <item m="1" x="3866"/>
        <item m="1" x="7202"/>
        <item m="1" x="5283"/>
        <item m="1" x="7001"/>
        <item m="1" x="7743"/>
        <item m="1" x="4168"/>
        <item m="1" x="3678"/>
        <item m="1" x="7809"/>
        <item m="1" x="7818"/>
        <item m="1" x="4189"/>
        <item m="1" x="7401"/>
        <item m="1" x="3204"/>
        <item m="1" x="6655"/>
        <item m="1" x="2640"/>
        <item m="1" x="7222"/>
        <item m="1" x="4581"/>
        <item m="1" x="4341"/>
        <item m="1" x="5193"/>
        <item m="1" x="7570"/>
        <item m="1" x="7797"/>
        <item m="1" x="4952"/>
        <item m="1" x="5765"/>
        <item m="1" x="6334"/>
        <item m="1" x="4855"/>
        <item m="1" x="6532"/>
        <item m="1" x="5505"/>
        <item m="1" x="7639"/>
        <item m="1" x="3079"/>
        <item m="1" x="7612"/>
        <item m="1" x="4668"/>
        <item m="1" x="7434"/>
        <item m="1" x="6845"/>
        <item m="1" x="3425"/>
        <item m="1" x="5230"/>
        <item m="1" x="6021"/>
        <item m="1" x="7494"/>
        <item m="1" x="5209"/>
        <item m="1" x="5555"/>
        <item m="1" x="5861"/>
        <item m="1" x="5165"/>
        <item m="1" x="3370"/>
        <item m="1" x="4160"/>
        <item m="1" x="4760"/>
        <item m="1" x="4273"/>
        <item m="1" x="5840"/>
        <item m="1" x="5964"/>
        <item m="1" x="2883"/>
        <item m="1" x="4643"/>
        <item m="1" x="3578"/>
        <item m="1" x="3261"/>
        <item m="1" x="6125"/>
        <item m="1" x="5143"/>
        <item m="1" x="7344"/>
        <item m="1" x="7699"/>
        <item m="1" x="6347"/>
        <item m="1" x="4613"/>
        <item m="1" x="5160"/>
        <item m="1" x="5221"/>
        <item m="1" x="4249"/>
        <item m="1" x="3349"/>
        <item m="1" x="3250"/>
        <item m="1" x="3018"/>
        <item m="1" x="7767"/>
        <item m="1" x="5018"/>
        <item m="1" x="2911"/>
        <item m="1" x="5560"/>
        <item m="1" x="5180"/>
        <item m="1" x="6735"/>
        <item m="1" x="3812"/>
        <item m="1" x="5591"/>
        <item m="1" x="7935"/>
        <item m="1" x="4631"/>
        <item m="1" x="7316"/>
        <item m="1" x="3778"/>
        <item m="1" x="6658"/>
        <item m="1" x="6054"/>
        <item m="1" x="4739"/>
        <item m="1" x="2955"/>
        <item m="1" x="2560"/>
        <item m="1" x="6870"/>
        <item m="1" x="7812"/>
        <item m="1" x="4109"/>
        <item m="1" x="3466"/>
        <item m="1" x="6996"/>
        <item m="1" x="7219"/>
        <item m="1" x="4735"/>
        <item m="1" x="3467"/>
        <item m="1" x="4242"/>
        <item m="1" x="5898"/>
        <item m="1" x="4069"/>
        <item m="1" x="6922"/>
        <item m="1" x="7810"/>
        <item m="1" x="5314"/>
        <item x="17"/>
        <item x="3"/>
        <item x="18"/>
        <item m="1" x="2762"/>
        <item m="1" x="6627"/>
        <item m="1" x="5851"/>
        <item m="1" x="2891"/>
        <item m="1" x="4119"/>
        <item m="1" x="3188"/>
        <item m="1" x="3589"/>
        <item m="1" x="4263"/>
        <item m="1" x="2806"/>
        <item m="1" x="4096"/>
        <item m="1" x="2814"/>
        <item m="1" x="4726"/>
        <item m="1" x="2671"/>
        <item m="1" x="4900"/>
        <item m="1" x="7686"/>
        <item m="1" x="4914"/>
        <item m="1" x="6383"/>
        <item m="1" x="4918"/>
        <item m="1" x="4921"/>
        <item m="1" x="2817"/>
        <item m="1" x="6047"/>
        <item m="1" x="7104"/>
        <item m="1" x="3497"/>
        <item m="1" x="3796"/>
        <item m="1" x="7733"/>
        <item m="1" x="7207"/>
        <item m="1" x="6954"/>
        <item m="1" x="4596"/>
        <item m="1" x="3615"/>
        <item m="1" x="3030"/>
        <item m="1" x="3387"/>
        <item m="1" x="6610"/>
        <item m="1" x="5213"/>
        <item m="1" x="2878"/>
        <item m="1" x="2716"/>
        <item m="1" x="4863"/>
        <item m="1" x="6064"/>
        <item m="1" x="3590"/>
        <item m="1" x="5117"/>
        <item m="1" x="4976"/>
        <item m="1" x="3880"/>
        <item m="1" x="4835"/>
        <item m="1" x="3264"/>
        <item m="1" x="3764"/>
        <item m="1" x="4700"/>
        <item x="2"/>
        <item m="1" x="7274"/>
        <item m="1" x="4342"/>
        <item m="1" x="2739"/>
        <item m="1" x="5807"/>
        <item m="1" x="2777"/>
        <item m="1" x="2753"/>
        <item m="1" x="4717"/>
        <item m="1" x="6300"/>
        <item m="1" x="3335"/>
        <item m="1" x="7724"/>
        <item m="1" x="2532"/>
        <item m="1" x="5379"/>
        <item m="1" x="4630"/>
        <item m="1" x="4058"/>
        <item m="1" x="3252"/>
        <item m="1" x="3225"/>
        <item m="1" x="4671"/>
        <item m="1" x="4421"/>
        <item m="1" x="6097"/>
        <item m="1" x="5473"/>
        <item m="1" x="7125"/>
        <item m="1" x="7194"/>
        <item m="1" x="4654"/>
        <item m="1" x="3368"/>
        <item m="1" x="4841"/>
        <item m="1" x="6583"/>
        <item m="1" x="4113"/>
        <item m="1" x="3477"/>
        <item m="1" x="3620"/>
        <item m="1" x="3526"/>
        <item m="1" x="2742"/>
        <item m="1" x="3645"/>
        <item m="1" x="3224"/>
        <item m="1" x="7269"/>
        <item m="1" x="7076"/>
        <item m="1" x="4269"/>
        <item m="1" x="7382"/>
        <item m="1" x="7902"/>
        <item m="1" x="5696"/>
        <item m="1" x="5587"/>
        <item m="1" x="5862"/>
        <item m="1" x="3800"/>
        <item m="1" x="7017"/>
        <item m="1" x="7757"/>
        <item m="1" x="7884"/>
        <item m="1" x="7615"/>
        <item m="1" x="3022"/>
        <item m="1" x="3755"/>
        <item m="1" x="5078"/>
        <item m="1" x="2802"/>
        <item m="1" x="3482"/>
        <item m="1" x="7834"/>
        <item m="1" x="3262"/>
        <item m="1" x="4348"/>
        <item m="1" x="4468"/>
        <item m="1" x="3103"/>
        <item m="1" x="3692"/>
        <item m="1" x="2825"/>
        <item m="1" x="4635"/>
        <item m="1" x="7204"/>
        <item m="1" x="5779"/>
        <item m="1" x="7687"/>
        <item m="1" x="7467"/>
        <item m="1" x="7983"/>
        <item m="1" x="2562"/>
        <item m="1" x="6823"/>
        <item m="1" x="6643"/>
        <item m="1" x="6985"/>
        <item m="1" x="3311"/>
        <item m="1" x="7004"/>
        <item m="1" x="7791"/>
        <item m="1" x="7315"/>
        <item m="1" x="5468"/>
        <item m="1" x="7123"/>
        <item m="1" x="3797"/>
        <item m="1" x="7507"/>
        <item m="1" x="5097"/>
        <item m="1" x="6833"/>
        <item m="1" x="2538"/>
        <item m="1" x="3949"/>
        <item m="1" x="5060"/>
        <item m="1" x="4472"/>
        <item m="1" x="6357"/>
        <item m="1" x="4095"/>
        <item m="1" x="5940"/>
        <item m="1" x="6063"/>
        <item m="1" x="6581"/>
        <item m="1" x="2813"/>
        <item m="1" x="7173"/>
        <item m="1" x="3485"/>
        <item m="1" x="5400"/>
        <item m="1" x="4432"/>
        <item m="1" x="6177"/>
        <item m="1" x="5414"/>
        <item m="1" x="4919"/>
        <item m="1" x="3671"/>
        <item m="1" x="3503"/>
        <item m="1" x="5115"/>
        <item m="1" x="7501"/>
        <item m="1" x="6222"/>
        <item m="1" x="7425"/>
        <item m="1" x="7106"/>
        <item m="1" x="7349"/>
        <item m="1" x="7369"/>
        <item m="1" x="4567"/>
        <item m="1" x="7901"/>
        <item m="1" x="2717"/>
        <item m="1" x="3868"/>
        <item m="1" x="7052"/>
        <item m="1" x="6704"/>
        <item m="1" x="3272"/>
        <item m="1" x="3972"/>
        <item m="1" x="7516"/>
        <item m="1" x="4227"/>
        <item m="1" x="7358"/>
        <item m="1" x="7399"/>
        <item m="1" x="7418"/>
        <item m="1" x="6330"/>
        <item m="1" x="4250"/>
        <item m="1" x="6129"/>
        <item m="1" x="3459"/>
        <item m="1" x="3339"/>
        <item m="1" x="4201"/>
        <item m="1" x="3201"/>
        <item m="1" x="3973"/>
        <item m="1" x="2997"/>
        <item m="1" x="7230"/>
        <item m="1" x="6365"/>
        <item m="1" x="6605"/>
        <item m="1" x="2862"/>
        <item m="1" x="2890"/>
        <item m="1" x="3509"/>
        <item m="1" x="5747"/>
        <item m="1" x="5723"/>
        <item m="1" x="5004"/>
        <item m="1" x="6048"/>
        <item m="1" x="6059"/>
        <item m="1" x="6071"/>
        <item m="1" x="6101"/>
        <item m="1" x="6111"/>
        <item m="1" x="4897"/>
        <item m="1" x="4917"/>
        <item m="1" x="5447"/>
        <item m="1" x="3702"/>
        <item m="1" x="4953"/>
        <item m="1" x="6008"/>
        <item m="1" x="2867"/>
        <item m="1" x="2971"/>
        <item m="1" x="4781"/>
        <item m="1" x="3568"/>
        <item m="1" x="6927"/>
        <item m="1" x="2835"/>
        <item m="1" x="4275"/>
        <item m="1" x="4968"/>
        <item m="1" x="5778"/>
        <item m="1" x="4723"/>
        <item m="1" x="3258"/>
        <item m="1" x="3958"/>
        <item m="1" x="2760"/>
        <item m="1" x="5028"/>
        <item m="1" x="4562"/>
        <item m="1" x="3732"/>
        <item m="1" x="3315"/>
        <item m="1" x="5751"/>
        <item m="1" x="2734"/>
        <item m="1" x="3418"/>
        <item m="1" x="4346"/>
        <item m="1" x="6200"/>
        <item m="1" x="4531"/>
        <item m="1" x="5005"/>
        <item m="1" x="5168"/>
        <item m="1" x="5845"/>
        <item m="1" x="5866"/>
        <item m="1" x="2747"/>
        <item m="1" x="4846"/>
        <item m="1" x="3535"/>
        <item m="1" x="5500"/>
        <item m="1" x="3847"/>
        <item m="1" x="3784"/>
        <item m="1" x="7758"/>
        <item m="1" x="5715"/>
        <item m="1" x="6534"/>
        <item m="1" x="6851"/>
        <item m="1" x="2942"/>
        <item m="1" x="2811"/>
        <item m="1" x="5852"/>
        <item m="1" x="3657"/>
        <item m="1" x="7386"/>
        <item m="1" x="5290"/>
        <item m="1" x="3426"/>
        <item m="1" x="7625"/>
        <item m="1" x="7273"/>
        <item m="1" x="4097"/>
        <item m="1" x="2614"/>
        <item m="1" x="6770"/>
        <item m="1" x="7176"/>
        <item m="1" x="6694"/>
        <item m="1" x="3356"/>
        <item m="1" x="2827"/>
        <item m="1" x="2713"/>
        <item m="1" x="3081"/>
        <item m="1" x="6098"/>
        <item m="1" x="2950"/>
        <item m="1" x="3089"/>
        <item m="1" x="3394"/>
        <item m="1" x="7800"/>
        <item m="1" x="7304"/>
        <item m="1" x="4124"/>
        <item m="1" x="6329"/>
        <item m="1" x="5079"/>
        <item m="1" x="3406"/>
        <item m="1" x="3085"/>
        <item m="1" x="3840"/>
        <item m="1" x="4295"/>
        <item m="1" x="7235"/>
        <item m="1" x="3923"/>
        <item m="1" x="7994"/>
        <item m="1" x="7599"/>
        <item m="1" x="3184"/>
        <item m="1" x="2782"/>
        <item m="1" x="7454"/>
        <item m="1" x="4669"/>
        <item m="1" x="5923"/>
        <item m="1" x="5830"/>
        <item m="1" x="2656"/>
        <item m="1" x="2660"/>
        <item m="1" x="7708"/>
        <item m="1" x="2944"/>
        <item m="1" x="5527"/>
        <item m="1" x="4237"/>
        <item m="1" x="5676"/>
        <item m="1" x="3405"/>
        <item m="1" x="6360"/>
        <item m="1" x="4338"/>
        <item m="1" x="7821"/>
        <item m="1" x="6159"/>
        <item m="1" x="2991"/>
        <item m="1" x="6176"/>
        <item m="1" x="2999"/>
        <item m="1" x="4944"/>
        <item m="1" x="6151"/>
        <item m="1" x="4042"/>
        <item m="1" x="7327"/>
        <item m="1" x="2871"/>
        <item m="1" x="4408"/>
        <item m="1" x="2729"/>
        <item m="1" x="2541"/>
        <item m="1" x="3838"/>
        <item m="1" x="2696"/>
        <item m="1" x="3219"/>
        <item m="1" x="7807"/>
        <item m="1" x="7413"/>
        <item m="1" x="3733"/>
        <item m="1" x="7095"/>
        <item m="1" x="4679"/>
        <item m="1" x="7586"/>
        <item m="1" x="5155"/>
        <item m="1" x="5001"/>
        <item m="1" x="3592"/>
        <item m="1" x="3237"/>
        <item m="1" x="3669"/>
        <item m="1" x="2709"/>
        <item m="1" x="4970"/>
        <item m="1" x="7245"/>
        <item m="1" x="7752"/>
        <item m="1" x="3492"/>
        <item m="1" x="4054"/>
        <item m="1" x="3320"/>
        <item m="1" x="6381"/>
        <item m="1" x="3654"/>
        <item m="1" x="5020"/>
        <item m="1" x="3158"/>
        <item m="1" x="5802"/>
        <item m="1" x="2728"/>
        <item m="1" x="4658"/>
        <item m="1" x="2925"/>
        <item m="1" x="4300"/>
        <item m="1" x="4594"/>
        <item m="1" x="5450"/>
        <item m="1" x="7804"/>
        <item m="1" x="3242"/>
        <item m="1" x="3223"/>
        <item m="1" x="5578"/>
        <item m="1" x="3915"/>
        <item m="1" x="4464"/>
        <item m="1" x="4154"/>
        <item m="1" x="7270"/>
        <item m="1" x="4007"/>
        <item m="1" x="4025"/>
        <item m="1" x="7164"/>
        <item m="1" x="3680"/>
        <item m="1" x="3658"/>
        <item m="1" x="4431"/>
        <item m="1" x="4196"/>
        <item m="1" x="3221"/>
        <item m="1" x="3853"/>
        <item m="1" x="2877"/>
        <item m="1" x="4111"/>
        <item m="1" x="4236"/>
        <item m="1" x="5340"/>
        <item m="1" x="7379"/>
        <item m="1" x="4577"/>
        <item m="1" x="2594"/>
        <item m="1" x="4774"/>
        <item m="1" x="3417"/>
        <item m="1" x="6172"/>
        <item m="1" x="4608"/>
        <item m="1" x="7998"/>
        <item m="1" x="5824"/>
        <item m="1" x="5909"/>
        <item m="1" x="5979"/>
        <item m="1" x="4499"/>
        <item m="1" x="6936"/>
        <item m="1" x="7965"/>
        <item m="1" x="7362"/>
        <item m="1" x="3522"/>
        <item m="1" x="5176"/>
        <item m="1" x="7088"/>
        <item m="1" x="2546"/>
        <item m="1" x="7363"/>
        <item m="1" x="4046"/>
        <item m="1" x="6278"/>
        <item m="1" x="5139"/>
        <item m="1" x="7871"/>
        <item m="1" x="6135"/>
        <item m="1" x="7911"/>
        <item m="1" x="7940"/>
        <item m="1" x="6994"/>
        <item m="1" x="3983"/>
        <item m="1" x="4734"/>
        <item m="1" x="5641"/>
        <item m="1" x="4428"/>
        <item m="1" x="4999"/>
        <item m="1" x="3032"/>
        <item m="1" x="4019"/>
        <item m="1" x="4087"/>
        <item m="1" x="4605"/>
        <item m="1" x="6822"/>
        <item m="1" x="6039"/>
        <item m="1" x="5890"/>
        <item m="1" x="6812"/>
        <item m="1" x="5065"/>
        <item m="1" x="5296"/>
        <item m="1" x="3166"/>
        <item m="1" x="6113"/>
        <item m="1" x="4427"/>
        <item m="1" x="4607"/>
        <item m="1" x="3705"/>
        <item m="1" x="6422"/>
        <item m="1" x="4705"/>
        <item m="1" x="5994"/>
        <item m="1" x="5099"/>
        <item m="1" x="3470"/>
        <item m="1" x="5655"/>
        <item m="1" x="2860"/>
        <item m="1" x="7286"/>
        <item m="1" x="7314"/>
        <item m="1" x="2914"/>
        <item m="1" x="5741"/>
        <item m="1" x="5742"/>
        <item m="1" x="6230"/>
        <item m="1" x="7287"/>
        <item m="1" x="6308"/>
        <item m="1" x="4525"/>
        <item m="1" x="6399"/>
        <item m="1" x="2602"/>
        <item m="1" x="2624"/>
        <item m="1" x="7132"/>
        <item m="1" x="5558"/>
        <item m="1" x="3782"/>
        <item m="1" x="4282"/>
        <item m="1" x="4838"/>
        <item m="1" x="5467"/>
        <item m="1" x="6080"/>
        <item m="1" x="7120"/>
        <item m="1" x="2712"/>
        <item m="1" x="4284"/>
        <item m="1" x="7637"/>
        <item m="1" x="4159"/>
        <item m="1" x="6778"/>
        <item m="1" x="5828"/>
        <item m="1" x="4649"/>
        <item m="1" x="3182"/>
        <item m="1" x="4372"/>
        <item m="1" x="7147"/>
        <item m="1" x="5781"/>
        <item m="1" x="3454"/>
        <item m="1" x="5307"/>
        <item m="1" x="3029"/>
        <item m="1" x="6273"/>
        <item m="1" x="4272"/>
        <item m="1" x="2626"/>
        <item m="1" x="5952"/>
        <item m="1" x="3844"/>
        <item m="1" x="6165"/>
        <item m="1" x="6929"/>
        <item m="1" x="6393"/>
        <item m="1" x="5817"/>
        <item m="1" x="5272"/>
        <item m="1" x="4657"/>
        <item m="1" x="6515"/>
        <item m="1" x="5382"/>
        <item m="1" x="4496"/>
        <item m="1" x="6900"/>
        <item m="1" x="7560"/>
        <item m="1" x="6011"/>
        <item m="1" x="3061"/>
        <item m="1" x="7192"/>
        <item m="1" x="6428"/>
        <item m="1" x="3530"/>
        <item m="1" x="5171"/>
        <item m="1" x="3465"/>
        <item m="1" x="6670"/>
        <item m="1" x="3404"/>
        <item m="1" x="3931"/>
        <item m="1" x="3212"/>
        <item m="1" x="7779"/>
        <item m="1" x="3341"/>
        <item m="1" x="2718"/>
        <item m="1" x="5203"/>
        <item m="1" x="7794"/>
        <item m="1" x="3385"/>
        <item m="1" x="7539"/>
        <item m="1" x="5075"/>
        <item m="1" x="5175"/>
        <item m="1" x="7685"/>
        <item m="1" x="6499"/>
        <item m="1" x="2687"/>
        <item m="1" x="5306"/>
        <item m="1" x="4182"/>
        <item m="1" x="5750"/>
        <item m="1" x="5787"/>
        <item m="1" x="4131"/>
        <item m="1" x="2693"/>
        <item m="1" x="7862"/>
        <item m="1" x="2803"/>
        <item m="1" x="6147"/>
        <item m="1" x="6154"/>
        <item m="1" x="3151"/>
        <item m="1" x="3340"/>
        <item m="1" x="2524"/>
        <item m="1" x="3493"/>
        <item m="1" x="5933"/>
        <item m="1" x="5887"/>
        <item m="1" x="7510"/>
        <item m="1" x="5888"/>
        <item m="1" x="3699"/>
        <item m="1" x="6664"/>
        <item m="1" x="3862"/>
        <item m="1" x="7117"/>
        <item m="1" x="4593"/>
        <item m="1" x="7146"/>
        <item m="1" x="3629"/>
        <item m="1" x="7491"/>
        <item m="1" x="3072"/>
        <item m="1" x="4084"/>
        <item m="1" x="4258"/>
        <item m="1" x="7490"/>
        <item m="1" x="5318"/>
        <item m="1" x="6847"/>
        <item m="1" x="4702"/>
        <item m="1" x="7890"/>
        <item m="1" x="5372"/>
        <item m="1" x="5607"/>
        <item m="1" x="7261"/>
        <item m="1" x="5686"/>
        <item m="1" x="7131"/>
        <item m="1" x="5945"/>
        <item m="1" x="4570"/>
        <item m="1" x="6896"/>
        <item m="1" x="3961"/>
        <item m="1" x="6042"/>
        <item m="1" x="3528"/>
        <item m="1" x="6425"/>
        <item m="1" x="7302"/>
        <item m="1" x="3395"/>
        <item m="1" x="6508"/>
        <item m="1" x="7860"/>
        <item m="1" x="3588"/>
        <item m="1" x="3855"/>
        <item m="1" x="4771"/>
        <item m="1" x="7356"/>
        <item m="1" x="2833"/>
        <item m="1" x="3878"/>
        <item m="1" x="4125"/>
        <item m="1" x="3885"/>
        <item m="1" x="4415"/>
        <item m="1" x="7659"/>
        <item m="1" x="3507"/>
        <item m="1" x="4429"/>
        <item m="1" x="5790"/>
        <item m="1" x="2526"/>
        <item m="1" x="5118"/>
        <item m="1" x="6872"/>
        <item m="1" x="6114"/>
        <item m="1" x="2515"/>
        <item m="1" x="6025"/>
        <item m="1" x="6082"/>
        <item m="1" x="5827"/>
        <item m="1" x="5343"/>
        <item m="1" x="6459"/>
        <item m="1" x="5667"/>
        <item m="1" x="3004"/>
        <item m="1" x="5971"/>
        <item m="1" x="7168"/>
        <item m="1" x="2821"/>
        <item m="1" x="4133"/>
        <item m="1" x="5258"/>
        <item m="1" x="7536"/>
        <item m="1" x="4035"/>
        <item m="1" x="5612"/>
        <item m="1" x="6720"/>
        <item m="1" x="7530"/>
        <item m="1" x="7099"/>
        <item m="1" x="4329"/>
        <item m="1" x="5267"/>
        <item m="1" x="2758"/>
        <item m="1" x="2818"/>
        <item m="1" x="6733"/>
        <item m="1" x="5089"/>
        <item m="1" x="7964"/>
        <item m="1" x="5376"/>
        <item m="1" x="5201"/>
        <item m="1" x="3715"/>
        <item m="1" x="5529"/>
        <item m="1" x="4267"/>
        <item m="1" x="6465"/>
        <item m="1" x="7203"/>
        <item m="1" x="6235"/>
        <item m="1" x="5528"/>
        <item m="1" x="7271"/>
        <item m="1" x="4057"/>
        <item m="1" x="7062"/>
        <item m="1" x="5070"/>
        <item m="1" x="6818"/>
        <item m="1" x="6618"/>
        <item m="1" x="4552"/>
        <item m="1" x="4401"/>
        <item m="1" x="3207"/>
        <item m="1" x="4524"/>
        <item m="1" x="5954"/>
        <item m="1" x="4693"/>
        <item m="1" x="3334"/>
        <item m="1" x="2791"/>
        <item m="1" x="3905"/>
        <item m="1" x="7526"/>
        <item x="2511"/>
        <item x="0"/>
        <item x="1"/>
        <item x="4"/>
        <item x="5"/>
        <item x="6"/>
        <item x="7"/>
        <item x="8"/>
        <item x="9"/>
        <item x="10"/>
        <item x="11"/>
        <item x="12"/>
        <item x="13"/>
        <item x="14"/>
        <item x="15"/>
        <item x="16"/>
        <item x="19"/>
        <item x="20"/>
        <item x="21"/>
        <item x="28"/>
        <item x="29"/>
        <item m="1" x="4478"/>
        <item m="1" x="4248"/>
        <item x="36"/>
        <item x="37"/>
        <item x="38"/>
        <item x="39"/>
        <item x="40"/>
        <item x="41"/>
        <item x="42"/>
        <item x="43"/>
        <item x="44"/>
        <item x="45"/>
        <item x="46"/>
        <item x="47"/>
        <item x="48"/>
        <item x="49"/>
        <item x="50"/>
        <item x="51"/>
        <item x="52"/>
        <item x="53"/>
        <item x="54"/>
        <item x="55"/>
        <item x="56"/>
        <item x="57"/>
        <item x="58"/>
        <item x="59"/>
        <item x="60"/>
        <item x="61"/>
        <item x="62"/>
        <item m="1" x="3267"/>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m="1" x="4990"/>
        <item x="124"/>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m="1" x="2539"/>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m="1" x="4481"/>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98"/>
        <item x="681"/>
        <item x="699"/>
        <item x="682"/>
        <item x="700"/>
        <item x="683"/>
        <item x="701"/>
        <item x="684"/>
        <item x="702"/>
        <item x="685"/>
        <item x="703"/>
        <item x="686"/>
        <item x="704"/>
        <item x="687"/>
        <item x="705"/>
        <item x="688"/>
        <item x="706"/>
        <item x="689"/>
        <item x="707"/>
        <item x="690"/>
        <item x="708"/>
        <item x="691"/>
        <item x="709"/>
        <item x="692"/>
        <item x="710"/>
        <item x="693"/>
        <item x="711"/>
        <item x="694"/>
        <item x="712"/>
        <item x="695"/>
        <item x="713"/>
        <item x="696"/>
        <item x="714"/>
        <item x="697"/>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m="1" x="4563"/>
        <item x="766"/>
        <item x="767"/>
        <item x="768"/>
        <item x="769"/>
        <item x="770"/>
        <item x="771"/>
        <item x="772"/>
        <item x="773"/>
        <item x="774"/>
        <item x="775"/>
        <item x="787"/>
        <item x="788"/>
        <item x="789"/>
        <item x="790"/>
        <item x="791"/>
        <item x="792"/>
        <item x="793"/>
        <item x="794"/>
        <item x="795"/>
        <item x="796"/>
        <item x="797"/>
        <item x="798"/>
        <item x="799"/>
        <item x="800"/>
        <item m="1" x="6448"/>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m="1" x="3439"/>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735"/>
        <item m="1" x="2661"/>
        <item m="1" x="2702"/>
        <item m="1" x="2797"/>
        <item m="1" x="2963"/>
        <item m="1" x="3159"/>
        <item m="1" x="3168"/>
        <item m="1" x="3217"/>
        <item m="1" x="3288"/>
        <item m="1" x="3325"/>
        <item m="1" x="3727"/>
        <item m="1" x="3786"/>
        <item m="1" x="3859"/>
        <item m="1" x="3945"/>
        <item m="1" x="4033"/>
        <item m="1" x="4145"/>
        <item m="1" x="4257"/>
        <item m="1" x="4266"/>
        <item m="1" x="4285"/>
        <item m="1" x="4770"/>
        <item m="1" x="4873"/>
        <item m="1" x="5010"/>
        <item m="1" x="5030"/>
        <item m="1" x="5373"/>
        <item m="1" x="5385"/>
        <item m="1" x="5388"/>
        <item m="1" x="5603"/>
        <item m="1" x="5637"/>
        <item m="1" x="5732"/>
        <item m="1" x="5766"/>
        <item m="1" x="6146"/>
        <item m="1" x="6456"/>
        <item m="1" x="6753"/>
        <item m="1" x="6993"/>
        <item m="1" x="7005"/>
        <item m="1" x="7191"/>
        <item m="1" x="7223"/>
        <item m="1" x="7307"/>
        <item m="1" x="7633"/>
        <item m="1" x="7735"/>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m="1" x="7144"/>
        <item m="1" x="2689"/>
        <item m="1" x="7489"/>
        <item m="1" x="5879"/>
        <item m="1" x="5110"/>
        <item m="1" x="4440"/>
        <item m="1" x="5053"/>
        <item m="1" x="6250"/>
        <item m="1" x="3929"/>
        <item m="1" x="6088"/>
        <item m="1" x="7213"/>
        <item m="1" x="4825"/>
        <item m="1" x="7803"/>
        <item m="1" x="5566"/>
        <item x="1728"/>
        <item x="1729"/>
        <item x="1730"/>
        <item x="1731"/>
        <item x="1732"/>
        <item x="1733"/>
        <item x="1734"/>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m="1" x="4826"/>
        <item m="1" x="4223"/>
        <item x="1851"/>
        <item x="1852"/>
        <item x="1853"/>
        <item x="1854"/>
        <item x="1855"/>
        <item x="1849"/>
        <item x="1850"/>
        <item m="1" x="7435"/>
        <item m="1" x="7892"/>
        <item m="1" x="5565"/>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m="1" x="6631"/>
        <item m="1" x="2518"/>
        <item m="1" x="6451"/>
        <item x="1856"/>
        <item x="1857"/>
        <item x="1858"/>
        <item x="1859"/>
        <item x="1860"/>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25"/>
        <item m="1" x="5691"/>
        <item x="2027"/>
        <item x="2028"/>
        <item x="2032"/>
        <item m="1" x="7011"/>
        <item x="2034"/>
        <item x="2035"/>
        <item x="2036"/>
        <item x="2037"/>
        <item x="2038"/>
        <item x="2039"/>
        <item x="2040"/>
        <item x="2041"/>
        <item m="1" x="3773"/>
        <item m="1" x="7061"/>
        <item x="2043"/>
        <item x="2044"/>
        <item x="2046"/>
        <item x="2047"/>
        <item x="2048"/>
        <item x="2050"/>
        <item x="2051"/>
        <item x="2052"/>
        <item x="2053"/>
        <item m="1" x="3774"/>
        <item x="2055"/>
        <item x="2056"/>
        <item x="2058"/>
        <item x="2059"/>
        <item x="2060"/>
        <item x="2062"/>
        <item x="2063"/>
        <item x="2064"/>
        <item m="1" x="3775"/>
        <item x="2066"/>
        <item x="2067"/>
        <item x="2068"/>
        <item m="1" x="3776"/>
        <item x="2070"/>
        <item x="2071"/>
        <item x="2072"/>
        <item x="2074"/>
        <item x="2075"/>
        <item x="2076"/>
        <item x="2077"/>
        <item x="2078"/>
        <item x="2079"/>
        <item x="2080"/>
        <item x="2082"/>
        <item x="2084"/>
        <item x="2085"/>
        <item x="2086"/>
        <item x="2087"/>
        <item x="2088"/>
        <item x="2089"/>
        <item x="2090"/>
        <item x="2092"/>
        <item x="2093"/>
        <item x="2094"/>
        <item x="2096"/>
        <item x="2097"/>
        <item x="2098"/>
        <item x="2099"/>
        <item x="2100"/>
        <item x="2101"/>
        <item x="2103"/>
        <item x="2104"/>
        <item x="2105"/>
        <item x="2107"/>
        <item x="2108"/>
        <item x="2109"/>
        <item x="2110"/>
        <item x="2112"/>
        <item x="2113"/>
        <item x="2114"/>
        <item x="2115"/>
        <item x="2116"/>
        <item x="2117"/>
        <item x="2118"/>
        <item x="2119"/>
        <item x="2120"/>
        <item x="2121"/>
        <item x="2122"/>
        <item x="2123"/>
        <item x="2124"/>
        <item x="2128"/>
        <item x="2129"/>
        <item m="1" x="5396"/>
        <item x="2131"/>
        <item x="2132"/>
        <item x="2133"/>
        <item x="2134"/>
        <item m="1" x="6319"/>
        <item x="2136"/>
        <item x="2137"/>
        <item x="2138"/>
        <item m="1" x="5661"/>
        <item x="2140"/>
        <item x="2141"/>
        <item x="2142"/>
        <item m="1" x="6458"/>
        <item x="2143"/>
        <item x="2144"/>
        <item m="1" x="6786"/>
        <item x="2146"/>
        <item x="2147"/>
        <item m="1" x="6787"/>
        <item x="2148"/>
        <item x="2151"/>
        <item x="2152"/>
        <item m="1" x="3569"/>
        <item m="1" x="7694"/>
        <item m="1" x="6318"/>
        <item m="1" x="3344"/>
        <item x="2154"/>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m="1" x="4369"/>
        <item x="2183"/>
        <item x="2184"/>
        <item x="2185"/>
        <item x="2186"/>
        <item x="2187"/>
        <item x="2188"/>
        <item m="1" x="3601"/>
        <item x="2189"/>
        <item x="2190"/>
        <item x="2191"/>
        <item x="2192"/>
        <item x="2193"/>
        <item x="2005"/>
        <item x="2006"/>
        <item x="2007"/>
        <item x="2008"/>
        <item x="2009"/>
        <item x="2010"/>
        <item x="2011"/>
        <item x="2012"/>
        <item x="2013"/>
        <item x="2014"/>
        <item x="2015"/>
        <item x="2016"/>
        <item x="2017"/>
        <item x="2018"/>
        <item x="2019"/>
        <item x="2020"/>
        <item x="2021"/>
        <item x="2022"/>
        <item x="2023"/>
        <item x="2024"/>
        <item x="2026"/>
        <item x="2029"/>
        <item x="2030"/>
        <item x="2031"/>
        <item x="2033"/>
        <item x="2042"/>
        <item x="2045"/>
        <item x="2049"/>
        <item x="2054"/>
        <item x="2057"/>
        <item x="2061"/>
        <item x="2065"/>
        <item x="2069"/>
        <item x="2073"/>
        <item x="2081"/>
        <item x="2083"/>
        <item x="2091"/>
        <item x="2095"/>
        <item x="2102"/>
        <item x="2106"/>
        <item x="2111"/>
        <item x="2125"/>
        <item x="2126"/>
        <item x="2127"/>
        <item x="2130"/>
        <item x="2135"/>
        <item x="2139"/>
        <item x="2145"/>
        <item x="2149"/>
        <item x="2150"/>
        <item x="2153"/>
        <item x="2155"/>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
        <item x="23"/>
        <item x="24"/>
        <item x="25"/>
        <item x="26"/>
        <item x="30"/>
        <item x="31"/>
        <item x="32"/>
        <item x="33"/>
        <item x="34"/>
        <item x="35"/>
        <item x="63"/>
        <item x="64"/>
        <item x="65"/>
        <item x="66"/>
        <item x="123"/>
        <item x="125"/>
        <item x="126"/>
        <item x="127"/>
        <item x="128"/>
        <item x="180"/>
        <item x="472"/>
        <item x="764"/>
        <item x="765"/>
        <item x="776"/>
        <item x="777"/>
        <item x="778"/>
        <item x="779"/>
        <item x="780"/>
        <item x="781"/>
        <item x="782"/>
        <item x="783"/>
        <item x="784"/>
        <item x="785"/>
        <item x="786"/>
        <item x="801"/>
        <item x="916"/>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s>
      <extLst>
        <ext xmlns:x14="http://schemas.microsoft.com/office/spreadsheetml/2009/9/main" uri="{2946ED86-A175-432a-8AC1-64E0C546D7DE}">
          <x14:pivotField fillDownLabels="1"/>
        </ext>
      </extLst>
    </pivotField>
    <pivotField axis="axisRow" compact="0" outline="0" showAll="0" nonAutoSortDefault="1" defaultSubtotal="0">
      <items count="506">
        <item m="1" x="393"/>
        <item m="1" x="273"/>
        <item m="1" x="271"/>
        <item m="1" x="389"/>
        <item m="1" x="269"/>
        <item m="1" x="386"/>
        <item m="1" x="267"/>
        <item m="1" x="381"/>
        <item m="1" x="503"/>
        <item m="1" x="377"/>
        <item m="1" x="498"/>
        <item m="1" x="374"/>
        <item m="1" x="489"/>
        <item m="1" x="366"/>
        <item m="1" x="485"/>
        <item m="1" x="361"/>
        <item m="1" x="481"/>
        <item m="1" x="353"/>
        <item m="1" x="472"/>
        <item m="1" x="348"/>
        <item m="1" x="466"/>
        <item m="1" x="390"/>
        <item m="1" x="276"/>
        <item m="1" x="396"/>
        <item m="1" x="279"/>
        <item m="1" x="398"/>
        <item m="1" x="282"/>
        <item m="1" x="403"/>
        <item m="1" x="286"/>
        <item m="1" x="406"/>
        <item m="1" x="291"/>
        <item m="1" x="411"/>
        <item m="1" x="299"/>
        <item m="1" x="417"/>
        <item m="1" x="302"/>
        <item m="1" x="423"/>
        <item m="1" x="307"/>
        <item m="1" x="433"/>
        <item m="1" x="392"/>
        <item m="1" x="274"/>
        <item m="1" x="394"/>
        <item m="1" x="275"/>
        <item m="1" x="280"/>
        <item m="1" x="399"/>
        <item m="1" x="283"/>
        <item m="1" x="401"/>
        <item m="1" x="287"/>
        <item m="1" x="407"/>
        <item m="1" x="292"/>
        <item m="1" x="412"/>
        <item m="1" x="295"/>
        <item m="1" x="418"/>
        <item m="1" x="303"/>
        <item m="1" x="424"/>
        <item m="1" x="308"/>
        <item m="1" x="428"/>
        <item m="1" x="317"/>
        <item m="1" x="395"/>
        <item m="1" x="277"/>
        <item m="1" x="397"/>
        <item m="1" x="281"/>
        <item m="1" x="402"/>
        <item m="1" x="284"/>
        <item m="1" x="404"/>
        <item m="1" x="288"/>
        <item m="1" x="408"/>
        <item m="1" x="296"/>
        <item m="1" x="414"/>
        <item m="1" x="300"/>
        <item m="1" x="419"/>
        <item m="1" x="304"/>
        <item m="1" x="312"/>
        <item m="1" x="434"/>
        <item m="1" x="318"/>
        <item m="1" x="438"/>
        <item m="1" x="328"/>
        <item m="1" x="448"/>
        <item m="1" x="333"/>
        <item m="1" x="454"/>
        <item m="1" x="400"/>
        <item m="1" x="285"/>
        <item m="1" x="405"/>
        <item m="1" x="289"/>
        <item m="1" x="409"/>
        <item m="1" x="293"/>
        <item m="1" x="415"/>
        <item m="1" x="301"/>
        <item m="1" x="420"/>
        <item m="1" x="313"/>
        <item m="1" x="435"/>
        <item m="1" x="319"/>
        <item m="1" x="439"/>
        <item m="1" x="323"/>
        <item m="1" x="444"/>
        <item m="1" x="449"/>
        <item m="1" x="334"/>
        <item m="1" x="455"/>
        <item m="1" x="338"/>
        <item m="1" x="461"/>
        <item m="1" x="290"/>
        <item m="1" x="410"/>
        <item m="1" x="294"/>
        <item m="1" x="297"/>
        <item m="1" x="421"/>
        <item m="1" x="305"/>
        <item m="1" x="426"/>
        <item m="1" x="309"/>
        <item m="1" x="429"/>
        <item m="1" x="320"/>
        <item m="1" x="440"/>
        <item m="1" x="325"/>
        <item m="1" x="445"/>
        <item m="1" x="329"/>
        <item m="1" x="456"/>
        <item m="1" x="339"/>
        <item m="1" x="462"/>
        <item m="1" x="344"/>
        <item m="1" x="467"/>
        <item m="1" x="354"/>
        <item m="1" x="476"/>
        <item m="1" x="413"/>
        <item m="1" x="298"/>
        <item m="1" x="416"/>
        <item m="1" x="306"/>
        <item m="1" x="427"/>
        <item m="1" x="310"/>
        <item m="1" x="430"/>
        <item m="1" x="314"/>
        <item m="1" x="441"/>
        <item m="1" x="326"/>
        <item m="1" x="446"/>
        <item m="1" x="330"/>
        <item m="1" x="450"/>
        <item m="1" x="340"/>
        <item m="1" x="463"/>
        <item m="1" x="345"/>
        <item m="1" x="468"/>
        <item m="1" x="349"/>
        <item m="1" x="477"/>
        <item m="1" x="359"/>
        <item m="1" x="482"/>
        <item m="1" x="362"/>
        <item m="1" x="422"/>
        <item m="1" x="311"/>
        <item m="1" x="431"/>
        <item m="1" x="315"/>
        <item m="1" x="436"/>
        <item m="1" x="321"/>
        <item m="1" x="447"/>
        <item m="1" x="331"/>
        <item m="1" x="451"/>
        <item m="1" x="335"/>
        <item m="1" x="457"/>
        <item m="1" x="346"/>
        <item m="1" x="469"/>
        <item m="1" x="350"/>
        <item m="1" x="473"/>
        <item m="1" x="355"/>
        <item m="1" x="483"/>
        <item m="1" x="363"/>
        <item m="1" x="486"/>
        <item m="1" x="367"/>
        <item m="1" x="490"/>
        <item m="1" x="494"/>
        <item m="1" x="432"/>
        <item m="1" x="316"/>
        <item m="1" x="437"/>
        <item m="1" x="322"/>
        <item m="1" x="442"/>
        <item m="1" x="332"/>
        <item m="1" x="452"/>
        <item m="1" x="336"/>
        <item m="1" x="458"/>
        <item m="1" x="341"/>
        <item m="1" x="470"/>
        <item m="1" x="351"/>
        <item m="1" x="474"/>
        <item m="1" x="356"/>
        <item m="1" x="478"/>
        <item m="1" x="364"/>
        <item m="1" x="487"/>
        <item m="1" x="368"/>
        <item m="1" x="491"/>
        <item m="1" x="371"/>
        <item m="1" x="495"/>
        <item m="1" x="499"/>
        <item m="1" x="378"/>
        <item m="1" x="504"/>
        <item m="1" x="443"/>
        <item m="1" x="327"/>
        <item m="1" x="453"/>
        <item m="1" x="337"/>
        <item m="1" x="459"/>
        <item m="1" x="342"/>
        <item m="1" x="464"/>
        <item m="1" x="352"/>
        <item m="1" x="475"/>
        <item m="1" x="357"/>
        <item m="1" x="479"/>
        <item m="1" x="488"/>
        <item m="1" x="369"/>
        <item m="1" x="492"/>
        <item m="1" x="372"/>
        <item m="1" x="496"/>
        <item m="1" x="375"/>
        <item m="1" x="500"/>
        <item m="1" x="379"/>
        <item m="1" x="505"/>
        <item m="1" x="382"/>
        <item m="1" x="265"/>
        <item m="1" x="384"/>
        <item m="1" x="460"/>
        <item m="1" x="343"/>
        <item m="1" x="465"/>
        <item m="1" x="347"/>
        <item m="1" x="471"/>
        <item m="1" x="358"/>
        <item m="1" x="480"/>
        <item m="1" x="360"/>
        <item m="1" x="484"/>
        <item m="1" x="365"/>
        <item m="1" x="493"/>
        <item m="1" x="373"/>
        <item m="1" x="497"/>
        <item m="1" x="376"/>
        <item m="1" x="501"/>
        <item m="1" x="383"/>
        <item m="1" x="266"/>
        <item m="1" x="385"/>
        <item m="1" x="268"/>
        <item m="1" x="387"/>
        <item m="1" x="272"/>
        <item m="1" x="370"/>
        <item m="1" x="391"/>
        <item x="0"/>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8"/>
        <item x="28"/>
        <item x="35"/>
        <item x="36"/>
        <item x="37"/>
        <item x="40"/>
        <item x="39"/>
        <item x="41"/>
        <item x="44"/>
        <item x="45"/>
        <item x="46"/>
        <item x="47"/>
        <item x="48"/>
        <item x="49"/>
        <item x="50"/>
        <item x="51"/>
        <item x="52"/>
        <item x="53"/>
        <item x="54"/>
        <item x="55"/>
        <item x="56"/>
        <item x="57"/>
        <item x="58"/>
        <item x="59"/>
        <item x="60"/>
        <item x="61"/>
        <item x="62"/>
        <item x="63"/>
        <item x="64"/>
        <item x="65"/>
        <item x="66"/>
        <item x="68"/>
        <item x="69"/>
        <item x="71"/>
        <item x="73"/>
        <item x="75"/>
        <item x="77"/>
        <item x="81"/>
        <item x="82"/>
        <item x="83"/>
        <item x="67"/>
        <item x="70"/>
        <item x="72"/>
        <item x="74"/>
        <item x="84"/>
        <item x="85"/>
        <item x="76"/>
        <item x="78"/>
        <item x="79"/>
        <item x="80"/>
        <item x="86"/>
        <item x="87"/>
        <item x="88"/>
        <item x="90"/>
        <item x="92"/>
        <item x="93"/>
        <item x="94"/>
        <item x="95"/>
        <item x="97"/>
        <item x="99"/>
        <item x="101"/>
        <item x="102"/>
        <item x="103"/>
        <item x="104"/>
        <item x="105"/>
        <item x="106"/>
        <item x="89"/>
        <item x="91"/>
        <item x="96"/>
        <item x="98"/>
        <item x="100"/>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4"/>
        <item x="155"/>
        <item x="156"/>
        <item x="157"/>
        <item x="158"/>
        <item x="159"/>
        <item x="160"/>
        <item x="161"/>
        <item x="162"/>
        <item x="163"/>
        <item x="164"/>
        <item x="165"/>
        <item x="166"/>
        <item x="167"/>
        <item x="168"/>
        <item x="169"/>
        <item x="171"/>
        <item x="172"/>
        <item x="173"/>
        <item x="174"/>
        <item x="175"/>
        <item x="176"/>
        <item x="170"/>
        <item x="178"/>
        <item x="179"/>
        <item x="180"/>
        <item x="181"/>
        <item x="182"/>
        <item x="183"/>
        <item x="184"/>
        <item x="185"/>
        <item x="186"/>
        <item x="187"/>
        <item x="188"/>
        <item x="189"/>
        <item x="190"/>
        <item x="191"/>
        <item x="192"/>
        <item x="193"/>
        <item x="194"/>
        <item x="195"/>
        <item x="196"/>
        <item x="197"/>
        <item x="198"/>
        <item x="264"/>
        <item x="216"/>
        <item x="218"/>
        <item m="1" x="270"/>
        <item m="1" x="278"/>
        <item m="1" x="324"/>
        <item m="1" x="380"/>
        <item x="217"/>
        <item m="1" x="388"/>
        <item m="1" x="425"/>
        <item m="1" x="502"/>
        <item x="199"/>
        <item x="200"/>
        <item x="201"/>
        <item x="202"/>
        <item x="203"/>
        <item x="204"/>
        <item x="205"/>
        <item x="206"/>
        <item x="207"/>
        <item x="208"/>
        <item x="209"/>
        <item x="210"/>
        <item x="211"/>
        <item x="212"/>
        <item x="213"/>
        <item x="214"/>
        <item x="215"/>
        <item x="219"/>
        <item x="220"/>
        <item x="221"/>
        <item x="222"/>
        <item x="223"/>
        <item x="224"/>
        <item x="225"/>
        <item x="226"/>
        <item x="227"/>
        <item x="228"/>
        <item x="229"/>
        <item x="230"/>
        <item x="231"/>
        <item x="232"/>
        <item x="233"/>
        <item x="234"/>
        <item x="235"/>
        <item x="236"/>
        <item x="237"/>
        <item x="238"/>
        <item x="239"/>
        <item x="240"/>
        <item x="241"/>
        <item x="42"/>
        <item x="43"/>
        <item x="151"/>
        <item x="152"/>
        <item x="153"/>
        <item x="177"/>
        <item x="242"/>
        <item x="243"/>
        <item x="244"/>
        <item x="245"/>
        <item x="246"/>
        <item x="247"/>
        <item x="248"/>
        <item x="249"/>
        <item x="250"/>
        <item x="251"/>
        <item x="252"/>
        <item x="253"/>
        <item x="254"/>
        <item x="255"/>
        <item x="256"/>
        <item x="257"/>
        <item x="258"/>
        <item x="259"/>
        <item x="260"/>
        <item x="261"/>
        <item x="262"/>
        <item x="263"/>
      </items>
      <extLst>
        <ext xmlns:x14="http://schemas.microsoft.com/office/spreadsheetml/2009/9/main" uri="{2946ED86-A175-432a-8AC1-64E0C546D7DE}">
          <x14:pivotField fillDownLabels="1"/>
        </ext>
      </extLst>
    </pivotField>
    <pivotField axis="axisRow" compact="0" outline="0" subtotalTop="0" showAll="0" defaultSubtotal="0">
      <items count="50">
        <item sd="0" x="48"/>
        <item x="0"/>
        <item x="8"/>
        <item x="9"/>
        <item x="23"/>
        <item x="7"/>
        <item x="10"/>
        <item x="4"/>
        <item x="6"/>
        <item x="13"/>
        <item x="3"/>
        <item x="5"/>
        <item x="19"/>
        <item x="12"/>
        <item x="21"/>
        <item x="20"/>
        <item x="15"/>
        <item x="2"/>
        <item x="14"/>
        <item x="1"/>
        <item x="11"/>
        <item x="17"/>
        <item x="16"/>
        <item x="18"/>
        <item x="24"/>
        <item x="25"/>
        <item x="26"/>
        <item x="27"/>
        <item x="28"/>
        <item x="29"/>
        <item x="22"/>
        <item x="30"/>
        <item x="31"/>
        <item x="32"/>
        <item x="33"/>
        <item x="34"/>
        <item x="35"/>
        <item x="36"/>
        <item x="37"/>
        <item x="38"/>
        <item x="39"/>
        <item x="40"/>
        <item x="41"/>
        <item x="42"/>
        <item x="43"/>
        <item x="44"/>
        <item x="45"/>
        <item x="46"/>
        <item x="47"/>
        <item m="1" x="49"/>
      </items>
      <extLst>
        <ext xmlns:x14="http://schemas.microsoft.com/office/spreadsheetml/2009/9/main" uri="{2946ED86-A175-432a-8AC1-64E0C546D7DE}">
          <x14:pivotField fillDownLabels="1"/>
        </ext>
      </extLst>
    </pivotField>
    <pivotField axis="axisRow" compact="0" outline="0" showAll="0" defaultSubtotal="0">
      <items count="1086">
        <item m="1" x="332"/>
        <item m="1" x="711"/>
        <item m="1" x="337"/>
        <item m="1" x="715"/>
        <item m="1" x="341"/>
        <item m="1" x="724"/>
        <item m="1" x="347"/>
        <item m="1" x="731"/>
        <item m="1" x="354"/>
        <item m="1" x="746"/>
        <item m="1" x="370"/>
        <item m="1" x="756"/>
        <item m="1" x="379"/>
        <item m="1" x="763"/>
        <item m="1" x="396"/>
        <item m="1" x="785"/>
        <item m="1" x="409"/>
        <item m="1" x="799"/>
        <item m="1" x="422"/>
        <item m="1" x="827"/>
        <item m="1" x="450"/>
        <item m="1" x="844"/>
        <item m="1" x="466"/>
        <item m="1" x="862"/>
        <item m="1" x="717"/>
        <item m="1" x="349"/>
        <item m="1" x="732"/>
        <item m="1" x="355"/>
        <item m="1" x="740"/>
        <item m="1" x="363"/>
        <item m="1" x="372"/>
        <item m="1" x="758"/>
        <item m="1" x="380"/>
        <item m="1" x="764"/>
        <item m="1" x="386"/>
        <item m="1" x="773"/>
        <item m="1" x="787"/>
        <item m="1" x="411"/>
        <item m="1" x="800"/>
        <item m="1" x="424"/>
        <item m="1" x="813"/>
        <item m="1" x="435"/>
        <item m="1" x="452"/>
        <item m="1" x="846"/>
        <item m="1" x="467"/>
        <item m="1" x="863"/>
        <item m="1" x="482"/>
        <item m="1" x="879"/>
        <item m="1" x="734"/>
        <item m="1" x="357"/>
        <item m="1" x="742"/>
        <item m="1" x="366"/>
        <item m="1" x="750"/>
        <item m="1" x="375"/>
        <item m="1" x="767"/>
        <item m="1" x="388"/>
        <item m="1" x="776"/>
        <item m="1" x="400"/>
        <item m="1" x="790"/>
        <item m="1" x="815"/>
        <item m="1" x="438"/>
        <item m="1" x="831"/>
        <item m="1" x="455"/>
        <item m="1" x="848"/>
        <item m="1" x="865"/>
        <item m="1" x="483"/>
        <item m="1" x="880"/>
        <item m="1" x="498"/>
        <item m="1" x="897"/>
        <item m="1" x="528"/>
        <item m="1" x="927"/>
        <item m="1" x="753"/>
        <item m="1" x="377"/>
        <item m="1" x="761"/>
        <item m="1" x="391"/>
        <item m="1" x="779"/>
        <item m="1" x="403"/>
        <item m="1" x="414"/>
        <item m="1" x="818"/>
        <item m="1" x="441"/>
        <item m="1" x="834"/>
        <item m="1" x="457"/>
        <item m="1" x="850"/>
        <item m="1" x="486"/>
        <item m="1" x="882"/>
        <item m="1" x="500"/>
        <item m="1" x="898"/>
        <item m="1" x="516"/>
        <item m="1" x="929"/>
        <item m="1" x="545"/>
        <item m="1" x="945"/>
        <item m="1" x="561"/>
        <item m="1" x="405"/>
        <item m="1" x="793"/>
        <item m="1" x="416"/>
        <item m="1" x="806"/>
        <item m="1" x="430"/>
        <item m="1" x="836"/>
        <item m="1" x="459"/>
        <item m="1" x="852"/>
        <item m="1" x="471"/>
        <item m="1" x="869"/>
        <item m="1" x="502"/>
        <item m="1" x="900"/>
        <item m="1" x="518"/>
        <item m="1" x="913"/>
        <item m="1" x="532"/>
        <item m="1" x="947"/>
        <item m="1" x="563"/>
        <item m="1" x="965"/>
        <item m="1" x="578"/>
        <item m="1" x="981"/>
        <item m="1" x="795"/>
        <item m="1" x="418"/>
        <item m="1" x="809"/>
        <item m="1" x="432"/>
        <item m="1" x="822"/>
        <item m="1" x="461"/>
        <item m="1" x="854"/>
        <item m="1" x="474"/>
        <item m="1" x="871"/>
        <item m="1" x="490"/>
        <item m="1" x="902"/>
        <item m="1" x="520"/>
        <item m="1" x="916"/>
        <item m="1" x="534"/>
        <item m="1" x="933"/>
        <item m="1" x="565"/>
        <item m="1" x="967"/>
        <item m="1" x="580"/>
        <item m="1" x="983"/>
        <item m="1" x="594"/>
        <item m="1" x="1015"/>
        <item m="1" x="622"/>
        <item m="1" x="824"/>
        <item m="1" x="447"/>
        <item m="1" x="842"/>
        <item m="1" x="476"/>
        <item m="1" x="873"/>
        <item m="1" x="492"/>
        <item m="1" x="888"/>
        <item m="1" x="508"/>
        <item m="1" x="918"/>
        <item m="1" x="536"/>
        <item m="1" x="935"/>
        <item m="1" x="550"/>
        <item m="1" x="952"/>
        <item m="1" x="582"/>
        <item m="1" x="985"/>
        <item m="1" x="596"/>
        <item m="1" x="1000"/>
        <item m="1" x="610"/>
        <item m="1" x="1028"/>
        <item m="1" x="636"/>
        <item m="1" x="1041"/>
        <item m="1" x="650"/>
        <item m="1" x="1054"/>
        <item m="1" x="859"/>
        <item m="1" x="875"/>
        <item m="1" x="494"/>
        <item m="1" x="891"/>
        <item m="1" x="510"/>
        <item m="1" x="906"/>
        <item m="1" x="538"/>
        <item m="1" x="937"/>
        <item m="1" x="553"/>
        <item m="1" x="954"/>
        <item m="1" x="569"/>
        <item m="1" x="987"/>
        <item m="1" x="598"/>
        <item m="1" x="1003"/>
        <item m="1" x="612"/>
        <item m="1" x="1018"/>
        <item m="1" x="638"/>
        <item m="1" x="1043"/>
        <item m="1" x="652"/>
        <item m="1" x="1055"/>
        <item m="1" x="663"/>
        <item m="1" x="1076"/>
        <item m="1" x="893"/>
        <item m="1" x="512"/>
        <item m="1" x="909"/>
        <item m="1" x="526"/>
        <item m="1" x="940"/>
        <item m="1" x="555"/>
        <item m="1" x="956"/>
        <item m="1" x="571"/>
        <item m="1" x="973"/>
        <item m="1" x="601"/>
        <item m="1" x="1005"/>
        <item m="1" x="1020"/>
        <item m="1" x="627"/>
        <item m="1" x="1046"/>
        <item m="1" x="654"/>
        <item m="1" x="1058"/>
        <item m="1" x="664"/>
        <item m="1" x="1066"/>
        <item m="1" x="682"/>
        <item m="1" x="310"/>
        <item m="1" x="689"/>
        <item m="1" x="924"/>
        <item m="1" x="543"/>
        <item m="1" x="958"/>
        <item m="1" x="573"/>
        <item m="1" x="975"/>
        <item m="1" x="588"/>
        <item m="1" x="992"/>
        <item m="1" x="616"/>
        <item m="1" x="1022"/>
        <item m="1" x="629"/>
        <item m="1" x="1033"/>
        <item m="1" x="643"/>
        <item m="1" x="1060"/>
        <item m="1" x="666"/>
        <item m="1" x="1068"/>
        <item m="1" x="674"/>
        <item m="1" x="1080"/>
        <item m="1" x="691"/>
        <item m="1" x="318"/>
        <item m="1" x="698"/>
        <item m="1" x="324"/>
        <item m="1" x="706"/>
        <item m="1" x="961"/>
        <item m="1" x="575"/>
        <item m="1" x="977"/>
        <item m="1" x="591"/>
        <item m="1" x="994"/>
        <item m="1" x="605"/>
        <item m="1" x="1024"/>
        <item m="1" x="631"/>
        <item m="1" x="1036"/>
        <item m="1" x="645"/>
        <item m="1" x="1050"/>
        <item m="1" x="1071"/>
        <item m="1" x="677"/>
        <item m="1" x="1082"/>
        <item m="1" x="685"/>
        <item m="1" x="320"/>
        <item m="1" x="700"/>
        <item m="1" x="326"/>
        <item m="1" x="707"/>
        <item m="1" x="333"/>
        <item m="1" x="720"/>
        <item m="1" x="996"/>
        <item m="1" x="607"/>
        <item m="1" x="1012"/>
        <item m="1" x="620"/>
        <item m="1" x="1038"/>
        <item m="1" x="647"/>
        <item m="1" x="1052"/>
        <item m="1" x="660"/>
        <item m="1" x="1064"/>
        <item m="1" x="679"/>
        <item m="1" x="1084"/>
        <item m="1" x="687"/>
        <item m="1" x="315"/>
        <item m="1" x="696"/>
        <item m="1" x="329"/>
        <item m="1" x="709"/>
        <item m="1" x="335"/>
        <item m="1" x="712"/>
        <item m="1" x="722"/>
        <item m="1" x="345"/>
        <item m="1" x="729"/>
        <item m="1" x="352"/>
        <item m="1" x="737"/>
        <item m="1" x="360"/>
        <item m="1" x="338"/>
        <item m="1" x="716"/>
        <item m="1" x="342"/>
        <item m="1" x="725"/>
        <item m="1" x="348"/>
        <item m="1" x="739"/>
        <item m="1" x="362"/>
        <item m="1" x="747"/>
        <item m="1" x="371"/>
        <item m="1" x="757"/>
        <item m="1" x="385"/>
        <item m="1" x="772"/>
        <item m="1" x="397"/>
        <item m="1" x="786"/>
        <item m="1" x="410"/>
        <item m="1" x="423"/>
        <item m="1" x="812"/>
        <item m="1" x="434"/>
        <item m="1" x="828"/>
        <item m="1" x="451"/>
        <item m="1" x="845"/>
        <item m="1" x="718"/>
        <item m="1" x="343"/>
        <item m="1" x="727"/>
        <item m="1" x="350"/>
        <item m="1" x="733"/>
        <item m="1" x="365"/>
        <item m="1" x="749"/>
        <item m="1" x="374"/>
        <item m="1" x="759"/>
        <item m="1" x="381"/>
        <item m="1" x="766"/>
        <item m="1" x="775"/>
        <item m="1" x="399"/>
        <item m="1" x="789"/>
        <item m="1" x="412"/>
        <item m="1" x="802"/>
        <item m="1" x="437"/>
        <item m="1" x="830"/>
        <item m="1" x="454"/>
        <item m="1" x="847"/>
        <item m="1" x="468"/>
        <item m="1" x="735"/>
        <item m="1" x="358"/>
        <item m="1" x="744"/>
        <item m="1" x="368"/>
        <item m="1" x="752"/>
        <item m="1" x="382"/>
        <item m="1" x="768"/>
        <item m="1" x="390"/>
        <item m="1" x="778"/>
        <item m="1" x="402"/>
        <item m="1" x="804"/>
        <item m="1" x="427"/>
        <item m="1" x="817"/>
        <item m="1" x="440"/>
        <item m="1" x="833"/>
        <item m="1" x="469"/>
        <item m="1" x="866"/>
        <item m="1" x="485"/>
        <item m="1" x="881"/>
        <item m="1" x="499"/>
        <item m="1" x="515"/>
        <item m="1" x="911"/>
        <item m="1" x="529"/>
        <item m="1" x="928"/>
        <item m="1" x="754"/>
        <item m="1" x="378"/>
        <item m="1" x="770"/>
        <item m="1" x="393"/>
        <item m="1" x="781"/>
        <item m="1" x="404"/>
        <item m="1" x="792"/>
        <item m="1" x="429"/>
        <item m="1" x="820"/>
        <item m="1" x="443"/>
        <item m="1" x="835"/>
        <item m="1" x="458"/>
        <item m="1" x="868"/>
        <item m="1" x="488"/>
        <item m="1" x="884"/>
        <item m="1" x="501"/>
        <item m="1" x="899"/>
        <item m="1" x="531"/>
        <item m="1" x="931"/>
        <item m="1" x="546"/>
        <item m="1" x="946"/>
        <item m="1" x="562"/>
        <item m="1" x="783"/>
        <item m="1" x="407"/>
        <item m="1" x="794"/>
        <item m="1" x="417"/>
        <item m="1" x="808"/>
        <item m="1" x="444"/>
        <item m="1" x="838"/>
        <item m="1" x="460"/>
        <item m="1" x="853"/>
        <item m="1" x="473"/>
        <item m="1" x="886"/>
        <item m="1" x="504"/>
        <item m="1" x="901"/>
        <item m="1" x="519"/>
        <item m="1" x="915"/>
        <item m="1" x="548"/>
        <item m="1" x="949"/>
        <item m="1" x="564"/>
        <item m="1" x="966"/>
        <item m="1" x="579"/>
        <item m="1" x="982"/>
        <item m="1" x="998"/>
        <item m="1" x="797"/>
        <item m="1" x="420"/>
        <item m="1" x="810"/>
        <item m="1" x="433"/>
        <item m="1" x="446"/>
        <item m="1" x="841"/>
        <item m="1" x="463"/>
        <item m="1" x="856"/>
        <item m="1" x="475"/>
        <item m="1" x="872"/>
        <item m="1" x="507"/>
        <item m="1" x="904"/>
        <item m="1" x="522"/>
        <item m="1" x="917"/>
        <item m="1" x="535"/>
        <item m="1" x="951"/>
        <item m="1" x="567"/>
        <item m="1" x="969"/>
        <item m="1" x="581"/>
        <item m="1" x="984"/>
        <item m="1" x="609"/>
        <item m="1" x="1016"/>
        <item m="1" x="623"/>
        <item m="1" x="825"/>
        <item m="1" x="449"/>
        <item m="1" x="858"/>
        <item m="1" x="478"/>
        <item m="1" x="874"/>
        <item m="1" x="493"/>
        <item m="1" x="890"/>
        <item m="1" x="524"/>
        <item m="1" x="920"/>
        <item m="1" x="537"/>
        <item m="1" x="936"/>
        <item m="1" x="552"/>
        <item m="1" x="971"/>
        <item m="1" x="584"/>
        <item m="1" x="986"/>
        <item m="1" x="597"/>
        <item m="1" x="1002"/>
        <item m="1" x="625"/>
        <item m="1" x="1029"/>
        <item m="1" x="637"/>
        <item m="1" x="1042"/>
        <item m="1" x="651"/>
        <item m="1" x="480"/>
        <item m="1" x="877"/>
        <item m="1" x="496"/>
        <item m="1" x="892"/>
        <item m="1" x="511"/>
        <item m="1" x="908"/>
        <item m="1" x="922"/>
        <item m="1" x="540"/>
        <item m="1" x="939"/>
        <item m="1" x="554"/>
        <item m="1" x="955"/>
        <item m="1" x="586"/>
        <item m="1" x="989"/>
        <item m="1" x="600"/>
        <item m="1" x="1004"/>
        <item m="1" x="613"/>
        <item m="1" x="1031"/>
        <item m="1" x="640"/>
        <item m="1" x="1045"/>
        <item m="1" x="653"/>
        <item m="1" x="1057"/>
        <item m="1" x="672"/>
        <item m="1" x="1077"/>
        <item m="1" x="895"/>
        <item m="1" x="513"/>
        <item m="1" x="910"/>
        <item m="1" x="542"/>
        <item m="1" x="942"/>
        <item m="1" x="557"/>
        <item m="1" x="957"/>
        <item m="1" x="572"/>
        <item m="1" x="991"/>
        <item m="1" x="603"/>
        <item m="1" x="1007"/>
        <item m="1" x="614"/>
        <item m="1" x="1021"/>
        <item m="1" x="642"/>
        <item m="1" x="1048"/>
        <item m="1" x="656"/>
        <item m="1" x="1059"/>
        <item m="1" x="665"/>
        <item m="1" x="1079"/>
        <item m="1" x="683"/>
        <item m="1" x="311"/>
        <item m="1" x="690"/>
        <item m="1" x="926"/>
        <item m="1" x="559"/>
        <item m="1" x="960"/>
        <item m="1" x="574"/>
        <item m="1" x="976"/>
        <item m="1" x="590"/>
        <item m="1" x="1009"/>
        <item m="1" x="617"/>
        <item m="1" x="1023"/>
        <item m="1" x="630"/>
        <item m="1" x="1035"/>
        <item m="1" x="658"/>
        <item m="1" x="1062"/>
        <item m="1" x="668"/>
        <item m="1" x="1070"/>
        <item m="1" x="676"/>
        <item m="1" x="313"/>
        <item m="1" x="693"/>
        <item m="1" x="319"/>
        <item m="1" x="699"/>
        <item m="1" x="325"/>
        <item m="1" x="963"/>
        <item m="1" x="979"/>
        <item m="1" x="592"/>
        <item m="1" x="995"/>
        <item m="1" x="1011"/>
        <item m="1" x="619"/>
        <item m="1" x="1026"/>
        <item m="1" x="633"/>
        <item m="1" x="1037"/>
        <item m="1" x="646"/>
        <item m="1" x="670"/>
        <item m="1" x="1073"/>
        <item m="1" x="678"/>
        <item m="1" x="1083"/>
        <item m="1" x="695"/>
        <item m="1" x="322"/>
        <item m="1" x="702"/>
        <item m="1" x="328"/>
        <item m="1" x="708"/>
        <item m="1" x="339"/>
        <item m="1" x="721"/>
        <item m="1" x="997"/>
        <item m="1" x="608"/>
        <item m="1" x="1014"/>
        <item m="1" x="635"/>
        <item m="1" x="1040"/>
        <item m="1" x="649"/>
        <item m="1" x="1053"/>
        <item m="1" x="662"/>
        <item m="1" x="1075"/>
        <item m="1" x="681"/>
        <item m="1" x="1085"/>
        <item m="1" x="688"/>
        <item m="1" x="317"/>
        <item m="1" x="704"/>
        <item m="1" x="331"/>
        <item m="1" x="710"/>
        <item m="1" x="336"/>
        <item m="1" x="714"/>
        <item m="1" x="346"/>
        <item m="1" x="730"/>
        <item m="1" x="353"/>
        <item m="1" x="738"/>
        <item m="1" x="361"/>
        <item m="1" x="726"/>
        <item m="1" x="356"/>
        <item m="1" x="741"/>
        <item m="1" x="364"/>
        <item m="1" x="748"/>
        <item m="1" x="373"/>
        <item m="1" x="765"/>
        <item m="1" x="387"/>
        <item m="1" x="774"/>
        <item m="1" x="398"/>
        <item m="1" x="788"/>
        <item m="1" x="801"/>
        <item m="1" x="425"/>
        <item m="1" x="814"/>
        <item m="1" x="436"/>
        <item m="1" x="829"/>
        <item m="1" x="453"/>
        <item m="1" x="864"/>
        <item m="1" x="719"/>
        <item m="1" x="344"/>
        <item m="1" x="728"/>
        <item m="1" x="351"/>
        <item m="1" x="743"/>
        <item m="1" x="367"/>
        <item m="1" x="751"/>
        <item m="1" x="376"/>
        <item m="1" x="760"/>
        <item m="1" x="389"/>
        <item m="1" x="777"/>
        <item m="1" x="401"/>
        <item m="1" x="791"/>
        <item m="1" x="413"/>
        <item m="1" x="803"/>
        <item m="1" x="426"/>
        <item m="1" x="816"/>
        <item m="1" x="439"/>
        <item m="1" x="832"/>
        <item m="1" x="456"/>
        <item m="1" x="849"/>
        <item m="1" x="484"/>
        <item m="1" x="736"/>
        <item m="1" x="359"/>
        <item m="1" x="745"/>
        <item m="1" x="369"/>
        <item m="1" x="762"/>
        <item m="1" x="383"/>
        <item m="1" x="769"/>
        <item m="1" x="392"/>
        <item m="1" x="780"/>
        <item m="1" x="415"/>
        <item m="1" x="805"/>
        <item m="1" x="428"/>
        <item m="1" x="819"/>
        <item m="1" x="442"/>
        <item m="1" x="851"/>
        <item m="1" x="470"/>
        <item m="1" x="867"/>
        <item m="1" x="487"/>
        <item m="1" x="883"/>
        <item m="1" x="517"/>
        <item m="1" x="912"/>
        <item m="1" x="530"/>
        <item m="1" x="930"/>
        <item m="1" x="755"/>
        <item m="1" x="384"/>
        <item m="1" x="771"/>
        <item m="1" x="394"/>
        <item m="1" x="782"/>
        <item m="1" x="406"/>
        <item m="1" x="807"/>
        <item m="1" x="431"/>
        <item m="1" x="821"/>
        <item m="1" x="837"/>
        <item m="1" x="472"/>
        <item m="1" x="870"/>
        <item m="1" x="489"/>
        <item m="1" x="885"/>
        <item m="1" x="503"/>
        <item m="1" x="914"/>
        <item m="1" x="533"/>
        <item m="1" x="932"/>
        <item m="1" x="547"/>
        <item m="1" x="948"/>
        <item m="1" x="395"/>
        <item m="1" x="784"/>
        <item m="1" x="408"/>
        <item m="1" x="796"/>
        <item m="1" x="419"/>
        <item m="1" x="823"/>
        <item m="1" x="445"/>
        <item m="1" x="840"/>
        <item m="1" x="462"/>
        <item m="1" x="855"/>
        <item m="1" x="491"/>
        <item m="1" x="887"/>
        <item m="1" x="506"/>
        <item m="1" x="903"/>
        <item m="1" x="521"/>
        <item m="1" x="934"/>
        <item m="1" x="549"/>
        <item m="1" x="950"/>
        <item m="1" x="566"/>
        <item m="1" x="968"/>
        <item m="1" x="595"/>
        <item m="1" x="999"/>
        <item m="1" x="798"/>
        <item m="1" x="421"/>
        <item m="1" x="811"/>
        <item m="1" x="448"/>
        <item m="1" x="843"/>
        <item m="1" x="464"/>
        <item m="1" x="857"/>
        <item m="1" x="477"/>
        <item m="1" x="889"/>
        <item m="1" x="509"/>
        <item m="1" x="905"/>
        <item m="1" x="523"/>
        <item m="1" x="919"/>
        <item m="1" x="551"/>
        <item m="1" x="953"/>
        <item m="1" x="568"/>
        <item m="1" x="970"/>
        <item m="1" x="583"/>
        <item m="1" x="1001"/>
        <item m="1" x="611"/>
        <item m="1" x="1017"/>
        <item m="1" x="624"/>
        <item m="1" x="826"/>
        <item m="1" x="465"/>
        <item m="1" x="860"/>
        <item m="1" x="479"/>
        <item m="1" x="876"/>
        <item m="1" x="495"/>
        <item m="1" x="907"/>
        <item m="1" x="525"/>
        <item m="1" x="921"/>
        <item m="1" x="539"/>
        <item m="1" x="938"/>
        <item m="1" x="570"/>
        <item m="1" x="972"/>
        <item m="1" x="585"/>
        <item m="1" x="988"/>
        <item m="1" x="599"/>
        <item m="1" x="1019"/>
        <item m="1" x="626"/>
        <item m="1" x="1030"/>
        <item m="1" x="639"/>
        <item m="1" x="1044"/>
        <item m="1" x="1056"/>
        <item m="1" x="861"/>
        <item m="1" x="481"/>
        <item m="1" x="878"/>
        <item m="1" x="497"/>
        <item m="1" x="894"/>
        <item m="1" x="527"/>
        <item m="1" x="923"/>
        <item m="1" x="541"/>
        <item m="1" x="941"/>
        <item m="1" x="556"/>
        <item m="1" x="974"/>
        <item m="1" x="587"/>
        <item m="1" x="990"/>
        <item m="1" x="602"/>
        <item m="1" x="1006"/>
        <item m="1" x="628"/>
        <item m="1" x="1032"/>
        <item m="1" x="641"/>
        <item m="1" x="1047"/>
        <item m="1" x="655"/>
        <item m="1" x="1067"/>
        <item m="1" x="673"/>
        <item m="1" x="1078"/>
        <item m="1" x="896"/>
        <item m="1" x="514"/>
        <item m="1" x="925"/>
        <item m="1" x="544"/>
        <item m="1" x="943"/>
        <item m="1" x="558"/>
        <item m="1" x="959"/>
        <item m="1" x="589"/>
        <item m="1" x="993"/>
        <item m="1" x="604"/>
        <item m="1" x="1008"/>
        <item m="1" x="1034"/>
        <item m="1" x="644"/>
        <item m="1" x="1049"/>
        <item m="1" x="657"/>
        <item m="1" x="1061"/>
        <item m="1" x="667"/>
        <item m="1" x="1069"/>
        <item m="1" x="675"/>
        <item m="1" x="1081"/>
        <item m="1" x="684"/>
        <item m="1" x="312"/>
        <item m="1" x="692"/>
        <item m="1" x="944"/>
        <item m="1" x="560"/>
        <item m="1" x="962"/>
        <item m="1" x="576"/>
        <item m="1" x="978"/>
        <item m="1" x="606"/>
        <item m="1" x="1010"/>
        <item m="1" x="618"/>
        <item m="1" x="1025"/>
        <item m="1" x="632"/>
        <item m="1" x="1051"/>
        <item m="1" x="659"/>
        <item m="1" x="1063"/>
        <item m="1" x="669"/>
        <item m="1" x="1072"/>
        <item m="1" x="686"/>
        <item m="1" x="314"/>
        <item m="1" x="694"/>
        <item m="1" x="321"/>
        <item m="1" x="701"/>
        <item m="1" x="327"/>
        <item m="1" x="334"/>
        <item m="1" x="964"/>
        <item m="1" x="577"/>
        <item m="1" x="980"/>
        <item m="1" x="593"/>
        <item m="1" x="1013"/>
        <item m="1" x="621"/>
        <item m="1" x="1027"/>
        <item m="1" x="634"/>
        <item m="1" x="1039"/>
        <item m="1" x="648"/>
        <item m="1" x="661"/>
        <item m="1" x="1065"/>
        <item m="1" x="671"/>
        <item m="1" x="1074"/>
        <item m="1" x="680"/>
        <item m="1" x="316"/>
        <item m="1" x="697"/>
        <item m="1" x="323"/>
        <item m="1" x="703"/>
        <item m="1" x="330"/>
        <item m="1" x="713"/>
        <item m="1" x="340"/>
        <item m="1" x="723"/>
        <item x="0"/>
        <item x="1"/>
        <item x="2"/>
        <item x="3"/>
        <item x="4"/>
        <item x="5"/>
        <item x="6"/>
        <item x="7"/>
        <item x="8"/>
        <item m="1" x="705"/>
        <item x="10"/>
        <item x="11"/>
        <item x="12"/>
        <item x="13"/>
        <item x="14"/>
        <item x="15"/>
        <item x="16"/>
        <item x="17"/>
        <item x="18"/>
        <item x="19"/>
        <item x="20"/>
        <item x="21"/>
        <item x="9"/>
        <item x="22"/>
        <item x="23"/>
        <item x="24"/>
        <item x="25"/>
        <item x="26"/>
        <item x="27"/>
        <item x="28"/>
        <item x="29"/>
        <item x="30"/>
        <item x="31"/>
        <item x="32"/>
        <item x="33"/>
        <item x="37"/>
        <item x="39"/>
        <item x="34"/>
        <item x="35"/>
        <item x="36"/>
        <item x="38"/>
        <item x="40"/>
        <item x="43"/>
        <item x="44"/>
        <item x="45"/>
        <item x="46"/>
        <item x="47"/>
        <item x="48"/>
        <item x="49"/>
        <item x="50"/>
        <item x="51"/>
        <item x="52"/>
        <item x="53"/>
        <item x="54"/>
        <item x="55"/>
        <item x="56"/>
        <item x="57"/>
        <item x="58"/>
        <item x="59"/>
        <item x="60"/>
        <item x="61"/>
        <item x="62"/>
        <item x="63"/>
        <item x="64"/>
        <item x="65"/>
        <item x="67"/>
        <item x="68"/>
        <item x="70"/>
        <item x="72"/>
        <item x="74"/>
        <item x="76"/>
        <item x="80"/>
        <item x="81"/>
        <item x="82"/>
        <item x="83"/>
        <item x="66"/>
        <item x="69"/>
        <item x="71"/>
        <item x="73"/>
        <item x="84"/>
        <item x="85"/>
        <item x="75"/>
        <item x="77"/>
        <item x="78"/>
        <item x="79"/>
        <item x="86"/>
        <item x="87"/>
        <item x="89"/>
        <item x="91"/>
        <item x="93"/>
        <item x="94"/>
        <item x="96"/>
        <item x="98"/>
        <item x="100"/>
        <item x="101"/>
        <item x="102"/>
        <item x="103"/>
        <item x="104"/>
        <item x="105"/>
        <item x="106"/>
        <item x="88"/>
        <item x="90"/>
        <item x="92"/>
        <item x="95"/>
        <item x="97"/>
        <item x="99"/>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4"/>
        <item x="155"/>
        <item x="156"/>
        <item x="157"/>
        <item x="158"/>
        <item x="159"/>
        <item x="160"/>
        <item x="161"/>
        <item x="162"/>
        <item x="163"/>
        <item x="164"/>
        <item x="165"/>
        <item x="166"/>
        <item x="167"/>
        <item x="168"/>
        <item x="170"/>
        <item x="171"/>
        <item x="172"/>
        <item x="173"/>
        <item x="174"/>
        <item x="175"/>
        <item x="176"/>
        <item x="169"/>
        <item x="178"/>
        <item x="179"/>
        <item x="180"/>
        <item x="181"/>
        <item x="182"/>
        <item x="183"/>
        <item x="184"/>
        <item x="185"/>
        <item x="186"/>
        <item x="187"/>
        <item x="188"/>
        <item x="189"/>
        <item x="190"/>
        <item x="191"/>
        <item x="192"/>
        <item x="193"/>
        <item x="194"/>
        <item x="195"/>
        <item x="196"/>
        <item x="197"/>
        <item x="198"/>
        <item x="309"/>
        <item m="1" x="505"/>
        <item m="1" x="615"/>
        <item m="1" x="839"/>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41"/>
        <item x="42"/>
        <item x="151"/>
        <item x="152"/>
        <item x="153"/>
        <item x="177"/>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s>
      <extLst>
        <ext xmlns:x14="http://schemas.microsoft.com/office/spreadsheetml/2009/9/main" uri="{2946ED86-A175-432a-8AC1-64E0C546D7DE}">
          <x14:pivotField fillDownLabels="1"/>
        </ext>
      </extLst>
    </pivotField>
    <pivotField axis="axisRow" compact="0" outline="0" subtotalTop="0" showAll="0" defaultSubtotal="0">
      <items count="26">
        <item x="0"/>
        <item x="1"/>
        <item x="2"/>
        <item x="3"/>
        <item x="4"/>
        <item x="5"/>
        <item x="6"/>
        <item x="7"/>
        <item x="8"/>
        <item x="9"/>
        <item x="10"/>
        <item x="11"/>
        <item x="12"/>
        <item x="13"/>
        <item x="14"/>
        <item x="15"/>
        <item x="16"/>
        <item x="17"/>
        <item x="18"/>
        <item x="19"/>
        <item x="20"/>
        <item x="21"/>
        <item x="22"/>
        <item x="23"/>
        <item x="24"/>
        <item x="25"/>
      </items>
      <extLst>
        <ext xmlns:x14="http://schemas.microsoft.com/office/spreadsheetml/2009/9/main" uri="{2946ED86-A175-432a-8AC1-64E0C546D7DE}">
          <x14:pivotField fillDownLabels="1"/>
        </ext>
      </extLst>
    </pivotField>
    <pivotField dataField="1" compact="0" outline="0" showAll="0" defaultSubtotal="0">
      <items count="57">
        <item x="19"/>
        <item x="2"/>
        <item x="15"/>
        <item x="4"/>
        <item x="12"/>
        <item x="5"/>
        <item x="13"/>
        <item x="7"/>
        <item x="14"/>
        <item x="6"/>
        <item x="16"/>
        <item x="3"/>
        <item x="9"/>
        <item x="1"/>
        <item x="0"/>
        <item x="8"/>
        <item x="11"/>
        <item x="20"/>
        <item x="10"/>
        <item m="1" x="56"/>
        <item m="1" x="39"/>
        <item m="1" x="30"/>
        <item m="1" x="55"/>
        <item m="1" x="38"/>
        <item m="1" x="25"/>
        <item m="1" x="51"/>
        <item m="1" x="41"/>
        <item m="1" x="29"/>
        <item m="1" x="45"/>
        <item m="1" x="34"/>
        <item m="1" x="50"/>
        <item m="1" x="28"/>
        <item m="1" x="44"/>
        <item m="1" x="54"/>
        <item m="1" x="52"/>
        <item m="1" x="46"/>
        <item m="1" x="53"/>
        <item m="1" x="24"/>
        <item m="1" x="49"/>
        <item m="1" x="40"/>
        <item x="17"/>
        <item x="18"/>
        <item m="1" x="31"/>
        <item m="1" x="37"/>
        <item x="22"/>
        <item m="1" x="47"/>
        <item m="1" x="26"/>
        <item m="1" x="33"/>
        <item m="1" x="32"/>
        <item m="1" x="48"/>
        <item m="1" x="23"/>
        <item m="1" x="43"/>
        <item m="1" x="35"/>
        <item m="1" x="36"/>
        <item m="1" x="42"/>
        <item m="1" x="27"/>
        <item x="21"/>
      </items>
      <extLst>
        <ext xmlns:x14="http://schemas.microsoft.com/office/spreadsheetml/2009/9/main" uri="{2946ED86-A175-432a-8AC1-64E0C546D7DE}">
          <x14:pivotField fillDownLabels="1"/>
        </ext>
      </extLst>
    </pivotField>
    <pivotField axis="axisRow" compact="0" outline="0" showAll="0" defaultSubtotal="0">
      <items count="7">
        <item m="1" x="4"/>
        <item x="1"/>
        <item m="1" x="3"/>
        <item m="1" x="5"/>
        <item x="0"/>
        <item m="1" x="6"/>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curso:" axis="axisPage" compact="0" outline="0" showAll="0" defaultSubtotal="0">
      <items count="76">
        <item m="1" x="30"/>
        <item x="9"/>
        <item m="1" x="69"/>
        <item m="1" x="75"/>
        <item m="1" x="65"/>
        <item m="1" x="31"/>
        <item m="1" x="64"/>
        <item m="1" x="29"/>
        <item m="1" x="67"/>
        <item m="1" x="62"/>
        <item m="1" x="49"/>
        <item x="5"/>
        <item m="1" x="39"/>
        <item x="2"/>
        <item m="1" x="46"/>
        <item m="1" x="28"/>
        <item m="1" x="48"/>
        <item m="1" x="33"/>
        <item m="1" x="53"/>
        <item m="1" x="74"/>
        <item m="1" x="43"/>
        <item m="1" x="52"/>
        <item m="1" x="42"/>
        <item x="11"/>
        <item m="1" x="27"/>
        <item m="1" x="66"/>
        <item m="1" x="54"/>
        <item m="1" x="55"/>
        <item m="1" x="26"/>
        <item m="1" x="44"/>
        <item m="1" x="63"/>
        <item m="1" x="61"/>
        <item m="1" x="60"/>
        <item m="1" x="59"/>
        <item x="1"/>
        <item x="20"/>
        <item m="1" x="73"/>
        <item x="0"/>
        <item m="1" x="56"/>
        <item m="1" x="47"/>
        <item x="4"/>
        <item m="1" x="36"/>
        <item m="1" x="37"/>
        <item m="1" x="38"/>
        <item m="1" x="41"/>
        <item x="6"/>
        <item m="1" x="34"/>
        <item m="1" x="50"/>
        <item m="1" x="72"/>
        <item m="1" x="45"/>
        <item x="3"/>
        <item x="25"/>
        <item x="7"/>
        <item x="8"/>
        <item x="10"/>
        <item x="12"/>
        <item x="13"/>
        <item x="14"/>
        <item x="15"/>
        <item m="1" x="35"/>
        <item m="1" x="57"/>
        <item m="1" x="58"/>
        <item m="1" x="70"/>
        <item m="1" x="71"/>
        <item x="16"/>
        <item m="1" x="32"/>
        <item m="1" x="68"/>
        <item x="18"/>
        <item x="19"/>
        <item x="21"/>
        <item x="22"/>
        <item m="1" x="51"/>
        <item m="1" x="40"/>
        <item x="17"/>
        <item x="23"/>
        <item x="2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Periodo:" axis="axisPage" compact="0" outline="0" showAll="0" defaultSubtotal="0">
      <items count="14">
        <item x="0"/>
        <item x="1"/>
        <item x="2"/>
        <item x="3"/>
        <item x="4"/>
        <item x="5"/>
        <item x="6"/>
        <item x="7"/>
        <item x="8"/>
        <item x="9"/>
        <item x="10"/>
        <item x="11"/>
        <item m="1" x="13"/>
        <item x="12"/>
      </items>
      <extLst>
        <ext xmlns:x14="http://schemas.microsoft.com/office/spreadsheetml/2009/9/main" uri="{2946ED86-A175-432a-8AC1-64E0C546D7DE}">
          <x14:pivotField fillDownLabels="1"/>
        </ext>
      </extLst>
    </pivotField>
    <pivotField axis="axisRow" compact="0" outline="0" showAll="0" defaultSubtotal="0">
      <items count="7">
        <item x="6"/>
        <item x="3"/>
        <item x="0"/>
        <item x="2"/>
        <item x="4"/>
        <item x="1"/>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8"/>
    <field x="4"/>
    <field x="9"/>
    <field x="10"/>
    <field x="11"/>
    <field x="12"/>
    <field x="14"/>
    <field x="23"/>
  </rowFields>
  <rowItems count="22">
    <i>
      <x v="6655"/>
      <x v="134"/>
      <x v="406"/>
      <x v="1"/>
      <x v="945"/>
      <x v="14"/>
      <x v="1"/>
      <x v="1"/>
    </i>
    <i r="2">
      <x v="407"/>
      <x v="1"/>
      <x v="946"/>
      <x v="14"/>
      <x v="4"/>
      <x v="1"/>
    </i>
    <i>
      <x v="6656"/>
      <x v="134"/>
      <x v="408"/>
      <x v="1"/>
      <x v="947"/>
      <x v="14"/>
      <x v="1"/>
      <x v="1"/>
    </i>
    <i r="2">
      <x v="409"/>
      <x v="1"/>
      <x v="948"/>
      <x v="14"/>
      <x v="4"/>
      <x v="1"/>
    </i>
    <i>
      <x v="6657"/>
      <x v="134"/>
      <x v="410"/>
      <x v="1"/>
      <x v="949"/>
      <x v="14"/>
      <x v="1"/>
      <x v="1"/>
    </i>
    <i r="2">
      <x v="411"/>
      <x v="1"/>
      <x v="950"/>
      <x v="14"/>
      <x v="4"/>
      <x v="1"/>
    </i>
    <i>
      <x v="6658"/>
      <x v="134"/>
      <x v="412"/>
      <x v="1"/>
      <x v="951"/>
      <x v="14"/>
      <x v="1"/>
      <x v="1"/>
    </i>
    <i r="2">
      <x v="413"/>
      <x v="1"/>
      <x v="952"/>
      <x v="14"/>
      <x v="1"/>
      <x v="1"/>
    </i>
    <i r="2">
      <x v="414"/>
      <x v="1"/>
      <x v="953"/>
      <x v="14"/>
      <x v="1"/>
      <x v="1"/>
    </i>
    <i r="2">
      <x v="415"/>
      <x v="1"/>
      <x v="954"/>
      <x v="14"/>
      <x v="1"/>
      <x v="1"/>
    </i>
    <i r="2">
      <x v="416"/>
      <x v="1"/>
      <x v="955"/>
      <x v="14"/>
      <x v="1"/>
      <x v="1"/>
    </i>
    <i r="2">
      <x v="417"/>
      <x v="1"/>
      <x v="956"/>
      <x v="14"/>
      <x v="1"/>
      <x v="1"/>
    </i>
    <i r="2">
      <x v="418"/>
      <x v="1"/>
      <x v="957"/>
      <x v="14"/>
      <x v="1"/>
      <x v="1"/>
    </i>
    <i r="2">
      <x v="419"/>
      <x v="1"/>
      <x v="958"/>
      <x v="15"/>
      <x v="4"/>
      <x v="1"/>
    </i>
    <i>
      <x v="6659"/>
      <x v="134"/>
      <x v="420"/>
      <x v="1"/>
      <x v="959"/>
      <x v="14"/>
      <x v="1"/>
      <x v="1"/>
    </i>
    <i r="2">
      <x v="421"/>
      <x v="1"/>
      <x v="960"/>
      <x v="14"/>
      <x v="4"/>
      <x v="1"/>
    </i>
    <i>
      <x v="6660"/>
      <x v="134"/>
      <x v="422"/>
      <x v="1"/>
      <x v="961"/>
      <x v="14"/>
      <x v="1"/>
      <x v="1"/>
    </i>
    <i r="2">
      <x v="423"/>
      <x v="1"/>
      <x v="962"/>
      <x v="14"/>
      <x v="1"/>
      <x v="1"/>
    </i>
    <i r="2">
      <x v="424"/>
      <x v="1"/>
      <x v="963"/>
      <x v="14"/>
      <x v="1"/>
      <x v="1"/>
    </i>
    <i r="2">
      <x v="425"/>
      <x v="1"/>
      <x v="964"/>
      <x v="14"/>
      <x v="1"/>
      <x v="1"/>
    </i>
    <i r="2">
      <x v="426"/>
      <x v="1"/>
      <x v="965"/>
      <x v="14"/>
      <x v="4"/>
      <x v="1"/>
    </i>
    <i t="grand">
      <x/>
    </i>
  </rowItems>
  <colItems count="1">
    <i/>
  </colItems>
  <pageFields count="2">
    <pageField fld="16" item="11" hier="-1"/>
    <pageField fld="22" item="8" hier="-1"/>
  </pageFields>
  <dataFields count="1">
    <dataField name="Total de Horas" fld="13" baseField="0" baseItem="0"/>
  </dataFields>
  <formats count="33">
    <format dxfId="1260">
      <pivotArea field="8" type="button" dataOnly="0" labelOnly="1" outline="0" axis="axisRow" fieldPosition="0"/>
    </format>
    <format dxfId="1259">
      <pivotArea field="4" type="button" dataOnly="0" labelOnly="1" outline="0" axis="axisRow" fieldPosition="1"/>
    </format>
    <format dxfId="1258">
      <pivotArea field="9" type="button" dataOnly="0" labelOnly="1" outline="0" axis="axisRow" fieldPosition="2"/>
    </format>
    <format dxfId="1257">
      <pivotArea field="10" type="button" dataOnly="0" labelOnly="1" outline="0" axis="axisRow" fieldPosition="3"/>
    </format>
    <format dxfId="1256">
      <pivotArea field="11" type="button" dataOnly="0" labelOnly="1" outline="0" axis="axisRow" fieldPosition="4"/>
    </format>
    <format dxfId="1255">
      <pivotArea field="12" type="button" dataOnly="0" labelOnly="1" outline="0" axis="axisRow" fieldPosition="5"/>
    </format>
    <format dxfId="1254">
      <pivotArea field="13" type="button" dataOnly="0" labelOnly="1" outline="0"/>
    </format>
    <format dxfId="1253">
      <pivotArea field="14" type="button" dataOnly="0" labelOnly="1" outline="0" axis="axisRow" fieldPosition="6"/>
    </format>
    <format dxfId="1252">
      <pivotArea field="23" type="button" dataOnly="0" labelOnly="1" outline="0" axis="axisRow" fieldPosition="7"/>
    </format>
    <format dxfId="1251">
      <pivotArea field="8" type="button" dataOnly="0" labelOnly="1" outline="0" axis="axisRow" fieldPosition="0"/>
    </format>
    <format dxfId="1250">
      <pivotArea field="4" type="button" dataOnly="0" labelOnly="1" outline="0" axis="axisRow" fieldPosition="1"/>
    </format>
    <format dxfId="1249">
      <pivotArea field="9" type="button" dataOnly="0" labelOnly="1" outline="0" axis="axisRow" fieldPosition="2"/>
    </format>
    <format dxfId="1248">
      <pivotArea field="10" type="button" dataOnly="0" labelOnly="1" outline="0" axis="axisRow" fieldPosition="3"/>
    </format>
    <format dxfId="1247">
      <pivotArea field="11" type="button" dataOnly="0" labelOnly="1" outline="0" axis="axisRow" fieldPosition="4"/>
    </format>
    <format dxfId="1246">
      <pivotArea field="12" type="button" dataOnly="0" labelOnly="1" outline="0" axis="axisRow" fieldPosition="5"/>
    </format>
    <format dxfId="1245">
      <pivotArea field="13" type="button" dataOnly="0" labelOnly="1" outline="0"/>
    </format>
    <format dxfId="1244">
      <pivotArea field="14" type="button" dataOnly="0" labelOnly="1" outline="0" axis="axisRow" fieldPosition="6"/>
    </format>
    <format dxfId="1243">
      <pivotArea field="23" type="button" dataOnly="0" labelOnly="1" outline="0" axis="axisRow" fieldPosition="7"/>
    </format>
    <format dxfId="1242">
      <pivotArea field="8" type="button" dataOnly="0" labelOnly="1" outline="0" axis="axisRow" fieldPosition="0"/>
    </format>
    <format dxfId="1241">
      <pivotArea field="4" type="button" dataOnly="0" labelOnly="1" outline="0" axis="axisRow" fieldPosition="1"/>
    </format>
    <format dxfId="1240">
      <pivotArea field="9" type="button" dataOnly="0" labelOnly="1" outline="0" axis="axisRow" fieldPosition="2"/>
    </format>
    <format dxfId="1239">
      <pivotArea field="10" type="button" dataOnly="0" labelOnly="1" outline="0" axis="axisRow" fieldPosition="3"/>
    </format>
    <format dxfId="1238">
      <pivotArea field="11" type="button" dataOnly="0" labelOnly="1" outline="0" axis="axisRow" fieldPosition="4"/>
    </format>
    <format dxfId="1237">
      <pivotArea field="12" type="button" dataOnly="0" labelOnly="1" outline="0" axis="axisRow" fieldPosition="5"/>
    </format>
    <format dxfId="1236">
      <pivotArea field="13" type="button" dataOnly="0" labelOnly="1" outline="0"/>
    </format>
    <format dxfId="1235">
      <pivotArea field="14" type="button" dataOnly="0" labelOnly="1" outline="0" axis="axisRow" fieldPosition="6"/>
    </format>
    <format dxfId="1234">
      <pivotArea field="23" type="button" dataOnly="0" labelOnly="1" outline="0" axis="axisRow" fieldPosition="7"/>
    </format>
    <format dxfId="1233">
      <pivotArea dataOnly="0" labelOnly="1" outline="0" axis="axisValues" fieldPosition="0"/>
    </format>
    <format dxfId="1232">
      <pivotArea dataOnly="0" labelOnly="1" outline="0" axis="axisValues" fieldPosition="0"/>
    </format>
    <format dxfId="1231">
      <pivotArea dataOnly="0" labelOnly="1" outline="0" axis="axisValues" fieldPosition="0"/>
    </format>
    <format dxfId="1230">
      <pivotArea dataOnly="0" labelOnly="1" outline="0" fieldPosition="0">
        <references count="6">
          <reference field="4" count="1" selected="0">
            <x v="134"/>
          </reference>
          <reference field="8" count="1" selected="0">
            <x v="6655"/>
          </reference>
          <reference field="9" count="1" selected="0">
            <x v="406"/>
          </reference>
          <reference field="10" count="1" selected="0">
            <x v="1"/>
          </reference>
          <reference field="11" count="1" selected="0">
            <x v="945"/>
          </reference>
          <reference field="12" count="1">
            <x v="14"/>
          </reference>
        </references>
      </pivotArea>
    </format>
    <format dxfId="1229">
      <pivotArea dataOnly="0" labelOnly="1" outline="0" fieldPosition="0">
        <references count="6">
          <reference field="4" count="1" selected="0">
            <x v="134"/>
          </reference>
          <reference field="8" count="1" selected="0">
            <x v="6658"/>
          </reference>
          <reference field="9" count="1" selected="0">
            <x v="419"/>
          </reference>
          <reference field="10" count="1" selected="0">
            <x v="1"/>
          </reference>
          <reference field="11" count="1" selected="0">
            <x v="958"/>
          </reference>
          <reference field="12" count="1">
            <x v="15"/>
          </reference>
        </references>
      </pivotArea>
    </format>
    <format dxfId="1228">
      <pivotArea dataOnly="0" labelOnly="1" outline="0" fieldPosition="0">
        <references count="6">
          <reference field="4" count="1" selected="0">
            <x v="134"/>
          </reference>
          <reference field="8" count="1" selected="0">
            <x v="6659"/>
          </reference>
          <reference field="9" count="1" selected="0">
            <x v="420"/>
          </reference>
          <reference field="10" count="1" selected="0">
            <x v="1"/>
          </reference>
          <reference field="11" count="1" selected="0">
            <x v="959"/>
          </reference>
          <reference field="12" count="1">
            <x v="14"/>
          </reference>
        </references>
      </pivotArea>
    </format>
  </format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1" cacheId="26" applyNumberFormats="0" applyBorderFormats="0" applyFontFormats="0" applyPatternFormats="0" applyAlignmentFormats="0" applyWidthHeightFormats="1" dataCaption="Valores" updatedVersion="8" minRefreshableVersion="3" useAutoFormatting="1" colGrandTotals="0" itemPrintTitles="1" createdVersion="6" indent="0" compact="0" compactData="0" multipleFieldFilters="0" rowHeaderCaption="Ticket">
  <location ref="A10:O60" firstHeaderRow="1" firstDataRow="1" firstDataCol="14" rowPageCount="3" colPageCount="1"/>
  <pivotFields count="27">
    <pivotField axis="axisRow" compact="0" outline="0" showAll="0" defaultSubtotal="0">
      <items count="11">
        <item x="0"/>
        <item x="2"/>
        <item m="1" x="9"/>
        <item x="1"/>
        <item x="6"/>
        <item m="1" x="10"/>
        <item x="4"/>
        <item m="1" x="8"/>
        <item m="1" x="7"/>
        <item x="3"/>
        <item x="5"/>
      </items>
      <extLst>
        <ext xmlns:x14="http://schemas.microsoft.com/office/spreadsheetml/2009/9/main" uri="{2946ED86-A175-432a-8AC1-64E0C546D7DE}">
          <x14:pivotField fillDownLabels="1"/>
        </ext>
      </extLst>
    </pivotField>
    <pivotField axis="axisRow" compact="0" outline="0" showAll="0" defaultSubtotal="0">
      <items count="19">
        <item x="1"/>
        <item x="8"/>
        <item m="1" x="13"/>
        <item m="1" x="17"/>
        <item x="0"/>
        <item x="6"/>
        <item x="11"/>
        <item x="4"/>
        <item x="12"/>
        <item m="1" x="16"/>
        <item x="5"/>
        <item x="3"/>
        <item x="9"/>
        <item x="7"/>
        <item x="2"/>
        <item m="1" x="14"/>
        <item m="1" x="15"/>
        <item m="1" x="18"/>
        <item x="10"/>
      </items>
      <extLst>
        <ext xmlns:x14="http://schemas.microsoft.com/office/spreadsheetml/2009/9/main" uri="{2946ED86-A175-432a-8AC1-64E0C546D7DE}">
          <x14:pivotField fillDownLabels="1"/>
        </ext>
      </extLst>
    </pivotField>
    <pivotField axis="axisRow" compact="0" outline="0" showAll="0" defaultSubtotal="0">
      <items count="8">
        <item x="0"/>
        <item x="2"/>
        <item x="4"/>
        <item m="1" x="7"/>
        <item x="6"/>
        <item x="3"/>
        <item x="1"/>
        <item x="5"/>
      </items>
      <extLst>
        <ext xmlns:x14="http://schemas.microsoft.com/office/spreadsheetml/2009/9/main" uri="{2946ED86-A175-432a-8AC1-64E0C546D7DE}">
          <x14:pivotField fillDownLabels="1"/>
        </ext>
      </extLst>
    </pivotField>
    <pivotField compact="0" outline="0" showAll="0" defaultSubtotal="0">
      <items count="6">
        <item m="1" x="2"/>
        <item x="0"/>
        <item m="1" x="4"/>
        <item m="1" x="5"/>
        <item m="1" x="1"/>
        <item m="1" x="3"/>
      </items>
      <extLst>
        <ext xmlns:x14="http://schemas.microsoft.com/office/spreadsheetml/2009/9/main" uri="{2946ED86-A175-432a-8AC1-64E0C546D7DE}">
          <x14:pivotField fillDownLabels="1"/>
        </ext>
      </extLst>
    </pivotField>
    <pivotField axis="axisRow" compact="0" outline="0" showAll="0" defaultSubtotal="0">
      <items count="214">
        <item m="1" x="163"/>
        <item m="1" x="188"/>
        <item m="1" x="65"/>
        <item m="1" x="161"/>
        <item m="1" x="68"/>
        <item m="1" x="82"/>
        <item m="1" x="43"/>
        <item m="1" x="149"/>
        <item m="1" x="170"/>
        <item m="1" x="84"/>
        <item m="1" x="126"/>
        <item m="1" x="146"/>
        <item m="1" x="119"/>
        <item m="1" x="184"/>
        <item m="1" x="98"/>
        <item m="1" x="158"/>
        <item m="1" x="180"/>
        <item m="1" x="152"/>
        <item m="1" x="53"/>
        <item m="1" x="49"/>
        <item m="1" x="203"/>
        <item m="1" x="187"/>
        <item m="1" x="137"/>
        <item m="1" x="69"/>
        <item m="1" x="79"/>
        <item x="1"/>
        <item m="1" x="206"/>
        <item m="1" x="196"/>
        <item x="5"/>
        <item m="1" x="190"/>
        <item m="1" x="211"/>
        <item m="1" x="90"/>
        <item m="1" x="114"/>
        <item m="1" x="133"/>
        <item m="1" x="72"/>
        <item m="1" x="70"/>
        <item m="1" x="61"/>
        <item m="1" x="175"/>
        <item m="1" x="60"/>
        <item m="1" x="164"/>
        <item m="1" x="76"/>
        <item m="1" x="173"/>
        <item m="1" x="92"/>
        <item m="1" x="71"/>
        <item m="1" x="111"/>
        <item m="1" x="44"/>
        <item m="1" x="192"/>
        <item m="1" x="138"/>
        <item m="1" x="130"/>
        <item m="1" x="199"/>
        <item m="1" x="57"/>
        <item m="1" x="209"/>
        <item m="1" x="45"/>
        <item m="1" x="136"/>
        <item m="1" x="62"/>
        <item m="1" x="181"/>
        <item m="1" x="41"/>
        <item m="1" x="113"/>
        <item m="1" x="191"/>
        <item m="1" x="202"/>
        <item m="1" x="123"/>
        <item m="1" x="177"/>
        <item x="4"/>
        <item m="1" x="85"/>
        <item m="1" x="107"/>
        <item m="1" x="117"/>
        <item m="1" x="88"/>
        <item m="1" x="66"/>
        <item m="1" x="132"/>
        <item m="1" x="81"/>
        <item m="1" x="47"/>
        <item m="1" x="112"/>
        <item m="1" x="200"/>
        <item m="1" x="83"/>
        <item m="1" x="75"/>
        <item m="1" x="213"/>
        <item m="1" x="63"/>
        <item m="1" x="171"/>
        <item m="1" x="183"/>
        <item m="1" x="194"/>
        <item m="1" x="212"/>
        <item m="1" x="193"/>
        <item m="1" x="100"/>
        <item m="1" x="127"/>
        <item m="1" x="99"/>
        <item x="2"/>
        <item m="1" x="143"/>
        <item m="1" x="118"/>
        <item m="1" x="40"/>
        <item m="1" x="167"/>
        <item m="1" x="96"/>
        <item m="1" x="157"/>
        <item m="1" x="148"/>
        <item m="1" x="73"/>
        <item m="1" x="102"/>
        <item m="1" x="178"/>
        <item m="1" x="176"/>
        <item m="1" x="39"/>
        <item m="1" x="151"/>
        <item m="1" x="104"/>
        <item m="1" x="86"/>
        <item m="1" x="153"/>
        <item m="1" x="94"/>
        <item m="1" x="182"/>
        <item m="1" x="154"/>
        <item m="1" x="46"/>
        <item x="29"/>
        <item x="37"/>
        <item m="1" x="201"/>
        <item x="9"/>
        <item m="1" x="147"/>
        <item m="1" x="55"/>
        <item m="1" x="174"/>
        <item m="1" x="64"/>
        <item m="1" x="38"/>
        <item m="1" x="42"/>
        <item m="1" x="105"/>
        <item m="1" x="116"/>
        <item m="1" x="56"/>
        <item m="1" x="58"/>
        <item m="1" x="179"/>
        <item m="1" x="125"/>
        <item m="1" x="89"/>
        <item m="1" x="131"/>
        <item m="1" x="109"/>
        <item m="1" x="155"/>
        <item m="1" x="91"/>
        <item m="1" x="165"/>
        <item m="1" x="124"/>
        <item m="1" x="145"/>
        <item m="1" x="87"/>
        <item m="1" x="210"/>
        <item m="1" x="128"/>
        <item m="1" x="197"/>
        <item m="1" x="78"/>
        <item m="1" x="108"/>
        <item m="1" x="160"/>
        <item m="1" x="103"/>
        <item m="1" x="189"/>
        <item m="1" x="80"/>
        <item m="1" x="51"/>
        <item m="1" x="207"/>
        <item x="3"/>
        <item m="1" x="185"/>
        <item m="1" x="139"/>
        <item m="1" x="204"/>
        <item m="1" x="121"/>
        <item m="1" x="135"/>
        <item m="1" x="198"/>
        <item m="1" x="52"/>
        <item m="1" x="115"/>
        <item m="1" x="93"/>
        <item m="1" x="59"/>
        <item m="1" x="142"/>
        <item m="1" x="150"/>
        <item m="1" x="120"/>
        <item m="1" x="140"/>
        <item m="1" x="169"/>
        <item m="1" x="50"/>
        <item m="1" x="122"/>
        <item m="1" x="186"/>
        <item m="1" x="129"/>
        <item m="1" x="208"/>
        <item m="1" x="106"/>
        <item m="1" x="166"/>
        <item m="1" x="77"/>
        <item m="1" x="162"/>
        <item m="1" x="144"/>
        <item m="1" x="141"/>
        <item m="1" x="172"/>
        <item m="1" x="156"/>
        <item m="1" x="74"/>
        <item m="1" x="110"/>
        <item m="1" x="159"/>
        <item x="17"/>
        <item m="1" x="48"/>
        <item m="1" x="101"/>
        <item m="1" x="168"/>
        <item m="1" x="205"/>
        <item m="1" x="195"/>
        <item m="1" x="54"/>
        <item m="1" x="95"/>
        <item m="1" x="97"/>
        <item m="1" x="67"/>
        <item x="0"/>
        <item x="6"/>
        <item x="7"/>
        <item x="8"/>
        <item x="10"/>
        <item x="11"/>
        <item x="12"/>
        <item x="13"/>
        <item x="14"/>
        <item x="15"/>
        <item x="16"/>
        <item x="18"/>
        <item x="19"/>
        <item m="1" x="134"/>
        <item x="25"/>
        <item x="21"/>
        <item x="22"/>
        <item x="23"/>
        <item x="24"/>
        <item x="20"/>
        <item x="26"/>
        <item x="27"/>
        <item x="28"/>
        <item x="30"/>
        <item x="31"/>
        <item x="32"/>
        <item x="33"/>
        <item x="34"/>
        <item x="35"/>
        <item x="36"/>
      </items>
      <extLst>
        <ext xmlns:x14="http://schemas.microsoft.com/office/spreadsheetml/2009/9/main" uri="{2946ED86-A175-432a-8AC1-64E0C546D7DE}">
          <x14:pivotField fillDownLabels="1"/>
        </ext>
      </extLst>
    </pivotField>
    <pivotField axis="axisRow" compact="0" outline="0" showAll="0" defaultSubtotal="0">
      <items count="15">
        <item x="1"/>
        <item x="6"/>
        <item m="1" x="12"/>
        <item x="3"/>
        <item x="2"/>
        <item x="9"/>
        <item x="8"/>
        <item x="5"/>
        <item x="7"/>
        <item x="10"/>
        <item x="4"/>
        <item m="1" x="14"/>
        <item m="1" x="11"/>
        <item m="1" x="13"/>
        <item x="0"/>
      </items>
      <extLst>
        <ext xmlns:x14="http://schemas.microsoft.com/office/spreadsheetml/2009/9/main" uri="{2946ED86-A175-432a-8AC1-64E0C546D7DE}">
          <x14:pivotField fillDownLabels="1"/>
        </ext>
      </extLst>
    </pivotField>
    <pivotField axis="axisRow" compact="0" outline="0" showAll="0" defaultSubtotal="0">
      <items count="1636">
        <item m="1" x="1620"/>
        <item m="1" x="1635"/>
        <item m="1" x="1634"/>
        <item m="1" x="1633"/>
        <item x="0"/>
        <item m="1" x="1632"/>
        <item m="1" x="1623"/>
        <item m="1" x="1625"/>
        <item m="1" x="1627"/>
        <item m="1" x="1630"/>
        <item m="1" x="1628"/>
        <item m="1" x="1631"/>
        <item m="1" x="1621"/>
        <item m="1" x="1622"/>
        <item m="1" x="1624"/>
        <item m="1" x="1626"/>
        <item m="1" x="1629"/>
        <item x="1"/>
        <item x="2"/>
        <item x="3"/>
        <item x="4"/>
        <item x="5"/>
        <item x="6"/>
        <item x="7"/>
        <item x="8"/>
        <item x="9"/>
        <item x="11"/>
        <item x="12"/>
        <item x="13"/>
        <item x="15"/>
        <item x="17"/>
        <item x="19"/>
        <item x="20"/>
        <item x="22"/>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21"/>
        <item x="23"/>
        <item x="25"/>
        <item x="10"/>
        <item x="14"/>
        <item x="16"/>
        <item x="18"/>
        <item x="352"/>
        <item x="353"/>
        <item x="354"/>
        <item x="355"/>
        <item x="356"/>
        <item x="357"/>
        <item x="358"/>
        <item x="359"/>
        <item x="360"/>
        <item x="361"/>
        <item x="362"/>
        <item x="363"/>
        <item x="364"/>
        <item x="365"/>
        <item x="366"/>
        <item x="388"/>
        <item x="389"/>
        <item x="390"/>
        <item x="391"/>
        <item x="392"/>
        <item x="393"/>
        <item x="394"/>
        <item x="395"/>
        <item x="396"/>
        <item x="397"/>
        <item x="398"/>
        <item x="399"/>
        <item x="400"/>
        <item x="536"/>
        <item x="537"/>
        <item x="538"/>
        <item x="539"/>
        <item x="540"/>
        <item x="541"/>
        <item x="542"/>
        <item x="543"/>
        <item x="544"/>
        <item x="545"/>
        <item x="546"/>
        <item x="547"/>
        <item x="609"/>
        <item x="367"/>
        <item x="368"/>
        <item x="369"/>
        <item x="370"/>
        <item x="371"/>
        <item x="372"/>
        <item x="373"/>
        <item x="374"/>
        <item x="375"/>
        <item x="376"/>
        <item x="377"/>
        <item x="378"/>
        <item x="379"/>
        <item x="380"/>
        <item x="381"/>
        <item x="382"/>
        <item x="383"/>
        <item x="384"/>
        <item x="385"/>
        <item x="386"/>
        <item x="387"/>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650"/>
        <item x="651"/>
        <item x="652"/>
        <item x="653"/>
        <item x="654"/>
        <item x="655"/>
        <item x="656"/>
        <item x="657"/>
        <item x="658"/>
        <item x="659"/>
        <item x="660"/>
        <item x="816"/>
        <item x="817"/>
        <item x="818"/>
        <item x="819"/>
        <item x="820"/>
        <item x="821"/>
        <item x="822"/>
        <item x="823"/>
        <item x="824"/>
        <item x="825"/>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s>
      <extLst>
        <ext xmlns:x14="http://schemas.microsoft.com/office/spreadsheetml/2009/9/main" uri="{2946ED86-A175-432a-8AC1-64E0C546D7DE}">
          <x14:pivotField fillDownLabels="1"/>
        </ext>
      </extLst>
    </pivotField>
    <pivotField axis="axisRow" compact="0" outline="0" showAll="0" defaultSubtotal="0">
      <items count="3878">
        <item m="1" x="2324"/>
        <item m="1" x="3508"/>
        <item m="1" x="3256"/>
        <item m="1" x="3322"/>
        <item m="1" x="3353"/>
        <item m="1" x="3382"/>
        <item m="1" x="3407"/>
        <item m="1" x="3438"/>
        <item m="1" x="3258"/>
        <item m="1" x="3282"/>
        <item m="1" x="3298"/>
        <item m="1" x="2522"/>
        <item m="1" x="2331"/>
        <item m="1" x="3705"/>
        <item m="1" x="2640"/>
        <item m="1" x="1980"/>
        <item m="1" x="3830"/>
        <item m="1" x="3553"/>
        <item m="1" x="1812"/>
        <item m="1" x="3229"/>
        <item m="1" x="3010"/>
        <item m="1" x="2644"/>
        <item m="1" x="3162"/>
        <item m="1" x="1810"/>
        <item m="1" x="1560"/>
        <item m="1" x="1670"/>
        <item m="1" x="3511"/>
        <item m="1" x="1508"/>
        <item m="1" x="1628"/>
        <item m="1" x="2039"/>
        <item m="1" x="1640"/>
        <item m="1" x="3871"/>
        <item m="1" x="1548"/>
        <item m="1" x="1982"/>
        <item m="1" x="3648"/>
        <item m="1" x="2741"/>
        <item m="1" x="1661"/>
        <item m="1" x="2301"/>
        <item m="1" x="3328"/>
        <item m="1" x="2877"/>
        <item m="1" x="2540"/>
        <item m="1" x="3647"/>
        <item m="1" x="2658"/>
        <item m="1" x="2185"/>
        <item m="1" x="3006"/>
        <item m="1" x="3303"/>
        <item m="1" x="3529"/>
        <item m="1" x="3668"/>
        <item m="1" x="3163"/>
        <item m="1" x="3840"/>
        <item m="1" x="1519"/>
        <item m="1" x="1731"/>
        <item m="1" x="3406"/>
        <item m="1" x="3249"/>
        <item m="1" x="1888"/>
        <item m="1" x="1526"/>
        <item m="1" x="2347"/>
        <item m="1" x="3692"/>
        <item m="1" x="3255"/>
        <item m="1" x="3093"/>
        <item m="1" x="1643"/>
        <item m="1" x="2075"/>
        <item m="1" x="3473"/>
        <item m="1" x="2779"/>
        <item m="1" x="3733"/>
        <item m="1" x="1697"/>
        <item m="1" x="2382"/>
        <item m="1" x="2559"/>
        <item m="1" x="3548"/>
        <item m="1" x="1651"/>
        <item m="1" x="2449"/>
        <item m="1" x="2338"/>
        <item m="1" x="2158"/>
        <item m="1" x="2327"/>
        <item m="1" x="1792"/>
        <item m="1" x="2461"/>
        <item m="1" x="2997"/>
        <item m="1" x="2782"/>
        <item m="1" x="3081"/>
        <item m="1" x="3839"/>
        <item m="1" x="2802"/>
        <item m="1" x="3583"/>
        <item m="1" x="1950"/>
        <item m="1" x="1957"/>
        <item m="1" x="3717"/>
        <item m="1" x="1986"/>
        <item m="1" x="2930"/>
        <item m="1" x="3469"/>
        <item m="1" x="3503"/>
        <item m="1" x="2783"/>
        <item m="1" x="2411"/>
        <item m="1" x="3749"/>
        <item m="1" x="3178"/>
        <item m="1" x="1539"/>
        <item m="1" x="1632"/>
        <item m="1" x="1620"/>
        <item m="1" x="3179"/>
        <item m="1" x="3330"/>
        <item m="1" x="2698"/>
        <item m="1" x="1998"/>
        <item m="1" x="3344"/>
        <item m="1" x="3403"/>
        <item m="1" x="3277"/>
        <item m="1" x="3385"/>
        <item m="1" x="1595"/>
        <item m="1" x="3206"/>
        <item m="1" x="1614"/>
        <item m="1" x="3138"/>
        <item m="1" x="2990"/>
        <item m="1" x="3321"/>
        <item m="1" x="2211"/>
        <item m="1" x="2742"/>
        <item m="1" x="3578"/>
        <item m="1" x="2829"/>
        <item m="1" x="1821"/>
        <item m="1" x="2738"/>
        <item m="1" x="2447"/>
        <item m="1" x="2471"/>
        <item m="1" x="3008"/>
        <item m="1" x="2265"/>
        <item m="1" x="3751"/>
        <item m="1" x="3144"/>
        <item m="1" x="2734"/>
        <item m="1" x="2466"/>
        <item m="1" x="2957"/>
        <item m="1" x="2952"/>
        <item m="1" x="2275"/>
        <item m="1" x="3072"/>
        <item m="1" x="2287"/>
        <item m="1" x="2704"/>
        <item x="135"/>
        <item m="1" x="2171"/>
        <item m="1" x="2614"/>
        <item m="1" x="2264"/>
        <item m="1" x="1918"/>
        <item m="1" x="2343"/>
        <item m="1" x="2488"/>
        <item m="1" x="2753"/>
        <item m="1" x="3388"/>
        <item m="1" x="3187"/>
        <item m="1" x="3625"/>
        <item m="1" x="1815"/>
        <item m="1" x="3800"/>
        <item m="1" x="2808"/>
        <item m="1" x="3265"/>
        <item m="1" x="2263"/>
        <item m="1" x="1878"/>
        <item m="1" x="2246"/>
        <item m="1" x="3684"/>
        <item m="1" x="3859"/>
        <item m="1" x="3779"/>
        <item m="1" x="2879"/>
        <item m="1" x="3544"/>
        <item m="1" x="2934"/>
        <item m="1" x="2607"/>
        <item m="1" x="2152"/>
        <item m="1" x="3002"/>
        <item m="1" x="3775"/>
        <item m="1" x="2318"/>
        <item m="1" x="3181"/>
        <item m="1" x="2558"/>
        <item m="1" x="2818"/>
        <item m="1" x="3184"/>
        <item m="1" x="2001"/>
        <item m="1" x="1583"/>
        <item m="1" x="2580"/>
        <item m="1" x="3203"/>
        <item m="1" x="2118"/>
        <item m="1" x="2515"/>
        <item m="1" x="2437"/>
        <item m="1" x="3135"/>
        <item m="1" x="3709"/>
        <item m="1" x="3582"/>
        <item m="1" x="1584"/>
        <item m="1" x="2196"/>
        <item m="1" x="2656"/>
        <item m="1" x="3534"/>
        <item m="1" x="2528"/>
        <item m="1" x="2336"/>
        <item m="1" x="3110"/>
        <item m="1" x="2072"/>
        <item m="1" x="3596"/>
        <item m="1" x="1654"/>
        <item m="1" x="3209"/>
        <item m="1" x="2409"/>
        <item m="1" x="1783"/>
        <item m="1" x="3450"/>
        <item m="1" x="3323"/>
        <item m="1" x="1563"/>
        <item m="1" x="2767"/>
        <item m="1" x="2105"/>
        <item m="1" x="3387"/>
        <item m="1" x="2530"/>
        <item m="1" x="3130"/>
        <item m="1" x="2168"/>
        <item m="1" x="2671"/>
        <item m="1" x="3175"/>
        <item m="1" x="1520"/>
        <item m="1" x="2272"/>
        <item m="1" x="2870"/>
        <item m="1" x="1967"/>
        <item m="1" x="2896"/>
        <item m="1" x="2773"/>
        <item m="1" x="2251"/>
        <item m="1" x="2763"/>
        <item m="1" x="2791"/>
        <item m="1" x="1805"/>
        <item m="1" x="3121"/>
        <item m="1" x="1557"/>
        <item m="1" x="2304"/>
        <item m="1" x="2277"/>
        <item m="1" x="3233"/>
        <item m="1" x="2925"/>
        <item m="1" x="2616"/>
        <item m="1" x="3608"/>
        <item m="1" x="3155"/>
        <item m="1" x="3400"/>
        <item m="1" x="2341"/>
        <item m="1" x="3464"/>
        <item m="1" x="2215"/>
        <item m="1" x="1997"/>
        <item m="1" x="3279"/>
        <item m="1" x="3809"/>
        <item m="1" x="3257"/>
        <item m="1" x="2169"/>
        <item m="1" x="2858"/>
        <item m="1" x="1941"/>
        <item m="1" x="2054"/>
        <item m="1" x="3509"/>
        <item m="1" x="3564"/>
        <item m="1" x="1581"/>
        <item m="1" x="3386"/>
        <item m="1" x="1673"/>
        <item m="1" x="1741"/>
        <item m="1" x="2019"/>
        <item m="1" x="2814"/>
        <item m="1" x="2777"/>
        <item m="1" x="2477"/>
        <item m="1" x="1659"/>
        <item m="1" x="2335"/>
        <item m="1" x="3727"/>
        <item m="1" x="3807"/>
        <item m="1" x="2117"/>
        <item m="1" x="3505"/>
        <item m="1" x="2043"/>
        <item m="1" x="1953"/>
        <item m="1" x="2071"/>
        <item m="1" x="2162"/>
        <item m="1" x="2544"/>
        <item m="1" x="1793"/>
        <item m="1" x="2541"/>
        <item m="1" x="1842"/>
        <item m="1" x="2088"/>
        <item m="1" x="3149"/>
        <item m="1" x="1935"/>
        <item m="1" x="1609"/>
        <item m="1" x="2386"/>
        <item m="1" x="3748"/>
        <item m="1" x="3812"/>
        <item m="1" x="3695"/>
        <item m="1" x="1907"/>
        <item m="1" x="2678"/>
        <item m="1" x="3034"/>
        <item m="1" x="2442"/>
        <item m="1" x="1591"/>
        <item m="1" x="2977"/>
        <item m="1" x="2166"/>
        <item m="1" x="1946"/>
        <item m="1" x="3663"/>
        <item m="1" x="3872"/>
        <item m="1" x="1656"/>
        <item m="1" x="2036"/>
        <item m="1" x="3018"/>
        <item m="1" x="2240"/>
        <item m="1" x="1572"/>
        <item m="1" x="3864"/>
        <item m="1" x="2923"/>
        <item m="1" x="3448"/>
        <item m="1" x="2181"/>
        <item m="1" x="1756"/>
        <item m="1" x="2552"/>
        <item m="1" x="2070"/>
        <item m="1" x="2267"/>
        <item m="1" x="2589"/>
        <item m="1" x="3858"/>
        <item m="1" x="2513"/>
        <item m="1" x="2846"/>
        <item m="1" x="2428"/>
        <item m="1" x="1751"/>
        <item m="1" x="2511"/>
        <item m="1" x="3520"/>
        <item m="1" x="2965"/>
        <item m="1" x="2949"/>
        <item m="1" x="3794"/>
        <item m="1" x="1542"/>
        <item m="1" x="3498"/>
        <item m="1" x="3842"/>
        <item m="1" x="1949"/>
        <item m="1" x="3089"/>
        <item m="1" x="3669"/>
        <item m="1" x="3024"/>
        <item m="1" x="3719"/>
        <item m="1" x="1676"/>
        <item m="1" x="3792"/>
        <item m="1" x="2097"/>
        <item m="1" x="2746"/>
        <item m="1" x="3451"/>
        <item m="1" x="2371"/>
        <item m="1" x="2995"/>
        <item m="1" x="2156"/>
        <item m="1" x="3374"/>
        <item m="1" x="2214"/>
        <item m="1" x="1592"/>
        <item m="1" x="3519"/>
        <item m="1" x="3068"/>
        <item m="1" x="3079"/>
        <item m="1" x="3778"/>
        <item m="1" x="3613"/>
        <item m="1" x="2316"/>
        <item m="1" x="2780"/>
        <item m="1" x="2319"/>
        <item m="1" x="2127"/>
        <item m="1" x="3787"/>
        <item m="1" x="3479"/>
        <item m="1" x="1772"/>
        <item m="1" x="1855"/>
        <item m="1" x="3536"/>
        <item m="1" x="2274"/>
        <item m="1" x="2599"/>
        <item m="1" x="2300"/>
        <item m="1" x="3336"/>
        <item m="1" x="1802"/>
        <item m="1" x="2755"/>
        <item m="1" x="2063"/>
        <item m="1" x="1872"/>
        <item m="1" x="3174"/>
        <item m="1" x="1739"/>
        <item m="1" x="1522"/>
        <item m="1" x="1723"/>
        <item m="1" x="3497"/>
        <item m="1" x="2481"/>
        <item m="1" x="1717"/>
        <item m="1" x="2713"/>
        <item m="1" x="2787"/>
        <item m="1" x="3666"/>
        <item m="1" x="2519"/>
        <item m="1" x="2402"/>
        <item m="1" x="3118"/>
        <item m="1" x="2360"/>
        <item m="1" x="2329"/>
        <item m="1" x="3104"/>
        <item m="1" x="1637"/>
        <item m="1" x="2306"/>
        <item m="1" x="2007"/>
        <item m="1" x="1885"/>
        <item m="1" x="1968"/>
        <item m="1" x="1961"/>
        <item m="1" x="3363"/>
        <item m="1" x="3671"/>
        <item m="1" x="1590"/>
        <item m="1" x="3588"/>
        <item m="1" x="3765"/>
        <item m="1" x="2177"/>
        <item m="1" x="3539"/>
        <item m="1" x="2458"/>
        <item m="1" x="2626"/>
        <item m="1" x="1662"/>
        <item m="1" x="3290"/>
        <item x="1499"/>
        <item m="1" x="2021"/>
        <item m="1" x="3202"/>
        <item m="1" x="3621"/>
        <item m="1" x="1506"/>
        <item m="1" x="3848"/>
        <item m="1" x="1900"/>
        <item m="1" x="2199"/>
        <item m="1" x="3574"/>
        <item m="1" x="3755"/>
        <item m="1" x="3065"/>
        <item m="1" x="2064"/>
        <item m="1" x="1844"/>
        <item m="1" x="3698"/>
        <item m="1" x="2282"/>
        <item m="1" x="2387"/>
        <item m="1" x="3014"/>
        <item m="1" x="2315"/>
        <item m="1" x="3031"/>
        <item m="1" x="2160"/>
        <item m="1" x="2600"/>
        <item m="1" x="3607"/>
        <item m="1" x="2233"/>
        <item m="1" x="2950"/>
        <item m="1" x="1801"/>
        <item m="1" x="2323"/>
        <item m="1" x="1798"/>
        <item m="1" x="3177"/>
        <item m="1" x="1908"/>
        <item m="1" x="2383"/>
        <item m="1" x="3768"/>
        <item m="1" x="2283"/>
        <item m="1" x="1784"/>
        <item m="1" x="1641"/>
        <item m="1" x="2467"/>
        <item m="1" x="2014"/>
        <item m="1" x="1803"/>
        <item m="1" x="2685"/>
        <item m="1" x="3660"/>
        <item m="1" x="3704"/>
        <item m="1" x="2940"/>
        <item m="1" x="2842"/>
        <item m="1" x="1977"/>
        <item m="1" x="3028"/>
        <item m="1" x="3591"/>
        <item m="1" x="3558"/>
        <item m="1" x="2479"/>
        <item m="1" x="3099"/>
        <item m="1" x="3542"/>
        <item m="1" x="2835"/>
        <item m="1" x="3518"/>
        <item m="1" x="1535"/>
        <item m="1" x="2635"/>
        <item m="1" x="1933"/>
        <item m="1" x="3053"/>
        <item m="1" x="1847"/>
        <item m="1" x="2206"/>
        <item m="1" x="3635"/>
        <item m="1" x="2294"/>
        <item m="1" x="1655"/>
        <item m="1" x="2594"/>
        <item m="1" x="3319"/>
        <item m="1" x="1796"/>
        <item m="1" x="3026"/>
        <item m="1" x="1537"/>
        <item m="1" x="1607"/>
        <item m="1" x="2209"/>
        <item m="1" x="3046"/>
        <item m="1" x="3489"/>
        <item m="1" x="3551"/>
        <item m="1" x="2078"/>
        <item m="1" x="2512"/>
        <item m="1" x="3817"/>
        <item m="1" x="3506"/>
        <item m="1" x="3593"/>
        <item m="1" x="3370"/>
        <item m="1" x="3066"/>
        <item m="1" x="2377"/>
        <item m="1" x="2202"/>
        <item m="1" x="3264"/>
        <item m="1" x="1990"/>
        <item m="1" x="2344"/>
        <item m="1" x="2553"/>
        <item m="1" x="3774"/>
        <item m="1" x="3049"/>
        <item m="1" x="3595"/>
        <item m="1" x="2138"/>
        <item m="1" x="2913"/>
        <item m="1" x="3824"/>
        <item m="1" x="3619"/>
        <item m="1" x="2916"/>
        <item m="1" x="2970"/>
        <item m="1" x="1770"/>
        <item m="1" x="1658"/>
        <item m="1" x="1839"/>
        <item m="1" x="3227"/>
        <item m="1" x="3139"/>
        <item m="1" x="2719"/>
        <item m="1" x="3808"/>
        <item m="1" x="1996"/>
        <item m="1" x="2729"/>
        <item m="1" x="2183"/>
        <item m="1" x="2077"/>
        <item m="1" x="2948"/>
        <item m="1" x="3708"/>
        <item m="1" x="2824"/>
        <item m="1" x="2793"/>
        <item m="1" x="2660"/>
        <item m="1" x="2536"/>
        <item m="1" x="1897"/>
        <item m="1" x="3533"/>
        <item m="1" x="3310"/>
        <item m="1" x="2800"/>
        <item m="1" x="3396"/>
        <item m="1" x="3696"/>
        <item m="1" x="3039"/>
        <item m="1" x="2407"/>
        <item m="1" x="3051"/>
        <item m="1" x="2862"/>
        <item m="1" x="2124"/>
        <item m="1" x="2571"/>
        <item m="1" x="2270"/>
        <item m="1" x="2994"/>
        <item m="1" x="3231"/>
        <item m="1" x="1558"/>
        <item m="1" x="2362"/>
        <item m="1" x="3490"/>
        <item m="1" x="3159"/>
        <item m="1" x="1606"/>
        <item m="1" x="1984"/>
        <item m="1" x="1726"/>
        <item m="1" x="2222"/>
        <item m="1" x="3643"/>
        <item m="1" x="1795"/>
        <item m="1" x="1601"/>
        <item m="1" x="1854"/>
        <item m="1" x="2538"/>
        <item m="1" x="2112"/>
        <item m="1" x="2249"/>
        <item m="1" x="2956"/>
        <item m="1" x="2516"/>
        <item m="1" x="2184"/>
        <item m="1" x="3876"/>
        <item m="1" x="3838"/>
        <item m="1" x="1809"/>
        <item m="1" x="2702"/>
        <item m="1" x="3573"/>
        <item m="1" x="3064"/>
        <item m="1" x="3254"/>
        <item m="1" x="2586"/>
        <item m="1" x="3170"/>
        <item m="1" x="1547"/>
        <item m="1" x="2915"/>
        <item m="1" x="3127"/>
        <item m="1" x="3248"/>
        <item m="1" x="2749"/>
        <item m="1" x="1728"/>
        <item m="1" x="2509"/>
        <item m="1" x="2675"/>
        <item m="1" x="3044"/>
        <item m="1" x="2625"/>
        <item m="1" x="2408"/>
        <item m="1" x="2082"/>
        <item m="1" x="3194"/>
        <item m="1" x="3811"/>
        <item m="1" x="3707"/>
        <item m="1" x="2147"/>
        <item m="1" x="2590"/>
        <item m="1" x="3610"/>
        <item m="1" x="2495"/>
        <item m="1" x="2235"/>
        <item m="1" x="1681"/>
        <item m="1" x="3417"/>
        <item m="1" x="3554"/>
        <item m="1" x="2167"/>
        <item m="1" x="2506"/>
        <item m="1" x="2929"/>
        <item m="1" x="3535"/>
        <item m="1" x="3667"/>
        <item m="1" x="2320"/>
        <item m="1" x="2161"/>
        <item m="1" x="2821"/>
        <item m="1" x="1758"/>
        <item m="1" x="3674"/>
        <item m="1" x="3677"/>
        <item m="1" x="3863"/>
        <item m="1" x="2497"/>
        <item m="1" x="3796"/>
        <item m="1" x="3791"/>
        <item m="1" x="3502"/>
        <item m="1" x="3679"/>
        <item m="1" x="1846"/>
        <item m="1" x="3747"/>
        <item m="1" x="1959"/>
        <item m="1" x="2581"/>
        <item m="1" x="2420"/>
        <item m="1" x="3618"/>
        <item m="1" x="2353"/>
        <item m="1" x="3247"/>
        <item m="1" x="2596"/>
        <item m="1" x="3409"/>
        <item m="1" x="2385"/>
        <item m="1" x="2305"/>
        <item m="1" x="2099"/>
        <item m="1" x="2317"/>
        <item m="1" x="2093"/>
        <item m="1" x="2354"/>
        <item m="1" x="3154"/>
        <item m="1" x="1719"/>
        <item m="1" x="2707"/>
        <item m="1" x="3101"/>
        <item m="1" x="1898"/>
        <item m="1" x="1962"/>
        <item m="1" x="1828"/>
        <item m="1" x="3294"/>
        <item m="1" x="1954"/>
        <item m="1" x="1862"/>
        <item m="1" x="2129"/>
        <item m="1" x="1909"/>
        <item m="1" x="3656"/>
        <item m="1" x="3758"/>
        <item m="1" x="2832"/>
        <item m="1" x="1896"/>
        <item m="1" x="1924"/>
        <item m="1" x="2404"/>
        <item m="1" x="2881"/>
        <item m="1" x="1573"/>
        <item m="1" x="3670"/>
        <item m="1" x="3012"/>
        <item m="1" x="2073"/>
        <item m="1" x="3167"/>
        <item m="1" x="3861"/>
        <item m="1" x="3152"/>
        <item m="1" x="2276"/>
        <item m="1" x="2179"/>
        <item m="1" x="3826"/>
        <item m="1" x="1568"/>
        <item m="1" x="2363"/>
        <item m="1" x="3302"/>
        <item m="1" x="2241"/>
        <item m="1" x="2968"/>
        <item m="1" x="3731"/>
        <item m="1" x="2450"/>
        <item m="1" x="2960"/>
        <item m="1" x="2725"/>
        <item m="1" x="3196"/>
        <item m="1" x="1788"/>
        <item m="1" x="1732"/>
        <item m="1" x="2186"/>
        <item m="1" x="2123"/>
        <item m="1" x="2423"/>
        <item m="1" x="1791"/>
        <item m="1" x="1525"/>
        <item m="1" x="3067"/>
        <item m="1" x="3478"/>
        <item m="1" x="2959"/>
        <item m="1" x="2577"/>
        <item m="1" x="2040"/>
        <item m="1" x="1513"/>
        <item m="1" x="2631"/>
        <item m="1" x="2295"/>
        <item m="1" x="1887"/>
        <item m="1" x="3843"/>
        <item m="1" x="2840"/>
        <item m="1" x="3743"/>
        <item m="1" x="3355"/>
        <item m="1" x="2705"/>
        <item m="1" x="2035"/>
        <item m="1" x="3296"/>
        <item m="1" x="3437"/>
        <item m="1" x="2927"/>
        <item m="1" x="3214"/>
        <item m="1" x="2130"/>
        <item m="1" x="3763"/>
        <item m="1" x="3834"/>
        <item m="1" x="3823"/>
        <item m="1" x="1916"/>
        <item m="1" x="2229"/>
        <item m="1" x="2799"/>
        <item m="1" x="1755"/>
        <item m="1" x="3313"/>
        <item m="1" x="2883"/>
        <item m="1" x="3855"/>
        <item m="1" x="2417"/>
        <item m="1" x="1781"/>
        <item m="1" x="3576"/>
        <item m="1" x="3237"/>
        <item m="1" x="3025"/>
        <item m="1" x="2182"/>
        <item m="1" x="1903"/>
        <item m="1" x="2047"/>
        <item m="1" x="1712"/>
        <item m="1" x="3318"/>
        <item m="1" x="2967"/>
        <item m="1" x="3482"/>
        <item m="1" x="2682"/>
        <item m="1" x="2743"/>
        <item m="1" x="2979"/>
        <item m="1" x="2893"/>
        <item m="1" x="1604"/>
        <item m="1" x="2141"/>
        <item m="1" x="2364"/>
        <item m="1" x="2608"/>
        <item m="1" x="3055"/>
        <item m="1" x="2454"/>
        <item m="1" x="2255"/>
        <item m="1" x="2668"/>
        <item m="1" x="2159"/>
        <item m="1" x="1564"/>
        <item m="1" x="3819"/>
        <item m="1" x="3165"/>
        <item m="1" x="2232"/>
        <item m="1" x="1753"/>
        <item m="1" x="3384"/>
        <item m="1" x="2239"/>
        <item m="1" x="2573"/>
        <item m="1" x="3865"/>
        <item m="1" x="2413"/>
        <item m="1" x="3043"/>
        <item m="1" x="1724"/>
        <item m="1" x="2092"/>
        <item m="1" x="3680"/>
        <item m="1" x="3637"/>
        <item m="1" x="2766"/>
        <item m="1" x="2579"/>
        <item m="1" x="1515"/>
        <item m="1" x="2632"/>
        <item m="1" x="1970"/>
        <item m="1" x="2119"/>
        <item m="1" x="2321"/>
        <item m="1" x="2210"/>
        <item m="1" x="3627"/>
        <item m="1" x="1627"/>
        <item m="1" x="1561"/>
        <item m="1" x="2406"/>
        <item m="1" x="2562"/>
        <item m="1" x="2115"/>
        <item m="1" x="2278"/>
        <item m="1" x="1754"/>
        <item m="1" x="2714"/>
        <item m="1" x="3652"/>
        <item m="1" x="3109"/>
        <item m="1" x="2110"/>
        <item m="1" x="3592"/>
        <item m="1" x="3253"/>
        <item m="1" x="2692"/>
        <item m="1" x="2831"/>
        <item m="1" x="2933"/>
        <item m="1" x="1696"/>
        <item m="1" x="2416"/>
        <item m="1" x="2157"/>
        <item m="1" x="1852"/>
        <item m="1" x="1619"/>
        <item m="1" x="2504"/>
        <item m="1" x="3312"/>
        <item m="1" x="3598"/>
        <item m="1" x="3617"/>
        <item m="1" x="3712"/>
        <item m="1" x="1985"/>
        <item m="1" x="1644"/>
        <item m="1" x="3220"/>
        <item m="1" x="3080"/>
        <item m="1" x="2775"/>
        <item m="1" x="2016"/>
        <item m="1" x="3463"/>
        <item m="1" x="2388"/>
        <item m="1" x="2230"/>
        <item m="1" x="3516"/>
        <item m="1" x="1562"/>
        <item m="1" x="2431"/>
        <item m="1" x="2667"/>
        <item m="1" x="1692"/>
        <item m="1" x="1678"/>
        <item m="1" x="1660"/>
        <item m="1" x="1511"/>
        <item m="1" x="1943"/>
        <item m="1" x="2521"/>
        <item m="1" x="3821"/>
        <item m="1" x="1687"/>
        <item m="1" x="3108"/>
        <item m="1" x="2909"/>
        <item m="1" x="1778"/>
        <item m="1" x="2366"/>
        <item m="1" x="3565"/>
        <item m="1" x="1914"/>
        <item m="1" x="2494"/>
        <item m="1" x="3100"/>
        <item m="1" x="1892"/>
        <item m="1" x="2674"/>
        <item m="1" x="3221"/>
        <item m="1" x="2510"/>
        <item m="1" x="2938"/>
        <item m="1" x="1966"/>
        <item m="1" x="2463"/>
        <item m="1" x="3877"/>
        <item m="1" x="3693"/>
        <item m="1" x="3270"/>
        <item m="1" x="2871"/>
        <item m="1" x="2859"/>
        <item m="1" x="2907"/>
        <item m="1" x="3781"/>
        <item m="1" x="3661"/>
        <item m="1" x="2653"/>
        <item m="1" x="2709"/>
        <item m="1" x="2444"/>
        <item m="1" x="2145"/>
        <item m="1" x="3867"/>
        <item m="1" x="2689"/>
        <item m="1" x="1948"/>
        <item m="1" x="3623"/>
        <item m="1" x="2134"/>
        <item m="1" x="3525"/>
        <item m="1" x="3354"/>
        <item m="1" x="2474"/>
        <item m="1" x="3102"/>
        <item m="1" x="2457"/>
        <item m="1" x="2022"/>
        <item m="1" x="3640"/>
        <item m="1" x="2308"/>
        <item m="1" x="3467"/>
        <item m="1" x="2514"/>
        <item m="1" x="1691"/>
        <item m="1" x="2747"/>
        <item m="1" x="3431"/>
        <item m="1" x="3453"/>
        <item m="1" x="1710"/>
        <item m="1" x="2811"/>
        <item m="1" x="2197"/>
        <item m="1" x="3435"/>
        <item m="1" x="3123"/>
        <item m="1" x="1528"/>
        <item m="1" x="1857"/>
        <item m="1" x="2325"/>
        <item m="1" x="3394"/>
        <item m="1" x="3543"/>
        <item m="1" x="2441"/>
        <item m="1" x="2715"/>
        <item m="1" x="2770"/>
        <item m="1" x="2549"/>
        <item m="1" x="2066"/>
        <item m="1" x="1921"/>
        <item m="1" x="2307"/>
        <item m="1" x="2313"/>
        <item m="1" x="3662"/>
        <item m="1" x="1768"/>
        <item m="1" x="3566"/>
        <item m="1" x="2103"/>
        <item m="1" x="1811"/>
        <item m="1" x="1699"/>
        <item m="1" x="2200"/>
        <item m="1" x="3802"/>
        <item m="1" x="3603"/>
        <item m="1" x="3816"/>
        <item m="1" x="2496"/>
        <item m="1" x="2701"/>
        <item m="1" x="2922"/>
        <item m="1" x="3691"/>
        <item m="1" x="2920"/>
        <item m="1" x="2778"/>
        <item m="1" x="2165"/>
        <item m="1" x="1745"/>
        <item m="1" x="2291"/>
        <item m="1" x="3831"/>
        <item m="1" x="3141"/>
        <item m="1" x="1602"/>
        <item m="1" x="3038"/>
        <item m="1" x="3242"/>
        <item m="1" x="2346"/>
        <item m="1" x="3367"/>
        <item m="1" x="3074"/>
        <item m="1" x="1868"/>
        <item m="1" x="2672"/>
        <item m="1" x="2146"/>
        <item m="1" x="3259"/>
        <item m="1" x="1665"/>
        <item m="1" x="2882"/>
        <item m="1" x="3688"/>
        <item m="1" x="1625"/>
        <item m="1" x="3414"/>
        <item m="1" x="1586"/>
        <item m="1" x="1886"/>
        <item m="1" x="3164"/>
        <item m="1" x="3740"/>
        <item m="1" x="1631"/>
        <item m="1" x="3158"/>
        <item m="1" x="3873"/>
        <item m="1" x="2825"/>
        <item m="1" x="3198"/>
        <item m="1" x="2652"/>
        <item m="1" x="2486"/>
        <item m="1" x="3238"/>
        <item m="1" x="2478"/>
        <item m="1" x="2245"/>
        <item m="1" x="3383"/>
        <item m="1" x="1587"/>
        <item m="1" x="3689"/>
        <item m="1" x="2297"/>
        <item m="1" x="3860"/>
        <item m="1" x="1599"/>
        <item m="1" x="2009"/>
        <item m="1" x="2067"/>
        <item m="1" x="2390"/>
        <item m="1" x="2524"/>
        <item m="1" x="1622"/>
        <item m="1" x="1580"/>
        <item m="1" x="2435"/>
        <item m="1" x="2505"/>
        <item m="1" x="2234"/>
        <item m="1" x="2801"/>
        <item m="1" x="2572"/>
        <item m="1" x="3243"/>
        <item m="1" x="2188"/>
        <item m="1" x="2554"/>
        <item m="1" x="1965"/>
        <item m="1" x="3142"/>
        <item m="1" x="1570"/>
        <item m="1" x="3589"/>
        <item m="1" x="1873"/>
        <item m="1" x="2696"/>
        <item m="1" x="2154"/>
        <item m="1" x="3283"/>
        <item m="1" x="3137"/>
        <item m="1" x="3725"/>
        <item m="1" x="3764"/>
        <item m="1" x="3501"/>
        <item m="1" x="2126"/>
        <item m="1" x="3316"/>
        <item m="1" x="3425"/>
        <item m="1" x="2585"/>
        <item m="1" x="3746"/>
        <item m="1" x="1735"/>
        <item m="1" x="2736"/>
        <item m="1" x="3738"/>
        <item m="1" x="1703"/>
        <item m="1" x="1944"/>
        <item m="1" x="2132"/>
        <item m="1" x="3347"/>
        <item m="1" x="3375"/>
        <item m="1" x="1618"/>
        <item m="1" x="1534"/>
        <item m="1" x="3117"/>
        <item m="1" x="2116"/>
        <item m="1" x="2491"/>
        <item m="1" x="2786"/>
        <item m="1" x="2828"/>
        <item m="1" x="3337"/>
        <item m="1" x="1776"/>
        <item m="1" x="1603"/>
        <item m="1" x="2618"/>
        <item m="1" x="3140"/>
        <item m="1" x="3379"/>
        <item m="1" x="1734"/>
        <item m="1" x="3015"/>
        <item m="1" x="1864"/>
        <item m="1" x="3561"/>
        <item m="1" x="2312"/>
        <item m="1" x="2037"/>
        <item m="1" x="1704"/>
        <item m="1" x="2465"/>
        <item m="1" x="1567"/>
        <item m="1" x="2894"/>
        <item m="1" x="1827"/>
        <item m="1" x="2010"/>
        <item m="1" x="2621"/>
        <item m="1" x="2499"/>
        <item m="1" x="3846"/>
        <item m="1" x="3649"/>
        <item m="1" x="3244"/>
        <item m="1" x="3212"/>
        <item m="1" x="3806"/>
        <item m="1" x="3562"/>
        <item m="1" x="3697"/>
        <item m="1" x="2983"/>
        <item m="1" x="3560"/>
        <item m="1" x="2611"/>
        <item m="1" x="3711"/>
        <item m="1" x="3098"/>
        <item m="1" x="3700"/>
        <item m="1" x="2207"/>
        <item m="1" x="3111"/>
        <item m="1" x="1605"/>
        <item m="1" x="1689"/>
        <item m="1" x="3241"/>
        <item m="1" x="2432"/>
        <item m="1" x="2947"/>
        <item m="1" x="3636"/>
        <item m="1" x="3455"/>
        <item m="1" x="2527"/>
        <item m="1" x="1538"/>
        <item m="1" x="2440"/>
        <item m="1" x="3263"/>
        <item m="1" x="3474"/>
        <item m="1" x="1744"/>
        <item m="1" x="1540"/>
        <item m="1" x="2890"/>
        <item m="1" x="3236"/>
        <item m="1" x="2900"/>
        <item m="1" x="3853"/>
        <item m="1" x="2659"/>
        <item m="1" x="3706"/>
        <item m="1" x="1683"/>
        <item m="1" x="2939"/>
        <item m="1" x="2657"/>
        <item m="1" x="2752"/>
        <item m="1" x="3281"/>
        <item m="1" x="3195"/>
        <item m="1" x="3789"/>
        <item m="1" x="2529"/>
        <item m="1" x="3496"/>
        <item m="1" x="1917"/>
        <item m="1" x="3836"/>
        <item m="1" x="3017"/>
        <item m="1" x="1928"/>
        <item m="1" x="3413"/>
        <item m="1" x="2636"/>
        <item m="1" x="1578"/>
        <item m="1" x="3757"/>
        <item m="1" x="1800"/>
        <item m="1" x="2106"/>
        <item m="1" x="2848"/>
        <item m="1" x="2333"/>
        <item m="1" x="3563"/>
        <item m="1" x="2639"/>
        <item m="1" x="3722"/>
        <item m="1" x="3131"/>
        <item m="1" x="1663"/>
        <item m="1" x="2817"/>
        <item m="1" x="3338"/>
        <item m="1" x="1981"/>
        <item m="1" x="2427"/>
        <item m="1" x="3546"/>
        <item m="1" x="3327"/>
        <item m="1" x="2886"/>
        <item m="1" x="3446"/>
        <item m="1" x="2953"/>
        <item m="1" x="2556"/>
        <item m="1" x="3284"/>
        <item m="1" x="3540"/>
        <item m="1" x="2867"/>
        <item m="1" x="2935"/>
        <item m="1" x="2358"/>
        <item m="1" x="1942"/>
        <item m="1" x="1740"/>
        <item m="1" x="2155"/>
        <item m="1" x="1575"/>
        <item m="1" x="1688"/>
        <item m="1" x="2296"/>
        <item m="1" x="3395"/>
        <item m="1" x="2253"/>
        <item m="1" x="1518"/>
        <item m="1" x="2764"/>
        <item m="1" x="3874"/>
        <item m="1" x="3835"/>
        <item m="1" x="2403"/>
        <item m="1" x="1952"/>
        <item m="1" x="2584"/>
        <item m="1" x="2615"/>
        <item m="1" x="1767"/>
        <item m="1" x="3115"/>
        <item m="1" x="3452"/>
        <item m="1" x="1559"/>
        <item m="1" x="3741"/>
        <item m="1" x="2872"/>
        <item m="1" x="2587"/>
        <item m="1" x="1707"/>
        <item m="1" x="2857"/>
        <item m="1" x="2302"/>
        <item m="1" x="2889"/>
        <item m="1" x="3345"/>
        <item m="1" x="3027"/>
        <item m="1" x="2008"/>
        <item m="1" x="2865"/>
        <item m="1" x="1877"/>
        <item m="1" x="3461"/>
        <item m="1" x="1527"/>
        <item m="1" x="1682"/>
        <item m="1" x="2993"/>
        <item m="1" x="2280"/>
        <item m="1" x="2493"/>
        <item m="1" x="3685"/>
        <item m="1" x="2139"/>
        <item m="1" x="2836"/>
        <item m="1" x="3143"/>
        <item m="1" x="3798"/>
        <item m="1" x="2758"/>
        <item m="1" x="1824"/>
        <item m="1" x="1769"/>
        <item m="1" x="1763"/>
        <item m="1" x="2459"/>
        <item m="1" x="1808"/>
        <item m="1" x="1642"/>
        <item m="1" x="1983"/>
        <item m="1" x="2919"/>
        <item m="1" x="3457"/>
        <item m="1" x="1911"/>
        <item m="1" x="1705"/>
        <item m="1" x="3289"/>
        <item m="1" x="2424"/>
        <item m="1" x="2875"/>
        <item m="1" x="1814"/>
        <item m="1" x="2469"/>
        <item m="1" x="3190"/>
        <item m="1" x="3815"/>
        <item m="1" x="1771"/>
        <item m="1" x="1507"/>
        <item m="1" x="3371"/>
        <item m="1" x="3239"/>
        <item m="1" x="2966"/>
        <item m="1" x="2345"/>
        <item m="1" x="3606"/>
        <item m="1" x="2027"/>
        <item m="1" x="2011"/>
        <item m="1" x="2135"/>
        <item m="1" x="3333"/>
        <item m="1" x="2971"/>
        <item m="1" x="3334"/>
        <item m="1" x="1549"/>
        <item m="1" x="3029"/>
        <item m="1" x="3390"/>
        <item m="1" x="1546"/>
        <item m="1" x="1730"/>
        <item m="1" x="1593"/>
        <item m="1" x="1702"/>
        <item m="1" x="2951"/>
        <item m="1" x="1926"/>
        <item m="1" x="3260"/>
        <item m="1" x="2575"/>
        <item m="1" x="1905"/>
        <item m="1" x="1500"/>
        <item m="1" x="2985"/>
        <item m="1" x="3421"/>
        <item m="1" x="2017"/>
        <item m="1" x="3449"/>
        <item m="1" x="3314"/>
        <item m="1" x="3341"/>
        <item m="1" x="3315"/>
        <item m="1" x="2058"/>
        <item m="1" x="2992"/>
        <item m="1" x="3650"/>
        <item m="1" x="1666"/>
        <item m="1" x="3470"/>
        <item m="1" x="2194"/>
        <item m="1" x="1512"/>
        <item m="1" x="1867"/>
        <item m="1" x="2085"/>
        <item m="1" x="2445"/>
        <item m="1" x="1565"/>
        <item m="1" x="3638"/>
        <item m="1" x="3252"/>
        <item m="1" x="2023"/>
        <item m="1" x="1773"/>
        <item m="1" x="2238"/>
        <item m="1" x="3776"/>
        <item m="1" x="2617"/>
        <item m="1" x="2342"/>
        <item m="1" x="2285"/>
        <item m="1" x="2955"/>
        <item m="1" x="3350"/>
        <item m="1" x="3594"/>
        <item m="1" x="2837"/>
        <item m="1" x="1701"/>
        <item m="1" x="2868"/>
        <item m="1" x="2415"/>
        <item m="1" x="1743"/>
        <item m="1" x="1588"/>
        <item m="1" x="2492"/>
        <item m="1" x="3454"/>
        <item m="1" x="1711"/>
        <item m="1" x="1976"/>
        <item m="1" x="3575"/>
        <item m="1" x="2033"/>
        <item m="1" x="2142"/>
        <item m="1" x="3365"/>
        <item m="1" x="2984"/>
        <item m="1" x="3366"/>
        <item m="1" x="1925"/>
        <item m="1" x="2891"/>
        <item m="1" x="1517"/>
        <item m="1" x="2349"/>
        <item m="1" x="3829"/>
        <item m="1" x="2350"/>
        <item m="1" x="3504"/>
        <item m="1" x="2121"/>
        <item m="1" x="3120"/>
        <item m="1" x="2931"/>
        <item m="1" x="3744"/>
        <item m="1" x="2084"/>
        <item m="1" x="1919"/>
        <item m="1" x="2557"/>
        <item m="1" x="3620"/>
        <item m="1" x="3185"/>
        <item m="1" x="1830"/>
        <item m="1" x="2500"/>
        <item m="1" x="3125"/>
        <item m="1" x="2624"/>
        <item m="1" x="2374"/>
        <item m="1" x="2114"/>
        <item m="1" x="2355"/>
        <item m="1" x="3113"/>
        <item m="1" x="1938"/>
        <item m="1" x="1989"/>
        <item m="1" x="2057"/>
        <item m="1" x="2570"/>
        <item m="1" x="2456"/>
        <item m="1" x="3325"/>
        <item m="1" x="3132"/>
        <item m="1" x="3291"/>
        <item m="1" x="3480"/>
        <item m="1" x="3426"/>
        <item m="1" x="3245"/>
        <item m="1" x="2392"/>
        <item m="1" x="3251"/>
        <item m="1" x="2843"/>
        <item m="1" x="2750"/>
        <item m="1" x="1991"/>
        <item m="1" x="3849"/>
        <item m="1" x="3023"/>
        <item m="1" x="3392"/>
        <item m="1" x="2703"/>
        <item m="1" x="3402"/>
        <item m="1" x="3512"/>
        <item m="1" x="1995"/>
        <item m="1" x="2244"/>
        <item m="1" x="2861"/>
        <item m="1" x="2622"/>
        <item m="1" x="2826"/>
        <item m="1" x="2399"/>
        <item m="1" x="3091"/>
        <item m="1" x="2190"/>
        <item m="1" x="2771"/>
        <item m="1" x="3381"/>
        <item m="1" x="1834"/>
        <item m="1" x="1639"/>
        <item m="1" x="2588"/>
        <item m="1" x="3616"/>
        <item m="1" x="2262"/>
        <item m="1" x="2651"/>
        <item m="1" x="3524"/>
        <item m="1" x="3128"/>
        <item m="1" x="2290"/>
        <item m="1" x="2498"/>
        <item m="1" x="2623"/>
        <item m="1" x="1760"/>
        <item m="1" x="2533"/>
        <item m="1" x="1865"/>
        <item m="1" x="1504"/>
        <item m="1" x="3481"/>
        <item m="1" x="3714"/>
        <item m="1" x="2298"/>
        <item m="1" x="2520"/>
        <item m="1" x="3515"/>
        <item m="1" x="2897"/>
        <item m="1" x="1550"/>
        <item m="1" x="2292"/>
        <item m="1" x="1650"/>
        <item m="1" x="2650"/>
        <item m="1" x="1716"/>
        <item m="1" x="2322"/>
        <item m="1" x="3092"/>
        <item m="1" x="2666"/>
        <item m="1" x="1863"/>
        <item m="1" x="2849"/>
        <item m="1" x="3419"/>
        <item m="1" x="3841"/>
        <item m="1" x="2760"/>
        <item m="1" x="3686"/>
        <item m="1" x="2475"/>
        <item m="1" x="2376"/>
        <item m="1" x="3208"/>
        <item m="1" x="3418"/>
        <item m="1" x="3468"/>
        <item m="1" x="1718"/>
        <item m="1" x="3041"/>
        <item m="1" x="1721"/>
        <item m="1" x="2026"/>
        <item m="1" x="1891"/>
        <item m="1" x="3782"/>
        <item m="1" x="3085"/>
        <item m="1" x="1964"/>
        <item m="1" x="2153"/>
        <item m="1" x="3082"/>
        <item m="1" x="3654"/>
        <item m="1" x="2050"/>
        <item m="1" x="1582"/>
        <item m="1" x="2642"/>
        <item m="1" x="2697"/>
        <item m="1" x="2720"/>
        <item m="1" x="2340"/>
        <item m="1" x="3416"/>
        <item m="1" x="1832"/>
        <item m="1" x="3205"/>
        <item m="1" x="1680"/>
        <item m="1" x="2443"/>
        <item m="1" x="1939"/>
        <item m="1" x="2195"/>
        <item m="1" x="1589"/>
        <item m="1" x="3494"/>
        <item m="1" x="3404"/>
        <item m="1" x="2629"/>
        <item m="1" x="2745"/>
        <item m="1" x="2006"/>
        <item m="1" x="2056"/>
        <item m="1" x="1733"/>
        <item m="1" x="1653"/>
        <item m="1" x="3443"/>
        <item m="1" x="1646"/>
        <item m="1" x="2483"/>
        <item m="1" x="3730"/>
        <item m="1" x="1533"/>
        <item m="1" x="2375"/>
        <item m="1" x="2368"/>
        <item m="1" x="3210"/>
        <item m="1" x="3531"/>
        <item m="1" x="2550"/>
        <item m="1" x="1843"/>
        <item m="1" x="1913"/>
        <item m="1" x="2944"/>
        <item m="1" x="1816"/>
        <item m="1" x="2254"/>
        <item m="1" x="3428"/>
        <item m="1" x="3070"/>
        <item m="1" x="2038"/>
        <item m="1" x="3393"/>
        <item m="1" x="2004"/>
        <item m="1" x="3339"/>
        <item m="1" x="3612"/>
        <item m="1" x="2943"/>
        <item m="1" x="1894"/>
        <item m="1" x="3037"/>
        <item m="1" x="2412"/>
        <item m="1" x="2645"/>
        <item m="1" x="2833"/>
        <item m="1" x="1956"/>
        <item m="1" x="2091"/>
        <item m="1" x="2243"/>
        <item m="1" x="3790"/>
        <item m="1" x="2430"/>
        <item m="1" x="3491"/>
        <item m="1" x="2937"/>
        <item m="1" x="3622"/>
        <item m="1" x="3615"/>
        <item m="1" x="3274"/>
        <item m="1" x="1901"/>
        <item m="1" x="1804"/>
        <item m="1" x="2525"/>
        <item m="1" x="2649"/>
        <item m="1" x="2744"/>
        <item m="1" x="1775"/>
        <item m="1" x="2996"/>
        <item m="1" x="1955"/>
        <item m="1" x="1747"/>
        <item m="1" x="2125"/>
        <item m="1" x="3246"/>
        <item m="1" x="2365"/>
        <item m="1" x="3346"/>
        <item m="1" x="1835"/>
        <item m="1" x="3234"/>
        <item m="1" x="1624"/>
        <item m="1" x="2637"/>
        <item m="1" x="1987"/>
        <item m="1" x="2727"/>
        <item m="1" x="3797"/>
        <item m="1" x="3517"/>
        <item m="1" x="3320"/>
        <item m="1" x="2473"/>
        <item m="1" x="3599"/>
        <item m="1" x="2638"/>
        <item m="1" x="2090"/>
        <item m="1" x="2468"/>
        <item m="1" x="3096"/>
        <item m="1" x="1785"/>
        <item m="1" x="2661"/>
        <item m="1" x="2551"/>
        <item m="1" x="3439"/>
        <item m="1" x="2662"/>
        <item m="1" x="3605"/>
        <item m="1" x="3050"/>
        <item m="1" x="1722"/>
        <item m="1" x="2419"/>
        <item m="1" x="3107"/>
        <item m="1" x="3276"/>
        <item m="1" x="2030"/>
        <item m="1" x="1761"/>
        <item m="1" x="3146"/>
        <item m="1" x="2812"/>
        <item m="1" x="1541"/>
        <item m="1" x="2866"/>
        <item m="1" x="2597"/>
        <item m="1" x="1912"/>
        <item m="1" x="2754"/>
        <item m="1" x="2964"/>
        <item m="1" x="2288"/>
        <item m="1" x="1853"/>
        <item m="1" x="2400"/>
        <item m="1" x="2757"/>
        <item m="1" x="3814"/>
        <item m="1" x="2372"/>
        <item m="1" x="2561"/>
        <item m="1" x="2279"/>
        <item m="1" x="3362"/>
        <item m="1" x="2178"/>
        <item m="1" x="2973"/>
        <item m="1" x="3683"/>
        <item m="1" x="3215"/>
        <item m="1" x="3161"/>
        <item m="1" x="3032"/>
        <item m="1" x="3737"/>
        <item m="1" x="2910"/>
        <item m="1" x="2601"/>
        <item m="1" x="3614"/>
        <item m="1" x="3150"/>
        <item m="1" x="3157"/>
        <item m="1" x="3521"/>
        <item m="1" x="2769"/>
        <item m="1" x="3851"/>
        <item m="1" x="2958"/>
        <item m="1" x="2654"/>
        <item m="1" x="1545"/>
        <item m="1" x="2792"/>
        <item m="1" x="2908"/>
        <item m="1" x="2603"/>
        <item m="1" x="2604"/>
        <item m="1" x="3804"/>
        <item m="1" x="1762"/>
        <item m="1" x="2679"/>
        <item m="1" x="3434"/>
        <item m="1" x="3223"/>
        <item m="1" x="2081"/>
        <item m="1" x="3199"/>
        <item m="1" x="2351"/>
        <item m="1" x="2693"/>
        <item m="1" x="2732"/>
        <item m="1" x="3084"/>
        <item m="1" x="3682"/>
        <item m="1" x="3273"/>
        <item m="1" x="3777"/>
        <item m="1" x="2225"/>
        <item m="1" x="3147"/>
        <item m="1" x="1856"/>
        <item x="72"/>
        <item m="1" x="2774"/>
        <item m="1" x="1630"/>
        <item m="1" x="3011"/>
        <item m="1" x="1934"/>
        <item m="1" x="1880"/>
        <item m="1" x="1750"/>
        <item m="1" x="3172"/>
        <item m="1" x="2425"/>
        <item m="1" x="3272"/>
        <item m="1" x="2609"/>
        <item m="1" x="3005"/>
        <item m="1" x="2583"/>
        <item m="1" x="3597"/>
        <item m="1" x="3658"/>
        <item m="1" x="3584"/>
        <item m="1" x="1576"/>
        <item m="1" x="3601"/>
        <item m="1" x="3217"/>
        <item m="1" x="3378"/>
        <item m="1" x="1759"/>
        <item m="1" x="2164"/>
        <item m="1" x="3870"/>
        <item m="1" x="1932"/>
        <item m="1" x="2531"/>
        <item m="1" x="1693"/>
        <item m="1" x="3377"/>
        <item m="1" x="3060"/>
        <item m="1" x="3476"/>
        <item m="1" x="3287"/>
        <item m="1" x="2310"/>
        <item m="1" x="3492"/>
        <item m="1" x="3197"/>
        <item m="1" x="3770"/>
        <item m="1" x="2576"/>
        <item m="1" x="3166"/>
        <item m="1" x="3357"/>
        <item m="1" x="1636"/>
        <item m="1" x="1861"/>
        <item m="1" x="3788"/>
        <item m="1" x="2122"/>
        <item m="1" x="1715"/>
        <item m="1" x="3376"/>
        <item m="1" x="3699"/>
        <item m="1" x="2484"/>
        <item m="1" x="3056"/>
        <item m="1" x="3035"/>
        <item m="1" x="2815"/>
        <item m="1" x="2834"/>
        <item m="1" x="1713"/>
        <item m="1" x="1881"/>
        <item m="1" x="3822"/>
        <item m="1" x="1736"/>
        <item m="1" x="2942"/>
        <item m="1" x="1543"/>
        <item m="1" x="1615"/>
        <item m="1" x="2281"/>
        <item m="1" x="1530"/>
        <item m="1" x="3305"/>
        <item m="1" x="2418"/>
        <item m="1" x="3678"/>
        <item x="1107"/>
        <item m="1" x="3168"/>
        <item m="1" x="2627"/>
        <item m="1" x="2844"/>
        <item m="1" x="3411"/>
        <item m="1" x="3633"/>
        <item m="1" x="3061"/>
        <item m="1" x="1906"/>
        <item m="1" x="2918"/>
        <item m="1" x="1840"/>
        <item m="1" x="1849"/>
        <item m="1" x="3609"/>
        <item m="1" x="1552"/>
        <item m="1" x="3430"/>
        <item m="1" x="3342"/>
        <item m="1" x="3810"/>
        <item m="1" x="3307"/>
        <item m="1" x="1836"/>
        <item m="1" x="2259"/>
        <item m="1" x="2330"/>
        <item m="1" x="2768"/>
        <item m="1" x="1633"/>
        <item m="1" x="2884"/>
        <item m="1" x="1817"/>
        <item m="1" x="2807"/>
        <item m="1" x="2083"/>
        <item m="1" x="2018"/>
        <item m="1" x="1523"/>
        <item m="1" x="3847"/>
        <item m="1" x="1516"/>
        <item m="1" x="1749"/>
        <item m="1" x="1652"/>
        <item m="1" x="1975"/>
        <item m="1" x="2356"/>
        <item m="1" x="2242"/>
        <item m="1" x="2878"/>
        <item m="1" x="1690"/>
        <item m="1" x="2784"/>
        <item m="1" x="2847"/>
        <item m="1" x="3869"/>
        <item m="1" x="3486"/>
        <item m="1" x="3702"/>
        <item m="1" x="2002"/>
        <item m="1" x="3657"/>
        <item m="1" x="2785"/>
        <item m="1" x="3557"/>
        <item m="1" x="3071"/>
        <item m="1" x="1671"/>
        <item m="1" x="2633"/>
        <item m="1" x="3651"/>
        <item m="1" x="2853"/>
        <item m="1" x="2724"/>
        <item m="1" x="2574"/>
        <item m="1" x="2069"/>
        <item m="1" x="2731"/>
        <item m="1" x="2677"/>
        <item m="1" x="2876"/>
        <item m="1" x="1826"/>
        <item m="1" x="3687"/>
        <item m="1" x="2357"/>
        <item m="1" x="3507"/>
        <item m="1" x="1566"/>
        <item m="1" x="2269"/>
        <item m="1" x="3530"/>
        <item m="1" x="2065"/>
        <item m="1" x="3445"/>
        <item m="1" x="2694"/>
        <item m="1" x="3646"/>
        <item m="1" x="2663"/>
        <item m="1" x="2739"/>
        <item m="1" x="2394"/>
        <item m="1" x="3862"/>
        <item m="1" x="2605"/>
        <item m="1" x="2286"/>
        <item m="1" x="3726"/>
        <item m="1" x="2045"/>
        <item m="1" x="3086"/>
        <item m="1" x="3412"/>
        <item m="1" x="2180"/>
        <item m="1" x="3105"/>
        <item m="1" x="2761"/>
        <item m="1" x="1988"/>
        <item m="1" x="3572"/>
        <item m="1" x="3854"/>
        <item m="1" x="3389"/>
        <item m="1" x="3721"/>
        <item m="1" x="3171"/>
        <item m="1" x="3655"/>
        <item m="1" x="2289"/>
        <item m="1" x="2903"/>
        <item m="1" x="3063"/>
        <item m="1" x="2074"/>
        <item m="1" x="3058"/>
        <item m="1" x="2880"/>
        <item m="1" x="3436"/>
        <item m="1" x="2453"/>
        <item m="1" x="3126"/>
        <item m="1" x="2946"/>
        <item m="1" x="1729"/>
        <item m="1" x="2906"/>
        <item m="1" x="2716"/>
        <item m="1" x="3762"/>
        <item m="1" x="1958"/>
        <item m="1" x="3052"/>
        <item m="1" x="3136"/>
        <item m="1" x="1608"/>
        <item m="1" x="3019"/>
        <item m="1" x="3629"/>
        <item m="1" x="2059"/>
        <item m="1" x="1841"/>
        <item m="1" x="2029"/>
        <item m="1" x="2464"/>
        <item m="1" x="3304"/>
        <item m="1" x="3230"/>
        <item m="1" x="2061"/>
        <item m="1" x="2641"/>
        <item m="1" x="2592"/>
        <item m="1" x="3351"/>
        <item m="1" x="1738"/>
        <item m="1" x="2789"/>
        <item m="1" x="1819"/>
        <item m="1" x="3728"/>
        <item m="1" x="1786"/>
        <item m="1" x="3471"/>
        <item m="1" x="1899"/>
        <item m="1" x="2208"/>
        <item m="1" x="1556"/>
        <item m="1" x="2912"/>
        <item m="1" x="3487"/>
        <item m="1" x="1871"/>
        <item m="1" x="3845"/>
        <item m="1" x="2000"/>
        <item m="1" x="2034"/>
        <item m="1" x="3460"/>
        <item m="1" x="3732"/>
        <item m="1" x="3555"/>
        <item m="1" x="1825"/>
        <item m="1" x="3579"/>
        <item m="1" x="1764"/>
        <item m="1" x="3766"/>
        <item m="1" x="3292"/>
        <item m="1" x="3380"/>
        <item m="1" x="2723"/>
        <item m="1" x="2062"/>
        <item m="1" x="3528"/>
        <item m="1" x="1503"/>
        <item m="1" x="2172"/>
        <item m="1" x="1971"/>
        <item m="1" x="2173"/>
        <item m="1" x="1882"/>
        <item m="1" x="3352"/>
        <item m="1" x="3701"/>
        <item m="1" x="1695"/>
        <item m="1" x="3580"/>
        <item m="1" x="2803"/>
        <item m="1" x="1612"/>
        <item m="1" x="3611"/>
        <item m="1" x="3694"/>
        <item m="1" x="3581"/>
        <item m="1" x="3472"/>
        <item m="1" x="2032"/>
        <item m="1" x="2120"/>
        <item m="1" x="3398"/>
        <item m="1" x="2914"/>
        <item m="1" x="2013"/>
        <item m="1" x="2201"/>
        <item m="1" x="2490"/>
        <item m="1" x="1813"/>
        <item m="1" x="2460"/>
        <item m="1" x="3424"/>
        <item m="1" x="1554"/>
        <item m="1" x="3153"/>
        <item m="1" x="2140"/>
        <item m="1" x="3720"/>
        <item m="1" x="3723"/>
        <item m="1" x="2378"/>
        <item m="1" x="1657"/>
        <item m="1" x="3585"/>
        <item m="1" x="2518"/>
        <item m="1" x="3556"/>
        <item m="1" x="3057"/>
        <item m="1" x="3676"/>
        <item m="1" x="2293"/>
        <item m="1" x="2397"/>
        <item m="1" x="1569"/>
        <item m="1" x="3552"/>
        <item m="1" x="1831"/>
        <item m="1" x="3522"/>
        <item m="1" x="2228"/>
        <item m="1" x="3485"/>
        <item m="1" x="3856"/>
        <item m="1" x="3736"/>
        <item m="1" x="2273"/>
        <item m="1" x="2462"/>
        <item m="1" x="2451"/>
        <item m="1" x="2020"/>
        <item m="1" x="3754"/>
        <item m="1" x="1866"/>
        <item m="1" x="3825"/>
        <item m="1" x="3433"/>
        <item m="1" x="2564"/>
        <item m="1" x="2904"/>
        <item m="1" x="3399"/>
        <item m="1" x="3600"/>
        <item m="1" x="2860"/>
        <item m="1" x="2089"/>
        <item m="1" x="2095"/>
        <item m="1" x="3311"/>
        <item m="1" x="2328"/>
        <item m="1" x="2595"/>
        <item m="1" x="1923"/>
        <item m="1" x="1577"/>
        <item m="1" x="2673"/>
        <item m="1" x="3729"/>
        <item m="1" x="1969"/>
        <item m="1" x="1883"/>
        <item m="1" x="1505"/>
        <item m="1" x="2911"/>
        <item m="1" x="3286"/>
        <item m="1" x="1648"/>
        <item m="1" x="2218"/>
        <item m="1" x="3641"/>
        <item m="1" x="3493"/>
        <item m="1" x="3499"/>
        <item m="1" x="3343"/>
        <item m="1" x="1797"/>
        <item m="1" x="2455"/>
        <item m="1" x="3769"/>
        <item m="1" x="1685"/>
        <item m="1" x="1960"/>
        <item m="1" x="3062"/>
        <item m="1" x="1708"/>
        <item m="1" x="2523"/>
        <item m="1" x="2205"/>
        <item m="1" x="3192"/>
        <item m="1" x="2217"/>
        <item m="1" x="3828"/>
        <item m="1" x="2986"/>
        <item m="1" x="2563"/>
        <item m="1" x="2537"/>
        <item m="1" x="1668"/>
        <item m="1" x="3673"/>
        <item m="1" x="2012"/>
        <item m="1" x="3665"/>
        <item m="1" x="1902"/>
        <item m="1" x="3745"/>
        <item m="1" x="3795"/>
        <item m="1" x="2566"/>
        <item m="1" x="2219"/>
        <item m="1" x="1600"/>
        <item m="1" x="1757"/>
        <item m="1" x="1594"/>
        <item m="1" x="3475"/>
        <item m="1" x="3569"/>
        <item m="1" x="3013"/>
        <item m="1" x="3295"/>
        <item m="1" x="2543"/>
        <item m="1" x="3269"/>
        <item m="1" x="3410"/>
        <item m="1" x="2502"/>
        <item m="1" x="2795"/>
        <item m="1" x="3226"/>
        <item m="1" x="2101"/>
        <item m="1" x="3090"/>
        <item m="1" x="3466"/>
        <item m="1" x="2104"/>
        <item m="1" x="3750"/>
        <item m="1" x="3735"/>
        <item m="1" x="3218"/>
        <item m="1" x="2762"/>
        <item m="1" x="1945"/>
        <item m="1" x="3364"/>
        <item m="1" x="1706"/>
        <item m="1" x="2133"/>
        <item m="1" x="2053"/>
        <item m="1" x="1845"/>
        <item m="1" x="2598"/>
        <item m="1" x="3458"/>
        <item m="1" x="3266"/>
        <item m="1" x="2448"/>
        <item m="1" x="1634"/>
        <item m="1" x="3456"/>
        <item m="1" x="3739"/>
        <item m="1" x="3348"/>
        <item m="1" x="1876"/>
        <item m="1" x="2619"/>
        <item m="1" x="1807"/>
        <item m="1" x="2898"/>
        <item m="1" x="2839"/>
        <item m="1" x="2426"/>
        <item m="1" x="3129"/>
        <item m="1" x="3191"/>
        <item m="1" x="2648"/>
        <item m="1" x="3078"/>
        <item m="1" x="3262"/>
        <item m="1" x="2422"/>
        <item m="1" x="3022"/>
        <item m="1" x="3182"/>
        <item m="1" x="2855"/>
        <item m="1" x="3742"/>
        <item m="1" x="1922"/>
        <item m="1" x="2108"/>
        <item m="1" x="1794"/>
        <item m="1" x="3183"/>
        <item m="1" x="3734"/>
        <item m="1" x="3329"/>
        <item m="1" x="1664"/>
        <item m="1" x="2539"/>
        <item m="1" x="3703"/>
        <item m="1" x="2170"/>
        <item m="1" x="2655"/>
        <item m="1" x="3440"/>
        <item m="1" x="3372"/>
        <item m="1" x="2438"/>
        <item m="1" x="3527"/>
        <item m="1" x="1675"/>
        <item m="1" x="3630"/>
        <item m="1" x="1992"/>
        <item m="1" x="2851"/>
        <item m="1" x="2602"/>
        <item m="1" x="2700"/>
        <item m="1" x="1999"/>
        <item m="1" x="1799"/>
        <item m="1" x="3866"/>
        <item m="1" x="2902"/>
        <item m="1" x="1994"/>
        <item m="1" x="2284"/>
        <item m="1" x="2042"/>
        <item m="1" x="3538"/>
        <item m="1" x="2827"/>
        <item m="1" x="1893"/>
        <item m="1" x="3324"/>
        <item m="1" x="2610"/>
        <item m="1" x="2593"/>
        <item m="1" x="2924"/>
        <item m="1" x="2398"/>
        <item m="1" x="3716"/>
        <item m="1" x="2961"/>
        <item m="1" x="3672"/>
        <item m="1" x="2503"/>
        <item m="1" x="3308"/>
        <item m="1" x="3577"/>
        <item m="1" x="3408"/>
        <item m="1" x="2220"/>
        <item m="1" x="3718"/>
        <item m="1" x="2221"/>
        <item m="1" x="2501"/>
        <item m="1" x="2508"/>
        <item m="1" x="1677"/>
        <item m="1" x="3690"/>
        <item m="1" x="3624"/>
        <item m="1" x="2978"/>
        <item m="1" x="2941"/>
        <item m="1" x="2819"/>
        <item m="1" x="3331"/>
        <item m="1" x="3547"/>
        <item m="1" x="2096"/>
        <item m="1" x="2728"/>
        <item m="1" x="3359"/>
        <item m="1" x="3827"/>
        <item m="1" x="3240"/>
        <item m="1" x="2735"/>
        <item m="1" x="2100"/>
        <item m="1" x="2560"/>
        <item m="1" x="2148"/>
        <item m="1" x="2887"/>
        <item m="1" x="2810"/>
        <item m="1" x="3415"/>
        <item m="1" x="2025"/>
        <item m="1" x="3526"/>
        <item m="1" x="3626"/>
        <item m="1" x="2271"/>
        <item m="1" x="3033"/>
        <item m="1" x="1737"/>
        <item m="1" x="2612"/>
        <item m="1" x="3301"/>
        <item m="1" x="2192"/>
        <item m="1" x="3423"/>
        <item m="1" x="1779"/>
        <item m="1" x="2247"/>
        <item m="1" x="2901"/>
        <item m="1" x="2268"/>
        <item m="1" x="2198"/>
        <item m="1" x="3568"/>
        <item m="1" x="2470"/>
        <item m="1" x="3801"/>
        <item m="1" x="2794"/>
        <item m="1" x="2676"/>
        <item m="1" x="2452"/>
        <item m="1" x="3116"/>
        <item m="1" x="2670"/>
        <item m="1" x="2248"/>
        <item m="1" x="2885"/>
        <item m="1" x="3300"/>
        <item m="1" x="3639"/>
        <item m="1" x="2476"/>
        <item m="1" x="3550"/>
        <item m="1" x="2421"/>
        <item m="1" x="2252"/>
        <item m="1" x="2854"/>
        <item m="1" x="1571"/>
        <item m="1" x="3373"/>
        <item m="1" x="3047"/>
        <item m="1" x="2176"/>
        <item m="1" x="3753"/>
        <item m="1" x="2740"/>
        <item m="1" x="2852"/>
        <item m="1" x="2628"/>
        <item m="1" x="3280"/>
        <item m="1" x="3103"/>
        <item m="1" x="1850"/>
        <item m="1" x="2136"/>
        <item m="1" x="3664"/>
        <item m="1" x="3356"/>
        <item m="1" x="1879"/>
        <item m="1" x="1979"/>
        <item m="1" x="3447"/>
        <item m="1" x="3628"/>
        <item m="1" x="2079"/>
        <item m="1" x="1937"/>
        <item m="1" x="2806"/>
        <item m="1" x="2098"/>
        <item m="1" x="3235"/>
        <item m="1" x="2143"/>
        <item m="1" x="3632"/>
        <item m="1" x="2565"/>
        <item m="1" x="3514"/>
        <item m="1" x="2487"/>
        <item m="1" x="3604"/>
        <item m="1" x="1532"/>
        <item m="1" x="3193"/>
        <item m="1" x="2582"/>
        <item m="1" x="2963"/>
        <item m="1" x="2710"/>
        <item m="1" x="2567"/>
        <item m="1" x="1684"/>
        <item m="1" x="2226"/>
        <item m="1" x="1858"/>
        <item m="1" x="2962"/>
        <item m="1" x="1698"/>
        <item m="1" x="1672"/>
        <item m="1" x="2647"/>
        <item m="1" x="3095"/>
        <item m="1" x="3783"/>
        <item m="1" x="3176"/>
        <item m="1" x="1596"/>
        <item m="1" x="2874"/>
        <item m="1" x="2227"/>
        <item m="1" x="3724"/>
        <item m="1" x="2926"/>
        <item m="1" x="2028"/>
        <item m="1" x="3188"/>
        <item m="1" x="3306"/>
        <item m="1" x="1978"/>
        <item m="1" x="2223"/>
        <item m="1" x="3710"/>
        <item m="1" x="2708"/>
        <item m="1" x="3405"/>
        <item m="1" x="3852"/>
        <item m="1" x="3083"/>
        <item m="1" x="2547"/>
        <item m="1" x="1531"/>
        <item m="1" x="3432"/>
        <item m="1" x="2187"/>
        <item m="1" x="1884"/>
        <item m="1" x="2535"/>
        <item m="1" x="2726"/>
        <item m="1" x="1667"/>
        <item m="1" x="2699"/>
        <item m="1" x="2630"/>
        <item m="1" x="1509"/>
        <item m="1" x="3016"/>
        <item m="1" x="2102"/>
        <item m="1" x="2472"/>
        <item m="1" x="2507"/>
        <item m="1" x="2664"/>
        <item m="1" x="2005"/>
        <item m="1" x="2737"/>
        <item m="1" x="3786"/>
        <item m="1" x="2864"/>
        <item m="1" x="3645"/>
        <item m="1" x="3420"/>
        <item m="1" x="2856"/>
        <item m="1" x="3537"/>
        <item m="1" x="2237"/>
        <item m="1" x="1748"/>
        <item m="1" x="2337"/>
        <item m="1" x="2439"/>
        <item m="1" x="3459"/>
        <item m="1" x="3293"/>
        <item m="1" x="3785"/>
        <item m="1" x="2361"/>
        <item m="1" x="3857"/>
        <item m="1" x="2776"/>
        <item m="1" x="3020"/>
        <item m="1" x="2250"/>
        <item m="1" x="2175"/>
        <item m="1" x="3805"/>
        <item m="1" x="3549"/>
        <item m="1" x="3401"/>
        <item m="1" x="1889"/>
        <item m="1" x="3224"/>
        <item m="1" x="1610"/>
        <item m="1" x="2311"/>
        <item m="1" x="2410"/>
        <item m="1" x="3675"/>
        <item m="1" x="1936"/>
        <item m="1" x="3009"/>
        <item m="1" x="3586"/>
        <item m="1" x="3759"/>
        <item m="1" x="1752"/>
        <item m="1" x="3326"/>
        <item m="1" x="2258"/>
        <item m="1" x="3513"/>
        <item m="1" x="2695"/>
        <item m="1" x="3634"/>
        <item m="1" x="2107"/>
        <item m="1" x="1929"/>
        <item m="1" x="3225"/>
        <item m="1" x="1930"/>
        <item m="1" x="2706"/>
        <item m="1" x="2634"/>
        <item m="1" x="2717"/>
        <item m="1" x="1598"/>
        <item m="1" x="1782"/>
        <item m="1" x="2163"/>
        <item m="1" x="1820"/>
        <item m="1" x="2568"/>
        <item m="1" x="2203"/>
        <item m="1" x="3145"/>
        <item m="1" x="2526"/>
        <item m="1" x="1555"/>
        <item m="1" x="3833"/>
        <item m="1" x="1823"/>
        <item m="1" x="2352"/>
        <item m="1" x="3119"/>
        <item m="1" x="1874"/>
        <item m="1" x="2976"/>
        <item m="1" x="2015"/>
        <item m="1" x="2359"/>
        <item m="1" x="1875"/>
        <item m="1" x="3285"/>
        <item m="1" x="2212"/>
        <item m="1" x="3397"/>
        <item m="1" x="1910"/>
        <item m="1" x="2845"/>
        <item m="1" x="2128"/>
        <item m="1" x="1870"/>
        <item m="1" x="2546"/>
        <item m="1" x="1686"/>
        <item m="1" x="2545"/>
        <item m="1" x="1746"/>
        <item m="1" x="3391"/>
        <item m="1" x="2751"/>
        <item m="1" x="2980"/>
        <item m="1" x="2987"/>
        <item m="1" x="2606"/>
        <item m="1" x="2414"/>
        <item m="1" x="3278"/>
        <item m="1" x="3332"/>
        <item m="1" x="2969"/>
        <item m="1" x="3713"/>
        <item m="1" x="2532"/>
        <item m="1" x="2429"/>
        <item m="1" x="3122"/>
        <item m="1" x="2231"/>
        <item m="1" x="2816"/>
        <item m="1" x="3200"/>
        <item m="1" x="3483"/>
        <item m="1" x="2797"/>
        <item m="1" x="2401"/>
        <item m="1" x="1806"/>
        <item m="1" x="2711"/>
        <item m="1" x="2370"/>
        <item m="1" x="2988"/>
        <item m="1" x="2686"/>
        <item m="1" x="1638"/>
        <item m="1" x="2052"/>
        <item m="1" x="3602"/>
        <item m="1" x="3715"/>
        <item m="1" x="3681"/>
        <item m="1" x="2620"/>
        <item m="1" x="2905"/>
        <item m="1" x="3213"/>
        <item m="1" x="2796"/>
        <item m="1" x="3590"/>
        <item m="1" x="2193"/>
        <item m="1" x="2485"/>
        <item m="1" x="1895"/>
        <item m="1" x="2981"/>
        <item m="1" x="2534"/>
        <item m="1" x="3495"/>
        <item m="1" x="2643"/>
        <item m="1" x="3087"/>
        <item m="1" x="2373"/>
        <item m="1" x="3442"/>
        <item m="1" x="3545"/>
        <item m="1" x="1679"/>
        <item m="1" x="1674"/>
        <item m="1" x="2788"/>
        <item m="1" x="2395"/>
        <item m="1" x="3761"/>
        <item m="1" x="2936"/>
        <item m="1" x="3077"/>
        <item m="1" x="2790"/>
        <item m="1" x="3571"/>
        <item m="1" x="3335"/>
        <item m="1" x="1829"/>
        <item m="1" x="3114"/>
        <item m="1" x="3040"/>
        <item m="1" x="2975"/>
        <item m="1" x="3760"/>
        <item m="1" x="3532"/>
        <item m="1" x="3124"/>
        <item m="1" x="2256"/>
        <item m="1" x="1777"/>
        <item m="1" x="1837"/>
        <item m="1" x="2309"/>
        <item m="1" x="2189"/>
        <item m="1" x="2433"/>
        <item m="1" x="1851"/>
        <item m="1" x="2899"/>
        <item m="1" x="2917"/>
        <item m="1" x="1774"/>
        <item m="1" x="1621"/>
        <item m="1" x="2044"/>
        <item m="1" x="2003"/>
        <item m="1" x="2718"/>
        <item m="1" x="1635"/>
        <item m="1" x="2813"/>
        <item m="1" x="3570"/>
        <item m="1" x="2367"/>
        <item m="1" x="1765"/>
        <item m="1" x="2087"/>
        <item m="1" x="3500"/>
        <item m="1" x="3036"/>
        <item m="1" x="3088"/>
        <item m="1" x="2838"/>
        <item m="1" x="3429"/>
        <item m="1" x="2991"/>
        <item m="1" x="3097"/>
        <item m="1" x="1869"/>
        <item m="1" x="3767"/>
        <item m="1" x="1616"/>
        <item m="1" x="2921"/>
        <item m="1" x="2191"/>
        <item m="1" x="3771"/>
        <item m="1" x="2687"/>
        <item m="1" x="2712"/>
        <item m="1" x="2804"/>
        <item m="1" x="3488"/>
        <item m="1" x="2999"/>
        <item m="1" x="1973"/>
        <item m="1" x="2149"/>
        <item m="1" x="3441"/>
        <item m="1" x="3644"/>
        <item m="1" x="2932"/>
        <item m="1" x="1940"/>
        <item m="1" x="1974"/>
        <item m="1" x="1649"/>
        <item m="1" x="2591"/>
        <item m="1" x="2822"/>
        <item m="1" x="3069"/>
        <item m="1" x="3422"/>
        <item m="1" x="2798"/>
        <item m="1" x="2888"/>
        <item m="1" x="3820"/>
        <item m="1" x="1501"/>
        <item m="1" x="1838"/>
        <item m="1" x="3021"/>
        <item m="1" x="1890"/>
        <item m="1" x="3030"/>
        <item m="1" x="1720"/>
        <item m="1" x="3106"/>
        <item m="1" x="3059"/>
        <item m="1" x="2805"/>
        <item m="1" x="2730"/>
        <item m="1" x="1920"/>
        <item m="1" x="1725"/>
        <item m="1" x="2646"/>
        <item m="1" x="2665"/>
        <item m="1" x="3340"/>
        <item m="1" x="3317"/>
        <item m="1" x="3003"/>
        <item m="1" x="2339"/>
        <item m="1" x="2982"/>
        <item m="1" x="2733"/>
        <item m="1" x="3207"/>
        <item m="1" x="2759"/>
        <item m="1" x="2326"/>
        <item m="1" x="1790"/>
        <item m="1" x="2721"/>
        <item m="1" x="3297"/>
        <item m="1" x="2756"/>
        <item m="1" x="1529"/>
        <item m="1" x="3369"/>
        <item m="1" x="3271"/>
        <item m="1" x="3799"/>
        <item m="1" x="3173"/>
        <item m="1" x="2024"/>
        <item m="1" x="3360"/>
        <item m="1" x="3567"/>
        <item m="1" x="1694"/>
        <item m="1" x="3261"/>
        <item m="1" x="1714"/>
        <item x="40"/>
        <item m="1" x="3818"/>
        <item m="1" x="2772"/>
        <item m="1" x="2381"/>
        <item m="1" x="2873"/>
        <item m="1" x="2299"/>
        <item m="1" x="1524"/>
        <item m="1" x="3462"/>
        <item m="1" x="2820"/>
        <item m="1" x="1647"/>
        <item m="1" x="3349"/>
        <item m="1" x="3076"/>
        <item m="1" x="2332"/>
        <item m="1" x="3803"/>
        <item m="1" x="2517"/>
        <item m="1" x="2680"/>
        <item m="1" x="2972"/>
        <item m="1" x="3361"/>
        <item m="1" x="3772"/>
        <item m="1" x="1927"/>
        <item m="1" x="2051"/>
        <item m="1" x="2974"/>
        <item x="92"/>
        <item m="1" x="2213"/>
        <item m="1" x="2261"/>
        <item m="1" x="3309"/>
        <item m="1" x="3642"/>
        <item m="1" x="2998"/>
        <item m="1" x="1904"/>
        <item m="1" x="3133"/>
        <item m="1" x="1585"/>
        <item m="1" x="3151"/>
        <item m="1" x="2781"/>
        <item m="1" x="3211"/>
        <item m="1" x="2446"/>
        <item m="1" x="3288"/>
        <item m="1" x="1597"/>
        <item m="1" x="3216"/>
        <item m="1" x="3148"/>
        <item m="1" x="3156"/>
        <item m="1" x="3189"/>
        <item m="1" x="2690"/>
        <item m="1" x="1822"/>
        <item m="1" x="3523"/>
        <item m="1" x="3358"/>
        <item m="1" x="2945"/>
        <item m="1" x="3444"/>
        <item m="1" x="2150"/>
        <item m="1" x="3631"/>
        <item m="1" x="3112"/>
        <item m="1" x="3484"/>
        <item m="1" x="2489"/>
        <item m="1" x="2892"/>
        <item m="1" x="1536"/>
        <item m="1" x="2303"/>
        <item m="1" x="3007"/>
        <item m="1" x="3054"/>
        <item m="1" x="3465"/>
        <item m="1" x="2060"/>
        <item m="1" x="2681"/>
        <item m="1" x="3559"/>
        <item m="1" x="3186"/>
        <item m="1" x="2086"/>
        <item m="1" x="3541"/>
        <item m="1" x="1963"/>
        <item m="1" x="3756"/>
        <item m="1" x="1789"/>
        <item m="1" x="1742"/>
        <item m="1" x="3160"/>
        <item m="1" x="3773"/>
        <item m="1" x="2204"/>
        <item m="1" x="3250"/>
        <item m="1" x="1514"/>
        <item m="1" x="2928"/>
        <item m="1" x="3844"/>
        <item m="1" x="1780"/>
        <item m="1" x="2111"/>
        <item m="1" x="2748"/>
        <item m="1" x="2482"/>
        <item m="1" x="2391"/>
        <item m="1" x="2334"/>
        <item m="1" x="2569"/>
        <item m="1" x="1951"/>
        <item m="1" x="1521"/>
        <item m="1" x="2765"/>
        <item m="1" x="1709"/>
        <item m="1" x="2613"/>
        <item m="1" x="3275"/>
        <item m="1" x="2850"/>
        <item m="1" x="2684"/>
        <item m="1" x="3427"/>
        <item m="1" x="2151"/>
        <item m="1" x="1574"/>
        <item m="1" x="2555"/>
        <item m="1" x="2109"/>
        <item m="1" x="2405"/>
        <item m="1" x="2076"/>
        <item m="1" x="1544"/>
        <item m="1" x="3299"/>
        <item m="1" x="2578"/>
        <item m="1" x="1848"/>
        <item m="1" x="2863"/>
        <item m="1" x="2068"/>
        <item m="1" x="1629"/>
        <item m="1" x="1915"/>
        <item x="155"/>
        <item m="1" x="2823"/>
        <item m="1" x="3837"/>
        <item m="1" x="2393"/>
        <item m="1" x="3219"/>
        <item m="1" x="2396"/>
        <item m="1" x="1833"/>
        <item m="1" x="2434"/>
        <item m="1" x="3001"/>
        <item m="1" x="3075"/>
        <item m="1" x="2080"/>
        <item m="1" x="1502"/>
        <item m="1" x="3868"/>
        <item m="1" x="1766"/>
        <item m="1" x="2046"/>
        <item m="1" x="2236"/>
        <item m="1" x="3134"/>
        <item m="1" x="2688"/>
        <item m="1" x="2314"/>
        <item m="1" x="3477"/>
        <item m="1" x="3368"/>
        <item m="1" x="3204"/>
        <item m="1" x="3813"/>
        <item m="1" x="2137"/>
        <item m="1" x="2480"/>
        <item m="1" x="1510"/>
        <item m="1" x="3201"/>
        <item m="1" x="2257"/>
        <item m="1" x="3268"/>
        <item m="1" x="3752"/>
        <item m="1" x="1623"/>
        <item m="1" x="1626"/>
        <item m="1" x="3587"/>
        <item m="1" x="2669"/>
        <item m="1" x="2436"/>
        <item m="1" x="1553"/>
        <item m="1" x="1669"/>
        <item m="1" x="1700"/>
        <item m="1" x="3042"/>
        <item m="1" x="3169"/>
        <item m="1" x="1818"/>
        <item m="1" x="1611"/>
        <item m="1" x="2379"/>
        <item m="1" x="2041"/>
        <item m="1" x="2174"/>
        <item m="1" x="1993"/>
        <item m="1" x="3004"/>
        <item m="1" x="3832"/>
        <item m="1" x="3094"/>
        <item m="1" x="2049"/>
        <item m="1" x="2691"/>
        <item m="1" x="2144"/>
        <item m="1" x="2954"/>
        <item m="1" x="2841"/>
        <item m="1" x="1617"/>
        <item m="1" x="1859"/>
        <item m="1" x="3793"/>
        <item m="1" x="1551"/>
        <item m="1" x="2389"/>
        <item m="1" x="2542"/>
        <item m="1" x="1579"/>
        <item m="1" x="2830"/>
        <item m="1" x="2989"/>
        <item m="1" x="3228"/>
        <item m="1" x="2048"/>
        <item m="1" x="3850"/>
        <item m="1" x="3875"/>
        <item m="1" x="3784"/>
        <item x="0"/>
        <item x="1"/>
        <item x="2"/>
        <item x="3"/>
        <item x="4"/>
        <item x="5"/>
        <item x="6"/>
        <item x="7"/>
        <item x="8"/>
        <item x="9"/>
        <item x="10"/>
        <item x="11"/>
        <item x="12"/>
        <item x="13"/>
        <item x="14"/>
        <item x="15"/>
        <item x="16"/>
        <item x="17"/>
        <item x="18"/>
        <item x="19"/>
        <item x="20"/>
        <item x="21"/>
        <item m="1" x="2683"/>
        <item m="1" x="3232"/>
        <item m="1" x="3780"/>
        <item m="1" x="2869"/>
        <item m="1" x="2384"/>
        <item x="23"/>
        <item x="24"/>
        <item m="1" x="3048"/>
        <item m="1" x="1645"/>
        <item m="1" x="2216"/>
        <item m="1" x="3180"/>
        <item x="26"/>
        <item x="27"/>
        <item x="28"/>
        <item x="29"/>
        <item x="30"/>
        <item x="31"/>
        <item x="32"/>
        <item x="33"/>
        <item x="34"/>
        <item x="35"/>
        <item x="36"/>
        <item x="37"/>
        <item x="38"/>
        <item x="39"/>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3"/>
        <item x="74"/>
        <item x="75"/>
        <item x="76"/>
        <item x="77"/>
        <item x="78"/>
        <item x="79"/>
        <item x="80"/>
        <item x="81"/>
        <item x="82"/>
        <item x="83"/>
        <item x="84"/>
        <item x="85"/>
        <item x="86"/>
        <item x="87"/>
        <item x="88"/>
        <item x="89"/>
        <item x="90"/>
        <item x="91"/>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6"/>
        <item x="137"/>
        <item x="138"/>
        <item x="139"/>
        <item x="140"/>
        <item x="141"/>
        <item x="142"/>
        <item x="143"/>
        <item x="144"/>
        <item x="145"/>
        <item x="146"/>
        <item x="147"/>
        <item x="148"/>
        <item x="149"/>
        <item x="150"/>
        <item x="151"/>
        <item x="152"/>
        <item x="153"/>
        <item x="154"/>
        <item x="156"/>
        <item x="157"/>
        <item x="158"/>
        <item x="159"/>
        <item x="160"/>
        <item x="161"/>
        <item x="162"/>
        <item x="163"/>
        <item x="164"/>
        <item x="165"/>
        <item x="166"/>
        <item x="167"/>
        <item x="168"/>
        <item x="169"/>
        <item x="170"/>
        <item x="171"/>
        <item x="172"/>
        <item x="173"/>
        <item m="1" x="2260"/>
        <item x="174"/>
        <item m="1" x="2380"/>
        <item m="1" x="3659"/>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m="1" x="2895"/>
        <item m="1" x="2369"/>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m="1" x="2131"/>
        <item m="1" x="3653"/>
        <item m="1" x="3510"/>
        <item m="1" x="3267"/>
        <item m="1" x="2031"/>
        <item m="1" x="2094"/>
        <item m="1" x="3073"/>
        <item m="1" x="1931"/>
        <item m="1" x="3222"/>
        <item m="1" x="2224"/>
        <item m="1" x="3000"/>
        <item x="1051"/>
        <item x="1052"/>
        <item x="1053"/>
        <item x="1054"/>
        <item x="1055"/>
        <item x="1056"/>
        <item x="1057"/>
        <item x="1058"/>
        <item x="1059"/>
        <item m="1" x="2348"/>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95"/>
        <item x="1196"/>
        <item x="1197"/>
        <item x="1198"/>
        <item x="1202"/>
        <item x="1203"/>
        <item x="1204"/>
        <item x="1205"/>
        <item x="1206"/>
        <item x="1207"/>
        <item x="1208"/>
        <item x="1209"/>
        <item x="1210"/>
        <item x="1211"/>
        <item x="1212"/>
        <item m="1" x="2548"/>
        <item m="1" x="1860"/>
        <item x="1213"/>
        <item x="1214"/>
        <item x="1215"/>
        <item x="1216"/>
        <item x="1217"/>
        <item x="1218"/>
        <item x="1219"/>
        <item x="1220"/>
        <item x="1221"/>
        <item x="1222"/>
        <item x="1223"/>
        <item x="1224"/>
        <item x="1225"/>
        <item x="1226"/>
        <item x="1227"/>
        <item x="1228"/>
        <item m="1" x="2722"/>
        <item x="1229"/>
        <item x="1230"/>
        <item x="1231"/>
        <item x="1232"/>
        <item x="1233"/>
        <item x="1234"/>
        <item x="1235"/>
        <item x="1236"/>
        <item x="1237"/>
        <item x="1238"/>
        <item x="1239"/>
        <item x="1240"/>
        <item x="1241"/>
        <item x="1242"/>
        <item x="1243"/>
        <item x="1244"/>
        <item x="1245"/>
        <item x="1246"/>
        <item x="1247"/>
        <item x="1248"/>
        <item x="1249"/>
        <item x="1250"/>
        <item m="1" x="2113"/>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8"/>
        <item x="1299"/>
        <item x="1300"/>
        <item x="1301"/>
        <item x="1302"/>
        <item x="1303"/>
        <item x="1304"/>
        <item x="1305"/>
        <item x="1306"/>
        <item x="1307"/>
        <item x="1308"/>
        <item x="1309"/>
        <item m="1" x="1787"/>
        <item x="1310"/>
        <item x="1311"/>
        <item x="1312"/>
        <item x="1313"/>
        <item x="1314"/>
        <item m="1" x="1947"/>
        <item x="1315"/>
        <item x="1318"/>
        <item x="1319"/>
        <item x="1320"/>
        <item m="1" x="2809"/>
        <item m="1" x="2266"/>
        <item m="1" x="3045"/>
        <item m="1" x="1727"/>
        <item m="1" x="1613"/>
        <item x="1321"/>
        <item x="1322"/>
        <item x="1323"/>
        <item x="1324"/>
        <item x="1325"/>
        <item x="1326"/>
        <item x="1327"/>
        <item x="1328"/>
        <item x="1329"/>
        <item x="1330"/>
        <item x="1331"/>
        <item x="1332"/>
        <item x="1333"/>
        <item x="1334"/>
        <item x="1335"/>
        <item x="1336"/>
        <item x="1337"/>
        <item x="1338"/>
        <item x="1339"/>
        <item m="1" x="2055"/>
        <item x="1340"/>
        <item x="1341"/>
        <item x="1342"/>
        <item x="1343"/>
        <item x="1344"/>
        <item x="1345"/>
        <item x="1346"/>
        <item x="1347"/>
        <item x="1348"/>
        <item m="1" x="1972"/>
        <item x="1349"/>
        <item x="1350"/>
        <item x="1351"/>
        <item x="1352"/>
        <item x="1353"/>
        <item x="1181"/>
        <item x="1182"/>
        <item x="1183"/>
        <item x="1184"/>
        <item x="1185"/>
        <item x="1186"/>
        <item x="1187"/>
        <item x="1188"/>
        <item x="1189"/>
        <item x="1190"/>
        <item x="1191"/>
        <item x="1192"/>
        <item x="1193"/>
        <item x="1194"/>
        <item x="1199"/>
        <item x="1200"/>
        <item x="1201"/>
        <item x="1295"/>
        <item x="1296"/>
        <item x="1297"/>
        <item x="1316"/>
        <item x="1317"/>
        <item x="1354"/>
        <item x="1355"/>
        <item x="1356"/>
        <item x="1357"/>
        <item x="1358"/>
        <item x="1359"/>
        <item x="1360"/>
        <item x="1361"/>
        <item x="1362"/>
        <item x="1363"/>
        <item x="1364"/>
        <item x="1365"/>
        <item x="22"/>
        <item x="2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s>
      <extLst>
        <ext xmlns:x14="http://schemas.microsoft.com/office/spreadsheetml/2009/9/main" uri="{2946ED86-A175-432a-8AC1-64E0C546D7DE}">
          <x14:pivotField fillDownLabels="1"/>
        </ext>
      </extLst>
    </pivotField>
    <pivotField compact="0" outline="0" showAll="0" defaultSubtotal="0">
      <items count="8000">
        <item m="1" x="3919"/>
        <item m="1" x="4560"/>
        <item m="1" x="5204"/>
        <item m="1" x="3144"/>
        <item m="1" x="3216"/>
        <item m="1" x="7944"/>
        <item m="1" x="6173"/>
        <item m="1" x="7351"/>
        <item m="1" x="5224"/>
        <item m="1" x="7574"/>
        <item m="1" x="2557"/>
        <item m="1" x="4396"/>
        <item m="1" x="5182"/>
        <item m="1" x="4391"/>
        <item m="1" x="3753"/>
        <item m="1" x="6498"/>
        <item m="1" x="4498"/>
        <item m="1" x="5548"/>
        <item m="1" x="5549"/>
        <item m="1" x="5550"/>
        <item m="1" x="3943"/>
        <item m="1" x="7406"/>
        <item m="1" x="7877"/>
        <item m="1" x="7878"/>
        <item m="1" x="2980"/>
        <item m="1" x="5685"/>
        <item m="1" x="5763"/>
        <item m="1" x="7265"/>
        <item m="1" x="7339"/>
        <item m="1" x="7340"/>
        <item m="1" x="2711"/>
        <item m="1" x="6715"/>
        <item m="1" x="7517"/>
        <item m="1" x="4777"/>
        <item m="1" x="4967"/>
        <item m="1" x="3390"/>
        <item m="1" x="5434"/>
        <item m="1" x="7175"/>
        <item m="1" x="2765"/>
        <item m="1" x="2794"/>
        <item m="1" x="7397"/>
        <item m="1" x="3581"/>
        <item m="1" x="6140"/>
        <item m="1" x="5459"/>
        <item m="1" x="4356"/>
        <item m="1" x="7280"/>
        <item m="1" x="6087"/>
        <item m="1" x="5108"/>
        <item m="1" x="4186"/>
        <item m="1" x="3925"/>
        <item m="1" x="4120"/>
        <item m="1" x="6139"/>
        <item m="1" x="5109"/>
        <item m="1" x="4588"/>
        <item m="1" x="4749"/>
        <item m="1" x="3266"/>
        <item m="1" x="6461"/>
        <item m="1" x="6092"/>
        <item m="1" x="2988"/>
        <item m="1" x="3451"/>
        <item m="1" x="6731"/>
        <item m="1" x="5407"/>
        <item m="1" x="5394"/>
        <item m="1" x="4303"/>
        <item m="1" x="5509"/>
        <item m="1" x="4139"/>
        <item m="1" x="4140"/>
        <item m="1" x="4806"/>
        <item m="1" x="7462"/>
        <item m="1" x="5257"/>
        <item m="1" x="6253"/>
        <item m="1" x="2775"/>
        <item m="1" x="2580"/>
        <item m="1" x="6470"/>
        <item m="1" x="4985"/>
        <item m="1" x="6463"/>
        <item m="1" x="7889"/>
        <item m="1" x="3057"/>
        <item m="1" x="4633"/>
        <item m="1" x="5375"/>
        <item m="1" x="4930"/>
        <item m="1" x="3735"/>
        <item m="1" x="4009"/>
        <item m="1" x="5938"/>
        <item m="1" x="7614"/>
        <item m="1" x="7776"/>
        <item m="1" x="4024"/>
        <item m="1" x="3582"/>
        <item m="1" x="4885"/>
        <item m="1" x="3455"/>
        <item m="1" x="4708"/>
        <item m="1" x="7986"/>
        <item m="1" x="6579"/>
        <item m="1" x="2707"/>
        <item m="1" x="2881"/>
        <item m="1" x="6242"/>
        <item m="1" x="7943"/>
        <item m="1" x="6958"/>
        <item m="1" x="4895"/>
        <item m="1" x="4002"/>
        <item m="1" x="2846"/>
        <item m="1" x="7598"/>
        <item m="1" x="7660"/>
        <item m="1" x="3318"/>
        <item m="1" x="3293"/>
        <item m="1" x="3108"/>
        <item m="1" x="3111"/>
        <item m="1" x="7193"/>
        <item m="1" x="3270"/>
        <item m="1" x="3138"/>
        <item m="1" x="5125"/>
        <item m="1" x="3271"/>
        <item m="1" x="2750"/>
        <item m="1" x="7601"/>
        <item m="1" x="7301"/>
        <item m="1" x="4406"/>
        <item m="1" x="5059"/>
        <item m="1" x="4306"/>
        <item m="1" x="6193"/>
        <item m="1" x="6384"/>
        <item m="1" x="3154"/>
        <item m="1" x="6405"/>
        <item m="1" x="5937"/>
        <item m="1" x="3238"/>
        <item m="1" x="2847"/>
        <item m="1" x="6271"/>
        <item m="1" x="5609"/>
        <item m="1" x="4664"/>
        <item m="1" x="3059"/>
        <item m="1" x="5679"/>
        <item m="1" x="2880"/>
        <item m="1" x="5313"/>
        <item m="1" x="4276"/>
        <item m="1" x="7563"/>
        <item m="1" x="4960"/>
        <item m="1" x="5687"/>
        <item m="1" x="3594"/>
        <item m="1" x="4265"/>
        <item m="1" x="7617"/>
        <item m="1" x="7900"/>
        <item m="1" x="2792"/>
        <item m="1" x="4964"/>
        <item m="1" x="6391"/>
        <item m="1" x="6014"/>
        <item m="1" x="6178"/>
        <item m="1" x="3367"/>
        <item m="1" x="2722"/>
        <item m="1" x="3008"/>
        <item m="1" x="6945"/>
        <item m="1" x="7229"/>
        <item m="1" x="3596"/>
        <item m="1" x="3133"/>
        <item m="1" x="3967"/>
        <item m="1" x="3998"/>
        <item m="1" x="7656"/>
        <item m="1" x="5228"/>
        <item m="1" x="6600"/>
        <item m="1" x="4966"/>
        <item m="1" x="5023"/>
        <item m="1" x="5162"/>
        <item m="1" x="3611"/>
        <item m="1" x="7669"/>
        <item m="1" x="4360"/>
        <item m="1" x="4962"/>
        <item m="1" x="5585"/>
        <item m="1" x="6213"/>
        <item m="1" x="3396"/>
        <item m="1" x="4039"/>
        <item m="1" x="2940"/>
        <item m="1" x="4051"/>
        <item m="1" x="5621"/>
        <item m="1" x="6035"/>
        <item m="1" x="3019"/>
        <item m="1" x="2531"/>
        <item m="1" x="7674"/>
        <item m="1" x="3845"/>
        <item m="1" x="2655"/>
        <item m="1" x="3009"/>
        <item m="1" x="4106"/>
        <item m="1" x="5816"/>
        <item m="1" x="6441"/>
        <item m="1" x="5974"/>
        <item m="1" x="4235"/>
        <item m="1" x="3200"/>
        <item m="1" x="6893"/>
        <item m="1" x="3726"/>
        <item m="1" x="3173"/>
        <item m="1" x="7180"/>
        <item m="1" x="7048"/>
        <item m="1" x="5775"/>
        <item m="1" x="6638"/>
        <item m="1" x="3058"/>
        <item m="1" x="5926"/>
        <item m="1" x="3479"/>
        <item m="1" x="4010"/>
        <item m="1" x="5371"/>
        <item m="1" x="4101"/>
        <item m="1" x="4637"/>
        <item m="1" x="5270"/>
        <item m="1" x="5850"/>
        <item m="1" x="7437"/>
        <item m="1" x="3000"/>
        <item m="1" x="3606"/>
        <item m="1" x="4117"/>
        <item m="1" x="3127"/>
        <item m="1" x="7292"/>
        <item m="1" x="3460"/>
        <item m="1" x="4283"/>
        <item m="1" x="5352"/>
        <item m="1" x="3803"/>
        <item m="1" x="7443"/>
        <item m="1" x="3253"/>
        <item m="1" x="4847"/>
        <item m="1" x="4854"/>
        <item m="1" x="2741"/>
        <item m="1" x="6761"/>
        <item m="1" x="2936"/>
        <item m="1" x="6409"/>
        <item m="1" x="4923"/>
        <item m="1" x="6539"/>
        <item m="1" x="4037"/>
        <item m="1" x="3031"/>
        <item m="1" x="2654"/>
        <item m="1" x="2685"/>
        <item m="1" x="7649"/>
        <item m="1" x="4929"/>
        <item m="1" x="5130"/>
        <item m="1" x="2607"/>
        <item m="1" x="7787"/>
        <item m="1" x="2876"/>
        <item m="1" x="7715"/>
        <item m="1" x="6472"/>
        <item m="1" x="6538"/>
        <item m="1" x="2619"/>
        <item m="1" x="7726"/>
        <item m="1" x="7550"/>
        <item m="1" x="4859"/>
        <item m="1" x="4045"/>
        <item m="1" x="6690"/>
        <item m="1" x="7278"/>
        <item m="1" x="4622"/>
        <item m="1" x="4163"/>
        <item m="1" x="7567"/>
        <item m="1" x="2926"/>
        <item m="1" x="5526"/>
        <item m="1" x="7916"/>
        <item m="1" x="6876"/>
        <item m="1" x="2864"/>
        <item m="1" x="7711"/>
        <item m="1" x="3618"/>
        <item m="1" x="7208"/>
        <item m="1" x="4741"/>
        <item m="1" x="7915"/>
        <item m="1" x="7275"/>
        <item m="1" x="7080"/>
        <item m="1" x="2830"/>
        <item m="1" x="6659"/>
        <item m="1" x="4614"/>
        <item m="1" x="3423"/>
        <item m="1" x="7054"/>
        <item m="1" x="6885"/>
        <item m="1" x="5731"/>
        <item m="1" x="3952"/>
        <item m="1" x="6394"/>
        <item m="1" x="3649"/>
        <item m="1" x="3214"/>
        <item m="1" x="2617"/>
        <item m="1" x="7150"/>
        <item m="1" x="5792"/>
        <item m="1" x="5882"/>
        <item m="1" x="6655"/>
        <item m="1" x="2640"/>
        <item m="1" x="5209"/>
        <item m="1" x="5555"/>
        <item m="1" x="5861"/>
        <item m="1" x="5165"/>
        <item m="1" x="3370"/>
        <item m="1" x="4914"/>
        <item m="1" x="3615"/>
        <item m="1" x="3030"/>
        <item m="1" x="3387"/>
        <item m="1" x="6610"/>
        <item m="1" x="5213"/>
        <item m="1" x="2878"/>
        <item m="1" x="2777"/>
        <item m="1" x="4717"/>
        <item m="1" x="6300"/>
        <item m="1" x="3335"/>
        <item m="1" x="7724"/>
        <item m="1" x="2532"/>
        <item m="1" x="3225"/>
        <item m="1" x="7902"/>
        <item m="1" x="7884"/>
        <item m="1" x="3262"/>
        <item m="1" x="5779"/>
        <item m="1" x="7467"/>
        <item m="1" x="6643"/>
        <item m="1" x="7507"/>
        <item m="1" x="3485"/>
        <item m="1" x="3530"/>
        <item m="1" x="3212"/>
        <item m="1" x="6154"/>
        <item m="1" x="3926"/>
        <item m="1" x="7199"/>
        <item m="1" x="4652"/>
        <item m="1" x="5750"/>
        <item m="1" x="7107"/>
        <item m="1" x="3739"/>
        <item m="1" x="7595"/>
        <item m="1" x="4378"/>
        <item m="1" x="3147"/>
        <item m="1" x="2834"/>
        <item m="1" x="6842"/>
        <item m="1" x="5888"/>
        <item m="1" x="3953"/>
        <item m="1" x="7037"/>
        <item m="1" x="3252"/>
        <item m="1" x="4721"/>
        <item m="1" x="4615"/>
        <item m="1" x="6416"/>
        <item m="1" x="7785"/>
        <item m="1" x="3810"/>
        <item m="1" x="7687"/>
        <item m="1" x="2529"/>
        <item m="1" x="2538"/>
        <item m="1" x="5958"/>
        <item m="1" x="4486"/>
        <item m="1" x="3949"/>
        <item m="1" x="5060"/>
        <item m="1" x="4472"/>
        <item m="1" x="2691"/>
        <item m="1" x="4809"/>
        <item m="1" x="5997"/>
        <item m="1" x="2589"/>
        <item m="1" x="7825"/>
        <item m="1" x="3748"/>
        <item m="1" x="7430"/>
        <item m="1" x="5900"/>
        <item m="1" x="3964"/>
        <item m="1" x="7853"/>
        <item m="1" x="7103"/>
        <item m="1" x="4768"/>
        <item m="1" x="7830"/>
        <item m="1" x="3525"/>
        <item m="1" x="4490"/>
        <item m="1" x="4931"/>
        <item m="1" x="4776"/>
        <item m="1" x="7888"/>
        <item m="1" x="6584"/>
        <item m="1" x="6410"/>
        <item m="1" x="7873"/>
        <item m="1" x="7148"/>
        <item m="1" x="7811"/>
        <item m="1" x="4072"/>
        <item m="1" x="5814"/>
        <item m="1" x="4179"/>
        <item m="1" x="3104"/>
        <item m="1" x="7657"/>
        <item m="1" x="3781"/>
        <item m="1" x="5302"/>
        <item m="1" x="4573"/>
        <item m="1" x="3788"/>
        <item m="1" x="5262"/>
        <item m="1" x="7352"/>
        <item m="1" x="7328"/>
        <item m="1" x="7974"/>
        <item m="1" x="5636"/>
        <item m="1" x="7629"/>
        <item m="1" x="5026"/>
        <item m="1" x="6370"/>
        <item m="1" x="5717"/>
        <item m="1" x="5519"/>
        <item m="1" x="6615"/>
        <item m="1" x="5441"/>
        <item m="1" x="6044"/>
        <item m="1" x="3179"/>
        <item m="1" x="5551"/>
        <item m="1" x="5151"/>
        <item m="1" x="5281"/>
        <item m="1" x="4569"/>
        <item m="1" x="6016"/>
        <item m="1" x="4157"/>
        <item m="1" x="2543"/>
        <item m="1" x="6436"/>
        <item m="1" x="5131"/>
        <item m="1" x="3023"/>
        <item m="1" x="5966"/>
        <item m="1" x="7583"/>
        <item m="1" x="6403"/>
        <item m="1" x="4932"/>
        <item m="1" x="5730"/>
        <item m="1" x="4975"/>
        <item m="1" x="2615"/>
        <item m="1" x="5264"/>
        <item m="1" x="3930"/>
        <item m="1" x="3827"/>
        <item m="1" x="2892"/>
        <item m="1" x="5218"/>
        <item m="1" x="4610"/>
        <item m="1" x="7581"/>
        <item m="1" x="4947"/>
        <item m="1" x="7664"/>
        <item m="1" x="3519"/>
        <item m="1" x="5456"/>
        <item m="1" x="2592"/>
        <item m="1" x="4574"/>
        <item m="1" x="5930"/>
        <item m="1" x="2616"/>
        <item m="1" x="7665"/>
        <item m="1" x="7982"/>
        <item m="1" x="2634"/>
        <item m="1" x="7698"/>
        <item m="1" x="5494"/>
        <item m="1" x="5599"/>
        <item m="1" x="4988"/>
        <item m="1" x="5428"/>
        <item m="1" x="6907"/>
        <item m="1" x="4494"/>
        <item m="1" x="3920"/>
        <item m="1" x="5759"/>
        <item m="1" x="3180"/>
        <item m="1" x="6036"/>
        <item m="1" x="7508"/>
        <item m="1" x="5991"/>
        <item m="1" x="7297"/>
        <item m="1" x="7666"/>
        <item m="1" x="3823"/>
        <item m="1" x="6196"/>
        <item m="1" x="6881"/>
        <item m="1" x="5791"/>
        <item m="1" x="7851"/>
        <item m="1" x="3128"/>
        <item m="1" x="7622"/>
        <item m="1" x="2571"/>
        <item m="1" x="6029"/>
        <item m="1" x="5518"/>
        <item m="1" x="5881"/>
        <item m="1" x="3142"/>
        <item m="1" x="5157"/>
        <item m="1" x="6067"/>
        <item m="1" x="3230"/>
        <item m="1" x="5062"/>
        <item m="1" x="6884"/>
        <item m="1" x="6239"/>
        <item m="1" x="3989"/>
        <item m="1" x="2932"/>
        <item m="1" x="5524"/>
        <item m="1" x="4913"/>
        <item m="1" x="4409"/>
        <item m="1" x="5159"/>
        <item m="1" x="7988"/>
        <item m="1" x="6990"/>
        <item m="1" x="4027"/>
        <item m="1" x="5412"/>
        <item m="1" x="5808"/>
        <item m="1" x="6387"/>
        <item m="1" x="5258"/>
        <item m="1" x="7536"/>
        <item m="1" x="7299"/>
        <item m="1" x="3227"/>
        <item m="1" x="5694"/>
        <item m="1" x="3820"/>
        <item m="1" x="6886"/>
        <item m="1" x="3047"/>
        <item m="1" x="2597"/>
        <item m="1" x="7642"/>
        <item m="1" x="4941"/>
        <item m="1" x="2989"/>
        <item m="1" x="5576"/>
        <item m="1" x="5790"/>
        <item m="1" x="7178"/>
        <item m="1" x="6021"/>
        <item m="1" x="6582"/>
        <item m="1" x="4098"/>
        <item m="1" x="4005"/>
        <item m="1" x="7222"/>
        <item m="1" x="5840"/>
        <item m="1" x="5152"/>
        <item m="1" x="7562"/>
        <item m="1" x="7777"/>
        <item m="1" x="4581"/>
        <item m="1" x="4630"/>
        <item m="1" x="6794"/>
        <item m="1" x="3916"/>
        <item m="1" x="6376"/>
        <item m="1" x="7348"/>
        <item m="1" x="5273"/>
        <item m="1" x="5940"/>
        <item m="1" x="5765"/>
        <item m="1" x="5096"/>
        <item m="1" x="4119"/>
        <item m="1" x="4050"/>
        <item m="1" x="3213"/>
        <item m="1" x="6960"/>
        <item m="1" x="5635"/>
        <item m="1" x="7797"/>
        <item m="1" x="3912"/>
        <item m="1" x="5737"/>
        <item m="1" x="5245"/>
        <item m="1" x="2744"/>
        <item m="1" x="3533"/>
        <item m="1" x="5878"/>
        <item m="1" x="6392"/>
        <item m="1" x="5556"/>
        <item m="1" x="4875"/>
        <item m="1" x="6535"/>
        <item m="1" x="5080"/>
        <item m="1" x="2753"/>
        <item m="1" x="3678"/>
        <item m="1" x="3663"/>
        <item m="1" x="4617"/>
        <item m="1" x="7818"/>
        <item m="1" x="5397"/>
        <item m="1" x="5577"/>
        <item m="1" x="3796"/>
        <item m="1" x="7419"/>
        <item m="1" x="3122"/>
        <item m="1" x="2598"/>
        <item m="1" x="7066"/>
        <item m="1" x="2752"/>
        <item m="1" x="2843"/>
        <item m="1" x="7242"/>
        <item m="1" x="3709"/>
        <item m="1" x="6627"/>
        <item m="1" x="3391"/>
        <item m="1" x="7701"/>
        <item m="1" x="7377"/>
        <item m="1" x="7464"/>
        <item m="1" x="6000"/>
        <item m="1" x="2565"/>
        <item m="1" x="6215"/>
        <item m="1" x="6525"/>
        <item m="1" x="5431"/>
        <item m="1" x="6868"/>
        <item m="1" x="2735"/>
        <item m="1" x="5309"/>
        <item m="1" x="5364"/>
        <item m="1" x="6046"/>
        <item m="1" x="7861"/>
        <item m="1" x="2664"/>
        <item m="1" x="6383"/>
        <item m="1" x="7156"/>
        <item m="1" x="2891"/>
        <item m="1" x="4093"/>
        <item m="1" x="7330"/>
        <item m="1" x="4710"/>
        <item m="1" x="4596"/>
        <item m="1" x="5222"/>
        <item m="1" x="5022"/>
        <item m="1" x="5562"/>
        <item m="1" x="3589"/>
        <item m="1" x="7658"/>
        <item m="1" x="6041"/>
        <item m="1" x="3012"/>
        <item m="1" x="5628"/>
        <item m="1" x="7190"/>
        <item m="1" x="3980"/>
        <item m="1" x="7832"/>
        <item m="1" x="5153"/>
        <item m="1" x="5960"/>
        <item m="1" x="7541"/>
        <item m="1" x="4719"/>
        <item m="1" x="3347"/>
        <item m="1" x="4160"/>
        <item m="1" x="7157"/>
        <item m="1" x="3743"/>
        <item m="1" x="5244"/>
        <item m="1" x="3478"/>
        <item m="1" x="3986"/>
        <item m="1" x="5471"/>
        <item m="1" x="4748"/>
        <item m="1" x="7207"/>
        <item m="1" x="7014"/>
        <item m="1" x="7730"/>
        <item m="1" x="3508"/>
        <item m="1" x="2900"/>
        <item m="1" x="4432"/>
        <item m="1" x="3421"/>
        <item m="1" x="3706"/>
        <item m="1" x="7333"/>
        <item m="1" x="6608"/>
        <item m="1" x="5455"/>
        <item m="1" x="6824"/>
        <item m="1" x="2633"/>
        <item m="1" x="2822"/>
        <item m="1" x="4150"/>
        <item m="1" x="6112"/>
        <item m="1" x="2771"/>
        <item m="1" x="7809"/>
        <item m="1" x="3501"/>
        <item m="1" x="4342"/>
        <item m="1" x="7086"/>
        <item m="1" x="2762"/>
        <item m="1" x="7311"/>
        <item m="1" x="7592"/>
        <item m="1" x="5867"/>
        <item m="1" x="6710"/>
        <item m="1" x="3653"/>
        <item m="1" x="5366"/>
        <item m="1" x="6261"/>
        <item m="1" x="3228"/>
        <item m="1" x="4263"/>
        <item m="1" x="7632"/>
        <item m="1" x="7227"/>
        <item m="1" x="6788"/>
        <item m="1" x="6873"/>
        <item m="1" x="7441"/>
        <item m="1" x="7420"/>
        <item m="1" x="7968"/>
        <item m="1" x="4382"/>
        <item m="1" x="4728"/>
        <item m="1" x="5278"/>
        <item m="1" x="7705"/>
        <item m="1" x="2853"/>
        <item m="1" x="6688"/>
        <item m="1" x="7912"/>
        <item m="1" x="5857"/>
        <item m="1" x="6076"/>
        <item m="1" x="2638"/>
        <item m="1" x="4711"/>
        <item m="1" x="4211"/>
        <item m="1" x="3151"/>
        <item m="1" x="6999"/>
        <item m="1" x="4400"/>
        <item m="1" x="3310"/>
        <item m="1" x="7187"/>
        <item m="1" x="4390"/>
        <item m="1" x="5610"/>
        <item m="1" x="5581"/>
        <item m="1" x="3991"/>
        <item m="1" x="7295"/>
        <item m="1" x="5376"/>
        <item m="1" x="5787"/>
        <item m="1" x="3379"/>
        <item m="1" x="7531"/>
        <item m="1" x="3505"/>
        <item m="1" x="3668"/>
        <item m="1" x="4293"/>
        <item m="1" x="2987"/>
        <item m="1" x="3041"/>
        <item m="1" x="2579"/>
        <item m="1" x="7510"/>
        <item m="1" x="7146"/>
        <item m="1" x="4678"/>
        <item m="1" x="4524"/>
        <item m="1" x="4289"/>
        <item m="1" x="3862"/>
        <item m="1" x="7117"/>
        <item m="1" x="7396"/>
        <item m="1" x="2672"/>
        <item m="1" x="6475"/>
        <item m="1" x="7866"/>
        <item m="1" x="2558"/>
        <item m="1" x="6652"/>
        <item m="1" x="5074"/>
        <item m="1" x="3053"/>
        <item m="1" x="5739"/>
        <item m="1" x="5934"/>
        <item m="1" x="2845"/>
        <item m="1" x="6430"/>
        <item m="1" x="4840"/>
        <item m="1" x="7569"/>
        <item m="1" x="3537"/>
        <item m="1" x="6695"/>
        <item m="1" x="4347"/>
        <item m="1" x="3416"/>
        <item m="1" x="5238"/>
        <item m="1" x="5583"/>
        <item m="1" x="7999"/>
        <item m="1" x="2866"/>
        <item m="1" x="4169"/>
        <item m="1" x="6382"/>
        <item m="1" x="3300"/>
        <item m="1" x="4504"/>
        <item m="1" x="7050"/>
        <item m="1" x="6267"/>
        <item m="1" x="6814"/>
        <item m="1" x="7969"/>
        <item m="1" x="5229"/>
        <item m="1" x="5681"/>
        <item m="1" x="5497"/>
        <item m="1" x="3084"/>
        <item m="1" x="5461"/>
        <item m="1" x="3955"/>
        <item m="1" x="4881"/>
        <item m="1" x="4305"/>
        <item m="1" x="6185"/>
        <item m="1" x="2967"/>
        <item m="1" x="5832"/>
        <item m="1" x="4412"/>
        <item m="1" x="6045"/>
        <item m="1" x="5786"/>
        <item m="1" x="4713"/>
        <item m="1" x="7385"/>
        <item m="1" x="5601"/>
        <item m="1" x="4544"/>
        <item m="1" x="6640"/>
        <item m="1" x="6118"/>
        <item m="1" x="5564"/>
        <item m="1" x="5406"/>
        <item m="1" x="7929"/>
        <item m="1" x="6632"/>
        <item m="1" x="3196"/>
        <item m="1" x="2675"/>
        <item m="1" x="3974"/>
        <item m="1" x="6474"/>
        <item m="1" x="3856"/>
        <item m="1" x="2776"/>
        <item m="1" x="4371"/>
        <item m="1" x="5077"/>
        <item m="1" x="5617"/>
        <item m="1" x="2849"/>
        <item m="1" x="4696"/>
        <item m="1" x="5754"/>
        <item m="1" x="5503"/>
        <item m="1" x="2513"/>
        <item m="1" x="5423"/>
        <item m="1" x="3326"/>
        <item m="1" x="4426"/>
        <item m="1" x="3472"/>
        <item m="1" x="3917"/>
        <item m="1" x="4706"/>
        <item m="1" x="5469"/>
        <item m="1" x="5381"/>
        <item m="1" x="3807"/>
        <item m="1" x="6342"/>
        <item m="1" x="5702"/>
        <item m="1" x="7753"/>
        <item m="1" x="2724"/>
        <item m="1" x="3714"/>
        <item m="1" x="5284"/>
        <item m="1" x="7432"/>
        <item m="1" x="7712"/>
        <item m="1" x="6948"/>
        <item m="1" x="7234"/>
        <item m="1" x="7236"/>
        <item m="1" x="6407"/>
        <item m="1" x="6620"/>
        <item m="1" x="7512"/>
        <item m="1" x="5418"/>
        <item m="1" x="4434"/>
        <item m="1" x="3869"/>
        <item m="1" x="6937"/>
        <item m="1" x="7336"/>
        <item m="1" x="2957"/>
        <item m="1" x="3139"/>
        <item m="1" x="3088"/>
        <item m="1" x="3908"/>
        <item m="1" x="5119"/>
        <item m="1" x="2923"/>
        <item m="1" x="5120"/>
        <item m="1" x="7537"/>
        <item m="1" x="7057"/>
        <item m="1" x="5862"/>
        <item m="1" x="3275"/>
        <item m="1" x="5330"/>
        <item m="1" x="4375"/>
        <item m="1" x="6772"/>
        <item m="1" x="5705"/>
        <item m="1" x="7509"/>
        <item m="1" x="6465"/>
        <item m="1" x="5883"/>
        <item m="1" x="4267"/>
        <item m="1" x="6940"/>
        <item m="1" x="5529"/>
        <item m="1" x="4535"/>
        <item m="1" x="5435"/>
        <item m="1" x="7072"/>
        <item m="1" x="4376"/>
        <item m="1" x="3687"/>
        <item m="1" x="4029"/>
        <item m="1" x="6863"/>
        <item m="1" x="2761"/>
        <item m="1" x="3010"/>
        <item m="1" x="4193"/>
        <item m="1" x="7963"/>
        <item m="1" x="3203"/>
        <item m="1" x="2749"/>
        <item m="1" x="3341"/>
        <item m="1" x="3516"/>
        <item m="1" x="4015"/>
        <item m="1" x="4256"/>
        <item m="1" x="7337"/>
        <item m="1" x="5057"/>
        <item m="1" x="4118"/>
        <item m="1" x="3233"/>
        <item m="1" x="5545"/>
        <item m="1" x="6585"/>
        <item m="1" x="7123"/>
        <item m="1" x="6857"/>
        <item m="1" x="5293"/>
        <item m="1" x="7773"/>
        <item m="1" x="2603"/>
        <item m="1" x="6954"/>
        <item m="1" x="3846"/>
        <item m="1" x="5891"/>
        <item m="1" x="6823"/>
        <item m="1" x="7434"/>
        <item m="1" x="6205"/>
        <item m="1" x="7625"/>
        <item m="1" x="4517"/>
        <item m="1" x="4020"/>
        <item m="1" x="2738"/>
        <item m="1" x="4978"/>
        <item m="1" x="5190"/>
        <item m="1" x="7565"/>
        <item m="1" x="2562"/>
        <item m="1" x="3987"/>
        <item m="1" x="2739"/>
        <item m="1" x="7342"/>
        <item m="1" x="4178"/>
        <item m="1" x="3425"/>
        <item m="1" x="5058"/>
        <item m="1" x="5230"/>
        <item m="1" x="6845"/>
        <item m="1" x="6611"/>
        <item m="1" x="5400"/>
        <item m="1" x="6311"/>
        <item m="1" x="5964"/>
        <item m="1" x="5807"/>
        <item m="1" x="3354"/>
        <item m="1" x="5460"/>
        <item m="1" x="3443"/>
        <item m="1" x="4332"/>
        <item m="1" x="5079"/>
        <item m="1" x="6727"/>
        <item m="1" x="2701"/>
        <item m="1" x="4110"/>
        <item m="1" x="4744"/>
        <item m="1" x="3849"/>
        <item m="1" x="3539"/>
        <item m="1" x="4958"/>
        <item m="1" x="4609"/>
        <item m="1" x="4097"/>
        <item m="1" x="6694"/>
        <item m="1" x="2764"/>
        <item m="1" x="7917"/>
        <item m="1" x="3114"/>
        <item m="1" x="7273"/>
        <item m="1" x="6770"/>
        <item m="1" x="2883"/>
        <item m="1" x="4669"/>
        <item m="1" x="2656"/>
        <item m="1" x="2660"/>
        <item m="1" x="5801"/>
        <item m="1" x="3356"/>
        <item m="1" x="4273"/>
        <item m="1" x="4760"/>
        <item m="1" x="7994"/>
        <item m="1" x="7422"/>
        <item m="1" x="7782"/>
        <item m="1" x="7197"/>
        <item m="1" x="6849"/>
        <item m="1" x="2959"/>
        <item m="1" x="2551"/>
        <item m="1" x="4656"/>
        <item m="1" x="7176"/>
        <item m="1" x="5638"/>
        <item m="1" x="5144"/>
        <item m="1" x="3831"/>
        <item m="1" x="7708"/>
        <item m="1" x="3121"/>
        <item m="1" x="3797"/>
        <item m="1" x="6440"/>
        <item m="1" x="5854"/>
        <item m="1" x="2801"/>
        <item m="1" x="5662"/>
        <item m="1" x="5774"/>
        <item m="1" x="6839"/>
        <item m="1" x="6446"/>
        <item m="1" x="7793"/>
        <item m="1" x="3718"/>
        <item m="1" x="5009"/>
        <item m="1" x="4668"/>
        <item m="1" x="7446"/>
        <item m="1" x="4295"/>
        <item m="1" x="4789"/>
        <item m="1" x="3025"/>
        <item m="1" x="4103"/>
        <item m="1" x="6358"/>
        <item m="1" x="7386"/>
        <item m="1" x="4718"/>
        <item m="1" x="6571"/>
        <item m="1" x="5290"/>
        <item m="1" x="5541"/>
        <item m="1" x="5542"/>
        <item m="1" x="5538"/>
        <item m="1" x="7599"/>
        <item m="1" x="5539"/>
        <item m="1" x="5804"/>
        <item m="1" x="5540"/>
        <item m="1" x="4952"/>
        <item m="1" x="5150"/>
        <item m="1" x="4602"/>
        <item m="1" x="3471"/>
        <item m="1" x="7006"/>
        <item m="1" x="5789"/>
        <item m="1" x="7763"/>
        <item m="1" x="5440"/>
        <item m="1" x="7983"/>
        <item m="1" x="2806"/>
        <item m="1" x="3769"/>
        <item m="1" x="7173"/>
        <item m="1" x="7836"/>
        <item m="1" x="4297"/>
        <item m="1" x="5923"/>
        <item m="1" x="6853"/>
        <item m="1" x="4361"/>
        <item m="1" x="5391"/>
        <item m="1" x="3348"/>
        <item m="1" x="2816"/>
        <item m="1" x="3015"/>
        <item m="1" x="4180"/>
        <item m="1" x="7370"/>
        <item m="1" x="3250"/>
        <item m="1" x="5795"/>
        <item m="1" x="3426"/>
        <item m="1" x="2713"/>
        <item m="1" x="6098"/>
        <item m="1" x="2950"/>
        <item m="1" x="3399"/>
        <item m="1" x="3089"/>
        <item m="1" x="5851"/>
        <item m="1" x="3081"/>
        <item m="1" x="2827"/>
        <item m="1" x="7612"/>
        <item m="1" x="4526"/>
        <item m="1" x="6838"/>
        <item m="1" x="5718"/>
        <item m="1" x="5082"/>
        <item m="1" x="6719"/>
        <item m="1" x="3731"/>
        <item m="1" x="6334"/>
        <item m="1" x="3085"/>
        <item m="1" x="2879"/>
        <item m="1" x="4388"/>
        <item m="1" x="6161"/>
        <item m="1" x="3950"/>
        <item m="1" x="3543"/>
        <item m="1" x="5771"/>
        <item m="1" x="4832"/>
        <item m="1" x="6730"/>
        <item m="1" x="5294"/>
        <item m="1" x="3448"/>
        <item m="1" x="7491"/>
        <item m="1" x="5933"/>
        <item m="1" x="5975"/>
        <item m="1" x="3378"/>
        <item m="1" x="3711"/>
        <item m="1" x="6336"/>
        <item m="1" x="6664"/>
        <item m="1" x="7058"/>
        <item m="1" x="3681"/>
        <item m="1" x="4255"/>
        <item m="1" x="4253"/>
        <item m="1" x="3383"/>
        <item m="1" x="6951"/>
        <item m="1" x="3629"/>
        <item m="1" x="6964"/>
        <item m="1" x="7636"/>
        <item m="1" x="2700"/>
        <item m="1" x="5847"/>
        <item m="1" x="7532"/>
        <item m="1" x="5887"/>
        <item m="1" x="3278"/>
        <item m="1" x="4707"/>
        <item m="1" x="4933"/>
        <item m="1" x="6832"/>
        <item m="1" x="7355"/>
        <item m="1" x="6791"/>
        <item m="1" x="3600"/>
        <item m="1" x="7578"/>
        <item m="1" x="3068"/>
        <item m="1" x="3848"/>
        <item m="1" x="6841"/>
        <item m="1" x="7502"/>
        <item m="1" x="5194"/>
        <item m="1" x="6246"/>
        <item m="1" x="6563"/>
        <item m="1" x="7056"/>
        <item m="1" x="7554"/>
        <item m="1" x="7579"/>
        <item m="1" x="6043"/>
        <item m="1" x="3622"/>
        <item m="1" x="3824"/>
        <item m="1" x="4961"/>
        <item m="1" x="7580"/>
        <item m="1" x="3802"/>
        <item m="1" x="5970"/>
        <item m="1" x="6247"/>
        <item m="1" x="7019"/>
        <item m="1" x="2915"/>
        <item m="1" x="5941"/>
        <item m="1" x="6432"/>
        <item m="1" x="7154"/>
        <item m="1" x="6768"/>
        <item m="1" x="6769"/>
        <item m="1" x="6803"/>
        <item m="1" x="2993"/>
        <item m="1" x="2805"/>
        <item m="1" x="4304"/>
        <item m="1" x="6723"/>
        <item m="1" x="4940"/>
        <item m="1" x="3901"/>
        <item m="1" x="5649"/>
        <item m="1" x="6971"/>
        <item m="1" x="3870"/>
        <item m="1" x="3056"/>
        <item m="1" x="4584"/>
        <item m="1" x="7680"/>
        <item m="1" x="4389"/>
        <item m="1" x="6108"/>
        <item m="1" x="6981"/>
        <item m="1" x="6982"/>
        <item m="1" x="4224"/>
        <item m="1" x="5488"/>
        <item m="1" x="5489"/>
        <item m="1" x="2985"/>
        <item m="1" x="5721"/>
        <item m="1" x="3435"/>
        <item m="1" x="7110"/>
        <item m="1" x="7931"/>
        <item m="1" x="5490"/>
        <item m="1" x="5491"/>
        <item m="1" x="6148"/>
        <item m="1" x="6983"/>
        <item m="1" x="4773"/>
        <item m="1" x="6058"/>
        <item m="1" x="3205"/>
        <item m="1" x="5462"/>
        <item m="1" x="5049"/>
        <item m="1" x="5050"/>
        <item m="1" x="4314"/>
        <item m="1" x="3060"/>
        <item m="1" x="6171"/>
        <item m="1" x="7155"/>
        <item m="1" x="5726"/>
        <item m="1" x="6676"/>
        <item m="1" x="6667"/>
        <item m="1" x="6530"/>
        <item m="1" x="6505"/>
        <item m="1" x="7733"/>
        <item m="1" x="6624"/>
        <item m="1" x="4654"/>
        <item m="1" x="7388"/>
        <item m="1" x="7097"/>
        <item m="1" x="4671"/>
        <item m="1" x="2874"/>
        <item m="1" x="6468"/>
        <item m="1" x="4058"/>
        <item m="1" x="7923"/>
        <item m="1" x="7003"/>
        <item m="1" x="5282"/>
        <item m="1" x="5336"/>
        <item m="1" x="5988"/>
        <item m="1" x="4750"/>
        <item m="1" x="3544"/>
        <item m="1" x="4225"/>
        <item m="1" x="7492"/>
        <item m="1" x="3174"/>
        <item m="1" x="6809"/>
        <item m="1" x="3729"/>
        <item m="1" x="2692"/>
        <item m="1" x="4035"/>
        <item m="1" x="4597"/>
        <item m="1" x="4385"/>
        <item m="1" x="3716"/>
        <item m="1" x="4474"/>
        <item m="1" x="3674"/>
        <item m="1" x="4899"/>
        <item m="1" x="6244"/>
        <item m="1" x="4641"/>
        <item m="1" x="4172"/>
        <item m="1" x="3488"/>
        <item m="1" x="7096"/>
        <item m="1" x="6762"/>
        <item m="1" x="5506"/>
        <item m="1" x="3411"/>
        <item m="1" x="5261"/>
        <item m="1" x="3190"/>
        <item m="1" x="7755"/>
        <item m="1" x="5042"/>
        <item m="1" x="5475"/>
        <item m="1" x="5476"/>
        <item m="1" x="5043"/>
        <item m="1" x="7082"/>
        <item m="1" x="4545"/>
        <item m="1" x="4451"/>
        <item m="1" x="7748"/>
        <item m="1" x="6189"/>
        <item m="1" x="7780"/>
        <item m="1" x="5268"/>
        <item m="1" x="4692"/>
        <item m="1" x="5045"/>
        <item m="1" x="4129"/>
        <item m="1" x="5479"/>
        <item m="1" x="2610"/>
        <item m="1" x="4556"/>
        <item m="1" x="5480"/>
        <item m="1" x="6593"/>
        <item m="1" x="5046"/>
        <item m="1" x="5523"/>
        <item m="1" x="5481"/>
        <item m="1" x="5482"/>
        <item m="1" x="5753"/>
        <item m="1" x="5047"/>
        <item m="1" x="2608"/>
        <item m="1" x="2591"/>
        <item m="1" x="3551"/>
        <item m="1" x="2984"/>
        <item m="1" x="4455"/>
        <item m="1" x="5483"/>
        <item m="1" x="5247"/>
        <item m="1" x="4335"/>
        <item m="1" x="2977"/>
        <item m="1" x="7679"/>
        <item m="1" x="6081"/>
        <item m="1" x="5485"/>
        <item m="1" x="5806"/>
        <item m="1" x="5210"/>
        <item m="1" x="5409"/>
        <item m="1" x="5259"/>
        <item m="1" x="6837"/>
        <item m="1" x="3119"/>
        <item m="1" x="4992"/>
        <item m="1" x="6223"/>
        <item m="1" x="5620"/>
        <item m="1" x="4948"/>
        <item m="1" x="5331"/>
        <item m="1" x="3979"/>
        <item m="1" x="3055"/>
        <item m="1" x="2563"/>
        <item m="1" x="6718"/>
        <item m="1" x="6374"/>
        <item m="1" x="5008"/>
        <item m="1" x="3130"/>
        <item m="1" x="6294"/>
        <item m="1" x="5181"/>
        <item m="1" x="5048"/>
        <item m="1" x="6305"/>
        <item m="1" x="3898"/>
        <item m="1" x="3192"/>
        <item m="1" x="3351"/>
        <item m="1" x="5780"/>
        <item m="1" x="4599"/>
        <item m="1" x="6372"/>
        <item m="1" x="5056"/>
        <item m="1" x="3560"/>
        <item m="1" x="5392"/>
        <item m="1" x="4901"/>
        <item m="1" x="4772"/>
        <item m="1" x="6706"/>
        <item m="1" x="5032"/>
        <item m="1" x="6935"/>
        <item m="1" x="4460"/>
        <item m="1" x="3457"/>
        <item m="1" x="5033"/>
        <item m="1" x="4461"/>
        <item m="1" x="2905"/>
        <item m="1" x="5575"/>
        <item m="1" x="7478"/>
        <item m="1" x="7065"/>
        <item m="1" x="4315"/>
        <item m="1" x="5202"/>
        <item m="1" x="4506"/>
        <item m="1" x="2780"/>
        <item m="1" x="6583"/>
        <item m="1" x="4113"/>
        <item m="1" x="4841"/>
        <item m="1" x="4620"/>
        <item m="1" x="6793"/>
        <item m="1" x="4074"/>
        <item m="1" x="4510"/>
        <item m="1" x="7128"/>
        <item m="1" x="6914"/>
        <item m="1" x="7364"/>
        <item m="1" x="4593"/>
        <item m="1" x="4006"/>
        <item m="1" x="3931"/>
        <item m="1" x="7400"/>
        <item m="1" x="3117"/>
        <item m="1" x="3061"/>
        <item m="1" x="4298"/>
        <item m="1" x="4418"/>
        <item m="1" x="6126"/>
        <item m="1" x="3033"/>
        <item m="1" x="6913"/>
        <item m="1" x="3024"/>
        <item m="1" x="6950"/>
        <item m="1" x="6815"/>
        <item m="1" x="3531"/>
        <item m="1" x="7607"/>
        <item m="1" x="3886"/>
        <item m="1" x="7764"/>
        <item m="1" x="7655"/>
        <item m="1" x="5797"/>
        <item m="1" x="6493"/>
        <item m="1" x="7039"/>
        <item m="1" x="2819"/>
        <item m="1" x="7766"/>
        <item m="1" x="3352"/>
        <item m="1" x="4805"/>
        <item m="1" x="4892"/>
        <item m="1" x="3547"/>
        <item m="1" x="5066"/>
        <item m="1" x="7300"/>
        <item m="1" x="6590"/>
        <item m="1" x="6575"/>
        <item m="1" x="3789"/>
        <item m="1" x="4048"/>
        <item m="1" x="5671"/>
        <item m="1" x="5474"/>
        <item m="1" x="5437"/>
        <item m="1" x="2586"/>
        <item m="1" x="6074"/>
        <item m="1" x="3172"/>
        <item m="1" x="5436"/>
        <item m="1" x="6002"/>
        <item m="1" x="5743"/>
        <item m="1" x="6350"/>
        <item m="1" x="5710"/>
        <item m="1" x="2732"/>
        <item m="1" x="5744"/>
        <item m="1" x="4239"/>
        <item m="1" x="2733"/>
        <item m="1" x="5798"/>
        <item m="1" x="6494"/>
        <item m="1" x="6790"/>
        <item m="1" x="4158"/>
        <item m="1" x="6799"/>
        <item m="1" x="4810"/>
        <item m="1" x="6969"/>
        <item m="1" x="4453"/>
        <item m="1" x="4067"/>
        <item m="1" x="5044"/>
        <item m="1" x="5927"/>
        <item m="1" x="6980"/>
        <item m="1" x="6491"/>
        <item m="1" x="7603"/>
        <item m="1" x="5838"/>
        <item m="1" x="2517"/>
        <item m="1" x="3942"/>
        <item m="1" x="6576"/>
        <item m="1" x="6597"/>
        <item m="1" x="2720"/>
        <item m="1" x="6997"/>
        <item m="1" x="3851"/>
        <item m="1" x="4779"/>
        <item m="1" x="6621"/>
        <item m="1" x="5310"/>
        <item m="1" x="5334"/>
        <item m="1" x="7237"/>
        <item m="1" x="2583"/>
        <item m="1" x="3157"/>
        <item m="1" x="7544"/>
        <item m="1" x="6598"/>
        <item m="1" x="7575"/>
        <item m="1" x="5712"/>
        <item m="1" x="2628"/>
        <item m="1" x="5178"/>
        <item m="1" x="3327"/>
        <item m="1" x="5799"/>
        <item m="1" x="6495"/>
        <item m="1" x="5532"/>
        <item m="1" x="7590"/>
        <item m="1" x="6840"/>
        <item m="1" x="6707"/>
        <item m="1" x="4458"/>
        <item m="1" x="3976"/>
        <item m="1" x="6708"/>
        <item m="1" x="2699"/>
        <item m="1" x="5810"/>
        <item m="1" x="6802"/>
        <item m="1" x="6855"/>
        <item m="1" x="5399"/>
        <item m="1" x="3843"/>
        <item m="1" x="5755"/>
        <item m="1" x="2924"/>
        <item m="1" x="2559"/>
        <item m="1" x="6413"/>
        <item m="1" x="4175"/>
        <item m="1" x="7672"/>
        <item m="1" x="3821"/>
        <item m="1" x="4115"/>
        <item m="1" x="7450"/>
        <item m="1" x="2809"/>
        <item m="1" x="2848"/>
        <item m="1" x="2953"/>
        <item m="1" x="4301"/>
        <item m="1" x="5226"/>
        <item m="1" x="6304"/>
        <item m="1" x="7577"/>
        <item m="1" x="3191"/>
        <item m="1" x="5800"/>
        <item m="1" x="6496"/>
        <item m="1" x="3572"/>
        <item m="1" x="5486"/>
        <item m="1" x="5487"/>
        <item m="1" x="7678"/>
        <item m="1" x="4505"/>
        <item m="1" x="4312"/>
        <item m="1" x="3557"/>
        <item m="1" x="3648"/>
        <item m="1" x="2533"/>
        <item m="1" x="5311"/>
        <item m="1" x="7159"/>
        <item m="1" x="4363"/>
        <item m="1" x="3199"/>
        <item m="1" x="6130"/>
        <item m="1" x="3559"/>
        <item m="1" x="6831"/>
        <item m="1" x="6237"/>
        <item m="1" x="3882"/>
        <item m="1" x="7477"/>
        <item m="1" x="7522"/>
        <item m="1" x="7523"/>
        <item m="1" x="3415"/>
        <item m="1" x="3294"/>
        <item m="1" x="7681"/>
        <item m="1" x="4479"/>
        <item m="1" x="2574"/>
        <item m="1" x="5544"/>
        <item m="1" x="7922"/>
        <item m="1" x="5063"/>
        <item m="1" x="4403"/>
        <item m="1" x="7380"/>
        <item m="1" x="7948"/>
        <item m="1" x="2945"/>
        <item m="1" x="7520"/>
        <item m="1" x="3317"/>
        <item m="1" x="6599"/>
        <item m="1" x="4191"/>
        <item m="1" x="2704"/>
        <item m="1" x="7335"/>
        <item m="1" x="7431"/>
        <item m="1" x="3712"/>
        <item m="1" x="3493"/>
        <item m="1" x="6093"/>
        <item m="1" x="4693"/>
        <item m="1" x="2791"/>
        <item m="1" x="3334"/>
        <item m="1" x="4105"/>
        <item m="1" x="3249"/>
        <item m="1" x="3169"/>
        <item m="1" x="4143"/>
        <item m="1" x="7398"/>
        <item m="1" x="3372"/>
        <item m="1" x="4943"/>
        <item m="1" x="3644"/>
        <item m="1" x="6528"/>
        <item m="1" x="4554"/>
        <item m="1" x="3241"/>
        <item m="1" x="5327"/>
        <item m="1" x="3345"/>
        <item m="1" x="5344"/>
        <item m="1" x="7720"/>
        <item m="1" x="4911"/>
        <item m="1" x="3677"/>
        <item m="1" x="3290"/>
        <item m="1" x="4851"/>
        <item m="1" x="3440"/>
        <item m="1" x="2681"/>
        <item m="1" x="4131"/>
        <item m="1" x="3524"/>
        <item m="1" x="4518"/>
        <item m="1" x="4612"/>
        <item m="1" x="6218"/>
        <item m="1" x="4419"/>
        <item m="1" x="7600"/>
        <item m="1" x="7568"/>
        <item m="1" x="2577"/>
        <item m="1" x="4891"/>
        <item m="1" x="7794"/>
        <item m="1" x="7092"/>
        <item m="1" x="6756"/>
        <item m="1" x="2530"/>
        <item m="1" x="6955"/>
        <item m="1" x="5360"/>
        <item m="1" x="3511"/>
        <item m="1" x="5983"/>
        <item m="1" x="2773"/>
        <item m="1" x="4533"/>
        <item m="1" x="2921"/>
        <item m="1" x="7604"/>
        <item m="1" x="4509"/>
        <item m="1" x="3236"/>
        <item m="1" x="7453"/>
        <item m="1" x="5590"/>
        <item m="1" x="3875"/>
        <item m="1" x="5169"/>
        <item m="1" x="3740"/>
        <item m="1" x="2514"/>
        <item m="1" x="6570"/>
        <item m="1" x="3301"/>
        <item m="1" x="7145"/>
        <item m="1" x="2512"/>
        <item m="1" x="6445"/>
        <item m="1" x="6089"/>
        <item m="1" x="7518"/>
        <item m="1" x="2949"/>
        <item m="1" x="3189"/>
        <item m="1" x="7826"/>
        <item m="1" x="3546"/>
        <item m="1" x="6321"/>
        <item m="1" x="7837"/>
        <item m="1" x="6613"/>
        <item m="1" x="3006"/>
        <item m="1" x="6591"/>
        <item m="1" x="6795"/>
        <item m="1" x="6596"/>
        <item m="1" x="4302"/>
        <item m="1" x="5863"/>
        <item m="1" x="4634"/>
        <item m="1" x="4449"/>
        <item m="1" x="3602"/>
        <item m="1" x="7126"/>
        <item m="1" x="5700"/>
        <item m="1" x="3756"/>
        <item m="1" x="3850"/>
        <item m="1" x="6757"/>
        <item m="1" x="4205"/>
        <item m="1" x="7646"/>
        <item m="1" x="6796"/>
        <item m="1" x="3273"/>
        <item m="1" x="5703"/>
        <item m="1" x="6797"/>
        <item m="1" x="5516"/>
        <item m="1" x="6798"/>
        <item m="1" x="6736"/>
        <item m="1" x="6282"/>
        <item m="1" x="6549"/>
        <item m="1" x="7739"/>
        <item m="1" x="7688"/>
        <item m="1" x="7149"/>
        <item m="1" x="3549"/>
        <item m="1" x="4452"/>
        <item m="1" x="7472"/>
        <item m="1" x="6968"/>
        <item m="1" x="5212"/>
        <item m="1" x="2627"/>
        <item m="1" x="3412"/>
        <item m="1" x="5477"/>
        <item m="1" x="2527"/>
        <item m="1" x="3413"/>
        <item m="1" x="4454"/>
        <item m="1" x="7879"/>
        <item m="1" x="4322"/>
        <item m="1" x="4310"/>
        <item m="1" x="3550"/>
        <item m="1" x="2815"/>
        <item m="1" x="6737"/>
        <item m="1" x="6283"/>
        <item m="1" x="6550"/>
        <item m="1" x="3806"/>
        <item m="1" x="6970"/>
        <item m="1" x="7947"/>
        <item m="1" x="7534"/>
        <item m="1" x="5291"/>
        <item m="1" x="7977"/>
        <item m="1" x="6800"/>
        <item m="1" x="3553"/>
        <item m="1" x="4445"/>
        <item m="1" x="5484"/>
        <item m="1" x="4264"/>
        <item m="1" x="6007"/>
        <item m="1" x="4457"/>
        <item m="1" x="2972"/>
        <item m="1" x="3051"/>
        <item m="1" x="7473"/>
        <item m="1" x="6801"/>
        <item m="1" x="5091"/>
        <item m="1" x="6957"/>
        <item m="1" x="4912"/>
        <item m="1" x="7880"/>
        <item m="1" x="5961"/>
        <item m="1" x="5127"/>
        <item m="1" x="6952"/>
        <item m="1" x="4625"/>
        <item m="1" x="6738"/>
        <item m="1" x="6284"/>
        <item m="1" x="6551"/>
        <item m="1" x="7326"/>
        <item m="1" x="6069"/>
        <item m="1" x="6170"/>
        <item m="1" x="6804"/>
        <item m="1" x="5574"/>
        <item m="1" x="4459"/>
        <item m="1" x="7152"/>
        <item m="1" x="7576"/>
        <item m="1" x="3977"/>
        <item m="1" x="6908"/>
        <item m="1" x="2930"/>
        <item m="1" x="3918"/>
        <item m="1" x="5013"/>
        <item m="1" x="2575"/>
        <item m="1" x="4137"/>
        <item m="1" x="5859"/>
        <item m="1" x="7475"/>
        <item m="1" x="7476"/>
        <item m="1" x="5572"/>
        <item m="1" x="3593"/>
        <item m="1" x="3414"/>
        <item m="1" x="4521"/>
        <item m="1" x="2572"/>
        <item m="1" x="4956"/>
        <item m="1" x="6928"/>
        <item m="1" x="4737"/>
        <item m="1" x="3558"/>
        <item m="1" x="6972"/>
        <item m="1" x="5240"/>
        <item m="1" x="3561"/>
        <item m="1" x="4313"/>
        <item m="1" x="5363"/>
        <item m="1" x="6634"/>
        <item m="1" x="7143"/>
        <item m="1" x="6805"/>
        <item m="1" x="7857"/>
        <item m="1" x="5208"/>
        <item m="1" x="5087"/>
        <item m="1" x="6739"/>
        <item m="1" x="6285"/>
        <item m="1" x="6552"/>
        <item m="1" x="4984"/>
        <item m="1" x="3562"/>
        <item m="1" x="6806"/>
        <item m="1" x="5217"/>
        <item m="1" x="4579"/>
        <item m="1" x="7115"/>
        <item m="1" x="6060"/>
        <item m="1" x="4174"/>
        <item m="1" x="4184"/>
        <item m="1" x="7479"/>
        <item m="1" x="7805"/>
        <item m="1" x="4014"/>
        <item m="1" x="5616"/>
        <item m="1" x="4903"/>
        <item m="1" x="5100"/>
        <item m="1" x="3758"/>
        <item m="1" x="3193"/>
        <item m="1" x="5102"/>
        <item m="1" x="3284"/>
        <item m="1" x="6453"/>
        <item m="1" x="7480"/>
        <item m="1" x="7391"/>
        <item m="1" x="4938"/>
        <item m="1" x="4591"/>
        <item m="1" x="7571"/>
        <item m="1" x="7572"/>
        <item m="1" x="7779"/>
        <item m="1" x="5280"/>
        <item m="1" x="4410"/>
        <item m="1" x="4277"/>
        <item m="1" x="5361"/>
        <item m="1" x="3080"/>
        <item m="1" x="6115"/>
        <item m="1" x="5948"/>
        <item m="1" x="6685"/>
        <item m="1" x="6740"/>
        <item m="1" x="6286"/>
        <item m="1" x="6553"/>
        <item m="1" x="2582"/>
        <item m="1" x="5956"/>
        <item m="1" x="4501"/>
        <item m="1" x="7852"/>
        <item m="1" x="6592"/>
        <item m="1" x="3999"/>
        <item m="1" x="4320"/>
        <item m="1" x="3548"/>
        <item m="1" x="6828"/>
        <item m="1" x="6238"/>
        <item m="1" x="4350"/>
        <item m="1" x="4450"/>
        <item m="1" x="6434"/>
        <item m="1" x="3332"/>
        <item m="1" x="4151"/>
        <item m="1" x="3210"/>
        <item m="1" x="3861"/>
        <item m="1" x="5708"/>
        <item m="1" x="7556"/>
        <item m="1" x="6298"/>
        <item m="1" x="4822"/>
        <item m="1" x="5618"/>
        <item m="1" x="6919"/>
        <item m="1" x="3721"/>
        <item m="1" x="6501"/>
        <item m="1" x="5002"/>
        <item m="1" x="4528"/>
        <item m="1" x="7942"/>
        <item m="1" x="6741"/>
        <item m="1" x="6287"/>
        <item m="1" x="6554"/>
        <item m="1" x="4986"/>
        <item m="1" x="4215"/>
        <item m="1" x="5478"/>
        <item m="1" x="4568"/>
        <item m="1" x="2983"/>
        <item m="1" x="3647"/>
        <item m="1" x="6419"/>
        <item m="1" x="5401"/>
        <item m="1" x="3160"/>
        <item m="1" x="5402"/>
        <item m="1" x="4730"/>
        <item m="1" x="3874"/>
        <item m="1" x="6210"/>
        <item m="1" x="3086"/>
        <item m="1" x="4394"/>
        <item m="1" x="4334"/>
        <item m="1" x="3388"/>
        <item m="1" x="3161"/>
        <item m="1" x="6714"/>
        <item m="1" x="6373"/>
        <item m="1" x="7970"/>
        <item m="1" x="3552"/>
        <item m="1" x="6776"/>
        <item m="1" x="5389"/>
        <item m="1" x="5552"/>
        <item m="1" x="4456"/>
        <item m="1" x="3554"/>
        <item m="1" x="4349"/>
        <item m="1" x="6506"/>
        <item m="1" x="6412"/>
        <item m="1" x="3708"/>
        <item m="1" x="7827"/>
        <item m="1" x="6917"/>
        <item m="1" x="7325"/>
        <item m="1" x="5815"/>
        <item m="1" x="5820"/>
        <item m="1" x="5054"/>
        <item m="1" x="4331"/>
        <item m="1" x="6724"/>
        <item m="1" x="5664"/>
        <item m="1" x="5492"/>
        <item m="1" x="5748"/>
        <item m="1" x="7070"/>
        <item m="1" x="4783"/>
        <item m="1" x="7215"/>
        <item m="1" x="5669"/>
        <item m="1" x="6956"/>
        <item m="1" x="3198"/>
        <item m="1" x="3555"/>
        <item m="1" x="6019"/>
        <item m="1" x="3798"/>
        <item m="1" x="4207"/>
        <item m="1" x="5543"/>
        <item m="1" x="5692"/>
        <item m="1" x="3071"/>
        <item m="1" x="4318"/>
        <item m="1" x="5693"/>
        <item m="1" x="5149"/>
        <item m="1" x="6742"/>
        <item m="1" x="6288"/>
        <item m="1" x="6555"/>
        <item m="1" x="3494"/>
        <item m="1" x="2998"/>
        <item m="1" x="7742"/>
        <item m="1" x="7546"/>
        <item m="1" x="4795"/>
        <item m="1" x="4922"/>
        <item m="1" x="4823"/>
        <item m="1" x="7801"/>
        <item m="1" x="5657"/>
        <item m="1" x="2996"/>
        <item m="1" x="6973"/>
        <item m="1" x="7676"/>
        <item m="1" x="4476"/>
        <item m="1" x="5085"/>
        <item m="1" x="7032"/>
        <item m="1" x="2737"/>
        <item m="1" x="6697"/>
        <item m="1" x="4294"/>
        <item m="1" x="5216"/>
        <item m="1" x="6224"/>
        <item m="1" x="5595"/>
        <item m="1" x="4815"/>
        <item m="1" x="4729"/>
        <item m="1" x="4043"/>
        <item m="1" x="2918"/>
        <item m="1" x="5531"/>
        <item m="1" x="3458"/>
        <item m="1" x="7015"/>
        <item m="1" x="5404"/>
        <item m="1" x="5200"/>
        <item m="1" x="3813"/>
        <item m="1" x="5659"/>
        <item m="1" x="4824"/>
        <item m="1" x="4379"/>
        <item m="1" x="3353"/>
        <item m="1" x="6268"/>
        <item m="1" x="6974"/>
        <item m="1" x="7515"/>
        <item m="1" x="6743"/>
        <item m="1" x="6289"/>
        <item m="1" x="6556"/>
        <item m="1" x="6649"/>
        <item m="1" x="3946"/>
        <item m="1" x="4853"/>
        <item m="1" x="6051"/>
        <item m="1" x="6904"/>
        <item m="1" x="3944"/>
        <item m="1" x="5265"/>
        <item m="1" x="6444"/>
        <item m="1" x="5274"/>
        <item m="1" x="3939"/>
        <item m="1" x="6167"/>
        <item m="1" x="7557"/>
        <item m="1" x="4439"/>
        <item m="1" x="3498"/>
        <item m="1" x="6231"/>
        <item m="1" x="7799"/>
        <item m="1" x="2601"/>
        <item m="1" x="3905"/>
        <item m="1" x="3579"/>
        <item m="1" x="3067"/>
        <item m="1" x="2576"/>
        <item m="1" x="6504"/>
        <item m="1" x="5041"/>
        <item m="1" x="3003"/>
        <item m="1" x="6967"/>
        <item m="1" x="3966"/>
        <item m="1" x="4628"/>
        <item m="1" x="7823"/>
        <item m="1" x="5346"/>
        <item m="1" x="4673"/>
        <item m="1" x="3655"/>
        <item m="1" x="7722"/>
        <item m="1" x="7908"/>
        <item m="1" x="5277"/>
        <item m="1" x="7894"/>
        <item m="1" x="4339"/>
        <item m="1" x="6744"/>
        <item m="1" x="6290"/>
        <item m="1" x="6557"/>
        <item m="1" x="5427"/>
        <item m="1" x="7200"/>
        <item m="1" x="5015"/>
        <item m="1" x="6174"/>
        <item m="1" x="4996"/>
        <item m="1" x="7865"/>
        <item m="1" x="7606"/>
        <item m="1" x="2748"/>
        <item m="1" x="7323"/>
        <item m="1" x="4311"/>
        <item m="1" x="3864"/>
        <item m="1" x="7436"/>
        <item m="1" x="4906"/>
        <item m="1" x="3042"/>
        <item m="1" x="3605"/>
        <item m="1" x="4848"/>
        <item m="1" x="6573"/>
        <item m="1" x="4442"/>
        <item m="1" x="6651"/>
        <item m="1" x="5571"/>
        <item m="1" x="7448"/>
        <item m="1" x="4443"/>
        <item m="1" x="7007"/>
        <item m="1" x="5083"/>
        <item m="1" x="5989"/>
        <item m="1" x="5796"/>
        <item m="1" x="2653"/>
        <item m="1" x="2584"/>
        <item m="1" x="7324"/>
        <item m="1" x="4321"/>
        <item m="1" x="3175"/>
        <item m="1" x="5856"/>
        <item m="1" x="3899"/>
        <item m="1" x="6745"/>
        <item m="1" x="6291"/>
        <item m="1" x="6558"/>
        <item m="1" x="3381"/>
        <item m="1" x="7083"/>
        <item m="1" x="6751"/>
        <item m="1" x="7978"/>
        <item m="1" x="3389"/>
        <item m="1" x="4843"/>
        <item m="1" x="4904"/>
        <item m="1" x="5051"/>
        <item m="1" x="7449"/>
        <item m="1" x="3162"/>
        <item m="1" x="3197"/>
        <item m="1" x="2896"/>
        <item m="1" x="6843"/>
        <item m="1" x="4052"/>
        <item m="1" x="6746"/>
        <item m="1" x="6292"/>
        <item m="1" x="6559"/>
        <item m="1" x="5973"/>
        <item m="1" x="3137"/>
        <item m="1" x="7474"/>
        <item m="1" x="2612"/>
        <item m="1" x="3822"/>
        <item m="1" x="4387"/>
        <item m="1" x="3895"/>
        <item m="1" x="3452"/>
        <item m="1" x="3890"/>
        <item m="1" x="5084"/>
        <item m="1" x="7741"/>
        <item m="1" x="5076"/>
        <item m="1" x="4902"/>
        <item m="1" x="5990"/>
        <item m="1" x="2745"/>
        <item m="1" x="6274"/>
        <item m="1" x="3759"/>
        <item m="1" x="3975"/>
        <item m="1" x="4328"/>
        <item m="1" x="6090"/>
        <item m="1" x="7338"/>
        <item m="1" x="4162"/>
        <item m="1" x="4829"/>
        <item m="1" x="3333"/>
        <item m="1" x="4830"/>
        <item m="1" x="5135"/>
        <item m="1" x="7122"/>
        <item m="1" x="2609"/>
        <item m="1" x="4031"/>
        <item m="1" x="5167"/>
        <item m="1" x="7375"/>
        <item m="1" x="2714"/>
        <item m="1" x="7127"/>
        <item m="1" x="4828"/>
        <item m="1" x="2590"/>
        <item m="1" x="5928"/>
        <item m="1" x="3612"/>
        <item m="1" x="2545"/>
        <item m="1" x="6589"/>
        <item m="1" x="2986"/>
        <item m="1" x="2857"/>
        <item m="1" x="6747"/>
        <item m="1" x="6293"/>
        <item m="1" x="6560"/>
        <item m="1" x="6750"/>
        <item m="1" x="5052"/>
        <item m="1" x="2674"/>
        <item m="1" x="4916"/>
        <item m="1" x="6844"/>
        <item m="1" x="4204"/>
        <item m="1" x="7596"/>
        <item m="1" x="7319"/>
        <item m="1" x="5907"/>
        <item m="1" x="4149"/>
        <item m="1" x="7913"/>
        <item m="1" x="2759"/>
        <item m="1" x="4446"/>
        <item m="1" x="2521"/>
        <item m="1" x="4357"/>
        <item m="1" x="3817"/>
        <item m="1" x="6509"/>
        <item m="1" x="7488"/>
        <item m="1" x="7452"/>
        <item m="1" x="3517"/>
        <item m="1" x="7376"/>
        <item m="1" x="5886"/>
        <item m="1" x="4238"/>
        <item m="1" x="5347"/>
        <item m="1" x="6752"/>
        <item m="1" x="5088"/>
        <item m="1" x="7945"/>
        <item m="1" x="6199"/>
        <item m="1" x="7738"/>
        <item m="1" x="6540"/>
        <item m="1" x="3634"/>
        <item m="1" x="4864"/>
        <item m="1" x="6835"/>
        <item m="1" x="7589"/>
        <item m="1" x="6102"/>
        <item m="1" x="6836"/>
        <item m="1" x="6349"/>
        <item m="1" x="4670"/>
        <item m="1" x="3564"/>
        <item m="1" x="7883"/>
        <item m="1" x="7966"/>
        <item m="1" x="6717"/>
        <item m="1" x="7869"/>
        <item m="1" x="6128"/>
        <item m="1" x="7447"/>
        <item m="1" x="3614"/>
        <item m="1" x="3481"/>
        <item m="1" x="5121"/>
        <item m="1" x="7021"/>
        <item m="1" x="7371"/>
        <item m="1" x="7244"/>
        <item m="1" x="5007"/>
        <item m="1" x="5949"/>
        <item m="1" x="6848"/>
        <item m="1" x="2606"/>
        <item m="1" x="5672"/>
        <item m="1" x="6541"/>
        <item m="1" x="3635"/>
        <item m="1" x="4865"/>
        <item m="1" x="6895"/>
        <item m="1" x="6992"/>
        <item m="1" x="6520"/>
        <item m="1" x="5235"/>
        <item m="1" x="4444"/>
        <item m="1" x="7482"/>
        <item m="1" x="7768"/>
        <item m="1" x="5947"/>
        <item m="1" x="5232"/>
        <item m="1" x="5984"/>
        <item m="1" x="2519"/>
        <item m="1" x="3251"/>
        <item m="1" x="4644"/>
        <item m="1" x="4437"/>
        <item m="1" x="6716"/>
        <item m="1" x="7073"/>
        <item m="1" x="5184"/>
        <item m="1" x="5215"/>
        <item m="1" x="3328"/>
        <item m="1" x="5580"/>
        <item m="1" x="3734"/>
        <item m="1" x="2808"/>
        <item m="1" x="5783"/>
        <item m="1" x="7451"/>
        <item m="1" x="3556"/>
        <item m="1" x="3269"/>
        <item m="1" x="7740"/>
        <item m="1" x="4836"/>
        <item m="1" x="4935"/>
        <item m="1" x="6542"/>
        <item m="1" x="3636"/>
        <item m="1" x="4866"/>
        <item m="1" x="6976"/>
        <item m="1" x="5403"/>
        <item m="1" x="5769"/>
        <item m="1" x="3176"/>
        <item m="1" x="5365"/>
        <item m="1" x="3048"/>
        <item m="1" x="3879"/>
        <item m="1" x="6364"/>
        <item m="1" x="2823"/>
        <item m="1" x="6001"/>
        <item m="1" x="6529"/>
        <item m="1" x="4833"/>
        <item m="1" x="2954"/>
        <item m="1" x="3909"/>
        <item m="1" x="3491"/>
        <item m="1" x="6070"/>
        <item m="1" x="5865"/>
        <item m="1" x="5126"/>
        <item m="1" x="5871"/>
        <item m="1" x="5348"/>
        <item m="1" x="7329"/>
        <item m="1" x="7828"/>
        <item m="1" x="3910"/>
        <item m="1" x="4819"/>
        <item m="1" x="6026"/>
        <item m="1" x="6340"/>
        <item m="1" x="5536"/>
        <item m="1" x="2829"/>
        <item m="1" x="7907"/>
        <item m="1" x="4155"/>
        <item m="1" x="3307"/>
        <item m="1" x="6543"/>
        <item m="1" x="3637"/>
        <item m="1" x="4867"/>
        <item m="1" x="5962"/>
        <item m="1" x="4259"/>
        <item m="1" x="3141"/>
        <item m="1" x="5417"/>
        <item m="1" x="7116"/>
        <item m="1" x="6924"/>
        <item m="1" x="3968"/>
        <item m="1" x="4542"/>
        <item m="1" x="4889"/>
        <item m="1" x="4395"/>
        <item m="1" x="5300"/>
        <item m="1" x="4685"/>
        <item m="1" x="7725"/>
        <item m="1" x="5853"/>
        <item m="1" x="7997"/>
        <item m="1" x="4492"/>
        <item m="1" x="5092"/>
        <item m="1" x="6693"/>
        <item m="1" x="7282"/>
        <item m="1" x="6925"/>
        <item m="1" x="6117"/>
        <item m="1" x="4251"/>
        <item m="1" x="3409"/>
        <item m="1" x="6411"/>
        <item m="1" x="4621"/>
        <item m="1" x="7535"/>
        <item m="1" x="7495"/>
        <item m="1" x="5822"/>
        <item m="1" x="2670"/>
        <item m="1" x="6758"/>
        <item m="1" x="4701"/>
        <item m="1" x="6216"/>
        <item m="1" x="7979"/>
        <item m="1" x="5902"/>
        <item m="1" x="5698"/>
        <item m="1" x="7018"/>
        <item m="1" x="5619"/>
        <item m="1" x="6388"/>
        <item m="1" x="4530"/>
        <item m="1" x="3355"/>
        <item m="1" x="6327"/>
        <item m="1" x="7139"/>
        <item m="1" x="2789"/>
        <item m="1" x="6208"/>
        <item m="1" x="7309"/>
        <item m="1" x="4894"/>
        <item m="1" x="4676"/>
        <item m="1" x="7975"/>
        <item m="1" x="6269"/>
        <item m="1" x="7817"/>
        <item m="1" x="5756"/>
        <item m="1" x="5666"/>
        <item m="1" x="5233"/>
        <item m="1" x="4485"/>
        <item m="1" x="7856"/>
        <item m="1" x="7424"/>
        <item m="1" x="3757"/>
        <item m="1" x="7920"/>
        <item m="1" x="6818"/>
        <item m="1" x="3538"/>
        <item m="1" x="4827"/>
        <item m="1" x="4792"/>
        <item m="1" x="7951"/>
        <item m="1" x="3932"/>
        <item m="1" x="6856"/>
        <item m="1" x="6004"/>
        <item m="1" x="5425"/>
        <item m="1" x="6544"/>
        <item m="1" x="3638"/>
        <item m="1" x="4868"/>
        <item m="1" x="6674"/>
        <item m="1" x="2964"/>
        <item m="1" x="4423"/>
        <item m="1" x="3754"/>
        <item m="1" x="5164"/>
        <item m="1" x="2544"/>
        <item m="1" x="5996"/>
        <item m="1" x="6160"/>
        <item m="1" x="2710"/>
        <item m="1" x="3234"/>
        <item m="1" x="4463"/>
        <item m="1" x="7440"/>
        <item m="1" x="4590"/>
        <item m="1" x="6545"/>
        <item m="1" x="3639"/>
        <item m="1" x="4869"/>
        <item m="1" x="5627"/>
        <item m="1" x="5675"/>
        <item m="1" x="5658"/>
        <item m="1" x="3563"/>
        <item m="1" x="3832"/>
        <item m="1" x="6871"/>
        <item m="1" x="6633"/>
        <item m="1" x="4862"/>
        <item m="1" x="7091"/>
        <item m="1" x="2621"/>
        <item m="1" x="4553"/>
        <item m="1" x="4287"/>
        <item m="1" x="6263"/>
        <item m="1" x="4991"/>
        <item m="1" x="6303"/>
        <item m="1" x="5613"/>
        <item m="1" x="6899"/>
        <item m="1" x="3337"/>
        <item m="1" x="5451"/>
        <item m="1" x="3129"/>
        <item m="1" x="7953"/>
        <item m="1" x="3815"/>
        <item m="1" x="5312"/>
        <item m="1" x="3883"/>
        <item m="1" x="5332"/>
        <item m="1" x="5653"/>
        <item m="1" x="5813"/>
        <item m="1" x="5935"/>
        <item m="1" x="7798"/>
        <item m="1" x="7276"/>
        <item m="1" x="6240"/>
        <item m="1" x="5448"/>
        <item m="1" x="7706"/>
        <item m="1" x="4359"/>
        <item m="1" x="2904"/>
        <item m="1" x="3504"/>
        <item m="1" x="7991"/>
        <item m="1" x="3701"/>
        <item m="1" x="6546"/>
        <item m="1" x="3640"/>
        <item m="1" x="4870"/>
        <item m="1" x="3313"/>
        <item m="1" x="4818"/>
        <item m="1" x="5183"/>
        <item m="1" x="4344"/>
        <item m="1" x="5734"/>
        <item m="1" x="3826"/>
        <item m="1" x="2839"/>
        <item m="1" x="5842"/>
        <item m="1" x="6998"/>
        <item m="1" x="3631"/>
        <item m="1" x="6251"/>
        <item m="1" x="7393"/>
        <item m="1" x="7673"/>
        <item m="1" x="6094"/>
        <item m="1" x="3575"/>
        <item m="1" x="5768"/>
        <item m="1" x="6335"/>
        <item m="1" x="4998"/>
        <item m="1" x="2725"/>
        <item m="1" x="6521"/>
        <item m="1" x="7134"/>
        <item m="1" x="7949"/>
        <item m="1" x="3496"/>
        <item m="1" x="5188"/>
        <item m="1" x="4319"/>
        <item m="1" x="6547"/>
        <item m="1" x="3641"/>
        <item m="1" x="4871"/>
        <item m="1" x="7141"/>
        <item m="1" x="7954"/>
        <item m="1" x="6588"/>
        <item m="1" x="4080"/>
        <item m="1" x="4816"/>
        <item m="1" x="3865"/>
        <item m="1" x="7503"/>
        <item m="1" x="7667"/>
        <item m="1" x="5496"/>
        <item m="1" x="5530"/>
        <item m="1" x="3996"/>
        <item m="1" x="3811"/>
        <item m="1" x="5846"/>
        <item m="1" x="3585"/>
        <item m="1" x="6225"/>
        <item m="1" x="5123"/>
        <item m="1" x="4241"/>
        <item m="1" x="5017"/>
        <item m="1" x="5594"/>
        <item m="1" x="3094"/>
        <item m="1" x="5342"/>
        <item m="1" x="3229"/>
        <item m="1" x="7552"/>
        <item m="1" x="4611"/>
        <item m="1" x="3226"/>
        <item m="1" x="6354"/>
        <item m="1" x="4837"/>
        <item m="1" x="3468"/>
        <item m="1" x="3382"/>
        <item m="1" x="3402"/>
        <item m="1" x="6175"/>
        <item m="1" x="2600"/>
        <item m="1" x="3642"/>
        <item m="1" x="4872"/>
        <item m="1" x="6079"/>
        <item m="1" x="3207"/>
        <item m="1" x="5343"/>
        <item m="1" x="4858"/>
        <item m="1" x="7628"/>
        <item m="1" x="6564"/>
        <item m="1" x="6184"/>
        <item m="1" x="5315"/>
        <item m="1" x="4604"/>
        <item m="1" x="4076"/>
        <item m="1" x="3783"/>
        <item m="1" x="6028"/>
        <item m="1" x="7423"/>
        <item m="1" x="7497"/>
        <item m="1" x="2662"/>
        <item m="1" x="7616"/>
        <item m="1" x="6316"/>
        <item m="1" x="4576"/>
        <item m="1" x="4092"/>
        <item m="1" x="2778"/>
        <item m="1" x="3990"/>
        <item m="1" x="2804"/>
        <item m="1" x="5915"/>
        <item m="1" x="5916"/>
        <item m="1" x="5917"/>
        <item m="1" x="5918"/>
        <item m="1" x="5919"/>
        <item m="1" x="5920"/>
        <item m="1" x="5921"/>
        <item m="1" x="5922"/>
        <item m="1" x="2641"/>
        <item m="1" x="2642"/>
        <item m="1" x="2643"/>
        <item m="1" x="2644"/>
        <item m="1" x="2645"/>
        <item m="1" x="2646"/>
        <item m="1" x="2647"/>
        <item m="1" x="2648"/>
        <item m="1" x="2649"/>
        <item m="1" x="4059"/>
        <item m="1" x="4060"/>
        <item m="1" x="4061"/>
        <item m="1" x="4062"/>
        <item m="1" x="4063"/>
        <item m="1" x="4064"/>
        <item m="1" x="4065"/>
        <item m="1" x="6594"/>
        <item m="1" x="3433"/>
        <item m="1" x="6447"/>
        <item m="1" x="3309"/>
        <item m="1" x="6325"/>
        <item m="1" x="3428"/>
        <item m="1" x="6180"/>
        <item m="1" x="3005"/>
        <item m="1" x="6024"/>
        <item m="1" x="7403"/>
        <item m="1" x="7404"/>
        <item m="1" x="7405"/>
        <item m="1" x="7408"/>
        <item m="1" x="7410"/>
        <item m="1" x="7411"/>
        <item m="1" x="7412"/>
        <item m="1" x="7414"/>
        <item m="1" x="7415"/>
        <item m="1" x="7416"/>
        <item m="1" x="4209"/>
        <item m="1" x="4210"/>
        <item m="1" x="4212"/>
        <item m="1" x="4213"/>
        <item m="1" x="4214"/>
        <item m="1" x="4217"/>
        <item m="1" x="4219"/>
        <item m="1" x="4220"/>
        <item m="1" x="4221"/>
        <item m="1" x="4222"/>
        <item m="1" x="4812"/>
        <item m="1" x="7746"/>
        <item m="1" x="7266"/>
        <item m="1" x="4086"/>
        <item m="1" x="7151"/>
        <item m="1" x="3962"/>
        <item m="1" x="7028"/>
        <item m="1" x="3837"/>
        <item m="1" x="3510"/>
        <item m="1" x="6519"/>
        <item m="1" x="7528"/>
        <item m="1" x="6612"/>
        <item m="1" x="3444"/>
        <item m="1" x="6460"/>
        <item m="1" x="3321"/>
        <item m="1" x="6339"/>
        <item m="1" x="3164"/>
        <item m="1" x="6187"/>
        <item m="1" x="3017"/>
        <item m="1" x="7409"/>
        <item m="1" x="3100"/>
        <item m="1" x="6120"/>
        <item m="1" x="2961"/>
        <item m="1" x="5978"/>
        <item m="1" x="2863"/>
        <item m="1" x="5834"/>
        <item m="1" x="6773"/>
        <item m="1" x="5514"/>
        <item m="1" x="6116"/>
        <item m="1" x="2970"/>
        <item m="1" x="7685"/>
        <item m="1" x="5936"/>
        <item m="1" x="2727"/>
        <item m="1" x="5803"/>
        <item m="1" x="2673"/>
        <item m="1" x="2854"/>
        <item m="1" x="6700"/>
        <item m="1" x="2736"/>
        <item m="1" x="4572"/>
        <item m="1" x="7553"/>
        <item m="1" x="5877"/>
        <item m="1" x="3453"/>
        <item m="1" x="6909"/>
        <item m="1" x="2840"/>
        <item m="1" x="6055"/>
        <item m="1" x="7013"/>
        <item m="1" x="2817"/>
        <item m="1" x="4480"/>
        <item m="1" x="3997"/>
        <item m="1" x="3570"/>
        <item m="1" x="6277"/>
        <item m="1" x="7605"/>
        <item m="1" x="6212"/>
        <item m="1" x="6606"/>
        <item m="1" x="3437"/>
        <item m="1" x="5161"/>
        <item m="1" x="3627"/>
        <item m="1" x="6561"/>
        <item m="1" x="7000"/>
        <item m="1" x="3573"/>
        <item m="1" x="4857"/>
        <item m="1" x="6656"/>
        <item m="1" x="6134"/>
        <item m="1" x="4407"/>
        <item m="1" x="6531"/>
        <item m="1" x="3584"/>
        <item m="1" x="7053"/>
        <item m="1" x="5141"/>
        <item m="1" x="5286"/>
        <item m="1" x="6890"/>
        <item m="1" x="6874"/>
        <item m="1" x="7354"/>
        <item m="1" x="4758"/>
        <item m="1" x="5231"/>
        <item m="1" x="4589"/>
        <item m="1" x="4495"/>
        <item m="1" x="5875"/>
        <item m="1" x="5736"/>
        <item m="1" x="4798"/>
        <item m="1" x="5197"/>
        <item m="1" x="6379"/>
        <item m="1" x="3818"/>
        <item m="1" x="6486"/>
        <item m="1" x="7341"/>
        <item m="1" x="6119"/>
        <item m="1" x="6906"/>
        <item m="1" x="3860"/>
        <item m="1" x="3049"/>
        <item m="1" x="7500"/>
        <item m="1" x="2850"/>
        <item m="1" x="4918"/>
        <item m="1" x="7090"/>
        <item m="1" x="3738"/>
        <item m="1" x="6569"/>
        <item m="1" x="3804"/>
        <item m="1" x="4469"/>
        <item x="2511"/>
        <item m="1" x="7959"/>
        <item m="1" x="6121"/>
        <item m="1" x="5587"/>
        <item m="1" x="3461"/>
        <item m="1" x="2561"/>
        <item m="1" x="7184"/>
        <item m="1" x="4648"/>
        <item m="1" x="7814"/>
        <item m="1" x="5379"/>
        <item m="1" x="4096"/>
        <item m="1" x="6104"/>
        <item m="1" x="6949"/>
        <item m="1" x="7796"/>
        <item m="1" x="4731"/>
        <item m="1" x="2549"/>
        <item m="1" x="3265"/>
        <item m="1" x="7209"/>
        <item m="1" x="7891"/>
        <item m="1" x="3420"/>
        <item m="1" x="6548"/>
        <item m="1" x="5870"/>
        <item m="1" x="3319"/>
        <item m="1" x="5819"/>
        <item m="1" x="7870"/>
        <item m="1" x="7490"/>
        <item m="1" x="6232"/>
        <item m="1" x="2686"/>
        <item m="1" x="6492"/>
        <item m="1" x="7795"/>
        <item m="1" x="5986"/>
        <item m="1" x="3167"/>
        <item m="1" x="3377"/>
        <item m="1" x="7361"/>
        <item m="1" x="7389"/>
        <item m="1" x="7281"/>
        <item m="1" x="4094"/>
        <item m="1" x="7167"/>
        <item m="1" x="6668"/>
        <item m="1" x="6701"/>
        <item m="1" x="5289"/>
        <item m="1" x="7074"/>
        <item m="1" x="7038"/>
        <item m="1" x="6362"/>
        <item m="1" x="4834"/>
        <item m="1" x="3664"/>
        <item m="1" x="4536"/>
        <item m="1" x="3903"/>
        <item m="1" x="4598"/>
        <item m="1" x="7663"/>
        <item m="1" x="4079"/>
        <item m="1" x="7181"/>
        <item m="1" x="5254"/>
        <item m="1" x="7808"/>
        <item m="1" x="6262"/>
        <item m="1" x="3282"/>
        <item m="1" x="2894"/>
        <item m="1" x="7778"/>
        <item m="1" x="7981"/>
        <item m="1" x="6755"/>
        <item m="1" x="3623"/>
        <item m="1" x="2768"/>
        <item m="1" x="7727"/>
        <item m="1" x="7044"/>
        <item m="1" x="4746"/>
        <item m="1" x="4021"/>
        <item m="1" x="4032"/>
        <item m="1" x="7914"/>
        <item m="1" x="5498"/>
        <item m="1" x="4925"/>
        <item m="1" x="5249"/>
        <item m="1" x="2547"/>
        <item m="1" x="5955"/>
        <item m="1" x="4183"/>
        <item m="1" x="7980"/>
        <item m="1" x="5689"/>
        <item m="1" x="4564"/>
        <item m="1" x="7188"/>
        <item m="1" x="2520"/>
        <item m="1" x="6270"/>
        <item m="1" x="3722"/>
        <item m="1" x="4745"/>
        <item m="1" x="5122"/>
        <item m="1" x="3670"/>
        <item m="1" x="7675"/>
        <item m="1" x="7608"/>
        <item m="1" x="7347"/>
        <item m="1" x="5368"/>
        <item m="1" x="7350"/>
        <item m="1" x="2769"/>
        <item m="1" x="7728"/>
        <item m="1" x="7045"/>
        <item m="1" x="6062"/>
        <item m="1" x="3365"/>
        <item m="1" x="7909"/>
        <item m="1" x="4934"/>
        <item m="1" x="4619"/>
        <item m="1" x="5611"/>
        <item m="1" x="4124"/>
        <item m="1" x="6846"/>
        <item m="1" x="6894"/>
        <item m="1" x="6728"/>
        <item m="1" x="5146"/>
        <item m="1" x="6646"/>
        <item m="1" x="5068"/>
        <item m="1" x="6211"/>
        <item m="1" x="6834"/>
        <item m="1" x="2568"/>
        <item m="1" x="7189"/>
        <item m="1" x="3463"/>
        <item m="1" x="3299"/>
        <item m="1" x="5897"/>
        <item m="1" x="6699"/>
        <item m="1" x="6726"/>
        <item m="1" x="4226"/>
        <item m="1" x="7587"/>
        <item m="1" x="6516"/>
        <item m="1" x="2684"/>
        <item m="1" x="3287"/>
        <item m="1" x="7886"/>
        <item m="1" x="5299"/>
        <item m="1" x="7761"/>
        <item m="1" x="6830"/>
        <item m="1" x="7967"/>
        <item m="1" x="4801"/>
        <item m="1" x="4088"/>
        <item m="1" x="4405"/>
        <item m="1" x="2604"/>
        <item m="1" x="6249"/>
        <item m="1" x="4511"/>
        <item m="1" x="2886"/>
        <item m="1" x="5830"/>
        <item m="1" x="3256"/>
        <item m="1" x="3923"/>
        <item m="1" x="5733"/>
        <item m="1" x="2944"/>
        <item m="1" x="7800"/>
        <item m="1" x="7304"/>
        <item m="1" x="7041"/>
        <item m="1" x="4042"/>
        <item m="1" x="6064"/>
        <item m="1" x="3840"/>
        <item m="1" x="5727"/>
        <item m="1" x="5339"/>
        <item m="1" x="3590"/>
        <item m="1" x="6471"/>
        <item m="1" x="2811"/>
        <item m="1" x="4288"/>
        <item m="1" x="2632"/>
        <item m="1" x="4566"/>
        <item m="1" x="5852"/>
        <item m="1" x="4944"/>
        <item m="1" x="4928"/>
        <item m="1" x="3661"/>
        <item m="1" x="2719"/>
        <item m="1" x="3527"/>
        <item m="1" x="6511"/>
        <item m="1" x="6877"/>
        <item m="1" x="6677"/>
        <item m="1" x="4066"/>
        <item m="1" x="2770"/>
        <item m="1" x="7729"/>
        <item m="1" x="7046"/>
        <item m="1" x="5442"/>
        <item m="1" x="3350"/>
        <item m="1" x="5648"/>
        <item m="1" x="7285"/>
        <item m="1" x="2814"/>
        <item m="1" x="7438"/>
        <item m="1" x="6931"/>
        <item m="1" x="4888"/>
        <item m="1" x="7548"/>
        <item m="1" x="3894"/>
        <item m="1" x="2755"/>
        <item m="1" x="7241"/>
        <item m="1" x="7081"/>
        <item m="1" x="3240"/>
        <item m="1" x="3296"/>
        <item m="1" x="3277"/>
        <item m="1" x="3303"/>
        <item m="1" x="3289"/>
        <item m="1" x="2929"/>
        <item m="1" x="3115"/>
        <item m="1" x="7109"/>
        <item m="1" x="6517"/>
        <item m="1" x="3036"/>
        <item m="1" x="5421"/>
        <item m="1" x="3098"/>
        <item m="1" x="5651"/>
        <item m="1" x="3170"/>
        <item m="1" x="6995"/>
        <item m="1" x="7682"/>
        <item m="1" x="5626"/>
        <item m="1" x="5432"/>
        <item m="1" x="2668"/>
        <item m="1" x="5470"/>
        <item m="1" x="5904"/>
        <item m="1" x="5668"/>
        <item m="1" x="5910"/>
        <item m="1" x="5349"/>
        <item m="1" x="6489"/>
        <item m="1" x="7551"/>
        <item m="1" x="7360"/>
        <item m="1" x="3852"/>
        <item m="1" x="6712"/>
        <item m="1" x="3857"/>
        <item m="1" x="3306"/>
        <item m="1" x="6722"/>
        <item m="1" x="3816"/>
        <item m="1" x="3819"/>
        <item m="1" x="4691"/>
        <item m="1" x="5025"/>
        <item m="1" x="5597"/>
        <item m="1" x="5874"/>
        <item m="1" x="4176"/>
        <item m="1" x="3394"/>
        <item m="1" x="3667"/>
        <item m="1" x="6329"/>
        <item m="1" x="7235"/>
        <item m="1" x="4447"/>
        <item m="1" x="6302"/>
        <item m="1" x="5390"/>
        <item m="1" x="6390"/>
        <item m="1" x="3657"/>
        <item m="1" x="2613"/>
        <item m="1" x="4338"/>
        <item m="1" x="6214"/>
        <item m="1" x="4308"/>
        <item m="1" x="2581"/>
        <item m="1" x="6395"/>
        <item m="1" x="2842"/>
        <item m="1" x="7290"/>
        <item m="1" x="7842"/>
        <item m="1" x="4250"/>
        <item m="1" x="5980"/>
        <item m="1" x="3666"/>
        <item m="1" x="6963"/>
        <item m="1" x="2910"/>
        <item m="1" x="3027"/>
        <item m="1" x="3876"/>
        <item m="1" x="3028"/>
        <item m="1" x="5965"/>
        <item m="1" x="4413"/>
        <item m="1" x="4882"/>
        <item m="1" x="3405"/>
        <item m="1" x="5350"/>
        <item m="1" x="5393"/>
        <item m="1" x="5227"/>
        <item m="1" x="7279"/>
        <item m="1" x="3163"/>
        <item m="1" x="6775"/>
        <item m="1" x="6657"/>
        <item m="1" x="6729"/>
        <item m="1" x="6578"/>
        <item m="1" x="2861"/>
        <item m="1" x="4540"/>
        <item m="1" x="7119"/>
        <item m="1" x="6862"/>
        <item m="1" x="6155"/>
        <item m="1" x="4237"/>
        <item m="1" x="3218"/>
        <item m="1" x="3682"/>
        <item m="1" x="5901"/>
        <item m="1" x="6748"/>
        <item m="1" x="7009"/>
        <item m="1" x="3209"/>
        <item m="1" x="5115"/>
        <item m="1" x="6910"/>
        <item m="1" x="6683"/>
        <item m="1" x="3545"/>
        <item m="1" x="6008"/>
        <item m="1" x="3702"/>
        <item m="1" x="6754"/>
        <item m="1" x="7124"/>
        <item m="1" x="7334"/>
        <item m="1" x="4249"/>
        <item m="1" x="4949"/>
        <item m="1" x="4950"/>
        <item m="1" x="2828"/>
        <item m="1" x="2665"/>
        <item m="1" x="4951"/>
        <item m="1" x="3286"/>
        <item m="1" x="6478"/>
        <item m="1" x="3204"/>
        <item m="1" x="7063"/>
        <item m="1" x="3520"/>
        <item m="1" x="3763"/>
        <item m="1" x="3770"/>
        <item m="1" x="2635"/>
        <item m="1" x="3295"/>
        <item m="1" x="3737"/>
        <item m="1" x="2831"/>
        <item m="1" x="7875"/>
        <item m="1" x="4714"/>
        <item m="1" x="5133"/>
        <item m="1" x="5018"/>
        <item m="1" x="2639"/>
        <item m="1" x="4181"/>
        <item m="1" x="3577"/>
        <item m="1" x="6774"/>
        <item m="1" x="3698"/>
        <item m="1" x="4187"/>
        <item m="1" x="4165"/>
        <item m="1" x="7771"/>
        <item m="1" x="7470"/>
        <item m="1" x="6654"/>
        <item m="1" x="5967"/>
        <item m="1" x="7501"/>
        <item m="1" x="3473"/>
        <item m="1" x="4323"/>
        <item m="1" x="7984"/>
        <item m="1" x="6198"/>
        <item m="1" x="5004"/>
        <item m="1" x="3336"/>
        <item m="1" x="2798"/>
        <item m="1" x="5811"/>
        <item m="1" x="7485"/>
        <item m="1" x="5605"/>
        <item m="1" x="6602"/>
        <item m="1" x="2820"/>
        <item m="1" x="7418"/>
        <item m="1" x="7358"/>
        <item m="1" x="3814"/>
        <item m="1" x="2867"/>
        <item m="1" x="6732"/>
        <item m="1" x="7399"/>
        <item m="1" x="6330"/>
        <item m="1" x="3697"/>
        <item m="1" x="2911"/>
        <item m="1" x="5292"/>
        <item m="1" x="3645"/>
        <item m="1" x="7194"/>
        <item m="1" x="7353"/>
        <item m="1" x="3110"/>
        <item m="1" x="4227"/>
        <item m="1" x="2688"/>
        <item m="1" x="7071"/>
        <item m="1" x="4397"/>
        <item m="1" x="7992"/>
        <item m="1" x="6272"/>
        <item m="1" x="3467"/>
        <item m="1" x="7100"/>
        <item m="1" x="7121"/>
        <item m="1" x="6424"/>
        <item m="1" x="6605"/>
        <item m="1" x="4586"/>
        <item m="1" x="7767"/>
        <item m="1" x="6922"/>
        <item m="1" x="6103"/>
        <item m="1" x="6056"/>
        <item m="1" x="4957"/>
        <item m="1" x="4502"/>
        <item m="1" x="4983"/>
        <item m="1" x="4655"/>
        <item m="1" x="4346"/>
        <item m="1" x="5665"/>
        <item m="1" x="3044"/>
        <item m="1" x="3971"/>
        <item m="1" x="7051"/>
        <item m="1" x="7162"/>
        <item m="1" x="6084"/>
        <item m="1" x="2939"/>
        <item m="1" x="5951"/>
        <item m="1" x="7898"/>
        <item m="1" x="6518"/>
        <item m="1" x="7526"/>
        <item m="1" x="3941"/>
        <item m="1" x="2836"/>
        <item m="1" x="5805"/>
        <item m="1" x="6380"/>
        <item m="1" x="3699"/>
        <item m="1" x="3744"/>
        <item m="1" x="5525"/>
        <item m="1" x="7910"/>
        <item m="1" x="5586"/>
        <item m="1" x="5413"/>
        <item m="1" x="4278"/>
        <item m="1" x="4974"/>
        <item m="1" x="5113"/>
        <item m="1" x="7332"/>
        <item m="1" x="3583"/>
        <item m="1" x="7962"/>
        <item m="1" x="2542"/>
        <item m="1" x="2659"/>
        <item m="1" x="3007"/>
        <item m="1" x="7876"/>
        <item m="1" x="4663"/>
        <item m="1" x="6265"/>
        <item m="1" x="3153"/>
        <item m="1" x="7166"/>
        <item m="1" x="5253"/>
        <item m="1" x="7170"/>
        <item m="1" x="7693"/>
        <item m="1" x="6687"/>
        <item m="1" x="4635"/>
        <item m="1" x="6177"/>
        <item m="1" x="5767"/>
        <item m="1" x="3113"/>
        <item m="1" x="3465"/>
        <item m="1" x="7366"/>
        <item m="1" x="3185"/>
        <item m="1" x="4712"/>
        <item m="1" x="7142"/>
        <item m="1" x="6858"/>
        <item m="1" x="4022"/>
        <item m="1" x="6859"/>
        <item m="1" x="5831"/>
        <item m="1" x="5868"/>
        <item m="1" x="7542"/>
        <item m="1" x="4638"/>
        <item m="1" x="7259"/>
        <item m="1" x="3062"/>
        <item m="1" x="6767"/>
        <item m="1" x="7950"/>
        <item m="1" x="2968"/>
        <item m="1" x="6333"/>
        <item m="1" x="6328"/>
        <item m="1" x="2560"/>
        <item m="1" x="6360"/>
        <item m="1" x="6977"/>
        <item m="1" x="6219"/>
        <item m="1" x="3136"/>
        <item m="1" x="7359"/>
        <item m="1" x="7938"/>
        <item m="1" x="7394"/>
        <item m="1" x="5634"/>
        <item m="1" x="7454"/>
        <item m="1" x="3184"/>
        <item m="1" x="3406"/>
        <item m="1" x="2782"/>
        <item m="1" x="2663"/>
        <item m="1" x="7105"/>
        <item m="1" x="2605"/>
        <item m="1" x="4953"/>
        <item m="1" x="5067"/>
        <item m="1" x="7268"/>
        <item m="1" x="7901"/>
        <item m="1" x="5972"/>
        <item m="1" x="3835"/>
        <item m="1" x="4661"/>
        <item m="1" x="7049"/>
        <item m="1" x="4982"/>
        <item m="1" x="5762"/>
        <item m="1" x="6860"/>
        <item m="1" x="7468"/>
        <item m="1" x="7258"/>
        <item m="1" x="5591"/>
        <item m="1" x="6168"/>
        <item m="1" x="5206"/>
        <item m="1" x="7972"/>
        <item m="1" x="5880"/>
        <item m="1" x="3892"/>
        <item m="1" x="3707"/>
        <item m="1" x="5214"/>
        <item m="1" x="7935"/>
        <item m="1" x="5606"/>
        <item m="1" x="4631"/>
        <item m="1" x="6129"/>
        <item m="1" x="6386"/>
        <item m="1" x="7040"/>
        <item m="1" x="4842"/>
        <item m="1" x="3078"/>
        <item m="1" x="6345"/>
        <item m="1" x="7573"/>
        <item m="1" x="3808"/>
        <item m="1" x="3778"/>
        <item m="1" x="2548"/>
        <item m="1" x="2920"/>
        <item m="1" x="2942"/>
        <item m="1" x="4814"/>
        <item m="1" x="4109"/>
        <item m="1" x="6096"/>
        <item m="1" x="3854"/>
        <item m="1" x="2951"/>
        <item m="1" x="4202"/>
        <item m="1" x="2742"/>
        <item m="1" x="7108"/>
        <item m="1" x="7899"/>
        <item m="1" x="3255"/>
        <item m="1" x="4514"/>
        <item m="1" x="6365"/>
        <item m="1" x="6400"/>
        <item m="1" x="3232"/>
        <item m="1" x="6566"/>
        <item m="1" x="6222"/>
        <item m="1" x="7819"/>
        <item m="1" x="2862"/>
        <item m="1" x="2705"/>
        <item m="1" x="6017"/>
        <item m="1" x="4358"/>
        <item m="1" x="4907"/>
        <item m="1" x="5560"/>
        <item m="1" x="5501"/>
        <item m="1" x="3014"/>
        <item m="1" x="5386"/>
        <item m="1" x="5285"/>
        <item m="1" x="5747"/>
        <item m="1" x="5624"/>
        <item m="1" x="6861"/>
        <item m="1" x="3683"/>
        <item m="1" x="3893"/>
        <item m="1" x="7442"/>
        <item m="1" x="7718"/>
        <item m="1" x="6159"/>
        <item m="1" x="2991"/>
        <item m="1" x="6996"/>
        <item m="1" x="3568"/>
        <item m="1" x="4846"/>
        <item m="1" x="6176"/>
        <item m="1" x="2999"/>
        <item m="1" x="4362"/>
        <item m="1" x="7821"/>
        <item m="1" x="7137"/>
        <item m="1" x="5818"/>
        <item m="1" x="7161"/>
        <item m="1" x="6514"/>
        <item m="1" x="5356"/>
        <item m="1" x="3896"/>
        <item m="1" x="4168"/>
        <item m="1" x="6066"/>
        <item m="1" x="4242"/>
        <item m="1" x="6151"/>
        <item m="1" x="4920"/>
        <item m="1" x="3362"/>
        <item m="1" x="5355"/>
        <item m="1" x="3536"/>
        <item m="1" x="6500"/>
        <item m="1" x="7810"/>
        <item m="1" x="6820"/>
        <item m="1" x="3723"/>
        <item m="1" x="6942"/>
        <item m="1" x="5563"/>
        <item m="1" x="4709"/>
        <item m="1" x="3156"/>
        <item m="1" x="3704"/>
        <item m="1" x="3149"/>
        <item m="1" x="4243"/>
        <item m="1" x="2807"/>
        <item m="1" x="2974"/>
        <item m="1" x="3521"/>
        <item m="1" x="5019"/>
        <item m="1" x="7001"/>
        <item m="1" x="6660"/>
        <item m="1" x="7463"/>
        <item m="1" x="7838"/>
        <item m="1" x="7774"/>
        <item m="1" x="3866"/>
        <item m="1" x="6934"/>
        <item m="1" x="7202"/>
        <item m="1" x="4247"/>
        <item m="1" x="6484"/>
        <item m="1" x="2676"/>
        <item m="1" x="4230"/>
        <item m="1" x="5241"/>
        <item m="1" x="5147"/>
        <item m="1" x="4085"/>
        <item m="1" x="3809"/>
        <item m="1" x="2555"/>
        <item m="1" x="5899"/>
        <item m="1" x="4660"/>
        <item m="1" x="5279"/>
        <item m="1" x="5266"/>
        <item m="1" x="2636"/>
        <item m="1" x="4467"/>
        <item m="1" x="5326"/>
        <item m="1" x="5198"/>
        <item m="1" x="5180"/>
        <item m="1" x="4739"/>
        <item m="1" x="7294"/>
        <item m="1" x="2813"/>
        <item m="1" x="6439"/>
        <item m="1" x="4430"/>
        <item m="1" x="7059"/>
        <item m="1" x="4489"/>
        <item m="1" x="5287"/>
        <item m="1" x="7102"/>
        <item m="1" x="2614"/>
        <item m="1" x="6607"/>
        <item m="1" x="6010"/>
        <item m="1" x="7618"/>
        <item m="1" x="4228"/>
        <item m="1" x="4697"/>
        <item m="1" x="6905"/>
        <item m="1" x="5660"/>
        <item m="1" x="7973"/>
        <item m="1" x="5905"/>
        <item m="1" x="3542"/>
        <item m="1" x="7645"/>
        <item m="1" x="2522"/>
        <item m="1" x="5138"/>
        <item m="1" x="3131"/>
        <item m="1" x="3466"/>
        <item m="1" x="2990"/>
        <item m="1" x="4090"/>
        <item m="1" x="7060"/>
        <item m="1" x="5251"/>
        <item m="1" x="2913"/>
        <item m="1" x="5098"/>
        <item m="1" x="4299"/>
        <item m="1" x="5654"/>
        <item m="1" x="5430"/>
        <item m="1" x="4381"/>
        <item m="1" x="4491"/>
        <item m="1" x="4763"/>
        <item m="1" x="6195"/>
        <item m="1" x="4493"/>
        <item m="1" x="7806"/>
        <item m="1" x="7272"/>
        <item m="1" x="3077"/>
        <item m="1" x="4578"/>
        <item m="1" x="4537"/>
        <item m="1" x="6979"/>
        <item m="1" x="3957"/>
        <item m="1" x="4398"/>
        <item m="1" x="7671"/>
        <item m="1" x="3441"/>
        <item m="1" x="5713"/>
        <item m="1" x="5405"/>
        <item m="1" x="6254"/>
        <item m="1" x="2785"/>
        <item m="1" x="3651"/>
        <item m="1" x="4559"/>
        <item m="1" x="4325"/>
        <item m="1" x="7135"/>
        <item m="1" x="3686"/>
        <item m="1" x="6666"/>
        <item m="1" x="6408"/>
        <item m="1" x="6725"/>
        <item m="1" x="5761"/>
        <item m="1" x="7829"/>
        <item m="1" x="6158"/>
        <item m="1" x="4245"/>
        <item m="1" x="7529"/>
        <item m="1" x="7069"/>
        <item m="1" x="3720"/>
        <item m="1" x="7205"/>
        <item m="1" x="4636"/>
        <item m="1" x="2856"/>
        <item m="1" x="6361"/>
        <item m="1" x="7160"/>
        <item m="1" x="5893"/>
        <item m="1" x="5511"/>
        <item m="1" x="5614"/>
        <item m="1" x="3375"/>
        <item m="1" x="5128"/>
        <item m="1" x="6086"/>
        <item m="1" x="3936"/>
        <item m="1" x="2955"/>
        <item m="1" x="5968"/>
        <item m="1" x="3398"/>
        <item m="1" x="2760"/>
        <item m="1" x="6870"/>
        <item m="1" x="3064"/>
        <item m="1" x="3091"/>
        <item m="1" x="3034"/>
        <item m="1" x="4968"/>
        <item m="1" x="4653"/>
        <item m="1" x="7444"/>
        <item m="1" x="6635"/>
        <item m="1" x="6179"/>
        <item m="1" x="3304"/>
        <item m="1" x="3171"/>
        <item m="1" x="3243"/>
        <item m="1" x="3841"/>
        <item m="1" x="3456"/>
        <item m="1" x="4343"/>
        <item m="1" x="3965"/>
        <item m="1" x="4659"/>
        <item m="1" x="6854"/>
        <item m="1" x="5444"/>
        <item m="1" x="4562"/>
        <item m="1" x="4781"/>
        <item m="1" x="5688"/>
        <item m="1" x="5639"/>
        <item m="1" x="5499"/>
        <item m="1" x="7684"/>
        <item m="1" x="6879"/>
        <item m="1" x="6526"/>
        <item m="1" x="6609"/>
        <item m="1" x="7395"/>
        <item m="1" x="7750"/>
        <item m="1" x="5158"/>
        <item m="1" x="3330"/>
        <item m="1" x="3040"/>
        <item m="1" x="6780"/>
        <item m="1" x="7734"/>
        <item m="1" x="4582"/>
        <item m="1" x="4955"/>
        <item m="1" x="3833"/>
        <item m="1" x="7461"/>
        <item m="1" x="3958"/>
        <item m="1" x="3376"/>
        <item m="1" x="3535"/>
        <item m="1" x="5372"/>
        <item m="1" x="6200"/>
        <item m="1" x="4531"/>
        <item m="1" x="6965"/>
        <item m="1" x="5631"/>
        <item m="1" x="7854"/>
        <item m="1" x="5782"/>
        <item m="1" x="3297"/>
        <item m="1" x="7695"/>
        <item m="1" x="5028"/>
        <item m="1" x="7247"/>
        <item m="1" x="5682"/>
        <item m="1" x="7016"/>
        <item m="1" x="4122"/>
        <item m="1" x="7043"/>
        <item m="1" x="4013"/>
        <item m="1" x="4650"/>
        <item m="1" x="4275"/>
        <item m="1" x="7758"/>
        <item m="1" x="3784"/>
        <item m="1" x="6637"/>
        <item m="1" x="4108"/>
        <item m="1" x="3329"/>
        <item m="1" x="7098"/>
        <item m="1" x="6454"/>
        <item m="1" x="6962"/>
        <item m="1" x="5447"/>
        <item m="1" x="7320"/>
        <item m="1" x="4004"/>
        <item m="1" x="7260"/>
        <item m="1" x="3805"/>
        <item m="1" x="6622"/>
        <item m="1" x="4808"/>
        <item m="1" x="2931"/>
        <item m="1" x="7707"/>
        <item m="1" x="3065"/>
        <item m="1" x="2890"/>
        <item m="1" x="6136"/>
        <item m="1" x="7487"/>
        <item m="1" x="3178"/>
        <item m="1" x="4647"/>
        <item m="1" x="6068"/>
        <item m="1" x="5024"/>
        <item m="1" x="5553"/>
        <item m="1" x="7026"/>
        <item m="1" x="2947"/>
        <item m="1" x="4529"/>
        <item m="1" x="5369"/>
        <item m="1" x="3513"/>
        <item m="1" x="7849"/>
        <item m="1" x="3689"/>
        <item m="1" x="3246"/>
        <item m="1" x="7783"/>
        <item m="1" x="5419"/>
        <item m="1" x="7533"/>
        <item m="1" x="6626"/>
        <item m="1" x="6042"/>
        <item m="1" x="2651"/>
        <item m="1" x="7214"/>
        <item m="1" x="3090"/>
        <item m="1" x="4130"/>
        <item m="1" x="3961"/>
        <item m="1" x="3187"/>
        <item m="1" x="6307"/>
        <item m="1" x="4078"/>
        <item m="1" x="4336"/>
        <item m="1" x="4715"/>
        <item m="1" x="4724"/>
        <item m="1" x="3503"/>
        <item m="1" x="5686"/>
        <item m="1" x="6306"/>
        <item m="1" x="2566"/>
        <item m="1" x="3672"/>
        <item m="1" x="4100"/>
        <item m="1" x="6323"/>
        <item m="1" x="6009"/>
        <item m="1" x="3696"/>
        <item m="1" x="4270"/>
        <item m="1" x="7113"/>
        <item m="1" x="7238"/>
        <item m="1" x="6141"/>
        <item m="1" x="3608"/>
        <item m="1" x="5932"/>
        <item m="1" x="7807"/>
        <item m="1" x="2871"/>
        <item m="1" x="3364"/>
        <item m="1" x="3733"/>
        <item m="1" x="5633"/>
        <item m="1" x="3450"/>
        <item m="1" x="3502"/>
        <item m="1" x="6467"/>
        <item m="1" x="3514"/>
        <item m="1" x="7850"/>
        <item m="1" x="3690"/>
        <item m="1" x="3247"/>
        <item m="1" x="5465"/>
        <item m="1" x="7327"/>
        <item m="1" x="4216"/>
        <item m="1" x="4879"/>
        <item m="1" x="4627"/>
        <item m="1" x="7084"/>
        <item m="1" x="5006"/>
        <item m="1" x="7511"/>
        <item m="1" x="6926"/>
        <item m="1" x="3224"/>
        <item m="1" x="7125"/>
        <item m="1" x="7076"/>
        <item m="1" x="4399"/>
        <item m="1" x="2541"/>
        <item m="1" x="5129"/>
        <item m="1" x="6672"/>
        <item m="1" x="3274"/>
        <item m="1" x="4269"/>
        <item m="1" x="2729"/>
        <item m="1" x="7027"/>
        <item m="1" x="7815"/>
        <item m="1" x="4177"/>
        <item m="1" x="4883"/>
        <item m="1" x="3145"/>
        <item m="1" x="4936"/>
        <item m="1" x="7382"/>
        <item m="1" x="5081"/>
        <item m="1" x="7732"/>
        <item m="1" x="7291"/>
        <item m="1" x="4856"/>
        <item m="1" x="2593"/>
        <item m="1" x="6013"/>
        <item m="1" x="7387"/>
        <item m="1" x="6122"/>
        <item m="1" x="4408"/>
        <item m="1" x="2909"/>
        <item m="1" x="5038"/>
        <item m="1" x="4722"/>
        <item m="1" x="3658"/>
        <item m="1" x="3750"/>
        <item m="1" x="5329"/>
        <item m="1" x="7868"/>
        <item m="1" x="6898"/>
        <item m="1" x="2667"/>
        <item m="1" x="4767"/>
        <item m="1" x="6018"/>
        <item m="1" x="7505"/>
        <item m="1" x="6812"/>
        <item m="1" x="2696"/>
        <item m="1" x="2958"/>
        <item m="1" x="5602"/>
        <item m="1" x="4431"/>
        <item m="1" x="4512"/>
        <item m="1" x="5450"/>
        <item m="1" x="6698"/>
        <item m="1" x="7745"/>
        <item m="1" x="3749"/>
        <item m="1" x="3863"/>
        <item m="1" x="5454"/>
        <item m="1" x="7036"/>
        <item m="1" x="4252"/>
        <item m="1" x="7843"/>
        <item m="1" x="7317"/>
        <item m="1" x="7847"/>
        <item m="1" x="7034"/>
        <item m="1" x="3981"/>
        <item m="1" x="6533"/>
        <item m="1" x="7153"/>
        <item m="1" x="4793"/>
        <item m="1" x="7465"/>
        <item m="1" x="7496"/>
        <item m="1" x="3046"/>
        <item m="1" x="5677"/>
        <item m="1" x="3507"/>
        <item m="1" x="4733"/>
        <item m="1" x="2948"/>
        <item m="1" x="6617"/>
        <item m="1" x="4040"/>
        <item m="1" x="7211"/>
        <item m="1" x="5021"/>
        <item m="1" x="5464"/>
        <item m="1" x="3395"/>
        <item m="1" x="4482"/>
        <item m="1" x="3509"/>
        <item m="1" x="5623"/>
        <item m="1" x="7611"/>
        <item m="1" x="3272"/>
        <item m="1" x="3868"/>
        <item m="1" x="5992"/>
        <item m="1" x="6143"/>
        <item m="1" x="6696"/>
        <item m="1" x="7316"/>
        <item m="1" x="6671"/>
        <item m="1" x="6703"/>
        <item m="1" x="5438"/>
        <item m="1" x="3626"/>
        <item m="1" x="3125"/>
        <item m="1" x="6142"/>
        <item m="1" x="4132"/>
        <item m="1" x="6661"/>
        <item m="1" x="5148"/>
        <item m="1" x="7310"/>
        <item m="1" x="5426"/>
        <item m="1" x="7356"/>
        <item m="1" x="7591"/>
        <item m="1" x="6686"/>
        <item m="1" x="6032"/>
        <item m="1" x="4785"/>
        <item m="1" x="6819"/>
        <item m="1" x="3812"/>
        <item m="1" x="5695"/>
        <item m="1" x="2717"/>
        <item m="1" x="6038"/>
        <item m="1" x="3792"/>
        <item m="1" x="5337"/>
        <item m="1" x="2730"/>
        <item m="1" x="5433"/>
        <item m="1" x="7425"/>
        <item m="1" x="2901"/>
        <item m="1" x="7210"/>
        <item m="1" x="4771"/>
        <item m="1" x="2800"/>
        <item m="1" x="3855"/>
        <item m="1" x="7936"/>
        <item m="1" x="4114"/>
        <item m="1" x="4123"/>
        <item m="1" x="4752"/>
        <item m="1" x="4688"/>
        <item m="1" x="4887"/>
        <item m="1" x="7995"/>
        <item m="1" x="3305"/>
        <item m="1" x="2946"/>
        <item m="1" x="4861"/>
        <item m="1" x="2973"/>
        <item m="1" x="4384"/>
        <item m="1" x="3794"/>
        <item m="1" x="3878"/>
        <item m="1" x="7349"/>
        <item m="1" x="7824"/>
        <item m="1" x="4234"/>
        <item m="1" x="7958"/>
        <item m="1" x="7212"/>
        <item m="1" x="3512"/>
        <item m="1" x="7848"/>
        <item m="1" x="3688"/>
        <item m="1" x="3609"/>
        <item m="1" x="3118"/>
        <item m="1" x="4271"/>
        <item m="1" x="7812"/>
        <item m="1" x="6614"/>
        <item m="1" x="3877"/>
        <item m="1" x="7631"/>
        <item m="1" x="4567"/>
        <item m="1" x="2859"/>
        <item m="1" x="2835"/>
        <item m="1" x="4665"/>
        <item m="1" x="5825"/>
        <item m="1" x="3373"/>
        <item m="1" x="6296"/>
        <item m="1" x="4041"/>
        <item m="1" x="5005"/>
        <item m="1" x="6194"/>
        <item m="1" x="4844"/>
        <item m="1" x="4161"/>
        <item m="1" x="7781"/>
        <item m="1" x="5866"/>
        <item m="1" x="5845"/>
        <item m="1" x="6912"/>
        <item m="1" x="7373"/>
        <item m="1" x="5420"/>
        <item m="1" x="5517"/>
        <item m="1" x="5673"/>
        <item m="1" x="5512"/>
        <item m="1" x="3847"/>
        <item m="1" x="6810"/>
        <item m="1" x="4307"/>
        <item m="1" x="6658"/>
        <item m="1" x="5055"/>
        <item m="1" x="4804"/>
        <item m="1" x="4782"/>
        <item m="1" x="6022"/>
        <item m="1" x="3695"/>
        <item m="1" x="7609"/>
        <item m="1" x="7240"/>
        <item m="1" x="3791"/>
        <item m="1" x="6568"/>
        <item m="1" x="5424"/>
        <item m="1" x="3315"/>
        <item m="1" x="5778"/>
        <item m="1" x="4355"/>
        <item m="1" x="7504"/>
        <item m="1" x="5711"/>
        <item m="1" x="6534"/>
        <item m="1" x="4683"/>
        <item m="1" x="2622"/>
        <item m="1" x="7025"/>
        <item m="1" x="3283"/>
        <item m="1" x="3907"/>
        <item m="1" x="3408"/>
        <item m="1" x="6344"/>
        <item m="1" x="5625"/>
        <item m="1" x="4765"/>
        <item m="1" x="7469"/>
        <item m="1" x="4766"/>
        <item m="1" x="4972"/>
        <item m="1" x="5821"/>
        <item m="1" x="7990"/>
        <item m="1" x="3984"/>
        <item m="1" x="6144"/>
        <item m="1" x="5892"/>
        <item m="1" x="6508"/>
        <item m="1" x="2897"/>
        <item m="1" x="4547"/>
        <item m="1" x="2833"/>
        <item m="1" x="7860"/>
        <item m="1" x="3885"/>
        <item m="1" x="4415"/>
        <item m="1" x="4125"/>
        <item m="1" x="4471"/>
        <item m="1" x="7067"/>
        <item m="1" x="5137"/>
        <item m="1" x="6678"/>
        <item m="1" x="6866"/>
        <item m="1" x="5982"/>
        <item m="1" x="3515"/>
        <item m="1" x="4736"/>
        <item m="1" x="3105"/>
        <item m="1" x="6623"/>
        <item m="1" x="7789"/>
        <item m="1" x="7538"/>
        <item m="1" x="2524"/>
        <item m="1" x="4926"/>
        <item m="1" x="5656"/>
        <item m="1" x="3610"/>
        <item m="1" x="4993"/>
        <item m="1" x="3140"/>
        <item m="1" x="3436"/>
        <item m="1" x="6414"/>
        <item m="1" x="6437"/>
        <item m="1" x="4475"/>
        <item m="1" x="5898"/>
        <item m="1" x="3177"/>
        <item m="1" x="4069"/>
        <item m="1" x="5140"/>
        <item m="1" x="5094"/>
        <item m="1" x="3002"/>
        <item m="1" x="7744"/>
        <item m="1" x="3684"/>
        <item m="1" x="3795"/>
        <item m="1" x="7610"/>
        <item m="1" x="6735"/>
        <item m="1" x="5647"/>
        <item m="1" x="5252"/>
        <item m="1" x="4684"/>
        <item m="1" x="7106"/>
        <item m="1" x="3459"/>
        <item m="1" x="3346"/>
        <item m="1" x="4075"/>
        <item m="1" x="3096"/>
        <item m="1" x="7078"/>
        <item m="1" x="3107"/>
        <item m="1" x="2971"/>
        <item m="1" x="2779"/>
        <item m="1" x="3679"/>
        <item m="1" x="3825"/>
        <item m="1" x="3838"/>
        <item m="1" x="3292"/>
        <item m="1" x="5338"/>
        <item m="1" x="3219"/>
        <item m="1" x="3438"/>
        <item m="1" x="6077"/>
        <item m="1" x="7770"/>
        <item m="1" x="7413"/>
        <item m="1" x="4732"/>
        <item m="1" x="5914"/>
        <item m="1" x="7736"/>
        <item m="1" x="6567"/>
        <item m="1" x="3528"/>
        <item m="1" x="7709"/>
        <item m="1" x="5537"/>
        <item m="1" x="4570"/>
        <item m="1" x="2751"/>
        <item m="1" x="3671"/>
        <item m="1" x="5722"/>
        <item m="1" x="7010"/>
        <item m="1" x="3906"/>
        <item m="1" x="5598"/>
        <item m="1" x="5752"/>
        <item m="1" x="6991"/>
        <item m="1" x="4038"/>
        <item m="1" x="3829"/>
        <item m="1" x="3710"/>
        <item m="1" x="7458"/>
        <item m="1" x="7588"/>
        <item m="1" x="5644"/>
        <item m="1" x="5012"/>
        <item m="1" x="4077"/>
        <item m="1" x="3052"/>
        <item m="1" x="5384"/>
        <item m="1" x="5714"/>
        <item m="1" x="5199"/>
        <item m="1" x="4429"/>
        <item m="1" x="7939"/>
        <item m="1" x="3736"/>
        <item m="1" x="4260"/>
        <item m="1" x="7445"/>
        <item m="1" x="4229"/>
        <item m="1" x="4642"/>
        <item m="1" x="3834"/>
        <item m="1" x="6869"/>
        <item m="1" x="7104"/>
        <item m="1" x="4863"/>
        <item m="1" x="4921"/>
        <item m="1" x="3407"/>
        <item m="1" x="4603"/>
        <item m="1" x="6006"/>
        <item m="1" x="3339"/>
        <item m="1" x="7093"/>
        <item m="1" x="5458"/>
        <item m="1" x="5896"/>
        <item m="1" x="2784"/>
        <item m="1" x="6513"/>
        <item m="1" x="6915"/>
        <item m="1" x="3480"/>
        <item m="1" x="3779"/>
        <item m="1" x="5841"/>
        <item m="1" x="6442"/>
        <item m="1" x="7052"/>
        <item m="1" x="6704"/>
        <item m="1" x="3116"/>
        <item m="1" x="6397"/>
        <item m="1" x="4047"/>
        <item m="1" x="3143"/>
        <item m="1" x="6138"/>
        <item m="1" x="3155"/>
        <item m="1" x="6522"/>
        <item m="1" x="2630"/>
        <item m="1" x="5324"/>
        <item m="1" x="7519"/>
        <item m="1" x="2844"/>
        <item m="1" x="4281"/>
        <item m="1" x="3972"/>
        <item m="1" x="7101"/>
        <item m="1" x="5168"/>
        <item m="1" x="5093"/>
        <item m="1" x="4672"/>
        <item m="1" x="3257"/>
        <item m="1" x="4468"/>
        <item m="1" x="5192"/>
        <item m="1" x="4534"/>
        <item m="1" x="6425"/>
        <item m="1" x="2588"/>
        <item m="1" x="5770"/>
        <item m="1" x="5776"/>
        <item m="1" x="3839"/>
        <item m="1" x="6765"/>
        <item m="1" x="7648"/>
        <item m="1" x="4373"/>
        <item m="1" x="7261"/>
        <item m="1" x="3016"/>
        <item m="1" x="4577"/>
        <item m="1" x="4148"/>
        <item m="1" x="3534"/>
        <item m="1" x="4167"/>
        <item m="1" x="3760"/>
        <item m="1" x="6825"/>
        <item m="1" x="4820"/>
        <item m="1" x="6054"/>
        <item m="1" x="3066"/>
        <item m="1" x="5751"/>
        <item m="1" x="6034"/>
        <item m="1" x="3464"/>
        <item m="1" x="7822"/>
        <item m="1" x="3970"/>
        <item m="1" x="7743"/>
        <item m="1" x="5676"/>
        <item m="1" x="4246"/>
        <item m="1" x="3208"/>
        <item m="1" x="3206"/>
        <item m="1" x="2787"/>
        <item m="1" x="6989"/>
        <item m="1" x="5283"/>
        <item m="1" x="3268"/>
        <item m="1" x="2919"/>
        <item m="1" x="6709"/>
        <item m="1" x="3446"/>
        <item m="1" x="5510"/>
        <item m="1" x="5589"/>
        <item m="1" x="5607"/>
        <item m="1" x="3392"/>
        <item m="1" x="7256"/>
        <item m="1" x="7993"/>
        <item m="1" x="5849"/>
        <item m="1" x="5837"/>
        <item m="1" x="6133"/>
        <item m="1" x="6927"/>
        <item m="1" x="3628"/>
        <item m="1" x="3132"/>
        <item m="1" x="5758"/>
        <item m="1" x="6061"/>
        <item m="1" x="3279"/>
        <item m="1" x="3732"/>
        <item m="1" x="4580"/>
        <item m="1" x="7925"/>
        <item m="1" x="5987"/>
        <item m="1" x="3123"/>
        <item m="1" x="3148"/>
        <item m="1" x="3165"/>
        <item m="1" x="5029"/>
        <item m="1" x="5064"/>
        <item m="1" x="5086"/>
        <item m="1" x="5107"/>
        <item m="1" x="5124"/>
        <item m="1" x="3959"/>
        <item m="1" x="3982"/>
        <item m="1" x="3994"/>
        <item m="1" x="4016"/>
        <item m="1" x="4026"/>
        <item m="1" x="2943"/>
        <item m="1" x="2960"/>
        <item m="1" x="2969"/>
        <item m="1" x="7957"/>
        <item m="1" x="7971"/>
        <item m="1" x="7792"/>
        <item m="1" x="4946"/>
        <item m="1" x="4811"/>
        <item m="1" x="4977"/>
        <item m="1" x="7288"/>
        <item m="1" x="5945"/>
        <item m="1" x="5318"/>
        <item m="1" x="2912"/>
        <item m="1" x="4291"/>
        <item m="1" x="6188"/>
        <item m="1" x="6896"/>
        <item m="1" x="7659"/>
        <item m="1" x="4702"/>
        <item m="1" x="6847"/>
        <item m="1" x="6682"/>
        <item m="1" x="6149"/>
        <item m="1" x="7859"/>
        <item m="1" x="6033"/>
        <item m="1" x="7158"/>
        <item m="1" x="5508"/>
        <item m="1" x="3927"/>
        <item m="1" x="5757"/>
        <item m="1" x="6663"/>
        <item m="1" x="5777"/>
        <item m="1" x="6821"/>
        <item m="1" x="4523"/>
        <item m="1" x="4316"/>
        <item m="1" x="5142"/>
        <item m="1" x="7918"/>
        <item m="1" x="7089"/>
        <item m="1" x="2898"/>
        <item m="1" x="7131"/>
        <item m="1" x="2885"/>
        <item m="1" x="7624"/>
        <item m="1" x="4723"/>
        <item m="1" x="5527"/>
        <item m="1" x="6675"/>
        <item m="1" x="2537"/>
        <item m="1" x="3588"/>
        <item m="1" x="3889"/>
        <item m="1" x="6662"/>
        <item m="1" x="4448"/>
        <item m="1" x="5014"/>
        <item m="1" x="6201"/>
        <item m="1" x="5569"/>
        <item m="1" x="7630"/>
        <item m="1" x="7369"/>
        <item m="1" x="7516"/>
        <item m="1" x="5663"/>
        <item m="1" x="4680"/>
        <item m="1" x="7855"/>
        <item m="1" x="4340"/>
        <item m="1" x="3087"/>
        <item m="1" x="2875"/>
        <item m="1" x="6897"/>
        <item m="1" x="6057"/>
        <item m="1" x="5354"/>
        <item m="1" x="5520"/>
        <item m="1" x="4188"/>
        <item m="1" x="7257"/>
        <item m="1" x="6477"/>
        <item m="1" x="7195"/>
        <item m="1" x="5103"/>
        <item m="1" x="3359"/>
        <item m="1" x="2994"/>
        <item m="1" x="3632"/>
        <item m="1" x="7921"/>
        <item m="1" x="6169"/>
        <item m="1" x="6933"/>
        <item m="1" x="4508"/>
        <item m="1" x="3039"/>
        <item m="1" x="7584"/>
        <item m="1" x="6398"/>
        <item m="1" x="4053"/>
        <item m="1" x="7765"/>
        <item m="1" x="4280"/>
        <item m="1" x="3258"/>
        <item m="1" x="5500"/>
        <item m="1" x="3369"/>
        <item m="1" x="2556"/>
        <item m="1" x="6851"/>
        <item m="1" x="3366"/>
        <item m="1" x="7185"/>
        <item m="1" x="4704"/>
        <item m="1" x="6105"/>
        <item m="1" x="3713"/>
        <item m="1" x="5535"/>
        <item m="1" x="7250"/>
        <item m="1" x="3469"/>
        <item m="1" x="4910"/>
        <item m="1" x="4274"/>
        <item m="1" x="4877"/>
        <item m="1" x="5615"/>
        <item m="1" x="3768"/>
        <item m="1" x="3871"/>
        <item m="1" x="7251"/>
        <item m="1" x="7895"/>
        <item m="1" x="4487"/>
        <item m="1" x="5697"/>
        <item m="1" x="5495"/>
        <item m="1" x="7313"/>
        <item m="1" x="5304"/>
        <item m="1" x="7239"/>
        <item m="1" x="5690"/>
        <item m="1" x="4392"/>
        <item m="1" x="6190"/>
        <item m="1" x="4927"/>
        <item m="1" x="6827"/>
        <item m="1" x="5701"/>
        <item m="1" x="7835"/>
        <item m="1" x="3924"/>
        <item m="1" x="3643"/>
        <item m="1" x="7756"/>
        <item m="1" x="7218"/>
        <item m="1" x="7858"/>
        <item m="1" x="6065"/>
        <item m="1" x="6107"/>
        <item m="1" x="3430"/>
        <item m="1" x="7952"/>
        <item m="1" x="3500"/>
        <item m="1" x="5073"/>
        <item m="1" x="6692"/>
        <item m="1" x="7087"/>
        <item m="1" x="3302"/>
        <item m="1" x="4784"/>
        <item m="1" x="7284"/>
        <item m="1" x="3872"/>
        <item m="1" x="4522"/>
        <item m="1" x="3338"/>
        <item m="1" x="4404"/>
        <item m="1" x="6864"/>
        <item m="1" x="3432"/>
        <item m="1" x="4436"/>
        <item m="1" x="7987"/>
        <item m="1" x="7723"/>
        <item m="1" x="3656"/>
        <item m="1" x="6186"/>
        <item m="1" x="7075"/>
        <item m="1" x="4201"/>
        <item m="1" x="3201"/>
        <item m="1" x="7881"/>
        <item m="1" x="5640"/>
        <item m="1" x="6353"/>
        <item m="1" x="7652"/>
        <item m="1" x="4720"/>
        <item m="1" x="4687"/>
        <item m="1" x="7704"/>
        <item m="1" x="7737"/>
        <item m="1" x="5297"/>
        <item m="1" x="3263"/>
        <item m="1" x="7129"/>
        <item m="1" x="5802"/>
        <item m="1" x="3020"/>
        <item m="1" x="6150"/>
        <item m="1" x="6923"/>
        <item m="1" x="4532"/>
        <item m="1" x="4662"/>
        <item m="1" x="7401"/>
        <item m="1" x="7004"/>
        <item m="1" x="6245"/>
        <item m="1" x="7322"/>
        <item m="1" x="6183"/>
        <item m="1" x="6401"/>
        <item m="1" x="5288"/>
        <item m="1" x="2838"/>
        <item m="1" x="4645"/>
        <item m="1" x="3580"/>
        <item m="1" x="4753"/>
        <item m="1" x="3239"/>
        <item m="1" x="7094"/>
        <item m="1" x="3621"/>
        <item m="1" x="5414"/>
        <item m="1" x="3054"/>
        <item m="1" x="4541"/>
        <item m="1" x="7343"/>
        <item m="1" x="6156"/>
        <item m="1" x="5314"/>
        <item m="1" x="7390"/>
        <item m="1" x="6281"/>
        <item m="1" x="2781"/>
        <item m="1" x="7930"/>
        <item m="1" x="2903"/>
        <item m="1" x="5678"/>
        <item m="1" x="6020"/>
        <item m="1" x="2767"/>
        <item m="1" x="7521"/>
        <item m="1" x="5946"/>
        <item m="1" x="3462"/>
        <item m="1" x="7653"/>
        <item m="1" x="5719"/>
        <item m="1" x="3785"/>
        <item m="1" x="2884"/>
        <item m="1" x="5554"/>
        <item m="1" x="3418"/>
        <item m="1" x="3495"/>
        <item m="1" x="4778"/>
        <item m="1" x="2734"/>
        <item m="1" x="5699"/>
        <item m="1" x="5908"/>
        <item m="1" x="4144"/>
        <item m="1" x="5335"/>
        <item m="1" x="3069"/>
        <item m="1" x="3384"/>
        <item m="1" x="7357"/>
        <item m="1" x="6476"/>
        <item m="1" x="2922"/>
        <item m="1" x="4999"/>
        <item m="1" x="7136"/>
        <item m="1" x="4774"/>
        <item m="1" x="5824"/>
        <item m="1" x="4499"/>
        <item m="1" x="5909"/>
        <item m="1" x="5979"/>
        <item m="1" x="7362"/>
        <item m="1" x="6172"/>
        <item m="1" x="2594"/>
        <item m="1" x="6406"/>
        <item m="1" x="4402"/>
        <item m="1" x="4800"/>
        <item m="1" x="3417"/>
        <item m="1" x="4608"/>
        <item m="1" x="7379"/>
        <item m="1" x="6936"/>
        <item m="1" x="7998"/>
        <item m="1" x="7965"/>
        <item m="1" x="3522"/>
        <item m="1" x="5176"/>
        <item m="1" x="7088"/>
        <item m="1" x="2546"/>
        <item m="1" x="7363"/>
        <item m="1" x="3032"/>
        <item m="1" x="4046"/>
        <item m="1" x="6278"/>
        <item m="1" x="5139"/>
        <item m="1" x="6135"/>
        <item m="1" x="7911"/>
        <item m="1" x="7940"/>
        <item m="1" x="6994"/>
        <item m="1" x="3983"/>
        <item m="1" x="4734"/>
        <item m="1" x="4019"/>
        <item m="1" x="5641"/>
        <item m="1" x="4087"/>
        <item m="1" x="4428"/>
        <item m="1" x="7871"/>
        <item m="1" x="5340"/>
        <item m="1" x="4192"/>
        <item m="1" x="6312"/>
        <item m="1" x="6113"/>
        <item m="1" x="4681"/>
        <item m="1" x="6258"/>
        <item m="1" x="5065"/>
        <item m="1" x="5296"/>
        <item m="1" x="3166"/>
        <item m="1" x="2796"/>
        <item m="1" x="3486"/>
        <item m="1" x="4121"/>
        <item m="1" x="3490"/>
        <item m="1" x="4538"/>
        <item m="1" x="6944"/>
        <item m="1" x="2626"/>
        <item m="1" x="3182"/>
        <item m="1" x="4605"/>
        <item m="1" x="7286"/>
        <item m="1" x="7314"/>
        <item m="1" x="2914"/>
        <item m="1" x="7402"/>
        <item m="1" x="4607"/>
        <item m="1" x="4427"/>
        <item m="1" x="7132"/>
        <item m="1" x="4874"/>
        <item m="1" x="5655"/>
        <item m="1" x="5003"/>
        <item m="1" x="5195"/>
        <item m="1" x="2570"/>
        <item m="1" x="3211"/>
        <item m="1" x="6399"/>
        <item m="1" x="6080"/>
        <item m="1" x="4649"/>
        <item m="1" x="5558"/>
        <item m="1" x="2860"/>
        <item m="1" x="4705"/>
        <item m="1" x="2602"/>
        <item m="1" x="3470"/>
        <item m="1" x="5099"/>
        <item m="1" x="3705"/>
        <item m="1" x="6313"/>
        <item m="1" x="4677"/>
        <item m="1" x="7277"/>
        <item m="1" x="6273"/>
        <item m="1" x="3029"/>
        <item m="1" x="4284"/>
        <item m="1" x="5994"/>
        <item m="1" x="4272"/>
        <item m="1" x="7683"/>
        <item m="1" x="3454"/>
        <item m="1" x="7637"/>
        <item m="1" x="3063"/>
        <item m="1" x="5741"/>
        <item m="1" x="2624"/>
        <item m="1" x="6230"/>
        <item m="1" x="7287"/>
        <item m="1" x="6308"/>
        <item m="1" x="7120"/>
        <item m="1" x="7677"/>
        <item m="1" x="4606"/>
        <item m="1" x="4817"/>
        <item m="1" x="5307"/>
        <item m="1" x="4011"/>
        <item m="1" x="4838"/>
        <item m="1" x="6422"/>
        <item m="1" x="4159"/>
        <item m="1" x="4372"/>
        <item m="1" x="7114"/>
        <item m="1" x="3316"/>
        <item m="1" x="4738"/>
        <item m="1" x="4703"/>
        <item m="1" x="2712"/>
        <item m="1" x="5220"/>
        <item m="1" x="2694"/>
        <item m="1" x="3447"/>
        <item m="1" x="4282"/>
        <item m="1" x="5742"/>
        <item m="1" x="5467"/>
        <item m="1" x="3782"/>
        <item m="1" x="4525"/>
        <item m="1" x="6778"/>
        <item m="1" x="5828"/>
        <item m="1" x="4549"/>
        <item m="1" x="4794"/>
        <item m="1" x="7752"/>
        <item m="1" x="3324"/>
        <item m="1" x="7248"/>
        <item m="1" x="6781"/>
        <item m="1" x="7085"/>
        <item m="1" x="3571"/>
        <item m="1" x="6256"/>
        <item m="1" x="3186"/>
        <item m="1" x="4963"/>
        <item m="1" x="3913"/>
        <item m="1" x="3427"/>
        <item m="1" x="4839"/>
        <item m="1" x="4849"/>
        <item m="1" x="7095"/>
        <item m="1" x="6127"/>
        <item m="1" x="4679"/>
        <item m="1" x="5781"/>
        <item m="1" x="6095"/>
        <item m="1" x="3188"/>
        <item m="1" x="4104"/>
        <item m="1" x="4208"/>
        <item m="1" x="4190"/>
        <item m="1" x="4055"/>
        <item m="1" x="7147"/>
        <item m="1" x="7559"/>
        <item m="1" x="6137"/>
        <item m="1" x="2625"/>
        <item m="1" x="4417"/>
        <item m="1" x="7289"/>
        <item m="1" x="6537"/>
        <item m="1" x="6106"/>
        <item m="1" x="5219"/>
        <item m="1" x="6771"/>
        <item m="1" x="7566"/>
        <item m="1" x="5903"/>
        <item m="1" x="3095"/>
        <item m="1" x="3591"/>
        <item m="1" x="7245"/>
        <item m="1" x="7844"/>
        <item m="1" x="5561"/>
        <item m="1" x="7484"/>
        <item m="1" x="3106"/>
        <item m="1" x="3371"/>
        <item m="1" x="3897"/>
        <item m="1" x="7321"/>
        <item m="1" x="3954"/>
        <item m="1" x="2553"/>
        <item m="1" x="7068"/>
        <item m="1" x="5020"/>
        <item m="1" x="3911"/>
        <item m="1" x="4686"/>
        <item m="1" x="2841"/>
        <item m="1" x="6234"/>
        <item m="1" x="3659"/>
        <item m="1" x="4023"/>
        <item m="1" x="2975"/>
        <item m="1" x="7690"/>
        <item m="1" x="6227"/>
        <item m="1" x="4146"/>
        <item m="1" x="5395"/>
        <item m="1" x="5367"/>
        <item m="1" x="5646"/>
        <item m="1" x="6867"/>
        <item m="1" x="7885"/>
        <item m="1" x="6192"/>
        <item m="1" x="7020"/>
        <item m="1" x="3343"/>
        <item m="1" x="4802"/>
        <item m="1" x="5237"/>
        <item m="1" x="4054"/>
        <item m="1" x="6488"/>
        <item m="1" x="7602"/>
        <item m="1" x="7874"/>
        <item m="1" x="5260"/>
        <item m="1" x="7513"/>
        <item m="1" x="7079"/>
        <item m="1" x="4561"/>
        <item m="1" x="7486"/>
        <item m="1" x="4416"/>
        <item m="1" x="7055"/>
        <item m="1" x="6903"/>
        <item m="1" x="6782"/>
        <item m="1" x="5513"/>
        <item m="1" x="7558"/>
        <item m="1" x="6604"/>
        <item m="1" x="3933"/>
        <item m="1" x="3973"/>
        <item m="1" x="3995"/>
        <item m="1" x="7274"/>
        <item m="1" x="6984"/>
        <item m="1" x="7747"/>
        <item m="1" x="7845"/>
        <item m="1" x="5604"/>
        <item m="1" x="5416"/>
        <item m="1" x="6252"/>
        <item m="1" x="3476"/>
        <item m="1" x="6975"/>
        <item m="1" x="6901"/>
        <item m="1" x="5707"/>
        <item m="1" x="6783"/>
        <item m="1" x="4200"/>
        <item m="1" x="7283"/>
        <item m="1" x="6426"/>
        <item m="1" x="7428"/>
        <item m="1" x="5872"/>
        <item m="1" x="7198"/>
        <item m="1" x="4915"/>
        <item m="1" x="4764"/>
        <item m="1" x="2788"/>
        <item m="1" x="2889"/>
        <item m="1" x="7267"/>
        <item m="1" x="6402"/>
        <item m="1" x="6332"/>
        <item m="1" x="2535"/>
        <item m="1" x="5729"/>
        <item m="1" x="3158"/>
        <item m="1" x="6891"/>
        <item m="1" x="7863"/>
        <item m="1" x="4236"/>
        <item m="1" x="4111"/>
        <item m="1" x="3592"/>
        <item m="1" x="2763"/>
        <item m="1" x="3523"/>
        <item m="1" x="6202"/>
        <item m="1" x="5242"/>
        <item m="1" x="5359"/>
        <item m="1" x="4618"/>
        <item m="1" x="6450"/>
        <item m="1" x="5784"/>
        <item m="1" x="6713"/>
        <item m="1" x="7731"/>
        <item m="1" x="6880"/>
        <item m="1" x="7890"/>
        <item m="1" x="3360"/>
        <item m="1" x="6681"/>
        <item m="1" x="2907"/>
        <item m="1" x="5573"/>
        <item m="1" x="4068"/>
        <item m="1" x="6309"/>
        <item m="1" x="2683"/>
        <item m="1" x="2567"/>
        <item m="1" x="4543"/>
        <item m="1" x="7547"/>
        <item m="1" x="6435"/>
        <item m="1" x="2599"/>
        <item m="1" x="5812"/>
        <item m="1" x="3988"/>
        <item m="1" x="5016"/>
        <item m="1" x="5387"/>
        <item m="1" x="2658"/>
        <item m="1" x="3489"/>
        <item m="1" x="3134"/>
        <item m="1" x="3746"/>
        <item m="1" x="2916"/>
        <item m="1" x="5772"/>
        <item m="1" x="6012"/>
        <item m="1" x="3298"/>
        <item m="1" x="6887"/>
        <item m="1" x="5378"/>
        <item m="1" x="5889"/>
        <item m="1" x="7585"/>
        <item m="1" x="4623"/>
        <item m="1" x="7169"/>
        <item m="1" x="2697"/>
        <item m="1" x="3320"/>
        <item m="1" x="7263"/>
        <item m="1" x="7264"/>
        <item m="1" x="6257"/>
        <item m="1" x="4896"/>
        <item m="1" x="7904"/>
        <item m="1" x="5570"/>
        <item m="1" x="5163"/>
        <item m="1" x="5269"/>
        <item m="1" x="6157"/>
        <item m="1" x="4166"/>
        <item m="1" x="2534"/>
        <item m="1" x="6452"/>
        <item m="1" x="4330"/>
        <item m="1" x="6341"/>
        <item m="1" x="6371"/>
        <item m="1" x="4799"/>
        <item m="1" x="3745"/>
        <item m="1" x="5788"/>
        <item m="1" x="7650"/>
        <item m="1" x="3891"/>
        <item m="1" x="7751"/>
        <item m="1" x="3765"/>
        <item m="1" x="3747"/>
        <item m="1" x="5132"/>
        <item m="1" x="3587"/>
        <item m="1" x="5943"/>
        <item m="1" x="3772"/>
        <item m="1" x="4587"/>
        <item m="1" x="3960"/>
        <item m="1" x="3492"/>
        <item m="1" x="2585"/>
        <item m="1" x="4195"/>
        <item m="1" x="5112"/>
        <item m="1" x="3616"/>
        <item m="1" x="4761"/>
        <item m="1" x="3097"/>
        <item m="1" x="7769"/>
        <item m="1" x="5715"/>
        <item m="1" x="2540"/>
        <item m="1" x="2979"/>
        <item m="1" x="6299"/>
        <item m="1" x="5351"/>
        <item m="1" x="7033"/>
        <item m="1" x="6415"/>
        <item m="1" x="2747"/>
        <item m="1" x="3685"/>
        <item m="1" x="6389"/>
        <item m="1" x="5174"/>
        <item m="1" x="4012"/>
        <item m="1" x="2908"/>
        <item m="1" x="4690"/>
        <item m="1" x="7298"/>
        <item m="1" x="3665"/>
        <item m="1" x="3431"/>
        <item m="1" x="3633"/>
        <item m="1" x="3045"/>
        <item m="1" x="3021"/>
        <item m="1" x="2703"/>
        <item m="1" x="5959"/>
        <item m="1" x="6932"/>
        <item m="1" x="7249"/>
        <item m="1" x="7897"/>
        <item m="1" x="6352"/>
        <item m="1" x="3093"/>
        <item m="1" x="6417"/>
        <item m="1" x="4156"/>
        <item m="1" x="7012"/>
        <item m="1" x="4142"/>
        <item m="1" x="5977"/>
        <item m="1" x="7024"/>
        <item m="1" x="6490"/>
        <item m="1" x="6636"/>
        <item m="1" x="6502"/>
        <item m="1" x="7226"/>
        <item m="1" x="3442"/>
        <item m="1" x="5745"/>
        <item m="1" x="6152"/>
        <item m="1" x="4796"/>
        <item m="1" x="7820"/>
        <item m="1" x="2695"/>
        <item m="1" x="5674"/>
        <item m="1" x="2723"/>
        <item m="1" x="6427"/>
        <item m="1" x="4189"/>
        <item m="1" x="7719"/>
        <item m="1" x="6259"/>
        <item m="1" x="5885"/>
        <item m="1" x="6003"/>
        <item m="1" x="4102"/>
        <item m="1" x="7031"/>
        <item m="1" x="7008"/>
        <item m="1" x="2872"/>
        <item m="1" x="4945"/>
        <item m="1" x="7543"/>
        <item m="1" x="7206"/>
        <item m="1" x="6507"/>
        <item m="1" x="2629"/>
        <item m="1" x="5362"/>
        <item m="1" x="2631"/>
        <item m="1" x="7421"/>
        <item m="1" x="6338"/>
        <item m="1" x="3830"/>
        <item m="1" x="3884"/>
        <item m="1" x="5823"/>
        <item m="1" x="5925"/>
        <item m="1" x="6301"/>
        <item m="1" x="4585"/>
        <item m="1" x="2925"/>
        <item m="1" x="4803"/>
        <item m="1" x="3135"/>
        <item m="1" x="4300"/>
        <item m="1" x="6322"/>
        <item m="1" x="3361"/>
        <item m="1" x="7627"/>
        <item m="1" x="3331"/>
        <item m="1" x="6822"/>
        <item m="1" x="6039"/>
        <item m="1" x="5890"/>
        <item m="1" x="6241"/>
        <item m="1" x="2728"/>
        <item m="1" x="7839"/>
        <item m="1" x="2941"/>
        <item m="1" x="3730"/>
        <item m="1" x="6826"/>
        <item m="1" x="4594"/>
        <item m="1" x="7064"/>
        <item m="1" x="7586"/>
        <item m="1" x="4908"/>
        <item m="1" x="3873"/>
        <item m="1" x="6966"/>
        <item m="1" x="5034"/>
        <item m="1" x="3195"/>
        <item m="1" x="7613"/>
        <item m="1" x="7183"/>
        <item m="1" x="6030"/>
        <item m="1" x="6111"/>
        <item m="1" x="6059"/>
        <item m="1" x="6101"/>
        <item m="1" x="5723"/>
        <item m="1" x="7306"/>
        <item m="1" x="7946"/>
        <item m="1" x="5534"/>
        <item m="1" x="4279"/>
        <item m="1" x="7230"/>
        <item m="1" x="2982"/>
        <item m="1" x="4917"/>
        <item m="1" x="4897"/>
        <item m="1" x="6071"/>
        <item m="1" x="6048"/>
        <item m="1" x="4082"/>
        <item m="1" x="2997"/>
        <item m="1" x="2895"/>
        <item m="1" x="6691"/>
        <item m="1" x="6562"/>
        <item m="1" x="4807"/>
        <item m="1" x="4743"/>
        <item m="1" x="3150"/>
        <item m="1" x="6565"/>
        <item m="1" x="5155"/>
        <item m="1" x="3237"/>
        <item m="1" x="2709"/>
        <item m="1" x="3669"/>
        <item m="1" x="4970"/>
        <item m="1" x="3474"/>
        <item m="1" x="6203"/>
        <item m="1" x="5001"/>
        <item m="1" x="6473"/>
        <item m="1" x="2956"/>
        <item m="1" x="6939"/>
        <item m="1" x="3264"/>
        <item m="1" x="6792"/>
        <item m="1" x="3475"/>
        <item m="1" x="4674"/>
        <item m="1" x="6527"/>
        <item m="1" x="4790"/>
        <item m="1" x="4422"/>
        <item m="1" x="5632"/>
        <item m="1" x="3393"/>
        <item m="1" x="7640"/>
        <item m="1" x="6577"/>
        <item m="1" x="5738"/>
        <item m="1" x="5557"/>
        <item m="1" x="4107"/>
        <item m="1" x="6986"/>
        <item m="1" x="4089"/>
        <item m="1" x="3109"/>
        <item m="1" x="5415"/>
        <item m="1" x="6040"/>
        <item m="1" x="4550"/>
        <item m="1" x="5308"/>
        <item m="1" x="6595"/>
        <item m="1" x="6075"/>
        <item m="1" x="4595"/>
        <item m="1" x="7164"/>
        <item m="1" x="6420"/>
        <item m="1" x="7893"/>
        <item m="1" x="2573"/>
        <item m="1" x="7639"/>
        <item m="1" x="3680"/>
        <item m="1" x="3242"/>
        <item m="1" x="6580"/>
        <item m="1" x="4539"/>
        <item m="1" x="3079"/>
        <item m="1" x="4973"/>
        <item m="1" x="3752"/>
        <item m="1" x="5505"/>
        <item m="1" x="6381"/>
        <item m="1" x="6920"/>
        <item m="1" x="4464"/>
        <item m="1" x="3853"/>
        <item m="1" x="7702"/>
        <item m="1" x="3223"/>
        <item m="1" x="3915"/>
        <item m="1" x="7570"/>
        <item m="1" x="4855"/>
        <item m="1" x="3221"/>
        <item m="1" x="3620"/>
        <item m="1" x="7367"/>
        <item m="1" x="5578"/>
        <item m="1" x="4196"/>
        <item m="1" x="3526"/>
        <item m="1" x="7270"/>
        <item m="1" x="7841"/>
        <item m="1" x="2995"/>
        <item m="1" x="4154"/>
        <item m="1" x="4007"/>
        <item m="1" x="4025"/>
        <item m="1" x="5944"/>
        <item m="1" x="7804"/>
        <item m="1" x="4555"/>
        <item m="1" x="6532"/>
        <item m="1" x="3532"/>
        <item m="1" x="2623"/>
        <item m="1" x="3793"/>
        <item m="1" x="7626"/>
        <item m="1" x="4989"/>
        <item m="1" x="6921"/>
        <item m="1" x="5582"/>
        <item m="1" x="3248"/>
        <item m="1" x="7174"/>
        <item m="1" x="6641"/>
        <item m="1" x="3937"/>
        <item m="1" x="5764"/>
        <item m="1" x="4128"/>
        <item m="1" x="4351"/>
        <item m="1" x="5860"/>
        <item m="1" x="4353"/>
        <item m="1" x="5303"/>
        <item m="1" x="3146"/>
        <item m="1" x="4365"/>
        <item m="1" x="6050"/>
        <item m="1" x="4366"/>
        <item m="1" x="4364"/>
        <item m="1" x="5952"/>
        <item m="1" x="6343"/>
        <item m="1" x="7220"/>
        <item m="1" x="5170"/>
        <item m="1" x="2858"/>
        <item m="1" x="3928"/>
        <item m="1" x="2852"/>
        <item m="1" x="6431"/>
        <item m="1" x="5463"/>
        <item m="1" x="4658"/>
        <item m="1" x="4337"/>
        <item m="1" x="6279"/>
        <item m="1" x="6357"/>
        <item m="1" x="2766"/>
        <item m="1" x="7670"/>
        <item m="1" x="4616"/>
        <item m="1" x="3764"/>
        <item m="1" x="4976"/>
        <item m="1" x="6985"/>
        <item m="1" x="6536"/>
        <item m="1" x="4700"/>
        <item m="1" x="3654"/>
        <item m="1" x="6326"/>
        <item m="1" x="2877"/>
        <item m="1" x="5111"/>
        <item m="1" x="5357"/>
        <item m="1" x="4000"/>
        <item m="1" x="6366"/>
        <item m="1" x="3799"/>
        <item m="1" x="3245"/>
        <item m="1" x="7654"/>
        <item m="1" x="3887"/>
        <item m="1" x="7514"/>
        <item m="1" x="3001"/>
        <item m="1" x="7864"/>
        <item m="1" x="5078"/>
        <item m="1" x="4421"/>
        <item m="1" x="4919"/>
        <item m="1" x="7696"/>
        <item m="1" x="7647"/>
        <item m="1" x="4081"/>
        <item m="1" x="6097"/>
        <item m="1" x="4261"/>
        <item m="1" x="5305"/>
        <item m="1" x="6053"/>
        <item m="1" x="5410"/>
        <item m="1" x="7427"/>
        <item m="1" x="2887"/>
        <item m="1" x="7481"/>
        <item m="1" x="6385"/>
        <item m="1" x="6469"/>
        <item m="1" x="3880"/>
        <item m="1" x="6852"/>
        <item m="1" x="5117"/>
        <item m="1" x="5985"/>
        <item m="1" x="4483"/>
        <item m="1" x="4835"/>
        <item m="1" x="4341"/>
        <item m="1" x="6100"/>
        <item m="1" x="4742"/>
        <item m="1" x="6875"/>
        <item m="1" x="6779"/>
        <item m="1" x="2934"/>
        <item m="1" x="6721"/>
        <item m="1" x="6320"/>
        <item m="1" x="4262"/>
        <item m="1" x="6085"/>
        <item m="1" x="3497"/>
        <item m="1" x="4254"/>
        <item m="1" x="6162"/>
        <item m="1" x="4787"/>
        <item m="1" x="4240"/>
        <item m="1" x="3083"/>
        <item m="1" x="4333"/>
        <item m="1" x="3935"/>
        <item m="1" x="6918"/>
        <item m="1" x="6833"/>
        <item m="1" x="4070"/>
        <item m="1" x="6941"/>
        <item m="1" x="2978"/>
        <item m="1" x="5090"/>
        <item m="1" x="6653"/>
        <item m="1" x="3842"/>
        <item m="1" x="4905"/>
        <item m="1" x="7772"/>
        <item m="1" x="4727"/>
        <item m="1" x="4258"/>
        <item m="1" x="7365"/>
        <item m="1" x="3694"/>
        <item m="1" x="4084"/>
        <item m="1" x="5652"/>
        <item m="1" x="7138"/>
        <item m="1" x="6679"/>
        <item m="1" x="3322"/>
        <item m="1" x="4852"/>
        <item m="1" x="7985"/>
        <item m="1" x="2868"/>
        <item m="1" x="7217"/>
        <item m="1" x="7996"/>
        <item m="1" x="2928"/>
        <item m="1" x="6423"/>
        <item m="1" x="5323"/>
        <item m="1" x="3072"/>
        <item m="1" x="6110"/>
        <item m="1" x="6883"/>
        <item m="1" x="3904"/>
        <item m="1" x="6480"/>
        <item m="1" x="7253"/>
        <item m="1" x="7555"/>
        <item m="1" x="4206"/>
        <item m="1" x="5411"/>
        <item m="1" x="3604"/>
        <item m="1" x="3477"/>
        <item m="1" x="4071"/>
        <item m="1" x="6181"/>
        <item m="1" x="6628"/>
        <item m="1" x="2690"/>
        <item m="1" x="4890"/>
        <item m="1" x="3900"/>
        <item m="1" x="4987"/>
        <item m="1" x="6023"/>
        <item m="1" x="5976"/>
        <item m="1" x="4937"/>
        <item m="1" x="5271"/>
        <item m="1" x="4735"/>
        <item m="1" x="6109"/>
        <item m="1" x="5843"/>
        <item m="1" x="3790"/>
        <item m="1" x="7219"/>
        <item m="1" x="2666"/>
        <item m="1" x="4981"/>
        <item m="1" x="4345"/>
        <item m="1" x="7023"/>
        <item m="1" x="3993"/>
        <item m="1" x="7933"/>
        <item m="1" x="5186"/>
        <item m="1" x="5913"/>
        <item m="1" x="4959"/>
        <item m="1" x="7887"/>
        <item m="1" x="6916"/>
        <item m="1" x="5225"/>
        <item m="1" x="2825"/>
        <item m="1" x="3022"/>
        <item m="1" x="5596"/>
        <item m="1" x="3755"/>
        <item m="1" x="7955"/>
        <item m="1" x="6063"/>
        <item m="1" x="7960"/>
        <item m="1" x="2620"/>
        <item m="1" x="5172"/>
        <item m="1" x="5193"/>
        <item m="1" x="4769"/>
        <item m="1" x="3947"/>
        <item m="1" x="6760"/>
        <item m="1" x="3311"/>
        <item m="1" x="3780"/>
        <item m="1" x="6581"/>
        <item m="1" x="6888"/>
        <item m="1" x="2740"/>
        <item m="1" x="4218"/>
        <item m="1" x="5963"/>
        <item m="1" x="6217"/>
        <item m="1" x="3742"/>
        <item m="1" x="6911"/>
        <item m="1" x="7225"/>
        <item m="1" x="4370"/>
        <item m="1" x="5592"/>
        <item m="1" x="7140"/>
        <item m="1" x="6015"/>
        <item m="1" x="6324"/>
        <item m="1" x="5670"/>
        <item m="1" x="4030"/>
        <item m="1" x="3342"/>
        <item m="1" x="7927"/>
        <item m="1" x="4164"/>
        <item m="1" x="3963"/>
        <item m="1" x="5191"/>
        <item m="1" x="4698"/>
        <item m="1" x="2716"/>
        <item m="1" x="2671"/>
        <item m="1" x="6047"/>
        <item m="1" x="4900"/>
        <item m="1" x="7494"/>
        <item m="1" x="6025"/>
        <item m="1" x="7961"/>
        <item m="1" x="4675"/>
        <item m="1" x="3518"/>
        <item m="1" x="4997"/>
        <item m="1" x="3506"/>
        <item m="1" x="3567"/>
        <item m="1" x="6669"/>
        <item m="1" x="5643"/>
        <item m="1" x="6572"/>
        <item m="1" x="2743"/>
        <item m="1" x="7762"/>
        <item m="1" x="4034"/>
        <item m="1" x="2992"/>
        <item m="1" x="5160"/>
        <item m="1" x="7527"/>
        <item m="1" x="7790"/>
        <item m="1" x="3244"/>
        <item m="1" x="5333"/>
        <item m="1" x="7928"/>
        <item m="1" x="6132"/>
        <item m="1" x="4073"/>
        <item m="1" x="4788"/>
        <item m="1" x="7749"/>
        <item m="1" x="6443"/>
        <item m="1" x="6429"/>
        <item m="1" x="6930"/>
        <item m="1" x="2678"/>
        <item m="1" x="2937"/>
        <item m="1" x="5785"/>
        <item m="1" x="3101"/>
        <item m="1" x="6878"/>
        <item m="1" x="3487"/>
        <item m="1" x="3922"/>
        <item m="1" x="5036"/>
        <item m="1" x="7433"/>
        <item m="1" x="5256"/>
        <item m="1" x="2715"/>
        <item m="1" x="6163"/>
        <item m="1" x="6368"/>
        <item m="1" x="5696"/>
        <item m="1" x="5629"/>
        <item m="1" x="3280"/>
        <item m="1" x="4762"/>
        <item m="1" x="4624"/>
        <item m="1" x="3368"/>
        <item m="1" x="3566"/>
        <item m="1" x="5858"/>
        <item m="1" x="4995"/>
        <item m="1" x="7165"/>
        <item m="1" x="4203"/>
        <item m="1" x="2564"/>
        <item m="1" x="6487"/>
        <item m="1" x="4017"/>
        <item m="1" x="7813"/>
        <item m="1" x="6749"/>
        <item m="1" x="7312"/>
        <item m="1" x="3985"/>
        <item m="1" x="4592"/>
        <item m="1" x="2721"/>
        <item m="1" x="2906"/>
        <item m="1" x="6356"/>
        <item m="1" x="6961"/>
        <item m="1" x="2870"/>
        <item m="1" x="5374"/>
        <item m="1" x="4008"/>
        <item m="1" x="5011"/>
        <item m="1" x="6363"/>
        <item m="1" x="5295"/>
        <item m="1" x="2935"/>
        <item m="1" x="6734"/>
        <item m="1" x="4751"/>
        <item m="1" x="5341"/>
        <item m="1" x="3617"/>
        <item m="1" x="5106"/>
        <item m="1" x="5145"/>
        <item m="1" x="6037"/>
        <item m="1" x="4575"/>
        <item m="1" x="6642"/>
        <item m="1" x="7407"/>
        <item m="1" x="4689"/>
        <item m="1" x="4565"/>
        <item m="1" x="4845"/>
        <item m="1" x="3103"/>
        <item m="1" x="3692"/>
        <item m="1" x="4813"/>
        <item m="1" x="4348"/>
        <item m="1" x="7615"/>
        <item m="1" x="5205"/>
        <item m="1" x="3231"/>
        <item m="1" x="7269"/>
        <item m="1" x="7017"/>
        <item m="1" x="7204"/>
        <item m="1" x="7439"/>
        <item m="1" x="3800"/>
        <item m="1" x="3050"/>
        <item m="1" x="4909"/>
        <item m="1" x="7047"/>
        <item m="1" x="5040"/>
        <item m="1" x="6378"/>
        <item m="1" x="7293"/>
        <item m="1" x="5189"/>
        <item m="1" x="6817"/>
        <item m="1" x="4695"/>
        <item m="1" x="2680"/>
        <item m="1" x="3646"/>
        <item m="1" x="3259"/>
        <item m="1" x="4552"/>
        <item m="1" x="4401"/>
        <item m="1" x="7459"/>
        <item m="1" x="4860"/>
        <item m="1" x="5593"/>
        <item m="1" x="3445"/>
        <item m="1" x="5101"/>
        <item m="1" x="5136"/>
        <item m="1" x="5104"/>
        <item m="1" x="6209"/>
        <item m="1" x="5246"/>
        <item m="1" x="6206"/>
        <item m="1" x="7834"/>
        <item m="1" x="4939"/>
        <item m="1" x="3349"/>
        <item m="1" x="5642"/>
        <item m="1" x="5466"/>
        <item m="1" x="6396"/>
        <item m="1" x="7368"/>
        <item m="1" x="6131"/>
        <item m="1" x="3673"/>
        <item m="1" x="4979"/>
        <item m="1" x="5071"/>
        <item m="1" x="6073"/>
        <item m="1" x="4462"/>
        <item m="1" x="5239"/>
        <item m="1" x="7846"/>
        <item m="1" x="4980"/>
        <item m="1" x="5429"/>
        <item m="1" x="6243"/>
        <item m="1" x="4780"/>
        <item m="1" x="6433"/>
        <item m="1" x="7172"/>
        <item m="1" x="5166"/>
        <item m="1" x="7315"/>
        <item m="1" x="5468"/>
        <item m="1" x="7791"/>
        <item m="1" x="2917"/>
        <item m="1" x="6987"/>
        <item m="1" x="7594"/>
        <item m="1" x="2756"/>
        <item m="1" x="2938"/>
        <item m="1" x="2869"/>
        <item m="1" x="7721"/>
        <item m="1" x="5981"/>
        <item m="1" x="7989"/>
        <item m="1" x="3978"/>
        <item m="1" x="2706"/>
        <item m="1" x="5000"/>
        <item m="1" x="5035"/>
        <item m="1" x="7540"/>
        <item m="1" x="2682"/>
        <item m="1" x="4878"/>
        <item m="1" x="3220"/>
        <item m="1" x="7932"/>
        <item m="1" x="5105"/>
        <item m="1" x="3120"/>
        <item m="1" x="2528"/>
        <item m="1" x="3099"/>
        <item m="1" x="4424"/>
        <item m="1" x="3152"/>
        <item m="1" x="5255"/>
        <item m="1" x="2855"/>
        <item m="1" x="6466"/>
        <item m="1" x="7305"/>
        <item m="1" x="6587"/>
        <item m="1" x="3540"/>
        <item m="1" x="5027"/>
        <item m="1" x="5855"/>
        <item m="1" x="7130"/>
        <item m="1" x="3595"/>
        <item m="1" x="7686"/>
        <item m="1" x="2793"/>
        <item m="1" x="7133"/>
        <item m="1" x="3422"/>
        <item m="1" x="6310"/>
        <item m="1" x="4099"/>
        <item m="1" x="5473"/>
        <item m="1" x="3762"/>
        <item m="1" x="4740"/>
        <item m="1" x="6811"/>
        <item m="1" x="7757"/>
        <item m="1" x="5275"/>
        <item m="1" x="4199"/>
        <item m="1" x="4268"/>
        <item m="1" x="7042"/>
        <item m="1" x="4438"/>
        <item m="1" x="6459"/>
        <item m="1" x="5453"/>
        <item m="1" x="7372"/>
        <item m="1" x="3484"/>
        <item m="1" x="7246"/>
        <item m="1" x="4548"/>
        <item m="1" x="5740"/>
        <item m="1" x="7635"/>
        <item m="1" x="6083"/>
        <item m="1" x="4001"/>
        <item m="1" x="3449"/>
        <item m="1" x="5794"/>
        <item m="1" x="4488"/>
        <item m="1" x="4290"/>
        <item m="1" x="6953"/>
        <item m="1" x="3660"/>
        <item m="1" x="7303"/>
        <item m="1" x="4484"/>
        <item m="1" x="3576"/>
        <item m="1" x="4507"/>
        <item m="1" x="2652"/>
        <item m="1" x="4893"/>
        <item m="1" x="7651"/>
        <item m="1" x="6650"/>
        <item m="1" x="6266"/>
        <item m="1" x="4747"/>
        <item m="1" x="6280"/>
        <item m="1" x="3419"/>
        <item m="1" x="3956"/>
        <item m="1" x="3363"/>
        <item m="1" x="3902"/>
        <item m="1" x="3650"/>
        <item m="1" x="6943"/>
        <item m="1" x="6616"/>
        <item m="1" x="7022"/>
        <item m="1" x="7906"/>
        <item m="1" x="5070"/>
        <item m="1" x="3574"/>
        <item m="1" x="4095"/>
        <item m="1" x="4380"/>
        <item m="1" x="4292"/>
        <item m="1" x="5171"/>
        <item m="1" x="3308"/>
        <item m="1" x="6418"/>
        <item m="1" x="7029"/>
        <item m="1" x="5185"/>
        <item m="1" x="4791"/>
        <item m="1" x="3312"/>
        <item m="1" x="3076"/>
        <item m="1" x="5716"/>
        <item m="1" x="6145"/>
        <item m="1" x="3914"/>
        <item m="1" x="5864"/>
        <item m="1" x="7816"/>
        <item m="1" x="4898"/>
        <item m="1" x="2976"/>
        <item m="1" x="5584"/>
        <item m="1" x="6207"/>
        <item m="1" x="7545"/>
        <item m="1" x="5998"/>
        <item m="1" x="7192"/>
        <item m="1" x="5546"/>
        <item m="1" x="6457"/>
        <item m="1" x="4018"/>
        <item m="1" x="6978"/>
        <item m="1" x="5118"/>
        <item m="1" x="7112"/>
        <item m="1" x="6351"/>
        <item m="1" x="5579"/>
        <item m="1" x="5588"/>
        <item m="1" x="5622"/>
        <item m="1" x="6777"/>
        <item m="1" x="7700"/>
        <item m="1" x="4755"/>
        <item m="1" x="3374"/>
        <item m="1" x="3938"/>
        <item m="1" x="6346"/>
        <item m="1" x="7524"/>
        <item m="1" x="7919"/>
        <item m="1" x="3018"/>
        <item m="1" x="5929"/>
        <item m="1" x="5236"/>
        <item m="1" x="5061"/>
        <item m="1" x="6882"/>
        <item m="1" x="5833"/>
        <item m="1" x="3397"/>
        <item m="1" x="5957"/>
        <item m="1" x="3700"/>
        <item m="1" x="7030"/>
        <item m="1" x="4965"/>
        <item m="1" x="3013"/>
        <item m="1" x="7717"/>
        <item m="1" x="4759"/>
        <item m="1" x="7118"/>
        <item m="1" x="4716"/>
        <item m="1" x="5422"/>
        <item m="1" x="4473"/>
        <item m="1" x="3073"/>
        <item m="1" x="5377"/>
        <item m="1" x="6512"/>
        <item m="1" x="4699"/>
        <item m="1" x="6226"/>
        <item m="1" x="6892"/>
        <item m="1" x="6124"/>
        <item m="1" x="3401"/>
        <item m="1" x="3075"/>
        <item m="1" x="6763"/>
        <item m="1" x="6647"/>
        <item m="1" x="3400"/>
        <item m="1" x="3357"/>
        <item m="1" x="7784"/>
        <item m="1" x="6497"/>
        <item m="1" x="4244"/>
        <item m="1" x="2873"/>
        <item m="1" x="7331"/>
        <item m="1" x="7228"/>
        <item m="1" x="3483"/>
        <item m="1" x="4775"/>
        <item m="1" x="5345"/>
        <item m="1" x="5993"/>
        <item m="1" x="5317"/>
        <item m="1" x="4516"/>
        <item m="1" x="7662"/>
        <item m="1" x="7177"/>
        <item m="1" x="7506"/>
        <item m="1" x="5567"/>
        <item m="1" x="4821"/>
        <item m="1" x="6348"/>
        <item m="1" x="7429"/>
        <item m="1" x="7759"/>
        <item m="1" x="4558"/>
        <item m="1" x="7634"/>
        <item m="1" x="5999"/>
        <item m="1" x="7882"/>
        <item m="1" x="7417"/>
        <item m="1" x="7840"/>
        <item m="1" x="4942"/>
        <item m="1" x="2587"/>
        <item m="1" x="6766"/>
        <item m="1" x="7498"/>
        <item m="1" x="3482"/>
        <item m="1" x="3586"/>
        <item m="1" x="4152"/>
        <item m="1" x="3607"/>
        <item m="1" x="5630"/>
        <item m="1" x="5835"/>
        <item m="1" x="7171"/>
        <item m="1" x="2812"/>
        <item m="1" x="6665"/>
        <item m="1" x="2774"/>
        <item m="1" x="6865"/>
        <item m="1" x="6785"/>
        <item m="1" x="5724"/>
        <item m="1" x="7549"/>
        <item m="1" x="6182"/>
        <item m="1" x="5953"/>
        <item m="1" x="3662"/>
        <item m="1" x="7926"/>
        <item m="1" x="5276"/>
        <item m="1" x="6314"/>
        <item m="1" x="4666"/>
        <item m="1" x="6574"/>
        <item m="1" x="7716"/>
        <item m="1" x="6524"/>
        <item m="1" x="5177"/>
        <item m="1" x="4601"/>
        <item m="1" x="3951"/>
        <item m="1" x="5504"/>
        <item m="1" x="7956"/>
        <item m="1" x="3599"/>
        <item m="1" x="6813"/>
        <item m="1" x="6331"/>
        <item m="1" x="5931"/>
        <item m="1" x="3285"/>
        <item m="1" x="3215"/>
        <item m="1" x="6645"/>
        <item m="1" x="3037"/>
        <item m="1" x="6248"/>
        <item m="1" x="6629"/>
        <item m="1" x="5809"/>
        <item m="1" x="5869"/>
        <item m="1" x="4626"/>
        <item m="1" x="5709"/>
        <item m="1" x="7455"/>
        <item m="1" x="7530"/>
        <item m="1" x="3728"/>
        <item m="1" x="4141"/>
        <item m="1" x="6625"/>
        <item m="1" x="4309"/>
        <item m="1" x="5211"/>
        <item m="1" x="4367"/>
        <item m="1" x="3652"/>
        <item m="1" x="7493"/>
        <item m="1" x="6078"/>
        <item m="1" x="6229"/>
        <item m="1" x="6204"/>
        <item m="1" x="3940"/>
        <item m="1" x="6816"/>
        <item m="1" x="3992"/>
        <item m="1" x="6808"/>
        <item m="1" x="4296"/>
        <item m="1" x="5680"/>
        <item m="1" x="6082"/>
        <item m="1" x="7582"/>
        <item m="1" x="2526"/>
        <item m="1" x="4477"/>
        <item m="1" x="4954"/>
        <item m="1" x="7564"/>
        <item m="1" x="7002"/>
        <item m="1" x="4147"/>
        <item m="1" x="7457"/>
        <item m="1" x="4286"/>
        <item m="1" x="4393"/>
        <item m="1" x="3565"/>
        <item m="1" x="5457"/>
        <item m="1" x="3403"/>
        <item m="1" x="4831"/>
        <item m="1" x="5316"/>
        <item m="1" x="7924"/>
        <item m="1" x="7593"/>
        <item m="1" x="3751"/>
        <item m="1" x="5134"/>
        <item m="1" x="4886"/>
        <item m="1" x="4383"/>
        <item m="1" x="7862"/>
        <item m="1" x="5521"/>
        <item m="1" x="3603"/>
        <item m="1" x="6807"/>
        <item m="1" x="3410"/>
        <item m="1" x="5095"/>
        <item m="1" x="5502"/>
        <item m="1" x="7308"/>
        <item m="1" x="6337"/>
        <item m="1" x="5848"/>
        <item m="1" x="6603"/>
        <item m="1" x="6485"/>
        <item m="1" x="5950"/>
        <item m="1" x="7499"/>
        <item m="1" x="5836"/>
        <item m="1" x="4135"/>
        <item m="1" x="2783"/>
        <item m="1" x="6902"/>
        <item m="1" x="6464"/>
        <item m="1" x="6462"/>
        <item m="1" x="2962"/>
        <item m="1" x="4173"/>
        <item m="1" x="7525"/>
        <item m="1" x="2669"/>
        <item m="1" x="6236"/>
        <item m="1" x="6421"/>
        <item m="1" x="4551"/>
        <item m="1" x="7689"/>
        <item m="1" x="4667"/>
        <item m="1" x="6644"/>
        <item m="1" x="7619"/>
        <item m="1" x="4515"/>
        <item m="1" x="6479"/>
        <item m="1" x="6355"/>
        <item m="1" x="5645"/>
        <item m="1" x="4629"/>
        <item m="1" x="7561"/>
        <item m="1" x="5493"/>
        <item m="1" x="3314"/>
        <item m="1" x="2888"/>
        <item m="1" x="6764"/>
        <item m="1" x="7697"/>
        <item m="1" x="4571"/>
        <item m="1" x="4546"/>
        <item m="1" x="6377"/>
        <item m="1" x="6601"/>
        <item m="1" x="7460"/>
        <item m="1" x="3035"/>
        <item m="1" x="4126"/>
        <item m="1" x="5873"/>
        <item m="1" x="6829"/>
        <item m="1" x="4646"/>
        <item m="1" x="7976"/>
        <item m="1" x="5559"/>
        <item m="1" x="4969"/>
        <item m="1" x="2965"/>
        <item m="1" x="2966"/>
        <item m="1" x="6297"/>
        <item m="1" x="2698"/>
        <item m="1" x="7111"/>
        <item m="1" x="2650"/>
        <item m="1" x="4083"/>
        <item m="1" x="4876"/>
        <item m="1" x="2693"/>
        <item m="1" x="2618"/>
        <item m="1" x="5248"/>
        <item m="1" x="6260"/>
        <item m="1" x="2902"/>
        <item m="1" x="4116"/>
        <item m="1" x="5827"/>
        <item m="1" x="7201"/>
        <item m="1" x="5179"/>
        <item m="1" x="4639"/>
        <item m="1" x="4136"/>
        <item m="1" x="4197"/>
        <item m="1" x="3691"/>
        <item m="1" x="4324"/>
        <item m="1" x="3038"/>
        <item m="1" x="6702"/>
        <item m="1" x="6233"/>
        <item m="1" x="4557"/>
        <item m="1" x="5735"/>
        <item m="1" x="4640"/>
        <item m="1" x="6673"/>
        <item m="1" x="4352"/>
        <item m="1" x="6947"/>
        <item m="1" x="2832"/>
        <item m="1" x="4971"/>
        <item m="1" x="3578"/>
        <item m="1" x="2981"/>
        <item m="1" x="4643"/>
        <item m="1" x="3921"/>
        <item m="1" x="5221"/>
        <item m="1" x="6125"/>
        <item m="1" x="6618"/>
        <item m="1" x="5143"/>
        <item m="1" x="4613"/>
        <item m="1" x="7344"/>
        <item m="1" x="7699"/>
        <item m="1" x="4470"/>
        <item m="1" x="5097"/>
        <item m="1" x="3261"/>
        <item m="1" x="6347"/>
        <item m="1" x="6099"/>
        <item m="1" x="6850"/>
        <item m="1" x="6317"/>
        <item m="1" x="5746"/>
        <item m="1" x="3630"/>
        <item m="1" x="2569"/>
        <item m="1" x="6295"/>
        <item m="1" x="6369"/>
        <item m="1" x="2731"/>
        <item m="1" x="4420"/>
        <item m="1" x="3082"/>
        <item m="1" x="7262"/>
        <item m="1" x="5449"/>
        <item m="1" x="6482"/>
        <item m="1" x="2754"/>
        <item m="1" x="3026"/>
        <item m="1" x="7221"/>
        <item m="1" x="4057"/>
        <item m="1" x="5207"/>
        <item m="1" x="3787"/>
        <item m="1" x="6503"/>
        <item m="1" x="2758"/>
        <item m="1" x="6586"/>
        <item m="1" x="2818"/>
        <item m="1" x="6114"/>
        <item m="1" x="6689"/>
        <item m="1" x="6619"/>
        <item m="1" x="4091"/>
        <item m="1" x="3541"/>
        <item m="1" x="7186"/>
        <item m="1" x="6680"/>
        <item m="1" x="3276"/>
        <item m="1" x="7243"/>
        <item m="1" x="5667"/>
        <item m="1" x="4374"/>
        <item m="1" x="3948"/>
        <item m="1" x="5728"/>
        <item m="1" x="7754"/>
        <item m="1" x="4414"/>
        <item m="1" x="2865"/>
        <item m="1" x="4354"/>
        <item m="1" x="2516"/>
        <item m="1" x="2679"/>
        <item m="1" x="7374"/>
        <item m="1" x="4651"/>
        <item m="1" x="5452"/>
        <item m="1" x="6164"/>
        <item m="1" x="5446"/>
        <item m="1" x="7296"/>
        <item m="1" x="6711"/>
        <item m="1" x="6197"/>
        <item m="1" x="5533"/>
        <item m="1" x="3181"/>
        <item m="1" x="7623"/>
        <item m="1" x="3741"/>
        <item m="1" x="4233"/>
        <item m="1" x="6784"/>
        <item m="1" x="3323"/>
        <item m="1" x="3124"/>
        <item m="1" x="3499"/>
        <item m="1" x="7964"/>
        <item m="1" x="5522"/>
        <item m="1" x="3529"/>
        <item m="1" x="6733"/>
        <item m="1" x="7714"/>
        <item m="1" x="7346"/>
        <item m="1" x="6235"/>
        <item m="1" x="4497"/>
        <item m="1" x="6648"/>
        <item m="1" x="4133"/>
        <item m="1" x="7168"/>
        <item m="1" x="2821"/>
        <item m="1" x="5971"/>
        <item m="1" x="3004"/>
        <item m="1" x="5876"/>
        <item m="1" x="7833"/>
        <item m="1" x="4231"/>
        <item m="1" x="7760"/>
        <item m="1" x="3386"/>
        <item m="1" x="5398"/>
        <item m="1" x="3598"/>
        <item m="1" x="3183"/>
        <item m="1" x="4435"/>
        <item m="1" x="5089"/>
        <item m="1" x="2554"/>
        <item m="1" x="5528"/>
        <item m="1" x="4327"/>
        <item m="1" x="7621"/>
        <item m="1" x="7203"/>
        <item m="1" x="3767"/>
        <item m="1" x="5196"/>
        <item m="1" x="4880"/>
        <item m="1" x="5773"/>
        <item m="1" x="3235"/>
        <item m="1" x="3070"/>
        <item m="1" x="5969"/>
        <item m="1" x="7378"/>
        <item m="1" x="3761"/>
        <item m="1" x="2786"/>
        <item m="1" x="6027"/>
        <item m="1" x="3424"/>
        <item m="1" x="7231"/>
        <item m="1" x="6275"/>
        <item m="1" x="5720"/>
        <item m="1" x="2851"/>
        <item m="1" x="6315"/>
        <item m="1" x="5037"/>
        <item m="1" x="7905"/>
        <item m="1" x="3281"/>
        <item m="1" x="7035"/>
        <item m="1" x="5884"/>
        <item m="1" x="3828"/>
        <item m="1" x="6988"/>
        <item m="1" x="2933"/>
        <item m="1" x="4754"/>
        <item m="1" x="2746"/>
        <item m="1" x="5600"/>
        <item m="1" x="6072"/>
        <item m="1" x="4503"/>
        <item m="1" x="5749"/>
        <item m="1" x="5826"/>
        <item m="1" x="2882"/>
        <item m="1" x="7062"/>
        <item m="1" x="4757"/>
        <item m="1" x="6483"/>
        <item m="1" x="3625"/>
        <item m="1" x="5156"/>
        <item m="1" x="3126"/>
        <item m="1" x="3254"/>
        <item m="1" x="7620"/>
        <item m="1" x="6166"/>
        <item m="1" x="2837"/>
        <item m="1" x="7179"/>
        <item m="1" x="2772"/>
        <item m="1" x="4368"/>
        <item m="1" x="5954"/>
        <item m="1" x="3222"/>
        <item m="1" x="3619"/>
        <item m="1" x="3102"/>
        <item m="1" x="7896"/>
        <item m="1" x="6228"/>
        <item m="1" x="3676"/>
        <item m="1" x="6630"/>
        <item m="1" x="6946"/>
        <item m="1" x="6031"/>
        <item m="1" x="3766"/>
        <item m="1" x="6705"/>
        <item m="1" x="4726"/>
        <item m="1" x="4797"/>
        <item m="1" x="7937"/>
        <item m="1" x="7691"/>
        <item m="1" x="2718"/>
        <item m="1" x="6938"/>
        <item m="1" x="4994"/>
        <item m="1" x="6191"/>
        <item m="1" x="2637"/>
        <item m="1" x="2595"/>
        <item m="1" x="3597"/>
        <item m="1" x="3613"/>
        <item m="1" x="7668"/>
        <item m="1" x="4433"/>
        <item m="1" x="5306"/>
        <item m="1" x="4182"/>
        <item m="1" x="7224"/>
        <item m="1" x="3934"/>
        <item m="1" x="7641"/>
        <item m="1" x="3074"/>
        <item m="1" x="7163"/>
        <item m="1" x="5684"/>
        <item m="1" x="5154"/>
        <item m="1" x="3291"/>
        <item m="1" x="3867"/>
        <item m="1" x="5298"/>
        <item m="1" x="7456"/>
        <item m="1" x="7597"/>
        <item m="1" x="5039"/>
        <item m="1" x="4138"/>
        <item m="1" x="4466"/>
        <item m="1" x="5243"/>
        <item m="1" x="5234"/>
        <item m="1" x="5894"/>
        <item m="1" x="7941"/>
        <item m="1" x="5547"/>
        <item m="1" x="5515"/>
        <item m="1" x="5706"/>
        <item m="1" x="7934"/>
        <item m="1" x="7077"/>
        <item m="1" x="5445"/>
        <item m="1" x="4441"/>
        <item m="1" x="7713"/>
        <item m="1" x="3340"/>
        <item m="1" x="4134"/>
        <item m="1" x="2687"/>
        <item m="1" x="6499"/>
        <item m="1" x="3385"/>
        <item m="1" x="5203"/>
        <item m="1" x="5075"/>
        <item m="1" x="5175"/>
        <item m="1" x="7539"/>
        <item m="1" x="5895"/>
        <item m="1" x="7271"/>
        <item m="1" x="2790"/>
        <item m="1" x="3358"/>
        <item m="1" x="7232"/>
        <item m="1" x="5031"/>
        <item m="1" x="6889"/>
        <item m="1" x="4786"/>
        <item m="1" x="2611"/>
        <item m="1" x="4185"/>
        <item m="1" x="2899"/>
        <item m="1" x="7831"/>
        <item m="1" x="3624"/>
        <item m="1" x="4725"/>
        <item m="1" x="5829"/>
        <item m="1" x="6639"/>
        <item m="1" x="5568"/>
        <item m="1" x="7381"/>
        <item m="1" x="4682"/>
        <item m="1" x="3717"/>
        <item m="1" x="6789"/>
        <item m="1" x="5069"/>
        <item m="1" x="2677"/>
        <item m="1" x="5704"/>
        <item m="1" x="3844"/>
        <item m="1" x="6165"/>
        <item m="1" x="6929"/>
        <item m="1" x="6515"/>
        <item m="1" x="6900"/>
        <item m="1" x="4326"/>
        <item m="1" x="4056"/>
        <item m="1" x="2536"/>
        <item m="1" x="7867"/>
        <item m="1" x="6393"/>
        <item m="1" x="5817"/>
        <item m="1" x="5272"/>
        <item m="1" x="4657"/>
        <item m="1" x="5382"/>
        <item m="1" x="4496"/>
        <item m="1" x="6011"/>
        <item m="1" x="7560"/>
        <item m="1" x="4600"/>
        <item m="1" x="2799"/>
        <item m="1" x="3092"/>
        <item m="1" x="5187"/>
        <item m="1" x="6153"/>
        <item m="1" x="6428"/>
        <item m="1" x="2552"/>
        <item m="1" x="5072"/>
        <item m="1" x="2802"/>
        <item m="1" x="5370"/>
        <item m="1" x="4198"/>
        <item m="1" x="5443"/>
        <item m="1" x="2550"/>
        <item m="1" x="7692"/>
        <item m="1" x="3836"/>
        <item m="1" x="3771"/>
        <item m="1" x="4232"/>
        <item m="1" x="2795"/>
        <item m="1" x="4583"/>
        <item m="1" x="6481"/>
        <item m="1" x="2515"/>
        <item m="1" x="3380"/>
        <item m="1" x="2596"/>
        <item m="1" x="7788"/>
        <item m="1" x="6670"/>
        <item m="1" x="7483"/>
        <item m="1" x="4171"/>
        <item m="1" x="7710"/>
        <item m="1" x="5325"/>
        <item m="1" x="5328"/>
        <item m="1" x="6872"/>
        <item m="1" x="6523"/>
        <item m="1" x="6221"/>
        <item m="1" x="4513"/>
        <item m="1" x="4127"/>
        <item m="1" x="5439"/>
        <item m="1" x="5319"/>
        <item m="1" x="5320"/>
        <item m="1" x="5321"/>
        <item m="1" x="5322"/>
        <item m="1" x="6959"/>
        <item m="1" x="7426"/>
        <item m="1" x="3969"/>
        <item m="1" x="3112"/>
        <item m="1" x="4850"/>
        <item m="1" x="2893"/>
        <item m="1" x="3404"/>
        <item m="1" x="2810"/>
        <item m="1" x="4519"/>
        <item m="1" x="7786"/>
        <item m="1" x="5760"/>
        <item m="1" x="7775"/>
        <item m="1" x="6684"/>
        <item m="1" x="5358"/>
        <item m="1" x="3429"/>
        <item m="1" x="5839"/>
        <item m="1" x="4425"/>
        <item m="1" x="2523"/>
        <item m="1" x="4500"/>
        <item m="1" x="4386"/>
        <item m="1" x="6091"/>
        <item m="1" x="5793"/>
        <item m="1" x="7392"/>
        <item m="1" x="6005"/>
        <item m="1" x="5844"/>
        <item m="1" x="5906"/>
        <item m="1" x="3719"/>
        <item m="1" x="7872"/>
        <item m="1" x="7384"/>
        <item m="1" x="6220"/>
        <item m="1" x="4153"/>
        <item m="1" x="7233"/>
        <item m="1" x="3675"/>
        <item m="1" x="6264"/>
        <item m="1" x="2578"/>
        <item m="1" x="4028"/>
        <item m="1" x="2826"/>
        <item m="1" x="2927"/>
        <item m="1" x="4044"/>
        <item m="1" x="5301"/>
        <item m="1" x="3777"/>
        <item m="1" x="6049"/>
        <item m="1" x="5725"/>
        <item m="1" x="5472"/>
        <item m="1" x="5911"/>
        <item m="1" x="7254"/>
        <item m="1" x="4112"/>
        <item m="1" x="4884"/>
        <item m="1" x="4329"/>
        <item m="1" x="6123"/>
        <item m="1" x="7661"/>
        <item m="1" x="3011"/>
        <item m="1" x="4194"/>
        <item m="1" x="5173"/>
        <item m="1" x="4003"/>
        <item m="1" x="7466"/>
        <item m="1" x="5201"/>
        <item m="1" x="5353"/>
        <item m="1" x="3715"/>
        <item m="1" x="5223"/>
        <item m="1" x="4520"/>
        <item m="1" x="3881"/>
        <item m="1" x="5267"/>
        <item m="1" x="5383"/>
        <item m="1" x="4527"/>
        <item m="1" x="7638"/>
        <item m="1" x="6276"/>
        <item m="1" x="4694"/>
        <item m="1" x="2657"/>
        <item m="1" x="3725"/>
        <item m="1" x="5942"/>
        <item m="1" x="5683"/>
        <item m="1" x="2726"/>
        <item m="1" x="5912"/>
        <item m="1" x="6720"/>
        <item m="1" x="5250"/>
        <item m="1" x="7099"/>
        <item m="1" x="7643"/>
        <item m="1" x="5612"/>
        <item m="1" x="5650"/>
        <item m="1" x="5507"/>
        <item m="1" x="7196"/>
        <item m="1" x="2824"/>
        <item m="1" x="7471"/>
        <item m="1" x="6759"/>
        <item m="1" x="6375"/>
        <item m="1" x="7903"/>
        <item m="1" x="4377"/>
        <item m="1" x="7182"/>
        <item m="1" x="2708"/>
        <item m="1" x="3202"/>
        <item m="1" x="5924"/>
        <item m="1" x="5608"/>
        <item m="1" x="4170"/>
        <item m="1" x="7383"/>
        <item m="1" x="2757"/>
        <item m="1" x="6052"/>
        <item m="1" x="6255"/>
        <item m="1" x="3260"/>
        <item m="1" x="2803"/>
        <item m="1" x="3194"/>
        <item m="1" x="6147"/>
        <item m="1" x="6359"/>
        <item m="1" x="5995"/>
        <item m="1" x="5408"/>
        <item m="1" x="3703"/>
        <item m="1" x="7318"/>
        <item m="1" x="2952"/>
        <item m="1" x="6510"/>
        <item m="1" x="7703"/>
        <item m="1" x="4036"/>
        <item m="1" x="6438"/>
        <item m="1" x="7216"/>
        <item m="1" x="6367"/>
        <item m="1" x="7644"/>
        <item m="1" x="5939"/>
        <item m="1" x="3724"/>
        <item m="1" x="7302"/>
        <item m="1" x="5380"/>
        <item m="1" x="5263"/>
        <item m="1" x="3801"/>
        <item m="1" x="5114"/>
        <item m="1" x="7255"/>
        <item m="1" x="3434"/>
        <item m="1" x="4465"/>
        <item m="1" x="6455"/>
        <item m="1" x="4317"/>
        <item m="1" x="4756"/>
        <item m="1" x="6404"/>
        <item m="1" x="3858"/>
        <item m="1" x="6449"/>
        <item m="1" x="4632"/>
        <item m="1" x="4049"/>
        <item m="1" x="7345"/>
        <item m="1" x="4411"/>
        <item m="1" x="3888"/>
        <item m="1" x="3693"/>
        <item m="1" x="5116"/>
        <item m="1" x="3043"/>
        <item m="1" x="2525"/>
        <item m="1" x="4924"/>
        <item m="1" x="7252"/>
        <item m="1" x="7802"/>
        <item x="0"/>
        <item x="1"/>
        <item x="2"/>
        <item x="3"/>
        <item x="4"/>
        <item x="5"/>
        <item x="6"/>
        <item x="7"/>
        <item x="8"/>
        <item x="9"/>
        <item x="10"/>
        <item x="11"/>
        <item x="12"/>
        <item x="13"/>
        <item x="14"/>
        <item x="15"/>
        <item x="16"/>
        <item x="17"/>
        <item x="18"/>
        <item x="19"/>
        <item x="20"/>
        <item x="21"/>
        <item x="27"/>
        <item x="28"/>
        <item x="29"/>
        <item m="1" x="4478"/>
        <item m="1" x="4248"/>
        <item x="36"/>
        <item x="37"/>
        <item x="38"/>
        <item x="39"/>
        <item x="40"/>
        <item x="41"/>
        <item x="42"/>
        <item x="43"/>
        <item x="44"/>
        <item x="45"/>
        <item x="46"/>
        <item x="58"/>
        <item m="1" x="5010"/>
        <item m="1" x="6753"/>
        <item m="1" x="7005"/>
        <item x="62"/>
        <item x="47"/>
        <item x="48"/>
        <item x="49"/>
        <item x="50"/>
        <item x="51"/>
        <item x="52"/>
        <item x="53"/>
        <item x="54"/>
        <item x="55"/>
        <item x="56"/>
        <item x="57"/>
        <item x="59"/>
        <item x="60"/>
        <item x="61"/>
        <item m="1" x="3267"/>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m="1" x="4990"/>
        <item x="124"/>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m="1" x="2539"/>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m="1" x="5637"/>
        <item m="1" x="7735"/>
        <item m="1" x="5388"/>
        <item x="358"/>
        <item x="359"/>
        <item x="360"/>
        <item x="361"/>
        <item x="362"/>
        <item x="363"/>
        <item x="364"/>
        <item x="365"/>
        <item x="366"/>
        <item x="367"/>
        <item x="368"/>
        <item x="369"/>
        <item x="370"/>
        <item x="371"/>
        <item x="372"/>
        <item x="373"/>
        <item x="374"/>
        <item x="353"/>
        <item x="354"/>
        <item x="355"/>
        <item x="356"/>
        <item x="357"/>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m="1" x="4481"/>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m="1" x="7307"/>
        <item m="1" x="5732"/>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8"/>
        <item x="641"/>
        <item m="1" x="4145"/>
        <item m="1" x="3859"/>
        <item m="1" x="4285"/>
        <item m="1" x="7633"/>
        <item m="1" x="4033"/>
        <item x="652"/>
        <item x="653"/>
        <item m="1" x="5373"/>
        <item m="1" x="5766"/>
        <item x="1735"/>
        <item x="657"/>
        <item m="1" x="6456"/>
        <item m="1" x="4266"/>
        <item m="1" x="4257"/>
        <item m="1" x="4770"/>
        <item m="1" x="3168"/>
        <item x="1236"/>
        <item x="665"/>
        <item m="1" x="7223"/>
        <item m="1" x="5030"/>
        <item x="635"/>
        <item x="636"/>
        <item x="637"/>
        <item x="639"/>
        <item x="640"/>
        <item x="642"/>
        <item x="643"/>
        <item x="644"/>
        <item x="645"/>
        <item x="646"/>
        <item x="647"/>
        <item x="648"/>
        <item x="649"/>
        <item x="650"/>
        <item x="651"/>
        <item x="654"/>
        <item x="655"/>
        <item x="656"/>
        <item x="658"/>
        <item x="659"/>
        <item x="660"/>
        <item x="661"/>
        <item x="662"/>
        <item x="663"/>
        <item x="664"/>
        <item x="666"/>
        <item x="667"/>
        <item x="668"/>
        <item x="669"/>
        <item x="670"/>
        <item x="671"/>
        <item x="672"/>
        <item x="673"/>
        <item x="674"/>
        <item x="675"/>
        <item x="676"/>
        <item x="677"/>
        <item x="678"/>
        <item x="679"/>
        <item x="680"/>
        <item x="698"/>
        <item x="681"/>
        <item x="699"/>
        <item x="682"/>
        <item x="700"/>
        <item x="683"/>
        <item x="701"/>
        <item x="684"/>
        <item m="1" x="5603"/>
        <item x="685"/>
        <item x="703"/>
        <item x="686"/>
        <item x="704"/>
        <item x="687"/>
        <item x="705"/>
        <item x="688"/>
        <item x="706"/>
        <item x="689"/>
        <item x="707"/>
        <item x="690"/>
        <item x="708"/>
        <item x="691"/>
        <item x="709"/>
        <item x="692"/>
        <item x="710"/>
        <item x="693"/>
        <item x="711"/>
        <item x="694"/>
        <item x="712"/>
        <item x="695"/>
        <item x="713"/>
        <item x="696"/>
        <item x="714"/>
        <item x="697"/>
        <item x="715"/>
        <item x="702"/>
        <item x="716"/>
        <item x="717"/>
        <item x="718"/>
        <item x="719"/>
        <item x="720"/>
        <item x="721"/>
        <item x="722"/>
        <item x="723"/>
        <item x="724"/>
        <item m="1" x="6146"/>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m="1" x="4563"/>
        <item x="766"/>
        <item x="767"/>
        <item x="768"/>
        <item x="769"/>
        <item x="770"/>
        <item x="771"/>
        <item x="772"/>
        <item x="773"/>
        <item x="774"/>
        <item x="775"/>
        <item x="787"/>
        <item x="788"/>
        <item x="789"/>
        <item x="790"/>
        <item x="791"/>
        <item x="792"/>
        <item x="793"/>
        <item x="794"/>
        <item x="795"/>
        <item x="796"/>
        <item x="797"/>
        <item x="798"/>
        <item x="799"/>
        <item x="800"/>
        <item m="1" x="6448"/>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m="1" x="3439"/>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m="1" x="6993"/>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m="1" x="3325"/>
        <item m="1" x="5385"/>
        <item x="1279"/>
        <item x="1280"/>
        <item x="1281"/>
        <item x="1282"/>
        <item m="1" x="2963"/>
        <item m="1" x="3786"/>
        <item m="1" x="2797"/>
        <item m="1" x="3945"/>
        <item m="1" x="2702"/>
        <item x="1277"/>
        <item m="1" x="2661"/>
        <item x="1278"/>
        <item m="1" x="3217"/>
        <item x="1283"/>
        <item m="1" x="4873"/>
        <item x="1284"/>
        <item m="1" x="3727"/>
        <item m="1" x="7191"/>
        <item x="1286"/>
        <item m="1" x="3288"/>
        <item x="1287"/>
        <item x="1288"/>
        <item m="1" x="3159"/>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285"/>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m="1" x="7144"/>
        <item m="1" x="2689"/>
        <item m="1" x="7489"/>
        <item m="1" x="5879"/>
        <item m="1" x="5110"/>
        <item m="1" x="4440"/>
        <item m="1" x="5053"/>
        <item m="1" x="6250"/>
        <item m="1" x="3929"/>
        <item m="1" x="6088"/>
        <item m="1" x="7213"/>
        <item m="1" x="4825"/>
        <item m="1" x="7803"/>
        <item m="1" x="5566"/>
        <item x="1728"/>
        <item x="1729"/>
        <item x="1730"/>
        <item x="1731"/>
        <item x="1732"/>
        <item x="1733"/>
        <item x="1734"/>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m="1" x="4826"/>
        <item m="1" x="4223"/>
        <item x="1851"/>
        <item x="1852"/>
        <item x="1853"/>
        <item x="1854"/>
        <item x="1855"/>
        <item x="1849"/>
        <item x="1850"/>
        <item m="1" x="7435"/>
        <item m="1" x="7892"/>
        <item m="1" x="5565"/>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m="1" x="6631"/>
        <item m="1" x="2518"/>
        <item m="1" x="6451"/>
        <item x="1856"/>
        <item x="1857"/>
        <item x="1858"/>
        <item x="1859"/>
        <item x="1860"/>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25"/>
        <item m="1" x="5691"/>
        <item x="2027"/>
        <item x="2028"/>
        <item x="2032"/>
        <item m="1" x="7011"/>
        <item x="2034"/>
        <item x="2035"/>
        <item x="2036"/>
        <item x="2037"/>
        <item x="2038"/>
        <item x="2039"/>
        <item x="2040"/>
        <item x="2041"/>
        <item m="1" x="3773"/>
        <item m="1" x="7061"/>
        <item x="2043"/>
        <item x="2044"/>
        <item x="2046"/>
        <item x="2047"/>
        <item x="2048"/>
        <item x="2050"/>
        <item x="2051"/>
        <item x="2052"/>
        <item x="2053"/>
        <item m="1" x="3774"/>
        <item x="2055"/>
        <item x="2056"/>
        <item x="2058"/>
        <item x="2059"/>
        <item x="2060"/>
        <item x="2062"/>
        <item x="2063"/>
        <item x="2064"/>
        <item m="1" x="3775"/>
        <item x="2066"/>
        <item x="2067"/>
        <item x="2068"/>
        <item m="1" x="3776"/>
        <item x="2070"/>
        <item x="2071"/>
        <item x="2072"/>
        <item x="2074"/>
        <item x="2075"/>
        <item x="2076"/>
        <item x="2077"/>
        <item x="2078"/>
        <item x="2079"/>
        <item x="2080"/>
        <item x="2082"/>
        <item x="2084"/>
        <item x="2085"/>
        <item x="2086"/>
        <item x="2087"/>
        <item x="2088"/>
        <item x="2089"/>
        <item x="2090"/>
        <item x="2092"/>
        <item x="2093"/>
        <item x="2094"/>
        <item x="2096"/>
        <item x="2097"/>
        <item x="2098"/>
        <item x="2099"/>
        <item x="2100"/>
        <item x="2101"/>
        <item x="2103"/>
        <item x="2104"/>
        <item x="2105"/>
        <item x="2107"/>
        <item x="2108"/>
        <item x="2109"/>
        <item x="2110"/>
        <item x="2112"/>
        <item x="2113"/>
        <item x="2114"/>
        <item x="2115"/>
        <item x="2116"/>
        <item x="2117"/>
        <item x="2118"/>
        <item x="2119"/>
        <item x="2120"/>
        <item x="2121"/>
        <item x="2122"/>
        <item x="2123"/>
        <item x="2124"/>
        <item x="2128"/>
        <item x="2129"/>
        <item m="1" x="5396"/>
        <item x="2131"/>
        <item x="2132"/>
        <item x="2133"/>
        <item x="2134"/>
        <item m="1" x="6319"/>
        <item x="2136"/>
        <item x="2137"/>
        <item x="2138"/>
        <item m="1" x="5661"/>
        <item x="2140"/>
        <item x="2141"/>
        <item x="2142"/>
        <item m="1" x="6458"/>
        <item x="2143"/>
        <item x="2144"/>
        <item m="1" x="6786"/>
        <item x="2146"/>
        <item x="2147"/>
        <item m="1" x="6787"/>
        <item x="2148"/>
        <item x="2151"/>
        <item x="2152"/>
        <item m="1" x="3569"/>
        <item m="1" x="7694"/>
        <item m="1" x="6318"/>
        <item m="1" x="3344"/>
        <item x="2154"/>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m="1" x="4369"/>
        <item x="2183"/>
        <item x="2184"/>
        <item x="2185"/>
        <item x="2186"/>
        <item x="2187"/>
        <item x="2188"/>
        <item m="1" x="3601"/>
        <item x="2189"/>
        <item x="2190"/>
        <item x="2191"/>
        <item x="2192"/>
        <item x="2193"/>
        <item x="2005"/>
        <item x="2006"/>
        <item x="2007"/>
        <item x="2008"/>
        <item x="2009"/>
        <item x="2010"/>
        <item x="2011"/>
        <item x="2012"/>
        <item x="2013"/>
        <item x="2014"/>
        <item x="2015"/>
        <item x="2016"/>
        <item x="2017"/>
        <item x="2018"/>
        <item x="2019"/>
        <item x="2020"/>
        <item x="2021"/>
        <item x="2022"/>
        <item x="2023"/>
        <item x="2024"/>
        <item x="2026"/>
        <item x="2029"/>
        <item x="2030"/>
        <item x="2031"/>
        <item x="2033"/>
        <item x="2042"/>
        <item x="2045"/>
        <item x="2049"/>
        <item x="2054"/>
        <item x="2057"/>
        <item x="2061"/>
        <item x="2065"/>
        <item x="2069"/>
        <item x="2073"/>
        <item x="2081"/>
        <item x="2083"/>
        <item x="2091"/>
        <item x="2095"/>
        <item x="2102"/>
        <item x="2106"/>
        <item x="2111"/>
        <item x="2125"/>
        <item x="2126"/>
        <item x="2127"/>
        <item x="2130"/>
        <item x="2135"/>
        <item x="2139"/>
        <item x="2145"/>
        <item x="2149"/>
        <item x="2150"/>
        <item x="2153"/>
        <item x="2155"/>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
        <item x="23"/>
        <item x="24"/>
        <item x="25"/>
        <item x="26"/>
        <item x="30"/>
        <item x="31"/>
        <item x="32"/>
        <item x="33"/>
        <item x="34"/>
        <item x="35"/>
        <item x="63"/>
        <item x="64"/>
        <item x="65"/>
        <item x="66"/>
        <item x="123"/>
        <item x="125"/>
        <item x="126"/>
        <item x="127"/>
        <item x="128"/>
        <item x="180"/>
        <item x="472"/>
        <item x="764"/>
        <item x="765"/>
        <item x="776"/>
        <item x="777"/>
        <item x="778"/>
        <item x="779"/>
        <item x="780"/>
        <item x="781"/>
        <item x="782"/>
        <item x="783"/>
        <item x="784"/>
        <item x="785"/>
        <item x="786"/>
        <item x="801"/>
        <item x="916"/>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s>
      <extLst>
        <ext xmlns:x14="http://schemas.microsoft.com/office/spreadsheetml/2009/9/main" uri="{2946ED86-A175-432a-8AC1-64E0C546D7DE}">
          <x14:pivotField fillDownLabels="1"/>
        </ext>
      </extLst>
    </pivotField>
    <pivotField axis="axisRow" compact="0" numFmtId="14" outline="0" showAll="0" sortType="ascending" defaultSubtotal="0">
      <items count="506">
        <item m="1" x="278"/>
        <item m="1" x="390"/>
        <item m="1" x="276"/>
        <item m="1" x="396"/>
        <item m="1" x="279"/>
        <item m="1" x="398"/>
        <item m="1" x="282"/>
        <item m="1" x="403"/>
        <item m="1" x="286"/>
        <item m="1" x="406"/>
        <item m="1" x="291"/>
        <item m="1" x="411"/>
        <item m="1" x="299"/>
        <item m="1" x="417"/>
        <item m="1" x="302"/>
        <item m="1" x="423"/>
        <item m="1" x="307"/>
        <item m="1" x="433"/>
        <item m="1" x="392"/>
        <item m="1" x="274"/>
        <item m="1" x="394"/>
        <item m="1" x="275"/>
        <item m="1" x="280"/>
        <item m="1" x="399"/>
        <item m="1" x="283"/>
        <item m="1" x="401"/>
        <item m="1" x="287"/>
        <item m="1" x="407"/>
        <item m="1" x="292"/>
        <item m="1" x="412"/>
        <item m="1" x="295"/>
        <item m="1" x="418"/>
        <item m="1" x="303"/>
        <item m="1" x="424"/>
        <item m="1" x="308"/>
        <item m="1" x="428"/>
        <item m="1" x="317"/>
        <item m="1" x="395"/>
        <item m="1" x="277"/>
        <item m="1" x="397"/>
        <item m="1" x="281"/>
        <item m="1" x="402"/>
        <item m="1" x="284"/>
        <item m="1" x="404"/>
        <item m="1" x="288"/>
        <item m="1" x="408"/>
        <item m="1" x="296"/>
        <item m="1" x="414"/>
        <item m="1" x="300"/>
        <item m="1" x="419"/>
        <item m="1" x="304"/>
        <item m="1" x="312"/>
        <item m="1" x="434"/>
        <item m="1" x="318"/>
        <item m="1" x="438"/>
        <item m="1" x="328"/>
        <item m="1" x="448"/>
        <item m="1" x="333"/>
        <item m="1" x="454"/>
        <item m="1" x="400"/>
        <item m="1" x="285"/>
        <item m="1" x="405"/>
        <item m="1" x="289"/>
        <item m="1" x="409"/>
        <item m="1" x="293"/>
        <item m="1" x="415"/>
        <item m="1" x="301"/>
        <item m="1" x="420"/>
        <item m="1" x="313"/>
        <item m="1" x="435"/>
        <item m="1" x="319"/>
        <item m="1" x="439"/>
        <item m="1" x="323"/>
        <item m="1" x="444"/>
        <item m="1" x="449"/>
        <item m="1" x="334"/>
        <item m="1" x="455"/>
        <item m="1" x="338"/>
        <item m="1" x="461"/>
        <item m="1" x="290"/>
        <item m="1" x="410"/>
        <item m="1" x="294"/>
        <item m="1" x="297"/>
        <item m="1" x="421"/>
        <item m="1" x="305"/>
        <item m="1" x="426"/>
        <item m="1" x="309"/>
        <item m="1" x="429"/>
        <item m="1" x="320"/>
        <item m="1" x="440"/>
        <item m="1" x="325"/>
        <item m="1" x="445"/>
        <item m="1" x="329"/>
        <item m="1" x="456"/>
        <item m="1" x="339"/>
        <item m="1" x="462"/>
        <item m="1" x="344"/>
        <item m="1" x="467"/>
        <item m="1" x="354"/>
        <item m="1" x="476"/>
        <item m="1" x="413"/>
        <item m="1" x="298"/>
        <item m="1" x="416"/>
        <item m="1" x="306"/>
        <item m="1" x="427"/>
        <item m="1" x="310"/>
        <item m="1" x="430"/>
        <item m="1" x="314"/>
        <item m="1" x="441"/>
        <item m="1" x="326"/>
        <item m="1" x="446"/>
        <item m="1" x="330"/>
        <item m="1" x="450"/>
        <item m="1" x="340"/>
        <item m="1" x="463"/>
        <item m="1" x="345"/>
        <item m="1" x="468"/>
        <item m="1" x="349"/>
        <item m="1" x="477"/>
        <item m="1" x="359"/>
        <item m="1" x="482"/>
        <item m="1" x="362"/>
        <item m="1" x="422"/>
        <item m="1" x="311"/>
        <item m="1" x="431"/>
        <item m="1" x="315"/>
        <item m="1" x="436"/>
        <item m="1" x="321"/>
        <item m="1" x="447"/>
        <item m="1" x="331"/>
        <item m="1" x="451"/>
        <item m="1" x="335"/>
        <item m="1" x="457"/>
        <item m="1" x="346"/>
        <item m="1" x="469"/>
        <item m="1" x="350"/>
        <item m="1" x="473"/>
        <item m="1" x="355"/>
        <item m="1" x="483"/>
        <item m="1" x="363"/>
        <item m="1" x="486"/>
        <item m="1" x="367"/>
        <item m="1" x="490"/>
        <item m="1" x="494"/>
        <item m="1" x="432"/>
        <item m="1" x="316"/>
        <item m="1" x="437"/>
        <item m="1" x="322"/>
        <item m="1" x="442"/>
        <item m="1" x="332"/>
        <item m="1" x="452"/>
        <item m="1" x="336"/>
        <item m="1" x="458"/>
        <item m="1" x="341"/>
        <item m="1" x="470"/>
        <item m="1" x="351"/>
        <item m="1" x="474"/>
        <item m="1" x="356"/>
        <item m="1" x="478"/>
        <item m="1" x="364"/>
        <item m="1" x="487"/>
        <item m="1" x="368"/>
        <item m="1" x="491"/>
        <item m="1" x="371"/>
        <item m="1" x="495"/>
        <item m="1" x="499"/>
        <item m="1" x="378"/>
        <item m="1" x="504"/>
        <item m="1" x="443"/>
        <item m="1" x="327"/>
        <item m="1" x="453"/>
        <item m="1" x="337"/>
        <item m="1" x="459"/>
        <item m="1" x="342"/>
        <item m="1" x="464"/>
        <item m="1" x="352"/>
        <item m="1" x="475"/>
        <item m="1" x="357"/>
        <item m="1" x="479"/>
        <item m="1" x="488"/>
        <item m="1" x="369"/>
        <item m="1" x="492"/>
        <item m="1" x="372"/>
        <item m="1" x="496"/>
        <item m="1" x="375"/>
        <item m="1" x="500"/>
        <item m="1" x="379"/>
        <item m="1" x="505"/>
        <item m="1" x="382"/>
        <item m="1" x="265"/>
        <item m="1" x="384"/>
        <item m="1" x="460"/>
        <item m="1" x="343"/>
        <item m="1" x="465"/>
        <item m="1" x="347"/>
        <item m="1" x="471"/>
        <item m="1" x="358"/>
        <item m="1" x="480"/>
        <item m="1" x="360"/>
        <item m="1" x="484"/>
        <item m="1" x="365"/>
        <item m="1" x="493"/>
        <item m="1" x="373"/>
        <item m="1" x="497"/>
        <item m="1" x="376"/>
        <item m="1" x="501"/>
        <item m="1" x="383"/>
        <item m="1" x="266"/>
        <item m="1" x="385"/>
        <item m="1" x="268"/>
        <item m="1" x="387"/>
        <item m="1" x="272"/>
        <item m="1" x="466"/>
        <item m="1" x="348"/>
        <item m="1" x="472"/>
        <item m="1" x="353"/>
        <item m="1" x="481"/>
        <item m="1" x="361"/>
        <item m="1" x="485"/>
        <item m="1" x="366"/>
        <item m="1" x="489"/>
        <item m="1" x="370"/>
        <item m="1" x="374"/>
        <item m="1" x="498"/>
        <item m="1" x="377"/>
        <item m="1" x="503"/>
        <item m="1" x="381"/>
        <item m="1" x="267"/>
        <item m="1" x="386"/>
        <item m="1" x="269"/>
        <item m="1" x="389"/>
        <item m="1" x="271"/>
        <item m="1" x="391"/>
        <item m="1" x="273"/>
        <item m="1" x="393"/>
        <item x="0"/>
        <item x="1"/>
        <item x="2"/>
        <item x="3"/>
        <item x="4"/>
        <item x="5"/>
        <item x="6"/>
        <item x="7"/>
        <item x="8"/>
        <item x="9"/>
        <item x="10"/>
        <item x="11"/>
        <item x="12"/>
        <item x="13"/>
        <item x="14"/>
        <item x="15"/>
        <item x="16"/>
        <item x="17"/>
        <item x="18"/>
        <item x="19"/>
        <item x="20"/>
        <item x="21"/>
        <item x="22"/>
        <item x="23"/>
        <item x="24"/>
        <item x="41"/>
        <item x="42"/>
        <item x="43"/>
        <item x="25"/>
        <item x="26"/>
        <item x="27"/>
        <item x="28"/>
        <item x="29"/>
        <item x="30"/>
        <item x="31"/>
        <item x="32"/>
        <item x="33"/>
        <item x="34"/>
        <item x="35"/>
        <item x="36"/>
        <item x="37"/>
        <item x="38"/>
        <item x="40"/>
        <item x="39"/>
        <item x="44"/>
        <item x="45"/>
        <item x="46"/>
        <item x="47"/>
        <item x="48"/>
        <item x="49"/>
        <item x="50"/>
        <item x="51"/>
        <item x="52"/>
        <item x="53"/>
        <item x="54"/>
        <item x="55"/>
        <item x="56"/>
        <item x="57"/>
        <item x="58"/>
        <item x="59"/>
        <item x="60"/>
        <item x="61"/>
        <item x="62"/>
        <item x="63"/>
        <item x="64"/>
        <item x="65"/>
        <item x="81"/>
        <item x="82"/>
        <item x="83"/>
        <item x="84"/>
        <item x="85"/>
        <item x="66"/>
        <item x="67"/>
        <item x="68"/>
        <item x="69"/>
        <item x="70"/>
        <item m="1" x="425"/>
        <item x="71"/>
        <item x="72"/>
        <item x="73"/>
        <item x="74"/>
        <item x="75"/>
        <item m="1" x="324"/>
        <item x="76"/>
        <item x="77"/>
        <item x="78"/>
        <item x="79"/>
        <item x="80"/>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9"/>
        <item x="124"/>
        <item x="125"/>
        <item x="126"/>
        <item x="127"/>
        <item x="128"/>
        <item x="130"/>
        <item x="131"/>
        <item x="132"/>
        <item x="133"/>
        <item x="134"/>
        <item x="135"/>
        <item x="136"/>
        <item x="137"/>
        <item x="138"/>
        <item x="139"/>
        <item x="153"/>
        <item x="140"/>
        <item x="141"/>
        <item x="142"/>
        <item x="143"/>
        <item x="144"/>
        <item x="145"/>
        <item x="146"/>
        <item x="147"/>
        <item x="148"/>
        <item x="149"/>
        <item x="151"/>
        <item x="152"/>
        <item x="150"/>
        <item x="154"/>
        <item x="155"/>
        <item x="156"/>
        <item x="157"/>
        <item x="177"/>
        <item x="158"/>
        <item x="159"/>
        <item x="160"/>
        <item x="161"/>
        <item x="162"/>
        <item x="163"/>
        <item x="164"/>
        <item x="165"/>
        <item x="166"/>
        <item x="167"/>
        <item x="168"/>
        <item x="169"/>
        <item x="170"/>
        <item x="171"/>
        <item x="172"/>
        <item x="173"/>
        <item x="174"/>
        <item x="175"/>
        <item x="176"/>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m="1" x="502"/>
        <item m="1" x="380"/>
        <item x="214"/>
        <item x="215"/>
        <item x="216"/>
        <item x="217"/>
        <item x="218"/>
        <item m="1" x="388"/>
        <item m="1" x="270"/>
        <item x="219"/>
        <item x="220"/>
        <item x="221"/>
        <item x="241"/>
        <item x="222"/>
        <item x="223"/>
        <item x="224"/>
        <item x="225"/>
        <item x="226"/>
        <item x="227"/>
        <item x="228"/>
        <item x="229"/>
        <item x="230"/>
        <item x="231"/>
        <item x="232"/>
        <item x="233"/>
        <item x="234"/>
        <item x="235"/>
        <item x="236"/>
        <item x="237"/>
        <item x="238"/>
        <item x="239"/>
        <item x="240"/>
        <item x="242"/>
        <item x="243"/>
        <item x="244"/>
        <item x="245"/>
        <item x="246"/>
        <item x="247"/>
        <item x="262"/>
        <item x="263"/>
        <item x="248"/>
        <item x="249"/>
        <item x="250"/>
        <item x="251"/>
        <item x="252"/>
        <item x="253"/>
        <item x="254"/>
        <item x="255"/>
        <item x="256"/>
        <item x="257"/>
        <item x="258"/>
        <item x="259"/>
        <item x="260"/>
        <item x="261"/>
        <item x="264"/>
      </items>
      <extLst>
        <ext xmlns:x14="http://schemas.microsoft.com/office/spreadsheetml/2009/9/main" uri="{2946ED86-A175-432a-8AC1-64E0C546D7DE}">
          <x14:pivotField fillDownLabels="1"/>
        </ext>
      </extLst>
    </pivotField>
    <pivotField compact="0" outline="0" showAll="0" defaultSubtotal="0">
      <items count="50">
        <item x="0"/>
        <item x="48"/>
        <item x="8"/>
        <item x="9"/>
        <item x="23"/>
        <item x="7"/>
        <item x="10"/>
        <item x="4"/>
        <item x="6"/>
        <item x="13"/>
        <item x="3"/>
        <item x="5"/>
        <item x="2"/>
        <item x="1"/>
        <item x="19"/>
        <item x="12"/>
        <item x="21"/>
        <item x="20"/>
        <item x="15"/>
        <item x="14"/>
        <item x="11"/>
        <item x="17"/>
        <item x="16"/>
        <item x="18"/>
        <item x="24"/>
        <item x="25"/>
        <item x="26"/>
        <item x="27"/>
        <item x="28"/>
        <item x="29"/>
        <item x="22"/>
        <item x="30"/>
        <item x="31"/>
        <item x="32"/>
        <item x="33"/>
        <item x="34"/>
        <item x="35"/>
        <item x="36"/>
        <item x="37"/>
        <item x="38"/>
        <item x="39"/>
        <item x="40"/>
        <item x="41"/>
        <item x="42"/>
        <item x="43"/>
        <item x="44"/>
        <item x="45"/>
        <item x="46"/>
        <item x="47"/>
        <item m="1" x="49"/>
      </items>
      <extLst>
        <ext xmlns:x14="http://schemas.microsoft.com/office/spreadsheetml/2009/9/main" uri="{2946ED86-A175-432a-8AC1-64E0C546D7DE}">
          <x14:pivotField fillDownLabels="1"/>
        </ext>
      </extLst>
    </pivotField>
    <pivotField axis="axisRow" compact="0" outline="0" showAll="0" defaultSubtotal="0">
      <items count="1086">
        <item m="1" x="332"/>
        <item m="1" x="711"/>
        <item m="1" x="337"/>
        <item m="1" x="715"/>
        <item m="1" x="341"/>
        <item m="1" x="724"/>
        <item m="1" x="347"/>
        <item m="1" x="731"/>
        <item m="1" x="354"/>
        <item m="1" x="746"/>
        <item m="1" x="370"/>
        <item m="1" x="756"/>
        <item m="1" x="379"/>
        <item m="1" x="763"/>
        <item m="1" x="396"/>
        <item m="1" x="785"/>
        <item m="1" x="409"/>
        <item m="1" x="799"/>
        <item m="1" x="422"/>
        <item m="1" x="827"/>
        <item m="1" x="450"/>
        <item m="1" x="844"/>
        <item m="1" x="466"/>
        <item m="1" x="862"/>
        <item m="1" x="717"/>
        <item m="1" x="734"/>
        <item m="1" x="795"/>
        <item m="1" x="824"/>
        <item m="1" x="859"/>
        <item m="1" x="893"/>
        <item m="1" x="924"/>
        <item m="1" x="349"/>
        <item m="1" x="355"/>
        <item m="1" x="372"/>
        <item m="1" x="758"/>
        <item m="1" x="380"/>
        <item m="1" x="764"/>
        <item m="1" x="386"/>
        <item m="1" x="787"/>
        <item m="1" x="411"/>
        <item m="1" x="800"/>
        <item m="1" x="424"/>
        <item m="1" x="813"/>
        <item m="1" x="452"/>
        <item m="1" x="846"/>
        <item m="1" x="467"/>
        <item m="1" x="863"/>
        <item m="1" x="482"/>
        <item m="1" x="732"/>
        <item m="1" x="740"/>
        <item m="1" x="363"/>
        <item m="1" x="773"/>
        <item m="1" x="435"/>
        <item m="1" x="879"/>
        <item m="1" x="447"/>
        <item m="1" x="543"/>
        <item m="1" x="607"/>
        <item m="1" x="357"/>
        <item m="1" x="742"/>
        <item m="1" x="366"/>
        <item m="1" x="750"/>
        <item m="1" x="375"/>
        <item m="1" x="767"/>
        <item m="1" x="388"/>
        <item m="1" x="776"/>
        <item m="1" x="400"/>
        <item m="1" x="790"/>
        <item m="1" x="815"/>
        <item m="1" x="438"/>
        <item m="1" x="831"/>
        <item m="1" x="455"/>
        <item m="1" x="848"/>
        <item m="1" x="483"/>
        <item m="1" x="880"/>
        <item m="1" x="498"/>
        <item m="1" x="897"/>
        <item m="1" x="528"/>
        <item m="1" x="927"/>
        <item m="1" x="865"/>
        <item m="1" x="414"/>
        <item m="1" x="500"/>
        <item m="1" x="929"/>
        <item m="1" x="545"/>
        <item m="1" x="753"/>
        <item m="1" x="377"/>
        <item m="1" x="761"/>
        <item m="1" x="391"/>
        <item m="1" x="779"/>
        <item m="1" x="403"/>
        <item m="1" x="818"/>
        <item m="1" x="441"/>
        <item m="1" x="834"/>
        <item m="1" x="457"/>
        <item m="1" x="850"/>
        <item m="1" x="486"/>
        <item m="1" x="882"/>
        <item m="1" x="898"/>
        <item m="1" x="516"/>
        <item m="1" x="945"/>
        <item m="1" x="561"/>
        <item m="1" x="459"/>
        <item m="1" x="852"/>
        <item m="1" x="471"/>
        <item m="1" x="869"/>
        <item m="1" x="947"/>
        <item m="1" x="563"/>
        <item m="1" x="965"/>
        <item m="1" x="578"/>
        <item m="1" x="981"/>
        <item m="1" x="405"/>
        <item m="1" x="793"/>
        <item m="1" x="416"/>
        <item m="1" x="806"/>
        <item m="1" x="430"/>
        <item m="1" x="836"/>
        <item m="1" x="502"/>
        <item m="1" x="900"/>
        <item m="1" x="518"/>
        <item m="1" x="913"/>
        <item m="1" x="532"/>
        <item m="1" x="418"/>
        <item m="1" x="809"/>
        <item m="1" x="432"/>
        <item m="1" x="822"/>
        <item m="1" x="461"/>
        <item m="1" x="854"/>
        <item m="1" x="474"/>
        <item m="1" x="871"/>
        <item m="1" x="490"/>
        <item m="1" x="902"/>
        <item m="1" x="520"/>
        <item m="1" x="916"/>
        <item m="1" x="534"/>
        <item m="1" x="933"/>
        <item m="1" x="565"/>
        <item m="1" x="967"/>
        <item m="1" x="580"/>
        <item m="1" x="983"/>
        <item m="1" x="594"/>
        <item m="1" x="1015"/>
        <item m="1" x="622"/>
        <item m="1" x="842"/>
        <item m="1" x="476"/>
        <item m="1" x="873"/>
        <item m="1" x="492"/>
        <item m="1" x="888"/>
        <item m="1" x="508"/>
        <item m="1" x="918"/>
        <item m="1" x="536"/>
        <item m="1" x="935"/>
        <item m="1" x="550"/>
        <item m="1" x="952"/>
        <item m="1" x="582"/>
        <item m="1" x="985"/>
        <item m="1" x="596"/>
        <item m="1" x="1000"/>
        <item m="1" x="610"/>
        <item m="1" x="1028"/>
        <item m="1" x="636"/>
        <item m="1" x="1041"/>
        <item m="1" x="650"/>
        <item m="1" x="1054"/>
        <item m="1" x="875"/>
        <item m="1" x="494"/>
        <item m="1" x="891"/>
        <item m="1" x="510"/>
        <item m="1" x="906"/>
        <item m="1" x="538"/>
        <item m="1" x="937"/>
        <item m="1" x="553"/>
        <item m="1" x="954"/>
        <item m="1" x="569"/>
        <item m="1" x="987"/>
        <item m="1" x="598"/>
        <item m="1" x="1003"/>
        <item m="1" x="612"/>
        <item m="1" x="1018"/>
        <item m="1" x="638"/>
        <item m="1" x="1043"/>
        <item m="1" x="652"/>
        <item m="1" x="1055"/>
        <item m="1" x="663"/>
        <item m="1" x="1076"/>
        <item m="1" x="512"/>
        <item m="1" x="909"/>
        <item m="1" x="526"/>
        <item m="1" x="940"/>
        <item m="1" x="555"/>
        <item m="1" x="956"/>
        <item m="1" x="571"/>
        <item m="1" x="973"/>
        <item m="1" x="601"/>
        <item m="1" x="1005"/>
        <item m="1" x="1020"/>
        <item m="1" x="627"/>
        <item m="1" x="1046"/>
        <item m="1" x="654"/>
        <item m="1" x="1058"/>
        <item m="1" x="664"/>
        <item m="1" x="1066"/>
        <item m="1" x="682"/>
        <item m="1" x="310"/>
        <item m="1" x="689"/>
        <item m="1" x="958"/>
        <item m="1" x="573"/>
        <item m="1" x="975"/>
        <item m="1" x="588"/>
        <item m="1" x="992"/>
        <item m="1" x="616"/>
        <item m="1" x="1022"/>
        <item m="1" x="629"/>
        <item m="1" x="1033"/>
        <item m="1" x="643"/>
        <item m="1" x="1060"/>
        <item m="1" x="666"/>
        <item m="1" x="1068"/>
        <item m="1" x="674"/>
        <item m="1" x="1080"/>
        <item m="1" x="691"/>
        <item m="1" x="318"/>
        <item m="1" x="698"/>
        <item m="1" x="324"/>
        <item m="1" x="706"/>
        <item m="1" x="977"/>
        <item m="1" x="591"/>
        <item m="1" x="994"/>
        <item m="1" x="605"/>
        <item m="1" x="1024"/>
        <item m="1" x="631"/>
        <item m="1" x="1036"/>
        <item m="1" x="645"/>
        <item m="1" x="1050"/>
        <item m="1" x="1071"/>
        <item m="1" x="677"/>
        <item m="1" x="1082"/>
        <item m="1" x="685"/>
        <item m="1" x="320"/>
        <item m="1" x="700"/>
        <item m="1" x="326"/>
        <item m="1" x="707"/>
        <item m="1" x="333"/>
        <item m="1" x="720"/>
        <item m="1" x="961"/>
        <item m="1" x="575"/>
        <item m="1" x="996"/>
        <item m="1" x="1012"/>
        <item m="1" x="620"/>
        <item m="1" x="1038"/>
        <item m="1" x="647"/>
        <item m="1" x="1052"/>
        <item m="1" x="660"/>
        <item m="1" x="1064"/>
        <item m="1" x="679"/>
        <item m="1" x="1084"/>
        <item m="1" x="687"/>
        <item m="1" x="315"/>
        <item m="1" x="696"/>
        <item m="1" x="329"/>
        <item m="1" x="709"/>
        <item m="1" x="335"/>
        <item m="1" x="712"/>
        <item m="1" x="729"/>
        <item m="1" x="352"/>
        <item m="1" x="737"/>
        <item m="1" x="360"/>
        <item m="1" x="722"/>
        <item m="1" x="345"/>
        <item m="1" x="348"/>
        <item m="1" x="739"/>
        <item m="1" x="362"/>
        <item m="1" x="747"/>
        <item m="1" x="371"/>
        <item m="1" x="757"/>
        <item m="1" x="385"/>
        <item m="1" x="772"/>
        <item m="1" x="397"/>
        <item m="1" x="786"/>
        <item m="1" x="410"/>
        <item m="1" x="812"/>
        <item m="1" x="434"/>
        <item m="1" x="828"/>
        <item m="1" x="451"/>
        <item m="1" x="845"/>
        <item m="1" x="338"/>
        <item m="1" x="716"/>
        <item m="1" x="342"/>
        <item m="1" x="725"/>
        <item m="1" x="423"/>
        <item m="1" x="718"/>
        <item m="1" x="350"/>
        <item m="1" x="365"/>
        <item m="1" x="766"/>
        <item m="1" x="830"/>
        <item m="1" x="468"/>
        <item m="1" x="343"/>
        <item m="1" x="727"/>
        <item m="1" x="733"/>
        <item m="1" x="749"/>
        <item m="1" x="374"/>
        <item m="1" x="759"/>
        <item m="1" x="381"/>
        <item m="1" x="775"/>
        <item m="1" x="399"/>
        <item m="1" x="789"/>
        <item m="1" x="412"/>
        <item m="1" x="802"/>
        <item m="1" x="437"/>
        <item m="1" x="454"/>
        <item m="1" x="847"/>
        <item m="1" x="735"/>
        <item m="1" x="358"/>
        <item m="1" x="744"/>
        <item m="1" x="368"/>
        <item m="1" x="752"/>
        <item m="1" x="382"/>
        <item m="1" x="768"/>
        <item m="1" x="390"/>
        <item m="1" x="778"/>
        <item m="1" x="402"/>
        <item m="1" x="427"/>
        <item m="1" x="817"/>
        <item m="1" x="440"/>
        <item m="1" x="833"/>
        <item m="1" x="469"/>
        <item m="1" x="866"/>
        <item m="1" x="485"/>
        <item m="1" x="881"/>
        <item m="1" x="499"/>
        <item m="1" x="911"/>
        <item m="1" x="529"/>
        <item m="1" x="928"/>
        <item m="1" x="804"/>
        <item m="1" x="770"/>
        <item m="1" x="393"/>
        <item m="1" x="781"/>
        <item m="1" x="404"/>
        <item m="1" x="792"/>
        <item m="1" x="429"/>
        <item m="1" x="820"/>
        <item m="1" x="443"/>
        <item m="1" x="835"/>
        <item m="1" x="458"/>
        <item m="1" x="868"/>
        <item m="1" x="488"/>
        <item m="1" x="884"/>
        <item m="1" x="501"/>
        <item m="1" x="899"/>
        <item m="1" x="531"/>
        <item m="1" x="931"/>
        <item m="1" x="546"/>
        <item m="1" x="946"/>
        <item m="1" x="562"/>
        <item m="1" x="515"/>
        <item m="1" x="754"/>
        <item m="1" x="378"/>
        <item m="1" x="783"/>
        <item m="1" x="407"/>
        <item m="1" x="794"/>
        <item m="1" x="417"/>
        <item m="1" x="808"/>
        <item m="1" x="444"/>
        <item m="1" x="838"/>
        <item m="1" x="460"/>
        <item m="1" x="853"/>
        <item m="1" x="473"/>
        <item m="1" x="886"/>
        <item m="1" x="504"/>
        <item m="1" x="901"/>
        <item m="1" x="519"/>
        <item m="1" x="915"/>
        <item m="1" x="548"/>
        <item m="1" x="949"/>
        <item m="1" x="564"/>
        <item m="1" x="966"/>
        <item m="1" x="579"/>
        <item m="1" x="998"/>
        <item m="1" x="982"/>
        <item m="1" x="797"/>
        <item m="1" x="420"/>
        <item m="1" x="810"/>
        <item m="1" x="433"/>
        <item m="1" x="841"/>
        <item m="1" x="463"/>
        <item m="1" x="856"/>
        <item m="1" x="475"/>
        <item m="1" x="872"/>
        <item m="1" x="507"/>
        <item m="1" x="904"/>
        <item m="1" x="522"/>
        <item m="1" x="917"/>
        <item m="1" x="535"/>
        <item m="1" x="951"/>
        <item m="1" x="567"/>
        <item m="1" x="969"/>
        <item m="1" x="581"/>
        <item m="1" x="984"/>
        <item m="1" x="609"/>
        <item m="1" x="1016"/>
        <item m="1" x="623"/>
        <item m="1" x="446"/>
        <item m="1" x="825"/>
        <item m="1" x="449"/>
        <item m="1" x="858"/>
        <item m="1" x="478"/>
        <item m="1" x="874"/>
        <item m="1" x="493"/>
        <item m="1" x="890"/>
        <item m="1" x="524"/>
        <item m="1" x="920"/>
        <item m="1" x="537"/>
        <item m="1" x="936"/>
        <item m="1" x="552"/>
        <item m="1" x="971"/>
        <item m="1" x="584"/>
        <item m="1" x="986"/>
        <item m="1" x="597"/>
        <item m="1" x="1002"/>
        <item m="1" x="625"/>
        <item m="1" x="1029"/>
        <item m="1" x="637"/>
        <item m="1" x="1042"/>
        <item m="1" x="651"/>
        <item m="1" x="480"/>
        <item m="1" x="877"/>
        <item m="1" x="496"/>
        <item m="1" x="892"/>
        <item m="1" x="511"/>
        <item m="1" x="922"/>
        <item m="1" x="540"/>
        <item m="1" x="939"/>
        <item m="1" x="554"/>
        <item m="1" x="955"/>
        <item m="1" x="586"/>
        <item m="1" x="989"/>
        <item m="1" x="600"/>
        <item m="1" x="1004"/>
        <item m="1" x="613"/>
        <item m="1" x="1031"/>
        <item m="1" x="640"/>
        <item m="1" x="1045"/>
        <item m="1" x="653"/>
        <item m="1" x="1057"/>
        <item m="1" x="672"/>
        <item m="1" x="1077"/>
        <item m="1" x="1021"/>
        <item m="1" x="895"/>
        <item m="1" x="513"/>
        <item m="1" x="910"/>
        <item m="1" x="542"/>
        <item m="1" x="942"/>
        <item m="1" x="557"/>
        <item m="1" x="957"/>
        <item m="1" x="572"/>
        <item m="1" x="991"/>
        <item m="1" x="603"/>
        <item m="1" x="1007"/>
        <item m="1" x="614"/>
        <item m="1" x="642"/>
        <item m="1" x="1048"/>
        <item m="1" x="656"/>
        <item m="1" x="1059"/>
        <item m="1" x="665"/>
        <item m="1" x="1079"/>
        <item m="1" x="683"/>
        <item m="1" x="311"/>
        <item m="1" x="690"/>
        <item m="1" x="908"/>
        <item x="309"/>
        <item m="1" x="926"/>
        <item m="1" x="559"/>
        <item m="1" x="960"/>
        <item m="1" x="574"/>
        <item m="1" x="976"/>
        <item m="1" x="590"/>
        <item m="1" x="1009"/>
        <item m="1" x="617"/>
        <item m="1" x="1023"/>
        <item m="1" x="630"/>
        <item m="1" x="1035"/>
        <item m="1" x="658"/>
        <item m="1" x="1062"/>
        <item m="1" x="668"/>
        <item m="1" x="1070"/>
        <item m="1" x="676"/>
        <item m="1" x="313"/>
        <item m="1" x="693"/>
        <item m="1" x="319"/>
        <item m="1" x="699"/>
        <item m="1" x="325"/>
        <item m="1" x="963"/>
        <item m="1" x="979"/>
        <item m="1" x="592"/>
        <item m="1" x="995"/>
        <item m="1" x="619"/>
        <item m="1" x="1026"/>
        <item m="1" x="633"/>
        <item m="1" x="1037"/>
        <item m="1" x="646"/>
        <item m="1" x="670"/>
        <item m="1" x="1073"/>
        <item m="1" x="678"/>
        <item m="1" x="1083"/>
        <item m="1" x="695"/>
        <item m="1" x="322"/>
        <item m="1" x="702"/>
        <item m="1" x="328"/>
        <item m="1" x="708"/>
        <item m="1" x="339"/>
        <item m="1" x="721"/>
        <item m="1" x="1011"/>
        <item m="1" x="1014"/>
        <item m="1" x="662"/>
        <item m="1" x="317"/>
        <item m="1" x="714"/>
        <item m="1" x="361"/>
        <item m="1" x="997"/>
        <item m="1" x="608"/>
        <item m="1" x="635"/>
        <item m="1" x="1040"/>
        <item m="1" x="649"/>
        <item m="1" x="1053"/>
        <item m="1" x="1075"/>
        <item m="1" x="681"/>
        <item m="1" x="1085"/>
        <item m="1" x="688"/>
        <item m="1" x="704"/>
        <item m="1" x="331"/>
        <item m="1" x="710"/>
        <item m="1" x="336"/>
        <item m="1" x="346"/>
        <item m="1" x="730"/>
        <item m="1" x="353"/>
        <item m="1" x="738"/>
        <item m="1" x="356"/>
        <item m="1" x="741"/>
        <item m="1" x="364"/>
        <item m="1" x="748"/>
        <item m="1" x="373"/>
        <item m="1" x="765"/>
        <item m="1" x="387"/>
        <item m="1" x="774"/>
        <item m="1" x="398"/>
        <item m="1" x="788"/>
        <item m="1" x="425"/>
        <item m="1" x="814"/>
        <item m="1" x="436"/>
        <item m="1" x="829"/>
        <item m="1" x="453"/>
        <item m="1" x="864"/>
        <item m="1" x="413"/>
        <item m="1" x="719"/>
        <item m="1" x="344"/>
        <item m="1" x="728"/>
        <item m="1" x="351"/>
        <item m="1" x="743"/>
        <item m="1" x="367"/>
        <item m="1" x="751"/>
        <item m="1" x="376"/>
        <item m="1" x="760"/>
        <item m="1" x="389"/>
        <item m="1" x="777"/>
        <item m="1" x="401"/>
        <item m="1" x="791"/>
        <item m="1" x="816"/>
        <item m="1" x="439"/>
        <item m="1" x="832"/>
        <item m="1" x="456"/>
        <item m="1" x="849"/>
        <item m="1" x="484"/>
        <item m="1" x="803"/>
        <item m="1" x="426"/>
        <item m="1" x="801"/>
        <item m="1" x="736"/>
        <item m="1" x="359"/>
        <item m="1" x="745"/>
        <item m="1" x="369"/>
        <item m="1" x="762"/>
        <item m="1" x="383"/>
        <item m="1" x="769"/>
        <item m="1" x="392"/>
        <item m="1" x="780"/>
        <item m="1" x="415"/>
        <item m="1" x="805"/>
        <item m="1" x="428"/>
        <item m="1" x="819"/>
        <item m="1" x="442"/>
        <item m="1" x="470"/>
        <item m="1" x="867"/>
        <item m="1" x="487"/>
        <item m="1" x="883"/>
        <item m="1" x="517"/>
        <item m="1" x="912"/>
        <item m="1" x="530"/>
        <item m="1" x="930"/>
        <item m="1" x="851"/>
        <item m="1" x="726"/>
        <item m="1" x="755"/>
        <item m="1" x="384"/>
        <item m="1" x="771"/>
        <item m="1" x="394"/>
        <item m="1" x="782"/>
        <item m="1" x="406"/>
        <item m="1" x="807"/>
        <item m="1" x="431"/>
        <item m="1" x="821"/>
        <item m="1" x="472"/>
        <item m="1" x="870"/>
        <item m="1" x="489"/>
        <item m="1" x="885"/>
        <item m="1" x="503"/>
        <item m="1" x="914"/>
        <item m="1" x="533"/>
        <item m="1" x="932"/>
        <item m="1" x="547"/>
        <item m="1" x="948"/>
        <item m="1" x="395"/>
        <item m="1" x="784"/>
        <item m="1" x="408"/>
        <item m="1" x="796"/>
        <item m="1" x="419"/>
        <item m="1" x="823"/>
        <item m="1" x="445"/>
        <item m="1" x="840"/>
        <item m="1" x="462"/>
        <item m="1" x="855"/>
        <item m="1" x="491"/>
        <item m="1" x="887"/>
        <item m="1" x="506"/>
        <item m="1" x="903"/>
        <item m="1" x="521"/>
        <item m="1" x="934"/>
        <item m="1" x="549"/>
        <item m="1" x="950"/>
        <item m="1" x="566"/>
        <item m="1" x="968"/>
        <item m="1" x="595"/>
        <item m="1" x="999"/>
        <item m="1" x="798"/>
        <item m="1" x="421"/>
        <item m="1" x="811"/>
        <item m="1" x="448"/>
        <item m="1" x="843"/>
        <item m="1" x="464"/>
        <item m="1" x="857"/>
        <item m="1" x="477"/>
        <item m="1" x="889"/>
        <item m="1" x="509"/>
        <item m="1" x="905"/>
        <item m="1" x="523"/>
        <item m="1" x="919"/>
        <item m="1" x="551"/>
        <item m="1" x="953"/>
        <item m="1" x="568"/>
        <item m="1" x="970"/>
        <item m="1" x="583"/>
        <item m="1" x="1001"/>
        <item m="1" x="611"/>
        <item m="1" x="1017"/>
        <item m="1" x="624"/>
        <item m="1" x="837"/>
        <item m="1" x="826"/>
        <item m="1" x="465"/>
        <item m="1" x="860"/>
        <item m="1" x="479"/>
        <item m="1" x="876"/>
        <item m="1" x="495"/>
        <item m="1" x="907"/>
        <item m="1" x="525"/>
        <item m="1" x="921"/>
        <item m="1" x="539"/>
        <item m="1" x="938"/>
        <item m="1" x="570"/>
        <item m="1" x="972"/>
        <item m="1" x="585"/>
        <item m="1" x="988"/>
        <item m="1" x="599"/>
        <item m="1" x="1019"/>
        <item m="1" x="626"/>
        <item m="1" x="1030"/>
        <item m="1" x="639"/>
        <item m="1" x="1044"/>
        <item m="1" x="861"/>
        <item m="1" x="481"/>
        <item m="1" x="878"/>
        <item m="1" x="497"/>
        <item m="1" x="894"/>
        <item m="1" x="527"/>
        <item m="1" x="923"/>
        <item m="1" x="541"/>
        <item m="1" x="941"/>
        <item m="1" x="556"/>
        <item m="1" x="974"/>
        <item m="1" x="587"/>
        <item m="1" x="990"/>
        <item m="1" x="602"/>
        <item m="1" x="1006"/>
        <item m="1" x="628"/>
        <item m="1" x="1032"/>
        <item m="1" x="641"/>
        <item m="1" x="1047"/>
        <item m="1" x="655"/>
        <item m="1" x="1067"/>
        <item m="1" x="673"/>
        <item m="1" x="1078"/>
        <item m="1" x="896"/>
        <item m="1" x="514"/>
        <item m="1" x="925"/>
        <item m="1" x="544"/>
        <item m="1" x="943"/>
        <item m="1" x="558"/>
        <item m="1" x="959"/>
        <item m="1" x="589"/>
        <item m="1" x="993"/>
        <item m="1" x="604"/>
        <item m="1" x="1008"/>
        <item m="1" x="1034"/>
        <item m="1" x="644"/>
        <item m="1" x="1049"/>
        <item m="1" x="657"/>
        <item m="1" x="1061"/>
        <item m="1" x="675"/>
        <item m="1" x="1081"/>
        <item m="1" x="684"/>
        <item m="1" x="312"/>
        <item m="1" x="692"/>
        <item m="1" x="667"/>
        <item m="1" x="1069"/>
        <item m="1" x="944"/>
        <item m="1" x="560"/>
        <item m="1" x="962"/>
        <item m="1" x="576"/>
        <item m="1" x="978"/>
        <item m="1" x="606"/>
        <item m="1" x="1010"/>
        <item m="1" x="618"/>
        <item m="1" x="1025"/>
        <item m="1" x="632"/>
        <item m="1" x="1051"/>
        <item m="1" x="659"/>
        <item m="1" x="1063"/>
        <item m="1" x="669"/>
        <item m="1" x="1072"/>
        <item m="1" x="686"/>
        <item m="1" x="314"/>
        <item m="1" x="694"/>
        <item m="1" x="321"/>
        <item m="1" x="701"/>
        <item m="1" x="334"/>
        <item m="1" x="327"/>
        <item m="1" x="980"/>
        <item m="1" x="1013"/>
        <item m="1" x="1027"/>
        <item m="1" x="671"/>
        <item m="1" x="703"/>
        <item m="1" x="713"/>
        <item m="1" x="723"/>
        <item m="1" x="964"/>
        <item m="1" x="593"/>
        <item m="1" x="621"/>
        <item m="1" x="634"/>
        <item m="1" x="1039"/>
        <item m="1" x="648"/>
        <item m="1" x="661"/>
        <item m="1" x="1065"/>
        <item m="1" x="1074"/>
        <item m="1" x="680"/>
        <item m="1" x="697"/>
        <item m="1" x="323"/>
        <item m="1" x="330"/>
        <item m="1" x="340"/>
        <item m="1" x="1056"/>
        <item m="1" x="316"/>
        <item m="1" x="577"/>
        <item x="0"/>
        <item x="1"/>
        <item x="2"/>
        <item x="3"/>
        <item x="4"/>
        <item x="5"/>
        <item x="6"/>
        <item x="7"/>
        <item x="8"/>
        <item m="1" x="705"/>
        <item x="10"/>
        <item x="11"/>
        <item x="12"/>
        <item x="13"/>
        <item x="14"/>
        <item x="15"/>
        <item x="16"/>
        <item x="17"/>
        <item x="18"/>
        <item x="19"/>
        <item x="20"/>
        <item x="21"/>
        <item x="9"/>
        <item x="22"/>
        <item x="23"/>
        <item x="24"/>
        <item x="25"/>
        <item x="26"/>
        <item x="27"/>
        <item x="28"/>
        <item x="29"/>
        <item x="30"/>
        <item x="31"/>
        <item x="32"/>
        <item x="33"/>
        <item x="37"/>
        <item x="39"/>
        <item x="34"/>
        <item x="35"/>
        <item x="36"/>
        <item x="38"/>
        <item x="40"/>
        <item x="43"/>
        <item x="44"/>
        <item x="45"/>
        <item x="46"/>
        <item x="47"/>
        <item x="48"/>
        <item x="49"/>
        <item x="50"/>
        <item x="51"/>
        <item x="52"/>
        <item x="53"/>
        <item x="54"/>
        <item x="55"/>
        <item x="56"/>
        <item x="57"/>
        <item x="58"/>
        <item x="59"/>
        <item x="60"/>
        <item x="61"/>
        <item x="62"/>
        <item x="63"/>
        <item x="64"/>
        <item x="65"/>
        <item x="68"/>
        <item x="69"/>
        <item m="1" x="839"/>
        <item x="73"/>
        <item x="75"/>
        <item x="77"/>
        <item x="80"/>
        <item x="67"/>
        <item x="70"/>
        <item x="72"/>
        <item x="74"/>
        <item m="1" x="505"/>
        <item x="78"/>
        <item x="76"/>
        <item x="81"/>
        <item x="82"/>
        <item x="83"/>
        <item x="66"/>
        <item x="71"/>
        <item x="84"/>
        <item x="85"/>
        <item x="79"/>
        <item x="86"/>
        <item x="87"/>
        <item x="89"/>
        <item x="91"/>
        <item x="93"/>
        <item x="94"/>
        <item x="96"/>
        <item x="98"/>
        <item x="100"/>
        <item x="101"/>
        <item x="102"/>
        <item x="103"/>
        <item x="104"/>
        <item x="105"/>
        <item x="106"/>
        <item x="88"/>
        <item x="90"/>
        <item x="92"/>
        <item x="95"/>
        <item x="97"/>
        <item x="99"/>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4"/>
        <item x="155"/>
        <item x="156"/>
        <item x="157"/>
        <item x="158"/>
        <item x="159"/>
        <item x="160"/>
        <item x="161"/>
        <item x="162"/>
        <item x="163"/>
        <item x="164"/>
        <item x="165"/>
        <item x="166"/>
        <item x="167"/>
        <item x="168"/>
        <item x="170"/>
        <item x="171"/>
        <item x="172"/>
        <item x="173"/>
        <item x="174"/>
        <item x="175"/>
        <item x="176"/>
        <item m="1" x="615"/>
        <item x="169"/>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41"/>
        <item x="42"/>
        <item x="151"/>
        <item x="152"/>
        <item x="153"/>
        <item x="177"/>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7">
        <item x="1"/>
        <item x="0"/>
        <item m="1" x="5"/>
        <item m="1" x="4"/>
        <item m="1" x="6"/>
        <item m="1" x="3"/>
        <item x="2"/>
      </items>
      <extLst>
        <ext xmlns:x14="http://schemas.microsoft.com/office/spreadsheetml/2009/9/main" uri="{2946ED86-A175-432a-8AC1-64E0C546D7DE}">
          <x14:pivotField fillDownLabels="1"/>
        </ext>
      </extLst>
    </pivotField>
    <pivotField axis="axisRow" compact="0" outline="0" showAll="0" defaultSubtotal="0">
      <items count="312">
        <item x="37"/>
        <item m="1" x="311"/>
        <item x="0"/>
        <item x="1"/>
        <item x="2"/>
        <item x="3"/>
        <item x="4"/>
        <item x="5"/>
        <item x="6"/>
        <item x="7"/>
        <item x="8"/>
        <item x="9"/>
        <item x="10"/>
        <item x="11"/>
        <item x="12"/>
        <item x="13"/>
        <item x="14"/>
        <item x="15"/>
        <item x="16"/>
        <item x="17"/>
        <item x="18"/>
        <item x="19"/>
        <item x="20"/>
        <item x="21"/>
        <item x="22"/>
        <item x="23"/>
        <item x="24"/>
        <item x="25"/>
        <item x="26"/>
        <item x="28"/>
        <item x="29"/>
        <item x="30"/>
        <item x="31"/>
        <item x="32"/>
        <item x="33"/>
        <item x="34"/>
        <item x="35"/>
        <item x="36"/>
        <item x="38"/>
        <item x="39"/>
        <item x="40"/>
        <item x="41"/>
        <item x="42"/>
        <item x="43"/>
        <item x="44"/>
        <item x="45"/>
        <item x="46"/>
        <item x="47"/>
        <item x="48"/>
        <item x="49"/>
        <item x="50"/>
        <item x="51"/>
        <item x="52"/>
        <item x="53"/>
        <item x="54"/>
        <item x="55"/>
        <item x="56"/>
        <item x="57"/>
        <item x="58"/>
        <item x="59"/>
        <item x="60"/>
        <item x="61"/>
        <item x="62"/>
        <item x="64"/>
        <item x="66"/>
        <item x="67"/>
        <item x="65"/>
        <item x="63"/>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1"/>
        <item x="112"/>
        <item x="113"/>
        <item x="114"/>
        <item x="115"/>
        <item x="116"/>
        <item x="117"/>
        <item x="118"/>
        <item x="119"/>
        <item x="120"/>
        <item x="121"/>
        <item x="122"/>
        <item x="110"/>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2"/>
        <item x="213"/>
        <item x="214"/>
        <item x="215"/>
        <item x="209"/>
        <item x="210"/>
        <item x="211"/>
        <item x="216"/>
        <item x="217"/>
        <item x="245"/>
        <item x="246"/>
        <item x="247"/>
        <item x="248"/>
        <item x="249"/>
        <item x="250"/>
        <item x="251"/>
        <item x="252"/>
        <item x="253"/>
        <item x="254"/>
        <item x="255"/>
        <item x="218"/>
        <item x="219"/>
        <item x="220"/>
        <item x="221"/>
        <item x="222"/>
        <item x="223"/>
        <item x="224"/>
        <item x="225"/>
        <item x="226"/>
        <item x="227"/>
        <item x="228"/>
        <item x="229"/>
        <item x="230"/>
        <item x="231"/>
        <item x="232"/>
        <item x="233"/>
        <item x="234"/>
        <item x="235"/>
        <item x="236"/>
        <item x="237"/>
        <item x="238"/>
        <item x="239"/>
        <item x="240"/>
        <item x="241"/>
        <item x="242"/>
        <item x="243"/>
        <item x="244"/>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7"/>
        <item x="292"/>
        <item x="293"/>
        <item x="294"/>
        <item x="295"/>
        <item x="296"/>
        <item x="297"/>
        <item x="298"/>
        <item x="299"/>
        <item x="300"/>
        <item x="301"/>
        <item x="302"/>
        <item x="303"/>
        <item x="304"/>
        <item x="305"/>
        <item x="306"/>
        <item x="307"/>
        <item x="308"/>
        <item x="309"/>
        <item x="310"/>
      </items>
      <extLst>
        <ext xmlns:x14="http://schemas.microsoft.com/office/spreadsheetml/2009/9/main" uri="{2946ED86-A175-432a-8AC1-64E0C546D7DE}">
          <x14:pivotField fillDownLabels="1"/>
        </ext>
      </extLst>
    </pivotField>
    <pivotField axis="axisRow" compact="0" outline="0" showAll="0" defaultSubtotal="0">
      <items count="76">
        <item m="1" x="67"/>
        <item m="1" x="63"/>
        <item m="1" x="60"/>
        <item x="20"/>
        <item m="1" x="73"/>
        <item m="1" x="47"/>
        <item m="1" x="74"/>
        <item m="1" x="30"/>
        <item m="1" x="42"/>
        <item x="6"/>
        <item m="1" x="28"/>
        <item m="1" x="39"/>
        <item x="25"/>
        <item m="1" x="41"/>
        <item m="1" x="72"/>
        <item m="1" x="26"/>
        <item m="1" x="69"/>
        <item x="3"/>
        <item x="5"/>
        <item x="9"/>
        <item m="1" x="61"/>
        <item x="4"/>
        <item m="1" x="49"/>
        <item m="1" x="75"/>
        <item m="1" x="62"/>
        <item m="1" x="29"/>
        <item m="1" x="50"/>
        <item m="1" x="33"/>
        <item m="1" x="59"/>
        <item m="1" x="65"/>
        <item m="1" x="53"/>
        <item m="1" x="56"/>
        <item x="2"/>
        <item x="1"/>
        <item m="1" x="54"/>
        <item m="1" x="44"/>
        <item m="1" x="34"/>
        <item m="1" x="64"/>
        <item m="1" x="46"/>
        <item m="1" x="37"/>
        <item m="1" x="45"/>
        <item m="1" x="27"/>
        <item m="1" x="55"/>
        <item m="1" x="36"/>
        <item m="1" x="52"/>
        <item m="1" x="43"/>
        <item m="1" x="31"/>
        <item m="1" x="38"/>
        <item m="1" x="66"/>
        <item x="0"/>
        <item m="1" x="48"/>
        <item x="7"/>
        <item x="8"/>
        <item m="1" x="70"/>
        <item x="10"/>
        <item x="11"/>
        <item m="1" x="57"/>
        <item m="1" x="35"/>
        <item x="12"/>
        <item x="13"/>
        <item m="1" x="58"/>
        <item m="1" x="71"/>
        <item x="14"/>
        <item x="15"/>
        <item x="16"/>
        <item m="1" x="32"/>
        <item m="1" x="68"/>
        <item x="18"/>
        <item x="19"/>
        <item x="21"/>
        <item x="22"/>
        <item m="1" x="51"/>
        <item m="1" x="40"/>
        <item x="17"/>
        <item x="23"/>
        <item x="24"/>
      </items>
      <extLst>
        <ext xmlns:x14="http://schemas.microsoft.com/office/spreadsheetml/2009/9/main" uri="{2946ED86-A175-432a-8AC1-64E0C546D7DE}">
          <x14:pivotField fillDownLabels="1"/>
        </ext>
      </extLst>
    </pivotField>
    <pivotField axis="axisRow" compact="0" outline="0" showAll="0" defaultSubtotal="0">
      <items count="22">
        <item m="1" x="17"/>
        <item x="0"/>
        <item m="1" x="15"/>
        <item m="1" x="14"/>
        <item m="1" x="18"/>
        <item m="1" x="20"/>
        <item x="8"/>
        <item x="2"/>
        <item x="11"/>
        <item m="1" x="21"/>
        <item x="1"/>
        <item m="1" x="19"/>
        <item x="4"/>
        <item x="10"/>
        <item m="1" x="13"/>
        <item m="1" x="12"/>
        <item x="9"/>
        <item x="3"/>
        <item x="5"/>
        <item m="1" x="16"/>
        <item x="6"/>
        <item x="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14">
        <item x="0"/>
        <item x="12"/>
        <item x="1"/>
        <item x="2"/>
        <item x="3"/>
        <item x="4"/>
        <item x="5"/>
        <item x="6"/>
        <item x="7"/>
        <item x="8"/>
        <item x="9"/>
        <item x="10"/>
        <item x="11"/>
        <item m="1" x="13"/>
      </items>
      <extLst>
        <ext xmlns:x14="http://schemas.microsoft.com/office/spreadsheetml/2009/9/main" uri="{2946ED86-A175-432a-8AC1-64E0C546D7DE}">
          <x14:pivotField fillDownLabels="1"/>
        </ext>
      </extLst>
    </pivotField>
    <pivotField axis="axisPage" compact="0" outline="0" showAll="0" defaultSubtotal="0">
      <items count="7">
        <item x="6"/>
        <item x="0"/>
        <item x="1"/>
        <item x="2"/>
        <item x="3"/>
        <item x="4"/>
        <item x="5"/>
      </items>
      <extLst>
        <ext xmlns:x14="http://schemas.microsoft.com/office/spreadsheetml/2009/9/main" uri="{2946ED86-A175-432a-8AC1-64E0C546D7DE}">
          <x14:pivotField fillDownLabels="1"/>
        </ext>
      </extLst>
    </pivotField>
    <pivotField axis="axisRow" compact="0" outline="0" showAll="0" defaultSubtotal="0">
      <items count="8000">
        <item m="1" x="3866"/>
        <item m="1" x="4689"/>
        <item m="1" x="5251"/>
        <item m="1" x="3133"/>
        <item m="1" x="3198"/>
        <item m="1" x="6168"/>
        <item m="1" x="6137"/>
        <item m="1" x="6441"/>
        <item m="1" x="5895"/>
        <item m="1" x="7264"/>
        <item m="1" x="5975"/>
        <item m="1" x="2963"/>
        <item m="1" x="6488"/>
        <item m="1" x="5559"/>
        <item m="1" x="3667"/>
        <item m="1" x="4324"/>
        <item m="1" x="4325"/>
        <item m="1" x="4326"/>
        <item m="1" x="6648"/>
        <item m="1" x="5566"/>
        <item m="1" x="6849"/>
        <item m="1" x="5942"/>
        <item m="1" x="3607"/>
        <item m="1" x="5547"/>
        <item m="1" x="5937"/>
        <item m="1" x="5295"/>
        <item m="1" x="6015"/>
        <item m="1" x="2692"/>
        <item m="1" x="6703"/>
        <item m="1" x="7559"/>
        <item m="1" x="4910"/>
        <item m="1" x="5040"/>
        <item m="1" x="3358"/>
        <item m="1" x="5499"/>
        <item m="1" x="7170"/>
        <item m="1" x="2747"/>
        <item m="1" x="2778"/>
        <item m="1" x="7416"/>
        <item m="1" x="3533"/>
        <item m="1" x="6133"/>
        <item m="1" x="5523"/>
        <item m="1" x="4478"/>
        <item m="1" x="7290"/>
        <item m="1" x="6075"/>
        <item m="1" x="5147"/>
        <item m="1" x="4253"/>
        <item m="1" x="3874"/>
        <item m="1" x="4158"/>
        <item m="1" x="6132"/>
        <item m="1" x="5149"/>
        <item m="1" x="5797"/>
        <item m="1" x="6742"/>
        <item m="1" x="5489"/>
        <item m="1" x="7386"/>
        <item m="1" x="4341"/>
        <item m="1" x="7043"/>
        <item m="1" x="7229"/>
        <item m="1" x="3022"/>
        <item m="1" x="5681"/>
        <item m="1" x="6993"/>
        <item m="1" x="2880"/>
        <item m="1" x="2668"/>
        <item m="1" x="7097"/>
        <item m="1" x="2776"/>
        <item m="1" x="7049"/>
        <item m="1" x="2573"/>
        <item m="1" x="2574"/>
        <item m="1" x="2779"/>
        <item m="1" x="4753"/>
        <item m="1" x="5034"/>
        <item m="1" x="7016"/>
        <item m="1" x="5755"/>
        <item m="1" x="5692"/>
        <item m="1" x="6048"/>
        <item m="1" x="5148"/>
        <item m="1" x="5129"/>
        <item m="1" x="3441"/>
        <item m="1" x="7834"/>
        <item m="1" x="6412"/>
        <item m="1" x="5757"/>
        <item m="1" x="3202"/>
        <item m="1" x="2892"/>
        <item m="1" x="4301"/>
        <item m="1" x="2990"/>
        <item m="1" x="5252"/>
        <item m="1" x="3930"/>
        <item m="1" x="4978"/>
        <item m="1" x="3373"/>
        <item m="1" x="7162"/>
        <item m="1" x="6588"/>
        <item m="1" x="5965"/>
        <item m="1" x="7139"/>
        <item m="1" x="3186"/>
        <item m="1" x="3420"/>
        <item m="1" x="6410"/>
        <item m="1" x="7879"/>
        <item m="1" x="5433"/>
        <item m="1" x="4386"/>
        <item m="1" x="7362"/>
        <item m="1" x="5460"/>
        <item m="1" x="7967"/>
        <item m="1" x="7543"/>
        <item m="1" x="4437"/>
        <item m="1" x="5418"/>
        <item m="1" x="5230"/>
        <item m="1" x="4824"/>
        <item m="1" x="7657"/>
        <item m="1" x="4783"/>
        <item m="1" x="3094"/>
        <item m="1" x="5535"/>
        <item m="1" x="3587"/>
        <item m="1" x="4766"/>
        <item m="1" x="4479"/>
        <item m="1" x="7389"/>
        <item m="1" x="2666"/>
        <item m="1" x="5516"/>
        <item m="1" x="5768"/>
        <item m="1" x="7677"/>
        <item m="1" x="3363"/>
        <item m="1" x="7211"/>
        <item m="1" x="3761"/>
        <item m="1" x="6265"/>
        <item m="1" x="5633"/>
        <item m="1" x="4795"/>
        <item m="1" x="3050"/>
        <item m="1" x="5683"/>
        <item m="1" x="2867"/>
        <item m="1" x="5366"/>
        <item m="1" x="4394"/>
        <item m="1" x="7606"/>
        <item m="1" x="5032"/>
        <item m="1" x="5689"/>
        <item m="1" x="3545"/>
        <item m="1" x="4368"/>
        <item m="1" x="7665"/>
        <item m="1" x="7968"/>
        <item m="1" x="2775"/>
        <item m="1" x="5037"/>
        <item m="1" x="6361"/>
        <item m="1" x="5988"/>
        <item m="1" x="6171"/>
        <item m="1" x="3331"/>
        <item m="1" x="2707"/>
        <item m="1" x="3001"/>
        <item m="1" x="6886"/>
        <item m="1" x="7230"/>
        <item m="1" x="3548"/>
        <item m="1" x="3120"/>
        <item m="1" x="3916"/>
        <item m="1" x="3960"/>
        <item m="1" x="7704"/>
        <item m="1" x="5275"/>
        <item m="1" x="6558"/>
        <item m="1" x="5039"/>
        <item m="1" x="5085"/>
        <item m="1" x="5197"/>
        <item m="1" x="3561"/>
        <item m="1" x="7713"/>
        <item m="1" x="4480"/>
        <item m="1" x="5035"/>
        <item m="1" x="5617"/>
        <item m="1" x="6217"/>
        <item m="1" x="3362"/>
        <item m="1" x="4022"/>
        <item m="1" x="2933"/>
        <item m="1" x="4037"/>
        <item m="1" x="5643"/>
        <item m="1" x="6013"/>
        <item m="1" x="3013"/>
        <item m="1" x="2528"/>
        <item m="1" x="7719"/>
        <item m="1" x="3809"/>
        <item m="1" x="2626"/>
        <item m="1" x="3002"/>
        <item m="1" x="4134"/>
        <item m="1" x="5799"/>
        <item m="1" x="6407"/>
        <item m="1" x="5952"/>
        <item m="1" x="4312"/>
        <item m="1" x="3184"/>
        <item m="1" x="6842"/>
        <item m="1" x="3683"/>
        <item m="1" x="3168"/>
        <item m="1" x="7175"/>
        <item m="1" x="6987"/>
        <item m="1" x="5771"/>
        <item m="1" x="6610"/>
        <item m="1" x="3048"/>
        <item m="1" x="5917"/>
        <item m="1" x="3443"/>
        <item m="1" x="3978"/>
        <item m="1" x="5440"/>
        <item m="1" x="4127"/>
        <item m="1" x="4763"/>
        <item m="1" x="5318"/>
        <item m="1" x="5836"/>
        <item m="1" x="7472"/>
        <item m="1" x="2995"/>
        <item m="1" x="3556"/>
        <item m="1" x="4153"/>
        <item m="1" x="3118"/>
        <item m="1" x="7302"/>
        <item m="1" x="3425"/>
        <item m="1" x="4407"/>
        <item m="1" x="5416"/>
        <item m="1" x="3771"/>
        <item m="1" x="7476"/>
        <item m="1" x="3232"/>
        <item m="1" x="4963"/>
        <item m="1" x="4971"/>
        <item m="1" x="2724"/>
        <item m="1" x="6732"/>
        <item m="1" x="2929"/>
        <item m="1" x="6380"/>
        <item m="1" x="5012"/>
        <item m="1" x="6518"/>
        <item m="1" x="4021"/>
        <item m="1" x="3025"/>
        <item m="1" x="2625"/>
        <item m="1" x="2658"/>
        <item m="1" x="7698"/>
        <item m="1" x="5016"/>
        <item m="1" x="5168"/>
        <item m="1" x="2591"/>
        <item m="1" x="7824"/>
        <item m="1" x="2862"/>
        <item m="1" x="7747"/>
        <item m="1" x="6445"/>
        <item m="1" x="6516"/>
        <item m="1" x="2597"/>
        <item m="1" x="7757"/>
        <item m="1" x="7587"/>
        <item m="1" x="4977"/>
        <item m="1" x="4029"/>
        <item m="1" x="6679"/>
        <item m="1" x="7288"/>
        <item m="1" x="4750"/>
        <item m="1" x="4212"/>
        <item m="1" x="7610"/>
        <item m="1" x="4663"/>
        <item m="1" x="5574"/>
        <item m="1" x="7994"/>
        <item m="1" x="6821"/>
        <item m="1" x="2845"/>
        <item m="1" x="7744"/>
        <item m="1" x="3570"/>
        <item m="1" x="7205"/>
        <item m="1" x="4879"/>
        <item m="1" x="7991"/>
        <item m="1" x="7286"/>
        <item m="1" x="7032"/>
        <item m="1" x="2813"/>
        <item m="1" x="6641"/>
        <item m="1" x="4738"/>
        <item m="1" x="3391"/>
        <item m="1" x="6992"/>
        <item m="1" x="6830"/>
        <item m="1" x="5726"/>
        <item m="1" x="3903"/>
        <item m="1" x="6364"/>
        <item m="1" x="3594"/>
        <item m="1" x="3197"/>
        <item m="1" x="2595"/>
        <item m="1" x="7134"/>
        <item m="1" x="5783"/>
        <item m="1" x="5858"/>
        <item m="1" x="6634"/>
        <item m="1" x="2611"/>
        <item m="1" x="5259"/>
        <item m="1" x="5595"/>
        <item m="1" x="5845"/>
        <item m="1" x="5206"/>
        <item m="1" x="3335"/>
        <item m="1" x="5005"/>
        <item m="1" x="3564"/>
        <item m="1" x="3024"/>
        <item m="1" x="3357"/>
        <item m="1" x="6569"/>
        <item m="1" x="5262"/>
        <item m="1" x="2864"/>
        <item m="1" x="2759"/>
        <item m="1" x="4853"/>
        <item m="1" x="6281"/>
        <item m="1" x="3295"/>
        <item m="1" x="7756"/>
        <item m="1" x="2529"/>
        <item m="1" x="3208"/>
        <item m="1" x="7971"/>
        <item m="1" x="7952"/>
        <item m="1" x="3241"/>
        <item m="1" x="5775"/>
        <item m="1" x="7498"/>
        <item m="1" x="6616"/>
        <item m="1" x="7552"/>
        <item m="1" x="3450"/>
        <item m="1" x="3496"/>
        <item m="1" x="3195"/>
        <item m="1" x="6150"/>
        <item m="1" x="4461"/>
        <item m="1" x="4781"/>
        <item m="1" x="5748"/>
        <item m="1" x="7068"/>
        <item m="1" x="3701"/>
        <item m="1" x="7640"/>
        <item m="1" x="4500"/>
        <item m="1" x="3137"/>
        <item m="1" x="2818"/>
        <item m="1" x="6789"/>
        <item m="1" x="5878"/>
        <item m="1" x="3904"/>
        <item m="1" x="6982"/>
        <item m="1" x="3231"/>
        <item m="1" x="4859"/>
        <item m="1" x="4740"/>
        <item m="1" x="6384"/>
        <item m="1" x="7821"/>
        <item m="1" x="3775"/>
        <item m="1" x="7727"/>
        <item m="1" x="2526"/>
        <item m="1" x="2535"/>
        <item m="1" x="5936"/>
        <item m="1" x="4608"/>
        <item m="1" x="3900"/>
        <item m="1" x="4106"/>
        <item m="1" x="4967"/>
        <item m="1" x="6617"/>
        <item m="1" x="4936"/>
        <item m="1" x="6345"/>
        <item m="1" x="5444"/>
        <item m="1" x="6605"/>
        <item m="1" x="3694"/>
        <item m="1" x="7557"/>
        <item m="1" x="4465"/>
        <item m="1" x="3500"/>
        <item m="1" x="4124"/>
        <item m="1" x="3726"/>
        <item m="1" x="3723"/>
        <item m="1" x="3041"/>
        <item m="1" x="7113"/>
        <item m="1" x="5017"/>
        <item m="1" x="5606"/>
        <item m="1" x="7256"/>
        <item m="1" x="7935"/>
        <item m="1" x="2952"/>
        <item m="1" x="4983"/>
        <item m="1" x="5825"/>
        <item m="1" x="5930"/>
        <item m="1" x="6638"/>
        <item m="1" x="5913"/>
        <item m="1" x="6961"/>
        <item m="1" x="6600"/>
        <item m="1" x="3212"/>
        <item m="1" x="6448"/>
        <item m="1" x="5592"/>
        <item m="1" x="3787"/>
        <item m="1" x="4857"/>
        <item m="1" x="2828"/>
        <item m="1" x="6429"/>
        <item m="1" x="5319"/>
        <item m="1" x="3260"/>
        <item m="1" x="4094"/>
        <item m="1" x="7788"/>
        <item m="1" x="5659"/>
        <item m="1" x="5190"/>
        <item m="1" x="3734"/>
        <item m="1" x="6493"/>
        <item m="1" x="7560"/>
        <item m="1" x="6633"/>
        <item m="1" x="3799"/>
        <item m="1" x="4413"/>
        <item m="1" x="4615"/>
        <item m="1" x="4567"/>
        <item m="1" x="7645"/>
        <item m="1" x="4034"/>
        <item m="1" x="4758"/>
        <item m="1" x="3353"/>
        <item m="1" x="5803"/>
        <item m="1" x="4242"/>
        <item m="1" x="5828"/>
        <item m="1" x="6964"/>
        <item m="1" x="6555"/>
        <item m="1" x="7990"/>
        <item m="1" x="4419"/>
        <item m="1" x="6371"/>
        <item m="1" x="7039"/>
        <item m="1" x="5255"/>
        <item m="1" x="5260"/>
        <item m="1" x="7350"/>
        <item m="1" x="6256"/>
        <item m="1" x="4635"/>
        <item m="1" x="4316"/>
        <item m="1" x="5405"/>
        <item m="1" x="3437"/>
        <item m="1" x="6806"/>
        <item m="1" x="5743"/>
        <item m="1" x="3351"/>
        <item m="1" x="4561"/>
        <item m="1" x="4714"/>
        <item m="1" x="6316"/>
        <item m="1" x="7874"/>
        <item m="1" x="4256"/>
        <item m="1" x="4443"/>
        <item m="1" x="7052"/>
        <item m="1" x="3478"/>
        <item m="1" x="4642"/>
        <item m="1" x="3102"/>
        <item m="1" x="3375"/>
        <item m="1" x="4336"/>
        <item m="1" x="5367"/>
        <item m="1" x="4113"/>
        <item m="1" x="7208"/>
        <item m="1" x="3376"/>
        <item m="1" x="5297"/>
        <item m="1" x="3488"/>
        <item m="1" x="3183"/>
        <item m="1" x="7132"/>
        <item m="1" x="2534"/>
        <item m="1" x="7179"/>
        <item m="1" x="7933"/>
        <item m="1" x="7092"/>
        <item m="1" x="5192"/>
        <item m="1" x="7549"/>
        <item m="1" x="7951"/>
        <item m="1" x="4218"/>
        <item m="1" x="7261"/>
        <item m="1" x="6063"/>
        <item m="1" x="7099"/>
        <item m="1" x="7966"/>
        <item m="1" x="2881"/>
        <item m="1" x="4268"/>
        <item m="1" x="7394"/>
        <item m="1" x="6838"/>
        <item m="1" x="6584"/>
        <item m="1" x="3859"/>
        <item m="1" x="3727"/>
        <item m="1" x="5272"/>
        <item m="1" x="3617"/>
        <item m="1" x="3233"/>
        <item m="1" x="7737"/>
        <item m="1" x="5528"/>
        <item m="1" x="2982"/>
        <item m="1" x="4193"/>
        <item m="1" x="6817"/>
        <item m="1" x="7084"/>
        <item m="1" x="7985"/>
        <item m="1" x="5169"/>
        <item m="1" x="4431"/>
        <item m="1" x="4370"/>
        <item m="1" x="6696"/>
        <item m="1" x="4430"/>
        <item m="1" x="3330"/>
        <item m="1" x="3918"/>
        <item m="1" x="6481"/>
        <item m="1" x="2588"/>
        <item m="1" x="6630"/>
        <item m="1" x="7184"/>
        <item m="1" x="3725"/>
        <item m="1" x="5172"/>
        <item m="1" x="5125"/>
        <item m="1" x="5512"/>
        <item m="1" x="5709"/>
        <item m="1" x="7366"/>
        <item m="1" x="6650"/>
        <item m="1" x="5307"/>
        <item m="1" x="7574"/>
        <item m="1" x="7310"/>
        <item m="1" x="3210"/>
        <item m="1" x="5693"/>
        <item m="1" x="3784"/>
        <item m="1" x="6831"/>
        <item m="1" x="3040"/>
        <item m="1" x="2579"/>
        <item m="1" x="7690"/>
        <item m="1" x="5021"/>
        <item m="1" x="2981"/>
        <item m="1" x="5612"/>
        <item m="1" x="6307"/>
        <item m="1" x="7173"/>
        <item m="1" x="5994"/>
        <item m="1" x="6543"/>
        <item m="1" x="4123"/>
        <item m="1" x="3163"/>
        <item m="1" x="3967"/>
        <item m="1" x="7221"/>
        <item m="1" x="5829"/>
        <item m="1" x="5186"/>
        <item m="1" x="7605"/>
        <item m="1" x="7812"/>
        <item m="1" x="4708"/>
        <item m="1" x="4756"/>
        <item m="1" x="6758"/>
        <item m="1" x="3865"/>
        <item m="1" x="6342"/>
        <item m="1" x="7363"/>
        <item m="1" x="5322"/>
        <item m="1" x="5923"/>
        <item m="1" x="5759"/>
        <item m="1" x="5138"/>
        <item m="1" x="4155"/>
        <item m="1" x="4036"/>
        <item m="1" x="3196"/>
        <item m="1" x="6898"/>
        <item m="1" x="5651"/>
        <item m="1" x="7852"/>
        <item m="1" x="3863"/>
        <item m="1" x="5733"/>
        <item m="1" x="5296"/>
        <item m="1" x="2727"/>
        <item m="1" x="3498"/>
        <item m="1" x="5856"/>
        <item m="1" x="6362"/>
        <item m="1" x="5596"/>
        <item m="1" x="4982"/>
        <item m="1" x="6513"/>
        <item m="1" x="5123"/>
        <item m="1" x="2735"/>
        <item m="1" x="3633"/>
        <item m="1" x="3612"/>
        <item m="1" x="4743"/>
        <item m="1" x="7876"/>
        <item m="1" x="5470"/>
        <item m="1" x="5613"/>
        <item m="1" x="3765"/>
        <item m="1" x="7441"/>
        <item m="1" x="3114"/>
        <item m="1" x="2580"/>
        <item m="1" x="7014"/>
        <item m="1" x="2734"/>
        <item m="1" x="2827"/>
        <item m="1" x="7245"/>
        <item m="1" x="3668"/>
        <item m="1" x="6598"/>
        <item m="1" x="3359"/>
        <item m="1" x="7738"/>
        <item m="1" x="7390"/>
        <item m="1" x="7493"/>
        <item m="1" x="5977"/>
        <item m="1" x="2559"/>
        <item m="1" x="6219"/>
        <item m="1" x="6499"/>
        <item m="1" x="5495"/>
        <item m="1" x="6811"/>
        <item m="1" x="2717"/>
        <item m="1" x="5365"/>
        <item m="1" x="5431"/>
        <item m="1" x="6025"/>
        <item m="1" x="7931"/>
        <item m="1" x="2639"/>
        <item m="1" x="6350"/>
        <item m="1" x="7140"/>
        <item m="1" x="2878"/>
        <item m="1" x="4118"/>
        <item m="1" x="7339"/>
        <item m="1" x="4849"/>
        <item m="1" x="4721"/>
        <item m="1" x="5268"/>
        <item m="1" x="5084"/>
        <item m="1" x="5601"/>
        <item m="1" x="3540"/>
        <item m="1" x="7705"/>
        <item m="1" x="6021"/>
        <item m="1" x="3007"/>
        <item m="1" x="5645"/>
        <item m="1" x="7186"/>
        <item m="1" x="3928"/>
        <item m="1" x="7888"/>
        <item m="1" x="5187"/>
        <item m="1" x="5939"/>
        <item m="1" x="7580"/>
        <item m="1" x="4855"/>
        <item m="1" x="3311"/>
        <item m="1" x="4210"/>
        <item m="1" x="7142"/>
        <item m="1" x="3706"/>
        <item m="1" x="5294"/>
        <item m="1" x="3442"/>
        <item m="1" x="3943"/>
        <item m="1" x="5540"/>
        <item m="1" x="4883"/>
        <item m="1" x="7204"/>
        <item m="1" x="6956"/>
        <item m="1" x="7758"/>
        <item m="1" x="3471"/>
        <item m="1" x="2886"/>
        <item m="1" x="4556"/>
        <item m="1" x="3388"/>
        <item m="1" x="3665"/>
        <item m="1" x="7343"/>
        <item m="1" x="6565"/>
        <item m="1" x="3097"/>
        <item m="1" x="5521"/>
        <item m="1" x="6778"/>
        <item m="1" x="2604"/>
        <item m="1" x="2808"/>
        <item m="1" x="4202"/>
        <item m="1" x="6101"/>
        <item m="1" x="2751"/>
        <item m="1" x="7868"/>
        <item m="1" x="3464"/>
        <item m="1" x="4458"/>
        <item m="1" x="7036"/>
        <item m="1" x="2744"/>
        <item m="1" x="7321"/>
        <item m="1" x="7638"/>
        <item m="1" x="5848"/>
        <item m="1" x="6697"/>
        <item m="1" x="3599"/>
        <item m="1" x="5432"/>
        <item m="1" x="6258"/>
        <item m="1" x="3211"/>
        <item m="1" x="4362"/>
        <item m="1" x="7676"/>
        <item m="1" x="7227"/>
        <item m="1" x="6752"/>
        <item m="1" x="6818"/>
        <item m="1" x="7475"/>
        <item m="1" x="7443"/>
        <item m="1" x="4505"/>
        <item m="1" x="4866"/>
        <item m="1" x="5326"/>
        <item m="1" x="7741"/>
        <item m="1" x="2834"/>
        <item m="1" x="6676"/>
        <item m="1" x="7986"/>
        <item m="1" x="5842"/>
        <item m="1" x="6055"/>
        <item m="1" x="2609"/>
        <item m="1" x="4850"/>
        <item m="1" x="4283"/>
        <item m="1" x="3145"/>
        <item m="1" x="6923"/>
        <item m="1" x="4524"/>
        <item m="1" x="3276"/>
        <item m="1" x="7185"/>
        <item m="1" x="4514"/>
        <item m="1" x="5634"/>
        <item m="1" x="5615"/>
        <item m="1" x="3951"/>
        <item m="1" x="7305"/>
        <item m="1" x="5450"/>
        <item m="1" x="5781"/>
        <item m="1" x="3348"/>
        <item m="1" x="7571"/>
        <item m="1" x="3468"/>
        <item m="1" x="3620"/>
        <item m="1" x="4420"/>
        <item m="1" x="2980"/>
        <item m="1" x="3037"/>
        <item m="1" x="2566"/>
        <item m="1" x="7554"/>
        <item m="1" x="7127"/>
        <item m="1" x="4807"/>
        <item m="1" x="4652"/>
        <item m="1" x="4415"/>
        <item m="1" x="3820"/>
        <item m="1" x="7078"/>
        <item m="1" x="7414"/>
        <item m="1" x="2647"/>
        <item m="1" x="6447"/>
        <item m="1" x="7940"/>
        <item m="1" x="6180"/>
        <item m="1" x="3546"/>
        <item m="1" x="4032"/>
        <item m="1" x="4333"/>
        <item m="1" x="4395"/>
        <item m="1" x="3995"/>
        <item m="1" x="6442"/>
        <item m="1" x="3340"/>
        <item m="1" x="5414"/>
        <item m="1" x="7612"/>
        <item m="1" x="3000"/>
        <item m="1" x="5151"/>
        <item m="1" x="5360"/>
        <item m="1" x="3861"/>
        <item m="1" x="3381"/>
        <item m="1" x="7884"/>
        <item m="1" x="3322"/>
        <item m="1" x="2912"/>
        <item m="1" x="4196"/>
        <item m="1" x="5370"/>
        <item m="1" x="5578"/>
        <item m="1" x="7349"/>
        <item m="1" x="6117"/>
        <item m="1" x="3684"/>
        <item m="1" x="4244"/>
        <item m="1" x="7878"/>
        <item m="1" x="3789"/>
        <item m="1" x="6844"/>
        <item m="1" x="4566"/>
        <item m="1" x="3935"/>
        <item m="1" x="6060"/>
        <item m="1" x="6535"/>
        <item m="1" x="7082"/>
        <item m="1" x="3247"/>
        <item m="1" x="4148"/>
        <item m="1" x="3491"/>
        <item m="1" x="7718"/>
        <item m="1" x="6298"/>
        <item m="1" x="7392"/>
        <item m="1" x="7481"/>
        <item m="1" x="5038"/>
        <item m="1" x="7822"/>
        <item m="1" x="5400"/>
        <item m="1" x="4269"/>
        <item m="1" x="6536"/>
        <item m="1" x="5233"/>
        <item m="1" x="7813"/>
        <item m="1" x="7402"/>
        <item m="1" x="7792"/>
        <item m="1" x="5702"/>
        <item m="1" x="3888"/>
        <item m="1" x="7887"/>
        <item m="1" x="7248"/>
        <item m="1" x="6176"/>
        <item m="1" x="4450"/>
        <item m="1" x="2913"/>
        <item m="1" x="4287"/>
        <item m="1" x="5374"/>
        <item m="1" x="5641"/>
        <item m="1" x="3786"/>
        <item m="1" x="7816"/>
        <item m="1" x="3342"/>
        <item m="1" x="2605"/>
        <item m="1" x="7711"/>
        <item m="1" x="7442"/>
        <item m="1" x="6291"/>
        <item m="1" x="7688"/>
        <item m="1" x="7040"/>
        <item m="1" x="5402"/>
        <item m="1" x="5350"/>
        <item m="1" x="3625"/>
        <item m="1" x="6709"/>
        <item m="1" x="5544"/>
        <item m="1" x="6867"/>
        <item m="1" x="3942"/>
        <item m="1" x="5078"/>
        <item m="1" x="7499"/>
        <item m="1" x="7484"/>
        <item m="1" x="2693"/>
        <item m="1" x="7545"/>
        <item m="1" x="5796"/>
        <item m="1" x="4955"/>
        <item m="1" x="7158"/>
        <item m="1" x="5419"/>
        <item m="1" x="3059"/>
        <item m="1" x="5827"/>
        <item m="1" x="4151"/>
        <item m="1" x="6759"/>
        <item m="1" x="3006"/>
        <item m="1" x="3788"/>
        <item m="1" x="3993"/>
        <item m="1" x="5568"/>
        <item m="1" x="5861"/>
        <item m="1" x="5642"/>
        <item m="1" x="7352"/>
        <item m="1" x="3236"/>
        <item m="1" x="7653"/>
        <item m="1" x="4951"/>
        <item m="1" x="5345"/>
        <item m="1" x="4467"/>
        <item m="1" x="5346"/>
        <item m="1" x="4913"/>
        <item m="1" x="3777"/>
        <item m="1" x="7980"/>
        <item m="1" x="5846"/>
        <item m="1" x="4234"/>
        <item m="1" x="5564"/>
        <item m="1" x="6011"/>
        <item m="1" x="4496"/>
        <item m="1" x="7332"/>
        <item m="1" x="2670"/>
        <item m="1" x="3045"/>
        <item m="1" x="3098"/>
        <item m="1" x="7553"/>
        <item m="1" x="6433"/>
        <item m="1" x="7785"/>
        <item m="1" x="4374"/>
        <item m="1" x="6172"/>
        <item m="1" x="5579"/>
        <item m="1" x="4506"/>
        <item m="1" x="6580"/>
        <item m="1" x="7801"/>
        <item m="1" x="3320"/>
        <item m="1" x="4617"/>
        <item m="1" x="5242"/>
        <item m="1" x="5024"/>
        <item m="1" x="3360"/>
        <item m="1" x="2621"/>
        <item m="1" x="6807"/>
        <item m="1" x="2743"/>
        <item m="1" x="3003"/>
        <item m="1" x="4262"/>
        <item m="1" x="3188"/>
        <item m="1" x="2731"/>
        <item m="1" x="3301"/>
        <item m="1" x="4375"/>
        <item m="1" x="6213"/>
        <item m="1" x="4348"/>
        <item m="1" x="7353"/>
        <item m="1" x="5104"/>
        <item m="1" x="4154"/>
        <item m="1" x="3216"/>
        <item m="1" x="5589"/>
        <item m="1" x="7239"/>
        <item m="1" x="7085"/>
        <item m="1" x="6803"/>
        <item m="1" x="5344"/>
        <item m="1" x="7806"/>
        <item m="1" x="2587"/>
        <item m="1" x="6893"/>
        <item m="1" x="3810"/>
        <item m="1" x="5881"/>
        <item m="1" x="6777"/>
        <item m="1" x="7457"/>
        <item m="1" x="6209"/>
        <item m="1" x="7671"/>
        <item m="1" x="4644"/>
        <item m="1" x="3990"/>
        <item m="1" x="2720"/>
        <item m="1" x="5055"/>
        <item m="1" x="5237"/>
        <item m="1" x="7608"/>
        <item m="1" x="2555"/>
        <item m="1" x="3944"/>
        <item m="1" x="2721"/>
        <item m="1" x="7356"/>
        <item m="1" x="4247"/>
        <item m="1" x="3393"/>
        <item m="1" x="5105"/>
        <item m="1" x="5278"/>
        <item m="1" x="6790"/>
        <item m="1" x="6571"/>
        <item m="1" x="5473"/>
        <item m="1" x="6288"/>
        <item m="1" x="5943"/>
        <item m="1" x="5792"/>
        <item m="1" x="3316"/>
        <item m="1" x="5526"/>
        <item m="1" x="3410"/>
        <item m="1" x="4452"/>
        <item m="1" x="5122"/>
        <item m="1" x="6713"/>
        <item m="1" x="2679"/>
        <item m="1" x="4140"/>
        <item m="1" x="4881"/>
        <item m="1" x="3812"/>
        <item m="1" x="3505"/>
        <item m="1" x="5030"/>
        <item m="1" x="4732"/>
        <item m="1" x="4122"/>
        <item m="1" x="6682"/>
        <item m="1" x="2746"/>
        <item m="1" x="7995"/>
        <item m="1" x="3105"/>
        <item m="1" x="7284"/>
        <item m="1" x="6740"/>
        <item m="1" x="2871"/>
        <item m="1" x="4797"/>
        <item m="1" x="2629"/>
        <item m="1" x="2633"/>
        <item m="1" x="5787"/>
        <item m="1" x="3318"/>
        <item m="1" x="4390"/>
        <item m="1" x="4894"/>
        <item m="1" x="7444"/>
        <item m="1" x="7819"/>
        <item m="1" x="7194"/>
        <item m="1" x="6793"/>
        <item m="1" x="2954"/>
        <item m="1" x="2549"/>
        <item m="1" x="4785"/>
        <item m="1" x="7171"/>
        <item m="1" x="5653"/>
        <item m="1" x="5181"/>
        <item m="1" x="3792"/>
        <item m="1" x="7742"/>
        <item m="1" x="3113"/>
        <item m="1" x="3767"/>
        <item m="1" x="6406"/>
        <item m="1" x="5840"/>
        <item m="1" x="2787"/>
        <item m="1" x="5672"/>
        <item m="1" x="5770"/>
        <item m="1" x="6788"/>
        <item m="1" x="6414"/>
        <item m="1" x="7845"/>
        <item m="1" x="3677"/>
        <item m="1" x="5074"/>
        <item m="1" x="4796"/>
        <item m="1" x="7479"/>
        <item m="1" x="4421"/>
        <item m="1" x="4922"/>
        <item m="1" x="3018"/>
        <item m="1" x="4129"/>
        <item m="1" x="6329"/>
        <item m="1" x="7401"/>
        <item m="1" x="4854"/>
        <item m="1" x="6532"/>
        <item m="1" x="5340"/>
        <item m="1" x="5587"/>
        <item m="1" x="5588"/>
        <item m="1" x="5584"/>
        <item m="1" x="7642"/>
        <item m="1" x="5585"/>
        <item m="1" x="5790"/>
        <item m="1" x="5586"/>
        <item m="1" x="5027"/>
        <item m="1" x="5185"/>
        <item m="1" x="4724"/>
        <item m="1" x="3434"/>
        <item m="1" x="6931"/>
        <item m="1" x="5782"/>
        <item m="1" x="7798"/>
        <item m="1" x="5503"/>
        <item m="1" x="2790"/>
        <item m="1" x="3735"/>
        <item m="1" x="7160"/>
        <item m="1" x="7892"/>
        <item m="1" x="4423"/>
        <item m="1" x="5914"/>
        <item m="1" x="6798"/>
        <item m="1" x="4481"/>
        <item m="1" x="5465"/>
        <item m="1" x="3313"/>
        <item m="1" x="2802"/>
        <item m="1" x="3009"/>
        <item m="1" x="4248"/>
        <item m="1" x="7383"/>
        <item m="1" x="3230"/>
        <item m="1" x="5786"/>
        <item m="1" x="3395"/>
        <item m="1" x="2696"/>
        <item m="1" x="6085"/>
        <item m="1" x="2942"/>
        <item m="1" x="3367"/>
        <item m="1" x="3081"/>
        <item m="1" x="5837"/>
        <item m="1" x="3075"/>
        <item m="1" x="2812"/>
        <item m="1" x="7660"/>
        <item m="1" x="4654"/>
        <item m="1" x="6787"/>
        <item m="1" x="5713"/>
        <item m="1" x="5126"/>
        <item m="1" x="6706"/>
        <item m="1" x="3691"/>
        <item m="1" x="6309"/>
        <item m="1" x="3079"/>
        <item m="1" x="2865"/>
        <item m="1" x="4512"/>
        <item m="1" x="6158"/>
        <item m="1" x="3901"/>
        <item m="1" x="3512"/>
        <item m="1" x="5762"/>
        <item m="1" x="4952"/>
        <item m="1" x="6715"/>
        <item m="1" x="5347"/>
        <item m="1" x="3416"/>
        <item m="1" x="7531"/>
        <item m="1" x="6870"/>
        <item m="1" x="5919"/>
        <item m="1" x="5953"/>
        <item m="1" x="3347"/>
        <item m="1" x="3670"/>
        <item m="1" x="6312"/>
        <item m="1" x="6646"/>
        <item m="1" x="6995"/>
        <item m="1" x="3638"/>
        <item m="1" x="4347"/>
        <item m="1" x="4345"/>
        <item m="1" x="3352"/>
        <item m="1" x="6891"/>
        <item m="1" x="3583"/>
        <item m="1" x="6902"/>
        <item m="1" x="7682"/>
        <item m="1" x="2678"/>
        <item m="1" x="5833"/>
        <item m="1" x="7572"/>
        <item m="1" x="5876"/>
        <item m="1" x="3253"/>
        <item m="1" x="4848"/>
        <item m="1" x="5020"/>
        <item m="1" x="6783"/>
        <item m="1" x="7368"/>
        <item m="1" x="5500"/>
        <item m="1" x="4768"/>
        <item m="1" x="7618"/>
        <item m="1" x="7832"/>
        <item m="1" x="3619"/>
        <item m="1" x="5476"/>
        <item m="1" x="2676"/>
        <item m="1" x="3029"/>
        <item m="1" x="7651"/>
        <item m="1" x="4466"/>
        <item m="1" x="6431"/>
        <item m="1" x="7909"/>
        <item m="1" x="4404"/>
        <item m="1" x="6218"/>
        <item m="1" x="7619"/>
        <item m="1" x="7751"/>
        <item m="1" x="4613"/>
        <item m="1" x="7062"/>
        <item m="1" x="7497"/>
        <item m="1" x="5204"/>
        <item m="1" x="7620"/>
        <item m="1" x="6816"/>
        <item m="1" x="7129"/>
        <item m="1" x="6389"/>
        <item m="1" x="3162"/>
        <item m="1" x="3070"/>
        <item m="1" x="4677"/>
        <item m="1" x="3609"/>
        <item m="1" x="6044"/>
        <item m="1" x="7708"/>
        <item m="1" x="3925"/>
        <item m="1" x="4081"/>
        <item m="1" x="3926"/>
        <item m="1" x="6203"/>
        <item m="1" x="6452"/>
        <item m="1" x="6387"/>
        <item m="1" x="4442"/>
        <item m="1" x="4190"/>
        <item m="1" x="6705"/>
        <item m="1" x="5767"/>
        <item m="1" x="4601"/>
        <item m="1" x="4083"/>
        <item m="1" x="3525"/>
        <item m="1" x="6629"/>
        <item m="1" x="4243"/>
        <item m="1" x="7396"/>
        <item m="1" x="3898"/>
        <item m="1" x="3836"/>
        <item m="1" x="4102"/>
        <item m="1" x="4103"/>
        <item m="1" x="7652"/>
        <item m="1" x="4084"/>
        <item m="1" x="3385"/>
        <item m="1" x="7937"/>
        <item m="1" x="7926"/>
        <item m="1" x="7927"/>
        <item m="1" x="3226"/>
        <item m="1" x="7090"/>
        <item m="1" x="5945"/>
        <item m="1" x="3440"/>
        <item m="1" x="7928"/>
        <item m="1" x="7929"/>
        <item m="1" x="6729"/>
        <item m="1" x="4104"/>
        <item m="1" x="5059"/>
        <item m="1" x="3869"/>
        <item m="1" x="6382"/>
        <item m="1" x="4624"/>
        <item m="1" x="4501"/>
        <item m="1" x="2642"/>
        <item m="1" x="3974"/>
        <item m="1" x="5569"/>
        <item m="1" x="7709"/>
        <item m="1" x="7404"/>
        <item m="1" x="3328"/>
        <item m="1" x="5665"/>
        <item m="1" x="6606"/>
        <item m="1" x="2900"/>
        <item m="1" x="5397"/>
        <item m="1" x="4503"/>
        <item m="1" x="7765"/>
        <item m="1" x="4782"/>
        <item m="1" x="6016"/>
        <item m="1" x="2979"/>
        <item m="1" x="7636"/>
        <item m="1" x="7054"/>
        <item m="1" x="4799"/>
        <item m="1" x="7828"/>
        <item m="1" x="5134"/>
        <item m="1" x="6437"/>
        <item m="1" x="6927"/>
        <item m="1" x="5330"/>
        <item m="1" x="5392"/>
        <item m="1" x="5969"/>
        <item m="1" x="4885"/>
        <item m="1" x="3513"/>
        <item m="1" x="4298"/>
        <item m="1" x="7533"/>
        <item m="1" x="3169"/>
        <item m="1" x="6762"/>
        <item m="1" x="3687"/>
        <item m="1" x="2665"/>
        <item m="1" x="4018"/>
        <item m="1" x="4722"/>
        <item m="1" x="4508"/>
        <item m="1" x="3675"/>
        <item m="1" x="4584"/>
        <item m="1" x="3627"/>
        <item m="1" x="4997"/>
        <item m="1" x="6242"/>
        <item m="1" x="4769"/>
        <item m="1" x="4238"/>
        <item m="1" x="6029"/>
        <item m="1" x="4748"/>
        <item m="1" x="6480"/>
        <item m="1" x="7996"/>
        <item m="1" x="5041"/>
        <item m="1" x="5557"/>
        <item m="1" x="4026"/>
        <item m="1" x="6748"/>
        <item m="1" x="3139"/>
        <item m="1" x="4184"/>
        <item m="1" x="3170"/>
        <item m="1" x="7913"/>
        <item m="1" x="7914"/>
        <item m="1" x="5795"/>
        <item m="1" x="7181"/>
        <item m="1" x="5865"/>
        <item m="1" x="5407"/>
        <item m="1" x="3510"/>
        <item m="1" x="3511"/>
        <item m="1" x="3287"/>
        <item m="1" x="3135"/>
        <item m="1" x="2722"/>
        <item m="1" x="6724"/>
        <item m="1" x="4497"/>
        <item m="1" x="4071"/>
        <item m="1" x="4170"/>
        <item m="1" x="7917"/>
        <item m="1" x="4996"/>
        <item m="1" x="3611"/>
        <item m="1" x="7918"/>
        <item m="1" x="6738"/>
        <item m="1" x="7074"/>
        <item m="1" x="7919"/>
        <item m="1" x="7920"/>
        <item m="1" x="7810"/>
        <item m="1" x="5354"/>
        <item m="1" x="6937"/>
        <item m="1" x="7089"/>
        <item m="1" x="5869"/>
        <item m="1" x="7921"/>
        <item m="1" x="5288"/>
        <item m="1" x="6239"/>
        <item m="1" x="3897"/>
        <item m="1" x="2738"/>
        <item m="1" x="7923"/>
        <item m="1" x="6756"/>
        <item m="1" x="4189"/>
        <item m="1" x="3096"/>
        <item m="1" x="2793"/>
        <item m="1" x="5308"/>
        <item m="1" x="7692"/>
        <item m="1" x="4082"/>
        <item m="1" x="7761"/>
        <item m="1" x="4191"/>
        <item m="1" x="7724"/>
        <item m="1" x="2733"/>
        <item m="1" x="3047"/>
        <item m="1" x="6702"/>
        <item m="1" x="5245"/>
        <item m="1" x="6612"/>
        <item m="1" x="7998"/>
        <item m="1" x="5352"/>
        <item m="1" x="3837"/>
        <item m="1" x="7978"/>
        <item m="1" x="6125"/>
        <item m="1" x="7686"/>
        <item m="1" x="2947"/>
        <item m="1" x="3569"/>
        <item m="1" x="6946"/>
        <item m="1" x="5490"/>
        <item m="1" x="5145"/>
        <item m="1" x="6436"/>
        <item m="1" x="5492"/>
        <item m="1" x="5106"/>
        <item m="1" x="7762"/>
        <item m="1" x="4353"/>
        <item m="1" x="5874"/>
        <item m="1" x="5143"/>
        <item m="1" x="5136"/>
        <item m="1" x="6640"/>
        <item m="1" x="5875"/>
        <item m="1" x="3383"/>
        <item m="1" x="4718"/>
        <item m="1" x="6537"/>
        <item m="1" x="7633"/>
        <item m="1" x="7269"/>
        <item m="1" x="4625"/>
        <item m="1" x="4125"/>
        <item m="1" x="4476"/>
        <item m="1" x="6245"/>
        <item m="1" x="7254"/>
        <item m="1" x="7220"/>
        <item m="1" x="4164"/>
        <item m="1" x="6544"/>
        <item m="1" x="4143"/>
        <item m="1" x="4958"/>
        <item m="1" x="4747"/>
        <item m="1" x="2860"/>
        <item m="1" x="4065"/>
        <item m="1" x="4638"/>
        <item m="1" x="6575"/>
        <item m="1" x="7376"/>
        <item m="1" x="4717"/>
        <item m="1" x="3968"/>
        <item m="1" x="3879"/>
        <item m="1" x="7420"/>
        <item m="1" x="3108"/>
        <item m="1" x="3054"/>
        <item m="1" x="4424"/>
        <item m="1" x="4537"/>
        <item m="1" x="6118"/>
        <item m="1" x="3027"/>
        <item m="1" x="6861"/>
        <item m="1" x="3017"/>
        <item m="1" x="6890"/>
        <item m="1" x="6768"/>
        <item m="1" x="6082"/>
        <item m="1" x="7663"/>
        <item m="1" x="7593"/>
        <item m="1" x="6683"/>
        <item m="1" x="7649"/>
        <item m="1" x="4818"/>
        <item m="1" x="7511"/>
        <item m="1" x="2567"/>
        <item m="1" x="2914"/>
        <item m="1" x="6351"/>
        <item m="1" x="3699"/>
        <item m="1" x="4359"/>
        <item m="1" x="5247"/>
        <item m="1" x="6933"/>
        <item m="1" x="4067"/>
        <item m="1" x="3586"/>
        <item m="1" x="6826"/>
        <item m="1" x="6735"/>
        <item m="1" x="7964"/>
        <item m="1" x="2829"/>
        <item m="1" x="3285"/>
        <item m="1" x="4464"/>
        <item m="1" x="7912"/>
        <item m="1" x="7053"/>
        <item m="1" x="5548"/>
        <item m="1" x="2957"/>
        <item m="1" x="5189"/>
        <item m="1" x="7300"/>
        <item m="1" x="6026"/>
        <item m="1" x="2546"/>
        <item m="1" x="4973"/>
        <item m="1" x="5406"/>
        <item m="1" x="2547"/>
        <item m="1" x="7345"/>
        <item m="1" x="4186"/>
        <item m="1" x="7346"/>
        <item m="1" x="4819"/>
        <item m="1" x="7512"/>
        <item m="1" x="2568"/>
        <item m="1" x="2915"/>
        <item m="1" x="6754"/>
        <item m="1" x="6199"/>
        <item m="1" x="3509"/>
        <item m="1" x="5412"/>
        <item m="1" x="4599"/>
        <item m="1" x="5867"/>
        <item m="1" x="4825"/>
        <item m="1" x="4619"/>
        <item m="1" x="6066"/>
        <item m="1" x="4101"/>
        <item m="1" x="7654"/>
        <item m="1" x="5053"/>
        <item m="1" x="4868"/>
        <item m="1" x="2817"/>
        <item m="1" x="3653"/>
        <item m="1" x="2830"/>
        <item m="1" x="3823"/>
        <item m="1" x="3579"/>
        <item m="1" x="7776"/>
        <item m="1" x="3444"/>
        <item m="1" x="5479"/>
        <item m="1" x="6896"/>
        <item m="1" x="4188"/>
        <item m="1" x="7664"/>
        <item m="1" x="7674"/>
        <item m="1" x="3151"/>
        <item m="1" x="4474"/>
        <item m="1" x="4680"/>
        <item m="1" x="3824"/>
        <item m="1" x="7174"/>
        <item m="1" x="4402"/>
        <item m="1" x="5474"/>
        <item m="1" x="4820"/>
        <item m="1" x="7513"/>
        <item m="1" x="2569"/>
        <item m="1" x="2916"/>
        <item m="1" x="7988"/>
        <item m="1" x="5232"/>
        <item m="1" x="4352"/>
        <item m="1" x="5872"/>
        <item m="1" x="5616"/>
        <item m="1" x="6782"/>
        <item m="1" x="6357"/>
        <item m="1" x="6202"/>
        <item m="1" x="5991"/>
        <item m="1" x="5554"/>
        <item m="1" x="4448"/>
        <item m="1" x="7754"/>
        <item m="1" x="3485"/>
        <item m="1" x="7024"/>
        <item m="1" x="4842"/>
        <item m="1" x="4150"/>
        <item m="1" x="6004"/>
        <item m="1" x="3939"/>
        <item m="1" x="5630"/>
        <item m="1" x="6140"/>
        <item m="1" x="2796"/>
        <item m="1" x="5695"/>
        <item m="1" x="4383"/>
        <item m="1" x="4741"/>
        <item m="1" x="3449"/>
        <item m="1" x="6223"/>
        <item m="1" x="7168"/>
        <item m="1" x="4707"/>
        <item m="1" x="6566"/>
        <item m="1" x="2556"/>
        <item m="1" x="4937"/>
        <item m="1" x="3962"/>
        <item m="1" x="7594"/>
        <item m="1" x="4821"/>
        <item m="1" x="7514"/>
        <item m="1" x="2570"/>
        <item m="1" x="2917"/>
        <item m="1" x="7924"/>
        <item m="1" x="7925"/>
        <item m="1" x="2756"/>
        <item m="1" x="7218"/>
        <item m="1" x="2904"/>
        <item m="1" x="4622"/>
        <item m="1" x="6943"/>
        <item m="1" x="4169"/>
        <item m="1" x="5480"/>
        <item m="1" x="4541"/>
        <item m="1" x="6663"/>
        <item m="1" x="3109"/>
        <item m="1" x="6945"/>
        <item m="1" x="5537"/>
        <item m="1" x="7632"/>
        <item m="1" x="6660"/>
        <item m="1" x="6661"/>
        <item m="1" x="5045"/>
        <item m="1" x="7215"/>
        <item m="1" x="3899"/>
        <item m="1" x="3147"/>
        <item m="1" x="5472"/>
        <item m="1" x="7164"/>
        <item m="1" x="5401"/>
        <item m="1" x="6910"/>
        <item m="1" x="2863"/>
        <item m="1" x="4587"/>
        <item m="1" x="3292"/>
        <item m="1" x="6047"/>
        <item m="1" x="4895"/>
        <item m="1" x="4260"/>
        <item m="1" x="2684"/>
        <item m="1" x="7351"/>
        <item m="1" x="7454"/>
        <item m="1" x="3671"/>
        <item m="1" x="3455"/>
        <item m="1" x="6081"/>
        <item m="1" x="4833"/>
        <item m="1" x="2774"/>
        <item m="1" x="3294"/>
        <item m="1" x="4133"/>
        <item m="1" x="3229"/>
        <item m="1" x="3165"/>
        <item m="1" x="4194"/>
        <item m="1" x="7418"/>
        <item m="1" x="3338"/>
        <item m="1" x="5022"/>
        <item m="1" x="3591"/>
        <item m="1" x="6507"/>
        <item m="1" x="4682"/>
        <item m="1" x="3224"/>
        <item m="1" x="5384"/>
        <item m="1" x="3307"/>
        <item m="1" x="5409"/>
        <item m="1" x="7752"/>
        <item m="1" x="5004"/>
        <item m="1" x="3631"/>
        <item m="1" x="3261"/>
        <item m="1" x="4966"/>
        <item m="1" x="3408"/>
        <item m="1" x="2655"/>
        <item m="1" x="4172"/>
        <item m="1" x="3487"/>
        <item m="1" x="4645"/>
        <item m="1" x="4736"/>
        <item m="1" x="6222"/>
        <item m="1" x="4538"/>
        <item m="1" x="7643"/>
        <item m="1" x="7611"/>
        <item m="1" x="2564"/>
        <item m="1" x="4992"/>
        <item m="1" x="7846"/>
        <item m="1" x="7046"/>
        <item m="1" x="6727"/>
        <item m="1" x="2527"/>
        <item m="1" x="6894"/>
        <item m="1" x="5426"/>
        <item m="1" x="3474"/>
        <item m="1" x="5962"/>
        <item m="1" x="2753"/>
        <item m="1" x="4662"/>
        <item m="1" x="2910"/>
        <item m="1" x="7648"/>
        <item m="1" x="4637"/>
        <item m="1" x="3220"/>
        <item m="1" x="7483"/>
        <item m="1" x="5621"/>
        <item m="1" x="3833"/>
        <item m="1" x="5211"/>
        <item m="1" x="3702"/>
        <item m="1" x="2514"/>
        <item m="1" x="6531"/>
        <item m="1" x="3268"/>
        <item m="1" x="7126"/>
        <item m="1" x="2512"/>
        <item m="1" x="6413"/>
        <item m="1" x="6078"/>
        <item m="1" x="7562"/>
        <item m="1" x="2941"/>
        <item m="1" x="6500"/>
        <item m="1" x="6932"/>
        <item m="1" x="4040"/>
        <item m="1" x="4156"/>
        <item m="1" x="5222"/>
        <item m="1" x="6736"/>
        <item m="1" x="6195"/>
        <item m="1" x="3822"/>
        <item m="1" x="7972"/>
        <item m="1" x="5552"/>
        <item m="1" x="5863"/>
        <item m="1" x="5202"/>
        <item m="1" x="3209"/>
        <item m="1" x="3718"/>
        <item m="1" x="5305"/>
        <item m="1" x="4690"/>
        <item m="1" x="2772"/>
        <item m="1" x="5293"/>
        <item m="1" x="6196"/>
        <item m="1" x="4068"/>
        <item m="1" x="5802"/>
        <item m="1" x="5809"/>
        <item m="1" x="4185"/>
        <item m="1" x="4069"/>
        <item m="1" x="4070"/>
        <item m="1" x="6197"/>
        <item m="1" x="6990"/>
        <item m="1" x="6198"/>
        <item m="1" x="7515"/>
        <item m="1" x="4220"/>
        <item m="1" x="7460"/>
        <item m="1" x="5284"/>
        <item m="1" x="3886"/>
        <item m="1" x="7133"/>
        <item m="1" x="4072"/>
        <item m="1" x="4073"/>
        <item m="1" x="6935"/>
        <item m="1" x="4074"/>
        <item m="1" x="5866"/>
        <item m="1" x="7627"/>
        <item m="1" x="4598"/>
        <item m="1" x="4571"/>
        <item m="1" x="4017"/>
        <item m="1" x="2853"/>
        <item m="1" x="7699"/>
        <item m="1" x="5042"/>
        <item m="1" x="7915"/>
        <item m="1" x="5103"/>
        <item m="1" x="5043"/>
        <item m="1" x="5868"/>
        <item m="1" x="4620"/>
        <item m="1" x="4075"/>
        <item m="1" x="6936"/>
        <item m="1" x="3531"/>
        <item m="1" x="7516"/>
        <item m="1" x="4221"/>
        <item m="1" x="7461"/>
        <item m="1" x="4585"/>
        <item m="1" x="4600"/>
        <item m="1" x="4586"/>
        <item m="1" x="5158"/>
        <item m="1" x="6865"/>
        <item m="1" x="5959"/>
        <item m="1" x="6200"/>
        <item m="1" x="4473"/>
        <item m="1" x="6939"/>
        <item m="1" x="3714"/>
        <item m="1" x="3126"/>
        <item m="1" x="7042"/>
        <item m="1" x="7922"/>
        <item m="1" x="2956"/>
        <item m="1" x="5164"/>
        <item m="1" x="4213"/>
        <item m="1" x="5871"/>
        <item m="1" x="6074"/>
        <item m="1" x="4710"/>
        <item m="1" x="7628"/>
        <item m="1" x="6201"/>
        <item m="1" x="7324"/>
        <item m="1" x="3703"/>
        <item m="1" x="4327"/>
        <item m="1" x="3112"/>
        <item m="1" x="5173"/>
        <item m="1" x="5898"/>
        <item m="1" x="4605"/>
        <item m="1" x="6079"/>
        <item m="1" x="3630"/>
        <item m="1" x="6642"/>
        <item m="1" x="5647"/>
        <item m="1" x="4317"/>
        <item m="1" x="3961"/>
        <item m="1" x="4712"/>
        <item m="1" x="7517"/>
        <item m="1" x="4222"/>
        <item m="1" x="7462"/>
        <item m="1" x="3985"/>
        <item m="1" x="6994"/>
        <item m="1" x="6204"/>
        <item m="1" x="5703"/>
        <item m="1" x="5873"/>
        <item m="1" x="2861"/>
        <item m="1" x="4397"/>
        <item m="1" x="3996"/>
        <item m="1" x="6334"/>
        <item m="1" x="4192"/>
        <item m="1" x="5396"/>
        <item m="1" x="2622"/>
        <item m="1" x="7866"/>
        <item m="1" x="7630"/>
        <item m="1" x="7631"/>
        <item m="1" x="3618"/>
        <item m="1" x="5044"/>
        <item m="1" x="6796"/>
        <item m="1" x="5504"/>
        <item m="1" x="3634"/>
        <item m="1" x="7867"/>
        <item m="1" x="3456"/>
        <item m="1" x="5167"/>
        <item m="1" x="6944"/>
        <item m="1" x="4602"/>
        <item m="1" x="3303"/>
        <item m="1" x="6947"/>
        <item m="1" x="4623"/>
        <item m="1" x="6352"/>
        <item m="1" x="6205"/>
        <item m="1" x="4365"/>
        <item m="1" x="6457"/>
        <item m="1" x="7518"/>
        <item m="1" x="4223"/>
        <item m="1" x="7463"/>
        <item m="1" x="7668"/>
        <item m="1" x="6147"/>
        <item m="1" x="6948"/>
        <item m="1" x="6206"/>
        <item m="1" x="2515"/>
        <item m="1" x="6666"/>
        <item m="1" x="4315"/>
        <item m="1" x="4085"/>
        <item m="1" x="4178"/>
        <item m="1" x="4947"/>
        <item m="1" x="4956"/>
        <item m="1" x="7634"/>
        <item m="1" x="5066"/>
        <item m="1" x="4215"/>
        <item m="1" x="3518"/>
        <item m="1" x="5951"/>
        <item m="1" x="5818"/>
        <item m="1" x="6800"/>
        <item m="1" x="6801"/>
        <item m="1" x="6096"/>
        <item m="1" x="3912"/>
        <item m="1" x="6369"/>
        <item m="1" x="7635"/>
        <item m="1" x="4240"/>
        <item m="1" x="6027"/>
        <item m="1" x="6028"/>
        <item m="1" x="4086"/>
        <item m="1" x="7815"/>
        <item m="1" x="5329"/>
        <item m="1" x="4533"/>
        <item m="1" x="4396"/>
        <item m="1" x="5427"/>
        <item m="1" x="3074"/>
        <item m="1" x="6284"/>
        <item m="1" x="6785"/>
        <item m="1" x="2757"/>
        <item m="1" x="7519"/>
        <item m="1" x="4224"/>
        <item m="1" x="7464"/>
        <item m="1" x="7673"/>
        <item m="1" x="7067"/>
        <item m="1" x="4633"/>
        <item m="1" x="5404"/>
        <item m="1" x="6737"/>
        <item m="1" x="7894"/>
        <item m="1" x="6323"/>
        <item m="1" x="6934"/>
        <item m="1" x="5441"/>
        <item m="1" x="6099"/>
        <item m="1" x="3341"/>
        <item m="1" x="5864"/>
        <item m="1" x="5225"/>
        <item m="1" x="3936"/>
        <item m="1" x="7854"/>
        <item m="1" x="7480"/>
        <item m="1" x="4432"/>
        <item m="1" x="6451"/>
        <item m="1" x="5823"/>
        <item m="1" x="2918"/>
        <item m="1" x="3662"/>
        <item m="1" x="5467"/>
        <item m="1" x="7697"/>
        <item m="1" x="3601"/>
        <item m="1" x="7033"/>
        <item m="1" x="7384"/>
        <item m="1" x="4678"/>
        <item m="1" x="4162"/>
        <item m="1" x="3466"/>
        <item m="1" x="7520"/>
        <item m="1" x="4225"/>
        <item m="1" x="7465"/>
        <item m="1" x="6590"/>
        <item m="1" x="3406"/>
        <item m="1" x="7916"/>
        <item m="1" x="7537"/>
        <item m="1" x="7088"/>
        <item m="1" x="7833"/>
        <item m="1" x="6691"/>
        <item m="1" x="3588"/>
        <item m="1" x="3061"/>
        <item m="1" x="3062"/>
        <item m="1" x="4033"/>
        <item m="1" x="3637"/>
        <item m="1" x="7382"/>
        <item m="1" x="5805"/>
        <item m="1" x="5018"/>
        <item m="1" x="6250"/>
        <item m="1" x="3356"/>
        <item m="1" x="2686"/>
        <item m="1" x="6938"/>
        <item m="1" x="6175"/>
        <item m="1" x="7863"/>
        <item m="1" x="7646"/>
        <item m="1" x="5870"/>
        <item m="1" x="6940"/>
        <item m="1" x="5718"/>
        <item m="1" x="4776"/>
        <item m="1" x="7167"/>
        <item m="1" x="3119"/>
        <item m="1" x="4079"/>
        <item m="1" x="6501"/>
        <item m="1" x="4475"/>
        <item m="1" x="4323"/>
        <item m="1" x="3984"/>
        <item m="1" x="4520"/>
        <item m="1" x="5931"/>
        <item m="1" x="4369"/>
        <item m="1" x="7141"/>
        <item m="1" x="6310"/>
        <item m="1" x="2879"/>
        <item m="1" x="7137"/>
        <item m="1" x="4711"/>
        <item m="1" x="5223"/>
        <item m="1" x="5511"/>
        <item m="1" x="7424"/>
        <item m="1" x="6941"/>
        <item m="1" x="7780"/>
        <item m="1" x="3850"/>
        <item m="1" x="2578"/>
        <item m="1" x="4097"/>
        <item m="1" x="3460"/>
        <item m="1" x="5747"/>
        <item m="1" x="7521"/>
        <item m="1" x="4226"/>
        <item m="1" x="7466"/>
        <item m="1" x="6270"/>
        <item m="1" x="3555"/>
        <item m="1" x="5287"/>
        <item m="1" x="4681"/>
        <item m="1" x="5982"/>
        <item m="1" x="5777"/>
        <item m="1" x="3663"/>
        <item m="1" x="4468"/>
        <item m="1" x="4400"/>
        <item m="1" x="4606"/>
        <item m="1" x="4532"/>
        <item m="1" x="4603"/>
        <item m="1" x="2938"/>
        <item m="1" x="5724"/>
        <item m="1" x="4554"/>
        <item m="1" x="3721"/>
        <item m="1" x="6527"/>
        <item m="1" x="2719"/>
        <item m="1" x="5156"/>
        <item m="1" x="4274"/>
        <item m="1" x="4393"/>
        <item m="1" x="6272"/>
        <item m="1" x="4550"/>
        <item m="1" x="6142"/>
        <item m="1" x="3948"/>
        <item m="1" x="5376"/>
        <item m="1" x="4658"/>
        <item m="1" x="3664"/>
        <item m="1" x="2750"/>
        <item m="1" x="6976"/>
        <item m="1" x="4087"/>
        <item m="1" x="4360"/>
        <item m="1" x="4088"/>
        <item m="1" x="4604"/>
        <item m="1" x="7522"/>
        <item m="1" x="4227"/>
        <item m="1" x="7467"/>
        <item m="1" x="6627"/>
        <item m="1" x="3894"/>
        <item m="1" x="4970"/>
        <item m="1" x="6035"/>
        <item m="1" x="6853"/>
        <item m="1" x="3892"/>
        <item m="1" x="5312"/>
        <item m="1" x="6411"/>
        <item m="1" x="5323"/>
        <item m="1" x="3889"/>
        <item m="1" x="6164"/>
        <item m="1" x="7598"/>
        <item m="1" x="4564"/>
        <item m="1" x="3461"/>
        <item m="1" x="6234"/>
        <item m="1" x="7855"/>
        <item m="1" x="2583"/>
        <item m="1" x="3856"/>
        <item m="1" x="3528"/>
        <item m="1" x="3058"/>
        <item m="1" x="5981"/>
        <item m="1" x="4271"/>
        <item m="1" x="4472"/>
        <item m="1" x="7748"/>
        <item m="1" x="6347"/>
        <item m="1" x="4597"/>
        <item m="1" x="7322"/>
        <item m="1" x="3720"/>
        <item m="1" x="2868"/>
        <item m="1" x="3516"/>
        <item m="1" x="3642"/>
        <item m="1" x="7407"/>
        <item m="1" x="6179"/>
        <item m="1" x="6151"/>
        <item m="1" x="3991"/>
        <item m="1" x="5325"/>
        <item m="1" x="4573"/>
        <item m="1" x="5524"/>
        <item m="1" x="3806"/>
        <item m="1" x="4349"/>
        <item m="1" x="7523"/>
        <item m="1" x="4228"/>
        <item m="1" x="7468"/>
        <item m="1" x="7548"/>
        <item m="1" x="4187"/>
        <item m="1" x="7807"/>
        <item m="1" x="3973"/>
        <item m="1" x="6628"/>
        <item m="1" x="3389"/>
        <item m="1" x="7237"/>
        <item m="1" x="6929"/>
        <item m="1" x="3982"/>
        <item m="1" x="4621"/>
        <item m="1" x="2866"/>
        <item m="1" x="5093"/>
        <item m="1" x="5135"/>
        <item m="1" x="4433"/>
        <item m="1" x="4751"/>
        <item m="1" x="3954"/>
        <item m="1" x="7936"/>
        <item m="1" x="3123"/>
        <item m="1" x="4319"/>
        <item m="1" x="4381"/>
        <item m="1" x="3124"/>
        <item m="1" x="4076"/>
        <item m="1" x="4077"/>
        <item m="1" x="6073"/>
        <item m="1" x="4552"/>
        <item m="1" x="7098"/>
        <item m="1" x="4078"/>
        <item m="1" x="5200"/>
        <item m="1" x="7977"/>
        <item m="1" x="7166"/>
        <item m="1" x="3983"/>
        <item m="1" x="4822"/>
        <item m="1" x="6766"/>
        <item m="1" x="6444"/>
        <item m="1" x="3927"/>
        <item m="1" x="7524"/>
        <item m="1" x="4229"/>
        <item m="1" x="7469"/>
        <item m="1" x="7818"/>
        <item m="1" x="7659"/>
        <item m="1" x="4019"/>
        <item m="1" x="4498"/>
        <item m="1" x="5276"/>
        <item m="1" x="5019"/>
        <item m="1" x="5273"/>
        <item m="1" x="4414"/>
        <item m="1" x="6467"/>
        <item m="1" x="4251"/>
        <item m="1" x="4382"/>
        <item m="1" x="7700"/>
        <item m="1" x="4235"/>
        <item m="1" x="3398"/>
        <item m="1" x="7143"/>
        <item m="1" x="5386"/>
        <item m="1" x="6857"/>
        <item m="1" x="7881"/>
        <item m="1" x="6834"/>
        <item m="1" x="4612"/>
        <item m="1" x="7525"/>
        <item m="1" x="4230"/>
        <item m="1" x="7470"/>
        <item m="1" x="3562"/>
        <item m="1" x="7096"/>
        <item m="1" x="3844"/>
        <item m="1" x="7629"/>
        <item m="1" x="2593"/>
        <item m="1" x="6324"/>
        <item m="1" x="4553"/>
        <item m="1" x="5286"/>
        <item m="1" x="5120"/>
        <item m="1" x="2977"/>
        <item m="1" x="5984"/>
        <item m="1" x="6210"/>
        <item m="1" x="4428"/>
        <item m="1" x="3659"/>
        <item m="1" x="6228"/>
        <item m="1" x="4510"/>
        <item m="1" x="4490"/>
        <item m="1" x="6476"/>
        <item m="1" x="3937"/>
        <item m="1" x="7438"/>
        <item m="1" x="6477"/>
        <item m="1" x="3740"/>
        <item m="1" x="7811"/>
        <item m="1" x="2695"/>
        <item m="1" x="4518"/>
        <item m="1" x="4969"/>
        <item m="1" x="2586"/>
        <item m="1" x="5739"/>
        <item m="1" x="4950"/>
        <item m="1" x="5539"/>
        <item m="1" x="4817"/>
        <item m="1" x="7308"/>
        <item m="1" x="4354"/>
        <item m="1" x="4328"/>
        <item m="1" x="7459"/>
        <item m="1" x="4829"/>
        <item m="1" x="3581"/>
        <item m="1" x="7581"/>
        <item m="1" x="7526"/>
        <item m="1" x="4231"/>
        <item m="1" x="7471"/>
        <item m="1" x="3739"/>
        <item m="1" x="4651"/>
        <item m="1" x="6067"/>
        <item m="1" x="7307"/>
        <item m="1" x="4542"/>
        <item m="1" x="2983"/>
        <item m="1" x="6669"/>
        <item m="1" x="6622"/>
        <item m="1" x="2680"/>
        <item m="1" x="5658"/>
        <item m="1" x="3207"/>
        <item m="1" x="2885"/>
        <item m="1" x="7504"/>
        <item m="1" x="3127"/>
        <item m="1" x="4809"/>
        <item m="1" x="5862"/>
        <item m="1" x="3839"/>
        <item m="1" x="5542"/>
        <item m="1" x="4204"/>
        <item m="1" x="6814"/>
        <item m="1" x="6290"/>
        <item m="1" x="3337"/>
        <item m="1" x="6998"/>
        <item m="1" x="6145"/>
        <item m="1" x="4903"/>
        <item m="1" x="7893"/>
        <item m="1" x="2945"/>
        <item m="1" x="6586"/>
        <item m="1" x="5052"/>
        <item m="1" x="7556"/>
        <item m="1" x="5283"/>
        <item m="1" x="5063"/>
        <item m="1" x="7116"/>
        <item m="1" x="4003"/>
        <item m="1" x="7003"/>
        <item m="1" x="6786"/>
        <item m="1" x="5199"/>
        <item m="1" x="5231"/>
        <item m="1" x="7051"/>
        <item m="1" x="6475"/>
        <item m="1" x="3326"/>
        <item m="1" x="7856"/>
        <item m="1" x="4366"/>
        <item m="1" x="5061"/>
        <item m="1" x="4159"/>
        <item m="1" x="4380"/>
        <item m="1" x="5551"/>
        <item m="1" x="5229"/>
        <item m="1" x="6003"/>
        <item m="1" x="2964"/>
        <item m="1" x="7477"/>
        <item m="1" x="3934"/>
        <item m="1" x="4495"/>
        <item m="1" x="2649"/>
        <item m="1" x="7413"/>
        <item m="1" x="7222"/>
        <item m="1" x="3981"/>
        <item m="1" x="4595"/>
        <item m="1" x="5525"/>
        <item m="1" x="7862"/>
        <item m="1" x="3477"/>
        <item m="1" x="4149"/>
        <item m="1" x="7117"/>
        <item m="1" x="4004"/>
        <item m="1" x="7004"/>
        <item m="1" x="6845"/>
        <item m="1" x="4313"/>
        <item m="1" x="4889"/>
        <item m="1" x="6379"/>
        <item m="1" x="6667"/>
        <item m="1" x="3666"/>
        <item m="1" x="3125"/>
        <item m="1" x="7323"/>
        <item m="1" x="5510"/>
        <item m="1" x="7456"/>
        <item m="1" x="4934"/>
        <item m="1" x="5964"/>
        <item m="1" x="3321"/>
        <item m="1" x="4303"/>
        <item m="1" x="6767"/>
        <item m="1" x="5094"/>
        <item m="1" x="6850"/>
        <item m="1" x="5558"/>
        <item m="1" x="6955"/>
        <item m="1" x="7344"/>
        <item m="1" x="4483"/>
        <item m="1" x="4943"/>
        <item m="1" x="2539"/>
        <item m="1" x="6149"/>
        <item m="1" x="4239"/>
        <item m="1" x="5505"/>
        <item m="1" x="4041"/>
        <item m="1" x="3752"/>
        <item m="1" x="4384"/>
        <item m="1" x="6942"/>
        <item m="1" x="4080"/>
        <item m="1" x="6439"/>
        <item m="1" x="7058"/>
        <item m="1" x="5285"/>
        <item m="1" x="5113"/>
        <item m="1" x="6554"/>
        <item m="1" x="7118"/>
        <item m="1" x="4005"/>
        <item m="1" x="7005"/>
        <item m="1" x="6907"/>
        <item m="1" x="3063"/>
        <item m="1" x="7482"/>
        <item m="1" x="6654"/>
        <item m="1" x="7781"/>
        <item m="1" x="5430"/>
        <item m="1" x="7814"/>
        <item m="1" x="6542"/>
        <item m="1" x="2585"/>
        <item m="1" x="7281"/>
        <item m="1" x="2754"/>
        <item m="1" x="4591"/>
        <item m="1" x="7333"/>
        <item m="1" x="4867"/>
        <item m="1" x="5361"/>
        <item m="1" x="2792"/>
        <item m="1" x="5442"/>
        <item m="1" x="2542"/>
        <item m="1" x="3100"/>
        <item m="1" x="7341"/>
        <item m="1" x="6216"/>
        <item m="1" x="6502"/>
        <item m="1" x="7083"/>
        <item m="1" x="7989"/>
        <item m="1" x="2946"/>
        <item m="1" x="3243"/>
        <item m="1" x="3334"/>
        <item m="1" x="7311"/>
        <item m="1" x="3093"/>
        <item m="1" x="7119"/>
        <item m="1" x="4006"/>
        <item m="1" x="7006"/>
        <item m="1" x="3129"/>
        <item m="1" x="3738"/>
        <item m="1" x="4994"/>
        <item m="1" x="5170"/>
        <item m="1" x="3565"/>
        <item m="1" x="5817"/>
        <item m="1" x="5990"/>
        <item m="1" x="5343"/>
        <item m="1" x="2702"/>
        <item m="1" x="7446"/>
        <item m="1" x="3435"/>
        <item m="1" x="6837"/>
        <item m="1" x="4816"/>
        <item m="1" x="3577"/>
        <item m="1" x="6110"/>
        <item m="1" x="3622"/>
        <item m="1" x="7495"/>
        <item m="1" x="5518"/>
        <item m="1" x="5221"/>
        <item m="1" x="7292"/>
        <item m="1" x="6868"/>
        <item m="1" x="6105"/>
        <item m="1" x="4343"/>
        <item m="1" x="3379"/>
        <item m="1" x="6381"/>
        <item m="1" x="4749"/>
        <item m="1" x="7573"/>
        <item m="1" x="7540"/>
        <item m="1" x="5804"/>
        <item m="1" x="2645"/>
        <item m="1" x="6728"/>
        <item m="1" x="4841"/>
        <item m="1" x="6220"/>
        <item m="1" x="5891"/>
        <item m="1" x="5698"/>
        <item m="1" x="6959"/>
        <item m="1" x="5640"/>
        <item m="1" x="6358"/>
        <item m="1" x="4659"/>
        <item m="1" x="3317"/>
        <item m="1" x="6302"/>
        <item m="1" x="7114"/>
        <item m="1" x="2771"/>
        <item m="1" x="6212"/>
        <item m="1" x="7319"/>
        <item m="1" x="4993"/>
        <item m="1" x="4805"/>
        <item m="1" x="6262"/>
        <item m="1" x="7875"/>
        <item m="1" x="5751"/>
        <item m="1" x="5674"/>
        <item m="1" x="5281"/>
        <item m="1" x="4596"/>
        <item m="1" x="7907"/>
        <item m="1" x="7447"/>
        <item m="1" x="3719"/>
        <item m="1" x="6772"/>
        <item m="1" x="3504"/>
        <item m="1" x="4949"/>
        <item m="1" x="4926"/>
        <item m="1" x="3975"/>
        <item m="1" x="6343"/>
        <item m="1" x="2950"/>
        <item m="1" x="7415"/>
        <item m="1" x="4845"/>
        <item m="1" x="6083"/>
        <item m="1" x="4435"/>
        <item m="1" x="7120"/>
        <item m="1" x="4007"/>
        <item m="1" x="7007"/>
        <item m="1" x="5780"/>
        <item m="1" x="5691"/>
        <item m="1" x="3972"/>
        <item m="1" x="4802"/>
        <item m="1" x="4828"/>
        <item m="1" x="3458"/>
        <item m="1" x="3781"/>
        <item m="1" x="5519"/>
        <item m="1" x="5886"/>
        <item m="1" x="3217"/>
        <item m="1" x="7592"/>
        <item m="1" x="7000"/>
        <item m="1" x="7976"/>
        <item m="1" x="7121"/>
        <item m="1" x="4008"/>
        <item m="1" x="7008"/>
        <item m="1" x="7827"/>
        <item m="1" x="4364"/>
        <item m="1" x="7247"/>
        <item m="1" x="5154"/>
        <item m="1" x="4557"/>
        <item m="1" x="7079"/>
        <item m="1" x="5940"/>
        <item m="1" x="6972"/>
        <item m="1" x="3906"/>
        <item m="1" x="4289"/>
        <item m="1" x="7347"/>
        <item m="1" x="3616"/>
        <item m="1" x="6871"/>
        <item m="1" x="5530"/>
        <item m="1" x="2838"/>
        <item m="1" x="6704"/>
        <item m="1" x="6161"/>
        <item m="1" x="5203"/>
        <item m="1" x="7735"/>
        <item m="1" x="4181"/>
        <item m="1" x="4628"/>
        <item m="1" x="5298"/>
        <item m="1" x="5264"/>
        <item m="1" x="5610"/>
        <item m="1" x="3575"/>
        <item m="1" x="3580"/>
        <item m="1" x="7849"/>
        <item m="1" x="7417"/>
        <item m="1" x="6264"/>
        <item m="1" x="3304"/>
        <item m="1" x="7400"/>
        <item m="1" x="7359"/>
        <item m="1" x="4112"/>
        <item m="1" x="3110"/>
        <item m="1" x="7122"/>
        <item m="1" x="4009"/>
        <item m="1" x="7009"/>
        <item m="1" x="2858"/>
        <item m="1" x="3843"/>
        <item m="1" x="5572"/>
        <item m="1" x="7354"/>
        <item m="1" x="7157"/>
        <item m="1" x="7910"/>
        <item m="1" x="6260"/>
        <item m="1" x="3947"/>
        <item m="1" x="5605"/>
        <item m="1" x="4111"/>
        <item m="1" x="7409"/>
        <item m="1" x="6268"/>
        <item m="1" x="4389"/>
        <item m="1" x="6134"/>
        <item m="1" x="4059"/>
        <item m="1" x="4207"/>
        <item m="1" x="4447"/>
        <item m="1" x="3310"/>
        <item m="1" x="2819"/>
        <item m="1" x="3537"/>
        <item m="1" x="2755"/>
        <item m="1" x="4047"/>
        <item m="1" x="3688"/>
        <item m="1" x="3263"/>
        <item m="1" x="4439"/>
        <item m="1" x="7123"/>
        <item m="1" x="4010"/>
        <item m="1" x="7010"/>
        <item m="1" x="4616"/>
        <item m="1" x="3797"/>
        <item m="1" x="7316"/>
        <item m="1" x="4911"/>
        <item m="1" x="4249"/>
        <item m="1" x="5316"/>
        <item m="1" x="5320"/>
        <item m="1" x="7094"/>
        <item m="1" x="6595"/>
        <item m="1" x="4789"/>
        <item m="1" x="6804"/>
        <item m="1" x="5639"/>
        <item m="1" x="7992"/>
        <item m="1" x="4876"/>
        <item m="1" x="3499"/>
        <item m="1" x="6645"/>
        <item m="1" x="5317"/>
        <item m="1" x="3560"/>
        <item m="1" x="7293"/>
        <item m="1" x="3710"/>
        <item m="1" x="4695"/>
        <item m="1" x="4258"/>
        <item m="1" x="6506"/>
        <item m="1" x="4044"/>
        <item m="1" x="3213"/>
        <item m="1" x="2969"/>
        <item m="1" x="3632"/>
        <item m="1" x="4011"/>
        <item m="1" x="7011"/>
        <item m="1" x="6064"/>
        <item m="1" x="3191"/>
        <item m="1" x="5408"/>
        <item m="1" x="4975"/>
        <item m="1" x="7675"/>
        <item m="1" x="6524"/>
        <item m="1" x="6178"/>
        <item m="1" x="5371"/>
        <item m="1" x="4727"/>
        <item m="1" x="4089"/>
        <item m="1" x="3751"/>
        <item m="1" x="6006"/>
        <item m="1" x="7445"/>
        <item m="1" x="7542"/>
        <item m="1" x="2635"/>
        <item m="1" x="7662"/>
        <item m="1" x="6292"/>
        <item m="1" x="4701"/>
        <item m="1" x="4117"/>
        <item m="1" x="2760"/>
        <item m="1" x="3950"/>
        <item m="1" x="2789"/>
        <item m="1" x="5904"/>
        <item m="1" x="5905"/>
        <item m="1" x="5906"/>
        <item m="1" x="5907"/>
        <item m="1" x="5908"/>
        <item m="1" x="5909"/>
        <item m="1" x="5910"/>
        <item m="1" x="5911"/>
        <item m="1" x="2612"/>
        <item m="1" x="2613"/>
        <item m="1" x="2614"/>
        <item m="1" x="2615"/>
        <item m="1" x="2616"/>
        <item m="1" x="2617"/>
        <item m="1" x="2618"/>
        <item m="1" x="2619"/>
        <item m="1" x="2620"/>
        <item m="1" x="4049"/>
        <item m="1" x="4050"/>
        <item m="1" x="4051"/>
        <item m="1" x="4052"/>
        <item m="1" x="4053"/>
        <item m="1" x="4054"/>
        <item m="1" x="4055"/>
        <item m="1" x="6556"/>
        <item m="1" x="3401"/>
        <item m="1" x="6415"/>
        <item m="1" x="3275"/>
        <item m="1" x="6299"/>
        <item m="1" x="3396"/>
        <item m="1" x="6174"/>
        <item m="1" x="2998"/>
        <item m="1" x="5999"/>
        <item m="1" x="7423"/>
        <item m="1" x="7425"/>
        <item m="1" x="7426"/>
        <item m="1" x="7428"/>
        <item m="1" x="7430"/>
        <item m="1" x="7431"/>
        <item m="1" x="7433"/>
        <item m="1" x="7435"/>
        <item m="1" x="7436"/>
        <item m="1" x="7437"/>
        <item m="1" x="4281"/>
        <item m="1" x="4282"/>
        <item m="1" x="4284"/>
        <item m="1" x="4285"/>
        <item m="1" x="4286"/>
        <item m="1" x="4288"/>
        <item m="1" x="4291"/>
        <item m="1" x="4292"/>
        <item m="1" x="4293"/>
        <item m="1" x="4294"/>
        <item m="1" x="4939"/>
        <item m="1" x="7773"/>
        <item m="1" x="7277"/>
        <item m="1" x="4107"/>
        <item m="1" x="7135"/>
        <item m="1" x="3913"/>
        <item m="1" x="6973"/>
        <item m="1" x="3800"/>
        <item m="1" x="3473"/>
        <item m="1" x="6496"/>
        <item m="1" x="7568"/>
        <item m="1" x="6572"/>
        <item m="1" x="3411"/>
        <item m="1" x="6428"/>
        <item m="1" x="3283"/>
        <item m="1" x="6315"/>
        <item m="1" x="3156"/>
        <item m="1" x="6183"/>
        <item m="1" x="3011"/>
        <item m="1" x="7429"/>
        <item m="1" x="3090"/>
        <item m="1" x="6107"/>
        <item m="1" x="2958"/>
        <item m="1" x="5956"/>
        <item m="1" x="2844"/>
        <item m="1" x="5819"/>
        <item m="1" x="6743"/>
        <item m="1" x="5562"/>
        <item m="1" x="3107"/>
        <item m="1" x="6104"/>
        <item m="1" x="2968"/>
        <item m="1" x="7725"/>
        <item m="1" x="5921"/>
        <item m="1" x="2710"/>
        <item m="1" x="5789"/>
        <item m="1" x="2648"/>
        <item m="1" x="2835"/>
        <item m="1" x="6687"/>
        <item m="1" x="2718"/>
        <item m="1" x="4700"/>
        <item m="1" x="7591"/>
        <item m="1" x="5855"/>
        <item m="1" x="3421"/>
        <item m="1" x="6856"/>
        <item m="1" x="2825"/>
        <item m="1" x="6041"/>
        <item m="1" x="6954"/>
        <item m="1" x="2803"/>
        <item m="1" x="4590"/>
        <item m="1" x="3959"/>
        <item m="1" x="3521"/>
        <item m="1" x="6271"/>
        <item m="1" x="7650"/>
        <item m="1" x="6215"/>
        <item m="1" x="6563"/>
        <item m="1" x="3404"/>
        <item m="1" x="5196"/>
        <item m="1" x="3582"/>
        <item m="1" x="6521"/>
        <item m="1" x="6924"/>
        <item m="1" x="3523"/>
        <item m="1" x="4974"/>
        <item m="1" x="6637"/>
        <item m="1" x="6128"/>
        <item m="1" x="4530"/>
        <item m="1" x="6509"/>
        <item m="1" x="3535"/>
        <item m="1" x="6991"/>
        <item m="1" x="5178"/>
        <item m="1" x="5335"/>
        <item m="1" x="6836"/>
        <item m="1" x="6819"/>
        <item m="1" x="7367"/>
        <item m="1" x="4893"/>
        <item m="1" x="5279"/>
        <item m="1" x="4715"/>
        <item m="1" x="4626"/>
        <item m="1" x="5853"/>
        <item m="1" x="5732"/>
        <item m="1" x="4929"/>
        <item m="1" x="5244"/>
        <item m="1" x="6346"/>
        <item m="1" x="3782"/>
        <item m="1" x="6461"/>
        <item m="1" x="7355"/>
        <item m="1" x="6106"/>
        <item m="1" x="6855"/>
        <item m="1" x="3819"/>
        <item m="1" x="3042"/>
        <item m="1" x="7546"/>
        <item m="1" x="3418"/>
        <item m="1" x="2831"/>
        <item m="1" x="5008"/>
        <item m="1" x="7045"/>
        <item m="1" x="3700"/>
        <item m="1" x="6530"/>
        <item m="1" x="3772"/>
        <item m="1" x="4579"/>
        <item x="2511"/>
        <item m="1" x="6111"/>
        <item m="1" x="5619"/>
        <item m="1" x="3426"/>
        <item m="1" x="2554"/>
        <item m="1" x="7180"/>
        <item m="1" x="4777"/>
        <item m="1" x="7873"/>
        <item m="1" x="5453"/>
        <item m="1" x="4121"/>
        <item m="1" x="6092"/>
        <item m="1" x="6889"/>
        <item m="1" x="7848"/>
        <item m="1" x="4869"/>
        <item m="1" x="2544"/>
        <item m="1" x="3245"/>
        <item m="1" x="7206"/>
        <item m="1" x="7958"/>
        <item m="1" x="3386"/>
        <item m="1" x="6520"/>
        <item m="1" x="5851"/>
        <item m="1" x="3281"/>
        <item m="1" x="5801"/>
        <item m="1" x="7943"/>
        <item m="1" x="7529"/>
        <item m="1" x="6235"/>
        <item m="1" x="2659"/>
        <item m="1" x="6466"/>
        <item m="1" x="7847"/>
        <item m="1" x="5967"/>
        <item m="1" x="3160"/>
        <item m="1" x="3344"/>
        <item m="1" x="7372"/>
        <item m="1" x="7403"/>
        <item m="1" x="7291"/>
        <item m="1" x="4119"/>
        <item m="1" x="7153"/>
        <item m="1" x="4436"/>
        <item m="1" x="7564"/>
        <item m="1" x="6275"/>
        <item m="1" x="3829"/>
        <item m="1" x="7789"/>
        <item m="1" x="6076"/>
        <item m="1" x="4873"/>
        <item m="1" x="7177"/>
        <item m="1" x="7072"/>
        <item m="1" x="6829"/>
        <item m="1" x="4147"/>
        <item m="1" x="6089"/>
        <item m="1" x="2706"/>
        <item m="1" x="3128"/>
        <item m="1" x="4832"/>
        <item m="1" x="7450"/>
        <item m="1" x="3490"/>
        <item m="1" x="5527"/>
        <item m="1" x="7623"/>
        <item m="1" x="3140"/>
        <item m="1" x="6385"/>
        <item m="1" x="3645"/>
        <item m="1" x="3051"/>
        <item m="1" x="7829"/>
        <item m="1" x="7534"/>
        <item m="1" x="6620"/>
        <item m="1" x="6632"/>
        <item m="1" x="7954"/>
        <item m="1" x="4200"/>
        <item m="1" x="7026"/>
        <item m="1" x="3405"/>
        <item m="1" x="6392"/>
        <item m="1" x="7715"/>
        <item m="1" x="3134"/>
        <item m="1" x="6263"/>
        <item m="1" x="3680"/>
        <item m="1" x="4882"/>
        <item m="1" x="6574"/>
        <item m="1" x="3387"/>
        <item m="1" x="7655"/>
        <item m="1" x="2640"/>
        <item m="1" x="7102"/>
        <item m="1" x="6246"/>
        <item m="1" x="5435"/>
        <item m="1" x="7365"/>
        <item m="1" x="3646"/>
        <item m="1" x="3052"/>
        <item m="1" x="7830"/>
        <item m="1" x="7535"/>
        <item m="1" x="7202"/>
        <item m="1" x="7027"/>
        <item m="1" x="4746"/>
        <item m="1" x="5636"/>
        <item m="1" x="4559"/>
        <item m="1" x="4161"/>
        <item m="1" x="6791"/>
        <item m="1" x="6843"/>
        <item m="1" x="6714"/>
        <item m="1" x="5182"/>
        <item m="1" x="6623"/>
        <item m="1" x="5111"/>
        <item m="1" x="6214"/>
        <item m="1" x="2561"/>
        <item m="1" x="3345"/>
        <item m="1" x="4357"/>
        <item m="1" x="3267"/>
        <item m="1" x="5887"/>
        <item m="1" x="6686"/>
        <item m="1" x="5567"/>
        <item m="1" x="4299"/>
        <item m="1" x="7626"/>
        <item m="1" x="6491"/>
        <item m="1" x="2657"/>
        <item m="1" x="3257"/>
        <item m="1" x="6282"/>
        <item m="1" x="3573"/>
        <item m="1" x="4725"/>
        <item m="1" x="3657"/>
        <item m="1" x="5920"/>
        <item m="1" x="3867"/>
        <item m="1" x="4932"/>
        <item m="1" x="4109"/>
        <item m="1" x="4529"/>
        <item m="1" x="2589"/>
        <item m="1" x="4526"/>
        <item m="1" x="4527"/>
        <item m="1" x="6975"/>
        <item m="1" x="6247"/>
        <item m="1" x="4639"/>
        <item m="1" x="2874"/>
        <item m="1" x="7681"/>
        <item m="1" x="5815"/>
        <item m="1" x="3234"/>
        <item m="1" x="3872"/>
        <item m="1" x="5728"/>
        <item m="1" x="2939"/>
        <item m="1" x="7858"/>
        <item m="1" x="7313"/>
        <item m="1" x="6983"/>
        <item m="1" x="4025"/>
        <item m="1" x="6046"/>
        <item m="1" x="3803"/>
        <item m="1" x="5721"/>
        <item m="1" x="5398"/>
        <item m="1" x="3542"/>
        <item m="1" x="6443"/>
        <item m="1" x="2795"/>
        <item m="1" x="7021"/>
        <item m="1" x="4411"/>
        <item m="1" x="6002"/>
        <item m="1" x="2603"/>
        <item m="1" x="4697"/>
        <item m="1" x="5838"/>
        <item m="1" x="5023"/>
        <item m="1" x="5015"/>
        <item m="1" x="3610"/>
        <item m="1" x="2704"/>
        <item m="1" x="6912"/>
        <item m="1" x="6486"/>
        <item m="1" x="6822"/>
        <item m="1" x="6662"/>
        <item m="1" x="4056"/>
        <item m="1" x="3647"/>
        <item m="1" x="3053"/>
        <item m="1" x="7831"/>
        <item m="1" x="7536"/>
        <item m="1" x="7721"/>
        <item m="1" x="5662"/>
        <item m="1" x="7296"/>
        <item m="1" x="2800"/>
        <item m="1" x="7473"/>
        <item m="1" x="6875"/>
        <item m="1" x="4990"/>
        <item m="1" x="7585"/>
        <item m="1" x="3854"/>
        <item m="1" x="2737"/>
        <item m="1" x="7244"/>
        <item m="1" x="7034"/>
        <item m="1" x="3223"/>
        <item m="1" x="3264"/>
        <item m="1" x="3252"/>
        <item m="1" x="3270"/>
        <item m="1" x="3259"/>
        <item m="1" x="2925"/>
        <item m="1" x="3106"/>
        <item m="1" x="7070"/>
        <item m="1" x="6494"/>
        <item m="1" x="3031"/>
        <item m="1" x="5488"/>
        <item m="1" x="3089"/>
        <item m="1" x="5664"/>
        <item m="1" x="3166"/>
        <item m="1" x="6921"/>
        <item m="1" x="7722"/>
        <item m="1" x="5644"/>
        <item m="1" x="5497"/>
        <item m="1" x="2643"/>
        <item m="1" x="5538"/>
        <item m="1" x="5893"/>
        <item m="1" x="5676"/>
        <item m="1" x="5899"/>
        <item m="1" x="5411"/>
        <item m="1" x="6464"/>
        <item m="1" x="7588"/>
        <item m="1" x="7371"/>
        <item m="1" x="3813"/>
        <item m="1" x="6699"/>
        <item m="1" x="3816"/>
        <item m="1" x="3273"/>
        <item m="1" x="6710"/>
        <item m="1" x="3779"/>
        <item m="1" x="3783"/>
        <item m="1" x="4831"/>
        <item m="1" x="5087"/>
        <item m="1" x="4304"/>
        <item m="1" x="6576"/>
        <item m="1" x="3361"/>
        <item m="1" x="3615"/>
        <item m="1" x="6304"/>
        <item m="1" x="7236"/>
        <item m="1" x="3315"/>
        <item m="1" x="6283"/>
        <item m="1" x="5464"/>
        <item m="1" x="6360"/>
        <item m="1" x="3605"/>
        <item m="1" x="4456"/>
        <item m="1" x="4092"/>
        <item m="1" x="2581"/>
        <item m="1" x="4137"/>
        <item m="1" x="2806"/>
        <item m="1" x="7299"/>
        <item m="1" x="7900"/>
        <item m="1" x="4342"/>
        <item m="1" x="5958"/>
        <item m="1" x="3614"/>
        <item m="1" x="6901"/>
        <item m="1" x="2897"/>
        <item m="1" x="3020"/>
        <item m="1" x="3835"/>
        <item m="1" x="3021"/>
        <item m="1" x="5944"/>
        <item m="1" x="5680"/>
        <item m="1" x="7955"/>
        <item m="1" x="3371"/>
        <item m="1" x="5413"/>
        <item m="1" x="5466"/>
        <item m="1" x="5274"/>
        <item m="1" x="7289"/>
        <item m="1" x="3155"/>
        <item m="1" x="6484"/>
        <item m="1" x="6056"/>
        <item m="1" x="4385"/>
        <item m="1" x="6553"/>
        <item m="1" x="7839"/>
        <item m="1" x="6152"/>
        <item m="1" x="4318"/>
        <item m="1" x="3200"/>
        <item m="1" x="3640"/>
        <item m="1" x="5890"/>
        <item m="1" x="6721"/>
        <item m="1" x="2758"/>
        <item m="1" x="5159"/>
        <item m="1" x="6858"/>
        <item m="1" x="6671"/>
        <item m="1" x="3514"/>
        <item m="1" x="5983"/>
        <item m="1" x="3658"/>
        <item m="1" x="6726"/>
        <item m="1" x="7086"/>
        <item m="1" x="4583"/>
        <item m="1" x="7348"/>
        <item m="1" x="5228"/>
        <item m="1" x="4340"/>
        <item m="1" x="5369"/>
        <item m="1" x="7507"/>
        <item m="1" x="7508"/>
        <item m="1" x="2628"/>
        <item m="1" x="4515"/>
        <item m="1" x="7509"/>
        <item m="1" x="3256"/>
        <item m="1" x="6450"/>
        <item m="1" x="3189"/>
        <item m="1" x="7012"/>
        <item m="1" x="3482"/>
        <item m="1" x="3173"/>
        <item m="1" x="6090"/>
        <item m="1" x="2606"/>
        <item m="1" x="6802"/>
        <item m="1" x="3798"/>
        <item m="1" x="3696"/>
        <item m="1" x="2814"/>
        <item m="1" x="7615"/>
        <item m="1" x="7947"/>
        <item m="1" x="4851"/>
        <item m="1" x="5735"/>
        <item m="1" x="5080"/>
        <item m="1" x="2610"/>
        <item m="1" x="5224"/>
        <item m="1" x="5765"/>
        <item m="1" x="3526"/>
        <item m="1" x="6744"/>
        <item m="1" x="3655"/>
        <item m="1" x="4254"/>
        <item m="1" x="4216"/>
        <item m="1" x="7411"/>
        <item m="1" x="7547"/>
        <item m="1" x="3436"/>
        <item m="1" x="7022"/>
        <item m="1" x="3946"/>
        <item m="1" x="7769"/>
        <item m="1" x="6191"/>
        <item m="1" x="5071"/>
        <item m="1" x="3297"/>
        <item m="1" x="2783"/>
        <item m="1" x="7510"/>
        <item m="1" x="7701"/>
        <item m="1" x="3712"/>
        <item m="1" x="2805"/>
        <item m="1" x="7440"/>
        <item m="1" x="7370"/>
        <item m="1" x="3778"/>
        <item m="1" x="2850"/>
        <item m="1" x="6717"/>
        <item m="1" x="7419"/>
        <item m="1" x="6305"/>
        <item m="1" x="3654"/>
        <item m="1" x="2898"/>
        <item m="1" x="5342"/>
        <item m="1" x="3592"/>
        <item m="1" x="7905"/>
        <item m="1" x="7191"/>
        <item m="1" x="6621"/>
        <item m="1" x="6585"/>
        <item m="1" x="4300"/>
        <item m="1" x="2661"/>
        <item m="1" x="7019"/>
        <item m="1" x="4521"/>
        <item m="1" x="2518"/>
        <item m="1" x="3431"/>
        <item m="1" x="7044"/>
        <item m="1" x="7081"/>
        <item m="1" x="2766"/>
        <item m="1" x="6562"/>
        <item m="1" x="4713"/>
        <item m="1" x="7800"/>
        <item m="1" x="6864"/>
        <item m="1" x="6091"/>
        <item m="1" x="6042"/>
        <item m="1" x="5355"/>
        <item m="1" x="4132"/>
        <item m="1" x="4666"/>
        <item m="1" x="5970"/>
        <item m="1" x="4460"/>
        <item m="1" x="6508"/>
        <item m="1" x="3920"/>
        <item m="1" x="6988"/>
        <item m="1" x="7147"/>
        <item m="1" x="6070"/>
        <item m="1" x="2932"/>
        <item m="1" x="5929"/>
        <item m="1" x="7963"/>
        <item m="1" x="6495"/>
        <item m="1" x="7566"/>
        <item m="1" x="3891"/>
        <item m="1" x="2821"/>
        <item m="1" x="5791"/>
        <item m="1" x="6348"/>
        <item m="1" x="3656"/>
        <item m="1" x="3707"/>
        <item m="1" x="5573"/>
        <item m="1" x="7982"/>
        <item m="1" x="5618"/>
        <item m="1" x="5481"/>
        <item m="1" x="4398"/>
        <item m="1" x="5050"/>
        <item m="1" x="5155"/>
        <item m="1" x="7342"/>
        <item m="1" x="3534"/>
        <item m="1" x="2540"/>
        <item m="1" x="2632"/>
        <item m="1" x="2999"/>
        <item m="1" x="7948"/>
        <item m="1" x="4794"/>
        <item m="1" x="6261"/>
        <item m="1" x="3149"/>
        <item m="1" x="7151"/>
        <item m="1" x="5302"/>
        <item m="1" x="7156"/>
        <item m="1" x="7731"/>
        <item m="1" x="6869"/>
        <item m="1" x="6675"/>
        <item m="1" x="3600"/>
        <item m="1" x="6170"/>
        <item m="1" x="3104"/>
        <item m="1" x="3428"/>
        <item m="1" x="7378"/>
        <item m="1" x="3178"/>
        <item m="1" x="5446"/>
        <item m="1" x="5420"/>
        <item m="1" x="4513"/>
        <item m="1" x="7835"/>
        <item m="1" x="6402"/>
        <item m="1" x="7836"/>
        <item m="1" x="5816"/>
        <item m="1" x="3503"/>
        <item m="1" x="7582"/>
        <item m="1" x="4764"/>
        <item m="1" x="7268"/>
        <item m="1" x="3055"/>
        <item m="1" x="6739"/>
        <item m="1" x="2966"/>
        <item m="1" x="6308"/>
        <item m="1" x="6303"/>
        <item m="1" x="2553"/>
        <item m="1" x="6331"/>
        <item m="1" x="7410"/>
        <item m="1" x="4923"/>
        <item m="1" x="7485"/>
        <item m="1" x="3177"/>
        <item m="1" x="7335"/>
        <item m="1" x="3372"/>
        <item m="1" x="2763"/>
        <item m="1" x="2637"/>
        <item m="1" x="2689"/>
        <item m="1" x="7065"/>
        <item m="1" x="5028"/>
        <item m="1" x="5109"/>
        <item m="1" x="7279"/>
        <item m="1" x="7969"/>
        <item m="1" x="5950"/>
        <item m="1" x="3795"/>
        <item m="1" x="4908"/>
        <item m="1" x="6468"/>
        <item m="1" x="5057"/>
        <item m="1" x="3780"/>
        <item m="1" x="7837"/>
        <item m="1" x="5730"/>
        <item m="1" x="5622"/>
        <item m="1" x="6165"/>
        <item m="1" x="5256"/>
        <item m="1" x="7056"/>
        <item m="1" x="5668"/>
        <item m="1" x="7984"/>
        <item m="1" x="6108"/>
        <item m="1" x="5263"/>
        <item m="1" x="7802"/>
        <item m="1" x="4757"/>
        <item m="1" x="6121"/>
        <item m="1" x="4217"/>
        <item m="1" x="7178"/>
        <item m="1" x="6611"/>
        <item m="1" x="3072"/>
        <item m="1" x="6318"/>
        <item m="1" x="7617"/>
        <item m="1" x="3774"/>
        <item m="1" x="7803"/>
        <item m="1" x="4245"/>
        <item m="1" x="3746"/>
        <item m="1" x="3141"/>
        <item m="1" x="2909"/>
        <item m="1" x="2935"/>
        <item m="1" x="4941"/>
        <item m="1" x="4139"/>
        <item m="1" x="2699"/>
        <item m="1" x="2943"/>
        <item m="1" x="6335"/>
        <item m="1" x="2725"/>
        <item m="1" x="7069"/>
        <item m="1" x="3346"/>
        <item m="1" x="7109"/>
        <item m="1" x="6336"/>
        <item m="1" x="3035"/>
        <item m="1" x="3215"/>
        <item m="1" x="6528"/>
        <item m="1" x="6227"/>
        <item m="1" x="7877"/>
        <item m="1" x="2843"/>
        <item m="1" x="2685"/>
        <item m="1" x="5992"/>
        <item m="1" x="3508"/>
        <item m="1" x="5600"/>
        <item m="1" x="2732"/>
        <item m="1" x="3008"/>
        <item m="1" x="5461"/>
        <item m="1" x="5334"/>
        <item m="1" x="5742"/>
        <item m="1" x="4734"/>
        <item m="1" x="7838"/>
        <item m="1" x="2677"/>
        <item m="1" x="6693"/>
        <item m="1" x="6109"/>
        <item m="1" x="7749"/>
        <item m="1" x="6157"/>
        <item m="1" x="2985"/>
        <item m="1" x="6922"/>
        <item m="1" x="3519"/>
        <item m="1" x="4961"/>
        <item m="1" x="6169"/>
        <item m="1" x="2992"/>
        <item m="1" x="4482"/>
        <item m="1" x="7880"/>
        <item m="1" x="7108"/>
        <item m="1" x="6181"/>
        <item m="1" x="6489"/>
        <item m="1" x="5422"/>
        <item m="1" x="4760"/>
        <item m="1" x="4233"/>
        <item m="1" x="6050"/>
        <item m="1" x="4329"/>
        <item m="1" x="6144"/>
        <item m="1" x="5010"/>
        <item m="1" x="6526"/>
        <item m="1" x="5421"/>
        <item m="1" x="7869"/>
        <item m="1" x="6317"/>
        <item m="1" x="7190"/>
        <item m="1" x="6884"/>
        <item m="1" x="5602"/>
        <item m="1" x="6672"/>
        <item m="1" x="3150"/>
        <item m="1" x="3660"/>
        <item m="1" x="3142"/>
        <item m="1" x="4330"/>
        <item m="1" x="2791"/>
        <item m="1" x="2973"/>
        <item m="1" x="5081"/>
        <item m="1" x="6925"/>
        <item m="1" x="5101"/>
        <item m="1" x="7492"/>
        <item m="1" x="7895"/>
        <item m="1" x="7808"/>
        <item m="1" x="3825"/>
        <item m="1" x="7197"/>
        <item m="1" x="4337"/>
        <item m="1" x="6459"/>
        <item m="1" x="2650"/>
        <item m="1" x="4307"/>
        <item m="1" x="5290"/>
        <item m="1" x="7020"/>
        <item m="1" x="5137"/>
        <item m="1" x="5889"/>
        <item m="1" x="4791"/>
        <item m="1" x="5327"/>
        <item m="1" x="5313"/>
        <item m="1" x="2607"/>
        <item m="1" x="4577"/>
        <item m="1" x="5383"/>
        <item m="1" x="5246"/>
        <item m="1" x="5220"/>
        <item m="1" x="4877"/>
        <item m="1" x="7304"/>
        <item m="1" x="2799"/>
        <item m="1" x="6401"/>
        <item m="1" x="4405"/>
        <item m="1" x="4551"/>
        <item m="1" x="4611"/>
        <item m="1" x="5336"/>
        <item m="1" x="7061"/>
        <item m="1" x="2594"/>
        <item m="1" x="6564"/>
        <item m="1" x="2798"/>
        <item m="1" x="7666"/>
        <item m="1" x="4305"/>
        <item m="1" x="4837"/>
        <item m="1" x="6854"/>
        <item m="1" x="5669"/>
        <item m="1" x="2664"/>
        <item m="1" x="3748"/>
        <item m="1" x="7124"/>
        <item m="1" x="5311"/>
        <item m="1" x="7694"/>
        <item m="1" x="2521"/>
        <item m="1" x="4784"/>
        <item m="1" x="6701"/>
        <item m="1" x="6155"/>
        <item m="1" x="3429"/>
        <item m="1" x="2984"/>
        <item m="1" x="4999"/>
        <item m="1" x="4093"/>
        <item m="1" x="4023"/>
        <item m="1" x="5933"/>
        <item m="1" x="5301"/>
        <item m="1" x="2903"/>
        <item m="1" x="5140"/>
        <item m="1" x="4425"/>
        <item m="1" x="7850"/>
        <item m="1" x="7550"/>
        <item m="1" x="4504"/>
        <item m="1" x="4614"/>
        <item m="1" x="4899"/>
        <item m="1" x="6189"/>
        <item m="1" x="4618"/>
        <item m="1" x="7864"/>
        <item m="1" x="3192"/>
        <item m="1" x="5963"/>
        <item m="1" x="4981"/>
        <item m="1" x="6659"/>
        <item m="1" x="3933"/>
        <item m="1" x="5912"/>
        <item m="1" x="4157"/>
        <item m="1" x="4522"/>
        <item m="1" x="7717"/>
        <item m="1" x="3409"/>
        <item m="1" x="5708"/>
        <item m="1" x="5477"/>
        <item m="1" x="6251"/>
        <item m="1" x="2767"/>
        <item m="1" x="3597"/>
        <item m="1" x="4687"/>
        <item m="1" x="4445"/>
        <item m="1" x="7107"/>
        <item m="1" x="3644"/>
        <item m="1" x="6647"/>
        <item m="1" x="6378"/>
        <item m="1" x="6711"/>
        <item m="1" x="5756"/>
        <item m="1" x="7885"/>
        <item m="1" x="6156"/>
        <item m="1" x="4332"/>
        <item m="1" x="7569"/>
        <item m="1" x="7018"/>
        <item m="1" x="3679"/>
        <item m="1" x="7201"/>
        <item m="1" x="4762"/>
        <item m="1" x="2837"/>
        <item m="1" x="6332"/>
        <item m="1" x="7759"/>
        <item m="1" x="7146"/>
        <item m="1" x="5882"/>
        <item m="1" x="5561"/>
        <item m="1" x="3312"/>
        <item m="1" x="7163"/>
        <item m="1" x="4811"/>
        <item m="1" x="2948"/>
        <item m="1" x="5946"/>
        <item m="1" x="2742"/>
        <item m="1" x="6813"/>
        <item m="1" x="2953"/>
        <item m="1" x="3084"/>
        <item m="1" x="3028"/>
        <item m="1" x="5046"/>
        <item m="1" x="5707"/>
        <item m="1" x="5437"/>
        <item m="1" x="6173"/>
        <item m="1" x="3271"/>
        <item m="1" x="5438"/>
        <item m="1" x="3804"/>
        <item m="1" x="4656"/>
        <item m="1" x="4459"/>
        <item m="1" x="3915"/>
        <item m="1" x="4790"/>
        <item m="1" x="6799"/>
        <item m="1" x="4511"/>
        <item m="1" x="4692"/>
        <item m="1" x="4912"/>
        <item m="1" x="7273"/>
        <item m="1" x="5654"/>
        <item m="1" x="5546"/>
        <item m="1" x="6825"/>
        <item m="1" x="6503"/>
        <item m="1" x="6568"/>
        <item m="1" x="7412"/>
        <item m="1" x="7782"/>
        <item m="1" x="5194"/>
        <item m="1" x="3673"/>
        <item m="1" x="3882"/>
        <item m="1" x="6999"/>
        <item m="1" x="5083"/>
        <item m="1" x="3907"/>
        <item m="1" x="3343"/>
        <item m="1" x="3502"/>
        <item m="1" x="5445"/>
        <item m="1" x="6192"/>
        <item m="1" x="4660"/>
        <item m="1" x="7077"/>
        <item m="1" x="4145"/>
        <item m="1" x="6903"/>
        <item m="1" x="5648"/>
        <item m="1" x="3766"/>
        <item m="1" x="3265"/>
        <item m="1" x="7733"/>
        <item m="1" x="5089"/>
        <item m="1" x="7252"/>
        <item m="1" x="5685"/>
        <item m="1" x="6957"/>
        <item m="1" x="7590"/>
        <item m="1" x="6636"/>
        <item m="1" x="4779"/>
        <item m="1" x="4392"/>
        <item m="1" x="7794"/>
        <item m="1" x="3753"/>
        <item m="1" x="6609"/>
        <item m="1" x="4138"/>
        <item m="1" x="3291"/>
        <item m="1" x="7055"/>
        <item m="1" x="6421"/>
        <item m="1" x="6900"/>
        <item m="1" x="5509"/>
        <item m="1" x="7334"/>
        <item m="1" x="3966"/>
        <item m="1" x="7271"/>
        <item m="1" x="3773"/>
        <item m="1" x="6061"/>
        <item m="1" x="3716"/>
        <item m="1" x="4935"/>
        <item m="1" x="5849"/>
        <item m="1" x="2801"/>
        <item m="1" x="6996"/>
        <item m="1" x="3056"/>
        <item m="1" x="2877"/>
        <item m="1" x="6130"/>
        <item m="1" x="7527"/>
        <item m="1" x="4367"/>
        <item m="1" x="6677"/>
        <item m="1" x="3878"/>
        <item m="1" x="5086"/>
        <item m="1" x="5593"/>
        <item m="1" x="6968"/>
        <item m="1" x="7242"/>
        <item m="1" x="3364"/>
        <item m="1" x="4246"/>
        <item m="1" x="5436"/>
        <item m="1" x="4916"/>
        <item m="1" x="6546"/>
        <item m="1" x="5208"/>
        <item m="1" x="3697"/>
        <item m="1" x="3309"/>
        <item m="1" x="2889"/>
        <item m="1" x="4684"/>
        <item m="1" x="6723"/>
        <item m="1" x="6596"/>
        <item m="1" x="6022"/>
        <item m="1" x="2624"/>
        <item m="1" x="6370"/>
        <item m="1" x="3083"/>
        <item m="1" x="4171"/>
        <item m="1" x="3910"/>
        <item m="1" x="3180"/>
        <item m="1" x="6285"/>
        <item m="1" x="2563"/>
        <item m="1" x="4091"/>
        <item m="1" x="5798"/>
        <item m="1" x="4454"/>
        <item m="1" x="4852"/>
        <item m="1" x="4862"/>
        <item m="1" x="3467"/>
        <item m="1" x="5688"/>
        <item m="1" x="2849"/>
        <item m="1" x="4358"/>
        <item m="1" x="3624"/>
        <item m="1" x="4793"/>
        <item m="1" x="2857"/>
        <item m="1" x="6841"/>
        <item m="1" x="4729"/>
        <item m="1" x="4379"/>
        <item m="1" x="7714"/>
        <item m="1" x="7238"/>
        <item m="1" x="6136"/>
        <item m="1" x="3557"/>
        <item m="1" x="5918"/>
        <item m="1" x="7865"/>
        <item m="1" x="2855"/>
        <item m="1" x="3327"/>
        <item m="1" x="3693"/>
        <item m="1" x="5650"/>
        <item m="1" x="3419"/>
        <item m="1" x="3465"/>
        <item m="1" x="6435"/>
        <item m="1" x="4917"/>
        <item m="1" x="6547"/>
        <item m="1" x="5209"/>
        <item m="1" x="3698"/>
        <item m="1" x="5531"/>
        <item m="1" x="7337"/>
        <item m="1" x="3956"/>
        <item m="1" x="4755"/>
        <item m="1" x="3154"/>
        <item m="1" x="6670"/>
        <item m="1" x="3004"/>
        <item m="1" x="7647"/>
        <item m="1" x="5205"/>
        <item m="1" x="5131"/>
        <item m="1" x="4338"/>
        <item m="1" x="3206"/>
        <item m="1" x="7087"/>
        <item m="1" x="7028"/>
        <item m="1" x="4523"/>
        <item m="1" x="2538"/>
        <item m="1" x="2530"/>
        <item m="1" x="6656"/>
        <item m="1" x="3250"/>
        <item m="1" x="4378"/>
        <item m="1" x="2712"/>
        <item m="1" x="6969"/>
        <item m="1" x="6581"/>
        <item m="1" x="5146"/>
        <item m="1" x="6618"/>
        <item m="1" x="5160"/>
        <item m="1" x="7397"/>
        <item m="1" x="5124"/>
        <item m="1" x="7764"/>
        <item m="1" x="3554"/>
        <item m="1" x="6824"/>
        <item m="1" x="2921"/>
        <item m="1" x="6112"/>
        <item m="1" x="4531"/>
        <item m="1" x="3143"/>
        <item m="1" x="7851"/>
        <item m="1" x="5389"/>
        <item m="1" x="4860"/>
        <item m="1" x="3606"/>
        <item m="1" x="3715"/>
        <item m="1" x="5475"/>
        <item m="1" x="7942"/>
        <item m="1" x="4264"/>
        <item m="1" x="7152"/>
        <item m="1" x="3082"/>
        <item m="1" x="7825"/>
        <item m="1" x="6326"/>
        <item m="1" x="6765"/>
        <item m="1" x="2673"/>
        <item m="1" x="4257"/>
        <item m="1" x="4555"/>
        <item m="1" x="6548"/>
        <item m="1" x="4582"/>
        <item m="1" x="6685"/>
        <item m="1" x="7772"/>
        <item m="1" x="3713"/>
        <item m="1" x="3821"/>
        <item m="1" x="5520"/>
        <item m="1" x="6981"/>
        <item m="1" x="4344"/>
        <item m="1" x="7901"/>
        <item m="1" x="7330"/>
        <item m="1" x="7904"/>
        <item m="1" x="6979"/>
        <item m="1" x="3929"/>
        <item m="1" x="6511"/>
        <item m="1" x="7136"/>
        <item m="1" x="4927"/>
        <item m="1" x="7494"/>
        <item m="1" x="7541"/>
        <item m="1" x="3470"/>
        <item m="1" x="6123"/>
        <item m="1" x="3846"/>
        <item m="1" x="7987"/>
        <item m="1" x="3483"/>
        <item m="1" x="2627"/>
        <item m="1" x="4705"/>
        <item m="1" x="3858"/>
        <item m="1" x="3532"/>
        <item m="1" x="4593"/>
        <item m="1" x="3472"/>
        <item m="1" x="4733"/>
        <item m="1" x="7188"/>
        <item m="1" x="6674"/>
        <item m="1" x="6658"/>
        <item m="1" x="3249"/>
        <item m="1" x="3827"/>
        <item m="1" x="5277"/>
        <item m="1" x="6684"/>
        <item m="1" x="7329"/>
        <item m="1" x="6655"/>
        <item m="1" x="6690"/>
        <item m="1" x="5501"/>
        <item m="1" x="3578"/>
        <item m="1" x="3117"/>
        <item m="1" x="6138"/>
        <item m="1" x="4173"/>
        <item m="1" x="6643"/>
        <item m="1" x="5184"/>
        <item m="1" x="7320"/>
        <item m="1" x="5493"/>
        <item m="1" x="7369"/>
        <item m="1" x="7637"/>
        <item m="1" x="6001"/>
        <item m="1" x="6009"/>
        <item m="1" x="4918"/>
        <item m="1" x="6773"/>
        <item m="1" x="3776"/>
        <item m="1" x="5694"/>
        <item m="1" x="2701"/>
        <item m="1" x="6017"/>
        <item m="1" x="3759"/>
        <item m="1" x="5393"/>
        <item m="1" x="2713"/>
        <item m="1" x="5498"/>
        <item m="1" x="7448"/>
        <item m="1" x="7270"/>
        <item m="1" x="7844"/>
        <item m="1" x="7207"/>
        <item m="1" x="4904"/>
        <item m="1" x="2786"/>
        <item m="1" x="3815"/>
        <item m="1" x="4519"/>
        <item m="1" x="4144"/>
        <item m="1" x="4160"/>
        <item m="1" x="4887"/>
        <item m="1" x="4989"/>
        <item m="1" x="5628"/>
        <item m="1" x="3272"/>
        <item m="1" x="2940"/>
        <item m="1" x="2870"/>
        <item m="1" x="6971"/>
        <item m="1" x="6020"/>
        <item m="1" x="2971"/>
        <item m="1" x="4507"/>
        <item m="1" x="6805"/>
        <item m="1" x="3763"/>
        <item m="1" x="3838"/>
        <item m="1" x="7364"/>
        <item m="1" x="5671"/>
        <item m="1" x="4884"/>
        <item m="1" x="5820"/>
        <item m="1" x="4136"/>
        <item m="1" x="7209"/>
        <item m="1" x="4915"/>
        <item m="1" x="6545"/>
        <item m="1" x="5207"/>
        <item m="1" x="4896"/>
        <item m="1" x="6593"/>
        <item m="1" x="7111"/>
        <item m="1" x="4387"/>
        <item m="1" x="7871"/>
        <item m="1" x="6573"/>
        <item m="1" x="7970"/>
        <item m="1" x="4698"/>
        <item m="1" x="4131"/>
        <item m="1" x="2820"/>
        <item m="1" x="7338"/>
        <item m="1" x="5808"/>
        <item m="1" x="3339"/>
        <item m="1" x="6039"/>
        <item m="1" x="4024"/>
        <item m="1" x="5073"/>
        <item m="1" x="6188"/>
        <item m="1" x="4959"/>
        <item m="1" x="4211"/>
        <item m="1" x="7817"/>
        <item m="1" x="5847"/>
        <item m="1" x="5832"/>
        <item m="1" x="6860"/>
        <item m="1" x="7387"/>
        <item m="1" x="5487"/>
        <item m="1" x="7613"/>
        <item m="1" x="7870"/>
        <item m="1" x="7130"/>
        <item m="1" x="3811"/>
        <item m="1" x="6763"/>
        <item m="1" x="7614"/>
        <item m="1" x="4434"/>
        <item m="1" x="6639"/>
        <item m="1" x="4429"/>
        <item m="1" x="5515"/>
        <item m="1" x="5995"/>
        <item m="1" x="3652"/>
        <item m="1" x="7656"/>
        <item m="1" x="7241"/>
        <item m="1" x="5821"/>
        <item m="1" x="3758"/>
        <item m="1" x="6529"/>
        <item m="1" x="5491"/>
        <item m="1" x="3279"/>
        <item m="1" x="5774"/>
        <item m="1" x="5635"/>
        <item m="1" x="6512"/>
        <item m="1" x="4814"/>
        <item m="1" x="7200"/>
        <item m="1" x="3492"/>
        <item m="1" x="7777"/>
        <item m="1" x="2667"/>
        <item m="1" x="3860"/>
        <item m="1" x="3955"/>
        <item m="1" x="4735"/>
        <item m="1" x="7110"/>
        <item m="1" x="6757"/>
        <item m="1" x="6354"/>
        <item m="1" x="3938"/>
        <item m="1" x="7997"/>
        <item m="1" x="3366"/>
        <item m="1" x="6483"/>
        <item m="1" x="4671"/>
        <item m="1" x="2816"/>
        <item m="1" x="7930"/>
        <item m="1" x="3845"/>
        <item m="1" x="4536"/>
        <item m="1" x="4165"/>
        <item m="1" x="2683"/>
        <item m="1" x="4581"/>
        <item m="1" x="6456"/>
        <item m="1" x="2519"/>
        <item m="1" x="5428"/>
        <item m="1" x="6523"/>
        <item m="1" x="5961"/>
        <item m="1" x="3080"/>
        <item m="1" x="6540"/>
        <item m="1" x="5483"/>
        <item m="1" x="3099"/>
        <item m="1" x="6592"/>
        <item m="1" x="2823"/>
        <item m="1" x="7577"/>
        <item m="1" x="2523"/>
        <item m="1" x="5998"/>
        <item m="1" x="6577"/>
        <item m="1" x="4203"/>
        <item m="1" x="5062"/>
        <item m="1" x="3130"/>
        <item m="1" x="3403"/>
        <item m="1" x="6984"/>
        <item m="1" x="5888"/>
        <item m="1" x="3172"/>
        <item m="1" x="4060"/>
        <item m="1" x="6399"/>
        <item m="1" x="5177"/>
        <item m="1" x="6425"/>
        <item m="1" x="6694"/>
        <item m="1" x="3764"/>
        <item m="1" x="7658"/>
        <item m="1" x="6720"/>
        <item m="1" x="5033"/>
        <item m="1" x="4815"/>
        <item m="1" x="7066"/>
        <item m="1" x="3424"/>
        <item m="1" x="3308"/>
        <item m="1" x="4066"/>
        <item m="1" x="4856"/>
        <item m="1" x="3566"/>
        <item m="1" x="2970"/>
        <item m="1" x="2636"/>
        <item m="1" x="5717"/>
        <item m="1" x="3917"/>
        <item m="1" x="4494"/>
        <item m="1" x="3801"/>
        <item m="1" x="3834"/>
        <item m="1" x="5948"/>
        <item m="1" x="3639"/>
        <item m="1" x="3201"/>
        <item m="1" x="3146"/>
        <item m="1" x="6058"/>
        <item m="1" x="7804"/>
        <item m="1" x="7434"/>
        <item m="1" x="4871"/>
        <item m="1" x="5903"/>
        <item m="1" x="7767"/>
        <item m="1" x="7853"/>
        <item m="1" x="3494"/>
        <item m="1" x="4699"/>
        <item m="1" x="2972"/>
        <item m="1" x="3623"/>
        <item m="1" x="5716"/>
        <item m="1" x="6950"/>
        <item m="1" x="3857"/>
        <item m="1" x="3077"/>
        <item m="1" x="5750"/>
        <item m="1" x="6918"/>
        <item m="1" x="7843"/>
        <item m="1" x="3669"/>
        <item m="1" x="7490"/>
        <item m="1" x="6776"/>
        <item m="1" x="4870"/>
        <item m="1" x="7602"/>
        <item m="1" x="5077"/>
        <item m="1" x="4090"/>
        <item m="1" x="3044"/>
        <item m="1" x="5457"/>
        <item m="1" x="5710"/>
        <item m="1" x="5248"/>
        <item m="1" x="7103"/>
        <item m="1" x="3430"/>
        <item m="1" x="3695"/>
        <item m="1" x="4355"/>
        <item m="1" x="7478"/>
        <item m="1" x="4306"/>
        <item m="1" x="4770"/>
        <item m="1" x="3794"/>
        <item m="1" x="6812"/>
        <item m="1" x="7064"/>
        <item m="1" x="4979"/>
        <item m="1" x="5011"/>
        <item m="1" x="3378"/>
        <item m="1" x="6533"/>
        <item m="1" x="4726"/>
        <item m="1" x="5980"/>
        <item m="1" x="3299"/>
        <item m="1" x="7047"/>
        <item m="1" x="5522"/>
        <item m="1" x="5885"/>
        <item m="1" x="2765"/>
        <item m="1" x="7771"/>
        <item m="1" x="3445"/>
        <item m="1" x="3747"/>
        <item m="1" x="5830"/>
        <item m="1" x="6408"/>
        <item m="1" x="6989"/>
        <item m="1" x="6692"/>
        <item m="1" x="7301"/>
        <item m="1" x="6366"/>
        <item m="1" x="4031"/>
        <item m="1" x="2715"/>
        <item m="1" x="6131"/>
        <item m="1" x="6497"/>
        <item m="1" x="5381"/>
        <item m="1" x="4403"/>
        <item m="1" x="6148"/>
        <item m="1" x="3921"/>
        <item m="1" x="7060"/>
        <item m="1" x="5210"/>
        <item m="1" x="4801"/>
        <item m="1" x="3235"/>
        <item m="1" x="4578"/>
        <item m="1" x="5239"/>
        <item m="1" x="4665"/>
        <item m="1" x="6393"/>
        <item m="1" x="2572"/>
        <item m="1" x="5761"/>
        <item m="1" x="5772"/>
        <item m="1" x="3802"/>
        <item m="1" x="7696"/>
        <item m="1" x="7272"/>
        <item m="1" x="6458"/>
        <item m="1" x="3010"/>
        <item m="1" x="4702"/>
        <item m="1" x="4906"/>
        <item m="1" x="4201"/>
        <item m="1" x="3923"/>
        <item m="1" x="3501"/>
        <item m="1" x="4232"/>
        <item m="1" x="3722"/>
        <item m="1" x="5731"/>
        <item m="1" x="6403"/>
        <item m="1" x="5626"/>
        <item m="1" x="4944"/>
        <item m="1" x="6040"/>
        <item m="1" x="3057"/>
        <item m="1" x="5749"/>
        <item m="1" x="6012"/>
        <item m="1" x="3427"/>
        <item m="1" x="7882"/>
        <item m="1" x="6517"/>
        <item m="1" x="6404"/>
        <item m="1" x="7770"/>
        <item m="1" x="5679"/>
        <item m="1" x="7993"/>
        <item m="1" x="6601"/>
        <item m="1" x="4670"/>
        <item m="1" x="7791"/>
        <item m="1" x="2769"/>
        <item m="1" x="6917"/>
        <item m="1" x="5331"/>
        <item m="1" x="3248"/>
        <item m="1" x="2908"/>
        <item m="1" x="6405"/>
        <item m="1" x="3603"/>
        <item m="1" x="3414"/>
        <item m="1" x="5560"/>
        <item m="1" x="5620"/>
        <item m="1" x="5631"/>
        <item m="1" x="7603"/>
        <item m="1" x="7265"/>
        <item m="1" x="5835"/>
        <item m="1" x="5824"/>
        <item m="1" x="6127"/>
        <item m="1" x="6872"/>
        <item m="1" x="5753"/>
        <item m="1" x="7857"/>
        <item m="1" x="4048"/>
        <item m="1" x="3692"/>
        <item m="1" x="4706"/>
        <item m="1" x="5968"/>
        <item m="1" x="3115"/>
        <item m="1" x="3138"/>
        <item m="1" x="3158"/>
        <item m="1" x="5090"/>
        <item m="1" x="5107"/>
        <item m="1" x="5127"/>
        <item m="1" x="5144"/>
        <item m="1" x="5165"/>
        <item m="1" x="3908"/>
        <item m="1" x="3931"/>
        <item m="1" x="3957"/>
        <item m="1" x="3986"/>
        <item m="1" x="4000"/>
        <item m="1" x="2937"/>
        <item m="1" x="2955"/>
        <item m="1" x="2967"/>
        <item m="1" x="7842"/>
        <item m="1" x="4641"/>
        <item m="1" x="4938"/>
        <item m="1" x="5054"/>
        <item m="1" x="6440"/>
        <item m="1" x="5927"/>
        <item m="1" x="5373"/>
        <item m="1" x="2901"/>
        <item m="1" x="4417"/>
        <item m="1" x="4013"/>
        <item m="1" x="6846"/>
        <item m="1" x="7706"/>
        <item m="1" x="4843"/>
        <item m="1" x="6792"/>
        <item m="1" x="3157"/>
        <item m="1" x="7960"/>
        <item m="1" x="6141"/>
        <item m="1" x="7911"/>
        <item m="1" x="6010"/>
        <item m="1" x="7144"/>
        <item m="1" x="5556"/>
        <item m="1" x="3875"/>
        <item m="1" x="5752"/>
        <item m="1" x="6644"/>
        <item m="1" x="5773"/>
        <item m="1" x="6774"/>
        <item m="1" x="4649"/>
        <item m="1" x="4440"/>
        <item m="1" x="5179"/>
        <item m="1" x="7999"/>
        <item m="1" x="7041"/>
        <item m="1" x="2883"/>
        <item m="1" x="7104"/>
        <item m="1" x="2873"/>
        <item m="1" x="7670"/>
        <item m="1" x="6504"/>
        <item m="1" x="4861"/>
        <item m="1" x="5576"/>
        <item m="1" x="4309"/>
        <item m="1" x="2841"/>
        <item m="1" x="3539"/>
        <item m="1" x="3849"/>
        <item m="1" x="5935"/>
        <item m="1" x="4570"/>
        <item m="1" x="4800"/>
        <item m="1" x="5877"/>
        <item m="1" x="5333"/>
        <item m="1" x="7375"/>
        <item m="1" x="7381"/>
        <item m="1" x="7558"/>
        <item m="1" x="5328"/>
        <item m="1" x="4810"/>
        <item m="1" x="7906"/>
        <item m="1" x="2822"/>
        <item m="1" x="3559"/>
        <item m="1" x="4163"/>
        <item m="1" x="4297"/>
        <item m="1" x="3868"/>
        <item m="1" x="3122"/>
        <item m="1" x="2991"/>
        <item m="1" x="3049"/>
        <item m="1" x="7266"/>
        <item m="1" x="6449"/>
        <item m="1" x="4986"/>
        <item m="1" x="7192"/>
        <item m="1" x="5142"/>
        <item m="1" x="3324"/>
        <item m="1" x="2987"/>
        <item m="1" x="3585"/>
        <item m="1" x="6166"/>
        <item m="1" x="6877"/>
        <item m="1" x="4636"/>
        <item m="1" x="3036"/>
        <item m="1" x="4042"/>
        <item m="1" x="6368"/>
        <item m="1" x="4038"/>
        <item m="1" x="7799"/>
        <item m="1" x="4401"/>
        <item m="1" x="3237"/>
        <item m="1" x="5549"/>
        <item m="1" x="3333"/>
        <item m="1" x="2552"/>
        <item m="1" x="6795"/>
        <item m="1" x="3329"/>
        <item m="1" x="7182"/>
        <item m="1" x="4846"/>
        <item m="1" x="6093"/>
        <item m="1" x="3672"/>
        <item m="1" x="5583"/>
        <item m="1" x="7257"/>
        <item m="1" x="3432"/>
        <item m="1" x="3887"/>
        <item m="1" x="4391"/>
        <item m="1" x="4985"/>
        <item m="1" x="5638"/>
        <item m="1" x="3733"/>
        <item m="1" x="3830"/>
        <item m="1" x="7258"/>
        <item m="1" x="7961"/>
        <item m="1" x="4609"/>
        <item m="1" x="5697"/>
        <item m="1" x="7093"/>
        <item m="1" x="7326"/>
        <item m="1" x="5358"/>
        <item m="1" x="7240"/>
        <item m="1" x="6023"/>
        <item m="1" x="4516"/>
        <item m="1" x="6185"/>
        <item m="1" x="5014"/>
        <item m="1" x="6780"/>
        <item m="1" x="5700"/>
        <item m="1" x="7891"/>
        <item m="1" x="3873"/>
        <item m="1" x="3590"/>
        <item m="1" x="7790"/>
        <item m="1" x="7214"/>
        <item m="1" x="7908"/>
        <item m="1" x="6049"/>
        <item m="1" x="6095"/>
        <item m="1" x="3399"/>
        <item m="1" x="3463"/>
        <item m="1" x="5117"/>
        <item m="1" x="6681"/>
        <item m="1" x="5176"/>
        <item m="1" x="7037"/>
        <item m="1" x="3269"/>
        <item m="1" x="4914"/>
        <item m="1" x="7295"/>
        <item m="1" x="3831"/>
        <item m="1" x="4648"/>
        <item m="1" x="3298"/>
        <item m="1" x="4528"/>
        <item m="1" x="6808"/>
        <item m="1" x="3400"/>
        <item m="1" x="4562"/>
        <item m="1" x="7755"/>
        <item m="1" x="3604"/>
        <item m="1" x="6182"/>
        <item m="1" x="7025"/>
        <item m="1" x="4276"/>
        <item m="1" x="3185"/>
        <item m="1" x="7949"/>
        <item m="1" x="5657"/>
        <item m="1" x="6024"/>
        <item m="1" x="3977"/>
        <item m="1" x="4858"/>
        <item m="1" x="6597"/>
        <item m="1" x="4335"/>
        <item m="1" x="7768"/>
        <item m="1" x="5351"/>
        <item m="1" x="3242"/>
        <item m="1" x="7095"/>
        <item m="1" x="5788"/>
        <item m="1" x="3014"/>
        <item m="1" x="6143"/>
        <item m="1" x="6866"/>
        <item m="1" x="7774"/>
        <item m="1" x="4792"/>
        <item m="1" x="7421"/>
        <item m="1" x="6928"/>
        <item m="1" x="6243"/>
        <item m="1" x="2899"/>
        <item m="1" x="3602"/>
        <item m="1" x="6177"/>
        <item m="1" x="6373"/>
        <item m="1" x="5339"/>
        <item m="1" x="2824"/>
        <item m="1" x="4774"/>
        <item m="1" x="3530"/>
        <item m="1" x="4888"/>
        <item m="1" x="3222"/>
        <item m="1" x="7048"/>
        <item m="1" x="3574"/>
        <item m="1" x="5482"/>
        <item m="1" x="3046"/>
        <item m="1" x="4667"/>
        <item m="1" x="7357"/>
        <item m="1" x="6153"/>
        <item m="1" x="5368"/>
        <item m="1" x="7406"/>
        <item m="1" x="6276"/>
        <item m="1" x="2762"/>
        <item m="1" x="2888"/>
        <item m="1" x="5682"/>
        <item m="1" x="5993"/>
        <item m="1" x="2749"/>
        <item m="1" x="7563"/>
        <item m="1" x="6712"/>
        <item m="1" x="7702"/>
        <item m="1" x="5714"/>
        <item m="1" x="3754"/>
        <item m="1" x="2872"/>
        <item m="1" x="5594"/>
        <item m="1" x="3384"/>
        <item m="1" x="3457"/>
        <item m="1" x="7760"/>
        <item m="1" x="2716"/>
        <item m="1" x="5699"/>
        <item m="1" x="5896"/>
        <item m="1" x="5744"/>
        <item m="1" x="5391"/>
        <item m="1" x="3064"/>
        <item m="1" x="2590"/>
        <item m="1" x="7883"/>
        <item m="1" x="6226"/>
        <item m="1" x="2911"/>
        <item m="1" x="3828"/>
        <item m="1" x="5068"/>
        <item m="1" x="2891"/>
        <item m="1" x="4372"/>
        <item m="1" x="4905"/>
        <item m="1" x="5807"/>
        <item m="1" x="4631"/>
        <item m="1" x="5897"/>
        <item m="1" x="5957"/>
        <item m="1" x="7373"/>
        <item m="1" x="6167"/>
        <item m="1" x="2575"/>
        <item m="1" x="4146"/>
        <item m="1" x="5673"/>
        <item m="1" x="3689"/>
        <item m="1" x="3558"/>
        <item m="1" x="3382"/>
        <item m="1" x="4731"/>
        <item m="1" x="7393"/>
        <item m="1" x="6878"/>
        <item m="1" x="3484"/>
        <item m="1" x="5218"/>
        <item m="1" x="7038"/>
        <item m="1" x="2541"/>
        <item m="1" x="7374"/>
        <item m="1" x="3026"/>
        <item m="1" x="4030"/>
        <item m="1" x="6273"/>
        <item m="1" x="5174"/>
        <item m="1" x="6129"/>
        <item m="1" x="7983"/>
        <item m="1" x="6920"/>
        <item m="1" x="3932"/>
        <item m="1" x="4872"/>
        <item m="1" x="3989"/>
        <item m="1" x="5660"/>
        <item m="1" x="4108"/>
        <item m="1" x="4547"/>
        <item m="1" x="7944"/>
        <item m="1" x="5399"/>
        <item m="1" x="4261"/>
        <item m="1" x="2697"/>
        <item m="1" x="6102"/>
        <item m="1" x="4812"/>
        <item m="1" x="6255"/>
        <item m="1" x="5108"/>
        <item m="1" x="5349"/>
        <item m="1" x="3159"/>
        <item m="1" x="2781"/>
        <item m="1" x="3451"/>
        <item m="1" x="2687"/>
        <item m="1" x="5175"/>
        <item m="1" x="3374"/>
        <item m="1" x="2600"/>
        <item m="1" x="3175"/>
        <item m="1" x="4728"/>
        <item m="1" x="6072"/>
        <item m="1" x="7297"/>
        <item m="1" x="7327"/>
        <item m="1" x="2905"/>
        <item m="1" x="7422"/>
        <item m="1" x="4730"/>
        <item m="1" x="4545"/>
        <item m="1" x="7105"/>
        <item m="1" x="4569"/>
        <item m="1" x="5667"/>
        <item m="1" x="4679"/>
        <item m="1" x="5241"/>
        <item m="1" x="6193"/>
        <item m="1" x="3194"/>
        <item m="1" x="6372"/>
        <item m="1" x="6065"/>
        <item m="1" x="4778"/>
        <item m="1" x="5598"/>
        <item m="1" x="2840"/>
        <item m="1" x="4847"/>
        <item m="1" x="2584"/>
        <item m="1" x="3433"/>
        <item m="1" x="5141"/>
        <item m="1" x="3661"/>
        <item m="1" x="4745"/>
        <item m="1" x="3853"/>
        <item m="1" x="7287"/>
        <item m="1" x="6266"/>
        <item m="1" x="3023"/>
        <item m="1" x="4408"/>
        <item m="1" x="5972"/>
        <item m="1" x="4388"/>
        <item m="1" x="7723"/>
        <item m="1" x="3423"/>
        <item m="1" x="2846"/>
        <item m="1" x="7683"/>
        <item m="1" x="3997"/>
        <item m="1" x="5737"/>
        <item m="1" x="2599"/>
        <item m="1" x="6233"/>
        <item m="1" x="7298"/>
        <item m="1" x="6286"/>
        <item m="1" x="7080"/>
        <item m="1" x="3033"/>
        <item m="1" x="7405"/>
        <item m="1" x="3762"/>
        <item m="1" x="4942"/>
        <item m="1" x="4302"/>
        <item m="1" x="5973"/>
        <item m="1" x="5363"/>
        <item m="1" x="3979"/>
        <item m="1" x="4954"/>
        <item m="1" x="6390"/>
        <item m="1" x="4209"/>
        <item m="1" x="4492"/>
        <item m="1" x="7073"/>
        <item m="1" x="3280"/>
        <item m="1" x="4875"/>
        <item m="1" x="4844"/>
        <item m="1" x="2694"/>
        <item m="1" x="5266"/>
        <item m="1" x="2671"/>
        <item m="1" x="3415"/>
        <item m="1" x="4406"/>
        <item m="1" x="5738"/>
        <item m="1" x="5534"/>
        <item m="1" x="3750"/>
        <item m="1" x="4653"/>
        <item m="1" x="6745"/>
        <item m="1" x="5812"/>
        <item m="1" x="4673"/>
        <item m="1" x="6689"/>
        <item m="1" x="4548"/>
        <item m="1" x="7784"/>
        <item m="1" x="3289"/>
        <item m="1" x="7253"/>
        <item m="1" x="7035"/>
        <item m="1" x="3522"/>
        <item m="1" x="6253"/>
        <item m="1" x="3179"/>
        <item m="1" x="5036"/>
        <item m="1" x="4771"/>
        <item m="1" x="5110"/>
        <item m="1" x="4957"/>
        <item m="1" x="4964"/>
        <item m="1" x="7050"/>
        <item m="1" x="6119"/>
        <item m="1" x="4808"/>
        <item m="1" x="5776"/>
        <item m="1" x="6952"/>
        <item m="1" x="3181"/>
        <item m="1" x="4130"/>
        <item m="1" x="4280"/>
        <item m="1" x="4259"/>
        <item m="1" x="4043"/>
        <item m="1" x="7128"/>
        <item m="1" x="7601"/>
        <item m="1" x="6519"/>
        <item m="1" x="2949"/>
        <item m="1" x="2994"/>
        <item m="1" x="4703"/>
        <item m="1" x="6515"/>
        <item m="1" x="6094"/>
        <item m="1" x="5265"/>
        <item m="1" x="6741"/>
        <item m="1" x="7609"/>
        <item m="1" x="5892"/>
        <item m="1" x="3087"/>
        <item m="1" x="3543"/>
        <item m="1" x="7250"/>
        <item m="1" x="7902"/>
        <item m="1" x="7506"/>
        <item m="1" x="3101"/>
        <item m="1" x="3336"/>
        <item m="1" x="6124"/>
        <item m="1" x="7336"/>
        <item m="1" x="3905"/>
        <item m="1" x="7015"/>
        <item m="1" x="5082"/>
        <item m="1" x="3862"/>
        <item m="1" x="4823"/>
        <item m="1" x="2826"/>
        <item m="1" x="5496"/>
        <item m="1" x="3608"/>
        <item m="1" x="3994"/>
        <item m="1" x="2974"/>
        <item m="1" x="7728"/>
        <item m="1" x="6230"/>
        <item m="1" x="4198"/>
        <item m="1" x="5468"/>
        <item m="1" x="5434"/>
        <item m="1" x="7075"/>
        <item m="1" x="6810"/>
        <item m="1" x="7953"/>
        <item m="1" x="6187"/>
        <item m="1" x="6963"/>
        <item m="1" x="3305"/>
        <item m="1" x="4933"/>
        <item m="1" x="5289"/>
        <item m="1" x="4039"/>
        <item m="1" x="6463"/>
        <item m="1" x="7644"/>
        <item m="1" x="7946"/>
        <item m="1" x="5309"/>
        <item m="1" x="5132"/>
        <item m="1" x="7030"/>
        <item m="1" x="4691"/>
        <item m="1" x="7076"/>
        <item m="1" x="3190"/>
        <item m="1" x="5001"/>
        <item m="1" x="4270"/>
        <item m="1" x="6852"/>
        <item m="1" x="3284"/>
        <item m="1" x="4427"/>
        <item m="1" x="7131"/>
        <item m="1" x="7599"/>
        <item m="1" x="6561"/>
        <item m="1" x="3880"/>
        <item m="1" x="3922"/>
        <item m="1" x="3958"/>
        <item m="1" x="7285"/>
        <item m="1" x="6911"/>
        <item m="1" x="7775"/>
        <item m="1" x="7903"/>
        <item m="1" x="5629"/>
        <item m="1" x="5485"/>
        <item m="1" x="6906"/>
        <item m="1" x="6848"/>
        <item m="1" x="5705"/>
        <item m="1" x="6747"/>
        <item m="1" x="4275"/>
        <item m="1" x="7294"/>
        <item m="1" x="6394"/>
        <item m="1" x="7452"/>
        <item m="1" x="7195"/>
        <item m="1" x="5006"/>
        <item m="1" x="4900"/>
        <item m="1" x="2770"/>
        <item m="1" x="2876"/>
        <item m="1" x="7278"/>
        <item m="1" x="6374"/>
        <item m="1" x="6306"/>
        <item m="1" x="2532"/>
        <item m="1" x="5725"/>
        <item m="1" x="3152"/>
        <item m="1" x="6839"/>
        <item m="1" x="7934"/>
        <item m="1" x="4314"/>
        <item m="1" x="4141"/>
        <item m="1" x="3544"/>
        <item m="1" x="2745"/>
        <item m="1" x="3486"/>
        <item m="1" x="6194"/>
        <item m="1" x="5291"/>
        <item m="1" x="6014"/>
        <item m="1" x="5425"/>
        <item m="1" x="4744"/>
        <item m="1" x="6418"/>
        <item m="1" x="5778"/>
        <item m="1" x="6700"/>
        <item m="1" x="7763"/>
        <item m="1" x="6827"/>
        <item m="1" x="7957"/>
        <item m="1" x="3325"/>
        <item m="1" x="6668"/>
        <item m="1" x="2894"/>
        <item m="1" x="5611"/>
        <item m="1" x="4058"/>
        <item m="1" x="4014"/>
        <item m="1" x="2656"/>
        <item m="1" x="2560"/>
        <item m="1" x="4668"/>
        <item m="1" x="7584"/>
        <item m="1" x="2582"/>
        <item m="1" x="5794"/>
        <item m="1" x="6651"/>
        <item m="1" x="3949"/>
        <item m="1" x="5462"/>
        <item m="1" x="2631"/>
        <item m="1" x="3060"/>
        <item m="1" x="3121"/>
        <item m="1" x="3709"/>
        <item m="1" x="2906"/>
        <item m="1" x="5764"/>
        <item m="1" x="5987"/>
        <item m="1" x="7787"/>
        <item m="1" x="3266"/>
        <item m="1" x="6832"/>
        <item m="1" x="5452"/>
        <item m="1" x="5879"/>
        <item m="1" x="7624"/>
        <item m="1" x="3481"/>
        <item m="1" x="7155"/>
        <item m="1" x="2674"/>
        <item m="1" x="3282"/>
        <item m="1" x="7275"/>
        <item m="1" x="7276"/>
        <item m="1" x="6254"/>
        <item m="1" x="5306"/>
        <item m="1" x="7975"/>
        <item m="1" x="5609"/>
        <item m="1" x="5198"/>
        <item m="1" x="5315"/>
        <item m="1" x="6154"/>
        <item m="1" x="4219"/>
        <item m="1" x="2531"/>
        <item m="1" x="6420"/>
        <item m="1" x="4095"/>
        <item m="1" x="4930"/>
        <item m="1" x="3708"/>
        <item m="1" x="3851"/>
        <item m="1" x="7783"/>
        <item m="1" x="3730"/>
        <item m="1" x="7595"/>
        <item m="1" x="3711"/>
        <item m="1" x="5171"/>
        <item m="1" x="3536"/>
        <item m="1" x="6033"/>
        <item m="1" x="3737"/>
        <item m="1" x="3909"/>
        <item m="1" x="3454"/>
        <item m="1" x="2571"/>
        <item m="1" x="4265"/>
        <item m="1" x="5153"/>
        <item m="1" x="3567"/>
        <item m="1" x="4897"/>
        <item m="1" x="3088"/>
        <item m="1" x="3992"/>
        <item m="1" x="5711"/>
        <item m="1" x="2537"/>
        <item m="1" x="2976"/>
        <item m="1" x="6280"/>
        <item m="1" x="5415"/>
        <item m="1" x="6978"/>
        <item m="1" x="6383"/>
        <item m="1" x="2729"/>
        <item m="1" x="3643"/>
        <item m="1" x="6359"/>
        <item m="1" x="5216"/>
        <item m="1" x="3980"/>
        <item m="1" x="2896"/>
        <item m="1" x="4830"/>
        <item m="1" x="7309"/>
        <item m="1" x="3613"/>
        <item m="1" x="6356"/>
        <item m="1" x="3589"/>
        <item m="1" x="3039"/>
        <item m="1" x="3015"/>
        <item m="1" x="2682"/>
        <item m="1" x="5938"/>
        <item m="1" x="6876"/>
        <item m="1" x="7255"/>
        <item m="1" x="6325"/>
        <item m="1" x="3086"/>
        <item m="1" x="6311"/>
        <item m="1" x="4208"/>
        <item m="1" x="6953"/>
        <item m="1" x="4183"/>
        <item m="1" x="5955"/>
        <item m="1" x="6967"/>
        <item m="1" x="6465"/>
        <item m="1" x="6608"/>
        <item m="1" x="6472"/>
        <item m="1" x="7226"/>
        <item m="1" x="5740"/>
        <item m="1" x="4909"/>
        <item m="1" x="4739"/>
        <item m="1" x="6909"/>
        <item m="1" x="4377"/>
        <item m="1" x="3422"/>
        <item m="1" x="6478"/>
        <item m="1" x="2672"/>
        <item m="1" x="4976"/>
        <item m="1" x="5678"/>
        <item m="1" x="2708"/>
        <item m="1" x="6395"/>
        <item m="1" x="4255"/>
        <item m="1" x="7750"/>
        <item m="1" x="5532"/>
        <item m="1" x="5860"/>
        <item m="1" x="5978"/>
        <item m="1" x="4128"/>
        <item m="1" x="6977"/>
        <item m="1" x="6949"/>
        <item m="1" x="3852"/>
        <item m="1" x="5025"/>
        <item m="1" x="7583"/>
        <item m="1" x="7203"/>
        <item m="1" x="6482"/>
        <item m="1" x="2601"/>
        <item m="1" x="5429"/>
        <item m="1" x="2602"/>
        <item m="1" x="6880"/>
        <item m="1" x="6314"/>
        <item m="1" x="3791"/>
        <item m="1" x="3842"/>
        <item m="1" x="3793"/>
        <item m="1" x="5806"/>
        <item m="1" x="5916"/>
        <item m="1" x="5581"/>
        <item m="1" x="2920"/>
        <item m="1" x="5072"/>
        <item m="1" x="4426"/>
        <item m="1" x="2856"/>
        <item m="1" x="6960"/>
        <item m="1" x="3293"/>
        <item m="1" x="6775"/>
        <item m="1" x="6018"/>
        <item m="1" x="5880"/>
        <item m="1" x="6240"/>
        <item m="1" x="2711"/>
        <item m="1" x="7896"/>
        <item m="1" x="2934"/>
        <item m="1" x="3690"/>
        <item m="1" x="6779"/>
        <item m="1" x="4719"/>
        <item m="1" x="7013"/>
        <item m="1" x="7625"/>
        <item m="1" x="5002"/>
        <item m="1" x="3832"/>
        <item m="1" x="6904"/>
        <item m="1" x="5095"/>
        <item m="1" x="5271"/>
        <item m="1" x="7057"/>
        <item m="1" x="4027"/>
        <item m="1" x="6007"/>
        <item m="1" x="6100"/>
        <item m="1" x="6043"/>
        <item m="1" x="6088"/>
        <item m="1" x="5719"/>
        <item m="1" x="7315"/>
        <item m="1" x="5582"/>
        <item m="1" x="4399"/>
        <item m="1" x="7231"/>
        <item m="1" x="3164"/>
        <item m="1" x="5007"/>
        <item m="1" x="4995"/>
        <item m="1" x="6051"/>
        <item m="1" x="6031"/>
        <item m="1" x="4099"/>
        <item m="1" x="2989"/>
        <item m="1" x="4096"/>
        <item m="1" x="6680"/>
        <item m="1" x="6522"/>
        <item m="1" x="7897"/>
        <item m="1" x="6492"/>
        <item m="1" x="6062"/>
        <item m="1" x="3144"/>
        <item m="1" x="4546"/>
        <item m="1" x="6525"/>
        <item m="1" x="5193"/>
        <item m="1" x="3221"/>
        <item m="1" x="2691"/>
        <item m="1" x="3621"/>
        <item m="1" x="5048"/>
        <item m="1" x="3438"/>
        <item m="1" x="6207"/>
        <item m="1" x="5070"/>
        <item m="1" x="6446"/>
        <item m="1" x="2951"/>
        <item m="1" x="6881"/>
        <item m="1" x="3244"/>
        <item m="1" x="6755"/>
        <item m="1" x="7249"/>
        <item m="1" x="4924"/>
        <item m="1" x="4543"/>
        <item m="1" x="5649"/>
        <item m="1" x="7505"/>
        <item m="1" x="6538"/>
        <item m="1" x="5734"/>
        <item m="1" x="5597"/>
        <item m="1" x="4135"/>
        <item m="1" x="6914"/>
        <item m="1" x="4110"/>
        <item m="1" x="2919"/>
        <item m="1" x="7778"/>
        <item m="1" x="6583"/>
        <item m="1" x="5484"/>
        <item m="1" x="6019"/>
        <item m="1" x="4675"/>
        <item m="1" x="5364"/>
        <item m="1" x="6557"/>
        <item m="1" x="6054"/>
        <item m="1" x="4720"/>
        <item m="1" x="7149"/>
        <item m="1" x="4177"/>
        <item m="1" x="3171"/>
        <item m="1" x="5338"/>
        <item m="1" x="7685"/>
        <item m="1" x="3636"/>
        <item m="1" x="3225"/>
        <item m="1" x="6539"/>
        <item m="1" x="3377"/>
        <item m="1" x="5974"/>
        <item m="1" x="3073"/>
        <item m="1" x="6578"/>
        <item m="1" x="6771"/>
        <item m="1" x="5553"/>
        <item m="1" x="6349"/>
        <item m="1" x="5058"/>
        <item m="1" x="7575"/>
        <item m="1" x="4574"/>
        <item m="1" x="3814"/>
        <item m="1" x="5387"/>
        <item m="1" x="7739"/>
        <item m="1" x="3205"/>
        <item m="1" x="3864"/>
        <item m="1" x="7616"/>
        <item m="1" x="4972"/>
        <item m="1" x="3203"/>
        <item m="1" x="3572"/>
        <item m="1" x="7379"/>
        <item m="1" x="5614"/>
        <item m="1" x="4266"/>
        <item m="1" x="3493"/>
        <item m="1" x="7282"/>
        <item m="1" x="7899"/>
        <item m="1" x="2988"/>
        <item m="1" x="4206"/>
        <item m="1" x="3969"/>
        <item m="1" x="3999"/>
        <item m="1" x="6624"/>
        <item m="1" x="5926"/>
        <item m="1" x="7861"/>
        <item m="1" x="6037"/>
        <item m="1" x="6510"/>
        <item m="1" x="3497"/>
        <item m="1" x="3760"/>
        <item m="1" x="7672"/>
        <item m="1" x="6591"/>
        <item m="1" x="7439"/>
        <item m="1" x="7576"/>
        <item m="1" x="3193"/>
        <item m="1" x="3228"/>
        <item m="1" x="7161"/>
        <item m="1" x="6614"/>
        <item m="1" x="3885"/>
        <item m="1" x="5758"/>
        <item m="1" x="4168"/>
        <item m="1" x="4469"/>
        <item m="1" x="5844"/>
        <item m="1" x="4471"/>
        <item m="1" x="5357"/>
        <item m="1" x="3136"/>
        <item m="1" x="4485"/>
        <item m="1" x="6034"/>
        <item m="1" x="4486"/>
        <item m="1" x="4484"/>
        <item m="1" x="5813"/>
        <item m="1" x="5932"/>
        <item m="1" x="7217"/>
        <item m="1" x="5212"/>
        <item m="1" x="2839"/>
        <item m="1" x="3876"/>
        <item m="1" x="2833"/>
        <item m="1" x="6398"/>
        <item m="1" x="5529"/>
        <item m="1" x="4787"/>
        <item m="1" x="4455"/>
        <item m="1" x="6274"/>
        <item m="1" x="6328"/>
        <item m="1" x="2748"/>
        <item m="1" x="7716"/>
        <item m="1" x="4742"/>
        <item m="1" x="3729"/>
        <item m="1" x="5051"/>
        <item m="1" x="6913"/>
        <item m="1" x="6514"/>
        <item m="1" x="4840"/>
        <item m="1" x="3480"/>
        <item m="1" x="6301"/>
        <item m="1" x="7589"/>
        <item m="1" x="5152"/>
        <item m="1" x="5423"/>
        <item m="1" x="3963"/>
        <item m="1" x="6337"/>
        <item m="1" x="3768"/>
        <item m="1" x="7600"/>
        <item m="1" x="7703"/>
        <item m="1" x="3847"/>
        <item m="1" x="7555"/>
        <item m="1" x="2996"/>
        <item m="1" x="7938"/>
        <item m="1" x="5121"/>
        <item m="1" x="4540"/>
        <item m="1" x="5009"/>
        <item m="1" x="7734"/>
        <item m="1" x="7695"/>
        <item m="1" x="4098"/>
        <item m="1" x="6084"/>
        <item m="1" x="4356"/>
        <item m="1" x="5359"/>
        <item m="1" x="6038"/>
        <item m="1" x="5478"/>
        <item m="1" x="7451"/>
        <item m="1" x="2875"/>
        <item m="1" x="7501"/>
        <item m="1" x="6353"/>
        <item m="1" x="6438"/>
        <item m="1" x="3840"/>
        <item m="1" x="6797"/>
        <item m="1" x="5162"/>
        <item m="1" x="5966"/>
        <item m="1" x="4594"/>
        <item m="1" x="4953"/>
        <item m="1" x="4457"/>
        <item m="1" x="6087"/>
        <item m="1" x="4880"/>
        <item m="1" x="6820"/>
        <item m="1" x="6746"/>
        <item m="1" x="2927"/>
        <item m="1" x="6708"/>
        <item m="1" x="6296"/>
        <item m="1" x="4361"/>
        <item m="1" x="6071"/>
        <item m="1" x="3459"/>
        <item m="1" x="4346"/>
        <item m="1" x="6159"/>
        <item m="1" x="4920"/>
        <item m="1" x="4320"/>
        <item m="1" x="3078"/>
        <item m="1" x="4453"/>
        <item m="1" x="3884"/>
        <item m="1" x="6863"/>
        <item m="1" x="6784"/>
        <item m="1" x="4061"/>
        <item m="1" x="6883"/>
        <item m="1" x="2975"/>
        <item m="1" x="5130"/>
        <item m="1" x="6631"/>
        <item m="1" x="3807"/>
        <item m="1" x="5000"/>
        <item m="1" x="7805"/>
        <item m="1" x="4865"/>
        <item m="1" x="4351"/>
        <item m="1" x="7377"/>
        <item m="1" x="3651"/>
        <item m="1" x="4105"/>
        <item m="1" x="5666"/>
        <item m="1" x="7112"/>
        <item m="1" x="6664"/>
        <item m="1" x="3286"/>
        <item m="1" x="4968"/>
        <item m="1" x="2851"/>
        <item m="1" x="7213"/>
        <item m="1" x="2924"/>
        <item m="1" x="6391"/>
        <item m="1" x="5380"/>
        <item m="1" x="3067"/>
        <item m="1" x="6098"/>
        <item m="1" x="3911"/>
        <item m="1" x="6895"/>
        <item m="1" x="3855"/>
        <item m="1" x="6473"/>
        <item m="1" x="5235"/>
        <item m="1" x="7596"/>
        <item m="1" x="4279"/>
        <item m="1" x="4674"/>
        <item m="1" x="3553"/>
        <item m="1" x="3439"/>
        <item m="1" x="4062"/>
        <item m="1" x="5447"/>
        <item m="1" x="6599"/>
        <item m="1" x="2663"/>
        <item m="1" x="4991"/>
        <item m="1" x="5394"/>
        <item m="1" x="5996"/>
        <item m="1" x="5954"/>
        <item m="1" x="4696"/>
        <item m="1" x="7486"/>
        <item m="1" x="4874"/>
        <item m="1" x="6097"/>
        <item m="1" x="2761"/>
        <item m="1" x="7216"/>
        <item m="1" x="3394"/>
        <item m="1" x="7100"/>
        <item m="1" x="7965"/>
        <item m="1" x="6966"/>
        <item m="1" x="3953"/>
        <item m="1" x="5227"/>
        <item m="1" x="5902"/>
        <item m="1" x="5031"/>
        <item m="1" x="7956"/>
        <item m="1" x="6862"/>
        <item m="1" x="5270"/>
        <item m="1" x="2810"/>
        <item m="1" x="3016"/>
        <item m="1" x="5624"/>
        <item m="1" x="3717"/>
        <item m="1" x="6045"/>
        <item m="1" x="2598"/>
        <item m="1" x="5214"/>
        <item m="1" x="5240"/>
        <item m="1" x="4901"/>
        <item m="1" x="3895"/>
        <item m="1" x="6731"/>
        <item m="1" x="3277"/>
        <item m="1" x="3749"/>
        <item m="1" x="6541"/>
        <item m="1" x="6833"/>
        <item m="1" x="2723"/>
        <item m="1" x="4290"/>
        <item m="1" x="5941"/>
        <item m="1" x="6221"/>
        <item m="1" x="3705"/>
        <item m="1" x="6859"/>
        <item m="1" x="7225"/>
        <item m="1" x="4491"/>
        <item m="1" x="5623"/>
        <item m="1" x="7530"/>
        <item m="1" x="7115"/>
        <item m="1" x="5989"/>
        <item m="1" x="6297"/>
        <item m="1" x="5677"/>
        <item m="1" x="4012"/>
        <item m="1" x="3302"/>
        <item m="1" x="4214"/>
        <item m="1" x="3914"/>
        <item m="1" x="5238"/>
        <item m="1" x="4838"/>
        <item m="1" x="2700"/>
        <item m="1" x="2646"/>
        <item m="1" x="6030"/>
        <item m="1" x="4998"/>
        <item m="1" x="7539"/>
        <item m="1" x="6000"/>
        <item m="1" x="4804"/>
        <item m="1" x="3479"/>
        <item m="1" x="5067"/>
        <item m="1" x="3469"/>
        <item m="1" x="3517"/>
        <item m="1" x="6649"/>
        <item m="1" x="5661"/>
        <item m="1" x="6534"/>
        <item m="1" x="2726"/>
        <item m="1" x="7797"/>
        <item m="1" x="4016"/>
        <item m="1" x="2986"/>
        <item m="1" x="5195"/>
        <item m="1" x="7567"/>
        <item m="1" x="7840"/>
        <item m="1" x="3227"/>
        <item m="1" x="5390"/>
        <item m="1" x="6126"/>
        <item m="1" x="4064"/>
        <item m="1" x="4921"/>
        <item m="1" x="7779"/>
        <item m="1" x="6409"/>
        <item m="1" x="6397"/>
        <item m="1" x="6874"/>
        <item m="1" x="2652"/>
        <item m="1" x="2930"/>
        <item m="1" x="5779"/>
        <item m="1" x="3091"/>
        <item m="1" x="6823"/>
        <item m="1" x="3452"/>
        <item m="1" x="3871"/>
        <item m="1" x="5097"/>
        <item m="1" x="7455"/>
        <item m="1" x="5304"/>
        <item m="1" x="2698"/>
        <item m="1" x="6160"/>
        <item m="1" x="6339"/>
        <item m="1" x="5696"/>
        <item m="1" x="5646"/>
        <item m="1" x="3254"/>
        <item m="1" x="4898"/>
        <item m="1" x="4752"/>
        <item m="1" x="3332"/>
        <item m="1" x="3515"/>
        <item m="1" x="5843"/>
        <item m="1" x="5065"/>
        <item m="1" x="7150"/>
        <item m="1" x="4277"/>
        <item m="1" x="2558"/>
        <item m="1" x="6462"/>
        <item m="1" x="3987"/>
        <item m="1" x="7872"/>
        <item m="1" x="6722"/>
        <item m="1" x="7325"/>
        <item m="1" x="3940"/>
        <item m="1" x="4716"/>
        <item m="1" x="2705"/>
        <item m="1" x="2893"/>
        <item m="1" x="6327"/>
        <item m="1" x="6899"/>
        <item m="1" x="2854"/>
        <item m="1" x="5449"/>
        <item m="1" x="3970"/>
        <item m="1" x="5076"/>
        <item m="1" x="6333"/>
        <item m="1" x="5348"/>
        <item m="1" x="2928"/>
        <item m="1" x="6719"/>
        <item m="1" x="4886"/>
        <item m="1" x="5403"/>
        <item m="1" x="3568"/>
        <item m="1" x="3132"/>
        <item m="1" x="6962"/>
        <item m="1" x="6135"/>
        <item m="1" x="6615"/>
        <item m="1" x="7427"/>
        <item m="1" x="4827"/>
        <item m="1" x="4694"/>
        <item m="1" x="4960"/>
        <item m="1" x="3095"/>
        <item m="1" x="3649"/>
        <item m="1" x="4940"/>
        <item m="1" x="4462"/>
        <item m="1" x="7661"/>
        <item m="1" x="5254"/>
        <item m="1" x="3214"/>
        <item m="1" x="7280"/>
        <item m="1" x="6958"/>
        <item m="1" x="7199"/>
        <item m="1" x="7474"/>
        <item m="1" x="3769"/>
        <item m="1" x="3043"/>
        <item m="1" x="5003"/>
        <item m="1" x="6986"/>
        <item m="1" x="5100"/>
        <item m="1" x="6344"/>
        <item m="1" x="7303"/>
        <item m="1" x="5236"/>
        <item m="1" x="6770"/>
        <item m="1" x="4836"/>
        <item m="1" x="2654"/>
        <item m="1" x="3593"/>
        <item m="1" x="3238"/>
        <item m="1" x="4676"/>
        <item m="1" x="4525"/>
        <item m="1" x="6970"/>
        <item m="1" x="3413"/>
        <item m="1" x="5458"/>
        <item m="1" x="3976"/>
        <item m="1" x="3167"/>
        <item m="1" x="6479"/>
        <item m="1" x="2890"/>
        <item m="1" x="7890"/>
        <item m="1" x="5191"/>
        <item m="1" x="3314"/>
        <item m="1" x="4688"/>
        <item m="1" x="5533"/>
        <item m="1" x="6365"/>
        <item m="1" x="7380"/>
        <item m="1" x="6122"/>
        <item m="1" x="3626"/>
        <item m="1" x="5056"/>
        <item m="1" x="5115"/>
        <item m="1" x="6053"/>
        <item m="1" x="6828"/>
        <item m="1" x="4549"/>
        <item m="1" x="6716"/>
        <item m="1" x="2557"/>
        <item m="1" x="5332"/>
        <item m="1" x="6905"/>
        <item m="1" x="2543"/>
        <item m="1" x="7597"/>
        <item m="1" x="4334"/>
        <item m="1" x="7159"/>
        <item m="1" x="4683"/>
        <item m="1" x="7328"/>
        <item m="1" x="5536"/>
        <item m="1" x="7841"/>
        <item m="1" x="2907"/>
        <item m="1" x="6915"/>
        <item m="1" x="7639"/>
        <item m="1" x="2739"/>
        <item m="1" x="2931"/>
        <item m="1" x="2852"/>
        <item m="1" x="7753"/>
        <item m="1" x="5960"/>
        <item m="1" x="3924"/>
        <item m="1" x="2688"/>
        <item m="1" x="5069"/>
        <item m="1" x="5096"/>
        <item m="1" x="7579"/>
        <item m="1" x="5769"/>
        <item m="1" x="7260"/>
        <item m="1" x="6505"/>
        <item m="1" x="4296"/>
        <item m="1" x="4572"/>
        <item m="1" x="4761"/>
        <item m="1" x="4463"/>
        <item m="1" x="3111"/>
        <item m="1" x="6570"/>
        <item m="1" x="3148"/>
        <item m="1" x="5303"/>
        <item m="1" x="2836"/>
        <item m="1" x="6434"/>
        <item m="1" x="7314"/>
        <item m="1" x="6551"/>
        <item m="1" x="3506"/>
        <item m="1" x="5088"/>
        <item m="1" x="5841"/>
        <item m="1" x="7101"/>
        <item m="1" x="3547"/>
        <item m="1" x="7726"/>
        <item m="1" x="2777"/>
        <item m="1" x="7106"/>
        <item m="1" x="3390"/>
        <item m="1" x="6287"/>
        <item m="1" x="4126"/>
        <item m="1" x="5543"/>
        <item m="1" x="3728"/>
        <item m="1" x="4878"/>
        <item m="1" x="6764"/>
        <item m="1" x="7793"/>
        <item m="1" x="5324"/>
        <item m="1" x="4273"/>
        <item m="1" x="4376"/>
        <item m="1" x="6985"/>
        <item m="1" x="4563"/>
        <item m="1" x="6427"/>
        <item m="1" x="5517"/>
        <item m="1" x="7385"/>
        <item m="1" x="3448"/>
        <item m="1" x="7251"/>
        <item m="1" x="4672"/>
        <item m="1" x="5736"/>
        <item m="1" x="7680"/>
        <item m="1" x="6069"/>
        <item m="1" x="3964"/>
        <item m="1" x="3417"/>
        <item m="1" x="5785"/>
        <item m="1" x="4610"/>
        <item m="1" x="4416"/>
        <item m="1" x="6892"/>
        <item m="1" x="2545"/>
        <item m="1" x="6607"/>
        <item m="1" x="4322"/>
        <item m="1" x="3131"/>
        <item m="1" x="3538"/>
        <item m="1" x="5337"/>
        <item m="1" x="6248"/>
        <item m="1" x="3365"/>
        <item m="1" x="6377"/>
        <item m="1" x="3998"/>
        <item m="1" x="6653"/>
        <item m="1" x="4607"/>
        <item m="1" x="5388"/>
        <item m="1" x="5443"/>
        <item m="1" x="5395"/>
        <item m="1" x="3595"/>
        <item m="1" x="6885"/>
        <item m="1" x="6579"/>
        <item m="1" x="6965"/>
        <item m="1" x="7981"/>
        <item m="1" x="5114"/>
        <item m="1" x="3524"/>
        <item m="1" x="4120"/>
        <item m="1" x="4502"/>
        <item m="1" x="4418"/>
        <item m="1" x="5213"/>
        <item m="1" x="3274"/>
        <item m="1" x="6386"/>
        <item m="1" x="6974"/>
        <item m="1" x="5226"/>
        <item m="1" x="4925"/>
        <item m="1" x="3278"/>
        <item m="1" x="3071"/>
        <item m="1" x="5712"/>
        <item m="1" x="2848"/>
        <item m="1" x="6321"/>
        <item m="1" x="7973"/>
        <item m="1" x="4278"/>
        <item m="1" x="4195"/>
        <item m="1" x="5655"/>
        <item m="1" x="5924"/>
        <item m="1" x="4373"/>
        <item m="1" x="5166"/>
        <item m="1" x="4057"/>
        <item m="1" x="7189"/>
        <item m="1" x="5590"/>
        <item m="1" x="6424"/>
        <item m="1" x="3988"/>
        <item m="1" x="6908"/>
        <item m="1" x="5163"/>
        <item m="1" x="7532"/>
        <item m="1" x="6211"/>
        <item m="1" x="7031"/>
        <item m="1" x="5253"/>
        <item m="1" x="5565"/>
        <item m="1" x="3349"/>
        <item m="1" x="4773"/>
        <item m="1" x="2923"/>
        <item m="1" x="4657"/>
        <item m="1" x="5745"/>
        <item m="1" x="3012"/>
        <item m="1" x="5839"/>
        <item m="1" x="5545"/>
        <item m="1" x="3941"/>
        <item m="1" x="3065"/>
        <item m="1" x="4788"/>
        <item m="1" x="7898"/>
        <item m="1" x="3805"/>
        <item m="1" x="5079"/>
        <item m="1" x="6375"/>
        <item m="1" x="4798"/>
        <item m="1" x="3756"/>
        <item m="1" x="5201"/>
        <item m="1" x="6241"/>
        <item m="1" x="5997"/>
        <item m="1" x="6277"/>
        <item m="1" x="6552"/>
        <item m="1" x="5451"/>
        <item m="1" x="6487"/>
        <item m="1" x="4839"/>
        <item m="1" x="6229"/>
        <item m="1" x="6840"/>
        <item m="1" x="6114"/>
        <item m="1" x="3369"/>
        <item m="1" x="3069"/>
        <item m="1" x="6734"/>
        <item m="1" x="6625"/>
        <item m="1" x="3368"/>
        <item m="1" x="3319"/>
        <item m="1" x="7820"/>
        <item m="1" x="6470"/>
        <item m="1" x="4331"/>
        <item m="1" x="2859"/>
        <item m="1" x="7340"/>
        <item m="1" x="7228"/>
        <item m="1" x="3447"/>
        <item m="1" x="4907"/>
        <item m="1" x="5410"/>
        <item m="1" x="5971"/>
        <item m="1" x="5372"/>
        <item m="1" x="4643"/>
        <item m="1" x="7710"/>
        <item m="1" x="7172"/>
        <item m="1" x="7551"/>
        <item m="1" x="5607"/>
        <item m="1" x="4945"/>
        <item m="1" x="6322"/>
        <item m="1" x="7453"/>
        <item m="1" x="7795"/>
        <item m="1" x="4686"/>
        <item m="1" x="7679"/>
        <item m="1" x="5976"/>
        <item m="1" x="7950"/>
        <item m="1" x="7720"/>
        <item m="1" x="5026"/>
        <item m="1" x="3296"/>
        <item m="1" x="7503"/>
        <item m="1" x="3412"/>
        <item m="1" x="2842"/>
        <item m="1" x="3446"/>
        <item m="1" x="4321"/>
        <item m="1" x="7165"/>
        <item m="1" x="3596"/>
        <item m="1" x="7091"/>
        <item m="1" x="7243"/>
        <item m="1" x="2797"/>
        <item m="1" x="6809"/>
        <item m="1" x="6355"/>
        <item m="1" x="2993"/>
        <item m="1" x="5486"/>
        <item m="1" x="2895"/>
        <item m="1" x="6367"/>
        <item m="1" x="5257"/>
        <item m="1" x="3453"/>
        <item m="1" x="4664"/>
        <item m="1" x="6589"/>
        <item m="1" x="7063"/>
        <item m="1" x="4650"/>
        <item m="1" x="7017"/>
        <item m="1" x="7002"/>
        <item m="1" x="4931"/>
        <item m="1" x="7939"/>
        <item m="1" x="4806"/>
        <item m="1" x="4834"/>
        <item m="1" x="2784"/>
        <item m="1" x="3883"/>
        <item m="1" x="3902"/>
        <item m="1" x="7235"/>
        <item m="1" x="4115"/>
        <item m="1" x="4114"/>
        <item m="1" x="7267"/>
        <item m="1" x="7331"/>
        <item m="1" x="7023"/>
        <item m="1" x="3635"/>
        <item m="1" x="4363"/>
        <item m="1" x="6619"/>
        <item m="1" x="3032"/>
        <item m="1" x="6244"/>
        <item m="1" x="6602"/>
        <item m="1" x="5793"/>
        <item m="1" x="5850"/>
        <item m="1" x="4754"/>
        <item m="1" x="5706"/>
        <item m="1" x="7487"/>
        <item m="1" x="7570"/>
        <item m="1" x="3686"/>
        <item m="1" x="4182"/>
        <item m="1" x="6594"/>
        <item m="1" x="4438"/>
        <item m="1" x="5261"/>
        <item m="1" x="4487"/>
        <item m="1" x="3598"/>
        <item m="1" x="7538"/>
        <item m="1" x="6059"/>
        <item m="1" x="6232"/>
        <item m="1" x="6208"/>
        <item m="1" x="3890"/>
        <item m="1" x="6769"/>
        <item m="1" x="3952"/>
        <item m="1" x="6761"/>
        <item m="1" x="4422"/>
        <item m="1" x="5684"/>
        <item m="1" x="6068"/>
        <item m="1" x="7622"/>
        <item m="1" x="2525"/>
        <item m="1" x="4588"/>
        <item m="1" x="5029"/>
        <item m="1" x="7607"/>
        <item m="1" x="6926"/>
        <item m="1" x="4199"/>
        <item m="1" x="7489"/>
        <item m="1" x="4410"/>
        <item m="1" x="4517"/>
        <item m="1" x="4704"/>
        <item m="1" x="2936"/>
        <item m="1" x="4629"/>
        <item m="1" x="5575"/>
        <item m="1" x="6567"/>
        <item m="1" x="7621"/>
        <item m="1" x="4001"/>
        <item m="1" x="6635"/>
        <item m="1" x="7432"/>
        <item m="1" x="4962"/>
        <item m="1" x="7561"/>
        <item m="1" x="5723"/>
        <item m="1" x="6184"/>
        <item m="1" x="6116"/>
        <item m="1" x="7932"/>
        <item m="1" x="5570"/>
        <item m="1" x="3552"/>
        <item m="1" x="6760"/>
        <item m="1" x="3380"/>
        <item m="1" x="5133"/>
        <item m="1" x="5550"/>
        <item m="1" x="7318"/>
        <item m="1" x="6313"/>
        <item m="1" x="5834"/>
        <item m="1" x="6560"/>
        <item m="1" x="6460"/>
        <item m="1" x="5928"/>
        <item m="1" x="7544"/>
        <item m="1" x="5822"/>
        <item m="1" x="4176"/>
        <item m="1" x="2764"/>
        <item m="1" x="6851"/>
        <item m="1" x="6432"/>
        <item m="1" x="6430"/>
        <item m="1" x="2959"/>
        <item m="1" x="4241"/>
        <item m="1" x="7565"/>
        <item m="1" x="2644"/>
        <item m="1" x="6238"/>
        <item m="1" x="6388"/>
        <item m="1" x="2641"/>
        <item m="1" x="3476"/>
        <item m="1" x="7138"/>
        <item m="1" x="5183"/>
        <item m="1" x="6469"/>
        <item m="1" x="5119"/>
        <item m="1" x="6453"/>
        <item m="1" x="2902"/>
        <item m="1" x="6733"/>
        <item m="1" x="4826"/>
        <item m="1" x="6120"/>
        <item m="1" x="4803"/>
        <item m="1" x="7687"/>
        <item m="1" x="3971"/>
        <item m="1" x="3489"/>
        <item m="1" x="6319"/>
        <item m="1" x="4669"/>
        <item m="1" x="2961"/>
        <item m="1" x="3475"/>
        <item m="1" x="6559"/>
        <item m="1" x="7491"/>
        <item m="1" x="3030"/>
        <item m="1" x="4166"/>
        <item m="1" x="5852"/>
        <item m="1" x="6781"/>
        <item m="1" x="4775"/>
        <item m="1" x="5599"/>
        <item m="1" x="5047"/>
        <item m="1" x="2962"/>
        <item m="1" x="2965"/>
        <item m="1" x="6279"/>
        <item m="1" x="2675"/>
        <item m="1" x="7071"/>
        <item m="1" x="2623"/>
        <item m="1" x="4100"/>
        <item m="1" x="4984"/>
        <item m="1" x="2669"/>
        <item m="1" x="2596"/>
        <item m="1" x="5299"/>
        <item m="1" x="6257"/>
        <item m="1" x="2887"/>
        <item m="1" x="4152"/>
        <item m="1" x="5811"/>
        <item m="1" x="7196"/>
        <item m="1" x="5219"/>
        <item m="1" x="4765"/>
        <item m="1" x="4179"/>
        <item m="1" x="4267"/>
        <item m="1" x="3648"/>
        <item m="1" x="4444"/>
        <item m="1" x="3034"/>
        <item m="1" x="6688"/>
        <item m="1" x="6236"/>
        <item m="1" x="4685"/>
        <item m="1" x="5729"/>
        <item m="1" x="4767"/>
        <item m="1" x="6657"/>
        <item m="1" x="4470"/>
        <item m="1" x="6888"/>
        <item m="1" x="2815"/>
        <item m="1" x="5049"/>
        <item m="1" x="3527"/>
        <item m="1" x="2978"/>
        <item m="1" x="4772"/>
        <item m="1" x="3870"/>
        <item m="1" x="5267"/>
        <item m="1" x="6115"/>
        <item m="1" x="6582"/>
        <item m="1" x="5180"/>
        <item m="1" x="4737"/>
        <item m="1" x="7358"/>
        <item m="1" x="7736"/>
        <item m="1" x="4580"/>
        <item m="1" x="5139"/>
        <item m="1" x="3240"/>
        <item m="1" x="6320"/>
        <item m="1" x="6086"/>
        <item m="1" x="6794"/>
        <item m="1" x="6293"/>
        <item m="1" x="5741"/>
        <item m="1" x="3584"/>
        <item m="1" x="2562"/>
        <item m="1" x="6278"/>
        <item m="1" x="6340"/>
        <item m="1" x="2714"/>
        <item m="1" x="4539"/>
        <item m="1" x="3076"/>
        <item m="1" x="7274"/>
        <item m="1" x="5513"/>
        <item m="1" x="6455"/>
        <item m="1" x="2736"/>
        <item m="1" x="3019"/>
        <item m="1" x="7219"/>
        <item m="1" x="4046"/>
        <item m="1" x="5258"/>
        <item m="1" x="3757"/>
        <item m="1" x="6474"/>
        <item m="1" x="2741"/>
        <item m="1" x="6549"/>
        <item m="1" x="2804"/>
        <item m="1" x="6103"/>
        <item m="1" x="6678"/>
        <item m="1" x="6587"/>
        <item m="1" x="4116"/>
        <item m="1" x="3507"/>
        <item m="1" x="7183"/>
        <item m="1" x="6665"/>
        <item m="1" x="3251"/>
        <item m="1" x="7246"/>
        <item m="1" x="5675"/>
        <item m="1" x="4493"/>
        <item m="1" x="3896"/>
        <item m="1" x="5722"/>
        <item m="1" x="7786"/>
        <item m="1" x="4535"/>
        <item m="1" x="2847"/>
        <item m="1" x="4477"/>
        <item m="1" x="2517"/>
        <item m="1" x="2653"/>
        <item m="1" x="7388"/>
        <item m="1" x="4780"/>
        <item m="1" x="5514"/>
        <item m="1" x="6162"/>
        <item m="1" x="5508"/>
        <item m="1" x="7306"/>
        <item m="1" x="6698"/>
        <item m="1" x="6190"/>
        <item m="1" x="5580"/>
        <item m="1" x="2513"/>
        <item m="1" x="3174"/>
        <item m="1" x="7669"/>
        <item m="1" x="3704"/>
        <item m="1" x="4311"/>
        <item m="1" x="6749"/>
        <item m="1" x="3288"/>
        <item m="1" x="3116"/>
        <item m="1" x="3462"/>
        <item m="1" x="5571"/>
        <item m="1" x="3495"/>
        <item m="1" x="6718"/>
        <item m="1" x="7746"/>
        <item m="1" x="7361"/>
        <item m="1" x="6237"/>
        <item m="1" x="4630"/>
        <item m="1" x="6626"/>
        <item m="1" x="4174"/>
        <item m="1" x="7154"/>
        <item m="1" x="2807"/>
        <item m="1" x="5949"/>
        <item m="1" x="2997"/>
        <item m="1" x="5854"/>
        <item m="1" x="7889"/>
        <item m="1" x="4308"/>
        <item m="1" x="7796"/>
        <item m="1" x="3355"/>
        <item m="1" x="5471"/>
        <item m="1" x="3550"/>
        <item m="1" x="3176"/>
        <item m="1" x="4560"/>
        <item m="1" x="5128"/>
        <item m="1" x="2551"/>
        <item m="1" x="5577"/>
        <item m="1" x="4449"/>
        <item m="1" x="7667"/>
        <item m="1" x="7198"/>
        <item m="1" x="3732"/>
        <item m="1" x="5243"/>
        <item m="1" x="4987"/>
        <item m="1" x="5766"/>
        <item m="1" x="3218"/>
        <item m="1" x="3066"/>
        <item m="1" x="5947"/>
        <item m="1" x="7391"/>
        <item m="1" x="3724"/>
        <item m="1" x="2768"/>
        <item m="1" x="6005"/>
        <item m="1" x="3392"/>
        <item m="1" x="7232"/>
        <item m="1" x="6267"/>
        <item m="1" x="5715"/>
        <item m="1" x="2832"/>
        <item m="1" x="6289"/>
        <item m="1" x="5098"/>
        <item m="1" x="7979"/>
        <item m="1" x="3255"/>
        <item m="1" x="6980"/>
        <item m="1" x="5859"/>
        <item m="1" x="3790"/>
        <item m="1" x="6916"/>
        <item m="1" x="2926"/>
        <item m="1" x="4890"/>
        <item m="1" x="2728"/>
        <item m="1" x="5625"/>
        <item m="1" x="6052"/>
        <item m="1" x="4634"/>
        <item m="1" x="5746"/>
        <item m="1" x="5810"/>
        <item m="1" x="2869"/>
        <item m="1" x="7001"/>
        <item m="1" x="4892"/>
        <item m="1" x="5494"/>
        <item m="1" x="7586"/>
        <item m="1" x="3219"/>
        <item m="1" x="7169"/>
        <item m="1" x="3641"/>
        <item m="1" x="2730"/>
        <item m="1" x="4661"/>
        <item m="1" x="4412"/>
        <item m="1" x="5280"/>
        <item m="1" x="7145"/>
        <item m="1" x="6057"/>
        <item m="1" x="3785"/>
        <item m="1" x="6882"/>
        <item m="1" x="2752"/>
        <item m="1" x="4488"/>
        <item m="1" x="5934"/>
        <item m="1" x="3204"/>
        <item m="1" x="3571"/>
        <item m="1" x="3092"/>
        <item m="1" x="7962"/>
        <item m="1" x="6231"/>
        <item m="1" x="3629"/>
        <item m="1" x="6603"/>
        <item m="1" x="6887"/>
        <item m="1" x="6008"/>
        <item m="1" x="3731"/>
        <item m="1" x="6695"/>
        <item m="1" x="4864"/>
        <item m="1" x="4928"/>
        <item m="1" x="7729"/>
        <item m="1" x="2703"/>
        <item m="1" x="6879"/>
        <item m="1" x="5064"/>
        <item m="1" x="6186"/>
        <item m="1" x="2608"/>
        <item m="1" x="2576"/>
        <item m="1" x="3549"/>
        <item m="1" x="3563"/>
        <item m="1" x="7712"/>
        <item m="1" x="4558"/>
        <item m="1" x="5362"/>
        <item m="1" x="4250"/>
        <item m="1" x="7224"/>
        <item m="1" x="3881"/>
        <item m="1" x="7689"/>
        <item m="1" x="3068"/>
        <item m="1" x="7148"/>
        <item m="1" x="5687"/>
        <item m="1" x="5188"/>
        <item m="1" x="3262"/>
        <item m="1" x="3826"/>
        <item m="1" x="5353"/>
        <item m="1" x="7488"/>
        <item m="1" x="7641"/>
        <item m="1" x="5099"/>
        <item m="1" x="4180"/>
        <item m="1" x="4576"/>
        <item m="1" x="5292"/>
        <item m="1" x="5282"/>
        <item m="1" x="5883"/>
        <item m="1" x="5591"/>
        <item m="1" x="5563"/>
        <item m="1" x="5704"/>
        <item m="1" x="7029"/>
        <item m="1" x="5507"/>
        <item m="1" x="4568"/>
        <item m="1" x="7745"/>
        <item m="1" x="3300"/>
        <item m="1" x="4175"/>
        <item m="1" x="2660"/>
        <item m="1" x="6471"/>
        <item m="1" x="3354"/>
        <item m="1" x="5250"/>
        <item m="1" x="5118"/>
        <item m="1" x="5217"/>
        <item m="1" x="7578"/>
        <item m="1" x="5884"/>
        <item m="1" x="7283"/>
        <item m="1" x="2773"/>
        <item m="1" x="3323"/>
        <item m="1" x="7233"/>
        <item m="1" x="5092"/>
        <item m="1" x="6835"/>
        <item m="1" x="4919"/>
        <item m="1" x="2592"/>
        <item m="1" x="4252"/>
        <item m="1" x="2884"/>
        <item m="1" x="7886"/>
        <item m="1" x="3576"/>
        <item m="1" x="4863"/>
        <item m="1" x="5814"/>
        <item m="1" x="6613"/>
        <item m="1" x="5608"/>
        <item m="1" x="7395"/>
        <item m="1" x="4813"/>
        <item m="1" x="3676"/>
        <item m="1" x="6753"/>
        <item m="1" x="5112"/>
        <item m="1" x="2651"/>
        <item m="1" x="5701"/>
        <item m="1" x="3808"/>
        <item m="1" x="6163"/>
        <item m="1" x="6873"/>
        <item m="1" x="6490"/>
        <item m="1" x="6847"/>
        <item m="1" x="4446"/>
        <item m="1" x="4045"/>
        <item m="1" x="2533"/>
        <item m="1" x="7941"/>
        <item m="1" x="6363"/>
        <item m="1" x="5800"/>
        <item m="1" x="5321"/>
        <item m="1" x="4786"/>
        <item m="1" x="5455"/>
        <item m="1" x="4627"/>
        <item m="1" x="5986"/>
        <item m="1" x="7604"/>
        <item m="1" x="4723"/>
        <item m="1" x="2785"/>
        <item m="1" x="3085"/>
        <item m="1" x="5234"/>
        <item m="1" x="6146"/>
        <item m="1" x="6396"/>
        <item m="1" x="2550"/>
        <item m="1" x="5116"/>
        <item m="1" x="2788"/>
        <item m="1" x="5439"/>
        <item m="1" x="4272"/>
        <item m="1" x="5506"/>
        <item m="1" x="2548"/>
        <item m="1" x="7730"/>
        <item m="1" x="3796"/>
        <item m="1" x="3736"/>
        <item m="1" x="4310"/>
        <item m="1" x="2780"/>
        <item m="1" x="4709"/>
        <item m="1" x="6454"/>
        <item m="1" x="2516"/>
        <item m="1" x="3350"/>
        <item m="1" x="2577"/>
        <item m="1" x="7826"/>
        <item m="1" x="6652"/>
        <item m="1" x="2638"/>
        <item m="1" x="7502"/>
        <item m="1" x="4237"/>
        <item m="1" x="7743"/>
        <item m="1" x="5382"/>
        <item m="1" x="5385"/>
        <item m="1" x="6815"/>
        <item m="1" x="6498"/>
        <item m="1" x="6225"/>
        <item m="1" x="4640"/>
        <item m="1" x="4167"/>
        <item m="1" x="5502"/>
        <item m="1" x="5375"/>
        <item m="1" x="5377"/>
        <item m="1" x="5378"/>
        <item m="1" x="5379"/>
        <item m="1" x="6897"/>
        <item m="1" x="7449"/>
        <item m="1" x="3919"/>
        <item m="1" x="3103"/>
        <item m="1" x="4965"/>
        <item m="1" x="2882"/>
        <item m="1" x="3370"/>
        <item m="1" x="2794"/>
        <item m="1" x="4646"/>
        <item m="1" x="7823"/>
        <item m="1" x="5754"/>
        <item m="1" x="7809"/>
        <item m="1" x="6673"/>
        <item m="1" x="5424"/>
        <item m="1" x="3397"/>
        <item m="1" x="5826"/>
        <item m="1" x="4544"/>
        <item m="1" x="2522"/>
        <item m="1" x="4632"/>
        <item m="1" x="4509"/>
        <item m="1" x="6080"/>
        <item m="1" x="5784"/>
        <item m="1" x="7408"/>
        <item m="1" x="5979"/>
        <item m="1" x="5831"/>
        <item m="1" x="5894"/>
        <item m="1" x="3678"/>
        <item m="1" x="7945"/>
        <item m="1" x="7399"/>
        <item m="1" x="6224"/>
        <item m="1" x="4205"/>
        <item m="1" x="7234"/>
        <item m="1" x="3628"/>
        <item m="1" x="6259"/>
        <item m="1" x="2565"/>
        <item m="1" x="4002"/>
        <item m="1" x="2811"/>
        <item m="1" x="2922"/>
        <item m="1" x="4028"/>
        <item m="1" x="5356"/>
        <item m="1" x="3745"/>
        <item m="1" x="6032"/>
        <item m="1" x="5720"/>
        <item m="1" x="5541"/>
        <item m="1" x="5900"/>
        <item m="1" x="7262"/>
        <item m="1" x="4142"/>
        <item m="1" x="4988"/>
        <item m="1" x="4451"/>
        <item m="1" x="6113"/>
        <item m="1" x="7707"/>
        <item m="1" x="3005"/>
        <item m="1" x="4263"/>
        <item m="1" x="5215"/>
        <item m="1" x="3965"/>
        <item m="1" x="7496"/>
        <item m="1" x="5249"/>
        <item m="1" x="5417"/>
        <item m="1" x="3674"/>
        <item m="1" x="5269"/>
        <item m="1" x="4647"/>
        <item m="1" x="3841"/>
        <item m="1" x="5314"/>
        <item m="1" x="5456"/>
        <item m="1" x="4655"/>
        <item m="1" x="7684"/>
        <item m="1" x="6269"/>
        <item m="1" x="4835"/>
        <item m="1" x="2630"/>
        <item m="1" x="3682"/>
        <item m="1" x="5925"/>
        <item m="1" x="5686"/>
        <item m="1" x="2709"/>
        <item m="1" x="5901"/>
        <item m="1" x="6707"/>
        <item m="1" x="5300"/>
        <item m="1" x="7059"/>
        <item m="1" x="7691"/>
        <item m="1" x="5637"/>
        <item m="1" x="5663"/>
        <item m="1" x="5555"/>
        <item m="1" x="7193"/>
        <item m="1" x="2809"/>
        <item m="1" x="7500"/>
        <item m="1" x="6730"/>
        <item m="1" x="6341"/>
        <item m="1" x="7974"/>
        <item m="1" x="4499"/>
        <item m="1" x="7176"/>
        <item m="1" x="2690"/>
        <item m="1" x="3187"/>
        <item m="1" x="5915"/>
        <item m="1" x="5632"/>
        <item m="1" x="4236"/>
        <item m="1" x="5656"/>
        <item m="1" x="7398"/>
        <item m="1" x="2740"/>
        <item m="1" x="6036"/>
        <item m="1" x="6252"/>
        <item m="1" x="3239"/>
        <item m="1" x="5763"/>
        <item m="1" x="3529"/>
        <item m="1" x="3945"/>
        <item m="1" x="3182"/>
        <item m="1" x="6330"/>
        <item m="1" x="6300"/>
        <item m="1" x="6550"/>
        <item m="1" x="3541"/>
        <item m="1" x="5985"/>
        <item m="1" x="2944"/>
        <item m="1" x="6485"/>
        <item m="1" x="7740"/>
        <item m="1" x="4020"/>
        <item m="1" x="6400"/>
        <item m="1" x="7212"/>
        <item m="1" x="6338"/>
        <item m="1" x="7693"/>
        <item m="1" x="5922"/>
        <item m="1" x="3681"/>
        <item m="1" x="7312"/>
        <item m="1" x="5454"/>
        <item m="1" x="5310"/>
        <item m="1" x="3770"/>
        <item m="1" x="5157"/>
        <item m="1" x="7263"/>
        <item m="1" x="3402"/>
        <item m="1" x="4575"/>
        <item m="1" x="6422"/>
        <item m="1" x="4441"/>
        <item m="1" x="4891"/>
        <item m="1" x="6376"/>
        <item m="1" x="3817"/>
        <item m="1" x="6417"/>
        <item m="1" x="4759"/>
        <item m="1" x="4035"/>
        <item m="1" x="7360"/>
        <item m="1" x="4534"/>
        <item m="1" x="3848"/>
        <item m="1" x="3650"/>
        <item m="1" x="5161"/>
        <item m="1" x="3038"/>
        <item m="1" x="2524"/>
        <item m="1" x="5013"/>
        <item m="1" x="7259"/>
        <item m="1" x="7859"/>
        <item x="0"/>
        <item x="1"/>
        <item x="2"/>
        <item x="3"/>
        <item x="4"/>
        <item x="5"/>
        <item x="6"/>
        <item x="7"/>
        <item x="8"/>
        <item x="9"/>
        <item x="10"/>
        <item x="11"/>
        <item x="12"/>
        <item x="13"/>
        <item x="14"/>
        <item x="15"/>
        <item x="16"/>
        <item x="17"/>
        <item x="18"/>
        <item x="19"/>
        <item x="20"/>
        <item x="21"/>
        <item x="27"/>
        <item x="28"/>
        <item x="29"/>
        <item m="1" x="4589"/>
        <item m="1" x="4339"/>
        <item x="36"/>
        <item x="37"/>
        <item x="38"/>
        <item x="39"/>
        <item x="40"/>
        <item x="41"/>
        <item x="42"/>
        <item x="43"/>
        <item x="44"/>
        <item x="45"/>
        <item x="46"/>
        <item x="58"/>
        <item m="1" x="5075"/>
        <item m="1" x="6725"/>
        <item m="1" x="6930"/>
        <item x="62"/>
        <item x="47"/>
        <item x="48"/>
        <item x="49"/>
        <item x="50"/>
        <item x="51"/>
        <item x="52"/>
        <item x="53"/>
        <item x="54"/>
        <item x="55"/>
        <item x="56"/>
        <item x="57"/>
        <item x="59"/>
        <item x="60"/>
        <item x="61"/>
        <item m="1" x="324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m="1" x="5060"/>
        <item x="124"/>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m="1" x="2536"/>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m="1" x="5652"/>
        <item m="1" x="7766"/>
        <item m="1" x="5463"/>
        <item x="358"/>
        <item x="359"/>
        <item x="360"/>
        <item x="361"/>
        <item x="362"/>
        <item x="363"/>
        <item x="364"/>
        <item x="365"/>
        <item x="366"/>
        <item x="367"/>
        <item x="368"/>
        <item x="369"/>
        <item x="370"/>
        <item x="371"/>
        <item x="372"/>
        <item x="373"/>
        <item x="374"/>
        <item x="353"/>
        <item x="354"/>
        <item x="355"/>
        <item x="356"/>
        <item x="357"/>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m="1" x="459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m="1" x="7317"/>
        <item m="1" x="5727"/>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8"/>
        <item x="641"/>
        <item m="1" x="4197"/>
        <item m="1" x="3818"/>
        <item m="1" x="4409"/>
        <item m="1" x="7678"/>
        <item m="1" x="4015"/>
        <item x="652"/>
        <item x="653"/>
        <item m="1" x="5448"/>
        <item m="1" x="5760"/>
        <item x="1735"/>
        <item x="657"/>
        <item m="1" x="6423"/>
        <item m="1" x="4371"/>
        <item m="1" x="4350"/>
        <item m="1" x="4902"/>
        <item m="1" x="3161"/>
        <item x="1236"/>
        <item x="665"/>
        <item m="1" x="7223"/>
        <item m="1" x="5091"/>
        <item x="635"/>
        <item x="636"/>
        <item x="637"/>
        <item x="639"/>
        <item x="640"/>
        <item x="642"/>
        <item x="643"/>
        <item x="644"/>
        <item x="645"/>
        <item x="646"/>
        <item x="647"/>
        <item x="648"/>
        <item x="649"/>
        <item x="650"/>
        <item x="651"/>
        <item x="654"/>
        <item x="655"/>
        <item x="656"/>
        <item x="658"/>
        <item x="659"/>
        <item x="660"/>
        <item x="661"/>
        <item x="662"/>
        <item x="663"/>
        <item x="664"/>
        <item x="666"/>
        <item x="667"/>
        <item x="668"/>
        <item x="669"/>
        <item x="670"/>
        <item x="671"/>
        <item x="672"/>
        <item x="673"/>
        <item x="674"/>
        <item x="675"/>
        <item x="676"/>
        <item x="677"/>
        <item x="678"/>
        <item x="679"/>
        <item x="680"/>
        <item x="698"/>
        <item x="681"/>
        <item x="699"/>
        <item x="682"/>
        <item x="700"/>
        <item x="683"/>
        <item x="701"/>
        <item x="684"/>
        <item m="1" x="5627"/>
        <item x="685"/>
        <item x="703"/>
        <item x="686"/>
        <item x="704"/>
        <item x="687"/>
        <item x="705"/>
        <item x="688"/>
        <item x="706"/>
        <item x="689"/>
        <item x="707"/>
        <item x="690"/>
        <item x="708"/>
        <item x="691"/>
        <item x="709"/>
        <item x="692"/>
        <item x="710"/>
        <item x="693"/>
        <item x="711"/>
        <item x="694"/>
        <item x="712"/>
        <item x="695"/>
        <item x="713"/>
        <item x="696"/>
        <item x="714"/>
        <item x="697"/>
        <item x="715"/>
        <item x="702"/>
        <item x="716"/>
        <item x="717"/>
        <item x="718"/>
        <item x="719"/>
        <item x="720"/>
        <item x="721"/>
        <item x="722"/>
        <item x="723"/>
        <item x="724"/>
        <item m="1" x="6139"/>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m="1" x="4693"/>
        <item x="766"/>
        <item x="767"/>
        <item x="768"/>
        <item x="769"/>
        <item x="770"/>
        <item x="771"/>
        <item x="772"/>
        <item x="773"/>
        <item x="774"/>
        <item x="775"/>
        <item x="787"/>
        <item x="788"/>
        <item x="789"/>
        <item x="790"/>
        <item x="791"/>
        <item x="792"/>
        <item x="793"/>
        <item x="794"/>
        <item x="795"/>
        <item x="796"/>
        <item x="797"/>
        <item x="798"/>
        <item x="799"/>
        <item x="800"/>
        <item m="1" x="6416"/>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m="1" x="3407"/>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m="1" x="6919"/>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m="1" x="3290"/>
        <item m="1" x="5459"/>
        <item x="1279"/>
        <item x="1280"/>
        <item x="1281"/>
        <item x="1282"/>
        <item m="1" x="2960"/>
        <item m="1" x="3755"/>
        <item m="1" x="2782"/>
        <item m="1" x="3893"/>
        <item m="1" x="2681"/>
        <item x="1277"/>
        <item m="1" x="2634"/>
        <item x="1278"/>
        <item m="1" x="3199"/>
        <item x="1283"/>
        <item m="1" x="4980"/>
        <item x="1284"/>
        <item m="1" x="3685"/>
        <item m="1" x="7187"/>
        <item x="1286"/>
        <item m="1" x="3258"/>
        <item x="1287"/>
        <item m="1" x="4063"/>
        <item x="1288"/>
        <item m="1" x="3153"/>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285"/>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m="1" x="7125"/>
        <item m="1" x="2662"/>
        <item m="1" x="7528"/>
        <item m="1" x="5857"/>
        <item m="1" x="5150"/>
        <item m="1" x="4565"/>
        <item m="1" x="5102"/>
        <item m="1" x="6249"/>
        <item m="1" x="3877"/>
        <item m="1" x="6077"/>
        <item m="1" x="7210"/>
        <item m="1" x="4946"/>
        <item m="1" x="5341"/>
        <item m="1" x="7860"/>
        <item m="1" x="5604"/>
        <item x="1728"/>
        <item x="1729"/>
        <item x="1730"/>
        <item x="1731"/>
        <item x="1732"/>
        <item x="1733"/>
        <item x="1734"/>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m="1" x="4948"/>
        <item m="1" x="4295"/>
        <item x="1851"/>
        <item x="1852"/>
        <item x="1853"/>
        <item x="1854"/>
        <item x="1855"/>
        <item x="1849"/>
        <item x="1850"/>
        <item m="1" x="7458"/>
        <item m="1" x="7959"/>
        <item m="1" x="5603"/>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m="1" x="6604"/>
        <item m="1" x="2520"/>
        <item m="1" x="6419"/>
        <item x="1856"/>
        <item x="1857"/>
        <item x="1858"/>
        <item x="1859"/>
        <item x="1860"/>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25"/>
        <item m="1" x="5690"/>
        <item x="2027"/>
        <item x="2028"/>
        <item x="2032"/>
        <item m="1" x="6951"/>
        <item x="2034"/>
        <item x="2035"/>
        <item x="2036"/>
        <item x="2037"/>
        <item x="2038"/>
        <item x="2039"/>
        <item x="2040"/>
        <item x="2041"/>
        <item m="1" x="3741"/>
        <item m="1" x="6997"/>
        <item x="2043"/>
        <item x="2044"/>
        <item x="2046"/>
        <item x="2047"/>
        <item x="2048"/>
        <item x="2050"/>
        <item x="2051"/>
        <item x="2052"/>
        <item x="2053"/>
        <item m="1" x="3742"/>
        <item x="2055"/>
        <item x="2056"/>
        <item x="2058"/>
        <item x="2059"/>
        <item x="2060"/>
        <item x="2062"/>
        <item x="2063"/>
        <item x="2064"/>
        <item m="1" x="3743"/>
        <item x="2066"/>
        <item x="2067"/>
        <item x="2068"/>
        <item m="1" x="3744"/>
        <item x="2070"/>
        <item x="2071"/>
        <item x="2072"/>
        <item x="2074"/>
        <item x="2075"/>
        <item x="2076"/>
        <item x="2077"/>
        <item x="2078"/>
        <item x="2079"/>
        <item x="2080"/>
        <item x="2082"/>
        <item x="2084"/>
        <item x="2085"/>
        <item x="2086"/>
        <item x="2087"/>
        <item x="2088"/>
        <item x="2089"/>
        <item x="2090"/>
        <item x="2092"/>
        <item x="2093"/>
        <item x="2094"/>
        <item x="2096"/>
        <item x="2097"/>
        <item x="2098"/>
        <item x="2099"/>
        <item x="2100"/>
        <item x="2101"/>
        <item x="2103"/>
        <item x="2104"/>
        <item x="2105"/>
        <item x="2107"/>
        <item x="2108"/>
        <item x="2109"/>
        <item x="2110"/>
        <item x="2112"/>
        <item x="2113"/>
        <item x="2114"/>
        <item x="2115"/>
        <item x="2116"/>
        <item x="2117"/>
        <item x="2118"/>
        <item x="2119"/>
        <item x="2120"/>
        <item x="2121"/>
        <item x="2122"/>
        <item x="2123"/>
        <item x="2124"/>
        <item x="2128"/>
        <item x="2129"/>
        <item m="1" x="5469"/>
        <item x="2131"/>
        <item x="2132"/>
        <item x="2133"/>
        <item x="2134"/>
        <item m="1" x="6295"/>
        <item x="2136"/>
        <item x="2137"/>
        <item x="2138"/>
        <item m="1" x="5670"/>
        <item x="2140"/>
        <item x="2141"/>
        <item x="2142"/>
        <item m="1" x="6426"/>
        <item x="2143"/>
        <item x="2144"/>
        <item m="1" x="6750"/>
        <item x="2146"/>
        <item x="2147"/>
        <item m="1" x="6751"/>
        <item x="2148"/>
        <item x="2151"/>
        <item x="2152"/>
        <item m="1" x="3520"/>
        <item m="1" x="7732"/>
        <item m="1" x="6294"/>
        <item m="1" x="3306"/>
        <item x="2154"/>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m="1" x="4489"/>
        <item x="2183"/>
        <item x="2184"/>
        <item x="2185"/>
        <item x="2186"/>
        <item x="2187"/>
        <item x="2188"/>
        <item m="1" x="3551"/>
        <item x="2189"/>
        <item x="2190"/>
        <item x="2191"/>
        <item x="2192"/>
        <item x="2193"/>
        <item x="2005"/>
        <item x="2006"/>
        <item x="2007"/>
        <item x="2008"/>
        <item x="2009"/>
        <item x="2010"/>
        <item x="2011"/>
        <item x="2012"/>
        <item x="2013"/>
        <item x="2014"/>
        <item x="2015"/>
        <item x="2016"/>
        <item x="2017"/>
        <item x="2018"/>
        <item x="2019"/>
        <item x="2020"/>
        <item x="2021"/>
        <item x="2022"/>
        <item x="2023"/>
        <item x="2024"/>
        <item x="2026"/>
        <item x="2029"/>
        <item x="2030"/>
        <item x="2031"/>
        <item x="2033"/>
        <item x="2042"/>
        <item x="2045"/>
        <item x="2049"/>
        <item x="2054"/>
        <item x="2057"/>
        <item x="2061"/>
        <item x="2065"/>
        <item x="2069"/>
        <item x="2073"/>
        <item x="2081"/>
        <item x="2083"/>
        <item x="2091"/>
        <item x="2095"/>
        <item x="2102"/>
        <item x="2106"/>
        <item x="2111"/>
        <item x="2125"/>
        <item x="2126"/>
        <item x="2127"/>
        <item x="2130"/>
        <item x="2135"/>
        <item x="2139"/>
        <item x="2145"/>
        <item x="2149"/>
        <item x="2150"/>
        <item x="2153"/>
        <item x="2155"/>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
        <item x="23"/>
        <item x="24"/>
        <item x="25"/>
        <item x="26"/>
        <item x="30"/>
        <item x="31"/>
        <item x="32"/>
        <item x="33"/>
        <item x="34"/>
        <item x="35"/>
        <item x="63"/>
        <item x="64"/>
        <item x="65"/>
        <item x="66"/>
        <item x="123"/>
        <item x="125"/>
        <item x="126"/>
        <item x="127"/>
        <item x="128"/>
        <item x="180"/>
        <item x="472"/>
        <item x="764"/>
        <item x="765"/>
        <item x="776"/>
        <item x="777"/>
        <item x="778"/>
        <item x="779"/>
        <item x="780"/>
        <item x="781"/>
        <item x="782"/>
        <item x="783"/>
        <item x="784"/>
        <item x="785"/>
        <item x="786"/>
        <item x="801"/>
        <item x="916"/>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s>
      <extLst>
        <ext xmlns:x14="http://schemas.microsoft.com/office/spreadsheetml/2009/9/main" uri="{2946ED86-A175-432a-8AC1-64E0C546D7DE}">
          <x14:pivotField fillDownLabels="1"/>
        </ext>
      </extLst>
    </pivotField>
    <pivotField compact="0" numFmtId="44" outline="0" showAll="0" defaultSubtotal="0">
      <extLst>
        <ext xmlns:x14="http://schemas.microsoft.com/office/spreadsheetml/2009/9/main" uri="{2946ED86-A175-432a-8AC1-64E0C546D7DE}">
          <x14:pivotField fillDownLabels="1"/>
        </ext>
      </extLst>
    </pivotField>
    <pivotField name="Tipo" axis="axisPage" compact="0" outline="0" showAll="0" defaultSubtotal="0">
      <items count="2">
        <item x="1"/>
        <item x="0"/>
      </items>
      <extLst>
        <ext xmlns:x14="http://schemas.microsoft.com/office/spreadsheetml/2009/9/main" uri="{2946ED86-A175-432a-8AC1-64E0C546D7DE}">
          <x14:pivotField fillDownLabels="1"/>
        </ext>
      </extLst>
    </pivotField>
  </pivotFields>
  <rowFields count="14">
    <field x="6"/>
    <field x="0"/>
    <field x="1"/>
    <field x="2"/>
    <field x="4"/>
    <field x="5"/>
    <field x="7"/>
    <field x="24"/>
    <field x="9"/>
    <field x="11"/>
    <field x="14"/>
    <field x="15"/>
    <field x="16"/>
    <field x="17"/>
  </rowFields>
  <rowItems count="50">
    <i>
      <x v="4"/>
      <x/>
      <x/>
      <x v="5"/>
      <x v="142"/>
      <x/>
      <x v="2380"/>
      <x v="6086"/>
      <x v="344"/>
      <x v="881"/>
      <x v="1"/>
      <x v="42"/>
      <x v="55"/>
      <x v="1"/>
    </i>
    <i r="7">
      <x v="6087"/>
      <x v="344"/>
      <x v="881"/>
      <x v="1"/>
      <x v="42"/>
      <x v="18"/>
      <x v="1"/>
    </i>
    <i r="7">
      <x v="6088"/>
      <x v="345"/>
      <x v="882"/>
      <x v="1"/>
      <x v="42"/>
      <x v="55"/>
      <x v="1"/>
    </i>
    <i r="7">
      <x v="6089"/>
      <x v="345"/>
      <x v="882"/>
      <x v="1"/>
      <x v="42"/>
      <x v="18"/>
      <x v="1"/>
    </i>
    <i r="7">
      <x v="6090"/>
      <x v="346"/>
      <x v="883"/>
      <x v="1"/>
      <x v="42"/>
      <x v="55"/>
      <x v="1"/>
    </i>
    <i r="7">
      <x v="6091"/>
      <x v="346"/>
      <x v="883"/>
      <x v="1"/>
      <x v="42"/>
      <x v="18"/>
      <x v="1"/>
    </i>
    <i r="7">
      <x v="6092"/>
      <x v="347"/>
      <x v="884"/>
      <x v="1"/>
      <x v="42"/>
      <x v="55"/>
      <x v="1"/>
    </i>
    <i r="7">
      <x v="6093"/>
      <x v="347"/>
      <x v="884"/>
      <x v="1"/>
      <x v="42"/>
      <x v="18"/>
      <x v="1"/>
    </i>
    <i r="7">
      <x v="6094"/>
      <x v="348"/>
      <x v="885"/>
      <x v="1"/>
      <x v="42"/>
      <x v="55"/>
      <x v="1"/>
    </i>
    <i r="7">
      <x v="6096"/>
      <x v="349"/>
      <x v="886"/>
      <x v="1"/>
      <x v="42"/>
      <x v="55"/>
      <x v="1"/>
    </i>
    <i r="7">
      <x v="6097"/>
      <x v="349"/>
      <x v="886"/>
      <x v="1"/>
      <x v="42"/>
      <x v="18"/>
      <x v="1"/>
    </i>
    <i r="7">
      <x v="6098"/>
      <x v="350"/>
      <x v="887"/>
      <x v="1"/>
      <x v="42"/>
      <x v="55"/>
      <x v="1"/>
    </i>
    <i r="7">
      <x v="6099"/>
      <x v="350"/>
      <x v="887"/>
      <x v="1"/>
      <x v="42"/>
      <x v="18"/>
      <x v="1"/>
    </i>
    <i r="7">
      <x v="6100"/>
      <x v="351"/>
      <x v="888"/>
      <x v="1"/>
      <x v="42"/>
      <x v="55"/>
      <x v="1"/>
    </i>
    <i r="7">
      <x v="6101"/>
      <x v="351"/>
      <x v="888"/>
      <x v="1"/>
      <x v="42"/>
      <x v="18"/>
      <x v="1"/>
    </i>
    <i r="7">
      <x v="6102"/>
      <x v="352"/>
      <x v="889"/>
      <x v="1"/>
      <x v="42"/>
      <x v="55"/>
      <x v="1"/>
    </i>
    <i r="7">
      <x v="6103"/>
      <x v="352"/>
      <x v="889"/>
      <x v="1"/>
      <x v="42"/>
      <x v="18"/>
      <x v="1"/>
    </i>
    <i r="7">
      <x v="6104"/>
      <x v="353"/>
      <x v="890"/>
      <x v="1"/>
      <x v="42"/>
      <x v="55"/>
      <x v="1"/>
    </i>
    <i r="7">
      <x v="6105"/>
      <x v="353"/>
      <x v="890"/>
      <x v="1"/>
      <x v="42"/>
      <x v="18"/>
      <x v="1"/>
    </i>
    <i r="7">
      <x v="6106"/>
      <x v="354"/>
      <x v="891"/>
      <x v="1"/>
      <x v="42"/>
      <x v="55"/>
      <x v="1"/>
    </i>
    <i r="7">
      <x v="6107"/>
      <x v="354"/>
      <x v="891"/>
      <x v="1"/>
      <x v="42"/>
      <x v="18"/>
      <x v="1"/>
    </i>
    <i r="7">
      <x v="6108"/>
      <x v="355"/>
      <x v="892"/>
      <x v="1"/>
      <x v="42"/>
      <x v="55"/>
      <x v="1"/>
    </i>
    <i r="7">
      <x v="6109"/>
      <x v="355"/>
      <x v="892"/>
      <x v="1"/>
      <x v="42"/>
      <x v="18"/>
      <x v="1"/>
    </i>
    <i r="7">
      <x v="6110"/>
      <x v="356"/>
      <x v="893"/>
      <x v="1"/>
      <x v="42"/>
      <x v="55"/>
      <x v="1"/>
    </i>
    <i r="7">
      <x v="6111"/>
      <x v="356"/>
      <x v="893"/>
      <x v="1"/>
      <x v="42"/>
      <x v="18"/>
      <x v="1"/>
    </i>
    <i r="7">
      <x v="6112"/>
      <x v="357"/>
      <x v="894"/>
      <x v="1"/>
      <x v="42"/>
      <x v="55"/>
      <x v="1"/>
    </i>
    <i r="7">
      <x v="6113"/>
      <x v="357"/>
      <x v="894"/>
      <x v="1"/>
      <x v="42"/>
      <x v="18"/>
      <x v="1"/>
    </i>
    <i r="7">
      <x v="6114"/>
      <x v="358"/>
      <x v="895"/>
      <x v="1"/>
      <x v="42"/>
      <x v="55"/>
      <x v="1"/>
    </i>
    <i r="7">
      <x v="6115"/>
      <x v="358"/>
      <x v="895"/>
      <x v="1"/>
      <x v="42"/>
      <x v="18"/>
      <x v="1"/>
    </i>
    <i r="7">
      <x v="6116"/>
      <x v="359"/>
      <x v="896"/>
      <x/>
      <x v="42"/>
      <x v="55"/>
      <x v="1"/>
    </i>
    <i r="8">
      <x v="360"/>
      <x v="897"/>
      <x v="1"/>
      <x v="42"/>
      <x v="55"/>
      <x v="1"/>
    </i>
    <i r="7">
      <x v="6117"/>
      <x v="359"/>
      <x v="896"/>
      <x v="1"/>
      <x v="42"/>
      <x v="18"/>
      <x v="1"/>
    </i>
    <i r="7">
      <x v="6118"/>
      <x v="364"/>
      <x v="900"/>
      <x v="1"/>
      <x v="42"/>
      <x v="55"/>
      <x v="1"/>
    </i>
    <i r="7">
      <x v="6119"/>
      <x v="360"/>
      <x v="897"/>
      <x v="1"/>
      <x v="42"/>
      <x v="18"/>
      <x v="1"/>
    </i>
    <i r="7">
      <x v="6120"/>
      <x v="365"/>
      <x v="901"/>
      <x v="1"/>
      <x v="42"/>
      <x v="55"/>
      <x v="1"/>
    </i>
    <i r="7">
      <x v="6121"/>
      <x v="362"/>
      <x v="898"/>
      <x v="1"/>
      <x v="42"/>
      <x v="18"/>
      <x v="1"/>
    </i>
    <i r="7">
      <x v="6122"/>
      <x v="348"/>
      <x v="885"/>
      <x v="1"/>
      <x v="42"/>
      <x v="18"/>
      <x v="1"/>
    </i>
    <i>
      <x v="20"/>
      <x v="3"/>
      <x v="18"/>
      <x v="5"/>
      <x v="142"/>
      <x v="3"/>
      <x v="2542"/>
      <x v="6074"/>
      <x v="362"/>
      <x v="898"/>
      <x v="1"/>
      <x/>
      <x v="58"/>
      <x v="20"/>
    </i>
    <i r="6">
      <x v="2543"/>
      <x v="6075"/>
      <x v="362"/>
      <x v="898"/>
      <x v="1"/>
      <x/>
      <x v="58"/>
      <x v="20"/>
    </i>
    <i r="6">
      <x v="2546"/>
      <x v="6078"/>
      <x v="364"/>
      <x v="900"/>
      <x v="1"/>
      <x/>
      <x v="58"/>
      <x v="20"/>
    </i>
    <i r="6">
      <x v="2547"/>
      <x v="6079"/>
      <x v="364"/>
      <x v="900"/>
      <x v="1"/>
      <x/>
      <x v="58"/>
      <x v="20"/>
    </i>
    <i r="6">
      <x v="2551"/>
      <x v="6083"/>
      <x v="365"/>
      <x v="901"/>
      <x v="1"/>
      <x/>
      <x v="58"/>
      <x v="20"/>
    </i>
    <i r="6">
      <x v="2552"/>
      <x v="6084"/>
      <x v="366"/>
      <x v="902"/>
      <x v="1"/>
      <x/>
      <x v="58"/>
      <x v="20"/>
    </i>
    <i r="5">
      <x v="4"/>
      <x v="2544"/>
      <x v="6076"/>
      <x v="362"/>
      <x v="899"/>
      <x v="1"/>
      <x/>
      <x v="58"/>
      <x v="20"/>
    </i>
    <i r="6">
      <x v="2545"/>
      <x v="6077"/>
      <x v="363"/>
      <x v="900"/>
      <x v="1"/>
      <x/>
      <x v="58"/>
      <x v="20"/>
    </i>
    <i r="6">
      <x v="2548"/>
      <x v="6080"/>
      <x v="364"/>
      <x v="900"/>
      <x v="1"/>
      <x/>
      <x v="58"/>
      <x v="20"/>
    </i>
    <i r="6">
      <x v="2549"/>
      <x v="6081"/>
      <x v="365"/>
      <x v="901"/>
      <x v="1"/>
      <x/>
      <x v="58"/>
      <x v="20"/>
    </i>
    <i r="6">
      <x v="2550"/>
      <x v="6082"/>
      <x v="365"/>
      <x v="901"/>
      <x v="1"/>
      <x/>
      <x v="58"/>
      <x v="20"/>
    </i>
    <i r="6">
      <x v="2553"/>
      <x v="6085"/>
      <x v="366"/>
      <x v="902"/>
      <x v="1"/>
      <x/>
      <x v="58"/>
      <x v="20"/>
    </i>
    <i t="grand">
      <x/>
    </i>
  </rowItems>
  <colItems count="1">
    <i/>
  </colItems>
  <pageFields count="3">
    <pageField fld="23" item="4" hier="-1"/>
    <pageField fld="22" item="6" hier="-1"/>
    <pageField fld="26" item="1" hier="-1"/>
  </pageFields>
  <dataFields count="1">
    <dataField name="Tiempo (hrs)" fld="13" baseField="6" baseItem="252"/>
  </dataFields>
  <formats count="347">
    <format dxfId="1795">
      <pivotArea field="6" type="button" dataOnly="0" labelOnly="1" outline="0" axis="axisRow" fieldPosition="0"/>
    </format>
    <format dxfId="1794">
      <pivotArea dataOnly="0" labelOnly="1" outline="0" axis="axisValues" fieldPosition="0"/>
    </format>
    <format dxfId="1793">
      <pivotArea dataOnly="0" labelOnly="1" outline="0" axis="axisValues" fieldPosition="0"/>
    </format>
    <format dxfId="1792">
      <pivotArea field="6" type="button" dataOnly="0" labelOnly="1" outline="0" axis="axisRow" fieldPosition="0"/>
    </format>
    <format dxfId="1791">
      <pivotArea dataOnly="0" labelOnly="1" outline="0" axis="axisValues" fieldPosition="0"/>
    </format>
    <format dxfId="1790">
      <pivotArea dataOnly="0" labelOnly="1" outline="0" axis="axisValues" fieldPosition="0"/>
    </format>
    <format dxfId="1789">
      <pivotArea field="6" type="button" dataOnly="0" labelOnly="1" outline="0" axis="axisRow" fieldPosition="0"/>
    </format>
    <format dxfId="1788">
      <pivotArea dataOnly="0" labelOnly="1" outline="0" axis="axisValues" fieldPosition="0"/>
    </format>
    <format dxfId="1787">
      <pivotArea dataOnly="0" labelOnly="1" outline="0" axis="axisValues" fieldPosition="0"/>
    </format>
    <format dxfId="1786">
      <pivotArea field="6" type="button" dataOnly="0" labelOnly="1" outline="0" axis="axisRow" fieldPosition="0"/>
    </format>
    <format dxfId="1785">
      <pivotArea dataOnly="0" labelOnly="1" outline="0" axis="axisValues" fieldPosition="0"/>
    </format>
    <format dxfId="1784">
      <pivotArea dataOnly="0" labelOnly="1" outline="0" axis="axisValues" fieldPosition="0"/>
    </format>
    <format dxfId="1783">
      <pivotArea dataOnly="0" labelOnly="1" outline="0" axis="axisValues" fieldPosition="0"/>
    </format>
    <format dxfId="1782">
      <pivotArea dataOnly="0" labelOnly="1" outline="0" axis="axisValues" fieldPosition="0"/>
    </format>
    <format dxfId="1781">
      <pivotArea field="6" type="button" dataOnly="0" labelOnly="1" outline="0" axis="axisRow" fieldPosition="0"/>
    </format>
    <format dxfId="1780">
      <pivotArea dataOnly="0" labelOnly="1" outline="0" axis="axisValues" fieldPosition="0"/>
    </format>
    <format dxfId="1779">
      <pivotArea dataOnly="0" labelOnly="1" outline="0" axis="axisValues" fieldPosition="0"/>
    </format>
    <format dxfId="1778">
      <pivotArea field="6" type="button" dataOnly="0" labelOnly="1" outline="0" axis="axisRow" fieldPosition="0"/>
    </format>
    <format dxfId="1777">
      <pivotArea dataOnly="0" labelOnly="1" outline="0" axis="axisValues" fieldPosition="0"/>
    </format>
    <format dxfId="1776">
      <pivotArea dataOnly="0" labelOnly="1" outline="0" axis="axisValues" fieldPosition="0"/>
    </format>
    <format dxfId="1775">
      <pivotArea collapsedLevelsAreSubtotals="1" fieldPosition="0">
        <references count="1">
          <reference field="6" count="1">
            <x v="2"/>
          </reference>
        </references>
      </pivotArea>
    </format>
    <format dxfId="1774">
      <pivotArea dataOnly="0" labelOnly="1" fieldPosition="0">
        <references count="1">
          <reference field="6" count="1">
            <x v="2"/>
          </reference>
        </references>
      </pivotArea>
    </format>
    <format dxfId="1773">
      <pivotArea field="6" type="button" dataOnly="0" labelOnly="1" outline="0" axis="axisRow" fieldPosition="0"/>
    </format>
    <format dxfId="1772">
      <pivotArea dataOnly="0" labelOnly="1" outline="0" fieldPosition="0">
        <references count="1">
          <reference field="6" count="1">
            <x v="2"/>
          </reference>
        </references>
      </pivotArea>
    </format>
    <format dxfId="1771">
      <pivotArea field="6" type="button" dataOnly="0" labelOnly="1" outline="0" axis="axisRow" fieldPosition="0"/>
    </format>
    <format dxfId="1770">
      <pivotArea dataOnly="0" labelOnly="1" outline="0" fieldPosition="0">
        <references count="1">
          <reference field="6" count="1">
            <x v="2"/>
          </reference>
        </references>
      </pivotArea>
    </format>
    <format dxfId="1769">
      <pivotArea outline="0" collapsedLevelsAreSubtotals="1" fieldPosition="0"/>
    </format>
    <format dxfId="1768">
      <pivotArea dataOnly="0" labelOnly="1" outline="0" fieldPosition="0">
        <references count="1">
          <reference field="6" count="1">
            <x v="2"/>
          </reference>
        </references>
      </pivotArea>
    </format>
    <format dxfId="1767">
      <pivotArea dataOnly="0" labelOnly="1" grandRow="1" outline="0" fieldPosition="0"/>
    </format>
    <format dxfId="1766">
      <pivotArea dataOnly="0" labelOnly="1" outline="0" fieldPosition="0">
        <references count="2">
          <reference field="0" count="1">
            <x v="2"/>
          </reference>
          <reference field="6" count="1" selected="0">
            <x v="2"/>
          </reference>
        </references>
      </pivotArea>
    </format>
    <format dxfId="1765">
      <pivotArea dataOnly="0" labelOnly="1" outline="0" fieldPosition="0">
        <references count="3">
          <reference field="0" count="1" selected="0">
            <x v="2"/>
          </reference>
          <reference field="1" count="1">
            <x v="3"/>
          </reference>
          <reference field="6" count="1" selected="0">
            <x v="2"/>
          </reference>
        </references>
      </pivotArea>
    </format>
    <format dxfId="1764">
      <pivotArea outline="0" collapsedLevelsAreSubtotals="1" fieldPosition="0"/>
    </format>
    <format dxfId="1763">
      <pivotArea dataOnly="0" labelOnly="1" outline="0" fieldPosition="0">
        <references count="1">
          <reference field="6" count="1">
            <x v="2"/>
          </reference>
        </references>
      </pivotArea>
    </format>
    <format dxfId="1762">
      <pivotArea dataOnly="0" labelOnly="1" grandRow="1" outline="0" fieldPosition="0"/>
    </format>
    <format dxfId="1761">
      <pivotArea dataOnly="0" labelOnly="1" outline="0" fieldPosition="0">
        <references count="2">
          <reference field="0" count="1">
            <x v="2"/>
          </reference>
          <reference field="6" count="1" selected="0">
            <x v="2"/>
          </reference>
        </references>
      </pivotArea>
    </format>
    <format dxfId="1760">
      <pivotArea dataOnly="0" labelOnly="1" outline="0" fieldPosition="0">
        <references count="3">
          <reference field="0" count="1" selected="0">
            <x v="2"/>
          </reference>
          <reference field="1" count="1">
            <x v="3"/>
          </reference>
          <reference field="6" count="1" selected="0">
            <x v="2"/>
          </reference>
        </references>
      </pivotArea>
    </format>
    <format dxfId="1759">
      <pivotArea field="9" type="button" dataOnly="0" labelOnly="1" outline="0" axis="axisRow" fieldPosition="8"/>
    </format>
    <format dxfId="1758">
      <pivotArea field="9" type="button" dataOnly="0" labelOnly="1" outline="0" axis="axisRow" fieldPosition="8"/>
    </format>
    <format dxfId="1757">
      <pivotArea field="9" type="button" dataOnly="0" labelOnly="1" outline="0" axis="axisRow" fieldPosition="8"/>
    </format>
    <format dxfId="1756">
      <pivotArea field="6" type="button" dataOnly="0" labelOnly="1" outline="0" axis="axisRow" fieldPosition="0"/>
    </format>
    <format dxfId="1755">
      <pivotArea field="0" type="button" dataOnly="0" labelOnly="1" outline="0" axis="axisRow" fieldPosition="1"/>
    </format>
    <format dxfId="1754">
      <pivotArea field="1" type="button" dataOnly="0" labelOnly="1" outline="0" axis="axisRow" fieldPosition="2"/>
    </format>
    <format dxfId="1753">
      <pivotArea field="2" type="button" dataOnly="0" labelOnly="1" outline="0" axis="axisRow" fieldPosition="3"/>
    </format>
    <format dxfId="1752">
      <pivotArea field="3" type="button" dataOnly="0" labelOnly="1" outline="0"/>
    </format>
    <format dxfId="1751">
      <pivotArea field="4" type="button" dataOnly="0" labelOnly="1" outline="0" axis="axisRow" fieldPosition="4"/>
    </format>
    <format dxfId="1750">
      <pivotArea field="5" type="button" dataOnly="0" labelOnly="1" outline="0" axis="axisRow" fieldPosition="5"/>
    </format>
    <format dxfId="1749">
      <pivotArea field="7" type="button" dataOnly="0" labelOnly="1" outline="0" axis="axisRow" fieldPosition="6"/>
    </format>
    <format dxfId="1748">
      <pivotArea field="8" type="button" dataOnly="0" labelOnly="1" outline="0"/>
    </format>
    <format dxfId="1747">
      <pivotArea field="9" type="button" dataOnly="0" labelOnly="1" outline="0" axis="axisRow" fieldPosition="8"/>
    </format>
    <format dxfId="1746">
      <pivotArea field="11" type="button" dataOnly="0" labelOnly="1" outline="0" axis="axisRow" fieldPosition="9"/>
    </format>
    <format dxfId="1745">
      <pivotArea field="14" type="button" dataOnly="0" labelOnly="1" outline="0" axis="axisRow" fieldPosition="10"/>
    </format>
    <format dxfId="1744">
      <pivotArea field="15" type="button" dataOnly="0" labelOnly="1" outline="0" axis="axisRow" fieldPosition="11"/>
    </format>
    <format dxfId="1743">
      <pivotArea field="16" type="button" dataOnly="0" labelOnly="1" outline="0" axis="axisRow" fieldPosition="12"/>
    </format>
    <format dxfId="1742">
      <pivotArea field="17" type="button" dataOnly="0" labelOnly="1" outline="0" axis="axisRow" fieldPosition="13"/>
    </format>
    <format dxfId="1741">
      <pivotArea dataOnly="0" labelOnly="1" outline="0" axis="axisValues" fieldPosition="0"/>
    </format>
    <format dxfId="1740">
      <pivotArea dataOnly="0" labelOnly="1" outline="0" axis="axisValues" fieldPosition="0"/>
    </format>
    <format dxfId="1739">
      <pivotArea field="6" type="button" dataOnly="0" labelOnly="1" outline="0" axis="axisRow" fieldPosition="0"/>
    </format>
    <format dxfId="1738">
      <pivotArea field="0" type="button" dataOnly="0" labelOnly="1" outline="0" axis="axisRow" fieldPosition="1"/>
    </format>
    <format dxfId="1737">
      <pivotArea field="1" type="button" dataOnly="0" labelOnly="1" outline="0" axis="axisRow" fieldPosition="2"/>
    </format>
    <format dxfId="1736">
      <pivotArea field="2" type="button" dataOnly="0" labelOnly="1" outline="0" axis="axisRow" fieldPosition="3"/>
    </format>
    <format dxfId="1735">
      <pivotArea field="3" type="button" dataOnly="0" labelOnly="1" outline="0"/>
    </format>
    <format dxfId="1734">
      <pivotArea field="4" type="button" dataOnly="0" labelOnly="1" outline="0" axis="axisRow" fieldPosition="4"/>
    </format>
    <format dxfId="1733">
      <pivotArea field="5" type="button" dataOnly="0" labelOnly="1" outline="0" axis="axisRow" fieldPosition="5"/>
    </format>
    <format dxfId="1732">
      <pivotArea field="7" type="button" dataOnly="0" labelOnly="1" outline="0" axis="axisRow" fieldPosition="6"/>
    </format>
    <format dxfId="1731">
      <pivotArea field="8" type="button" dataOnly="0" labelOnly="1" outline="0"/>
    </format>
    <format dxfId="1730">
      <pivotArea field="9" type="button" dataOnly="0" labelOnly="1" outline="0" axis="axisRow" fieldPosition="8"/>
    </format>
    <format dxfId="1729">
      <pivotArea field="11" type="button" dataOnly="0" labelOnly="1" outline="0" axis="axisRow" fieldPosition="9"/>
    </format>
    <format dxfId="1728">
      <pivotArea field="14" type="button" dataOnly="0" labelOnly="1" outline="0" axis="axisRow" fieldPosition="10"/>
    </format>
    <format dxfId="1727">
      <pivotArea field="15" type="button" dataOnly="0" labelOnly="1" outline="0" axis="axisRow" fieldPosition="11"/>
    </format>
    <format dxfId="1726">
      <pivotArea field="16" type="button" dataOnly="0" labelOnly="1" outline="0" axis="axisRow" fieldPosition="12"/>
    </format>
    <format dxfId="1725">
      <pivotArea field="17" type="button" dataOnly="0" labelOnly="1" outline="0" axis="axisRow" fieldPosition="13"/>
    </format>
    <format dxfId="1724">
      <pivotArea dataOnly="0" labelOnly="1" outline="0" axis="axisValues" fieldPosition="0"/>
    </format>
    <format dxfId="1723">
      <pivotArea dataOnly="0" labelOnly="1" outline="0" axis="axisValues" fieldPosition="0"/>
    </format>
    <format dxfId="1722">
      <pivotArea field="6" type="button" dataOnly="0" labelOnly="1" outline="0" axis="axisRow" fieldPosition="0"/>
    </format>
    <format dxfId="1721">
      <pivotArea field="0" type="button" dataOnly="0" labelOnly="1" outline="0" axis="axisRow" fieldPosition="1"/>
    </format>
    <format dxfId="1720">
      <pivotArea field="1" type="button" dataOnly="0" labelOnly="1" outline="0" axis="axisRow" fieldPosition="2"/>
    </format>
    <format dxfId="1719">
      <pivotArea field="2" type="button" dataOnly="0" labelOnly="1" outline="0" axis="axisRow" fieldPosition="3"/>
    </format>
    <format dxfId="1718">
      <pivotArea field="3" type="button" dataOnly="0" labelOnly="1" outline="0"/>
    </format>
    <format dxfId="1717">
      <pivotArea field="4" type="button" dataOnly="0" labelOnly="1" outline="0" axis="axisRow" fieldPosition="4"/>
    </format>
    <format dxfId="1716">
      <pivotArea field="5" type="button" dataOnly="0" labelOnly="1" outline="0" axis="axisRow" fieldPosition="5"/>
    </format>
    <format dxfId="1715">
      <pivotArea field="7" type="button" dataOnly="0" labelOnly="1" outline="0" axis="axisRow" fieldPosition="6"/>
    </format>
    <format dxfId="1714">
      <pivotArea field="8" type="button" dataOnly="0" labelOnly="1" outline="0"/>
    </format>
    <format dxfId="1713">
      <pivotArea field="9" type="button" dataOnly="0" labelOnly="1" outline="0" axis="axisRow" fieldPosition="8"/>
    </format>
    <format dxfId="1712">
      <pivotArea field="11" type="button" dataOnly="0" labelOnly="1" outline="0" axis="axisRow" fieldPosition="9"/>
    </format>
    <format dxfId="1711">
      <pivotArea field="14" type="button" dataOnly="0" labelOnly="1" outline="0" axis="axisRow" fieldPosition="10"/>
    </format>
    <format dxfId="1710">
      <pivotArea field="15" type="button" dataOnly="0" labelOnly="1" outline="0" axis="axisRow" fieldPosition="11"/>
    </format>
    <format dxfId="1709">
      <pivotArea field="16" type="button" dataOnly="0" labelOnly="1" outline="0" axis="axisRow" fieldPosition="12"/>
    </format>
    <format dxfId="1708">
      <pivotArea field="17" type="button" dataOnly="0" labelOnly="1" outline="0" axis="axisRow" fieldPosition="13"/>
    </format>
    <format dxfId="1707">
      <pivotArea dataOnly="0" labelOnly="1" outline="0" axis="axisValues" fieldPosition="0"/>
    </format>
    <format dxfId="1706">
      <pivotArea dataOnly="0" labelOnly="1" outline="0" axis="axisValues" fieldPosition="0"/>
    </format>
    <format dxfId="1705">
      <pivotArea field="6" type="button" dataOnly="0" labelOnly="1" outline="0" axis="axisRow" fieldPosition="0"/>
    </format>
    <format dxfId="1704">
      <pivotArea field="0" type="button" dataOnly="0" labelOnly="1" outline="0" axis="axisRow" fieldPosition="1"/>
    </format>
    <format dxfId="1703">
      <pivotArea field="1" type="button" dataOnly="0" labelOnly="1" outline="0" axis="axisRow" fieldPosition="2"/>
    </format>
    <format dxfId="1702">
      <pivotArea field="2" type="button" dataOnly="0" labelOnly="1" outline="0" axis="axisRow" fieldPosition="3"/>
    </format>
    <format dxfId="1701">
      <pivotArea field="3" type="button" dataOnly="0" labelOnly="1" outline="0"/>
    </format>
    <format dxfId="1700">
      <pivotArea field="4" type="button" dataOnly="0" labelOnly="1" outline="0" axis="axisRow" fieldPosition="4"/>
    </format>
    <format dxfId="1699">
      <pivotArea field="5" type="button" dataOnly="0" labelOnly="1" outline="0" axis="axisRow" fieldPosition="5"/>
    </format>
    <format dxfId="1698">
      <pivotArea field="7" type="button" dataOnly="0" labelOnly="1" outline="0" axis="axisRow" fieldPosition="6"/>
    </format>
    <format dxfId="1697">
      <pivotArea field="8" type="button" dataOnly="0" labelOnly="1" outline="0"/>
    </format>
    <format dxfId="1696">
      <pivotArea field="9" type="button" dataOnly="0" labelOnly="1" outline="0" axis="axisRow" fieldPosition="8"/>
    </format>
    <format dxfId="1695">
      <pivotArea field="11" type="button" dataOnly="0" labelOnly="1" outline="0" axis="axisRow" fieldPosition="9"/>
    </format>
    <format dxfId="1694">
      <pivotArea field="14" type="button" dataOnly="0" labelOnly="1" outline="0" axis="axisRow" fieldPosition="10"/>
    </format>
    <format dxfId="1693">
      <pivotArea field="15" type="button" dataOnly="0" labelOnly="1" outline="0" axis="axisRow" fieldPosition="11"/>
    </format>
    <format dxfId="1692">
      <pivotArea field="16" type="button" dataOnly="0" labelOnly="1" outline="0" axis="axisRow" fieldPosition="12"/>
    </format>
    <format dxfId="1691">
      <pivotArea field="17" type="button" dataOnly="0" labelOnly="1" outline="0" axis="axisRow" fieldPosition="13"/>
    </format>
    <format dxfId="1690">
      <pivotArea dataOnly="0" labelOnly="1" outline="0" axis="axisValues" fieldPosition="0"/>
    </format>
    <format dxfId="1689">
      <pivotArea dataOnly="0" labelOnly="1" outline="0" axis="axisValues" fieldPosition="0"/>
    </format>
    <format dxfId="1688">
      <pivotArea field="6" type="button" dataOnly="0" labelOnly="1" outline="0" axis="axisRow" fieldPosition="0"/>
    </format>
    <format dxfId="1687">
      <pivotArea field="0" type="button" dataOnly="0" labelOnly="1" outline="0" axis="axisRow" fieldPosition="1"/>
    </format>
    <format dxfId="1686">
      <pivotArea field="1" type="button" dataOnly="0" labelOnly="1" outline="0" axis="axisRow" fieldPosition="2"/>
    </format>
    <format dxfId="1685">
      <pivotArea field="2" type="button" dataOnly="0" labelOnly="1" outline="0" axis="axisRow" fieldPosition="3"/>
    </format>
    <format dxfId="1684">
      <pivotArea field="3" type="button" dataOnly="0" labelOnly="1" outline="0"/>
    </format>
    <format dxfId="1683">
      <pivotArea field="4" type="button" dataOnly="0" labelOnly="1" outline="0" axis="axisRow" fieldPosition="4"/>
    </format>
    <format dxfId="1682">
      <pivotArea field="5" type="button" dataOnly="0" labelOnly="1" outline="0" axis="axisRow" fieldPosition="5"/>
    </format>
    <format dxfId="1681">
      <pivotArea field="7" type="button" dataOnly="0" labelOnly="1" outline="0" axis="axisRow" fieldPosition="6"/>
    </format>
    <format dxfId="1680">
      <pivotArea field="8" type="button" dataOnly="0" labelOnly="1" outline="0"/>
    </format>
    <format dxfId="1679">
      <pivotArea field="9" type="button" dataOnly="0" labelOnly="1" outline="0" axis="axisRow" fieldPosition="8"/>
    </format>
    <format dxfId="1678">
      <pivotArea field="11" type="button" dataOnly="0" labelOnly="1" outline="0" axis="axisRow" fieldPosition="9"/>
    </format>
    <format dxfId="1677">
      <pivotArea field="14" type="button" dataOnly="0" labelOnly="1" outline="0" axis="axisRow" fieldPosition="10"/>
    </format>
    <format dxfId="1676">
      <pivotArea field="15" type="button" dataOnly="0" labelOnly="1" outline="0" axis="axisRow" fieldPosition="11"/>
    </format>
    <format dxfId="1675">
      <pivotArea field="16" type="button" dataOnly="0" labelOnly="1" outline="0" axis="axisRow" fieldPosition="12"/>
    </format>
    <format dxfId="1674">
      <pivotArea field="17" type="button" dataOnly="0" labelOnly="1" outline="0" axis="axisRow" fieldPosition="13"/>
    </format>
    <format dxfId="1673">
      <pivotArea dataOnly="0" labelOnly="1" outline="0" axis="axisValues" fieldPosition="0"/>
    </format>
    <format dxfId="1672">
      <pivotArea dataOnly="0" labelOnly="1" outline="0" axis="axisValues" fieldPosition="0"/>
    </format>
    <format dxfId="1671">
      <pivotArea field="6" type="button" dataOnly="0" labelOnly="1" outline="0" axis="axisRow" fieldPosition="0"/>
    </format>
    <format dxfId="1670">
      <pivotArea field="0" type="button" dataOnly="0" labelOnly="1" outline="0" axis="axisRow" fieldPosition="1"/>
    </format>
    <format dxfId="1669">
      <pivotArea field="1" type="button" dataOnly="0" labelOnly="1" outline="0" axis="axisRow" fieldPosition="2"/>
    </format>
    <format dxfId="1668">
      <pivotArea field="2" type="button" dataOnly="0" labelOnly="1" outline="0" axis="axisRow" fieldPosition="3"/>
    </format>
    <format dxfId="1667">
      <pivotArea field="3" type="button" dataOnly="0" labelOnly="1" outline="0"/>
    </format>
    <format dxfId="1666">
      <pivotArea field="4" type="button" dataOnly="0" labelOnly="1" outline="0" axis="axisRow" fieldPosition="4"/>
    </format>
    <format dxfId="1665">
      <pivotArea field="5" type="button" dataOnly="0" labelOnly="1" outline="0" axis="axisRow" fieldPosition="5"/>
    </format>
    <format dxfId="1664">
      <pivotArea field="7" type="button" dataOnly="0" labelOnly="1" outline="0" axis="axisRow" fieldPosition="6"/>
    </format>
    <format dxfId="1663">
      <pivotArea field="8" type="button" dataOnly="0" labelOnly="1" outline="0"/>
    </format>
    <format dxfId="1662">
      <pivotArea field="9" type="button" dataOnly="0" labelOnly="1" outline="0" axis="axisRow" fieldPosition="8"/>
    </format>
    <format dxfId="1661">
      <pivotArea field="11" type="button" dataOnly="0" labelOnly="1" outline="0" axis="axisRow" fieldPosition="9"/>
    </format>
    <format dxfId="1660">
      <pivotArea field="14" type="button" dataOnly="0" labelOnly="1" outline="0" axis="axisRow" fieldPosition="10"/>
    </format>
    <format dxfId="1659">
      <pivotArea field="15" type="button" dataOnly="0" labelOnly="1" outline="0" axis="axisRow" fieldPosition="11"/>
    </format>
    <format dxfId="1658">
      <pivotArea field="16" type="button" dataOnly="0" labelOnly="1" outline="0" axis="axisRow" fieldPosition="12"/>
    </format>
    <format dxfId="1657">
      <pivotArea field="17" type="button" dataOnly="0" labelOnly="1" outline="0" axis="axisRow" fieldPosition="13"/>
    </format>
    <format dxfId="1656">
      <pivotArea dataOnly="0" labelOnly="1" outline="0" axis="axisValues" fieldPosition="0"/>
    </format>
    <format dxfId="1655">
      <pivotArea dataOnly="0" labelOnly="1" outline="0" axis="axisValues" fieldPosition="0"/>
    </format>
    <format dxfId="1654">
      <pivotArea field="6" type="button" dataOnly="0" labelOnly="1" outline="0" axis="axisRow" fieldPosition="0"/>
    </format>
    <format dxfId="1653">
      <pivotArea field="0" type="button" dataOnly="0" labelOnly="1" outline="0" axis="axisRow" fieldPosition="1"/>
    </format>
    <format dxfId="1652">
      <pivotArea field="1" type="button" dataOnly="0" labelOnly="1" outline="0" axis="axisRow" fieldPosition="2"/>
    </format>
    <format dxfId="1651">
      <pivotArea field="2" type="button" dataOnly="0" labelOnly="1" outline="0" axis="axisRow" fieldPosition="3"/>
    </format>
    <format dxfId="1650">
      <pivotArea field="3" type="button" dataOnly="0" labelOnly="1" outline="0"/>
    </format>
    <format dxfId="1649">
      <pivotArea field="4" type="button" dataOnly="0" labelOnly="1" outline="0" axis="axisRow" fieldPosition="4"/>
    </format>
    <format dxfId="1648">
      <pivotArea field="5" type="button" dataOnly="0" labelOnly="1" outline="0" axis="axisRow" fieldPosition="5"/>
    </format>
    <format dxfId="1647">
      <pivotArea field="7" type="button" dataOnly="0" labelOnly="1" outline="0" axis="axisRow" fieldPosition="6"/>
    </format>
    <format dxfId="1646">
      <pivotArea field="8" type="button" dataOnly="0" labelOnly="1" outline="0"/>
    </format>
    <format dxfId="1645">
      <pivotArea field="9" type="button" dataOnly="0" labelOnly="1" outline="0" axis="axisRow" fieldPosition="8"/>
    </format>
    <format dxfId="1644">
      <pivotArea field="11" type="button" dataOnly="0" labelOnly="1" outline="0" axis="axisRow" fieldPosition="9"/>
    </format>
    <format dxfId="1643">
      <pivotArea field="14" type="button" dataOnly="0" labelOnly="1" outline="0" axis="axisRow" fieldPosition="10"/>
    </format>
    <format dxfId="1642">
      <pivotArea field="15" type="button" dataOnly="0" labelOnly="1" outline="0" axis="axisRow" fieldPosition="11"/>
    </format>
    <format dxfId="1641">
      <pivotArea field="16" type="button" dataOnly="0" labelOnly="1" outline="0" axis="axisRow" fieldPosition="12"/>
    </format>
    <format dxfId="1640">
      <pivotArea field="17" type="button" dataOnly="0" labelOnly="1" outline="0" axis="axisRow" fieldPosition="13"/>
    </format>
    <format dxfId="1639">
      <pivotArea dataOnly="0" labelOnly="1" outline="0" axis="axisValues" fieldPosition="0"/>
    </format>
    <format dxfId="1638">
      <pivotArea dataOnly="0" labelOnly="1" outline="0" fieldPosition="0">
        <references count="1">
          <reference field="6" count="1">
            <x v="2"/>
          </reference>
        </references>
      </pivotArea>
    </format>
    <format dxfId="1637">
      <pivotArea dataOnly="0" labelOnly="1" outline="0" fieldPosition="0">
        <references count="2">
          <reference field="0" count="1">
            <x v="2"/>
          </reference>
          <reference field="6" count="1" selected="0">
            <x v="2"/>
          </reference>
        </references>
      </pivotArea>
    </format>
    <format dxfId="1636">
      <pivotArea dataOnly="0" labelOnly="1" outline="0" fieldPosition="0">
        <references count="3">
          <reference field="0" count="1" selected="0">
            <x v="2"/>
          </reference>
          <reference field="1" count="1">
            <x v="3"/>
          </reference>
          <reference field="6" count="1" selected="0">
            <x v="2"/>
          </reference>
        </references>
      </pivotArea>
    </format>
    <format dxfId="1635">
      <pivotArea dataOnly="0" labelOnly="1" outline="0" axis="axisValues" fieldPosition="0"/>
    </format>
    <format dxfId="1634">
      <pivotArea field="6" type="button" dataOnly="0" labelOnly="1" outline="0" axis="axisRow" fieldPosition="0"/>
    </format>
    <format dxfId="1633">
      <pivotArea field="0" type="button" dataOnly="0" labelOnly="1" outline="0" axis="axisRow" fieldPosition="1"/>
    </format>
    <format dxfId="1632">
      <pivotArea field="1" type="button" dataOnly="0" labelOnly="1" outline="0" axis="axisRow" fieldPosition="2"/>
    </format>
    <format dxfId="1631">
      <pivotArea field="2" type="button" dataOnly="0" labelOnly="1" outline="0" axis="axisRow" fieldPosition="3"/>
    </format>
    <format dxfId="1630">
      <pivotArea field="3" type="button" dataOnly="0" labelOnly="1" outline="0"/>
    </format>
    <format dxfId="1629">
      <pivotArea field="4" type="button" dataOnly="0" labelOnly="1" outline="0" axis="axisRow" fieldPosition="4"/>
    </format>
    <format dxfId="1628">
      <pivotArea field="5" type="button" dataOnly="0" labelOnly="1" outline="0" axis="axisRow" fieldPosition="5"/>
    </format>
    <format dxfId="1627">
      <pivotArea field="7" type="button" dataOnly="0" labelOnly="1" outline="0" axis="axisRow" fieldPosition="6"/>
    </format>
    <format dxfId="1626">
      <pivotArea field="8" type="button" dataOnly="0" labelOnly="1" outline="0"/>
    </format>
    <format dxfId="1625">
      <pivotArea field="9" type="button" dataOnly="0" labelOnly="1" outline="0" axis="axisRow" fieldPosition="8"/>
    </format>
    <format dxfId="1624">
      <pivotArea field="11" type="button" dataOnly="0" labelOnly="1" outline="0" axis="axisRow" fieldPosition="9"/>
    </format>
    <format dxfId="1623">
      <pivotArea field="14" type="button" dataOnly="0" labelOnly="1" outline="0" axis="axisRow" fieldPosition="10"/>
    </format>
    <format dxfId="1622">
      <pivotArea field="15" type="button" dataOnly="0" labelOnly="1" outline="0" axis="axisRow" fieldPosition="11"/>
    </format>
    <format dxfId="1621">
      <pivotArea field="16" type="button" dataOnly="0" labelOnly="1" outline="0" axis="axisRow" fieldPosition="12"/>
    </format>
    <format dxfId="1620">
      <pivotArea field="17" type="button" dataOnly="0" labelOnly="1" outline="0" axis="axisRow" fieldPosition="13"/>
    </format>
    <format dxfId="1619">
      <pivotArea dataOnly="0" labelOnly="1" outline="0" axis="axisValues" fieldPosition="0"/>
    </format>
    <format dxfId="1618">
      <pivotArea dataOnly="0" labelOnly="1" outline="0" fieldPosition="0">
        <references count="1">
          <reference field="6" count="1">
            <x v="2"/>
          </reference>
        </references>
      </pivotArea>
    </format>
    <format dxfId="1617">
      <pivotArea dataOnly="0" labelOnly="1" outline="0" fieldPosition="0">
        <references count="2">
          <reference field="0" count="1">
            <x v="2"/>
          </reference>
          <reference field="6" count="1" selected="0">
            <x v="2"/>
          </reference>
        </references>
      </pivotArea>
    </format>
    <format dxfId="1616">
      <pivotArea dataOnly="0" labelOnly="1" outline="0" fieldPosition="0">
        <references count="3">
          <reference field="0" count="1" selected="0">
            <x v="2"/>
          </reference>
          <reference field="1" count="1">
            <x v="3"/>
          </reference>
          <reference field="6" count="1" selected="0">
            <x v="2"/>
          </reference>
        </references>
      </pivotArea>
    </format>
    <format dxfId="1615">
      <pivotArea dataOnly="0" labelOnly="1" outline="0" axis="axisValues" fieldPosition="0"/>
    </format>
    <format dxfId="1614">
      <pivotArea field="6" type="button" dataOnly="0" labelOnly="1" outline="0" axis="axisRow" fieldPosition="0"/>
    </format>
    <format dxfId="1613">
      <pivotArea field="0" type="button" dataOnly="0" labelOnly="1" outline="0" axis="axisRow" fieldPosition="1"/>
    </format>
    <format dxfId="1612">
      <pivotArea field="1" type="button" dataOnly="0" labelOnly="1" outline="0" axis="axisRow" fieldPosition="2"/>
    </format>
    <format dxfId="1611">
      <pivotArea field="2" type="button" dataOnly="0" labelOnly="1" outline="0" axis="axisRow" fieldPosition="3"/>
    </format>
    <format dxfId="1610">
      <pivotArea field="3" type="button" dataOnly="0" labelOnly="1" outline="0"/>
    </format>
    <format dxfId="1609">
      <pivotArea field="4" type="button" dataOnly="0" labelOnly="1" outline="0" axis="axisRow" fieldPosition="4"/>
    </format>
    <format dxfId="1608">
      <pivotArea field="5" type="button" dataOnly="0" labelOnly="1" outline="0" axis="axisRow" fieldPosition="5"/>
    </format>
    <format dxfId="1607">
      <pivotArea field="7" type="button" dataOnly="0" labelOnly="1" outline="0" axis="axisRow" fieldPosition="6"/>
    </format>
    <format dxfId="1606">
      <pivotArea field="8" type="button" dataOnly="0" labelOnly="1" outline="0"/>
    </format>
    <format dxfId="1605">
      <pivotArea field="9" type="button" dataOnly="0" labelOnly="1" outline="0" axis="axisRow" fieldPosition="8"/>
    </format>
    <format dxfId="1604">
      <pivotArea field="11" type="button" dataOnly="0" labelOnly="1" outline="0" axis="axisRow" fieldPosition="9"/>
    </format>
    <format dxfId="1603">
      <pivotArea field="14" type="button" dataOnly="0" labelOnly="1" outline="0" axis="axisRow" fieldPosition="10"/>
    </format>
    <format dxfId="1602">
      <pivotArea field="15" type="button" dataOnly="0" labelOnly="1" outline="0" axis="axisRow" fieldPosition="11"/>
    </format>
    <format dxfId="1601">
      <pivotArea field="16" type="button" dataOnly="0" labelOnly="1" outline="0" axis="axisRow" fieldPosition="12"/>
    </format>
    <format dxfId="1600">
      <pivotArea field="17" type="button" dataOnly="0" labelOnly="1" outline="0" axis="axisRow" fieldPosition="13"/>
    </format>
    <format dxfId="1599">
      <pivotArea dataOnly="0" labelOnly="1" outline="0" axis="axisValues" fieldPosition="0"/>
    </format>
    <format dxfId="1598">
      <pivotArea dataOnly="0" labelOnly="1" outline="0" fieldPosition="0">
        <references count="1">
          <reference field="6" count="1">
            <x v="3"/>
          </reference>
        </references>
      </pivotArea>
    </format>
    <format dxfId="1597">
      <pivotArea dataOnly="0" labelOnly="1" outline="0" fieldPosition="0">
        <references count="2">
          <reference field="0" count="1">
            <x v="2"/>
          </reference>
          <reference field="6" count="1" selected="0">
            <x v="3"/>
          </reference>
        </references>
      </pivotArea>
    </format>
    <format dxfId="1596">
      <pivotArea dataOnly="0" labelOnly="1" outline="0" fieldPosition="0">
        <references count="3">
          <reference field="0" count="1" selected="0">
            <x v="2"/>
          </reference>
          <reference field="1" count="1">
            <x v="3"/>
          </reference>
          <reference field="6" count="1" selected="0">
            <x v="3"/>
          </reference>
        </references>
      </pivotArea>
    </format>
    <format dxfId="1595">
      <pivotArea dataOnly="0" labelOnly="1" outline="0" axis="axisValues" fieldPosition="0"/>
    </format>
    <format dxfId="1594">
      <pivotArea field="6" type="button" dataOnly="0" labelOnly="1" outline="0" axis="axisRow" fieldPosition="0"/>
    </format>
    <format dxfId="1593">
      <pivotArea field="0" type="button" dataOnly="0" labelOnly="1" outline="0" axis="axisRow" fieldPosition="1"/>
    </format>
    <format dxfId="1592">
      <pivotArea field="1" type="button" dataOnly="0" labelOnly="1" outline="0" axis="axisRow" fieldPosition="2"/>
    </format>
    <format dxfId="1591">
      <pivotArea field="2" type="button" dataOnly="0" labelOnly="1" outline="0" axis="axisRow" fieldPosition="3"/>
    </format>
    <format dxfId="1590">
      <pivotArea field="3" type="button" dataOnly="0" labelOnly="1" outline="0"/>
    </format>
    <format dxfId="1589">
      <pivotArea field="4" type="button" dataOnly="0" labelOnly="1" outline="0" axis="axisRow" fieldPosition="4"/>
    </format>
    <format dxfId="1588">
      <pivotArea field="5" type="button" dataOnly="0" labelOnly="1" outline="0" axis="axisRow" fieldPosition="5"/>
    </format>
    <format dxfId="1587">
      <pivotArea field="7" type="button" dataOnly="0" labelOnly="1" outline="0" axis="axisRow" fieldPosition="6"/>
    </format>
    <format dxfId="1586">
      <pivotArea field="24" type="button" dataOnly="0" labelOnly="1" outline="0" axis="axisRow" fieldPosition="7"/>
    </format>
    <format dxfId="1585">
      <pivotArea field="9" type="button" dataOnly="0" labelOnly="1" outline="0" axis="axisRow" fieldPosition="8"/>
    </format>
    <format dxfId="1584">
      <pivotArea field="11" type="button" dataOnly="0" labelOnly="1" outline="0" axis="axisRow" fieldPosition="9"/>
    </format>
    <format dxfId="1583">
      <pivotArea field="14" type="button" dataOnly="0" labelOnly="1" outline="0" axis="axisRow" fieldPosition="10"/>
    </format>
    <format dxfId="1582">
      <pivotArea field="15" type="button" dataOnly="0" labelOnly="1" outline="0" axis="axisRow" fieldPosition="11"/>
    </format>
    <format dxfId="1581">
      <pivotArea field="16" type="button" dataOnly="0" labelOnly="1" outline="0" axis="axisRow" fieldPosition="12"/>
    </format>
    <format dxfId="1580">
      <pivotArea field="17" type="button" dataOnly="0" labelOnly="1" outline="0" axis="axisRow" fieldPosition="13"/>
    </format>
    <format dxfId="1579">
      <pivotArea dataOnly="0" labelOnly="1" outline="0" axis="axisValues" fieldPosition="0"/>
    </format>
    <format dxfId="1578">
      <pivotArea dataOnly="0" labelOnly="1" outline="0" fieldPosition="0">
        <references count="1">
          <reference field="6" count="1">
            <x v="3"/>
          </reference>
        </references>
      </pivotArea>
    </format>
    <format dxfId="1577">
      <pivotArea dataOnly="0" labelOnly="1" outline="0" fieldPosition="0">
        <references count="2">
          <reference field="0" count="1">
            <x v="2"/>
          </reference>
          <reference field="6" count="1" selected="0">
            <x v="3"/>
          </reference>
        </references>
      </pivotArea>
    </format>
    <format dxfId="1576">
      <pivotArea dataOnly="0" labelOnly="1" outline="0" fieldPosition="0">
        <references count="3">
          <reference field="0" count="1" selected="0">
            <x v="2"/>
          </reference>
          <reference field="1" count="1">
            <x v="3"/>
          </reference>
          <reference field="6" count="1" selected="0">
            <x v="3"/>
          </reference>
        </references>
      </pivotArea>
    </format>
    <format dxfId="1575">
      <pivotArea dataOnly="0" labelOnly="1" outline="0" axis="axisValues" fieldPosition="0"/>
    </format>
    <format dxfId="1574">
      <pivotArea field="6" type="button" dataOnly="0" labelOnly="1" outline="0" axis="axisRow" fieldPosition="0"/>
    </format>
    <format dxfId="1573">
      <pivotArea field="0" type="button" dataOnly="0" labelOnly="1" outline="0" axis="axisRow" fieldPosition="1"/>
    </format>
    <format dxfId="1572">
      <pivotArea field="1" type="button" dataOnly="0" labelOnly="1" outline="0" axis="axisRow" fieldPosition="2"/>
    </format>
    <format dxfId="1571">
      <pivotArea field="2" type="button" dataOnly="0" labelOnly="1" outline="0" axis="axisRow" fieldPosition="3"/>
    </format>
    <format dxfId="1570">
      <pivotArea field="3" type="button" dataOnly="0" labelOnly="1" outline="0"/>
    </format>
    <format dxfId="1569">
      <pivotArea field="4" type="button" dataOnly="0" labelOnly="1" outline="0" axis="axisRow" fieldPosition="4"/>
    </format>
    <format dxfId="1568">
      <pivotArea field="5" type="button" dataOnly="0" labelOnly="1" outline="0" axis="axisRow" fieldPosition="5"/>
    </format>
    <format dxfId="1567">
      <pivotArea field="7" type="button" dataOnly="0" labelOnly="1" outline="0" axis="axisRow" fieldPosition="6"/>
    </format>
    <format dxfId="1566">
      <pivotArea field="24" type="button" dataOnly="0" labelOnly="1" outline="0" axis="axisRow" fieldPosition="7"/>
    </format>
    <format dxfId="1565">
      <pivotArea field="9" type="button" dataOnly="0" labelOnly="1" outline="0" axis="axisRow" fieldPosition="8"/>
    </format>
    <format dxfId="1564">
      <pivotArea field="11" type="button" dataOnly="0" labelOnly="1" outline="0" axis="axisRow" fieldPosition="9"/>
    </format>
    <format dxfId="1563">
      <pivotArea field="14" type="button" dataOnly="0" labelOnly="1" outline="0" axis="axisRow" fieldPosition="10"/>
    </format>
    <format dxfId="1562">
      <pivotArea field="15" type="button" dataOnly="0" labelOnly="1" outline="0" axis="axisRow" fieldPosition="11"/>
    </format>
    <format dxfId="1561">
      <pivotArea field="16" type="button" dataOnly="0" labelOnly="1" outline="0" axis="axisRow" fieldPosition="12"/>
    </format>
    <format dxfId="1560">
      <pivotArea field="17" type="button" dataOnly="0" labelOnly="1" outline="0" axis="axisRow" fieldPosition="13"/>
    </format>
    <format dxfId="1559">
      <pivotArea dataOnly="0" labelOnly="1" outline="0" axis="axisValues" fieldPosition="0"/>
    </format>
    <format dxfId="1558">
      <pivotArea dataOnly="0" labelOnly="1" outline="0" fieldPosition="0">
        <references count="1">
          <reference field="6" count="1">
            <x v="3"/>
          </reference>
        </references>
      </pivotArea>
    </format>
    <format dxfId="1557">
      <pivotArea dataOnly="0" labelOnly="1" outline="0" fieldPosition="0">
        <references count="2">
          <reference field="0" count="1">
            <x v="2"/>
          </reference>
          <reference field="6" count="1" selected="0">
            <x v="3"/>
          </reference>
        </references>
      </pivotArea>
    </format>
    <format dxfId="1556">
      <pivotArea dataOnly="0" labelOnly="1" outline="0" fieldPosition="0">
        <references count="3">
          <reference field="0" count="1" selected="0">
            <x v="2"/>
          </reference>
          <reference field="1" count="1">
            <x v="3"/>
          </reference>
          <reference field="6" count="1" selected="0">
            <x v="3"/>
          </reference>
        </references>
      </pivotArea>
    </format>
    <format dxfId="1555">
      <pivotArea dataOnly="0" labelOnly="1" outline="0" axis="axisValues" fieldPosition="0"/>
    </format>
    <format dxfId="1554">
      <pivotArea field="6" type="button" dataOnly="0" labelOnly="1" outline="0" axis="axisRow" fieldPosition="0"/>
    </format>
    <format dxfId="1553">
      <pivotArea field="0" type="button" dataOnly="0" labelOnly="1" outline="0" axis="axisRow" fieldPosition="1"/>
    </format>
    <format dxfId="1552">
      <pivotArea field="1" type="button" dataOnly="0" labelOnly="1" outline="0" axis="axisRow" fieldPosition="2"/>
    </format>
    <format dxfId="1551">
      <pivotArea field="2" type="button" dataOnly="0" labelOnly="1" outline="0" axis="axisRow" fieldPosition="3"/>
    </format>
    <format dxfId="1550">
      <pivotArea field="3" type="button" dataOnly="0" labelOnly="1" outline="0"/>
    </format>
    <format dxfId="1549">
      <pivotArea field="4" type="button" dataOnly="0" labelOnly="1" outline="0" axis="axisRow" fieldPosition="4"/>
    </format>
    <format dxfId="1548">
      <pivotArea field="5" type="button" dataOnly="0" labelOnly="1" outline="0" axis="axisRow" fieldPosition="5"/>
    </format>
    <format dxfId="1547">
      <pivotArea field="7" type="button" dataOnly="0" labelOnly="1" outline="0" axis="axisRow" fieldPosition="6"/>
    </format>
    <format dxfId="1546">
      <pivotArea field="24" type="button" dataOnly="0" labelOnly="1" outline="0" axis="axisRow" fieldPosition="7"/>
    </format>
    <format dxfId="1545">
      <pivotArea field="9" type="button" dataOnly="0" labelOnly="1" outline="0" axis="axisRow" fieldPosition="8"/>
    </format>
    <format dxfId="1544">
      <pivotArea field="11" type="button" dataOnly="0" labelOnly="1" outline="0" axis="axisRow" fieldPosition="9"/>
    </format>
    <format dxfId="1543">
      <pivotArea field="14" type="button" dataOnly="0" labelOnly="1" outline="0" axis="axisRow" fieldPosition="10"/>
    </format>
    <format dxfId="1542">
      <pivotArea field="15" type="button" dataOnly="0" labelOnly="1" outline="0" axis="axisRow" fieldPosition="11"/>
    </format>
    <format dxfId="1541">
      <pivotArea field="16" type="button" dataOnly="0" labelOnly="1" outline="0" axis="axisRow" fieldPosition="12"/>
    </format>
    <format dxfId="1540">
      <pivotArea field="17" type="button" dataOnly="0" labelOnly="1" outline="0" axis="axisRow" fieldPosition="13"/>
    </format>
    <format dxfId="1539">
      <pivotArea dataOnly="0" labelOnly="1" outline="0" axis="axisValues" fieldPosition="0"/>
    </format>
    <format dxfId="1538">
      <pivotArea dataOnly="0" labelOnly="1" outline="0" fieldPosition="0">
        <references count="1">
          <reference field="6" count="1">
            <x v="3"/>
          </reference>
        </references>
      </pivotArea>
    </format>
    <format dxfId="1537">
      <pivotArea dataOnly="0" labelOnly="1" outline="0" fieldPosition="0">
        <references count="2">
          <reference field="0" count="1">
            <x v="2"/>
          </reference>
          <reference field="6" count="1" selected="0">
            <x v="3"/>
          </reference>
        </references>
      </pivotArea>
    </format>
    <format dxfId="1536">
      <pivotArea dataOnly="0" labelOnly="1" outline="0" fieldPosition="0">
        <references count="3">
          <reference field="0" count="1" selected="0">
            <x v="2"/>
          </reference>
          <reference field="1" count="1">
            <x v="3"/>
          </reference>
          <reference field="6" count="1" selected="0">
            <x v="3"/>
          </reference>
        </references>
      </pivotArea>
    </format>
    <format dxfId="1535">
      <pivotArea dataOnly="0" labelOnly="1" outline="0" axis="axisValues" fieldPosition="0"/>
    </format>
    <format dxfId="1534">
      <pivotArea type="all" dataOnly="0" outline="0" fieldPosition="0"/>
    </format>
    <format dxfId="1533">
      <pivotArea outline="0" collapsedLevelsAreSubtotals="1" fieldPosition="0"/>
    </format>
    <format dxfId="1532">
      <pivotArea field="6" type="button" dataOnly="0" labelOnly="1" outline="0" axis="axisRow" fieldPosition="0"/>
    </format>
    <format dxfId="1531">
      <pivotArea field="0" type="button" dataOnly="0" labelOnly="1" outline="0" axis="axisRow" fieldPosition="1"/>
    </format>
    <format dxfId="1530">
      <pivotArea field="1" type="button" dataOnly="0" labelOnly="1" outline="0" axis="axisRow" fieldPosition="2"/>
    </format>
    <format dxfId="1529">
      <pivotArea field="2" type="button" dataOnly="0" labelOnly="1" outline="0" axis="axisRow" fieldPosition="3"/>
    </format>
    <format dxfId="1528">
      <pivotArea field="3" type="button" dataOnly="0" labelOnly="1" outline="0"/>
    </format>
    <format dxfId="1527">
      <pivotArea field="4" type="button" dataOnly="0" labelOnly="1" outline="0" axis="axisRow" fieldPosition="4"/>
    </format>
    <format dxfId="1526">
      <pivotArea field="5" type="button" dataOnly="0" labelOnly="1" outline="0" axis="axisRow" fieldPosition="5"/>
    </format>
    <format dxfId="1525">
      <pivotArea field="7" type="button" dataOnly="0" labelOnly="1" outline="0" axis="axisRow" fieldPosition="6"/>
    </format>
    <format dxfId="1524">
      <pivotArea field="24" type="button" dataOnly="0" labelOnly="1" outline="0" axis="axisRow" fieldPosition="7"/>
    </format>
    <format dxfId="1523">
      <pivotArea field="9" type="button" dataOnly="0" labelOnly="1" outline="0" axis="axisRow" fieldPosition="8"/>
    </format>
    <format dxfId="1522">
      <pivotArea field="11" type="button" dataOnly="0" labelOnly="1" outline="0" axis="axisRow" fieldPosition="9"/>
    </format>
    <format dxfId="1521">
      <pivotArea field="14" type="button" dataOnly="0" labelOnly="1" outline="0" axis="axisRow" fieldPosition="10"/>
    </format>
    <format dxfId="1520">
      <pivotArea field="15" type="button" dataOnly="0" labelOnly="1" outline="0" axis="axisRow" fieldPosition="11"/>
    </format>
    <format dxfId="1519">
      <pivotArea field="16" type="button" dataOnly="0" labelOnly="1" outline="0" axis="axisRow" fieldPosition="12"/>
    </format>
    <format dxfId="1518">
      <pivotArea field="17" type="button" dataOnly="0" labelOnly="1" outline="0" axis="axisRow" fieldPosition="13"/>
    </format>
    <format dxfId="1517">
      <pivotArea dataOnly="0" labelOnly="1" outline="0" axis="axisValues" fieldPosition="0"/>
    </format>
    <format dxfId="1516">
      <pivotArea dataOnly="0" labelOnly="1" grandRow="1" outline="0" fieldPosition="0"/>
    </format>
    <format dxfId="1515">
      <pivotArea dataOnly="0" labelOnly="1" outline="0" axis="axisValues" fieldPosition="0"/>
    </format>
    <format dxfId="1514">
      <pivotArea type="all" dataOnly="0" outline="0" fieldPosition="0"/>
    </format>
    <format dxfId="1513">
      <pivotArea outline="0" collapsedLevelsAreSubtotals="1" fieldPosition="0"/>
    </format>
    <format dxfId="1512">
      <pivotArea field="6" type="button" dataOnly="0" labelOnly="1" outline="0" axis="axisRow" fieldPosition="0"/>
    </format>
    <format dxfId="1511">
      <pivotArea field="0" type="button" dataOnly="0" labelOnly="1" outline="0" axis="axisRow" fieldPosition="1"/>
    </format>
    <format dxfId="1510">
      <pivotArea field="1" type="button" dataOnly="0" labelOnly="1" outline="0" axis="axisRow" fieldPosition="2"/>
    </format>
    <format dxfId="1509">
      <pivotArea field="2" type="button" dataOnly="0" labelOnly="1" outline="0" axis="axisRow" fieldPosition="3"/>
    </format>
    <format dxfId="1508">
      <pivotArea field="3" type="button" dataOnly="0" labelOnly="1" outline="0"/>
    </format>
    <format dxfId="1507">
      <pivotArea field="4" type="button" dataOnly="0" labelOnly="1" outline="0" axis="axisRow" fieldPosition="4"/>
    </format>
    <format dxfId="1506">
      <pivotArea field="5" type="button" dataOnly="0" labelOnly="1" outline="0" axis="axisRow" fieldPosition="5"/>
    </format>
    <format dxfId="1505">
      <pivotArea field="7" type="button" dataOnly="0" labelOnly="1" outline="0" axis="axisRow" fieldPosition="6"/>
    </format>
    <format dxfId="1504">
      <pivotArea field="24" type="button" dataOnly="0" labelOnly="1" outline="0" axis="axisRow" fieldPosition="7"/>
    </format>
    <format dxfId="1503">
      <pivotArea field="9" type="button" dataOnly="0" labelOnly="1" outline="0" axis="axisRow" fieldPosition="8"/>
    </format>
    <format dxfId="1502">
      <pivotArea field="11" type="button" dataOnly="0" labelOnly="1" outline="0" axis="axisRow" fieldPosition="9"/>
    </format>
    <format dxfId="1501">
      <pivotArea field="14" type="button" dataOnly="0" labelOnly="1" outline="0" axis="axisRow" fieldPosition="10"/>
    </format>
    <format dxfId="1500">
      <pivotArea field="15" type="button" dataOnly="0" labelOnly="1" outline="0" axis="axisRow" fieldPosition="11"/>
    </format>
    <format dxfId="1499">
      <pivotArea field="16" type="button" dataOnly="0" labelOnly="1" outline="0" axis="axisRow" fieldPosition="12"/>
    </format>
    <format dxfId="1498">
      <pivotArea field="17" type="button" dataOnly="0" labelOnly="1" outline="0" axis="axisRow" fieldPosition="13"/>
    </format>
    <format dxfId="1497">
      <pivotArea dataOnly="0" labelOnly="1" outline="0" axis="axisValues" fieldPosition="0"/>
    </format>
    <format dxfId="1496">
      <pivotArea dataOnly="0" labelOnly="1" grandRow="1" outline="0" fieldPosition="0"/>
    </format>
    <format dxfId="1495">
      <pivotArea dataOnly="0" labelOnly="1" outline="0" axis="axisValues" fieldPosition="0"/>
    </format>
    <format dxfId="1494">
      <pivotArea type="all" dataOnly="0" outline="0" fieldPosition="0"/>
    </format>
    <format dxfId="1493">
      <pivotArea outline="0" collapsedLevelsAreSubtotals="1" fieldPosition="0"/>
    </format>
    <format dxfId="1492">
      <pivotArea field="6" type="button" dataOnly="0" labelOnly="1" outline="0" axis="axisRow" fieldPosition="0"/>
    </format>
    <format dxfId="1491">
      <pivotArea field="0" type="button" dataOnly="0" labelOnly="1" outline="0" axis="axisRow" fieldPosition="1"/>
    </format>
    <format dxfId="1490">
      <pivotArea field="1" type="button" dataOnly="0" labelOnly="1" outline="0" axis="axisRow" fieldPosition="2"/>
    </format>
    <format dxfId="1489">
      <pivotArea field="2" type="button" dataOnly="0" labelOnly="1" outline="0" axis="axisRow" fieldPosition="3"/>
    </format>
    <format dxfId="1488">
      <pivotArea field="3" type="button" dataOnly="0" labelOnly="1" outline="0"/>
    </format>
    <format dxfId="1487">
      <pivotArea field="4" type="button" dataOnly="0" labelOnly="1" outline="0" axis="axisRow" fieldPosition="4"/>
    </format>
    <format dxfId="1486">
      <pivotArea field="5" type="button" dataOnly="0" labelOnly="1" outline="0" axis="axisRow" fieldPosition="5"/>
    </format>
    <format dxfId="1485">
      <pivotArea field="7" type="button" dataOnly="0" labelOnly="1" outline="0" axis="axisRow" fieldPosition="6"/>
    </format>
    <format dxfId="1484">
      <pivotArea field="24" type="button" dataOnly="0" labelOnly="1" outline="0" axis="axisRow" fieldPosition="7"/>
    </format>
    <format dxfId="1483">
      <pivotArea field="9" type="button" dataOnly="0" labelOnly="1" outline="0" axis="axisRow" fieldPosition="8"/>
    </format>
    <format dxfId="1482">
      <pivotArea field="11" type="button" dataOnly="0" labelOnly="1" outline="0" axis="axisRow" fieldPosition="9"/>
    </format>
    <format dxfId="1481">
      <pivotArea field="14" type="button" dataOnly="0" labelOnly="1" outline="0" axis="axisRow" fieldPosition="10"/>
    </format>
    <format dxfId="1480">
      <pivotArea field="15" type="button" dataOnly="0" labelOnly="1" outline="0" axis="axisRow" fieldPosition="11"/>
    </format>
    <format dxfId="1479">
      <pivotArea field="16" type="button" dataOnly="0" labelOnly="1" outline="0" axis="axisRow" fieldPosition="12"/>
    </format>
    <format dxfId="1478">
      <pivotArea field="17" type="button" dataOnly="0" labelOnly="1" outline="0" axis="axisRow" fieldPosition="13"/>
    </format>
    <format dxfId="1477">
      <pivotArea dataOnly="0" labelOnly="1" outline="0" axis="axisValues" fieldPosition="0"/>
    </format>
    <format dxfId="1476">
      <pivotArea dataOnly="0" labelOnly="1" grandRow="1" outline="0" fieldPosition="0"/>
    </format>
    <format dxfId="1475">
      <pivotArea dataOnly="0" labelOnly="1" outline="0" axis="axisValues" fieldPosition="0"/>
    </format>
    <format dxfId="1474">
      <pivotArea field="9" type="button" dataOnly="0" labelOnly="1" outline="0" axis="axisRow" fieldPosition="8"/>
    </format>
    <format dxfId="1473">
      <pivotArea field="9" type="button" dataOnly="0" labelOnly="1" outline="0" axis="axisRow" fieldPosition="8"/>
    </format>
    <format dxfId="1472">
      <pivotArea field="15" type="button" dataOnly="0" labelOnly="1" outline="0" axis="axisRow" fieldPosition="11"/>
    </format>
    <format dxfId="1471">
      <pivotArea field="24" type="button" dataOnly="0" labelOnly="1" outline="0" axis="axisRow" fieldPosition="7"/>
    </format>
    <format dxfId="1470">
      <pivotArea field="24" type="button" dataOnly="0" labelOnly="1" outline="0" axis="axisRow" fieldPosition="7"/>
    </format>
    <format dxfId="1469">
      <pivotArea field="24" type="button" dataOnly="0" labelOnly="1" outline="0" axis="axisRow" fieldPosition="7"/>
    </format>
    <format dxfId="1468">
      <pivotArea field="15" type="button" dataOnly="0" labelOnly="1" outline="0" axis="axisRow" fieldPosition="11"/>
    </format>
    <format dxfId="1467">
      <pivotArea field="15" type="button" dataOnly="0" labelOnly="1" outline="0" axis="axisRow" fieldPosition="11"/>
    </format>
    <format dxfId="1466">
      <pivotArea field="24" type="button" dataOnly="0" labelOnly="1" outline="0" axis="axisRow" fieldPosition="7"/>
    </format>
    <format dxfId="1465">
      <pivotArea field="24" type="button" dataOnly="0" labelOnly="1" outline="0" axis="axisRow" fieldPosition="7"/>
    </format>
    <format dxfId="1464">
      <pivotArea field="15" type="button" dataOnly="0" labelOnly="1" outline="0" axis="axisRow" fieldPosition="11"/>
    </format>
    <format dxfId="1463">
      <pivotArea field="15" type="button" dataOnly="0" labelOnly="1" outline="0" axis="axisRow" fieldPosition="11"/>
    </format>
    <format dxfId="1462">
      <pivotArea field="15" type="button" dataOnly="0" labelOnly="1" outline="0" axis="axisRow" fieldPosition="11"/>
    </format>
    <format dxfId="1461">
      <pivotArea field="15" type="button" dataOnly="0" labelOnly="1" outline="0" axis="axisRow" fieldPosition="11"/>
    </format>
    <format dxfId="1460">
      <pivotArea field="24" type="button" dataOnly="0" labelOnly="1" outline="0" axis="axisRow" fieldPosition="7"/>
    </format>
    <format dxfId="1459">
      <pivotArea field="24" type="button" dataOnly="0" labelOnly="1" outline="0" axis="axisRow" fieldPosition="7"/>
    </format>
    <format dxfId="1458">
      <pivotArea field="15" type="button" dataOnly="0" labelOnly="1" outline="0" axis="axisRow" fieldPosition="11"/>
    </format>
    <format dxfId="1457">
      <pivotArea field="15" type="button" dataOnly="0" labelOnly="1" outline="0" axis="axisRow" fieldPosition="11"/>
    </format>
    <format dxfId="1456">
      <pivotArea field="24" type="button" dataOnly="0" labelOnly="1" outline="0" axis="axisRow" fieldPosition="7"/>
    </format>
    <format dxfId="1455">
      <pivotArea field="24" type="button" dataOnly="0" labelOnly="1" outline="0" axis="axisRow" fieldPosition="7"/>
    </format>
    <format dxfId="1454">
      <pivotArea field="15" type="button" dataOnly="0" labelOnly="1" outline="0" axis="axisRow" fieldPosition="11"/>
    </format>
    <format dxfId="1453">
      <pivotArea field="15" type="button" dataOnly="0" labelOnly="1" outline="0" axis="axisRow" fieldPosition="11"/>
    </format>
    <format dxfId="1452">
      <pivotArea field="10" type="button" dataOnly="0" labelOnly="1" outline="0"/>
    </format>
    <format dxfId="1451">
      <pivotArea field="10" type="button" dataOnly="0" labelOnly="1" outline="0"/>
    </format>
    <format dxfId="1450">
      <pivotArea field="24" type="button" dataOnly="0" labelOnly="1" outline="0" axis="axisRow" fieldPosition="7"/>
    </format>
    <format dxfId="1449">
      <pivotArea field="15" type="button" dataOnly="0" labelOnly="1" outline="0" axis="axisRow" fieldPosition="1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Dinámica2" cacheId="26"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rowHeaderCaption="Recursos">
  <location ref="A18:A21" firstHeaderRow="1" firstDataRow="1" firstDataCol="1" rowPageCount="2" colPageCount="1"/>
  <pivotFields count="27">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7">
        <item m="1" x="67"/>
        <item m="1" x="74"/>
        <item m="1" x="63"/>
        <item m="1" x="60"/>
        <item x="20"/>
        <item m="1" x="73"/>
        <item m="1" x="47"/>
        <item m="1" x="30"/>
        <item m="1" x="42"/>
        <item x="6"/>
        <item m="1" x="28"/>
        <item m="1" x="39"/>
        <item x="25"/>
        <item m="1" x="41"/>
        <item m="1" x="72"/>
        <item m="1" x="26"/>
        <item m="1" x="69"/>
        <item x="3"/>
        <item x="5"/>
        <item x="9"/>
        <item m="1" x="61"/>
        <item x="4"/>
        <item m="1" x="49"/>
        <item m="1" x="75"/>
        <item m="1" x="62"/>
        <item m="1" x="29"/>
        <item m="1" x="50"/>
        <item m="1" x="33"/>
        <item m="1" x="59"/>
        <item m="1" x="65"/>
        <item m="1" x="53"/>
        <item m="1" x="56"/>
        <item x="2"/>
        <item x="1"/>
        <item m="1" x="54"/>
        <item m="1" x="44"/>
        <item m="1" x="34"/>
        <item m="1" x="64"/>
        <item m="1" x="46"/>
        <item m="1" x="37"/>
        <item m="1" x="45"/>
        <item m="1" x="27"/>
        <item m="1" x="55"/>
        <item m="1" x="36"/>
        <item m="1" x="52"/>
        <item m="1" x="43"/>
        <item m="1" x="31"/>
        <item m="1" x="38"/>
        <item m="1" x="66"/>
        <item x="0"/>
        <item m="1" x="48"/>
        <item x="7"/>
        <item x="8"/>
        <item m="1" x="70"/>
        <item x="10"/>
        <item x="11"/>
        <item m="1" x="57"/>
        <item m="1" x="35"/>
        <item x="12"/>
        <item x="13"/>
        <item m="1" x="58"/>
        <item m="1" x="71"/>
        <item x="14"/>
        <item x="15"/>
        <item x="16"/>
        <item m="1" x="32"/>
        <item m="1" x="68"/>
        <item x="18"/>
        <item x="19"/>
        <item x="21"/>
        <item x="22"/>
        <item m="1" x="51"/>
        <item m="1" x="40"/>
        <item x="17"/>
        <item x="23"/>
        <item x="24"/>
        <item t="default"/>
      </items>
    </pivotField>
    <pivotField axis="axisRow" showAll="0">
      <items count="23">
        <item m="1" x="17"/>
        <item x="0"/>
        <item m="1" x="15"/>
        <item m="1" x="14"/>
        <item m="1" x="18"/>
        <item m="1" x="20"/>
        <item x="8"/>
        <item x="2"/>
        <item x="11"/>
        <item m="1" x="21"/>
        <item x="1"/>
        <item m="1" x="19"/>
        <item x="4"/>
        <item x="10"/>
        <item m="1" x="13"/>
        <item m="1" x="12"/>
        <item x="9"/>
        <item x="3"/>
        <item x="5"/>
        <item m="1" x="16"/>
        <item x="6"/>
        <item x="7"/>
        <item t="default"/>
      </items>
    </pivotField>
    <pivotField showAll="0" defaultSubtotal="0"/>
    <pivotField showAll="0" defaultSubtotal="0"/>
    <pivotField showAll="0" defaultSubtotal="0"/>
    <pivotField showAll="0" defaultSubtotal="0"/>
    <pivotField axis="axisPage" showAll="0">
      <items count="15">
        <item x="0"/>
        <item x="12"/>
        <item x="1"/>
        <item x="2"/>
        <item x="3"/>
        <item x="4"/>
        <item x="5"/>
        <item x="6"/>
        <item x="7"/>
        <item x="8"/>
        <item x="9"/>
        <item x="10"/>
        <item x="11"/>
        <item m="1" x="13"/>
        <item t="default"/>
      </items>
    </pivotField>
    <pivotField axis="axisPage" showAll="0">
      <items count="8">
        <item x="6"/>
        <item x="0"/>
        <item x="1"/>
        <item x="2"/>
        <item x="3"/>
        <item x="4"/>
        <item x="5"/>
        <item t="default"/>
      </items>
    </pivotField>
    <pivotField showAll="0"/>
    <pivotField numFmtId="44" showAll="0"/>
    <pivotField showAll="0" defaultSubtotal="0"/>
  </pivotFields>
  <rowFields count="2">
    <field x="16"/>
    <field x="17"/>
  </rowFields>
  <rowItems count="3">
    <i>
      <x v="12"/>
    </i>
    <i r="1">
      <x v="8"/>
    </i>
    <i t="grand">
      <x/>
    </i>
  </rowItems>
  <colItems count="1">
    <i/>
  </colItems>
  <pageFields count="2">
    <pageField fld="23" hier="-1"/>
    <pageField fld="22"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26"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1" rowHeaderCaption="Perfil">
  <location ref="A5:C7" firstHeaderRow="0" firstDataRow="1" firstDataCol="1" rowPageCount="3" colPageCount="1"/>
  <pivotFields count="27">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axis="axisRow" showAll="0">
      <items count="23">
        <item m="1" x="17"/>
        <item x="0"/>
        <item m="1" x="15"/>
        <item m="1" x="14"/>
        <item m="1" x="18"/>
        <item m="1" x="20"/>
        <item x="8"/>
        <item x="2"/>
        <item x="11"/>
        <item m="1" x="21"/>
        <item x="1"/>
        <item m="1" x="19"/>
        <item x="4"/>
        <item x="10"/>
        <item m="1" x="13"/>
        <item m="1" x="12"/>
        <item x="9"/>
        <item x="3"/>
        <item x="5"/>
        <item m="1" x="16"/>
        <item x="6"/>
        <item x="7"/>
        <item t="default"/>
      </items>
    </pivotField>
    <pivotField showAll="0" defaultSubtotal="0"/>
    <pivotField showAll="0" defaultSubtotal="0"/>
    <pivotField showAll="0" defaultSubtotal="0"/>
    <pivotField showAll="0" defaultSubtotal="0"/>
    <pivotField axis="axisPage" showAll="0">
      <items count="15">
        <item x="0"/>
        <item x="12"/>
        <item x="1"/>
        <item x="2"/>
        <item x="3"/>
        <item x="4"/>
        <item x="5"/>
        <item x="6"/>
        <item x="7"/>
        <item x="8"/>
        <item x="9"/>
        <item x="10"/>
        <item x="11"/>
        <item m="1" x="13"/>
        <item t="default"/>
      </items>
    </pivotField>
    <pivotField axis="axisPage" showAll="0">
      <items count="8">
        <item x="6"/>
        <item x="0"/>
        <item x="1"/>
        <item x="2"/>
        <item x="3"/>
        <item x="4"/>
        <item x="5"/>
        <item t="default"/>
      </items>
    </pivotField>
    <pivotField showAll="0"/>
    <pivotField numFmtId="44" showAll="0"/>
    <pivotField name="Tipo" axis="axisPage" showAll="0" defaultSubtotal="0">
      <items count="2">
        <item x="1"/>
        <item x="0"/>
      </items>
    </pivotField>
  </pivotFields>
  <rowFields count="1">
    <field x="17"/>
  </rowFields>
  <rowItems count="2">
    <i>
      <x v="8"/>
    </i>
    <i t="grand">
      <x/>
    </i>
  </rowItems>
  <colFields count="1">
    <field x="-2"/>
  </colFields>
  <colItems count="2">
    <i>
      <x/>
    </i>
    <i i="1">
      <x v="1"/>
    </i>
  </colItems>
  <pageFields count="3">
    <pageField fld="23" hier="-1"/>
    <pageField fld="22" item="1" hier="-1"/>
    <pageField fld="26" hier="-1"/>
  </pageFields>
  <dataFields count="2">
    <dataField name="Servicios por perfil" fld="0" subtotal="count" baseField="0" baseItem="0"/>
    <dataField name="Horas por perfil" fld="13" baseField="0" baseItem="0"/>
  </dataFields>
  <chartFormats count="2">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9" cacheId="26"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8" rowHeaderCaption="Sistema">
  <location ref="A5:C13" firstHeaderRow="0" firstDataRow="1" firstDataCol="1" rowPageCount="3" colPageCount="1"/>
  <pivotFields count="27">
    <pivotField dataField="1" showAll="0"/>
    <pivotField showAll="0"/>
    <pivotField showAll="0"/>
    <pivotField showAll="0"/>
    <pivotField axis="axisRow" showAll="0">
      <items count="215">
        <item m="1" x="163"/>
        <item m="1" x="188"/>
        <item m="1" x="65"/>
        <item m="1" x="161"/>
        <item m="1" x="68"/>
        <item m="1" x="82"/>
        <item m="1" x="43"/>
        <item m="1" x="149"/>
        <item m="1" x="170"/>
        <item m="1" x="84"/>
        <item m="1" x="126"/>
        <item m="1" x="146"/>
        <item m="1" x="119"/>
        <item m="1" x="184"/>
        <item m="1" x="98"/>
        <item m="1" x="158"/>
        <item m="1" x="180"/>
        <item m="1" x="152"/>
        <item m="1" x="53"/>
        <item m="1" x="49"/>
        <item m="1" x="203"/>
        <item m="1" x="187"/>
        <item m="1" x="137"/>
        <item m="1" x="69"/>
        <item m="1" x="79"/>
        <item x="1"/>
        <item m="1" x="206"/>
        <item m="1" x="196"/>
        <item x="5"/>
        <item m="1" x="190"/>
        <item m="1" x="211"/>
        <item m="1" x="90"/>
        <item m="1" x="114"/>
        <item m="1" x="133"/>
        <item m="1" x="72"/>
        <item m="1" x="70"/>
        <item m="1" x="61"/>
        <item m="1" x="175"/>
        <item m="1" x="60"/>
        <item m="1" x="164"/>
        <item m="1" x="76"/>
        <item m="1" x="173"/>
        <item m="1" x="92"/>
        <item m="1" x="71"/>
        <item m="1" x="111"/>
        <item m="1" x="44"/>
        <item m="1" x="192"/>
        <item m="1" x="138"/>
        <item m="1" x="130"/>
        <item m="1" x="199"/>
        <item m="1" x="57"/>
        <item m="1" x="209"/>
        <item m="1" x="45"/>
        <item m="1" x="136"/>
        <item m="1" x="62"/>
        <item m="1" x="181"/>
        <item m="1" x="41"/>
        <item m="1" x="113"/>
        <item m="1" x="191"/>
        <item m="1" x="202"/>
        <item m="1" x="123"/>
        <item m="1" x="177"/>
        <item x="4"/>
        <item m="1" x="85"/>
        <item m="1" x="107"/>
        <item m="1" x="117"/>
        <item m="1" x="88"/>
        <item m="1" x="66"/>
        <item m="1" x="132"/>
        <item m="1" x="81"/>
        <item m="1" x="47"/>
        <item m="1" x="112"/>
        <item m="1" x="200"/>
        <item m="1" x="83"/>
        <item m="1" x="75"/>
        <item m="1" x="213"/>
        <item m="1" x="63"/>
        <item m="1" x="171"/>
        <item m="1" x="183"/>
        <item m="1" x="194"/>
        <item m="1" x="212"/>
        <item m="1" x="193"/>
        <item m="1" x="100"/>
        <item m="1" x="127"/>
        <item m="1" x="99"/>
        <item x="2"/>
        <item m="1" x="143"/>
        <item m="1" x="118"/>
        <item m="1" x="40"/>
        <item m="1" x="167"/>
        <item m="1" x="96"/>
        <item m="1" x="157"/>
        <item m="1" x="148"/>
        <item m="1" x="73"/>
        <item m="1" x="102"/>
        <item m="1" x="178"/>
        <item m="1" x="176"/>
        <item m="1" x="39"/>
        <item m="1" x="151"/>
        <item m="1" x="104"/>
        <item m="1" x="86"/>
        <item m="1" x="153"/>
        <item m="1" x="94"/>
        <item m="1" x="182"/>
        <item m="1" x="154"/>
        <item m="1" x="46"/>
        <item x="29"/>
        <item x="37"/>
        <item m="1" x="201"/>
        <item x="9"/>
        <item m="1" x="147"/>
        <item m="1" x="55"/>
        <item m="1" x="174"/>
        <item m="1" x="64"/>
        <item m="1" x="38"/>
        <item m="1" x="42"/>
        <item m="1" x="105"/>
        <item m="1" x="116"/>
        <item m="1" x="56"/>
        <item m="1" x="58"/>
        <item m="1" x="179"/>
        <item m="1" x="125"/>
        <item m="1" x="89"/>
        <item m="1" x="131"/>
        <item m="1" x="109"/>
        <item m="1" x="155"/>
        <item m="1" x="91"/>
        <item m="1" x="165"/>
        <item m="1" x="124"/>
        <item m="1" x="145"/>
        <item m="1" x="87"/>
        <item m="1" x="210"/>
        <item m="1" x="128"/>
        <item m="1" x="197"/>
        <item m="1" x="78"/>
        <item m="1" x="108"/>
        <item m="1" x="160"/>
        <item m="1" x="103"/>
        <item m="1" x="189"/>
        <item m="1" x="80"/>
        <item m="1" x="51"/>
        <item m="1" x="207"/>
        <item x="3"/>
        <item m="1" x="185"/>
        <item m="1" x="139"/>
        <item m="1" x="204"/>
        <item m="1" x="121"/>
        <item m="1" x="135"/>
        <item m="1" x="198"/>
        <item m="1" x="52"/>
        <item m="1" x="115"/>
        <item m="1" x="93"/>
        <item m="1" x="59"/>
        <item m="1" x="142"/>
        <item m="1" x="150"/>
        <item m="1" x="120"/>
        <item m="1" x="140"/>
        <item m="1" x="169"/>
        <item m="1" x="50"/>
        <item m="1" x="122"/>
        <item m="1" x="186"/>
        <item m="1" x="129"/>
        <item m="1" x="208"/>
        <item m="1" x="106"/>
        <item m="1" x="166"/>
        <item m="1" x="77"/>
        <item m="1" x="162"/>
        <item m="1" x="144"/>
        <item m="1" x="141"/>
        <item m="1" x="172"/>
        <item m="1" x="156"/>
        <item m="1" x="74"/>
        <item m="1" x="110"/>
        <item m="1" x="159"/>
        <item x="17"/>
        <item m="1" x="48"/>
        <item m="1" x="101"/>
        <item m="1" x="168"/>
        <item m="1" x="205"/>
        <item m="1" x="195"/>
        <item m="1" x="54"/>
        <item m="1" x="95"/>
        <item m="1" x="97"/>
        <item m="1" x="67"/>
        <item x="0"/>
        <item x="6"/>
        <item x="7"/>
        <item x="8"/>
        <item x="10"/>
        <item x="11"/>
        <item x="12"/>
        <item x="13"/>
        <item x="14"/>
        <item x="15"/>
        <item x="16"/>
        <item x="18"/>
        <item x="19"/>
        <item m="1" x="134"/>
        <item x="25"/>
        <item x="21"/>
        <item x="22"/>
        <item x="23"/>
        <item x="24"/>
        <item x="20"/>
        <item x="26"/>
        <item x="27"/>
        <item x="28"/>
        <item x="30"/>
        <item x="31"/>
        <item x="32"/>
        <item x="33"/>
        <item x="34"/>
        <item x="35"/>
        <item x="36"/>
        <item t="default"/>
      </items>
    </pivotField>
    <pivotField showAll="0"/>
    <pivotField showAll="0"/>
    <pivotField showAll="0"/>
    <pivotField showAll="0"/>
    <pivotField numFmtId="14" showAll="0"/>
    <pivotField showAll="0"/>
    <pivotField showAll="0"/>
    <pivotField showAll="0"/>
    <pivotField dataField="1" showAll="0"/>
    <pivotField showAll="0"/>
    <pivotField showAll="0"/>
    <pivotField showAll="0"/>
    <pivotField showAll="0"/>
    <pivotField showAll="0" defaultSubtotal="0"/>
    <pivotField showAll="0" defaultSubtotal="0"/>
    <pivotField showAll="0" defaultSubtotal="0"/>
    <pivotField showAll="0" defaultSubtotal="0"/>
    <pivotField axis="axisPage" showAll="0">
      <items count="15">
        <item x="0"/>
        <item x="12"/>
        <item x="1"/>
        <item x="2"/>
        <item x="3"/>
        <item x="4"/>
        <item x="5"/>
        <item x="6"/>
        <item x="7"/>
        <item x="8"/>
        <item x="9"/>
        <item x="10"/>
        <item x="11"/>
        <item m="1" x="13"/>
        <item t="default"/>
      </items>
    </pivotField>
    <pivotField axis="axisPage" showAll="0">
      <items count="8">
        <item x="6"/>
        <item x="0"/>
        <item x="1"/>
        <item x="2"/>
        <item x="3"/>
        <item x="4"/>
        <item x="5"/>
        <item t="default"/>
      </items>
    </pivotField>
    <pivotField showAll="0"/>
    <pivotField numFmtId="44" showAll="0" defaultSubtotal="0"/>
    <pivotField name="Tipo" axis="axisPage" showAll="0" defaultSubtotal="0">
      <items count="2">
        <item x="1"/>
        <item x="0"/>
      </items>
    </pivotField>
  </pivotFields>
  <rowFields count="1">
    <field x="4"/>
  </rowFields>
  <rowItems count="8">
    <i>
      <x v="25"/>
    </i>
    <i>
      <x v="85"/>
    </i>
    <i>
      <x v="109"/>
    </i>
    <i>
      <x v="185"/>
    </i>
    <i>
      <x v="186"/>
    </i>
    <i>
      <x v="191"/>
    </i>
    <i>
      <x v="192"/>
    </i>
    <i t="grand">
      <x/>
    </i>
  </rowItems>
  <colFields count="1">
    <field x="-2"/>
  </colFields>
  <colItems count="2">
    <i>
      <x/>
    </i>
    <i i="1">
      <x v="1"/>
    </i>
  </colItems>
  <pageFields count="3">
    <pageField fld="23" hier="-1"/>
    <pageField fld="22" item="4" hier="-1"/>
    <pageField fld="26" hier="-1"/>
  </pageFields>
  <dataFields count="2">
    <dataField name="# Servicios" fld="0" subtotal="count" baseField="0" baseItem="0"/>
    <dataField name="Horas Consumidas" fld="13" baseField="0" baseItem="0"/>
  </dataFields>
  <chartFormats count="206">
    <chartFormat chart="7" format="2" series="1">
      <pivotArea type="data" outline="0" fieldPosition="0">
        <references count="1">
          <reference field="4294967294" count="1" selected="0">
            <x v="0"/>
          </reference>
        </references>
      </pivotArea>
    </chartFormat>
    <chartFormat chart="7" format="3">
      <pivotArea type="data" outline="0" fieldPosition="0">
        <references count="2">
          <reference field="4294967294" count="1" selected="0">
            <x v="0"/>
          </reference>
          <reference field="4" count="1" selected="0">
            <x v="0"/>
          </reference>
        </references>
      </pivotArea>
    </chartFormat>
    <chartFormat chart="7" format="4">
      <pivotArea type="data" outline="0" fieldPosition="0">
        <references count="2">
          <reference field="4294967294" count="1" selected="0">
            <x v="0"/>
          </reference>
          <reference field="4" count="1" selected="0">
            <x v="1"/>
          </reference>
        </references>
      </pivotArea>
    </chartFormat>
    <chartFormat chart="7" format="5">
      <pivotArea type="data" outline="0" fieldPosition="0">
        <references count="2">
          <reference field="4294967294" count="1" selected="0">
            <x v="0"/>
          </reference>
          <reference field="4" count="1" selected="0">
            <x v="2"/>
          </reference>
        </references>
      </pivotArea>
    </chartFormat>
    <chartFormat chart="7" format="6">
      <pivotArea type="data" outline="0" fieldPosition="0">
        <references count="2">
          <reference field="4294967294" count="1" selected="0">
            <x v="0"/>
          </reference>
          <reference field="4" count="1" selected="0">
            <x v="4"/>
          </reference>
        </references>
      </pivotArea>
    </chartFormat>
    <chartFormat chart="7" format="7">
      <pivotArea type="data" outline="0" fieldPosition="0">
        <references count="2">
          <reference field="4294967294" count="1" selected="0">
            <x v="0"/>
          </reference>
          <reference field="4" count="1" selected="0">
            <x v="5"/>
          </reference>
        </references>
      </pivotArea>
    </chartFormat>
    <chartFormat chart="7" format="8">
      <pivotArea type="data" outline="0" fieldPosition="0">
        <references count="2">
          <reference field="4294967294" count="1" selected="0">
            <x v="0"/>
          </reference>
          <reference field="4" count="1" selected="0">
            <x v="6"/>
          </reference>
        </references>
      </pivotArea>
    </chartFormat>
    <chartFormat chart="7" format="9">
      <pivotArea type="data" outline="0" fieldPosition="0">
        <references count="2">
          <reference field="4294967294" count="1" selected="0">
            <x v="0"/>
          </reference>
          <reference field="4" count="1" selected="0">
            <x v="7"/>
          </reference>
        </references>
      </pivotArea>
    </chartFormat>
    <chartFormat chart="7" format="10">
      <pivotArea type="data" outline="0" fieldPosition="0">
        <references count="2">
          <reference field="4294967294" count="1" selected="0">
            <x v="0"/>
          </reference>
          <reference field="4" count="1" selected="0">
            <x v="8"/>
          </reference>
        </references>
      </pivotArea>
    </chartFormat>
    <chartFormat chart="7" format="11">
      <pivotArea type="data" outline="0" fieldPosition="0">
        <references count="2">
          <reference field="4294967294" count="1" selected="0">
            <x v="0"/>
          </reference>
          <reference field="4" count="1" selected="0">
            <x v="10"/>
          </reference>
        </references>
      </pivotArea>
    </chartFormat>
    <chartFormat chart="7" format="12">
      <pivotArea type="data" outline="0" fieldPosition="0">
        <references count="2">
          <reference field="4294967294" count="1" selected="0">
            <x v="0"/>
          </reference>
          <reference field="4" count="1" selected="0">
            <x v="11"/>
          </reference>
        </references>
      </pivotArea>
    </chartFormat>
    <chartFormat chart="7" format="13">
      <pivotArea type="data" outline="0" fieldPosition="0">
        <references count="2">
          <reference field="4294967294" count="1" selected="0">
            <x v="0"/>
          </reference>
          <reference field="4" count="1" selected="0">
            <x v="22"/>
          </reference>
        </references>
      </pivotArea>
    </chartFormat>
    <chartFormat chart="7" format="14">
      <pivotArea type="data" outline="0" fieldPosition="0">
        <references count="2">
          <reference field="4294967294" count="1" selected="0">
            <x v="0"/>
          </reference>
          <reference field="4" count="1" selected="0">
            <x v="26"/>
          </reference>
        </references>
      </pivotArea>
    </chartFormat>
    <chartFormat chart="7" format="15">
      <pivotArea type="data" outline="0" fieldPosition="0">
        <references count="2">
          <reference field="4294967294" count="1" selected="0">
            <x v="0"/>
          </reference>
          <reference field="4" count="1" selected="0">
            <x v="29"/>
          </reference>
        </references>
      </pivotArea>
    </chartFormat>
    <chartFormat chart="7" format="16">
      <pivotArea type="data" outline="0" fieldPosition="0">
        <references count="2">
          <reference field="4294967294" count="1" selected="0">
            <x v="0"/>
          </reference>
          <reference field="4" count="1" selected="0">
            <x v="33"/>
          </reference>
        </references>
      </pivotArea>
    </chartFormat>
    <chartFormat chart="7" format="17">
      <pivotArea type="data" outline="0" fieldPosition="0">
        <references count="2">
          <reference field="4294967294" count="1" selected="0">
            <x v="0"/>
          </reference>
          <reference field="4" count="1" selected="0">
            <x v="34"/>
          </reference>
        </references>
      </pivotArea>
    </chartFormat>
    <chartFormat chart="7" format="18">
      <pivotArea type="data" outline="0" fieldPosition="0">
        <references count="2">
          <reference field="4294967294" count="1" selected="0">
            <x v="0"/>
          </reference>
          <reference field="4" count="1" selected="0">
            <x v="35"/>
          </reference>
        </references>
      </pivotArea>
    </chartFormat>
    <chartFormat chart="7" format="19" series="1">
      <pivotArea type="data" outline="0" fieldPosition="0">
        <references count="1">
          <reference field="4294967294" count="1" selected="0">
            <x v="1"/>
          </reference>
        </references>
      </pivotArea>
    </chartFormat>
    <chartFormat chart="7" format="20">
      <pivotArea type="data" outline="0" fieldPosition="0">
        <references count="2">
          <reference field="4294967294" count="1" selected="0">
            <x v="1"/>
          </reference>
          <reference field="4" count="1" selected="0">
            <x v="0"/>
          </reference>
        </references>
      </pivotArea>
    </chartFormat>
    <chartFormat chart="7" format="21">
      <pivotArea type="data" outline="0" fieldPosition="0">
        <references count="2">
          <reference field="4294967294" count="1" selected="0">
            <x v="1"/>
          </reference>
          <reference field="4" count="1" selected="0">
            <x v="1"/>
          </reference>
        </references>
      </pivotArea>
    </chartFormat>
    <chartFormat chart="7" format="22">
      <pivotArea type="data" outline="0" fieldPosition="0">
        <references count="2">
          <reference field="4294967294" count="1" selected="0">
            <x v="1"/>
          </reference>
          <reference field="4" count="1" selected="0">
            <x v="2"/>
          </reference>
        </references>
      </pivotArea>
    </chartFormat>
    <chartFormat chart="7" format="23">
      <pivotArea type="data" outline="0" fieldPosition="0">
        <references count="2">
          <reference field="4294967294" count="1" selected="0">
            <x v="1"/>
          </reference>
          <reference field="4" count="1" selected="0">
            <x v="4"/>
          </reference>
        </references>
      </pivotArea>
    </chartFormat>
    <chartFormat chart="7" format="24">
      <pivotArea type="data" outline="0" fieldPosition="0">
        <references count="2">
          <reference field="4294967294" count="1" selected="0">
            <x v="1"/>
          </reference>
          <reference field="4" count="1" selected="0">
            <x v="5"/>
          </reference>
        </references>
      </pivotArea>
    </chartFormat>
    <chartFormat chart="7" format="25">
      <pivotArea type="data" outline="0" fieldPosition="0">
        <references count="2">
          <reference field="4294967294" count="1" selected="0">
            <x v="1"/>
          </reference>
          <reference field="4" count="1" selected="0">
            <x v="6"/>
          </reference>
        </references>
      </pivotArea>
    </chartFormat>
    <chartFormat chart="7" format="26">
      <pivotArea type="data" outline="0" fieldPosition="0">
        <references count="2">
          <reference field="4294967294" count="1" selected="0">
            <x v="1"/>
          </reference>
          <reference field="4" count="1" selected="0">
            <x v="7"/>
          </reference>
        </references>
      </pivotArea>
    </chartFormat>
    <chartFormat chart="7" format="27">
      <pivotArea type="data" outline="0" fieldPosition="0">
        <references count="2">
          <reference field="4294967294" count="1" selected="0">
            <x v="1"/>
          </reference>
          <reference field="4" count="1" selected="0">
            <x v="8"/>
          </reference>
        </references>
      </pivotArea>
    </chartFormat>
    <chartFormat chart="7" format="28">
      <pivotArea type="data" outline="0" fieldPosition="0">
        <references count="2">
          <reference field="4294967294" count="1" selected="0">
            <x v="1"/>
          </reference>
          <reference field="4" count="1" selected="0">
            <x v="10"/>
          </reference>
        </references>
      </pivotArea>
    </chartFormat>
    <chartFormat chart="7" format="29">
      <pivotArea type="data" outline="0" fieldPosition="0">
        <references count="2">
          <reference field="4294967294" count="1" selected="0">
            <x v="1"/>
          </reference>
          <reference field="4" count="1" selected="0">
            <x v="11"/>
          </reference>
        </references>
      </pivotArea>
    </chartFormat>
    <chartFormat chart="7" format="30">
      <pivotArea type="data" outline="0" fieldPosition="0">
        <references count="2">
          <reference field="4294967294" count="1" selected="0">
            <x v="1"/>
          </reference>
          <reference field="4" count="1" selected="0">
            <x v="22"/>
          </reference>
        </references>
      </pivotArea>
    </chartFormat>
    <chartFormat chart="7" format="31">
      <pivotArea type="data" outline="0" fieldPosition="0">
        <references count="2">
          <reference field="4294967294" count="1" selected="0">
            <x v="1"/>
          </reference>
          <reference field="4" count="1" selected="0">
            <x v="26"/>
          </reference>
        </references>
      </pivotArea>
    </chartFormat>
    <chartFormat chart="7" format="32">
      <pivotArea type="data" outline="0" fieldPosition="0">
        <references count="2">
          <reference field="4294967294" count="1" selected="0">
            <x v="1"/>
          </reference>
          <reference field="4" count="1" selected="0">
            <x v="29"/>
          </reference>
        </references>
      </pivotArea>
    </chartFormat>
    <chartFormat chart="7" format="33">
      <pivotArea type="data" outline="0" fieldPosition="0">
        <references count="2">
          <reference field="4294967294" count="1" selected="0">
            <x v="1"/>
          </reference>
          <reference field="4" count="1" selected="0">
            <x v="33"/>
          </reference>
        </references>
      </pivotArea>
    </chartFormat>
    <chartFormat chart="7" format="34">
      <pivotArea type="data" outline="0" fieldPosition="0">
        <references count="2">
          <reference field="4294967294" count="1" selected="0">
            <x v="1"/>
          </reference>
          <reference field="4" count="1" selected="0">
            <x v="34"/>
          </reference>
        </references>
      </pivotArea>
    </chartFormat>
    <chartFormat chart="7" format="35">
      <pivotArea type="data" outline="0" fieldPosition="0">
        <references count="2">
          <reference field="4294967294" count="1" selected="0">
            <x v="1"/>
          </reference>
          <reference field="4" count="1" selected="0">
            <x v="35"/>
          </reference>
        </references>
      </pivotArea>
    </chartFormat>
    <chartFormat chart="7" format="62">
      <pivotArea type="data" outline="0" fieldPosition="0">
        <references count="2">
          <reference field="4294967294" count="1" selected="0">
            <x v="0"/>
          </reference>
          <reference field="4" count="1" selected="0">
            <x v="12"/>
          </reference>
        </references>
      </pivotArea>
    </chartFormat>
    <chartFormat chart="7" format="63">
      <pivotArea type="data" outline="0" fieldPosition="0">
        <references count="2">
          <reference field="4294967294" count="1" selected="0">
            <x v="0"/>
          </reference>
          <reference field="4" count="1" selected="0">
            <x v="13"/>
          </reference>
        </references>
      </pivotArea>
    </chartFormat>
    <chartFormat chart="7" format="64">
      <pivotArea type="data" outline="0" fieldPosition="0">
        <references count="2">
          <reference field="4294967294" count="1" selected="0">
            <x v="0"/>
          </reference>
          <reference field="4" count="1" selected="0">
            <x v="14"/>
          </reference>
        </references>
      </pivotArea>
    </chartFormat>
    <chartFormat chart="7" format="65">
      <pivotArea type="data" outline="0" fieldPosition="0">
        <references count="2">
          <reference field="4294967294" count="1" selected="0">
            <x v="0"/>
          </reference>
          <reference field="4" count="1" selected="0">
            <x v="15"/>
          </reference>
        </references>
      </pivotArea>
    </chartFormat>
    <chartFormat chart="7" format="66">
      <pivotArea type="data" outline="0" fieldPosition="0">
        <references count="2">
          <reference field="4294967294" count="1" selected="0">
            <x v="0"/>
          </reference>
          <reference field="4" count="1" selected="0">
            <x v="17"/>
          </reference>
        </references>
      </pivotArea>
    </chartFormat>
    <chartFormat chart="7" format="67">
      <pivotArea type="data" outline="0" fieldPosition="0">
        <references count="2">
          <reference field="4294967294" count="1" selected="0">
            <x v="0"/>
          </reference>
          <reference field="4" count="1" selected="0">
            <x v="18"/>
          </reference>
        </references>
      </pivotArea>
    </chartFormat>
    <chartFormat chart="7" format="68">
      <pivotArea type="data" outline="0" fieldPosition="0">
        <references count="2">
          <reference field="4294967294" count="1" selected="0">
            <x v="0"/>
          </reference>
          <reference field="4" count="1" selected="0">
            <x v="19"/>
          </reference>
        </references>
      </pivotArea>
    </chartFormat>
    <chartFormat chart="7" format="69">
      <pivotArea type="data" outline="0" fieldPosition="0">
        <references count="2">
          <reference field="4294967294" count="1" selected="0">
            <x v="0"/>
          </reference>
          <reference field="4" count="1" selected="0">
            <x v="20"/>
          </reference>
        </references>
      </pivotArea>
    </chartFormat>
    <chartFormat chart="7" format="70">
      <pivotArea type="data" outline="0" fieldPosition="0">
        <references count="2">
          <reference field="4294967294" count="1" selected="0">
            <x v="0"/>
          </reference>
          <reference field="4" count="1" selected="0">
            <x v="21"/>
          </reference>
        </references>
      </pivotArea>
    </chartFormat>
    <chartFormat chart="7" format="71">
      <pivotArea type="data" outline="0" fieldPosition="0">
        <references count="2">
          <reference field="4294967294" count="1" selected="0">
            <x v="0"/>
          </reference>
          <reference field="4" count="1" selected="0">
            <x v="23"/>
          </reference>
        </references>
      </pivotArea>
    </chartFormat>
    <chartFormat chart="7" format="72">
      <pivotArea type="data" outline="0" fieldPosition="0">
        <references count="2">
          <reference field="4294967294" count="1" selected="0">
            <x v="0"/>
          </reference>
          <reference field="4" count="1" selected="0">
            <x v="24"/>
          </reference>
        </references>
      </pivotArea>
    </chartFormat>
    <chartFormat chart="7" format="73">
      <pivotArea type="data" outline="0" fieldPosition="0">
        <references count="2">
          <reference field="4294967294" count="1" selected="0">
            <x v="0"/>
          </reference>
          <reference field="4" count="1" selected="0">
            <x v="27"/>
          </reference>
        </references>
      </pivotArea>
    </chartFormat>
    <chartFormat chart="7" format="74">
      <pivotArea type="data" outline="0" fieldPosition="0">
        <references count="2">
          <reference field="4294967294" count="1" selected="0">
            <x v="0"/>
          </reference>
          <reference field="4" count="1" selected="0">
            <x v="31"/>
          </reference>
        </references>
      </pivotArea>
    </chartFormat>
    <chartFormat chart="7" format="75">
      <pivotArea type="data" outline="0" fieldPosition="0">
        <references count="2">
          <reference field="4294967294" count="1" selected="0">
            <x v="1"/>
          </reference>
          <reference field="4" count="1" selected="0">
            <x v="12"/>
          </reference>
        </references>
      </pivotArea>
    </chartFormat>
    <chartFormat chart="7" format="76">
      <pivotArea type="data" outline="0" fieldPosition="0">
        <references count="2">
          <reference field="4294967294" count="1" selected="0">
            <x v="1"/>
          </reference>
          <reference field="4" count="1" selected="0">
            <x v="13"/>
          </reference>
        </references>
      </pivotArea>
    </chartFormat>
    <chartFormat chart="7" format="77">
      <pivotArea type="data" outline="0" fieldPosition="0">
        <references count="2">
          <reference field="4294967294" count="1" selected="0">
            <x v="1"/>
          </reference>
          <reference field="4" count="1" selected="0">
            <x v="14"/>
          </reference>
        </references>
      </pivotArea>
    </chartFormat>
    <chartFormat chart="7" format="78">
      <pivotArea type="data" outline="0" fieldPosition="0">
        <references count="2">
          <reference field="4294967294" count="1" selected="0">
            <x v="1"/>
          </reference>
          <reference field="4" count="1" selected="0">
            <x v="15"/>
          </reference>
        </references>
      </pivotArea>
    </chartFormat>
    <chartFormat chart="7" format="79">
      <pivotArea type="data" outline="0" fieldPosition="0">
        <references count="2">
          <reference field="4294967294" count="1" selected="0">
            <x v="1"/>
          </reference>
          <reference field="4" count="1" selected="0">
            <x v="17"/>
          </reference>
        </references>
      </pivotArea>
    </chartFormat>
    <chartFormat chart="7" format="80">
      <pivotArea type="data" outline="0" fieldPosition="0">
        <references count="2">
          <reference field="4294967294" count="1" selected="0">
            <x v="1"/>
          </reference>
          <reference field="4" count="1" selected="0">
            <x v="18"/>
          </reference>
        </references>
      </pivotArea>
    </chartFormat>
    <chartFormat chart="7" format="81">
      <pivotArea type="data" outline="0" fieldPosition="0">
        <references count="2">
          <reference field="4294967294" count="1" selected="0">
            <x v="1"/>
          </reference>
          <reference field="4" count="1" selected="0">
            <x v="19"/>
          </reference>
        </references>
      </pivotArea>
    </chartFormat>
    <chartFormat chart="7" format="82">
      <pivotArea type="data" outline="0" fieldPosition="0">
        <references count="2">
          <reference field="4294967294" count="1" selected="0">
            <x v="1"/>
          </reference>
          <reference field="4" count="1" selected="0">
            <x v="20"/>
          </reference>
        </references>
      </pivotArea>
    </chartFormat>
    <chartFormat chart="7" format="83">
      <pivotArea type="data" outline="0" fieldPosition="0">
        <references count="2">
          <reference field="4294967294" count="1" selected="0">
            <x v="1"/>
          </reference>
          <reference field="4" count="1" selected="0">
            <x v="21"/>
          </reference>
        </references>
      </pivotArea>
    </chartFormat>
    <chartFormat chart="7" format="84">
      <pivotArea type="data" outline="0" fieldPosition="0">
        <references count="2">
          <reference field="4294967294" count="1" selected="0">
            <x v="1"/>
          </reference>
          <reference field="4" count="1" selected="0">
            <x v="23"/>
          </reference>
        </references>
      </pivotArea>
    </chartFormat>
    <chartFormat chart="7" format="85">
      <pivotArea type="data" outline="0" fieldPosition="0">
        <references count="2">
          <reference field="4294967294" count="1" selected="0">
            <x v="1"/>
          </reference>
          <reference field="4" count="1" selected="0">
            <x v="24"/>
          </reference>
        </references>
      </pivotArea>
    </chartFormat>
    <chartFormat chart="7" format="86">
      <pivotArea type="data" outline="0" fieldPosition="0">
        <references count="2">
          <reference field="4294967294" count="1" selected="0">
            <x v="1"/>
          </reference>
          <reference field="4" count="1" selected="0">
            <x v="27"/>
          </reference>
        </references>
      </pivotArea>
    </chartFormat>
    <chartFormat chart="7" format="87">
      <pivotArea type="data" outline="0" fieldPosition="0">
        <references count="2">
          <reference field="4294967294" count="1" selected="0">
            <x v="1"/>
          </reference>
          <reference field="4" count="1" selected="0">
            <x v="31"/>
          </reference>
        </references>
      </pivotArea>
    </chartFormat>
    <chartFormat chart="7" format="96">
      <pivotArea type="data" outline="0" fieldPosition="0">
        <references count="2">
          <reference field="4294967294" count="1" selected="0">
            <x v="0"/>
          </reference>
          <reference field="4" count="1" selected="0">
            <x v="36"/>
          </reference>
        </references>
      </pivotArea>
    </chartFormat>
    <chartFormat chart="7" format="97">
      <pivotArea type="data" outline="0" fieldPosition="0">
        <references count="2">
          <reference field="4294967294" count="1" selected="0">
            <x v="0"/>
          </reference>
          <reference field="4" count="1" selected="0">
            <x v="41"/>
          </reference>
        </references>
      </pivotArea>
    </chartFormat>
    <chartFormat chart="7" format="98">
      <pivotArea type="data" outline="0" fieldPosition="0">
        <references count="2">
          <reference field="4294967294" count="1" selected="0">
            <x v="0"/>
          </reference>
          <reference field="4" count="1" selected="0">
            <x v="42"/>
          </reference>
        </references>
      </pivotArea>
    </chartFormat>
    <chartFormat chart="7" format="99">
      <pivotArea type="data" outline="0" fieldPosition="0">
        <references count="2">
          <reference field="4294967294" count="1" selected="0">
            <x v="0"/>
          </reference>
          <reference field="4" count="1" selected="0">
            <x v="43"/>
          </reference>
        </references>
      </pivotArea>
    </chartFormat>
    <chartFormat chart="7" format="100">
      <pivotArea type="data" outline="0" fieldPosition="0">
        <references count="2">
          <reference field="4294967294" count="1" selected="0">
            <x v="1"/>
          </reference>
          <reference field="4" count="1" selected="0">
            <x v="36"/>
          </reference>
        </references>
      </pivotArea>
    </chartFormat>
    <chartFormat chart="7" format="101">
      <pivotArea type="data" outline="0" fieldPosition="0">
        <references count="2">
          <reference field="4294967294" count="1" selected="0">
            <x v="1"/>
          </reference>
          <reference field="4" count="1" selected="0">
            <x v="41"/>
          </reference>
        </references>
      </pivotArea>
    </chartFormat>
    <chartFormat chart="7" format="102">
      <pivotArea type="data" outline="0" fieldPosition="0">
        <references count="2">
          <reference field="4294967294" count="1" selected="0">
            <x v="1"/>
          </reference>
          <reference field="4" count="1" selected="0">
            <x v="42"/>
          </reference>
        </references>
      </pivotArea>
    </chartFormat>
    <chartFormat chart="7" format="103">
      <pivotArea type="data" outline="0" fieldPosition="0">
        <references count="2">
          <reference field="4294967294" count="1" selected="0">
            <x v="1"/>
          </reference>
          <reference field="4" count="1" selected="0">
            <x v="43"/>
          </reference>
        </references>
      </pivotArea>
    </chartFormat>
    <chartFormat chart="7" format="104">
      <pivotArea type="data" outline="0" fieldPosition="0">
        <references count="2">
          <reference field="4294967294" count="1" selected="0">
            <x v="0"/>
          </reference>
          <reference field="4" count="1" selected="0">
            <x v="32"/>
          </reference>
        </references>
      </pivotArea>
    </chartFormat>
    <chartFormat chart="7" format="105">
      <pivotArea type="data" outline="0" fieldPosition="0">
        <references count="2">
          <reference field="4294967294" count="1" selected="0">
            <x v="0"/>
          </reference>
          <reference field="4" count="1" selected="0">
            <x v="44"/>
          </reference>
        </references>
      </pivotArea>
    </chartFormat>
    <chartFormat chart="7" format="106">
      <pivotArea type="data" outline="0" fieldPosition="0">
        <references count="2">
          <reference field="4294967294" count="1" selected="0">
            <x v="0"/>
          </reference>
          <reference field="4" count="1" selected="0">
            <x v="46"/>
          </reference>
        </references>
      </pivotArea>
    </chartFormat>
    <chartFormat chart="7" format="107">
      <pivotArea type="data" outline="0" fieldPosition="0">
        <references count="2">
          <reference field="4294967294" count="1" selected="0">
            <x v="1"/>
          </reference>
          <reference field="4" count="1" selected="0">
            <x v="32"/>
          </reference>
        </references>
      </pivotArea>
    </chartFormat>
    <chartFormat chart="7" format="108">
      <pivotArea type="data" outline="0" fieldPosition="0">
        <references count="2">
          <reference field="4294967294" count="1" selected="0">
            <x v="1"/>
          </reference>
          <reference field="4" count="1" selected="0">
            <x v="44"/>
          </reference>
        </references>
      </pivotArea>
    </chartFormat>
    <chartFormat chart="7" format="109">
      <pivotArea type="data" outline="0" fieldPosition="0">
        <references count="2">
          <reference field="4294967294" count="1" selected="0">
            <x v="1"/>
          </reference>
          <reference field="4" count="1" selected="0">
            <x v="46"/>
          </reference>
        </references>
      </pivotArea>
    </chartFormat>
    <chartFormat chart="7" format="110">
      <pivotArea type="data" outline="0" fieldPosition="0">
        <references count="2">
          <reference field="4294967294" count="1" selected="0">
            <x v="0"/>
          </reference>
          <reference field="4" count="1" selected="0">
            <x v="47"/>
          </reference>
        </references>
      </pivotArea>
    </chartFormat>
    <chartFormat chart="7" format="111">
      <pivotArea type="data" outline="0" fieldPosition="0">
        <references count="2">
          <reference field="4294967294" count="1" selected="0">
            <x v="0"/>
          </reference>
          <reference field="4" count="1" selected="0">
            <x v="48"/>
          </reference>
        </references>
      </pivotArea>
    </chartFormat>
    <chartFormat chart="7" format="112">
      <pivotArea type="data" outline="0" fieldPosition="0">
        <references count="2">
          <reference field="4294967294" count="1" selected="0">
            <x v="1"/>
          </reference>
          <reference field="4" count="1" selected="0">
            <x v="47"/>
          </reference>
        </references>
      </pivotArea>
    </chartFormat>
    <chartFormat chart="7" format="113">
      <pivotArea type="data" outline="0" fieldPosition="0">
        <references count="2">
          <reference field="4294967294" count="1" selected="0">
            <x v="1"/>
          </reference>
          <reference field="4" count="1" selected="0">
            <x v="48"/>
          </reference>
        </references>
      </pivotArea>
    </chartFormat>
    <chartFormat chart="7" format="114">
      <pivotArea type="data" outline="0" fieldPosition="0">
        <references count="2">
          <reference field="4294967294" count="1" selected="0">
            <x v="0"/>
          </reference>
          <reference field="4" count="1" selected="0">
            <x v="39"/>
          </reference>
        </references>
      </pivotArea>
    </chartFormat>
    <chartFormat chart="7" format="115">
      <pivotArea type="data" outline="0" fieldPosition="0">
        <references count="2">
          <reference field="4294967294" count="1" selected="0">
            <x v="0"/>
          </reference>
          <reference field="4" count="1" selected="0">
            <x v="40"/>
          </reference>
        </references>
      </pivotArea>
    </chartFormat>
    <chartFormat chart="7" format="116">
      <pivotArea type="data" outline="0" fieldPosition="0">
        <references count="2">
          <reference field="4294967294" count="1" selected="0">
            <x v="0"/>
          </reference>
          <reference field="4" count="1" selected="0">
            <x v="49"/>
          </reference>
        </references>
      </pivotArea>
    </chartFormat>
    <chartFormat chart="7" format="117">
      <pivotArea type="data" outline="0" fieldPosition="0">
        <references count="2">
          <reference field="4294967294" count="1" selected="0">
            <x v="0"/>
          </reference>
          <reference field="4" count="1" selected="0">
            <x v="50"/>
          </reference>
        </references>
      </pivotArea>
    </chartFormat>
    <chartFormat chart="7" format="118">
      <pivotArea type="data" outline="0" fieldPosition="0">
        <references count="2">
          <reference field="4294967294" count="1" selected="0">
            <x v="0"/>
          </reference>
          <reference field="4" count="1" selected="0">
            <x v="51"/>
          </reference>
        </references>
      </pivotArea>
    </chartFormat>
    <chartFormat chart="7" format="119">
      <pivotArea type="data" outline="0" fieldPosition="0">
        <references count="2">
          <reference field="4294967294" count="1" selected="0">
            <x v="0"/>
          </reference>
          <reference field="4" count="1" selected="0">
            <x v="52"/>
          </reference>
        </references>
      </pivotArea>
    </chartFormat>
    <chartFormat chart="7" format="120">
      <pivotArea type="data" outline="0" fieldPosition="0">
        <references count="2">
          <reference field="4294967294" count="1" selected="0">
            <x v="0"/>
          </reference>
          <reference field="4" count="1" selected="0">
            <x v="53"/>
          </reference>
        </references>
      </pivotArea>
    </chartFormat>
    <chartFormat chart="7" format="121">
      <pivotArea type="data" outline="0" fieldPosition="0">
        <references count="2">
          <reference field="4294967294" count="1" selected="0">
            <x v="0"/>
          </reference>
          <reference field="4" count="1" selected="0">
            <x v="54"/>
          </reference>
        </references>
      </pivotArea>
    </chartFormat>
    <chartFormat chart="7" format="122">
      <pivotArea type="data" outline="0" fieldPosition="0">
        <references count="2">
          <reference field="4294967294" count="1" selected="0">
            <x v="0"/>
          </reference>
          <reference field="4" count="1" selected="0">
            <x v="55"/>
          </reference>
        </references>
      </pivotArea>
    </chartFormat>
    <chartFormat chart="7" format="123">
      <pivotArea type="data" outline="0" fieldPosition="0">
        <references count="2">
          <reference field="4294967294" count="1" selected="0">
            <x v="0"/>
          </reference>
          <reference field="4" count="1" selected="0">
            <x v="56"/>
          </reference>
        </references>
      </pivotArea>
    </chartFormat>
    <chartFormat chart="7" format="124">
      <pivotArea type="data" outline="0" fieldPosition="0">
        <references count="2">
          <reference field="4294967294" count="1" selected="0">
            <x v="0"/>
          </reference>
          <reference field="4" count="1" selected="0">
            <x v="57"/>
          </reference>
        </references>
      </pivotArea>
    </chartFormat>
    <chartFormat chart="7" format="125">
      <pivotArea type="data" outline="0" fieldPosition="0">
        <references count="2">
          <reference field="4294967294" count="1" selected="0">
            <x v="0"/>
          </reference>
          <reference field="4" count="1" selected="0">
            <x v="58"/>
          </reference>
        </references>
      </pivotArea>
    </chartFormat>
    <chartFormat chart="7" format="126">
      <pivotArea type="data" outline="0" fieldPosition="0">
        <references count="2">
          <reference field="4294967294" count="1" selected="0">
            <x v="1"/>
          </reference>
          <reference field="4" count="1" selected="0">
            <x v="39"/>
          </reference>
        </references>
      </pivotArea>
    </chartFormat>
    <chartFormat chart="7" format="127">
      <pivotArea type="data" outline="0" fieldPosition="0">
        <references count="2">
          <reference field="4294967294" count="1" selected="0">
            <x v="1"/>
          </reference>
          <reference field="4" count="1" selected="0">
            <x v="40"/>
          </reference>
        </references>
      </pivotArea>
    </chartFormat>
    <chartFormat chart="7" format="128">
      <pivotArea type="data" outline="0" fieldPosition="0">
        <references count="2">
          <reference field="4294967294" count="1" selected="0">
            <x v="1"/>
          </reference>
          <reference field="4" count="1" selected="0">
            <x v="49"/>
          </reference>
        </references>
      </pivotArea>
    </chartFormat>
    <chartFormat chart="7" format="129">
      <pivotArea type="data" outline="0" fieldPosition="0">
        <references count="2">
          <reference field="4294967294" count="1" selected="0">
            <x v="1"/>
          </reference>
          <reference field="4" count="1" selected="0">
            <x v="50"/>
          </reference>
        </references>
      </pivotArea>
    </chartFormat>
    <chartFormat chart="7" format="130">
      <pivotArea type="data" outline="0" fieldPosition="0">
        <references count="2">
          <reference field="4294967294" count="1" selected="0">
            <x v="1"/>
          </reference>
          <reference field="4" count="1" selected="0">
            <x v="51"/>
          </reference>
        </references>
      </pivotArea>
    </chartFormat>
    <chartFormat chart="7" format="131">
      <pivotArea type="data" outline="0" fieldPosition="0">
        <references count="2">
          <reference field="4294967294" count="1" selected="0">
            <x v="1"/>
          </reference>
          <reference field="4" count="1" selected="0">
            <x v="52"/>
          </reference>
        </references>
      </pivotArea>
    </chartFormat>
    <chartFormat chart="7" format="132">
      <pivotArea type="data" outline="0" fieldPosition="0">
        <references count="2">
          <reference field="4294967294" count="1" selected="0">
            <x v="1"/>
          </reference>
          <reference field="4" count="1" selected="0">
            <x v="53"/>
          </reference>
        </references>
      </pivotArea>
    </chartFormat>
    <chartFormat chart="7" format="133">
      <pivotArea type="data" outline="0" fieldPosition="0">
        <references count="2">
          <reference field="4294967294" count="1" selected="0">
            <x v="1"/>
          </reference>
          <reference field="4" count="1" selected="0">
            <x v="54"/>
          </reference>
        </references>
      </pivotArea>
    </chartFormat>
    <chartFormat chart="7" format="134">
      <pivotArea type="data" outline="0" fieldPosition="0">
        <references count="2">
          <reference field="4294967294" count="1" selected="0">
            <x v="1"/>
          </reference>
          <reference field="4" count="1" selected="0">
            <x v="55"/>
          </reference>
        </references>
      </pivotArea>
    </chartFormat>
    <chartFormat chart="7" format="135">
      <pivotArea type="data" outline="0" fieldPosition="0">
        <references count="2">
          <reference field="4294967294" count="1" selected="0">
            <x v="1"/>
          </reference>
          <reference field="4" count="1" selected="0">
            <x v="56"/>
          </reference>
        </references>
      </pivotArea>
    </chartFormat>
    <chartFormat chart="7" format="136">
      <pivotArea type="data" outline="0" fieldPosition="0">
        <references count="2">
          <reference field="4294967294" count="1" selected="0">
            <x v="1"/>
          </reference>
          <reference field="4" count="1" selected="0">
            <x v="57"/>
          </reference>
        </references>
      </pivotArea>
    </chartFormat>
    <chartFormat chart="7" format="137">
      <pivotArea type="data" outline="0" fieldPosition="0">
        <references count="2">
          <reference field="4294967294" count="1" selected="0">
            <x v="1"/>
          </reference>
          <reference field="4" count="1" selected="0">
            <x v="58"/>
          </reference>
        </references>
      </pivotArea>
    </chartFormat>
    <chartFormat chart="7" format="138">
      <pivotArea type="data" outline="0" fieldPosition="0">
        <references count="2">
          <reference field="4294967294" count="1" selected="0">
            <x v="0"/>
          </reference>
          <reference field="4" count="1" selected="0">
            <x v="62"/>
          </reference>
        </references>
      </pivotArea>
    </chartFormat>
    <chartFormat chart="7" format="139">
      <pivotArea type="data" outline="0" fieldPosition="0">
        <references count="2">
          <reference field="4294967294" count="1" selected="0">
            <x v="0"/>
          </reference>
          <reference field="4" count="1" selected="0">
            <x v="63"/>
          </reference>
        </references>
      </pivotArea>
    </chartFormat>
    <chartFormat chart="7" format="140">
      <pivotArea type="data" outline="0" fieldPosition="0">
        <references count="2">
          <reference field="4294967294" count="1" selected="0">
            <x v="0"/>
          </reference>
          <reference field="4" count="1" selected="0">
            <x v="64"/>
          </reference>
        </references>
      </pivotArea>
    </chartFormat>
    <chartFormat chart="7" format="141">
      <pivotArea type="data" outline="0" fieldPosition="0">
        <references count="2">
          <reference field="4294967294" count="1" selected="0">
            <x v="0"/>
          </reference>
          <reference field="4" count="1" selected="0">
            <x v="65"/>
          </reference>
        </references>
      </pivotArea>
    </chartFormat>
    <chartFormat chart="7" format="142">
      <pivotArea type="data" outline="0" fieldPosition="0">
        <references count="2">
          <reference field="4294967294" count="1" selected="0">
            <x v="0"/>
          </reference>
          <reference field="4" count="1" selected="0">
            <x v="66"/>
          </reference>
        </references>
      </pivotArea>
    </chartFormat>
    <chartFormat chart="7" format="143">
      <pivotArea type="data" outline="0" fieldPosition="0">
        <references count="2">
          <reference field="4294967294" count="1" selected="0">
            <x v="1"/>
          </reference>
          <reference field="4" count="1" selected="0">
            <x v="62"/>
          </reference>
        </references>
      </pivotArea>
    </chartFormat>
    <chartFormat chart="7" format="144">
      <pivotArea type="data" outline="0" fieldPosition="0">
        <references count="2">
          <reference field="4294967294" count="1" selected="0">
            <x v="1"/>
          </reference>
          <reference field="4" count="1" selected="0">
            <x v="63"/>
          </reference>
        </references>
      </pivotArea>
    </chartFormat>
    <chartFormat chart="7" format="145">
      <pivotArea type="data" outline="0" fieldPosition="0">
        <references count="2">
          <reference field="4294967294" count="1" selected="0">
            <x v="1"/>
          </reference>
          <reference field="4" count="1" selected="0">
            <x v="64"/>
          </reference>
        </references>
      </pivotArea>
    </chartFormat>
    <chartFormat chart="7" format="146">
      <pivotArea type="data" outline="0" fieldPosition="0">
        <references count="2">
          <reference field="4294967294" count="1" selected="0">
            <x v="1"/>
          </reference>
          <reference field="4" count="1" selected="0">
            <x v="65"/>
          </reference>
        </references>
      </pivotArea>
    </chartFormat>
    <chartFormat chart="7" format="147">
      <pivotArea type="data" outline="0" fieldPosition="0">
        <references count="2">
          <reference field="4294967294" count="1" selected="0">
            <x v="1"/>
          </reference>
          <reference field="4" count="1" selected="0">
            <x v="66"/>
          </reference>
        </references>
      </pivotArea>
    </chartFormat>
    <chartFormat chart="7" format="148">
      <pivotArea type="data" outline="0" fieldPosition="0">
        <references count="2">
          <reference field="4294967294" count="1" selected="0">
            <x v="0"/>
          </reference>
          <reference field="4" count="1" selected="0">
            <x v="37"/>
          </reference>
        </references>
      </pivotArea>
    </chartFormat>
    <chartFormat chart="7" format="149">
      <pivotArea type="data" outline="0" fieldPosition="0">
        <references count="2">
          <reference field="4294967294" count="1" selected="0">
            <x v="0"/>
          </reference>
          <reference field="4" count="1" selected="0">
            <x v="73"/>
          </reference>
        </references>
      </pivotArea>
    </chartFormat>
    <chartFormat chart="7" format="150">
      <pivotArea type="data" outline="0" fieldPosition="0">
        <references count="2">
          <reference field="4294967294" count="1" selected="0">
            <x v="0"/>
          </reference>
          <reference field="4" count="1" selected="0">
            <x v="74"/>
          </reference>
        </references>
      </pivotArea>
    </chartFormat>
    <chartFormat chart="7" format="151">
      <pivotArea type="data" outline="0" fieldPosition="0">
        <references count="2">
          <reference field="4294967294" count="1" selected="0">
            <x v="0"/>
          </reference>
          <reference field="4" count="1" selected="0">
            <x v="75"/>
          </reference>
        </references>
      </pivotArea>
    </chartFormat>
    <chartFormat chart="7" format="152">
      <pivotArea type="data" outline="0" fieldPosition="0">
        <references count="2">
          <reference field="4294967294" count="1" selected="0">
            <x v="1"/>
          </reference>
          <reference field="4" count="1" selected="0">
            <x v="37"/>
          </reference>
        </references>
      </pivotArea>
    </chartFormat>
    <chartFormat chart="7" format="153">
      <pivotArea type="data" outline="0" fieldPosition="0">
        <references count="2">
          <reference field="4294967294" count="1" selected="0">
            <x v="1"/>
          </reference>
          <reference field="4" count="1" selected="0">
            <x v="73"/>
          </reference>
        </references>
      </pivotArea>
    </chartFormat>
    <chartFormat chart="7" format="154">
      <pivotArea type="data" outline="0" fieldPosition="0">
        <references count="2">
          <reference field="4294967294" count="1" selected="0">
            <x v="1"/>
          </reference>
          <reference field="4" count="1" selected="0">
            <x v="74"/>
          </reference>
        </references>
      </pivotArea>
    </chartFormat>
    <chartFormat chart="7" format="155">
      <pivotArea type="data" outline="0" fieldPosition="0">
        <references count="2">
          <reference field="4294967294" count="1" selected="0">
            <x v="1"/>
          </reference>
          <reference field="4" count="1" selected="0">
            <x v="75"/>
          </reference>
        </references>
      </pivotArea>
    </chartFormat>
    <chartFormat chart="7" format="156">
      <pivotArea type="data" outline="0" fieldPosition="0">
        <references count="2">
          <reference field="4294967294" count="1" selected="0">
            <x v="0"/>
          </reference>
          <reference field="4" count="1" selected="0">
            <x v="82"/>
          </reference>
        </references>
      </pivotArea>
    </chartFormat>
    <chartFormat chart="7" format="157">
      <pivotArea type="data" outline="0" fieldPosition="0">
        <references count="2">
          <reference field="4294967294" count="1" selected="0">
            <x v="0"/>
          </reference>
          <reference field="4" count="1" selected="0">
            <x v="83"/>
          </reference>
        </references>
      </pivotArea>
    </chartFormat>
    <chartFormat chart="7" format="158">
      <pivotArea type="data" outline="0" fieldPosition="0">
        <references count="2">
          <reference field="4294967294" count="1" selected="0">
            <x v="0"/>
          </reference>
          <reference field="4" count="1" selected="0">
            <x v="84"/>
          </reference>
        </references>
      </pivotArea>
    </chartFormat>
    <chartFormat chart="7" format="159">
      <pivotArea type="data" outline="0" fieldPosition="0">
        <references count="2">
          <reference field="4294967294" count="1" selected="0">
            <x v="1"/>
          </reference>
          <reference field="4" count="1" selected="0">
            <x v="82"/>
          </reference>
        </references>
      </pivotArea>
    </chartFormat>
    <chartFormat chart="7" format="160">
      <pivotArea type="data" outline="0" fieldPosition="0">
        <references count="2">
          <reference field="4294967294" count="1" selected="0">
            <x v="1"/>
          </reference>
          <reference field="4" count="1" selected="0">
            <x v="83"/>
          </reference>
        </references>
      </pivotArea>
    </chartFormat>
    <chartFormat chart="7" format="161">
      <pivotArea type="data" outline="0" fieldPosition="0">
        <references count="2">
          <reference field="4294967294" count="1" selected="0">
            <x v="1"/>
          </reference>
          <reference field="4" count="1" selected="0">
            <x v="84"/>
          </reference>
        </references>
      </pivotArea>
    </chartFormat>
    <chartFormat chart="7" format="162">
      <pivotArea type="data" outline="0" fieldPosition="0">
        <references count="2">
          <reference field="4294967294" count="1" selected="0">
            <x v="0"/>
          </reference>
          <reference field="4" count="1" selected="0">
            <x v="86"/>
          </reference>
        </references>
      </pivotArea>
    </chartFormat>
    <chartFormat chart="7" format="163">
      <pivotArea type="data" outline="0" fieldPosition="0">
        <references count="2">
          <reference field="4294967294" count="1" selected="0">
            <x v="0"/>
          </reference>
          <reference field="4" count="1" selected="0">
            <x v="87"/>
          </reference>
        </references>
      </pivotArea>
    </chartFormat>
    <chartFormat chart="7" format="164">
      <pivotArea type="data" outline="0" fieldPosition="0">
        <references count="2">
          <reference field="4294967294" count="1" selected="0">
            <x v="1"/>
          </reference>
          <reference field="4" count="1" selected="0">
            <x v="86"/>
          </reference>
        </references>
      </pivotArea>
    </chartFormat>
    <chartFormat chart="7" format="165">
      <pivotArea type="data" outline="0" fieldPosition="0">
        <references count="2">
          <reference field="4294967294" count="1" selected="0">
            <x v="1"/>
          </reference>
          <reference field="4" count="1" selected="0">
            <x v="87"/>
          </reference>
        </references>
      </pivotArea>
    </chartFormat>
    <chartFormat chart="7" format="166">
      <pivotArea type="data" outline="0" fieldPosition="0">
        <references count="2">
          <reference field="4294967294" count="1" selected="0">
            <x v="0"/>
          </reference>
          <reference field="4" count="1" selected="0">
            <x v="93"/>
          </reference>
        </references>
      </pivotArea>
    </chartFormat>
    <chartFormat chart="7" format="167">
      <pivotArea type="data" outline="0" fieldPosition="0">
        <references count="2">
          <reference field="4294967294" count="1" selected="0">
            <x v="0"/>
          </reference>
          <reference field="4" count="1" selected="0">
            <x v="94"/>
          </reference>
        </references>
      </pivotArea>
    </chartFormat>
    <chartFormat chart="7" format="168">
      <pivotArea type="data" outline="0" fieldPosition="0">
        <references count="2">
          <reference field="4294967294" count="1" selected="0">
            <x v="0"/>
          </reference>
          <reference field="4" count="1" selected="0">
            <x v="95"/>
          </reference>
        </references>
      </pivotArea>
    </chartFormat>
    <chartFormat chart="7" format="169">
      <pivotArea type="data" outline="0" fieldPosition="0">
        <references count="2">
          <reference field="4294967294" count="1" selected="0">
            <x v="0"/>
          </reference>
          <reference field="4" count="1" selected="0">
            <x v="96"/>
          </reference>
        </references>
      </pivotArea>
    </chartFormat>
    <chartFormat chart="7" format="170">
      <pivotArea type="data" outline="0" fieldPosition="0">
        <references count="2">
          <reference field="4294967294" count="1" selected="0">
            <x v="0"/>
          </reference>
          <reference field="4" count="1" selected="0">
            <x v="97"/>
          </reference>
        </references>
      </pivotArea>
    </chartFormat>
    <chartFormat chart="7" format="171">
      <pivotArea type="data" outline="0" fieldPosition="0">
        <references count="2">
          <reference field="4294967294" count="1" selected="0">
            <x v="1"/>
          </reference>
          <reference field="4" count="1" selected="0">
            <x v="93"/>
          </reference>
        </references>
      </pivotArea>
    </chartFormat>
    <chartFormat chart="7" format="172">
      <pivotArea type="data" outline="0" fieldPosition="0">
        <references count="2">
          <reference field="4294967294" count="1" selected="0">
            <x v="1"/>
          </reference>
          <reference field="4" count="1" selected="0">
            <x v="94"/>
          </reference>
        </references>
      </pivotArea>
    </chartFormat>
    <chartFormat chart="7" format="173">
      <pivotArea type="data" outline="0" fieldPosition="0">
        <references count="2">
          <reference field="4294967294" count="1" selected="0">
            <x v="1"/>
          </reference>
          <reference field="4" count="1" selected="0">
            <x v="95"/>
          </reference>
        </references>
      </pivotArea>
    </chartFormat>
    <chartFormat chart="7" format="174">
      <pivotArea type="data" outline="0" fieldPosition="0">
        <references count="2">
          <reference field="4294967294" count="1" selected="0">
            <x v="1"/>
          </reference>
          <reference field="4" count="1" selected="0">
            <x v="96"/>
          </reference>
        </references>
      </pivotArea>
    </chartFormat>
    <chartFormat chart="7" format="175">
      <pivotArea type="data" outline="0" fieldPosition="0">
        <references count="2">
          <reference field="4294967294" count="1" selected="0">
            <x v="1"/>
          </reference>
          <reference field="4" count="1" selected="0">
            <x v="97"/>
          </reference>
        </references>
      </pivotArea>
    </chartFormat>
    <chartFormat chart="7" format="176">
      <pivotArea type="data" outline="0" fieldPosition="0">
        <references count="2">
          <reference field="4294967294" count="1" selected="0">
            <x v="0"/>
          </reference>
          <reference field="4" count="1" selected="0">
            <x v="98"/>
          </reference>
        </references>
      </pivotArea>
    </chartFormat>
    <chartFormat chart="7" format="177">
      <pivotArea type="data" outline="0" fieldPosition="0">
        <references count="2">
          <reference field="4294967294" count="1" selected="0">
            <x v="0"/>
          </reference>
          <reference field="4" count="1" selected="0">
            <x v="99"/>
          </reference>
        </references>
      </pivotArea>
    </chartFormat>
    <chartFormat chart="7" format="178">
      <pivotArea type="data" outline="0" fieldPosition="0">
        <references count="2">
          <reference field="4294967294" count="1" selected="0">
            <x v="0"/>
          </reference>
          <reference field="4" count="1" selected="0">
            <x v="100"/>
          </reference>
        </references>
      </pivotArea>
    </chartFormat>
    <chartFormat chart="7" format="179">
      <pivotArea type="data" outline="0" fieldPosition="0">
        <references count="2">
          <reference field="4294967294" count="1" selected="0">
            <x v="0"/>
          </reference>
          <reference field="4" count="1" selected="0">
            <x v="101"/>
          </reference>
        </references>
      </pivotArea>
    </chartFormat>
    <chartFormat chart="7" format="180">
      <pivotArea type="data" outline="0" fieldPosition="0">
        <references count="2">
          <reference field="4294967294" count="1" selected="0">
            <x v="1"/>
          </reference>
          <reference field="4" count="1" selected="0">
            <x v="98"/>
          </reference>
        </references>
      </pivotArea>
    </chartFormat>
    <chartFormat chart="7" format="181">
      <pivotArea type="data" outline="0" fieldPosition="0">
        <references count="2">
          <reference field="4294967294" count="1" selected="0">
            <x v="1"/>
          </reference>
          <reference field="4" count="1" selected="0">
            <x v="99"/>
          </reference>
        </references>
      </pivotArea>
    </chartFormat>
    <chartFormat chart="7" format="182">
      <pivotArea type="data" outline="0" fieldPosition="0">
        <references count="2">
          <reference field="4294967294" count="1" selected="0">
            <x v="1"/>
          </reference>
          <reference field="4" count="1" selected="0">
            <x v="100"/>
          </reference>
        </references>
      </pivotArea>
    </chartFormat>
    <chartFormat chart="7" format="183">
      <pivotArea type="data" outline="0" fieldPosition="0">
        <references count="2">
          <reference field="4294967294" count="1" selected="0">
            <x v="1"/>
          </reference>
          <reference field="4" count="1" selected="0">
            <x v="101"/>
          </reference>
        </references>
      </pivotArea>
    </chartFormat>
    <chartFormat chart="7" format="184">
      <pivotArea type="data" outline="0" fieldPosition="0">
        <references count="2">
          <reference field="4294967294" count="1" selected="0">
            <x v="0"/>
          </reference>
          <reference field="4" count="1" selected="0">
            <x v="103"/>
          </reference>
        </references>
      </pivotArea>
    </chartFormat>
    <chartFormat chart="7" format="185">
      <pivotArea type="data" outline="0" fieldPosition="0">
        <references count="2">
          <reference field="4294967294" count="1" selected="0">
            <x v="0"/>
          </reference>
          <reference field="4" count="1" selected="0">
            <x v="104"/>
          </reference>
        </references>
      </pivotArea>
    </chartFormat>
    <chartFormat chart="7" format="186">
      <pivotArea type="data" outline="0" fieldPosition="0">
        <references count="2">
          <reference field="4294967294" count="1" selected="0">
            <x v="1"/>
          </reference>
          <reference field="4" count="1" selected="0">
            <x v="103"/>
          </reference>
        </references>
      </pivotArea>
    </chartFormat>
    <chartFormat chart="7" format="187">
      <pivotArea type="data" outline="0" fieldPosition="0">
        <references count="2">
          <reference field="4294967294" count="1" selected="0">
            <x v="1"/>
          </reference>
          <reference field="4" count="1" selected="0">
            <x v="104"/>
          </reference>
        </references>
      </pivotArea>
    </chartFormat>
    <chartFormat chart="7" format="188">
      <pivotArea type="data" outline="0" fieldPosition="0">
        <references count="2">
          <reference field="4294967294" count="1" selected="0">
            <x v="0"/>
          </reference>
          <reference field="4" count="1" selected="0">
            <x v="110"/>
          </reference>
        </references>
      </pivotArea>
    </chartFormat>
    <chartFormat chart="7" format="189">
      <pivotArea type="data" outline="0" fieldPosition="0">
        <references count="2">
          <reference field="4294967294" count="1" selected="0">
            <x v="0"/>
          </reference>
          <reference field="4" count="1" selected="0">
            <x v="111"/>
          </reference>
        </references>
      </pivotArea>
    </chartFormat>
    <chartFormat chart="7" format="190">
      <pivotArea type="data" outline="0" fieldPosition="0">
        <references count="2">
          <reference field="4294967294" count="1" selected="0">
            <x v="1"/>
          </reference>
          <reference field="4" count="1" selected="0">
            <x v="110"/>
          </reference>
        </references>
      </pivotArea>
    </chartFormat>
    <chartFormat chart="7" format="191">
      <pivotArea type="data" outline="0" fieldPosition="0">
        <references count="2">
          <reference field="4294967294" count="1" selected="0">
            <x v="1"/>
          </reference>
          <reference field="4" count="1" selected="0">
            <x v="111"/>
          </reference>
        </references>
      </pivotArea>
    </chartFormat>
    <chartFormat chart="7" format="192">
      <pivotArea type="data" outline="0" fieldPosition="0">
        <references count="2">
          <reference field="4294967294" count="1" selected="0">
            <x v="0"/>
          </reference>
          <reference field="4" count="1" selected="0">
            <x v="118"/>
          </reference>
        </references>
      </pivotArea>
    </chartFormat>
    <chartFormat chart="7" format="193">
      <pivotArea type="data" outline="0" fieldPosition="0">
        <references count="2">
          <reference field="4294967294" count="1" selected="0">
            <x v="0"/>
          </reference>
          <reference field="4" count="1" selected="0">
            <x v="120"/>
          </reference>
        </references>
      </pivotArea>
    </chartFormat>
    <chartFormat chart="7" format="194">
      <pivotArea type="data" outline="0" fieldPosition="0">
        <references count="2">
          <reference field="4294967294" count="1" selected="0">
            <x v="0"/>
          </reference>
          <reference field="4" count="1" selected="0">
            <x v="124"/>
          </reference>
        </references>
      </pivotArea>
    </chartFormat>
    <chartFormat chart="7" format="195">
      <pivotArea type="data" outline="0" fieldPosition="0">
        <references count="2">
          <reference field="4294967294" count="1" selected="0">
            <x v="0"/>
          </reference>
          <reference field="4" count="1" selected="0">
            <x v="125"/>
          </reference>
        </references>
      </pivotArea>
    </chartFormat>
    <chartFormat chart="7" format="196">
      <pivotArea type="data" outline="0" fieldPosition="0">
        <references count="2">
          <reference field="4294967294" count="1" selected="0">
            <x v="0"/>
          </reference>
          <reference field="4" count="1" selected="0">
            <x v="126"/>
          </reference>
        </references>
      </pivotArea>
    </chartFormat>
    <chartFormat chart="7" format="197">
      <pivotArea type="data" outline="0" fieldPosition="0">
        <references count="2">
          <reference field="4294967294" count="1" selected="0">
            <x v="0"/>
          </reference>
          <reference field="4" count="1" selected="0">
            <x v="127"/>
          </reference>
        </references>
      </pivotArea>
    </chartFormat>
    <chartFormat chart="7" format="198">
      <pivotArea type="data" outline="0" fieldPosition="0">
        <references count="2">
          <reference field="4294967294" count="1" selected="0">
            <x v="1"/>
          </reference>
          <reference field="4" count="1" selected="0">
            <x v="118"/>
          </reference>
        </references>
      </pivotArea>
    </chartFormat>
    <chartFormat chart="7" format="199">
      <pivotArea type="data" outline="0" fieldPosition="0">
        <references count="2">
          <reference field="4294967294" count="1" selected="0">
            <x v="1"/>
          </reference>
          <reference field="4" count="1" selected="0">
            <x v="120"/>
          </reference>
        </references>
      </pivotArea>
    </chartFormat>
    <chartFormat chart="7" format="200">
      <pivotArea type="data" outline="0" fieldPosition="0">
        <references count="2">
          <reference field="4294967294" count="1" selected="0">
            <x v="1"/>
          </reference>
          <reference field="4" count="1" selected="0">
            <x v="124"/>
          </reference>
        </references>
      </pivotArea>
    </chartFormat>
    <chartFormat chart="7" format="201">
      <pivotArea type="data" outline="0" fieldPosition="0">
        <references count="2">
          <reference field="4294967294" count="1" selected="0">
            <x v="1"/>
          </reference>
          <reference field="4" count="1" selected="0">
            <x v="125"/>
          </reference>
        </references>
      </pivotArea>
    </chartFormat>
    <chartFormat chart="7" format="202">
      <pivotArea type="data" outline="0" fieldPosition="0">
        <references count="2">
          <reference field="4294967294" count="1" selected="0">
            <x v="1"/>
          </reference>
          <reference field="4" count="1" selected="0">
            <x v="126"/>
          </reference>
        </references>
      </pivotArea>
    </chartFormat>
    <chartFormat chart="7" format="203">
      <pivotArea type="data" outline="0" fieldPosition="0">
        <references count="2">
          <reference field="4294967294" count="1" selected="0">
            <x v="1"/>
          </reference>
          <reference field="4" count="1" selected="0">
            <x v="127"/>
          </reference>
        </references>
      </pivotArea>
    </chartFormat>
    <chartFormat chart="7" format="204">
      <pivotArea type="data" outline="0" fieldPosition="0">
        <references count="1">
          <reference field="4294967294" count="1" selected="0">
            <x v="0"/>
          </reference>
        </references>
      </pivotArea>
    </chartFormat>
    <chartFormat chart="7" format="205">
      <pivotArea type="data" outline="0" fieldPosition="0">
        <references count="1">
          <reference field="4294967294" count="1" selected="0">
            <x v="1"/>
          </reference>
        </references>
      </pivotArea>
    </chartFormat>
    <chartFormat chart="7" format="206">
      <pivotArea type="data" outline="0" fieldPosition="0">
        <references count="2">
          <reference field="4294967294" count="1" selected="0">
            <x v="0"/>
          </reference>
          <reference field="4" count="1" selected="0">
            <x v="132"/>
          </reference>
        </references>
      </pivotArea>
    </chartFormat>
    <chartFormat chart="7" format="207">
      <pivotArea type="data" outline="0" fieldPosition="0">
        <references count="2">
          <reference field="4294967294" count="1" selected="0">
            <x v="0"/>
          </reference>
          <reference field="4" count="1" selected="0">
            <x v="134"/>
          </reference>
        </references>
      </pivotArea>
    </chartFormat>
    <chartFormat chart="7" format="208">
      <pivotArea type="data" outline="0" fieldPosition="0">
        <references count="2">
          <reference field="4294967294" count="1" selected="0">
            <x v="0"/>
          </reference>
          <reference field="4" count="1" selected="0">
            <x v="135"/>
          </reference>
        </references>
      </pivotArea>
    </chartFormat>
    <chartFormat chart="7" format="209">
      <pivotArea type="data" outline="0" fieldPosition="0">
        <references count="2">
          <reference field="4294967294" count="1" selected="0">
            <x v="0"/>
          </reference>
          <reference field="4" count="1" selected="0">
            <x v="136"/>
          </reference>
        </references>
      </pivotArea>
    </chartFormat>
    <chartFormat chart="7" format="210">
      <pivotArea type="data" outline="0" fieldPosition="0">
        <references count="2">
          <reference field="4294967294" count="1" selected="0">
            <x v="0"/>
          </reference>
          <reference field="4" count="1" selected="0">
            <x v="141"/>
          </reference>
        </references>
      </pivotArea>
    </chartFormat>
    <chartFormat chart="7" format="211">
      <pivotArea type="data" outline="0" fieldPosition="0">
        <references count="2">
          <reference field="4294967294" count="1" selected="0">
            <x v="0"/>
          </reference>
          <reference field="4" count="1" selected="0">
            <x v="143"/>
          </reference>
        </references>
      </pivotArea>
    </chartFormat>
    <chartFormat chart="7" format="212">
      <pivotArea type="data" outline="0" fieldPosition="0">
        <references count="2">
          <reference field="4294967294" count="1" selected="0">
            <x v="0"/>
          </reference>
          <reference field="4" count="1" selected="0">
            <x v="144"/>
          </reference>
        </references>
      </pivotArea>
    </chartFormat>
    <chartFormat chart="7" format="213">
      <pivotArea type="data" outline="0" fieldPosition="0">
        <references count="2">
          <reference field="4294967294" count="1" selected="0">
            <x v="0"/>
          </reference>
          <reference field="4" count="1" selected="0">
            <x v="145"/>
          </reference>
        </references>
      </pivotArea>
    </chartFormat>
    <chartFormat chart="7" format="214">
      <pivotArea type="data" outline="0" fieldPosition="0">
        <references count="2">
          <reference field="4294967294" count="1" selected="0">
            <x v="0"/>
          </reference>
          <reference field="4" count="1" selected="0">
            <x v="146"/>
          </reference>
        </references>
      </pivotArea>
    </chartFormat>
    <chartFormat chart="7" format="215">
      <pivotArea type="data" outline="0" fieldPosition="0">
        <references count="2">
          <reference field="4294967294" count="1" selected="0">
            <x v="0"/>
          </reference>
          <reference field="4" count="1" selected="0">
            <x v="147"/>
          </reference>
        </references>
      </pivotArea>
    </chartFormat>
    <chartFormat chart="7" format="216">
      <pivotArea type="data" outline="0" fieldPosition="0">
        <references count="2">
          <reference field="4294967294" count="1" selected="0">
            <x v="0"/>
          </reference>
          <reference field="4" count="1" selected="0">
            <x v="148"/>
          </reference>
        </references>
      </pivotArea>
    </chartFormat>
    <chartFormat chart="7" format="217">
      <pivotArea type="data" outline="0" fieldPosition="0">
        <references count="2">
          <reference field="4294967294" count="1" selected="0">
            <x v="1"/>
          </reference>
          <reference field="4" count="1" selected="0">
            <x v="132"/>
          </reference>
        </references>
      </pivotArea>
    </chartFormat>
    <chartFormat chart="7" format="218">
      <pivotArea type="data" outline="0" fieldPosition="0">
        <references count="2">
          <reference field="4294967294" count="1" selected="0">
            <x v="1"/>
          </reference>
          <reference field="4" count="1" selected="0">
            <x v="134"/>
          </reference>
        </references>
      </pivotArea>
    </chartFormat>
    <chartFormat chart="7" format="219">
      <pivotArea type="data" outline="0" fieldPosition="0">
        <references count="2">
          <reference field="4294967294" count="1" selected="0">
            <x v="1"/>
          </reference>
          <reference field="4" count="1" selected="0">
            <x v="135"/>
          </reference>
        </references>
      </pivotArea>
    </chartFormat>
    <chartFormat chart="7" format="220">
      <pivotArea type="data" outline="0" fieldPosition="0">
        <references count="2">
          <reference field="4294967294" count="1" selected="0">
            <x v="1"/>
          </reference>
          <reference field="4" count="1" selected="0">
            <x v="136"/>
          </reference>
        </references>
      </pivotArea>
    </chartFormat>
    <chartFormat chart="7" format="221">
      <pivotArea type="data" outline="0" fieldPosition="0">
        <references count="2">
          <reference field="4294967294" count="1" selected="0">
            <x v="1"/>
          </reference>
          <reference field="4" count="1" selected="0">
            <x v="141"/>
          </reference>
        </references>
      </pivotArea>
    </chartFormat>
    <chartFormat chart="7" format="222">
      <pivotArea type="data" outline="0" fieldPosition="0">
        <references count="2">
          <reference field="4294967294" count="1" selected="0">
            <x v="1"/>
          </reference>
          <reference field="4" count="1" selected="0">
            <x v="143"/>
          </reference>
        </references>
      </pivotArea>
    </chartFormat>
    <chartFormat chart="7" format="223">
      <pivotArea type="data" outline="0" fieldPosition="0">
        <references count="2">
          <reference field="4294967294" count="1" selected="0">
            <x v="1"/>
          </reference>
          <reference field="4" count="1" selected="0">
            <x v="144"/>
          </reference>
        </references>
      </pivotArea>
    </chartFormat>
    <chartFormat chart="7" format="224">
      <pivotArea type="data" outline="0" fieldPosition="0">
        <references count="2">
          <reference field="4294967294" count="1" selected="0">
            <x v="1"/>
          </reference>
          <reference field="4" count="1" selected="0">
            <x v="145"/>
          </reference>
        </references>
      </pivotArea>
    </chartFormat>
    <chartFormat chart="7" format="225">
      <pivotArea type="data" outline="0" fieldPosition="0">
        <references count="2">
          <reference field="4294967294" count="1" selected="0">
            <x v="1"/>
          </reference>
          <reference field="4" count="1" selected="0">
            <x v="146"/>
          </reference>
        </references>
      </pivotArea>
    </chartFormat>
    <chartFormat chart="7" format="226">
      <pivotArea type="data" outline="0" fieldPosition="0">
        <references count="2">
          <reference field="4294967294" count="1" selected="0">
            <x v="1"/>
          </reference>
          <reference field="4" count="1" selected="0">
            <x v="147"/>
          </reference>
        </references>
      </pivotArea>
    </chartFormat>
    <chartFormat chart="7" format="227">
      <pivotArea type="data" outline="0" fieldPosition="0">
        <references count="2">
          <reference field="4294967294" count="1" selected="0">
            <x v="1"/>
          </reference>
          <reference field="4" count="1" selected="0">
            <x v="148"/>
          </reference>
        </references>
      </pivotArea>
    </chartFormat>
    <chartFormat chart="7" format="228">
      <pivotArea type="data" outline="0" fieldPosition="0">
        <references count="2">
          <reference field="4294967294" count="1" selected="0">
            <x v="0"/>
          </reference>
          <reference field="4" count="1" selected="0">
            <x v="25"/>
          </reference>
        </references>
      </pivotArea>
    </chartFormat>
    <chartFormat chart="7" format="229">
      <pivotArea type="data" outline="0" fieldPosition="0">
        <references count="2">
          <reference field="4294967294" count="1" selected="0">
            <x v="0"/>
          </reference>
          <reference field="4" count="1" selected="0">
            <x v="85"/>
          </reference>
        </references>
      </pivotArea>
    </chartFormat>
    <chartFormat chart="7" format="230">
      <pivotArea type="data" outline="0" fieldPosition="0">
        <references count="2">
          <reference field="4294967294" count="1" selected="0">
            <x v="0"/>
          </reference>
          <reference field="4" count="1" selected="0">
            <x v="109"/>
          </reference>
        </references>
      </pivotArea>
    </chartFormat>
    <chartFormat chart="7" format="231">
      <pivotArea type="data" outline="0" fieldPosition="0">
        <references count="2">
          <reference field="4294967294" count="1" selected="0">
            <x v="0"/>
          </reference>
          <reference field="4" count="1" selected="0">
            <x v="185"/>
          </reference>
        </references>
      </pivotArea>
    </chartFormat>
    <chartFormat chart="7" format="232">
      <pivotArea type="data" outline="0" fieldPosition="0">
        <references count="2">
          <reference field="4294967294" count="1" selected="0">
            <x v="0"/>
          </reference>
          <reference field="4" count="1" selected="0">
            <x v="186"/>
          </reference>
        </references>
      </pivotArea>
    </chartFormat>
    <chartFormat chart="7" format="233">
      <pivotArea type="data" outline="0" fieldPosition="0">
        <references count="2">
          <reference field="4294967294" count="1" selected="0">
            <x v="0"/>
          </reference>
          <reference field="4" count="1" selected="0">
            <x v="191"/>
          </reference>
        </references>
      </pivotArea>
    </chartFormat>
    <chartFormat chart="7" format="234">
      <pivotArea type="data" outline="0" fieldPosition="0">
        <references count="2">
          <reference field="4294967294" count="1" selected="0">
            <x v="0"/>
          </reference>
          <reference field="4" count="1" selected="0">
            <x v="192"/>
          </reference>
        </references>
      </pivotArea>
    </chartFormat>
    <chartFormat chart="7" format="235">
      <pivotArea type="data" outline="0" fieldPosition="0">
        <references count="2">
          <reference field="4294967294" count="1" selected="0">
            <x v="1"/>
          </reference>
          <reference field="4" count="1" selected="0">
            <x v="25"/>
          </reference>
        </references>
      </pivotArea>
    </chartFormat>
    <chartFormat chart="7" format="236">
      <pivotArea type="data" outline="0" fieldPosition="0">
        <references count="2">
          <reference field="4294967294" count="1" selected="0">
            <x v="1"/>
          </reference>
          <reference field="4" count="1" selected="0">
            <x v="85"/>
          </reference>
        </references>
      </pivotArea>
    </chartFormat>
    <chartFormat chart="7" format="237">
      <pivotArea type="data" outline="0" fieldPosition="0">
        <references count="2">
          <reference field="4294967294" count="1" selected="0">
            <x v="1"/>
          </reference>
          <reference field="4" count="1" selected="0">
            <x v="109"/>
          </reference>
        </references>
      </pivotArea>
    </chartFormat>
    <chartFormat chart="7" format="238">
      <pivotArea type="data" outline="0" fieldPosition="0">
        <references count="2">
          <reference field="4294967294" count="1" selected="0">
            <x v="1"/>
          </reference>
          <reference field="4" count="1" selected="0">
            <x v="185"/>
          </reference>
        </references>
      </pivotArea>
    </chartFormat>
    <chartFormat chart="7" format="239">
      <pivotArea type="data" outline="0" fieldPosition="0">
        <references count="2">
          <reference field="4294967294" count="1" selected="0">
            <x v="1"/>
          </reference>
          <reference field="4" count="1" selected="0">
            <x v="186"/>
          </reference>
        </references>
      </pivotArea>
    </chartFormat>
    <chartFormat chart="7" format="240">
      <pivotArea type="data" outline="0" fieldPosition="0">
        <references count="2">
          <reference field="4294967294" count="1" selected="0">
            <x v="1"/>
          </reference>
          <reference field="4" count="1" selected="0">
            <x v="191"/>
          </reference>
        </references>
      </pivotArea>
    </chartFormat>
    <chartFormat chart="7" format="241">
      <pivotArea type="data" outline="0" fieldPosition="0">
        <references count="2">
          <reference field="4294967294" count="1" selected="0">
            <x v="1"/>
          </reference>
          <reference field="4" count="1" selected="0">
            <x v="19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1" cacheId="26"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5" rowHeaderCaption="Ingenieros" colHeaderCaption="Áreas">
  <location ref="A4:F14" firstHeaderRow="1" firstDataRow="2" firstDataCol="1" rowPageCount="2" colPageCount="1"/>
  <pivotFields count="27">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dataField="1" showAll="0"/>
    <pivotField showAll="0"/>
    <pivotField showAll="0"/>
    <pivotField axis="axisRow" showAll="0">
      <items count="77">
        <item m="1" x="67"/>
        <item m="1" x="63"/>
        <item m="1" x="60"/>
        <item x="20"/>
        <item m="1" x="73"/>
        <item m="1" x="47"/>
        <item m="1" x="74"/>
        <item m="1" x="30"/>
        <item m="1" x="42"/>
        <item x="6"/>
        <item m="1" x="28"/>
        <item m="1" x="39"/>
        <item x="25"/>
        <item m="1" x="41"/>
        <item m="1" x="72"/>
        <item m="1" x="26"/>
        <item m="1" x="69"/>
        <item x="3"/>
        <item x="5"/>
        <item x="9"/>
        <item m="1" x="61"/>
        <item x="4"/>
        <item m="1" x="49"/>
        <item m="1" x="75"/>
        <item m="1" x="62"/>
        <item m="1" x="29"/>
        <item m="1" x="50"/>
        <item m="1" x="33"/>
        <item m="1" x="59"/>
        <item m="1" x="65"/>
        <item m="1" x="53"/>
        <item m="1" x="56"/>
        <item x="2"/>
        <item x="1"/>
        <item m="1" x="54"/>
        <item m="1" x="44"/>
        <item m="1" x="34"/>
        <item m="1" x="64"/>
        <item m="1" x="46"/>
        <item m="1" x="37"/>
        <item m="1" x="45"/>
        <item m="1" x="27"/>
        <item m="1" x="55"/>
        <item m="1" x="36"/>
        <item m="1" x="52"/>
        <item m="1" x="43"/>
        <item m="1" x="31"/>
        <item m="1" x="38"/>
        <item m="1" x="66"/>
        <item x="0"/>
        <item m="1" x="48"/>
        <item x="7"/>
        <item x="8"/>
        <item m="1" x="70"/>
        <item x="10"/>
        <item x="11"/>
        <item m="1" x="57"/>
        <item m="1" x="35"/>
        <item x="12"/>
        <item x="13"/>
        <item m="1" x="58"/>
        <item m="1" x="71"/>
        <item x="14"/>
        <item x="15"/>
        <item x="16"/>
        <item m="1" x="32"/>
        <item m="1" x="68"/>
        <item x="18"/>
        <item x="19"/>
        <item x="21"/>
        <item x="22"/>
        <item m="1" x="51"/>
        <item m="1" x="40"/>
        <item x="17"/>
        <item x="23"/>
        <item x="24"/>
        <item t="default"/>
      </items>
    </pivotField>
    <pivotField showAll="0"/>
    <pivotField showAll="0" defaultSubtotal="0"/>
    <pivotField showAll="0" defaultSubtotal="0"/>
    <pivotField showAll="0" defaultSubtotal="0"/>
    <pivotField showAll="0" defaultSubtotal="0"/>
    <pivotField axis="axisPage" showAll="0">
      <items count="15">
        <item x="0"/>
        <item x="12"/>
        <item x="1"/>
        <item x="2"/>
        <item x="3"/>
        <item x="4"/>
        <item x="5"/>
        <item x="6"/>
        <item x="7"/>
        <item x="8"/>
        <item x="9"/>
        <item x="10"/>
        <item x="11"/>
        <item m="1" x="13"/>
        <item t="default"/>
      </items>
    </pivotField>
    <pivotField axis="axisCol" showAll="0">
      <items count="8">
        <item x="6"/>
        <item x="0"/>
        <item x="1"/>
        <item x="2"/>
        <item x="3"/>
        <item x="4"/>
        <item x="5"/>
        <item t="default"/>
      </items>
    </pivotField>
    <pivotField showAll="0"/>
    <pivotField numFmtId="44" showAll="0"/>
    <pivotField name="Tipo" axis="axisPage" showAll="0" defaultSubtotal="0">
      <items count="2">
        <item x="1"/>
        <item x="0"/>
      </items>
    </pivotField>
  </pivotFields>
  <rowFields count="1">
    <field x="16"/>
  </rowFields>
  <rowItems count="9">
    <i>
      <x v="17"/>
    </i>
    <i>
      <x v="18"/>
    </i>
    <i>
      <x v="19"/>
    </i>
    <i>
      <x v="32"/>
    </i>
    <i>
      <x v="33"/>
    </i>
    <i>
      <x v="51"/>
    </i>
    <i>
      <x v="54"/>
    </i>
    <i>
      <x v="55"/>
    </i>
    <i t="grand">
      <x/>
    </i>
  </rowItems>
  <colFields count="1">
    <field x="23"/>
  </colFields>
  <colItems count="5">
    <i>
      <x v="1"/>
    </i>
    <i>
      <x v="3"/>
    </i>
    <i>
      <x v="4"/>
    </i>
    <i>
      <x v="5"/>
    </i>
    <i t="grand">
      <x/>
    </i>
  </colItems>
  <pageFields count="2">
    <pageField fld="22" item="4" hier="-1"/>
    <pageField fld="26" hier="-1"/>
  </pageFields>
  <dataFields count="1">
    <dataField name="Horas Consumidas" fld="13" baseField="0" baseItem="0"/>
  </dataFields>
  <formats count="13">
    <format dxfId="1387">
      <pivotArea field="16" grandCol="1" collapsedLevelsAreSubtotals="1" axis="axisRow" fieldPosition="0">
        <references count="1">
          <reference field="16" count="1">
            <x v="0"/>
          </reference>
        </references>
      </pivotArea>
    </format>
    <format dxfId="1386">
      <pivotArea field="16" grandCol="1" collapsedLevelsAreSubtotals="1" axis="axisRow" fieldPosition="0">
        <references count="1">
          <reference field="16" count="1">
            <x v="0"/>
          </reference>
        </references>
      </pivotArea>
    </format>
    <format dxfId="1385">
      <pivotArea field="16" grandCol="1" collapsedLevelsAreSubtotals="1" axis="axisRow" fieldPosition="0">
        <references count="1">
          <reference field="16" count="3">
            <x v="2"/>
            <x v="4"/>
            <x v="5"/>
          </reference>
        </references>
      </pivotArea>
    </format>
    <format dxfId="1384">
      <pivotArea field="16" grandCol="1" collapsedLevelsAreSubtotals="1" axis="axisRow" fieldPosition="0">
        <references count="1">
          <reference field="16" count="1">
            <x v="5"/>
          </reference>
        </references>
      </pivotArea>
    </format>
    <format dxfId="1383">
      <pivotArea field="16" grandCol="1" collapsedLevelsAreSubtotals="1" axis="axisRow" fieldPosition="0">
        <references count="1">
          <reference field="16" count="1">
            <x v="0"/>
          </reference>
        </references>
      </pivotArea>
    </format>
    <format dxfId="1382">
      <pivotArea field="16" grandCol="1" collapsedLevelsAreSubtotals="1" axis="axisRow" fieldPosition="0">
        <references count="1">
          <reference field="16" count="1">
            <x v="4"/>
          </reference>
        </references>
      </pivotArea>
    </format>
    <format dxfId="1381">
      <pivotArea field="16" grandCol="1" collapsedLevelsAreSubtotals="1" axis="axisRow" fieldPosition="0">
        <references count="1">
          <reference field="16" count="1">
            <x v="2"/>
          </reference>
        </references>
      </pivotArea>
    </format>
    <format dxfId="1380">
      <pivotArea collapsedLevelsAreSubtotals="1" fieldPosition="0">
        <references count="1">
          <reference field="16" count="1">
            <x v="1"/>
          </reference>
        </references>
      </pivotArea>
    </format>
    <format dxfId="1379">
      <pivotArea dataOnly="0" labelOnly="1" fieldPosition="0">
        <references count="1">
          <reference field="16" count="1">
            <x v="1"/>
          </reference>
        </references>
      </pivotArea>
    </format>
    <format dxfId="1378">
      <pivotArea collapsedLevelsAreSubtotals="1" fieldPosition="0">
        <references count="1">
          <reference field="16" count="1">
            <x v="1"/>
          </reference>
        </references>
      </pivotArea>
    </format>
    <format dxfId="1377">
      <pivotArea dataOnly="0" labelOnly="1" fieldPosition="0">
        <references count="1">
          <reference field="16" count="1">
            <x v="1"/>
          </reference>
        </references>
      </pivotArea>
    </format>
    <format dxfId="1376">
      <pivotArea field="16" grandCol="1" collapsedLevelsAreSubtotals="1" axis="axisRow" fieldPosition="0">
        <references count="1">
          <reference field="16" count="3">
            <x v="0"/>
            <x v="1"/>
            <x v="2"/>
          </reference>
        </references>
      </pivotArea>
    </format>
    <format dxfId="1375">
      <pivotArea field="16" grandCol="1" collapsedLevelsAreSubtotals="1" axis="axisRow" fieldPosition="0">
        <references count="1">
          <reference field="16" count="3">
            <x v="0"/>
            <x v="1"/>
            <x v="2"/>
          </reference>
        </references>
      </pivotArea>
    </format>
  </formats>
  <chartFormats count="6">
    <chartFormat chart="0" format="55" series="1">
      <pivotArea type="data" outline="0" fieldPosition="0">
        <references count="2">
          <reference field="4294967294" count="1" selected="0">
            <x v="0"/>
          </reference>
          <reference field="23" count="1" selected="0">
            <x v="0"/>
          </reference>
        </references>
      </pivotArea>
    </chartFormat>
    <chartFormat chart="0" format="69" series="1">
      <pivotArea type="data" outline="0" fieldPosition="0">
        <references count="2">
          <reference field="4294967294" count="1" selected="0">
            <x v="0"/>
          </reference>
          <reference field="23" count="1" selected="0">
            <x v="3"/>
          </reference>
        </references>
      </pivotArea>
    </chartFormat>
    <chartFormat chart="0" format="70" series="1">
      <pivotArea type="data" outline="0" fieldPosition="0">
        <references count="2">
          <reference field="4294967294" count="1" selected="0">
            <x v="0"/>
          </reference>
          <reference field="23" count="1" selected="0">
            <x v="1"/>
          </reference>
        </references>
      </pivotArea>
    </chartFormat>
    <chartFormat chart="0" format="71" series="1">
      <pivotArea type="data" outline="0" fieldPosition="0">
        <references count="2">
          <reference field="4294967294" count="1" selected="0">
            <x v="0"/>
          </reference>
          <reference field="23" count="1" selected="0">
            <x v="2"/>
          </reference>
        </references>
      </pivotArea>
    </chartFormat>
    <chartFormat chart="0" format="72" series="1">
      <pivotArea type="data" outline="0" fieldPosition="0">
        <references count="2">
          <reference field="4294967294" count="1" selected="0">
            <x v="0"/>
          </reference>
          <reference field="23" count="1" selected="0">
            <x v="4"/>
          </reference>
        </references>
      </pivotArea>
    </chartFormat>
    <chartFormat chart="0" format="73" series="1">
      <pivotArea type="data" outline="0" fieldPosition="0">
        <references count="2">
          <reference field="4294967294" count="1" selected="0">
            <x v="0"/>
          </reference>
          <reference field="23"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1" cacheId="26"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rowHeaderCaption="Perfil" colHeaderCaption="Meses Facturados">
  <location ref="B4:F29" firstHeaderRow="1" firstDataRow="3" firstDataCol="1" rowPageCount="2" colPageCount="1"/>
  <pivotFields count="27">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4" showAll="0" defaultSubtotal="0"/>
    <pivotField showAll="0"/>
    <pivotField showAll="0" defaultSubtotal="0"/>
    <pivotField showAll="0"/>
    <pivotField dataField="1" showAll="0" defaultSubtotal="0"/>
    <pivotField showAll="0" defaultSubtotal="0"/>
    <pivotField showAll="0" defaultSubtotal="0"/>
    <pivotField axis="axisRow" showAll="0" defaultSubtotal="0">
      <items count="76">
        <item m="1" x="67"/>
        <item m="1" x="63"/>
        <item m="1" x="60"/>
        <item x="20"/>
        <item m="1" x="73"/>
        <item m="1" x="47"/>
        <item m="1" x="74"/>
        <item m="1" x="30"/>
        <item m="1" x="42"/>
        <item x="6"/>
        <item m="1" x="28"/>
        <item m="1" x="39"/>
        <item x="25"/>
        <item m="1" x="41"/>
        <item m="1" x="72"/>
        <item m="1" x="26"/>
        <item m="1" x="69"/>
        <item x="3"/>
        <item x="5"/>
        <item x="9"/>
        <item m="1" x="61"/>
        <item x="4"/>
        <item m="1" x="49"/>
        <item m="1" x="75"/>
        <item m="1" x="62"/>
        <item m="1" x="29"/>
        <item m="1" x="50"/>
        <item m="1" x="33"/>
        <item m="1" x="59"/>
        <item m="1" x="65"/>
        <item m="1" x="53"/>
        <item m="1" x="56"/>
        <item x="2"/>
        <item x="1"/>
        <item m="1" x="54"/>
        <item m="1" x="44"/>
        <item m="1" x="34"/>
        <item m="1" x="64"/>
        <item m="1" x="46"/>
        <item m="1" x="37"/>
        <item m="1" x="45"/>
        <item m="1" x="27"/>
        <item m="1" x="55"/>
        <item m="1" x="36"/>
        <item m="1" x="52"/>
        <item m="1" x="43"/>
        <item m="1" x="31"/>
        <item m="1" x="38"/>
        <item m="1" x="66"/>
        <item x="0"/>
        <item m="1" x="48"/>
        <item x="7"/>
        <item x="8"/>
        <item m="1" x="70"/>
        <item x="10"/>
        <item x="11"/>
        <item m="1" x="57"/>
        <item m="1" x="35"/>
        <item x="12"/>
        <item x="13"/>
        <item m="1" x="58"/>
        <item m="1" x="71"/>
        <item x="14"/>
        <item x="15"/>
        <item x="16"/>
        <item m="1" x="32"/>
        <item m="1" x="68"/>
        <item x="18"/>
        <item x="19"/>
        <item x="21"/>
        <item x="22"/>
        <item m="1" x="51"/>
        <item m="1" x="40"/>
        <item x="17"/>
        <item x="23"/>
        <item x="24"/>
      </items>
    </pivotField>
    <pivotField axis="axisRow" showAll="0" defaultSubtotal="0">
      <items count="22">
        <item m="1" x="17"/>
        <item x="0"/>
        <item m="1" x="15"/>
        <item m="1" x="14"/>
        <item m="1" x="18"/>
        <item m="1" x="20"/>
        <item x="8"/>
        <item x="2"/>
        <item x="11"/>
        <item m="1" x="21"/>
        <item x="1"/>
        <item m="1" x="19"/>
        <item x="4"/>
        <item x="10"/>
        <item m="1" x="13"/>
        <item m="1" x="12"/>
        <item x="9"/>
        <item x="3"/>
        <item x="5"/>
        <item m="1" x="16"/>
        <item x="6"/>
        <item x="7"/>
      </items>
    </pivotField>
    <pivotField showAll="0" defaultSubtotal="0"/>
    <pivotField showAll="0" defaultSubtotal="0"/>
    <pivotField showAll="0" defaultSubtotal="0"/>
    <pivotField showAll="0" defaultSubtotal="0"/>
    <pivotField axis="axisCol" showAll="0" defaultSubtotal="0">
      <items count="14">
        <item h="1" x="0"/>
        <item h="1" x="12"/>
        <item h="1" x="1"/>
        <item h="1" x="2"/>
        <item h="1" x="3"/>
        <item h="1" x="4"/>
        <item h="1" x="5"/>
        <item h="1" x="6"/>
        <item h="1" x="7"/>
        <item h="1" x="8"/>
        <item h="1" x="9"/>
        <item h="1" x="10"/>
        <item x="11"/>
        <item h="1" m="1" x="13"/>
      </items>
    </pivotField>
    <pivotField axis="axisPage" showAll="0" defaultSubtotal="0">
      <items count="7">
        <item x="6"/>
        <item x="0"/>
        <item x="1"/>
        <item x="2"/>
        <item x="3"/>
        <item x="4"/>
        <item x="5"/>
      </items>
    </pivotField>
    <pivotField showAll="0" defaultSubtotal="0"/>
    <pivotField dataField="1" numFmtId="44" showAll="0" defaultSubtotal="0"/>
    <pivotField name="Tipo de gasto" axis="axisPage" showAll="0" defaultSubtotal="0">
      <items count="2">
        <item x="1"/>
        <item x="0"/>
      </items>
    </pivotField>
  </pivotFields>
  <rowFields count="2">
    <field x="17"/>
    <field x="16"/>
  </rowFields>
  <rowItems count="23">
    <i>
      <x v="1"/>
    </i>
    <i r="1">
      <x v="55"/>
    </i>
    <i r="1">
      <x v="62"/>
    </i>
    <i r="1">
      <x v="64"/>
    </i>
    <i r="1">
      <x v="69"/>
    </i>
    <i r="1">
      <x v="70"/>
    </i>
    <i r="1">
      <x v="74"/>
    </i>
    <i r="1">
      <x v="75"/>
    </i>
    <i>
      <x v="6"/>
    </i>
    <i r="1">
      <x v="73"/>
    </i>
    <i>
      <x v="10"/>
    </i>
    <i r="1">
      <x v="17"/>
    </i>
    <i r="1">
      <x v="63"/>
    </i>
    <i r="1">
      <x v="68"/>
    </i>
    <i>
      <x v="12"/>
    </i>
    <i r="1">
      <x v="19"/>
    </i>
    <i>
      <x v="13"/>
    </i>
    <i r="1">
      <x v="3"/>
    </i>
    <i>
      <x v="20"/>
    </i>
    <i r="1">
      <x v="58"/>
    </i>
    <i>
      <x v="21"/>
    </i>
    <i r="1">
      <x v="59"/>
    </i>
    <i t="grand">
      <x/>
    </i>
  </rowItems>
  <colFields count="2">
    <field x="22"/>
    <field x="-2"/>
  </colFields>
  <colItems count="4">
    <i>
      <x v="12"/>
      <x/>
    </i>
    <i r="1" i="1">
      <x v="1"/>
    </i>
    <i t="grand">
      <x/>
    </i>
    <i t="grand" i="1">
      <x/>
    </i>
  </colItems>
  <pageFields count="2">
    <pageField fld="23" hier="-1"/>
    <pageField fld="26" hier="-1"/>
  </pageFields>
  <dataFields count="2">
    <dataField name="Tiempo" fld="13" baseField="0" baseItem="0"/>
    <dataField name="Suma de Costo" fld="25" baseField="16" baseItem="49"/>
  </dataFields>
  <formats count="36">
    <format dxfId="1374">
      <pivotArea outline="0" collapsedLevelsAreSubtotals="1" fieldPosition="0"/>
    </format>
    <format dxfId="1373">
      <pivotArea type="origin" dataOnly="0" labelOnly="1" outline="0" offset="A2" fieldPosition="0"/>
    </format>
    <format dxfId="1372">
      <pivotArea field="17" type="button" dataOnly="0" labelOnly="1" outline="0" axis="axisRow" fieldPosition="0"/>
    </format>
    <format dxfId="1371">
      <pivotArea dataOnly="0" labelOnly="1" fieldPosition="0">
        <references count="1">
          <reference field="17" count="0"/>
        </references>
      </pivotArea>
    </format>
    <format dxfId="1370">
      <pivotArea dataOnly="0" labelOnly="1" grandRow="1" outline="0" fieldPosition="0"/>
    </format>
    <format dxfId="1369">
      <pivotArea dataOnly="0" labelOnly="1" fieldPosition="0">
        <references count="1">
          <reference field="22" count="0"/>
        </references>
      </pivotArea>
    </format>
    <format dxfId="1368">
      <pivotArea field="22" dataOnly="0" labelOnly="1" grandCol="1" outline="0" axis="axisCol" fieldPosition="0">
        <references count="1">
          <reference field="4294967294" count="1" selected="0">
            <x v="0"/>
          </reference>
        </references>
      </pivotArea>
    </format>
    <format dxfId="1367">
      <pivotArea field="22" dataOnly="0" labelOnly="1" grandCol="1" outline="0" axis="axisCol" fieldPosition="0">
        <references count="1">
          <reference field="4294967294" count="1" selected="0">
            <x v="0"/>
          </reference>
        </references>
      </pivotArea>
    </format>
    <format dxfId="1366">
      <pivotArea dataOnly="0" labelOnly="1" outline="0" fieldPosition="0">
        <references count="2">
          <reference field="4294967294" count="1">
            <x v="0"/>
          </reference>
          <reference field="22" count="0" selected="0"/>
        </references>
      </pivotArea>
    </format>
    <format dxfId="1365">
      <pivotArea field="22" dataOnly="0" labelOnly="1" grandCol="1" outline="0" axis="axisCol" fieldPosition="0">
        <references count="1">
          <reference field="4294967294" count="1" selected="0">
            <x v="0"/>
          </reference>
        </references>
      </pivotArea>
    </format>
    <format dxfId="1364">
      <pivotArea field="22" dataOnly="0" labelOnly="1" grandCol="1" outline="0" axis="axisCol" fieldPosition="0">
        <references count="1">
          <reference field="4294967294" count="1" selected="0">
            <x v="0"/>
          </reference>
        </references>
      </pivotArea>
    </format>
    <format dxfId="1363">
      <pivotArea grandRow="1" grandCol="1" outline="0" collapsedLevelsAreSubtotals="1" fieldPosition="0">
        <references count="1">
          <reference field="4294967294" count="1" selected="0">
            <x v="0"/>
          </reference>
        </references>
      </pivotArea>
    </format>
    <format dxfId="1362">
      <pivotArea field="22" dataOnly="0" labelOnly="1" grandCol="1" outline="0" axis="axisCol" fieldPosition="0">
        <references count="1">
          <reference field="4294967294" count="1" selected="0">
            <x v="0"/>
          </reference>
        </references>
      </pivotArea>
    </format>
    <format dxfId="1361">
      <pivotArea field="22" dataOnly="0" labelOnly="1" grandCol="1" outline="0" axis="axisCol" fieldPosition="0">
        <references count="1">
          <reference field="4294967294" count="1" selected="0">
            <x v="0"/>
          </reference>
        </references>
      </pivotArea>
    </format>
    <format dxfId="1360">
      <pivotArea grandRow="1" grandCol="1" outline="0" collapsedLevelsAreSubtotals="1" fieldPosition="0">
        <references count="1">
          <reference field="4294967294" count="1" selected="0">
            <x v="0"/>
          </reference>
        </references>
      </pivotArea>
    </format>
    <format dxfId="1359">
      <pivotArea grandRow="1" grandCol="1" outline="0" collapsedLevelsAreSubtotals="1" fieldPosition="0">
        <references count="1">
          <reference field="4294967294" count="1" selected="0">
            <x v="0"/>
          </reference>
        </references>
      </pivotArea>
    </format>
    <format dxfId="1358">
      <pivotArea field="22" dataOnly="0" labelOnly="1" grandCol="1" outline="0" axis="axisCol" fieldPosition="0">
        <references count="1">
          <reference field="4294967294" count="1" selected="0">
            <x v="0"/>
          </reference>
        </references>
      </pivotArea>
    </format>
    <format dxfId="1357">
      <pivotArea field="22" dataOnly="0" labelOnly="1" grandCol="1" outline="0" axis="axisCol" fieldPosition="0">
        <references count="1">
          <reference field="4294967294" count="1" selected="0">
            <x v="0"/>
          </reference>
        </references>
      </pivotArea>
    </format>
    <format dxfId="1356">
      <pivotArea dataOnly="0" labelOnly="1" outline="0" fieldPosition="0">
        <references count="2">
          <reference field="4294967294" count="1">
            <x v="0"/>
          </reference>
          <reference field="22" count="0" selected="0"/>
        </references>
      </pivotArea>
    </format>
    <format dxfId="1355">
      <pivotArea field="22" type="button" dataOnly="0" labelOnly="1" outline="0" axis="axisCol" fieldPosition="0"/>
    </format>
    <format dxfId="1354">
      <pivotArea collapsedLevelsAreSubtotals="1" fieldPosition="0">
        <references count="4">
          <reference field="4294967294" count="1" selected="0">
            <x v="1"/>
          </reference>
          <reference field="16" count="5">
            <x v="18"/>
            <x v="55"/>
            <x v="62"/>
            <x v="69"/>
            <x v="70"/>
          </reference>
          <reference field="17" count="1" selected="0">
            <x v="1"/>
          </reference>
          <reference field="22" count="0" selected="0"/>
        </references>
      </pivotArea>
    </format>
    <format dxfId="1353">
      <pivotArea collapsedLevelsAreSubtotals="1" fieldPosition="0">
        <references count="3">
          <reference field="4294967294" count="1" selected="0">
            <x v="1"/>
          </reference>
          <reference field="17" count="1">
            <x v="10"/>
          </reference>
          <reference field="22" count="0" selected="0"/>
        </references>
      </pivotArea>
    </format>
    <format dxfId="1352">
      <pivotArea collapsedLevelsAreSubtotals="1" fieldPosition="0">
        <references count="4">
          <reference field="4294967294" count="1" selected="0">
            <x v="1"/>
          </reference>
          <reference field="16" count="2">
            <x v="17"/>
            <x v="63"/>
          </reference>
          <reference field="17" count="1" selected="0">
            <x v="10"/>
          </reference>
          <reference field="22" count="0" selected="0"/>
        </references>
      </pivotArea>
    </format>
    <format dxfId="1351">
      <pivotArea collapsedLevelsAreSubtotals="1" fieldPosition="0">
        <references count="3">
          <reference field="4294967294" count="1" selected="0">
            <x v="1"/>
          </reference>
          <reference field="17" count="1">
            <x v="20"/>
          </reference>
          <reference field="22" count="0" selected="0"/>
        </references>
      </pivotArea>
    </format>
    <format dxfId="1350">
      <pivotArea collapsedLevelsAreSubtotals="1" fieldPosition="0">
        <references count="4">
          <reference field="4294967294" count="1" selected="0">
            <x v="1"/>
          </reference>
          <reference field="16" count="1">
            <x v="58"/>
          </reference>
          <reference field="17" count="1" selected="0">
            <x v="20"/>
          </reference>
          <reference field="22" count="0" selected="0"/>
        </references>
      </pivotArea>
    </format>
    <format dxfId="1349">
      <pivotArea collapsedLevelsAreSubtotals="1" fieldPosition="0">
        <references count="3">
          <reference field="4294967294" count="1" selected="0">
            <x v="1"/>
          </reference>
          <reference field="17" count="1">
            <x v="21"/>
          </reference>
          <reference field="22" count="0" selected="0"/>
        </references>
      </pivotArea>
    </format>
    <format dxfId="1348">
      <pivotArea collapsedLevelsAreSubtotals="1" fieldPosition="0">
        <references count="4">
          <reference field="4294967294" count="1" selected="0">
            <x v="1"/>
          </reference>
          <reference field="16" count="1">
            <x v="59"/>
          </reference>
          <reference field="17" count="1" selected="0">
            <x v="21"/>
          </reference>
          <reference field="22" count="0" selected="0"/>
        </references>
      </pivotArea>
    </format>
    <format dxfId="1347">
      <pivotArea field="22" grandRow="1" outline="0" collapsedLevelsAreSubtotals="1" axis="axisCol" fieldPosition="0">
        <references count="2">
          <reference field="4294967294" count="1" selected="0">
            <x v="1"/>
          </reference>
          <reference field="22" count="0" selected="0"/>
        </references>
      </pivotArea>
    </format>
    <format dxfId="1346">
      <pivotArea field="17" grandCol="1" collapsedLevelsAreSubtotals="1" axis="axisRow" fieldPosition="0">
        <references count="3">
          <reference field="4294967294" count="1" selected="0">
            <x v="1"/>
          </reference>
          <reference field="16" count="5">
            <x v="18"/>
            <x v="55"/>
            <x v="62"/>
            <x v="69"/>
            <x v="70"/>
          </reference>
          <reference field="17" count="1" selected="0">
            <x v="1"/>
          </reference>
        </references>
      </pivotArea>
    </format>
    <format dxfId="1345">
      <pivotArea field="17" grandCol="1" collapsedLevelsAreSubtotals="1" axis="axisRow" fieldPosition="0">
        <references count="2">
          <reference field="4294967294" count="1" selected="0">
            <x v="1"/>
          </reference>
          <reference field="17" count="1">
            <x v="10"/>
          </reference>
        </references>
      </pivotArea>
    </format>
    <format dxfId="1344">
      <pivotArea field="17" grandCol="1" collapsedLevelsAreSubtotals="1" axis="axisRow" fieldPosition="0">
        <references count="3">
          <reference field="4294967294" count="1" selected="0">
            <x v="1"/>
          </reference>
          <reference field="16" count="2">
            <x v="17"/>
            <x v="63"/>
          </reference>
          <reference field="17" count="1" selected="0">
            <x v="10"/>
          </reference>
        </references>
      </pivotArea>
    </format>
    <format dxfId="1343">
      <pivotArea field="17" grandCol="1" collapsedLevelsAreSubtotals="1" axis="axisRow" fieldPosition="0">
        <references count="2">
          <reference field="4294967294" count="1" selected="0">
            <x v="1"/>
          </reference>
          <reference field="17" count="1">
            <x v="20"/>
          </reference>
        </references>
      </pivotArea>
    </format>
    <format dxfId="1342">
      <pivotArea field="17" grandCol="1" collapsedLevelsAreSubtotals="1" axis="axisRow" fieldPosition="0">
        <references count="3">
          <reference field="4294967294" count="1" selected="0">
            <x v="1"/>
          </reference>
          <reference field="16" count="1">
            <x v="58"/>
          </reference>
          <reference field="17" count="1" selected="0">
            <x v="20"/>
          </reference>
        </references>
      </pivotArea>
    </format>
    <format dxfId="1341">
      <pivotArea field="17" grandCol="1" collapsedLevelsAreSubtotals="1" axis="axisRow" fieldPosition="0">
        <references count="2">
          <reference field="4294967294" count="1" selected="0">
            <x v="1"/>
          </reference>
          <reference field="17" count="1">
            <x v="21"/>
          </reference>
        </references>
      </pivotArea>
    </format>
    <format dxfId="1340">
      <pivotArea field="17" grandCol="1" collapsedLevelsAreSubtotals="1" axis="axisRow" fieldPosition="0">
        <references count="3">
          <reference field="4294967294" count="1" selected="0">
            <x v="1"/>
          </reference>
          <reference field="16" count="1">
            <x v="59"/>
          </reference>
          <reference field="17" count="1" selected="0">
            <x v="21"/>
          </reference>
        </references>
      </pivotArea>
    </format>
    <format dxfId="1339">
      <pivotArea grandRow="1" grandCol="1"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DCCFE29-3CFE-4282-B6FE-B40EBA564D5B}" name="TablaDinámica1" cacheId="26"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rowHeaderCaption="Aplicativos / Proyectos">
  <location ref="B6:C18" firstHeaderRow="1" firstDataRow="1" firstDataCol="1"/>
  <pivotFields count="27">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ubtotalTop="0" showAll="0" defaultSubtotal="0"/>
    <pivotField showAll="0" defaultSubtotal="0"/>
    <pivotField showAll="0" defaultSubtotal="0"/>
    <pivotField showAll="0" defaultSubtotal="0"/>
    <pivotField showAll="0" defaultSubtotal="0"/>
    <pivotField axis="axisRow" showAll="0" defaultSubtotal="0">
      <items count="22">
        <item m="1" x="21"/>
        <item x="9"/>
        <item x="7"/>
        <item x="10"/>
        <item m="1" x="13"/>
        <item x="3"/>
        <item m="1" x="17"/>
        <item x="1"/>
        <item x="4"/>
        <item x="5"/>
        <item x="0"/>
        <item m="1" x="19"/>
        <item x="8"/>
        <item m="1" x="12"/>
        <item x="2"/>
        <item m="1" x="15"/>
        <item x="6"/>
        <item m="1" x="14"/>
        <item m="1" x="20"/>
        <item m="1" x="18"/>
        <item m="1" x="16"/>
        <item h="1" x="1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s>
  <rowFields count="1">
    <field x="17"/>
  </rowFields>
  <rowItems count="12">
    <i>
      <x v="1"/>
    </i>
    <i>
      <x v="2"/>
    </i>
    <i>
      <x v="3"/>
    </i>
    <i>
      <x v="5"/>
    </i>
    <i>
      <x v="7"/>
    </i>
    <i>
      <x v="8"/>
    </i>
    <i>
      <x v="9"/>
    </i>
    <i>
      <x v="10"/>
    </i>
    <i>
      <x v="12"/>
    </i>
    <i>
      <x v="14"/>
    </i>
    <i>
      <x v="16"/>
    </i>
    <i t="grand">
      <x/>
    </i>
  </rowItems>
  <colItems count="1">
    <i/>
  </colItems>
  <dataFields count="1">
    <dataField name="Ejercido hasta el 31/07/2023" fld="25" baseField="4" baseItem="7" numFmtId="44"/>
  </dataFields>
  <formats count="4">
    <format dxfId="1338">
      <pivotArea dataOnly="0" labelOnly="1" outline="0" axis="axisValues" fieldPosition="0"/>
    </format>
    <format dxfId="1337">
      <pivotArea dataOnly="0" labelOnly="1" outline="0" axis="axisValues" fieldPosition="0"/>
    </format>
    <format dxfId="1336">
      <pivotArea dataOnly="0" labelOnly="1" outline="0" axis="axisValues" fieldPosition="0"/>
    </format>
    <format dxfId="133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TablaDinámica4" cacheId="26" applyNumberFormats="0" applyBorderFormats="0" applyFontFormats="0" applyPatternFormats="0" applyAlignmentFormats="0" applyWidthHeightFormats="1" dataCaption="Valores" updatedVersion="8" minRefreshableVersion="3" useAutoFormatting="1" rowGrandTotals="0" colGrandTotals="0" itemPrintTitles="1" createdVersion="6" indent="0" outline="1" outlineData="1" multipleFieldFilters="0" rowHeaderCaption="Perfil">
  <location ref="B47:B48" firstHeaderRow="1" firstDataRow="1" firstDataCol="1" rowPageCount="3" colPageCount="1"/>
  <pivotFields count="27">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defaultSubtotal="0"/>
    <pivotField showAll="0" defaultSubtotal="0"/>
    <pivotField axis="axisRow" showAll="0" defaultSubtotal="0">
      <items count="22">
        <item m="1" x="17"/>
        <item x="0"/>
        <item m="1" x="15"/>
        <item m="1" x="14"/>
        <item m="1" x="18"/>
        <item m="1" x="20"/>
        <item x="8"/>
        <item x="2"/>
        <item x="11"/>
        <item m="1" x="21"/>
        <item x="1"/>
        <item m="1" x="19"/>
        <item x="4"/>
        <item x="10"/>
        <item m="1" x="13"/>
        <item m="1" x="12"/>
        <item x="9"/>
        <item x="3"/>
        <item x="5"/>
        <item m="1" x="16"/>
        <item x="6"/>
        <item x="7"/>
      </items>
    </pivotField>
    <pivotField showAll="0" defaultSubtotal="0"/>
    <pivotField showAll="0" defaultSubtotal="0"/>
    <pivotField showAll="0" defaultSubtotal="0"/>
    <pivotField showAll="0" defaultSubtotal="0"/>
    <pivotField axis="axisPage" showAll="0" defaultSubtotal="0">
      <items count="14">
        <item x="0"/>
        <item x="12"/>
        <item x="1"/>
        <item x="2"/>
        <item x="3"/>
        <item x="4"/>
        <item x="5"/>
        <item x="6"/>
        <item x="7"/>
        <item x="8"/>
        <item x="9"/>
        <item x="10"/>
        <item x="11"/>
        <item m="1" x="13"/>
      </items>
    </pivotField>
    <pivotField axis="axisPage" showAll="0" defaultSubtotal="0">
      <items count="7">
        <item x="6"/>
        <item x="0"/>
        <item x="1"/>
        <item x="2"/>
        <item x="3"/>
        <item x="4"/>
        <item x="5"/>
      </items>
    </pivotField>
    <pivotField showAll="0" defaultSubtotal="0"/>
    <pivotField numFmtId="44" showAll="0" defaultSubtotal="0"/>
    <pivotField name="Tipo" axis="axisPage" showAll="0" defaultSubtotal="0">
      <items count="2">
        <item x="1"/>
        <item x="0"/>
      </items>
    </pivotField>
  </pivotFields>
  <rowFields count="1">
    <field x="17"/>
  </rowFields>
  <rowItems count="1">
    <i>
      <x v="8"/>
    </i>
  </rowItems>
  <colItems count="1">
    <i/>
  </colItems>
  <pageFields count="3">
    <pageField fld="23" hier="-1"/>
    <pageField fld="22" item="1" hier="-1"/>
    <pageField fld="26" hier="-1"/>
  </pageFields>
  <formats count="4">
    <format dxfId="1307">
      <pivotArea type="all" dataOnly="0" outline="0" fieldPosition="0"/>
    </format>
    <format dxfId="1306">
      <pivotArea field="17" type="button" dataOnly="0" labelOnly="1" outline="0" axis="axisRow" fieldPosition="0"/>
    </format>
    <format dxfId="1305">
      <pivotArea dataOnly="0" labelOnly="1" fieldPosition="0">
        <references count="1">
          <reference field="17" count="2">
            <x v="0"/>
            <x v="4"/>
          </reference>
        </references>
      </pivotArea>
    </format>
    <format dxfId="130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2:AA5095" totalsRowShown="0" headerRowDxfId="1416" tableBorderDxfId="1415">
  <autoFilter ref="A2:AA5095" xr:uid="{00000000-0009-0000-0100-000001000000}"/>
  <tableColumns count="27">
    <tableColumn id="1" xr3:uid="{00000000-0010-0000-0000-000001000000}" name="Servicio" dataDxfId="1414"/>
    <tableColumn id="2" xr3:uid="{00000000-0010-0000-0000-000002000000}" name="Tipo de Requerimiento" dataDxfId="1413"/>
    <tableColumn id="3" xr3:uid="{00000000-0010-0000-0000-000003000000}" name="Subdirección" dataDxfId="1412"/>
    <tableColumn id="4" xr3:uid="{00000000-0010-0000-0000-000004000000}" name="Departamento" dataDxfId="1411"/>
    <tableColumn id="5" xr3:uid="{00000000-0010-0000-0000-000005000000}" name="Sistema" dataDxfId="1410"/>
    <tableColumn id="6" xr3:uid="{00000000-0010-0000-0000-000006000000}" name="Clasificación / Fase" dataDxfId="1409"/>
    <tableColumn id="7" xr3:uid="{00000000-0010-0000-0000-000007000000}" name="# Ticket" dataDxfId="1408"/>
    <tableColumn id="8" xr3:uid="{00000000-0010-0000-0000-000008000000}" name="Nombre del Servicio / Tarea / Requerimiento" dataDxfId="1407"/>
    <tableColumn id="9" xr3:uid="{00000000-0010-0000-0000-000009000000}" name="Descripción" dataDxfId="1406"/>
    <tableColumn id="10" xr3:uid="{00000000-0010-0000-0000-00000A000000}" name="Fecha Inicio (dd/mm/aaaa)" dataDxfId="1405"/>
    <tableColumn id="26" xr3:uid="{208BB9C9-FA29-4CFA-99FD-A8F55D0A8C2E}" name="Hora Inicio" dataDxfId="1404"/>
    <tableColumn id="11" xr3:uid="{00000000-0010-0000-0000-00000B000000}" name="Fecha Fin (dd/mm/aaaa)" dataDxfId="1403"/>
    <tableColumn id="27" xr3:uid="{337160C5-436F-4716-ACF4-C5B9B62941DC}" name="Hora Fin" dataDxfId="1402"/>
    <tableColumn id="12" xr3:uid="{00000000-0010-0000-0000-00000C000000}" name="Tiempo_x000a_(Hrs 00/100)" dataDxfId="1401"/>
    <tableColumn id="13" xr3:uid="{00000000-0010-0000-0000-00000D000000}" name="Estatus" dataDxfId="1400"/>
    <tableColumn id="14" xr3:uid="{00000000-0010-0000-0000-00000E000000}" name="Evidencia (URL)" dataDxfId="1399"/>
    <tableColumn id="15" xr3:uid="{00000000-0010-0000-0000-00000F000000}" name="Ingeniero" dataDxfId="1398"/>
    <tableColumn id="16" xr3:uid="{00000000-0010-0000-0000-000010000000}" name="Perfil" dataDxfId="1397"/>
    <tableColumn id="25" xr3:uid="{00000000-0010-0000-0000-000019000000}" name="Severidad" dataDxfId="1396"/>
    <tableColumn id="24" xr3:uid="{00000000-0010-0000-0000-000018000000}" name="Complejidad" dataDxfId="1395"/>
    <tableColumn id="23" xr3:uid="{00000000-0010-0000-0000-000017000000}" name="Tiempo solución max (hrs)" dataDxfId="1394">
      <calculatedColumnFormula>IFERROR(VLOOKUP(CONCATENATE(Tabla1[[#This Row],[Severidad]]," ",Tabla1[[#This Row],[Complejidad]]),Catalogos!E$120:G$128,3,FALSE),"")</calculatedColumnFormula>
    </tableColumn>
    <tableColumn id="22" xr3:uid="{00000000-0010-0000-0000-000016000000}" name="Cumplimiento" dataDxfId="1393">
      <calculatedColumnFormula>IF(Tabla1[[#This Row],[Tiempo solución max (hrs)]]&lt;&gt;"",IF(Tabla1[[#This Row],[Tiempo solución max (hrs)]]&gt;=Tabla1[[#This Row],[Tiempo
(Hrs 00/100)]],"cumple","no cumple"),"")</calculatedColumnFormula>
    </tableColumn>
    <tableColumn id="17" xr3:uid="{00000000-0010-0000-0000-000011000000}" name="Facturación" dataDxfId="1392"/>
    <tableColumn id="18" xr3:uid="{00000000-0010-0000-0000-000012000000}" name="Área" dataDxfId="1391">
      <calculatedColumnFormula>IF(C3&lt;&gt;"",C3,D3)</calculatedColumnFormula>
    </tableColumn>
    <tableColumn id="21" xr3:uid="{00000000-0010-0000-0000-000015000000}" name="Descripción Impresión" dataDxfId="1390">
      <calculatedColumnFormula>SUBSTITUTE(Tabla1[[#This Row],[Descripción]],CHAR(10),"    I    ")</calculatedColumnFormula>
    </tableColumn>
    <tableColumn id="20" xr3:uid="{00000000-0010-0000-0000-000014000000}" name="Costo" dataDxfId="1389" dataCellStyle="Moneda">
      <calculatedColumnFormula>VLOOKUP(Tabla1[[#This Row],[Perfil]],Catalogos!$B$75:$D$100,3,FALSE)*Tabla1[[#This Row],[Tiempo
(Hrs 00/100)]]*1.16</calculatedColumnFormula>
    </tableColumn>
    <tableColumn id="19" xr3:uid="{00000000-0010-0000-0000-000013000000}" name="Comentarios" dataDxfId="1388"/>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7C88015-1ADD-40F6-8F82-5B26DCC34E9D}" name="Tabla2" displayName="Tabla2" ref="B3:G11" totalsRowShown="0" headerRowDxfId="1267">
  <autoFilter ref="B3:G11" xr:uid="{67C88015-1ADD-40F6-8F82-5B26DCC34E9D}"/>
  <tableColumns count="6">
    <tableColumn id="1" xr3:uid="{08A62787-9183-4DF6-A64A-1890EA5884DB}" name="Proyecto " dataDxfId="1266"/>
    <tableColumn id="2" xr3:uid="{50501855-A09C-4AEF-9801-1CFD6E5488B2}" name="Recurso" dataDxfId="1265"/>
    <tableColumn id="3" xr3:uid="{AE260248-AE97-481E-B530-7CA737725008}" name="Horas estimadas" dataDxfId="1264"/>
    <tableColumn id="4" xr3:uid="{D336A910-ED81-428F-AFD2-96BC0D3AEC10}" name="Costo por hora" dataDxfId="1263" dataCellStyle="Moneda">
      <calculatedColumnFormula>VLOOKUP(Ampliación!C4,Catalogos!B$75:D$95,3,FALSE)</calculatedColumnFormula>
    </tableColumn>
    <tableColumn id="5" xr3:uid="{6FE2A5BF-ACF3-4604-BCF0-A372A53A9EF1}" name="Costo" dataDxfId="1262" dataCellStyle="Moneda">
      <calculatedColumnFormula>D4*E4</calculatedColumnFormula>
    </tableColumn>
    <tableColumn id="6" xr3:uid="{84B519EF-C3E9-4EDC-A70D-E386DABF84BD}" name="Costo con IVA" dataDxfId="1261">
      <calculatedColumnFormula>F4*1.16</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ivotTable" Target="../pivotTables/pivotTable11.xml"/><Relationship Id="rId7" Type="http://schemas.openxmlformats.org/officeDocument/2006/relationships/drawing" Target="../drawings/drawing7.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openxmlformats.org/officeDocument/2006/relationships/printerSettings" Target="../printerSettings/printerSettings9.bin"/><Relationship Id="rId5" Type="http://schemas.openxmlformats.org/officeDocument/2006/relationships/pivotTable" Target="../pivotTables/pivotTable13.xml"/><Relationship Id="rId4" Type="http://schemas.openxmlformats.org/officeDocument/2006/relationships/pivotTable" Target="../pivotTables/pivotTable1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4.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2.bin"/><Relationship Id="rId1" Type="http://schemas.openxmlformats.org/officeDocument/2006/relationships/pivotTable" Target="../pivotTables/pivotTable15.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ivotTable" Target="../pivotTables/pivotTable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17" Type="http://schemas.openxmlformats.org/officeDocument/2006/relationships/hyperlink" Target="http://172.20.32.120:5000/" TargetMode="External"/><Relationship Id="rId299" Type="http://schemas.openxmlformats.org/officeDocument/2006/relationships/hyperlink" Target="file:///\\vcifs\tercerizado2023\Evidencias%20Tercerizaci&#243;n%202023\Ingeniero%20de%20Prueba\Noviembre\Semana%204" TargetMode="External"/><Relationship Id="rId21" Type="http://schemas.openxmlformats.org/officeDocument/2006/relationships/hyperlink" Target="http://repositoriosdgis.ifai.org.mx/Pagina%20Web/Actividades%202023/03-Marzo-2023/Actualizaci%C3%B3n%20Solicitud%20de%20Informaci%C3%B3n.docx" TargetMode="External"/><Relationship Id="rId63" Type="http://schemas.openxmlformats.org/officeDocument/2006/relationships/hyperlink" Target="https://172.20.32.20/svn/PNT_APPS_V2/DEV/code/App-Movil-v3/PNT-app-1.0.0" TargetMode="External"/><Relationship Id="rId159" Type="http://schemas.openxmlformats.org/officeDocument/2006/relationships/hyperlink" Target="https://github.com/INAIMexico/pnt-microservicios-estadisticos" TargetMode="External"/><Relationship Id="rId324"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366" Type="http://schemas.openxmlformats.org/officeDocument/2006/relationships/hyperlink" Target="file:///\\vcifs\tercerizado2023\Evidencias%20Tercerizaci&#243;n%202023\Ingeniero%20de%20Prueba\Diciembre\Semana%201" TargetMode="External"/><Relationship Id="rId170" Type="http://schemas.openxmlformats.org/officeDocument/2006/relationships/hyperlink" Target="https://github.com/INAIMexico/pnt-microservicios-estadisticos" TargetMode="External"/><Relationship Id="rId226" Type="http://schemas.openxmlformats.org/officeDocument/2006/relationships/hyperlink" Target="file:///\\vcifs\tercerizado2023\Evidencias%20Tercerizaci&#243;n%202023\Ingeniero%20de%20Prueba\Septiembre\Semana%203" TargetMode="External"/><Relationship Id="rId268" Type="http://schemas.openxmlformats.org/officeDocument/2006/relationships/hyperlink" Target="https://github.com/INAIMexico/pnt-microservicios-estadisticos" TargetMode="External"/><Relationship Id="rId32" Type="http://schemas.openxmlformats.org/officeDocument/2006/relationships/hyperlink" Target="https://172.20.32.20/svn/PNT_APPS_V2/DEV/code/App-Movil-v3/PNT-app-1.0.0" TargetMode="External"/><Relationship Id="rId74" Type="http://schemas.openxmlformats.org/officeDocument/2006/relationships/hyperlink" Target="https://172.20.32.20/svn/PNT_APPS_V2/DEV/code/App-Movil-v3/PNT-app-1.0.0" TargetMode="External"/><Relationship Id="rId128" Type="http://schemas.openxmlformats.org/officeDocument/2006/relationships/hyperlink" Target="http://repositoriosdgis.ifai.org.mx/Pagina%20Web/Actividades%202023/09-septiembre-2023/actividades%20mes%20de%20septiembre.docx" TargetMode="External"/><Relationship Id="rId335" Type="http://schemas.openxmlformats.org/officeDocument/2006/relationships/hyperlink" Target="http://172.20.32.120:9000/" TargetMode="External"/><Relationship Id="rId377" Type="http://schemas.openxmlformats.org/officeDocument/2006/relationships/hyperlink" Target="file:///\\vcifs\tercerizado2023\Evidencias%20Tercerizaci&#243;n%202023\Ingeniero%20de%20Prueba\Diciembre\Semana%204" TargetMode="External"/><Relationship Id="rId5" Type="http://schemas.openxmlformats.org/officeDocument/2006/relationships/hyperlink" Target="https://172.20.32.20/svn/PNT_APPS_V2/DEV/code/App-Movil-v3/PNT-app-1.0.0" TargetMode="External"/><Relationship Id="rId181" Type="http://schemas.openxmlformats.org/officeDocument/2006/relationships/hyperlink" Target="https://172.20.32.20/svn/FIRMA_ELECTRONICA_2/trunk/Firma-electronica-app-front-end" TargetMode="External"/><Relationship Id="rId237" Type="http://schemas.openxmlformats.org/officeDocument/2006/relationships/hyperlink" Target="file:///\\vcifs\tercerizado2023\Evidencias%20Tercerizaci&#243;n%202023\Ingeniero%20de%20Prueba\Septiembre\Semana%205" TargetMode="External"/><Relationship Id="rId279" Type="http://schemas.openxmlformats.org/officeDocument/2006/relationships/hyperlink" Target="http://repositoriosdgis.ifai.org.mx/Pagina%20Web/Actividades%202023/11-Noviembre-2023/actualizacion%20de%20avance%20de%20proyecto%20nov.docx" TargetMode="External"/><Relationship Id="rId43" Type="http://schemas.openxmlformats.org/officeDocument/2006/relationships/hyperlink" Target="https://172.20.32.20/svn/PNT_APPS_V2/DEV/code/App-Movil-v3/PNT-app-1.0.0" TargetMode="External"/><Relationship Id="rId139" Type="http://schemas.openxmlformats.org/officeDocument/2006/relationships/hyperlink" Target="http://repositoriosdgis.ifai.org.mx/Pagina%20Web/Actividades%202023/09-septiembre-2023/actividades%20mes%20de%20septiembre.docx" TargetMode="External"/><Relationship Id="rId290" Type="http://schemas.openxmlformats.org/officeDocument/2006/relationships/hyperlink" Target="file:///\\vcifs\tercerizado2023\Evidencias%20Tercerizaci&#243;n%202023\Ingeniero%20de%20Prueba\Noviembre\Semana%202" TargetMode="External"/><Relationship Id="rId304" Type="http://schemas.openxmlformats.org/officeDocument/2006/relationships/hyperlink" Target="file:///\\vcifs\tercerizado2023\Evidencias%20Tercerizaci&#243;n%202023\Ingeniero%20de%20Prueba\Noviembre\Semana%204" TargetMode="External"/><Relationship Id="rId346" Type="http://schemas.openxmlformats.org/officeDocument/2006/relationships/hyperlink" Target="https://172.20.32.20/svn/Pizarras4/tags/frontend/pizarras_v4_frontend" TargetMode="External"/><Relationship Id="rId388" Type="http://schemas.openxmlformats.org/officeDocument/2006/relationships/hyperlink" Target="https://172.20.32.20/svn/Pizarras4/tags/frontend/pizarras_v4_frontend" TargetMode="External"/><Relationship Id="rId85" Type="http://schemas.openxmlformats.org/officeDocument/2006/relationships/hyperlink" Target="https://172.20.32.20/svn/PNT_APPS_V2/DEV/code/App-Movil-v3/PNT-app-1.0.0" TargetMode="External"/><Relationship Id="rId150" Type="http://schemas.openxmlformats.org/officeDocument/2006/relationships/hyperlink" Target="http://172.20.32.118:8080/" TargetMode="External"/><Relationship Id="rId192" Type="http://schemas.openxmlformats.org/officeDocument/2006/relationships/hyperlink" Target="http://172.20.32.120:9000/" TargetMode="External"/><Relationship Id="rId206" Type="http://schemas.openxmlformats.org/officeDocument/2006/relationships/hyperlink" Target="http://172.20.32.120:9000/" TargetMode="External"/><Relationship Id="rId248" Type="http://schemas.openxmlformats.org/officeDocument/2006/relationships/hyperlink" Target="http://repositoriosdgis.ifai.org.mx/Pagina%20Web/Actividades%20Ricardo%20Olivares%202023/actividades%20octubre/tipoexpedientelistar.png" TargetMode="External"/><Relationship Id="rId12" Type="http://schemas.openxmlformats.org/officeDocument/2006/relationships/hyperlink" Target="https://172.20.32.20/svn/PNT_APPS_V2/DEV/code/App-Movil-v3/PNT-app-1.0.0" TargetMode="External"/><Relationship Id="rId108" Type="http://schemas.openxmlformats.org/officeDocument/2006/relationships/hyperlink" Target="http://repositoriosdgis.ifai.org.mx/Pagina%20Web/Actividades%202023/07-Julio-2023/Requerimientos%20de%20aplicaciones%20web.docx" TargetMode="External"/><Relationship Id="rId315"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357" Type="http://schemas.openxmlformats.org/officeDocument/2006/relationships/hyperlink" Target="https://github.com/INAIMexico/pnt-microservicios-catalogos-comunes" TargetMode="External"/><Relationship Id="rId54" Type="http://schemas.openxmlformats.org/officeDocument/2006/relationships/hyperlink" Target="https://172.20.32.20/svn/PNT_APPS_V2/DEV/code/App-Movil-v3/PNT-app-1.0.0" TargetMode="External"/><Relationship Id="rId96" Type="http://schemas.openxmlformats.org/officeDocument/2006/relationships/hyperlink" Target="https://172.20.32.20/svn/PNT_APPS_V2/DEV/code/App-Movil-v3/PNT-app-1.0.0" TargetMode="External"/><Relationship Id="rId161" Type="http://schemas.openxmlformats.org/officeDocument/2006/relationships/hyperlink" Target="https://github.com/INAIMexico/pnt-microservicios-estadisticos" TargetMode="External"/><Relationship Id="rId217" Type="http://schemas.openxmlformats.org/officeDocument/2006/relationships/hyperlink" Target="file:///\\vcifs\tercerizado2023\Evidencias%20Tercerizaci&#243;n%202023\Ingeniero%20de%20Prueba\Septiembre\Semana%202" TargetMode="External"/><Relationship Id="rId399" Type="http://schemas.openxmlformats.org/officeDocument/2006/relationships/table" Target="../tables/table1.xml"/><Relationship Id="rId259" Type="http://schemas.openxmlformats.org/officeDocument/2006/relationships/hyperlink" Target="http://repositoriosdgis.ifai.org.mx/Pagina%20Web/Actividades%20Ricardo%20Olivares%202023/actividades%20octubre/permisos.png" TargetMode="External"/><Relationship Id="rId23" Type="http://schemas.openxmlformats.org/officeDocument/2006/relationships/hyperlink" Target="http://repositoriosdgis.ifai.org.mx/Pagina%20Web/Actividades%202023/03-Marzo-2023/Actualizaci%C3%B3n%20Solicitud%20de%20Informaci%C3%B3n.docx" TargetMode="External"/><Relationship Id="rId119" Type="http://schemas.openxmlformats.org/officeDocument/2006/relationships/hyperlink" Target="https://172.20.32.20/svn/PNT_MICROSERVICIOS/branches/" TargetMode="External"/><Relationship Id="rId270" Type="http://schemas.openxmlformats.org/officeDocument/2006/relationships/hyperlink" Target="https://github.com/INAIMexico/pnt-microservicios-estadisticos" TargetMode="External"/><Relationship Id="rId326"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65" Type="http://schemas.openxmlformats.org/officeDocument/2006/relationships/hyperlink" Target="https://172.20.32.20/svn/PNT_APPS_V2/DEV/code/App-Movil-v3/PNT-app-1.0.0" TargetMode="External"/><Relationship Id="rId130" Type="http://schemas.openxmlformats.org/officeDocument/2006/relationships/hyperlink" Target="http://repositoriosdgis.ifai.org.mx/Pagina%20Web/Actividades%202023/09-septiembre-2023/actividades%20mes%20de%20septiembre.docx" TargetMode="External"/><Relationship Id="rId368" Type="http://schemas.openxmlformats.org/officeDocument/2006/relationships/hyperlink" Target="file:///\\vcifs\tercerizado2023\Evidencias%20Tercerizaci&#243;n%202023\Ingeniero%20de%20Prueba\Diciembre\Semana%202" TargetMode="External"/><Relationship Id="rId172" Type="http://schemas.openxmlformats.org/officeDocument/2006/relationships/hyperlink" Target="https://172.20.32.20/svn/PNT_V3/trunk/Back-end/Sigemi-pnt3-api-rest" TargetMode="External"/><Relationship Id="rId228" Type="http://schemas.openxmlformats.org/officeDocument/2006/relationships/hyperlink" Target="file:///\\vcifs\tercerizado2023\Evidencias%20Tercerizaci&#243;n%202023\Ingeniero%20de%20Prueba\Septiembre\Semana%203" TargetMode="External"/><Relationship Id="rId281" Type="http://schemas.openxmlformats.org/officeDocument/2006/relationships/hyperlink" Target="http://repositoriosdgis.ifai.org.mx/Pagina%20Web/Actividades%202023/11-Noviembre-2023/reporte%20actividad%20noviembre.docx" TargetMode="External"/><Relationship Id="rId337" Type="http://schemas.openxmlformats.org/officeDocument/2006/relationships/hyperlink" Target="http://172.20.32.120:9000/" TargetMode="External"/><Relationship Id="rId34" Type="http://schemas.openxmlformats.org/officeDocument/2006/relationships/hyperlink" Target="https://172.20.32.20/svn/PNT_APPS_V2/DEV/code/App-Movil-v3/PNT-app-1.0.0" TargetMode="External"/><Relationship Id="rId76" Type="http://schemas.openxmlformats.org/officeDocument/2006/relationships/hyperlink" Target="https://172.20.32.20/svn/PNT_APPS_V2/DEV/code/App-Movil-v3/PNT-app-1.0.0" TargetMode="External"/><Relationship Id="rId141" Type="http://schemas.openxmlformats.org/officeDocument/2006/relationships/hyperlink" Target="http://repositoriosdgis.ifai.org.mx/Pagina%20Web/Actividades%202023/09-septiembre-2023/actividades%20mes%20de%20septiembre.docx" TargetMode="External"/><Relationship Id="rId379" Type="http://schemas.openxmlformats.org/officeDocument/2006/relationships/hyperlink" Target="file:///\\vcifs\tercerizado2023\Evidencias%20Tercerizaci&#243;n%202023\Ingeniero%20de%20Prueba\Diciembre\Semana%203" TargetMode="External"/><Relationship Id="rId7" Type="http://schemas.openxmlformats.org/officeDocument/2006/relationships/hyperlink" Target="https://172.20.32.20/svn/PNT_APPS_V2/DEV/code/App-Movil-v3/PNT-app-1.0.0" TargetMode="External"/><Relationship Id="rId183" Type="http://schemas.openxmlformats.org/officeDocument/2006/relationships/hyperlink" Target="https://172.20.32.20/svn/FIRMA_ELECTRONICA_2/trunk/Firma-electronica-app-front-end" TargetMode="External"/><Relationship Id="rId239" Type="http://schemas.openxmlformats.org/officeDocument/2006/relationships/hyperlink" Target="file:///\\vcifs\tercerizado2023\Evidencias%20Tercerizaci&#243;n%202023\Ingeniero%20de%20Prueba\Octubre\Semana%201" TargetMode="External"/><Relationship Id="rId390" Type="http://schemas.openxmlformats.org/officeDocument/2006/relationships/hyperlink" Target="https://172.20.32.20/svn/Pizarras4/tags/frontend/pizarras_v4_frontend" TargetMode="External"/><Relationship Id="rId250" Type="http://schemas.openxmlformats.org/officeDocument/2006/relationships/hyperlink" Target="http://repositoriosdgis.ifai.org.mx/Pagina%20Web/Actividades%20Ricardo%20Olivares%202023/actividades%20octubre/tipoexpedienteeditar.png" TargetMode="External"/><Relationship Id="rId292" Type="http://schemas.openxmlformats.org/officeDocument/2006/relationships/hyperlink" Target="file:///\\vcifs\tercerizado2023\Evidencias%20Tercerizaci&#243;n%202023\Ingeniero%20de%20Prueba\Noviembre\Semana%203" TargetMode="External"/><Relationship Id="rId306" Type="http://schemas.openxmlformats.org/officeDocument/2006/relationships/hyperlink" Target="file:///\\vcifs\tercerizado2023\Evidencias%20Tercerizaci&#243;n%202023\Ingeniero%20de%20Prueba\Noviembre\Semana%205" TargetMode="External"/><Relationship Id="rId45" Type="http://schemas.openxmlformats.org/officeDocument/2006/relationships/hyperlink" Target="https://172.20.32.20/svn/PNT_APPS_V2/DEV/code/App-Movil-v3/PNT-app-1.0.0" TargetMode="External"/><Relationship Id="rId87" Type="http://schemas.openxmlformats.org/officeDocument/2006/relationships/hyperlink" Target="https://172.20.32.20/svn/PNT_APPS_V2/DEV/code/App-Movil-v3/PNT-app-1.0.0" TargetMode="External"/><Relationship Id="rId110" Type="http://schemas.openxmlformats.org/officeDocument/2006/relationships/hyperlink" Target="http://172.20.32.120:5000/" TargetMode="External"/><Relationship Id="rId348" Type="http://schemas.openxmlformats.org/officeDocument/2006/relationships/hyperlink" Target="https://172.20.32.20/svn/Pizarras4/tags/frontend/pizarras_v4_frontend" TargetMode="External"/><Relationship Id="rId152" Type="http://schemas.openxmlformats.org/officeDocument/2006/relationships/hyperlink" Target="http://172.20.32.120:5000/" TargetMode="External"/><Relationship Id="rId194" Type="http://schemas.openxmlformats.org/officeDocument/2006/relationships/hyperlink" Target="http://argocd.local.inai.org.mx/" TargetMode="External"/><Relationship Id="rId208" Type="http://schemas.openxmlformats.org/officeDocument/2006/relationships/hyperlink" Target="http://172.20.32.120:9000/" TargetMode="External"/><Relationship Id="rId261" Type="http://schemas.openxmlformats.org/officeDocument/2006/relationships/hyperlink" Target="http://repositoriosdgis.ifai.org.mx/Pagina%20Web/Actividades%20Ricardo%20Olivares%202023/actividades%20octubre/epocaeditar.png" TargetMode="External"/><Relationship Id="rId14" Type="http://schemas.openxmlformats.org/officeDocument/2006/relationships/hyperlink" Target="https://172.20.32.20/svn/PNT_APPS_V2/DEV/code/App-Movil-v3/PNT-app-1.0.0" TargetMode="External"/><Relationship Id="rId56" Type="http://schemas.openxmlformats.org/officeDocument/2006/relationships/hyperlink" Target="https://172.20.32.20/svn/PNT_APPS_V2/DEV/code/App-Movil-v3/PNT-app-1.0.0" TargetMode="External"/><Relationship Id="rId317"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359" Type="http://schemas.openxmlformats.org/officeDocument/2006/relationships/hyperlink" Target="https://github.com/INAIMexico/pnt-microservicios-buscador-inteligente" TargetMode="External"/><Relationship Id="rId98" Type="http://schemas.openxmlformats.org/officeDocument/2006/relationships/hyperlink" Target="https://172.20.32.20/svn/PNT_APPS_V2/DEV/code/App-Movil-v3/PNT-app-1.0.0" TargetMode="External"/><Relationship Id="rId121" Type="http://schemas.openxmlformats.org/officeDocument/2006/relationships/hyperlink" Target="https://172.20.32.20/svn/PNT_MICROSERVICIOS/branches/" TargetMode="External"/><Relationship Id="rId163" Type="http://schemas.openxmlformats.org/officeDocument/2006/relationships/hyperlink" Target="https://github.com/INAIMexico/pnt-microservicios-estadisticos" TargetMode="External"/><Relationship Id="rId219" Type="http://schemas.openxmlformats.org/officeDocument/2006/relationships/hyperlink" Target="file:///\\vcifs\tercerizado2023\Evidencias%20Tercerizaci&#243;n%202023\Ingeniero%20de%20Prueba\Septiembre\Semana%202" TargetMode="External"/><Relationship Id="rId370" Type="http://schemas.openxmlformats.org/officeDocument/2006/relationships/hyperlink" Target="file:///\\vcifs\tercerizado2023\Evidencias%20Tercerizaci&#243;n%202023\Ingeniero%20de%20Prueba\Diciembre\Semana%202" TargetMode="External"/><Relationship Id="rId230" Type="http://schemas.openxmlformats.org/officeDocument/2006/relationships/hyperlink" Target="file:///\\vcifs\tercerizado2023\Evidencias%20Tercerizaci&#243;n%202023\Ingeniero%20de%20Prueba\Septiembre\Semana%204" TargetMode="External"/><Relationship Id="rId25" Type="http://schemas.openxmlformats.org/officeDocument/2006/relationships/hyperlink" Target="http://repositoriosdgis.ifai.org.mx/Pagina%20Web/Actividades%202023/03-Marzo-2023/Actualizaci%C3%B3n%20Solicitud%20de%20Informaci%C3%B3n.docx" TargetMode="External"/><Relationship Id="rId67" Type="http://schemas.openxmlformats.org/officeDocument/2006/relationships/hyperlink" Target="https://172.20.32.20/svn/PNT_APPS_V2/DEV/code/App-Movil-v3/PNT-app-1.0.0" TargetMode="External"/><Relationship Id="rId272" Type="http://schemas.openxmlformats.org/officeDocument/2006/relationships/hyperlink" Target="https://github.com/INAIMexico/pnt-microservicios-estadisticos" TargetMode="External"/><Relationship Id="rId328"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132" Type="http://schemas.openxmlformats.org/officeDocument/2006/relationships/hyperlink" Target="http://repositoriosdgis.ifai.org.mx/Pagina%20Web/Actividades%202023/09-septiembre-2023/actividades%20mes%20de%20septiembre.docx" TargetMode="External"/><Relationship Id="rId174" Type="http://schemas.openxmlformats.org/officeDocument/2006/relationships/hyperlink" Target="https://172.20.32.20/svn/PNT_V3/trunk/Back-end/Sigemi-pnt3-api-rest" TargetMode="External"/><Relationship Id="rId381" Type="http://schemas.openxmlformats.org/officeDocument/2006/relationships/hyperlink" Target="https://ifai-my.sharepoint.com/:w:/r/personal/samuel_partida_inai_org_mx/_layouts/15/Doc.aspx?sourcedoc=%7BA1D90F5F-3565-4282-BD9E-D565696C0BAB%7D&amp;file=Querys_Estadisiticas_Totales_NUEVO_1223NRG.docx&amp;action=default&amp;mobileredirect=true" TargetMode="External"/><Relationship Id="rId241" Type="http://schemas.openxmlformats.org/officeDocument/2006/relationships/hyperlink" Target="file:///\\vcifs\tercerizado2023\Evidencias%20Tercerizaci&#243;n%202023\Ingeniero%20de%20Prueba\Octubre\Semana%203" TargetMode="External"/><Relationship Id="rId36" Type="http://schemas.openxmlformats.org/officeDocument/2006/relationships/hyperlink" Target="https://172.20.32.20/svn/PNT_APPS_V2/DEV/code/App-Movil-v3/PNT-app-1.0.0" TargetMode="External"/><Relationship Id="rId283" Type="http://schemas.openxmlformats.org/officeDocument/2006/relationships/hyperlink" Target="http://repositoriosdgis.ifai.org.mx/Pagina%20Web/Actividades%20Ricardo%20Olivares%202023/actividades%20octubre/informacioneditarresoluciones.png" TargetMode="External"/><Relationship Id="rId339" Type="http://schemas.openxmlformats.org/officeDocument/2006/relationships/hyperlink" Target="http://172.20.32.120:9000/" TargetMode="External"/><Relationship Id="rId78" Type="http://schemas.openxmlformats.org/officeDocument/2006/relationships/hyperlink" Target="https://172.20.32.20/svn/PNT_APPS_V2/DEV/code/App-Movil-v3/PNT-app-1.0.0" TargetMode="External"/><Relationship Id="rId101" Type="http://schemas.openxmlformats.org/officeDocument/2006/relationships/hyperlink" Target="https://172.20.32.20/svn/PNT_APPS_V2/DEV/code/App-Movil-v3/PNT-app-1.0.0" TargetMode="External"/><Relationship Id="rId143" Type="http://schemas.openxmlformats.org/officeDocument/2006/relationships/hyperlink" Target="file:///\\vcifs\tercerizado2023\Evidencias%20Tercerizaci&#243;n%202023\Ingeniero%20de%20Prueba\Septiembre\Semana%202" TargetMode="External"/><Relationship Id="rId185" Type="http://schemas.openxmlformats.org/officeDocument/2006/relationships/hyperlink" Target="https://ifai-my.sharepoint.com/:w:/r/personal/samuel_partida_inai_org_mx/_layouts/15/Doc.aspx?sourcedoc=%7BE86B8887-5B44-4E6E-9769-3D4691D4B621%7D&amp;file=Final%20Ficha%20estad%C3%ADstica%202023_NReyes.docx&amp;action=default&amp;mobileredirect=true" TargetMode="External"/><Relationship Id="rId350" Type="http://schemas.openxmlformats.org/officeDocument/2006/relationships/hyperlink" Target="https://172.20.32.20/svn/Pizarras4/tags/backend/API-RutasImplementacion" TargetMode="External"/><Relationship Id="rId9" Type="http://schemas.openxmlformats.org/officeDocument/2006/relationships/hyperlink" Target="https://172.20.32.20/svn/PNT_APPS_V2/DEV/code/App-Movil-v3/PNT-app-1.0.0" TargetMode="External"/><Relationship Id="rId210" Type="http://schemas.openxmlformats.org/officeDocument/2006/relationships/hyperlink" Target="http://argocd.local.inai.org.mx/" TargetMode="External"/><Relationship Id="rId392" Type="http://schemas.openxmlformats.org/officeDocument/2006/relationships/hyperlink" Target="https://172.20.32.20/svn/Pizarras4/tags/frontend/pizarras_v4_frontend" TargetMode="External"/><Relationship Id="rId252" Type="http://schemas.openxmlformats.org/officeDocument/2006/relationships/hyperlink" Target="http://repositoriosdgis.ifai.org.mx/Pagina%20Web/Actividades%20Ricardo%20Olivares%202023/actividades%20octubre/aniosregistrar.png" TargetMode="External"/><Relationship Id="rId294" Type="http://schemas.openxmlformats.org/officeDocument/2006/relationships/hyperlink" Target="file:///\\vcifs\tercerizado2023\Evidencias%20Tercerizaci&#243;n%202023\Ingeniero%20de%20Prueba\Noviembre\Semana%203" TargetMode="External"/><Relationship Id="rId308" Type="http://schemas.openxmlformats.org/officeDocument/2006/relationships/hyperlink" Target="file:///\\vcifs\tercerizado2023\Evidencias%20Tercerizaci&#243;n%202023\Ingeniero%20de%20Prueba\Noviembre\Semana%205" TargetMode="External"/><Relationship Id="rId47" Type="http://schemas.openxmlformats.org/officeDocument/2006/relationships/hyperlink" Target="https://172.20.32.20/svn/PNT_APPS_V2/DEV/code/App-Movil-v3/PNT-app-1.0.0" TargetMode="External"/><Relationship Id="rId89" Type="http://schemas.openxmlformats.org/officeDocument/2006/relationships/hyperlink" Target="https://172.20.32.20/svn/PNT_APPS_V2/DEV/code/App-Movil-v3/PNT-app-1.0.0" TargetMode="External"/><Relationship Id="rId112" Type="http://schemas.openxmlformats.org/officeDocument/2006/relationships/hyperlink" Target="http://172.20.32.120:5000/" TargetMode="External"/><Relationship Id="rId154" Type="http://schemas.openxmlformats.org/officeDocument/2006/relationships/hyperlink" Target="http://172.20.32.120:5000/" TargetMode="External"/><Relationship Id="rId361" Type="http://schemas.openxmlformats.org/officeDocument/2006/relationships/hyperlink" Target="https://github.com/INAIMexico/pnt-microservicios-federado" TargetMode="External"/><Relationship Id="rId196" Type="http://schemas.openxmlformats.org/officeDocument/2006/relationships/hyperlink" Target="http://172.20.32.120:5000/" TargetMode="External"/><Relationship Id="rId16" Type="http://schemas.openxmlformats.org/officeDocument/2006/relationships/hyperlink" Target="http://repositoriosdgis.ifai.org.mx/Pagina%20Web/Actividades%202023/03-Marzo-2023/Redireccionamiento%20de%20p%C3%A1ginas%20Abramos%20M%C3%A9xico.docx" TargetMode="External"/><Relationship Id="rId221" Type="http://schemas.openxmlformats.org/officeDocument/2006/relationships/hyperlink" Target="file:///\\vcifs\tercerizado2023\Evidencias%20Tercerizaci&#243;n%202023\Ingeniero%20de%20Prueba\Septiembre\Semana%202" TargetMode="External"/><Relationship Id="rId263" Type="http://schemas.openxmlformats.org/officeDocument/2006/relationships/hyperlink" Target="http://repositoriosdgis.ifai.org.mx/Pagina%20Web/Actividades%20Ricardo%20Olivares%202023/actividades%20octubre/entidadeseditar.png" TargetMode="External"/><Relationship Id="rId319"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37" Type="http://schemas.openxmlformats.org/officeDocument/2006/relationships/hyperlink" Target="https://172.20.32.20/svn/PNT_APPS_V2/DEV/code/App-Movil-v3/PNT-app-1.0.0" TargetMode="External"/><Relationship Id="rId58" Type="http://schemas.openxmlformats.org/officeDocument/2006/relationships/hyperlink" Target="https://172.20.32.20/svn/PNT_APPS_V2/DEV/code/App-Movil-v3/PNT-app-1.0.0" TargetMode="External"/><Relationship Id="rId79" Type="http://schemas.openxmlformats.org/officeDocument/2006/relationships/hyperlink" Target="https://172.20.32.20/svn/PNT_APPS_V2/DEV/code/App-Movil-v3/PNT-app-1.0.0" TargetMode="External"/><Relationship Id="rId102" Type="http://schemas.openxmlformats.org/officeDocument/2006/relationships/hyperlink" Target="https://172.20.32.20/svn/PNT_APPS_V2/DEV/code/App-Movil-v3/PNT-app-1.0.0" TargetMode="External"/><Relationship Id="rId123" Type="http://schemas.openxmlformats.org/officeDocument/2006/relationships/hyperlink" Target="http://repositoriosdgis.ifai.org.mx/Pagina%20Web/Actividades%202023/09-septiembre-2023/actividades%20mes%20de%20septiembre.docx" TargetMode="External"/><Relationship Id="rId144" Type="http://schemas.openxmlformats.org/officeDocument/2006/relationships/hyperlink" Target="file:///\\vcifs\tercerizado2023\Evidencias%20Tercerizaci&#243;n%202023\Ingeniero%20de%20Prueba\Septiembre\Semana%203" TargetMode="External"/><Relationship Id="rId330"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90" Type="http://schemas.openxmlformats.org/officeDocument/2006/relationships/hyperlink" Target="https://172.20.32.20/svn/PNT_APPS_V2/DEV/code/App-Movil-v3/PNT-app-1.0.0" TargetMode="External"/><Relationship Id="rId165" Type="http://schemas.openxmlformats.org/officeDocument/2006/relationships/hyperlink" Target="https://github.com/INAIMexico/pnt-microservicios-estadisticos" TargetMode="External"/><Relationship Id="rId186" Type="http://schemas.openxmlformats.org/officeDocument/2006/relationships/hyperlink" Target="https://ifai-my.sharepoint.com/:w:/r/personal/samuel_partida_inai_org_mx/_layouts/15/Doc.aspx?sourcedoc=%7BE3893BBE-E71E-4A16-B776-AACBCF429F22%7D&amp;file=Querys_Estadisiticas_Totales_NReyes.docx&amp;action=default&amp;mobileredirect=true" TargetMode="External"/><Relationship Id="rId351" Type="http://schemas.openxmlformats.org/officeDocument/2006/relationships/hyperlink" Target="https://172.20.32.20/svn/Pizarras4/tags/backend/API-RutasImplementacion" TargetMode="External"/><Relationship Id="rId372" Type="http://schemas.openxmlformats.org/officeDocument/2006/relationships/hyperlink" Target="file:///\\vcifs\tercerizado2023\Evidencias%20Tercerizaci&#243;n%202023\Ingeniero%20de%20Prueba\Diciembre\Semana%201" TargetMode="External"/><Relationship Id="rId393" Type="http://schemas.openxmlformats.org/officeDocument/2006/relationships/hyperlink" Target="https://172.20.32.20/svn/Pizarras4/tags/frontend/pizarras_v4_frontend" TargetMode="External"/><Relationship Id="rId211" Type="http://schemas.openxmlformats.org/officeDocument/2006/relationships/hyperlink" Target="http://172.20.32.118:8080/" TargetMode="External"/><Relationship Id="rId232" Type="http://schemas.openxmlformats.org/officeDocument/2006/relationships/hyperlink" Target="file:///\\vcifs\tercerizado2023\Evidencias%20Tercerizaci&#243;n%202023\Ingeniero%20de%20Prueba\Septiembre\Semana%204" TargetMode="External"/><Relationship Id="rId253" Type="http://schemas.openxmlformats.org/officeDocument/2006/relationships/hyperlink" Target="http://repositoriosdgis.ifai.org.mx/Pagina%20Web/Actividades%20Ricardo%20Olivares%202023/actividades%20octubre/epocaeditar.png" TargetMode="External"/><Relationship Id="rId274" Type="http://schemas.openxmlformats.org/officeDocument/2006/relationships/hyperlink" Target="https://github.com/INAIMexico/pnt-microservicios-estadisticos" TargetMode="External"/><Relationship Id="rId295" Type="http://schemas.openxmlformats.org/officeDocument/2006/relationships/hyperlink" Target="file:///\\vcifs\tercerizado2023\Evidencias%20Tercerizaci&#243;n%202023\Ingeniero%20de%20Prueba\Noviembre\Semana%203" TargetMode="External"/><Relationship Id="rId309" Type="http://schemas.openxmlformats.org/officeDocument/2006/relationships/hyperlink" Target="file:///\\vcifs\tercerizado2023\Evidencias%20Tercerizaci&#243;n%202023\Ingeniero%20de%20Prueba\Noviembre\Semana%202" TargetMode="External"/><Relationship Id="rId27" Type="http://schemas.openxmlformats.org/officeDocument/2006/relationships/hyperlink" Target="https://172.20.32.20/svn/PNT_APPS_V2/DEV/code/App-Movil-v3/PNT-app-1.0.0" TargetMode="External"/><Relationship Id="rId48" Type="http://schemas.openxmlformats.org/officeDocument/2006/relationships/hyperlink" Target="https://172.20.32.20/svn/PNT_APPS_V2/DEV/code/App-Movil-v3/PNT-app-1.0.0" TargetMode="External"/><Relationship Id="rId69" Type="http://schemas.openxmlformats.org/officeDocument/2006/relationships/hyperlink" Target="https://172.20.32.20/svn/PNT_APPS_V2/DEV/code/App-Movil-v3/PNT-app-1.0.0" TargetMode="External"/><Relationship Id="rId113" Type="http://schemas.openxmlformats.org/officeDocument/2006/relationships/hyperlink" Target="http://172.20.32.120:5000/" TargetMode="External"/><Relationship Id="rId134" Type="http://schemas.openxmlformats.org/officeDocument/2006/relationships/hyperlink" Target="http://repositoriosdgis.ifai.org.mx/Pagina%20Web/Actividades%202023/09-septiembre-2023/actividades%20mes%20de%20septiembre.docx" TargetMode="External"/><Relationship Id="rId320"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80" Type="http://schemas.openxmlformats.org/officeDocument/2006/relationships/hyperlink" Target="https://172.20.32.20/svn/PNT_APPS_V2/DEV/code/App-Movil-v3/PNT-app-1.0.0" TargetMode="External"/><Relationship Id="rId155" Type="http://schemas.openxmlformats.org/officeDocument/2006/relationships/hyperlink" Target="http://172.20.32.120:5000/" TargetMode="External"/><Relationship Id="rId176" Type="http://schemas.openxmlformats.org/officeDocument/2006/relationships/hyperlink" Target="https://172.20.32.20/svn/FIRMA_ELECTRONICA_2/trunk/Firma-electronica-app-front-end" TargetMode="External"/><Relationship Id="rId197" Type="http://schemas.openxmlformats.org/officeDocument/2006/relationships/hyperlink" Target="http://172.20.32.118:8080/" TargetMode="External"/><Relationship Id="rId341" Type="http://schemas.openxmlformats.org/officeDocument/2006/relationships/hyperlink" Target="https://172.20.32.20/svn/Pizarras4/tags/frontend/pizarras_v4_frontend" TargetMode="External"/><Relationship Id="rId362" Type="http://schemas.openxmlformats.org/officeDocument/2006/relationships/hyperlink" Target="https://github.com/INAIMexico/pnt-microservicios-administracion" TargetMode="External"/><Relationship Id="rId383" Type="http://schemas.openxmlformats.org/officeDocument/2006/relationships/hyperlink" Target="https://ifai-my.sharepoint.com/personal/samuel_partida_inai_org_mx/_layouts/15/onedrive.aspx?ga=1&amp;id=%2Fpersonal%2Fsamuel%5Fpartida%5Finai%5Forg%5Fmx%2FDocuments%2FOPTIMIZAR%5FQUERYS%5FSISAI%5FSIGEMI%2FPACK%5FQUEJAS%5FESTADISTICAS%2Ezip&amp;parent=%2Fpersonal%2Fsamuel%5Fpartida%5Finai%5Forg%5Fmx%2FDocuments%2FOPTIMIZAR%5FQUERYS%5FSISAI%5FSIGEMI" TargetMode="External"/><Relationship Id="rId201" Type="http://schemas.openxmlformats.org/officeDocument/2006/relationships/hyperlink" Target="http://172.20.32.120:9000/" TargetMode="External"/><Relationship Id="rId222" Type="http://schemas.openxmlformats.org/officeDocument/2006/relationships/hyperlink" Target="file:///\\vcifs\tercerizado2023\Evidencias%20Tercerizaci&#243;n%202023\Ingeniero%20de%20Prueba\Septiembre\Semana%202" TargetMode="External"/><Relationship Id="rId243" Type="http://schemas.openxmlformats.org/officeDocument/2006/relationships/hyperlink" Target="file:///\\vcifs\tercerizado2023\Evidencias%20Tercerizaci&#243;n%202023\Ingeniero%20de%20Prueba\Octubre\Semana%205" TargetMode="External"/><Relationship Id="rId264" Type="http://schemas.openxmlformats.org/officeDocument/2006/relationships/hyperlink" Target="https://172.20.32.20/svn/FIRMA_ELECTRONICA_2/trunk/Firma-electronica-app-front-end" TargetMode="External"/><Relationship Id="rId285" Type="http://schemas.openxmlformats.org/officeDocument/2006/relationships/hyperlink" Target="file:///\\vcifs\tercerizado2023\Evidencias%20Tercerizaci&#243;n%202023\Ingeniero%20de%20Prueba\Noviembre\Semana%201" TargetMode="External"/><Relationship Id="rId17" Type="http://schemas.openxmlformats.org/officeDocument/2006/relationships/hyperlink" Target="http://repositoriosdgis.ifai.org.mx/Pagina%20Web/Actividades%202023/03-Marzo-2023/Modificacion%20Banco%20de%20Practica.docx" TargetMode="External"/><Relationship Id="rId38" Type="http://schemas.openxmlformats.org/officeDocument/2006/relationships/hyperlink" Target="https://172.20.32.20/svn/PNT_APPS_V2/DEV/code/App-Movil-v3/PNT-app-1.0.0" TargetMode="External"/><Relationship Id="rId59" Type="http://schemas.openxmlformats.org/officeDocument/2006/relationships/hyperlink" Target="https://172.20.32.20/svn/PNT_APPS_V2/DEV/code/App-Movil-v3/PNT-app-1.0.0" TargetMode="External"/><Relationship Id="rId103" Type="http://schemas.openxmlformats.org/officeDocument/2006/relationships/hyperlink" Target="http://repositoriosdgis.ifai.org.mx/Pagina%20Web/Actividades%202023/06-%20Junio%202023/micrositio%20planeacion.docx" TargetMode="External"/><Relationship Id="rId124" Type="http://schemas.openxmlformats.org/officeDocument/2006/relationships/hyperlink" Target="http://repositoriosdgis.ifai.org.mx/Pagina%20Web/Actividades%202023/09-septiembre-2023/actividades%20mes%20de%20septiembre.docx" TargetMode="External"/><Relationship Id="rId310" Type="http://schemas.openxmlformats.org/officeDocument/2006/relationships/hyperlink" Target="file:///\\vcifs\tercerizado2023\Evidencias%20Tercerizaci&#243;n%202023\Ingeniero%20de%20Prueba\Noviembre\Semana%205" TargetMode="External"/><Relationship Id="rId70" Type="http://schemas.openxmlformats.org/officeDocument/2006/relationships/hyperlink" Target="https://172.20.32.20/svn/PNT_APPS_V2/DEV/code/App-Movil-v3/PNT-app-1.0.0" TargetMode="External"/><Relationship Id="rId91" Type="http://schemas.openxmlformats.org/officeDocument/2006/relationships/hyperlink" Target="https://172.20.32.20/svn/PNT_APPS_V2/DEV/code/App-Movil-v3/PNT-app-1.0.0" TargetMode="External"/><Relationship Id="rId145" Type="http://schemas.openxmlformats.org/officeDocument/2006/relationships/hyperlink" Target="file:///\\vcifs\tercerizado2023\Evidencias%20Tercerizaci&#243;n%202023\Ingeniero%20de%20Prueba\Septiembre\Semana%204" TargetMode="External"/><Relationship Id="rId166" Type="http://schemas.openxmlformats.org/officeDocument/2006/relationships/hyperlink" Target="https://github.com/INAIMexico/pnt-microservicios-estadisticos" TargetMode="External"/><Relationship Id="rId187" Type="http://schemas.openxmlformats.org/officeDocument/2006/relationships/hyperlink" Target="https://ifai-my.sharepoint.com/:w:/r/personal/samuel_partida_inai_org_mx/_layouts/15/Doc.aspx?sourcedoc=%7BE3893BBE-E71E-4A16-B776-AACBCF429F22%7D&amp;file=Querys_Estadisiticas_Totales_NReyes.docx&amp;action=default&amp;mobileredirect=true" TargetMode="External"/><Relationship Id="rId331"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352" Type="http://schemas.openxmlformats.org/officeDocument/2006/relationships/hyperlink" Target="https://172.20.32.20/svn/Pizarras4/tags/backend/API-RutasImplementacion" TargetMode="External"/><Relationship Id="rId373" Type="http://schemas.openxmlformats.org/officeDocument/2006/relationships/hyperlink" Target="file:///\\vcifs\tercerizado2023\Evidencias%20Tercerizaci&#243;n%202023\Ingeniero%20de%20Prueba\Diciembre\Semana%203" TargetMode="External"/><Relationship Id="rId394" Type="http://schemas.openxmlformats.org/officeDocument/2006/relationships/hyperlink" Target="https://172.20.32.20/svn/Pizarras4/tags/frontend/pizarras_v4_frontend" TargetMode="External"/><Relationship Id="rId1" Type="http://schemas.openxmlformats.org/officeDocument/2006/relationships/hyperlink" Target="https://172.20.32.20/svn/PNT_APPS_V2/DEV/code/App-Movil-v3/PNT-app-1.0.0" TargetMode="External"/><Relationship Id="rId212" Type="http://schemas.openxmlformats.org/officeDocument/2006/relationships/hyperlink" Target="http://172.20.32.118:8080/" TargetMode="External"/><Relationship Id="rId233" Type="http://schemas.openxmlformats.org/officeDocument/2006/relationships/hyperlink" Target="file:///\\vcifs\tercerizado2023\Evidencias%20Tercerizaci&#243;n%202023\Ingeniero%20de%20Prueba\Septiembre\Semana%204" TargetMode="External"/><Relationship Id="rId254" Type="http://schemas.openxmlformats.org/officeDocument/2006/relationships/hyperlink" Target="http://repositoriosdgis.ifai.org.mx/Pagina%20Web/Actividades%20Ricardo%20Olivares%202023/actividades%20octubre/criterioseditar.png" TargetMode="External"/><Relationship Id="rId28" Type="http://schemas.openxmlformats.org/officeDocument/2006/relationships/hyperlink" Target="https://172.20.32.20/svn/PNT_APPS_V2/DEV/code/App-Movil-v3/PNT-app-1.0.0" TargetMode="External"/><Relationship Id="rId49" Type="http://schemas.openxmlformats.org/officeDocument/2006/relationships/hyperlink" Target="https://172.20.32.20/svn/PNT_APPS_V2/DEV/code/App-Movil-v3/PNT-app-1.0.0" TargetMode="External"/><Relationship Id="rId114" Type="http://schemas.openxmlformats.org/officeDocument/2006/relationships/hyperlink" Target="http://172.20.32.118:8080/" TargetMode="External"/><Relationship Id="rId275" Type="http://schemas.openxmlformats.org/officeDocument/2006/relationships/hyperlink" Target="https://github.com/INAIMexico/pnt-microservicios-estadisticos" TargetMode="External"/><Relationship Id="rId296" Type="http://schemas.openxmlformats.org/officeDocument/2006/relationships/hyperlink" Target="file:///\\vcifs\tercerizado2023\Evidencias%20Tercerizaci&#243;n%202023\Ingeniero%20de%20Prueba\Noviembre\Semana%203" TargetMode="External"/><Relationship Id="rId300" Type="http://schemas.openxmlformats.org/officeDocument/2006/relationships/hyperlink" Target="file:///\\vcifs\tercerizado2023\Evidencias%20Tercerizaci&#243;n%202023\Ingeniero%20de%20Prueba\Noviembre\Semana%204" TargetMode="External"/><Relationship Id="rId60" Type="http://schemas.openxmlformats.org/officeDocument/2006/relationships/hyperlink" Target="https://172.20.32.20/svn/PNT_APPS_V2/DEV/code/App-Movil-v3/PNT-app-1.0.0" TargetMode="External"/><Relationship Id="rId81" Type="http://schemas.openxmlformats.org/officeDocument/2006/relationships/hyperlink" Target="https://172.20.32.20/svn/PNT_APPS_V2/DEV/code/App-Movil-v3/PNT-app-1.0.0" TargetMode="External"/><Relationship Id="rId135" Type="http://schemas.openxmlformats.org/officeDocument/2006/relationships/hyperlink" Target="http://repositoriosdgis.ifai.org.mx/Pagina%20Web/Actividades%202023/09-septiembre-2023/actividades%20mes%20de%20septiembre.docx" TargetMode="External"/><Relationship Id="rId156" Type="http://schemas.openxmlformats.org/officeDocument/2006/relationships/hyperlink" Target="http://172.20.32.120:5000/" TargetMode="External"/><Relationship Id="rId177" Type="http://schemas.openxmlformats.org/officeDocument/2006/relationships/hyperlink" Target="https://172.20.32.20/svn/FIRMA_ELECTRONICA_2/trunk/Firma-electronica-app-front-end" TargetMode="External"/><Relationship Id="rId198" Type="http://schemas.openxmlformats.org/officeDocument/2006/relationships/hyperlink" Target="http://172.20.32.120:9000/" TargetMode="External"/><Relationship Id="rId321"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342" Type="http://schemas.openxmlformats.org/officeDocument/2006/relationships/hyperlink" Target="https://172.20.32.20/svn/Pizarras4/tags/frontend/pizarras_v4_frontend" TargetMode="External"/><Relationship Id="rId363" Type="http://schemas.openxmlformats.org/officeDocument/2006/relationships/hyperlink" Target="https://github.com/INAIMexico/pnt-microservicios-usuarios" TargetMode="External"/><Relationship Id="rId384" Type="http://schemas.openxmlformats.org/officeDocument/2006/relationships/hyperlink" Target="https://172.20.32.20/svn/Pizarras4/tags/frontend/pizarras_v4_frontend" TargetMode="External"/><Relationship Id="rId202" Type="http://schemas.openxmlformats.org/officeDocument/2006/relationships/hyperlink" Target="http://172.20.32.120:9000/" TargetMode="External"/><Relationship Id="rId223" Type="http://schemas.openxmlformats.org/officeDocument/2006/relationships/hyperlink" Target="file:///\\vcifs\tercerizado2023\Evidencias%20Tercerizaci&#243;n%202023\Ingeniero%20de%20Prueba\Septiembre\Semana%203" TargetMode="External"/><Relationship Id="rId244" Type="http://schemas.openxmlformats.org/officeDocument/2006/relationships/hyperlink" Target="http://repositoriosdgis.ifai.org.mx/Pagina%20Web/Actividades%20Ricardo%20Olivares%202023/actividades%20octubre/rfc.png" TargetMode="External"/><Relationship Id="rId18" Type="http://schemas.openxmlformats.org/officeDocument/2006/relationships/hyperlink" Target="http://repositoriosdgis.ifai.org.mx/Pagina%20Web/Actividades%202023/03-Marzo-2023/Modificacion%20Banco%20de%20Practica.docx" TargetMode="External"/><Relationship Id="rId39" Type="http://schemas.openxmlformats.org/officeDocument/2006/relationships/hyperlink" Target="https://172.20.32.20/svn/PNT_APPS_V2/DEV/code/App-Movil-v3/PNT-app-1.0.0" TargetMode="External"/><Relationship Id="rId265" Type="http://schemas.openxmlformats.org/officeDocument/2006/relationships/hyperlink" Target="https://172.20.32.20/svn/FIRMA_ELECTRONICA_2/trunk/Firma-electronica-app-front-end" TargetMode="External"/><Relationship Id="rId286" Type="http://schemas.openxmlformats.org/officeDocument/2006/relationships/hyperlink" Target="file:///\\vcifs\tercerizado2023\Evidencias%20Tercerizaci&#243;n%202023\Ingeniero%20de%20Prueba\Noviembre\Semana%202" TargetMode="External"/><Relationship Id="rId50" Type="http://schemas.openxmlformats.org/officeDocument/2006/relationships/hyperlink" Target="https://172.20.32.20/svn/PNT_APPS_V2/DEV/code/App-Movil-v3/PNT-app-1.0.0" TargetMode="External"/><Relationship Id="rId104" Type="http://schemas.openxmlformats.org/officeDocument/2006/relationships/hyperlink" Target="http://repositoriosdgis.ifai.org.mx/Pagina%20Web/Actividades%202023/06-%20Junio%202023/actualizacion%20pleno%20ni%C3%B1os%202023.docx" TargetMode="External"/><Relationship Id="rId125" Type="http://schemas.openxmlformats.org/officeDocument/2006/relationships/hyperlink" Target="http://repositoriosdgis.ifai.org.mx/Pagina%20Web/Actividades%202023/09-septiembre-2023/actividades%20mes%20de%20septiembre.docx" TargetMode="External"/><Relationship Id="rId146" Type="http://schemas.openxmlformats.org/officeDocument/2006/relationships/hyperlink" Target="http://172.20.32.120:5000/" TargetMode="External"/><Relationship Id="rId167" Type="http://schemas.openxmlformats.org/officeDocument/2006/relationships/hyperlink" Target="https://github.com/INAIMexico/pnt-microservicios-estadisticos" TargetMode="External"/><Relationship Id="rId188" Type="http://schemas.openxmlformats.org/officeDocument/2006/relationships/hyperlink" Target="https://ifai-my.sharepoint.com/:w:/r/personal/samuel_partida_inai_org_mx/_layouts/15/Doc.aspx?sourcedoc=%7BE86B8887-5B44-4E6E-9769-3D4691D4B621%7D&amp;file=Final%20Ficha%20estad%C3%ADstica%202023_NReyes.docx&amp;action=default&amp;mobileredirect=true" TargetMode="External"/><Relationship Id="rId311"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332" Type="http://schemas.openxmlformats.org/officeDocument/2006/relationships/hyperlink" Target="http://172.20.32.120:9000/" TargetMode="External"/><Relationship Id="rId353" Type="http://schemas.openxmlformats.org/officeDocument/2006/relationships/hyperlink" Target="https://frontdev.plataformadetransparencia.org.mx/sisai/administracion/configuracion-pagos" TargetMode="External"/><Relationship Id="rId374" Type="http://schemas.openxmlformats.org/officeDocument/2006/relationships/hyperlink" Target="file:///\\vcifs\tercerizado2023\Evidencias%20Tercerizaci&#243;n%202023\Ingeniero%20de%20Prueba\Diciembre\Semana%203" TargetMode="External"/><Relationship Id="rId395" Type="http://schemas.openxmlformats.org/officeDocument/2006/relationships/hyperlink" Target="http://172.20.32.120:9000/" TargetMode="External"/><Relationship Id="rId71" Type="http://schemas.openxmlformats.org/officeDocument/2006/relationships/hyperlink" Target="https://172.20.32.20/svn/PNT_APPS_V2/DEV/code/App-Movil-v3/PNT-app-1.0.0" TargetMode="External"/><Relationship Id="rId92" Type="http://schemas.openxmlformats.org/officeDocument/2006/relationships/hyperlink" Target="https://172.20.32.20/svn/PNT_APPS_V2/DEV/code/App-Movil-v3/PNT-app-1.0.0" TargetMode="External"/><Relationship Id="rId213" Type="http://schemas.openxmlformats.org/officeDocument/2006/relationships/hyperlink" Target="http://172.20.32.120:5000/" TargetMode="External"/><Relationship Id="rId234" Type="http://schemas.openxmlformats.org/officeDocument/2006/relationships/hyperlink" Target="file:///\\vcifs\tercerizado2023\Evidencias%20Tercerizaci&#243;n%202023\Ingeniero%20de%20Prueba\Septiembre\Semana%204" TargetMode="External"/><Relationship Id="rId2" Type="http://schemas.openxmlformats.org/officeDocument/2006/relationships/hyperlink" Target="https://172.20.32.20/svn/PNT_APPS_V2/DEV/code/App-Movil-v3/PNT-app-1.0.0" TargetMode="External"/><Relationship Id="rId29" Type="http://schemas.openxmlformats.org/officeDocument/2006/relationships/hyperlink" Target="https://172.20.32.20/svn/PNT_APPS_V2/DEV/code/App-Movil-v3/PNT-app-1.0.0" TargetMode="External"/><Relationship Id="rId255" Type="http://schemas.openxmlformats.org/officeDocument/2006/relationships/hyperlink" Target="http://repositoriosdgis.ifai.org.mx/Pagina%20Web/Actividades%20Ricardo%20Olivares%202023/actividades%20octubre/entidadeseditar.png" TargetMode="External"/><Relationship Id="rId276" Type="http://schemas.openxmlformats.org/officeDocument/2006/relationships/hyperlink" Target="https://github.com/INAIMexico/pnt-microservicios-estadisticos" TargetMode="External"/><Relationship Id="rId297" Type="http://schemas.openxmlformats.org/officeDocument/2006/relationships/hyperlink" Target="file:///\\vcifs\tercerizado2023\Evidencias%20Tercerizaci&#243;n%202023\Ingeniero%20de%20Prueba\Noviembre\Semana%203" TargetMode="External"/><Relationship Id="rId40" Type="http://schemas.openxmlformats.org/officeDocument/2006/relationships/hyperlink" Target="https://172.20.32.20/svn/PNT_APPS_V2/DEV/code/App-Movil-v3/PNT-app-1.0.0" TargetMode="External"/><Relationship Id="rId115" Type="http://schemas.openxmlformats.org/officeDocument/2006/relationships/hyperlink" Target="http://172.20.32.118:8080/" TargetMode="External"/><Relationship Id="rId136" Type="http://schemas.openxmlformats.org/officeDocument/2006/relationships/hyperlink" Target="http://repositoriosdgis.ifai.org.mx/Pagina%20Web/Actividades%202023/09-septiembre-2023/actividades%20mes%20de%20septiembre.docx" TargetMode="External"/><Relationship Id="rId157" Type="http://schemas.openxmlformats.org/officeDocument/2006/relationships/hyperlink" Target="http://172.20.32.120:5000/" TargetMode="External"/><Relationship Id="rId178" Type="http://schemas.openxmlformats.org/officeDocument/2006/relationships/hyperlink" Target="https://172.20.32.20/svn/FIRMA_ELECTRONICA_2/trunk/Firma-electronica-app-front-end" TargetMode="External"/><Relationship Id="rId301" Type="http://schemas.openxmlformats.org/officeDocument/2006/relationships/hyperlink" Target="file:///\\vcifs\tercerizado2023\Evidencias%20Tercerizaci&#243;n%202023\Ingeniero%20de%20Prueba\Noviembre\Semana%204" TargetMode="External"/><Relationship Id="rId322"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343" Type="http://schemas.openxmlformats.org/officeDocument/2006/relationships/hyperlink" Target="https://172.20.32.20/svn/Pizarras4/tags/frontend/pizarras_v4_frontend" TargetMode="External"/><Relationship Id="rId364" Type="http://schemas.openxmlformats.org/officeDocument/2006/relationships/hyperlink" Target="https://ifai-my.sharepoint.com/personal/carlos_miranda_inai_org_mx/_layouts/15/onedrive.aspx?ga=1&amp;id=%2Fpersonal%2Fcarlos%5Fmiranda%5Finai%5Forg%5Fmx%2FDocuments%2FProyecto%20Nueva%20Arq%20de%20la%20PNT%20%28Eliminaci%C3%B3n%20de%20Liferay%29%2F9%2E%20Pruebas%2F3%2E%20Seguridad%2FPruebas%2020231110" TargetMode="External"/><Relationship Id="rId61" Type="http://schemas.openxmlformats.org/officeDocument/2006/relationships/hyperlink" Target="https://172.20.32.20/svn/PNT_APPS_V2/DEV/code/App-Movil-v3/PNT-app-1.0.0" TargetMode="External"/><Relationship Id="rId82" Type="http://schemas.openxmlformats.org/officeDocument/2006/relationships/hyperlink" Target="https://172.20.32.20/svn/PNT_APPS_V2/DEV/code/App-Movil-v3/PNT-app-1.0.0" TargetMode="External"/><Relationship Id="rId199" Type="http://schemas.openxmlformats.org/officeDocument/2006/relationships/hyperlink" Target="http://172.20.32.120:9000/" TargetMode="External"/><Relationship Id="rId203" Type="http://schemas.openxmlformats.org/officeDocument/2006/relationships/hyperlink" Target="http://172.20.32.120:9000/" TargetMode="External"/><Relationship Id="rId385" Type="http://schemas.openxmlformats.org/officeDocument/2006/relationships/hyperlink" Target="https://172.20.32.20/svn/Pizarras4/tags/frontend/pizarras_v4_frontend" TargetMode="External"/><Relationship Id="rId19" Type="http://schemas.openxmlformats.org/officeDocument/2006/relationships/hyperlink" Target="http://repositoriosdgis.ifai.org.mx/Pagina%20Web/Actividades%202023/03-Marzo-2023/Actualizaci%C3%B3n%20Solicitud%20de%20Informaci%C3%B3n.docx" TargetMode="External"/><Relationship Id="rId224" Type="http://schemas.openxmlformats.org/officeDocument/2006/relationships/hyperlink" Target="file:///\\vcifs\tercerizado2023\Evidencias%20Tercerizaci&#243;n%202023\Ingeniero%20de%20Prueba\Septiembre\Semana%203" TargetMode="External"/><Relationship Id="rId245" Type="http://schemas.openxmlformats.org/officeDocument/2006/relationships/hyperlink" Target="http://repositoriosdgis.ifai.org.mx/Pagina%20Web/Actividades%20Ricardo%20Olivares%202023/actividades%20octubre/rfc.png" TargetMode="External"/><Relationship Id="rId266" Type="http://schemas.openxmlformats.org/officeDocument/2006/relationships/hyperlink" Target="https://172.20.32.20/svn/FIRMA_ELECTRONICA_2/trunk/Firma-electronica-app-front-end" TargetMode="External"/><Relationship Id="rId287" Type="http://schemas.openxmlformats.org/officeDocument/2006/relationships/hyperlink" Target="file:///\\vcifs\tercerizado2023\Evidencias%20Tercerizaci&#243;n%202023\Ingeniero%20de%20Prueba\Noviembre\Semana%201" TargetMode="External"/><Relationship Id="rId30" Type="http://schemas.openxmlformats.org/officeDocument/2006/relationships/hyperlink" Target="https://172.20.32.20/svn/PNT_APPS_V2/DEV/code/App-Movil-v3/PNT-app-1.0.0" TargetMode="External"/><Relationship Id="rId105" Type="http://schemas.openxmlformats.org/officeDocument/2006/relationships/hyperlink" Target="http://repositoriosdgis.ifai.org.mx/Pagina%20Web/Actividades%202023/06-%20Junio%202023/actualizacion%20comite%20de%20etica%202.docx" TargetMode="External"/><Relationship Id="rId126" Type="http://schemas.openxmlformats.org/officeDocument/2006/relationships/hyperlink" Target="http://repositoriosdgis.ifai.org.mx/Pagina%20Web/Actividades%202023/09-septiembre-2023/actividades%20mes%20de%20septiembre.docx" TargetMode="External"/><Relationship Id="rId147" Type="http://schemas.openxmlformats.org/officeDocument/2006/relationships/hyperlink" Target="http://172.20.32.118:8080/" TargetMode="External"/><Relationship Id="rId168" Type="http://schemas.openxmlformats.org/officeDocument/2006/relationships/hyperlink" Target="https://github.com/INAIMexico/pnt-microservicios-estadisticos" TargetMode="External"/><Relationship Id="rId312"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333" Type="http://schemas.openxmlformats.org/officeDocument/2006/relationships/hyperlink" Target="http://argocd.local.inai.org.mx/" TargetMode="External"/><Relationship Id="rId354" Type="http://schemas.openxmlformats.org/officeDocument/2006/relationships/hyperlink" Target="https://172.20.32.20/svn/PNT_V3/trunk/Back-end/Sigemi-pnt3-api-rest" TargetMode="External"/><Relationship Id="rId51" Type="http://schemas.openxmlformats.org/officeDocument/2006/relationships/hyperlink" Target="https://172.20.32.20/svn/PNT_APPS_V2/DEV/code/App-Movil-v3/PNT-app-1.0.0" TargetMode="External"/><Relationship Id="rId72" Type="http://schemas.openxmlformats.org/officeDocument/2006/relationships/hyperlink" Target="https://172.20.32.20/svn/PNT_APPS_V2/DEV/code/App-Movil-v3/PNT-app-1.0.0" TargetMode="External"/><Relationship Id="rId93" Type="http://schemas.openxmlformats.org/officeDocument/2006/relationships/hyperlink" Target="https://172.20.32.20/svn/PNT_APPS_V2/DEV/code/App-Movil-v3/PNT-app-1.0.0" TargetMode="External"/><Relationship Id="rId189" Type="http://schemas.openxmlformats.org/officeDocument/2006/relationships/hyperlink" Target="https://ifai-my.sharepoint.com/:w:/r/personal/samuel_partida_inai_org_mx/_layouts/15/Doc.aspx?sourcedoc=%7BE86B8887-5B44-4E6E-9769-3D4691D4B621%7D&amp;file=Final%20Ficha%20estad%C3%ADstica%202023_NReyes.docx&amp;action=default&amp;mobileredirect=true" TargetMode="External"/><Relationship Id="rId375" Type="http://schemas.openxmlformats.org/officeDocument/2006/relationships/hyperlink" Target="file:///\\vcifs\tercerizado2023\Evidencias%20Tercerizaci&#243;n%202023\Ingeniero%20de%20Prueba\Diciembre\Semana%203" TargetMode="External"/><Relationship Id="rId396" Type="http://schemas.openxmlformats.org/officeDocument/2006/relationships/hyperlink" Target="http://172.20.32.120:9000/" TargetMode="External"/><Relationship Id="rId3" Type="http://schemas.openxmlformats.org/officeDocument/2006/relationships/hyperlink" Target="https://172.20.32.20/svn/PNT_APPS_V2/DEV/code/App-Movil-v3/PNT-app-1.0.0" TargetMode="External"/><Relationship Id="rId214" Type="http://schemas.openxmlformats.org/officeDocument/2006/relationships/hyperlink" Target="file:///\\vcifs\tercerizado2023\Evidencias%20Tercerizaci&#243;n%202023\Ingeniero%20de%20Prueba\Septiembre\Semana%201" TargetMode="External"/><Relationship Id="rId235" Type="http://schemas.openxmlformats.org/officeDocument/2006/relationships/hyperlink" Target="file:///\\vcifs\tercerizado2023\Evidencias%20Tercerizaci&#243;n%202023\Ingeniero%20de%20Prueba\Septiembre\Semana%204" TargetMode="External"/><Relationship Id="rId256" Type="http://schemas.openxmlformats.org/officeDocument/2006/relationships/hyperlink" Target="http://repositoriosdgis.ifai.org.mx/Pagina%20Web/Actividades%20Ricardo%20Olivares%202023/actividades%20octubre/catalogos.png" TargetMode="External"/><Relationship Id="rId277" Type="http://schemas.openxmlformats.org/officeDocument/2006/relationships/hyperlink" Target="https://172.20.32.20/svn/PNT_V3/trunk/Back-end/Sigemi-pnt3-api-rest" TargetMode="External"/><Relationship Id="rId298" Type="http://schemas.openxmlformats.org/officeDocument/2006/relationships/hyperlink" Target="file:///\\vcifs\tercerizado2023\Evidencias%20Tercerizaci&#243;n%202023\Ingeniero%20de%20Prueba\Noviembre\Semana%203" TargetMode="External"/><Relationship Id="rId116" Type="http://schemas.openxmlformats.org/officeDocument/2006/relationships/hyperlink" Target="http://172.20.32.118:8080/" TargetMode="External"/><Relationship Id="rId137" Type="http://schemas.openxmlformats.org/officeDocument/2006/relationships/hyperlink" Target="http://repositoriosdgis.ifai.org.mx/Pagina%20Web/Actividades%202023/09-septiembre-2023/actividades%20mes%20de%20septiembre.docx" TargetMode="External"/><Relationship Id="rId158" Type="http://schemas.openxmlformats.org/officeDocument/2006/relationships/hyperlink" Target="http://172.20.32.120:5000/" TargetMode="External"/><Relationship Id="rId302" Type="http://schemas.openxmlformats.org/officeDocument/2006/relationships/hyperlink" Target="file:///\\vcifs\tercerizado2023\Evidencias%20Tercerizaci&#243;n%202023\Ingeniero%20de%20Prueba\Noviembre\Semana%204" TargetMode="External"/><Relationship Id="rId323"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344" Type="http://schemas.openxmlformats.org/officeDocument/2006/relationships/hyperlink" Target="https://172.20.32.20/svn/Pizarras4/tags/frontend/pizarras_v4_frontend" TargetMode="External"/><Relationship Id="rId20" Type="http://schemas.openxmlformats.org/officeDocument/2006/relationships/hyperlink" Target="http://repositoriosdgis.ifai.org.mx/Pagina%20Web/Actividades%202023/03-Marzo-2023/Modificacion%20Banco%20de%20Practica.docx" TargetMode="External"/><Relationship Id="rId41" Type="http://schemas.openxmlformats.org/officeDocument/2006/relationships/hyperlink" Target="https://172.20.32.20/svn/PNT_APPS_V2/DEV/code/App-Movil-v3/PNT-app-1.0.0" TargetMode="External"/><Relationship Id="rId62" Type="http://schemas.openxmlformats.org/officeDocument/2006/relationships/hyperlink" Target="https://172.20.32.20/svn/PNT_APPS_V2/DEV/code/App-Movil-v3/PNT-app-1.0.0" TargetMode="External"/><Relationship Id="rId83" Type="http://schemas.openxmlformats.org/officeDocument/2006/relationships/hyperlink" Target="https://172.20.32.20/svn/PNT_APPS_V2/DEV/code/App-Movil-v3/PNT-app-1.0.0" TargetMode="External"/><Relationship Id="rId179" Type="http://schemas.openxmlformats.org/officeDocument/2006/relationships/hyperlink" Target="https://172.20.32.20/svn/FIRMA_ELECTRONICA_2/trunk/Firma-electronica-app-front-end" TargetMode="External"/><Relationship Id="rId365" Type="http://schemas.openxmlformats.org/officeDocument/2006/relationships/hyperlink" Target="file:///\\vcifs\tercerizado2023\Evidencias%20Tercerizaci&#243;n%202023\Ingeniero%20de%20Prueba\Diciembre\Semana%201" TargetMode="External"/><Relationship Id="rId386" Type="http://schemas.openxmlformats.org/officeDocument/2006/relationships/hyperlink" Target="https://172.20.32.20/svn/Pizarras4/tags/frontend/pizarras_v4_frontend" TargetMode="External"/><Relationship Id="rId190" Type="http://schemas.openxmlformats.org/officeDocument/2006/relationships/hyperlink" Target="https://ifai-my.sharepoint.com/:w:/r/personal/samuel_partida_inai_org_mx/_layouts/15/Doc.aspx?sourcedoc=%7BE3893BBE-E71E-4A16-B776-AACBCF429F22%7D&amp;file=Querys_Estadisiticas_Totales_NReyes.docx&amp;action=default&amp;mobileredirect=true" TargetMode="External"/><Relationship Id="rId204" Type="http://schemas.openxmlformats.org/officeDocument/2006/relationships/hyperlink" Target="http://172.20.32.120:9000/" TargetMode="External"/><Relationship Id="rId225" Type="http://schemas.openxmlformats.org/officeDocument/2006/relationships/hyperlink" Target="file:///\\vcifs\tercerizado2023\Evidencias%20Tercerizaci&#243;n%202023\Ingeniero%20de%20Prueba\Septiembre\Semana%203" TargetMode="External"/><Relationship Id="rId246" Type="http://schemas.openxmlformats.org/officeDocument/2006/relationships/hyperlink" Target="http://repositoriosdgis.ifai.org.mx/Pagina%20Web/Actividades%20Ricardo%20Olivares%202023/actividades%20octubre/catalogos.png" TargetMode="External"/><Relationship Id="rId267" Type="http://schemas.openxmlformats.org/officeDocument/2006/relationships/hyperlink" Target="https://github.com/INAIMexico/pnt-microservicios-estadisticos" TargetMode="External"/><Relationship Id="rId288" Type="http://schemas.openxmlformats.org/officeDocument/2006/relationships/hyperlink" Target="file:///\\vcifs\tercerizado2023\Evidencias%20Tercerizaci&#243;n%202023\Ingeniero%20de%20Prueba\Noviembre\Semana%202" TargetMode="External"/><Relationship Id="rId106" Type="http://schemas.openxmlformats.org/officeDocument/2006/relationships/hyperlink" Target="http://repositoriosdgis.ifai.org.mx/Pagina%20Web/Actividades%202023/06-%20Junio%202023/Pagina%20web.docx" TargetMode="External"/><Relationship Id="rId127" Type="http://schemas.openxmlformats.org/officeDocument/2006/relationships/hyperlink" Target="http://repositoriosdgis.ifai.org.mx/Pagina%20Web/Actividades%202023/09-septiembre-2023/actividades%20mes%20de%20septiembre.docx" TargetMode="External"/><Relationship Id="rId313"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10" Type="http://schemas.openxmlformats.org/officeDocument/2006/relationships/hyperlink" Target="https://172.20.32.20/svn/PNT_APPS_V2/DEV/code/App-Movil-v3/PNT-app-1.0.0" TargetMode="External"/><Relationship Id="rId31" Type="http://schemas.openxmlformats.org/officeDocument/2006/relationships/hyperlink" Target="https://172.20.32.20/svn/PNT_APPS_V2/DEV/code/App-Movil-v3/PNT-app-1.0.0" TargetMode="External"/><Relationship Id="rId52" Type="http://schemas.openxmlformats.org/officeDocument/2006/relationships/hyperlink" Target="https://172.20.32.20/svn/PNT_APPS_V2/DEV/code/App-Movil-v3/PNT-app-1.0.0" TargetMode="External"/><Relationship Id="rId73" Type="http://schemas.openxmlformats.org/officeDocument/2006/relationships/hyperlink" Target="https://172.20.32.20/svn/PNT_APPS_V2/DEV/code/App-Movil-v3/PNT-app-1.0.0" TargetMode="External"/><Relationship Id="rId94" Type="http://schemas.openxmlformats.org/officeDocument/2006/relationships/hyperlink" Target="https://172.20.32.20/svn/PNT_APPS_V2/DEV/code/App-Movil-v3/PNT-app-1.0.0" TargetMode="External"/><Relationship Id="rId148" Type="http://schemas.openxmlformats.org/officeDocument/2006/relationships/hyperlink" Target="http://172.20.32.118:8080/" TargetMode="External"/><Relationship Id="rId169" Type="http://schemas.openxmlformats.org/officeDocument/2006/relationships/hyperlink" Target="https://github.com/INAIMexico/pnt-microservicios-estadisticos" TargetMode="External"/><Relationship Id="rId334" Type="http://schemas.openxmlformats.org/officeDocument/2006/relationships/hyperlink" Target="http://172.20.32.120:9000/" TargetMode="External"/><Relationship Id="rId355" Type="http://schemas.openxmlformats.org/officeDocument/2006/relationships/hyperlink" Target="https://172.20.32.20/svn/PNT_V3/trunk/Back-end/Sigemi-pnt3-api-rest" TargetMode="External"/><Relationship Id="rId376" Type="http://schemas.openxmlformats.org/officeDocument/2006/relationships/hyperlink" Target="file:///\\vcifs\tercerizado2023\Evidencias%20Tercerizaci&#243;n%202023\Ingeniero%20de%20Prueba\Diciembre\Semana%204" TargetMode="External"/><Relationship Id="rId397" Type="http://schemas.openxmlformats.org/officeDocument/2006/relationships/printerSettings" Target="../printerSettings/printerSettings2.bin"/><Relationship Id="rId4" Type="http://schemas.openxmlformats.org/officeDocument/2006/relationships/hyperlink" Target="https://172.20.32.20/svn/PNT_APPS_V2/DEV/code/App-Movil-v3/PNT-app-1.0.0" TargetMode="External"/><Relationship Id="rId180" Type="http://schemas.openxmlformats.org/officeDocument/2006/relationships/hyperlink" Target="https://172.20.32.20/svn/FIRMA_ELECTRONICA_2/trunk/Firma-electronica-app-front-end" TargetMode="External"/><Relationship Id="rId215" Type="http://schemas.openxmlformats.org/officeDocument/2006/relationships/hyperlink" Target="file:///\\vcifs\tercerizado2023\Evidencias%20Tercerizaci&#243;n%202023\Ingeniero%20de%20Prueba\Septiembre\Semana%202" TargetMode="External"/><Relationship Id="rId236" Type="http://schemas.openxmlformats.org/officeDocument/2006/relationships/hyperlink" Target="file:///\\vcifs\tercerizado2023\Evidencias%20Tercerizaci&#243;n%202023\Ingeniero%20de%20Prueba\Septiembre\Semana%204" TargetMode="External"/><Relationship Id="rId257" Type="http://schemas.openxmlformats.org/officeDocument/2006/relationships/hyperlink" Target="http://repositoriosdgis.ifai.org.mx/Pagina%20Web/Actividades%20Ricardo%20Olivares%202023/actividades%20octubre/Basededatos.PNG" TargetMode="External"/><Relationship Id="rId278" Type="http://schemas.openxmlformats.org/officeDocument/2006/relationships/hyperlink" Target="https://172.20.32.20/svn/PNT_V3/trunk/Back-end/Sigemi-pnt3-api-rest" TargetMode="External"/><Relationship Id="rId303" Type="http://schemas.openxmlformats.org/officeDocument/2006/relationships/hyperlink" Target="file:///\\vcifs\tercerizado2023\Evidencias%20Tercerizaci&#243;n%202023\Ingeniero%20de%20Prueba\Noviembre\Semana%204" TargetMode="External"/><Relationship Id="rId42" Type="http://schemas.openxmlformats.org/officeDocument/2006/relationships/hyperlink" Target="https://172.20.32.20/svn/PNT_APPS_V2/DEV/code/App-Movil-v3/PNT-app-1.0.0" TargetMode="External"/><Relationship Id="rId84" Type="http://schemas.openxmlformats.org/officeDocument/2006/relationships/hyperlink" Target="https://172.20.32.20/svn/PNT_APPS_V2/DEV/code/App-Movil-v3/PNT-app-1.0.0" TargetMode="External"/><Relationship Id="rId138" Type="http://schemas.openxmlformats.org/officeDocument/2006/relationships/hyperlink" Target="http://repositoriosdgis.ifai.org.mx/Pagina%20Web/Actividades%202023/09-septiembre-2023/actividades%20mes%20de%20septiembre.docx" TargetMode="External"/><Relationship Id="rId345" Type="http://schemas.openxmlformats.org/officeDocument/2006/relationships/hyperlink" Target="https://172.20.32.20/svn/Pizarras4/tags/frontend/pizarras_v4_frontend" TargetMode="External"/><Relationship Id="rId387" Type="http://schemas.openxmlformats.org/officeDocument/2006/relationships/hyperlink" Target="https://172.20.32.20/svn/Pizarras4/tags/frontend/pizarras_v4_frontend" TargetMode="External"/><Relationship Id="rId191" Type="http://schemas.openxmlformats.org/officeDocument/2006/relationships/hyperlink" Target="https://ifai-my.sharepoint.com/:w:/r/personal/samuel_partida_inai_org_mx/_layouts/15/Doc.aspx?sourcedoc=%7BE3893BBE-E71E-4A16-B776-AACBCF429F22%7D&amp;file=Querys_Estadisiticas_Totales_NReyes.docx&amp;action=default&amp;mobileredirect=true" TargetMode="External"/><Relationship Id="rId205" Type="http://schemas.openxmlformats.org/officeDocument/2006/relationships/hyperlink" Target="http://172.20.32.120:9000/" TargetMode="External"/><Relationship Id="rId247" Type="http://schemas.openxmlformats.org/officeDocument/2006/relationships/hyperlink" Target="http://repositoriosdgis.ifai.org.mx/Pagina%20Web/Actividades%20Ricardo%20Olivares%202023/actividades%20octubre/Basededatos.PNG" TargetMode="External"/><Relationship Id="rId107" Type="http://schemas.openxmlformats.org/officeDocument/2006/relationships/hyperlink" Target="http://repositoriosdgis.ifai.org.mx/Pagina%20Web/Actividades%202023/06-%20Junio%202023/Resoluciones.docx" TargetMode="External"/><Relationship Id="rId289" Type="http://schemas.openxmlformats.org/officeDocument/2006/relationships/hyperlink" Target="file:///\\vcifs\tercerizado2023\Evidencias%20Tercerizaci&#243;n%202023\Ingeniero%20de%20Prueba\Noviembre\Semana%202" TargetMode="External"/><Relationship Id="rId11" Type="http://schemas.openxmlformats.org/officeDocument/2006/relationships/hyperlink" Target="https://172.20.32.20/svn/PNT_APPS_V2/DEV/code/App-Movil-v3/PNT-app-1.0.0" TargetMode="External"/><Relationship Id="rId53" Type="http://schemas.openxmlformats.org/officeDocument/2006/relationships/hyperlink" Target="https://172.20.32.20/svn/PNT_APPS_V2/DEV/code/App-Movil-v3/PNT-app-1.0.0" TargetMode="External"/><Relationship Id="rId149" Type="http://schemas.openxmlformats.org/officeDocument/2006/relationships/hyperlink" Target="http://172.20.32.118:8080/" TargetMode="External"/><Relationship Id="rId314"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356" Type="http://schemas.openxmlformats.org/officeDocument/2006/relationships/hyperlink" Target="https://172.20.32.20/svn/PNT_V3/trunk/Back-end/Sigemi-pnt3-api-rest" TargetMode="External"/><Relationship Id="rId398" Type="http://schemas.openxmlformats.org/officeDocument/2006/relationships/drawing" Target="../drawings/drawing2.xml"/><Relationship Id="rId95" Type="http://schemas.openxmlformats.org/officeDocument/2006/relationships/hyperlink" Target="https://172.20.32.20/svn/PNT_APPS_V2/DEV/code/App-Movil-v3/PNT-app-1.0.0" TargetMode="External"/><Relationship Id="rId160" Type="http://schemas.openxmlformats.org/officeDocument/2006/relationships/hyperlink" Target="https://github.com/INAIMexico/pnt-microservicios-estadisticos" TargetMode="External"/><Relationship Id="rId216" Type="http://schemas.openxmlformats.org/officeDocument/2006/relationships/hyperlink" Target="file:///\\vcifs\tercerizado2023\Evidencias%20Tercerizaci&#243;n%202023\Ingeniero%20de%20Prueba\Septiembre\Semana%202" TargetMode="External"/><Relationship Id="rId258" Type="http://schemas.openxmlformats.org/officeDocument/2006/relationships/hyperlink" Target="http://repositoriosdgis.ifai.org.mx/Pagina%20Web/Actividades%20Ricardo%20Olivares%202023/actividades%20octubre/tipoexpedienteregistrar.png" TargetMode="External"/><Relationship Id="rId22" Type="http://schemas.openxmlformats.org/officeDocument/2006/relationships/hyperlink" Target="https://www.google.com/url?q=https://teams.microsoft.com/l/meetup-join/19%253ameeting_NDc1M2ZjNTEtNWExOS00NjgxLWJkNDEtYzc5YmNkMDMxOWQ3%2540thread.v2/0?context%3D%257b%2522Tid%2522%253a%25224e6a317c-9761-4ff0-8de8-4d166927ec3b%2522%252c%2522Oid%2522%253a%2522abee1892-ec1b-4a00-9846-e199aa4672c5%2522%257d&amp;sa=D&amp;source=calendar&amp;ust=1680114066948899&amp;usg=AOvVaw2IRZsjb6XhxLRT-jh0euQk" TargetMode="External"/><Relationship Id="rId64" Type="http://schemas.openxmlformats.org/officeDocument/2006/relationships/hyperlink" Target="https://172.20.32.20/svn/PNT_APPS_V2/DEV/code/App-Movil-v3/PNT-app-1.0.0" TargetMode="External"/><Relationship Id="rId118" Type="http://schemas.openxmlformats.org/officeDocument/2006/relationships/hyperlink" Target="https://172.20.32.20/svn/PNT_MICROSERVICIOS/branches/" TargetMode="External"/><Relationship Id="rId325"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367" Type="http://schemas.openxmlformats.org/officeDocument/2006/relationships/hyperlink" Target="file:///\\vcifs\tercerizado2023\Evidencias%20Tercerizaci&#243;n%202023\Ingeniero%20de%20Prueba\Diciembre\Semana%202" TargetMode="External"/><Relationship Id="rId171" Type="http://schemas.openxmlformats.org/officeDocument/2006/relationships/hyperlink" Target="https://172.20.32.20/svn/PNT_V3/trunk/Back-end/Sigemi-pnt3-api-rest" TargetMode="External"/><Relationship Id="rId227" Type="http://schemas.openxmlformats.org/officeDocument/2006/relationships/hyperlink" Target="file:///\\vcifs\tercerizado2023\Evidencias%20Tercerizaci&#243;n%202023\Ingeniero%20de%20Prueba\Septiembre\Semana%203" TargetMode="External"/><Relationship Id="rId269" Type="http://schemas.openxmlformats.org/officeDocument/2006/relationships/hyperlink" Target="https://github.com/INAIMexico/pnt-microservicios-estadisticos" TargetMode="External"/><Relationship Id="rId33" Type="http://schemas.openxmlformats.org/officeDocument/2006/relationships/hyperlink" Target="https://172.20.32.20/svn/PNT_APPS_V2/DEV/code/App-Movil-v3/PNT-app-1.0.0" TargetMode="External"/><Relationship Id="rId129" Type="http://schemas.openxmlformats.org/officeDocument/2006/relationships/hyperlink" Target="http://repositoriosdgis.ifai.org.mx/Pagina%20Web/Actividades%202023/09-septiembre-2023/actividades%20mes%20de%20septiembre.docx" TargetMode="External"/><Relationship Id="rId280" Type="http://schemas.openxmlformats.org/officeDocument/2006/relationships/hyperlink" Target="http://repositoriosdgis.ifai.org.mx/Pagina%20Web/Actividades%202023/11-Noviembre-2023/actualizacion%20de%20avance%20de%20proyecto%20nov.docx" TargetMode="External"/><Relationship Id="rId336" Type="http://schemas.openxmlformats.org/officeDocument/2006/relationships/hyperlink" Target="http://172.20.32.120:9000/" TargetMode="External"/><Relationship Id="rId75" Type="http://schemas.openxmlformats.org/officeDocument/2006/relationships/hyperlink" Target="https://172.20.32.20/svn/PNT_APPS_V2/DEV/code/App-Movil-v3/PNT-app-1.0.0" TargetMode="External"/><Relationship Id="rId140" Type="http://schemas.openxmlformats.org/officeDocument/2006/relationships/hyperlink" Target="http://repositoriosdgis.ifai.org.mx/Pagina%20Web/Actividades%202023/09-septiembre-2023/actividades%20mes%20de%20septiembre.docx" TargetMode="External"/><Relationship Id="rId182" Type="http://schemas.openxmlformats.org/officeDocument/2006/relationships/hyperlink" Target="https://172.20.32.20/svn/FIRMA_ELECTRONICA_2/trunk/Firma-electronica-app-front-end" TargetMode="External"/><Relationship Id="rId378" Type="http://schemas.openxmlformats.org/officeDocument/2006/relationships/hyperlink" Target="file:///\\vcifs\tercerizado2023\Evidencias%20Tercerizaci&#243;n%202023\Ingeniero%20de%20Prueba\Diciembre\Semana%204" TargetMode="External"/><Relationship Id="rId6" Type="http://schemas.openxmlformats.org/officeDocument/2006/relationships/hyperlink" Target="https://172.20.32.20/svn/PNT_APPS_V2/DEV/code/App-Movil-v3/PNT-app-1.0.0" TargetMode="External"/><Relationship Id="rId238" Type="http://schemas.openxmlformats.org/officeDocument/2006/relationships/hyperlink" Target="file:///\\vcifs\tercerizado2023\Evidencias%20Tercerizaci&#243;n%202023\Ingeniero%20de%20Prueba\Septiembre\Semana%205" TargetMode="External"/><Relationship Id="rId291" Type="http://schemas.openxmlformats.org/officeDocument/2006/relationships/hyperlink" Target="file:///\\vcifs\tercerizado2023\Evidencias%20Tercerizaci&#243;n%202023\Ingeniero%20de%20Prueba\Noviembre\Semana%202" TargetMode="External"/><Relationship Id="rId305" Type="http://schemas.openxmlformats.org/officeDocument/2006/relationships/hyperlink" Target="file:///\\vcifs\tercerizado2023\Evidencias%20Tercerizaci&#243;n%202023\Ingeniero%20de%20Prueba\Noviembre\Semana%205" TargetMode="External"/><Relationship Id="rId347" Type="http://schemas.openxmlformats.org/officeDocument/2006/relationships/hyperlink" Target="https://172.20.32.20/svn/Pizarras4/tags/frontend/pizarras_v4_frontend" TargetMode="External"/><Relationship Id="rId44" Type="http://schemas.openxmlformats.org/officeDocument/2006/relationships/hyperlink" Target="https://172.20.32.20/svn/PNT_APPS_V2/DEV/code/App-Movil-v3/PNT-app-1.0.0" TargetMode="External"/><Relationship Id="rId86" Type="http://schemas.openxmlformats.org/officeDocument/2006/relationships/hyperlink" Target="https://172.20.32.20/svn/PNT_APPS_V2/DEV/code/App-Movil-v3/PNT-app-1.0.0" TargetMode="External"/><Relationship Id="rId151" Type="http://schemas.openxmlformats.org/officeDocument/2006/relationships/hyperlink" Target="http://172.20.32.120:5000/" TargetMode="External"/><Relationship Id="rId389" Type="http://schemas.openxmlformats.org/officeDocument/2006/relationships/hyperlink" Target="https://172.20.32.20/svn/Pizarras4/tags/frontend/pizarras_v4_frontend" TargetMode="External"/><Relationship Id="rId193" Type="http://schemas.openxmlformats.org/officeDocument/2006/relationships/hyperlink" Target="http://172.20.32.118:8080/" TargetMode="External"/><Relationship Id="rId207" Type="http://schemas.openxmlformats.org/officeDocument/2006/relationships/hyperlink" Target="http://172.20.32.120:9000/" TargetMode="External"/><Relationship Id="rId249" Type="http://schemas.openxmlformats.org/officeDocument/2006/relationships/hyperlink" Target="http://repositoriosdgis.ifai.org.mx/Pagina%20Web/Actividades%20Ricardo%20Olivares%202023/actividades%20octubre/tipoexpedienteregistrar.png" TargetMode="External"/><Relationship Id="rId13" Type="http://schemas.openxmlformats.org/officeDocument/2006/relationships/hyperlink" Target="https://172.20.32.20/svn/PNT_APPS_V2/DEV/code/App-Movil-v3/PNT-app-1.0.0" TargetMode="External"/><Relationship Id="rId109" Type="http://schemas.openxmlformats.org/officeDocument/2006/relationships/hyperlink" Target="http://repositoriosdgis.ifai.org.mx/Pagina%20Web/Actividades%202023/07-Julio-2023/Requerimientos%20de%20aplicaciones%20web.docx" TargetMode="External"/><Relationship Id="rId260" Type="http://schemas.openxmlformats.org/officeDocument/2006/relationships/hyperlink" Target="http://repositoriosdgis.ifai.org.mx/Pagina%20Web/Actividades%20Ricardo%20Olivares%202023/actividades%20octubre/aniosregistrar.png" TargetMode="External"/><Relationship Id="rId316"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55" Type="http://schemas.openxmlformats.org/officeDocument/2006/relationships/hyperlink" Target="https://172.20.32.20/svn/PNT_APPS_V2/DEV/code/App-Movil-v3/PNT-app-1.0.0" TargetMode="External"/><Relationship Id="rId97" Type="http://schemas.openxmlformats.org/officeDocument/2006/relationships/hyperlink" Target="https://172.20.32.20/svn/PNT_APPS_V2/DEV/code/App-Movil-v3/PNT-app-1.0.0" TargetMode="External"/><Relationship Id="rId120" Type="http://schemas.openxmlformats.org/officeDocument/2006/relationships/hyperlink" Target="https://172.20.32.20/svn/PNT_MICROSERVICIOS/branches/" TargetMode="External"/><Relationship Id="rId358" Type="http://schemas.openxmlformats.org/officeDocument/2006/relationships/hyperlink" Target="https://github.com/INAIMexico/pnt-microservicios-comunes" TargetMode="External"/><Relationship Id="rId162" Type="http://schemas.openxmlformats.org/officeDocument/2006/relationships/hyperlink" Target="https://github.com/INAIMexico/pnt-microservicios-estadisticos" TargetMode="External"/><Relationship Id="rId218" Type="http://schemas.openxmlformats.org/officeDocument/2006/relationships/hyperlink" Target="file:///\\vcifs\tercerizado2023\Evidencias%20Tercerizaci&#243;n%202023\Ingeniero%20de%20Prueba\Septiembre\Semana%202" TargetMode="External"/><Relationship Id="rId271" Type="http://schemas.openxmlformats.org/officeDocument/2006/relationships/hyperlink" Target="https://github.com/INAIMexico/pnt-microservicios-estadisticos" TargetMode="External"/><Relationship Id="rId24" Type="http://schemas.openxmlformats.org/officeDocument/2006/relationships/hyperlink" Target="http://repositoriosdgis.ifai.org.mx/Pagina%20Web/Actividades%202023/03-Marzo-2023/Actualizaci%C3%B3n%20Solicitud%20de%20Informaci%C3%B3n.docx" TargetMode="External"/><Relationship Id="rId66" Type="http://schemas.openxmlformats.org/officeDocument/2006/relationships/hyperlink" Target="https://172.20.32.20/svn/PNT_APPS_V2/DEV/code/App-Movil-v3/PNT-app-1.0.0" TargetMode="External"/><Relationship Id="rId131" Type="http://schemas.openxmlformats.org/officeDocument/2006/relationships/hyperlink" Target="http://repositoriosdgis.ifai.org.mx/Pagina%20Web/Actividades%202023/09-septiembre-2023/actividades%20mes%20de%20septiembre.docx" TargetMode="External"/><Relationship Id="rId327"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369" Type="http://schemas.openxmlformats.org/officeDocument/2006/relationships/hyperlink" Target="file:///\\vcifs\tercerizado2023\Evidencias%20Tercerizaci&#243;n%202023\Ingeniero%20de%20Prueba\Diciembre\Semana%202" TargetMode="External"/><Relationship Id="rId173" Type="http://schemas.openxmlformats.org/officeDocument/2006/relationships/hyperlink" Target="https://172.20.32.20/svn/PNT_V3/trunk/Back-end/Sigemi-pnt3-api-rest" TargetMode="External"/><Relationship Id="rId229" Type="http://schemas.openxmlformats.org/officeDocument/2006/relationships/hyperlink" Target="file:///\\vcifs\tercerizado2023\Evidencias%20Tercerizaci&#243;n%202023\Ingeniero%20de%20Prueba\Septiembre\Semana%204" TargetMode="External"/><Relationship Id="rId380" Type="http://schemas.openxmlformats.org/officeDocument/2006/relationships/hyperlink" Target="https://ifai-my.sharepoint.com/:w:/r/personal/samuel_partida_inai_org_mx/_layouts/15/Doc.aspx?sourcedoc=%7BA1D90F5F-3565-4282-BD9E-D565696C0BAB%7D&amp;file=Querys_Estadisiticas_Totales_NUEVO_1223NRG.docx&amp;action=default&amp;mobileredirect=true" TargetMode="External"/><Relationship Id="rId240" Type="http://schemas.openxmlformats.org/officeDocument/2006/relationships/hyperlink" Target="file:///\\vcifs\tercerizado2023\Evidencias%20Tercerizaci&#243;n%202023\Ingeniero%20de%20Prueba\Octubre\Semana%202" TargetMode="External"/><Relationship Id="rId35" Type="http://schemas.openxmlformats.org/officeDocument/2006/relationships/hyperlink" Target="https://172.20.32.20/svn/PNT_APPS_V2/DEV/code/App-Movil-v3/PNT-app-1.0.0" TargetMode="External"/><Relationship Id="rId77" Type="http://schemas.openxmlformats.org/officeDocument/2006/relationships/hyperlink" Target="https://172.20.32.20/svn/PNT_APPS_V2/DEV/code/App-Movil-v3/PNT-app-1.0.0" TargetMode="External"/><Relationship Id="rId100" Type="http://schemas.openxmlformats.org/officeDocument/2006/relationships/hyperlink" Target="https://172.20.32.20/svn/PNT_APPS_V2/DEV/code/App-Movil-v3/PNT-app-1.0.0" TargetMode="External"/><Relationship Id="rId282" Type="http://schemas.openxmlformats.org/officeDocument/2006/relationships/hyperlink" Target="http://repositoriosdgis.ifai.org.mx/Pagina%20Web/Actividades%20Ricardo%20Olivares%202023/actividades%20octubre/materiasregistrar.png" TargetMode="External"/><Relationship Id="rId338" Type="http://schemas.openxmlformats.org/officeDocument/2006/relationships/hyperlink" Target="http://172.20.32.120:9000/" TargetMode="External"/><Relationship Id="rId8" Type="http://schemas.openxmlformats.org/officeDocument/2006/relationships/hyperlink" Target="https://172.20.32.20/svn/PNT_APPS_V2/DEV/code/App-Movil-v3/PNT-app-1.0.0" TargetMode="External"/><Relationship Id="rId142" Type="http://schemas.openxmlformats.org/officeDocument/2006/relationships/hyperlink" Target="file:///\\vcifs\tercerizado2023\Evidencias%20Tercerizaci&#243;n%202023\Ingeniero%20de%20Prueba\Septiembre\Semana%20%201" TargetMode="External"/><Relationship Id="rId184" Type="http://schemas.openxmlformats.org/officeDocument/2006/relationships/hyperlink" Target="https://172.20.32.20/svn/FIRMA_ELECTRONICA_2/trunk/Firma-electronica-app-front-end" TargetMode="External"/><Relationship Id="rId391" Type="http://schemas.openxmlformats.org/officeDocument/2006/relationships/hyperlink" Target="https://172.20.32.20/svn/Pizarras4/tags/frontend/pizarras_v4_frontend" TargetMode="External"/><Relationship Id="rId251" Type="http://schemas.openxmlformats.org/officeDocument/2006/relationships/hyperlink" Target="http://repositoriosdgis.ifai.org.mx/Pagina%20Web/Actividades%20Ricardo%20Olivares%202023/actividades%20octubre/permisos.png" TargetMode="External"/><Relationship Id="rId46" Type="http://schemas.openxmlformats.org/officeDocument/2006/relationships/hyperlink" Target="https://172.20.32.20/svn/PNT_APPS_V2/DEV/code/App-Movil-v3/PNT-app-1.0.0" TargetMode="External"/><Relationship Id="rId293" Type="http://schemas.openxmlformats.org/officeDocument/2006/relationships/hyperlink" Target="file:///\\vcifs\tercerizado2023\Evidencias%20Tercerizaci&#243;n%202023\Ingeniero%20de%20Prueba\Noviembre\Semana%203" TargetMode="External"/><Relationship Id="rId307" Type="http://schemas.openxmlformats.org/officeDocument/2006/relationships/hyperlink" Target="file:///\\vcifs\tercerizado2023\Evidencias%20Tercerizaci&#243;n%202023\Ingeniero%20de%20Prueba\Noviembre\Semana%205" TargetMode="External"/><Relationship Id="rId349" Type="http://schemas.openxmlformats.org/officeDocument/2006/relationships/hyperlink" Target="https://172.20.32.20/svn/Pizarras4/tags/frontend/pizarras_v4_frontend" TargetMode="External"/><Relationship Id="rId88" Type="http://schemas.openxmlformats.org/officeDocument/2006/relationships/hyperlink" Target="https://172.20.32.20/svn/PNT_APPS_V2/DEV/code/App-Movil-v3/PNT-app-1.0.0" TargetMode="External"/><Relationship Id="rId111" Type="http://schemas.openxmlformats.org/officeDocument/2006/relationships/hyperlink" Target="http://172.20.32.118:8080/" TargetMode="External"/><Relationship Id="rId153" Type="http://schemas.openxmlformats.org/officeDocument/2006/relationships/hyperlink" Target="http://172.20.32.120:5000/" TargetMode="External"/><Relationship Id="rId195" Type="http://schemas.openxmlformats.org/officeDocument/2006/relationships/hyperlink" Target="http://172.20.32.118:8080/" TargetMode="External"/><Relationship Id="rId209" Type="http://schemas.openxmlformats.org/officeDocument/2006/relationships/hyperlink" Target="http://172.20.32.120:9000/" TargetMode="External"/><Relationship Id="rId360" Type="http://schemas.openxmlformats.org/officeDocument/2006/relationships/hyperlink" Target="https://github.com/INAIMexico/pnt-microservicios-datos-abiertos" TargetMode="External"/><Relationship Id="rId220" Type="http://schemas.openxmlformats.org/officeDocument/2006/relationships/hyperlink" Target="file:///\\vcifs\tercerizado2023\Evidencias%20Tercerizaci&#243;n%202023\Ingeniero%20de%20Prueba\Septiembre\Semana%202" TargetMode="External"/><Relationship Id="rId15" Type="http://schemas.openxmlformats.org/officeDocument/2006/relationships/hyperlink" Target="https://172.20.32.20/svn/PNT_APPS_V2/DEV/code/App-Movil-v3/PNT-app-1.0.0" TargetMode="External"/><Relationship Id="rId57" Type="http://schemas.openxmlformats.org/officeDocument/2006/relationships/hyperlink" Target="https://172.20.32.20/svn/PNT_APPS_V2/DEV/code/App-Movil-v3/PNT-app-1.0.0" TargetMode="External"/><Relationship Id="rId262" Type="http://schemas.openxmlformats.org/officeDocument/2006/relationships/hyperlink" Target="http://repositoriosdgis.ifai.org.mx/Pagina%20Web/Actividades%20Ricardo%20Olivares%202023/actividades%20octubre/criterioseditar.png" TargetMode="External"/><Relationship Id="rId318" Type="http://schemas.openxmlformats.org/officeDocument/2006/relationships/hyperlink" Target="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TargetMode="External"/><Relationship Id="rId99" Type="http://schemas.openxmlformats.org/officeDocument/2006/relationships/hyperlink" Target="https://172.20.32.20/svn/PNT_APPS_V2/DEV/code/App-Movil-v3/PNT-app-1.0.0" TargetMode="External"/><Relationship Id="rId122" Type="http://schemas.openxmlformats.org/officeDocument/2006/relationships/hyperlink" Target="http://repositoriosdgis.ifai.org.mx/Pagina%20Web/Actividades%202023/09-septiembre-2023/actividades%20mes%20de%20septiembre.docx" TargetMode="External"/><Relationship Id="rId164" Type="http://schemas.openxmlformats.org/officeDocument/2006/relationships/hyperlink" Target="https://github.com/INAIMexico/pnt-microservicios-estadisticos" TargetMode="External"/><Relationship Id="rId371" Type="http://schemas.openxmlformats.org/officeDocument/2006/relationships/hyperlink" Target="file:///\\vcifs\tercerizado2023\Evidencias%20Tercerizaci&#243;n%202023\Ingeniero%20de%20Prueba\Diciembre\Semana%202" TargetMode="External"/><Relationship Id="rId26" Type="http://schemas.openxmlformats.org/officeDocument/2006/relationships/hyperlink" Target="https://172.20.32.20/svn/PNT_APPS_V2/DEV/code/App-Movil-v3/PNT-app-1.0.0" TargetMode="External"/><Relationship Id="rId231" Type="http://schemas.openxmlformats.org/officeDocument/2006/relationships/hyperlink" Target="file:///\\vcifs\tercerizado2023\Evidencias%20Tercerizaci&#243;n%202023\Ingeniero%20de%20Prueba\Septiembre\Semana%204" TargetMode="External"/><Relationship Id="rId273" Type="http://schemas.openxmlformats.org/officeDocument/2006/relationships/hyperlink" Target="https://github.com/INAIMexico/pnt-microservicios-estadisticos" TargetMode="External"/><Relationship Id="rId329" Type="http://schemas.openxmlformats.org/officeDocument/2006/relationships/hyperlink" Target="https://ifai-my.sharepoint.com/personal/samuel_partida_inai_org_mx/_layouts/15/onedrive.aspx?ga=1&amp;id=%2Fpersonal%2Fsamuel%5Fpartida%5Finai%5Forg%5Fmx%2FDocuments%2FOPTIMIZAR%5FQUERYS%5FSISAI%5FSIGEMI%2FPACK%5FQUEJAS%5FESTADISTICAS%2Ezip&amp;parent=%2Fpersonal%2Fsamuel%5Fpartida%5Finai%5Forg%5Fmx%2FDocuments%2FOPTIMIZAR%5FQUERYS%5FSISAI%5FSIGEMI" TargetMode="External"/><Relationship Id="rId68" Type="http://schemas.openxmlformats.org/officeDocument/2006/relationships/hyperlink" Target="https://172.20.32.20/svn/PNT_APPS_V2/DEV/code/App-Movil-v3/PNT-app-1.0.0" TargetMode="External"/><Relationship Id="rId133" Type="http://schemas.openxmlformats.org/officeDocument/2006/relationships/hyperlink" Target="http://repositoriosdgis.ifai.org.mx/Pagina%20Web/Actividades%202023/09-septiembre-2023/actividades%20mes%20de%20septiembre.docx" TargetMode="External"/><Relationship Id="rId175" Type="http://schemas.openxmlformats.org/officeDocument/2006/relationships/hyperlink" Target="https://172.20.32.20/svn/FIRMA_ELECTRONICA_2/trunk/Firma-electronica-app-front-end" TargetMode="External"/><Relationship Id="rId340" Type="http://schemas.openxmlformats.org/officeDocument/2006/relationships/hyperlink" Target="https://172.20.32.20/svn/Pizarras4/tags/frontend/pizarras_v4_frontend" TargetMode="External"/><Relationship Id="rId200" Type="http://schemas.openxmlformats.org/officeDocument/2006/relationships/hyperlink" Target="http://172.20.32.120:9000/" TargetMode="External"/><Relationship Id="rId382" Type="http://schemas.openxmlformats.org/officeDocument/2006/relationships/hyperlink" Target="https://ifai-my.sharepoint.com/personal/samuel_partida_inai_org_mx/_layouts/15/onedrive.aspx?ga=1&amp;id=%2Fpersonal%2Fsamuel%5Fpartida%5Finai%5Forg%5Fmx%2FDocuments%2FOPTIMIZAR%5FQUERYS%5FSISAI%5FSIGEMI%2FPACK%5FQUEJAS%5FESTADISTICAS%2Ezip&amp;parent=%2Fpersonal%2Fsamuel%5Fpartida%5Finai%5Forg%5Fmx%2FDocuments%2FOPTIMIZAR%5FQUERYS%5FSISAI%5FSIGEMI" TargetMode="External"/><Relationship Id="rId242" Type="http://schemas.openxmlformats.org/officeDocument/2006/relationships/hyperlink" Target="file:///\\vcifs\tercerizado2023\Evidencias%20Tercerizaci&#243;n%202023\Ingeniero%20de%20Prueba\Octubre\Semana%204" TargetMode="External"/><Relationship Id="rId284" Type="http://schemas.openxmlformats.org/officeDocument/2006/relationships/hyperlink" Target="http://repositoriosdgis.ifai.org.mx/Pagina%20Web/Actividades%20Ricardo%20Olivares%202023/actividades%20octubre/informacioneditarresoluciones.png"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428"/>
  <sheetViews>
    <sheetView tabSelected="1" topLeftCell="A18" zoomScale="55" zoomScaleNormal="55" workbookViewId="0">
      <selection activeCell="J5" sqref="J5"/>
    </sheetView>
  </sheetViews>
  <sheetFormatPr baseColWidth="10" defaultRowHeight="14.4" x14ac:dyDescent="0.3"/>
  <cols>
    <col min="1" max="1" width="17.77734375" customWidth="1"/>
    <col min="2" max="2" width="17" customWidth="1"/>
    <col min="3" max="3" width="18.77734375" customWidth="1"/>
    <col min="4" max="4" width="13.77734375" customWidth="1"/>
    <col min="5" max="5" width="12.21875" customWidth="1"/>
    <col min="6" max="6" width="16.5546875" customWidth="1"/>
    <col min="7" max="7" width="44.88671875" customWidth="1"/>
    <col min="8" max="8" width="59.77734375" style="95" customWidth="1"/>
    <col min="9" max="9" width="21.77734375" style="95" customWidth="1"/>
    <col min="10" max="10" width="26.77734375" style="280" bestFit="1" customWidth="1"/>
    <col min="11" max="11" width="18.44140625" customWidth="1"/>
    <col min="12" max="12" width="12.6640625" bestFit="1" customWidth="1"/>
    <col min="13" max="13" width="16.77734375" style="95" customWidth="1"/>
    <col min="14" max="14" width="32.6640625" style="95" bestFit="1" customWidth="1"/>
    <col min="15" max="15" width="11" bestFit="1" customWidth="1"/>
    <col min="16" max="16" width="17.33203125" bestFit="1" customWidth="1"/>
    <col min="17" max="17" width="11" bestFit="1" customWidth="1"/>
    <col min="18" max="18" width="13.21875" customWidth="1"/>
  </cols>
  <sheetData>
    <row r="1" spans="1:18" x14ac:dyDescent="0.3">
      <c r="A1" s="11"/>
      <c r="B1" s="11"/>
      <c r="C1" s="11"/>
      <c r="D1" s="11"/>
      <c r="E1" s="11"/>
      <c r="F1" s="11"/>
      <c r="G1" s="11"/>
      <c r="H1" s="281"/>
      <c r="I1" s="281"/>
      <c r="J1" s="278"/>
      <c r="K1" s="11"/>
      <c r="L1" s="11"/>
      <c r="M1" s="281"/>
      <c r="N1" s="281"/>
      <c r="O1" s="11"/>
      <c r="P1" s="11"/>
    </row>
    <row r="2" spans="1:18" ht="26.25" customHeight="1" x14ac:dyDescent="0.3">
      <c r="A2" s="11"/>
      <c r="B2" s="11"/>
      <c r="C2" s="11"/>
      <c r="D2" s="11"/>
      <c r="E2" s="11"/>
      <c r="F2" s="34" t="s">
        <v>0</v>
      </c>
      <c r="G2" s="32"/>
      <c r="H2" s="32"/>
      <c r="I2" s="32"/>
      <c r="J2" s="279"/>
      <c r="K2" s="32"/>
      <c r="L2" s="32"/>
      <c r="M2" s="33"/>
      <c r="N2" s="281"/>
      <c r="O2" s="11"/>
      <c r="P2" s="11"/>
    </row>
    <row r="3" spans="1:18" ht="15.6" x14ac:dyDescent="0.3">
      <c r="A3" s="11"/>
      <c r="B3" s="11"/>
      <c r="C3" s="11"/>
      <c r="D3" s="11"/>
      <c r="E3" s="11"/>
      <c r="F3" s="119" t="s">
        <v>24</v>
      </c>
      <c r="G3" s="100" t="s">
        <v>41</v>
      </c>
      <c r="H3" s="281"/>
      <c r="I3" s="281"/>
      <c r="J3" s="278"/>
      <c r="K3" s="11"/>
      <c r="L3" s="11"/>
      <c r="M3" s="281"/>
      <c r="N3" s="281"/>
      <c r="O3" s="11"/>
      <c r="P3" s="11"/>
    </row>
    <row r="4" spans="1:18" ht="15.6" x14ac:dyDescent="0.3">
      <c r="A4" s="11"/>
      <c r="B4" s="11"/>
      <c r="C4" s="11"/>
      <c r="D4" s="11"/>
      <c r="E4" s="11"/>
      <c r="F4" s="120" t="s">
        <v>25</v>
      </c>
      <c r="G4" s="100" t="s">
        <v>622</v>
      </c>
      <c r="H4" s="281" t="str">
        <f>IF(B8="Ampliación",B8,"")</f>
        <v/>
      </c>
      <c r="I4" s="281"/>
      <c r="J4" s="278"/>
      <c r="K4" s="11"/>
      <c r="L4" s="11"/>
      <c r="M4" s="281"/>
      <c r="N4" s="281"/>
      <c r="O4" s="11"/>
      <c r="P4" s="11"/>
    </row>
    <row r="5" spans="1:18" ht="15.6" x14ac:dyDescent="0.3">
      <c r="A5" s="11"/>
      <c r="B5" s="11"/>
      <c r="C5" s="11"/>
      <c r="D5" s="11"/>
      <c r="E5" s="11"/>
      <c r="F5" s="119" t="s">
        <v>26</v>
      </c>
      <c r="G5" s="100" t="s">
        <v>42</v>
      </c>
      <c r="H5" s="281"/>
      <c r="I5" s="281"/>
      <c r="J5" s="278"/>
      <c r="K5" s="11"/>
      <c r="L5" s="11"/>
      <c r="M5" s="281"/>
      <c r="N5" s="281"/>
      <c r="O5" s="11"/>
      <c r="P5" s="11"/>
    </row>
    <row r="6" spans="1:18" ht="15.6" x14ac:dyDescent="0.3">
      <c r="A6" s="94" t="s">
        <v>53</v>
      </c>
      <c r="B6" s="92" t="s">
        <v>155</v>
      </c>
      <c r="C6" s="11"/>
      <c r="D6" s="11"/>
      <c r="E6" s="11"/>
      <c r="F6" s="119" t="s">
        <v>27</v>
      </c>
      <c r="G6" s="100" t="str">
        <f>VLOOKUP(B6,Catalogos!$B$18:$E$25,2,FALSE)</f>
        <v>Dirección de Sistemas</v>
      </c>
      <c r="H6" s="281"/>
      <c r="I6" s="281"/>
      <c r="J6" s="278"/>
      <c r="K6" s="11"/>
      <c r="L6" s="11"/>
      <c r="M6" s="281"/>
      <c r="N6" s="281"/>
      <c r="O6" s="11"/>
      <c r="P6" s="11"/>
    </row>
    <row r="7" spans="1:18" ht="15.6" x14ac:dyDescent="0.3">
      <c r="A7" s="94" t="s">
        <v>52</v>
      </c>
      <c r="B7" s="92" t="s">
        <v>1312</v>
      </c>
      <c r="C7" s="11"/>
      <c r="D7" s="11"/>
      <c r="E7" s="11"/>
      <c r="F7" s="121" t="s">
        <v>104</v>
      </c>
      <c r="G7" s="122">
        <v>2023</v>
      </c>
      <c r="H7" s="281"/>
      <c r="I7" s="281"/>
      <c r="J7" s="278"/>
      <c r="K7" s="11"/>
      <c r="L7" s="11"/>
      <c r="M7" s="281"/>
      <c r="N7" s="281"/>
      <c r="O7" s="11"/>
      <c r="P7" s="11"/>
    </row>
    <row r="8" spans="1:18" ht="15.6" x14ac:dyDescent="0.3">
      <c r="A8" s="94" t="s">
        <v>5373</v>
      </c>
      <c r="B8" s="92" t="s">
        <v>105</v>
      </c>
      <c r="C8" s="11"/>
      <c r="D8" s="11"/>
      <c r="E8" s="11"/>
      <c r="F8" s="312" t="s">
        <v>2451</v>
      </c>
      <c r="G8" s="320">
        <v>45208</v>
      </c>
      <c r="H8" s="281"/>
      <c r="I8" s="281"/>
      <c r="J8" s="278"/>
      <c r="K8" s="11"/>
      <c r="L8" s="11"/>
      <c r="M8" s="281"/>
      <c r="N8" s="281"/>
      <c r="O8" s="11"/>
      <c r="P8" s="11"/>
    </row>
    <row r="9" spans="1:18" x14ac:dyDescent="0.3">
      <c r="A9" s="11"/>
      <c r="B9" s="11"/>
      <c r="C9" s="11"/>
      <c r="D9" s="11"/>
      <c r="E9" s="11"/>
      <c r="F9" s="11"/>
      <c r="G9" s="11"/>
      <c r="H9" s="281"/>
      <c r="I9" s="281"/>
      <c r="J9" s="278"/>
      <c r="K9" s="11"/>
      <c r="L9" s="11"/>
      <c r="M9" s="281"/>
      <c r="N9" s="281"/>
      <c r="O9" s="11"/>
      <c r="P9" s="11"/>
    </row>
    <row r="10" spans="1:18" ht="31.2" x14ac:dyDescent="0.3">
      <c r="A10" s="968" t="s">
        <v>7</v>
      </c>
      <c r="B10" s="115" t="s">
        <v>1</v>
      </c>
      <c r="C10" s="115" t="s">
        <v>2</v>
      </c>
      <c r="D10" s="115" t="s">
        <v>3</v>
      </c>
      <c r="E10" s="115" t="s">
        <v>5</v>
      </c>
      <c r="F10" s="115" t="s">
        <v>6</v>
      </c>
      <c r="G10" s="115" t="s">
        <v>8</v>
      </c>
      <c r="H10" s="116" t="s">
        <v>109</v>
      </c>
      <c r="I10" s="277" t="s">
        <v>50</v>
      </c>
      <c r="J10" s="115" t="s">
        <v>51</v>
      </c>
      <c r="K10" s="115" t="s">
        <v>11</v>
      </c>
      <c r="L10" s="115" t="s">
        <v>12</v>
      </c>
      <c r="M10" s="115" t="s">
        <v>13</v>
      </c>
      <c r="N10" s="115" t="s">
        <v>14</v>
      </c>
      <c r="O10" s="117" t="s">
        <v>55</v>
      </c>
    </row>
    <row r="11" spans="1:18" s="36" customFormat="1" ht="15.6" x14ac:dyDescent="0.3">
      <c r="A11" s="92" t="s">
        <v>105</v>
      </c>
      <c r="B11" s="92" t="s">
        <v>22</v>
      </c>
      <c r="C11" s="92" t="s">
        <v>23</v>
      </c>
      <c r="D11" s="92" t="s">
        <v>155</v>
      </c>
      <c r="E11" s="92" t="s">
        <v>408</v>
      </c>
      <c r="F11" s="92" t="s">
        <v>23</v>
      </c>
      <c r="G11" s="92" t="s">
        <v>405</v>
      </c>
      <c r="H11" s="92" t="s">
        <v>1364</v>
      </c>
      <c r="I11" s="276">
        <v>45078</v>
      </c>
      <c r="J11" s="276">
        <v>45078</v>
      </c>
      <c r="K11" s="92" t="s">
        <v>17</v>
      </c>
      <c r="L11" s="92" t="s">
        <v>462</v>
      </c>
      <c r="M11" s="92" t="s">
        <v>1120</v>
      </c>
      <c r="N11" s="92" t="s">
        <v>40</v>
      </c>
      <c r="O11" s="969">
        <v>6</v>
      </c>
      <c r="P11"/>
      <c r="Q11"/>
      <c r="R11"/>
    </row>
    <row r="12" spans="1:18" s="36" customFormat="1" ht="15.6" x14ac:dyDescent="0.3">
      <c r="A12" s="92" t="s">
        <v>105</v>
      </c>
      <c r="B12" s="92" t="s">
        <v>22</v>
      </c>
      <c r="C12" s="92" t="s">
        <v>23</v>
      </c>
      <c r="D12" s="92" t="s">
        <v>155</v>
      </c>
      <c r="E12" s="92" t="s">
        <v>408</v>
      </c>
      <c r="F12" s="92" t="s">
        <v>23</v>
      </c>
      <c r="G12" s="92" t="s">
        <v>405</v>
      </c>
      <c r="H12" s="92" t="s">
        <v>1365</v>
      </c>
      <c r="I12" s="276">
        <v>45078</v>
      </c>
      <c r="J12" s="276">
        <v>45078</v>
      </c>
      <c r="K12" s="92" t="s">
        <v>17</v>
      </c>
      <c r="L12" s="92" t="s">
        <v>462</v>
      </c>
      <c r="M12" s="92" t="s">
        <v>208</v>
      </c>
      <c r="N12" s="92" t="s">
        <v>40</v>
      </c>
      <c r="O12" s="969">
        <v>6</v>
      </c>
      <c r="P12"/>
      <c r="Q12"/>
      <c r="R12"/>
    </row>
    <row r="13" spans="1:18" s="36" customFormat="1" ht="15.6" x14ac:dyDescent="0.3">
      <c r="A13" s="92" t="s">
        <v>105</v>
      </c>
      <c r="B13" s="92" t="s">
        <v>22</v>
      </c>
      <c r="C13" s="92" t="s">
        <v>23</v>
      </c>
      <c r="D13" s="92" t="s">
        <v>155</v>
      </c>
      <c r="E13" s="92" t="s">
        <v>408</v>
      </c>
      <c r="F13" s="92" t="s">
        <v>23</v>
      </c>
      <c r="G13" s="92" t="s">
        <v>405</v>
      </c>
      <c r="H13" s="92" t="s">
        <v>1366</v>
      </c>
      <c r="I13" s="276">
        <v>45079</v>
      </c>
      <c r="J13" s="276">
        <v>45079</v>
      </c>
      <c r="K13" s="92" t="s">
        <v>17</v>
      </c>
      <c r="L13" s="92" t="s">
        <v>462</v>
      </c>
      <c r="M13" s="92" t="s">
        <v>1120</v>
      </c>
      <c r="N13" s="92" t="s">
        <v>40</v>
      </c>
      <c r="O13" s="969">
        <v>6</v>
      </c>
      <c r="P13"/>
      <c r="Q13"/>
      <c r="R13"/>
    </row>
    <row r="14" spans="1:18" s="36" customFormat="1" ht="15.6" x14ac:dyDescent="0.3">
      <c r="A14" s="92" t="s">
        <v>105</v>
      </c>
      <c r="B14" s="92" t="s">
        <v>22</v>
      </c>
      <c r="C14" s="92" t="s">
        <v>23</v>
      </c>
      <c r="D14" s="92" t="s">
        <v>155</v>
      </c>
      <c r="E14" s="92" t="s">
        <v>408</v>
      </c>
      <c r="F14" s="92" t="s">
        <v>23</v>
      </c>
      <c r="G14" s="92" t="s">
        <v>405</v>
      </c>
      <c r="H14" s="92" t="s">
        <v>1367</v>
      </c>
      <c r="I14" s="276">
        <v>45079</v>
      </c>
      <c r="J14" s="276">
        <v>45079</v>
      </c>
      <c r="K14" s="92" t="s">
        <v>17</v>
      </c>
      <c r="L14" s="92" t="s">
        <v>462</v>
      </c>
      <c r="M14" s="92" t="s">
        <v>208</v>
      </c>
      <c r="N14" s="92" t="s">
        <v>40</v>
      </c>
      <c r="O14" s="969">
        <v>6</v>
      </c>
      <c r="P14"/>
      <c r="Q14"/>
      <c r="R14"/>
    </row>
    <row r="15" spans="1:18" s="36" customFormat="1" ht="15.6" x14ac:dyDescent="0.3">
      <c r="A15" s="92" t="s">
        <v>105</v>
      </c>
      <c r="B15" s="92" t="s">
        <v>22</v>
      </c>
      <c r="C15" s="92" t="s">
        <v>23</v>
      </c>
      <c r="D15" s="92" t="s">
        <v>155</v>
      </c>
      <c r="E15" s="92" t="s">
        <v>408</v>
      </c>
      <c r="F15" s="92" t="s">
        <v>23</v>
      </c>
      <c r="G15" s="92" t="s">
        <v>405</v>
      </c>
      <c r="H15" s="92" t="s">
        <v>1368</v>
      </c>
      <c r="I15" s="276">
        <v>45082</v>
      </c>
      <c r="J15" s="276">
        <v>45082</v>
      </c>
      <c r="K15" s="92" t="s">
        <v>17</v>
      </c>
      <c r="L15" s="92" t="s">
        <v>462</v>
      </c>
      <c r="M15" s="92" t="s">
        <v>1120</v>
      </c>
      <c r="N15" s="92" t="s">
        <v>40</v>
      </c>
      <c r="O15" s="969">
        <v>8</v>
      </c>
      <c r="P15"/>
      <c r="Q15"/>
      <c r="R15"/>
    </row>
    <row r="16" spans="1:18" s="36" customFormat="1" ht="15.6" x14ac:dyDescent="0.3">
      <c r="A16" s="92" t="s">
        <v>105</v>
      </c>
      <c r="B16" s="92" t="s">
        <v>22</v>
      </c>
      <c r="C16" s="92" t="s">
        <v>23</v>
      </c>
      <c r="D16" s="92" t="s">
        <v>155</v>
      </c>
      <c r="E16" s="92" t="s">
        <v>408</v>
      </c>
      <c r="F16" s="92" t="s">
        <v>23</v>
      </c>
      <c r="G16" s="92" t="s">
        <v>405</v>
      </c>
      <c r="H16" s="92" t="s">
        <v>1369</v>
      </c>
      <c r="I16" s="276">
        <v>45082</v>
      </c>
      <c r="J16" s="276">
        <v>45082</v>
      </c>
      <c r="K16" s="92" t="s">
        <v>17</v>
      </c>
      <c r="L16" s="92" t="s">
        <v>462</v>
      </c>
      <c r="M16" s="92" t="s">
        <v>208</v>
      </c>
      <c r="N16" s="92" t="s">
        <v>40</v>
      </c>
      <c r="O16" s="969">
        <v>6</v>
      </c>
      <c r="P16"/>
      <c r="Q16"/>
      <c r="R16"/>
    </row>
    <row r="17" spans="1:18" s="36" customFormat="1" ht="15.6" x14ac:dyDescent="0.3">
      <c r="A17" s="92" t="s">
        <v>105</v>
      </c>
      <c r="B17" s="92" t="s">
        <v>22</v>
      </c>
      <c r="C17" s="92" t="s">
        <v>23</v>
      </c>
      <c r="D17" s="92" t="s">
        <v>155</v>
      </c>
      <c r="E17" s="92" t="s">
        <v>408</v>
      </c>
      <c r="F17" s="92" t="s">
        <v>23</v>
      </c>
      <c r="G17" s="92" t="s">
        <v>405</v>
      </c>
      <c r="H17" s="92" t="s">
        <v>1370</v>
      </c>
      <c r="I17" s="276">
        <v>45083</v>
      </c>
      <c r="J17" s="276">
        <v>45083</v>
      </c>
      <c r="K17" s="92" t="s">
        <v>17</v>
      </c>
      <c r="L17" s="92" t="s">
        <v>462</v>
      </c>
      <c r="M17" s="92" t="s">
        <v>1120</v>
      </c>
      <c r="N17" s="92" t="s">
        <v>40</v>
      </c>
      <c r="O17" s="969">
        <v>8</v>
      </c>
      <c r="P17"/>
      <c r="Q17"/>
      <c r="R17"/>
    </row>
    <row r="18" spans="1:18" s="36" customFormat="1" ht="15.6" x14ac:dyDescent="0.3">
      <c r="A18" s="92" t="s">
        <v>105</v>
      </c>
      <c r="B18" s="92" t="s">
        <v>22</v>
      </c>
      <c r="C18" s="92" t="s">
        <v>23</v>
      </c>
      <c r="D18" s="92" t="s">
        <v>155</v>
      </c>
      <c r="E18" s="92" t="s">
        <v>408</v>
      </c>
      <c r="F18" s="92" t="s">
        <v>23</v>
      </c>
      <c r="G18" s="92" t="s">
        <v>405</v>
      </c>
      <c r="H18" s="92" t="s">
        <v>1371</v>
      </c>
      <c r="I18" s="276">
        <v>45083</v>
      </c>
      <c r="J18" s="276">
        <v>45083</v>
      </c>
      <c r="K18" s="92" t="s">
        <v>17</v>
      </c>
      <c r="L18" s="92" t="s">
        <v>462</v>
      </c>
      <c r="M18" s="92" t="s">
        <v>208</v>
      </c>
      <c r="N18" s="92" t="s">
        <v>40</v>
      </c>
      <c r="O18" s="969">
        <v>6</v>
      </c>
      <c r="P18"/>
      <c r="Q18"/>
      <c r="R18"/>
    </row>
    <row r="19" spans="1:18" s="36" customFormat="1" ht="15.6" x14ac:dyDescent="0.3">
      <c r="A19" s="92" t="s">
        <v>105</v>
      </c>
      <c r="B19" s="92" t="s">
        <v>22</v>
      </c>
      <c r="C19" s="92" t="s">
        <v>23</v>
      </c>
      <c r="D19" s="92" t="s">
        <v>155</v>
      </c>
      <c r="E19" s="92" t="s">
        <v>408</v>
      </c>
      <c r="F19" s="92" t="s">
        <v>23</v>
      </c>
      <c r="G19" s="92" t="s">
        <v>405</v>
      </c>
      <c r="H19" s="92" t="s">
        <v>1372</v>
      </c>
      <c r="I19" s="276">
        <v>45084</v>
      </c>
      <c r="J19" s="276">
        <v>45084</v>
      </c>
      <c r="K19" s="92" t="s">
        <v>17</v>
      </c>
      <c r="L19" s="92" t="s">
        <v>462</v>
      </c>
      <c r="M19" s="92" t="s">
        <v>1120</v>
      </c>
      <c r="N19" s="92" t="s">
        <v>40</v>
      </c>
      <c r="O19" s="969">
        <v>8</v>
      </c>
      <c r="P19"/>
      <c r="Q19"/>
      <c r="R19"/>
    </row>
    <row r="20" spans="1:18" s="36" customFormat="1" ht="15.6" x14ac:dyDescent="0.3">
      <c r="A20" s="92" t="s">
        <v>105</v>
      </c>
      <c r="B20" s="92" t="s">
        <v>22</v>
      </c>
      <c r="C20" s="92" t="s">
        <v>23</v>
      </c>
      <c r="D20" s="92" t="s">
        <v>155</v>
      </c>
      <c r="E20" s="92" t="s">
        <v>408</v>
      </c>
      <c r="F20" s="92" t="s">
        <v>23</v>
      </c>
      <c r="G20" s="92" t="s">
        <v>405</v>
      </c>
      <c r="H20" s="92" t="s">
        <v>1373</v>
      </c>
      <c r="I20" s="276">
        <v>45085</v>
      </c>
      <c r="J20" s="276">
        <v>45085</v>
      </c>
      <c r="K20" s="92" t="s">
        <v>17</v>
      </c>
      <c r="L20" s="92" t="s">
        <v>462</v>
      </c>
      <c r="M20" s="92" t="s">
        <v>1120</v>
      </c>
      <c r="N20" s="92" t="s">
        <v>40</v>
      </c>
      <c r="O20" s="969">
        <v>8</v>
      </c>
      <c r="P20"/>
      <c r="Q20"/>
      <c r="R20"/>
    </row>
    <row r="21" spans="1:18" s="36" customFormat="1" ht="15.6" x14ac:dyDescent="0.3">
      <c r="A21" s="92" t="s">
        <v>105</v>
      </c>
      <c r="B21" s="92" t="s">
        <v>22</v>
      </c>
      <c r="C21" s="92" t="s">
        <v>23</v>
      </c>
      <c r="D21" s="92" t="s">
        <v>155</v>
      </c>
      <c r="E21" s="92" t="s">
        <v>408</v>
      </c>
      <c r="F21" s="92" t="s">
        <v>23</v>
      </c>
      <c r="G21" s="92" t="s">
        <v>405</v>
      </c>
      <c r="H21" s="92" t="s">
        <v>1374</v>
      </c>
      <c r="I21" s="276">
        <v>45085</v>
      </c>
      <c r="J21" s="276">
        <v>45085</v>
      </c>
      <c r="K21" s="92" t="s">
        <v>17</v>
      </c>
      <c r="L21" s="92" t="s">
        <v>462</v>
      </c>
      <c r="M21" s="92" t="s">
        <v>208</v>
      </c>
      <c r="N21" s="92" t="s">
        <v>40</v>
      </c>
      <c r="O21" s="969">
        <v>6</v>
      </c>
      <c r="P21"/>
      <c r="Q21"/>
      <c r="R21"/>
    </row>
    <row r="22" spans="1:18" s="36" customFormat="1" ht="15.6" x14ac:dyDescent="0.3">
      <c r="A22" s="92" t="s">
        <v>105</v>
      </c>
      <c r="B22" s="92" t="s">
        <v>22</v>
      </c>
      <c r="C22" s="92" t="s">
        <v>23</v>
      </c>
      <c r="D22" s="92" t="s">
        <v>155</v>
      </c>
      <c r="E22" s="92" t="s">
        <v>408</v>
      </c>
      <c r="F22" s="92" t="s">
        <v>23</v>
      </c>
      <c r="G22" s="92" t="s">
        <v>405</v>
      </c>
      <c r="H22" s="92" t="s">
        <v>1375</v>
      </c>
      <c r="I22" s="276">
        <v>45086</v>
      </c>
      <c r="J22" s="276">
        <v>45086</v>
      </c>
      <c r="K22" s="92" t="s">
        <v>17</v>
      </c>
      <c r="L22" s="92" t="s">
        <v>462</v>
      </c>
      <c r="M22" s="92" t="s">
        <v>1120</v>
      </c>
      <c r="N22" s="92" t="s">
        <v>40</v>
      </c>
      <c r="O22" s="969">
        <v>6</v>
      </c>
      <c r="P22"/>
      <c r="Q22"/>
      <c r="R22"/>
    </row>
    <row r="23" spans="1:18" s="36" customFormat="1" ht="15.6" x14ac:dyDescent="0.3">
      <c r="A23" s="92" t="s">
        <v>105</v>
      </c>
      <c r="B23" s="92" t="s">
        <v>22</v>
      </c>
      <c r="C23" s="92" t="s">
        <v>23</v>
      </c>
      <c r="D23" s="92" t="s">
        <v>155</v>
      </c>
      <c r="E23" s="92" t="s">
        <v>408</v>
      </c>
      <c r="F23" s="92" t="s">
        <v>23</v>
      </c>
      <c r="G23" s="92" t="s">
        <v>405</v>
      </c>
      <c r="H23" s="92" t="s">
        <v>1376</v>
      </c>
      <c r="I23" s="276">
        <v>45086</v>
      </c>
      <c r="J23" s="276">
        <v>45086</v>
      </c>
      <c r="K23" s="92" t="s">
        <v>17</v>
      </c>
      <c r="L23" s="92" t="s">
        <v>462</v>
      </c>
      <c r="M23" s="92" t="s">
        <v>208</v>
      </c>
      <c r="N23" s="92" t="s">
        <v>40</v>
      </c>
      <c r="O23" s="969">
        <v>6</v>
      </c>
      <c r="P23"/>
      <c r="Q23"/>
      <c r="R23"/>
    </row>
    <row r="24" spans="1:18" s="36" customFormat="1" ht="15.6" x14ac:dyDescent="0.3">
      <c r="A24" s="92" t="s">
        <v>105</v>
      </c>
      <c r="B24" s="92" t="s">
        <v>22</v>
      </c>
      <c r="C24" s="92" t="s">
        <v>23</v>
      </c>
      <c r="D24" s="92" t="s">
        <v>155</v>
      </c>
      <c r="E24" s="92" t="s">
        <v>408</v>
      </c>
      <c r="F24" s="92" t="s">
        <v>23</v>
      </c>
      <c r="G24" s="92" t="s">
        <v>405</v>
      </c>
      <c r="H24" s="92" t="s">
        <v>1377</v>
      </c>
      <c r="I24" s="276">
        <v>45089</v>
      </c>
      <c r="J24" s="276">
        <v>45089</v>
      </c>
      <c r="K24" s="92" t="s">
        <v>17</v>
      </c>
      <c r="L24" s="92" t="s">
        <v>462</v>
      </c>
      <c r="M24" s="92" t="s">
        <v>1120</v>
      </c>
      <c r="N24" s="92" t="s">
        <v>40</v>
      </c>
      <c r="O24" s="969">
        <v>8</v>
      </c>
      <c r="P24"/>
      <c r="Q24"/>
      <c r="R24"/>
    </row>
    <row r="25" spans="1:18" s="36" customFormat="1" ht="15.6" x14ac:dyDescent="0.3">
      <c r="A25" s="92" t="s">
        <v>105</v>
      </c>
      <c r="B25" s="92" t="s">
        <v>22</v>
      </c>
      <c r="C25" s="92" t="s">
        <v>23</v>
      </c>
      <c r="D25" s="92" t="s">
        <v>155</v>
      </c>
      <c r="E25" s="92" t="s">
        <v>408</v>
      </c>
      <c r="F25" s="92" t="s">
        <v>23</v>
      </c>
      <c r="G25" s="92" t="s">
        <v>405</v>
      </c>
      <c r="H25" s="92" t="s">
        <v>1378</v>
      </c>
      <c r="I25" s="276">
        <v>45089</v>
      </c>
      <c r="J25" s="276">
        <v>45089</v>
      </c>
      <c r="K25" s="92" t="s">
        <v>17</v>
      </c>
      <c r="L25" s="92" t="s">
        <v>462</v>
      </c>
      <c r="M25" s="92" t="s">
        <v>208</v>
      </c>
      <c r="N25" s="92" t="s">
        <v>40</v>
      </c>
      <c r="O25" s="969">
        <v>6</v>
      </c>
      <c r="P25"/>
      <c r="Q25"/>
      <c r="R25"/>
    </row>
    <row r="26" spans="1:18" s="36" customFormat="1" ht="15.6" x14ac:dyDescent="0.3">
      <c r="A26" s="92" t="s">
        <v>105</v>
      </c>
      <c r="B26" s="92" t="s">
        <v>22</v>
      </c>
      <c r="C26" s="92" t="s">
        <v>23</v>
      </c>
      <c r="D26" s="92" t="s">
        <v>155</v>
      </c>
      <c r="E26" s="92" t="s">
        <v>408</v>
      </c>
      <c r="F26" s="92" t="s">
        <v>23</v>
      </c>
      <c r="G26" s="92" t="s">
        <v>405</v>
      </c>
      <c r="H26" s="92" t="s">
        <v>1379</v>
      </c>
      <c r="I26" s="276">
        <v>45090</v>
      </c>
      <c r="J26" s="276">
        <v>45090</v>
      </c>
      <c r="K26" s="92" t="s">
        <v>17</v>
      </c>
      <c r="L26" s="92" t="s">
        <v>462</v>
      </c>
      <c r="M26" s="92" t="s">
        <v>1120</v>
      </c>
      <c r="N26" s="92" t="s">
        <v>40</v>
      </c>
      <c r="O26" s="969">
        <v>8</v>
      </c>
      <c r="P26"/>
      <c r="Q26"/>
      <c r="R26"/>
    </row>
    <row r="27" spans="1:18" s="36" customFormat="1" ht="15.6" x14ac:dyDescent="0.3">
      <c r="A27" s="92" t="s">
        <v>105</v>
      </c>
      <c r="B27" s="92" t="s">
        <v>22</v>
      </c>
      <c r="C27" s="92" t="s">
        <v>23</v>
      </c>
      <c r="D27" s="92" t="s">
        <v>155</v>
      </c>
      <c r="E27" s="92" t="s">
        <v>408</v>
      </c>
      <c r="F27" s="92" t="s">
        <v>23</v>
      </c>
      <c r="G27" s="92" t="s">
        <v>405</v>
      </c>
      <c r="H27" s="92" t="s">
        <v>1380</v>
      </c>
      <c r="I27" s="276">
        <v>45090</v>
      </c>
      <c r="J27" s="276">
        <v>45090</v>
      </c>
      <c r="K27" s="92" t="s">
        <v>17</v>
      </c>
      <c r="L27" s="92" t="s">
        <v>462</v>
      </c>
      <c r="M27" s="92" t="s">
        <v>208</v>
      </c>
      <c r="N27" s="92" t="s">
        <v>40</v>
      </c>
      <c r="O27" s="969">
        <v>6</v>
      </c>
      <c r="P27"/>
      <c r="Q27"/>
      <c r="R27"/>
    </row>
    <row r="28" spans="1:18" s="36" customFormat="1" ht="15.6" x14ac:dyDescent="0.3">
      <c r="A28" s="92" t="s">
        <v>105</v>
      </c>
      <c r="B28" s="92" t="s">
        <v>22</v>
      </c>
      <c r="C28" s="92" t="s">
        <v>23</v>
      </c>
      <c r="D28" s="92" t="s">
        <v>155</v>
      </c>
      <c r="E28" s="92" t="s">
        <v>408</v>
      </c>
      <c r="F28" s="92" t="s">
        <v>23</v>
      </c>
      <c r="G28" s="92" t="s">
        <v>405</v>
      </c>
      <c r="H28" s="92" t="s">
        <v>1381</v>
      </c>
      <c r="I28" s="276">
        <v>45091</v>
      </c>
      <c r="J28" s="276">
        <v>45091</v>
      </c>
      <c r="K28" s="92" t="s">
        <v>17</v>
      </c>
      <c r="L28" s="92" t="s">
        <v>462</v>
      </c>
      <c r="M28" s="92" t="s">
        <v>1120</v>
      </c>
      <c r="N28" s="92" t="s">
        <v>40</v>
      </c>
      <c r="O28" s="969">
        <v>8</v>
      </c>
      <c r="P28"/>
      <c r="Q28"/>
      <c r="R28"/>
    </row>
    <row r="29" spans="1:18" s="36" customFormat="1" ht="15.6" x14ac:dyDescent="0.3">
      <c r="A29" s="92" t="s">
        <v>105</v>
      </c>
      <c r="B29" s="92" t="s">
        <v>22</v>
      </c>
      <c r="C29" s="92" t="s">
        <v>23</v>
      </c>
      <c r="D29" s="92" t="s">
        <v>155</v>
      </c>
      <c r="E29" s="92" t="s">
        <v>408</v>
      </c>
      <c r="F29" s="92" t="s">
        <v>23</v>
      </c>
      <c r="G29" s="92" t="s">
        <v>405</v>
      </c>
      <c r="H29" s="92" t="s">
        <v>1382</v>
      </c>
      <c r="I29" s="276">
        <v>45091</v>
      </c>
      <c r="J29" s="276">
        <v>45091</v>
      </c>
      <c r="K29" s="92" t="s">
        <v>17</v>
      </c>
      <c r="L29" s="92" t="s">
        <v>462</v>
      </c>
      <c r="M29" s="92" t="s">
        <v>208</v>
      </c>
      <c r="N29" s="92" t="s">
        <v>40</v>
      </c>
      <c r="O29" s="969">
        <v>6</v>
      </c>
      <c r="P29"/>
      <c r="Q29"/>
      <c r="R29"/>
    </row>
    <row r="30" spans="1:18" s="36" customFormat="1" ht="15.6" x14ac:dyDescent="0.3">
      <c r="A30" s="92" t="s">
        <v>105</v>
      </c>
      <c r="B30" s="92" t="s">
        <v>22</v>
      </c>
      <c r="C30" s="92" t="s">
        <v>23</v>
      </c>
      <c r="D30" s="92" t="s">
        <v>155</v>
      </c>
      <c r="E30" s="92" t="s">
        <v>408</v>
      </c>
      <c r="F30" s="92" t="s">
        <v>23</v>
      </c>
      <c r="G30" s="92" t="s">
        <v>405</v>
      </c>
      <c r="H30" s="92" t="s">
        <v>1383</v>
      </c>
      <c r="I30" s="276">
        <v>45092</v>
      </c>
      <c r="J30" s="276">
        <v>45092</v>
      </c>
      <c r="K30" s="92" t="s">
        <v>17</v>
      </c>
      <c r="L30" s="92" t="s">
        <v>462</v>
      </c>
      <c r="M30" s="92" t="s">
        <v>1120</v>
      </c>
      <c r="N30" s="92" t="s">
        <v>40</v>
      </c>
      <c r="O30" s="969">
        <v>8</v>
      </c>
      <c r="P30"/>
      <c r="Q30"/>
      <c r="R30"/>
    </row>
    <row r="31" spans="1:18" s="36" customFormat="1" ht="15.6" x14ac:dyDescent="0.3">
      <c r="A31" s="92" t="s">
        <v>105</v>
      </c>
      <c r="B31" s="92" t="s">
        <v>22</v>
      </c>
      <c r="C31" s="92" t="s">
        <v>23</v>
      </c>
      <c r="D31" s="92" t="s">
        <v>155</v>
      </c>
      <c r="E31" s="92" t="s">
        <v>408</v>
      </c>
      <c r="F31" s="92" t="s">
        <v>23</v>
      </c>
      <c r="G31" s="92" t="s">
        <v>405</v>
      </c>
      <c r="H31" s="92" t="s">
        <v>1384</v>
      </c>
      <c r="I31" s="276">
        <v>45092</v>
      </c>
      <c r="J31" s="276">
        <v>45092</v>
      </c>
      <c r="K31" s="92" t="s">
        <v>17</v>
      </c>
      <c r="L31" s="92" t="s">
        <v>462</v>
      </c>
      <c r="M31" s="92" t="s">
        <v>208</v>
      </c>
      <c r="N31" s="92" t="s">
        <v>40</v>
      </c>
      <c r="O31" s="969">
        <v>6</v>
      </c>
      <c r="P31"/>
      <c r="Q31"/>
      <c r="R31"/>
    </row>
    <row r="32" spans="1:18" s="36" customFormat="1" ht="15.6" x14ac:dyDescent="0.3">
      <c r="A32" s="92" t="s">
        <v>105</v>
      </c>
      <c r="B32" s="92" t="s">
        <v>22</v>
      </c>
      <c r="C32" s="92" t="s">
        <v>23</v>
      </c>
      <c r="D32" s="92" t="s">
        <v>155</v>
      </c>
      <c r="E32" s="92" t="s">
        <v>408</v>
      </c>
      <c r="F32" s="92" t="s">
        <v>23</v>
      </c>
      <c r="G32" s="92" t="s">
        <v>405</v>
      </c>
      <c r="H32" s="92" t="s">
        <v>1385</v>
      </c>
      <c r="I32" s="276">
        <v>45093</v>
      </c>
      <c r="J32" s="276">
        <v>45093</v>
      </c>
      <c r="K32" s="92" t="s">
        <v>17</v>
      </c>
      <c r="L32" s="92" t="s">
        <v>462</v>
      </c>
      <c r="M32" s="92" t="s">
        <v>1120</v>
      </c>
      <c r="N32" s="92" t="s">
        <v>40</v>
      </c>
      <c r="O32" s="969">
        <v>6</v>
      </c>
      <c r="P32"/>
      <c r="Q32"/>
      <c r="R32"/>
    </row>
    <row r="33" spans="1:18" s="36" customFormat="1" ht="15.6" x14ac:dyDescent="0.3">
      <c r="A33" s="92" t="s">
        <v>105</v>
      </c>
      <c r="B33" s="92" t="s">
        <v>22</v>
      </c>
      <c r="C33" s="92" t="s">
        <v>23</v>
      </c>
      <c r="D33" s="92" t="s">
        <v>155</v>
      </c>
      <c r="E33" s="92" t="s">
        <v>408</v>
      </c>
      <c r="F33" s="92" t="s">
        <v>23</v>
      </c>
      <c r="G33" s="92" t="s">
        <v>405</v>
      </c>
      <c r="H33" s="92" t="s">
        <v>1386</v>
      </c>
      <c r="I33" s="276">
        <v>45093</v>
      </c>
      <c r="J33" s="276">
        <v>45093</v>
      </c>
      <c r="K33" s="92" t="s">
        <v>17</v>
      </c>
      <c r="L33" s="92" t="s">
        <v>462</v>
      </c>
      <c r="M33" s="92" t="s">
        <v>208</v>
      </c>
      <c r="N33" s="92" t="s">
        <v>40</v>
      </c>
      <c r="O33" s="969">
        <v>6</v>
      </c>
      <c r="P33"/>
      <c r="Q33"/>
      <c r="R33"/>
    </row>
    <row r="34" spans="1:18" s="36" customFormat="1" ht="15.6" x14ac:dyDescent="0.3">
      <c r="A34" s="92" t="s">
        <v>105</v>
      </c>
      <c r="B34" s="92" t="s">
        <v>22</v>
      </c>
      <c r="C34" s="92" t="s">
        <v>23</v>
      </c>
      <c r="D34" s="92" t="s">
        <v>155</v>
      </c>
      <c r="E34" s="92" t="s">
        <v>408</v>
      </c>
      <c r="F34" s="92" t="s">
        <v>23</v>
      </c>
      <c r="G34" s="92" t="s">
        <v>405</v>
      </c>
      <c r="H34" s="92" t="s">
        <v>1387</v>
      </c>
      <c r="I34" s="276">
        <v>45096</v>
      </c>
      <c r="J34" s="276">
        <v>45096</v>
      </c>
      <c r="K34" s="92" t="s">
        <v>17</v>
      </c>
      <c r="L34" s="92" t="s">
        <v>462</v>
      </c>
      <c r="M34" s="92" t="s">
        <v>1120</v>
      </c>
      <c r="N34" s="92" t="s">
        <v>40</v>
      </c>
      <c r="O34" s="969">
        <v>8</v>
      </c>
      <c r="P34"/>
      <c r="Q34"/>
      <c r="R34"/>
    </row>
    <row r="35" spans="1:18" s="36" customFormat="1" ht="15.6" x14ac:dyDescent="0.3">
      <c r="A35" s="92" t="s">
        <v>105</v>
      </c>
      <c r="B35" s="92" t="s">
        <v>22</v>
      </c>
      <c r="C35" s="92" t="s">
        <v>23</v>
      </c>
      <c r="D35" s="92" t="s">
        <v>155</v>
      </c>
      <c r="E35" s="92" t="s">
        <v>408</v>
      </c>
      <c r="F35" s="92" t="s">
        <v>23</v>
      </c>
      <c r="G35" s="92" t="s">
        <v>405</v>
      </c>
      <c r="H35" s="92" t="s">
        <v>1388</v>
      </c>
      <c r="I35" s="276">
        <v>45096</v>
      </c>
      <c r="J35" s="276">
        <v>45096</v>
      </c>
      <c r="K35" s="92" t="s">
        <v>17</v>
      </c>
      <c r="L35" s="92" t="s">
        <v>462</v>
      </c>
      <c r="M35" s="92" t="s">
        <v>208</v>
      </c>
      <c r="N35" s="92" t="s">
        <v>40</v>
      </c>
      <c r="O35" s="969">
        <v>6</v>
      </c>
      <c r="P35"/>
      <c r="Q35"/>
      <c r="R35"/>
    </row>
    <row r="36" spans="1:18" s="36" customFormat="1" ht="15.6" x14ac:dyDescent="0.3">
      <c r="A36" s="92" t="s">
        <v>105</v>
      </c>
      <c r="B36" s="92" t="s">
        <v>22</v>
      </c>
      <c r="C36" s="92" t="s">
        <v>23</v>
      </c>
      <c r="D36" s="92" t="s">
        <v>155</v>
      </c>
      <c r="E36" s="92" t="s">
        <v>408</v>
      </c>
      <c r="F36" s="92" t="s">
        <v>23</v>
      </c>
      <c r="G36" s="92" t="s">
        <v>405</v>
      </c>
      <c r="H36" s="92" t="s">
        <v>1389</v>
      </c>
      <c r="I36" s="276">
        <v>45097</v>
      </c>
      <c r="J36" s="276">
        <v>45097</v>
      </c>
      <c r="K36" s="92" t="s">
        <v>17</v>
      </c>
      <c r="L36" s="92" t="s">
        <v>462</v>
      </c>
      <c r="M36" s="92" t="s">
        <v>1120</v>
      </c>
      <c r="N36" s="92" t="s">
        <v>40</v>
      </c>
      <c r="O36" s="969">
        <v>8</v>
      </c>
      <c r="P36"/>
      <c r="Q36"/>
      <c r="R36"/>
    </row>
    <row r="37" spans="1:18" s="36" customFormat="1" ht="15.6" x14ac:dyDescent="0.3">
      <c r="A37" s="92" t="s">
        <v>105</v>
      </c>
      <c r="B37" s="92" t="s">
        <v>22</v>
      </c>
      <c r="C37" s="92" t="s">
        <v>23</v>
      </c>
      <c r="D37" s="92" t="s">
        <v>155</v>
      </c>
      <c r="E37" s="92" t="s">
        <v>408</v>
      </c>
      <c r="F37" s="92" t="s">
        <v>23</v>
      </c>
      <c r="G37" s="92" t="s">
        <v>405</v>
      </c>
      <c r="H37" s="92" t="s">
        <v>1390</v>
      </c>
      <c r="I37" s="276">
        <v>45097</v>
      </c>
      <c r="J37" s="276">
        <v>45097</v>
      </c>
      <c r="K37" s="92" t="s">
        <v>17</v>
      </c>
      <c r="L37" s="92" t="s">
        <v>462</v>
      </c>
      <c r="M37" s="92" t="s">
        <v>208</v>
      </c>
      <c r="N37" s="92" t="s">
        <v>40</v>
      </c>
      <c r="O37" s="969">
        <v>6</v>
      </c>
      <c r="P37"/>
      <c r="Q37"/>
      <c r="R37"/>
    </row>
    <row r="38" spans="1:18" s="36" customFormat="1" ht="15.6" x14ac:dyDescent="0.3">
      <c r="A38" s="92" t="s">
        <v>105</v>
      </c>
      <c r="B38" s="92" t="s">
        <v>22</v>
      </c>
      <c r="C38" s="92" t="s">
        <v>23</v>
      </c>
      <c r="D38" s="92" t="s">
        <v>155</v>
      </c>
      <c r="E38" s="92" t="s">
        <v>408</v>
      </c>
      <c r="F38" s="92" t="s">
        <v>23</v>
      </c>
      <c r="G38" s="92" t="s">
        <v>405</v>
      </c>
      <c r="H38" s="92" t="s">
        <v>1391</v>
      </c>
      <c r="I38" s="276">
        <v>45098</v>
      </c>
      <c r="J38" s="276">
        <v>45098</v>
      </c>
      <c r="K38" s="92" t="s">
        <v>17</v>
      </c>
      <c r="L38" s="92" t="s">
        <v>462</v>
      </c>
      <c r="M38" s="92" t="s">
        <v>1120</v>
      </c>
      <c r="N38" s="92" t="s">
        <v>40</v>
      </c>
      <c r="O38" s="969">
        <v>8</v>
      </c>
      <c r="P38"/>
      <c r="Q38"/>
      <c r="R38"/>
    </row>
    <row r="39" spans="1:18" s="36" customFormat="1" ht="15.6" x14ac:dyDescent="0.3">
      <c r="A39" s="92" t="s">
        <v>105</v>
      </c>
      <c r="B39" s="92" t="s">
        <v>22</v>
      </c>
      <c r="C39" s="92" t="s">
        <v>23</v>
      </c>
      <c r="D39" s="92" t="s">
        <v>155</v>
      </c>
      <c r="E39" s="92" t="s">
        <v>408</v>
      </c>
      <c r="F39" s="92" t="s">
        <v>23</v>
      </c>
      <c r="G39" s="92" t="s">
        <v>405</v>
      </c>
      <c r="H39" s="92" t="s">
        <v>1392</v>
      </c>
      <c r="I39" s="276">
        <v>45098</v>
      </c>
      <c r="J39" s="276">
        <v>45098</v>
      </c>
      <c r="K39" s="92" t="s">
        <v>17</v>
      </c>
      <c r="L39" s="92" t="s">
        <v>462</v>
      </c>
      <c r="M39" s="92" t="s">
        <v>208</v>
      </c>
      <c r="N39" s="92" t="s">
        <v>40</v>
      </c>
      <c r="O39" s="969">
        <v>6</v>
      </c>
      <c r="P39"/>
      <c r="Q39"/>
      <c r="R39"/>
    </row>
    <row r="40" spans="1:18" s="36" customFormat="1" ht="15.6" x14ac:dyDescent="0.3">
      <c r="A40" s="92" t="s">
        <v>105</v>
      </c>
      <c r="B40" s="92" t="s">
        <v>22</v>
      </c>
      <c r="C40" s="92" t="s">
        <v>23</v>
      </c>
      <c r="D40" s="92" t="s">
        <v>155</v>
      </c>
      <c r="E40" s="92" t="s">
        <v>408</v>
      </c>
      <c r="F40" s="92" t="s">
        <v>23</v>
      </c>
      <c r="G40" s="92" t="s">
        <v>405</v>
      </c>
      <c r="H40" s="92" t="s">
        <v>1393</v>
      </c>
      <c r="I40" s="276">
        <v>45099</v>
      </c>
      <c r="J40" s="276">
        <v>45099</v>
      </c>
      <c r="K40" s="92" t="s">
        <v>406</v>
      </c>
      <c r="L40" s="92" t="s">
        <v>462</v>
      </c>
      <c r="M40" s="92" t="s">
        <v>1120</v>
      </c>
      <c r="N40" s="92" t="s">
        <v>40</v>
      </c>
      <c r="O40" s="969">
        <v>6</v>
      </c>
      <c r="P40"/>
      <c r="Q40"/>
      <c r="R40"/>
    </row>
    <row r="41" spans="1:18" s="36" customFormat="1" ht="15.6" x14ac:dyDescent="0.3">
      <c r="A41" s="92" t="s">
        <v>105</v>
      </c>
      <c r="B41" s="92" t="s">
        <v>22</v>
      </c>
      <c r="C41" s="92" t="s">
        <v>23</v>
      </c>
      <c r="D41" s="92" t="s">
        <v>155</v>
      </c>
      <c r="E41" s="92" t="s">
        <v>408</v>
      </c>
      <c r="F41" s="92" t="s">
        <v>23</v>
      </c>
      <c r="G41" s="92" t="s">
        <v>405</v>
      </c>
      <c r="H41" s="92" t="s">
        <v>1393</v>
      </c>
      <c r="I41" s="276">
        <v>45100</v>
      </c>
      <c r="J41" s="276">
        <v>45100</v>
      </c>
      <c r="K41" s="92" t="s">
        <v>17</v>
      </c>
      <c r="L41" s="92" t="s">
        <v>462</v>
      </c>
      <c r="M41" s="92" t="s">
        <v>1120</v>
      </c>
      <c r="N41" s="92" t="s">
        <v>40</v>
      </c>
      <c r="O41" s="969">
        <v>6</v>
      </c>
      <c r="P41"/>
      <c r="Q41"/>
      <c r="R41"/>
    </row>
    <row r="42" spans="1:18" s="36" customFormat="1" ht="15.6" x14ac:dyDescent="0.3">
      <c r="A42" s="92" t="s">
        <v>105</v>
      </c>
      <c r="B42" s="92" t="s">
        <v>22</v>
      </c>
      <c r="C42" s="92" t="s">
        <v>23</v>
      </c>
      <c r="D42" s="92" t="s">
        <v>155</v>
      </c>
      <c r="E42" s="92" t="s">
        <v>408</v>
      </c>
      <c r="F42" s="92" t="s">
        <v>23</v>
      </c>
      <c r="G42" s="92" t="s">
        <v>405</v>
      </c>
      <c r="H42" s="92" t="s">
        <v>1394</v>
      </c>
      <c r="I42" s="276">
        <v>45099</v>
      </c>
      <c r="J42" s="276">
        <v>45099</v>
      </c>
      <c r="K42" s="92" t="s">
        <v>17</v>
      </c>
      <c r="L42" s="92" t="s">
        <v>462</v>
      </c>
      <c r="M42" s="92" t="s">
        <v>208</v>
      </c>
      <c r="N42" s="92" t="s">
        <v>40</v>
      </c>
      <c r="O42" s="969">
        <v>6</v>
      </c>
      <c r="P42"/>
      <c r="Q42"/>
      <c r="R42"/>
    </row>
    <row r="43" spans="1:18" s="36" customFormat="1" ht="15.6" x14ac:dyDescent="0.3">
      <c r="A43" s="92" t="s">
        <v>105</v>
      </c>
      <c r="B43" s="92" t="s">
        <v>22</v>
      </c>
      <c r="C43" s="92" t="s">
        <v>23</v>
      </c>
      <c r="D43" s="92" t="s">
        <v>155</v>
      </c>
      <c r="E43" s="92" t="s">
        <v>408</v>
      </c>
      <c r="F43" s="92" t="s">
        <v>23</v>
      </c>
      <c r="G43" s="92" t="s">
        <v>405</v>
      </c>
      <c r="H43" s="92" t="s">
        <v>1395</v>
      </c>
      <c r="I43" s="276">
        <v>45105</v>
      </c>
      <c r="J43" s="276">
        <v>45105</v>
      </c>
      <c r="K43" s="92" t="s">
        <v>17</v>
      </c>
      <c r="L43" s="92" t="s">
        <v>462</v>
      </c>
      <c r="M43" s="92" t="s">
        <v>1120</v>
      </c>
      <c r="N43" s="92" t="s">
        <v>40</v>
      </c>
      <c r="O43" s="969">
        <v>6</v>
      </c>
      <c r="P43"/>
      <c r="Q43"/>
      <c r="R43"/>
    </row>
    <row r="44" spans="1:18" s="36" customFormat="1" ht="15.6" x14ac:dyDescent="0.3">
      <c r="A44" s="92" t="s">
        <v>105</v>
      </c>
      <c r="B44" s="92" t="s">
        <v>22</v>
      </c>
      <c r="C44" s="92" t="s">
        <v>23</v>
      </c>
      <c r="D44" s="92" t="s">
        <v>155</v>
      </c>
      <c r="E44" s="92" t="s">
        <v>408</v>
      </c>
      <c r="F44" s="92" t="s">
        <v>23</v>
      </c>
      <c r="G44" s="92" t="s">
        <v>405</v>
      </c>
      <c r="H44" s="92" t="s">
        <v>1396</v>
      </c>
      <c r="I44" s="276">
        <v>45100</v>
      </c>
      <c r="J44" s="276">
        <v>45100</v>
      </c>
      <c r="K44" s="92" t="s">
        <v>17</v>
      </c>
      <c r="L44" s="92" t="s">
        <v>462</v>
      </c>
      <c r="M44" s="92" t="s">
        <v>208</v>
      </c>
      <c r="N44" s="92" t="s">
        <v>40</v>
      </c>
      <c r="O44" s="969">
        <v>6</v>
      </c>
      <c r="P44"/>
      <c r="Q44"/>
      <c r="R44"/>
    </row>
    <row r="45" spans="1:18" s="36" customFormat="1" ht="15.6" x14ac:dyDescent="0.3">
      <c r="A45" s="92" t="s">
        <v>105</v>
      </c>
      <c r="B45" s="92" t="s">
        <v>22</v>
      </c>
      <c r="C45" s="92" t="s">
        <v>23</v>
      </c>
      <c r="D45" s="92" t="s">
        <v>155</v>
      </c>
      <c r="E45" s="92" t="s">
        <v>408</v>
      </c>
      <c r="F45" s="92" t="s">
        <v>23</v>
      </c>
      <c r="G45" s="92" t="s">
        <v>405</v>
      </c>
      <c r="H45" s="92" t="s">
        <v>1397</v>
      </c>
      <c r="I45" s="276">
        <v>45106</v>
      </c>
      <c r="J45" s="276">
        <v>45106</v>
      </c>
      <c r="K45" s="92" t="s">
        <v>17</v>
      </c>
      <c r="L45" s="92" t="s">
        <v>462</v>
      </c>
      <c r="M45" s="92" t="s">
        <v>1120</v>
      </c>
      <c r="N45" s="92" t="s">
        <v>40</v>
      </c>
      <c r="O45" s="969">
        <v>7</v>
      </c>
      <c r="P45"/>
      <c r="Q45"/>
      <c r="R45"/>
    </row>
    <row r="46" spans="1:18" s="36" customFormat="1" ht="15.6" x14ac:dyDescent="0.3">
      <c r="A46" s="92" t="s">
        <v>105</v>
      </c>
      <c r="B46" s="92" t="s">
        <v>22</v>
      </c>
      <c r="C46" s="92" t="s">
        <v>23</v>
      </c>
      <c r="D46" s="92" t="s">
        <v>155</v>
      </c>
      <c r="E46" s="92" t="s">
        <v>408</v>
      </c>
      <c r="F46" s="92" t="s">
        <v>23</v>
      </c>
      <c r="G46" s="92" t="s">
        <v>405</v>
      </c>
      <c r="H46" s="92" t="s">
        <v>1398</v>
      </c>
      <c r="I46" s="276">
        <v>45103</v>
      </c>
      <c r="J46" s="276">
        <v>45103</v>
      </c>
      <c r="K46" s="92" t="s">
        <v>17</v>
      </c>
      <c r="L46" s="92" t="s">
        <v>462</v>
      </c>
      <c r="M46" s="92" t="s">
        <v>208</v>
      </c>
      <c r="N46" s="92" t="s">
        <v>40</v>
      </c>
      <c r="O46" s="969">
        <v>6</v>
      </c>
      <c r="P46"/>
      <c r="Q46"/>
      <c r="R46"/>
    </row>
    <row r="47" spans="1:18" s="36" customFormat="1" ht="15.6" x14ac:dyDescent="0.3">
      <c r="A47" s="92" t="s">
        <v>105</v>
      </c>
      <c r="B47" s="92" t="s">
        <v>22</v>
      </c>
      <c r="C47" s="92" t="s">
        <v>23</v>
      </c>
      <c r="D47" s="92" t="s">
        <v>155</v>
      </c>
      <c r="E47" s="92" t="s">
        <v>408</v>
      </c>
      <c r="F47" s="92" t="s">
        <v>23</v>
      </c>
      <c r="G47" s="92" t="s">
        <v>405</v>
      </c>
      <c r="H47" s="92" t="s">
        <v>790</v>
      </c>
      <c r="I47" s="276">
        <v>45084</v>
      </c>
      <c r="J47" s="276">
        <v>45084</v>
      </c>
      <c r="K47" s="92" t="s">
        <v>17</v>
      </c>
      <c r="L47" s="92" t="s">
        <v>462</v>
      </c>
      <c r="M47" s="92" t="s">
        <v>208</v>
      </c>
      <c r="N47" s="92" t="s">
        <v>40</v>
      </c>
      <c r="O47" s="969">
        <v>6</v>
      </c>
      <c r="P47"/>
      <c r="Q47"/>
      <c r="R47"/>
    </row>
    <row r="48" spans="1:18" s="36" customFormat="1" ht="15.6" x14ac:dyDescent="0.3">
      <c r="A48" s="92" t="s">
        <v>604</v>
      </c>
      <c r="B48" s="92" t="s">
        <v>58</v>
      </c>
      <c r="C48" s="92" t="s">
        <v>173</v>
      </c>
      <c r="D48" s="92" t="s">
        <v>155</v>
      </c>
      <c r="E48" s="92" t="s">
        <v>408</v>
      </c>
      <c r="F48" s="92" t="s">
        <v>74</v>
      </c>
      <c r="G48" s="92" t="s">
        <v>1359</v>
      </c>
      <c r="H48" s="92" t="s">
        <v>1360</v>
      </c>
      <c r="I48" s="276">
        <v>45103</v>
      </c>
      <c r="J48" s="276">
        <v>45103</v>
      </c>
      <c r="K48" s="92" t="s">
        <v>17</v>
      </c>
      <c r="L48" s="92" t="s">
        <v>105</v>
      </c>
      <c r="M48" s="92" t="s">
        <v>1441</v>
      </c>
      <c r="N48" s="92" t="s">
        <v>95</v>
      </c>
      <c r="O48" s="969">
        <v>2</v>
      </c>
      <c r="P48"/>
      <c r="Q48"/>
      <c r="R48"/>
    </row>
    <row r="49" spans="1:18" s="36" customFormat="1" ht="15.6" x14ac:dyDescent="0.3">
      <c r="A49" s="92" t="s">
        <v>604</v>
      </c>
      <c r="B49" s="92" t="s">
        <v>58</v>
      </c>
      <c r="C49" s="92" t="s">
        <v>173</v>
      </c>
      <c r="D49" s="92" t="s">
        <v>155</v>
      </c>
      <c r="E49" s="92" t="s">
        <v>408</v>
      </c>
      <c r="F49" s="92" t="s">
        <v>74</v>
      </c>
      <c r="G49" s="92" t="s">
        <v>1313</v>
      </c>
      <c r="H49" s="92" t="s">
        <v>1361</v>
      </c>
      <c r="I49" s="276">
        <v>45103</v>
      </c>
      <c r="J49" s="276">
        <v>45103</v>
      </c>
      <c r="K49" s="92" t="s">
        <v>17</v>
      </c>
      <c r="L49" s="92" t="s">
        <v>105</v>
      </c>
      <c r="M49" s="92" t="s">
        <v>1441</v>
      </c>
      <c r="N49" s="92" t="s">
        <v>95</v>
      </c>
      <c r="O49" s="969">
        <v>2</v>
      </c>
      <c r="P49"/>
      <c r="Q49"/>
      <c r="R49"/>
    </row>
    <row r="50" spans="1:18" s="36" customFormat="1" ht="15.6" x14ac:dyDescent="0.3">
      <c r="A50" s="92" t="s">
        <v>604</v>
      </c>
      <c r="B50" s="92" t="s">
        <v>58</v>
      </c>
      <c r="C50" s="92" t="s">
        <v>173</v>
      </c>
      <c r="D50" s="92" t="s">
        <v>155</v>
      </c>
      <c r="E50" s="92" t="s">
        <v>408</v>
      </c>
      <c r="F50" s="92" t="s">
        <v>74</v>
      </c>
      <c r="G50" s="92" t="s">
        <v>1318</v>
      </c>
      <c r="H50" s="92" t="s">
        <v>1319</v>
      </c>
      <c r="I50" s="276">
        <v>45105</v>
      </c>
      <c r="J50" s="276">
        <v>45105</v>
      </c>
      <c r="K50" s="92" t="s">
        <v>17</v>
      </c>
      <c r="L50" s="92" t="s">
        <v>105</v>
      </c>
      <c r="M50" s="92" t="s">
        <v>1441</v>
      </c>
      <c r="N50" s="92" t="s">
        <v>95</v>
      </c>
      <c r="O50" s="969">
        <v>4</v>
      </c>
      <c r="P50"/>
      <c r="Q50"/>
      <c r="R50"/>
    </row>
    <row r="51" spans="1:18" s="36" customFormat="1" ht="15.6" x14ac:dyDescent="0.3">
      <c r="A51" s="92" t="s">
        <v>604</v>
      </c>
      <c r="B51" s="92" t="s">
        <v>58</v>
      </c>
      <c r="C51" s="92" t="s">
        <v>173</v>
      </c>
      <c r="D51" s="92" t="s">
        <v>155</v>
      </c>
      <c r="E51" s="92" t="s">
        <v>408</v>
      </c>
      <c r="F51" s="92" t="s">
        <v>74</v>
      </c>
      <c r="G51" s="92" t="s">
        <v>1320</v>
      </c>
      <c r="H51" s="92" t="s">
        <v>1321</v>
      </c>
      <c r="I51" s="276">
        <v>45105</v>
      </c>
      <c r="J51" s="276">
        <v>45105</v>
      </c>
      <c r="K51" s="92" t="s">
        <v>17</v>
      </c>
      <c r="L51" s="92" t="s">
        <v>105</v>
      </c>
      <c r="M51" s="92" t="s">
        <v>1441</v>
      </c>
      <c r="N51" s="92" t="s">
        <v>95</v>
      </c>
      <c r="O51" s="969">
        <v>2</v>
      </c>
      <c r="P51"/>
      <c r="Q51"/>
      <c r="R51"/>
    </row>
    <row r="52" spans="1:18" s="36" customFormat="1" ht="15.6" x14ac:dyDescent="0.3">
      <c r="A52" s="92" t="s">
        <v>604</v>
      </c>
      <c r="B52" s="92" t="s">
        <v>58</v>
      </c>
      <c r="C52" s="92" t="s">
        <v>173</v>
      </c>
      <c r="D52" s="92" t="s">
        <v>155</v>
      </c>
      <c r="E52" s="92" t="s">
        <v>408</v>
      </c>
      <c r="F52" s="92" t="s">
        <v>74</v>
      </c>
      <c r="G52" s="92" t="s">
        <v>1326</v>
      </c>
      <c r="H52" s="92" t="s">
        <v>1327</v>
      </c>
      <c r="I52" s="276">
        <v>45106</v>
      </c>
      <c r="J52" s="276">
        <v>45106</v>
      </c>
      <c r="K52" s="92" t="s">
        <v>17</v>
      </c>
      <c r="L52" s="92" t="s">
        <v>105</v>
      </c>
      <c r="M52" s="92" t="s">
        <v>1441</v>
      </c>
      <c r="N52" s="92" t="s">
        <v>95</v>
      </c>
      <c r="O52" s="969">
        <v>2</v>
      </c>
      <c r="P52"/>
      <c r="Q52"/>
      <c r="R52"/>
    </row>
    <row r="53" spans="1:18" s="36" customFormat="1" ht="15.6" x14ac:dyDescent="0.3">
      <c r="A53" s="92" t="s">
        <v>604</v>
      </c>
      <c r="B53" s="92" t="s">
        <v>58</v>
      </c>
      <c r="C53" s="92" t="s">
        <v>173</v>
      </c>
      <c r="D53" s="92" t="s">
        <v>155</v>
      </c>
      <c r="E53" s="92" t="s">
        <v>408</v>
      </c>
      <c r="F53" s="92" t="s">
        <v>74</v>
      </c>
      <c r="G53" s="92" t="s">
        <v>1328</v>
      </c>
      <c r="H53" s="92" t="s">
        <v>1329</v>
      </c>
      <c r="I53" s="276">
        <v>45107</v>
      </c>
      <c r="J53" s="276">
        <v>45107</v>
      </c>
      <c r="K53" s="92" t="s">
        <v>17</v>
      </c>
      <c r="L53" s="92" t="s">
        <v>105</v>
      </c>
      <c r="M53" s="92" t="s">
        <v>1441</v>
      </c>
      <c r="N53" s="92" t="s">
        <v>95</v>
      </c>
      <c r="O53" s="969">
        <v>2</v>
      </c>
      <c r="P53"/>
      <c r="Q53"/>
      <c r="R53"/>
    </row>
    <row r="54" spans="1:18" s="36" customFormat="1" ht="15.6" x14ac:dyDescent="0.3">
      <c r="A54" s="92" t="s">
        <v>604</v>
      </c>
      <c r="B54" s="92" t="s">
        <v>58</v>
      </c>
      <c r="C54" s="92" t="s">
        <v>173</v>
      </c>
      <c r="D54" s="92" t="s">
        <v>155</v>
      </c>
      <c r="E54" s="92" t="s">
        <v>408</v>
      </c>
      <c r="F54" s="92" t="s">
        <v>72</v>
      </c>
      <c r="G54" s="92" t="s">
        <v>1314</v>
      </c>
      <c r="H54" s="92" t="s">
        <v>1315</v>
      </c>
      <c r="I54" s="276">
        <v>45103</v>
      </c>
      <c r="J54" s="276">
        <v>45104</v>
      </c>
      <c r="K54" s="92" t="s">
        <v>17</v>
      </c>
      <c r="L54" s="92" t="s">
        <v>105</v>
      </c>
      <c r="M54" s="92" t="s">
        <v>1441</v>
      </c>
      <c r="N54" s="92" t="s">
        <v>95</v>
      </c>
      <c r="O54" s="969">
        <v>6</v>
      </c>
      <c r="P54"/>
      <c r="Q54"/>
      <c r="R54"/>
    </row>
    <row r="55" spans="1:18" s="36" customFormat="1" ht="15.6" x14ac:dyDescent="0.3">
      <c r="A55" s="92" t="s">
        <v>604</v>
      </c>
      <c r="B55" s="92" t="s">
        <v>58</v>
      </c>
      <c r="C55" s="92" t="s">
        <v>173</v>
      </c>
      <c r="D55" s="92" t="s">
        <v>155</v>
      </c>
      <c r="E55" s="92" t="s">
        <v>408</v>
      </c>
      <c r="F55" s="92" t="s">
        <v>72</v>
      </c>
      <c r="G55" s="92" t="s">
        <v>1316</v>
      </c>
      <c r="H55" s="92" t="s">
        <v>1317</v>
      </c>
      <c r="I55" s="276">
        <v>45104</v>
      </c>
      <c r="J55" s="276">
        <v>45105</v>
      </c>
      <c r="K55" s="92" t="s">
        <v>17</v>
      </c>
      <c r="L55" s="92" t="s">
        <v>105</v>
      </c>
      <c r="M55" s="92" t="s">
        <v>1441</v>
      </c>
      <c r="N55" s="92" t="s">
        <v>95</v>
      </c>
      <c r="O55" s="969">
        <v>8</v>
      </c>
      <c r="P55"/>
      <c r="Q55"/>
      <c r="R55"/>
    </row>
    <row r="56" spans="1:18" s="36" customFormat="1" ht="15.6" x14ac:dyDescent="0.3">
      <c r="A56" s="92" t="s">
        <v>604</v>
      </c>
      <c r="B56" s="92" t="s">
        <v>58</v>
      </c>
      <c r="C56" s="92" t="s">
        <v>173</v>
      </c>
      <c r="D56" s="92" t="s">
        <v>155</v>
      </c>
      <c r="E56" s="92" t="s">
        <v>408</v>
      </c>
      <c r="F56" s="92" t="s">
        <v>72</v>
      </c>
      <c r="G56" s="92" t="s">
        <v>1362</v>
      </c>
      <c r="H56" s="92" t="s">
        <v>1363</v>
      </c>
      <c r="I56" s="276">
        <v>45105</v>
      </c>
      <c r="J56" s="276">
        <v>45105</v>
      </c>
      <c r="K56" s="92" t="s">
        <v>17</v>
      </c>
      <c r="L56" s="92" t="s">
        <v>105</v>
      </c>
      <c r="M56" s="92" t="s">
        <v>1441</v>
      </c>
      <c r="N56" s="92" t="s">
        <v>95</v>
      </c>
      <c r="O56" s="969">
        <v>4</v>
      </c>
      <c r="P56"/>
      <c r="Q56"/>
      <c r="R56"/>
    </row>
    <row r="57" spans="1:18" s="36" customFormat="1" ht="15.6" x14ac:dyDescent="0.3">
      <c r="A57" s="92" t="s">
        <v>604</v>
      </c>
      <c r="B57" s="92" t="s">
        <v>58</v>
      </c>
      <c r="C57" s="92" t="s">
        <v>173</v>
      </c>
      <c r="D57" s="92" t="s">
        <v>155</v>
      </c>
      <c r="E57" s="92" t="s">
        <v>408</v>
      </c>
      <c r="F57" s="92" t="s">
        <v>72</v>
      </c>
      <c r="G57" s="92" t="s">
        <v>1322</v>
      </c>
      <c r="H57" s="92" t="s">
        <v>1323</v>
      </c>
      <c r="I57" s="276">
        <v>45106</v>
      </c>
      <c r="J57" s="276">
        <v>45106</v>
      </c>
      <c r="K57" s="92" t="s">
        <v>17</v>
      </c>
      <c r="L57" s="92" t="s">
        <v>105</v>
      </c>
      <c r="M57" s="92" t="s">
        <v>1441</v>
      </c>
      <c r="N57" s="92" t="s">
        <v>95</v>
      </c>
      <c r="O57" s="969">
        <v>6</v>
      </c>
      <c r="P57"/>
      <c r="Q57"/>
      <c r="R57"/>
    </row>
    <row r="58" spans="1:18" s="36" customFormat="1" ht="15.6" x14ac:dyDescent="0.3">
      <c r="A58" s="92" t="s">
        <v>604</v>
      </c>
      <c r="B58" s="92" t="s">
        <v>58</v>
      </c>
      <c r="C58" s="92" t="s">
        <v>173</v>
      </c>
      <c r="D58" s="92" t="s">
        <v>155</v>
      </c>
      <c r="E58" s="92" t="s">
        <v>408</v>
      </c>
      <c r="F58" s="92" t="s">
        <v>72</v>
      </c>
      <c r="G58" s="92" t="s">
        <v>1324</v>
      </c>
      <c r="H58" s="92" t="s">
        <v>1325</v>
      </c>
      <c r="I58" s="276">
        <v>45106</v>
      </c>
      <c r="J58" s="276">
        <v>45106</v>
      </c>
      <c r="K58" s="92" t="s">
        <v>17</v>
      </c>
      <c r="L58" s="92" t="s">
        <v>105</v>
      </c>
      <c r="M58" s="92" t="s">
        <v>1441</v>
      </c>
      <c r="N58" s="92" t="s">
        <v>95</v>
      </c>
      <c r="O58" s="969">
        <v>2</v>
      </c>
      <c r="P58"/>
      <c r="Q58"/>
      <c r="R58"/>
    </row>
    <row r="59" spans="1:18" s="36" customFormat="1" ht="15.6" x14ac:dyDescent="0.3">
      <c r="A59" s="92" t="s">
        <v>604</v>
      </c>
      <c r="B59" s="92" t="s">
        <v>58</v>
      </c>
      <c r="C59" s="92" t="s">
        <v>173</v>
      </c>
      <c r="D59" s="92" t="s">
        <v>155</v>
      </c>
      <c r="E59" s="92" t="s">
        <v>408</v>
      </c>
      <c r="F59" s="92" t="s">
        <v>72</v>
      </c>
      <c r="G59" s="92" t="s">
        <v>1330</v>
      </c>
      <c r="H59" s="92" t="s">
        <v>1331</v>
      </c>
      <c r="I59" s="276">
        <v>45107</v>
      </c>
      <c r="J59" s="276">
        <v>45107</v>
      </c>
      <c r="K59" s="92" t="s">
        <v>17</v>
      </c>
      <c r="L59" s="92" t="s">
        <v>105</v>
      </c>
      <c r="M59" s="92" t="s">
        <v>1441</v>
      </c>
      <c r="N59" s="92" t="s">
        <v>95</v>
      </c>
      <c r="O59" s="969">
        <v>8</v>
      </c>
      <c r="P59"/>
      <c r="Q59"/>
      <c r="R59"/>
    </row>
    <row r="60" spans="1:18" s="36" customFormat="1" ht="15.6" x14ac:dyDescent="0.3">
      <c r="A60" s="118" t="s">
        <v>33</v>
      </c>
      <c r="B60" s="118"/>
      <c r="C60" s="118"/>
      <c r="D60" s="118"/>
      <c r="E60" s="118"/>
      <c r="F60" s="118"/>
      <c r="G60" s="118"/>
      <c r="H60" s="118"/>
      <c r="I60" s="118"/>
      <c r="J60" s="118"/>
      <c r="K60" s="118"/>
      <c r="L60" s="118"/>
      <c r="M60" s="118"/>
      <c r="N60" s="118"/>
      <c r="O60" s="969">
        <v>293</v>
      </c>
      <c r="P60"/>
      <c r="Q60"/>
      <c r="R60"/>
    </row>
    <row r="61" spans="1:18" s="36" customFormat="1" x14ac:dyDescent="0.3">
      <c r="A61"/>
      <c r="B61"/>
      <c r="C61"/>
      <c r="D61"/>
      <c r="E61"/>
      <c r="F61"/>
      <c r="G61"/>
      <c r="H61"/>
      <c r="I61"/>
      <c r="J61"/>
      <c r="K61"/>
      <c r="L61"/>
      <c r="M61"/>
      <c r="N61"/>
      <c r="O61"/>
      <c r="P61"/>
      <c r="Q61"/>
      <c r="R61"/>
    </row>
    <row r="62" spans="1:18" s="36" customFormat="1" x14ac:dyDescent="0.3">
      <c r="A62"/>
      <c r="B62"/>
      <c r="C62"/>
      <c r="D62"/>
      <c r="E62"/>
      <c r="F62"/>
      <c r="G62"/>
      <c r="H62"/>
      <c r="I62"/>
      <c r="J62"/>
      <c r="K62"/>
      <c r="L62"/>
      <c r="M62"/>
      <c r="N62"/>
      <c r="O62"/>
      <c r="P62"/>
      <c r="Q62"/>
      <c r="R62"/>
    </row>
    <row r="63" spans="1:18" s="36" customFormat="1" x14ac:dyDescent="0.3">
      <c r="A63"/>
      <c r="B63"/>
      <c r="C63"/>
      <c r="D63"/>
      <c r="E63"/>
      <c r="F63"/>
      <c r="G63"/>
      <c r="H63"/>
      <c r="I63"/>
      <c r="J63"/>
      <c r="K63"/>
      <c r="L63"/>
      <c r="M63"/>
      <c r="N63"/>
      <c r="O63"/>
      <c r="P63"/>
      <c r="Q63"/>
      <c r="R63"/>
    </row>
    <row r="64" spans="1:18" s="36" customFormat="1" x14ac:dyDescent="0.3">
      <c r="A64"/>
      <c r="B64"/>
      <c r="C64"/>
      <c r="D64"/>
      <c r="E64"/>
      <c r="F64"/>
      <c r="G64"/>
      <c r="H64"/>
      <c r="I64"/>
      <c r="J64"/>
      <c r="K64"/>
      <c r="L64"/>
      <c r="M64"/>
      <c r="N64"/>
      <c r="O64"/>
      <c r="P64"/>
      <c r="Q64"/>
      <c r="R64"/>
    </row>
    <row r="65" spans="1:18" s="36" customFormat="1" x14ac:dyDescent="0.3">
      <c r="A65"/>
      <c r="B65"/>
      <c r="C65"/>
      <c r="D65"/>
      <c r="E65"/>
      <c r="F65"/>
      <c r="G65"/>
      <c r="H65"/>
      <c r="I65"/>
      <c r="J65"/>
      <c r="K65"/>
      <c r="L65"/>
      <c r="M65"/>
      <c r="N65"/>
      <c r="O65"/>
      <c r="P65"/>
      <c r="Q65"/>
      <c r="R65"/>
    </row>
    <row r="66" spans="1:18" s="36" customFormat="1" x14ac:dyDescent="0.3">
      <c r="A66"/>
      <c r="B66"/>
      <c r="C66"/>
      <c r="D66"/>
      <c r="E66"/>
      <c r="F66"/>
      <c r="G66"/>
      <c r="H66"/>
      <c r="I66"/>
      <c r="J66"/>
      <c r="K66"/>
      <c r="L66"/>
      <c r="M66"/>
      <c r="N66"/>
      <c r="O66"/>
      <c r="P66"/>
      <c r="Q66"/>
      <c r="R66"/>
    </row>
    <row r="67" spans="1:18" s="36" customFormat="1" x14ac:dyDescent="0.3">
      <c r="A67"/>
      <c r="B67"/>
      <c r="C67"/>
      <c r="D67"/>
      <c r="E67"/>
      <c r="F67"/>
      <c r="G67"/>
      <c r="H67"/>
      <c r="I67"/>
      <c r="J67"/>
      <c r="K67"/>
      <c r="L67"/>
      <c r="M67"/>
      <c r="N67"/>
      <c r="O67"/>
      <c r="P67"/>
      <c r="Q67"/>
      <c r="R67"/>
    </row>
    <row r="68" spans="1:18" s="36" customFormat="1" x14ac:dyDescent="0.3">
      <c r="A68"/>
      <c r="B68"/>
      <c r="C68"/>
      <c r="D68"/>
      <c r="E68"/>
      <c r="F68"/>
      <c r="G68"/>
      <c r="H68"/>
      <c r="I68"/>
      <c r="J68"/>
      <c r="K68"/>
      <c r="L68"/>
      <c r="M68"/>
      <c r="N68"/>
      <c r="O68"/>
      <c r="P68"/>
      <c r="Q68"/>
      <c r="R68"/>
    </row>
    <row r="69" spans="1:18" s="36" customFormat="1" x14ac:dyDescent="0.3">
      <c r="A69"/>
      <c r="B69"/>
      <c r="C69"/>
      <c r="D69"/>
      <c r="E69"/>
      <c r="F69"/>
      <c r="G69"/>
      <c r="H69"/>
      <c r="I69"/>
      <c r="J69"/>
      <c r="K69"/>
      <c r="L69"/>
      <c r="M69"/>
      <c r="N69"/>
      <c r="O69"/>
      <c r="P69"/>
      <c r="Q69"/>
      <c r="R69"/>
    </row>
    <row r="70" spans="1:18" s="36" customFormat="1" x14ac:dyDescent="0.3">
      <c r="A70"/>
      <c r="B70"/>
      <c r="C70"/>
      <c r="D70"/>
      <c r="E70"/>
      <c r="F70"/>
      <c r="G70"/>
      <c r="H70"/>
      <c r="I70"/>
      <c r="J70"/>
      <c r="K70"/>
      <c r="L70"/>
      <c r="M70"/>
      <c r="N70"/>
      <c r="O70"/>
      <c r="P70"/>
      <c r="Q70"/>
      <c r="R70"/>
    </row>
    <row r="71" spans="1:18" s="36" customFormat="1" x14ac:dyDescent="0.3">
      <c r="A71"/>
      <c r="B71"/>
      <c r="C71"/>
      <c r="D71"/>
      <c r="E71"/>
      <c r="F71"/>
      <c r="G71"/>
      <c r="H71"/>
      <c r="I71"/>
      <c r="J71"/>
      <c r="K71"/>
      <c r="L71"/>
      <c r="M71"/>
      <c r="N71"/>
      <c r="O71"/>
      <c r="P71"/>
      <c r="Q71"/>
      <c r="R71"/>
    </row>
    <row r="72" spans="1:18" s="36" customFormat="1" x14ac:dyDescent="0.3">
      <c r="A72"/>
      <c r="B72"/>
      <c r="C72"/>
      <c r="D72"/>
      <c r="E72"/>
      <c r="F72"/>
      <c r="G72"/>
      <c r="H72"/>
      <c r="I72"/>
      <c r="J72"/>
      <c r="K72"/>
      <c r="L72"/>
      <c r="M72"/>
      <c r="N72"/>
      <c r="O72"/>
      <c r="P72"/>
      <c r="Q72"/>
      <c r="R72"/>
    </row>
    <row r="73" spans="1:18" s="36" customFormat="1" x14ac:dyDescent="0.3">
      <c r="A73"/>
      <c r="B73"/>
      <c r="C73"/>
      <c r="D73"/>
      <c r="E73"/>
      <c r="F73"/>
      <c r="G73"/>
      <c r="H73"/>
      <c r="I73"/>
      <c r="J73"/>
      <c r="K73"/>
      <c r="L73"/>
      <c r="M73"/>
      <c r="N73"/>
      <c r="O73"/>
      <c r="P73"/>
      <c r="Q73"/>
      <c r="R73"/>
    </row>
    <row r="74" spans="1:18" s="36" customFormat="1" x14ac:dyDescent="0.3">
      <c r="A74"/>
      <c r="B74"/>
      <c r="C74"/>
      <c r="D74"/>
      <c r="E74"/>
      <c r="F74"/>
      <c r="G74"/>
      <c r="H74" s="95"/>
      <c r="I74"/>
      <c r="J74"/>
      <c r="K74"/>
      <c r="L74"/>
      <c r="M74"/>
      <c r="N74" s="95"/>
      <c r="O74"/>
      <c r="P74"/>
      <c r="Q74"/>
      <c r="R74"/>
    </row>
    <row r="75" spans="1:18" s="36" customFormat="1" x14ac:dyDescent="0.3">
      <c r="A75"/>
      <c r="B75"/>
      <c r="C75"/>
      <c r="D75"/>
      <c r="E75"/>
      <c r="F75"/>
      <c r="G75"/>
      <c r="H75" s="95"/>
      <c r="I75"/>
      <c r="J75"/>
      <c r="K75"/>
      <c r="L75"/>
      <c r="M75"/>
      <c r="N75" s="95"/>
      <c r="O75"/>
      <c r="P75"/>
      <c r="Q75"/>
      <c r="R75"/>
    </row>
    <row r="76" spans="1:18" s="36" customFormat="1" x14ac:dyDescent="0.3">
      <c r="A76"/>
      <c r="B76"/>
      <c r="C76"/>
      <c r="D76"/>
      <c r="E76"/>
      <c r="F76"/>
      <c r="G76"/>
      <c r="H76" s="95"/>
      <c r="I76"/>
      <c r="J76"/>
      <c r="K76"/>
      <c r="L76"/>
      <c r="M76"/>
      <c r="N76" s="95"/>
      <c r="O76"/>
      <c r="P76"/>
      <c r="Q76"/>
      <c r="R76"/>
    </row>
    <row r="77" spans="1:18" s="36" customFormat="1" x14ac:dyDescent="0.3">
      <c r="A77"/>
      <c r="B77"/>
      <c r="C77"/>
      <c r="D77"/>
      <c r="E77"/>
      <c r="F77"/>
      <c r="G77"/>
      <c r="H77" s="95"/>
      <c r="I77"/>
      <c r="J77"/>
      <c r="K77"/>
      <c r="L77"/>
      <c r="M77"/>
      <c r="N77" s="95"/>
      <c r="O77"/>
      <c r="P77"/>
      <c r="Q77"/>
      <c r="R77"/>
    </row>
    <row r="78" spans="1:18" s="36" customFormat="1" x14ac:dyDescent="0.3">
      <c r="A78"/>
      <c r="B78"/>
      <c r="C78"/>
      <c r="D78"/>
      <c r="E78"/>
      <c r="F78"/>
      <c r="G78"/>
      <c r="H78" s="95"/>
      <c r="I78"/>
      <c r="J78"/>
      <c r="K78"/>
      <c r="L78"/>
      <c r="M78"/>
      <c r="N78" s="95"/>
      <c r="O78"/>
      <c r="P78"/>
      <c r="Q78"/>
      <c r="R78"/>
    </row>
    <row r="79" spans="1:18" s="36" customFormat="1" x14ac:dyDescent="0.3">
      <c r="A79"/>
      <c r="B79"/>
      <c r="C79"/>
      <c r="D79"/>
      <c r="E79"/>
      <c r="F79"/>
      <c r="G79"/>
      <c r="H79" s="95"/>
      <c r="I79"/>
      <c r="J79"/>
      <c r="K79"/>
      <c r="L79"/>
      <c r="M79"/>
      <c r="N79" s="95"/>
      <c r="O79"/>
      <c r="P79"/>
      <c r="Q79"/>
      <c r="R79"/>
    </row>
    <row r="80" spans="1:18" s="36" customFormat="1" x14ac:dyDescent="0.3">
      <c r="A80"/>
      <c r="B80"/>
      <c r="C80"/>
      <c r="D80"/>
      <c r="E80"/>
      <c r="F80"/>
      <c r="G80"/>
      <c r="H80" s="95"/>
      <c r="I80"/>
      <c r="J80"/>
      <c r="K80"/>
      <c r="L80"/>
      <c r="M80"/>
      <c r="N80" s="95"/>
      <c r="O80"/>
      <c r="P80"/>
      <c r="Q80"/>
      <c r="R80"/>
    </row>
    <row r="81" spans="1:18" s="36" customFormat="1" x14ac:dyDescent="0.3">
      <c r="A81"/>
      <c r="B81"/>
      <c r="C81"/>
      <c r="D81"/>
      <c r="E81"/>
      <c r="F81"/>
      <c r="G81"/>
      <c r="H81" s="95"/>
      <c r="I81"/>
      <c r="J81"/>
      <c r="K81"/>
      <c r="L81"/>
      <c r="M81"/>
      <c r="N81" s="95"/>
      <c r="O81"/>
      <c r="P81"/>
      <c r="Q81"/>
      <c r="R81"/>
    </row>
    <row r="82" spans="1:18" s="36" customFormat="1" x14ac:dyDescent="0.3">
      <c r="A82"/>
      <c r="B82"/>
      <c r="C82"/>
      <c r="D82"/>
      <c r="E82"/>
      <c r="F82"/>
      <c r="G82"/>
      <c r="H82" s="95"/>
      <c r="I82"/>
      <c r="J82"/>
      <c r="K82"/>
      <c r="L82"/>
      <c r="M82"/>
      <c r="N82" s="95"/>
      <c r="O82"/>
      <c r="P82"/>
      <c r="Q82"/>
      <c r="R82"/>
    </row>
    <row r="83" spans="1:18" s="95" customFormat="1" x14ac:dyDescent="0.3">
      <c r="A83"/>
      <c r="B83"/>
      <c r="C83"/>
      <c r="D83"/>
      <c r="E83"/>
      <c r="F83"/>
      <c r="G83"/>
      <c r="I83"/>
      <c r="J83"/>
      <c r="K83"/>
      <c r="L83"/>
      <c r="M83"/>
      <c r="O83"/>
      <c r="P83"/>
      <c r="Q83"/>
      <c r="R83"/>
    </row>
    <row r="84" spans="1:18" s="95" customFormat="1" x14ac:dyDescent="0.3">
      <c r="A84"/>
      <c r="B84"/>
      <c r="C84"/>
      <c r="D84"/>
      <c r="E84"/>
      <c r="F84"/>
      <c r="G84"/>
      <c r="I84"/>
      <c r="J84"/>
      <c r="K84"/>
      <c r="L84"/>
      <c r="M84"/>
      <c r="O84"/>
      <c r="P84"/>
      <c r="Q84"/>
      <c r="R84"/>
    </row>
    <row r="85" spans="1:18" s="95" customFormat="1" x14ac:dyDescent="0.3">
      <c r="A85"/>
      <c r="B85"/>
      <c r="C85"/>
      <c r="D85"/>
      <c r="E85"/>
      <c r="F85"/>
      <c r="G85"/>
      <c r="I85"/>
      <c r="J85"/>
      <c r="K85"/>
      <c r="L85"/>
      <c r="M85"/>
      <c r="O85"/>
      <c r="P85"/>
      <c r="Q85"/>
      <c r="R85"/>
    </row>
    <row r="86" spans="1:18" s="95" customFormat="1" x14ac:dyDescent="0.3">
      <c r="A86"/>
      <c r="B86"/>
      <c r="C86"/>
      <c r="D86"/>
      <c r="E86"/>
      <c r="F86"/>
      <c r="G86"/>
      <c r="I86"/>
      <c r="J86"/>
      <c r="K86"/>
      <c r="L86"/>
      <c r="M86"/>
      <c r="O86"/>
      <c r="P86"/>
      <c r="Q86"/>
      <c r="R86"/>
    </row>
    <row r="87" spans="1:18" s="95" customFormat="1" x14ac:dyDescent="0.3">
      <c r="A87"/>
      <c r="B87"/>
      <c r="C87"/>
      <c r="D87"/>
      <c r="E87"/>
      <c r="F87"/>
      <c r="G87"/>
      <c r="I87"/>
      <c r="J87"/>
      <c r="K87"/>
      <c r="L87"/>
      <c r="M87"/>
      <c r="O87"/>
      <c r="P87"/>
      <c r="Q87"/>
      <c r="R87"/>
    </row>
    <row r="88" spans="1:18" s="95" customFormat="1" x14ac:dyDescent="0.3">
      <c r="A88"/>
      <c r="B88"/>
      <c r="C88"/>
      <c r="D88"/>
      <c r="E88"/>
      <c r="F88"/>
      <c r="G88"/>
      <c r="I88"/>
      <c r="J88"/>
      <c r="K88"/>
      <c r="L88"/>
      <c r="M88"/>
      <c r="O88"/>
      <c r="P88"/>
      <c r="Q88"/>
      <c r="R88"/>
    </row>
    <row r="89" spans="1:18" s="95" customFormat="1" x14ac:dyDescent="0.3">
      <c r="A89"/>
      <c r="B89"/>
      <c r="C89"/>
      <c r="D89"/>
      <c r="E89"/>
      <c r="F89"/>
      <c r="G89"/>
      <c r="I89"/>
      <c r="J89"/>
      <c r="K89"/>
      <c r="L89"/>
      <c r="M89"/>
      <c r="O89"/>
      <c r="P89"/>
      <c r="Q89"/>
      <c r="R89"/>
    </row>
    <row r="90" spans="1:18" x14ac:dyDescent="0.3">
      <c r="I90"/>
      <c r="J90"/>
      <c r="M90"/>
    </row>
    <row r="91" spans="1:18" x14ac:dyDescent="0.3">
      <c r="I91"/>
      <c r="J91"/>
      <c r="M91"/>
    </row>
    <row r="92" spans="1:18" x14ac:dyDescent="0.3">
      <c r="I92"/>
      <c r="J92"/>
      <c r="M92"/>
    </row>
    <row r="93" spans="1:18" x14ac:dyDescent="0.3">
      <c r="I93"/>
      <c r="J93"/>
      <c r="M93"/>
    </row>
    <row r="94" spans="1:18" x14ac:dyDescent="0.3">
      <c r="J94" s="16"/>
    </row>
    <row r="95" spans="1:18" x14ac:dyDescent="0.3">
      <c r="J95" s="16"/>
    </row>
    <row r="96" spans="1:18" x14ac:dyDescent="0.3">
      <c r="J96" s="16"/>
    </row>
    <row r="97" spans="10:10" x14ac:dyDescent="0.3">
      <c r="J97" s="16"/>
    </row>
    <row r="98" spans="10:10" x14ac:dyDescent="0.3">
      <c r="J98" s="16"/>
    </row>
    <row r="99" spans="10:10" x14ac:dyDescent="0.3">
      <c r="J99" s="16"/>
    </row>
    <row r="100" spans="10:10" x14ac:dyDescent="0.3">
      <c r="J100" s="16"/>
    </row>
    <row r="101" spans="10:10" x14ac:dyDescent="0.3">
      <c r="J101" s="16"/>
    </row>
    <row r="102" spans="10:10" x14ac:dyDescent="0.3">
      <c r="J102" s="16"/>
    </row>
    <row r="103" spans="10:10" x14ac:dyDescent="0.3">
      <c r="J103" s="16"/>
    </row>
    <row r="104" spans="10:10" x14ac:dyDescent="0.3">
      <c r="J104" s="16"/>
    </row>
    <row r="105" spans="10:10" x14ac:dyDescent="0.3">
      <c r="J105" s="16"/>
    </row>
    <row r="106" spans="10:10" x14ac:dyDescent="0.3">
      <c r="J106" s="16"/>
    </row>
    <row r="107" spans="10:10" x14ac:dyDescent="0.3">
      <c r="J107" s="16"/>
    </row>
    <row r="108" spans="10:10" x14ac:dyDescent="0.3">
      <c r="J108" s="16"/>
    </row>
    <row r="109" spans="10:10" x14ac:dyDescent="0.3">
      <c r="J109" s="16"/>
    </row>
    <row r="110" spans="10:10" x14ac:dyDescent="0.3">
      <c r="J110" s="16"/>
    </row>
    <row r="111" spans="10:10" x14ac:dyDescent="0.3">
      <c r="J111" s="16"/>
    </row>
    <row r="112" spans="10:10" x14ac:dyDescent="0.3">
      <c r="J112" s="16"/>
    </row>
    <row r="113" spans="10:10" x14ac:dyDescent="0.3">
      <c r="J113" s="16"/>
    </row>
    <row r="114" spans="10:10" x14ac:dyDescent="0.3">
      <c r="J114" s="16"/>
    </row>
    <row r="115" spans="10:10" x14ac:dyDescent="0.3">
      <c r="J115" s="16"/>
    </row>
    <row r="116" spans="10:10" x14ac:dyDescent="0.3">
      <c r="J116" s="16"/>
    </row>
    <row r="117" spans="10:10" x14ac:dyDescent="0.3">
      <c r="J117" s="16"/>
    </row>
    <row r="118" spans="10:10" x14ac:dyDescent="0.3">
      <c r="J118" s="16"/>
    </row>
    <row r="119" spans="10:10" x14ac:dyDescent="0.3">
      <c r="J119" s="16"/>
    </row>
    <row r="120" spans="10:10" x14ac:dyDescent="0.3">
      <c r="J120" s="16"/>
    </row>
    <row r="121" spans="10:10" x14ac:dyDescent="0.3">
      <c r="J121" s="16"/>
    </row>
    <row r="122" spans="10:10" x14ac:dyDescent="0.3">
      <c r="J122" s="16"/>
    </row>
    <row r="123" spans="10:10" x14ac:dyDescent="0.3">
      <c r="J123" s="16"/>
    </row>
    <row r="124" spans="10:10" x14ac:dyDescent="0.3">
      <c r="J124" s="16"/>
    </row>
    <row r="125" spans="10:10" x14ac:dyDescent="0.3">
      <c r="J125" s="16"/>
    </row>
    <row r="126" spans="10:10" x14ac:dyDescent="0.3">
      <c r="J126" s="16"/>
    </row>
    <row r="127" spans="10:10" x14ac:dyDescent="0.3">
      <c r="J127" s="16"/>
    </row>
    <row r="128" spans="10:10" x14ac:dyDescent="0.3">
      <c r="J128" s="16"/>
    </row>
    <row r="129" spans="10:10" x14ac:dyDescent="0.3">
      <c r="J129" s="16"/>
    </row>
    <row r="130" spans="10:10" x14ac:dyDescent="0.3">
      <c r="J130" s="16"/>
    </row>
    <row r="131" spans="10:10" x14ac:dyDescent="0.3">
      <c r="J131" s="16"/>
    </row>
    <row r="132" spans="10:10" x14ac:dyDescent="0.3">
      <c r="J132" s="16"/>
    </row>
    <row r="133" spans="10:10" x14ac:dyDescent="0.3">
      <c r="J133" s="16"/>
    </row>
    <row r="134" spans="10:10" x14ac:dyDescent="0.3">
      <c r="J134" s="16"/>
    </row>
    <row r="135" spans="10:10" x14ac:dyDescent="0.3">
      <c r="J135" s="16"/>
    </row>
    <row r="136" spans="10:10" x14ac:dyDescent="0.3">
      <c r="J136" s="16"/>
    </row>
    <row r="137" spans="10:10" x14ac:dyDescent="0.3">
      <c r="J137" s="16"/>
    </row>
    <row r="138" spans="10:10" x14ac:dyDescent="0.3">
      <c r="J138" s="16"/>
    </row>
    <row r="139" spans="10:10" x14ac:dyDescent="0.3">
      <c r="J139" s="16"/>
    </row>
    <row r="140" spans="10:10" x14ac:dyDescent="0.3">
      <c r="J140" s="16"/>
    </row>
    <row r="141" spans="10:10" x14ac:dyDescent="0.3">
      <c r="J141" s="16"/>
    </row>
    <row r="142" spans="10:10" x14ac:dyDescent="0.3">
      <c r="J142" s="16"/>
    </row>
    <row r="143" spans="10:10" x14ac:dyDescent="0.3">
      <c r="J143" s="16"/>
    </row>
    <row r="144" spans="10:10" x14ac:dyDescent="0.3">
      <c r="J144" s="16"/>
    </row>
    <row r="145" spans="10:10" x14ac:dyDescent="0.3">
      <c r="J145" s="16"/>
    </row>
    <row r="146" spans="10:10" x14ac:dyDescent="0.3">
      <c r="J146" s="16"/>
    </row>
    <row r="147" spans="10:10" x14ac:dyDescent="0.3">
      <c r="J147" s="16"/>
    </row>
    <row r="148" spans="10:10" x14ac:dyDescent="0.3">
      <c r="J148" s="16"/>
    </row>
    <row r="149" spans="10:10" x14ac:dyDescent="0.3">
      <c r="J149" s="16"/>
    </row>
    <row r="150" spans="10:10" x14ac:dyDescent="0.3">
      <c r="J150" s="16"/>
    </row>
    <row r="151" spans="10:10" x14ac:dyDescent="0.3">
      <c r="J151" s="16"/>
    </row>
    <row r="152" spans="10:10" x14ac:dyDescent="0.3">
      <c r="J152" s="16"/>
    </row>
    <row r="153" spans="10:10" x14ac:dyDescent="0.3">
      <c r="J153" s="16"/>
    </row>
    <row r="154" spans="10:10" x14ac:dyDescent="0.3">
      <c r="J154" s="16"/>
    </row>
    <row r="155" spans="10:10" x14ac:dyDescent="0.3">
      <c r="J155" s="16"/>
    </row>
    <row r="156" spans="10:10" x14ac:dyDescent="0.3">
      <c r="J156" s="16"/>
    </row>
    <row r="157" spans="10:10" x14ac:dyDescent="0.3">
      <c r="J157" s="16"/>
    </row>
    <row r="158" spans="10:10" x14ac:dyDescent="0.3">
      <c r="J158" s="16"/>
    </row>
    <row r="159" spans="10:10" x14ac:dyDescent="0.3">
      <c r="J159" s="16"/>
    </row>
    <row r="160" spans="10:10" x14ac:dyDescent="0.3">
      <c r="J160" s="16"/>
    </row>
    <row r="161" spans="10:10" x14ac:dyDescent="0.3">
      <c r="J161" s="16"/>
    </row>
    <row r="162" spans="10:10" x14ac:dyDescent="0.3">
      <c r="J162" s="16"/>
    </row>
    <row r="163" spans="10:10" x14ac:dyDescent="0.3">
      <c r="J163" s="16"/>
    </row>
    <row r="164" spans="10:10" x14ac:dyDescent="0.3">
      <c r="J164" s="16"/>
    </row>
    <row r="165" spans="10:10" x14ac:dyDescent="0.3">
      <c r="J165" s="16"/>
    </row>
    <row r="166" spans="10:10" x14ac:dyDescent="0.3">
      <c r="J166" s="16"/>
    </row>
    <row r="167" spans="10:10" x14ac:dyDescent="0.3">
      <c r="J167" s="16"/>
    </row>
    <row r="168" spans="10:10" x14ac:dyDescent="0.3">
      <c r="J168" s="16"/>
    </row>
    <row r="169" spans="10:10" x14ac:dyDescent="0.3">
      <c r="J169" s="16"/>
    </row>
    <row r="170" spans="10:10" x14ac:dyDescent="0.3">
      <c r="J170" s="16"/>
    </row>
    <row r="171" spans="10:10" x14ac:dyDescent="0.3">
      <c r="J171" s="16"/>
    </row>
    <row r="172" spans="10:10" x14ac:dyDescent="0.3">
      <c r="J172" s="16"/>
    </row>
    <row r="173" spans="10:10" x14ac:dyDescent="0.3">
      <c r="J173" s="16"/>
    </row>
    <row r="174" spans="10:10" x14ac:dyDescent="0.3">
      <c r="J174" s="16"/>
    </row>
    <row r="175" spans="10:10" x14ac:dyDescent="0.3">
      <c r="J175" s="16"/>
    </row>
    <row r="176" spans="10:10" x14ac:dyDescent="0.3">
      <c r="J176" s="16"/>
    </row>
    <row r="177" spans="10:10" x14ac:dyDescent="0.3">
      <c r="J177" s="16"/>
    </row>
    <row r="178" spans="10:10" x14ac:dyDescent="0.3">
      <c r="J178" s="16"/>
    </row>
    <row r="179" spans="10:10" x14ac:dyDescent="0.3">
      <c r="J179" s="16"/>
    </row>
    <row r="180" spans="10:10" x14ac:dyDescent="0.3">
      <c r="J180" s="16"/>
    </row>
    <row r="181" spans="10:10" x14ac:dyDescent="0.3">
      <c r="J181" s="16"/>
    </row>
    <row r="182" spans="10:10" x14ac:dyDescent="0.3">
      <c r="J182" s="16"/>
    </row>
    <row r="183" spans="10:10" x14ac:dyDescent="0.3">
      <c r="J183" s="16"/>
    </row>
    <row r="184" spans="10:10" x14ac:dyDescent="0.3">
      <c r="J184" s="16"/>
    </row>
    <row r="185" spans="10:10" x14ac:dyDescent="0.3">
      <c r="J185" s="16"/>
    </row>
    <row r="186" spans="10:10" x14ac:dyDescent="0.3">
      <c r="J186" s="16"/>
    </row>
    <row r="187" spans="10:10" x14ac:dyDescent="0.3">
      <c r="J187" s="16"/>
    </row>
    <row r="188" spans="10:10" x14ac:dyDescent="0.3">
      <c r="J188" s="16"/>
    </row>
    <row r="189" spans="10:10" x14ac:dyDescent="0.3">
      <c r="J189" s="16"/>
    </row>
    <row r="190" spans="10:10" x14ac:dyDescent="0.3">
      <c r="J190" s="16"/>
    </row>
    <row r="191" spans="10:10" x14ac:dyDescent="0.3">
      <c r="J191" s="16"/>
    </row>
    <row r="192" spans="10:10" x14ac:dyDescent="0.3">
      <c r="J192" s="16"/>
    </row>
    <row r="193" spans="10:10" x14ac:dyDescent="0.3">
      <c r="J193" s="16"/>
    </row>
    <row r="194" spans="10:10" x14ac:dyDescent="0.3">
      <c r="J194" s="16"/>
    </row>
    <row r="195" spans="10:10" x14ac:dyDescent="0.3">
      <c r="J195" s="16"/>
    </row>
    <row r="196" spans="10:10" x14ac:dyDescent="0.3">
      <c r="J196" s="16"/>
    </row>
    <row r="197" spans="10:10" x14ac:dyDescent="0.3">
      <c r="J197" s="16"/>
    </row>
    <row r="198" spans="10:10" x14ac:dyDescent="0.3">
      <c r="J198" s="16"/>
    </row>
    <row r="199" spans="10:10" x14ac:dyDescent="0.3">
      <c r="J199" s="16"/>
    </row>
    <row r="200" spans="10:10" x14ac:dyDescent="0.3">
      <c r="J200" s="16"/>
    </row>
    <row r="201" spans="10:10" x14ac:dyDescent="0.3">
      <c r="J201" s="16"/>
    </row>
    <row r="202" spans="10:10" x14ac:dyDescent="0.3">
      <c r="J202" s="16"/>
    </row>
    <row r="203" spans="10:10" x14ac:dyDescent="0.3">
      <c r="J203" s="16"/>
    </row>
    <row r="204" spans="10:10" x14ac:dyDescent="0.3">
      <c r="J204" s="16"/>
    </row>
    <row r="205" spans="10:10" x14ac:dyDescent="0.3">
      <c r="J205" s="16"/>
    </row>
    <row r="206" spans="10:10" x14ac:dyDescent="0.3">
      <c r="J206" s="16"/>
    </row>
    <row r="207" spans="10:10" x14ac:dyDescent="0.3">
      <c r="J207" s="16"/>
    </row>
    <row r="208" spans="10:10" x14ac:dyDescent="0.3">
      <c r="J208" s="16"/>
    </row>
    <row r="209" spans="10:10" x14ac:dyDescent="0.3">
      <c r="J209" s="16"/>
    </row>
    <row r="210" spans="10:10" x14ac:dyDescent="0.3">
      <c r="J210" s="16"/>
    </row>
    <row r="211" spans="10:10" x14ac:dyDescent="0.3">
      <c r="J211" s="16"/>
    </row>
    <row r="212" spans="10:10" x14ac:dyDescent="0.3">
      <c r="J212" s="16"/>
    </row>
    <row r="213" spans="10:10" x14ac:dyDescent="0.3">
      <c r="J213" s="16"/>
    </row>
    <row r="214" spans="10:10" x14ac:dyDescent="0.3">
      <c r="J214" s="16"/>
    </row>
    <row r="215" spans="10:10" x14ac:dyDescent="0.3">
      <c r="J215" s="16"/>
    </row>
    <row r="216" spans="10:10" x14ac:dyDescent="0.3">
      <c r="J216" s="16"/>
    </row>
    <row r="217" spans="10:10" x14ac:dyDescent="0.3">
      <c r="J217" s="16"/>
    </row>
    <row r="218" spans="10:10" x14ac:dyDescent="0.3">
      <c r="J218" s="16"/>
    </row>
    <row r="219" spans="10:10" x14ac:dyDescent="0.3">
      <c r="J219" s="16"/>
    </row>
    <row r="220" spans="10:10" x14ac:dyDescent="0.3">
      <c r="J220" s="16"/>
    </row>
    <row r="221" spans="10:10" x14ac:dyDescent="0.3">
      <c r="J221" s="16"/>
    </row>
    <row r="222" spans="10:10" x14ac:dyDescent="0.3">
      <c r="J222" s="16"/>
    </row>
    <row r="223" spans="10:10" x14ac:dyDescent="0.3">
      <c r="J223" s="16"/>
    </row>
    <row r="224" spans="10:10" x14ac:dyDescent="0.3">
      <c r="J224" s="16"/>
    </row>
    <row r="225" spans="10:10" x14ac:dyDescent="0.3">
      <c r="J225" s="16"/>
    </row>
    <row r="226" spans="10:10" x14ac:dyDescent="0.3">
      <c r="J226" s="16"/>
    </row>
    <row r="227" spans="10:10" x14ac:dyDescent="0.3">
      <c r="J227" s="16"/>
    </row>
    <row r="228" spans="10:10" x14ac:dyDescent="0.3">
      <c r="J228" s="16"/>
    </row>
    <row r="229" spans="10:10" x14ac:dyDescent="0.3">
      <c r="J229" s="16"/>
    </row>
    <row r="230" spans="10:10" x14ac:dyDescent="0.3">
      <c r="J230" s="16"/>
    </row>
    <row r="231" spans="10:10" x14ac:dyDescent="0.3">
      <c r="J231" s="16"/>
    </row>
    <row r="232" spans="10:10" x14ac:dyDescent="0.3">
      <c r="J232" s="16"/>
    </row>
    <row r="233" spans="10:10" x14ac:dyDescent="0.3">
      <c r="J233" s="16"/>
    </row>
    <row r="234" spans="10:10" x14ac:dyDescent="0.3">
      <c r="J234" s="16"/>
    </row>
    <row r="235" spans="10:10" x14ac:dyDescent="0.3">
      <c r="J235" s="16"/>
    </row>
    <row r="236" spans="10:10" x14ac:dyDescent="0.3">
      <c r="J236" s="16"/>
    </row>
    <row r="237" spans="10:10" x14ac:dyDescent="0.3">
      <c r="J237" s="16"/>
    </row>
    <row r="238" spans="10:10" x14ac:dyDescent="0.3">
      <c r="J238" s="16"/>
    </row>
    <row r="239" spans="10:10" x14ac:dyDescent="0.3">
      <c r="J239" s="16"/>
    </row>
    <row r="240" spans="10:10" x14ac:dyDescent="0.3">
      <c r="J240" s="16"/>
    </row>
    <row r="241" spans="10:10" x14ac:dyDescent="0.3">
      <c r="J241" s="16"/>
    </row>
    <row r="242" spans="10:10" x14ac:dyDescent="0.3">
      <c r="J242" s="16"/>
    </row>
    <row r="243" spans="10:10" x14ac:dyDescent="0.3">
      <c r="J243" s="16"/>
    </row>
    <row r="244" spans="10:10" x14ac:dyDescent="0.3">
      <c r="J244" s="16"/>
    </row>
    <row r="245" spans="10:10" x14ac:dyDescent="0.3">
      <c r="J245" s="16"/>
    </row>
    <row r="246" spans="10:10" x14ac:dyDescent="0.3">
      <c r="J246" s="16"/>
    </row>
    <row r="247" spans="10:10" x14ac:dyDescent="0.3">
      <c r="J247" s="16"/>
    </row>
    <row r="248" spans="10:10" x14ac:dyDescent="0.3">
      <c r="J248" s="16"/>
    </row>
    <row r="249" spans="10:10" x14ac:dyDescent="0.3">
      <c r="J249" s="16"/>
    </row>
    <row r="250" spans="10:10" x14ac:dyDescent="0.3">
      <c r="J250" s="16"/>
    </row>
    <row r="251" spans="10:10" x14ac:dyDescent="0.3">
      <c r="J251" s="16"/>
    </row>
    <row r="252" spans="10:10" x14ac:dyDescent="0.3">
      <c r="J252" s="16"/>
    </row>
    <row r="253" spans="10:10" x14ac:dyDescent="0.3">
      <c r="J253" s="16"/>
    </row>
    <row r="254" spans="10:10" x14ac:dyDescent="0.3">
      <c r="J254" s="16"/>
    </row>
    <row r="255" spans="10:10" x14ac:dyDescent="0.3">
      <c r="J255" s="16"/>
    </row>
    <row r="256" spans="10:10" x14ac:dyDescent="0.3">
      <c r="J256" s="16"/>
    </row>
    <row r="257" spans="10:10" x14ac:dyDescent="0.3">
      <c r="J257" s="16"/>
    </row>
    <row r="258" spans="10:10" x14ac:dyDescent="0.3">
      <c r="J258" s="16"/>
    </row>
    <row r="259" spans="10:10" x14ac:dyDescent="0.3">
      <c r="J259" s="16"/>
    </row>
    <row r="260" spans="10:10" x14ac:dyDescent="0.3">
      <c r="J260" s="16"/>
    </row>
    <row r="261" spans="10:10" x14ac:dyDescent="0.3">
      <c r="J261" s="16"/>
    </row>
    <row r="262" spans="10:10" x14ac:dyDescent="0.3">
      <c r="J262" s="16"/>
    </row>
    <row r="263" spans="10:10" x14ac:dyDescent="0.3">
      <c r="J263" s="16"/>
    </row>
    <row r="264" spans="10:10" x14ac:dyDescent="0.3">
      <c r="J264" s="16"/>
    </row>
    <row r="265" spans="10:10" x14ac:dyDescent="0.3">
      <c r="J265" s="16"/>
    </row>
    <row r="266" spans="10:10" x14ac:dyDescent="0.3">
      <c r="J266" s="16"/>
    </row>
    <row r="267" spans="10:10" x14ac:dyDescent="0.3">
      <c r="J267" s="16"/>
    </row>
    <row r="268" spans="10:10" x14ac:dyDescent="0.3">
      <c r="J268" s="16"/>
    </row>
    <row r="269" spans="10:10" x14ac:dyDescent="0.3">
      <c r="J269" s="16"/>
    </row>
    <row r="270" spans="10:10" x14ac:dyDescent="0.3">
      <c r="J270" s="16"/>
    </row>
    <row r="271" spans="10:10" x14ac:dyDescent="0.3">
      <c r="J271" s="16"/>
    </row>
    <row r="272" spans="10:10" x14ac:dyDescent="0.3">
      <c r="J272" s="16"/>
    </row>
    <row r="273" spans="10:10" x14ac:dyDescent="0.3">
      <c r="J273" s="16"/>
    </row>
    <row r="274" spans="10:10" x14ac:dyDescent="0.3">
      <c r="J274" s="16"/>
    </row>
    <row r="275" spans="10:10" x14ac:dyDescent="0.3">
      <c r="J275" s="16"/>
    </row>
    <row r="276" spans="10:10" x14ac:dyDescent="0.3">
      <c r="J276" s="16"/>
    </row>
    <row r="277" spans="10:10" x14ac:dyDescent="0.3">
      <c r="J277" s="16"/>
    </row>
    <row r="278" spans="10:10" x14ac:dyDescent="0.3">
      <c r="J278" s="16"/>
    </row>
    <row r="279" spans="10:10" x14ac:dyDescent="0.3">
      <c r="J279" s="16"/>
    </row>
    <row r="280" spans="10:10" x14ac:dyDescent="0.3">
      <c r="J280" s="16"/>
    </row>
    <row r="281" spans="10:10" x14ac:dyDescent="0.3">
      <c r="J281" s="16"/>
    </row>
    <row r="282" spans="10:10" x14ac:dyDescent="0.3">
      <c r="J282" s="16"/>
    </row>
    <row r="283" spans="10:10" x14ac:dyDescent="0.3">
      <c r="J283" s="16"/>
    </row>
    <row r="284" spans="10:10" x14ac:dyDescent="0.3">
      <c r="J284" s="16"/>
    </row>
    <row r="285" spans="10:10" x14ac:dyDescent="0.3">
      <c r="J285" s="16"/>
    </row>
    <row r="286" spans="10:10" x14ac:dyDescent="0.3">
      <c r="J286" s="16"/>
    </row>
    <row r="287" spans="10:10" x14ac:dyDescent="0.3">
      <c r="J287" s="16"/>
    </row>
    <row r="288" spans="10:10" x14ac:dyDescent="0.3">
      <c r="J288" s="16"/>
    </row>
    <row r="289" spans="10:10" x14ac:dyDescent="0.3">
      <c r="J289" s="16"/>
    </row>
    <row r="290" spans="10:10" x14ac:dyDescent="0.3">
      <c r="J290" s="16"/>
    </row>
    <row r="291" spans="10:10" x14ac:dyDescent="0.3">
      <c r="J291" s="16"/>
    </row>
    <row r="292" spans="10:10" x14ac:dyDescent="0.3">
      <c r="J292" s="16"/>
    </row>
    <row r="293" spans="10:10" x14ac:dyDescent="0.3">
      <c r="J293" s="16"/>
    </row>
    <row r="294" spans="10:10" x14ac:dyDescent="0.3">
      <c r="J294" s="16"/>
    </row>
    <row r="295" spans="10:10" x14ac:dyDescent="0.3">
      <c r="J295" s="16"/>
    </row>
    <row r="296" spans="10:10" x14ac:dyDescent="0.3">
      <c r="J296" s="16"/>
    </row>
    <row r="297" spans="10:10" x14ac:dyDescent="0.3">
      <c r="J297" s="16"/>
    </row>
    <row r="298" spans="10:10" x14ac:dyDescent="0.3">
      <c r="J298" s="16"/>
    </row>
    <row r="299" spans="10:10" x14ac:dyDescent="0.3">
      <c r="J299" s="16"/>
    </row>
    <row r="300" spans="10:10" x14ac:dyDescent="0.3">
      <c r="J300" s="16"/>
    </row>
    <row r="301" spans="10:10" x14ac:dyDescent="0.3">
      <c r="J301" s="16"/>
    </row>
    <row r="302" spans="10:10" x14ac:dyDescent="0.3">
      <c r="J302" s="16"/>
    </row>
    <row r="303" spans="10:10" x14ac:dyDescent="0.3">
      <c r="J303" s="16"/>
    </row>
    <row r="304" spans="10:10" x14ac:dyDescent="0.3">
      <c r="J304" s="16"/>
    </row>
    <row r="305" spans="10:10" x14ac:dyDescent="0.3">
      <c r="J305" s="16"/>
    </row>
    <row r="306" spans="10:10" x14ac:dyDescent="0.3">
      <c r="J306" s="16"/>
    </row>
    <row r="307" spans="10:10" x14ac:dyDescent="0.3">
      <c r="J307" s="16"/>
    </row>
    <row r="308" spans="10:10" x14ac:dyDescent="0.3">
      <c r="J308" s="16"/>
    </row>
    <row r="309" spans="10:10" x14ac:dyDescent="0.3">
      <c r="J309" s="16"/>
    </row>
    <row r="310" spans="10:10" x14ac:dyDescent="0.3">
      <c r="J310" s="16"/>
    </row>
    <row r="311" spans="10:10" x14ac:dyDescent="0.3">
      <c r="J311" s="16"/>
    </row>
    <row r="312" spans="10:10" x14ac:dyDescent="0.3">
      <c r="J312" s="16"/>
    </row>
    <row r="313" spans="10:10" x14ac:dyDescent="0.3">
      <c r="J313" s="16"/>
    </row>
    <row r="314" spans="10:10" x14ac:dyDescent="0.3">
      <c r="J314" s="16"/>
    </row>
    <row r="315" spans="10:10" x14ac:dyDescent="0.3">
      <c r="J315" s="16"/>
    </row>
    <row r="316" spans="10:10" x14ac:dyDescent="0.3">
      <c r="J316" s="16"/>
    </row>
    <row r="317" spans="10:10" x14ac:dyDescent="0.3">
      <c r="J317" s="16"/>
    </row>
    <row r="318" spans="10:10" x14ac:dyDescent="0.3">
      <c r="J318" s="16"/>
    </row>
    <row r="319" spans="10:10" x14ac:dyDescent="0.3">
      <c r="J319" s="16"/>
    </row>
    <row r="320" spans="10:10" x14ac:dyDescent="0.3">
      <c r="J320" s="16"/>
    </row>
    <row r="321" spans="10:10" x14ac:dyDescent="0.3">
      <c r="J321" s="16"/>
    </row>
    <row r="322" spans="10:10" x14ac:dyDescent="0.3">
      <c r="J322" s="16"/>
    </row>
    <row r="323" spans="10:10" x14ac:dyDescent="0.3">
      <c r="J323" s="16"/>
    </row>
    <row r="324" spans="10:10" x14ac:dyDescent="0.3">
      <c r="J324" s="16"/>
    </row>
    <row r="325" spans="10:10" x14ac:dyDescent="0.3">
      <c r="J325" s="16"/>
    </row>
    <row r="326" spans="10:10" x14ac:dyDescent="0.3">
      <c r="J326" s="16"/>
    </row>
    <row r="327" spans="10:10" x14ac:dyDescent="0.3">
      <c r="J327" s="16"/>
    </row>
    <row r="328" spans="10:10" x14ac:dyDescent="0.3">
      <c r="J328" s="16"/>
    </row>
    <row r="329" spans="10:10" x14ac:dyDescent="0.3">
      <c r="J329" s="16"/>
    </row>
    <row r="330" spans="10:10" x14ac:dyDescent="0.3">
      <c r="J330" s="16"/>
    </row>
    <row r="331" spans="10:10" x14ac:dyDescent="0.3">
      <c r="J331" s="16"/>
    </row>
    <row r="332" spans="10:10" x14ac:dyDescent="0.3">
      <c r="J332" s="16"/>
    </row>
    <row r="333" spans="10:10" x14ac:dyDescent="0.3">
      <c r="J333" s="16"/>
    </row>
    <row r="334" spans="10:10" x14ac:dyDescent="0.3">
      <c r="J334" s="16"/>
    </row>
    <row r="335" spans="10:10" x14ac:dyDescent="0.3">
      <c r="J335" s="16"/>
    </row>
    <row r="336" spans="10:10" x14ac:dyDescent="0.3">
      <c r="J336" s="16"/>
    </row>
    <row r="337" spans="10:10" x14ac:dyDescent="0.3">
      <c r="J337" s="16"/>
    </row>
    <row r="338" spans="10:10" x14ac:dyDescent="0.3">
      <c r="J338" s="16"/>
    </row>
    <row r="339" spans="10:10" x14ac:dyDescent="0.3">
      <c r="J339" s="16"/>
    </row>
    <row r="340" spans="10:10" x14ac:dyDescent="0.3">
      <c r="J340" s="16"/>
    </row>
    <row r="341" spans="10:10" x14ac:dyDescent="0.3">
      <c r="J341" s="16"/>
    </row>
    <row r="342" spans="10:10" x14ac:dyDescent="0.3">
      <c r="J342" s="16"/>
    </row>
    <row r="343" spans="10:10" x14ac:dyDescent="0.3">
      <c r="J343" s="16"/>
    </row>
    <row r="344" spans="10:10" x14ac:dyDescent="0.3">
      <c r="J344" s="16"/>
    </row>
    <row r="345" spans="10:10" x14ac:dyDescent="0.3">
      <c r="J345" s="16"/>
    </row>
    <row r="346" spans="10:10" x14ac:dyDescent="0.3">
      <c r="J346" s="16"/>
    </row>
    <row r="347" spans="10:10" x14ac:dyDescent="0.3">
      <c r="J347" s="16"/>
    </row>
    <row r="348" spans="10:10" x14ac:dyDescent="0.3">
      <c r="J348" s="16"/>
    </row>
    <row r="349" spans="10:10" x14ac:dyDescent="0.3">
      <c r="J349" s="16"/>
    </row>
    <row r="350" spans="10:10" x14ac:dyDescent="0.3">
      <c r="J350" s="16"/>
    </row>
    <row r="351" spans="10:10" x14ac:dyDescent="0.3">
      <c r="J351" s="16"/>
    </row>
    <row r="352" spans="10:10" x14ac:dyDescent="0.3">
      <c r="J352" s="16"/>
    </row>
    <row r="353" spans="10:10" x14ac:dyDescent="0.3">
      <c r="J353" s="16"/>
    </row>
    <row r="354" spans="10:10" x14ac:dyDescent="0.3">
      <c r="J354" s="16"/>
    </row>
    <row r="355" spans="10:10" x14ac:dyDescent="0.3">
      <c r="J355" s="16"/>
    </row>
    <row r="356" spans="10:10" x14ac:dyDescent="0.3">
      <c r="J356" s="16"/>
    </row>
    <row r="357" spans="10:10" x14ac:dyDescent="0.3">
      <c r="J357" s="16"/>
    </row>
    <row r="358" spans="10:10" x14ac:dyDescent="0.3">
      <c r="J358" s="16"/>
    </row>
    <row r="359" spans="10:10" x14ac:dyDescent="0.3">
      <c r="J359" s="16"/>
    </row>
    <row r="360" spans="10:10" x14ac:dyDescent="0.3">
      <c r="J360" s="16"/>
    </row>
    <row r="361" spans="10:10" x14ac:dyDescent="0.3">
      <c r="J361" s="16"/>
    </row>
    <row r="362" spans="10:10" x14ac:dyDescent="0.3">
      <c r="J362" s="16"/>
    </row>
    <row r="363" spans="10:10" x14ac:dyDescent="0.3">
      <c r="J363" s="16"/>
    </row>
    <row r="364" spans="10:10" x14ac:dyDescent="0.3">
      <c r="J364" s="16"/>
    </row>
    <row r="365" spans="10:10" x14ac:dyDescent="0.3">
      <c r="J365" s="16"/>
    </row>
    <row r="366" spans="10:10" x14ac:dyDescent="0.3">
      <c r="J366" s="16"/>
    </row>
    <row r="367" spans="10:10" x14ac:dyDescent="0.3">
      <c r="J367" s="16"/>
    </row>
    <row r="368" spans="10:10" x14ac:dyDescent="0.3">
      <c r="J368" s="16"/>
    </row>
    <row r="369" spans="10:10" x14ac:dyDescent="0.3">
      <c r="J369" s="16"/>
    </row>
    <row r="370" spans="10:10" x14ac:dyDescent="0.3">
      <c r="J370" s="16"/>
    </row>
    <row r="371" spans="10:10" x14ac:dyDescent="0.3">
      <c r="J371" s="16"/>
    </row>
    <row r="372" spans="10:10" x14ac:dyDescent="0.3">
      <c r="J372" s="16"/>
    </row>
    <row r="373" spans="10:10" x14ac:dyDescent="0.3">
      <c r="J373" s="16"/>
    </row>
    <row r="374" spans="10:10" x14ac:dyDescent="0.3">
      <c r="J374" s="16"/>
    </row>
    <row r="375" spans="10:10" x14ac:dyDescent="0.3">
      <c r="J375" s="16"/>
    </row>
    <row r="376" spans="10:10" x14ac:dyDescent="0.3">
      <c r="J376" s="16"/>
    </row>
    <row r="377" spans="10:10" x14ac:dyDescent="0.3">
      <c r="J377" s="16"/>
    </row>
    <row r="378" spans="10:10" x14ac:dyDescent="0.3">
      <c r="J378" s="16"/>
    </row>
    <row r="379" spans="10:10" x14ac:dyDescent="0.3">
      <c r="J379" s="16"/>
    </row>
    <row r="380" spans="10:10" x14ac:dyDescent="0.3">
      <c r="J380" s="16"/>
    </row>
    <row r="381" spans="10:10" x14ac:dyDescent="0.3">
      <c r="J381" s="16"/>
    </row>
    <row r="382" spans="10:10" x14ac:dyDescent="0.3">
      <c r="J382" s="16"/>
    </row>
    <row r="383" spans="10:10" x14ac:dyDescent="0.3">
      <c r="J383" s="16"/>
    </row>
    <row r="384" spans="10:10" x14ac:dyDescent="0.3">
      <c r="J384" s="16"/>
    </row>
    <row r="385" spans="10:10" x14ac:dyDescent="0.3">
      <c r="J385" s="16"/>
    </row>
    <row r="386" spans="10:10" x14ac:dyDescent="0.3">
      <c r="J386" s="16"/>
    </row>
    <row r="387" spans="10:10" x14ac:dyDescent="0.3">
      <c r="J387" s="16"/>
    </row>
    <row r="388" spans="10:10" x14ac:dyDescent="0.3">
      <c r="J388" s="16"/>
    </row>
    <row r="389" spans="10:10" x14ac:dyDescent="0.3">
      <c r="J389" s="16"/>
    </row>
    <row r="390" spans="10:10" x14ac:dyDescent="0.3">
      <c r="J390" s="16"/>
    </row>
    <row r="391" spans="10:10" x14ac:dyDescent="0.3">
      <c r="J391" s="16"/>
    </row>
    <row r="392" spans="10:10" x14ac:dyDescent="0.3">
      <c r="J392" s="16"/>
    </row>
    <row r="393" spans="10:10" x14ac:dyDescent="0.3">
      <c r="J393" s="16"/>
    </row>
    <row r="394" spans="10:10" x14ac:dyDescent="0.3">
      <c r="J394" s="16"/>
    </row>
    <row r="395" spans="10:10" x14ac:dyDescent="0.3">
      <c r="J395" s="16"/>
    </row>
    <row r="396" spans="10:10" x14ac:dyDescent="0.3">
      <c r="J396" s="16"/>
    </row>
    <row r="397" spans="10:10" x14ac:dyDescent="0.3">
      <c r="J397" s="16"/>
    </row>
    <row r="398" spans="10:10" x14ac:dyDescent="0.3">
      <c r="J398" s="16"/>
    </row>
    <row r="399" spans="10:10" x14ac:dyDescent="0.3">
      <c r="J399" s="16"/>
    </row>
    <row r="408" spans="1:15" x14ac:dyDescent="0.3">
      <c r="M408" s="38" t="s">
        <v>53</v>
      </c>
      <c r="N408" s="36" t="s">
        <v>49</v>
      </c>
    </row>
    <row r="409" spans="1:15" ht="18" x14ac:dyDescent="0.35">
      <c r="A409" s="40" t="s">
        <v>106</v>
      </c>
      <c r="M409" s="38" t="s">
        <v>52</v>
      </c>
      <c r="N409" s="36" t="s">
        <v>374</v>
      </c>
    </row>
    <row r="410" spans="1:15" x14ac:dyDescent="0.3">
      <c r="M410" s="38" t="s">
        <v>5373</v>
      </c>
      <c r="N410" s="36" t="s">
        <v>105</v>
      </c>
    </row>
    <row r="411" spans="1:15" x14ac:dyDescent="0.3">
      <c r="M411"/>
    </row>
    <row r="412" spans="1:15" ht="57.6" x14ac:dyDescent="0.3">
      <c r="M412" s="39" t="s">
        <v>13</v>
      </c>
      <c r="N412" s="39" t="s">
        <v>14</v>
      </c>
      <c r="O412" s="31" t="s">
        <v>54</v>
      </c>
    </row>
    <row r="413" spans="1:15" ht="28.8" x14ac:dyDescent="0.3">
      <c r="M413" s="36" t="s">
        <v>101</v>
      </c>
      <c r="N413" s="36" t="s">
        <v>83</v>
      </c>
      <c r="O413" s="967">
        <v>1</v>
      </c>
    </row>
    <row r="414" spans="1:15" ht="28.8" x14ac:dyDescent="0.3">
      <c r="M414" s="36" t="s">
        <v>297</v>
      </c>
      <c r="N414" s="36" t="s">
        <v>40</v>
      </c>
      <c r="O414" s="967">
        <v>176</v>
      </c>
    </row>
    <row r="415" spans="1:15" x14ac:dyDescent="0.3">
      <c r="M415" s="36" t="s">
        <v>33</v>
      </c>
      <c r="N415" s="36"/>
      <c r="O415" s="967">
        <v>177</v>
      </c>
    </row>
    <row r="421" spans="1:15" ht="15" thickBot="1" x14ac:dyDescent="0.35"/>
    <row r="422" spans="1:15" ht="19.5" customHeight="1" thickBot="1" x14ac:dyDescent="0.35">
      <c r="A422" s="864" t="s">
        <v>35</v>
      </c>
      <c r="B422" s="865"/>
      <c r="C422" s="866"/>
      <c r="M422" s="867" t="str">
        <f xml:space="preserve"> CONCATENATE("Recibe los servicios correspondientes a ",B8," 2023")</f>
        <v>Recibe los servicios correspondientes a (en blanco) 2023</v>
      </c>
      <c r="N422" s="868"/>
      <c r="O422" s="869"/>
    </row>
    <row r="423" spans="1:15" ht="18" x14ac:dyDescent="0.35">
      <c r="A423" s="41"/>
      <c r="B423" s="42"/>
      <c r="C423" s="45"/>
      <c r="M423" s="870"/>
      <c r="N423" s="871"/>
      <c r="O423" s="872"/>
    </row>
    <row r="424" spans="1:15" ht="18" x14ac:dyDescent="0.35">
      <c r="A424" s="43"/>
      <c r="B424" s="44"/>
      <c r="C424" s="46"/>
      <c r="M424" s="870"/>
      <c r="N424" s="871"/>
      <c r="O424" s="872"/>
    </row>
    <row r="425" spans="1:15" ht="18.600000000000001" thickBot="1" x14ac:dyDescent="0.4">
      <c r="A425" s="47"/>
      <c r="B425" s="48"/>
      <c r="C425" s="49"/>
      <c r="M425" s="873"/>
      <c r="N425" s="874"/>
      <c r="O425" s="875"/>
    </row>
    <row r="426" spans="1:15" ht="18" x14ac:dyDescent="0.3">
      <c r="A426" s="855" t="s">
        <v>28</v>
      </c>
      <c r="B426" s="856"/>
      <c r="C426" s="857"/>
      <c r="M426" s="876" t="str">
        <f>VLOOKUP(B6,Catalogos!$B$18:$E$25,3,FALSE)</f>
        <v>Anel Morales Regalado</v>
      </c>
      <c r="N426" s="877"/>
      <c r="O426" s="878"/>
    </row>
    <row r="427" spans="1:15" ht="33.75" customHeight="1" x14ac:dyDescent="0.3">
      <c r="A427" s="858" t="s">
        <v>36</v>
      </c>
      <c r="B427" s="859"/>
      <c r="C427" s="860"/>
      <c r="M427" s="879" t="str">
        <f>VLOOKUP(B6,Catalogos!$B$18:$E$25,4,FALSE)</f>
        <v>Director de Sistemas</v>
      </c>
      <c r="N427" s="880"/>
      <c r="O427" s="881"/>
    </row>
    <row r="428" spans="1:15" ht="15.75" customHeight="1" thickBot="1" x14ac:dyDescent="0.35">
      <c r="A428" s="861" t="s">
        <v>108</v>
      </c>
      <c r="B428" s="862"/>
      <c r="C428" s="863"/>
      <c r="M428" s="882" t="s">
        <v>107</v>
      </c>
      <c r="N428" s="883"/>
      <c r="O428" s="884"/>
    </row>
  </sheetData>
  <mergeCells count="9">
    <mergeCell ref="A426:C426"/>
    <mergeCell ref="A427:C427"/>
    <mergeCell ref="A428:C428"/>
    <mergeCell ref="A422:C422"/>
    <mergeCell ref="M422:O422"/>
    <mergeCell ref="M423:O425"/>
    <mergeCell ref="M426:O426"/>
    <mergeCell ref="M427:O427"/>
    <mergeCell ref="M428:O428"/>
  </mergeCells>
  <conditionalFormatting sqref="L2">
    <cfRule type="duplicateValues" dxfId="1227" priority="1"/>
  </conditionalFormatting>
  <pageMargins left="0.62992125984251968" right="0.62992125984251968" top="0.74803149606299213" bottom="0.74803149606299213" header="0.31496062992125984" footer="0.31496062992125984"/>
  <pageSetup paperSize="9" scale="34" fitToHeight="0" orientation="landscape" r:id="rId3"/>
  <headerFooter>
    <oddFooter>&amp;CPágina &amp;P de&amp;N</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9E8AF-F7D7-4368-90D2-58B8E8721B1E}">
  <dimension ref="B1:J31"/>
  <sheetViews>
    <sheetView workbookViewId="0">
      <selection activeCell="G6" sqref="G6:J10"/>
    </sheetView>
  </sheetViews>
  <sheetFormatPr baseColWidth="10" defaultRowHeight="14.4" x14ac:dyDescent="0.3"/>
  <cols>
    <col min="2" max="2" width="43.109375" bestFit="1" customWidth="1"/>
    <col min="3" max="3" width="15" style="266" bestFit="1" customWidth="1"/>
    <col min="4" max="4" width="16.5546875" customWidth="1"/>
    <col min="5" max="6" width="5.77734375" customWidth="1"/>
    <col min="7" max="7" width="29.21875" bestFit="1" customWidth="1"/>
    <col min="8" max="8" width="18.21875" bestFit="1" customWidth="1"/>
    <col min="9" max="10" width="16.77734375" customWidth="1"/>
  </cols>
  <sheetData>
    <row r="1" spans="2:10" x14ac:dyDescent="0.3">
      <c r="B1" s="11"/>
      <c r="C1" s="308"/>
      <c r="D1" s="11"/>
      <c r="E1" s="11"/>
      <c r="F1" s="11"/>
      <c r="G1" s="11"/>
      <c r="H1" s="11"/>
    </row>
    <row r="2" spans="2:10" x14ac:dyDescent="0.3">
      <c r="B2" s="11"/>
      <c r="C2" s="308"/>
      <c r="D2" s="11"/>
      <c r="E2" s="11"/>
      <c r="F2" s="11"/>
      <c r="G2" s="11"/>
      <c r="H2" s="11"/>
    </row>
    <row r="3" spans="2:10" x14ac:dyDescent="0.3">
      <c r="B3" s="312" t="s">
        <v>1774</v>
      </c>
      <c r="C3" s="308"/>
      <c r="D3" s="11"/>
      <c r="E3" s="11"/>
      <c r="F3" s="11"/>
      <c r="G3" s="11"/>
      <c r="H3" s="11"/>
    </row>
    <row r="4" spans="2:10" x14ac:dyDescent="0.3">
      <c r="B4" s="11" t="s">
        <v>1775</v>
      </c>
      <c r="C4" s="308"/>
      <c r="D4" s="11"/>
      <c r="E4" s="11"/>
      <c r="F4" s="11"/>
      <c r="G4" s="11"/>
      <c r="H4" s="11"/>
    </row>
    <row r="5" spans="2:10" x14ac:dyDescent="0.3">
      <c r="B5" s="11"/>
      <c r="C5" s="308"/>
      <c r="D5" s="11"/>
      <c r="E5" s="11"/>
      <c r="F5" s="11"/>
      <c r="G5" s="11"/>
      <c r="H5" s="11"/>
    </row>
    <row r="6" spans="2:10" ht="43.2" x14ac:dyDescent="0.3">
      <c r="B6" s="22" t="s">
        <v>1772</v>
      </c>
      <c r="C6" s="31" t="s">
        <v>1773</v>
      </c>
      <c r="D6" s="306" t="s">
        <v>1776</v>
      </c>
      <c r="E6" s="11"/>
      <c r="F6" s="314"/>
      <c r="G6" s="905" t="s">
        <v>1778</v>
      </c>
      <c r="H6" s="906"/>
      <c r="I6" s="906"/>
      <c r="J6" s="906"/>
    </row>
    <row r="7" spans="2:10" x14ac:dyDescent="0.3">
      <c r="B7" s="15" t="s">
        <v>80</v>
      </c>
      <c r="C7" s="213">
        <v>70992</v>
      </c>
      <c r="D7" s="310">
        <f>SUM(Presupuesto!M5:Q5)</f>
        <v>0</v>
      </c>
      <c r="E7" s="11"/>
      <c r="F7" s="314"/>
      <c r="G7" s="306" t="s">
        <v>9</v>
      </c>
      <c r="H7" s="306" t="s">
        <v>223</v>
      </c>
      <c r="I7" s="306" t="s">
        <v>1779</v>
      </c>
      <c r="J7" s="306" t="s">
        <v>1780</v>
      </c>
    </row>
    <row r="8" spans="2:10" x14ac:dyDescent="0.3">
      <c r="B8" s="15" t="s">
        <v>79</v>
      </c>
      <c r="C8" s="213">
        <v>861822</v>
      </c>
      <c r="D8" s="310"/>
      <c r="E8" s="11"/>
      <c r="F8" s="314"/>
      <c r="G8" s="11" t="s">
        <v>1777</v>
      </c>
      <c r="H8" s="308">
        <f>(14673058/2)</f>
        <v>7336529</v>
      </c>
      <c r="I8" s="308">
        <f>I10-I9</f>
        <v>10388496</v>
      </c>
      <c r="J8" s="315">
        <f>H8-I8</f>
        <v>-3051967</v>
      </c>
    </row>
    <row r="9" spans="2:10" x14ac:dyDescent="0.3">
      <c r="B9" s="15" t="s">
        <v>78</v>
      </c>
      <c r="C9" s="213">
        <v>57072</v>
      </c>
      <c r="D9" s="310"/>
      <c r="E9" s="11"/>
      <c r="F9" s="314"/>
      <c r="G9" s="316" t="s">
        <v>1781</v>
      </c>
      <c r="H9" s="317">
        <v>1383648</v>
      </c>
      <c r="I9" s="318">
        <v>128006</v>
      </c>
      <c r="J9" s="317">
        <f>H9-I9</f>
        <v>1255642</v>
      </c>
    </row>
    <row r="10" spans="2:10" x14ac:dyDescent="0.3">
      <c r="B10" s="15" t="s">
        <v>38</v>
      </c>
      <c r="C10" s="213">
        <v>100224</v>
      </c>
      <c r="D10" s="310"/>
      <c r="E10" s="11"/>
      <c r="F10" s="314"/>
      <c r="G10" s="312" t="s">
        <v>1782</v>
      </c>
      <c r="H10" s="315">
        <f>SUM(H8:H9)</f>
        <v>8720177</v>
      </c>
      <c r="I10" s="315">
        <f>GETPIVOTDATA("Costo",$B$6)</f>
        <v>10516502</v>
      </c>
      <c r="J10" s="315">
        <f>SUM(J8:J9)</f>
        <v>-1796325</v>
      </c>
    </row>
    <row r="11" spans="2:10" x14ac:dyDescent="0.3">
      <c r="B11" s="15" t="s">
        <v>81</v>
      </c>
      <c r="C11" s="213">
        <v>1617620</v>
      </c>
      <c r="D11" s="310">
        <f>SUM(Presupuesto!M12:Q12)</f>
        <v>495610</v>
      </c>
      <c r="E11" s="11"/>
      <c r="F11" s="314"/>
      <c r="G11" s="11"/>
      <c r="H11" s="11"/>
    </row>
    <row r="12" spans="2:10" x14ac:dyDescent="0.3">
      <c r="B12" s="15" t="s">
        <v>263</v>
      </c>
      <c r="C12" s="213">
        <v>435000</v>
      </c>
      <c r="D12" s="310"/>
      <c r="E12" s="11"/>
      <c r="F12" s="314"/>
      <c r="G12" s="11"/>
      <c r="H12" s="11"/>
    </row>
    <row r="13" spans="2:10" x14ac:dyDescent="0.3">
      <c r="B13" s="15" t="s">
        <v>302</v>
      </c>
      <c r="C13" s="213">
        <v>300672</v>
      </c>
      <c r="D13" s="310">
        <f>SUM(Presupuesto!M18:Q18)+SUM(Presupuesto!M8:Q8)+SUM(Presupuesto!M16:Q16)+SUM(Presupuesto!M19:Q19)+Presupuesto!J36+SUM(Presupuesto!M17:Q17)</f>
        <v>2943319</v>
      </c>
      <c r="E13" s="11"/>
      <c r="F13" s="314"/>
      <c r="G13" s="11"/>
      <c r="H13" s="11"/>
    </row>
    <row r="14" spans="2:10" x14ac:dyDescent="0.3">
      <c r="B14" s="15" t="s">
        <v>40</v>
      </c>
      <c r="C14" s="213">
        <v>6058332</v>
      </c>
      <c r="D14" s="310"/>
      <c r="E14" s="11"/>
      <c r="F14" s="314"/>
      <c r="G14" s="11"/>
      <c r="H14" s="11"/>
    </row>
    <row r="15" spans="2:10" x14ac:dyDescent="0.3">
      <c r="B15" s="15" t="s">
        <v>37</v>
      </c>
      <c r="C15" s="213">
        <v>175392</v>
      </c>
      <c r="D15" s="310"/>
      <c r="E15" s="11"/>
      <c r="F15" s="314"/>
      <c r="G15" s="11"/>
      <c r="H15" s="11"/>
    </row>
    <row r="16" spans="2:10" x14ac:dyDescent="0.3">
      <c r="B16" s="15" t="s">
        <v>83</v>
      </c>
      <c r="C16" s="213">
        <v>10440</v>
      </c>
      <c r="D16" s="311">
        <f>SUM(D7:D15)</f>
        <v>3438929</v>
      </c>
      <c r="E16" s="11"/>
      <c r="F16" s="314"/>
      <c r="G16" s="11"/>
      <c r="H16" s="11"/>
    </row>
    <row r="17" spans="2:8" x14ac:dyDescent="0.3">
      <c r="B17" s="15" t="s">
        <v>95</v>
      </c>
      <c r="C17" s="213">
        <v>828936</v>
      </c>
      <c r="D17" s="307"/>
      <c r="E17" s="11"/>
      <c r="F17" s="314"/>
      <c r="G17" s="11"/>
      <c r="H17" s="11"/>
    </row>
    <row r="18" spans="2:8" x14ac:dyDescent="0.3">
      <c r="B18" s="15" t="s">
        <v>33</v>
      </c>
      <c r="C18" s="213">
        <v>10516502</v>
      </c>
      <c r="D18" s="309">
        <f>GETPIVOTDATA("Costo",$B$6)+D16</f>
        <v>13955431</v>
      </c>
      <c r="E18" s="11"/>
      <c r="F18" s="314"/>
      <c r="G18" s="11"/>
      <c r="H18" s="11"/>
    </row>
    <row r="19" spans="2:8" x14ac:dyDescent="0.3">
      <c r="C19"/>
      <c r="D19" s="307"/>
      <c r="E19" s="313"/>
    </row>
    <row r="20" spans="2:8" x14ac:dyDescent="0.3">
      <c r="C20"/>
    </row>
    <row r="21" spans="2:8" x14ac:dyDescent="0.3">
      <c r="C21"/>
    </row>
    <row r="22" spans="2:8" x14ac:dyDescent="0.3">
      <c r="C22"/>
    </row>
    <row r="23" spans="2:8" x14ac:dyDescent="0.3">
      <c r="C23"/>
    </row>
    <row r="24" spans="2:8" x14ac:dyDescent="0.3">
      <c r="C24"/>
    </row>
    <row r="25" spans="2:8" x14ac:dyDescent="0.3">
      <c r="C25"/>
    </row>
    <row r="26" spans="2:8" x14ac:dyDescent="0.3">
      <c r="C26"/>
    </row>
    <row r="27" spans="2:8" x14ac:dyDescent="0.3">
      <c r="C27"/>
    </row>
    <row r="28" spans="2:8" x14ac:dyDescent="0.3">
      <c r="C28"/>
    </row>
    <row r="29" spans="2:8" x14ac:dyDescent="0.3">
      <c r="C29"/>
    </row>
    <row r="30" spans="2:8" x14ac:dyDescent="0.3">
      <c r="C30"/>
    </row>
    <row r="31" spans="2:8" x14ac:dyDescent="0.3">
      <c r="C31"/>
    </row>
  </sheetData>
  <mergeCells count="1">
    <mergeCell ref="G6:J6"/>
  </mergeCell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35"/>
  <sheetViews>
    <sheetView zoomScale="55" zoomScaleNormal="55" workbookViewId="0">
      <selection activeCell="A19" sqref="A19:J19"/>
    </sheetView>
  </sheetViews>
  <sheetFormatPr baseColWidth="10" defaultRowHeight="14.4" x14ac:dyDescent="0.3"/>
  <cols>
    <col min="4" max="4" width="11.77734375" bestFit="1" customWidth="1"/>
  </cols>
  <sheetData>
    <row r="1" spans="1:10" x14ac:dyDescent="0.3">
      <c r="A1" s="90" t="s">
        <v>181</v>
      </c>
      <c r="B1" s="90" t="s">
        <v>16</v>
      </c>
      <c r="D1" s="90" t="str">
        <f>IFERROR(VLOOKUP(B1,Catalogos!B18:E25,2,FALSE),"")</f>
        <v>Subdirección de Aplicaciones Web</v>
      </c>
      <c r="E1" s="90"/>
      <c r="F1" s="90"/>
    </row>
    <row r="2" spans="1:10" x14ac:dyDescent="0.3">
      <c r="A2" s="90" t="s">
        <v>182</v>
      </c>
      <c r="B2" s="90" t="s">
        <v>139</v>
      </c>
    </row>
    <row r="5" spans="1:10" x14ac:dyDescent="0.3">
      <c r="J5" s="88" t="s">
        <v>176</v>
      </c>
    </row>
    <row r="7" spans="1:10" x14ac:dyDescent="0.3">
      <c r="J7" s="88"/>
    </row>
    <row r="9" spans="1:10" ht="92.25" customHeight="1" x14ac:dyDescent="0.3"/>
    <row r="10" spans="1:10" ht="40.5" customHeight="1" x14ac:dyDescent="0.4">
      <c r="A10" s="909" t="s">
        <v>177</v>
      </c>
      <c r="B10" s="909"/>
      <c r="C10" s="909"/>
      <c r="D10" s="909"/>
      <c r="E10" s="909"/>
      <c r="F10" s="909"/>
      <c r="G10" s="909"/>
      <c r="H10" s="909"/>
      <c r="I10" s="909"/>
      <c r="J10" s="909"/>
    </row>
    <row r="11" spans="1:10" ht="18" x14ac:dyDescent="0.35">
      <c r="A11" s="910" t="s">
        <v>206</v>
      </c>
      <c r="B11" s="910"/>
      <c r="C11" s="910"/>
      <c r="D11" s="910"/>
      <c r="E11" s="910"/>
      <c r="F11" s="910"/>
      <c r="G11" s="910"/>
      <c r="H11" s="910"/>
      <c r="I11" s="910"/>
      <c r="J11" s="910"/>
    </row>
    <row r="12" spans="1:10" ht="57.75" customHeight="1" x14ac:dyDescent="0.3"/>
    <row r="13" spans="1:10" x14ac:dyDescent="0.3">
      <c r="A13" s="908" t="s">
        <v>183</v>
      </c>
      <c r="B13" s="908"/>
      <c r="C13" s="908"/>
      <c r="D13" s="908"/>
      <c r="E13" s="908"/>
      <c r="F13" s="908"/>
      <c r="G13" s="908"/>
      <c r="H13" s="908"/>
      <c r="I13" s="908"/>
      <c r="J13" s="908"/>
    </row>
    <row r="14" spans="1:10" x14ac:dyDescent="0.3">
      <c r="A14" s="114"/>
      <c r="B14" s="114"/>
      <c r="C14" s="114"/>
      <c r="D14" s="114"/>
      <c r="E14" s="114"/>
      <c r="F14" s="114"/>
      <c r="G14" s="114"/>
      <c r="H14" s="114"/>
      <c r="I14" s="114"/>
      <c r="J14" s="114"/>
    </row>
    <row r="15" spans="1:10" x14ac:dyDescent="0.3">
      <c r="A15" s="908" t="s">
        <v>624</v>
      </c>
      <c r="B15" s="908"/>
      <c r="C15" s="908"/>
      <c r="D15" s="908"/>
      <c r="E15" s="908"/>
      <c r="F15" s="908"/>
      <c r="G15" s="908"/>
      <c r="H15" s="908"/>
      <c r="I15" s="908"/>
      <c r="J15" s="908"/>
    </row>
    <row r="16" spans="1:10" x14ac:dyDescent="0.3">
      <c r="A16" s="114"/>
      <c r="B16" s="114"/>
      <c r="C16" s="114"/>
      <c r="D16" s="114"/>
      <c r="E16" s="114"/>
      <c r="F16" s="114"/>
      <c r="G16" s="114"/>
      <c r="H16" s="114"/>
      <c r="I16" s="114"/>
      <c r="J16" s="114"/>
    </row>
    <row r="17" spans="1:10" x14ac:dyDescent="0.3">
      <c r="A17" s="908" t="s">
        <v>625</v>
      </c>
      <c r="B17" s="908"/>
      <c r="C17" s="908"/>
      <c r="D17" s="908"/>
      <c r="E17" s="908"/>
      <c r="F17" s="908"/>
      <c r="G17" s="908"/>
      <c r="H17" s="908"/>
      <c r="I17" s="908"/>
      <c r="J17" s="908"/>
    </row>
    <row r="18" spans="1:10" x14ac:dyDescent="0.3">
      <c r="A18" s="114"/>
      <c r="B18" s="114"/>
      <c r="C18" s="114"/>
      <c r="D18" s="114"/>
      <c r="E18" s="114"/>
      <c r="F18" s="114"/>
      <c r="G18" s="114"/>
      <c r="H18" s="114"/>
      <c r="I18" s="114"/>
      <c r="J18" s="114"/>
    </row>
    <row r="19" spans="1:10" x14ac:dyDescent="0.3">
      <c r="A19" s="908" t="s">
        <v>623</v>
      </c>
      <c r="B19" s="908"/>
      <c r="C19" s="908"/>
      <c r="D19" s="908"/>
      <c r="E19" s="908"/>
      <c r="F19" s="908"/>
      <c r="G19" s="908"/>
      <c r="H19" s="908"/>
      <c r="I19" s="908"/>
      <c r="J19" s="908"/>
    </row>
    <row r="21" spans="1:10" ht="53.25" customHeight="1" x14ac:dyDescent="0.3"/>
    <row r="22" spans="1:10" ht="33" customHeight="1" x14ac:dyDescent="0.3">
      <c r="A22" s="911" t="s">
        <v>178</v>
      </c>
      <c r="B22" s="911"/>
      <c r="C22" s="911"/>
      <c r="D22" s="911"/>
      <c r="E22" s="911"/>
      <c r="F22" s="911"/>
      <c r="G22" s="911"/>
      <c r="H22" s="911"/>
      <c r="I22" s="911"/>
      <c r="J22" s="911"/>
    </row>
    <row r="25" spans="1:10" ht="34.5" customHeight="1" x14ac:dyDescent="0.3"/>
    <row r="26" spans="1:10" ht="23.4" x14ac:dyDescent="0.45">
      <c r="A26" s="912" t="str">
        <f>D1</f>
        <v>Subdirección de Aplicaciones Web</v>
      </c>
      <c r="B26" s="912"/>
      <c r="C26" s="912"/>
      <c r="D26" s="912"/>
      <c r="E26" s="912"/>
      <c r="F26" s="912"/>
      <c r="G26" s="912"/>
      <c r="H26" s="912"/>
      <c r="I26" s="912"/>
      <c r="J26" s="912"/>
    </row>
    <row r="30" spans="1:10" ht="27.75" customHeight="1" x14ac:dyDescent="0.3"/>
    <row r="31" spans="1:10" ht="31.2" x14ac:dyDescent="0.3">
      <c r="A31" s="907" t="s">
        <v>179</v>
      </c>
      <c r="B31" s="907"/>
      <c r="C31" s="907"/>
      <c r="D31" s="907"/>
      <c r="E31" s="907"/>
      <c r="F31" s="907"/>
      <c r="G31" s="907"/>
      <c r="H31" s="907"/>
      <c r="I31" s="907"/>
      <c r="J31" s="907"/>
    </row>
    <row r="32" spans="1:10" ht="33" customHeight="1" x14ac:dyDescent="0.3"/>
    <row r="33" spans="1:12" ht="31.2" x14ac:dyDescent="0.3">
      <c r="A33" s="907" t="str">
        <f>CONCATENATE("Período: ", B2," 2023")</f>
        <v>Período: OCTUBRE 2023</v>
      </c>
      <c r="B33" s="907"/>
      <c r="C33" s="907"/>
      <c r="D33" s="907"/>
      <c r="E33" s="907"/>
      <c r="F33" s="907"/>
      <c r="G33" s="907"/>
      <c r="H33" s="907"/>
      <c r="I33" s="907"/>
      <c r="J33" s="907"/>
      <c r="K33" s="89"/>
      <c r="L33" s="89"/>
    </row>
    <row r="34" spans="1:12" ht="33.75" customHeight="1" x14ac:dyDescent="0.3"/>
    <row r="35" spans="1:12" ht="31.2" x14ac:dyDescent="0.3">
      <c r="A35" s="907" t="s">
        <v>180</v>
      </c>
      <c r="B35" s="907"/>
      <c r="C35" s="907"/>
      <c r="D35" s="907"/>
      <c r="E35" s="907"/>
      <c r="F35" s="907"/>
      <c r="G35" s="907"/>
      <c r="H35" s="907"/>
      <c r="I35" s="907"/>
      <c r="J35" s="907"/>
      <c r="K35" s="89"/>
      <c r="L35" s="89"/>
    </row>
  </sheetData>
  <mergeCells count="11">
    <mergeCell ref="A33:J33"/>
    <mergeCell ref="A35:J35"/>
    <mergeCell ref="A13:J13"/>
    <mergeCell ref="A10:J10"/>
    <mergeCell ref="A11:J11"/>
    <mergeCell ref="A19:J19"/>
    <mergeCell ref="A22:J22"/>
    <mergeCell ref="A26:J26"/>
    <mergeCell ref="A31:J31"/>
    <mergeCell ref="A15:J15"/>
    <mergeCell ref="A17:J17"/>
  </mergeCells>
  <pageMargins left="0.7" right="0.7" top="0.75" bottom="0.75" header="0.3" footer="0.3"/>
  <pageSetup paperSize="9" scale="76" fitToHeight="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0000000}">
          <x14:formula1>
            <xm:f>Facturación!$F$3:$Q$3</xm:f>
          </x14:formula1>
          <xm:sqref>B2</xm:sqref>
        </x14:dataValidation>
        <x14:dataValidation type="list" allowBlank="1" showInputMessage="1" showErrorMessage="1" xr:uid="{00000000-0002-0000-0800-000001000000}">
          <x14:formula1>
            <xm:f>Catalogos!$B$18:$B$25</xm:f>
          </x14:formula1>
          <xm:sqref>B1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165"/>
  <sheetViews>
    <sheetView zoomScale="90" zoomScaleNormal="90" workbookViewId="0">
      <selection activeCell="B141" sqref="B141"/>
    </sheetView>
  </sheetViews>
  <sheetFormatPr baseColWidth="10" defaultRowHeight="14.4" x14ac:dyDescent="0.3"/>
  <cols>
    <col min="1" max="1" width="22" customWidth="1"/>
    <col min="2" max="2" width="12.44140625" bestFit="1" customWidth="1"/>
    <col min="3" max="3" width="17.21875" bestFit="1" customWidth="1"/>
    <col min="4" max="4" width="14.6640625" bestFit="1" customWidth="1"/>
    <col min="5" max="6" width="6.77734375" customWidth="1"/>
    <col min="7" max="7" width="5.44140625" customWidth="1"/>
    <col min="8" max="12" width="13.44140625" customWidth="1"/>
  </cols>
  <sheetData>
    <row r="1" spans="1:5" x14ac:dyDescent="0.3">
      <c r="A1" s="90" t="s">
        <v>181</v>
      </c>
      <c r="B1" s="90" t="s">
        <v>257</v>
      </c>
      <c r="C1" s="90" t="str">
        <f>IFERROR(VLOOKUP(B1,Catalogos!B18:E25,2,FALSE),"")</f>
        <v>Subdirección de Sistemas de Información</v>
      </c>
      <c r="D1" s="90"/>
      <c r="E1" s="90"/>
    </row>
    <row r="2" spans="1:5" x14ac:dyDescent="0.3">
      <c r="A2" s="90" t="s">
        <v>182</v>
      </c>
      <c r="B2" s="90" t="s">
        <v>133</v>
      </c>
      <c r="C2" s="90" t="str">
        <f>IFERROR(VLOOKUP(B1,Catalogos!B18:E25,3,FALSE),"")</f>
        <v>Samuel Antonio Partida Contreras</v>
      </c>
      <c r="D2" s="90"/>
      <c r="E2" s="90"/>
    </row>
    <row r="3" spans="1:5" x14ac:dyDescent="0.3">
      <c r="C3" s="90" t="str">
        <f>IFERROR(VLOOKUP(B1,Catalogos!B18:E25,4,FALSE),"")</f>
        <v>Subdirector de Sistemas de Información</v>
      </c>
      <c r="D3" s="90"/>
      <c r="E3" s="90"/>
    </row>
    <row r="5" spans="1:5" x14ac:dyDescent="0.3">
      <c r="E5" s="88" t="s">
        <v>176</v>
      </c>
    </row>
    <row r="7" spans="1:5" x14ac:dyDescent="0.3">
      <c r="E7" s="88"/>
    </row>
    <row r="9" spans="1:5" ht="15.75" customHeight="1" x14ac:dyDescent="0.3"/>
    <row r="10" spans="1:5" x14ac:dyDescent="0.3">
      <c r="A10" s="908" t="str">
        <f>IF(B2&lt;&gt;"",CONCATENATE("Reporte Mensual ",B2," 2023"),"Reporte Anual 2023")</f>
        <v>Reporte Mensual ABRIL 2023</v>
      </c>
      <c r="B10" s="908"/>
      <c r="C10" s="908"/>
      <c r="D10" s="908"/>
      <c r="E10" s="908"/>
    </row>
    <row r="11" spans="1:5" x14ac:dyDescent="0.3">
      <c r="A11" s="908" t="s">
        <v>42</v>
      </c>
      <c r="B11" s="908"/>
      <c r="C11" s="908"/>
      <c r="D11" s="908"/>
      <c r="E11" s="908"/>
    </row>
    <row r="12" spans="1:5" x14ac:dyDescent="0.3">
      <c r="A12" s="908"/>
      <c r="B12" s="908"/>
      <c r="C12" s="908"/>
      <c r="D12" s="908"/>
      <c r="E12" s="908"/>
    </row>
    <row r="13" spans="1:5" ht="15.6" x14ac:dyDescent="0.3">
      <c r="A13" s="92"/>
      <c r="B13" s="92"/>
      <c r="C13" s="92"/>
      <c r="D13" s="92"/>
      <c r="E13" s="92"/>
    </row>
    <row r="14" spans="1:5" ht="15.6" x14ac:dyDescent="0.3">
      <c r="A14" s="92"/>
      <c r="B14" s="92"/>
      <c r="C14" s="92"/>
      <c r="D14" s="92"/>
      <c r="E14" s="92"/>
    </row>
    <row r="15" spans="1:5" ht="15.6" x14ac:dyDescent="0.3">
      <c r="A15" s="91" t="s">
        <v>184</v>
      </c>
      <c r="B15" s="92"/>
      <c r="C15" s="92"/>
      <c r="D15" s="92"/>
      <c r="E15" s="92"/>
    </row>
    <row r="16" spans="1:5" ht="15.6" x14ac:dyDescent="0.3">
      <c r="A16" s="92"/>
      <c r="B16" s="92"/>
      <c r="C16" s="92"/>
      <c r="D16" s="92"/>
      <c r="E16" s="92"/>
    </row>
    <row r="17" spans="1:5" ht="61.95" customHeight="1" x14ac:dyDescent="0.3">
      <c r="A17" s="920" t="str">
        <f>CONCATENATE("El objetivo general de este reporte, es presentar a la ",C1,", a cargo de ",C2,"  las métricas generadas durante el periodo mensual comprendido en ",B2," del 2023.")</f>
        <v>El objetivo general de este reporte, es presentar a la Subdirección de Sistemas de Información, a cargo de Samuel Antonio Partida Contreras  las métricas generadas durante el periodo mensual comprendido en ABRIL del 2023.</v>
      </c>
      <c r="B17" s="920"/>
      <c r="C17" s="920"/>
      <c r="D17" s="920"/>
      <c r="E17" s="920"/>
    </row>
    <row r="18" spans="1:5" ht="15.6" x14ac:dyDescent="0.3">
      <c r="A18" s="92"/>
      <c r="B18" s="92"/>
      <c r="C18" s="92"/>
      <c r="D18" s="92"/>
      <c r="E18" s="92"/>
    </row>
    <row r="19" spans="1:5" ht="52.05" customHeight="1" x14ac:dyDescent="0.3">
      <c r="A19" s="920" t="s">
        <v>195</v>
      </c>
      <c r="B19" s="920"/>
      <c r="C19" s="920"/>
      <c r="D19" s="920"/>
      <c r="E19" s="920"/>
    </row>
    <row r="20" spans="1:5" ht="15.6" x14ac:dyDescent="0.3">
      <c r="A20" s="92"/>
      <c r="B20" s="92"/>
      <c r="C20" s="92"/>
      <c r="D20" s="92"/>
      <c r="E20" s="92"/>
    </row>
    <row r="21" spans="1:5" ht="15.6" x14ac:dyDescent="0.3">
      <c r="A21" s="92"/>
      <c r="B21" s="92"/>
      <c r="C21" s="92"/>
      <c r="D21" s="92"/>
      <c r="E21" s="92"/>
    </row>
    <row r="22" spans="1:5" ht="15.6" x14ac:dyDescent="0.3">
      <c r="A22" s="91" t="s">
        <v>185</v>
      </c>
      <c r="B22" s="92"/>
      <c r="C22" s="92"/>
      <c r="D22" s="92"/>
      <c r="E22" s="92"/>
    </row>
    <row r="23" spans="1:5" ht="15.6" x14ac:dyDescent="0.3">
      <c r="A23" s="92"/>
      <c r="B23" s="92"/>
      <c r="C23" s="92"/>
      <c r="D23" s="92"/>
      <c r="E23" s="92"/>
    </row>
    <row r="24" spans="1:5" ht="15.6" x14ac:dyDescent="0.3">
      <c r="A24" s="92" t="s">
        <v>186</v>
      </c>
      <c r="B24" s="92"/>
      <c r="C24" s="92"/>
      <c r="D24" s="92"/>
      <c r="E24" s="92"/>
    </row>
    <row r="25" spans="1:5" ht="15.6" x14ac:dyDescent="0.3">
      <c r="A25" s="92"/>
      <c r="B25" s="92"/>
      <c r="C25" s="92"/>
      <c r="D25" s="92"/>
      <c r="E25" s="92"/>
    </row>
    <row r="26" spans="1:5" ht="15.6" x14ac:dyDescent="0.3">
      <c r="A26" s="92" t="s">
        <v>187</v>
      </c>
      <c r="B26" s="91"/>
      <c r="C26" s="91" t="s">
        <v>627</v>
      </c>
      <c r="D26" s="92"/>
      <c r="E26" s="92"/>
    </row>
    <row r="27" spans="1:5" ht="15.6" x14ac:dyDescent="0.3">
      <c r="A27" s="92"/>
      <c r="B27" s="92"/>
      <c r="C27" s="92"/>
      <c r="D27" s="92"/>
      <c r="E27" s="92"/>
    </row>
    <row r="28" spans="1:5" ht="15.6" x14ac:dyDescent="0.3">
      <c r="A28" s="92" t="s">
        <v>188</v>
      </c>
      <c r="B28" s="92"/>
      <c r="C28" s="91" t="s">
        <v>626</v>
      </c>
      <c r="D28" s="92"/>
      <c r="E28" s="92"/>
    </row>
    <row r="29" spans="1:5" ht="15.6" x14ac:dyDescent="0.3">
      <c r="A29" s="92"/>
      <c r="B29" s="92"/>
      <c r="C29" s="92"/>
      <c r="D29" s="92"/>
      <c r="E29" s="92"/>
    </row>
    <row r="30" spans="1:5" ht="15.6" x14ac:dyDescent="0.3">
      <c r="A30" s="92" t="s">
        <v>189</v>
      </c>
      <c r="B30" s="92"/>
      <c r="C30" s="93" t="s">
        <v>622</v>
      </c>
      <c r="D30" s="92"/>
      <c r="E30" s="92"/>
    </row>
    <row r="31" spans="1:5" ht="15.6" x14ac:dyDescent="0.3">
      <c r="A31" s="92"/>
      <c r="B31" s="92"/>
      <c r="C31" s="92"/>
      <c r="D31" s="92"/>
      <c r="E31" s="92"/>
    </row>
    <row r="32" spans="1:5" ht="24" customHeight="1" x14ac:dyDescent="0.3">
      <c r="A32" s="921" t="s">
        <v>190</v>
      </c>
      <c r="B32" s="921"/>
      <c r="C32" s="921"/>
      <c r="D32" s="921"/>
      <c r="E32" s="921"/>
    </row>
    <row r="33" spans="1:5" ht="15.6" x14ac:dyDescent="0.3">
      <c r="A33" s="92"/>
      <c r="B33" s="92"/>
      <c r="C33" s="92"/>
      <c r="D33" s="92"/>
      <c r="E33" s="92"/>
    </row>
    <row r="34" spans="1:5" ht="15.6" x14ac:dyDescent="0.3">
      <c r="A34" s="92"/>
      <c r="B34" s="92"/>
      <c r="C34" s="92"/>
      <c r="D34" s="92"/>
      <c r="E34" s="92"/>
    </row>
    <row r="35" spans="1:5" ht="15.6" x14ac:dyDescent="0.3">
      <c r="A35" s="91" t="s">
        <v>191</v>
      </c>
      <c r="B35" s="92"/>
      <c r="C35" s="92"/>
      <c r="D35" s="92"/>
      <c r="E35" s="92"/>
    </row>
    <row r="36" spans="1:5" ht="15.6" x14ac:dyDescent="0.3">
      <c r="A36" s="92"/>
      <c r="B36" s="92"/>
      <c r="C36" s="92"/>
      <c r="D36" s="92"/>
      <c r="E36" s="92"/>
    </row>
    <row r="37" spans="1:5" ht="66" customHeight="1" x14ac:dyDescent="0.3">
      <c r="A37" s="919" t="str">
        <f>CONCATENATE("Los servicios señalados en el presente documento abarcan del periodo del mes de ",B2," del 2023, en un horario de 8 a 21 horas los días jueves y viernes 8 a 16 hrs en días hábiles, no se omite mencionar que algunos servicios pueden ser brindados vía remoto para días no hábiles.")</f>
        <v>Los servicios señalados en el presente documento abarcan del periodo del mes de ABRIL del 2023, en un horario de 8 a 21 horas los días jueves y viernes 8 a 16 hrs en días hábiles, no se omite mencionar que algunos servicios pueden ser brindados vía remoto para días no hábiles.</v>
      </c>
      <c r="B37" s="919"/>
      <c r="C37" s="919"/>
      <c r="D37" s="919"/>
      <c r="E37" s="919"/>
    </row>
    <row r="38" spans="1:5" ht="15.6" x14ac:dyDescent="0.3">
      <c r="A38" s="92"/>
      <c r="B38" s="92"/>
      <c r="C38" s="92"/>
      <c r="D38" s="92"/>
      <c r="E38" s="92"/>
    </row>
    <row r="39" spans="1:5" ht="15.6" x14ac:dyDescent="0.3">
      <c r="A39" s="92"/>
      <c r="B39" s="92"/>
      <c r="C39" s="92"/>
      <c r="D39" s="92"/>
      <c r="E39" s="92"/>
    </row>
    <row r="40" spans="1:5" ht="15.6" x14ac:dyDescent="0.3">
      <c r="A40" s="91" t="s">
        <v>192</v>
      </c>
      <c r="B40" s="92"/>
      <c r="C40" s="92"/>
      <c r="D40" s="92"/>
      <c r="E40" s="92"/>
    </row>
    <row r="41" spans="1:5" ht="15.6" x14ac:dyDescent="0.3">
      <c r="A41" s="92"/>
      <c r="B41" s="92"/>
      <c r="C41" s="92"/>
      <c r="D41" s="92"/>
      <c r="E41" s="92"/>
    </row>
    <row r="42" spans="1:5" ht="26.55" customHeight="1" x14ac:dyDescent="0.3">
      <c r="A42" s="919" t="s">
        <v>193</v>
      </c>
      <c r="B42" s="919"/>
      <c r="C42" s="919"/>
      <c r="D42" s="919"/>
      <c r="E42" s="919"/>
    </row>
    <row r="43" spans="1:5" ht="15.6" x14ac:dyDescent="0.3">
      <c r="A43" s="92"/>
      <c r="B43" s="94" t="s">
        <v>53</v>
      </c>
      <c r="C43" s="92" t="s">
        <v>204</v>
      </c>
      <c r="D43" s="92"/>
      <c r="E43" s="92"/>
    </row>
    <row r="44" spans="1:5" ht="15.6" x14ac:dyDescent="0.3">
      <c r="A44" s="92"/>
      <c r="B44" s="94" t="s">
        <v>52</v>
      </c>
      <c r="C44" s="92" t="s">
        <v>105</v>
      </c>
      <c r="D44" s="92"/>
      <c r="E44" s="92"/>
    </row>
    <row r="45" spans="1:5" ht="15.6" x14ac:dyDescent="0.3">
      <c r="A45" s="92"/>
      <c r="B45" s="94" t="s">
        <v>5373</v>
      </c>
      <c r="C45" s="92" t="s">
        <v>204</v>
      </c>
      <c r="D45" s="92"/>
      <c r="E45" s="92"/>
    </row>
    <row r="46" spans="1:5" ht="15.6" x14ac:dyDescent="0.3">
      <c r="A46" s="92"/>
      <c r="B46" s="92"/>
      <c r="C46" s="92"/>
      <c r="D46" s="92"/>
      <c r="E46" s="92"/>
    </row>
    <row r="47" spans="1:5" ht="15.6" x14ac:dyDescent="0.3">
      <c r="A47" s="92"/>
      <c r="B47" s="94" t="s">
        <v>14</v>
      </c>
      <c r="C47" s="92"/>
      <c r="D47" s="92"/>
      <c r="E47" s="92"/>
    </row>
    <row r="48" spans="1:5" ht="15.6" x14ac:dyDescent="0.3">
      <c r="A48" s="92"/>
      <c r="B48" s="285" t="s">
        <v>105</v>
      </c>
      <c r="C48" s="92"/>
      <c r="D48" s="92"/>
      <c r="E48" s="92"/>
    </row>
    <row r="49" spans="1:5" ht="15.6" x14ac:dyDescent="0.3">
      <c r="A49" s="92"/>
      <c r="C49" s="92"/>
      <c r="D49" s="92"/>
      <c r="E49" s="92"/>
    </row>
    <row r="50" spans="1:5" ht="15.6" x14ac:dyDescent="0.3">
      <c r="A50" s="92"/>
      <c r="C50" s="92"/>
      <c r="D50" s="92"/>
      <c r="E50" s="92"/>
    </row>
    <row r="51" spans="1:5" ht="21.75" customHeight="1" x14ac:dyDescent="0.3">
      <c r="A51" s="92"/>
      <c r="C51" s="92"/>
      <c r="D51" s="92"/>
      <c r="E51" s="92"/>
    </row>
    <row r="52" spans="1:5" ht="15.6" x14ac:dyDescent="0.3">
      <c r="A52" s="92"/>
      <c r="B52" s="92"/>
      <c r="C52" s="92"/>
      <c r="D52" s="92"/>
      <c r="E52" s="92"/>
    </row>
    <row r="53" spans="1:5" ht="15.6" x14ac:dyDescent="0.3">
      <c r="A53" s="91" t="s">
        <v>34</v>
      </c>
      <c r="B53" s="92"/>
      <c r="C53" s="92"/>
      <c r="D53" s="92"/>
      <c r="E53" s="92"/>
    </row>
    <row r="54" spans="1:5" ht="15.6" x14ac:dyDescent="0.3">
      <c r="A54" s="92"/>
      <c r="B54" s="92"/>
      <c r="C54" s="92"/>
      <c r="D54" s="92"/>
      <c r="E54" s="92"/>
    </row>
    <row r="55" spans="1:5" ht="30" customHeight="1" x14ac:dyDescent="0.3">
      <c r="A55" s="919" t="s">
        <v>194</v>
      </c>
      <c r="B55" s="919"/>
      <c r="C55" s="919"/>
      <c r="D55" s="919"/>
      <c r="E55" s="919"/>
    </row>
    <row r="56" spans="1:5" ht="15.6" x14ac:dyDescent="0.3">
      <c r="A56" s="92"/>
      <c r="B56" s="22" t="s">
        <v>53</v>
      </c>
      <c r="C56" t="s">
        <v>204</v>
      </c>
      <c r="D56" s="92"/>
      <c r="E56" s="92"/>
    </row>
    <row r="57" spans="1:5" ht="15.6" x14ac:dyDescent="0.3">
      <c r="A57" s="92"/>
      <c r="B57" s="22" t="s">
        <v>52</v>
      </c>
      <c r="C57" t="s">
        <v>105</v>
      </c>
      <c r="D57" s="92"/>
      <c r="E57" s="92"/>
    </row>
    <row r="58" spans="1:5" ht="15.6" x14ac:dyDescent="0.3">
      <c r="A58" s="92"/>
      <c r="B58" s="22" t="s">
        <v>5373</v>
      </c>
      <c r="C58" t="s">
        <v>204</v>
      </c>
      <c r="E58" s="92"/>
    </row>
    <row r="59" spans="1:5" ht="15.6" x14ac:dyDescent="0.3">
      <c r="A59" s="92"/>
      <c r="E59" s="92"/>
    </row>
    <row r="60" spans="1:5" x14ac:dyDescent="0.3">
      <c r="B60" s="22" t="s">
        <v>34</v>
      </c>
    </row>
    <row r="61" spans="1:5" x14ac:dyDescent="0.3">
      <c r="B61" s="15" t="s">
        <v>105</v>
      </c>
    </row>
    <row r="62" spans="1:5" x14ac:dyDescent="0.3">
      <c r="B62" s="50" t="s">
        <v>105</v>
      </c>
    </row>
    <row r="66" spans="1:5" hidden="1" x14ac:dyDescent="0.3"/>
    <row r="67" spans="1:5" hidden="1" x14ac:dyDescent="0.3"/>
    <row r="68" spans="1:5" hidden="1" x14ac:dyDescent="0.3"/>
    <row r="69" spans="1:5" hidden="1" x14ac:dyDescent="0.3"/>
    <row r="70" spans="1:5" hidden="1" x14ac:dyDescent="0.3"/>
    <row r="72" spans="1:5" ht="15.6" x14ac:dyDescent="0.3">
      <c r="A72" s="91" t="s">
        <v>196</v>
      </c>
    </row>
    <row r="74" spans="1:5" ht="49.05" customHeight="1" x14ac:dyDescent="0.3">
      <c r="A74" s="920" t="str">
        <f>CONCATENATE("A continuación, se muestra el total de servicios ejecutados y el número de horas consumidas para los servicios de Soporte, Mantenimiento y Desarrollo de Aplicativos durante el período de ", B2," 2023.")</f>
        <v>A continuación, se muestra el total de servicios ejecutados y el número de horas consumidas para los servicios de Soporte, Mantenimiento y Desarrollo de Aplicativos durante el período de ABRIL 2023.</v>
      </c>
      <c r="B74" s="920"/>
      <c r="C74" s="920"/>
      <c r="D74" s="920"/>
      <c r="E74" s="920"/>
    </row>
    <row r="75" spans="1:5" x14ac:dyDescent="0.3">
      <c r="B75" s="22" t="s">
        <v>53</v>
      </c>
      <c r="C75" t="s">
        <v>204</v>
      </c>
    </row>
    <row r="76" spans="1:5" x14ac:dyDescent="0.3">
      <c r="B76" s="22" t="s">
        <v>52</v>
      </c>
      <c r="C76" t="s">
        <v>105</v>
      </c>
    </row>
    <row r="77" spans="1:5" x14ac:dyDescent="0.3">
      <c r="B77" s="22" t="s">
        <v>5373</v>
      </c>
      <c r="C77" t="s">
        <v>204</v>
      </c>
    </row>
    <row r="79" spans="1:5" x14ac:dyDescent="0.3">
      <c r="B79" s="22" t="s">
        <v>198</v>
      </c>
      <c r="C79" t="s">
        <v>31</v>
      </c>
      <c r="D79" t="s">
        <v>197</v>
      </c>
    </row>
    <row r="80" spans="1:5" x14ac:dyDescent="0.3">
      <c r="B80" s="15" t="s">
        <v>105</v>
      </c>
      <c r="C80" s="966"/>
      <c r="D80" s="966"/>
    </row>
    <row r="81" spans="2:4" x14ac:dyDescent="0.3">
      <c r="B81" s="15" t="s">
        <v>33</v>
      </c>
      <c r="C81" s="966"/>
      <c r="D81" s="966"/>
    </row>
    <row r="99" spans="1:9" ht="18" customHeight="1" x14ac:dyDescent="0.3"/>
    <row r="101" spans="1:9" ht="217.5" customHeight="1" x14ac:dyDescent="0.3"/>
    <row r="102" spans="1:9" ht="12.75" customHeight="1" x14ac:dyDescent="0.3"/>
    <row r="103" spans="1:9" ht="15.6" x14ac:dyDescent="0.3">
      <c r="A103" s="91" t="s">
        <v>199</v>
      </c>
    </row>
    <row r="106" spans="1:9" x14ac:dyDescent="0.3">
      <c r="B106" s="22" t="s">
        <v>53</v>
      </c>
      <c r="C106" t="s">
        <v>204</v>
      </c>
    </row>
    <row r="107" spans="1:9" x14ac:dyDescent="0.3">
      <c r="B107" s="22" t="s">
        <v>52</v>
      </c>
      <c r="C107" t="s">
        <v>105</v>
      </c>
    </row>
    <row r="108" spans="1:9" x14ac:dyDescent="0.3">
      <c r="B108" s="22" t="s">
        <v>5373</v>
      </c>
      <c r="C108" t="s">
        <v>204</v>
      </c>
    </row>
    <row r="110" spans="1:9" x14ac:dyDescent="0.3">
      <c r="B110" s="22" t="s">
        <v>14</v>
      </c>
      <c r="C110" t="s">
        <v>174</v>
      </c>
      <c r="D110" t="s">
        <v>175</v>
      </c>
      <c r="G110" s="96"/>
      <c r="H110" s="15"/>
      <c r="I110" s="15"/>
    </row>
    <row r="111" spans="1:9" x14ac:dyDescent="0.3">
      <c r="B111" s="15" t="s">
        <v>105</v>
      </c>
      <c r="C111" s="966"/>
      <c r="D111" s="966"/>
      <c r="G111" s="96"/>
      <c r="H111" s="15"/>
      <c r="I111" s="15"/>
    </row>
    <row r="112" spans="1:9" x14ac:dyDescent="0.3">
      <c r="B112" s="15" t="s">
        <v>33</v>
      </c>
      <c r="C112" s="966"/>
      <c r="D112" s="966"/>
      <c r="G112" s="15"/>
      <c r="H112" s="15"/>
      <c r="I112" s="15"/>
    </row>
    <row r="113" spans="8:8" x14ac:dyDescent="0.3">
      <c r="H113" s="15"/>
    </row>
    <row r="114" spans="8:8" x14ac:dyDescent="0.3">
      <c r="H114" s="15"/>
    </row>
    <row r="133" spans="1:7" ht="15.6" x14ac:dyDescent="0.3">
      <c r="A133" s="91" t="s">
        <v>200</v>
      </c>
    </row>
    <row r="135" spans="1:7" ht="42" customHeight="1" x14ac:dyDescent="0.3">
      <c r="A135" s="919" t="s">
        <v>201</v>
      </c>
      <c r="B135" s="919"/>
      <c r="C135" s="919"/>
      <c r="D135" s="919"/>
      <c r="E135" s="919"/>
    </row>
    <row r="138" spans="1:7" x14ac:dyDescent="0.3">
      <c r="B138" s="22" t="s">
        <v>53</v>
      </c>
      <c r="C138" t="s">
        <v>204</v>
      </c>
    </row>
    <row r="139" spans="1:7" x14ac:dyDescent="0.3">
      <c r="B139" s="22" t="s">
        <v>52</v>
      </c>
      <c r="C139" t="s">
        <v>204</v>
      </c>
    </row>
    <row r="140" spans="1:7" x14ac:dyDescent="0.3">
      <c r="B140" s="22" t="s">
        <v>5373</v>
      </c>
      <c r="C140" t="s">
        <v>204</v>
      </c>
    </row>
    <row r="142" spans="1:7" ht="43.2" x14ac:dyDescent="0.3">
      <c r="B142" s="59" t="s">
        <v>14</v>
      </c>
      <c r="C142" s="172" t="s">
        <v>628</v>
      </c>
    </row>
    <row r="143" spans="1:7" s="95" customFormat="1" x14ac:dyDescent="0.3">
      <c r="A143"/>
      <c r="B143" s="321" t="s">
        <v>40</v>
      </c>
      <c r="C143" s="970">
        <v>7461</v>
      </c>
      <c r="D143"/>
      <c r="E143"/>
      <c r="F143"/>
      <c r="G143"/>
    </row>
    <row r="144" spans="1:7" x14ac:dyDescent="0.3">
      <c r="B144" s="321" t="s">
        <v>37</v>
      </c>
      <c r="C144" s="970">
        <v>336</v>
      </c>
    </row>
    <row r="145" spans="2:12" x14ac:dyDescent="0.3">
      <c r="B145" s="321" t="s">
        <v>83</v>
      </c>
      <c r="C145" s="970">
        <v>15</v>
      </c>
    </row>
    <row r="146" spans="2:12" x14ac:dyDescent="0.3">
      <c r="B146" s="321" t="s">
        <v>105</v>
      </c>
      <c r="C146" s="970"/>
    </row>
    <row r="147" spans="2:12" x14ac:dyDescent="0.3">
      <c r="B147" s="321" t="s">
        <v>81</v>
      </c>
      <c r="C147" s="970">
        <v>2789</v>
      </c>
    </row>
    <row r="148" spans="2:12" x14ac:dyDescent="0.3">
      <c r="B148" s="321" t="s">
        <v>263</v>
      </c>
      <c r="C148" s="970">
        <v>750</v>
      </c>
    </row>
    <row r="149" spans="2:12" x14ac:dyDescent="0.3">
      <c r="B149" s="321" t="s">
        <v>78</v>
      </c>
      <c r="C149" s="970">
        <v>82</v>
      </c>
    </row>
    <row r="150" spans="2:12" x14ac:dyDescent="0.3">
      <c r="B150" s="321" t="s">
        <v>80</v>
      </c>
      <c r="C150" s="970">
        <v>136</v>
      </c>
    </row>
    <row r="151" spans="2:12" x14ac:dyDescent="0.3">
      <c r="B151" s="321" t="s">
        <v>38</v>
      </c>
      <c r="C151" s="970">
        <v>216</v>
      </c>
    </row>
    <row r="152" spans="2:12" x14ac:dyDescent="0.3">
      <c r="B152" s="321" t="s">
        <v>302</v>
      </c>
      <c r="C152" s="970">
        <v>324</v>
      </c>
    </row>
    <row r="153" spans="2:12" x14ac:dyDescent="0.3">
      <c r="B153" s="321" t="s">
        <v>95</v>
      </c>
      <c r="C153" s="970">
        <v>1191</v>
      </c>
    </row>
    <row r="154" spans="2:12" x14ac:dyDescent="0.3">
      <c r="B154" s="321" t="s">
        <v>79</v>
      </c>
      <c r="C154" s="970">
        <v>1238.25</v>
      </c>
    </row>
    <row r="155" spans="2:12" ht="15.6" x14ac:dyDescent="0.3">
      <c r="B155" s="321" t="s">
        <v>202</v>
      </c>
      <c r="C155" s="971">
        <v>14538.25</v>
      </c>
      <c r="D155" s="97"/>
      <c r="E155" s="98"/>
      <c r="F155" s="92"/>
      <c r="G155" s="92"/>
      <c r="H155" s="92"/>
      <c r="I155" s="92"/>
      <c r="J155" s="92"/>
      <c r="K155" s="92"/>
      <c r="L155" s="92"/>
    </row>
    <row r="156" spans="2:12" ht="15.6" x14ac:dyDescent="0.3">
      <c r="D156" s="100"/>
      <c r="E156" s="101"/>
      <c r="F156" s="92"/>
      <c r="G156" s="92"/>
      <c r="H156" s="92"/>
      <c r="I156" s="92"/>
      <c r="J156" s="92"/>
      <c r="K156" s="92"/>
      <c r="L156" s="92"/>
    </row>
    <row r="157" spans="2:12" ht="19.5" customHeight="1" x14ac:dyDescent="0.3">
      <c r="C157" s="913" t="str">
        <f>C2</f>
        <v>Samuel Antonio Partida Contreras</v>
      </c>
      <c r="D157" s="914"/>
      <c r="E157" s="915"/>
      <c r="F157" s="92"/>
      <c r="G157" s="91"/>
      <c r="H157" s="91"/>
    </row>
    <row r="158" spans="2:12" ht="15.6" x14ac:dyDescent="0.3">
      <c r="C158" s="916" t="str">
        <f>C3</f>
        <v>Subdirector de Sistemas de Información</v>
      </c>
      <c r="D158" s="917"/>
      <c r="E158" s="918"/>
      <c r="F158" s="92"/>
      <c r="G158" s="105"/>
      <c r="H158" s="105"/>
    </row>
    <row r="159" spans="2:12" ht="15.6" x14ac:dyDescent="0.3">
      <c r="C159" s="916" t="s">
        <v>107</v>
      </c>
      <c r="D159" s="917"/>
      <c r="E159" s="918"/>
      <c r="F159" s="92"/>
      <c r="G159" s="105"/>
      <c r="H159" s="105"/>
    </row>
    <row r="160" spans="2:12" ht="15.6" x14ac:dyDescent="0.3">
      <c r="C160" s="99"/>
      <c r="D160" s="100"/>
      <c r="E160" s="101"/>
      <c r="F160" s="92"/>
      <c r="G160" s="92"/>
      <c r="H160" s="92"/>
    </row>
    <row r="161" spans="3:8" ht="15.6" x14ac:dyDescent="0.3">
      <c r="C161" s="102"/>
      <c r="D161" s="103"/>
      <c r="E161" s="104"/>
      <c r="F161" s="92"/>
      <c r="G161" s="92"/>
      <c r="H161" s="92"/>
    </row>
    <row r="163" spans="3:8" ht="24.75" customHeight="1" x14ac:dyDescent="0.3"/>
    <row r="165" spans="3:8" ht="78" customHeight="1" x14ac:dyDescent="0.3"/>
  </sheetData>
  <mergeCells count="14">
    <mergeCell ref="A17:E17"/>
    <mergeCell ref="A19:E19"/>
    <mergeCell ref="A32:E32"/>
    <mergeCell ref="A10:E10"/>
    <mergeCell ref="A11:E11"/>
    <mergeCell ref="A12:E12"/>
    <mergeCell ref="C157:E157"/>
    <mergeCell ref="C158:E158"/>
    <mergeCell ref="C159:E159"/>
    <mergeCell ref="A37:E37"/>
    <mergeCell ref="A42:E42"/>
    <mergeCell ref="A55:E55"/>
    <mergeCell ref="A74:E74"/>
    <mergeCell ref="A135:E135"/>
  </mergeCells>
  <pageMargins left="0.70866141732283472" right="0.70866141732283472" top="0.74803149606299213" bottom="0.74803149606299213" header="0.31496062992125984" footer="0.31496062992125984"/>
  <pageSetup paperSize="9" scale="92" fitToHeight="0" orientation="portrait" r:id="rId6"/>
  <headerFooter>
    <oddFooter>&amp;CPágina &amp;P de &amp;N</oddFooter>
  </headerFooter>
  <drawing r:id="rId7"/>
  <legacyDrawing r:id="rId8"/>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900-000000000000}">
          <x14:formula1>
            <xm:f>Facturación!$F$3:$Q$3</xm:f>
          </x14:formula1>
          <xm:sqref>B2</xm:sqref>
        </x14:dataValidation>
        <x14:dataValidation type="list" allowBlank="1" showInputMessage="1" showErrorMessage="1" xr:uid="{00000000-0002-0000-0900-000001000000}">
          <x14:formula1>
            <xm:f>Catalogos!$B$18:$B$25</xm:f>
          </x14:formula1>
          <xm:sqref>B1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001"/>
  <sheetViews>
    <sheetView topLeftCell="A14" zoomScale="80" zoomScaleNormal="80" workbookViewId="0">
      <selection activeCell="D20" sqref="B20:D20"/>
    </sheetView>
  </sheetViews>
  <sheetFormatPr baseColWidth="10" defaultColWidth="14.44140625" defaultRowHeight="14.4" x14ac:dyDescent="0.3"/>
  <cols>
    <col min="1" max="1" width="19.5546875" customWidth="1"/>
    <col min="2" max="2" width="68" customWidth="1"/>
    <col min="3" max="3" width="25.44140625" customWidth="1"/>
    <col min="4" max="4" width="24.21875" customWidth="1"/>
    <col min="5" max="5" width="19.44140625" customWidth="1"/>
    <col min="6" max="6" width="11.5546875" bestFit="1" customWidth="1"/>
    <col min="7" max="8" width="10.77734375" customWidth="1"/>
    <col min="9" max="9" width="12.21875" customWidth="1"/>
    <col min="10" max="24" width="10.77734375" customWidth="1"/>
  </cols>
  <sheetData>
    <row r="1" spans="1:3" x14ac:dyDescent="0.3">
      <c r="A1" s="23" t="s">
        <v>56</v>
      </c>
      <c r="B1" s="23" t="s">
        <v>57</v>
      </c>
      <c r="C1" s="23" t="s">
        <v>9</v>
      </c>
    </row>
    <row r="2" spans="1:3" x14ac:dyDescent="0.3">
      <c r="A2" s="933" t="s">
        <v>1</v>
      </c>
      <c r="B2" s="24" t="s">
        <v>58</v>
      </c>
      <c r="C2" s="25"/>
    </row>
    <row r="3" spans="1:3" x14ac:dyDescent="0.3">
      <c r="A3" s="934"/>
      <c r="B3" s="24" t="s">
        <v>59</v>
      </c>
      <c r="C3" s="26"/>
    </row>
    <row r="4" spans="1:3" x14ac:dyDescent="0.3">
      <c r="A4" s="934"/>
      <c r="B4" s="24" t="s">
        <v>22</v>
      </c>
      <c r="C4" s="25"/>
    </row>
    <row r="5" spans="1:3" x14ac:dyDescent="0.3">
      <c r="A5" s="935"/>
      <c r="B5" s="24" t="s">
        <v>15</v>
      </c>
      <c r="C5" s="25"/>
    </row>
    <row r="6" spans="1:3" ht="15" customHeight="1" x14ac:dyDescent="0.3">
      <c r="A6" s="936" t="s">
        <v>2</v>
      </c>
      <c r="B6" s="25" t="s">
        <v>173</v>
      </c>
      <c r="C6" s="25"/>
    </row>
    <row r="7" spans="1:3" x14ac:dyDescent="0.3">
      <c r="A7" s="934"/>
      <c r="B7" s="25" t="s">
        <v>60</v>
      </c>
      <c r="C7" s="25"/>
    </row>
    <row r="8" spans="1:3" x14ac:dyDescent="0.3">
      <c r="A8" s="934"/>
      <c r="B8" s="25" t="s">
        <v>21</v>
      </c>
      <c r="C8" s="25"/>
    </row>
    <row r="9" spans="1:3" x14ac:dyDescent="0.3">
      <c r="A9" s="934"/>
      <c r="B9" s="25" t="s">
        <v>61</v>
      </c>
      <c r="C9" s="25"/>
    </row>
    <row r="10" spans="1:3" x14ac:dyDescent="0.3">
      <c r="A10" s="934"/>
      <c r="B10" s="25" t="s">
        <v>62</v>
      </c>
      <c r="C10" s="25"/>
    </row>
    <row r="11" spans="1:3" x14ac:dyDescent="0.3">
      <c r="A11" s="934"/>
      <c r="B11" s="25" t="s">
        <v>63</v>
      </c>
      <c r="C11" s="25"/>
    </row>
    <row r="12" spans="1:3" x14ac:dyDescent="0.3">
      <c r="A12" s="934"/>
      <c r="B12" s="25" t="s">
        <v>64</v>
      </c>
      <c r="C12" s="25"/>
    </row>
    <row r="13" spans="1:3" x14ac:dyDescent="0.3">
      <c r="A13" s="934"/>
      <c r="B13" s="25" t="s">
        <v>65</v>
      </c>
      <c r="C13" s="25"/>
    </row>
    <row r="14" spans="1:3" x14ac:dyDescent="0.3">
      <c r="A14" s="934"/>
      <c r="B14" s="25" t="s">
        <v>23</v>
      </c>
      <c r="C14" s="25"/>
    </row>
    <row r="15" spans="1:3" x14ac:dyDescent="0.3">
      <c r="A15" s="934"/>
      <c r="B15" s="25" t="s">
        <v>66</v>
      </c>
      <c r="C15" s="25"/>
    </row>
    <row r="16" spans="1:3" x14ac:dyDescent="0.3">
      <c r="A16" s="934"/>
      <c r="B16" s="27" t="s">
        <v>67</v>
      </c>
      <c r="C16" s="25"/>
    </row>
    <row r="17" spans="1:5" x14ac:dyDescent="0.3">
      <c r="A17" s="934"/>
      <c r="B17" s="29" t="s">
        <v>68</v>
      </c>
      <c r="C17" s="29"/>
    </row>
    <row r="18" spans="1:5" x14ac:dyDescent="0.3">
      <c r="A18" s="87" t="s">
        <v>157</v>
      </c>
      <c r="B18" s="85" t="s">
        <v>155</v>
      </c>
      <c r="C18" s="85" t="s">
        <v>158</v>
      </c>
      <c r="D18" s="85" t="s">
        <v>159</v>
      </c>
      <c r="E18" s="85" t="s">
        <v>166</v>
      </c>
    </row>
    <row r="19" spans="1:5" x14ac:dyDescent="0.3">
      <c r="A19" s="937" t="s">
        <v>3</v>
      </c>
      <c r="B19" s="86" t="s">
        <v>16</v>
      </c>
      <c r="C19" s="86" t="s">
        <v>30</v>
      </c>
      <c r="D19" s="86" t="s">
        <v>165</v>
      </c>
      <c r="E19" s="86" t="s">
        <v>167</v>
      </c>
    </row>
    <row r="20" spans="1:5" x14ac:dyDescent="0.3">
      <c r="A20" s="937"/>
      <c r="B20" s="86" t="s">
        <v>257</v>
      </c>
      <c r="C20" s="86" t="s">
        <v>260</v>
      </c>
      <c r="D20" s="86" t="s">
        <v>259</v>
      </c>
      <c r="E20" s="86" t="s">
        <v>261</v>
      </c>
    </row>
    <row r="21" spans="1:5" x14ac:dyDescent="0.3">
      <c r="A21" s="937"/>
      <c r="B21" s="86" t="s">
        <v>43</v>
      </c>
      <c r="C21" s="86" t="s">
        <v>162</v>
      </c>
      <c r="D21" s="86" t="s">
        <v>163</v>
      </c>
      <c r="E21" s="86" t="s">
        <v>168</v>
      </c>
    </row>
    <row r="22" spans="1:5" x14ac:dyDescent="0.3">
      <c r="A22" s="938"/>
      <c r="B22" s="85" t="s">
        <v>45</v>
      </c>
      <c r="C22" s="85" t="s">
        <v>69</v>
      </c>
      <c r="D22" s="85" t="s">
        <v>160</v>
      </c>
      <c r="E22" s="85" t="s">
        <v>169</v>
      </c>
    </row>
    <row r="23" spans="1:5" x14ac:dyDescent="0.3">
      <c r="A23" s="938"/>
      <c r="B23" s="85" t="s">
        <v>2643</v>
      </c>
      <c r="C23" s="85" t="s">
        <v>3283</v>
      </c>
      <c r="D23" s="85" t="s">
        <v>3282</v>
      </c>
      <c r="E23" s="85" t="s">
        <v>3284</v>
      </c>
    </row>
    <row r="24" spans="1:5" x14ac:dyDescent="0.3">
      <c r="A24" s="938"/>
      <c r="B24" s="85" t="s">
        <v>49</v>
      </c>
      <c r="C24" s="85" t="s">
        <v>171</v>
      </c>
      <c r="D24" s="85" t="s">
        <v>266</v>
      </c>
      <c r="E24" s="85" t="s">
        <v>170</v>
      </c>
    </row>
    <row r="25" spans="1:5" ht="15.75" customHeight="1" x14ac:dyDescent="0.3">
      <c r="A25" s="113" t="s">
        <v>4</v>
      </c>
      <c r="B25" s="85" t="s">
        <v>205</v>
      </c>
      <c r="C25" s="85" t="s">
        <v>70</v>
      </c>
      <c r="D25" s="85" t="s">
        <v>164</v>
      </c>
      <c r="E25" s="85" t="s">
        <v>172</v>
      </c>
    </row>
    <row r="26" spans="1:5" ht="15.75" customHeight="1" x14ac:dyDescent="0.3">
      <c r="A26" s="936" t="s">
        <v>71</v>
      </c>
      <c r="B26" s="84" t="s">
        <v>72</v>
      </c>
      <c r="C26" s="84"/>
    </row>
    <row r="27" spans="1:5" ht="15.75" customHeight="1" x14ac:dyDescent="0.3">
      <c r="A27" s="934"/>
      <c r="B27" s="25" t="s">
        <v>73</v>
      </c>
      <c r="C27" s="25"/>
    </row>
    <row r="28" spans="1:5" ht="15.75" customHeight="1" x14ac:dyDescent="0.3">
      <c r="A28" s="934"/>
      <c r="B28" s="25" t="s">
        <v>23</v>
      </c>
      <c r="C28" s="25"/>
    </row>
    <row r="29" spans="1:5" ht="15.75" customHeight="1" x14ac:dyDescent="0.3">
      <c r="A29" s="934"/>
      <c r="B29" s="25" t="s">
        <v>74</v>
      </c>
      <c r="C29" s="25"/>
    </row>
    <row r="30" spans="1:5" ht="15.75" customHeight="1" x14ac:dyDescent="0.3">
      <c r="A30" s="934"/>
      <c r="B30" s="25" t="s">
        <v>75</v>
      </c>
      <c r="C30" s="25"/>
    </row>
    <row r="31" spans="1:5" ht="15.75" customHeight="1" x14ac:dyDescent="0.3">
      <c r="A31" s="934"/>
      <c r="B31" s="25" t="s">
        <v>76</v>
      </c>
      <c r="C31" s="25"/>
    </row>
    <row r="32" spans="1:5" ht="15.75" customHeight="1" x14ac:dyDescent="0.3">
      <c r="A32" s="934"/>
      <c r="B32" s="28" t="s">
        <v>67</v>
      </c>
      <c r="C32" s="29"/>
    </row>
    <row r="33" spans="1:3" ht="15.75" customHeight="1" x14ac:dyDescent="0.3">
      <c r="A33" s="934"/>
      <c r="B33" s="29" t="s">
        <v>77</v>
      </c>
      <c r="C33" s="29"/>
    </row>
    <row r="34" spans="1:3" ht="15.75" customHeight="1" x14ac:dyDescent="0.3">
      <c r="A34" s="930" t="s">
        <v>14</v>
      </c>
      <c r="B34" s="30" t="s">
        <v>78</v>
      </c>
      <c r="C34" s="30"/>
    </row>
    <row r="35" spans="1:3" ht="15.75" customHeight="1" x14ac:dyDescent="0.3">
      <c r="A35" s="931"/>
      <c r="B35" s="30" t="s">
        <v>79</v>
      </c>
      <c r="C35" s="30"/>
    </row>
    <row r="36" spans="1:3" ht="15.75" customHeight="1" x14ac:dyDescent="0.3">
      <c r="A36" s="931"/>
      <c r="B36" s="30" t="s">
        <v>29</v>
      </c>
      <c r="C36" s="30"/>
    </row>
    <row r="37" spans="1:3" ht="15.75" customHeight="1" x14ac:dyDescent="0.3">
      <c r="A37" s="931"/>
      <c r="B37" s="30" t="s">
        <v>80</v>
      </c>
      <c r="C37" s="30"/>
    </row>
    <row r="38" spans="1:3" ht="15.75" customHeight="1" x14ac:dyDescent="0.3">
      <c r="A38" s="931"/>
      <c r="B38" s="30" t="s">
        <v>81</v>
      </c>
      <c r="C38" s="30"/>
    </row>
    <row r="39" spans="1:3" ht="15.75" customHeight="1" x14ac:dyDescent="0.3">
      <c r="A39" s="931"/>
      <c r="B39" s="30" t="s">
        <v>40</v>
      </c>
      <c r="C39" s="30"/>
    </row>
    <row r="40" spans="1:3" ht="15.75" customHeight="1" x14ac:dyDescent="0.3">
      <c r="A40" s="931"/>
      <c r="B40" s="30" t="s">
        <v>82</v>
      </c>
      <c r="C40" s="30"/>
    </row>
    <row r="41" spans="1:3" ht="15.75" customHeight="1" x14ac:dyDescent="0.3">
      <c r="A41" s="931"/>
      <c r="B41" s="30" t="s">
        <v>83</v>
      </c>
      <c r="C41" s="30"/>
    </row>
    <row r="42" spans="1:3" ht="15.75" customHeight="1" x14ac:dyDescent="0.3">
      <c r="A42" s="931"/>
      <c r="B42" s="30" t="s">
        <v>84</v>
      </c>
      <c r="C42" s="30"/>
    </row>
    <row r="43" spans="1:3" ht="15.75" customHeight="1" x14ac:dyDescent="0.3">
      <c r="A43" s="931"/>
      <c r="B43" s="30" t="s">
        <v>85</v>
      </c>
      <c r="C43" s="30"/>
    </row>
    <row r="44" spans="1:3" ht="15.75" customHeight="1" x14ac:dyDescent="0.3">
      <c r="A44" s="931"/>
      <c r="B44" s="30" t="s">
        <v>20</v>
      </c>
      <c r="C44" s="30"/>
    </row>
    <row r="45" spans="1:3" ht="15.75" customHeight="1" x14ac:dyDescent="0.3">
      <c r="A45" s="931"/>
      <c r="B45" s="30" t="s">
        <v>37</v>
      </c>
      <c r="C45" s="30"/>
    </row>
    <row r="46" spans="1:3" ht="15.75" customHeight="1" x14ac:dyDescent="0.3">
      <c r="A46" s="931"/>
      <c r="B46" s="30" t="s">
        <v>86</v>
      </c>
      <c r="C46" s="30"/>
    </row>
    <row r="47" spans="1:3" ht="15.75" customHeight="1" x14ac:dyDescent="0.3">
      <c r="A47" s="931"/>
      <c r="B47" s="30" t="s">
        <v>87</v>
      </c>
      <c r="C47" s="30"/>
    </row>
    <row r="48" spans="1:3" ht="15.75" customHeight="1" x14ac:dyDescent="0.3">
      <c r="A48" s="931"/>
      <c r="B48" s="30" t="s">
        <v>88</v>
      </c>
      <c r="C48" s="30"/>
    </row>
    <row r="49" spans="1:3" ht="15.75" customHeight="1" x14ac:dyDescent="0.3">
      <c r="A49" s="931"/>
      <c r="B49" s="30" t="s">
        <v>89</v>
      </c>
      <c r="C49" s="30"/>
    </row>
    <row r="50" spans="1:3" ht="15.75" customHeight="1" x14ac:dyDescent="0.3">
      <c r="A50" s="931"/>
      <c r="B50" s="30" t="s">
        <v>39</v>
      </c>
      <c r="C50" s="30"/>
    </row>
    <row r="51" spans="1:3" ht="15.75" customHeight="1" x14ac:dyDescent="0.3">
      <c r="A51" s="931"/>
      <c r="B51" s="30" t="s">
        <v>38</v>
      </c>
      <c r="C51" s="30"/>
    </row>
    <row r="52" spans="1:3" ht="15.75" customHeight="1" x14ac:dyDescent="0.3">
      <c r="A52" s="931"/>
      <c r="B52" s="30" t="s">
        <v>90</v>
      </c>
      <c r="C52" s="30"/>
    </row>
    <row r="53" spans="1:3" ht="15.75" customHeight="1" x14ac:dyDescent="0.3">
      <c r="A53" s="931"/>
      <c r="B53" s="30" t="s">
        <v>18</v>
      </c>
      <c r="C53" s="30"/>
    </row>
    <row r="54" spans="1:3" ht="15.75" customHeight="1" x14ac:dyDescent="0.3">
      <c r="A54" s="931"/>
      <c r="B54" s="30" t="s">
        <v>91</v>
      </c>
      <c r="C54" s="30"/>
    </row>
    <row r="55" spans="1:3" ht="15.75" customHeight="1" x14ac:dyDescent="0.3">
      <c r="A55" s="931"/>
      <c r="B55" s="30" t="s">
        <v>92</v>
      </c>
      <c r="C55" s="30"/>
    </row>
    <row r="56" spans="1:3" ht="15.75" customHeight="1" x14ac:dyDescent="0.3">
      <c r="A56" s="931"/>
      <c r="B56" s="30" t="s">
        <v>93</v>
      </c>
      <c r="C56" s="30"/>
    </row>
    <row r="57" spans="1:3" ht="15.75" customHeight="1" x14ac:dyDescent="0.3">
      <c r="A57" s="931"/>
      <c r="B57" s="30" t="s">
        <v>94</v>
      </c>
      <c r="C57" s="30"/>
    </row>
    <row r="58" spans="1:3" ht="15.75" customHeight="1" x14ac:dyDescent="0.3">
      <c r="A58" s="931"/>
      <c r="B58" s="30" t="s">
        <v>95</v>
      </c>
      <c r="C58" s="30"/>
    </row>
    <row r="59" spans="1:3" ht="15.75" customHeight="1" x14ac:dyDescent="0.3">
      <c r="A59" s="931"/>
      <c r="B59" s="30" t="s">
        <v>96</v>
      </c>
      <c r="C59" s="30"/>
    </row>
    <row r="60" spans="1:3" ht="15.75" customHeight="1" x14ac:dyDescent="0.3">
      <c r="A60" s="930" t="s">
        <v>13</v>
      </c>
      <c r="B60" s="30" t="s">
        <v>44</v>
      </c>
      <c r="C60" s="30"/>
    </row>
    <row r="61" spans="1:3" ht="15.75" customHeight="1" x14ac:dyDescent="0.3">
      <c r="A61" s="931"/>
      <c r="B61" s="30" t="s">
        <v>46</v>
      </c>
      <c r="C61" s="30"/>
    </row>
    <row r="62" spans="1:3" ht="15.75" customHeight="1" x14ac:dyDescent="0.3">
      <c r="A62" s="931"/>
      <c r="B62" s="30" t="s">
        <v>48</v>
      </c>
      <c r="C62" s="30"/>
    </row>
    <row r="63" spans="1:3" ht="15.75" customHeight="1" x14ac:dyDescent="0.3">
      <c r="A63" s="931"/>
      <c r="B63" s="30" t="s">
        <v>19</v>
      </c>
      <c r="C63" s="30"/>
    </row>
    <row r="64" spans="1:3" ht="15.75" customHeight="1" x14ac:dyDescent="0.3">
      <c r="A64" s="931"/>
      <c r="B64" s="30" t="s">
        <v>97</v>
      </c>
      <c r="C64" s="30"/>
    </row>
    <row r="65" spans="1:6" ht="15.75" customHeight="1" x14ac:dyDescent="0.3">
      <c r="A65" s="931"/>
      <c r="B65" s="30" t="s">
        <v>98</v>
      </c>
      <c r="C65" s="30"/>
    </row>
    <row r="66" spans="1:6" ht="15.75" customHeight="1" x14ac:dyDescent="0.3">
      <c r="A66" s="931"/>
      <c r="B66" s="30" t="s">
        <v>99</v>
      </c>
      <c r="C66" s="30"/>
    </row>
    <row r="67" spans="1:6" ht="15.75" customHeight="1" x14ac:dyDescent="0.3">
      <c r="A67" s="931"/>
      <c r="B67" s="30" t="s">
        <v>100</v>
      </c>
      <c r="C67" s="30"/>
    </row>
    <row r="68" spans="1:6" ht="15.75" customHeight="1" x14ac:dyDescent="0.3">
      <c r="A68" s="931"/>
      <c r="B68" s="30" t="s">
        <v>101</v>
      </c>
      <c r="C68" s="30"/>
    </row>
    <row r="69" spans="1:6" ht="15.75" customHeight="1" x14ac:dyDescent="0.3">
      <c r="A69" s="931"/>
      <c r="B69" s="30" t="s">
        <v>102</v>
      </c>
      <c r="C69" s="30"/>
    </row>
    <row r="70" spans="1:6" ht="15.75" customHeight="1" x14ac:dyDescent="0.3">
      <c r="A70" s="932"/>
      <c r="B70" s="60" t="s">
        <v>103</v>
      </c>
      <c r="C70" s="60"/>
    </row>
    <row r="71" spans="1:6" ht="15.75" customHeight="1" x14ac:dyDescent="0.3">
      <c r="A71" s="940" t="s">
        <v>124</v>
      </c>
      <c r="B71" s="5" t="s">
        <v>17</v>
      </c>
      <c r="C71" s="5"/>
    </row>
    <row r="72" spans="1:6" ht="15.75" customHeight="1" x14ac:dyDescent="0.3">
      <c r="A72" s="941"/>
      <c r="B72" s="5" t="s">
        <v>125</v>
      </c>
      <c r="C72" s="5"/>
    </row>
    <row r="73" spans="1:6" ht="15.75" customHeight="1" x14ac:dyDescent="0.3"/>
    <row r="74" spans="1:6" ht="15.75" customHeight="1" x14ac:dyDescent="0.3">
      <c r="A74" s="51" t="s">
        <v>1</v>
      </c>
      <c r="B74" s="51" t="s">
        <v>14</v>
      </c>
      <c r="C74" s="51" t="s">
        <v>111</v>
      </c>
      <c r="D74" s="51" t="s">
        <v>112</v>
      </c>
      <c r="E74" s="230">
        <v>2022</v>
      </c>
      <c r="F74" s="231" t="s">
        <v>267</v>
      </c>
    </row>
    <row r="75" spans="1:6" ht="15.75" customHeight="1" x14ac:dyDescent="0.3">
      <c r="A75" s="52" t="s">
        <v>114</v>
      </c>
      <c r="B75" s="53" t="s">
        <v>78</v>
      </c>
      <c r="C75" s="54" t="s">
        <v>115</v>
      </c>
      <c r="D75" s="141">
        <v>600</v>
      </c>
      <c r="E75" s="141">
        <v>500</v>
      </c>
      <c r="F75" s="232">
        <f>(D75/E75)-1</f>
        <v>0.19999999999999996</v>
      </c>
    </row>
    <row r="76" spans="1:6" ht="15.75" customHeight="1" x14ac:dyDescent="0.3">
      <c r="A76" s="942" t="s">
        <v>116</v>
      </c>
      <c r="B76" s="53" t="s">
        <v>79</v>
      </c>
      <c r="C76" s="54" t="s">
        <v>115</v>
      </c>
      <c r="D76" s="141">
        <v>600</v>
      </c>
      <c r="E76" s="141">
        <v>500</v>
      </c>
      <c r="F76" s="232">
        <f t="shared" ref="F76:F100" si="0">(D76/E76)-1</f>
        <v>0.19999999999999996</v>
      </c>
    </row>
    <row r="77" spans="1:6" ht="15.75" customHeight="1" x14ac:dyDescent="0.3">
      <c r="A77" s="943"/>
      <c r="B77" s="53" t="s">
        <v>80</v>
      </c>
      <c r="C77" s="54" t="s">
        <v>115</v>
      </c>
      <c r="D77" s="141">
        <v>450</v>
      </c>
      <c r="E77" s="141">
        <v>450</v>
      </c>
      <c r="F77" s="232">
        <f t="shared" si="0"/>
        <v>0</v>
      </c>
    </row>
    <row r="78" spans="1:6" ht="15.75" customHeight="1" x14ac:dyDescent="0.3">
      <c r="A78" s="943"/>
      <c r="B78" s="53" t="s">
        <v>81</v>
      </c>
      <c r="C78" s="54" t="s">
        <v>115</v>
      </c>
      <c r="D78" s="141">
        <v>500</v>
      </c>
      <c r="E78" s="141">
        <v>450</v>
      </c>
      <c r="F78" s="232">
        <f t="shared" si="0"/>
        <v>0.11111111111111116</v>
      </c>
    </row>
    <row r="79" spans="1:6" ht="15.75" customHeight="1" x14ac:dyDescent="0.3">
      <c r="A79" s="943"/>
      <c r="B79" s="53" t="s">
        <v>40</v>
      </c>
      <c r="C79" s="54" t="s">
        <v>115</v>
      </c>
      <c r="D79" s="141">
        <v>700</v>
      </c>
      <c r="E79" s="141">
        <v>620</v>
      </c>
      <c r="F79" s="232">
        <f t="shared" si="0"/>
        <v>0.12903225806451624</v>
      </c>
    </row>
    <row r="80" spans="1:6" ht="15.75" customHeight="1" x14ac:dyDescent="0.3">
      <c r="A80" s="943"/>
      <c r="B80" s="53" t="s">
        <v>82</v>
      </c>
      <c r="C80" s="54" t="s">
        <v>115</v>
      </c>
      <c r="D80" s="141">
        <v>500</v>
      </c>
      <c r="E80" s="141">
        <v>400</v>
      </c>
      <c r="F80" s="232">
        <f t="shared" si="0"/>
        <v>0.25</v>
      </c>
    </row>
    <row r="81" spans="1:6" ht="15.75" customHeight="1" x14ac:dyDescent="0.3">
      <c r="A81" s="943"/>
      <c r="B81" s="53" t="s">
        <v>83</v>
      </c>
      <c r="C81" s="54" t="s">
        <v>115</v>
      </c>
      <c r="D81" s="141">
        <v>600</v>
      </c>
      <c r="E81" s="141">
        <v>450</v>
      </c>
      <c r="F81" s="232">
        <f t="shared" si="0"/>
        <v>0.33333333333333326</v>
      </c>
    </row>
    <row r="82" spans="1:6" ht="15.75" customHeight="1" x14ac:dyDescent="0.3">
      <c r="A82" s="943"/>
      <c r="B82" s="53" t="s">
        <v>84</v>
      </c>
      <c r="C82" s="54" t="s">
        <v>115</v>
      </c>
      <c r="D82" s="141">
        <v>600</v>
      </c>
      <c r="E82" s="141">
        <v>300</v>
      </c>
      <c r="F82" s="232">
        <f t="shared" si="0"/>
        <v>1</v>
      </c>
    </row>
    <row r="83" spans="1:6" ht="15.75" customHeight="1" x14ac:dyDescent="0.3">
      <c r="A83" s="943"/>
      <c r="B83" s="53" t="s">
        <v>85</v>
      </c>
      <c r="C83" s="54" t="s">
        <v>115</v>
      </c>
      <c r="D83" s="141">
        <v>500</v>
      </c>
      <c r="E83" s="141">
        <v>300</v>
      </c>
      <c r="F83" s="232">
        <f t="shared" si="0"/>
        <v>0.66666666666666674</v>
      </c>
    </row>
    <row r="84" spans="1:6" ht="15.75" customHeight="1" x14ac:dyDescent="0.3">
      <c r="A84" s="943"/>
      <c r="B84" s="53" t="s">
        <v>20</v>
      </c>
      <c r="C84" s="54" t="s">
        <v>115</v>
      </c>
      <c r="D84" s="141">
        <v>450</v>
      </c>
      <c r="E84" s="141">
        <v>480</v>
      </c>
      <c r="F84" s="232">
        <f t="shared" si="0"/>
        <v>-6.25E-2</v>
      </c>
    </row>
    <row r="85" spans="1:6" ht="15.75" customHeight="1" x14ac:dyDescent="0.3">
      <c r="A85" s="943"/>
      <c r="B85" s="53" t="s">
        <v>37</v>
      </c>
      <c r="C85" s="54" t="s">
        <v>115</v>
      </c>
      <c r="D85" s="141">
        <v>450</v>
      </c>
      <c r="E85" s="141">
        <v>430</v>
      </c>
      <c r="F85" s="232">
        <f t="shared" si="0"/>
        <v>4.6511627906976827E-2</v>
      </c>
    </row>
    <row r="86" spans="1:6" ht="15.75" customHeight="1" x14ac:dyDescent="0.3">
      <c r="A86" s="943"/>
      <c r="B86" s="53" t="s">
        <v>86</v>
      </c>
      <c r="C86" s="54" t="s">
        <v>115</v>
      </c>
      <c r="D86" s="141">
        <v>500</v>
      </c>
      <c r="E86" s="141">
        <v>300</v>
      </c>
      <c r="F86" s="232">
        <f t="shared" si="0"/>
        <v>0.66666666666666674</v>
      </c>
    </row>
    <row r="87" spans="1:6" ht="15.75" customHeight="1" x14ac:dyDescent="0.3">
      <c r="A87" s="943"/>
      <c r="B87" s="53" t="s">
        <v>87</v>
      </c>
      <c r="C87" s="54" t="s">
        <v>115</v>
      </c>
      <c r="D87" s="141">
        <v>500</v>
      </c>
      <c r="E87" s="141">
        <v>300</v>
      </c>
      <c r="F87" s="232">
        <f t="shared" si="0"/>
        <v>0.66666666666666674</v>
      </c>
    </row>
    <row r="88" spans="1:6" ht="15.75" customHeight="1" x14ac:dyDescent="0.3">
      <c r="A88" s="943"/>
      <c r="B88" s="53" t="s">
        <v>88</v>
      </c>
      <c r="C88" s="54" t="s">
        <v>115</v>
      </c>
      <c r="D88" s="141">
        <v>500</v>
      </c>
      <c r="E88" s="141">
        <v>400</v>
      </c>
      <c r="F88" s="232">
        <f t="shared" si="0"/>
        <v>0.25</v>
      </c>
    </row>
    <row r="89" spans="1:6" ht="15.75" customHeight="1" x14ac:dyDescent="0.3">
      <c r="A89" s="943"/>
      <c r="B89" s="53" t="s">
        <v>89</v>
      </c>
      <c r="C89" s="54" t="s">
        <v>115</v>
      </c>
      <c r="D89" s="141">
        <v>500</v>
      </c>
      <c r="E89" s="141">
        <v>430</v>
      </c>
      <c r="F89" s="232">
        <f t="shared" si="0"/>
        <v>0.16279069767441867</v>
      </c>
    </row>
    <row r="90" spans="1:6" ht="15.75" customHeight="1" x14ac:dyDescent="0.3">
      <c r="A90" s="943"/>
      <c r="B90" s="53" t="s">
        <v>117</v>
      </c>
      <c r="C90" s="54" t="s">
        <v>115</v>
      </c>
      <c r="D90" s="141">
        <v>500</v>
      </c>
      <c r="E90" s="141">
        <v>400</v>
      </c>
      <c r="F90" s="232">
        <f t="shared" si="0"/>
        <v>0.25</v>
      </c>
    </row>
    <row r="91" spans="1:6" ht="15.75" customHeight="1" x14ac:dyDescent="0.3">
      <c r="A91" s="943"/>
      <c r="B91" s="53" t="s">
        <v>302</v>
      </c>
      <c r="C91" s="54" t="s">
        <v>115</v>
      </c>
      <c r="D91" s="141">
        <v>800</v>
      </c>
      <c r="E91" s="141">
        <v>0</v>
      </c>
      <c r="F91" s="232"/>
    </row>
    <row r="92" spans="1:6" ht="15.75" customHeight="1" x14ac:dyDescent="0.3">
      <c r="A92" s="943"/>
      <c r="B92" s="53" t="s">
        <v>303</v>
      </c>
      <c r="C92" s="54" t="s">
        <v>115</v>
      </c>
      <c r="D92" s="141">
        <v>800</v>
      </c>
      <c r="E92" s="141">
        <v>0</v>
      </c>
      <c r="F92" s="232"/>
    </row>
    <row r="93" spans="1:6" ht="15.75" customHeight="1" x14ac:dyDescent="0.3">
      <c r="A93" s="943"/>
      <c r="B93" s="53" t="s">
        <v>304</v>
      </c>
      <c r="C93" s="54" t="s">
        <v>115</v>
      </c>
      <c r="D93" s="141">
        <v>800</v>
      </c>
      <c r="E93" s="141">
        <v>0</v>
      </c>
      <c r="F93" s="232"/>
    </row>
    <row r="94" spans="1:6" ht="15.75" customHeight="1" x14ac:dyDescent="0.3">
      <c r="A94" s="943"/>
      <c r="B94" s="53" t="s">
        <v>38</v>
      </c>
      <c r="C94" s="54" t="s">
        <v>115</v>
      </c>
      <c r="D94" s="141">
        <v>400</v>
      </c>
      <c r="E94" s="141">
        <v>340</v>
      </c>
      <c r="F94" s="232">
        <f t="shared" si="0"/>
        <v>0.17647058823529416</v>
      </c>
    </row>
    <row r="95" spans="1:6" ht="15.75" customHeight="1" x14ac:dyDescent="0.3">
      <c r="A95" s="944"/>
      <c r="B95" s="53" t="s">
        <v>95</v>
      </c>
      <c r="C95" s="54" t="s">
        <v>115</v>
      </c>
      <c r="D95" s="141">
        <v>600</v>
      </c>
      <c r="E95" s="141">
        <v>240</v>
      </c>
      <c r="F95" s="233">
        <f t="shared" ref="F95" si="1">(D95/E95)-1</f>
        <v>1.5</v>
      </c>
    </row>
    <row r="96" spans="1:6" ht="15.75" customHeight="1" x14ac:dyDescent="0.3">
      <c r="A96" s="939" t="s">
        <v>118</v>
      </c>
      <c r="B96" s="53" t="s">
        <v>18</v>
      </c>
      <c r="C96" s="54" t="s">
        <v>115</v>
      </c>
      <c r="D96" s="141"/>
      <c r="E96" s="141">
        <v>450</v>
      </c>
      <c r="F96" s="232">
        <f t="shared" si="0"/>
        <v>-1</v>
      </c>
    </row>
    <row r="97" spans="1:9" ht="15.75" customHeight="1" x14ac:dyDescent="0.3">
      <c r="A97" s="939"/>
      <c r="B97" s="53" t="s">
        <v>91</v>
      </c>
      <c r="C97" s="54" t="s">
        <v>115</v>
      </c>
      <c r="D97" s="141"/>
      <c r="E97" s="141">
        <v>360</v>
      </c>
      <c r="F97" s="232">
        <f t="shared" si="0"/>
        <v>-1</v>
      </c>
    </row>
    <row r="98" spans="1:9" ht="15.75" customHeight="1" x14ac:dyDescent="0.3">
      <c r="A98" s="939"/>
      <c r="B98" s="53" t="s">
        <v>92</v>
      </c>
      <c r="C98" s="54" t="s">
        <v>115</v>
      </c>
      <c r="D98" s="141"/>
      <c r="E98" s="141">
        <v>360</v>
      </c>
      <c r="F98" s="232">
        <f t="shared" si="0"/>
        <v>-1</v>
      </c>
    </row>
    <row r="99" spans="1:9" ht="15.75" customHeight="1" x14ac:dyDescent="0.3">
      <c r="A99" s="52" t="s">
        <v>119</v>
      </c>
      <c r="B99" s="53" t="s">
        <v>120</v>
      </c>
      <c r="C99" s="54" t="s">
        <v>115</v>
      </c>
      <c r="D99" s="141"/>
      <c r="E99" s="141">
        <v>400</v>
      </c>
      <c r="F99" s="232">
        <f t="shared" si="0"/>
        <v>-1</v>
      </c>
    </row>
    <row r="100" spans="1:9" ht="15.75" customHeight="1" x14ac:dyDescent="0.3">
      <c r="A100" s="282"/>
      <c r="B100" s="53" t="s">
        <v>96</v>
      </c>
      <c r="C100" s="54" t="s">
        <v>115</v>
      </c>
      <c r="D100" s="141"/>
      <c r="E100" s="141">
        <v>320</v>
      </c>
      <c r="F100" s="232">
        <f t="shared" si="0"/>
        <v>-1</v>
      </c>
    </row>
    <row r="101" spans="1:9" ht="15.75" customHeight="1" x14ac:dyDescent="0.3"/>
    <row r="102" spans="1:9" ht="15.75" customHeight="1" x14ac:dyDescent="0.3"/>
    <row r="103" spans="1:9" ht="15.75" customHeight="1" x14ac:dyDescent="0.3"/>
    <row r="104" spans="1:9" ht="15.75" customHeight="1" x14ac:dyDescent="0.3"/>
    <row r="105" spans="1:9" ht="15.75" customHeight="1" x14ac:dyDescent="0.3">
      <c r="F105" s="91"/>
      <c r="G105" s="91"/>
      <c r="H105" s="91"/>
      <c r="I105" s="91"/>
    </row>
    <row r="106" spans="1:9" ht="15.75" customHeight="1" x14ac:dyDescent="0.3">
      <c r="F106" s="105"/>
      <c r="G106" s="236"/>
      <c r="H106" s="237"/>
      <c r="I106" s="238"/>
    </row>
    <row r="107" spans="1:9" ht="15.6" x14ac:dyDescent="0.3">
      <c r="A107" s="180"/>
      <c r="B107" s="181"/>
      <c r="F107" s="105"/>
      <c r="G107" s="239"/>
      <c r="H107" s="235"/>
      <c r="I107" s="240"/>
    </row>
    <row r="108" spans="1:9" ht="15.75" customHeight="1" x14ac:dyDescent="0.3">
      <c r="A108" s="925"/>
      <c r="B108" s="181"/>
      <c r="F108" s="92"/>
      <c r="G108" s="102"/>
      <c r="H108" s="103"/>
      <c r="I108" s="104"/>
    </row>
    <row r="109" spans="1:9" ht="15.75" customHeight="1" x14ac:dyDescent="0.3">
      <c r="A109" s="925"/>
      <c r="B109" s="181"/>
      <c r="F109" s="92"/>
      <c r="G109" s="913" t="s">
        <v>28</v>
      </c>
      <c r="H109" s="914"/>
      <c r="I109" s="915"/>
    </row>
    <row r="110" spans="1:9" ht="15.75" customHeight="1" x14ac:dyDescent="0.3">
      <c r="A110" s="181"/>
      <c r="B110" s="181"/>
      <c r="G110" s="916" t="s">
        <v>243</v>
      </c>
      <c r="H110" s="917"/>
      <c r="I110" s="918"/>
    </row>
    <row r="111" spans="1:9" ht="15.75" customHeight="1" x14ac:dyDescent="0.3">
      <c r="A111" s="181"/>
      <c r="B111" s="181"/>
      <c r="G111" s="922" t="s">
        <v>268</v>
      </c>
      <c r="H111" s="923"/>
      <c r="I111" s="924"/>
    </row>
    <row r="112" spans="1:9" ht="15.75" customHeight="1" x14ac:dyDescent="0.3">
      <c r="A112" s="181"/>
      <c r="B112" s="181"/>
      <c r="G112" s="102"/>
      <c r="H112" s="103"/>
      <c r="I112" s="104"/>
    </row>
    <row r="113" spans="1:7" ht="15.75" customHeight="1" x14ac:dyDescent="0.3">
      <c r="A113" s="925"/>
      <c r="B113" s="181"/>
    </row>
    <row r="114" spans="1:7" x14ac:dyDescent="0.3">
      <c r="A114" s="925"/>
      <c r="B114" s="181"/>
    </row>
    <row r="115" spans="1:7" ht="15.75" customHeight="1" x14ac:dyDescent="0.3">
      <c r="A115" s="181"/>
      <c r="B115" s="181"/>
    </row>
    <row r="116" spans="1:7" ht="15.75" customHeight="1" x14ac:dyDescent="0.3"/>
    <row r="117" spans="1:7" ht="15.75" customHeight="1" x14ac:dyDescent="0.3"/>
    <row r="118" spans="1:7" ht="15.75" customHeight="1" thickBot="1" x14ac:dyDescent="0.35"/>
    <row r="119" spans="1:7" ht="15.75" customHeight="1" thickBot="1" x14ac:dyDescent="0.35">
      <c r="A119" s="246" t="s">
        <v>274</v>
      </c>
      <c r="B119" s="247" t="s">
        <v>275</v>
      </c>
      <c r="C119" s="247" t="s">
        <v>276</v>
      </c>
      <c r="D119" s="247" t="s">
        <v>277</v>
      </c>
      <c r="E119" s="248" t="s">
        <v>278</v>
      </c>
      <c r="F119" s="249" t="s">
        <v>279</v>
      </c>
      <c r="G119" s="250" t="s">
        <v>211</v>
      </c>
    </row>
    <row r="120" spans="1:7" ht="15.75" customHeight="1" thickBot="1" x14ac:dyDescent="0.35">
      <c r="A120" s="251" t="s">
        <v>280</v>
      </c>
      <c r="B120" s="926" t="s">
        <v>281</v>
      </c>
      <c r="C120" s="252" t="s">
        <v>282</v>
      </c>
      <c r="D120" s="253" t="s">
        <v>283</v>
      </c>
      <c r="E120" s="254" t="str">
        <f>CONCATENATE(A120," ",C120)</f>
        <v>CRÍTICA ALTA</v>
      </c>
      <c r="F120" s="255">
        <v>2</v>
      </c>
      <c r="G120" s="256">
        <f>F120*8</f>
        <v>16</v>
      </c>
    </row>
    <row r="121" spans="1:7" ht="15.75" customHeight="1" thickBot="1" x14ac:dyDescent="0.35">
      <c r="A121" s="257" t="s">
        <v>280</v>
      </c>
      <c r="B121" s="927"/>
      <c r="C121" s="252" t="s">
        <v>273</v>
      </c>
      <c r="D121" s="253" t="s">
        <v>284</v>
      </c>
      <c r="E121" s="254" t="str">
        <f t="shared" ref="E121:E128" si="2">CONCATENATE(A121," ",C121)</f>
        <v>CRÍTICA MEDIA</v>
      </c>
      <c r="F121" s="5">
        <v>1</v>
      </c>
      <c r="G121" s="256">
        <f t="shared" ref="G121:G128" si="3">F121*8</f>
        <v>8</v>
      </c>
    </row>
    <row r="122" spans="1:7" ht="15.75" customHeight="1" thickBot="1" x14ac:dyDescent="0.35">
      <c r="A122" s="257" t="s">
        <v>280</v>
      </c>
      <c r="B122" s="928"/>
      <c r="C122" s="252" t="s">
        <v>285</v>
      </c>
      <c r="D122" s="253" t="s">
        <v>286</v>
      </c>
      <c r="E122" s="254" t="str">
        <f t="shared" si="2"/>
        <v>CRÍTICA BAJA</v>
      </c>
      <c r="F122" s="5">
        <v>0.5</v>
      </c>
      <c r="G122" s="256">
        <f t="shared" si="3"/>
        <v>4</v>
      </c>
    </row>
    <row r="123" spans="1:7" ht="15.75" customHeight="1" thickBot="1" x14ac:dyDescent="0.35">
      <c r="A123" s="257" t="s">
        <v>273</v>
      </c>
      <c r="B123" s="926" t="s">
        <v>287</v>
      </c>
      <c r="C123" s="252" t="s">
        <v>282</v>
      </c>
      <c r="D123" s="253" t="s">
        <v>288</v>
      </c>
      <c r="E123" s="254" t="str">
        <f t="shared" si="2"/>
        <v>MEDIA ALTA</v>
      </c>
      <c r="F123" s="5">
        <v>10</v>
      </c>
      <c r="G123" s="256">
        <f t="shared" si="3"/>
        <v>80</v>
      </c>
    </row>
    <row r="124" spans="1:7" ht="15.75" customHeight="1" thickBot="1" x14ac:dyDescent="0.35">
      <c r="A124" s="257" t="s">
        <v>273</v>
      </c>
      <c r="B124" s="927"/>
      <c r="C124" s="252" t="s">
        <v>273</v>
      </c>
      <c r="D124" s="253" t="s">
        <v>289</v>
      </c>
      <c r="E124" s="254" t="str">
        <f t="shared" si="2"/>
        <v>MEDIA MEDIA</v>
      </c>
      <c r="F124" s="5">
        <v>8</v>
      </c>
      <c r="G124" s="256">
        <f t="shared" si="3"/>
        <v>64</v>
      </c>
    </row>
    <row r="125" spans="1:7" ht="15.75" customHeight="1" thickBot="1" x14ac:dyDescent="0.35">
      <c r="A125" s="257" t="s">
        <v>273</v>
      </c>
      <c r="B125" s="928"/>
      <c r="C125" s="252" t="s">
        <v>285</v>
      </c>
      <c r="D125" s="253" t="s">
        <v>290</v>
      </c>
      <c r="E125" s="254" t="str">
        <f t="shared" si="2"/>
        <v>MEDIA BAJA</v>
      </c>
      <c r="F125" s="5">
        <v>6</v>
      </c>
      <c r="G125" s="256">
        <f t="shared" si="3"/>
        <v>48</v>
      </c>
    </row>
    <row r="126" spans="1:7" ht="15.75" customHeight="1" thickBot="1" x14ac:dyDescent="0.35">
      <c r="A126" s="257" t="s">
        <v>285</v>
      </c>
      <c r="B126" s="926" t="s">
        <v>291</v>
      </c>
      <c r="C126" s="252" t="s">
        <v>282</v>
      </c>
      <c r="D126" s="253" t="s">
        <v>292</v>
      </c>
      <c r="E126" s="254" t="str">
        <f t="shared" si="2"/>
        <v>BAJA ALTA</v>
      </c>
      <c r="F126" s="5">
        <v>15</v>
      </c>
      <c r="G126" s="256">
        <f t="shared" si="3"/>
        <v>120</v>
      </c>
    </row>
    <row r="127" spans="1:7" ht="15.75" customHeight="1" thickBot="1" x14ac:dyDescent="0.35">
      <c r="A127" s="257" t="s">
        <v>285</v>
      </c>
      <c r="B127" s="927"/>
      <c r="C127" s="252" t="s">
        <v>273</v>
      </c>
      <c r="D127" s="253" t="s">
        <v>293</v>
      </c>
      <c r="E127" s="254" t="str">
        <f t="shared" si="2"/>
        <v>BAJA MEDIA</v>
      </c>
      <c r="F127" s="5">
        <v>12</v>
      </c>
      <c r="G127" s="256">
        <f t="shared" si="3"/>
        <v>96</v>
      </c>
    </row>
    <row r="128" spans="1:7" ht="15.75" customHeight="1" thickBot="1" x14ac:dyDescent="0.35">
      <c r="A128" s="258" t="s">
        <v>285</v>
      </c>
      <c r="B128" s="929"/>
      <c r="C128" s="259" t="s">
        <v>285</v>
      </c>
      <c r="D128" s="260" t="s">
        <v>288</v>
      </c>
      <c r="E128" s="261" t="str">
        <f t="shared" si="2"/>
        <v>BAJA BAJA</v>
      </c>
      <c r="F128" s="262">
        <v>10</v>
      </c>
      <c r="G128" s="263">
        <f t="shared" si="3"/>
        <v>80</v>
      </c>
    </row>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sheetData>
  <mergeCells count="17">
    <mergeCell ref="B120:B122"/>
    <mergeCell ref="B123:B125"/>
    <mergeCell ref="B126:B128"/>
    <mergeCell ref="A60:A70"/>
    <mergeCell ref="A2:A5"/>
    <mergeCell ref="A6:A17"/>
    <mergeCell ref="A19:A24"/>
    <mergeCell ref="A26:A33"/>
    <mergeCell ref="A34:A59"/>
    <mergeCell ref="A96:A98"/>
    <mergeCell ref="A71:A72"/>
    <mergeCell ref="A76:A95"/>
    <mergeCell ref="G109:I109"/>
    <mergeCell ref="G110:I110"/>
    <mergeCell ref="G111:I111"/>
    <mergeCell ref="A108:A109"/>
    <mergeCell ref="A113:A11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36"/>
  <sheetViews>
    <sheetView zoomScale="90" zoomScaleNormal="90" workbookViewId="0">
      <pane ySplit="3" topLeftCell="A10" activePane="bottomLeft" state="frozen"/>
      <selection activeCell="B1" sqref="B1"/>
      <selection pane="bottomLeft" activeCell="J25" sqref="J25:J29"/>
    </sheetView>
  </sheetViews>
  <sheetFormatPr baseColWidth="10" defaultRowHeight="14.4" x14ac:dyDescent="0.3"/>
  <cols>
    <col min="2" max="2" width="41" customWidth="1"/>
    <col min="3" max="3" width="45.33203125" bestFit="1" customWidth="1"/>
    <col min="4" max="4" width="13.6640625" style="275" bestFit="1" customWidth="1"/>
    <col min="5" max="7" width="15.77734375" style="275" customWidth="1"/>
    <col min="8" max="8" width="4.44140625" customWidth="1"/>
    <col min="9" max="9" width="3.77734375" customWidth="1"/>
    <col min="10" max="10" width="10.77734375" bestFit="1" customWidth="1"/>
    <col min="11" max="11" width="3.77734375" customWidth="1"/>
    <col min="12" max="12" width="3.21875" customWidth="1"/>
    <col min="13" max="14" width="4.21875" customWidth="1"/>
    <col min="15" max="15" width="3.77734375" customWidth="1"/>
    <col min="16" max="16" width="4.21875" customWidth="1"/>
    <col min="17" max="235" width="10.77734375" customWidth="1"/>
    <col min="236" max="236" width="11" customWidth="1"/>
    <col min="237" max="237" width="12.5546875" bestFit="1" customWidth="1"/>
  </cols>
  <sheetData>
    <row r="1" spans="1:10" x14ac:dyDescent="0.3">
      <c r="B1" s="22" t="s">
        <v>1</v>
      </c>
      <c r="C1" t="s">
        <v>204</v>
      </c>
    </row>
    <row r="3" spans="1:10" s="31" customFormat="1" ht="48" customHeight="1" x14ac:dyDescent="0.3">
      <c r="B3" s="39" t="s">
        <v>13</v>
      </c>
      <c r="C3" s="39" t="s">
        <v>14</v>
      </c>
      <c r="D3" s="273" t="s">
        <v>298</v>
      </c>
      <c r="E3" s="274" t="s">
        <v>299</v>
      </c>
      <c r="F3" s="274" t="s">
        <v>300</v>
      </c>
      <c r="G3" s="274" t="s">
        <v>301</v>
      </c>
      <c r="J3" s="288" t="s">
        <v>633</v>
      </c>
    </row>
    <row r="4" spans="1:10" x14ac:dyDescent="0.3">
      <c r="B4" t="s">
        <v>105</v>
      </c>
      <c r="C4" t="s">
        <v>105</v>
      </c>
      <c r="E4" s="275" t="str">
        <f>IFERROR(WORKDAY.INTL($D4,-5,1,'Datos Recursos'!$J$4:$J$36),"")</f>
        <v/>
      </c>
      <c r="F4" s="275" t="str">
        <f>IFERROR(WORKDAY.INTL($D4,-2,1,'Datos Recursos'!$J$4:$J$36),"")</f>
        <v/>
      </c>
      <c r="G4" s="275">
        <f>IFERROR(WORKDAY.INTL($D4,25,1,'Datos Recursos'!$J$4:$J$36),"")</f>
        <v>34</v>
      </c>
      <c r="J4" s="16">
        <v>44963</v>
      </c>
    </row>
    <row r="5" spans="1:10" x14ac:dyDescent="0.3">
      <c r="A5">
        <v>2</v>
      </c>
      <c r="B5" t="s">
        <v>295</v>
      </c>
      <c r="C5" t="s">
        <v>40</v>
      </c>
      <c r="D5" s="275">
        <v>44928</v>
      </c>
      <c r="E5" s="289">
        <f>IFERROR(WORKDAY.INTL($D5,-5,1,'Datos Recursos'!$J$4:$J$36),"")</f>
        <v>44921</v>
      </c>
      <c r="F5" s="289">
        <f>IFERROR(WORKDAY.INTL($D5,-2,1,'Datos Recursos'!$J$4:$J$36),"")</f>
        <v>44924</v>
      </c>
      <c r="G5" s="275">
        <f>IFERROR(WORKDAY.INTL($D5,25,1,'Datos Recursos'!$J$4:$J$36),"")</f>
        <v>44964</v>
      </c>
      <c r="J5" s="16">
        <v>45005</v>
      </c>
    </row>
    <row r="6" spans="1:10" x14ac:dyDescent="0.3">
      <c r="A6">
        <v>3</v>
      </c>
      <c r="B6" t="s">
        <v>294</v>
      </c>
      <c r="C6" t="s">
        <v>40</v>
      </c>
      <c r="D6" s="275">
        <v>44928</v>
      </c>
      <c r="E6" s="289">
        <f>IFERROR(WORKDAY.INTL($D6,-5,1,'Datos Recursos'!$J$4:$J$36),"")</f>
        <v>44921</v>
      </c>
      <c r="F6" s="289">
        <f>IFERROR(WORKDAY.INTL($D6,-2,1,'Datos Recursos'!$J$4:$J$36),"")</f>
        <v>44924</v>
      </c>
      <c r="G6" s="275">
        <f>IFERROR(WORKDAY.INTL($D6,25,1,'Datos Recursos'!$J$4:$J$36),"")</f>
        <v>44964</v>
      </c>
      <c r="J6" s="16">
        <v>45019</v>
      </c>
    </row>
    <row r="7" spans="1:10" x14ac:dyDescent="0.3">
      <c r="A7">
        <v>1</v>
      </c>
      <c r="B7" t="s">
        <v>297</v>
      </c>
      <c r="C7" t="s">
        <v>40</v>
      </c>
      <c r="D7" s="275">
        <v>44928</v>
      </c>
      <c r="E7" s="289">
        <f>IFERROR(WORKDAY.INTL($D7,-5,1,'Datos Recursos'!$J$4:$J$36),"")</f>
        <v>44921</v>
      </c>
      <c r="F7" s="289">
        <f>IFERROR(WORKDAY.INTL($D7,-2,1,'Datos Recursos'!$J$4:$J$36),"")</f>
        <v>44924</v>
      </c>
      <c r="G7" s="275">
        <f>IFERROR(WORKDAY.INTL($D7,25,1,'Datos Recursos'!$J$4:$J$36),"")</f>
        <v>44964</v>
      </c>
      <c r="J7" s="16">
        <v>45020</v>
      </c>
    </row>
    <row r="8" spans="1:10" x14ac:dyDescent="0.3">
      <c r="A8">
        <v>4</v>
      </c>
      <c r="B8" t="s">
        <v>208</v>
      </c>
      <c r="C8" t="s">
        <v>40</v>
      </c>
      <c r="D8" s="275">
        <v>44935</v>
      </c>
      <c r="E8" s="289">
        <f>IFERROR(WORKDAY.INTL($D8,-5,1,'Datos Recursos'!$J$4:$J$36),"")</f>
        <v>44928</v>
      </c>
      <c r="F8" s="289">
        <f>IFERROR(WORKDAY.INTL($D8,-2,1,'Datos Recursos'!$J$4:$J$36),"")</f>
        <v>44931</v>
      </c>
      <c r="G8" s="275">
        <f>IFERROR(WORKDAY.INTL($D8,25,1,'Datos Recursos'!$J$4:$J$36),"")</f>
        <v>44971</v>
      </c>
      <c r="J8" s="16">
        <v>45021</v>
      </c>
    </row>
    <row r="9" spans="1:10" x14ac:dyDescent="0.3">
      <c r="A9">
        <v>5</v>
      </c>
      <c r="B9" t="s">
        <v>258</v>
      </c>
      <c r="C9" t="s">
        <v>81</v>
      </c>
      <c r="D9" s="275">
        <v>44935</v>
      </c>
      <c r="E9" s="289">
        <f>IFERROR(WORKDAY.INTL($D9,-5,1,'Datos Recursos'!$J$4:$J$36),"")</f>
        <v>44928</v>
      </c>
      <c r="F9" s="289">
        <f>IFERROR(WORKDAY.INTL($D9,-2,1,'Datos Recursos'!$J$4:$J$36),"")</f>
        <v>44931</v>
      </c>
      <c r="G9" s="275">
        <f>IFERROR(WORKDAY.INTL($D9,25,1,'Datos Recursos'!$J$4:$J$36),"")</f>
        <v>44971</v>
      </c>
      <c r="J9" s="16">
        <v>45022</v>
      </c>
    </row>
    <row r="10" spans="1:10" x14ac:dyDescent="0.3">
      <c r="A10">
        <v>6</v>
      </c>
      <c r="B10" t="s">
        <v>264</v>
      </c>
      <c r="C10" t="s">
        <v>40</v>
      </c>
      <c r="D10" s="275">
        <v>44938</v>
      </c>
      <c r="E10" s="289">
        <f>IFERROR(WORKDAY.INTL($D10,-5,1,'Datos Recursos'!$J$4:$J$36),"")</f>
        <v>44931</v>
      </c>
      <c r="F10" s="289">
        <f>IFERROR(WORKDAY.INTL($D10,-2,1,'Datos Recursos'!$J$4:$J$36),"")</f>
        <v>44936</v>
      </c>
      <c r="G10" s="275">
        <f>IFERROR(WORKDAY.INTL($D10,25,1,'Datos Recursos'!$J$4:$J$36),"")</f>
        <v>44974</v>
      </c>
      <c r="J10" s="16">
        <v>45023</v>
      </c>
    </row>
    <row r="11" spans="1:10" x14ac:dyDescent="0.3">
      <c r="A11">
        <v>7</v>
      </c>
      <c r="B11" t="s">
        <v>101</v>
      </c>
      <c r="C11" t="s">
        <v>83</v>
      </c>
      <c r="D11" s="275">
        <v>44956</v>
      </c>
      <c r="E11" s="275">
        <f>IFERROR(WORKDAY.INTL($D11,-5,1,'Datos Recursos'!$J$4:$J$36),"")</f>
        <v>44949</v>
      </c>
      <c r="F11" s="275">
        <f>IFERROR(WORKDAY.INTL($D11,-2,1,'Datos Recursos'!$J$4:$J$36),"")</f>
        <v>44952</v>
      </c>
      <c r="G11" s="275">
        <f>IFERROR(WORKDAY.INTL($D11,25,1,'Datos Recursos'!$J$4:$J$36),"")</f>
        <v>44992</v>
      </c>
      <c r="J11" s="16">
        <v>45047</v>
      </c>
    </row>
    <row r="12" spans="1:10" x14ac:dyDescent="0.3">
      <c r="A12">
        <v>8</v>
      </c>
      <c r="B12" t="s">
        <v>558</v>
      </c>
      <c r="C12" t="s">
        <v>263</v>
      </c>
      <c r="D12" s="275">
        <v>44958</v>
      </c>
      <c r="E12" s="275">
        <f>IFERROR(WORKDAY.INTL($D12,-5,1,'Datos Recursos'!$J$4:$J$36),"")</f>
        <v>44951</v>
      </c>
      <c r="F12" s="275">
        <f>IFERROR(WORKDAY.INTL($D12,-2,1,'Datos Recursos'!$J$4:$J$36),"")</f>
        <v>44956</v>
      </c>
      <c r="G12" s="275">
        <f>IFERROR(WORKDAY.INTL($D12,25,1,'Datos Recursos'!$J$4:$J$36),"")</f>
        <v>44994</v>
      </c>
      <c r="J12" s="16">
        <v>45051</v>
      </c>
    </row>
    <row r="13" spans="1:10" x14ac:dyDescent="0.3">
      <c r="A13">
        <v>9</v>
      </c>
      <c r="B13" t="s">
        <v>548</v>
      </c>
      <c r="C13" t="s">
        <v>38</v>
      </c>
      <c r="D13" s="275">
        <v>44958</v>
      </c>
      <c r="E13" s="275">
        <f>IFERROR(WORKDAY.INTL($D13,-5,1,'Datos Recursos'!$J$4:$J$36),"")</f>
        <v>44951</v>
      </c>
      <c r="F13" s="275">
        <f>IFERROR(WORKDAY.INTL($D13,-2,1,'Datos Recursos'!$J$4:$J$36),"")</f>
        <v>44956</v>
      </c>
      <c r="G13" s="275">
        <f>IFERROR(WORKDAY.INTL($D13,25,1,'Datos Recursos'!$J$4:$J$36),"")</f>
        <v>44994</v>
      </c>
      <c r="J13" s="16">
        <v>45124</v>
      </c>
    </row>
    <row r="14" spans="1:10" x14ac:dyDescent="0.3">
      <c r="A14">
        <v>10</v>
      </c>
      <c r="B14" s="35" t="s">
        <v>629</v>
      </c>
      <c r="C14" t="s">
        <v>302</v>
      </c>
      <c r="D14" s="275">
        <v>44977</v>
      </c>
      <c r="E14" s="275">
        <f>IFERROR(WORKDAY.INTL($D14,-5,1,'Datos Recursos'!$J$4:$J$36),"")</f>
        <v>44970</v>
      </c>
      <c r="F14" s="275">
        <f>IFERROR(WORKDAY.INTL($D14,-2,1,'Datos Recursos'!$J$4:$J$36),"")</f>
        <v>44973</v>
      </c>
      <c r="G14" s="275">
        <f>IFERROR(WORKDAY.INTL($D14,25,1,'Datos Recursos'!$J$4:$J$36),"")</f>
        <v>45013</v>
      </c>
      <c r="J14" s="16">
        <v>45125</v>
      </c>
    </row>
    <row r="15" spans="1:10" x14ac:dyDescent="0.3">
      <c r="A15">
        <v>11</v>
      </c>
      <c r="B15" t="s">
        <v>541</v>
      </c>
      <c r="C15" t="s">
        <v>40</v>
      </c>
      <c r="D15" s="275">
        <v>44985</v>
      </c>
      <c r="E15" s="275">
        <f>IFERROR(WORKDAY.INTL($D15,-5,1,'Datos Recursos'!$J$4:$J$36),"")</f>
        <v>44978</v>
      </c>
      <c r="F15" s="275">
        <f>IFERROR(WORKDAY.INTL($D15,-2,1,'Datos Recursos'!$J$4:$J$36),"")</f>
        <v>44981</v>
      </c>
      <c r="G15" s="275">
        <f>IFERROR(WORKDAY.INTL($D15,25,1,'Datos Recursos'!$J$4:$J$36),"")</f>
        <v>45028</v>
      </c>
      <c r="J15" s="16">
        <v>45126</v>
      </c>
    </row>
    <row r="16" spans="1:10" x14ac:dyDescent="0.3">
      <c r="A16">
        <v>12</v>
      </c>
      <c r="B16" t="s">
        <v>1120</v>
      </c>
      <c r="C16" t="s">
        <v>40</v>
      </c>
      <c r="D16" s="275">
        <v>45026</v>
      </c>
      <c r="E16" s="351">
        <f>IFERROR(WORKDAY.INTL($D16,-5,1,'Datos Recursos'!$J$4:$J$36),"")</f>
        <v>45012</v>
      </c>
      <c r="F16" s="289">
        <f>IFERROR(WORKDAY.INTL($D16,-2,1,'Datos Recursos'!$J$4:$J$36),"")</f>
        <v>45015</v>
      </c>
      <c r="G16" s="352">
        <f>IFERROR(WORKDAY.INTL($D16,25,1,'Datos Recursos'!$J$4:$J$36),"")</f>
        <v>45063</v>
      </c>
      <c r="J16" s="16">
        <v>45127</v>
      </c>
    </row>
    <row r="17" spans="1:10" x14ac:dyDescent="0.3">
      <c r="A17">
        <v>13</v>
      </c>
      <c r="B17" t="s">
        <v>1442</v>
      </c>
      <c r="C17" t="s">
        <v>79</v>
      </c>
      <c r="D17" s="275">
        <v>45093</v>
      </c>
      <c r="E17" s="351">
        <f>IFERROR(WORKDAY.INTL($D17,-5,1,'Datos Recursos'!$J$4:$J$36),"")</f>
        <v>45086</v>
      </c>
      <c r="F17" s="289">
        <f>IFERROR(WORKDAY.INTL($D17,-2,1,'Datos Recursos'!$J$4:$J$36),"")</f>
        <v>45091</v>
      </c>
      <c r="G17" s="275">
        <f>IFERROR(WORKDAY.INTL($D17,25,1,'Datos Recursos'!$J$4:$J$36),"")</f>
        <v>45142</v>
      </c>
      <c r="J17" s="16">
        <v>45128</v>
      </c>
    </row>
    <row r="18" spans="1:10" x14ac:dyDescent="0.3">
      <c r="A18">
        <v>14</v>
      </c>
      <c r="B18" t="s">
        <v>1441</v>
      </c>
      <c r="C18" t="s">
        <v>95</v>
      </c>
      <c r="D18" s="275">
        <v>45103</v>
      </c>
      <c r="E18" s="351">
        <f>IFERROR(WORKDAY.INTL($D18,-5,1,'Datos Recursos'!$J$4:$J$36),"")</f>
        <v>45096</v>
      </c>
      <c r="F18" s="289">
        <f>IFERROR(WORKDAY.INTL($D18,-2,1,'Datos Recursos'!$J$4:$J$36),"")</f>
        <v>45099</v>
      </c>
      <c r="G18" s="275">
        <f>IFERROR(WORKDAY.INTL($D18,25,1,'Datos Recursos'!$J$4:$J$36),"")</f>
        <v>45152</v>
      </c>
      <c r="J18" s="16">
        <v>45131</v>
      </c>
    </row>
    <row r="19" spans="1:10" x14ac:dyDescent="0.3">
      <c r="A19">
        <v>15</v>
      </c>
      <c r="B19" t="s">
        <v>2415</v>
      </c>
      <c r="C19" t="s">
        <v>40</v>
      </c>
      <c r="D19" s="275">
        <v>45154</v>
      </c>
      <c r="E19" s="351">
        <f>IFERROR(WORKDAY.INTL($D19,-5,1,'Datos Recursos'!$J$4:$J$36),"")</f>
        <v>45147</v>
      </c>
      <c r="F19" s="289">
        <f>IFERROR(WORKDAY.INTL($D19,-2,1,'Datos Recursos'!$J$4:$J$36),"")</f>
        <v>45152</v>
      </c>
      <c r="G19" s="275">
        <f>IFERROR(WORKDAY.INTL($D19,25,1,'Datos Recursos'!$J$4:$J$36),"")</f>
        <v>45189</v>
      </c>
      <c r="J19" s="16">
        <v>45132</v>
      </c>
    </row>
    <row r="20" spans="1:10" x14ac:dyDescent="0.3">
      <c r="A20">
        <v>16</v>
      </c>
      <c r="B20" t="s">
        <v>2649</v>
      </c>
      <c r="C20" t="s">
        <v>81</v>
      </c>
      <c r="D20" s="275">
        <v>45173</v>
      </c>
      <c r="E20" s="351">
        <f>IFERROR(WORKDAY.INTL($D20,-5,1,'Datos Recursos'!$J$4:$J$36),"")</f>
        <v>45166</v>
      </c>
      <c r="F20" s="289">
        <f>IFERROR(WORKDAY.INTL($D20,-2,1,'Datos Recursos'!$J$4:$J$36),"")</f>
        <v>45169</v>
      </c>
      <c r="G20" s="275">
        <f>IFERROR(WORKDAY.INTL($D20,25,1,'Datos Recursos'!$J$4:$J$36),"")</f>
        <v>45208</v>
      </c>
      <c r="J20" s="16">
        <v>45133</v>
      </c>
    </row>
    <row r="21" spans="1:10" ht="15" customHeight="1" x14ac:dyDescent="0.3">
      <c r="B21" s="35" t="s">
        <v>28</v>
      </c>
      <c r="C21" s="973" t="s">
        <v>78</v>
      </c>
      <c r="D21" s="972">
        <v>45204</v>
      </c>
      <c r="E21" s="275">
        <f>IFERROR(WORKDAY.INTL($D21,-5,1,'Datos Recursos'!$J$4:$J$36),"")</f>
        <v>45197</v>
      </c>
      <c r="F21" s="275">
        <f>IFERROR(WORKDAY.INTL($D21,-2,1,'Datos Recursos'!$J$4:$J$36),"")</f>
        <v>45202</v>
      </c>
      <c r="G21" s="275">
        <f>IFERROR(WORKDAY.INTL($D21,25,1,'Datos Recursos'!$J$4:$J$36),"")</f>
        <v>45240</v>
      </c>
      <c r="J21" s="16">
        <v>45134</v>
      </c>
    </row>
    <row r="22" spans="1:10" x14ac:dyDescent="0.3">
      <c r="A22">
        <v>17</v>
      </c>
      <c r="B22" t="s">
        <v>5374</v>
      </c>
      <c r="C22" t="s">
        <v>37</v>
      </c>
      <c r="D22" s="275">
        <v>45208</v>
      </c>
      <c r="E22" s="351">
        <f>IFERROR(WORKDAY.INTL($D22,-5,1,'Datos Recursos'!$J$4:$J$36),"")</f>
        <v>45201</v>
      </c>
      <c r="F22" s="289">
        <f>IFERROR(WORKDAY.INTL($D22,-2,1,'Datos Recursos'!$J$4:$J$36),"")</f>
        <v>45204</v>
      </c>
      <c r="G22" s="352">
        <f>IFERROR(WORKDAY.INTL($D22,25,1,'Datos Recursos'!$J$4:$J$36),"")</f>
        <v>45244</v>
      </c>
      <c r="J22" s="16">
        <v>45135</v>
      </c>
    </row>
    <row r="23" spans="1:10" x14ac:dyDescent="0.3">
      <c r="A23">
        <v>18</v>
      </c>
      <c r="B23" s="35" t="s">
        <v>4138</v>
      </c>
      <c r="C23" t="s">
        <v>80</v>
      </c>
      <c r="D23" s="972">
        <v>45208</v>
      </c>
      <c r="E23" s="351">
        <f>IFERROR(WORKDAY.INTL($D23,-5,1,'Datos Recursos'!$J$4:$J$36),"")</f>
        <v>45201</v>
      </c>
      <c r="F23" s="289">
        <f>IFERROR(WORKDAY.INTL($D23,-2,1,'Datos Recursos'!$J$4:$J$36),"")</f>
        <v>45204</v>
      </c>
      <c r="G23" s="352">
        <f>IFERROR(WORKDAY.INTL($D23,25,1,'Datos Recursos'!$J$4:$J$36),"")</f>
        <v>45244</v>
      </c>
      <c r="J23" s="16">
        <v>45232</v>
      </c>
    </row>
    <row r="24" spans="1:10" x14ac:dyDescent="0.3">
      <c r="A24">
        <v>19</v>
      </c>
      <c r="B24" s="973" t="s">
        <v>3434</v>
      </c>
      <c r="C24" t="s">
        <v>40</v>
      </c>
      <c r="D24" s="275">
        <v>45215</v>
      </c>
      <c r="E24" s="351">
        <f>IFERROR(WORKDAY.INTL($D24,-5,1,'Datos Recursos'!$J$4:$J$36),"")</f>
        <v>45208</v>
      </c>
      <c r="F24" s="289">
        <f>IFERROR(WORKDAY.INTL($D24,-2,1,'Datos Recursos'!$J$4:$J$36),"")</f>
        <v>45211</v>
      </c>
      <c r="G24" s="352">
        <f>IFERROR(WORKDAY.INTL($D24,25,1,'Datos Recursos'!$J$4:$J$36),"")</f>
        <v>45252</v>
      </c>
      <c r="J24" s="16">
        <v>45250</v>
      </c>
    </row>
    <row r="25" spans="1:10" x14ac:dyDescent="0.3">
      <c r="A25">
        <v>20</v>
      </c>
      <c r="B25" s="35" t="s">
        <v>4175</v>
      </c>
      <c r="C25" t="s">
        <v>81</v>
      </c>
      <c r="D25" s="275">
        <v>45225</v>
      </c>
      <c r="E25" s="351">
        <f>IFERROR(WORKDAY.INTL($D25,-5,1,'Datos Recursos'!$J$4:$J$36),"")</f>
        <v>45218</v>
      </c>
      <c r="F25" s="289">
        <f>IFERROR(WORKDAY.INTL($D25,-2,1,'Datos Recursos'!$J$4:$J$36),"")</f>
        <v>45223</v>
      </c>
      <c r="G25" s="352">
        <f>IFERROR(WORKDAY.INTL($D25,25,1,'Datos Recursos'!$J$4:$J$36),"")</f>
        <v>45264</v>
      </c>
      <c r="J25" s="16">
        <v>45281</v>
      </c>
    </row>
    <row r="26" spans="1:10" x14ac:dyDescent="0.3">
      <c r="A26">
        <v>22</v>
      </c>
      <c r="B26" t="s">
        <v>4257</v>
      </c>
      <c r="C26" t="s">
        <v>40</v>
      </c>
      <c r="D26" s="275">
        <v>45231</v>
      </c>
      <c r="E26" s="351">
        <f>IFERROR(WORKDAY.INTL($D26,-5,1,'Datos Recursos'!$J$4:$J$36),"")</f>
        <v>45224</v>
      </c>
      <c r="F26" s="289">
        <f>IFERROR(WORKDAY.INTL($D26,-2,1,'Datos Recursos'!$J$4:$J$36),"")</f>
        <v>45229</v>
      </c>
      <c r="G26" s="352">
        <f>IFERROR(WORKDAY.INTL($D26,25,1,'Datos Recursos'!$J$4:$J$36),"")</f>
        <v>45268</v>
      </c>
      <c r="J26" s="16">
        <v>45282</v>
      </c>
    </row>
    <row r="27" spans="1:10" x14ac:dyDescent="0.3">
      <c r="A27">
        <v>24</v>
      </c>
      <c r="B27" t="s">
        <v>5376</v>
      </c>
      <c r="C27" t="s">
        <v>40</v>
      </c>
      <c r="D27" s="275">
        <v>45231</v>
      </c>
      <c r="E27" s="351">
        <f>IFERROR(WORKDAY.INTL($D27,-5,1,'Datos Recursos'!$J$4:$J$36),"")</f>
        <v>45224</v>
      </c>
      <c r="F27" s="289">
        <f>IFERROR(WORKDAY.INTL($D27,-2,1,'Datos Recursos'!$J$4:$J$36),"")</f>
        <v>45229</v>
      </c>
      <c r="G27" s="352">
        <f>IFERROR(WORKDAY.INTL($D27,25,1,'Datos Recursos'!$J$4:$J$36),"")</f>
        <v>45268</v>
      </c>
      <c r="J27" s="16">
        <v>45285</v>
      </c>
    </row>
    <row r="28" spans="1:10" x14ac:dyDescent="0.3">
      <c r="A28">
        <v>21</v>
      </c>
      <c r="B28" t="s">
        <v>4258</v>
      </c>
      <c r="C28" t="s">
        <v>40</v>
      </c>
      <c r="D28" s="275">
        <v>45231</v>
      </c>
      <c r="E28" s="275">
        <f>IFERROR(WORKDAY.INTL($D28,-5,1,'Datos Recursos'!$J$4:$J$36),"")</f>
        <v>45224</v>
      </c>
      <c r="F28" s="275">
        <f>IFERROR(WORKDAY.INTL($D28,-2,1,'Datos Recursos'!$J$4:$J$36),"")</f>
        <v>45229</v>
      </c>
      <c r="G28" s="275">
        <f>IFERROR(WORKDAY.INTL($D28,25,1,'Datos Recursos'!$J$4:$J$36),"")</f>
        <v>45268</v>
      </c>
      <c r="J28" s="16">
        <v>45286</v>
      </c>
    </row>
    <row r="29" spans="1:10" x14ac:dyDescent="0.3">
      <c r="A29">
        <v>23</v>
      </c>
      <c r="B29" t="s">
        <v>5375</v>
      </c>
      <c r="C29" t="s">
        <v>40</v>
      </c>
      <c r="D29" s="275">
        <v>45231</v>
      </c>
      <c r="E29" s="275">
        <f>IFERROR(WORKDAY.INTL($D29,-5,1,'Datos Recursos'!$J$4:$J$36),"")</f>
        <v>45224</v>
      </c>
      <c r="F29" s="275">
        <f>IFERROR(WORKDAY.INTL($D29,-2,1,'Datos Recursos'!$J$4:$J$36),"")</f>
        <v>45229</v>
      </c>
      <c r="G29" s="275">
        <f>IFERROR(WORKDAY.INTL($D29,25,1,'Datos Recursos'!$J$4:$J$36),"")</f>
        <v>45268</v>
      </c>
      <c r="J29" s="16">
        <v>45287</v>
      </c>
    </row>
    <row r="30" spans="1:10" x14ac:dyDescent="0.3">
      <c r="D30"/>
      <c r="E30" s="275" t="str">
        <f>IFERROR(WORKDAY.INTL($D30,-5,1,'Datos Recursos'!$J$4:$J$36),"")</f>
        <v/>
      </c>
      <c r="F30" s="275" t="str">
        <f>IFERROR(WORKDAY.INTL($D30,-2,1,'Datos Recursos'!$J$4:$J$36),"")</f>
        <v/>
      </c>
      <c r="G30" s="275">
        <f>IFERROR(WORKDAY.INTL($D30,25,1,'Datos Recursos'!$J$4:$J$36),"")</f>
        <v>34</v>
      </c>
      <c r="J30" s="16">
        <v>45288</v>
      </c>
    </row>
    <row r="31" spans="1:10" x14ac:dyDescent="0.3">
      <c r="D31"/>
      <c r="E31" s="275" t="str">
        <f>IFERROR(WORKDAY.INTL($D31,-5,1,'Datos Recursos'!$J$4:$J$36),"")</f>
        <v/>
      </c>
      <c r="F31" s="275" t="str">
        <f>IFERROR(WORKDAY.INTL($D31,-2,1,'Datos Recursos'!$J$4:$J$36),"")</f>
        <v/>
      </c>
      <c r="G31" s="275">
        <f>IFERROR(WORKDAY.INTL($D31,25,1,'Datos Recursos'!$J$4:$J$36),"")</f>
        <v>34</v>
      </c>
      <c r="J31" s="16">
        <v>45289</v>
      </c>
    </row>
    <row r="32" spans="1:10" x14ac:dyDescent="0.3">
      <c r="D32"/>
      <c r="E32" s="275" t="str">
        <f>IFERROR(WORKDAY.INTL($D32,-5,1,'Datos Recursos'!$J$4:$J$36),"")</f>
        <v/>
      </c>
      <c r="F32" s="275" t="str">
        <f>IFERROR(WORKDAY.INTL($D32,-2,1,'Datos Recursos'!$J$4:$J$36),"")</f>
        <v/>
      </c>
      <c r="G32" s="275">
        <f>IFERROR(WORKDAY.INTL($D32,25,1,'Datos Recursos'!$J$4:$J$36),"")</f>
        <v>34</v>
      </c>
    </row>
    <row r="33" spans="4:10" x14ac:dyDescent="0.3">
      <c r="D33"/>
    </row>
    <row r="34" spans="4:10" x14ac:dyDescent="0.3">
      <c r="J34" s="16"/>
    </row>
    <row r="35" spans="4:10" x14ac:dyDescent="0.3">
      <c r="J35" s="16"/>
    </row>
    <row r="36" spans="4:10" x14ac:dyDescent="0.3">
      <c r="J36" s="16"/>
    </row>
  </sheetData>
  <pageMargins left="0.7" right="0.7" top="0.75" bottom="0.75" header="0.3" footer="0.3"/>
  <pageSetup paperSize="9" scale="87"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57636-BE33-45A8-8794-72864170F40B}">
  <dimension ref="B1:G35"/>
  <sheetViews>
    <sheetView topLeftCell="A24" workbookViewId="0">
      <selection activeCell="D31" sqref="D31"/>
    </sheetView>
  </sheetViews>
  <sheetFormatPr baseColWidth="10" defaultRowHeight="14.4" x14ac:dyDescent="0.3"/>
  <cols>
    <col min="2" max="3" width="38.33203125" bestFit="1" customWidth="1"/>
    <col min="4" max="4" width="14.77734375" bestFit="1" customWidth="1"/>
    <col min="5" max="6" width="16.88671875" bestFit="1" customWidth="1"/>
    <col min="7" max="7" width="22.88671875" customWidth="1"/>
    <col min="8" max="9" width="3.77734375" bestFit="1" customWidth="1"/>
    <col min="10" max="10" width="11.77734375" bestFit="1" customWidth="1"/>
  </cols>
  <sheetData>
    <row r="1" spans="2:7" x14ac:dyDescent="0.3">
      <c r="B1" s="37" t="s">
        <v>5398</v>
      </c>
    </row>
    <row r="3" spans="2:7" s="323" customFormat="1" x14ac:dyDescent="0.3">
      <c r="B3" s="6" t="s">
        <v>3296</v>
      </c>
      <c r="C3" s="6" t="s">
        <v>3297</v>
      </c>
      <c r="D3" s="6" t="s">
        <v>3298</v>
      </c>
      <c r="E3" s="6" t="s">
        <v>3303</v>
      </c>
      <c r="F3" s="6" t="s">
        <v>112</v>
      </c>
      <c r="G3" s="6" t="s">
        <v>3304</v>
      </c>
    </row>
    <row r="4" spans="2:7" x14ac:dyDescent="0.3">
      <c r="B4" s="324" t="s">
        <v>3299</v>
      </c>
      <c r="C4" s="324" t="s">
        <v>36</v>
      </c>
      <c r="D4" s="325">
        <v>82</v>
      </c>
      <c r="E4" s="266">
        <f>VLOOKUP(Ampliación!C4,Catalogos!B$75:D$95,3,FALSE)</f>
        <v>600</v>
      </c>
      <c r="F4" s="266">
        <f>D4*E4</f>
        <v>49200</v>
      </c>
      <c r="G4" s="213">
        <f>F4*1.16</f>
        <v>57071.999999999993</v>
      </c>
    </row>
    <row r="5" spans="2:7" x14ac:dyDescent="0.3">
      <c r="B5" s="324" t="s">
        <v>3299</v>
      </c>
      <c r="C5" s="324" t="s">
        <v>244</v>
      </c>
      <c r="D5" s="325">
        <v>136</v>
      </c>
      <c r="E5" s="266">
        <f>VLOOKUP(Ampliación!C5,Catalogos!B$75:D$95,3,FALSE)</f>
        <v>450</v>
      </c>
      <c r="F5" s="266">
        <f t="shared" ref="F5:F11" si="0">D5*E5</f>
        <v>61200</v>
      </c>
      <c r="G5" s="213">
        <f t="shared" ref="G5:G11" si="1">F5*1.16</f>
        <v>70992</v>
      </c>
    </row>
    <row r="6" spans="2:7" x14ac:dyDescent="0.3">
      <c r="B6" s="324" t="s">
        <v>3299</v>
      </c>
      <c r="C6" s="324" t="s">
        <v>40</v>
      </c>
      <c r="D6" s="325">
        <v>476</v>
      </c>
      <c r="E6" s="266">
        <f>VLOOKUP(Ampliación!C6,Catalogos!B$75:D$95,3,FALSE)</f>
        <v>700</v>
      </c>
      <c r="F6" s="266">
        <f t="shared" si="0"/>
        <v>333200</v>
      </c>
      <c r="G6" s="213">
        <f t="shared" si="1"/>
        <v>386512</v>
      </c>
    </row>
    <row r="7" spans="2:7" x14ac:dyDescent="0.3">
      <c r="B7" s="324" t="s">
        <v>3299</v>
      </c>
      <c r="C7" s="324" t="s">
        <v>302</v>
      </c>
      <c r="D7" s="325">
        <v>160</v>
      </c>
      <c r="E7" s="266">
        <f>VLOOKUP(Ampliación!C7,Catalogos!B$75:D$95,3,FALSE)</f>
        <v>800</v>
      </c>
      <c r="F7" s="266">
        <f t="shared" si="0"/>
        <v>128000</v>
      </c>
      <c r="G7" s="213">
        <f t="shared" si="1"/>
        <v>148480</v>
      </c>
    </row>
    <row r="8" spans="2:7" x14ac:dyDescent="0.3">
      <c r="B8" s="324" t="s">
        <v>3299</v>
      </c>
      <c r="C8" s="324" t="s">
        <v>265</v>
      </c>
      <c r="D8" s="325">
        <v>204</v>
      </c>
      <c r="E8" s="266">
        <f>VLOOKUP(Ampliación!C8,Catalogos!B$75:D$95,3,FALSE)</f>
        <v>500</v>
      </c>
      <c r="F8" s="266">
        <f t="shared" si="0"/>
        <v>102000</v>
      </c>
      <c r="G8" s="213">
        <f t="shared" si="1"/>
        <v>118319.99999999999</v>
      </c>
    </row>
    <row r="9" spans="2:7" x14ac:dyDescent="0.3">
      <c r="B9" s="324" t="s">
        <v>3300</v>
      </c>
      <c r="C9" s="324" t="s">
        <v>37</v>
      </c>
      <c r="D9" s="325">
        <v>336</v>
      </c>
      <c r="E9" s="266">
        <f>VLOOKUP(Ampliación!C9,Catalogos!B$75:D$95,3,FALSE)</f>
        <v>450</v>
      </c>
      <c r="F9" s="266">
        <f t="shared" si="0"/>
        <v>151200</v>
      </c>
      <c r="G9" s="213">
        <f t="shared" si="1"/>
        <v>175392</v>
      </c>
    </row>
    <row r="10" spans="2:7" x14ac:dyDescent="0.3">
      <c r="B10" s="324" t="s">
        <v>3301</v>
      </c>
      <c r="C10" s="324" t="s">
        <v>117</v>
      </c>
      <c r="D10" s="325">
        <v>168</v>
      </c>
      <c r="E10" s="266">
        <f>VLOOKUP(Ampliación!C10,Catalogos!B$75:D$95,3,FALSE)</f>
        <v>500</v>
      </c>
      <c r="F10" s="266">
        <f t="shared" si="0"/>
        <v>84000</v>
      </c>
      <c r="G10" s="213">
        <f t="shared" si="1"/>
        <v>97440</v>
      </c>
    </row>
    <row r="11" spans="2:7" x14ac:dyDescent="0.3">
      <c r="B11" s="324" t="s">
        <v>3302</v>
      </c>
      <c r="C11" s="324" t="s">
        <v>40</v>
      </c>
      <c r="D11" s="325">
        <f>168*2</f>
        <v>336</v>
      </c>
      <c r="E11" s="266">
        <f>VLOOKUP(Ampliación!C11,Catalogos!B$75:D$95,3,FALSE)</f>
        <v>700</v>
      </c>
      <c r="F11" s="266">
        <f t="shared" si="0"/>
        <v>235200</v>
      </c>
      <c r="G11" s="213">
        <f t="shared" si="1"/>
        <v>272832</v>
      </c>
    </row>
    <row r="12" spans="2:7" x14ac:dyDescent="0.3">
      <c r="G12" s="139">
        <f>SUM(G4:G11)</f>
        <v>1327040</v>
      </c>
    </row>
    <row r="15" spans="2:7" ht="28.8" x14ac:dyDescent="0.3">
      <c r="C15" s="326" t="s">
        <v>14</v>
      </c>
      <c r="D15" s="327" t="s">
        <v>3305</v>
      </c>
    </row>
    <row r="16" spans="2:7" x14ac:dyDescent="0.3">
      <c r="C16" s="321" t="s">
        <v>244</v>
      </c>
      <c r="D16" s="5">
        <v>136</v>
      </c>
    </row>
    <row r="17" spans="3:7" x14ac:dyDescent="0.3">
      <c r="C17" s="321" t="s">
        <v>36</v>
      </c>
      <c r="D17" s="5">
        <v>82</v>
      </c>
    </row>
    <row r="18" spans="3:7" x14ac:dyDescent="0.3">
      <c r="C18" s="321" t="s">
        <v>265</v>
      </c>
      <c r="D18" s="5">
        <v>204</v>
      </c>
    </row>
    <row r="19" spans="3:7" x14ac:dyDescent="0.3">
      <c r="C19" s="321" t="s">
        <v>117</v>
      </c>
      <c r="D19" s="5">
        <v>168</v>
      </c>
    </row>
    <row r="20" spans="3:7" x14ac:dyDescent="0.3">
      <c r="C20" s="321" t="s">
        <v>302</v>
      </c>
      <c r="D20" s="5">
        <v>160</v>
      </c>
    </row>
    <row r="21" spans="3:7" x14ac:dyDescent="0.3">
      <c r="C21" s="321" t="s">
        <v>40</v>
      </c>
      <c r="D21" s="5">
        <v>812</v>
      </c>
    </row>
    <row r="22" spans="3:7" x14ac:dyDescent="0.3">
      <c r="C22" s="321" t="s">
        <v>37</v>
      </c>
      <c r="D22" s="5">
        <v>336</v>
      </c>
    </row>
    <row r="26" spans="3:7" ht="14.55" customHeight="1" x14ac:dyDescent="0.3">
      <c r="C26" s="945" t="s">
        <v>3306</v>
      </c>
      <c r="D26" s="945"/>
      <c r="E26" s="945"/>
      <c r="F26" s="945"/>
      <c r="G26" s="11"/>
    </row>
    <row r="27" spans="3:7" ht="14.55" customHeight="1" x14ac:dyDescent="0.3">
      <c r="C27" s="945" t="s">
        <v>3307</v>
      </c>
      <c r="D27" s="945"/>
      <c r="E27" s="945"/>
      <c r="F27" s="945"/>
      <c r="G27" s="11"/>
    </row>
    <row r="28" spans="3:7" ht="29.4" thickBot="1" x14ac:dyDescent="0.35">
      <c r="C28" s="328" t="s">
        <v>3308</v>
      </c>
      <c r="D28" s="328" t="s">
        <v>3309</v>
      </c>
      <c r="E28" s="328" t="s">
        <v>3310</v>
      </c>
      <c r="F28" s="328" t="s">
        <v>3311</v>
      </c>
      <c r="G28" s="11"/>
    </row>
    <row r="29" spans="3:7" x14ac:dyDescent="0.3">
      <c r="C29" s="329" t="s">
        <v>1777</v>
      </c>
      <c r="D29" s="331">
        <v>7336529</v>
      </c>
      <c r="E29" s="331">
        <f>Facturación!N33-E31-E30</f>
        <v>6082692</v>
      </c>
      <c r="F29" s="331">
        <f>D29-E29</f>
        <v>1253837</v>
      </c>
      <c r="G29" s="11"/>
    </row>
    <row r="30" spans="3:7" x14ac:dyDescent="0.3">
      <c r="C30" s="329" t="s">
        <v>3313</v>
      </c>
      <c r="D30" s="331">
        <v>1383648</v>
      </c>
      <c r="E30" s="331">
        <v>128006</v>
      </c>
      <c r="F30" s="332">
        <f>D30-E30</f>
        <v>1255642</v>
      </c>
      <c r="G30" s="946" t="s">
        <v>3312</v>
      </c>
    </row>
    <row r="31" spans="3:7" ht="15" thickBot="1" x14ac:dyDescent="0.35">
      <c r="C31" s="336" t="s">
        <v>3314</v>
      </c>
      <c r="D31" s="333">
        <f>E31+F31</f>
        <v>343360</v>
      </c>
      <c r="E31" s="334">
        <f>Facturación!N20</f>
        <v>92800</v>
      </c>
      <c r="F31" s="334">
        <f>Presupuesto!O20+Presupuesto!P20+Presupuesto!Q20</f>
        <v>250560</v>
      </c>
      <c r="G31" s="946"/>
    </row>
    <row r="32" spans="3:7" ht="15" thickTop="1" x14ac:dyDescent="0.3">
      <c r="C32" s="330" t="s">
        <v>1782</v>
      </c>
      <c r="D32" s="331">
        <f>SUM(D29:D31)</f>
        <v>9063537</v>
      </c>
      <c r="E32" s="331">
        <f>SUM(E29:E31)</f>
        <v>6303498</v>
      </c>
      <c r="F32" s="331">
        <f>SUM(F29:F31)</f>
        <v>2760039</v>
      </c>
      <c r="G32" s="11"/>
    </row>
    <row r="33" spans="3:7" x14ac:dyDescent="0.3">
      <c r="C33" s="11"/>
      <c r="D33" s="11"/>
      <c r="E33" s="11"/>
      <c r="F33" s="11"/>
      <c r="G33" s="11"/>
    </row>
    <row r="34" spans="3:7" x14ac:dyDescent="0.3">
      <c r="C34" s="335" t="s">
        <v>3315</v>
      </c>
      <c r="D34" s="337">
        <f>F30+E31+F31</f>
        <v>1599002</v>
      </c>
      <c r="E34" s="11"/>
      <c r="F34" s="11"/>
      <c r="G34" s="11"/>
    </row>
    <row r="35" spans="3:7" x14ac:dyDescent="0.3">
      <c r="G35" s="11"/>
    </row>
  </sheetData>
  <mergeCells count="3">
    <mergeCell ref="C26:F26"/>
    <mergeCell ref="C27:F27"/>
    <mergeCell ref="G30:G31"/>
  </mergeCells>
  <pageMargins left="0.7" right="0.7" top="0.75" bottom="0.75" header="0.3" footer="0.3"/>
  <pageSetup paperSize="9" orientation="landscape"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892C7-DEDD-4E44-A027-F937388BABD5}">
  <dimension ref="A1:R419"/>
  <sheetViews>
    <sheetView topLeftCell="A16" zoomScale="70" zoomScaleNormal="70" workbookViewId="0">
      <selection activeCell="B2" sqref="B2"/>
    </sheetView>
  </sheetViews>
  <sheetFormatPr baseColWidth="10" defaultColWidth="10.88671875" defaultRowHeight="14.4" x14ac:dyDescent="0.3"/>
  <cols>
    <col min="2" max="2" width="62.21875" bestFit="1" customWidth="1"/>
    <col min="3" max="3" width="29.6640625" bestFit="1" customWidth="1"/>
    <col min="4" max="4" width="18.33203125" bestFit="1" customWidth="1"/>
    <col min="5" max="5" width="16.77734375" bestFit="1" customWidth="1"/>
    <col min="6" max="6" width="13.6640625" customWidth="1"/>
    <col min="7" max="7" width="11.88671875" customWidth="1"/>
    <col min="8" max="8" width="16.6640625" bestFit="1" customWidth="1"/>
    <col min="9" max="9" width="11.5546875" bestFit="1" customWidth="1"/>
    <col min="10" max="10" width="11.5546875" style="10" bestFit="1" customWidth="1"/>
    <col min="11" max="11" width="26.88671875" bestFit="1" customWidth="1"/>
  </cols>
  <sheetData>
    <row r="1" spans="1:18" x14ac:dyDescent="0.3">
      <c r="A1" s="338"/>
      <c r="B1" s="11"/>
      <c r="C1" s="11"/>
      <c r="D1" s="11"/>
      <c r="E1" s="11"/>
      <c r="F1" s="11"/>
      <c r="G1" s="11"/>
      <c r="H1" s="11"/>
      <c r="I1" s="11"/>
      <c r="J1" s="338"/>
      <c r="K1" s="11"/>
      <c r="L1" s="11"/>
      <c r="M1" s="11"/>
      <c r="N1" s="11"/>
      <c r="O1" s="11"/>
      <c r="P1" s="11"/>
      <c r="Q1" s="11"/>
      <c r="R1" s="11"/>
    </row>
    <row r="2" spans="1:18" x14ac:dyDescent="0.3">
      <c r="A2" s="11"/>
      <c r="B2" s="11"/>
      <c r="C2" s="11"/>
      <c r="D2" s="11"/>
      <c r="E2" s="11"/>
      <c r="F2" s="11"/>
      <c r="G2" s="11"/>
      <c r="H2" s="11"/>
      <c r="I2" s="11"/>
      <c r="J2" s="338"/>
      <c r="K2" s="11"/>
      <c r="L2" s="11"/>
      <c r="M2" s="11"/>
      <c r="N2" s="11"/>
      <c r="O2" s="11"/>
      <c r="P2" s="11"/>
      <c r="Q2" s="11"/>
      <c r="R2" s="11"/>
    </row>
    <row r="3" spans="1:18" x14ac:dyDescent="0.3">
      <c r="A3" s="11"/>
      <c r="B3" s="11"/>
      <c r="C3" s="11"/>
      <c r="D3" s="11"/>
      <c r="E3" s="11"/>
      <c r="F3" s="11"/>
      <c r="G3" s="11"/>
      <c r="H3" s="11"/>
      <c r="I3" s="11"/>
      <c r="J3" s="338"/>
      <c r="K3" s="11"/>
      <c r="L3" s="11"/>
      <c r="M3" s="11"/>
      <c r="N3" s="11"/>
      <c r="O3" s="11"/>
      <c r="P3" s="11"/>
      <c r="Q3" s="11"/>
      <c r="R3" s="11"/>
    </row>
    <row r="4" spans="1:18" ht="21" x14ac:dyDescent="0.4">
      <c r="A4" s="11"/>
      <c r="B4" s="959" t="s">
        <v>3316</v>
      </c>
      <c r="C4" s="959"/>
      <c r="D4" s="959"/>
      <c r="E4" s="11"/>
      <c r="F4" s="11"/>
      <c r="G4" s="11"/>
      <c r="H4" s="11"/>
      <c r="I4" s="11"/>
      <c r="J4" s="338"/>
      <c r="K4" s="11"/>
      <c r="L4" s="11"/>
      <c r="M4" s="11"/>
      <c r="N4" s="11"/>
      <c r="O4" s="11"/>
      <c r="P4" s="11"/>
      <c r="Q4" s="11"/>
      <c r="R4" s="11"/>
    </row>
    <row r="5" spans="1:18" ht="15.6" x14ac:dyDescent="0.3">
      <c r="A5" s="11"/>
      <c r="B5" s="339" t="s">
        <v>24</v>
      </c>
      <c r="C5" s="960" t="s">
        <v>41</v>
      </c>
      <c r="D5" s="960"/>
      <c r="E5" s="960"/>
      <c r="F5" s="960"/>
      <c r="G5" s="960"/>
      <c r="H5" s="960"/>
      <c r="I5" s="11"/>
      <c r="J5" s="338"/>
      <c r="K5" s="11"/>
      <c r="L5" s="11"/>
      <c r="M5" s="11"/>
      <c r="N5" s="11"/>
      <c r="O5" s="11"/>
      <c r="P5" s="11"/>
      <c r="Q5" s="11"/>
      <c r="R5" s="11"/>
    </row>
    <row r="6" spans="1:18" ht="15.6" x14ac:dyDescent="0.3">
      <c r="A6" s="11"/>
      <c r="B6" s="120" t="s">
        <v>25</v>
      </c>
      <c r="C6" s="100" t="s">
        <v>622</v>
      </c>
      <c r="D6" s="11"/>
      <c r="E6" s="11"/>
      <c r="F6" s="11"/>
      <c r="G6" s="11"/>
      <c r="H6" s="11"/>
      <c r="I6" s="11"/>
      <c r="J6" s="338"/>
      <c r="K6" s="11"/>
      <c r="L6" s="11"/>
      <c r="M6" s="11"/>
      <c r="N6" s="11"/>
      <c r="O6" s="11"/>
      <c r="P6" s="11"/>
      <c r="Q6" s="11"/>
      <c r="R6" s="11"/>
    </row>
    <row r="7" spans="1:18" ht="15.6" x14ac:dyDescent="0.3">
      <c r="A7" s="11"/>
      <c r="B7" s="339" t="s">
        <v>26</v>
      </c>
      <c r="C7" s="960" t="s">
        <v>42</v>
      </c>
      <c r="D7" s="960"/>
      <c r="E7" s="960"/>
      <c r="F7" s="11"/>
      <c r="G7" s="11"/>
      <c r="H7" s="11"/>
      <c r="I7" s="11"/>
      <c r="J7" s="338"/>
      <c r="K7" s="11"/>
      <c r="L7" s="11"/>
      <c r="M7" s="11"/>
      <c r="N7" s="11"/>
      <c r="O7" s="11"/>
      <c r="P7" s="11"/>
      <c r="Q7" s="11"/>
      <c r="R7" s="11"/>
    </row>
    <row r="8" spans="1:18" ht="18" x14ac:dyDescent="0.3">
      <c r="A8" s="34"/>
      <c r="B8" s="121" t="s">
        <v>104</v>
      </c>
      <c r="C8" s="122">
        <v>2023</v>
      </c>
      <c r="D8" s="11"/>
      <c r="E8" s="11"/>
      <c r="F8" s="11"/>
      <c r="G8" s="312"/>
      <c r="H8" s="11"/>
      <c r="I8" s="11"/>
      <c r="J8" s="338"/>
      <c r="K8" s="11"/>
      <c r="L8" s="11"/>
      <c r="M8" s="11"/>
      <c r="N8" s="11"/>
      <c r="O8" s="11"/>
      <c r="P8" s="11"/>
      <c r="Q8" s="11"/>
      <c r="R8" s="11"/>
    </row>
    <row r="9" spans="1:18" x14ac:dyDescent="0.3">
      <c r="A9" s="11"/>
      <c r="B9" s="22" t="s">
        <v>3317</v>
      </c>
      <c r="C9" t="s">
        <v>208</v>
      </c>
      <c r="D9" s="350" t="s">
        <v>3325</v>
      </c>
      <c r="E9" s="11" t="str">
        <f>IFERROR(VLOOKUP(C9,Facturación!A5:E20,2,FALSE),"")</f>
        <v>Ingeniero de software (JAVA)</v>
      </c>
      <c r="F9" s="11"/>
      <c r="G9" s="312"/>
      <c r="H9" s="11"/>
      <c r="I9" s="11"/>
      <c r="J9" s="338"/>
      <c r="K9" s="11"/>
      <c r="L9" s="11"/>
      <c r="M9" s="11"/>
      <c r="N9" s="11"/>
      <c r="O9" s="11"/>
      <c r="P9" s="11"/>
      <c r="Q9" s="11"/>
      <c r="R9" s="11"/>
    </row>
    <row r="10" spans="1:18" x14ac:dyDescent="0.3">
      <c r="A10" s="11"/>
      <c r="B10" s="22" t="s">
        <v>3318</v>
      </c>
      <c r="C10" t="s">
        <v>2418</v>
      </c>
      <c r="D10" s="11"/>
      <c r="E10" s="11"/>
      <c r="F10" s="11"/>
      <c r="G10" s="11"/>
      <c r="H10" s="312" t="s">
        <v>3319</v>
      </c>
      <c r="I10" s="11"/>
      <c r="J10" s="338" t="s">
        <v>3320</v>
      </c>
      <c r="K10" s="11"/>
      <c r="L10" s="11"/>
      <c r="M10" s="11"/>
      <c r="N10" s="11"/>
      <c r="O10" s="11"/>
      <c r="P10" s="11"/>
      <c r="Q10" s="11"/>
      <c r="R10" s="11"/>
    </row>
    <row r="11" spans="1:18" x14ac:dyDescent="0.3">
      <c r="A11" s="11"/>
      <c r="B11" s="11"/>
      <c r="C11" s="11"/>
      <c r="D11" s="11"/>
      <c r="E11" s="11"/>
      <c r="F11" s="11"/>
      <c r="G11" s="11"/>
      <c r="H11" s="11"/>
      <c r="I11" s="11"/>
      <c r="J11" s="338"/>
      <c r="K11" s="11"/>
      <c r="L11" s="11"/>
      <c r="M11" s="11"/>
      <c r="N11" s="11"/>
      <c r="O11" s="11"/>
      <c r="P11" s="11"/>
      <c r="Q11" s="11"/>
      <c r="R11" s="11"/>
    </row>
    <row r="12" spans="1:18" s="31" customFormat="1" ht="43.2" x14ac:dyDescent="0.3">
      <c r="A12" s="340"/>
      <c r="B12" s="39" t="s">
        <v>9</v>
      </c>
      <c r="C12" s="39" t="s">
        <v>5</v>
      </c>
      <c r="D12" s="39" t="s">
        <v>50</v>
      </c>
      <c r="E12" s="39" t="s">
        <v>2416</v>
      </c>
      <c r="F12" s="39" t="s">
        <v>51</v>
      </c>
      <c r="G12" s="39" t="s">
        <v>2417</v>
      </c>
      <c r="H12" s="39" t="s">
        <v>11</v>
      </c>
      <c r="I12" s="39" t="s">
        <v>53</v>
      </c>
      <c r="J12" s="31" t="s">
        <v>3324</v>
      </c>
      <c r="K12"/>
      <c r="L12" s="341"/>
      <c r="M12" s="341"/>
      <c r="N12" s="341"/>
      <c r="O12" s="341"/>
      <c r="P12" s="341"/>
      <c r="Q12" s="341"/>
      <c r="R12" s="341"/>
    </row>
    <row r="13" spans="1:18" x14ac:dyDescent="0.3">
      <c r="A13" s="11"/>
      <c r="B13" t="s">
        <v>2444</v>
      </c>
      <c r="C13" t="s">
        <v>375</v>
      </c>
      <c r="D13" s="16">
        <v>45170</v>
      </c>
      <c r="E13" s="349">
        <v>0.375</v>
      </c>
      <c r="F13" s="16">
        <v>45170</v>
      </c>
      <c r="G13" s="353" t="s">
        <v>2449</v>
      </c>
      <c r="H13" t="s">
        <v>406</v>
      </c>
      <c r="I13" t="s">
        <v>155</v>
      </c>
      <c r="J13" s="966">
        <v>4</v>
      </c>
      <c r="L13" s="11"/>
      <c r="M13" s="11"/>
      <c r="N13" s="11"/>
      <c r="O13" s="11"/>
      <c r="P13" s="11"/>
      <c r="Q13" s="11"/>
      <c r="R13" s="11"/>
    </row>
    <row r="14" spans="1:18" x14ac:dyDescent="0.3">
      <c r="A14" s="11"/>
      <c r="B14" t="s">
        <v>2444</v>
      </c>
      <c r="C14" t="s">
        <v>375</v>
      </c>
      <c r="D14" s="16">
        <v>45173</v>
      </c>
      <c r="E14" s="349">
        <v>0.375</v>
      </c>
      <c r="F14" s="16">
        <v>45173</v>
      </c>
      <c r="G14" t="s">
        <v>2449</v>
      </c>
      <c r="H14" t="s">
        <v>17</v>
      </c>
      <c r="I14" t="s">
        <v>155</v>
      </c>
      <c r="J14" s="966">
        <v>4</v>
      </c>
      <c r="L14" s="11"/>
      <c r="M14" s="11"/>
      <c r="N14" s="11"/>
      <c r="O14" s="11"/>
      <c r="P14" s="11"/>
      <c r="Q14" s="11"/>
      <c r="R14" s="11"/>
    </row>
    <row r="15" spans="1:18" x14ac:dyDescent="0.3">
      <c r="A15" s="11"/>
      <c r="B15" t="s">
        <v>2445</v>
      </c>
      <c r="C15" t="s">
        <v>375</v>
      </c>
      <c r="D15" s="16">
        <v>45174</v>
      </c>
      <c r="E15" s="349">
        <v>0.375</v>
      </c>
      <c r="F15" s="16">
        <v>45174</v>
      </c>
      <c r="G15" t="s">
        <v>2449</v>
      </c>
      <c r="H15" t="s">
        <v>406</v>
      </c>
      <c r="I15" t="s">
        <v>155</v>
      </c>
      <c r="J15" s="966">
        <v>4</v>
      </c>
      <c r="L15" s="11"/>
      <c r="M15" s="11"/>
      <c r="N15" s="11"/>
      <c r="O15" s="11"/>
      <c r="P15" s="11"/>
      <c r="Q15" s="11"/>
      <c r="R15" s="11"/>
    </row>
    <row r="16" spans="1:18" x14ac:dyDescent="0.3">
      <c r="A16" s="11"/>
      <c r="B16" t="s">
        <v>2445</v>
      </c>
      <c r="C16" t="s">
        <v>375</v>
      </c>
      <c r="D16" s="16">
        <v>45175</v>
      </c>
      <c r="E16" s="349">
        <v>0.375</v>
      </c>
      <c r="F16" s="16">
        <v>45175</v>
      </c>
      <c r="G16" t="s">
        <v>2449</v>
      </c>
      <c r="H16" t="s">
        <v>17</v>
      </c>
      <c r="I16" t="s">
        <v>155</v>
      </c>
      <c r="J16" s="966">
        <v>4</v>
      </c>
      <c r="L16" s="11"/>
      <c r="M16" s="11"/>
      <c r="N16" s="11"/>
      <c r="O16" s="11"/>
      <c r="P16" s="11"/>
      <c r="Q16" s="11"/>
      <c r="R16" s="11"/>
    </row>
    <row r="17" spans="1:18" x14ac:dyDescent="0.3">
      <c r="A17" s="11"/>
      <c r="B17" t="s">
        <v>3288</v>
      </c>
      <c r="C17" t="s">
        <v>375</v>
      </c>
      <c r="D17" s="16">
        <v>45176</v>
      </c>
      <c r="E17" s="349">
        <v>0.375</v>
      </c>
      <c r="F17" s="16">
        <v>45176</v>
      </c>
      <c r="G17" t="s">
        <v>2449</v>
      </c>
      <c r="H17" t="s">
        <v>406</v>
      </c>
      <c r="I17" t="s">
        <v>155</v>
      </c>
      <c r="J17" s="966">
        <v>4</v>
      </c>
      <c r="L17" s="11"/>
      <c r="M17" s="11"/>
      <c r="N17" s="11"/>
      <c r="O17" s="11"/>
      <c r="P17" s="11"/>
      <c r="Q17" s="11"/>
      <c r="R17" s="11"/>
    </row>
    <row r="18" spans="1:18" x14ac:dyDescent="0.3">
      <c r="A18" s="11"/>
      <c r="B18" t="s">
        <v>3288</v>
      </c>
      <c r="C18" t="s">
        <v>375</v>
      </c>
      <c r="D18" s="16">
        <v>45177</v>
      </c>
      <c r="E18" s="349">
        <v>0.375</v>
      </c>
      <c r="F18" s="16">
        <v>45177</v>
      </c>
      <c r="G18" t="s">
        <v>2449</v>
      </c>
      <c r="H18" t="s">
        <v>17</v>
      </c>
      <c r="I18" t="s">
        <v>155</v>
      </c>
      <c r="J18" s="966">
        <v>4</v>
      </c>
      <c r="L18" s="11"/>
      <c r="M18" s="11"/>
      <c r="N18" s="11"/>
      <c r="O18" s="11"/>
      <c r="P18" s="11"/>
      <c r="Q18" s="11"/>
      <c r="R18" s="11"/>
    </row>
    <row r="19" spans="1:18" x14ac:dyDescent="0.3">
      <c r="A19" s="11"/>
      <c r="B19" t="s">
        <v>2446</v>
      </c>
      <c r="C19" t="s">
        <v>375</v>
      </c>
      <c r="D19" s="16">
        <v>45180</v>
      </c>
      <c r="E19" s="349">
        <v>0.375</v>
      </c>
      <c r="F19" s="16">
        <v>45180</v>
      </c>
      <c r="G19" t="s">
        <v>2449</v>
      </c>
      <c r="H19" t="s">
        <v>406</v>
      </c>
      <c r="I19" t="s">
        <v>155</v>
      </c>
      <c r="J19" s="966">
        <v>4</v>
      </c>
      <c r="L19" s="11"/>
      <c r="M19" s="11"/>
      <c r="N19" s="11"/>
      <c r="O19" s="11"/>
      <c r="P19" s="11"/>
      <c r="Q19" s="11"/>
      <c r="R19" s="11"/>
    </row>
    <row r="20" spans="1:18" x14ac:dyDescent="0.3">
      <c r="A20" s="11"/>
      <c r="B20" t="s">
        <v>2446</v>
      </c>
      <c r="C20" t="s">
        <v>375</v>
      </c>
      <c r="D20" s="16">
        <v>45181</v>
      </c>
      <c r="E20" s="349">
        <v>0.375</v>
      </c>
      <c r="F20" s="16">
        <v>45181</v>
      </c>
      <c r="G20" t="s">
        <v>2449</v>
      </c>
      <c r="H20" t="s">
        <v>406</v>
      </c>
      <c r="I20" t="s">
        <v>155</v>
      </c>
      <c r="J20" s="966">
        <v>4</v>
      </c>
      <c r="L20" s="11"/>
      <c r="M20" s="11"/>
      <c r="N20" s="11"/>
      <c r="O20" s="11"/>
      <c r="P20" s="11"/>
      <c r="Q20" s="11"/>
      <c r="R20" s="11"/>
    </row>
    <row r="21" spans="1:18" x14ac:dyDescent="0.3">
      <c r="A21" s="11"/>
      <c r="B21" t="s">
        <v>2446</v>
      </c>
      <c r="C21" t="s">
        <v>375</v>
      </c>
      <c r="D21" s="16">
        <v>45182</v>
      </c>
      <c r="E21" s="349">
        <v>0.375</v>
      </c>
      <c r="F21" s="16">
        <v>45182</v>
      </c>
      <c r="G21" t="s">
        <v>2449</v>
      </c>
      <c r="H21" t="s">
        <v>406</v>
      </c>
      <c r="I21" t="s">
        <v>155</v>
      </c>
      <c r="J21" s="966">
        <v>4</v>
      </c>
      <c r="L21" s="11"/>
      <c r="M21" s="11"/>
      <c r="N21" s="11"/>
      <c r="O21" s="11"/>
      <c r="P21" s="11"/>
      <c r="Q21" s="11"/>
      <c r="R21" s="11"/>
    </row>
    <row r="22" spans="1:18" x14ac:dyDescent="0.3">
      <c r="A22" s="11"/>
      <c r="B22" t="s">
        <v>2446</v>
      </c>
      <c r="C22" t="s">
        <v>375</v>
      </c>
      <c r="D22" s="16">
        <v>45183</v>
      </c>
      <c r="E22" s="349">
        <v>0.375</v>
      </c>
      <c r="F22" s="16">
        <v>45183</v>
      </c>
      <c r="G22" t="s">
        <v>2449</v>
      </c>
      <c r="H22" t="s">
        <v>406</v>
      </c>
      <c r="I22" t="s">
        <v>155</v>
      </c>
      <c r="J22" s="966">
        <v>4</v>
      </c>
      <c r="L22" s="11"/>
      <c r="M22" s="11"/>
      <c r="N22" s="11"/>
      <c r="O22" s="11"/>
      <c r="P22" s="11"/>
      <c r="Q22" s="11"/>
      <c r="R22" s="11"/>
    </row>
    <row r="23" spans="1:18" x14ac:dyDescent="0.3">
      <c r="A23" s="11"/>
      <c r="B23" t="s">
        <v>2446</v>
      </c>
      <c r="C23" t="s">
        <v>375</v>
      </c>
      <c r="D23" s="16">
        <v>45184</v>
      </c>
      <c r="E23" s="349">
        <v>0.375</v>
      </c>
      <c r="F23" s="16">
        <v>45184</v>
      </c>
      <c r="G23" t="s">
        <v>2449</v>
      </c>
      <c r="H23" t="s">
        <v>406</v>
      </c>
      <c r="I23" t="s">
        <v>155</v>
      </c>
      <c r="J23" s="966">
        <v>4</v>
      </c>
      <c r="L23" s="11"/>
      <c r="M23" s="11"/>
      <c r="N23" s="11"/>
      <c r="O23" s="11"/>
      <c r="P23" s="11"/>
      <c r="Q23" s="11"/>
      <c r="R23" s="11"/>
    </row>
    <row r="24" spans="1:18" x14ac:dyDescent="0.3">
      <c r="A24" s="11"/>
      <c r="B24" t="s">
        <v>2446</v>
      </c>
      <c r="C24" t="s">
        <v>375</v>
      </c>
      <c r="D24" s="16">
        <v>45187</v>
      </c>
      <c r="E24" s="349">
        <v>0.375</v>
      </c>
      <c r="F24" s="16">
        <v>45187</v>
      </c>
      <c r="G24" t="s">
        <v>2449</v>
      </c>
      <c r="H24" t="s">
        <v>406</v>
      </c>
      <c r="I24" t="s">
        <v>155</v>
      </c>
      <c r="J24" s="966">
        <v>4</v>
      </c>
      <c r="L24" s="11"/>
      <c r="M24" s="11"/>
      <c r="N24" s="11"/>
      <c r="O24" s="11"/>
      <c r="P24" s="11"/>
      <c r="Q24" s="11"/>
      <c r="R24" s="11"/>
    </row>
    <row r="25" spans="1:18" x14ac:dyDescent="0.3">
      <c r="B25" t="s">
        <v>2446</v>
      </c>
      <c r="C25" t="s">
        <v>375</v>
      </c>
      <c r="D25" s="16">
        <v>45188</v>
      </c>
      <c r="E25" s="349">
        <v>0.375</v>
      </c>
      <c r="F25" s="16">
        <v>45188</v>
      </c>
      <c r="G25" t="s">
        <v>2449</v>
      </c>
      <c r="H25" t="s">
        <v>406</v>
      </c>
      <c r="I25" t="s">
        <v>155</v>
      </c>
      <c r="J25" s="966">
        <v>4</v>
      </c>
    </row>
    <row r="26" spans="1:18" x14ac:dyDescent="0.3">
      <c r="B26" t="s">
        <v>2446</v>
      </c>
      <c r="C26" t="s">
        <v>375</v>
      </c>
      <c r="D26" s="16">
        <v>45189</v>
      </c>
      <c r="E26" s="349">
        <v>0.375</v>
      </c>
      <c r="F26" s="16">
        <v>45189</v>
      </c>
      <c r="G26" s="353" t="s">
        <v>2450</v>
      </c>
      <c r="H26" t="s">
        <v>17</v>
      </c>
      <c r="I26" t="s">
        <v>155</v>
      </c>
      <c r="J26" s="966">
        <v>5</v>
      </c>
    </row>
    <row r="27" spans="1:18" x14ac:dyDescent="0.3">
      <c r="B27" t="s">
        <v>2447</v>
      </c>
      <c r="C27" t="s">
        <v>375</v>
      </c>
      <c r="D27" s="16">
        <v>45190</v>
      </c>
      <c r="E27" s="349">
        <v>0.375</v>
      </c>
      <c r="F27" s="16">
        <v>45190</v>
      </c>
      <c r="G27" s="353" t="s">
        <v>2449</v>
      </c>
      <c r="H27" t="s">
        <v>406</v>
      </c>
      <c r="I27" t="s">
        <v>155</v>
      </c>
      <c r="J27" s="966">
        <v>4</v>
      </c>
    </row>
    <row r="28" spans="1:18" x14ac:dyDescent="0.3">
      <c r="B28" t="s">
        <v>2447</v>
      </c>
      <c r="C28" t="s">
        <v>375</v>
      </c>
      <c r="D28" s="16">
        <v>45191</v>
      </c>
      <c r="E28" s="349">
        <v>0.375</v>
      </c>
      <c r="F28" s="16">
        <v>45191</v>
      </c>
      <c r="G28" t="s">
        <v>2449</v>
      </c>
      <c r="H28" t="s">
        <v>17</v>
      </c>
      <c r="I28" t="s">
        <v>155</v>
      </c>
      <c r="J28" s="966">
        <v>4</v>
      </c>
    </row>
    <row r="29" spans="1:18" x14ac:dyDescent="0.3">
      <c r="B29" t="s">
        <v>2448</v>
      </c>
      <c r="C29" t="s">
        <v>375</v>
      </c>
      <c r="D29" s="16">
        <v>45194</v>
      </c>
      <c r="E29" s="349">
        <v>0.375</v>
      </c>
      <c r="F29" s="16">
        <v>45194</v>
      </c>
      <c r="G29" t="s">
        <v>2449</v>
      </c>
      <c r="H29" t="s">
        <v>406</v>
      </c>
      <c r="I29" t="s">
        <v>155</v>
      </c>
      <c r="J29" s="966">
        <v>4</v>
      </c>
    </row>
    <row r="30" spans="1:18" x14ac:dyDescent="0.3">
      <c r="B30" t="s">
        <v>2448</v>
      </c>
      <c r="C30" t="s">
        <v>375</v>
      </c>
      <c r="D30" s="16">
        <v>45195</v>
      </c>
      <c r="E30" s="349">
        <v>0.375</v>
      </c>
      <c r="F30" s="16">
        <v>45195</v>
      </c>
      <c r="G30" t="s">
        <v>2449</v>
      </c>
      <c r="H30" t="s">
        <v>406</v>
      </c>
      <c r="I30" t="s">
        <v>155</v>
      </c>
      <c r="J30" s="966">
        <v>4</v>
      </c>
    </row>
    <row r="31" spans="1:18" x14ac:dyDescent="0.3">
      <c r="B31" t="s">
        <v>2448</v>
      </c>
      <c r="C31" t="s">
        <v>375</v>
      </c>
      <c r="D31" s="16">
        <v>45196</v>
      </c>
      <c r="E31" s="349">
        <v>0.375</v>
      </c>
      <c r="F31" s="16">
        <v>45196</v>
      </c>
      <c r="G31" t="s">
        <v>2449</v>
      </c>
      <c r="H31" t="s">
        <v>406</v>
      </c>
      <c r="I31" t="s">
        <v>155</v>
      </c>
      <c r="J31" s="966">
        <v>4</v>
      </c>
    </row>
    <row r="32" spans="1:18" x14ac:dyDescent="0.3">
      <c r="B32" t="s">
        <v>2448</v>
      </c>
      <c r="C32" t="s">
        <v>375</v>
      </c>
      <c r="D32" s="16">
        <v>45197</v>
      </c>
      <c r="E32" s="349">
        <v>0.375</v>
      </c>
      <c r="F32" s="16">
        <v>45197</v>
      </c>
      <c r="G32" t="s">
        <v>2449</v>
      </c>
      <c r="H32" t="s">
        <v>406</v>
      </c>
      <c r="I32" t="s">
        <v>155</v>
      </c>
      <c r="J32" s="966">
        <v>4</v>
      </c>
    </row>
    <row r="33" spans="2:10" x14ac:dyDescent="0.3">
      <c r="B33" t="s">
        <v>2448</v>
      </c>
      <c r="C33" t="s">
        <v>375</v>
      </c>
      <c r="D33" s="16">
        <v>45198</v>
      </c>
      <c r="E33" s="349">
        <v>0.375</v>
      </c>
      <c r="F33" s="16">
        <v>45198</v>
      </c>
      <c r="G33" t="s">
        <v>2449</v>
      </c>
      <c r="H33" t="s">
        <v>17</v>
      </c>
      <c r="I33" t="s">
        <v>155</v>
      </c>
      <c r="J33" s="966">
        <v>4</v>
      </c>
    </row>
    <row r="34" spans="2:10" x14ac:dyDescent="0.3">
      <c r="B34" t="s">
        <v>33</v>
      </c>
      <c r="J34" s="966">
        <v>85</v>
      </c>
    </row>
    <row r="35" spans="2:10" hidden="1" x14ac:dyDescent="0.3">
      <c r="J35"/>
    </row>
    <row r="36" spans="2:10" hidden="1" x14ac:dyDescent="0.3">
      <c r="J36"/>
    </row>
    <row r="37" spans="2:10" hidden="1" x14ac:dyDescent="0.3">
      <c r="J37"/>
    </row>
    <row r="38" spans="2:10" hidden="1" x14ac:dyDescent="0.3">
      <c r="J38"/>
    </row>
    <row r="39" spans="2:10" hidden="1" x14ac:dyDescent="0.3">
      <c r="J39"/>
    </row>
    <row r="40" spans="2:10" hidden="1" x14ac:dyDescent="0.3">
      <c r="J40"/>
    </row>
    <row r="41" spans="2:10" hidden="1" x14ac:dyDescent="0.3">
      <c r="J41"/>
    </row>
    <row r="42" spans="2:10" hidden="1" x14ac:dyDescent="0.3">
      <c r="J42"/>
    </row>
    <row r="43" spans="2:10" ht="18.45" hidden="1" customHeight="1" x14ac:dyDescent="0.3">
      <c r="J43"/>
    </row>
    <row r="44" spans="2:10" ht="28.95" hidden="1" customHeight="1" x14ac:dyDescent="0.3">
      <c r="J44"/>
    </row>
    <row r="45" spans="2:10" ht="19.05" hidden="1" customHeight="1" x14ac:dyDescent="0.3">
      <c r="J45"/>
    </row>
    <row r="46" spans="2:10" hidden="1" x14ac:dyDescent="0.3">
      <c r="J46"/>
    </row>
    <row r="47" spans="2:10" hidden="1" x14ac:dyDescent="0.3">
      <c r="J47"/>
    </row>
    <row r="48" spans="2:10" hidden="1" x14ac:dyDescent="0.3">
      <c r="J48"/>
    </row>
    <row r="49" spans="10:10" hidden="1" x14ac:dyDescent="0.3">
      <c r="J49"/>
    </row>
    <row r="50" spans="10:10" hidden="1" x14ac:dyDescent="0.3">
      <c r="J50"/>
    </row>
    <row r="51" spans="10:10" hidden="1" x14ac:dyDescent="0.3">
      <c r="J51"/>
    </row>
    <row r="52" spans="10:10" hidden="1" x14ac:dyDescent="0.3">
      <c r="J52"/>
    </row>
    <row r="53" spans="10:10" hidden="1" x14ac:dyDescent="0.3">
      <c r="J53"/>
    </row>
    <row r="54" spans="10:10" hidden="1" x14ac:dyDescent="0.3">
      <c r="J54"/>
    </row>
    <row r="55" spans="10:10" hidden="1" x14ac:dyDescent="0.3">
      <c r="J55"/>
    </row>
    <row r="56" spans="10:10" hidden="1" x14ac:dyDescent="0.3">
      <c r="J56"/>
    </row>
    <row r="57" spans="10:10" hidden="1" x14ac:dyDescent="0.3">
      <c r="J57"/>
    </row>
    <row r="58" spans="10:10" hidden="1" x14ac:dyDescent="0.3">
      <c r="J58"/>
    </row>
    <row r="59" spans="10:10" hidden="1" x14ac:dyDescent="0.3">
      <c r="J59"/>
    </row>
    <row r="60" spans="10:10" hidden="1" x14ac:dyDescent="0.3">
      <c r="J60"/>
    </row>
    <row r="61" spans="10:10" hidden="1" x14ac:dyDescent="0.3">
      <c r="J61"/>
    </row>
    <row r="62" spans="10:10" hidden="1" x14ac:dyDescent="0.3">
      <c r="J62"/>
    </row>
    <row r="63" spans="10:10" hidden="1" x14ac:dyDescent="0.3">
      <c r="J63"/>
    </row>
    <row r="64" spans="10:10" hidden="1" x14ac:dyDescent="0.3">
      <c r="J64"/>
    </row>
    <row r="65" spans="10:10" hidden="1" x14ac:dyDescent="0.3">
      <c r="J65"/>
    </row>
    <row r="66" spans="10:10" hidden="1" x14ac:dyDescent="0.3">
      <c r="J66"/>
    </row>
    <row r="67" spans="10:10" hidden="1" x14ac:dyDescent="0.3">
      <c r="J67"/>
    </row>
    <row r="68" spans="10:10" hidden="1" x14ac:dyDescent="0.3">
      <c r="J68"/>
    </row>
    <row r="69" spans="10:10" hidden="1" x14ac:dyDescent="0.3">
      <c r="J69"/>
    </row>
    <row r="70" spans="10:10" hidden="1" x14ac:dyDescent="0.3">
      <c r="J70"/>
    </row>
    <row r="71" spans="10:10" hidden="1" x14ac:dyDescent="0.3">
      <c r="J71"/>
    </row>
    <row r="72" spans="10:10" hidden="1" x14ac:dyDescent="0.3">
      <c r="J72"/>
    </row>
    <row r="73" spans="10:10" hidden="1" x14ac:dyDescent="0.3">
      <c r="J73"/>
    </row>
    <row r="74" spans="10:10" hidden="1" x14ac:dyDescent="0.3">
      <c r="J74"/>
    </row>
    <row r="75" spans="10:10" hidden="1" x14ac:dyDescent="0.3">
      <c r="J75"/>
    </row>
    <row r="76" spans="10:10" hidden="1" x14ac:dyDescent="0.3">
      <c r="J76"/>
    </row>
    <row r="77" spans="10:10" ht="15" hidden="1" thickBot="1" x14ac:dyDescent="0.35">
      <c r="J77"/>
    </row>
    <row r="78" spans="10:10" hidden="1" x14ac:dyDescent="0.3">
      <c r="J78"/>
    </row>
    <row r="79" spans="10:10" hidden="1" x14ac:dyDescent="0.3">
      <c r="J79"/>
    </row>
    <row r="80" spans="10:10" ht="15" hidden="1" thickBot="1" x14ac:dyDescent="0.35">
      <c r="J80"/>
    </row>
    <row r="81" spans="10:10" hidden="1" x14ac:dyDescent="0.3">
      <c r="J81"/>
    </row>
    <row r="82" spans="10:10" hidden="1" x14ac:dyDescent="0.3">
      <c r="J82"/>
    </row>
    <row r="83" spans="10:10" hidden="1" x14ac:dyDescent="0.3">
      <c r="J83"/>
    </row>
    <row r="84" spans="10:10" hidden="1" x14ac:dyDescent="0.3">
      <c r="J84"/>
    </row>
    <row r="85" spans="10:10" hidden="1" x14ac:dyDescent="0.3">
      <c r="J85"/>
    </row>
    <row r="86" spans="10:10" hidden="1" x14ac:dyDescent="0.3">
      <c r="J86"/>
    </row>
    <row r="87" spans="10:10" hidden="1" x14ac:dyDescent="0.3">
      <c r="J87"/>
    </row>
    <row r="88" spans="10:10" hidden="1" x14ac:dyDescent="0.3">
      <c r="J88"/>
    </row>
    <row r="89" spans="10:10" hidden="1" x14ac:dyDescent="0.3">
      <c r="J89"/>
    </row>
    <row r="90" spans="10:10" hidden="1" x14ac:dyDescent="0.3">
      <c r="J90"/>
    </row>
    <row r="91" spans="10:10" hidden="1" x14ac:dyDescent="0.3">
      <c r="J91"/>
    </row>
    <row r="92" spans="10:10" hidden="1" x14ac:dyDescent="0.3">
      <c r="J92"/>
    </row>
    <row r="93" spans="10:10" hidden="1" x14ac:dyDescent="0.3">
      <c r="J93"/>
    </row>
    <row r="94" spans="10:10" hidden="1" x14ac:dyDescent="0.3">
      <c r="J94"/>
    </row>
    <row r="95" spans="10:10" hidden="1" x14ac:dyDescent="0.3">
      <c r="J95"/>
    </row>
    <row r="96" spans="10:10" hidden="1" x14ac:dyDescent="0.3">
      <c r="J96"/>
    </row>
    <row r="97" spans="10:10" hidden="1" x14ac:dyDescent="0.3">
      <c r="J97"/>
    </row>
    <row r="98" spans="10:10" hidden="1" x14ac:dyDescent="0.3">
      <c r="J98"/>
    </row>
    <row r="99" spans="10:10" hidden="1" x14ac:dyDescent="0.3">
      <c r="J99"/>
    </row>
    <row r="100" spans="10:10" hidden="1" x14ac:dyDescent="0.3">
      <c r="J100"/>
    </row>
    <row r="101" spans="10:10" hidden="1" x14ac:dyDescent="0.3">
      <c r="J101"/>
    </row>
    <row r="102" spans="10:10" hidden="1" x14ac:dyDescent="0.3">
      <c r="J102"/>
    </row>
    <row r="103" spans="10:10" hidden="1" x14ac:dyDescent="0.3">
      <c r="J103"/>
    </row>
    <row r="104" spans="10:10" hidden="1" x14ac:dyDescent="0.3">
      <c r="J104"/>
    </row>
    <row r="105" spans="10:10" hidden="1" x14ac:dyDescent="0.3">
      <c r="J105"/>
    </row>
    <row r="106" spans="10:10" hidden="1" x14ac:dyDescent="0.3">
      <c r="J106"/>
    </row>
    <row r="107" spans="10:10" hidden="1" x14ac:dyDescent="0.3">
      <c r="J107"/>
    </row>
    <row r="108" spans="10:10" hidden="1" x14ac:dyDescent="0.3">
      <c r="J108"/>
    </row>
    <row r="109" spans="10:10" hidden="1" x14ac:dyDescent="0.3">
      <c r="J109"/>
    </row>
    <row r="110" spans="10:10" hidden="1" x14ac:dyDescent="0.3">
      <c r="J110"/>
    </row>
    <row r="111" spans="10:10" hidden="1" x14ac:dyDescent="0.3">
      <c r="J111"/>
    </row>
    <row r="112" spans="10:10" hidden="1" x14ac:dyDescent="0.3">
      <c r="J112"/>
    </row>
    <row r="113" spans="10:10" hidden="1" x14ac:dyDescent="0.3">
      <c r="J113"/>
    </row>
    <row r="114" spans="10:10" hidden="1" x14ac:dyDescent="0.3">
      <c r="J114"/>
    </row>
    <row r="115" spans="10:10" hidden="1" x14ac:dyDescent="0.3">
      <c r="J115"/>
    </row>
    <row r="116" spans="10:10" hidden="1" x14ac:dyDescent="0.3">
      <c r="J116"/>
    </row>
    <row r="117" spans="10:10" hidden="1" x14ac:dyDescent="0.3">
      <c r="J117"/>
    </row>
    <row r="118" spans="10:10" hidden="1" x14ac:dyDescent="0.3">
      <c r="J118"/>
    </row>
    <row r="119" spans="10:10" hidden="1" x14ac:dyDescent="0.3">
      <c r="J119"/>
    </row>
    <row r="120" spans="10:10" hidden="1" x14ac:dyDescent="0.3">
      <c r="J120"/>
    </row>
    <row r="121" spans="10:10" hidden="1" x14ac:dyDescent="0.3">
      <c r="J121"/>
    </row>
    <row r="122" spans="10:10" hidden="1" x14ac:dyDescent="0.3">
      <c r="J122"/>
    </row>
    <row r="123" spans="10:10" hidden="1" x14ac:dyDescent="0.3">
      <c r="J123"/>
    </row>
    <row r="124" spans="10:10" hidden="1" x14ac:dyDescent="0.3">
      <c r="J124"/>
    </row>
    <row r="125" spans="10:10" hidden="1" x14ac:dyDescent="0.3">
      <c r="J125"/>
    </row>
    <row r="126" spans="10:10" hidden="1" x14ac:dyDescent="0.3">
      <c r="J126"/>
    </row>
    <row r="127" spans="10:10" hidden="1" x14ac:dyDescent="0.3">
      <c r="J127"/>
    </row>
    <row r="128" spans="10:10" hidden="1" x14ac:dyDescent="0.3">
      <c r="J128"/>
    </row>
    <row r="129" spans="10:10" hidden="1" x14ac:dyDescent="0.3">
      <c r="J129"/>
    </row>
    <row r="130" spans="10:10" hidden="1" x14ac:dyDescent="0.3">
      <c r="J130"/>
    </row>
    <row r="131" spans="10:10" hidden="1" x14ac:dyDescent="0.3">
      <c r="J131"/>
    </row>
    <row r="132" spans="10:10" hidden="1" x14ac:dyDescent="0.3">
      <c r="J132"/>
    </row>
    <row r="133" spans="10:10" hidden="1" x14ac:dyDescent="0.3">
      <c r="J133"/>
    </row>
    <row r="134" spans="10:10" hidden="1" x14ac:dyDescent="0.3">
      <c r="J134"/>
    </row>
    <row r="135" spans="10:10" hidden="1" x14ac:dyDescent="0.3">
      <c r="J135"/>
    </row>
    <row r="136" spans="10:10" hidden="1" x14ac:dyDescent="0.3">
      <c r="J136"/>
    </row>
    <row r="137" spans="10:10" hidden="1" x14ac:dyDescent="0.3">
      <c r="J137"/>
    </row>
    <row r="138" spans="10:10" hidden="1" x14ac:dyDescent="0.3">
      <c r="J138"/>
    </row>
    <row r="139" spans="10:10" hidden="1" x14ac:dyDescent="0.3">
      <c r="J139"/>
    </row>
    <row r="140" spans="10:10" hidden="1" x14ac:dyDescent="0.3">
      <c r="J140"/>
    </row>
    <row r="141" spans="10:10" hidden="1" x14ac:dyDescent="0.3">
      <c r="J141"/>
    </row>
    <row r="142" spans="10:10" hidden="1" x14ac:dyDescent="0.3">
      <c r="J142"/>
    </row>
    <row r="143" spans="10:10" hidden="1" x14ac:dyDescent="0.3">
      <c r="J143"/>
    </row>
    <row r="144" spans="10:10" hidden="1" x14ac:dyDescent="0.3">
      <c r="J144"/>
    </row>
    <row r="145" spans="10:10" hidden="1" x14ac:dyDescent="0.3">
      <c r="J145"/>
    </row>
    <row r="146" spans="10:10" hidden="1" x14ac:dyDescent="0.3">
      <c r="J146"/>
    </row>
    <row r="147" spans="10:10" hidden="1" x14ac:dyDescent="0.3">
      <c r="J147"/>
    </row>
    <row r="148" spans="10:10" hidden="1" x14ac:dyDescent="0.3">
      <c r="J148"/>
    </row>
    <row r="149" spans="10:10" hidden="1" x14ac:dyDescent="0.3">
      <c r="J149"/>
    </row>
    <row r="150" spans="10:10" hidden="1" x14ac:dyDescent="0.3">
      <c r="J150"/>
    </row>
    <row r="151" spans="10:10" hidden="1" x14ac:dyDescent="0.3">
      <c r="J151"/>
    </row>
    <row r="152" spans="10:10" hidden="1" x14ac:dyDescent="0.3">
      <c r="J152"/>
    </row>
    <row r="153" spans="10:10" hidden="1" x14ac:dyDescent="0.3">
      <c r="J153"/>
    </row>
    <row r="154" spans="10:10" hidden="1" x14ac:dyDescent="0.3">
      <c r="J154"/>
    </row>
    <row r="155" spans="10:10" hidden="1" x14ac:dyDescent="0.3">
      <c r="J155"/>
    </row>
    <row r="156" spans="10:10" hidden="1" x14ac:dyDescent="0.3">
      <c r="J156"/>
    </row>
    <row r="157" spans="10:10" hidden="1" x14ac:dyDescent="0.3">
      <c r="J157"/>
    </row>
    <row r="158" spans="10:10" hidden="1" x14ac:dyDescent="0.3">
      <c r="J158"/>
    </row>
    <row r="159" spans="10:10" hidden="1" x14ac:dyDescent="0.3">
      <c r="J159"/>
    </row>
    <row r="160" spans="10:10" hidden="1" x14ac:dyDescent="0.3">
      <c r="J160"/>
    </row>
    <row r="161" spans="10:10" hidden="1" x14ac:dyDescent="0.3">
      <c r="J161"/>
    </row>
    <row r="162" spans="10:10" hidden="1" x14ac:dyDescent="0.3">
      <c r="J162"/>
    </row>
    <row r="163" spans="10:10" hidden="1" x14ac:dyDescent="0.3">
      <c r="J163"/>
    </row>
    <row r="164" spans="10:10" hidden="1" x14ac:dyDescent="0.3">
      <c r="J164"/>
    </row>
    <row r="165" spans="10:10" hidden="1" x14ac:dyDescent="0.3">
      <c r="J165"/>
    </row>
    <row r="166" spans="10:10" hidden="1" x14ac:dyDescent="0.3">
      <c r="J166"/>
    </row>
    <row r="167" spans="10:10" hidden="1" x14ac:dyDescent="0.3">
      <c r="J167"/>
    </row>
    <row r="168" spans="10:10" hidden="1" x14ac:dyDescent="0.3">
      <c r="J168"/>
    </row>
    <row r="169" spans="10:10" hidden="1" x14ac:dyDescent="0.3">
      <c r="J169"/>
    </row>
    <row r="170" spans="10:10" hidden="1" x14ac:dyDescent="0.3">
      <c r="J170"/>
    </row>
    <row r="171" spans="10:10" hidden="1" x14ac:dyDescent="0.3">
      <c r="J171"/>
    </row>
    <row r="172" spans="10:10" hidden="1" x14ac:dyDescent="0.3">
      <c r="J172"/>
    </row>
    <row r="173" spans="10:10" hidden="1" x14ac:dyDescent="0.3">
      <c r="J173"/>
    </row>
    <row r="174" spans="10:10" hidden="1" x14ac:dyDescent="0.3">
      <c r="J174"/>
    </row>
    <row r="175" spans="10:10" hidden="1" x14ac:dyDescent="0.3">
      <c r="J175"/>
    </row>
    <row r="176" spans="10:10" hidden="1" x14ac:dyDescent="0.3">
      <c r="J176"/>
    </row>
    <row r="177" spans="10:10" hidden="1" x14ac:dyDescent="0.3">
      <c r="J177"/>
    </row>
    <row r="178" spans="10:10" hidden="1" x14ac:dyDescent="0.3">
      <c r="J178"/>
    </row>
    <row r="179" spans="10:10" hidden="1" x14ac:dyDescent="0.3">
      <c r="J179"/>
    </row>
    <row r="180" spans="10:10" hidden="1" x14ac:dyDescent="0.3">
      <c r="J180"/>
    </row>
    <row r="181" spans="10:10" hidden="1" x14ac:dyDescent="0.3">
      <c r="J181"/>
    </row>
    <row r="182" spans="10:10" hidden="1" x14ac:dyDescent="0.3">
      <c r="J182"/>
    </row>
    <row r="183" spans="10:10" hidden="1" x14ac:dyDescent="0.3">
      <c r="J183"/>
    </row>
    <row r="184" spans="10:10" hidden="1" x14ac:dyDescent="0.3">
      <c r="J184"/>
    </row>
    <row r="185" spans="10:10" hidden="1" x14ac:dyDescent="0.3">
      <c r="J185"/>
    </row>
    <row r="186" spans="10:10" hidden="1" x14ac:dyDescent="0.3">
      <c r="J186"/>
    </row>
    <row r="187" spans="10:10" hidden="1" x14ac:dyDescent="0.3">
      <c r="J187"/>
    </row>
    <row r="188" spans="10:10" hidden="1" x14ac:dyDescent="0.3">
      <c r="J188"/>
    </row>
    <row r="189" spans="10:10" hidden="1" x14ac:dyDescent="0.3">
      <c r="J189"/>
    </row>
    <row r="190" spans="10:10" hidden="1" x14ac:dyDescent="0.3">
      <c r="J190"/>
    </row>
    <row r="191" spans="10:10" hidden="1" x14ac:dyDescent="0.3">
      <c r="J191"/>
    </row>
    <row r="192" spans="10:10" hidden="1" x14ac:dyDescent="0.3">
      <c r="J192"/>
    </row>
    <row r="193" spans="10:10" hidden="1" x14ac:dyDescent="0.3">
      <c r="J193"/>
    </row>
    <row r="194" spans="10:10" hidden="1" x14ac:dyDescent="0.3">
      <c r="J194"/>
    </row>
    <row r="195" spans="10:10" hidden="1" x14ac:dyDescent="0.3">
      <c r="J195"/>
    </row>
    <row r="196" spans="10:10" hidden="1" x14ac:dyDescent="0.3">
      <c r="J196"/>
    </row>
    <row r="197" spans="10:10" hidden="1" x14ac:dyDescent="0.3">
      <c r="J197"/>
    </row>
    <row r="198" spans="10:10" hidden="1" x14ac:dyDescent="0.3">
      <c r="J198"/>
    </row>
    <row r="199" spans="10:10" hidden="1" x14ac:dyDescent="0.3">
      <c r="J199"/>
    </row>
    <row r="200" spans="10:10" hidden="1" x14ac:dyDescent="0.3">
      <c r="J200"/>
    </row>
    <row r="201" spans="10:10" hidden="1" x14ac:dyDescent="0.3">
      <c r="J201"/>
    </row>
    <row r="202" spans="10:10" hidden="1" x14ac:dyDescent="0.3">
      <c r="J202"/>
    </row>
    <row r="203" spans="10:10" hidden="1" x14ac:dyDescent="0.3">
      <c r="J203"/>
    </row>
    <row r="204" spans="10:10" hidden="1" x14ac:dyDescent="0.3">
      <c r="J204"/>
    </row>
    <row r="205" spans="10:10" hidden="1" x14ac:dyDescent="0.3">
      <c r="J205"/>
    </row>
    <row r="206" spans="10:10" hidden="1" x14ac:dyDescent="0.3">
      <c r="J206"/>
    </row>
    <row r="207" spans="10:10" hidden="1" x14ac:dyDescent="0.3">
      <c r="J207"/>
    </row>
    <row r="208" spans="10:10" hidden="1" x14ac:dyDescent="0.3">
      <c r="J208"/>
    </row>
    <row r="209" spans="10:10" hidden="1" x14ac:dyDescent="0.3">
      <c r="J209"/>
    </row>
    <row r="210" spans="10:10" hidden="1" x14ac:dyDescent="0.3">
      <c r="J210"/>
    </row>
    <row r="211" spans="10:10" hidden="1" x14ac:dyDescent="0.3">
      <c r="J211"/>
    </row>
    <row r="212" spans="10:10" hidden="1" x14ac:dyDescent="0.3">
      <c r="J212"/>
    </row>
    <row r="213" spans="10:10" hidden="1" x14ac:dyDescent="0.3">
      <c r="J213"/>
    </row>
    <row r="214" spans="10:10" hidden="1" x14ac:dyDescent="0.3">
      <c r="J214"/>
    </row>
    <row r="215" spans="10:10" hidden="1" x14ac:dyDescent="0.3">
      <c r="J215"/>
    </row>
    <row r="216" spans="10:10" hidden="1" x14ac:dyDescent="0.3">
      <c r="J216"/>
    </row>
    <row r="217" spans="10:10" hidden="1" x14ac:dyDescent="0.3">
      <c r="J217"/>
    </row>
    <row r="218" spans="10:10" hidden="1" x14ac:dyDescent="0.3">
      <c r="J218"/>
    </row>
    <row r="219" spans="10:10" hidden="1" x14ac:dyDescent="0.3">
      <c r="J219"/>
    </row>
    <row r="220" spans="10:10" hidden="1" x14ac:dyDescent="0.3">
      <c r="J220"/>
    </row>
    <row r="221" spans="10:10" hidden="1" x14ac:dyDescent="0.3">
      <c r="J221"/>
    </row>
    <row r="222" spans="10:10" hidden="1" x14ac:dyDescent="0.3">
      <c r="J222"/>
    </row>
    <row r="223" spans="10:10" hidden="1" x14ac:dyDescent="0.3">
      <c r="J223"/>
    </row>
    <row r="224" spans="10:10" hidden="1" x14ac:dyDescent="0.3">
      <c r="J224"/>
    </row>
    <row r="225" spans="10:10" hidden="1" x14ac:dyDescent="0.3">
      <c r="J225"/>
    </row>
    <row r="226" spans="10:10" hidden="1" x14ac:dyDescent="0.3">
      <c r="J226"/>
    </row>
    <row r="227" spans="10:10" hidden="1" x14ac:dyDescent="0.3">
      <c r="J227"/>
    </row>
    <row r="228" spans="10:10" hidden="1" x14ac:dyDescent="0.3">
      <c r="J228"/>
    </row>
    <row r="229" spans="10:10" hidden="1" x14ac:dyDescent="0.3">
      <c r="J229"/>
    </row>
    <row r="230" spans="10:10" hidden="1" x14ac:dyDescent="0.3">
      <c r="J230"/>
    </row>
    <row r="231" spans="10:10" hidden="1" x14ac:dyDescent="0.3">
      <c r="J231"/>
    </row>
    <row r="232" spans="10:10" hidden="1" x14ac:dyDescent="0.3">
      <c r="J232"/>
    </row>
    <row r="233" spans="10:10" hidden="1" x14ac:dyDescent="0.3">
      <c r="J233"/>
    </row>
    <row r="234" spans="10:10" hidden="1" x14ac:dyDescent="0.3">
      <c r="J234"/>
    </row>
    <row r="235" spans="10:10" hidden="1" x14ac:dyDescent="0.3">
      <c r="J235"/>
    </row>
    <row r="236" spans="10:10" hidden="1" x14ac:dyDescent="0.3">
      <c r="J236"/>
    </row>
    <row r="237" spans="10:10" hidden="1" x14ac:dyDescent="0.3">
      <c r="J237"/>
    </row>
    <row r="238" spans="10:10" hidden="1" x14ac:dyDescent="0.3">
      <c r="J238"/>
    </row>
    <row r="239" spans="10:10" hidden="1" x14ac:dyDescent="0.3">
      <c r="J239"/>
    </row>
    <row r="240" spans="10:10" hidden="1" x14ac:dyDescent="0.3">
      <c r="J240"/>
    </row>
    <row r="241" spans="10:10" hidden="1" x14ac:dyDescent="0.3">
      <c r="J241"/>
    </row>
    <row r="242" spans="10:10" hidden="1" x14ac:dyDescent="0.3">
      <c r="J242"/>
    </row>
    <row r="243" spans="10:10" hidden="1" x14ac:dyDescent="0.3">
      <c r="J243"/>
    </row>
    <row r="244" spans="10:10" hidden="1" x14ac:dyDescent="0.3">
      <c r="J244"/>
    </row>
    <row r="245" spans="10:10" hidden="1" x14ac:dyDescent="0.3">
      <c r="J245"/>
    </row>
    <row r="246" spans="10:10" hidden="1" x14ac:dyDescent="0.3">
      <c r="J246"/>
    </row>
    <row r="247" spans="10:10" hidden="1" x14ac:dyDescent="0.3">
      <c r="J247"/>
    </row>
    <row r="248" spans="10:10" hidden="1" x14ac:dyDescent="0.3">
      <c r="J248"/>
    </row>
    <row r="249" spans="10:10" hidden="1" x14ac:dyDescent="0.3">
      <c r="J249"/>
    </row>
    <row r="250" spans="10:10" hidden="1" x14ac:dyDescent="0.3">
      <c r="J250"/>
    </row>
    <row r="251" spans="10:10" hidden="1" x14ac:dyDescent="0.3">
      <c r="J251"/>
    </row>
    <row r="252" spans="10:10" hidden="1" x14ac:dyDescent="0.3">
      <c r="J252"/>
    </row>
    <row r="253" spans="10:10" hidden="1" x14ac:dyDescent="0.3">
      <c r="J253"/>
    </row>
    <row r="254" spans="10:10" hidden="1" x14ac:dyDescent="0.3">
      <c r="J254"/>
    </row>
    <row r="255" spans="10:10" hidden="1" x14ac:dyDescent="0.3">
      <c r="J255"/>
    </row>
    <row r="256" spans="10:10" hidden="1" x14ac:dyDescent="0.3">
      <c r="J256"/>
    </row>
    <row r="257" spans="10:10" hidden="1" x14ac:dyDescent="0.3">
      <c r="J257"/>
    </row>
    <row r="258" spans="10:10" hidden="1" x14ac:dyDescent="0.3">
      <c r="J258"/>
    </row>
    <row r="259" spans="10:10" hidden="1" x14ac:dyDescent="0.3">
      <c r="J259"/>
    </row>
    <row r="260" spans="10:10" hidden="1" x14ac:dyDescent="0.3">
      <c r="J260"/>
    </row>
    <row r="261" spans="10:10" hidden="1" x14ac:dyDescent="0.3">
      <c r="J261"/>
    </row>
    <row r="262" spans="10:10" hidden="1" x14ac:dyDescent="0.3">
      <c r="J262"/>
    </row>
    <row r="263" spans="10:10" hidden="1" x14ac:dyDescent="0.3">
      <c r="J263"/>
    </row>
    <row r="264" spans="10:10" hidden="1" x14ac:dyDescent="0.3">
      <c r="J264"/>
    </row>
    <row r="265" spans="10:10" hidden="1" x14ac:dyDescent="0.3">
      <c r="J265"/>
    </row>
    <row r="266" spans="10:10" hidden="1" x14ac:dyDescent="0.3">
      <c r="J266"/>
    </row>
    <row r="267" spans="10:10" hidden="1" x14ac:dyDescent="0.3">
      <c r="J267"/>
    </row>
    <row r="268" spans="10:10" hidden="1" x14ac:dyDescent="0.3">
      <c r="J268"/>
    </row>
    <row r="269" spans="10:10" hidden="1" x14ac:dyDescent="0.3">
      <c r="J269"/>
    </row>
    <row r="270" spans="10:10" hidden="1" x14ac:dyDescent="0.3">
      <c r="J270"/>
    </row>
    <row r="271" spans="10:10" hidden="1" x14ac:dyDescent="0.3">
      <c r="J271"/>
    </row>
    <row r="272" spans="10:10" hidden="1" x14ac:dyDescent="0.3">
      <c r="J272"/>
    </row>
    <row r="273" spans="10:10" hidden="1" x14ac:dyDescent="0.3">
      <c r="J273"/>
    </row>
    <row r="274" spans="10:10" hidden="1" x14ac:dyDescent="0.3">
      <c r="J274"/>
    </row>
    <row r="275" spans="10:10" hidden="1" x14ac:dyDescent="0.3">
      <c r="J275"/>
    </row>
    <row r="276" spans="10:10" hidden="1" x14ac:dyDescent="0.3">
      <c r="J276"/>
    </row>
    <row r="277" spans="10:10" hidden="1" x14ac:dyDescent="0.3">
      <c r="J277"/>
    </row>
    <row r="278" spans="10:10" hidden="1" x14ac:dyDescent="0.3">
      <c r="J278"/>
    </row>
    <row r="279" spans="10:10" hidden="1" x14ac:dyDescent="0.3">
      <c r="J279"/>
    </row>
    <row r="280" spans="10:10" hidden="1" x14ac:dyDescent="0.3">
      <c r="J280"/>
    </row>
    <row r="281" spans="10:10" hidden="1" x14ac:dyDescent="0.3">
      <c r="J281"/>
    </row>
    <row r="282" spans="10:10" hidden="1" x14ac:dyDescent="0.3">
      <c r="J282"/>
    </row>
    <row r="283" spans="10:10" hidden="1" x14ac:dyDescent="0.3">
      <c r="J283"/>
    </row>
    <row r="284" spans="10:10" hidden="1" x14ac:dyDescent="0.3">
      <c r="J284"/>
    </row>
    <row r="285" spans="10:10" hidden="1" x14ac:dyDescent="0.3">
      <c r="J285"/>
    </row>
    <row r="286" spans="10:10" hidden="1" x14ac:dyDescent="0.3">
      <c r="J286"/>
    </row>
    <row r="287" spans="10:10" hidden="1" x14ac:dyDescent="0.3">
      <c r="J287"/>
    </row>
    <row r="288" spans="10:10" hidden="1" x14ac:dyDescent="0.3">
      <c r="J288"/>
    </row>
    <row r="289" spans="10:10" hidden="1" x14ac:dyDescent="0.3">
      <c r="J289"/>
    </row>
    <row r="290" spans="10:10" hidden="1" x14ac:dyDescent="0.3">
      <c r="J290"/>
    </row>
    <row r="291" spans="10:10" hidden="1" x14ac:dyDescent="0.3">
      <c r="J291"/>
    </row>
    <row r="292" spans="10:10" hidden="1" x14ac:dyDescent="0.3">
      <c r="J292"/>
    </row>
    <row r="293" spans="10:10" hidden="1" x14ac:dyDescent="0.3">
      <c r="J293"/>
    </row>
    <row r="294" spans="10:10" hidden="1" x14ac:dyDescent="0.3">
      <c r="J294"/>
    </row>
    <row r="295" spans="10:10" hidden="1" x14ac:dyDescent="0.3">
      <c r="J295"/>
    </row>
    <row r="296" spans="10:10" hidden="1" x14ac:dyDescent="0.3">
      <c r="J296"/>
    </row>
    <row r="297" spans="10:10" hidden="1" x14ac:dyDescent="0.3">
      <c r="J297"/>
    </row>
    <row r="298" spans="10:10" hidden="1" x14ac:dyDescent="0.3">
      <c r="J298"/>
    </row>
    <row r="299" spans="10:10" hidden="1" x14ac:dyDescent="0.3">
      <c r="J299"/>
    </row>
    <row r="300" spans="10:10" hidden="1" x14ac:dyDescent="0.3">
      <c r="J300"/>
    </row>
    <row r="301" spans="10:10" hidden="1" x14ac:dyDescent="0.3">
      <c r="J301"/>
    </row>
    <row r="302" spans="10:10" hidden="1" x14ac:dyDescent="0.3">
      <c r="J302"/>
    </row>
    <row r="303" spans="10:10" hidden="1" x14ac:dyDescent="0.3">
      <c r="J303"/>
    </row>
    <row r="304" spans="10:10" hidden="1" x14ac:dyDescent="0.3">
      <c r="J304"/>
    </row>
    <row r="305" spans="10:10" hidden="1" x14ac:dyDescent="0.3">
      <c r="J305"/>
    </row>
    <row r="306" spans="10:10" hidden="1" x14ac:dyDescent="0.3">
      <c r="J306"/>
    </row>
    <row r="307" spans="10:10" hidden="1" x14ac:dyDescent="0.3">
      <c r="J307"/>
    </row>
    <row r="308" spans="10:10" hidden="1" x14ac:dyDescent="0.3">
      <c r="J308"/>
    </row>
    <row r="309" spans="10:10" hidden="1" x14ac:dyDescent="0.3">
      <c r="J309"/>
    </row>
    <row r="310" spans="10:10" hidden="1" x14ac:dyDescent="0.3">
      <c r="J310"/>
    </row>
    <row r="311" spans="10:10" hidden="1" x14ac:dyDescent="0.3">
      <c r="J311"/>
    </row>
    <row r="312" spans="10:10" hidden="1" x14ac:dyDescent="0.3">
      <c r="J312"/>
    </row>
    <row r="313" spans="10:10" hidden="1" x14ac:dyDescent="0.3">
      <c r="J313"/>
    </row>
    <row r="314" spans="10:10" hidden="1" x14ac:dyDescent="0.3">
      <c r="J314"/>
    </row>
    <row r="315" spans="10:10" hidden="1" x14ac:dyDescent="0.3">
      <c r="J315"/>
    </row>
    <row r="316" spans="10:10" hidden="1" x14ac:dyDescent="0.3">
      <c r="J316"/>
    </row>
    <row r="317" spans="10:10" hidden="1" x14ac:dyDescent="0.3">
      <c r="J317"/>
    </row>
    <row r="318" spans="10:10" hidden="1" x14ac:dyDescent="0.3">
      <c r="J318"/>
    </row>
    <row r="319" spans="10:10" hidden="1" x14ac:dyDescent="0.3">
      <c r="J319"/>
    </row>
    <row r="320" spans="10:10" hidden="1" x14ac:dyDescent="0.3">
      <c r="J320"/>
    </row>
    <row r="321" spans="10:10" hidden="1" x14ac:dyDescent="0.3">
      <c r="J321"/>
    </row>
    <row r="322" spans="10:10" hidden="1" x14ac:dyDescent="0.3">
      <c r="J322"/>
    </row>
    <row r="323" spans="10:10" hidden="1" x14ac:dyDescent="0.3">
      <c r="J323"/>
    </row>
    <row r="324" spans="10:10" hidden="1" x14ac:dyDescent="0.3">
      <c r="J324"/>
    </row>
    <row r="325" spans="10:10" hidden="1" x14ac:dyDescent="0.3">
      <c r="J325"/>
    </row>
    <row r="326" spans="10:10" hidden="1" x14ac:dyDescent="0.3">
      <c r="J326"/>
    </row>
    <row r="327" spans="10:10" hidden="1" x14ac:dyDescent="0.3">
      <c r="J327"/>
    </row>
    <row r="328" spans="10:10" hidden="1" x14ac:dyDescent="0.3">
      <c r="J328"/>
    </row>
    <row r="329" spans="10:10" hidden="1" x14ac:dyDescent="0.3">
      <c r="J329"/>
    </row>
    <row r="330" spans="10:10" hidden="1" x14ac:dyDescent="0.3">
      <c r="J330"/>
    </row>
    <row r="331" spans="10:10" hidden="1" x14ac:dyDescent="0.3">
      <c r="J331"/>
    </row>
    <row r="332" spans="10:10" hidden="1" x14ac:dyDescent="0.3">
      <c r="J332"/>
    </row>
    <row r="333" spans="10:10" hidden="1" x14ac:dyDescent="0.3">
      <c r="J333"/>
    </row>
    <row r="334" spans="10:10" hidden="1" x14ac:dyDescent="0.3">
      <c r="J334"/>
    </row>
    <row r="335" spans="10:10" hidden="1" x14ac:dyDescent="0.3">
      <c r="J335"/>
    </row>
    <row r="336" spans="10:10" hidden="1" x14ac:dyDescent="0.3">
      <c r="J336"/>
    </row>
    <row r="337" spans="10:10" hidden="1" x14ac:dyDescent="0.3">
      <c r="J337"/>
    </row>
    <row r="338" spans="10:10" hidden="1" x14ac:dyDescent="0.3">
      <c r="J338"/>
    </row>
    <row r="339" spans="10:10" hidden="1" x14ac:dyDescent="0.3">
      <c r="J339"/>
    </row>
    <row r="340" spans="10:10" hidden="1" x14ac:dyDescent="0.3">
      <c r="J340"/>
    </row>
    <row r="341" spans="10:10" hidden="1" x14ac:dyDescent="0.3">
      <c r="J341"/>
    </row>
    <row r="342" spans="10:10" hidden="1" x14ac:dyDescent="0.3">
      <c r="J342"/>
    </row>
    <row r="343" spans="10:10" hidden="1" x14ac:dyDescent="0.3">
      <c r="J343"/>
    </row>
    <row r="344" spans="10:10" hidden="1" x14ac:dyDescent="0.3">
      <c r="J344"/>
    </row>
    <row r="345" spans="10:10" hidden="1" x14ac:dyDescent="0.3">
      <c r="J345"/>
    </row>
    <row r="346" spans="10:10" hidden="1" x14ac:dyDescent="0.3">
      <c r="J346"/>
    </row>
    <row r="347" spans="10:10" hidden="1" x14ac:dyDescent="0.3">
      <c r="J347"/>
    </row>
    <row r="348" spans="10:10" hidden="1" x14ac:dyDescent="0.3">
      <c r="J348"/>
    </row>
    <row r="349" spans="10:10" hidden="1" x14ac:dyDescent="0.3">
      <c r="J349"/>
    </row>
    <row r="350" spans="10:10" hidden="1" x14ac:dyDescent="0.3">
      <c r="J350"/>
    </row>
    <row r="351" spans="10:10" hidden="1" x14ac:dyDescent="0.3">
      <c r="J351"/>
    </row>
    <row r="352" spans="10:10" hidden="1" x14ac:dyDescent="0.3">
      <c r="J352"/>
    </row>
    <row r="353" spans="10:10" hidden="1" x14ac:dyDescent="0.3">
      <c r="J353"/>
    </row>
    <row r="354" spans="10:10" hidden="1" x14ac:dyDescent="0.3">
      <c r="J354"/>
    </row>
    <row r="355" spans="10:10" hidden="1" x14ac:dyDescent="0.3">
      <c r="J355"/>
    </row>
    <row r="356" spans="10:10" hidden="1" x14ac:dyDescent="0.3">
      <c r="J356"/>
    </row>
    <row r="357" spans="10:10" hidden="1" x14ac:dyDescent="0.3">
      <c r="J357"/>
    </row>
    <row r="358" spans="10:10" hidden="1" x14ac:dyDescent="0.3">
      <c r="J358"/>
    </row>
    <row r="359" spans="10:10" hidden="1" x14ac:dyDescent="0.3">
      <c r="J359"/>
    </row>
    <row r="360" spans="10:10" hidden="1" x14ac:dyDescent="0.3">
      <c r="J360"/>
    </row>
    <row r="361" spans="10:10" hidden="1" x14ac:dyDescent="0.3">
      <c r="J361"/>
    </row>
    <row r="362" spans="10:10" hidden="1" x14ac:dyDescent="0.3">
      <c r="J362"/>
    </row>
    <row r="363" spans="10:10" hidden="1" x14ac:dyDescent="0.3">
      <c r="J363"/>
    </row>
    <row r="364" spans="10:10" hidden="1" x14ac:dyDescent="0.3">
      <c r="J364"/>
    </row>
    <row r="365" spans="10:10" hidden="1" x14ac:dyDescent="0.3">
      <c r="J365"/>
    </row>
    <row r="366" spans="10:10" hidden="1" x14ac:dyDescent="0.3">
      <c r="J366"/>
    </row>
    <row r="367" spans="10:10" hidden="1" x14ac:dyDescent="0.3">
      <c r="J367"/>
    </row>
    <row r="368" spans="10:10" hidden="1" x14ac:dyDescent="0.3">
      <c r="J368"/>
    </row>
    <row r="369" spans="10:10" hidden="1" x14ac:dyDescent="0.3">
      <c r="J369"/>
    </row>
    <row r="370" spans="10:10" hidden="1" x14ac:dyDescent="0.3">
      <c r="J370"/>
    </row>
    <row r="371" spans="10:10" hidden="1" x14ac:dyDescent="0.3">
      <c r="J371"/>
    </row>
    <row r="372" spans="10:10" hidden="1" x14ac:dyDescent="0.3">
      <c r="J372"/>
    </row>
    <row r="373" spans="10:10" hidden="1" x14ac:dyDescent="0.3">
      <c r="J373"/>
    </row>
    <row r="374" spans="10:10" hidden="1" x14ac:dyDescent="0.3">
      <c r="J374"/>
    </row>
    <row r="375" spans="10:10" hidden="1" x14ac:dyDescent="0.3">
      <c r="J375"/>
    </row>
    <row r="376" spans="10:10" hidden="1" x14ac:dyDescent="0.3">
      <c r="J376"/>
    </row>
    <row r="377" spans="10:10" hidden="1" x14ac:dyDescent="0.3">
      <c r="J377"/>
    </row>
    <row r="378" spans="10:10" hidden="1" x14ac:dyDescent="0.3">
      <c r="J378"/>
    </row>
    <row r="379" spans="10:10" hidden="1" x14ac:dyDescent="0.3">
      <c r="J379"/>
    </row>
    <row r="380" spans="10:10" hidden="1" x14ac:dyDescent="0.3">
      <c r="J380"/>
    </row>
    <row r="381" spans="10:10" hidden="1" x14ac:dyDescent="0.3">
      <c r="J381"/>
    </row>
    <row r="382" spans="10:10" hidden="1" x14ac:dyDescent="0.3">
      <c r="J382"/>
    </row>
    <row r="383" spans="10:10" hidden="1" x14ac:dyDescent="0.3">
      <c r="J383"/>
    </row>
    <row r="384" spans="10:10" hidden="1" x14ac:dyDescent="0.3">
      <c r="J384"/>
    </row>
    <row r="385" spans="2:10" hidden="1" x14ac:dyDescent="0.3">
      <c r="J385"/>
    </row>
    <row r="386" spans="2:10" hidden="1" x14ac:dyDescent="0.3">
      <c r="J386"/>
    </row>
    <row r="387" spans="2:10" hidden="1" x14ac:dyDescent="0.3">
      <c r="J387"/>
    </row>
    <row r="388" spans="2:10" hidden="1" x14ac:dyDescent="0.3">
      <c r="J388"/>
    </row>
    <row r="389" spans="2:10" hidden="1" x14ac:dyDescent="0.3">
      <c r="J389"/>
    </row>
    <row r="390" spans="2:10" hidden="1" x14ac:dyDescent="0.3">
      <c r="J390"/>
    </row>
    <row r="391" spans="2:10" hidden="1" x14ac:dyDescent="0.3">
      <c r="J391"/>
    </row>
    <row r="392" spans="2:10" hidden="1" x14ac:dyDescent="0.3"/>
    <row r="393" spans="2:10" hidden="1" x14ac:dyDescent="0.3"/>
    <row r="397" spans="2:10" ht="18.600000000000001" thickBot="1" x14ac:dyDescent="0.35">
      <c r="B397" s="342" t="s">
        <v>3321</v>
      </c>
      <c r="G397" s="867" t="s">
        <v>3322</v>
      </c>
      <c r="H397" s="868"/>
      <c r="I397" s="868"/>
      <c r="J397" s="869"/>
    </row>
    <row r="398" spans="2:10" ht="18" x14ac:dyDescent="0.35">
      <c r="B398" s="343"/>
      <c r="G398" s="953"/>
      <c r="H398" s="954"/>
      <c r="I398" s="954"/>
      <c r="J398" s="955"/>
    </row>
    <row r="399" spans="2:10" ht="18" x14ac:dyDescent="0.35">
      <c r="B399" s="344"/>
      <c r="G399" s="953"/>
      <c r="H399" s="954"/>
      <c r="I399" s="954"/>
      <c r="J399" s="955"/>
    </row>
    <row r="400" spans="2:10" ht="18.600000000000001" thickBot="1" x14ac:dyDescent="0.4">
      <c r="B400" s="345"/>
      <c r="G400" s="956"/>
      <c r="H400" s="957"/>
      <c r="I400" s="957"/>
      <c r="J400" s="958"/>
    </row>
    <row r="401" spans="2:10" ht="18" x14ac:dyDescent="0.3">
      <c r="B401" s="346" t="s">
        <v>28</v>
      </c>
      <c r="G401" s="947" t="s">
        <v>198</v>
      </c>
      <c r="H401" s="948"/>
      <c r="I401" s="948"/>
      <c r="J401" s="949"/>
    </row>
    <row r="402" spans="2:10" ht="18" x14ac:dyDescent="0.3">
      <c r="B402" s="347" t="s">
        <v>243</v>
      </c>
      <c r="G402" s="950" t="str">
        <f>IFERROR(VLOOKUP(G401,Catalogos!D$18:E$25,2,FALSE),"Cargo")</f>
        <v>Cargo</v>
      </c>
      <c r="H402" s="951"/>
      <c r="I402" s="951"/>
      <c r="J402" s="952"/>
    </row>
    <row r="403" spans="2:10" ht="18" x14ac:dyDescent="0.3">
      <c r="B403" s="348" t="s">
        <v>268</v>
      </c>
      <c r="G403" s="882" t="s">
        <v>3323</v>
      </c>
      <c r="H403" s="883"/>
      <c r="I403" s="883"/>
      <c r="J403" s="884"/>
    </row>
    <row r="405" spans="2:10" ht="18" x14ac:dyDescent="0.3">
      <c r="G405" s="867" t="s">
        <v>3322</v>
      </c>
      <c r="H405" s="868"/>
      <c r="I405" s="868"/>
      <c r="J405" s="869"/>
    </row>
    <row r="406" spans="2:10" ht="18" x14ac:dyDescent="0.35">
      <c r="G406" s="953"/>
      <c r="H406" s="954"/>
      <c r="I406" s="954"/>
      <c r="J406" s="955"/>
    </row>
    <row r="407" spans="2:10" ht="18" x14ac:dyDescent="0.35">
      <c r="G407" s="953"/>
      <c r="H407" s="954"/>
      <c r="I407" s="954"/>
      <c r="J407" s="955"/>
    </row>
    <row r="408" spans="2:10" ht="18" x14ac:dyDescent="0.35">
      <c r="G408" s="956"/>
      <c r="H408" s="957"/>
      <c r="I408" s="957"/>
      <c r="J408" s="958"/>
    </row>
    <row r="409" spans="2:10" ht="18" x14ac:dyDescent="0.3">
      <c r="G409" s="947" t="s">
        <v>198</v>
      </c>
      <c r="H409" s="948"/>
      <c r="I409" s="948"/>
      <c r="J409" s="949"/>
    </row>
    <row r="410" spans="2:10" ht="15.6" x14ac:dyDescent="0.3">
      <c r="G410" s="950" t="str">
        <f>IFERROR(VLOOKUP(G409,Catalogos!D$18:E$25,2,FALSE),"Cargo")</f>
        <v>Cargo</v>
      </c>
      <c r="H410" s="951"/>
      <c r="I410" s="951"/>
      <c r="J410" s="952"/>
    </row>
    <row r="411" spans="2:10" ht="18" x14ac:dyDescent="0.3">
      <c r="G411" s="882" t="s">
        <v>3323</v>
      </c>
      <c r="H411" s="883"/>
      <c r="I411" s="883"/>
      <c r="J411" s="884"/>
    </row>
    <row r="413" spans="2:10" ht="18" x14ac:dyDescent="0.3">
      <c r="G413" s="867" t="s">
        <v>3322</v>
      </c>
      <c r="H413" s="868"/>
      <c r="I413" s="868"/>
      <c r="J413" s="869"/>
    </row>
    <row r="414" spans="2:10" ht="18" x14ac:dyDescent="0.35">
      <c r="G414" s="953"/>
      <c r="H414" s="954"/>
      <c r="I414" s="954"/>
      <c r="J414" s="955"/>
    </row>
    <row r="415" spans="2:10" ht="18" x14ac:dyDescent="0.35">
      <c r="G415" s="953"/>
      <c r="H415" s="954"/>
      <c r="I415" s="954"/>
      <c r="J415" s="955"/>
    </row>
    <row r="416" spans="2:10" ht="18" x14ac:dyDescent="0.35">
      <c r="G416" s="956"/>
      <c r="H416" s="957"/>
      <c r="I416" s="957"/>
      <c r="J416" s="958"/>
    </row>
    <row r="417" spans="7:10" ht="18" x14ac:dyDescent="0.3">
      <c r="G417" s="947" t="s">
        <v>198</v>
      </c>
      <c r="H417" s="948"/>
      <c r="I417" s="948"/>
      <c r="J417" s="949"/>
    </row>
    <row r="418" spans="7:10" ht="15.6" x14ac:dyDescent="0.3">
      <c r="G418" s="950" t="str">
        <f>IFERROR(VLOOKUP(G417,Catalogos!D$18:E$25,2,FALSE),"Cargo")</f>
        <v>Cargo</v>
      </c>
      <c r="H418" s="951"/>
      <c r="I418" s="951"/>
      <c r="J418" s="952"/>
    </row>
    <row r="419" spans="7:10" ht="18" x14ac:dyDescent="0.3">
      <c r="G419" s="882" t="s">
        <v>3323</v>
      </c>
      <c r="H419" s="883"/>
      <c r="I419" s="883"/>
      <c r="J419" s="884"/>
    </row>
  </sheetData>
  <mergeCells count="24">
    <mergeCell ref="G397:J397"/>
    <mergeCell ref="B4:D4"/>
    <mergeCell ref="C5:H5"/>
    <mergeCell ref="C7:E7"/>
    <mergeCell ref="G398:J398"/>
    <mergeCell ref="G399:J399"/>
    <mergeCell ref="G400:J400"/>
    <mergeCell ref="G401:J401"/>
    <mergeCell ref="G402:J402"/>
    <mergeCell ref="G403:J403"/>
    <mergeCell ref="G405:J405"/>
    <mergeCell ref="G406:J406"/>
    <mergeCell ref="G407:J407"/>
    <mergeCell ref="G408:J408"/>
    <mergeCell ref="G416:J416"/>
    <mergeCell ref="G417:J417"/>
    <mergeCell ref="G418:J418"/>
    <mergeCell ref="G419:J419"/>
    <mergeCell ref="G409:J409"/>
    <mergeCell ref="G410:J410"/>
    <mergeCell ref="G411:J411"/>
    <mergeCell ref="G413:J413"/>
    <mergeCell ref="G414:J414"/>
    <mergeCell ref="G415:J415"/>
  </mergeCell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6FB5C58-91DA-4D9B-BA54-9B3D1B571657}">
          <x14:formula1>
            <xm:f>Catalogos!$D$18:$D$25</xm:f>
          </x14:formula1>
          <xm:sqref>G401:J401 G409:J409 G417:J417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H20"/>
  <sheetViews>
    <sheetView topLeftCell="A2" zoomScale="90" zoomScaleNormal="90" workbookViewId="0">
      <pane xSplit="2" topLeftCell="AL1" activePane="topRight" state="frozen"/>
      <selection pane="topRight" activeCell="BH19" sqref="BH19"/>
    </sheetView>
  </sheetViews>
  <sheetFormatPr baseColWidth="10" defaultRowHeight="14.4" x14ac:dyDescent="0.3"/>
  <cols>
    <col min="1" max="1" width="3.21875" customWidth="1"/>
    <col min="2" max="2" width="26" bestFit="1" customWidth="1"/>
    <col min="3" max="3" width="8.77734375" bestFit="1" customWidth="1"/>
    <col min="4" max="4" width="7.77734375" bestFit="1" customWidth="1"/>
    <col min="5" max="5" width="8.44140625" customWidth="1"/>
    <col min="6" max="7" width="7.77734375" bestFit="1" customWidth="1"/>
    <col min="8" max="8" width="6.77734375" bestFit="1" customWidth="1"/>
    <col min="9" max="9" width="7.77734375" bestFit="1" customWidth="1"/>
    <col min="10" max="10" width="8" customWidth="1"/>
    <col min="11" max="12" width="6.77734375" bestFit="1" customWidth="1"/>
    <col min="13" max="13" width="7.77734375" bestFit="1" customWidth="1"/>
    <col min="14" max="14" width="6.77734375" customWidth="1"/>
    <col min="15" max="16" width="7.77734375" bestFit="1" customWidth="1"/>
    <col min="17" max="17" width="6.77734375" bestFit="1" customWidth="1"/>
    <col min="18" max="19" width="7.77734375" bestFit="1" customWidth="1"/>
    <col min="20" max="21" width="6.77734375" bestFit="1" customWidth="1"/>
    <col min="22" max="22" width="7.77734375" bestFit="1" customWidth="1"/>
    <col min="23" max="24" width="6.77734375" bestFit="1" customWidth="1"/>
    <col min="25" max="25" width="7.77734375" bestFit="1" customWidth="1"/>
    <col min="26" max="26" width="6.77734375" bestFit="1" customWidth="1"/>
    <col min="27" max="28" width="7.77734375" bestFit="1" customWidth="1"/>
    <col min="29" max="30" width="6.77734375" bestFit="1" customWidth="1"/>
    <col min="31" max="31" width="7.77734375" bestFit="1" customWidth="1"/>
    <col min="32" max="33" width="6.77734375" bestFit="1" customWidth="1"/>
    <col min="34" max="37" width="7.77734375" bestFit="1" customWidth="1"/>
    <col min="38" max="38" width="6.77734375" bestFit="1" customWidth="1"/>
    <col min="39" max="40" width="7.77734375" bestFit="1" customWidth="1"/>
    <col min="41" max="42" width="6.77734375" bestFit="1" customWidth="1"/>
    <col min="43" max="43" width="7.77734375" bestFit="1" customWidth="1"/>
    <col min="44" max="44" width="6.77734375" bestFit="1" customWidth="1"/>
    <col min="45" max="46" width="7.77734375" bestFit="1" customWidth="1"/>
    <col min="47" max="48" width="6.77734375" bestFit="1" customWidth="1"/>
    <col min="49" max="52" width="7.77734375" bestFit="1" customWidth="1"/>
    <col min="53" max="53" width="6.77734375" bestFit="1" customWidth="1"/>
    <col min="54" max="55" width="7.77734375" bestFit="1" customWidth="1"/>
    <col min="56" max="56" width="6.77734375" bestFit="1" customWidth="1"/>
    <col min="57" max="58" width="7.77734375" bestFit="1" customWidth="1"/>
    <col min="59" max="59" width="6.77734375" bestFit="1" customWidth="1"/>
  </cols>
  <sheetData>
    <row r="1" spans="1:60" x14ac:dyDescent="0.3">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row>
    <row r="2" spans="1:60" ht="18" x14ac:dyDescent="0.3">
      <c r="A2" s="11"/>
      <c r="B2" s="11"/>
      <c r="C2" s="11"/>
      <c r="D2" s="11"/>
      <c r="E2" s="34"/>
      <c r="F2" s="32"/>
      <c r="G2" s="32"/>
      <c r="H2" s="11"/>
      <c r="I2" s="32"/>
      <c r="J2" s="34" t="s">
        <v>0</v>
      </c>
      <c r="K2" s="32"/>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row>
    <row r="3" spans="1:60" ht="15.6" x14ac:dyDescent="0.3">
      <c r="A3" s="11"/>
      <c r="B3" s="11"/>
      <c r="C3" s="11"/>
      <c r="D3" s="11"/>
      <c r="E3" s="119"/>
      <c r="F3" s="11"/>
      <c r="G3" s="100"/>
      <c r="H3" s="11"/>
      <c r="I3" s="11"/>
      <c r="J3" s="119" t="s">
        <v>24</v>
      </c>
      <c r="K3" s="11"/>
      <c r="L3" s="11"/>
      <c r="M3" s="100"/>
      <c r="N3" s="100" t="s">
        <v>41</v>
      </c>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row>
    <row r="4" spans="1:60" ht="15.6" x14ac:dyDescent="0.3">
      <c r="A4" s="11"/>
      <c r="B4" s="11"/>
      <c r="C4" s="11"/>
      <c r="D4" s="11"/>
      <c r="E4" s="120"/>
      <c r="F4" s="11"/>
      <c r="G4" s="100"/>
      <c r="H4" s="11"/>
      <c r="I4" s="11"/>
      <c r="J4" s="120" t="s">
        <v>25</v>
      </c>
      <c r="K4" s="11"/>
      <c r="L4" s="11"/>
      <c r="M4" s="100"/>
      <c r="N4" s="100" t="s">
        <v>161</v>
      </c>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row>
    <row r="5" spans="1:60" ht="15.6" x14ac:dyDescent="0.3">
      <c r="A5" s="11"/>
      <c r="B5" s="11"/>
      <c r="C5" s="11"/>
      <c r="D5" s="11"/>
      <c r="E5" s="119"/>
      <c r="F5" s="11"/>
      <c r="G5" s="100"/>
      <c r="H5" s="11"/>
      <c r="I5" s="11"/>
      <c r="J5" s="119" t="s">
        <v>26</v>
      </c>
      <c r="K5" s="11"/>
      <c r="L5" s="11"/>
      <c r="M5" s="100"/>
      <c r="N5" s="100" t="s">
        <v>42</v>
      </c>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row>
    <row r="6" spans="1:60" ht="15.6" x14ac:dyDescent="0.3">
      <c r="A6" s="11"/>
      <c r="B6" s="11"/>
      <c r="C6" s="11"/>
      <c r="D6" s="11"/>
      <c r="E6" s="119"/>
      <c r="F6" s="11"/>
      <c r="G6" s="100"/>
      <c r="H6" s="11"/>
      <c r="I6" s="11"/>
      <c r="J6" s="119"/>
      <c r="K6" s="11"/>
      <c r="L6" s="11"/>
      <c r="M6" s="100"/>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row>
    <row r="7" spans="1:60" ht="15.6" x14ac:dyDescent="0.3">
      <c r="A7" s="11"/>
      <c r="B7" s="11"/>
      <c r="C7" s="11"/>
      <c r="D7" s="11"/>
      <c r="E7" s="119"/>
      <c r="F7" s="11"/>
      <c r="G7" s="100"/>
      <c r="H7" s="11"/>
      <c r="I7" s="11"/>
      <c r="J7" s="119" t="s">
        <v>212</v>
      </c>
      <c r="K7" s="11"/>
      <c r="L7" s="11"/>
      <c r="M7" s="100"/>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row>
    <row r="8" spans="1:60" x14ac:dyDescent="0.3">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row>
    <row r="9" spans="1:60" s="127" customFormat="1" ht="13.8" x14ac:dyDescent="0.3">
      <c r="C9" s="961">
        <v>43865</v>
      </c>
      <c r="D9" s="962"/>
      <c r="E9" s="963"/>
      <c r="F9" s="961">
        <v>43866</v>
      </c>
      <c r="G9" s="962"/>
      <c r="H9" s="963"/>
      <c r="I9" s="961">
        <v>43867</v>
      </c>
      <c r="J9" s="962"/>
      <c r="K9" s="963"/>
      <c r="L9" s="961">
        <v>43868</v>
      </c>
      <c r="M9" s="962"/>
      <c r="N9" s="963"/>
      <c r="O9" s="961">
        <v>43871</v>
      </c>
      <c r="P9" s="962"/>
      <c r="Q9" s="963"/>
      <c r="R9" s="961">
        <v>43872</v>
      </c>
      <c r="S9" s="962"/>
      <c r="T9" s="963"/>
      <c r="U9" s="961">
        <v>43873</v>
      </c>
      <c r="V9" s="962"/>
      <c r="W9" s="963"/>
      <c r="X9" s="961">
        <v>43874</v>
      </c>
      <c r="Y9" s="962"/>
      <c r="Z9" s="963"/>
      <c r="AA9" s="961">
        <v>43875</v>
      </c>
      <c r="AB9" s="962"/>
      <c r="AC9" s="963"/>
      <c r="AD9" s="961">
        <v>43878</v>
      </c>
      <c r="AE9" s="962"/>
      <c r="AF9" s="963"/>
      <c r="AG9" s="961">
        <v>43879</v>
      </c>
      <c r="AH9" s="962"/>
      <c r="AI9" s="963"/>
      <c r="AJ9" s="961">
        <v>43880</v>
      </c>
      <c r="AK9" s="962"/>
      <c r="AL9" s="963"/>
      <c r="AM9" s="961">
        <v>43881</v>
      </c>
      <c r="AN9" s="962"/>
      <c r="AO9" s="963"/>
      <c r="AP9" s="961">
        <v>43882</v>
      </c>
      <c r="AQ9" s="962"/>
      <c r="AR9" s="963"/>
      <c r="AS9" s="961">
        <v>43885</v>
      </c>
      <c r="AT9" s="962"/>
      <c r="AU9" s="963"/>
      <c r="AV9" s="961">
        <v>43886</v>
      </c>
      <c r="AW9" s="962"/>
      <c r="AX9" s="963"/>
      <c r="AY9" s="961">
        <v>43887</v>
      </c>
      <c r="AZ9" s="962"/>
      <c r="BA9" s="963"/>
      <c r="BB9" s="961">
        <v>43888</v>
      </c>
      <c r="BC9" s="962"/>
      <c r="BD9" s="963"/>
      <c r="BE9" s="964">
        <v>43889</v>
      </c>
      <c r="BF9" s="965"/>
      <c r="BG9" s="965"/>
      <c r="BH9" s="135" t="s">
        <v>131</v>
      </c>
    </row>
    <row r="10" spans="1:60" ht="32.4" x14ac:dyDescent="0.3">
      <c r="B10" s="125" t="s">
        <v>126</v>
      </c>
      <c r="C10" s="123" t="s">
        <v>209</v>
      </c>
      <c r="D10" s="124" t="s">
        <v>210</v>
      </c>
      <c r="E10" s="124" t="s">
        <v>211</v>
      </c>
      <c r="F10" s="123" t="s">
        <v>209</v>
      </c>
      <c r="G10" s="124" t="s">
        <v>210</v>
      </c>
      <c r="H10" s="124" t="s">
        <v>211</v>
      </c>
      <c r="I10" s="123" t="s">
        <v>209</v>
      </c>
      <c r="J10" s="124" t="s">
        <v>210</v>
      </c>
      <c r="K10" s="124" t="s">
        <v>211</v>
      </c>
      <c r="L10" s="123" t="s">
        <v>209</v>
      </c>
      <c r="M10" s="124" t="s">
        <v>210</v>
      </c>
      <c r="N10" s="124" t="s">
        <v>211</v>
      </c>
      <c r="O10" s="123" t="s">
        <v>209</v>
      </c>
      <c r="P10" s="124" t="s">
        <v>210</v>
      </c>
      <c r="Q10" s="124" t="s">
        <v>211</v>
      </c>
      <c r="R10" s="123" t="s">
        <v>209</v>
      </c>
      <c r="S10" s="124" t="s">
        <v>210</v>
      </c>
      <c r="T10" s="124" t="s">
        <v>211</v>
      </c>
      <c r="U10" s="123" t="s">
        <v>209</v>
      </c>
      <c r="V10" s="124" t="s">
        <v>210</v>
      </c>
      <c r="W10" s="124" t="s">
        <v>211</v>
      </c>
      <c r="X10" s="123" t="s">
        <v>209</v>
      </c>
      <c r="Y10" s="124" t="s">
        <v>210</v>
      </c>
      <c r="Z10" s="124" t="s">
        <v>211</v>
      </c>
      <c r="AA10" s="123" t="s">
        <v>209</v>
      </c>
      <c r="AB10" s="124" t="s">
        <v>210</v>
      </c>
      <c r="AC10" s="124" t="s">
        <v>211</v>
      </c>
      <c r="AD10" s="123" t="s">
        <v>209</v>
      </c>
      <c r="AE10" s="124" t="s">
        <v>210</v>
      </c>
      <c r="AF10" s="124" t="s">
        <v>211</v>
      </c>
      <c r="AG10" s="123" t="s">
        <v>209</v>
      </c>
      <c r="AH10" s="124" t="s">
        <v>210</v>
      </c>
      <c r="AI10" s="124" t="s">
        <v>211</v>
      </c>
      <c r="AJ10" s="123" t="s">
        <v>209</v>
      </c>
      <c r="AK10" s="124" t="s">
        <v>210</v>
      </c>
      <c r="AL10" s="124" t="s">
        <v>211</v>
      </c>
      <c r="AM10" s="123" t="s">
        <v>209</v>
      </c>
      <c r="AN10" s="124" t="s">
        <v>210</v>
      </c>
      <c r="AO10" s="124" t="s">
        <v>211</v>
      </c>
      <c r="AP10" s="123" t="s">
        <v>209</v>
      </c>
      <c r="AQ10" s="124" t="s">
        <v>210</v>
      </c>
      <c r="AR10" s="124" t="s">
        <v>211</v>
      </c>
      <c r="AS10" s="123" t="s">
        <v>209</v>
      </c>
      <c r="AT10" s="124" t="s">
        <v>210</v>
      </c>
      <c r="AU10" s="124" t="s">
        <v>211</v>
      </c>
      <c r="AV10" s="123" t="s">
        <v>209</v>
      </c>
      <c r="AW10" s="124" t="s">
        <v>210</v>
      </c>
      <c r="AX10" s="124" t="s">
        <v>211</v>
      </c>
      <c r="AY10" s="123" t="s">
        <v>209</v>
      </c>
      <c r="AZ10" s="124" t="s">
        <v>210</v>
      </c>
      <c r="BA10" s="124" t="s">
        <v>211</v>
      </c>
      <c r="BB10" s="123" t="s">
        <v>209</v>
      </c>
      <c r="BC10" s="124" t="s">
        <v>210</v>
      </c>
      <c r="BD10" s="124" t="s">
        <v>211</v>
      </c>
      <c r="BE10" s="123" t="s">
        <v>209</v>
      </c>
      <c r="BF10" s="124" t="s">
        <v>210</v>
      </c>
      <c r="BG10" s="124" t="s">
        <v>211</v>
      </c>
      <c r="BH10" s="135" t="s">
        <v>113</v>
      </c>
    </row>
    <row r="11" spans="1:60" x14ac:dyDescent="0.3">
      <c r="B11" s="126" t="s">
        <v>156</v>
      </c>
      <c r="C11" s="128"/>
      <c r="D11" s="128"/>
      <c r="E11" s="133" t="str">
        <f>IFERROR(IF(OR(C11="",D11=""),"",D11-C11-$C$20),"")</f>
        <v/>
      </c>
      <c r="F11" s="128"/>
      <c r="G11" s="128"/>
      <c r="H11" s="133" t="str">
        <f>IFERROR(IF(OR(F11="",G11=""),"",G11-F11-$C$20),"")</f>
        <v/>
      </c>
      <c r="I11" s="128"/>
      <c r="J11" s="128"/>
      <c r="K11" s="133" t="str">
        <f>IFERROR(IF(OR(I11="",J11=""),"",J11-I11-$C$20),"")</f>
        <v/>
      </c>
      <c r="L11" s="128"/>
      <c r="M11" s="128"/>
      <c r="N11" s="133" t="str">
        <f t="shared" ref="N11:N18" si="0">IFERROR(IF(OR(L11="",M11=""),"",M11-L11),"")</f>
        <v/>
      </c>
      <c r="O11" s="128"/>
      <c r="P11" s="128"/>
      <c r="Q11" s="133" t="str">
        <f>IFERROR(IF(OR(O11="",P11=""),"",P11-O11-$C$20),"")</f>
        <v/>
      </c>
      <c r="R11" s="128"/>
      <c r="S11" s="128"/>
      <c r="T11" s="133" t="str">
        <f>IFERROR(IF(OR(R11="",S11=""),"",S11-R11-$C$20),"")</f>
        <v/>
      </c>
      <c r="U11" s="128"/>
      <c r="V11" s="128"/>
      <c r="W11" s="133" t="str">
        <f t="shared" ref="W11:W18" si="1">IFERROR(IF(OR(U11="",V11=""),"",V11-U11-$C$20),"")</f>
        <v/>
      </c>
      <c r="X11" s="128"/>
      <c r="Y11" s="128"/>
      <c r="Z11" s="133" t="str">
        <f>IFERROR(IF(OR(X11="",Y11=""),"",Y11-X11-$C$20),"")</f>
        <v/>
      </c>
      <c r="AA11" s="128"/>
      <c r="AB11" s="128"/>
      <c r="AC11" s="133" t="str">
        <f t="shared" ref="AC11:AC18" si="2">IFERROR(IF(OR(AA11="",AB11=""),"",AB11-AA11),"")</f>
        <v/>
      </c>
      <c r="AD11" s="128"/>
      <c r="AE11" s="128"/>
      <c r="AF11" s="133" t="str">
        <f>IFERROR(IF(OR(AD11="",AE11=""),"",AE11-AD11-$C$20),"")</f>
        <v/>
      </c>
      <c r="AG11" s="128"/>
      <c r="AH11" s="128"/>
      <c r="AI11" s="133" t="str">
        <f>IFERROR(IF(OR(AG11="",AH11=""),"",AH11-AG11-$C$20),"")</f>
        <v/>
      </c>
      <c r="AJ11" s="128"/>
      <c r="AK11" s="128"/>
      <c r="AL11" s="133" t="str">
        <f>IFERROR(IF(OR(AJ11="",AK11=""),"",AK11-AJ11-$C$20),"")</f>
        <v/>
      </c>
      <c r="AM11" s="128"/>
      <c r="AN11" s="128"/>
      <c r="AO11" s="133" t="str">
        <f>IFERROR(IF(OR(AM11="",AN11=""),"",AN11-AM11-$C$20),"")</f>
        <v/>
      </c>
      <c r="AP11" s="128"/>
      <c r="AQ11" s="128"/>
      <c r="AR11" s="133" t="str">
        <f>IFERROR(IF(OR(AP11="",AQ11=""),"",AQ11-AP11),"")</f>
        <v/>
      </c>
      <c r="AS11" s="128"/>
      <c r="AT11" s="128"/>
      <c r="AU11" s="133" t="str">
        <f>IFERROR(IF(OR(AS11="",AT11=""),"",AT11-AS11-$C$20),"")</f>
        <v/>
      </c>
      <c r="AV11" s="128"/>
      <c r="AW11" s="128"/>
      <c r="AX11" s="133" t="str">
        <f>IFERROR(IF(OR(AV11="",AW11=""),"",AW11-AV11-$C$20),"")</f>
        <v/>
      </c>
      <c r="AY11" s="128"/>
      <c r="AZ11" s="128"/>
      <c r="BA11" s="133" t="str">
        <f>IFERROR(IF(OR(AY11="",AZ11=""),"",AZ11-AY11-$C$20),"")</f>
        <v/>
      </c>
      <c r="BB11" s="128"/>
      <c r="BC11" s="128"/>
      <c r="BD11" s="133" t="str">
        <f>IFERROR(IF(OR(BB11="",BC11=""),"",BC11-BB11-$C$20),"")</f>
        <v/>
      </c>
      <c r="BE11" s="128"/>
      <c r="BF11" s="128"/>
      <c r="BG11" s="133" t="str">
        <f>IFERROR(IF(OR(BE11="",BF11=""),"",BF11-BE11),"")</f>
        <v/>
      </c>
      <c r="BH11" s="136"/>
    </row>
    <row r="12" spans="1:60" x14ac:dyDescent="0.3">
      <c r="B12" s="126" t="s">
        <v>19</v>
      </c>
      <c r="C12" s="128">
        <v>0.37916666666666665</v>
      </c>
      <c r="D12" s="128">
        <v>0.79652777777777783</v>
      </c>
      <c r="E12" s="133">
        <f t="shared" ref="E12:E18" si="3">IFERROR(IF(OR(C12="",D12=""),"",D12-C12-$C$20),"")</f>
        <v>0.35486111111111118</v>
      </c>
      <c r="F12" s="132" t="s">
        <v>214</v>
      </c>
      <c r="G12" s="132" t="s">
        <v>214</v>
      </c>
      <c r="H12" s="131" t="str">
        <f t="shared" ref="H12:H18" si="4">IFERROR(IF(OR(F12="",G12=""),"",G12-F12-$C$20),"")</f>
        <v/>
      </c>
      <c r="I12" s="128">
        <v>0.3840277777777778</v>
      </c>
      <c r="J12" s="128">
        <v>0.79791666666666661</v>
      </c>
      <c r="K12" s="133">
        <f t="shared" ref="K12:K18" si="5">IFERROR(IF(OR(I12="",J12=""),"",J12-I12-$C$20),"")</f>
        <v>0.35138888888888881</v>
      </c>
      <c r="L12" s="128">
        <v>0.38125000000000003</v>
      </c>
      <c r="M12" s="128">
        <v>0.6333333333333333</v>
      </c>
      <c r="N12" s="133">
        <f t="shared" si="0"/>
        <v>0.25208333333333327</v>
      </c>
      <c r="O12" s="128">
        <v>0.37847222222222227</v>
      </c>
      <c r="P12" s="128">
        <v>0.79791666666666661</v>
      </c>
      <c r="Q12" s="133">
        <f t="shared" ref="Q12:Q18" si="6">IFERROR(IF(OR(O12="",P12=""),"",P12-O12-$C$20),"")</f>
        <v>0.35694444444444434</v>
      </c>
      <c r="R12" s="128">
        <v>0.39513888888888887</v>
      </c>
      <c r="S12" s="128">
        <v>0.80347222222222225</v>
      </c>
      <c r="T12" s="133">
        <f t="shared" ref="T12:T18" si="7">IFERROR(IF(OR(R12="",S12=""),"",S12-R12-$C$20),"")</f>
        <v>0.34583333333333338</v>
      </c>
      <c r="U12" s="128">
        <v>0.38819444444444445</v>
      </c>
      <c r="V12" s="128">
        <v>0.80069444444444438</v>
      </c>
      <c r="W12" s="133">
        <f t="shared" si="1"/>
        <v>0.34999999999999992</v>
      </c>
      <c r="X12" s="128">
        <v>0.38541666666666669</v>
      </c>
      <c r="Y12" s="128">
        <v>0.79999999999999993</v>
      </c>
      <c r="Z12" s="133">
        <f t="shared" ref="Z12:Z18" si="8">IFERROR(IF(OR(X12="",Y12=""),"",Y12-X12-$C$20),"")</f>
        <v>0.35208333333333325</v>
      </c>
      <c r="AA12" s="132" t="s">
        <v>214</v>
      </c>
      <c r="AB12" s="132" t="s">
        <v>214</v>
      </c>
      <c r="AC12" s="131" t="str">
        <f t="shared" si="2"/>
        <v/>
      </c>
      <c r="AD12" s="128">
        <v>0.38472222222222219</v>
      </c>
      <c r="AE12" s="128">
        <v>0.80902777777777779</v>
      </c>
      <c r="AF12" s="133">
        <f t="shared" ref="AF12:AF18" si="9">IFERROR(IF(OR(AD12="",AE12=""),"",AE12-AD12-$C$20),"")</f>
        <v>0.3618055555555556</v>
      </c>
      <c r="AG12" s="128">
        <v>0.38611111111111113</v>
      </c>
      <c r="AH12" s="128">
        <v>0.79652777777777783</v>
      </c>
      <c r="AI12" s="133">
        <f t="shared" ref="AI12:AI18" si="10">IFERROR(IF(OR(AG12="",AH12=""),"",AH12-AG12-$C$20),"")</f>
        <v>0.34791666666666671</v>
      </c>
      <c r="AJ12" s="128">
        <v>0.3840277777777778</v>
      </c>
      <c r="AK12" s="128">
        <v>0.79999999999999993</v>
      </c>
      <c r="AL12" s="133">
        <f t="shared" ref="AL12:AL18" si="11">IFERROR(IF(OR(AJ12="",AK12=""),"",AK12-AJ12-$C$20),"")</f>
        <v>0.35347222222222213</v>
      </c>
      <c r="AM12" s="128">
        <v>0.38263888888888892</v>
      </c>
      <c r="AN12" s="128">
        <v>0.79791666666666661</v>
      </c>
      <c r="AO12" s="133">
        <f t="shared" ref="AO12:AO18" si="12">IFERROR(IF(OR(AM12="",AN12=""),"",AN12-AM12-$C$20),"")</f>
        <v>0.35277777777777769</v>
      </c>
      <c r="AP12" s="128">
        <v>0.3840277777777778</v>
      </c>
      <c r="AQ12" s="128">
        <v>0.63472222222222219</v>
      </c>
      <c r="AR12" s="133">
        <f>IFERROR(IF(OR(AP12="",AQ12=""),"",AQ12-AP12),"")</f>
        <v>0.25069444444444439</v>
      </c>
      <c r="AS12" s="132" t="s">
        <v>214</v>
      </c>
      <c r="AT12" s="132" t="s">
        <v>214</v>
      </c>
      <c r="AU12" s="131" t="str">
        <f t="shared" ref="AU12:AU18" si="13">IFERROR(IF(OR(AS12="",AT12=""),"",AT12-AS12-$C$20),"")</f>
        <v/>
      </c>
      <c r="AV12" s="128">
        <v>0.38194444444444442</v>
      </c>
      <c r="AW12" s="128">
        <v>0.79791666666666661</v>
      </c>
      <c r="AX12" s="133">
        <f t="shared" ref="AX12:AX18" si="14">IFERROR(IF(OR(AV12="",AW12=""),"",AW12-AV12-$C$20),"")</f>
        <v>0.35347222222222219</v>
      </c>
      <c r="AY12" s="128">
        <v>0.38263888888888892</v>
      </c>
      <c r="AZ12" s="128">
        <v>0.79999999999999993</v>
      </c>
      <c r="BA12" s="133">
        <f t="shared" ref="BA12:BA18" si="15">IFERROR(IF(OR(AY12="",AZ12=""),"",AZ12-AY12-$C$20),"")</f>
        <v>0.35486111111111102</v>
      </c>
      <c r="BB12" s="128">
        <v>0.38263888888888892</v>
      </c>
      <c r="BC12" s="128">
        <v>0.68402777777777779</v>
      </c>
      <c r="BD12" s="131">
        <f>IFERROR(IF(OR(BB12="",BC12=""),"",BC12-BB12),"")</f>
        <v>0.30138888888888887</v>
      </c>
      <c r="BE12" s="128">
        <v>0.37986111111111115</v>
      </c>
      <c r="BF12" s="128">
        <v>0.63055555555555554</v>
      </c>
      <c r="BG12" s="133">
        <f>IFERROR(IF(OR(BE12="",BF12=""),"",BF12-BE12),"")</f>
        <v>0.25069444444444439</v>
      </c>
      <c r="BH12" s="140">
        <f t="shared" ref="BH12:BH18" si="16">IFERROR(IF(E12&lt;&gt;"",E12,0)+IF(H12&lt;&gt;"",H12,0)+IF(K12&lt;&gt;"",K12,0)+IF(N12&lt;&gt;"",N12,0)+IF(Q12&lt;&gt;"",Q12,0)+IF(T12&lt;&gt;"",T12,0)+IF(W12&lt;&gt;"",W12,0)+IF(Z12&lt;&gt;"",Z12,0)+IF(AC12&lt;&gt;"",AC12,0)+IF(AF12&lt;&gt;"",AF12,0)+IF(AI12&lt;&gt;"",AI12,0)+IF(AL12&lt;&gt;"",AL12,0)+IF(AO12&lt;&gt;"",AO12,0)+IF(AR12&lt;&gt;"",AR12,0)+IF(AU12&lt;&gt;"",AU12,0)+IF(AX12&lt;&gt;"",AX12,0)+IF(BA12&lt;&gt;"",BA12,0)+IF(BD12&lt;&gt;"",BD12,0)+IF(BG12&lt;&gt;"",BG12,0),"")</f>
        <v>5.290277777777777</v>
      </c>
    </row>
    <row r="13" spans="1:60" x14ac:dyDescent="0.3">
      <c r="B13" s="126" t="s">
        <v>44</v>
      </c>
      <c r="C13" s="128">
        <v>0.39583333333333331</v>
      </c>
      <c r="D13" s="128">
        <v>0.82638888888888884</v>
      </c>
      <c r="E13" s="133">
        <f t="shared" si="3"/>
        <v>0.36805555555555552</v>
      </c>
      <c r="F13" s="128">
        <v>0.42152777777777778</v>
      </c>
      <c r="G13" s="128">
        <v>0.86111111111111116</v>
      </c>
      <c r="H13" s="133">
        <f t="shared" si="4"/>
        <v>0.37708333333333338</v>
      </c>
      <c r="I13" s="128">
        <v>0.42152777777777778</v>
      </c>
      <c r="J13" s="128">
        <v>0.84375</v>
      </c>
      <c r="K13" s="133">
        <f t="shared" si="5"/>
        <v>0.35972222222222222</v>
      </c>
      <c r="L13" s="128">
        <v>0.36458333333333331</v>
      </c>
      <c r="M13" s="128">
        <v>0.67708333333333337</v>
      </c>
      <c r="N13" s="133">
        <f t="shared" si="0"/>
        <v>0.31250000000000006</v>
      </c>
      <c r="O13" s="128">
        <v>0.4201388888888889</v>
      </c>
      <c r="P13" s="128">
        <v>0.84375</v>
      </c>
      <c r="Q13" s="133">
        <f t="shared" si="6"/>
        <v>0.3611111111111111</v>
      </c>
      <c r="R13" s="128">
        <v>0.4152777777777778</v>
      </c>
      <c r="S13" s="128">
        <v>0.83819444444444446</v>
      </c>
      <c r="T13" s="133">
        <f t="shared" si="7"/>
        <v>0.36041666666666666</v>
      </c>
      <c r="U13" s="128">
        <v>0.41111111111111115</v>
      </c>
      <c r="V13" s="128">
        <v>0.87152777777777779</v>
      </c>
      <c r="W13" s="133">
        <f t="shared" si="1"/>
        <v>0.39791666666666664</v>
      </c>
      <c r="X13" s="128">
        <v>0.3840277777777778</v>
      </c>
      <c r="Y13" s="128">
        <v>0.83333333333333337</v>
      </c>
      <c r="Z13" s="133">
        <f t="shared" si="8"/>
        <v>0.38680555555555557</v>
      </c>
      <c r="AA13" s="128">
        <v>0.40625</v>
      </c>
      <c r="AB13" s="128">
        <v>0.69444444444444453</v>
      </c>
      <c r="AC13" s="133">
        <f t="shared" si="2"/>
        <v>0.28819444444444453</v>
      </c>
      <c r="AD13" s="128">
        <v>0.33888888888888885</v>
      </c>
      <c r="AE13" s="128">
        <v>0.79722222222222217</v>
      </c>
      <c r="AF13" s="133">
        <f t="shared" si="9"/>
        <v>0.39583333333333331</v>
      </c>
      <c r="AG13" s="128">
        <v>0.34513888888888888</v>
      </c>
      <c r="AH13" s="128">
        <v>0.80763888888888891</v>
      </c>
      <c r="AI13" s="133">
        <f t="shared" si="10"/>
        <v>0.4</v>
      </c>
      <c r="AJ13" s="128">
        <v>0.42499999999999999</v>
      </c>
      <c r="AK13" s="132" t="s">
        <v>214</v>
      </c>
      <c r="AL13" s="131" t="str">
        <f t="shared" si="11"/>
        <v/>
      </c>
      <c r="AM13" s="128">
        <v>0.4152777777777778</v>
      </c>
      <c r="AN13" s="128">
        <v>0.83333333333333337</v>
      </c>
      <c r="AO13" s="133">
        <f t="shared" si="12"/>
        <v>0.35555555555555557</v>
      </c>
      <c r="AP13" s="128">
        <v>0.37013888888888885</v>
      </c>
      <c r="AQ13" s="128">
        <v>0.64930555555555558</v>
      </c>
      <c r="AR13" s="133">
        <f t="shared" ref="AR13:AR18" si="17">IFERROR(IF(OR(AP13="",AQ13=""),"",AQ13-AP13),"")</f>
        <v>0.27916666666666673</v>
      </c>
      <c r="AS13" s="128">
        <v>0.38472222222222219</v>
      </c>
      <c r="AT13" s="128">
        <v>0.81666666666666676</v>
      </c>
      <c r="AU13" s="133">
        <f t="shared" si="13"/>
        <v>0.36944444444444458</v>
      </c>
      <c r="AV13" s="128">
        <v>0.37777777777777777</v>
      </c>
      <c r="AW13" s="128">
        <v>0.875</v>
      </c>
      <c r="AX13" s="133">
        <f t="shared" si="14"/>
        <v>0.43472222222222223</v>
      </c>
      <c r="AY13" s="128">
        <v>0.4861111111111111</v>
      </c>
      <c r="AZ13" s="128">
        <v>0.81041666666666667</v>
      </c>
      <c r="BA13" s="131">
        <f t="shared" si="15"/>
        <v>0.26180555555555557</v>
      </c>
      <c r="BB13" s="128">
        <v>0.42708333333333331</v>
      </c>
      <c r="BC13" s="132" t="s">
        <v>214</v>
      </c>
      <c r="BD13" s="131" t="str">
        <f t="shared" ref="BD13:BD18" si="18">IFERROR(IF(OR(BB13="",BC13=""),"",BC13-BB13-$C$20),"")</f>
        <v/>
      </c>
      <c r="BE13" s="132" t="s">
        <v>214</v>
      </c>
      <c r="BF13" s="132" t="s">
        <v>214</v>
      </c>
      <c r="BG13" s="131" t="str">
        <f t="shared" ref="BG13:BG18" si="19">IFERROR(IF(OR(BE13="",BF13=""),"",BF13-BE13),"")</f>
        <v/>
      </c>
      <c r="BH13" s="140">
        <f t="shared" si="16"/>
        <v>5.708333333333333</v>
      </c>
    </row>
    <row r="14" spans="1:60" x14ac:dyDescent="0.3">
      <c r="B14" s="126" t="s">
        <v>46</v>
      </c>
      <c r="C14" s="128">
        <v>0.37152777777777773</v>
      </c>
      <c r="D14" s="128">
        <v>0.78472222222222221</v>
      </c>
      <c r="E14" s="133">
        <f t="shared" si="3"/>
        <v>0.35069444444444448</v>
      </c>
      <c r="F14" s="128">
        <v>0.375</v>
      </c>
      <c r="G14" s="128">
        <v>0.79861111111111116</v>
      </c>
      <c r="H14" s="133">
        <f t="shared" si="4"/>
        <v>0.36111111111111116</v>
      </c>
      <c r="I14" s="128">
        <v>0.38194444444444442</v>
      </c>
      <c r="J14" s="128">
        <v>0.79861111111111116</v>
      </c>
      <c r="K14" s="133">
        <f t="shared" si="5"/>
        <v>0.35416666666666674</v>
      </c>
      <c r="L14" s="128">
        <v>0.39583333333333331</v>
      </c>
      <c r="M14" s="128">
        <v>0.65277777777777779</v>
      </c>
      <c r="N14" s="133">
        <f t="shared" si="0"/>
        <v>0.25694444444444448</v>
      </c>
      <c r="O14" s="128">
        <v>0.37986111111111115</v>
      </c>
      <c r="P14" s="128">
        <v>0.79166666666666663</v>
      </c>
      <c r="Q14" s="133">
        <f t="shared" si="6"/>
        <v>0.34930555555555548</v>
      </c>
      <c r="R14" s="128">
        <v>0.39583333333333331</v>
      </c>
      <c r="S14" s="128">
        <v>0.8125</v>
      </c>
      <c r="T14" s="133">
        <f t="shared" si="7"/>
        <v>0.35416666666666669</v>
      </c>
      <c r="U14" s="128">
        <v>0.38263888888888892</v>
      </c>
      <c r="V14" s="128">
        <v>0.8125</v>
      </c>
      <c r="W14" s="133">
        <f t="shared" si="1"/>
        <v>0.36736111111111108</v>
      </c>
      <c r="X14" s="128">
        <v>0.375</v>
      </c>
      <c r="Y14" s="128">
        <v>0.79166666666666663</v>
      </c>
      <c r="Z14" s="133">
        <f t="shared" si="8"/>
        <v>0.35416666666666663</v>
      </c>
      <c r="AA14" s="128">
        <v>0.41666666666666669</v>
      </c>
      <c r="AB14" s="128">
        <v>0.65625</v>
      </c>
      <c r="AC14" s="133">
        <f t="shared" si="2"/>
        <v>0.23958333333333331</v>
      </c>
      <c r="AD14" s="128">
        <v>0.38541666666666669</v>
      </c>
      <c r="AE14" s="128">
        <v>0.80208333333333337</v>
      </c>
      <c r="AF14" s="133">
        <f t="shared" si="9"/>
        <v>0.35416666666666669</v>
      </c>
      <c r="AG14" s="128">
        <v>0.37847222222222227</v>
      </c>
      <c r="AH14" s="128">
        <v>0.79861111111111116</v>
      </c>
      <c r="AI14" s="133">
        <f t="shared" si="10"/>
        <v>0.3576388888888889</v>
      </c>
      <c r="AJ14" s="128">
        <v>0.38541666666666669</v>
      </c>
      <c r="AK14" s="128">
        <v>0.80208333333333337</v>
      </c>
      <c r="AL14" s="133">
        <f t="shared" si="11"/>
        <v>0.35416666666666669</v>
      </c>
      <c r="AM14" s="128">
        <v>0.37847222222222227</v>
      </c>
      <c r="AN14" s="128">
        <v>0.80208333333333337</v>
      </c>
      <c r="AO14" s="133">
        <f t="shared" si="12"/>
        <v>0.3611111111111111</v>
      </c>
      <c r="AP14" s="132" t="s">
        <v>214</v>
      </c>
      <c r="AQ14" s="132" t="s">
        <v>214</v>
      </c>
      <c r="AR14" s="131" t="str">
        <f t="shared" si="17"/>
        <v/>
      </c>
      <c r="AS14" s="134"/>
      <c r="AT14" s="134"/>
      <c r="AU14" s="133" t="str">
        <f t="shared" si="13"/>
        <v/>
      </c>
      <c r="AV14" s="134"/>
      <c r="AW14" s="134"/>
      <c r="AX14" s="133" t="str">
        <f t="shared" si="14"/>
        <v/>
      </c>
      <c r="AY14" s="134"/>
      <c r="AZ14" s="134"/>
      <c r="BA14" s="133" t="str">
        <f t="shared" si="15"/>
        <v/>
      </c>
      <c r="BB14" s="134"/>
      <c r="BC14" s="134"/>
      <c r="BD14" s="133" t="str">
        <f t="shared" si="18"/>
        <v/>
      </c>
      <c r="BE14" s="134"/>
      <c r="BF14" s="134"/>
      <c r="BG14" s="133" t="str">
        <f t="shared" si="19"/>
        <v/>
      </c>
      <c r="BH14" s="136">
        <f t="shared" si="16"/>
        <v>4.4145833333333329</v>
      </c>
    </row>
    <row r="15" spans="1:60" x14ac:dyDescent="0.3">
      <c r="B15" s="126" t="s">
        <v>48</v>
      </c>
      <c r="C15" s="128">
        <v>0.38194444444444442</v>
      </c>
      <c r="D15" s="132" t="s">
        <v>214</v>
      </c>
      <c r="E15" s="131" t="str">
        <f t="shared" si="3"/>
        <v/>
      </c>
      <c r="F15" s="128">
        <v>0.38194444444444442</v>
      </c>
      <c r="G15" s="132" t="s">
        <v>214</v>
      </c>
      <c r="H15" s="131" t="str">
        <f t="shared" si="4"/>
        <v/>
      </c>
      <c r="I15" s="128">
        <v>0.3840277777777778</v>
      </c>
      <c r="J15" s="132" t="s">
        <v>214</v>
      </c>
      <c r="K15" s="131" t="str">
        <f t="shared" si="5"/>
        <v/>
      </c>
      <c r="L15" s="128">
        <v>0.38125000000000003</v>
      </c>
      <c r="M15" s="128">
        <v>0.63124999999999998</v>
      </c>
      <c r="N15" s="133">
        <f>IFERROR(IF(OR(L15="",M15=""),"",M15-L15),"")</f>
        <v>0.24999999999999994</v>
      </c>
      <c r="O15" s="128">
        <v>0.38055555555555554</v>
      </c>
      <c r="P15" s="132" t="s">
        <v>214</v>
      </c>
      <c r="Q15" s="131" t="str">
        <f t="shared" si="6"/>
        <v/>
      </c>
      <c r="R15" s="128">
        <v>0.39583333333333331</v>
      </c>
      <c r="S15" s="128">
        <v>0.77777777777777779</v>
      </c>
      <c r="T15" s="131">
        <f t="shared" si="7"/>
        <v>0.31944444444444448</v>
      </c>
      <c r="U15" s="128">
        <v>0.38194444444444442</v>
      </c>
      <c r="V15" s="131">
        <v>0.59027777777777779</v>
      </c>
      <c r="W15" s="131">
        <f>IFERROR(IF(OR(U15="",V15=""),"",V15-U15),"")</f>
        <v>0.20833333333333337</v>
      </c>
      <c r="X15" s="128">
        <v>0.38611111111111113</v>
      </c>
      <c r="Y15" s="131">
        <v>0.625</v>
      </c>
      <c r="Z15" s="131">
        <f>IFERROR(IF(OR(X15="",Y15=""),"",Y15-X15),"")</f>
        <v>0.23888888888888887</v>
      </c>
      <c r="AA15" s="128">
        <v>0.38055555555555554</v>
      </c>
      <c r="AB15" s="128">
        <v>0.63124999999999998</v>
      </c>
      <c r="AC15" s="133">
        <f>IFERROR(IF(OR(AA15="",AB15=""),"",AB15-AA15),"")</f>
        <v>0.25069444444444444</v>
      </c>
      <c r="AD15" s="128">
        <v>0.38472222222222219</v>
      </c>
      <c r="AE15" s="128">
        <v>0.60416666666666663</v>
      </c>
      <c r="AF15" s="131">
        <f>IFERROR(IF(OR(AD15="",AE15=""),"",AE15-AD15),"")</f>
        <v>0.21944444444444444</v>
      </c>
      <c r="AG15" s="128">
        <v>0.37708333333333338</v>
      </c>
      <c r="AH15" s="132" t="s">
        <v>214</v>
      </c>
      <c r="AI15" s="131" t="str">
        <f t="shared" si="10"/>
        <v/>
      </c>
      <c r="AJ15" s="128">
        <v>0.3888888888888889</v>
      </c>
      <c r="AK15" s="132" t="s">
        <v>214</v>
      </c>
      <c r="AL15" s="131" t="str">
        <f t="shared" si="11"/>
        <v/>
      </c>
      <c r="AM15" s="128">
        <v>0.38541666666666669</v>
      </c>
      <c r="AN15" s="128">
        <v>0.625</v>
      </c>
      <c r="AO15" s="133">
        <f>IFERROR(IF(OR(AM15="",AN15=""),"",AN15-AM15),"")</f>
        <v>0.23958333333333331</v>
      </c>
      <c r="AP15" s="128">
        <v>0.3888888888888889</v>
      </c>
      <c r="AQ15" s="128">
        <v>0.63541666666666663</v>
      </c>
      <c r="AR15" s="133">
        <f t="shared" si="17"/>
        <v>0.24652777777777773</v>
      </c>
      <c r="AS15" s="134"/>
      <c r="AT15" s="134"/>
      <c r="AU15" s="133" t="str">
        <f t="shared" si="13"/>
        <v/>
      </c>
      <c r="AV15" s="134"/>
      <c r="AW15" s="134"/>
      <c r="AX15" s="133" t="str">
        <f t="shared" si="14"/>
        <v/>
      </c>
      <c r="AY15" s="134"/>
      <c r="AZ15" s="134"/>
      <c r="BA15" s="133" t="str">
        <f t="shared" si="15"/>
        <v/>
      </c>
      <c r="BB15" s="134"/>
      <c r="BC15" s="134"/>
      <c r="BD15" s="133" t="str">
        <f t="shared" si="18"/>
        <v/>
      </c>
      <c r="BE15" s="134"/>
      <c r="BF15" s="134"/>
      <c r="BG15" s="133" t="str">
        <f t="shared" si="19"/>
        <v/>
      </c>
      <c r="BH15" s="136">
        <f t="shared" si="16"/>
        <v>1.9729166666666667</v>
      </c>
    </row>
    <row r="16" spans="1:60" x14ac:dyDescent="0.3">
      <c r="B16" s="126" t="s">
        <v>47</v>
      </c>
      <c r="C16" s="128">
        <v>0.41666666666666669</v>
      </c>
      <c r="D16" s="128">
        <v>0.85416666666666663</v>
      </c>
      <c r="E16" s="133">
        <f t="shared" si="3"/>
        <v>0.37499999999999994</v>
      </c>
      <c r="F16" s="128">
        <v>0.4236111111111111</v>
      </c>
      <c r="G16" s="128">
        <v>0.84027777777777779</v>
      </c>
      <c r="H16" s="133">
        <f t="shared" si="4"/>
        <v>0.35416666666666669</v>
      </c>
      <c r="I16" s="128">
        <v>0.4513888888888889</v>
      </c>
      <c r="J16" s="128">
        <v>0.84375</v>
      </c>
      <c r="K16" s="133">
        <f t="shared" si="5"/>
        <v>0.3298611111111111</v>
      </c>
      <c r="L16" s="128">
        <v>0.39583333333333331</v>
      </c>
      <c r="M16" s="128">
        <v>0.65486111111111112</v>
      </c>
      <c r="N16" s="133">
        <f t="shared" si="0"/>
        <v>0.2590277777777778</v>
      </c>
      <c r="O16" s="128">
        <v>0.42083333333333334</v>
      </c>
      <c r="P16" s="128">
        <v>0.85416666666666663</v>
      </c>
      <c r="Q16" s="133">
        <f t="shared" si="6"/>
        <v>0.37083333333333329</v>
      </c>
      <c r="R16" s="128">
        <v>0.41666666666666669</v>
      </c>
      <c r="S16" s="128">
        <v>0.84722222222222221</v>
      </c>
      <c r="T16" s="133">
        <f t="shared" si="7"/>
        <v>0.36805555555555552</v>
      </c>
      <c r="U16" s="128">
        <v>0.41319444444444442</v>
      </c>
      <c r="V16" s="128">
        <v>0.85069444444444453</v>
      </c>
      <c r="W16" s="133">
        <f t="shared" si="1"/>
        <v>0.37500000000000011</v>
      </c>
      <c r="X16" s="128">
        <v>0.38819444444444445</v>
      </c>
      <c r="Y16" s="128">
        <v>0.84722222222222221</v>
      </c>
      <c r="Z16" s="133">
        <f t="shared" si="8"/>
        <v>0.39652777777777776</v>
      </c>
      <c r="AA16" s="128">
        <v>0.38194444444444442</v>
      </c>
      <c r="AB16" s="128">
        <v>0.6333333333333333</v>
      </c>
      <c r="AC16" s="133">
        <f t="shared" si="2"/>
        <v>0.25138888888888888</v>
      </c>
      <c r="AD16" s="128">
        <v>0.39583333333333331</v>
      </c>
      <c r="AE16" s="128">
        <v>0.83333333333333337</v>
      </c>
      <c r="AF16" s="133">
        <f t="shared" si="9"/>
        <v>0.37500000000000006</v>
      </c>
      <c r="AG16" s="128">
        <v>0.39583333333333331</v>
      </c>
      <c r="AH16" s="128">
        <v>0.83680555555555547</v>
      </c>
      <c r="AI16" s="133">
        <f t="shared" si="10"/>
        <v>0.37847222222222215</v>
      </c>
      <c r="AJ16" s="128">
        <v>0.42708333333333331</v>
      </c>
      <c r="AK16" s="128">
        <v>0.84375</v>
      </c>
      <c r="AL16" s="133">
        <f t="shared" si="11"/>
        <v>0.35416666666666669</v>
      </c>
      <c r="AM16" s="128">
        <v>0.41666666666666669</v>
      </c>
      <c r="AN16" s="128">
        <v>0.84722222222222221</v>
      </c>
      <c r="AO16" s="133">
        <f t="shared" si="12"/>
        <v>0.36805555555555552</v>
      </c>
      <c r="AP16" s="128">
        <v>0.39583333333333331</v>
      </c>
      <c r="AQ16" s="128">
        <v>0.64583333333333337</v>
      </c>
      <c r="AR16" s="133">
        <f t="shared" si="17"/>
        <v>0.25000000000000006</v>
      </c>
      <c r="AS16" s="128">
        <v>0.41666666666666669</v>
      </c>
      <c r="AT16" s="128">
        <v>0.84027777777777779</v>
      </c>
      <c r="AU16" s="133">
        <f t="shared" si="13"/>
        <v>0.3611111111111111</v>
      </c>
      <c r="AV16" s="128">
        <v>0.40972222222222227</v>
      </c>
      <c r="AW16" s="128">
        <v>0.84027777777777779</v>
      </c>
      <c r="AX16" s="133">
        <f t="shared" si="14"/>
        <v>0.36805555555555552</v>
      </c>
      <c r="AY16" s="128">
        <v>0.39583333333333331</v>
      </c>
      <c r="AZ16" s="128">
        <v>0.84722222222222221</v>
      </c>
      <c r="BA16" s="133">
        <f t="shared" si="15"/>
        <v>0.3888888888888889</v>
      </c>
      <c r="BB16" s="128">
        <v>0.4291666666666667</v>
      </c>
      <c r="BC16" s="128">
        <v>0.84722222222222221</v>
      </c>
      <c r="BD16" s="133">
        <f t="shared" si="18"/>
        <v>0.35555555555555551</v>
      </c>
      <c r="BE16" s="128">
        <v>0.39583333333333331</v>
      </c>
      <c r="BF16" s="128">
        <v>0.64930555555555558</v>
      </c>
      <c r="BG16" s="133">
        <f t="shared" si="19"/>
        <v>0.25347222222222227</v>
      </c>
      <c r="BH16" s="140">
        <f t="shared" si="16"/>
        <v>6.5326388888888882</v>
      </c>
    </row>
    <row r="17" spans="2:60" x14ac:dyDescent="0.3">
      <c r="B17" s="126" t="s">
        <v>207</v>
      </c>
      <c r="C17" s="128"/>
      <c r="D17" s="128"/>
      <c r="E17" s="133" t="str">
        <f t="shared" si="3"/>
        <v/>
      </c>
      <c r="F17" s="128"/>
      <c r="G17" s="128"/>
      <c r="H17" s="133" t="str">
        <f t="shared" si="4"/>
        <v/>
      </c>
      <c r="I17" s="128"/>
      <c r="J17" s="128"/>
      <c r="K17" s="133" t="str">
        <f t="shared" si="5"/>
        <v/>
      </c>
      <c r="L17" s="128"/>
      <c r="M17" s="128"/>
      <c r="N17" s="133" t="str">
        <f t="shared" si="0"/>
        <v/>
      </c>
      <c r="O17" s="128"/>
      <c r="P17" s="128"/>
      <c r="Q17" s="133" t="str">
        <f t="shared" si="6"/>
        <v/>
      </c>
      <c r="R17" s="128"/>
      <c r="S17" s="128"/>
      <c r="T17" s="133" t="str">
        <f t="shared" si="7"/>
        <v/>
      </c>
      <c r="U17" s="128"/>
      <c r="V17" s="128"/>
      <c r="W17" s="133" t="str">
        <f t="shared" si="1"/>
        <v/>
      </c>
      <c r="X17" s="128"/>
      <c r="Y17" s="128"/>
      <c r="Z17" s="133" t="str">
        <f t="shared" si="8"/>
        <v/>
      </c>
      <c r="AA17" s="128"/>
      <c r="AB17" s="128"/>
      <c r="AC17" s="133" t="str">
        <f t="shared" si="2"/>
        <v/>
      </c>
      <c r="AD17" s="128"/>
      <c r="AE17" s="128"/>
      <c r="AF17" s="133" t="str">
        <f t="shared" si="9"/>
        <v/>
      </c>
      <c r="AG17" s="128"/>
      <c r="AH17" s="128"/>
      <c r="AI17" s="133" t="str">
        <f t="shared" si="10"/>
        <v/>
      </c>
      <c r="AJ17" s="128"/>
      <c r="AK17" s="128"/>
      <c r="AL17" s="133" t="str">
        <f t="shared" si="11"/>
        <v/>
      </c>
      <c r="AM17" s="128"/>
      <c r="AN17" s="128"/>
      <c r="AO17" s="133" t="str">
        <f t="shared" si="12"/>
        <v/>
      </c>
      <c r="AP17" s="128"/>
      <c r="AQ17" s="128"/>
      <c r="AR17" s="133" t="str">
        <f t="shared" si="17"/>
        <v/>
      </c>
      <c r="AS17" s="128">
        <v>0.37777777777777777</v>
      </c>
      <c r="AT17" s="128">
        <v>0.79166666666666663</v>
      </c>
      <c r="AU17" s="133">
        <f t="shared" si="13"/>
        <v>0.35138888888888886</v>
      </c>
      <c r="AV17" s="128">
        <v>0.375</v>
      </c>
      <c r="AW17" s="128">
        <v>0.79166666666666663</v>
      </c>
      <c r="AX17" s="133">
        <f t="shared" si="14"/>
        <v>0.35416666666666663</v>
      </c>
      <c r="AY17" s="128">
        <v>0.36527777777777781</v>
      </c>
      <c r="AZ17" s="128">
        <v>0.79513888888888884</v>
      </c>
      <c r="BA17" s="133">
        <f t="shared" si="15"/>
        <v>0.36736111111111103</v>
      </c>
      <c r="BB17" s="128">
        <v>0.375</v>
      </c>
      <c r="BC17" s="128">
        <v>0.79861111111111116</v>
      </c>
      <c r="BD17" s="133">
        <f t="shared" si="18"/>
        <v>0.36111111111111116</v>
      </c>
      <c r="BE17" s="128">
        <v>0.36944444444444446</v>
      </c>
      <c r="BF17" s="128">
        <v>0.625</v>
      </c>
      <c r="BG17" s="133">
        <f t="shared" si="19"/>
        <v>0.25555555555555554</v>
      </c>
      <c r="BH17" s="136">
        <f t="shared" si="16"/>
        <v>1.6895833333333332</v>
      </c>
    </row>
    <row r="18" spans="2:60" x14ac:dyDescent="0.3">
      <c r="B18" s="126" t="s">
        <v>208</v>
      </c>
      <c r="C18" s="128"/>
      <c r="D18" s="128"/>
      <c r="E18" s="133" t="str">
        <f t="shared" si="3"/>
        <v/>
      </c>
      <c r="F18" s="128"/>
      <c r="G18" s="128"/>
      <c r="H18" s="133" t="str">
        <f t="shared" si="4"/>
        <v/>
      </c>
      <c r="I18" s="128"/>
      <c r="J18" s="128"/>
      <c r="K18" s="133" t="str">
        <f t="shared" si="5"/>
        <v/>
      </c>
      <c r="L18" s="128"/>
      <c r="M18" s="128"/>
      <c r="N18" s="133" t="str">
        <f t="shared" si="0"/>
        <v/>
      </c>
      <c r="O18" s="128"/>
      <c r="P18" s="128"/>
      <c r="Q18" s="133" t="str">
        <f t="shared" si="6"/>
        <v/>
      </c>
      <c r="R18" s="128"/>
      <c r="S18" s="128"/>
      <c r="T18" s="133" t="str">
        <f t="shared" si="7"/>
        <v/>
      </c>
      <c r="U18" s="128"/>
      <c r="V18" s="128"/>
      <c r="W18" s="133" t="str">
        <f t="shared" si="1"/>
        <v/>
      </c>
      <c r="X18" s="128"/>
      <c r="Y18" s="128"/>
      <c r="Z18" s="133" t="str">
        <f t="shared" si="8"/>
        <v/>
      </c>
      <c r="AA18" s="128"/>
      <c r="AB18" s="128"/>
      <c r="AC18" s="133" t="str">
        <f t="shared" si="2"/>
        <v/>
      </c>
      <c r="AD18" s="128"/>
      <c r="AE18" s="128"/>
      <c r="AF18" s="133" t="str">
        <f t="shared" si="9"/>
        <v/>
      </c>
      <c r="AG18" s="128"/>
      <c r="AH18" s="128"/>
      <c r="AI18" s="133" t="str">
        <f t="shared" si="10"/>
        <v/>
      </c>
      <c r="AJ18" s="128"/>
      <c r="AK18" s="128"/>
      <c r="AL18" s="133" t="str">
        <f t="shared" si="11"/>
        <v/>
      </c>
      <c r="AM18" s="128"/>
      <c r="AN18" s="128"/>
      <c r="AO18" s="133" t="str">
        <f t="shared" si="12"/>
        <v/>
      </c>
      <c r="AP18" s="128"/>
      <c r="AQ18" s="128"/>
      <c r="AR18" s="133" t="str">
        <f t="shared" si="17"/>
        <v/>
      </c>
      <c r="AS18" s="128">
        <v>0.41666666666666669</v>
      </c>
      <c r="AT18" s="132" t="s">
        <v>214</v>
      </c>
      <c r="AU18" s="131" t="str">
        <f t="shared" si="13"/>
        <v/>
      </c>
      <c r="AV18" s="128">
        <v>0.40833333333333338</v>
      </c>
      <c r="AW18" s="128">
        <v>0.81944444444444453</v>
      </c>
      <c r="AX18" s="133">
        <f t="shared" si="14"/>
        <v>0.34861111111111115</v>
      </c>
      <c r="AY18" s="128">
        <v>0.37847222222222227</v>
      </c>
      <c r="AZ18" s="128">
        <v>0.8125</v>
      </c>
      <c r="BA18" s="133">
        <f t="shared" si="15"/>
        <v>0.37152777777777773</v>
      </c>
      <c r="BB18" s="128">
        <v>0.41805555555555557</v>
      </c>
      <c r="BC18" s="128">
        <v>0.84027777777777779</v>
      </c>
      <c r="BD18" s="133">
        <f t="shared" si="18"/>
        <v>0.35972222222222222</v>
      </c>
      <c r="BE18" s="128">
        <v>0.4201388888888889</v>
      </c>
      <c r="BF18" s="128">
        <v>0.63194444444444442</v>
      </c>
      <c r="BG18" s="133">
        <f t="shared" si="19"/>
        <v>0.21180555555555552</v>
      </c>
      <c r="BH18" s="136">
        <f t="shared" si="16"/>
        <v>1.2916666666666667</v>
      </c>
    </row>
    <row r="20" spans="2:60" x14ac:dyDescent="0.3">
      <c r="B20" s="129" t="s">
        <v>213</v>
      </c>
      <c r="C20" s="130">
        <v>6.25E-2</v>
      </c>
    </row>
  </sheetData>
  <mergeCells count="19">
    <mergeCell ref="AV9:AX9"/>
    <mergeCell ref="AY9:BA9"/>
    <mergeCell ref="BB9:BD9"/>
    <mergeCell ref="BE9:BG9"/>
    <mergeCell ref="AJ9:AL9"/>
    <mergeCell ref="AM9:AO9"/>
    <mergeCell ref="AP9:AR9"/>
    <mergeCell ref="AS9:AU9"/>
    <mergeCell ref="AD9:AF9"/>
    <mergeCell ref="AG9:AI9"/>
    <mergeCell ref="L9:N9"/>
    <mergeCell ref="O9:Q9"/>
    <mergeCell ref="R9:T9"/>
    <mergeCell ref="U9:W9"/>
    <mergeCell ref="C9:E9"/>
    <mergeCell ref="F9:H9"/>
    <mergeCell ref="I9:K9"/>
    <mergeCell ref="X9:Z9"/>
    <mergeCell ref="AA9:AC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5095"/>
  <sheetViews>
    <sheetView zoomScale="70" zoomScaleNormal="70" workbookViewId="0">
      <pane ySplit="2" topLeftCell="A3469" activePane="bottomLeft" state="frozen"/>
      <selection pane="bottomLeft" activeCell="I3482" sqref="I3482"/>
    </sheetView>
  </sheetViews>
  <sheetFormatPr baseColWidth="10" defaultColWidth="14.44140625" defaultRowHeight="15" customHeight="1" x14ac:dyDescent="0.3"/>
  <cols>
    <col min="1" max="1" width="26.77734375" customWidth="1"/>
    <col min="2" max="2" width="27.5546875" customWidth="1"/>
    <col min="3" max="3" width="15.77734375" customWidth="1"/>
    <col min="4" max="4" width="18.77734375" customWidth="1"/>
    <col min="5" max="5" width="21.5546875" bestFit="1" customWidth="1"/>
    <col min="6" max="6" width="23.44140625" customWidth="1"/>
    <col min="7" max="7" width="14.77734375" customWidth="1"/>
    <col min="8" max="8" width="49.77734375" customWidth="1"/>
    <col min="9" max="9" width="62.88671875" style="15" customWidth="1"/>
    <col min="10" max="10" width="15.77734375" style="275" customWidth="1"/>
    <col min="11" max="11" width="11" style="16" customWidth="1"/>
    <col min="12" max="12" width="14.5546875" style="275" customWidth="1"/>
    <col min="13" max="13" width="11.44140625" style="16" customWidth="1"/>
    <col min="14" max="14" width="12.5546875" customWidth="1"/>
    <col min="15" max="15" width="11.88671875" customWidth="1"/>
    <col min="16" max="16" width="29" style="13" customWidth="1"/>
    <col min="17" max="17" width="33.44140625" customWidth="1"/>
    <col min="18" max="18" width="42.21875" style="10" customWidth="1"/>
    <col min="19" max="22" width="20.77734375" style="10" customWidth="1"/>
    <col min="23" max="23" width="14.21875" customWidth="1"/>
    <col min="24" max="24" width="15.77734375" customWidth="1"/>
    <col min="25" max="25" width="79.77734375" customWidth="1"/>
    <col min="26" max="26" width="20.44140625" style="55" customWidth="1"/>
  </cols>
  <sheetData>
    <row r="1" spans="1:27" ht="65.25" customHeight="1" x14ac:dyDescent="0.3">
      <c r="A1" s="6"/>
      <c r="B1" s="6"/>
      <c r="C1" s="6"/>
      <c r="D1" s="6"/>
      <c r="E1" s="885" t="s">
        <v>0</v>
      </c>
      <c r="F1" s="886"/>
      <c r="G1" s="886"/>
      <c r="H1" s="886"/>
      <c r="I1" s="886"/>
      <c r="J1" s="710"/>
      <c r="K1" s="710"/>
      <c r="L1" s="273"/>
      <c r="M1" s="779"/>
      <c r="N1" s="7"/>
      <c r="O1" s="7"/>
      <c r="P1" s="12"/>
      <c r="Q1" s="8"/>
      <c r="R1" s="8" t="s">
        <v>95</v>
      </c>
      <c r="S1" s="8"/>
      <c r="T1" s="8"/>
      <c r="U1" s="8"/>
      <c r="V1" s="8"/>
      <c r="W1" s="9"/>
      <c r="X1" s="9"/>
    </row>
    <row r="2" spans="1:27" s="211" customFormat="1" ht="42" customHeight="1" thickBot="1" x14ac:dyDescent="0.35">
      <c r="A2" s="19" t="s">
        <v>1</v>
      </c>
      <c r="B2" s="19" t="s">
        <v>2</v>
      </c>
      <c r="C2" s="20" t="s">
        <v>3</v>
      </c>
      <c r="D2" s="20" t="s">
        <v>4</v>
      </c>
      <c r="E2" s="19" t="s">
        <v>5</v>
      </c>
      <c r="F2" s="19" t="s">
        <v>6</v>
      </c>
      <c r="G2" s="19" t="s">
        <v>7</v>
      </c>
      <c r="H2" s="19" t="s">
        <v>8</v>
      </c>
      <c r="I2" s="19" t="s">
        <v>9</v>
      </c>
      <c r="J2" s="711" t="s">
        <v>50</v>
      </c>
      <c r="K2" s="711" t="s">
        <v>2416</v>
      </c>
      <c r="L2" s="711" t="s">
        <v>51</v>
      </c>
      <c r="M2" s="711" t="s">
        <v>2417</v>
      </c>
      <c r="N2" s="19" t="s">
        <v>10</v>
      </c>
      <c r="O2" s="19" t="s">
        <v>11</v>
      </c>
      <c r="P2" s="21" t="s">
        <v>12</v>
      </c>
      <c r="Q2" s="19" t="s">
        <v>13</v>
      </c>
      <c r="R2" s="19" t="s">
        <v>14</v>
      </c>
      <c r="S2" s="19" t="s">
        <v>269</v>
      </c>
      <c r="T2" s="19" t="s">
        <v>270</v>
      </c>
      <c r="U2" s="19" t="s">
        <v>271</v>
      </c>
      <c r="V2" s="19" t="s">
        <v>272</v>
      </c>
      <c r="W2" s="20" t="s">
        <v>52</v>
      </c>
      <c r="X2" s="19" t="s">
        <v>53</v>
      </c>
      <c r="Y2" s="19" t="s">
        <v>109</v>
      </c>
      <c r="Z2" s="56" t="s">
        <v>112</v>
      </c>
      <c r="AA2" s="19" t="s">
        <v>221</v>
      </c>
    </row>
    <row r="3" spans="1:27" ht="42.75" customHeight="1" thickBot="1" x14ac:dyDescent="0.35">
      <c r="A3" s="370" t="s">
        <v>22</v>
      </c>
      <c r="B3" s="370" t="s">
        <v>305</v>
      </c>
      <c r="C3" s="205" t="s">
        <v>49</v>
      </c>
      <c r="D3" s="370"/>
      <c r="E3" s="370" t="s">
        <v>306</v>
      </c>
      <c r="F3" s="370" t="s">
        <v>307</v>
      </c>
      <c r="G3" s="370"/>
      <c r="H3" s="371" t="s">
        <v>308</v>
      </c>
      <c r="I3" s="372" t="s">
        <v>309</v>
      </c>
      <c r="J3" s="369">
        <v>44928</v>
      </c>
      <c r="K3" s="747">
        <v>0.375</v>
      </c>
      <c r="L3" s="369">
        <v>44928</v>
      </c>
      <c r="M3" s="753">
        <v>0.79166666666666663</v>
      </c>
      <c r="N3" s="373">
        <v>8</v>
      </c>
      <c r="O3" s="374" t="s">
        <v>17</v>
      </c>
      <c r="P3" s="375" t="s">
        <v>310</v>
      </c>
      <c r="Q3" s="744" t="s">
        <v>297</v>
      </c>
      <c r="R3" s="202" t="s">
        <v>40</v>
      </c>
      <c r="S3" s="31" t="s">
        <v>273</v>
      </c>
      <c r="T3" s="31" t="s">
        <v>273</v>
      </c>
      <c r="U3" s="31">
        <f>IFERROR(VLOOKUP(CONCATENATE(Tabla1[[#This Row],[Severidad]]," ",Tabla1[[#This Row],[Complejidad]]),Catalogos!E$120:G$128,3,FALSE),"")</f>
        <v>64</v>
      </c>
      <c r="V3" s="31" t="str">
        <f>IF(Tabla1[[#This Row],[Tiempo solución max (hrs)]]&lt;&gt;"",IF(Tabla1[[#This Row],[Tiempo solución max (hrs)]]&gt;=Tabla1[[#This Row],[Tiempo
(Hrs 00/100)]],"cumple","no cumple"),"")</f>
        <v>cumple</v>
      </c>
      <c r="W3" s="376" t="s">
        <v>374</v>
      </c>
      <c r="X3" s="377" t="str">
        <f t="shared" ref="X3:X87" si="0">IF(C3&lt;&gt;"",C3,D3)</f>
        <v>SAI</v>
      </c>
      <c r="Y3" s="95" t="str">
        <f>SUBSTITUTE(Tabla1[[#This Row],[Descripción]],CHAR(10),"    I    ")</f>
        <v>Se modifico y mejor el componente de Integrantes Línea de Acción</v>
      </c>
      <c r="Z3" s="378">
        <f>VLOOKUP(Tabla1[[#This Row],[Perfil]],Catalogos!$B$75:$D$100,3,FALSE)*Tabla1[[#This Row],[Tiempo
(Hrs 00/100)]]*1.16</f>
        <v>6496</v>
      </c>
    </row>
    <row r="4" spans="1:27" ht="42.75" customHeight="1" thickBot="1" x14ac:dyDescent="0.35">
      <c r="A4" s="370" t="s">
        <v>22</v>
      </c>
      <c r="B4" s="370" t="s">
        <v>305</v>
      </c>
      <c r="C4" s="205" t="s">
        <v>49</v>
      </c>
      <c r="D4" s="370"/>
      <c r="E4" s="370" t="s">
        <v>306</v>
      </c>
      <c r="F4" s="370" t="s">
        <v>307</v>
      </c>
      <c r="G4" s="370"/>
      <c r="H4" s="372" t="s">
        <v>311</v>
      </c>
      <c r="I4" s="379" t="s">
        <v>312</v>
      </c>
      <c r="J4" s="369">
        <v>44929</v>
      </c>
      <c r="K4" s="747">
        <v>0.375</v>
      </c>
      <c r="L4" s="369">
        <v>44929</v>
      </c>
      <c r="M4" s="753">
        <v>0.79166666666666663</v>
      </c>
      <c r="N4" s="373">
        <v>8</v>
      </c>
      <c r="O4" s="374" t="s">
        <v>17</v>
      </c>
      <c r="P4" s="380" t="s">
        <v>313</v>
      </c>
      <c r="Q4" s="744" t="s">
        <v>297</v>
      </c>
      <c r="R4" s="202" t="s">
        <v>40</v>
      </c>
      <c r="S4" s="31" t="s">
        <v>273</v>
      </c>
      <c r="T4" s="31" t="s">
        <v>273</v>
      </c>
      <c r="U4" s="31">
        <f>IFERROR(VLOOKUP(CONCATENATE(Tabla1[[#This Row],[Severidad]]," ",Tabla1[[#This Row],[Complejidad]]),Catalogos!E$120:G$128,3,FALSE),"")</f>
        <v>64</v>
      </c>
      <c r="V4" s="31" t="str">
        <f>IF(Tabla1[[#This Row],[Tiempo solución max (hrs)]]&lt;&gt;"",IF(Tabla1[[#This Row],[Tiempo solución max (hrs)]]&gt;=Tabla1[[#This Row],[Tiempo
(Hrs 00/100)]],"cumple","no cumple"),"")</f>
        <v>cumple</v>
      </c>
      <c r="W4" s="376" t="s">
        <v>374</v>
      </c>
      <c r="X4" s="377" t="str">
        <f t="shared" si="0"/>
        <v>SAI</v>
      </c>
      <c r="Y4" s="95" t="str">
        <f>SUBSTITUTE(Tabla1[[#This Row],[Descripción]],CHAR(10),"    I    ")</f>
        <v>Se modifico y mejor el componente de Unidades Administrativas</v>
      </c>
      <c r="Z4" s="378">
        <f>VLOOKUP(Tabla1[[#This Row],[Perfil]],Catalogos!$B$75:$D$100,3,FALSE)*Tabla1[[#This Row],[Tiempo
(Hrs 00/100)]]*1.16</f>
        <v>6496</v>
      </c>
    </row>
    <row r="5" spans="1:27" ht="42.75" customHeight="1" thickBot="1" x14ac:dyDescent="0.35">
      <c r="A5" s="370" t="s">
        <v>22</v>
      </c>
      <c r="B5" s="370" t="s">
        <v>305</v>
      </c>
      <c r="C5" s="205" t="s">
        <v>49</v>
      </c>
      <c r="D5" s="370"/>
      <c r="E5" s="370" t="s">
        <v>306</v>
      </c>
      <c r="F5" s="370" t="s">
        <v>307</v>
      </c>
      <c r="G5" s="370"/>
      <c r="H5" s="371" t="s">
        <v>314</v>
      </c>
      <c r="I5" s="372" t="s">
        <v>315</v>
      </c>
      <c r="J5" s="369">
        <v>44930</v>
      </c>
      <c r="K5" s="747">
        <v>0.375</v>
      </c>
      <c r="L5" s="369">
        <v>44930</v>
      </c>
      <c r="M5" s="753">
        <v>0.79166666666666663</v>
      </c>
      <c r="N5" s="373">
        <v>8</v>
      </c>
      <c r="O5" s="374" t="s">
        <v>17</v>
      </c>
      <c r="P5" s="380" t="s">
        <v>316</v>
      </c>
      <c r="Q5" s="744" t="s">
        <v>297</v>
      </c>
      <c r="R5" s="202" t="s">
        <v>40</v>
      </c>
      <c r="S5" s="31" t="s">
        <v>273</v>
      </c>
      <c r="T5" s="31" t="s">
        <v>273</v>
      </c>
      <c r="U5" s="31">
        <f>IFERROR(VLOOKUP(CONCATENATE(Tabla1[[#This Row],[Severidad]]," ",Tabla1[[#This Row],[Complejidad]]),Catalogos!E$120:G$128,3,FALSE),"")</f>
        <v>64</v>
      </c>
      <c r="V5" s="31" t="str">
        <f>IF(Tabla1[[#This Row],[Tiempo solución max (hrs)]]&lt;&gt;"",IF(Tabla1[[#This Row],[Tiempo solución max (hrs)]]&gt;=Tabla1[[#This Row],[Tiempo
(Hrs 00/100)]],"cumple","no cumple"),"")</f>
        <v>cumple</v>
      </c>
      <c r="W5" s="376" t="s">
        <v>374</v>
      </c>
      <c r="X5" s="377" t="str">
        <f t="shared" si="0"/>
        <v>SAI</v>
      </c>
      <c r="Y5" s="95" t="str">
        <f>SUBSTITUTE(Tabla1[[#This Row],[Descripción]],CHAR(10),"    I    ")</f>
        <v>Se modificaron y mejoraron las pantallas de  Líneas Estrategicas y Líneas de Acción ya que sus campos eran incorrectos</v>
      </c>
      <c r="Z5" s="378">
        <f>VLOOKUP(Tabla1[[#This Row],[Perfil]],Catalogos!$B$75:$D$100,3,FALSE)*Tabla1[[#This Row],[Tiempo
(Hrs 00/100)]]*1.16</f>
        <v>6496</v>
      </c>
    </row>
    <row r="6" spans="1:27" ht="42.75" customHeight="1" thickBot="1" x14ac:dyDescent="0.35">
      <c r="A6" s="370" t="s">
        <v>22</v>
      </c>
      <c r="B6" s="370" t="s">
        <v>23</v>
      </c>
      <c r="C6" s="205" t="s">
        <v>49</v>
      </c>
      <c r="D6" s="370"/>
      <c r="E6" s="370" t="s">
        <v>306</v>
      </c>
      <c r="F6" s="370" t="s">
        <v>23</v>
      </c>
      <c r="G6" s="370"/>
      <c r="H6" s="381" t="s">
        <v>317</v>
      </c>
      <c r="I6" s="379" t="s">
        <v>318</v>
      </c>
      <c r="J6" s="369">
        <v>44931</v>
      </c>
      <c r="K6" s="747">
        <v>0.375</v>
      </c>
      <c r="L6" s="369">
        <v>44931</v>
      </c>
      <c r="M6" s="753">
        <v>0.79166666666666663</v>
      </c>
      <c r="N6" s="373">
        <v>8</v>
      </c>
      <c r="O6" s="374" t="s">
        <v>17</v>
      </c>
      <c r="P6" s="380" t="s">
        <v>319</v>
      </c>
      <c r="Q6" s="744" t="s">
        <v>297</v>
      </c>
      <c r="R6" s="202" t="s">
        <v>40</v>
      </c>
      <c r="S6" s="31" t="s">
        <v>273</v>
      </c>
      <c r="T6" s="31" t="s">
        <v>273</v>
      </c>
      <c r="U6" s="31">
        <f>IFERROR(VLOOKUP(CONCATENATE(Tabla1[[#This Row],[Severidad]]," ",Tabla1[[#This Row],[Complejidad]]),Catalogos!E$120:G$128,3,FALSE),"")</f>
        <v>64</v>
      </c>
      <c r="V6" s="31" t="str">
        <f>IF(Tabla1[[#This Row],[Tiempo solución max (hrs)]]&lt;&gt;"",IF(Tabla1[[#This Row],[Tiempo solución max (hrs)]]&gt;=Tabla1[[#This Row],[Tiempo
(Hrs 00/100)]],"cumple","no cumple"),"")</f>
        <v>cumple</v>
      </c>
      <c r="W6" s="376" t="s">
        <v>374</v>
      </c>
      <c r="X6" s="377" t="str">
        <f t="shared" si="0"/>
        <v>SAI</v>
      </c>
      <c r="Y6" s="95" t="str">
        <f>SUBSTITUTE(Tabla1[[#This Row],[Descripción]],CHAR(10),"    I    ")</f>
        <v>Se ha creado el template inicial para la pantalla de Areas administrativas de Implementación para el menú de Catálogos</v>
      </c>
      <c r="Z6" s="378">
        <f>VLOOKUP(Tabla1[[#This Row],[Perfil]],Catalogos!$B$75:$D$100,3,FALSE)*Tabla1[[#This Row],[Tiempo
(Hrs 00/100)]]*1.16</f>
        <v>6496</v>
      </c>
    </row>
    <row r="7" spans="1:27" ht="42.75" customHeight="1" thickBot="1" x14ac:dyDescent="0.35">
      <c r="A7" s="370" t="s">
        <v>22</v>
      </c>
      <c r="B7" s="370" t="s">
        <v>23</v>
      </c>
      <c r="C7" s="205" t="s">
        <v>49</v>
      </c>
      <c r="D7" s="370"/>
      <c r="E7" s="370" t="s">
        <v>306</v>
      </c>
      <c r="F7" s="370" t="s">
        <v>23</v>
      </c>
      <c r="G7" s="370"/>
      <c r="H7" s="371" t="s">
        <v>320</v>
      </c>
      <c r="I7" s="372" t="s">
        <v>321</v>
      </c>
      <c r="J7" s="369">
        <v>44932</v>
      </c>
      <c r="K7" s="747">
        <v>0.375</v>
      </c>
      <c r="L7" s="369">
        <v>44932</v>
      </c>
      <c r="M7" s="753">
        <v>0.79166666666666663</v>
      </c>
      <c r="N7" s="373">
        <v>8</v>
      </c>
      <c r="O7" s="374" t="s">
        <v>17</v>
      </c>
      <c r="P7" s="380" t="s">
        <v>322</v>
      </c>
      <c r="Q7" s="744" t="s">
        <v>297</v>
      </c>
      <c r="R7" s="202" t="s">
        <v>40</v>
      </c>
      <c r="S7" s="31" t="s">
        <v>273</v>
      </c>
      <c r="T7" s="31" t="s">
        <v>273</v>
      </c>
      <c r="U7" s="31">
        <f>IFERROR(VLOOKUP(CONCATENATE(Tabla1[[#This Row],[Severidad]]," ",Tabla1[[#This Row],[Complejidad]]),Catalogos!E$120:G$128,3,FALSE),"")</f>
        <v>64</v>
      </c>
      <c r="V7" s="31" t="str">
        <f>IF(Tabla1[[#This Row],[Tiempo solución max (hrs)]]&lt;&gt;"",IF(Tabla1[[#This Row],[Tiempo solución max (hrs)]]&gt;=Tabla1[[#This Row],[Tiempo
(Hrs 00/100)]],"cumple","no cumple"),"")</f>
        <v>cumple</v>
      </c>
      <c r="W7" s="376" t="s">
        <v>374</v>
      </c>
      <c r="X7" s="377" t="str">
        <f t="shared" si="0"/>
        <v>SAI</v>
      </c>
      <c r="Y7" t="str">
        <f>SUBSTITUTE(Tabla1[[#This Row],[Descripción]],CHAR(10),"    I    ")</f>
        <v>Ajuste y consumo del Servicio del back end para conectar con el template de Líneas de Acción</v>
      </c>
      <c r="Z7" s="378">
        <f>VLOOKUP(Tabla1[[#This Row],[Perfil]],Catalogos!$B$75:$D$100,3,FALSE)*Tabla1[[#This Row],[Tiempo
(Hrs 00/100)]]*1.16</f>
        <v>6496</v>
      </c>
    </row>
    <row r="8" spans="1:27" ht="42.75" customHeight="1" thickBot="1" x14ac:dyDescent="0.35">
      <c r="A8" s="370" t="s">
        <v>22</v>
      </c>
      <c r="B8" s="370" t="s">
        <v>23</v>
      </c>
      <c r="C8" s="205" t="s">
        <v>49</v>
      </c>
      <c r="D8" s="370"/>
      <c r="E8" s="370" t="s">
        <v>306</v>
      </c>
      <c r="F8" s="370" t="s">
        <v>23</v>
      </c>
      <c r="G8" s="370"/>
      <c r="H8" s="381" t="s">
        <v>323</v>
      </c>
      <c r="I8" s="379" t="s">
        <v>324</v>
      </c>
      <c r="J8" s="369">
        <v>44935</v>
      </c>
      <c r="K8" s="747">
        <v>0.375</v>
      </c>
      <c r="L8" s="369">
        <v>44935</v>
      </c>
      <c r="M8" s="753">
        <v>0.79166666666666663</v>
      </c>
      <c r="N8" s="373">
        <v>8</v>
      </c>
      <c r="O8" s="374" t="s">
        <v>17</v>
      </c>
      <c r="P8" s="380" t="s">
        <v>325</v>
      </c>
      <c r="Q8" s="744" t="s">
        <v>297</v>
      </c>
      <c r="R8" s="202" t="s">
        <v>40</v>
      </c>
      <c r="S8" s="31" t="s">
        <v>273</v>
      </c>
      <c r="T8" s="31" t="s">
        <v>273</v>
      </c>
      <c r="U8" s="31">
        <f>IFERROR(VLOOKUP(CONCATENATE(Tabla1[[#This Row],[Severidad]]," ",Tabla1[[#This Row],[Complejidad]]),Catalogos!E$120:G$128,3,FALSE),"")</f>
        <v>64</v>
      </c>
      <c r="V8" s="31" t="str">
        <f>IF(Tabla1[[#This Row],[Tiempo solución max (hrs)]]&lt;&gt;"",IF(Tabla1[[#This Row],[Tiempo solución max (hrs)]]&gt;=Tabla1[[#This Row],[Tiempo
(Hrs 00/100)]],"cumple","no cumple"),"")</f>
        <v>cumple</v>
      </c>
      <c r="W8" s="376" t="s">
        <v>374</v>
      </c>
      <c r="X8" s="377" t="str">
        <f t="shared" si="0"/>
        <v>SAI</v>
      </c>
      <c r="Y8" t="str">
        <f>SUBSTITUTE(Tabla1[[#This Row],[Descripción]],CHAR(10),"    I    ")</f>
        <v>Se han conectado los servicios obtenidos del back end al Componente de Líneas de Acción</v>
      </c>
      <c r="Z8" s="378">
        <f>VLOOKUP(Tabla1[[#This Row],[Perfil]],Catalogos!$B$75:$D$100,3,FALSE)*Tabla1[[#This Row],[Tiempo
(Hrs 00/100)]]*1.16</f>
        <v>6496</v>
      </c>
    </row>
    <row r="9" spans="1:27" ht="42.75" customHeight="1" thickBot="1" x14ac:dyDescent="0.35">
      <c r="A9" s="370" t="s">
        <v>22</v>
      </c>
      <c r="B9" s="370" t="s">
        <v>23</v>
      </c>
      <c r="C9" s="205" t="s">
        <v>49</v>
      </c>
      <c r="D9" s="370"/>
      <c r="E9" s="370" t="s">
        <v>306</v>
      </c>
      <c r="F9" s="370" t="s">
        <v>23</v>
      </c>
      <c r="G9" s="370"/>
      <c r="H9" s="371" t="s">
        <v>326</v>
      </c>
      <c r="I9" s="372" t="s">
        <v>327</v>
      </c>
      <c r="J9" s="369">
        <v>44936</v>
      </c>
      <c r="K9" s="747">
        <v>0.375</v>
      </c>
      <c r="L9" s="369">
        <v>44936</v>
      </c>
      <c r="M9" s="753">
        <v>0.79166666666666663</v>
      </c>
      <c r="N9" s="373">
        <v>8</v>
      </c>
      <c r="O9" s="374" t="s">
        <v>17</v>
      </c>
      <c r="P9" s="380" t="s">
        <v>328</v>
      </c>
      <c r="Q9" s="744" t="s">
        <v>297</v>
      </c>
      <c r="R9" s="202" t="s">
        <v>40</v>
      </c>
      <c r="S9" s="31" t="s">
        <v>273</v>
      </c>
      <c r="T9" s="31" t="s">
        <v>273</v>
      </c>
      <c r="U9" s="31">
        <f>IFERROR(VLOOKUP(CONCATENATE(Tabla1[[#This Row],[Severidad]]," ",Tabla1[[#This Row],[Complejidad]]),Catalogos!E$120:G$128,3,FALSE),"")</f>
        <v>64</v>
      </c>
      <c r="V9" s="31" t="str">
        <f>IF(Tabla1[[#This Row],[Tiempo solución max (hrs)]]&lt;&gt;"",IF(Tabla1[[#This Row],[Tiempo solución max (hrs)]]&gt;=Tabla1[[#This Row],[Tiempo
(Hrs 00/100)]],"cumple","no cumple"),"")</f>
        <v>cumple</v>
      </c>
      <c r="W9" s="376" t="s">
        <v>374</v>
      </c>
      <c r="X9" s="377" t="str">
        <f t="shared" si="0"/>
        <v>SAI</v>
      </c>
      <c r="Y9" t="str">
        <f>SUBSTITUTE(Tabla1[[#This Row],[Descripción]],CHAR(10),"    I    ")</f>
        <v>Se mejoro la conexión con el back end desde usuario, de manera que los datos se traen de mejor forma</v>
      </c>
      <c r="Z9" s="378">
        <f>VLOOKUP(Tabla1[[#This Row],[Perfil]],Catalogos!$B$75:$D$100,3,FALSE)*Tabla1[[#This Row],[Tiempo
(Hrs 00/100)]]*1.16</f>
        <v>6496</v>
      </c>
    </row>
    <row r="10" spans="1:27" ht="42.75" customHeight="1" thickBot="1" x14ac:dyDescent="0.35">
      <c r="A10" s="370" t="s">
        <v>22</v>
      </c>
      <c r="B10" s="370" t="s">
        <v>23</v>
      </c>
      <c r="C10" s="205" t="s">
        <v>49</v>
      </c>
      <c r="D10" s="370"/>
      <c r="E10" s="370" t="s">
        <v>306</v>
      </c>
      <c r="F10" s="370" t="s">
        <v>23</v>
      </c>
      <c r="G10" s="370"/>
      <c r="H10" s="381" t="s">
        <v>329</v>
      </c>
      <c r="I10" s="379" t="s">
        <v>330</v>
      </c>
      <c r="J10" s="369">
        <v>44937</v>
      </c>
      <c r="K10" s="747">
        <v>0.375</v>
      </c>
      <c r="L10" s="369">
        <v>44937</v>
      </c>
      <c r="M10" s="753">
        <v>0.79166666666666663</v>
      </c>
      <c r="N10" s="373">
        <v>8</v>
      </c>
      <c r="O10" s="374" t="s">
        <v>17</v>
      </c>
      <c r="P10" s="380" t="s">
        <v>331</v>
      </c>
      <c r="Q10" s="744" t="s">
        <v>297</v>
      </c>
      <c r="R10" s="202" t="s">
        <v>40</v>
      </c>
      <c r="S10" s="31" t="s">
        <v>273</v>
      </c>
      <c r="T10" s="31" t="s">
        <v>273</v>
      </c>
      <c r="U10" s="31">
        <f>IFERROR(VLOOKUP(CONCATENATE(Tabla1[[#This Row],[Severidad]]," ",Tabla1[[#This Row],[Complejidad]]),Catalogos!E$120:G$128,3,FALSE),"")</f>
        <v>64</v>
      </c>
      <c r="V10" s="31" t="str">
        <f>IF(Tabla1[[#This Row],[Tiempo solución max (hrs)]]&lt;&gt;"",IF(Tabla1[[#This Row],[Tiempo solución max (hrs)]]&gt;=Tabla1[[#This Row],[Tiempo
(Hrs 00/100)]],"cumple","no cumple"),"")</f>
        <v>cumple</v>
      </c>
      <c r="W10" s="376" t="s">
        <v>374</v>
      </c>
      <c r="X10" s="377" t="str">
        <f t="shared" si="0"/>
        <v>SAI</v>
      </c>
      <c r="Y10" t="str">
        <f>SUBSTITUTE(Tabla1[[#This Row],[Descripción]],CHAR(10),"    I    ")</f>
        <v>Se han conectado con los end points del back end para la consulta de Menú dinamico en base los diferentes perfiles</v>
      </c>
      <c r="Z10" s="378">
        <f>VLOOKUP(Tabla1[[#This Row],[Perfil]],Catalogos!$B$75:$D$100,3,FALSE)*Tabla1[[#This Row],[Tiempo
(Hrs 00/100)]]*1.16</f>
        <v>6496</v>
      </c>
    </row>
    <row r="11" spans="1:27" ht="42.75" customHeight="1" thickBot="1" x14ac:dyDescent="0.35">
      <c r="A11" s="370" t="s">
        <v>22</v>
      </c>
      <c r="B11" s="370" t="s">
        <v>23</v>
      </c>
      <c r="C11" s="205" t="s">
        <v>49</v>
      </c>
      <c r="D11" s="370"/>
      <c r="E11" s="370" t="s">
        <v>306</v>
      </c>
      <c r="F11" s="370" t="s">
        <v>23</v>
      </c>
      <c r="G11" s="370"/>
      <c r="H11" s="371" t="s">
        <v>332</v>
      </c>
      <c r="I11" s="372" t="s">
        <v>333</v>
      </c>
      <c r="J11" s="369">
        <v>44938</v>
      </c>
      <c r="K11" s="747">
        <v>0.375</v>
      </c>
      <c r="L11" s="369">
        <v>44938</v>
      </c>
      <c r="M11" s="753">
        <v>0.79166666666666663</v>
      </c>
      <c r="N11" s="373">
        <v>8</v>
      </c>
      <c r="O11" s="374" t="s">
        <v>17</v>
      </c>
      <c r="P11" s="380" t="s">
        <v>334</v>
      </c>
      <c r="Q11" s="744" t="s">
        <v>297</v>
      </c>
      <c r="R11" s="202" t="s">
        <v>40</v>
      </c>
      <c r="S11" s="31" t="s">
        <v>273</v>
      </c>
      <c r="T11" s="31" t="s">
        <v>273</v>
      </c>
      <c r="U11" s="31">
        <f>IFERROR(VLOOKUP(CONCATENATE(Tabla1[[#This Row],[Severidad]]," ",Tabla1[[#This Row],[Complejidad]]),Catalogos!E$120:G$128,3,FALSE),"")</f>
        <v>64</v>
      </c>
      <c r="V11" s="31" t="str">
        <f>IF(Tabla1[[#This Row],[Tiempo solución max (hrs)]]&lt;&gt;"",IF(Tabla1[[#This Row],[Tiempo solución max (hrs)]]&gt;=Tabla1[[#This Row],[Tiempo
(Hrs 00/100)]],"cumple","no cumple"),"")</f>
        <v>cumple</v>
      </c>
      <c r="W11" s="376" t="s">
        <v>374</v>
      </c>
      <c r="X11" s="377" t="str">
        <f t="shared" si="0"/>
        <v>SAI</v>
      </c>
      <c r="Y11" t="str">
        <f>SUBSTITUTE(Tabla1[[#This Row],[Descripción]],CHAR(10),"    I    ")</f>
        <v>Se han hecho ajustes al componente de Usuarios para la opción de validar por Perfil el acceso a UA o Integrantes</v>
      </c>
      <c r="Z11" s="378">
        <f>VLOOKUP(Tabla1[[#This Row],[Perfil]],Catalogos!$B$75:$D$100,3,FALSE)*Tabla1[[#This Row],[Tiempo
(Hrs 00/100)]]*1.16</f>
        <v>6496</v>
      </c>
    </row>
    <row r="12" spans="1:27" ht="42.75" customHeight="1" thickBot="1" x14ac:dyDescent="0.35">
      <c r="A12" s="370" t="s">
        <v>22</v>
      </c>
      <c r="B12" s="370" t="s">
        <v>23</v>
      </c>
      <c r="C12" s="205" t="s">
        <v>49</v>
      </c>
      <c r="D12" s="370"/>
      <c r="E12" s="370" t="s">
        <v>306</v>
      </c>
      <c r="F12" s="370" t="s">
        <v>72</v>
      </c>
      <c r="G12" s="370"/>
      <c r="H12" s="381" t="s">
        <v>335</v>
      </c>
      <c r="I12" s="379" t="s">
        <v>336</v>
      </c>
      <c r="J12" s="369">
        <v>44939</v>
      </c>
      <c r="K12" s="747">
        <v>0.375</v>
      </c>
      <c r="L12" s="369">
        <v>44939</v>
      </c>
      <c r="M12" s="753">
        <v>0.79166666666666663</v>
      </c>
      <c r="N12" s="373">
        <v>8</v>
      </c>
      <c r="O12" s="374" t="s">
        <v>17</v>
      </c>
      <c r="P12" s="380" t="s">
        <v>337</v>
      </c>
      <c r="Q12" s="744" t="s">
        <v>297</v>
      </c>
      <c r="R12" s="202" t="s">
        <v>40</v>
      </c>
      <c r="S12" s="31" t="s">
        <v>273</v>
      </c>
      <c r="T12" s="31" t="s">
        <v>273</v>
      </c>
      <c r="U12" s="31">
        <f>IFERROR(VLOOKUP(CONCATENATE(Tabla1[[#This Row],[Severidad]]," ",Tabla1[[#This Row],[Complejidad]]),Catalogos!E$120:G$128,3,FALSE),"")</f>
        <v>64</v>
      </c>
      <c r="V12" s="31" t="str">
        <f>IF(Tabla1[[#This Row],[Tiempo solución max (hrs)]]&lt;&gt;"",IF(Tabla1[[#This Row],[Tiempo solución max (hrs)]]&gt;=Tabla1[[#This Row],[Tiempo
(Hrs 00/100)]],"cumple","no cumple"),"")</f>
        <v>cumple</v>
      </c>
      <c r="W12" s="376" t="s">
        <v>374</v>
      </c>
      <c r="X12" s="377" t="str">
        <f t="shared" si="0"/>
        <v>SAI</v>
      </c>
      <c r="Y12" t="str">
        <f>SUBSTITUTE(Tabla1[[#This Row],[Descripción]],CHAR(10),"    I    ")</f>
        <v>Se han realizado ajustes a los Catalogos de Integrantes y Usuarios</v>
      </c>
      <c r="Z12" s="378">
        <f>VLOOKUP(Tabla1[[#This Row],[Perfil]],Catalogos!$B$75:$D$100,3,FALSE)*Tabla1[[#This Row],[Tiempo
(Hrs 00/100)]]*1.16</f>
        <v>6496</v>
      </c>
    </row>
    <row r="13" spans="1:27" ht="42.75" customHeight="1" thickBot="1" x14ac:dyDescent="0.35">
      <c r="A13" s="370" t="s">
        <v>58</v>
      </c>
      <c r="B13" s="370" t="s">
        <v>63</v>
      </c>
      <c r="C13" s="205" t="s">
        <v>49</v>
      </c>
      <c r="D13" s="370"/>
      <c r="E13" s="370" t="s">
        <v>306</v>
      </c>
      <c r="F13" s="370" t="s">
        <v>74</v>
      </c>
      <c r="G13" s="370"/>
      <c r="H13" s="381" t="s">
        <v>338</v>
      </c>
      <c r="I13" s="381" t="s">
        <v>339</v>
      </c>
      <c r="J13" s="369">
        <v>44942</v>
      </c>
      <c r="K13" s="747">
        <v>0.375</v>
      </c>
      <c r="L13" s="369">
        <v>44942</v>
      </c>
      <c r="M13" s="753">
        <v>0.79166666666666663</v>
      </c>
      <c r="N13" s="373">
        <v>8</v>
      </c>
      <c r="O13" s="374" t="s">
        <v>17</v>
      </c>
      <c r="P13" s="380" t="s">
        <v>340</v>
      </c>
      <c r="Q13" s="744" t="s">
        <v>297</v>
      </c>
      <c r="R13" s="202" t="s">
        <v>40</v>
      </c>
      <c r="S13" s="31" t="s">
        <v>273</v>
      </c>
      <c r="T13" s="31" t="s">
        <v>273</v>
      </c>
      <c r="U13" s="31">
        <f>IFERROR(VLOOKUP(CONCATENATE(Tabla1[[#This Row],[Severidad]]," ",Tabla1[[#This Row],[Complejidad]]),Catalogos!E$120:G$128,3,FALSE),"")</f>
        <v>64</v>
      </c>
      <c r="V13" s="31" t="str">
        <f>IF(Tabla1[[#This Row],[Tiempo solución max (hrs)]]&lt;&gt;"",IF(Tabla1[[#This Row],[Tiempo solución max (hrs)]]&gt;=Tabla1[[#This Row],[Tiempo
(Hrs 00/100)]],"cumple","no cumple"),"")</f>
        <v>cumple</v>
      </c>
      <c r="W13" s="376" t="s">
        <v>374</v>
      </c>
      <c r="X13" s="377" t="str">
        <f t="shared" si="0"/>
        <v>SAI</v>
      </c>
      <c r="Y13" t="str">
        <f>SUBSTITUTE(Tabla1[[#This Row],[Descripción]],CHAR(10),"    I    ")</f>
        <v>Se ha dado revisión con el equipo para la logica de Formato Seguimientos</v>
      </c>
      <c r="Z13" s="378">
        <f>VLOOKUP(Tabla1[[#This Row],[Perfil]],Catalogos!$B$75:$D$100,3,FALSE)*Tabla1[[#This Row],[Tiempo
(Hrs 00/100)]]*1.16</f>
        <v>6496</v>
      </c>
    </row>
    <row r="14" spans="1:27" ht="42.75" customHeight="1" thickBot="1" x14ac:dyDescent="0.35">
      <c r="A14" s="370" t="s">
        <v>58</v>
      </c>
      <c r="B14" s="370" t="s">
        <v>63</v>
      </c>
      <c r="C14" s="205" t="s">
        <v>49</v>
      </c>
      <c r="D14" s="370"/>
      <c r="E14" s="370" t="s">
        <v>306</v>
      </c>
      <c r="F14" s="370" t="s">
        <v>74</v>
      </c>
      <c r="G14" s="370"/>
      <c r="H14" s="381" t="s">
        <v>341</v>
      </c>
      <c r="I14" s="381" t="s">
        <v>342</v>
      </c>
      <c r="J14" s="369">
        <v>44943</v>
      </c>
      <c r="K14" s="747">
        <v>0.375</v>
      </c>
      <c r="L14" s="369">
        <v>44943</v>
      </c>
      <c r="M14" s="753">
        <v>0.79166666666666663</v>
      </c>
      <c r="N14" s="373">
        <v>8</v>
      </c>
      <c r="O14" s="374" t="s">
        <v>17</v>
      </c>
      <c r="P14" s="380" t="s">
        <v>343</v>
      </c>
      <c r="Q14" s="744" t="s">
        <v>297</v>
      </c>
      <c r="R14" s="202" t="s">
        <v>40</v>
      </c>
      <c r="S14" s="31" t="s">
        <v>273</v>
      </c>
      <c r="T14" s="31" t="s">
        <v>273</v>
      </c>
      <c r="U14" s="31">
        <f>IFERROR(VLOOKUP(CONCATENATE(Tabla1[[#This Row],[Severidad]]," ",Tabla1[[#This Row],[Complejidad]]),Catalogos!E$120:G$128,3,FALSE),"")</f>
        <v>64</v>
      </c>
      <c r="V14" s="31" t="str">
        <f>IF(Tabla1[[#This Row],[Tiempo solución max (hrs)]]&lt;&gt;"",IF(Tabla1[[#This Row],[Tiempo solución max (hrs)]]&gt;=Tabla1[[#This Row],[Tiempo
(Hrs 00/100)]],"cumple","no cumple"),"")</f>
        <v>cumple</v>
      </c>
      <c r="W14" s="376" t="s">
        <v>374</v>
      </c>
      <c r="X14" s="377" t="str">
        <f t="shared" si="0"/>
        <v>SAI</v>
      </c>
      <c r="Y14" t="str">
        <f>SUBSTITUTE(Tabla1[[#This Row],[Descripción]],CHAR(10),"    I    ")</f>
        <v>Se ha dado revisión con el equipo para la logica de Formato ABC</v>
      </c>
      <c r="Z14" s="378">
        <f>VLOOKUP(Tabla1[[#This Row],[Perfil]],Catalogos!$B$75:$D$100,3,FALSE)*Tabla1[[#This Row],[Tiempo
(Hrs 00/100)]]*1.16</f>
        <v>6496</v>
      </c>
    </row>
    <row r="15" spans="1:27" ht="42.75" customHeight="1" thickBot="1" x14ac:dyDescent="0.35">
      <c r="A15" s="370" t="s">
        <v>22</v>
      </c>
      <c r="B15" s="370" t="s">
        <v>23</v>
      </c>
      <c r="C15" s="205" t="s">
        <v>49</v>
      </c>
      <c r="D15" s="370"/>
      <c r="E15" s="370" t="s">
        <v>306</v>
      </c>
      <c r="F15" s="370" t="s">
        <v>23</v>
      </c>
      <c r="G15" s="370"/>
      <c r="H15" s="381" t="s">
        <v>344</v>
      </c>
      <c r="I15" s="381" t="s">
        <v>345</v>
      </c>
      <c r="J15" s="369">
        <v>44944</v>
      </c>
      <c r="K15" s="747">
        <v>0.375</v>
      </c>
      <c r="L15" s="369">
        <v>44944</v>
      </c>
      <c r="M15" s="753">
        <v>0.79166666666666663</v>
      </c>
      <c r="N15" s="373">
        <v>8</v>
      </c>
      <c r="O15" s="374" t="s">
        <v>17</v>
      </c>
      <c r="P15" s="375" t="s">
        <v>346</v>
      </c>
      <c r="Q15" s="744" t="s">
        <v>297</v>
      </c>
      <c r="R15" s="202" t="s">
        <v>40</v>
      </c>
      <c r="S15" s="31" t="s">
        <v>273</v>
      </c>
      <c r="T15" s="31" t="s">
        <v>273</v>
      </c>
      <c r="U15" s="31">
        <f>IFERROR(VLOOKUP(CONCATENATE(Tabla1[[#This Row],[Severidad]]," ",Tabla1[[#This Row],[Complejidad]]),Catalogos!E$120:G$128,3,FALSE),"")</f>
        <v>64</v>
      </c>
      <c r="V15" s="31" t="str">
        <f>IF(Tabla1[[#This Row],[Tiempo solución max (hrs)]]&lt;&gt;"",IF(Tabla1[[#This Row],[Tiempo solución max (hrs)]]&gt;=Tabla1[[#This Row],[Tiempo
(Hrs 00/100)]],"cumple","no cumple"),"")</f>
        <v>cumple</v>
      </c>
      <c r="W15" s="376" t="s">
        <v>374</v>
      </c>
      <c r="X15" s="377" t="str">
        <f t="shared" si="0"/>
        <v>SAI</v>
      </c>
      <c r="Y15" t="str">
        <f>SUBSTITUTE(Tabla1[[#This Row],[Descripción]],CHAR(10),"    I    ")</f>
        <v>Se han conectado los componentes para la pantalla de Actividades con el BackEnd para consulta y busqueda</v>
      </c>
      <c r="Z15" s="378">
        <f>VLOOKUP(Tabla1[[#This Row],[Perfil]],Catalogos!$B$75:$D$100,3,FALSE)*Tabla1[[#This Row],[Tiempo
(Hrs 00/100)]]*1.16</f>
        <v>6496</v>
      </c>
    </row>
    <row r="16" spans="1:27" ht="42.75" customHeight="1" thickBot="1" x14ac:dyDescent="0.35">
      <c r="A16" s="370" t="s">
        <v>22</v>
      </c>
      <c r="B16" s="370" t="s">
        <v>23</v>
      </c>
      <c r="C16" s="205" t="s">
        <v>49</v>
      </c>
      <c r="D16" s="370"/>
      <c r="E16" s="370" t="s">
        <v>306</v>
      </c>
      <c r="F16" s="370" t="s">
        <v>23</v>
      </c>
      <c r="G16" s="370"/>
      <c r="H16" s="381" t="s">
        <v>347</v>
      </c>
      <c r="I16" s="381" t="s">
        <v>348</v>
      </c>
      <c r="J16" s="369">
        <v>44945</v>
      </c>
      <c r="K16" s="747">
        <v>0.375</v>
      </c>
      <c r="L16" s="369">
        <v>44945</v>
      </c>
      <c r="M16" s="753">
        <v>0.79166666666666663</v>
      </c>
      <c r="N16" s="373">
        <v>8</v>
      </c>
      <c r="O16" s="374" t="s">
        <v>17</v>
      </c>
      <c r="P16" s="375" t="s">
        <v>349</v>
      </c>
      <c r="Q16" s="744" t="s">
        <v>297</v>
      </c>
      <c r="R16" s="202" t="s">
        <v>40</v>
      </c>
      <c r="S16" s="31" t="s">
        <v>273</v>
      </c>
      <c r="T16" s="31" t="s">
        <v>273</v>
      </c>
      <c r="U16" s="31">
        <f>IFERROR(VLOOKUP(CONCATENATE(Tabla1[[#This Row],[Severidad]]," ",Tabla1[[#This Row],[Complejidad]]),Catalogos!E$120:G$128,3,FALSE),"")</f>
        <v>64</v>
      </c>
      <c r="V16" s="31" t="str">
        <f>IF(Tabla1[[#This Row],[Tiempo solución max (hrs)]]&lt;&gt;"",IF(Tabla1[[#This Row],[Tiempo solución max (hrs)]]&gt;=Tabla1[[#This Row],[Tiempo
(Hrs 00/100)]],"cumple","no cumple"),"")</f>
        <v>cumple</v>
      </c>
      <c r="W16" s="376" t="s">
        <v>374</v>
      </c>
      <c r="X16" s="377" t="str">
        <f t="shared" si="0"/>
        <v>SAI</v>
      </c>
      <c r="Y16" t="str">
        <f>SUBSTITUTE(Tabla1[[#This Row],[Descripción]],CHAR(10),"    I    ")</f>
        <v>Se han conectado los componentes para la pantalla de Actividades con el BackEnd para Alta y Baja</v>
      </c>
      <c r="Z16" s="378">
        <f>VLOOKUP(Tabla1[[#This Row],[Perfil]],Catalogos!$B$75:$D$100,3,FALSE)*Tabla1[[#This Row],[Tiempo
(Hrs 00/100)]]*1.16</f>
        <v>6496</v>
      </c>
    </row>
    <row r="17" spans="1:26" ht="42.75" customHeight="1" thickBot="1" x14ac:dyDescent="0.35">
      <c r="A17" s="370" t="s">
        <v>22</v>
      </c>
      <c r="B17" s="370" t="s">
        <v>63</v>
      </c>
      <c r="C17" s="205" t="s">
        <v>49</v>
      </c>
      <c r="D17" s="370"/>
      <c r="E17" s="370" t="s">
        <v>306</v>
      </c>
      <c r="F17" s="370" t="s">
        <v>74</v>
      </c>
      <c r="G17" s="370"/>
      <c r="H17" s="381" t="s">
        <v>350</v>
      </c>
      <c r="I17" s="381" t="s">
        <v>351</v>
      </c>
      <c r="J17" s="369">
        <v>44946</v>
      </c>
      <c r="K17" s="747">
        <v>0.375</v>
      </c>
      <c r="L17" s="369">
        <v>44946</v>
      </c>
      <c r="M17" s="753">
        <v>0.79166666666666663</v>
      </c>
      <c r="N17" s="373">
        <v>8</v>
      </c>
      <c r="O17" s="374" t="s">
        <v>17</v>
      </c>
      <c r="P17" s="375" t="s">
        <v>352</v>
      </c>
      <c r="Q17" s="744" t="s">
        <v>297</v>
      </c>
      <c r="R17" s="202" t="s">
        <v>40</v>
      </c>
      <c r="S17" s="31" t="s">
        <v>273</v>
      </c>
      <c r="T17" s="31" t="s">
        <v>273</v>
      </c>
      <c r="U17" s="31">
        <f>IFERROR(VLOOKUP(CONCATENATE(Tabla1[[#This Row],[Severidad]]," ",Tabla1[[#This Row],[Complejidad]]),Catalogos!E$120:G$128,3,FALSE),"")</f>
        <v>64</v>
      </c>
      <c r="V17" s="31" t="str">
        <f>IF(Tabla1[[#This Row],[Tiempo solución max (hrs)]]&lt;&gt;"",IF(Tabla1[[#This Row],[Tiempo solución max (hrs)]]&gt;=Tabla1[[#This Row],[Tiempo
(Hrs 00/100)]],"cumple","no cumple"),"")</f>
        <v>cumple</v>
      </c>
      <c r="W17" s="376" t="s">
        <v>374</v>
      </c>
      <c r="X17" s="377" t="str">
        <f t="shared" si="0"/>
        <v>SAI</v>
      </c>
      <c r="Y17" t="str">
        <f>SUBSTITUTE(Tabla1[[#This Row],[Descripción]],CHAR(10),"    I    ")</f>
        <v>Se han creado los servicios para la pantalla de Seguimiento para realizar las consultas, bajas, altas</v>
      </c>
      <c r="Z17" s="378">
        <f>VLOOKUP(Tabla1[[#This Row],[Perfil]],Catalogos!$B$75:$D$100,3,FALSE)*Tabla1[[#This Row],[Tiempo
(Hrs 00/100)]]*1.16</f>
        <v>6496</v>
      </c>
    </row>
    <row r="18" spans="1:26" ht="42.75" customHeight="1" thickBot="1" x14ac:dyDescent="0.35">
      <c r="A18" s="370" t="s">
        <v>22</v>
      </c>
      <c r="B18" s="370" t="s">
        <v>63</v>
      </c>
      <c r="C18" s="205" t="s">
        <v>49</v>
      </c>
      <c r="D18" s="370"/>
      <c r="E18" s="370" t="s">
        <v>306</v>
      </c>
      <c r="F18" s="370" t="s">
        <v>74</v>
      </c>
      <c r="G18" s="370"/>
      <c r="H18" s="381" t="s">
        <v>353</v>
      </c>
      <c r="I18" s="381" t="s">
        <v>354</v>
      </c>
      <c r="J18" s="369">
        <v>44949</v>
      </c>
      <c r="K18" s="747">
        <v>0.375</v>
      </c>
      <c r="L18" s="369">
        <v>44949</v>
      </c>
      <c r="M18" s="753">
        <v>0.79166666666666663</v>
      </c>
      <c r="N18" s="373">
        <v>8</v>
      </c>
      <c r="O18" s="374" t="s">
        <v>17</v>
      </c>
      <c r="P18" s="375" t="s">
        <v>355</v>
      </c>
      <c r="Q18" s="744" t="s">
        <v>297</v>
      </c>
      <c r="R18" s="202" t="s">
        <v>40</v>
      </c>
      <c r="S18" s="31" t="s">
        <v>273</v>
      </c>
      <c r="T18" s="31" t="s">
        <v>273</v>
      </c>
      <c r="U18" s="31">
        <f>IFERROR(VLOOKUP(CONCATENATE(Tabla1[[#This Row],[Severidad]]," ",Tabla1[[#This Row],[Complejidad]]),Catalogos!E$120:G$128,3,FALSE),"")</f>
        <v>64</v>
      </c>
      <c r="V18" s="31" t="str">
        <f>IF(Tabla1[[#This Row],[Tiempo solución max (hrs)]]&lt;&gt;"",IF(Tabla1[[#This Row],[Tiempo solución max (hrs)]]&gt;=Tabla1[[#This Row],[Tiempo
(Hrs 00/100)]],"cumple","no cumple"),"")</f>
        <v>cumple</v>
      </c>
      <c r="W18" s="376" t="s">
        <v>374</v>
      </c>
      <c r="X18" s="377" t="str">
        <f t="shared" si="0"/>
        <v>SAI</v>
      </c>
      <c r="Y18" t="str">
        <f>SUBSTITUTE(Tabla1[[#This Row],[Descripción]],CHAR(10),"    I    ")</f>
        <v>Se han creadoel componente necesario para las botoneras de Estatus de Actividades</v>
      </c>
      <c r="Z18" s="378">
        <f>VLOOKUP(Tabla1[[#This Row],[Perfil]],Catalogos!$B$75:$D$100,3,FALSE)*Tabla1[[#This Row],[Tiempo
(Hrs 00/100)]]*1.16</f>
        <v>6496</v>
      </c>
    </row>
    <row r="19" spans="1:26" ht="42.75" customHeight="1" thickBot="1" x14ac:dyDescent="0.35">
      <c r="A19" s="370" t="s">
        <v>22</v>
      </c>
      <c r="B19" s="370" t="s">
        <v>63</v>
      </c>
      <c r="C19" s="205" t="s">
        <v>49</v>
      </c>
      <c r="D19" s="370"/>
      <c r="E19" s="370" t="s">
        <v>306</v>
      </c>
      <c r="F19" s="370" t="s">
        <v>74</v>
      </c>
      <c r="G19" s="370"/>
      <c r="H19" s="381" t="s">
        <v>356</v>
      </c>
      <c r="I19" s="381" t="s">
        <v>357</v>
      </c>
      <c r="J19" s="369">
        <v>44950</v>
      </c>
      <c r="K19" s="747">
        <v>0.375</v>
      </c>
      <c r="L19" s="369">
        <v>44950</v>
      </c>
      <c r="M19" s="753">
        <v>0.79166666666666663</v>
      </c>
      <c r="N19" s="373">
        <v>8</v>
      </c>
      <c r="O19" s="374" t="s">
        <v>17</v>
      </c>
      <c r="P19" s="375" t="s">
        <v>358</v>
      </c>
      <c r="Q19" s="744" t="s">
        <v>297</v>
      </c>
      <c r="R19" s="202" t="s">
        <v>40</v>
      </c>
      <c r="S19" s="31" t="s">
        <v>273</v>
      </c>
      <c r="T19" s="31" t="s">
        <v>273</v>
      </c>
      <c r="U19" s="31">
        <f>IFERROR(VLOOKUP(CONCATENATE(Tabla1[[#This Row],[Severidad]]," ",Tabla1[[#This Row],[Complejidad]]),Catalogos!E$120:G$128,3,FALSE),"")</f>
        <v>64</v>
      </c>
      <c r="V19" s="31" t="str">
        <f>IF(Tabla1[[#This Row],[Tiempo solución max (hrs)]]&lt;&gt;"",IF(Tabla1[[#This Row],[Tiempo solución max (hrs)]]&gt;=Tabla1[[#This Row],[Tiempo
(Hrs 00/100)]],"cumple","no cumple"),"")</f>
        <v>cumple</v>
      </c>
      <c r="W19" s="376" t="s">
        <v>374</v>
      </c>
      <c r="X19" s="377" t="str">
        <f t="shared" si="0"/>
        <v>SAI</v>
      </c>
      <c r="Y19" t="str">
        <f>SUBSTITUTE(Tabla1[[#This Row],[Descripción]],CHAR(10),"    I    ")</f>
        <v>Se han conectado con los end points del back end para el componente de las botoneras, así como implementación en el componente de Actividades</v>
      </c>
      <c r="Z19" s="378">
        <f>VLOOKUP(Tabla1[[#This Row],[Perfil]],Catalogos!$B$75:$D$100,3,FALSE)*Tabla1[[#This Row],[Tiempo
(Hrs 00/100)]]*1.16</f>
        <v>6496</v>
      </c>
    </row>
    <row r="20" spans="1:26" ht="42.75" customHeight="1" thickBot="1" x14ac:dyDescent="0.35">
      <c r="A20" s="370" t="s">
        <v>22</v>
      </c>
      <c r="B20" s="370" t="s">
        <v>23</v>
      </c>
      <c r="C20" s="205" t="s">
        <v>49</v>
      </c>
      <c r="D20" s="370"/>
      <c r="E20" s="370" t="s">
        <v>306</v>
      </c>
      <c r="F20" s="370" t="s">
        <v>23</v>
      </c>
      <c r="G20" s="370"/>
      <c r="H20" s="381" t="s">
        <v>359</v>
      </c>
      <c r="I20" s="381" t="s">
        <v>360</v>
      </c>
      <c r="J20" s="369">
        <v>44951</v>
      </c>
      <c r="K20" s="747">
        <v>0.375</v>
      </c>
      <c r="L20" s="369">
        <v>44951</v>
      </c>
      <c r="M20" s="753">
        <v>0.79166666666666663</v>
      </c>
      <c r="N20" s="373">
        <v>8</v>
      </c>
      <c r="O20" s="374" t="s">
        <v>17</v>
      </c>
      <c r="P20" s="375" t="s">
        <v>361</v>
      </c>
      <c r="Q20" s="744" t="s">
        <v>297</v>
      </c>
      <c r="R20" s="202" t="s">
        <v>40</v>
      </c>
      <c r="S20" s="31" t="s">
        <v>273</v>
      </c>
      <c r="T20" s="31" t="s">
        <v>273</v>
      </c>
      <c r="U20" s="31">
        <f>IFERROR(VLOOKUP(CONCATENATE(Tabla1[[#This Row],[Severidad]]," ",Tabla1[[#This Row],[Complejidad]]),Catalogos!E$120:G$128,3,FALSE),"")</f>
        <v>64</v>
      </c>
      <c r="V20" s="31" t="str">
        <f>IF(Tabla1[[#This Row],[Tiempo solución max (hrs)]]&lt;&gt;"",IF(Tabla1[[#This Row],[Tiempo solución max (hrs)]]&gt;=Tabla1[[#This Row],[Tiempo
(Hrs 00/100)]],"cumple","no cumple"),"")</f>
        <v>cumple</v>
      </c>
      <c r="W20" s="376" t="s">
        <v>374</v>
      </c>
      <c r="X20" s="377" t="str">
        <f t="shared" si="0"/>
        <v>SAI</v>
      </c>
      <c r="Y20" t="str">
        <f>SUBSTITUTE(Tabla1[[#This Row],[Descripción]],CHAR(10),"    I    ")</f>
        <v>Se ha creado el template inicial para la pantalla de  Configuración Tiempo Respuesta para el menú de Flujos</v>
      </c>
      <c r="Z20" s="378">
        <f>VLOOKUP(Tabla1[[#This Row],[Perfil]],Catalogos!$B$75:$D$100,3,FALSE)*Tabla1[[#This Row],[Tiempo
(Hrs 00/100)]]*1.16</f>
        <v>6496</v>
      </c>
    </row>
    <row r="21" spans="1:26" ht="42.75" customHeight="1" thickBot="1" x14ac:dyDescent="0.35">
      <c r="A21" s="370" t="s">
        <v>22</v>
      </c>
      <c r="B21" s="370" t="s">
        <v>23</v>
      </c>
      <c r="C21" s="205" t="s">
        <v>49</v>
      </c>
      <c r="D21" s="370"/>
      <c r="E21" s="370" t="s">
        <v>306</v>
      </c>
      <c r="F21" s="370" t="s">
        <v>23</v>
      </c>
      <c r="G21" s="370"/>
      <c r="H21" s="381" t="s">
        <v>362</v>
      </c>
      <c r="I21" s="381" t="s">
        <v>363</v>
      </c>
      <c r="J21" s="369">
        <v>44952</v>
      </c>
      <c r="K21" s="747">
        <v>0.375</v>
      </c>
      <c r="L21" s="369">
        <v>44952</v>
      </c>
      <c r="M21" s="753">
        <v>0.79166666666666663</v>
      </c>
      <c r="N21" s="373">
        <v>8</v>
      </c>
      <c r="O21" s="374" t="s">
        <v>17</v>
      </c>
      <c r="P21" s="375" t="s">
        <v>364</v>
      </c>
      <c r="Q21" s="744" t="s">
        <v>297</v>
      </c>
      <c r="R21" s="202" t="s">
        <v>40</v>
      </c>
      <c r="S21" s="31" t="s">
        <v>273</v>
      </c>
      <c r="T21" s="31" t="s">
        <v>273</v>
      </c>
      <c r="U21" s="31">
        <f>IFERROR(VLOOKUP(CONCATENATE(Tabla1[[#This Row],[Severidad]]," ",Tabla1[[#This Row],[Complejidad]]),Catalogos!E$120:G$128,3,FALSE),"")</f>
        <v>64</v>
      </c>
      <c r="V21" s="31" t="str">
        <f>IF(Tabla1[[#This Row],[Tiempo solución max (hrs)]]&lt;&gt;"",IF(Tabla1[[#This Row],[Tiempo solución max (hrs)]]&gt;=Tabla1[[#This Row],[Tiempo
(Hrs 00/100)]],"cumple","no cumple"),"")</f>
        <v>cumple</v>
      </c>
      <c r="W21" s="376" t="s">
        <v>374</v>
      </c>
      <c r="X21" s="377" t="str">
        <f t="shared" si="0"/>
        <v>SAI</v>
      </c>
      <c r="Y21" t="str">
        <f>SUBSTITUTE(Tabla1[[#This Row],[Descripción]],CHAR(10),"    I    ")</f>
        <v>Se ha creado el template inicial para la pantalla de Asociar Líneas Acción para el menú de Flujos</v>
      </c>
      <c r="Z21" s="378">
        <f>VLOOKUP(Tabla1[[#This Row],[Perfil]],Catalogos!$B$75:$D$100,3,FALSE)*Tabla1[[#This Row],[Tiempo
(Hrs 00/100)]]*1.16</f>
        <v>6496</v>
      </c>
    </row>
    <row r="22" spans="1:26" ht="42.75" customHeight="1" thickBot="1" x14ac:dyDescent="0.35">
      <c r="A22" s="370" t="s">
        <v>22</v>
      </c>
      <c r="B22" s="370" t="s">
        <v>23</v>
      </c>
      <c r="C22" s="205" t="s">
        <v>49</v>
      </c>
      <c r="D22" s="370"/>
      <c r="E22" s="370" t="s">
        <v>306</v>
      </c>
      <c r="F22" s="370" t="s">
        <v>23</v>
      </c>
      <c r="G22" s="370"/>
      <c r="H22" s="381" t="s">
        <v>365</v>
      </c>
      <c r="I22" s="381" t="s">
        <v>366</v>
      </c>
      <c r="J22" s="369">
        <v>44953</v>
      </c>
      <c r="K22" s="747">
        <v>0.375</v>
      </c>
      <c r="L22" s="369">
        <v>44953</v>
      </c>
      <c r="M22" s="753">
        <v>0.79166666666666663</v>
      </c>
      <c r="N22" s="373">
        <v>8</v>
      </c>
      <c r="O22" s="374" t="s">
        <v>17</v>
      </c>
      <c r="P22" s="375" t="s">
        <v>367</v>
      </c>
      <c r="Q22" s="744" t="s">
        <v>297</v>
      </c>
      <c r="R22" s="202" t="s">
        <v>40</v>
      </c>
      <c r="S22" s="31" t="s">
        <v>273</v>
      </c>
      <c r="T22" s="31" t="s">
        <v>273</v>
      </c>
      <c r="U22" s="31">
        <f>IFERROR(VLOOKUP(CONCATENATE(Tabla1[[#This Row],[Severidad]]," ",Tabla1[[#This Row],[Complejidad]]),Catalogos!E$120:G$128,3,FALSE),"")</f>
        <v>64</v>
      </c>
      <c r="V22" s="31" t="str">
        <f>IF(Tabla1[[#This Row],[Tiempo solución max (hrs)]]&lt;&gt;"",IF(Tabla1[[#This Row],[Tiempo solución max (hrs)]]&gt;=Tabla1[[#This Row],[Tiempo
(Hrs 00/100)]],"cumple","no cumple"),"")</f>
        <v>cumple</v>
      </c>
      <c r="W22" s="376" t="s">
        <v>374</v>
      </c>
      <c r="X22" s="377" t="str">
        <f t="shared" si="0"/>
        <v>SAI</v>
      </c>
      <c r="Y22" t="str">
        <f>SUBSTITUTE(Tabla1[[#This Row],[Descripción]],CHAR(10),"    I    ")</f>
        <v>Se ha conectado y consumido los servicios para Seguimiento, en altas, bajas y consulta</v>
      </c>
      <c r="Z22" s="378">
        <f>VLOOKUP(Tabla1[[#This Row],[Perfil]],Catalogos!$B$75:$D$100,3,FALSE)*Tabla1[[#This Row],[Tiempo
(Hrs 00/100)]]*1.16</f>
        <v>6496</v>
      </c>
    </row>
    <row r="23" spans="1:26" ht="42.75" customHeight="1" thickBot="1" x14ac:dyDescent="0.35">
      <c r="A23" s="370" t="s">
        <v>22</v>
      </c>
      <c r="B23" s="370" t="s">
        <v>23</v>
      </c>
      <c r="C23" s="205" t="s">
        <v>49</v>
      </c>
      <c r="D23" s="370"/>
      <c r="E23" s="370" t="s">
        <v>306</v>
      </c>
      <c r="F23" s="370" t="s">
        <v>23</v>
      </c>
      <c r="G23" s="370"/>
      <c r="H23" s="381" t="s">
        <v>368</v>
      </c>
      <c r="I23" s="381" t="s">
        <v>369</v>
      </c>
      <c r="J23" s="369">
        <v>44956</v>
      </c>
      <c r="K23" s="747">
        <v>0.375</v>
      </c>
      <c r="L23" s="369">
        <v>44956</v>
      </c>
      <c r="M23" s="753">
        <v>0.79166666666666663</v>
      </c>
      <c r="N23" s="373">
        <v>8</v>
      </c>
      <c r="O23" s="374" t="s">
        <v>17</v>
      </c>
      <c r="P23" s="375" t="s">
        <v>370</v>
      </c>
      <c r="Q23" s="744" t="s">
        <v>297</v>
      </c>
      <c r="R23" s="202" t="s">
        <v>40</v>
      </c>
      <c r="S23" s="31" t="s">
        <v>273</v>
      </c>
      <c r="T23" s="31" t="s">
        <v>273</v>
      </c>
      <c r="U23" s="31">
        <f>IFERROR(VLOOKUP(CONCATENATE(Tabla1[[#This Row],[Severidad]]," ",Tabla1[[#This Row],[Complejidad]]),Catalogos!E$120:G$128,3,FALSE),"")</f>
        <v>64</v>
      </c>
      <c r="V23" s="31" t="str">
        <f>IF(Tabla1[[#This Row],[Tiempo solución max (hrs)]]&lt;&gt;"",IF(Tabla1[[#This Row],[Tiempo solución max (hrs)]]&gt;=Tabla1[[#This Row],[Tiempo
(Hrs 00/100)]],"cumple","no cumple"),"")</f>
        <v>cumple</v>
      </c>
      <c r="W23" s="376" t="s">
        <v>374</v>
      </c>
      <c r="X23" s="377" t="str">
        <f t="shared" si="0"/>
        <v>SAI</v>
      </c>
      <c r="Y23" t="str">
        <f>SUBSTITUTE(Tabla1[[#This Row],[Descripción]],CHAR(10),"    I    ")</f>
        <v>Se realizaron correcciones en el Catalogo de Usuarios debido a que se mostraban incorrectamente los campos de Integrantes y UA dependiendo el perfil firmado</v>
      </c>
      <c r="Z23" s="378">
        <f>VLOOKUP(Tabla1[[#This Row],[Perfil]],Catalogos!$B$75:$D$100,3,FALSE)*Tabla1[[#This Row],[Tiempo
(Hrs 00/100)]]*1.16</f>
        <v>6496</v>
      </c>
    </row>
    <row r="24" spans="1:26" ht="42.75" customHeight="1" thickBot="1" x14ac:dyDescent="0.35">
      <c r="A24" s="370" t="s">
        <v>22</v>
      </c>
      <c r="B24" s="370" t="s">
        <v>23</v>
      </c>
      <c r="C24" s="205" t="s">
        <v>49</v>
      </c>
      <c r="D24" s="370"/>
      <c r="E24" s="370" t="s">
        <v>306</v>
      </c>
      <c r="F24" s="370" t="s">
        <v>23</v>
      </c>
      <c r="G24" s="370"/>
      <c r="H24" s="381" t="s">
        <v>371</v>
      </c>
      <c r="I24" s="381" t="s">
        <v>372</v>
      </c>
      <c r="J24" s="369">
        <v>44957</v>
      </c>
      <c r="K24" s="747">
        <v>0.375</v>
      </c>
      <c r="L24" s="369">
        <v>44957</v>
      </c>
      <c r="M24" s="753">
        <v>0.79166666666666663</v>
      </c>
      <c r="N24" s="373">
        <v>8</v>
      </c>
      <c r="O24" s="374" t="s">
        <v>17</v>
      </c>
      <c r="P24" s="375" t="s">
        <v>373</v>
      </c>
      <c r="Q24" s="744" t="s">
        <v>297</v>
      </c>
      <c r="R24" s="202" t="s">
        <v>40</v>
      </c>
      <c r="S24" s="31" t="s">
        <v>273</v>
      </c>
      <c r="T24" s="31" t="s">
        <v>273</v>
      </c>
      <c r="U24" s="31">
        <f>IFERROR(VLOOKUP(CONCATENATE(Tabla1[[#This Row],[Severidad]]," ",Tabla1[[#This Row],[Complejidad]]),Catalogos!E$120:G$128,3,FALSE),"")</f>
        <v>64</v>
      </c>
      <c r="V24" s="31" t="str">
        <f>IF(Tabla1[[#This Row],[Tiempo solución max (hrs)]]&lt;&gt;"",IF(Tabla1[[#This Row],[Tiempo solución max (hrs)]]&gt;=Tabla1[[#This Row],[Tiempo
(Hrs 00/100)]],"cumple","no cumple"),"")</f>
        <v>cumple</v>
      </c>
      <c r="W24" s="376" t="s">
        <v>374</v>
      </c>
      <c r="X24" s="377" t="str">
        <f t="shared" si="0"/>
        <v>SAI</v>
      </c>
      <c r="Y24" t="str">
        <f>SUBSTITUTE(Tabla1[[#This Row],[Descripción]],CHAR(10),"    I    ")</f>
        <v>Se termino de conectar y testear el componente de Seguimientos con back end</v>
      </c>
      <c r="Z24" s="378">
        <f>VLOOKUP(Tabla1[[#This Row],[Perfil]],Catalogos!$B$75:$D$100,3,FALSE)*Tabla1[[#This Row],[Tiempo
(Hrs 00/100)]]*1.16</f>
        <v>6496</v>
      </c>
    </row>
    <row r="25" spans="1:26" ht="42.75" customHeight="1" x14ac:dyDescent="0.3">
      <c r="A25" s="370" t="s">
        <v>22</v>
      </c>
      <c r="B25" s="370" t="s">
        <v>65</v>
      </c>
      <c r="C25" s="205" t="s">
        <v>257</v>
      </c>
      <c r="D25" s="370"/>
      <c r="E25" s="370" t="s">
        <v>375</v>
      </c>
      <c r="F25" s="370" t="s">
        <v>23</v>
      </c>
      <c r="G25" s="371"/>
      <c r="H25" s="371" t="s">
        <v>377</v>
      </c>
      <c r="I25" s="371" t="s">
        <v>376</v>
      </c>
      <c r="J25" s="369">
        <v>44928</v>
      </c>
      <c r="K25" s="747">
        <v>0.375</v>
      </c>
      <c r="L25" s="369">
        <v>44928</v>
      </c>
      <c r="M25" s="753">
        <v>0.79166666666666663</v>
      </c>
      <c r="N25" s="373">
        <v>8</v>
      </c>
      <c r="O25" s="374" t="s">
        <v>406</v>
      </c>
      <c r="P25" s="375" t="s">
        <v>378</v>
      </c>
      <c r="Q25" s="744" t="s">
        <v>295</v>
      </c>
      <c r="R25" s="202" t="s">
        <v>40</v>
      </c>
      <c r="S25" s="31" t="s">
        <v>273</v>
      </c>
      <c r="T25" s="31" t="s">
        <v>273</v>
      </c>
      <c r="U25" s="31">
        <f>IFERROR(VLOOKUP(CONCATENATE(Tabla1[[#This Row],[Severidad]]," ",Tabla1[[#This Row],[Complejidad]]),Catalogos!E$120:G$128,3,FALSE),"")</f>
        <v>64</v>
      </c>
      <c r="V25" s="31" t="str">
        <f>IF(Tabla1[[#This Row],[Tiempo solución max (hrs)]]&lt;&gt;"",IF(Tabla1[[#This Row],[Tiempo solución max (hrs)]]&gt;=Tabla1[[#This Row],[Tiempo
(Hrs 00/100)]],"cumple","no cumple"),"")</f>
        <v>cumple</v>
      </c>
      <c r="W25" s="376" t="s">
        <v>374</v>
      </c>
      <c r="X25" s="377" t="str">
        <f t="shared" si="0"/>
        <v>SSI</v>
      </c>
      <c r="Y25" t="str">
        <f>SUBSTITUTE(Tabla1[[#This Row],[Descripción]],CHAR(10),"    I    ")</f>
        <v>Modificar Respuestas</v>
      </c>
      <c r="Z25" s="378">
        <f>VLOOKUP(Tabla1[[#This Row],[Perfil]],Catalogos!$B$75:$D$100,3,FALSE)*Tabla1[[#This Row],[Tiempo
(Hrs 00/100)]]*1.16</f>
        <v>6496</v>
      </c>
    </row>
    <row r="26" spans="1:26" ht="42.75" customHeight="1" x14ac:dyDescent="0.3">
      <c r="A26" s="370" t="s">
        <v>22</v>
      </c>
      <c r="B26" s="370" t="s">
        <v>65</v>
      </c>
      <c r="C26" s="205" t="s">
        <v>257</v>
      </c>
      <c r="D26" s="370"/>
      <c r="E26" s="370" t="s">
        <v>375</v>
      </c>
      <c r="F26" s="370" t="s">
        <v>23</v>
      </c>
      <c r="G26" s="371"/>
      <c r="H26" s="371" t="s">
        <v>377</v>
      </c>
      <c r="I26" s="371" t="s">
        <v>376</v>
      </c>
      <c r="J26" s="369">
        <v>44929</v>
      </c>
      <c r="K26" s="747">
        <v>0.375</v>
      </c>
      <c r="L26" s="369">
        <v>44929</v>
      </c>
      <c r="M26" s="753">
        <v>0.75</v>
      </c>
      <c r="N26" s="373">
        <v>7</v>
      </c>
      <c r="O26" s="374" t="s">
        <v>17</v>
      </c>
      <c r="P26" s="375" t="s">
        <v>378</v>
      </c>
      <c r="Q26" s="744" t="s">
        <v>295</v>
      </c>
      <c r="R26" s="202" t="s">
        <v>40</v>
      </c>
      <c r="S26" s="31" t="s">
        <v>273</v>
      </c>
      <c r="T26" s="31" t="s">
        <v>273</v>
      </c>
      <c r="U26" s="31">
        <f>IFERROR(VLOOKUP(CONCATENATE(Tabla1[[#This Row],[Severidad]]," ",Tabla1[[#This Row],[Complejidad]]),Catalogos!E$120:G$128,3,FALSE),"")</f>
        <v>64</v>
      </c>
      <c r="V26" s="31" t="str">
        <f>IF(Tabla1[[#This Row],[Tiempo solución max (hrs)]]&lt;&gt;"",IF(Tabla1[[#This Row],[Tiempo solución max (hrs)]]&gt;=Tabla1[[#This Row],[Tiempo
(Hrs 00/100)]],"cumple","no cumple"),"")</f>
        <v>cumple</v>
      </c>
      <c r="W26" s="376" t="s">
        <v>374</v>
      </c>
      <c r="X26" s="377" t="str">
        <f t="shared" ref="X26" si="1">IF(C26&lt;&gt;"",C26,D26)</f>
        <v>SSI</v>
      </c>
      <c r="Y26" t="str">
        <f>SUBSTITUTE(Tabla1[[#This Row],[Descripción]],CHAR(10),"    I    ")</f>
        <v>Modificar Respuestas</v>
      </c>
      <c r="Z26" s="378">
        <f>VLOOKUP(Tabla1[[#This Row],[Perfil]],Catalogos!$B$75:$D$100,3,FALSE)*Tabla1[[#This Row],[Tiempo
(Hrs 00/100)]]*1.16</f>
        <v>5684</v>
      </c>
    </row>
    <row r="27" spans="1:26" ht="42.75" customHeight="1" x14ac:dyDescent="0.3">
      <c r="A27" s="370" t="s">
        <v>22</v>
      </c>
      <c r="B27" s="370" t="s">
        <v>65</v>
      </c>
      <c r="C27" s="205" t="s">
        <v>257</v>
      </c>
      <c r="D27" s="370"/>
      <c r="E27" s="370" t="s">
        <v>375</v>
      </c>
      <c r="F27" s="370" t="s">
        <v>23</v>
      </c>
      <c r="G27" s="371"/>
      <c r="H27" s="371" t="s">
        <v>377</v>
      </c>
      <c r="I27" s="371" t="s">
        <v>379</v>
      </c>
      <c r="J27" s="369">
        <v>44929</v>
      </c>
      <c r="K27" s="753">
        <v>0.75</v>
      </c>
      <c r="L27" s="369">
        <v>44929</v>
      </c>
      <c r="M27" s="753">
        <v>0.79166666666666663</v>
      </c>
      <c r="N27" s="373">
        <v>1</v>
      </c>
      <c r="O27" s="374" t="s">
        <v>406</v>
      </c>
      <c r="P27" s="375" t="s">
        <v>380</v>
      </c>
      <c r="Q27" s="744" t="s">
        <v>295</v>
      </c>
      <c r="R27" s="202" t="s">
        <v>40</v>
      </c>
      <c r="S27" s="31" t="s">
        <v>273</v>
      </c>
      <c r="T27" s="31" t="s">
        <v>273</v>
      </c>
      <c r="U27" s="31">
        <f>IFERROR(VLOOKUP(CONCATENATE(Tabla1[[#This Row],[Severidad]]," ",Tabla1[[#This Row],[Complejidad]]),Catalogos!E$120:G$128,3,FALSE),"")</f>
        <v>64</v>
      </c>
      <c r="V27" s="31" t="str">
        <f>IF(Tabla1[[#This Row],[Tiempo solución max (hrs)]]&lt;&gt;"",IF(Tabla1[[#This Row],[Tiempo solución max (hrs)]]&gt;=Tabla1[[#This Row],[Tiempo
(Hrs 00/100)]],"cumple","no cumple"),"")</f>
        <v>cumple</v>
      </c>
      <c r="W27" s="376" t="s">
        <v>374</v>
      </c>
      <c r="X27" s="377" t="str">
        <f t="shared" si="0"/>
        <v>SSI</v>
      </c>
      <c r="Y27" t="str">
        <f>SUBSTITUTE(Tabla1[[#This Row],[Descripción]],CHAR(10),"    I    ")</f>
        <v>Modificar Respuestas Contestar</v>
      </c>
      <c r="Z27" s="378">
        <f>VLOOKUP(Tabla1[[#This Row],[Perfil]],Catalogos!$B$75:$D$100,3,FALSE)*Tabla1[[#This Row],[Tiempo
(Hrs 00/100)]]*1.16</f>
        <v>812</v>
      </c>
    </row>
    <row r="28" spans="1:26" ht="42.75" customHeight="1" x14ac:dyDescent="0.3">
      <c r="A28" s="370" t="s">
        <v>22</v>
      </c>
      <c r="B28" s="370" t="s">
        <v>65</v>
      </c>
      <c r="C28" s="205" t="s">
        <v>257</v>
      </c>
      <c r="D28" s="370"/>
      <c r="E28" s="370" t="s">
        <v>375</v>
      </c>
      <c r="F28" s="370" t="s">
        <v>23</v>
      </c>
      <c r="G28" s="371"/>
      <c r="H28" s="371" t="s">
        <v>377</v>
      </c>
      <c r="I28" s="371" t="s">
        <v>379</v>
      </c>
      <c r="J28" s="369">
        <v>44930</v>
      </c>
      <c r="K28" s="747">
        <v>0.375</v>
      </c>
      <c r="L28" s="369">
        <v>44930</v>
      </c>
      <c r="M28" s="753">
        <v>0.79166666666666663</v>
      </c>
      <c r="N28" s="373">
        <v>8</v>
      </c>
      <c r="O28" s="374" t="s">
        <v>406</v>
      </c>
      <c r="P28" s="375" t="s">
        <v>380</v>
      </c>
      <c r="Q28" s="744" t="s">
        <v>295</v>
      </c>
      <c r="R28" s="202" t="s">
        <v>40</v>
      </c>
      <c r="S28" s="31" t="s">
        <v>273</v>
      </c>
      <c r="T28" s="31" t="s">
        <v>273</v>
      </c>
      <c r="U28" s="31">
        <f>IFERROR(VLOOKUP(CONCATENATE(Tabla1[[#This Row],[Severidad]]," ",Tabla1[[#This Row],[Complejidad]]),Catalogos!E$120:G$128,3,FALSE),"")</f>
        <v>64</v>
      </c>
      <c r="V28" s="31" t="str">
        <f>IF(Tabla1[[#This Row],[Tiempo solución max (hrs)]]&lt;&gt;"",IF(Tabla1[[#This Row],[Tiempo solución max (hrs)]]&gt;=Tabla1[[#This Row],[Tiempo
(Hrs 00/100)]],"cumple","no cumple"),"")</f>
        <v>cumple</v>
      </c>
      <c r="W28" s="376" t="s">
        <v>374</v>
      </c>
      <c r="X28" s="377" t="str">
        <f t="shared" ref="X28" si="2">IF(C28&lt;&gt;"",C28,D28)</f>
        <v>SSI</v>
      </c>
      <c r="Y28" t="str">
        <f>SUBSTITUTE(Tabla1[[#This Row],[Descripción]],CHAR(10),"    I    ")</f>
        <v>Modificar Respuestas Contestar</v>
      </c>
      <c r="Z28" s="378">
        <f>VLOOKUP(Tabla1[[#This Row],[Perfil]],Catalogos!$B$75:$D$100,3,FALSE)*Tabla1[[#This Row],[Tiempo
(Hrs 00/100)]]*1.16</f>
        <v>6496</v>
      </c>
    </row>
    <row r="29" spans="1:26" ht="42.75" customHeight="1" x14ac:dyDescent="0.3">
      <c r="A29" s="370" t="s">
        <v>22</v>
      </c>
      <c r="B29" s="370" t="s">
        <v>65</v>
      </c>
      <c r="C29" s="205" t="s">
        <v>257</v>
      </c>
      <c r="D29" s="370"/>
      <c r="E29" s="370" t="s">
        <v>375</v>
      </c>
      <c r="F29" s="370" t="s">
        <v>23</v>
      </c>
      <c r="G29" s="371"/>
      <c r="H29" s="371" t="s">
        <v>377</v>
      </c>
      <c r="I29" s="371" t="s">
        <v>379</v>
      </c>
      <c r="J29" s="369">
        <v>44931</v>
      </c>
      <c r="K29" s="747">
        <v>0.375</v>
      </c>
      <c r="L29" s="369">
        <v>44931</v>
      </c>
      <c r="M29" s="753">
        <v>0.70833333333333337</v>
      </c>
      <c r="N29" s="373">
        <v>6</v>
      </c>
      <c r="O29" s="374" t="s">
        <v>17</v>
      </c>
      <c r="P29" s="375" t="s">
        <v>380</v>
      </c>
      <c r="Q29" s="744" t="s">
        <v>295</v>
      </c>
      <c r="R29" s="202" t="s">
        <v>40</v>
      </c>
      <c r="S29" s="31" t="s">
        <v>273</v>
      </c>
      <c r="T29" s="31" t="s">
        <v>273</v>
      </c>
      <c r="U29" s="31">
        <f>IFERROR(VLOOKUP(CONCATENATE(Tabla1[[#This Row],[Severidad]]," ",Tabla1[[#This Row],[Complejidad]]),Catalogos!E$120:G$128,3,FALSE),"")</f>
        <v>64</v>
      </c>
      <c r="V29" s="31" t="str">
        <f>IF(Tabla1[[#This Row],[Tiempo solución max (hrs)]]&lt;&gt;"",IF(Tabla1[[#This Row],[Tiempo solución max (hrs)]]&gt;=Tabla1[[#This Row],[Tiempo
(Hrs 00/100)]],"cumple","no cumple"),"")</f>
        <v>cumple</v>
      </c>
      <c r="W29" s="376" t="s">
        <v>374</v>
      </c>
      <c r="X29" s="377" t="str">
        <f t="shared" ref="X29:X30" si="3">IF(C29&lt;&gt;"",C29,D29)</f>
        <v>SSI</v>
      </c>
      <c r="Y29" t="str">
        <f>SUBSTITUTE(Tabla1[[#This Row],[Descripción]],CHAR(10),"    I    ")</f>
        <v>Modificar Respuestas Contestar</v>
      </c>
      <c r="Z29" s="378">
        <f>VLOOKUP(Tabla1[[#This Row],[Perfil]],Catalogos!$B$75:$D$100,3,FALSE)*Tabla1[[#This Row],[Tiempo
(Hrs 00/100)]]*1.16</f>
        <v>4872</v>
      </c>
    </row>
    <row r="30" spans="1:26" ht="42.75" customHeight="1" x14ac:dyDescent="0.3">
      <c r="A30" s="370" t="s">
        <v>22</v>
      </c>
      <c r="B30" s="370" t="s">
        <v>65</v>
      </c>
      <c r="C30" s="205" t="s">
        <v>257</v>
      </c>
      <c r="D30" s="370"/>
      <c r="E30" s="370" t="s">
        <v>375</v>
      </c>
      <c r="F30" s="370" t="s">
        <v>23</v>
      </c>
      <c r="G30" s="371"/>
      <c r="H30" s="371" t="s">
        <v>377</v>
      </c>
      <c r="I30" s="371" t="s">
        <v>381</v>
      </c>
      <c r="J30" s="369">
        <v>44931</v>
      </c>
      <c r="K30" s="753">
        <v>0.70833333333333337</v>
      </c>
      <c r="L30" s="369">
        <v>44931</v>
      </c>
      <c r="M30" s="753">
        <v>0.79166666666666663</v>
      </c>
      <c r="N30" s="373">
        <v>2</v>
      </c>
      <c r="O30" s="374" t="s">
        <v>406</v>
      </c>
      <c r="P30" s="375" t="s">
        <v>382</v>
      </c>
      <c r="Q30" s="744" t="s">
        <v>295</v>
      </c>
      <c r="R30" s="202" t="s">
        <v>40</v>
      </c>
      <c r="S30" s="31" t="s">
        <v>273</v>
      </c>
      <c r="T30" s="31" t="s">
        <v>273</v>
      </c>
      <c r="U30" s="31">
        <f>IFERROR(VLOOKUP(CONCATENATE(Tabla1[[#This Row],[Severidad]]," ",Tabla1[[#This Row],[Complejidad]]),Catalogos!E$120:G$128,3,FALSE),"")</f>
        <v>64</v>
      </c>
      <c r="V30" s="31" t="str">
        <f>IF(Tabla1[[#This Row],[Tiempo solución max (hrs)]]&lt;&gt;"",IF(Tabla1[[#This Row],[Tiempo solución max (hrs)]]&gt;=Tabla1[[#This Row],[Tiempo
(Hrs 00/100)]],"cumple","no cumple"),"")</f>
        <v>cumple</v>
      </c>
      <c r="W30" s="376" t="s">
        <v>374</v>
      </c>
      <c r="X30" s="377" t="str">
        <f t="shared" si="3"/>
        <v>SSI</v>
      </c>
      <c r="Y30" t="str">
        <f>SUBSTITUTE(Tabla1[[#This Row],[Descripción]],CHAR(10),"    I    ")</f>
        <v>Modificar Respuestas Solicitud</v>
      </c>
      <c r="Z30" s="378">
        <f>VLOOKUP(Tabla1[[#This Row],[Perfil]],Catalogos!$B$75:$D$100,3,FALSE)*Tabla1[[#This Row],[Tiempo
(Hrs 00/100)]]*1.16</f>
        <v>1624</v>
      </c>
    </row>
    <row r="31" spans="1:26" ht="42.75" customHeight="1" x14ac:dyDescent="0.3">
      <c r="A31" s="370" t="s">
        <v>22</v>
      </c>
      <c r="B31" s="370" t="s">
        <v>65</v>
      </c>
      <c r="C31" s="205" t="s">
        <v>257</v>
      </c>
      <c r="D31" s="370"/>
      <c r="E31" s="370" t="s">
        <v>375</v>
      </c>
      <c r="F31" s="370" t="s">
        <v>23</v>
      </c>
      <c r="G31" s="371"/>
      <c r="H31" s="371" t="s">
        <v>377</v>
      </c>
      <c r="I31" s="371" t="s">
        <v>381</v>
      </c>
      <c r="J31" s="369">
        <v>44932</v>
      </c>
      <c r="K31" s="747">
        <v>0.375</v>
      </c>
      <c r="L31" s="369">
        <v>44932</v>
      </c>
      <c r="M31" s="753">
        <v>0.79166666666666663</v>
      </c>
      <c r="N31" s="373">
        <v>8</v>
      </c>
      <c r="O31" s="374" t="s">
        <v>17</v>
      </c>
      <c r="P31" s="375" t="s">
        <v>382</v>
      </c>
      <c r="Q31" s="744" t="s">
        <v>295</v>
      </c>
      <c r="R31" s="202" t="s">
        <v>40</v>
      </c>
      <c r="S31" s="31" t="s">
        <v>273</v>
      </c>
      <c r="T31" s="31" t="s">
        <v>273</v>
      </c>
      <c r="U31" s="31">
        <f>IFERROR(VLOOKUP(CONCATENATE(Tabla1[[#This Row],[Severidad]]," ",Tabla1[[#This Row],[Complejidad]]),Catalogos!E$120:G$128,3,FALSE),"")</f>
        <v>64</v>
      </c>
      <c r="V31" s="31" t="str">
        <f>IF(Tabla1[[#This Row],[Tiempo solución max (hrs)]]&lt;&gt;"",IF(Tabla1[[#This Row],[Tiempo solución max (hrs)]]&gt;=Tabla1[[#This Row],[Tiempo
(Hrs 00/100)]],"cumple","no cumple"),"")</f>
        <v>cumple</v>
      </c>
      <c r="W31" s="376" t="s">
        <v>374</v>
      </c>
      <c r="X31" s="377" t="str">
        <f t="shared" si="0"/>
        <v>SSI</v>
      </c>
      <c r="Y31" t="str">
        <f>SUBSTITUTE(Tabla1[[#This Row],[Descripción]],CHAR(10),"    I    ")</f>
        <v>Modificar Respuestas Solicitud</v>
      </c>
      <c r="Z31" s="378">
        <f>VLOOKUP(Tabla1[[#This Row],[Perfil]],Catalogos!$B$75:$D$100,3,FALSE)*Tabla1[[#This Row],[Tiempo
(Hrs 00/100)]]*1.16</f>
        <v>6496</v>
      </c>
    </row>
    <row r="32" spans="1:26" ht="42.75" customHeight="1" x14ac:dyDescent="0.3">
      <c r="A32" s="370" t="s">
        <v>22</v>
      </c>
      <c r="B32" s="370" t="s">
        <v>65</v>
      </c>
      <c r="C32" s="205" t="s">
        <v>257</v>
      </c>
      <c r="D32" s="382"/>
      <c r="E32" s="370" t="s">
        <v>375</v>
      </c>
      <c r="F32" s="370" t="s">
        <v>23</v>
      </c>
      <c r="G32" s="371"/>
      <c r="H32" s="371" t="s">
        <v>377</v>
      </c>
      <c r="I32" s="371" t="s">
        <v>383</v>
      </c>
      <c r="J32" s="369">
        <v>44935</v>
      </c>
      <c r="K32" s="747">
        <v>0.375</v>
      </c>
      <c r="L32" s="369">
        <v>44935</v>
      </c>
      <c r="M32" s="753">
        <v>0.79166666666666663</v>
      </c>
      <c r="N32" s="373">
        <v>8</v>
      </c>
      <c r="O32" s="374" t="s">
        <v>17</v>
      </c>
      <c r="P32" s="375" t="s">
        <v>384</v>
      </c>
      <c r="Q32" s="744" t="s">
        <v>295</v>
      </c>
      <c r="R32" s="202" t="s">
        <v>40</v>
      </c>
      <c r="S32" s="31" t="s">
        <v>273</v>
      </c>
      <c r="T32" s="31" t="s">
        <v>273</v>
      </c>
      <c r="U32" s="31">
        <f>IFERROR(VLOOKUP(CONCATENATE(Tabla1[[#This Row],[Severidad]]," ",Tabla1[[#This Row],[Complejidad]]),Catalogos!E$120:G$128,3,FALSE),"")</f>
        <v>64</v>
      </c>
      <c r="V32" s="31" t="str">
        <f>IF(Tabla1[[#This Row],[Tiempo solución max (hrs)]]&lt;&gt;"",IF(Tabla1[[#This Row],[Tiempo solución max (hrs)]]&gt;=Tabla1[[#This Row],[Tiempo
(Hrs 00/100)]],"cumple","no cumple"),"")</f>
        <v>cumple</v>
      </c>
      <c r="W32" s="376" t="s">
        <v>374</v>
      </c>
      <c r="X32" s="377" t="str">
        <f t="shared" si="0"/>
        <v>SSI</v>
      </c>
      <c r="Y32" t="str">
        <f>SUBSTITUTE(Tabla1[[#This Row],[Descripción]],CHAR(10),"    I    ")</f>
        <v>Modificar Respuestas Recepcion Soporte</v>
      </c>
      <c r="Z32" s="378">
        <f>VLOOKUP(Tabla1[[#This Row],[Perfil]],Catalogos!$B$75:$D$100,3,FALSE)*Tabla1[[#This Row],[Tiempo
(Hrs 00/100)]]*1.16</f>
        <v>6496</v>
      </c>
    </row>
    <row r="33" spans="1:26" ht="42.75" customHeight="1" x14ac:dyDescent="0.3">
      <c r="A33" s="370" t="s">
        <v>22</v>
      </c>
      <c r="B33" s="370" t="s">
        <v>65</v>
      </c>
      <c r="C33" s="205" t="s">
        <v>257</v>
      </c>
      <c r="D33" s="382"/>
      <c r="E33" s="370" t="s">
        <v>375</v>
      </c>
      <c r="F33" s="370" t="s">
        <v>23</v>
      </c>
      <c r="G33" s="371"/>
      <c r="H33" s="371" t="s">
        <v>377</v>
      </c>
      <c r="I33" s="371" t="s">
        <v>385</v>
      </c>
      <c r="J33" s="369">
        <v>44936</v>
      </c>
      <c r="K33" s="747">
        <v>0.375</v>
      </c>
      <c r="L33" s="369">
        <v>44936</v>
      </c>
      <c r="M33" s="753">
        <v>0.79166666666666663</v>
      </c>
      <c r="N33" s="210">
        <v>8</v>
      </c>
      <c r="O33" s="374" t="s">
        <v>17</v>
      </c>
      <c r="P33" s="375" t="s">
        <v>386</v>
      </c>
      <c r="Q33" s="744" t="s">
        <v>295</v>
      </c>
      <c r="R33" s="202" t="s">
        <v>40</v>
      </c>
      <c r="S33" s="31" t="s">
        <v>273</v>
      </c>
      <c r="T33" s="31" t="s">
        <v>273</v>
      </c>
      <c r="U33" s="31">
        <f>IFERROR(VLOOKUP(CONCATENATE(Tabla1[[#This Row],[Severidad]]," ",Tabla1[[#This Row],[Complejidad]]),Catalogos!E$120:G$128,3,FALSE),"")</f>
        <v>64</v>
      </c>
      <c r="V33" s="31" t="str">
        <f>IF(Tabla1[[#This Row],[Tiempo solución max (hrs)]]&lt;&gt;"",IF(Tabla1[[#This Row],[Tiempo solución max (hrs)]]&gt;=Tabla1[[#This Row],[Tiempo
(Hrs 00/100)]],"cumple","no cumple"),"")</f>
        <v>cumple</v>
      </c>
      <c r="W33" s="376" t="s">
        <v>374</v>
      </c>
      <c r="X33" s="377" t="str">
        <f t="shared" si="0"/>
        <v>SSI</v>
      </c>
      <c r="Y33" t="str">
        <f>SUBSTITUTE(Tabla1[[#This Row],[Descripción]],CHAR(10),"    I    ")</f>
        <v>Modificar Respuestas Transferencia</v>
      </c>
      <c r="Z33" s="378">
        <f>VLOOKUP(Tabla1[[#This Row],[Perfil]],Catalogos!$B$75:$D$100,3,FALSE)*Tabla1[[#This Row],[Tiempo
(Hrs 00/100)]]*1.16</f>
        <v>6496</v>
      </c>
    </row>
    <row r="34" spans="1:26" ht="42.75" customHeight="1" x14ac:dyDescent="0.3">
      <c r="A34" s="370" t="s">
        <v>22</v>
      </c>
      <c r="B34" s="370" t="s">
        <v>65</v>
      </c>
      <c r="C34" s="205" t="s">
        <v>257</v>
      </c>
      <c r="D34" s="370"/>
      <c r="E34" s="370" t="s">
        <v>375</v>
      </c>
      <c r="F34" s="370" t="s">
        <v>23</v>
      </c>
      <c r="G34" s="370"/>
      <c r="H34" s="371" t="s">
        <v>387</v>
      </c>
      <c r="I34" s="371" t="s">
        <v>388</v>
      </c>
      <c r="J34" s="369">
        <v>44937</v>
      </c>
      <c r="K34" s="747">
        <v>0.375</v>
      </c>
      <c r="L34" s="369">
        <v>44937</v>
      </c>
      <c r="M34" s="753">
        <v>0.79166666666666663</v>
      </c>
      <c r="N34" s="373">
        <v>8</v>
      </c>
      <c r="O34" s="374" t="s">
        <v>17</v>
      </c>
      <c r="P34" s="743" t="s">
        <v>5377</v>
      </c>
      <c r="Q34" s="744" t="s">
        <v>295</v>
      </c>
      <c r="R34" s="202" t="s">
        <v>40</v>
      </c>
      <c r="S34" s="31" t="s">
        <v>273</v>
      </c>
      <c r="T34" s="31" t="s">
        <v>273</v>
      </c>
      <c r="U34" s="31">
        <f>IFERROR(VLOOKUP(CONCATENATE(Tabla1[[#This Row],[Severidad]]," ",Tabla1[[#This Row],[Complejidad]]),Catalogos!E$120:G$128,3,FALSE),"")</f>
        <v>64</v>
      </c>
      <c r="V34" s="31" t="str">
        <f>IF(Tabla1[[#This Row],[Tiempo solución max (hrs)]]&lt;&gt;"",IF(Tabla1[[#This Row],[Tiempo solución max (hrs)]]&gt;=Tabla1[[#This Row],[Tiempo
(Hrs 00/100)]],"cumple","no cumple"),"")</f>
        <v>cumple</v>
      </c>
      <c r="W34" s="376" t="s">
        <v>374</v>
      </c>
      <c r="X34" s="377" t="str">
        <f t="shared" si="0"/>
        <v>SSI</v>
      </c>
      <c r="Y34" t="str">
        <f>SUBSTITUTE(Tabla1[[#This Row],[Descripción]],CHAR(10),"    I    ")</f>
        <v>Agregar configuraciones de pago para el componente administración de pagos (muchas reglas de negocio)</v>
      </c>
      <c r="Z34" s="378">
        <f>VLOOKUP(Tabla1[[#This Row],[Perfil]],Catalogos!$B$75:$D$100,3,FALSE)*Tabla1[[#This Row],[Tiempo
(Hrs 00/100)]]*1.16</f>
        <v>6496</v>
      </c>
    </row>
    <row r="35" spans="1:26" ht="42.75" customHeight="1" x14ac:dyDescent="0.3">
      <c r="A35" s="370" t="s">
        <v>22</v>
      </c>
      <c r="B35" s="370" t="s">
        <v>65</v>
      </c>
      <c r="C35" s="205" t="s">
        <v>257</v>
      </c>
      <c r="D35" s="370"/>
      <c r="E35" s="370" t="s">
        <v>375</v>
      </c>
      <c r="F35" s="370" t="s">
        <v>23</v>
      </c>
      <c r="G35" s="370"/>
      <c r="H35" s="371" t="s">
        <v>389</v>
      </c>
      <c r="I35" s="371" t="s">
        <v>390</v>
      </c>
      <c r="J35" s="369">
        <v>44938</v>
      </c>
      <c r="K35" s="747">
        <v>0.375</v>
      </c>
      <c r="L35" s="369">
        <v>44938</v>
      </c>
      <c r="M35" s="753">
        <v>0.79166666666666663</v>
      </c>
      <c r="N35" s="373">
        <v>8</v>
      </c>
      <c r="O35" s="374" t="s">
        <v>17</v>
      </c>
      <c r="P35" s="375" t="s">
        <v>391</v>
      </c>
      <c r="Q35" s="744" t="s">
        <v>295</v>
      </c>
      <c r="R35" s="202" t="s">
        <v>40</v>
      </c>
      <c r="S35" s="31" t="s">
        <v>273</v>
      </c>
      <c r="T35" s="31" t="s">
        <v>273</v>
      </c>
      <c r="U35" s="31">
        <f>IFERROR(VLOOKUP(CONCATENATE(Tabla1[[#This Row],[Severidad]]," ",Tabla1[[#This Row],[Complejidad]]),Catalogos!E$120:G$128,3,FALSE),"")</f>
        <v>64</v>
      </c>
      <c r="V35" s="31" t="str">
        <f>IF(Tabla1[[#This Row],[Tiempo solución max (hrs)]]&lt;&gt;"",IF(Tabla1[[#This Row],[Tiempo solución max (hrs)]]&gt;=Tabla1[[#This Row],[Tiempo
(Hrs 00/100)]],"cumple","no cumple"),"")</f>
        <v>cumple</v>
      </c>
      <c r="W35" s="376" t="s">
        <v>374</v>
      </c>
      <c r="X35" s="377" t="str">
        <f t="shared" si="0"/>
        <v>SSI</v>
      </c>
      <c r="Y35" t="str">
        <f>SUBSTITUTE(Tabla1[[#This Row],[Descripción]],CHAR(10),"    I    ")</f>
        <v>Modificacion de componente modificar-respuestas solicitud aceptar</v>
      </c>
      <c r="Z35" s="378">
        <f>VLOOKUP(Tabla1[[#This Row],[Perfil]],Catalogos!$B$75:$D$100,3,FALSE)*Tabla1[[#This Row],[Tiempo
(Hrs 00/100)]]*1.16</f>
        <v>6496</v>
      </c>
    </row>
    <row r="36" spans="1:26" ht="42.75" customHeight="1" x14ac:dyDescent="0.3">
      <c r="A36" s="370" t="s">
        <v>22</v>
      </c>
      <c r="B36" s="370" t="s">
        <v>65</v>
      </c>
      <c r="C36" s="205" t="s">
        <v>257</v>
      </c>
      <c r="D36" s="370"/>
      <c r="E36" s="370" t="s">
        <v>375</v>
      </c>
      <c r="F36" s="370" t="s">
        <v>23</v>
      </c>
      <c r="G36" s="370"/>
      <c r="H36" s="371" t="s">
        <v>389</v>
      </c>
      <c r="I36" s="383" t="s">
        <v>392</v>
      </c>
      <c r="J36" s="369">
        <v>44939</v>
      </c>
      <c r="K36" s="747">
        <v>0.375</v>
      </c>
      <c r="L36" s="369">
        <v>44939</v>
      </c>
      <c r="M36" s="753">
        <v>0.79166666666666663</v>
      </c>
      <c r="N36" s="373">
        <v>8</v>
      </c>
      <c r="O36" s="374" t="s">
        <v>17</v>
      </c>
      <c r="P36" s="375" t="s">
        <v>393</v>
      </c>
      <c r="Q36" s="744" t="s">
        <v>295</v>
      </c>
      <c r="R36" s="202" t="s">
        <v>40</v>
      </c>
      <c r="S36" s="31" t="s">
        <v>273</v>
      </c>
      <c r="T36" s="31" t="s">
        <v>273</v>
      </c>
      <c r="U36" s="31">
        <f>IFERROR(VLOOKUP(CONCATENATE(Tabla1[[#This Row],[Severidad]]," ",Tabla1[[#This Row],[Complejidad]]),Catalogos!E$120:G$128,3,FALSE),"")</f>
        <v>64</v>
      </c>
      <c r="V36" s="31" t="str">
        <f>IF(Tabla1[[#This Row],[Tiempo solución max (hrs)]]&lt;&gt;"",IF(Tabla1[[#This Row],[Tiempo solución max (hrs)]]&gt;=Tabla1[[#This Row],[Tiempo
(Hrs 00/100)]],"cumple","no cumple"),"")</f>
        <v>cumple</v>
      </c>
      <c r="W36" s="376" t="s">
        <v>374</v>
      </c>
      <c r="X36" s="377" t="str">
        <f t="shared" si="0"/>
        <v>SSI</v>
      </c>
      <c r="Y36" t="str">
        <f>SUBSTITUTE(Tabla1[[#This Row],[Descripción]],CHAR(10),"    I    ")</f>
        <v>Modificacion de componente modificar-respuestas solicitud contestar</v>
      </c>
      <c r="Z36" s="378">
        <f>VLOOKUP(Tabla1[[#This Row],[Perfil]],Catalogos!$B$75:$D$100,3,FALSE)*Tabla1[[#This Row],[Tiempo
(Hrs 00/100)]]*1.16</f>
        <v>6496</v>
      </c>
    </row>
    <row r="37" spans="1:26" ht="45" customHeight="1" x14ac:dyDescent="0.3">
      <c r="A37" s="210" t="s">
        <v>22</v>
      </c>
      <c r="B37" s="374" t="s">
        <v>65</v>
      </c>
      <c r="C37" s="205" t="s">
        <v>257</v>
      </c>
      <c r="D37" s="382"/>
      <c r="E37" s="370" t="s">
        <v>375</v>
      </c>
      <c r="F37" s="210" t="s">
        <v>23</v>
      </c>
      <c r="G37" s="741"/>
      <c r="H37" s="742" t="s">
        <v>395</v>
      </c>
      <c r="I37" s="371" t="s">
        <v>394</v>
      </c>
      <c r="J37" s="369">
        <v>44942</v>
      </c>
      <c r="K37" s="747">
        <v>0.375</v>
      </c>
      <c r="L37" s="369">
        <v>44942</v>
      </c>
      <c r="M37" s="753">
        <v>0.79166666666666663</v>
      </c>
      <c r="N37" s="210">
        <v>8</v>
      </c>
      <c r="O37" s="374" t="s">
        <v>406</v>
      </c>
      <c r="P37" s="375" t="s">
        <v>396</v>
      </c>
      <c r="Q37" s="744" t="s">
        <v>295</v>
      </c>
      <c r="R37" s="202" t="s">
        <v>40</v>
      </c>
      <c r="S37" s="31" t="s">
        <v>273</v>
      </c>
      <c r="T37" s="31" t="s">
        <v>273</v>
      </c>
      <c r="U37" s="31">
        <f>IFERROR(VLOOKUP(CONCATENATE(Tabla1[[#This Row],[Severidad]]," ",Tabla1[[#This Row],[Complejidad]]),Catalogos!E$120:G$128,3,FALSE),"")</f>
        <v>64</v>
      </c>
      <c r="V37" s="31" t="str">
        <f>IF(Tabla1[[#This Row],[Tiempo solución max (hrs)]]&lt;&gt;"",IF(Tabla1[[#This Row],[Tiempo solución max (hrs)]]&gt;=Tabla1[[#This Row],[Tiempo
(Hrs 00/100)]],"cumple","no cumple"),"")</f>
        <v>cumple</v>
      </c>
      <c r="W37" s="376" t="s">
        <v>374</v>
      </c>
      <c r="X37" s="377" t="str">
        <f t="shared" si="0"/>
        <v>SSI</v>
      </c>
      <c r="Y37" t="str">
        <f>SUBSTITUTE(Tabla1[[#This Row],[Descripción]],CHAR(10),"    I    ")</f>
        <v>Componente Sustituir Respuesta</v>
      </c>
      <c r="Z37" s="378">
        <f>VLOOKUP(Tabla1[[#This Row],[Perfil]],Catalogos!$B$75:$D$100,3,FALSE)*Tabla1[[#This Row],[Tiempo
(Hrs 00/100)]]*1.16</f>
        <v>6496</v>
      </c>
    </row>
    <row r="38" spans="1:26" ht="45" customHeight="1" x14ac:dyDescent="0.3">
      <c r="A38" s="210" t="s">
        <v>22</v>
      </c>
      <c r="B38" s="374" t="s">
        <v>65</v>
      </c>
      <c r="C38" s="205" t="s">
        <v>257</v>
      </c>
      <c r="D38" s="382"/>
      <c r="E38" s="370" t="s">
        <v>375</v>
      </c>
      <c r="F38" s="210" t="s">
        <v>23</v>
      </c>
      <c r="G38" s="741"/>
      <c r="H38" s="742" t="s">
        <v>395</v>
      </c>
      <c r="I38" s="371" t="s">
        <v>394</v>
      </c>
      <c r="J38" s="369">
        <v>44943</v>
      </c>
      <c r="K38" s="747">
        <v>0.375</v>
      </c>
      <c r="L38" s="369">
        <v>44943</v>
      </c>
      <c r="M38" s="753">
        <v>0.45833333333333331</v>
      </c>
      <c r="N38" s="210">
        <v>2</v>
      </c>
      <c r="O38" s="374" t="s">
        <v>17</v>
      </c>
      <c r="P38" s="375" t="s">
        <v>396</v>
      </c>
      <c r="Q38" s="744" t="s">
        <v>295</v>
      </c>
      <c r="R38" s="202" t="s">
        <v>40</v>
      </c>
      <c r="S38" s="31" t="s">
        <v>273</v>
      </c>
      <c r="T38" s="31" t="s">
        <v>273</v>
      </c>
      <c r="U38" s="31">
        <f>IFERROR(VLOOKUP(CONCATENATE(Tabla1[[#This Row],[Severidad]]," ",Tabla1[[#This Row],[Complejidad]]),Catalogos!E$120:G$128,3,FALSE),"")</f>
        <v>64</v>
      </c>
      <c r="V38" s="31" t="str">
        <f>IF(Tabla1[[#This Row],[Tiempo solución max (hrs)]]&lt;&gt;"",IF(Tabla1[[#This Row],[Tiempo solución max (hrs)]]&gt;=Tabla1[[#This Row],[Tiempo
(Hrs 00/100)]],"cumple","no cumple"),"")</f>
        <v>cumple</v>
      </c>
      <c r="W38" s="376" t="s">
        <v>374</v>
      </c>
      <c r="X38" s="377" t="str">
        <f t="shared" ref="X38" si="4">IF(C38&lt;&gt;"",C38,D38)</f>
        <v>SSI</v>
      </c>
      <c r="Y38" t="str">
        <f>SUBSTITUTE(Tabla1[[#This Row],[Descripción]],CHAR(10),"    I    ")</f>
        <v>Componente Sustituir Respuesta</v>
      </c>
      <c r="Z38" s="378">
        <f>VLOOKUP(Tabla1[[#This Row],[Perfil]],Catalogos!$B$75:$D$100,3,FALSE)*Tabla1[[#This Row],[Tiempo
(Hrs 00/100)]]*1.16</f>
        <v>1624</v>
      </c>
    </row>
    <row r="39" spans="1:26" ht="42.75" customHeight="1" x14ac:dyDescent="0.3">
      <c r="A39" s="210" t="s">
        <v>22</v>
      </c>
      <c r="B39" s="374" t="s">
        <v>65</v>
      </c>
      <c r="C39" s="205" t="s">
        <v>257</v>
      </c>
      <c r="D39" s="382"/>
      <c r="E39" s="370" t="s">
        <v>375</v>
      </c>
      <c r="F39" s="210" t="s">
        <v>23</v>
      </c>
      <c r="G39" s="741"/>
      <c r="H39" s="742" t="s">
        <v>395</v>
      </c>
      <c r="I39" s="371" t="s">
        <v>397</v>
      </c>
      <c r="J39" s="369">
        <v>44943</v>
      </c>
      <c r="K39" s="747">
        <v>0.375</v>
      </c>
      <c r="L39" s="369">
        <v>44943</v>
      </c>
      <c r="M39" s="753">
        <v>0.79166666666666663</v>
      </c>
      <c r="N39" s="210">
        <v>6</v>
      </c>
      <c r="O39" s="374" t="s">
        <v>406</v>
      </c>
      <c r="P39" s="375" t="s">
        <v>398</v>
      </c>
      <c r="Q39" s="744" t="s">
        <v>295</v>
      </c>
      <c r="R39" s="202" t="s">
        <v>40</v>
      </c>
      <c r="S39" s="31" t="s">
        <v>273</v>
      </c>
      <c r="T39" s="31" t="s">
        <v>273</v>
      </c>
      <c r="U39" s="31">
        <f>IFERROR(VLOOKUP(CONCATENATE(Tabla1[[#This Row],[Severidad]]," ",Tabla1[[#This Row],[Complejidad]]),Catalogos!E$120:G$128,3,FALSE),"")</f>
        <v>64</v>
      </c>
      <c r="V39" s="31" t="str">
        <f>IF(Tabla1[[#This Row],[Tiempo solución max (hrs)]]&lt;&gt;"",IF(Tabla1[[#This Row],[Tiempo solución max (hrs)]]&gt;=Tabla1[[#This Row],[Tiempo
(Hrs 00/100)]],"cumple","no cumple"),"")</f>
        <v>cumple</v>
      </c>
      <c r="W39" s="376" t="s">
        <v>374</v>
      </c>
      <c r="X39" s="377" t="str">
        <f t="shared" si="0"/>
        <v>SSI</v>
      </c>
      <c r="Y39" t="str">
        <f>SUBSTITUTE(Tabla1[[#This Row],[Descripción]],CHAR(10),"    I    ")</f>
        <v>Componente Sustituir Respuesta Asignar</v>
      </c>
      <c r="Z39" s="378">
        <f>VLOOKUP(Tabla1[[#This Row],[Perfil]],Catalogos!$B$75:$D$100,3,FALSE)*Tabla1[[#This Row],[Tiempo
(Hrs 00/100)]]*1.16</f>
        <v>4872</v>
      </c>
    </row>
    <row r="40" spans="1:26" ht="42.75" customHeight="1" x14ac:dyDescent="0.3">
      <c r="A40" s="210" t="s">
        <v>22</v>
      </c>
      <c r="B40" s="374" t="s">
        <v>65</v>
      </c>
      <c r="C40" s="205" t="s">
        <v>257</v>
      </c>
      <c r="D40" s="382"/>
      <c r="E40" s="370" t="s">
        <v>375</v>
      </c>
      <c r="F40" s="210" t="s">
        <v>23</v>
      </c>
      <c r="G40" s="741"/>
      <c r="H40" s="742" t="s">
        <v>395</v>
      </c>
      <c r="I40" s="371" t="s">
        <v>397</v>
      </c>
      <c r="J40" s="369">
        <v>44944</v>
      </c>
      <c r="K40" s="747">
        <v>0.375</v>
      </c>
      <c r="L40" s="369">
        <v>44944</v>
      </c>
      <c r="M40" s="753">
        <v>0.5</v>
      </c>
      <c r="N40" s="210">
        <v>3</v>
      </c>
      <c r="O40" s="374" t="s">
        <v>17</v>
      </c>
      <c r="P40" s="375" t="s">
        <v>398</v>
      </c>
      <c r="Q40" s="744" t="s">
        <v>295</v>
      </c>
      <c r="R40" s="202" t="s">
        <v>40</v>
      </c>
      <c r="S40" s="31" t="s">
        <v>273</v>
      </c>
      <c r="T40" s="31" t="s">
        <v>273</v>
      </c>
      <c r="U40" s="31">
        <f>IFERROR(VLOOKUP(CONCATENATE(Tabla1[[#This Row],[Severidad]]," ",Tabla1[[#This Row],[Complejidad]]),Catalogos!E$120:G$128,3,FALSE),"")</f>
        <v>64</v>
      </c>
      <c r="V40" s="31" t="str">
        <f>IF(Tabla1[[#This Row],[Tiempo solución max (hrs)]]&lt;&gt;"",IF(Tabla1[[#This Row],[Tiempo solución max (hrs)]]&gt;=Tabla1[[#This Row],[Tiempo
(Hrs 00/100)]],"cumple","no cumple"),"")</f>
        <v>cumple</v>
      </c>
      <c r="W40" s="376" t="s">
        <v>374</v>
      </c>
      <c r="X40" s="377" t="str">
        <f t="shared" ref="X40" si="5">IF(C40&lt;&gt;"",C40,D40)</f>
        <v>SSI</v>
      </c>
      <c r="Y40" t="str">
        <f>SUBSTITUTE(Tabla1[[#This Row],[Descripción]],CHAR(10),"    I    ")</f>
        <v>Componente Sustituir Respuesta Asignar</v>
      </c>
      <c r="Z40" s="378">
        <f>VLOOKUP(Tabla1[[#This Row],[Perfil]],Catalogos!$B$75:$D$100,3,FALSE)*Tabla1[[#This Row],[Tiempo
(Hrs 00/100)]]*1.16</f>
        <v>2436</v>
      </c>
    </row>
    <row r="41" spans="1:26" ht="42.75" customHeight="1" x14ac:dyDescent="0.3">
      <c r="A41" s="210" t="s">
        <v>22</v>
      </c>
      <c r="B41" s="374" t="s">
        <v>65</v>
      </c>
      <c r="C41" s="205" t="s">
        <v>257</v>
      </c>
      <c r="D41" s="382"/>
      <c r="E41" s="370" t="s">
        <v>375</v>
      </c>
      <c r="F41" s="210" t="s">
        <v>23</v>
      </c>
      <c r="G41" s="741"/>
      <c r="H41" s="742" t="s">
        <v>395</v>
      </c>
      <c r="I41" s="371" t="s">
        <v>399</v>
      </c>
      <c r="J41" s="369">
        <v>44944</v>
      </c>
      <c r="K41" s="747">
        <v>0.375</v>
      </c>
      <c r="L41" s="369">
        <v>44944</v>
      </c>
      <c r="M41" s="753">
        <v>0.79166666666666663</v>
      </c>
      <c r="N41" s="210">
        <v>5</v>
      </c>
      <c r="O41" s="374" t="s">
        <v>406</v>
      </c>
      <c r="P41" s="375" t="s">
        <v>400</v>
      </c>
      <c r="Q41" s="744" t="s">
        <v>295</v>
      </c>
      <c r="R41" s="202" t="s">
        <v>40</v>
      </c>
      <c r="S41" s="31" t="s">
        <v>273</v>
      </c>
      <c r="T41" s="31" t="s">
        <v>273</v>
      </c>
      <c r="U41" s="31">
        <f>IFERROR(VLOOKUP(CONCATENATE(Tabla1[[#This Row],[Severidad]]," ",Tabla1[[#This Row],[Complejidad]]),Catalogos!E$120:G$128,3,FALSE),"")</f>
        <v>64</v>
      </c>
      <c r="V41" s="31" t="str">
        <f>IF(Tabla1[[#This Row],[Tiempo solución max (hrs)]]&lt;&gt;"",IF(Tabla1[[#This Row],[Tiempo solución max (hrs)]]&gt;=Tabla1[[#This Row],[Tiempo
(Hrs 00/100)]],"cumple","no cumple"),"")</f>
        <v>cumple</v>
      </c>
      <c r="W41" s="376" t="s">
        <v>374</v>
      </c>
      <c r="X41" s="377" t="str">
        <f t="shared" si="0"/>
        <v>SSI</v>
      </c>
      <c r="Y41" t="str">
        <f>SUBSTITUTE(Tabla1[[#This Row],[Descripción]],CHAR(10),"    I    ")</f>
        <v>Componente Sustituir Respuesta Sustituir</v>
      </c>
      <c r="Z41" s="378">
        <f>VLOOKUP(Tabla1[[#This Row],[Perfil]],Catalogos!$B$75:$D$100,3,FALSE)*Tabla1[[#This Row],[Tiempo
(Hrs 00/100)]]*1.16</f>
        <v>4059.9999999999995</v>
      </c>
    </row>
    <row r="42" spans="1:26" ht="42.75" customHeight="1" x14ac:dyDescent="0.3">
      <c r="A42" s="210" t="s">
        <v>22</v>
      </c>
      <c r="B42" s="374" t="s">
        <v>65</v>
      </c>
      <c r="C42" s="205" t="s">
        <v>257</v>
      </c>
      <c r="D42" s="382"/>
      <c r="E42" s="370" t="s">
        <v>375</v>
      </c>
      <c r="F42" s="210" t="s">
        <v>23</v>
      </c>
      <c r="G42" s="741"/>
      <c r="H42" s="742" t="s">
        <v>395</v>
      </c>
      <c r="I42" s="371" t="s">
        <v>399</v>
      </c>
      <c r="J42" s="369">
        <v>44945</v>
      </c>
      <c r="K42" s="747">
        <v>0.375</v>
      </c>
      <c r="L42" s="369">
        <v>44945</v>
      </c>
      <c r="M42" s="753">
        <v>0.54166666666666663</v>
      </c>
      <c r="N42" s="210">
        <v>4</v>
      </c>
      <c r="O42" s="374" t="s">
        <v>17</v>
      </c>
      <c r="P42" s="375" t="s">
        <v>400</v>
      </c>
      <c r="Q42" s="744" t="s">
        <v>295</v>
      </c>
      <c r="R42" s="202" t="s">
        <v>40</v>
      </c>
      <c r="S42" s="31" t="s">
        <v>273</v>
      </c>
      <c r="T42" s="31" t="s">
        <v>273</v>
      </c>
      <c r="U42" s="31">
        <f>IFERROR(VLOOKUP(CONCATENATE(Tabla1[[#This Row],[Severidad]]," ",Tabla1[[#This Row],[Complejidad]]),Catalogos!E$120:G$128,3,FALSE),"")</f>
        <v>64</v>
      </c>
      <c r="V42" s="31" t="str">
        <f>IF(Tabla1[[#This Row],[Tiempo solución max (hrs)]]&lt;&gt;"",IF(Tabla1[[#This Row],[Tiempo solución max (hrs)]]&gt;=Tabla1[[#This Row],[Tiempo
(Hrs 00/100)]],"cumple","no cumple"),"")</f>
        <v>cumple</v>
      </c>
      <c r="W42" s="376" t="s">
        <v>374</v>
      </c>
      <c r="X42" s="377" t="str">
        <f t="shared" ref="X42" si="6">IF(C42&lt;&gt;"",C42,D42)</f>
        <v>SSI</v>
      </c>
      <c r="Y42" t="str">
        <f>SUBSTITUTE(Tabla1[[#This Row],[Descripción]],CHAR(10),"    I    ")</f>
        <v>Componente Sustituir Respuesta Sustituir</v>
      </c>
      <c r="Z42" s="378">
        <f>VLOOKUP(Tabla1[[#This Row],[Perfil]],Catalogos!$B$75:$D$100,3,FALSE)*Tabla1[[#This Row],[Tiempo
(Hrs 00/100)]]*1.16</f>
        <v>3248</v>
      </c>
    </row>
    <row r="43" spans="1:26" ht="42.75" customHeight="1" x14ac:dyDescent="0.3">
      <c r="A43" s="370" t="s">
        <v>22</v>
      </c>
      <c r="B43" s="370" t="s">
        <v>65</v>
      </c>
      <c r="C43" s="205" t="s">
        <v>257</v>
      </c>
      <c r="D43" s="370"/>
      <c r="E43" s="370" t="s">
        <v>375</v>
      </c>
      <c r="F43" s="370" t="s">
        <v>23</v>
      </c>
      <c r="G43" s="741"/>
      <c r="H43" s="742" t="s">
        <v>395</v>
      </c>
      <c r="I43" s="371" t="s">
        <v>401</v>
      </c>
      <c r="J43" s="369">
        <v>44945</v>
      </c>
      <c r="K43" s="753">
        <v>0.54166666666666663</v>
      </c>
      <c r="L43" s="369">
        <v>44945</v>
      </c>
      <c r="M43" s="753">
        <v>0.79166666666666663</v>
      </c>
      <c r="N43" s="373">
        <v>4</v>
      </c>
      <c r="O43" s="374" t="s">
        <v>406</v>
      </c>
      <c r="P43" s="375" t="s">
        <v>402</v>
      </c>
      <c r="Q43" s="744" t="s">
        <v>295</v>
      </c>
      <c r="R43" s="202" t="s">
        <v>40</v>
      </c>
      <c r="S43" s="31" t="s">
        <v>273</v>
      </c>
      <c r="T43" s="31" t="s">
        <v>273</v>
      </c>
      <c r="U43" s="31">
        <f>IFERROR(VLOOKUP(CONCATENATE(Tabla1[[#This Row],[Severidad]]," ",Tabla1[[#This Row],[Complejidad]]),Catalogos!E$120:G$128,3,FALSE),"")</f>
        <v>64</v>
      </c>
      <c r="V43" s="31" t="str">
        <f>IF(Tabla1[[#This Row],[Tiempo solución max (hrs)]]&lt;&gt;"",IF(Tabla1[[#This Row],[Tiempo solución max (hrs)]]&gt;=Tabla1[[#This Row],[Tiempo
(Hrs 00/100)]],"cumple","no cumple"),"")</f>
        <v>cumple</v>
      </c>
      <c r="W43" s="376" t="s">
        <v>374</v>
      </c>
      <c r="X43" s="377" t="str">
        <f t="shared" si="0"/>
        <v>SSI</v>
      </c>
      <c r="Y43" t="str">
        <f>SUBSTITUTE(Tabla1[[#This Row],[Descripción]],CHAR(10),"    I    ")</f>
        <v>Componente Sustituir Respuesta Contestar</v>
      </c>
      <c r="Z43" s="378">
        <f>VLOOKUP(Tabla1[[#This Row],[Perfil]],Catalogos!$B$75:$D$100,3,FALSE)*Tabla1[[#This Row],[Tiempo
(Hrs 00/100)]]*1.16</f>
        <v>3248</v>
      </c>
    </row>
    <row r="44" spans="1:26" ht="42.75" customHeight="1" x14ac:dyDescent="0.3">
      <c r="A44" s="370" t="s">
        <v>22</v>
      </c>
      <c r="B44" s="370" t="s">
        <v>65</v>
      </c>
      <c r="C44" s="205" t="s">
        <v>257</v>
      </c>
      <c r="D44" s="370"/>
      <c r="E44" s="370" t="s">
        <v>375</v>
      </c>
      <c r="F44" s="370" t="s">
        <v>23</v>
      </c>
      <c r="G44" s="741"/>
      <c r="H44" s="742" t="s">
        <v>395</v>
      </c>
      <c r="I44" s="371" t="s">
        <v>401</v>
      </c>
      <c r="J44" s="369">
        <v>44946</v>
      </c>
      <c r="K44" s="747">
        <v>0.375</v>
      </c>
      <c r="L44" s="369">
        <v>44946</v>
      </c>
      <c r="M44" s="753">
        <v>0.79166666666666663</v>
      </c>
      <c r="N44" s="373">
        <v>4</v>
      </c>
      <c r="O44" s="374" t="s">
        <v>17</v>
      </c>
      <c r="P44" s="375" t="s">
        <v>402</v>
      </c>
      <c r="Q44" s="744" t="s">
        <v>295</v>
      </c>
      <c r="R44" s="202" t="s">
        <v>40</v>
      </c>
      <c r="S44" s="31" t="s">
        <v>273</v>
      </c>
      <c r="T44" s="31" t="s">
        <v>273</v>
      </c>
      <c r="U44" s="31">
        <f>IFERROR(VLOOKUP(CONCATENATE(Tabla1[[#This Row],[Severidad]]," ",Tabla1[[#This Row],[Complejidad]]),Catalogos!E$120:G$128,3,FALSE),"")</f>
        <v>64</v>
      </c>
      <c r="V44" s="31" t="str">
        <f>IF(Tabla1[[#This Row],[Tiempo solución max (hrs)]]&lt;&gt;"",IF(Tabla1[[#This Row],[Tiempo solución max (hrs)]]&gt;=Tabla1[[#This Row],[Tiempo
(Hrs 00/100)]],"cumple","no cumple"),"")</f>
        <v>cumple</v>
      </c>
      <c r="W44" s="376" t="s">
        <v>374</v>
      </c>
      <c r="X44" s="377" t="str">
        <f t="shared" ref="X44" si="7">IF(C44&lt;&gt;"",C44,D44)</f>
        <v>SSI</v>
      </c>
      <c r="Y44" t="str">
        <f>SUBSTITUTE(Tabla1[[#This Row],[Descripción]],CHAR(10),"    I    ")</f>
        <v>Componente Sustituir Respuesta Contestar</v>
      </c>
      <c r="Z44" s="378">
        <f>VLOOKUP(Tabla1[[#This Row],[Perfil]],Catalogos!$B$75:$D$100,3,FALSE)*Tabla1[[#This Row],[Tiempo
(Hrs 00/100)]]*1.16</f>
        <v>3248</v>
      </c>
    </row>
    <row r="45" spans="1:26" ht="42.75" customHeight="1" x14ac:dyDescent="0.3">
      <c r="A45" s="210" t="s">
        <v>22</v>
      </c>
      <c r="B45" s="374" t="s">
        <v>65</v>
      </c>
      <c r="C45" s="205" t="s">
        <v>257</v>
      </c>
      <c r="D45" s="382"/>
      <c r="E45" s="370" t="s">
        <v>375</v>
      </c>
      <c r="F45" s="210" t="s">
        <v>23</v>
      </c>
      <c r="G45" s="370"/>
      <c r="H45" s="371" t="s">
        <v>403</v>
      </c>
      <c r="I45" s="383" t="s">
        <v>5378</v>
      </c>
      <c r="J45" s="369">
        <v>44946</v>
      </c>
      <c r="K45" s="747">
        <v>0.375</v>
      </c>
      <c r="L45" s="369">
        <v>44946</v>
      </c>
      <c r="M45" s="753">
        <v>0.79166666666666663</v>
      </c>
      <c r="N45" s="210">
        <v>4</v>
      </c>
      <c r="O45" s="374" t="s">
        <v>17</v>
      </c>
      <c r="P45" s="375" t="s">
        <v>407</v>
      </c>
      <c r="Q45" s="744" t="s">
        <v>295</v>
      </c>
      <c r="R45" s="202" t="s">
        <v>40</v>
      </c>
      <c r="S45" s="31" t="s">
        <v>273</v>
      </c>
      <c r="T45" s="31" t="s">
        <v>273</v>
      </c>
      <c r="U45" s="31">
        <f>IFERROR(VLOOKUP(CONCATENATE(Tabla1[[#This Row],[Severidad]]," ",Tabla1[[#This Row],[Complejidad]]),Catalogos!E$120:G$128,3,FALSE),"")</f>
        <v>64</v>
      </c>
      <c r="V45" s="31" t="str">
        <f>IF(Tabla1[[#This Row],[Tiempo solución max (hrs)]]&lt;&gt;"",IF(Tabla1[[#This Row],[Tiempo solución max (hrs)]]&gt;=Tabla1[[#This Row],[Tiempo
(Hrs 00/100)]],"cumple","no cumple"),"")</f>
        <v>cumple</v>
      </c>
      <c r="W45" s="376" t="s">
        <v>374</v>
      </c>
      <c r="X45" s="377" t="str">
        <f t="shared" si="0"/>
        <v>SSI</v>
      </c>
      <c r="Y45" t="str">
        <f>SUBSTITUTE(Tabla1[[#This Row],[Descripción]],CHAR(10),"    I    ")</f>
        <v>Soporte a servicios, menus, diversos componentes</v>
      </c>
      <c r="Z45" s="378">
        <f>VLOOKUP(Tabla1[[#This Row],[Perfil]],Catalogos!$B$75:$D$100,3,FALSE)*Tabla1[[#This Row],[Tiempo
(Hrs 00/100)]]*1.16</f>
        <v>3248</v>
      </c>
    </row>
    <row r="46" spans="1:26" ht="42.75" customHeight="1" x14ac:dyDescent="0.3">
      <c r="A46" s="370" t="s">
        <v>22</v>
      </c>
      <c r="B46" s="370" t="s">
        <v>62</v>
      </c>
      <c r="C46" s="205" t="s">
        <v>257</v>
      </c>
      <c r="D46" s="370"/>
      <c r="E46" s="370" t="s">
        <v>404</v>
      </c>
      <c r="F46" s="370" t="s">
        <v>73</v>
      </c>
      <c r="G46" s="370"/>
      <c r="H46" s="371" t="s">
        <v>405</v>
      </c>
      <c r="I46" s="383" t="s">
        <v>5379</v>
      </c>
      <c r="J46" s="369">
        <v>44949</v>
      </c>
      <c r="K46" s="747">
        <v>0.375</v>
      </c>
      <c r="L46" s="369">
        <v>44949</v>
      </c>
      <c r="M46" s="753">
        <v>0.79166666666666663</v>
      </c>
      <c r="N46" s="373">
        <v>8</v>
      </c>
      <c r="O46" s="374" t="s">
        <v>406</v>
      </c>
      <c r="P46" s="375" t="s">
        <v>407</v>
      </c>
      <c r="Q46" s="744" t="s">
        <v>295</v>
      </c>
      <c r="R46" s="202" t="s">
        <v>40</v>
      </c>
      <c r="S46" s="31" t="s">
        <v>273</v>
      </c>
      <c r="T46" s="31" t="s">
        <v>273</v>
      </c>
      <c r="U46" s="31">
        <f>IFERROR(VLOOKUP(CONCATENATE(Tabla1[[#This Row],[Severidad]]," ",Tabla1[[#This Row],[Complejidad]]),Catalogos!E$120:G$128,3,FALSE),"")</f>
        <v>64</v>
      </c>
      <c r="V46" s="31" t="str">
        <f>IF(Tabla1[[#This Row],[Tiempo solución max (hrs)]]&lt;&gt;"",IF(Tabla1[[#This Row],[Tiempo solución max (hrs)]]&gt;=Tabla1[[#This Row],[Tiempo
(Hrs 00/100)]],"cumple","no cumple"),"")</f>
        <v>cumple</v>
      </c>
      <c r="W46" s="376" t="s">
        <v>374</v>
      </c>
      <c r="X46" s="377" t="str">
        <f t="shared" si="0"/>
        <v>SSI</v>
      </c>
      <c r="Y46" t="str">
        <f>SUBSTITUTE(Tabla1[[#This Row],[Descripción]],CHAR(10),"    I    ")</f>
        <v>Desarrollo del front-end de pizarras</v>
      </c>
      <c r="Z46" s="378">
        <f>VLOOKUP(Tabla1[[#This Row],[Perfil]],Catalogos!$B$75:$D$100,3,FALSE)*Tabla1[[#This Row],[Tiempo
(Hrs 00/100)]]*1.16</f>
        <v>6496</v>
      </c>
    </row>
    <row r="47" spans="1:26" ht="42.75" customHeight="1" x14ac:dyDescent="0.3">
      <c r="A47" s="370" t="s">
        <v>22</v>
      </c>
      <c r="B47" s="370" t="s">
        <v>62</v>
      </c>
      <c r="C47" s="205" t="s">
        <v>257</v>
      </c>
      <c r="D47" s="370"/>
      <c r="E47" s="370" t="s">
        <v>404</v>
      </c>
      <c r="F47" s="370" t="s">
        <v>73</v>
      </c>
      <c r="G47" s="370"/>
      <c r="H47" s="371" t="s">
        <v>405</v>
      </c>
      <c r="I47" s="383" t="s">
        <v>5379</v>
      </c>
      <c r="J47" s="369">
        <v>44950</v>
      </c>
      <c r="K47" s="747">
        <v>0.375</v>
      </c>
      <c r="L47" s="369">
        <v>44950</v>
      </c>
      <c r="M47" s="753">
        <v>0.79166666666666663</v>
      </c>
      <c r="N47" s="373">
        <v>8</v>
      </c>
      <c r="O47" s="374" t="s">
        <v>406</v>
      </c>
      <c r="P47" s="375" t="s">
        <v>407</v>
      </c>
      <c r="Q47" s="744" t="s">
        <v>295</v>
      </c>
      <c r="R47" s="202" t="s">
        <v>40</v>
      </c>
      <c r="S47" s="31" t="s">
        <v>273</v>
      </c>
      <c r="T47" s="31" t="s">
        <v>273</v>
      </c>
      <c r="U47" s="31">
        <f>IFERROR(VLOOKUP(CONCATENATE(Tabla1[[#This Row],[Severidad]]," ",Tabla1[[#This Row],[Complejidad]]),Catalogos!E$120:G$128,3,FALSE),"")</f>
        <v>64</v>
      </c>
      <c r="V47" s="31" t="str">
        <f>IF(Tabla1[[#This Row],[Tiempo solución max (hrs)]]&lt;&gt;"",IF(Tabla1[[#This Row],[Tiempo solución max (hrs)]]&gt;=Tabla1[[#This Row],[Tiempo
(Hrs 00/100)]],"cumple","no cumple"),"")</f>
        <v>cumple</v>
      </c>
      <c r="W47" s="376" t="s">
        <v>374</v>
      </c>
      <c r="X47" s="377" t="str">
        <f t="shared" ref="X47:X51" si="8">IF(C47&lt;&gt;"",C47,D47)</f>
        <v>SSI</v>
      </c>
      <c r="Y47" t="str">
        <f>SUBSTITUTE(Tabla1[[#This Row],[Descripción]],CHAR(10),"    I    ")</f>
        <v>Desarrollo del front-end de pizarras</v>
      </c>
      <c r="Z47" s="378">
        <f>VLOOKUP(Tabla1[[#This Row],[Perfil]],Catalogos!$B$75:$D$100,3,FALSE)*Tabla1[[#This Row],[Tiempo
(Hrs 00/100)]]*1.16</f>
        <v>6496</v>
      </c>
    </row>
    <row r="48" spans="1:26" ht="42.75" customHeight="1" x14ac:dyDescent="0.3">
      <c r="A48" s="370" t="s">
        <v>22</v>
      </c>
      <c r="B48" s="370" t="s">
        <v>62</v>
      </c>
      <c r="C48" s="205" t="s">
        <v>257</v>
      </c>
      <c r="D48" s="370"/>
      <c r="E48" s="370" t="s">
        <v>404</v>
      </c>
      <c r="F48" s="370" t="s">
        <v>73</v>
      </c>
      <c r="G48" s="370"/>
      <c r="H48" s="371" t="s">
        <v>405</v>
      </c>
      <c r="I48" s="383" t="s">
        <v>5379</v>
      </c>
      <c r="J48" s="369">
        <v>44951</v>
      </c>
      <c r="K48" s="747">
        <v>0.375</v>
      </c>
      <c r="L48" s="369">
        <v>44951</v>
      </c>
      <c r="M48" s="753">
        <v>0.79166666666666663</v>
      </c>
      <c r="N48" s="373">
        <v>8</v>
      </c>
      <c r="O48" s="374" t="s">
        <v>406</v>
      </c>
      <c r="P48" s="375" t="s">
        <v>407</v>
      </c>
      <c r="Q48" s="744" t="s">
        <v>295</v>
      </c>
      <c r="R48" s="202" t="s">
        <v>40</v>
      </c>
      <c r="S48" s="31" t="s">
        <v>273</v>
      </c>
      <c r="T48" s="31" t="s">
        <v>273</v>
      </c>
      <c r="U48" s="31">
        <f>IFERROR(VLOOKUP(CONCATENATE(Tabla1[[#This Row],[Severidad]]," ",Tabla1[[#This Row],[Complejidad]]),Catalogos!E$120:G$128,3,FALSE),"")</f>
        <v>64</v>
      </c>
      <c r="V48" s="31" t="str">
        <f>IF(Tabla1[[#This Row],[Tiempo solución max (hrs)]]&lt;&gt;"",IF(Tabla1[[#This Row],[Tiempo solución max (hrs)]]&gt;=Tabla1[[#This Row],[Tiempo
(Hrs 00/100)]],"cumple","no cumple"),"")</f>
        <v>cumple</v>
      </c>
      <c r="W48" s="376" t="s">
        <v>374</v>
      </c>
      <c r="X48" s="377" t="str">
        <f t="shared" si="8"/>
        <v>SSI</v>
      </c>
      <c r="Y48" t="str">
        <f>SUBSTITUTE(Tabla1[[#This Row],[Descripción]],CHAR(10),"    I    ")</f>
        <v>Desarrollo del front-end de pizarras</v>
      </c>
      <c r="Z48" s="378">
        <f>VLOOKUP(Tabla1[[#This Row],[Perfil]],Catalogos!$B$75:$D$100,3,FALSE)*Tabla1[[#This Row],[Tiempo
(Hrs 00/100)]]*1.16</f>
        <v>6496</v>
      </c>
    </row>
    <row r="49" spans="1:26" ht="42.75" customHeight="1" x14ac:dyDescent="0.3">
      <c r="A49" s="370" t="s">
        <v>22</v>
      </c>
      <c r="B49" s="370" t="s">
        <v>62</v>
      </c>
      <c r="C49" s="205" t="s">
        <v>257</v>
      </c>
      <c r="D49" s="370"/>
      <c r="E49" s="370" t="s">
        <v>404</v>
      </c>
      <c r="F49" s="370" t="s">
        <v>73</v>
      </c>
      <c r="G49" s="370"/>
      <c r="H49" s="371" t="s">
        <v>405</v>
      </c>
      <c r="I49" s="383" t="s">
        <v>5379</v>
      </c>
      <c r="J49" s="369">
        <v>44952</v>
      </c>
      <c r="K49" s="747">
        <v>0.375</v>
      </c>
      <c r="L49" s="369">
        <v>44952</v>
      </c>
      <c r="M49" s="753">
        <v>0.79166666666666663</v>
      </c>
      <c r="N49" s="373">
        <v>8</v>
      </c>
      <c r="O49" s="374" t="s">
        <v>406</v>
      </c>
      <c r="P49" s="375" t="s">
        <v>407</v>
      </c>
      <c r="Q49" s="744" t="s">
        <v>295</v>
      </c>
      <c r="R49" s="202" t="s">
        <v>40</v>
      </c>
      <c r="S49" s="31" t="s">
        <v>273</v>
      </c>
      <c r="T49" s="31" t="s">
        <v>273</v>
      </c>
      <c r="U49" s="31">
        <f>IFERROR(VLOOKUP(CONCATENATE(Tabla1[[#This Row],[Severidad]]," ",Tabla1[[#This Row],[Complejidad]]),Catalogos!E$120:G$128,3,FALSE),"")</f>
        <v>64</v>
      </c>
      <c r="V49" s="31" t="str">
        <f>IF(Tabla1[[#This Row],[Tiempo solución max (hrs)]]&lt;&gt;"",IF(Tabla1[[#This Row],[Tiempo solución max (hrs)]]&gt;=Tabla1[[#This Row],[Tiempo
(Hrs 00/100)]],"cumple","no cumple"),"")</f>
        <v>cumple</v>
      </c>
      <c r="W49" s="376" t="s">
        <v>374</v>
      </c>
      <c r="X49" s="377" t="str">
        <f t="shared" si="8"/>
        <v>SSI</v>
      </c>
      <c r="Y49" t="str">
        <f>SUBSTITUTE(Tabla1[[#This Row],[Descripción]],CHAR(10),"    I    ")</f>
        <v>Desarrollo del front-end de pizarras</v>
      </c>
      <c r="Z49" s="378">
        <f>VLOOKUP(Tabla1[[#This Row],[Perfil]],Catalogos!$B$75:$D$100,3,FALSE)*Tabla1[[#This Row],[Tiempo
(Hrs 00/100)]]*1.16</f>
        <v>6496</v>
      </c>
    </row>
    <row r="50" spans="1:26" ht="42.75" customHeight="1" x14ac:dyDescent="0.3">
      <c r="A50" s="370" t="s">
        <v>22</v>
      </c>
      <c r="B50" s="370" t="s">
        <v>62</v>
      </c>
      <c r="C50" s="205" t="s">
        <v>257</v>
      </c>
      <c r="D50" s="370"/>
      <c r="E50" s="370" t="s">
        <v>404</v>
      </c>
      <c r="F50" s="370" t="s">
        <v>73</v>
      </c>
      <c r="G50" s="370"/>
      <c r="H50" s="371" t="s">
        <v>405</v>
      </c>
      <c r="I50" s="383" t="s">
        <v>5379</v>
      </c>
      <c r="J50" s="369">
        <v>44953</v>
      </c>
      <c r="K50" s="747">
        <v>0.375</v>
      </c>
      <c r="L50" s="369">
        <v>44953</v>
      </c>
      <c r="M50" s="753">
        <v>0.79166666666666663</v>
      </c>
      <c r="N50" s="373">
        <v>8</v>
      </c>
      <c r="O50" s="374" t="s">
        <v>406</v>
      </c>
      <c r="P50" s="375" t="s">
        <v>407</v>
      </c>
      <c r="Q50" s="744" t="s">
        <v>295</v>
      </c>
      <c r="R50" s="202" t="s">
        <v>40</v>
      </c>
      <c r="S50" s="31" t="s">
        <v>273</v>
      </c>
      <c r="T50" s="31" t="s">
        <v>273</v>
      </c>
      <c r="U50" s="31">
        <f>IFERROR(VLOOKUP(CONCATENATE(Tabla1[[#This Row],[Severidad]]," ",Tabla1[[#This Row],[Complejidad]]),Catalogos!E$120:G$128,3,FALSE),"")</f>
        <v>64</v>
      </c>
      <c r="V50" s="31" t="str">
        <f>IF(Tabla1[[#This Row],[Tiempo solución max (hrs)]]&lt;&gt;"",IF(Tabla1[[#This Row],[Tiempo solución max (hrs)]]&gt;=Tabla1[[#This Row],[Tiempo
(Hrs 00/100)]],"cumple","no cumple"),"")</f>
        <v>cumple</v>
      </c>
      <c r="W50" s="376" t="s">
        <v>374</v>
      </c>
      <c r="X50" s="377" t="str">
        <f t="shared" si="8"/>
        <v>SSI</v>
      </c>
      <c r="Y50" t="str">
        <f>SUBSTITUTE(Tabla1[[#This Row],[Descripción]],CHAR(10),"    I    ")</f>
        <v>Desarrollo del front-end de pizarras</v>
      </c>
      <c r="Z50" s="378">
        <f>VLOOKUP(Tabla1[[#This Row],[Perfil]],Catalogos!$B$75:$D$100,3,FALSE)*Tabla1[[#This Row],[Tiempo
(Hrs 00/100)]]*1.16</f>
        <v>6496</v>
      </c>
    </row>
    <row r="51" spans="1:26" ht="42.75" customHeight="1" x14ac:dyDescent="0.3">
      <c r="A51" s="370" t="s">
        <v>22</v>
      </c>
      <c r="B51" s="370" t="s">
        <v>62</v>
      </c>
      <c r="C51" s="205" t="s">
        <v>257</v>
      </c>
      <c r="D51" s="370"/>
      <c r="E51" s="370" t="s">
        <v>404</v>
      </c>
      <c r="F51" s="370" t="s">
        <v>73</v>
      </c>
      <c r="G51" s="370"/>
      <c r="H51" s="371" t="s">
        <v>405</v>
      </c>
      <c r="I51" s="383" t="s">
        <v>5379</v>
      </c>
      <c r="J51" s="369">
        <v>44956</v>
      </c>
      <c r="K51" s="747">
        <v>0.375</v>
      </c>
      <c r="L51" s="369">
        <v>44956</v>
      </c>
      <c r="M51" s="753">
        <v>0.79166666666666663</v>
      </c>
      <c r="N51" s="373">
        <v>8</v>
      </c>
      <c r="O51" s="374" t="s">
        <v>406</v>
      </c>
      <c r="P51" s="375" t="s">
        <v>407</v>
      </c>
      <c r="Q51" s="744" t="s">
        <v>295</v>
      </c>
      <c r="R51" s="202" t="s">
        <v>40</v>
      </c>
      <c r="S51" s="31" t="s">
        <v>273</v>
      </c>
      <c r="T51" s="31" t="s">
        <v>273</v>
      </c>
      <c r="U51" s="31">
        <f>IFERROR(VLOOKUP(CONCATENATE(Tabla1[[#This Row],[Severidad]]," ",Tabla1[[#This Row],[Complejidad]]),Catalogos!E$120:G$128,3,FALSE),"")</f>
        <v>64</v>
      </c>
      <c r="V51" s="31" t="str">
        <f>IF(Tabla1[[#This Row],[Tiempo solución max (hrs)]]&lt;&gt;"",IF(Tabla1[[#This Row],[Tiempo solución max (hrs)]]&gt;=Tabla1[[#This Row],[Tiempo
(Hrs 00/100)]],"cumple","no cumple"),"")</f>
        <v>cumple</v>
      </c>
      <c r="W51" s="376" t="s">
        <v>374</v>
      </c>
      <c r="X51" s="377" t="str">
        <f t="shared" si="8"/>
        <v>SSI</v>
      </c>
      <c r="Y51" t="str">
        <f>SUBSTITUTE(Tabla1[[#This Row],[Descripción]],CHAR(10),"    I    ")</f>
        <v>Desarrollo del front-end de pizarras</v>
      </c>
      <c r="Z51" s="378">
        <f>VLOOKUP(Tabla1[[#This Row],[Perfil]],Catalogos!$B$75:$D$100,3,FALSE)*Tabla1[[#This Row],[Tiempo
(Hrs 00/100)]]*1.16</f>
        <v>6496</v>
      </c>
    </row>
    <row r="52" spans="1:26" ht="42.75" customHeight="1" x14ac:dyDescent="0.3">
      <c r="A52" s="370" t="s">
        <v>22</v>
      </c>
      <c r="B52" s="370" t="s">
        <v>62</v>
      </c>
      <c r="C52" s="205" t="s">
        <v>257</v>
      </c>
      <c r="D52" s="370"/>
      <c r="E52" s="370" t="s">
        <v>404</v>
      </c>
      <c r="F52" s="370" t="s">
        <v>73</v>
      </c>
      <c r="G52" s="370"/>
      <c r="H52" s="371" t="s">
        <v>405</v>
      </c>
      <c r="I52" s="383" t="s">
        <v>5379</v>
      </c>
      <c r="J52" s="369">
        <v>44957</v>
      </c>
      <c r="K52" s="747">
        <v>0.375</v>
      </c>
      <c r="L52" s="369">
        <v>44957</v>
      </c>
      <c r="M52" s="753">
        <v>0.79166666666666663</v>
      </c>
      <c r="N52" s="373">
        <v>8</v>
      </c>
      <c r="O52" s="374" t="s">
        <v>17</v>
      </c>
      <c r="P52" s="375" t="s">
        <v>407</v>
      </c>
      <c r="Q52" s="744" t="s">
        <v>295</v>
      </c>
      <c r="R52" s="202" t="s">
        <v>40</v>
      </c>
      <c r="S52" s="31" t="s">
        <v>273</v>
      </c>
      <c r="T52" s="31" t="s">
        <v>273</v>
      </c>
      <c r="U52" s="31">
        <f>IFERROR(VLOOKUP(CONCATENATE(Tabla1[[#This Row],[Severidad]]," ",Tabla1[[#This Row],[Complejidad]]),Catalogos!E$120:G$128,3,FALSE),"")</f>
        <v>64</v>
      </c>
      <c r="V52" s="31" t="str">
        <f>IF(Tabla1[[#This Row],[Tiempo solución max (hrs)]]&lt;&gt;"",IF(Tabla1[[#This Row],[Tiempo solución max (hrs)]]&gt;=Tabla1[[#This Row],[Tiempo
(Hrs 00/100)]],"cumple","no cumple"),"")</f>
        <v>cumple</v>
      </c>
      <c r="W52" s="376" t="s">
        <v>374</v>
      </c>
      <c r="X52" s="377" t="str">
        <f t="shared" ref="X52" si="9">IF(C52&lt;&gt;"",C52,D52)</f>
        <v>SSI</v>
      </c>
      <c r="Y52" t="str">
        <f>SUBSTITUTE(Tabla1[[#This Row],[Descripción]],CHAR(10),"    I    ")</f>
        <v>Desarrollo del front-end de pizarras</v>
      </c>
      <c r="Z52" s="378">
        <f>VLOOKUP(Tabla1[[#This Row],[Perfil]],Catalogos!$B$75:$D$100,3,FALSE)*Tabla1[[#This Row],[Tiempo
(Hrs 00/100)]]*1.16</f>
        <v>6496</v>
      </c>
    </row>
    <row r="53" spans="1:26" ht="42.75" customHeight="1" x14ac:dyDescent="0.3">
      <c r="A53" s="370" t="s">
        <v>22</v>
      </c>
      <c r="B53" s="370" t="s">
        <v>23</v>
      </c>
      <c r="C53" s="205" t="s">
        <v>257</v>
      </c>
      <c r="D53" s="370"/>
      <c r="E53" s="370" t="s">
        <v>408</v>
      </c>
      <c r="F53" s="370" t="s">
        <v>23</v>
      </c>
      <c r="G53" s="370"/>
      <c r="H53" s="371" t="s">
        <v>409</v>
      </c>
      <c r="I53" s="384" t="s">
        <v>410</v>
      </c>
      <c r="J53" s="369">
        <v>44928</v>
      </c>
      <c r="K53" s="747">
        <v>0.375</v>
      </c>
      <c r="L53" s="369">
        <v>44928</v>
      </c>
      <c r="M53" s="753">
        <v>0.79166666666666663</v>
      </c>
      <c r="N53" s="373">
        <v>8</v>
      </c>
      <c r="O53" s="374" t="s">
        <v>411</v>
      </c>
      <c r="P53" s="375" t="s">
        <v>412</v>
      </c>
      <c r="Q53" s="744" t="s">
        <v>294</v>
      </c>
      <c r="R53" s="202" t="s">
        <v>40</v>
      </c>
      <c r="S53" s="31" t="s">
        <v>273</v>
      </c>
      <c r="T53" s="31" t="s">
        <v>273</v>
      </c>
      <c r="U53" s="31">
        <f>IFERROR(VLOOKUP(CONCATENATE(Tabla1[[#This Row],[Severidad]]," ",Tabla1[[#This Row],[Complejidad]]),Catalogos!E$120:G$128,3,FALSE),"")</f>
        <v>64</v>
      </c>
      <c r="V53" s="31" t="str">
        <f>IF(Tabla1[[#This Row],[Tiempo solución max (hrs)]]&lt;&gt;"",IF(Tabla1[[#This Row],[Tiempo solución max (hrs)]]&gt;=Tabla1[[#This Row],[Tiempo
(Hrs 00/100)]],"cumple","no cumple"),"")</f>
        <v>cumple</v>
      </c>
      <c r="W53" s="376" t="s">
        <v>374</v>
      </c>
      <c r="X53" s="377" t="str">
        <f t="shared" si="0"/>
        <v>SSI</v>
      </c>
      <c r="Y53" t="str">
        <f>SUBSTITUTE(Tabla1[[#This Row],[Descripción]],CHAR(10),"    I    ")</f>
        <v>Descarga de codigo SISAI Back y configuracion de servidores para ambiente de desarrollo</v>
      </c>
      <c r="Z53" s="378">
        <f>VLOOKUP(Tabla1[[#This Row],[Perfil]],Catalogos!$B$75:$D$100,3,FALSE)*Tabla1[[#This Row],[Tiempo
(Hrs 00/100)]]*1.16</f>
        <v>6496</v>
      </c>
    </row>
    <row r="54" spans="1:26" ht="42.75" customHeight="1" x14ac:dyDescent="0.3">
      <c r="A54" s="370" t="s">
        <v>22</v>
      </c>
      <c r="B54" s="370" t="s">
        <v>23</v>
      </c>
      <c r="C54" s="205" t="s">
        <v>257</v>
      </c>
      <c r="D54" s="370"/>
      <c r="E54" s="370" t="s">
        <v>408</v>
      </c>
      <c r="F54" s="370" t="s">
        <v>23</v>
      </c>
      <c r="G54" s="370"/>
      <c r="H54" s="371" t="s">
        <v>409</v>
      </c>
      <c r="I54" s="384" t="s">
        <v>410</v>
      </c>
      <c r="J54" s="369">
        <v>44929</v>
      </c>
      <c r="K54" s="747">
        <v>0.375</v>
      </c>
      <c r="L54" s="369">
        <v>44929</v>
      </c>
      <c r="M54" s="753">
        <v>0.79166666666666663</v>
      </c>
      <c r="N54" s="373">
        <v>8</v>
      </c>
      <c r="O54" s="374" t="s">
        <v>17</v>
      </c>
      <c r="P54" s="375" t="s">
        <v>412</v>
      </c>
      <c r="Q54" s="744" t="s">
        <v>294</v>
      </c>
      <c r="R54" s="202" t="s">
        <v>40</v>
      </c>
      <c r="S54" s="31" t="s">
        <v>273</v>
      </c>
      <c r="T54" s="31" t="s">
        <v>273</v>
      </c>
      <c r="U54" s="31">
        <f>IFERROR(VLOOKUP(CONCATENATE(Tabla1[[#This Row],[Severidad]]," ",Tabla1[[#This Row],[Complejidad]]),Catalogos!E$120:G$128,3,FALSE),"")</f>
        <v>64</v>
      </c>
      <c r="V54" s="31" t="str">
        <f>IF(Tabla1[[#This Row],[Tiempo solución max (hrs)]]&lt;&gt;"",IF(Tabla1[[#This Row],[Tiempo solución max (hrs)]]&gt;=Tabla1[[#This Row],[Tiempo
(Hrs 00/100)]],"cumple","no cumple"),"")</f>
        <v>cumple</v>
      </c>
      <c r="W54" s="376" t="s">
        <v>374</v>
      </c>
      <c r="X54" s="377" t="str">
        <f t="shared" ref="X54" si="10">IF(C54&lt;&gt;"",C54,D54)</f>
        <v>SSI</v>
      </c>
      <c r="Y54" t="str">
        <f>SUBSTITUTE(Tabla1[[#This Row],[Descripción]],CHAR(10),"    I    ")</f>
        <v>Descarga de codigo SISAI Back y configuracion de servidores para ambiente de desarrollo</v>
      </c>
      <c r="Z54" s="378">
        <f>VLOOKUP(Tabla1[[#This Row],[Perfil]],Catalogos!$B$75:$D$100,3,FALSE)*Tabla1[[#This Row],[Tiempo
(Hrs 00/100)]]*1.16</f>
        <v>6496</v>
      </c>
    </row>
    <row r="55" spans="1:26" ht="42.75" customHeight="1" x14ac:dyDescent="0.3">
      <c r="A55" s="370" t="s">
        <v>22</v>
      </c>
      <c r="B55" s="370" t="s">
        <v>23</v>
      </c>
      <c r="C55" s="205" t="s">
        <v>257</v>
      </c>
      <c r="D55" s="370"/>
      <c r="E55" s="370" t="s">
        <v>408</v>
      </c>
      <c r="F55" s="370" t="s">
        <v>23</v>
      </c>
      <c r="G55" s="370"/>
      <c r="H55" s="371" t="s">
        <v>413</v>
      </c>
      <c r="I55" s="384" t="s">
        <v>414</v>
      </c>
      <c r="J55" s="369">
        <v>44930</v>
      </c>
      <c r="K55" s="747">
        <v>0.375</v>
      </c>
      <c r="L55" s="369">
        <v>44930</v>
      </c>
      <c r="M55" s="753">
        <v>0.79166666666666663</v>
      </c>
      <c r="N55" s="373">
        <v>8</v>
      </c>
      <c r="O55" s="374" t="s">
        <v>411</v>
      </c>
      <c r="P55" s="375" t="s">
        <v>412</v>
      </c>
      <c r="Q55" s="744" t="s">
        <v>294</v>
      </c>
      <c r="R55" s="202" t="s">
        <v>40</v>
      </c>
      <c r="S55" s="31" t="s">
        <v>273</v>
      </c>
      <c r="T55" s="31" t="s">
        <v>273</v>
      </c>
      <c r="U55" s="31">
        <f>IFERROR(VLOOKUP(CONCATENATE(Tabla1[[#This Row],[Severidad]]," ",Tabla1[[#This Row],[Complejidad]]),Catalogos!E$120:G$128,3,FALSE),"")</f>
        <v>64</v>
      </c>
      <c r="V55" s="31" t="str">
        <f>IF(Tabla1[[#This Row],[Tiempo solución max (hrs)]]&lt;&gt;"",IF(Tabla1[[#This Row],[Tiempo solución max (hrs)]]&gt;=Tabla1[[#This Row],[Tiempo
(Hrs 00/100)]],"cumple","no cumple"),"")</f>
        <v>cumple</v>
      </c>
      <c r="W55" s="376" t="s">
        <v>374</v>
      </c>
      <c r="X55" s="377" t="str">
        <f t="shared" si="0"/>
        <v>SSI</v>
      </c>
      <c r="Y55" t="str">
        <f>SUBSTITUTE(Tabla1[[#This Row],[Descripción]],CHAR(10),"    I    ")</f>
        <v>Servicio de modifiacion de turnado de solicitudes en para consumo de PNT - Nuevo</v>
      </c>
      <c r="Z55" s="378">
        <f>VLOOKUP(Tabla1[[#This Row],[Perfil]],Catalogos!$B$75:$D$100,3,FALSE)*Tabla1[[#This Row],[Tiempo
(Hrs 00/100)]]*1.16</f>
        <v>6496</v>
      </c>
    </row>
    <row r="56" spans="1:26" ht="42.75" customHeight="1" x14ac:dyDescent="0.3">
      <c r="A56" s="370" t="s">
        <v>22</v>
      </c>
      <c r="B56" s="370" t="s">
        <v>23</v>
      </c>
      <c r="C56" s="205" t="s">
        <v>257</v>
      </c>
      <c r="D56" s="370"/>
      <c r="E56" s="370" t="s">
        <v>408</v>
      </c>
      <c r="F56" s="370" t="s">
        <v>23</v>
      </c>
      <c r="G56" s="370"/>
      <c r="H56" s="371" t="s">
        <v>413</v>
      </c>
      <c r="I56" s="384" t="s">
        <v>414</v>
      </c>
      <c r="J56" s="369">
        <v>44931</v>
      </c>
      <c r="K56" s="747">
        <v>0.375</v>
      </c>
      <c r="L56" s="369">
        <v>44931</v>
      </c>
      <c r="M56" s="753">
        <v>0.79166666666666663</v>
      </c>
      <c r="N56" s="373">
        <v>8</v>
      </c>
      <c r="O56" s="374" t="s">
        <v>411</v>
      </c>
      <c r="P56" s="375" t="s">
        <v>412</v>
      </c>
      <c r="Q56" s="744" t="s">
        <v>294</v>
      </c>
      <c r="R56" s="202" t="s">
        <v>40</v>
      </c>
      <c r="S56" s="31" t="s">
        <v>273</v>
      </c>
      <c r="T56" s="31" t="s">
        <v>273</v>
      </c>
      <c r="U56" s="31">
        <f>IFERROR(VLOOKUP(CONCATENATE(Tabla1[[#This Row],[Severidad]]," ",Tabla1[[#This Row],[Complejidad]]),Catalogos!E$120:G$128,3,FALSE),"")</f>
        <v>64</v>
      </c>
      <c r="V56" s="31" t="str">
        <f>IF(Tabla1[[#This Row],[Tiempo solución max (hrs)]]&lt;&gt;"",IF(Tabla1[[#This Row],[Tiempo solución max (hrs)]]&gt;=Tabla1[[#This Row],[Tiempo
(Hrs 00/100)]],"cumple","no cumple"),"")</f>
        <v>cumple</v>
      </c>
      <c r="W56" s="376" t="s">
        <v>374</v>
      </c>
      <c r="X56" s="377" t="str">
        <f t="shared" ref="X56:X57" si="11">IF(C56&lt;&gt;"",C56,D56)</f>
        <v>SSI</v>
      </c>
      <c r="Y56" t="str">
        <f>SUBSTITUTE(Tabla1[[#This Row],[Descripción]],CHAR(10),"    I    ")</f>
        <v>Servicio de modifiacion de turnado de solicitudes en para consumo de PNT - Nuevo</v>
      </c>
      <c r="Z56" s="378">
        <f>VLOOKUP(Tabla1[[#This Row],[Perfil]],Catalogos!$B$75:$D$100,3,FALSE)*Tabla1[[#This Row],[Tiempo
(Hrs 00/100)]]*1.16</f>
        <v>6496</v>
      </c>
    </row>
    <row r="57" spans="1:26" ht="42.75" customHeight="1" x14ac:dyDescent="0.3">
      <c r="A57" s="370" t="s">
        <v>22</v>
      </c>
      <c r="B57" s="370" t="s">
        <v>23</v>
      </c>
      <c r="C57" s="205" t="s">
        <v>257</v>
      </c>
      <c r="D57" s="370"/>
      <c r="E57" s="370" t="s">
        <v>408</v>
      </c>
      <c r="F57" s="370" t="s">
        <v>23</v>
      </c>
      <c r="G57" s="370"/>
      <c r="H57" s="371" t="s">
        <v>413</v>
      </c>
      <c r="I57" s="384" t="s">
        <v>414</v>
      </c>
      <c r="J57" s="369">
        <v>44932</v>
      </c>
      <c r="K57" s="747">
        <v>0.375</v>
      </c>
      <c r="L57" s="369">
        <v>44932</v>
      </c>
      <c r="M57" s="753">
        <v>0.79166666666666663</v>
      </c>
      <c r="N57" s="373">
        <v>8</v>
      </c>
      <c r="O57" s="374" t="s">
        <v>17</v>
      </c>
      <c r="P57" s="375" t="s">
        <v>412</v>
      </c>
      <c r="Q57" s="744" t="s">
        <v>294</v>
      </c>
      <c r="R57" s="202" t="s">
        <v>40</v>
      </c>
      <c r="S57" s="31" t="s">
        <v>273</v>
      </c>
      <c r="T57" s="31" t="s">
        <v>273</v>
      </c>
      <c r="U57" s="31">
        <f>IFERROR(VLOOKUP(CONCATENATE(Tabla1[[#This Row],[Severidad]]," ",Tabla1[[#This Row],[Complejidad]]),Catalogos!E$120:G$128,3,FALSE),"")</f>
        <v>64</v>
      </c>
      <c r="V57" s="31" t="str">
        <f>IF(Tabla1[[#This Row],[Tiempo solución max (hrs)]]&lt;&gt;"",IF(Tabla1[[#This Row],[Tiempo solución max (hrs)]]&gt;=Tabla1[[#This Row],[Tiempo
(Hrs 00/100)]],"cumple","no cumple"),"")</f>
        <v>cumple</v>
      </c>
      <c r="W57" s="376" t="s">
        <v>374</v>
      </c>
      <c r="X57" s="377" t="str">
        <f t="shared" si="11"/>
        <v>SSI</v>
      </c>
      <c r="Y57" t="str">
        <f>SUBSTITUTE(Tabla1[[#This Row],[Descripción]],CHAR(10),"    I    ")</f>
        <v>Servicio de modifiacion de turnado de solicitudes en para consumo de PNT - Nuevo</v>
      </c>
      <c r="Z57" s="378">
        <f>VLOOKUP(Tabla1[[#This Row],[Perfil]],Catalogos!$B$75:$D$100,3,FALSE)*Tabla1[[#This Row],[Tiempo
(Hrs 00/100)]]*1.16</f>
        <v>6496</v>
      </c>
    </row>
    <row r="58" spans="1:26" ht="42.75" customHeight="1" x14ac:dyDescent="0.3">
      <c r="A58" s="370" t="s">
        <v>22</v>
      </c>
      <c r="B58" s="370" t="s">
        <v>23</v>
      </c>
      <c r="C58" s="205" t="s">
        <v>257</v>
      </c>
      <c r="D58" s="370"/>
      <c r="E58" s="370" t="s">
        <v>408</v>
      </c>
      <c r="F58" s="370" t="s">
        <v>23</v>
      </c>
      <c r="G58" s="370"/>
      <c r="H58" s="371" t="s">
        <v>415</v>
      </c>
      <c r="I58" s="384" t="s">
        <v>416</v>
      </c>
      <c r="J58" s="369">
        <v>44935</v>
      </c>
      <c r="K58" s="747">
        <v>0.375</v>
      </c>
      <c r="L58" s="369">
        <v>44935</v>
      </c>
      <c r="M58" s="753">
        <v>0.79166666666666663</v>
      </c>
      <c r="N58" s="373">
        <v>8</v>
      </c>
      <c r="O58" s="374" t="s">
        <v>411</v>
      </c>
      <c r="P58" s="375" t="s">
        <v>412</v>
      </c>
      <c r="Q58" s="744" t="s">
        <v>294</v>
      </c>
      <c r="R58" s="202" t="s">
        <v>40</v>
      </c>
      <c r="S58" s="31" t="s">
        <v>273</v>
      </c>
      <c r="T58" s="31" t="s">
        <v>273</v>
      </c>
      <c r="U58" s="31">
        <f>IFERROR(VLOOKUP(CONCATENATE(Tabla1[[#This Row],[Severidad]]," ",Tabla1[[#This Row],[Complejidad]]),Catalogos!E$120:G$128,3,FALSE),"")</f>
        <v>64</v>
      </c>
      <c r="V58" s="31" t="str">
        <f>IF(Tabla1[[#This Row],[Tiempo solución max (hrs)]]&lt;&gt;"",IF(Tabla1[[#This Row],[Tiempo solución max (hrs)]]&gt;=Tabla1[[#This Row],[Tiempo
(Hrs 00/100)]],"cumple","no cumple"),"")</f>
        <v>cumple</v>
      </c>
      <c r="W58" s="376" t="s">
        <v>374</v>
      </c>
      <c r="X58" s="377" t="str">
        <f t="shared" si="0"/>
        <v>SSI</v>
      </c>
      <c r="Y58" t="str">
        <f>SUBSTITUTE(Tabla1[[#This Row],[Descripción]],CHAR(10),"    I    ")</f>
        <v>Servicio de modifiacion de respuesta de solicitudes en para consumo de PNT - Nuevo</v>
      </c>
      <c r="Z58" s="378">
        <f>VLOOKUP(Tabla1[[#This Row],[Perfil]],Catalogos!$B$75:$D$100,3,FALSE)*Tabla1[[#This Row],[Tiempo
(Hrs 00/100)]]*1.16</f>
        <v>6496</v>
      </c>
    </row>
    <row r="59" spans="1:26" ht="42.75" customHeight="1" x14ac:dyDescent="0.3">
      <c r="A59" s="370" t="s">
        <v>22</v>
      </c>
      <c r="B59" s="370" t="s">
        <v>23</v>
      </c>
      <c r="C59" s="205" t="s">
        <v>257</v>
      </c>
      <c r="D59" s="370"/>
      <c r="E59" s="370" t="s">
        <v>408</v>
      </c>
      <c r="F59" s="370" t="s">
        <v>23</v>
      </c>
      <c r="G59" s="370"/>
      <c r="H59" s="371" t="s">
        <v>415</v>
      </c>
      <c r="I59" s="384" t="s">
        <v>416</v>
      </c>
      <c r="J59" s="369">
        <v>44936</v>
      </c>
      <c r="K59" s="747">
        <v>0.375</v>
      </c>
      <c r="L59" s="369">
        <v>44936</v>
      </c>
      <c r="M59" s="753">
        <v>0.79166666666666663</v>
      </c>
      <c r="N59" s="373">
        <v>8</v>
      </c>
      <c r="O59" s="374" t="s">
        <v>411</v>
      </c>
      <c r="P59" s="375" t="s">
        <v>412</v>
      </c>
      <c r="Q59" s="744" t="s">
        <v>294</v>
      </c>
      <c r="R59" s="202" t="s">
        <v>40</v>
      </c>
      <c r="S59" s="31" t="s">
        <v>273</v>
      </c>
      <c r="T59" s="31" t="s">
        <v>273</v>
      </c>
      <c r="U59" s="31">
        <f>IFERROR(VLOOKUP(CONCATENATE(Tabla1[[#This Row],[Severidad]]," ",Tabla1[[#This Row],[Complejidad]]),Catalogos!E$120:G$128,3,FALSE),"")</f>
        <v>64</v>
      </c>
      <c r="V59" s="31" t="str">
        <f>IF(Tabla1[[#This Row],[Tiempo solución max (hrs)]]&lt;&gt;"",IF(Tabla1[[#This Row],[Tiempo solución max (hrs)]]&gt;=Tabla1[[#This Row],[Tiempo
(Hrs 00/100)]],"cumple","no cumple"),"")</f>
        <v>cumple</v>
      </c>
      <c r="W59" s="376" t="s">
        <v>374</v>
      </c>
      <c r="X59" s="377" t="str">
        <f t="shared" ref="X59:X60" si="12">IF(C59&lt;&gt;"",C59,D59)</f>
        <v>SSI</v>
      </c>
      <c r="Y59" t="str">
        <f>SUBSTITUTE(Tabla1[[#This Row],[Descripción]],CHAR(10),"    I    ")</f>
        <v>Servicio de modifiacion de respuesta de solicitudes en para consumo de PNT - Nuevo</v>
      </c>
      <c r="Z59" s="378">
        <f>VLOOKUP(Tabla1[[#This Row],[Perfil]],Catalogos!$B$75:$D$100,3,FALSE)*Tabla1[[#This Row],[Tiempo
(Hrs 00/100)]]*1.16</f>
        <v>6496</v>
      </c>
    </row>
    <row r="60" spans="1:26" ht="42.75" customHeight="1" x14ac:dyDescent="0.3">
      <c r="A60" s="370" t="s">
        <v>22</v>
      </c>
      <c r="B60" s="370" t="s">
        <v>23</v>
      </c>
      <c r="C60" s="205" t="s">
        <v>257</v>
      </c>
      <c r="D60" s="370"/>
      <c r="E60" s="370" t="s">
        <v>408</v>
      </c>
      <c r="F60" s="370" t="s">
        <v>23</v>
      </c>
      <c r="G60" s="370"/>
      <c r="H60" s="371" t="s">
        <v>415</v>
      </c>
      <c r="I60" s="384" t="s">
        <v>416</v>
      </c>
      <c r="J60" s="369">
        <v>44937</v>
      </c>
      <c r="K60" s="747">
        <v>0.375</v>
      </c>
      <c r="L60" s="369">
        <v>44937</v>
      </c>
      <c r="M60" s="753">
        <v>0.79166666666666663</v>
      </c>
      <c r="N60" s="373">
        <v>8</v>
      </c>
      <c r="O60" s="374" t="s">
        <v>17</v>
      </c>
      <c r="P60" s="375" t="s">
        <v>412</v>
      </c>
      <c r="Q60" s="744" t="s">
        <v>294</v>
      </c>
      <c r="R60" s="202" t="s">
        <v>40</v>
      </c>
      <c r="S60" s="31" t="s">
        <v>273</v>
      </c>
      <c r="T60" s="31" t="s">
        <v>273</v>
      </c>
      <c r="U60" s="31">
        <f>IFERROR(VLOOKUP(CONCATENATE(Tabla1[[#This Row],[Severidad]]," ",Tabla1[[#This Row],[Complejidad]]),Catalogos!E$120:G$128,3,FALSE),"")</f>
        <v>64</v>
      </c>
      <c r="V60" s="31" t="str">
        <f>IF(Tabla1[[#This Row],[Tiempo solución max (hrs)]]&lt;&gt;"",IF(Tabla1[[#This Row],[Tiempo solución max (hrs)]]&gt;=Tabla1[[#This Row],[Tiempo
(Hrs 00/100)]],"cumple","no cumple"),"")</f>
        <v>cumple</v>
      </c>
      <c r="W60" s="376" t="s">
        <v>374</v>
      </c>
      <c r="X60" s="377" t="str">
        <f t="shared" si="12"/>
        <v>SSI</v>
      </c>
      <c r="Y60" t="str">
        <f>SUBSTITUTE(Tabla1[[#This Row],[Descripción]],CHAR(10),"    I    ")</f>
        <v>Servicio de modifiacion de respuesta de solicitudes en para consumo de PNT - Nuevo</v>
      </c>
      <c r="Z60" s="378">
        <f>VLOOKUP(Tabla1[[#This Row],[Perfil]],Catalogos!$B$75:$D$100,3,FALSE)*Tabla1[[#This Row],[Tiempo
(Hrs 00/100)]]*1.16</f>
        <v>6496</v>
      </c>
    </row>
    <row r="61" spans="1:26" ht="42.75" customHeight="1" x14ac:dyDescent="0.3">
      <c r="A61" s="370" t="s">
        <v>22</v>
      </c>
      <c r="B61" s="370" t="s">
        <v>23</v>
      </c>
      <c r="C61" s="205" t="s">
        <v>257</v>
      </c>
      <c r="D61" s="382"/>
      <c r="E61" s="370" t="s">
        <v>408</v>
      </c>
      <c r="F61" s="370" t="s">
        <v>23</v>
      </c>
      <c r="G61" s="370"/>
      <c r="H61" s="371" t="s">
        <v>417</v>
      </c>
      <c r="I61" s="384" t="s">
        <v>418</v>
      </c>
      <c r="J61" s="369">
        <v>44938</v>
      </c>
      <c r="K61" s="747">
        <v>0.375</v>
      </c>
      <c r="L61" s="369">
        <v>44938</v>
      </c>
      <c r="M61" s="753">
        <v>0.79166666666666663</v>
      </c>
      <c r="N61" s="373">
        <v>8</v>
      </c>
      <c r="O61" s="374" t="s">
        <v>406</v>
      </c>
      <c r="P61" s="375" t="s">
        <v>412</v>
      </c>
      <c r="Q61" s="744" t="s">
        <v>294</v>
      </c>
      <c r="R61" s="202" t="s">
        <v>40</v>
      </c>
      <c r="S61" s="31" t="s">
        <v>273</v>
      </c>
      <c r="T61" s="31" t="s">
        <v>273</v>
      </c>
      <c r="U61" s="31">
        <f>IFERROR(VLOOKUP(CONCATENATE(Tabla1[[#This Row],[Severidad]]," ",Tabla1[[#This Row],[Complejidad]]),Catalogos!E$120:G$128,3,FALSE),"")</f>
        <v>64</v>
      </c>
      <c r="V61" s="31" t="str">
        <f>IF(Tabla1[[#This Row],[Tiempo solución max (hrs)]]&lt;&gt;"",IF(Tabla1[[#This Row],[Tiempo solución max (hrs)]]&gt;=Tabla1[[#This Row],[Tiempo
(Hrs 00/100)]],"cumple","no cumple"),"")</f>
        <v>cumple</v>
      </c>
      <c r="W61" s="376" t="s">
        <v>374</v>
      </c>
      <c r="X61" s="377" t="str">
        <f t="shared" si="0"/>
        <v>SSI</v>
      </c>
      <c r="Y61" t="str">
        <f>SUBSTITUTE(Tabla1[[#This Row],[Descripción]],CHAR(10),"    I    ")</f>
        <v>Servicio para la sustitución de respuestas, para consumo en PNT - Nuevo</v>
      </c>
      <c r="Z61" s="378">
        <f>VLOOKUP(Tabla1[[#This Row],[Perfil]],Catalogos!$B$75:$D$100,3,FALSE)*Tabla1[[#This Row],[Tiempo
(Hrs 00/100)]]*1.16</f>
        <v>6496</v>
      </c>
    </row>
    <row r="62" spans="1:26" ht="42.75" customHeight="1" x14ac:dyDescent="0.3">
      <c r="A62" s="370" t="s">
        <v>22</v>
      </c>
      <c r="B62" s="370" t="s">
        <v>23</v>
      </c>
      <c r="C62" s="205" t="s">
        <v>257</v>
      </c>
      <c r="D62" s="382"/>
      <c r="E62" s="370" t="s">
        <v>408</v>
      </c>
      <c r="F62" s="370" t="s">
        <v>23</v>
      </c>
      <c r="G62" s="370"/>
      <c r="H62" s="371" t="s">
        <v>417</v>
      </c>
      <c r="I62" s="384" t="s">
        <v>418</v>
      </c>
      <c r="J62" s="369">
        <v>44939</v>
      </c>
      <c r="K62" s="747">
        <v>0.375</v>
      </c>
      <c r="L62" s="369">
        <v>44939</v>
      </c>
      <c r="M62" s="753">
        <v>0.79166666666666663</v>
      </c>
      <c r="N62" s="373">
        <v>8</v>
      </c>
      <c r="O62" s="374" t="s">
        <v>406</v>
      </c>
      <c r="P62" s="375" t="s">
        <v>412</v>
      </c>
      <c r="Q62" s="744" t="s">
        <v>294</v>
      </c>
      <c r="R62" s="202" t="s">
        <v>40</v>
      </c>
      <c r="S62" s="31" t="s">
        <v>273</v>
      </c>
      <c r="T62" s="31" t="s">
        <v>273</v>
      </c>
      <c r="U62" s="31">
        <f>IFERROR(VLOOKUP(CONCATENATE(Tabla1[[#This Row],[Severidad]]," ",Tabla1[[#This Row],[Complejidad]]),Catalogos!E$120:G$128,3,FALSE),"")</f>
        <v>64</v>
      </c>
      <c r="V62" s="31" t="str">
        <f>IF(Tabla1[[#This Row],[Tiempo solución max (hrs)]]&lt;&gt;"",IF(Tabla1[[#This Row],[Tiempo solución max (hrs)]]&gt;=Tabla1[[#This Row],[Tiempo
(Hrs 00/100)]],"cumple","no cumple"),"")</f>
        <v>cumple</v>
      </c>
      <c r="W62" s="376" t="s">
        <v>374</v>
      </c>
      <c r="X62" s="377" t="str">
        <f t="shared" ref="X62:X64" si="13">IF(C62&lt;&gt;"",C62,D62)</f>
        <v>SSI</v>
      </c>
      <c r="Y62" t="str">
        <f>SUBSTITUTE(Tabla1[[#This Row],[Descripción]],CHAR(10),"    I    ")</f>
        <v>Servicio para la sustitución de respuestas, para consumo en PNT - Nuevo</v>
      </c>
      <c r="Z62" s="378">
        <f>VLOOKUP(Tabla1[[#This Row],[Perfil]],Catalogos!$B$75:$D$100,3,FALSE)*Tabla1[[#This Row],[Tiempo
(Hrs 00/100)]]*1.16</f>
        <v>6496</v>
      </c>
    </row>
    <row r="63" spans="1:26" ht="42.75" customHeight="1" x14ac:dyDescent="0.3">
      <c r="A63" s="370" t="s">
        <v>22</v>
      </c>
      <c r="B63" s="370" t="s">
        <v>23</v>
      </c>
      <c r="C63" s="205" t="s">
        <v>257</v>
      </c>
      <c r="D63" s="382"/>
      <c r="E63" s="370" t="s">
        <v>408</v>
      </c>
      <c r="F63" s="370" t="s">
        <v>23</v>
      </c>
      <c r="G63" s="370"/>
      <c r="H63" s="371" t="s">
        <v>417</v>
      </c>
      <c r="I63" s="384" t="s">
        <v>418</v>
      </c>
      <c r="J63" s="369">
        <v>44942</v>
      </c>
      <c r="K63" s="747">
        <v>0.375</v>
      </c>
      <c r="L63" s="369">
        <v>44942</v>
      </c>
      <c r="M63" s="753">
        <v>0.79166666666666663</v>
      </c>
      <c r="N63" s="373">
        <v>8</v>
      </c>
      <c r="O63" s="374" t="s">
        <v>406</v>
      </c>
      <c r="P63" s="375" t="s">
        <v>412</v>
      </c>
      <c r="Q63" s="744" t="s">
        <v>294</v>
      </c>
      <c r="R63" s="202" t="s">
        <v>40</v>
      </c>
      <c r="S63" s="31" t="s">
        <v>273</v>
      </c>
      <c r="T63" s="31" t="s">
        <v>273</v>
      </c>
      <c r="U63" s="31">
        <f>IFERROR(VLOOKUP(CONCATENATE(Tabla1[[#This Row],[Severidad]]," ",Tabla1[[#This Row],[Complejidad]]),Catalogos!E$120:G$128,3,FALSE),"")</f>
        <v>64</v>
      </c>
      <c r="V63" s="31" t="str">
        <f>IF(Tabla1[[#This Row],[Tiempo solución max (hrs)]]&lt;&gt;"",IF(Tabla1[[#This Row],[Tiempo solución max (hrs)]]&gt;=Tabla1[[#This Row],[Tiempo
(Hrs 00/100)]],"cumple","no cumple"),"")</f>
        <v>cumple</v>
      </c>
      <c r="W63" s="376" t="s">
        <v>374</v>
      </c>
      <c r="X63" s="377" t="str">
        <f t="shared" si="13"/>
        <v>SSI</v>
      </c>
      <c r="Y63" t="str">
        <f>SUBSTITUTE(Tabla1[[#This Row],[Descripción]],CHAR(10),"    I    ")</f>
        <v>Servicio para la sustitución de respuestas, para consumo en PNT - Nuevo</v>
      </c>
      <c r="Z63" s="378">
        <f>VLOOKUP(Tabla1[[#This Row],[Perfil]],Catalogos!$B$75:$D$100,3,FALSE)*Tabla1[[#This Row],[Tiempo
(Hrs 00/100)]]*1.16</f>
        <v>6496</v>
      </c>
    </row>
    <row r="64" spans="1:26" ht="42.75" customHeight="1" x14ac:dyDescent="0.3">
      <c r="A64" s="370" t="s">
        <v>22</v>
      </c>
      <c r="B64" s="370" t="s">
        <v>23</v>
      </c>
      <c r="C64" s="205" t="s">
        <v>257</v>
      </c>
      <c r="D64" s="382"/>
      <c r="E64" s="370" t="s">
        <v>408</v>
      </c>
      <c r="F64" s="370" t="s">
        <v>23</v>
      </c>
      <c r="G64" s="370"/>
      <c r="H64" s="371" t="s">
        <v>417</v>
      </c>
      <c r="I64" s="384" t="s">
        <v>418</v>
      </c>
      <c r="J64" s="369">
        <v>44943</v>
      </c>
      <c r="K64" s="747">
        <v>0.375</v>
      </c>
      <c r="L64" s="369">
        <v>44943</v>
      </c>
      <c r="M64" s="753">
        <v>0.79166666666666663</v>
      </c>
      <c r="N64" s="373">
        <v>8</v>
      </c>
      <c r="O64" s="374" t="s">
        <v>406</v>
      </c>
      <c r="P64" s="375" t="s">
        <v>412</v>
      </c>
      <c r="Q64" s="744" t="s">
        <v>294</v>
      </c>
      <c r="R64" s="202" t="s">
        <v>40</v>
      </c>
      <c r="S64" s="31" t="s">
        <v>273</v>
      </c>
      <c r="T64" s="31" t="s">
        <v>273</v>
      </c>
      <c r="U64" s="31">
        <f>IFERROR(VLOOKUP(CONCATENATE(Tabla1[[#This Row],[Severidad]]," ",Tabla1[[#This Row],[Complejidad]]),Catalogos!E$120:G$128,3,FALSE),"")</f>
        <v>64</v>
      </c>
      <c r="V64" s="31" t="str">
        <f>IF(Tabla1[[#This Row],[Tiempo solución max (hrs)]]&lt;&gt;"",IF(Tabla1[[#This Row],[Tiempo solución max (hrs)]]&gt;=Tabla1[[#This Row],[Tiempo
(Hrs 00/100)]],"cumple","no cumple"),"")</f>
        <v>cumple</v>
      </c>
      <c r="W64" s="376" t="s">
        <v>374</v>
      </c>
      <c r="X64" s="377" t="str">
        <f t="shared" si="13"/>
        <v>SSI</v>
      </c>
      <c r="Y64" t="str">
        <f>SUBSTITUTE(Tabla1[[#This Row],[Descripción]],CHAR(10),"    I    ")</f>
        <v>Servicio para la sustitución de respuestas, para consumo en PNT - Nuevo</v>
      </c>
      <c r="Z64" s="378">
        <f>VLOOKUP(Tabla1[[#This Row],[Perfil]],Catalogos!$B$75:$D$100,3,FALSE)*Tabla1[[#This Row],[Tiempo
(Hrs 00/100)]]*1.16</f>
        <v>6496</v>
      </c>
    </row>
    <row r="65" spans="1:27" ht="42.75" customHeight="1" x14ac:dyDescent="0.3">
      <c r="A65" s="370" t="s">
        <v>22</v>
      </c>
      <c r="B65" s="370" t="s">
        <v>23</v>
      </c>
      <c r="C65" s="205" t="s">
        <v>257</v>
      </c>
      <c r="D65" s="382"/>
      <c r="E65" s="370" t="s">
        <v>408</v>
      </c>
      <c r="F65" s="370" t="s">
        <v>23</v>
      </c>
      <c r="G65" s="370"/>
      <c r="H65" s="371" t="s">
        <v>417</v>
      </c>
      <c r="I65" s="384" t="s">
        <v>418</v>
      </c>
      <c r="J65" s="369">
        <v>44944</v>
      </c>
      <c r="K65" s="747">
        <v>0.375</v>
      </c>
      <c r="L65" s="369">
        <v>44944</v>
      </c>
      <c r="M65" s="753">
        <v>0.54166666666666663</v>
      </c>
      <c r="N65" s="373">
        <v>4</v>
      </c>
      <c r="O65" s="374" t="s">
        <v>17</v>
      </c>
      <c r="P65" s="375" t="s">
        <v>412</v>
      </c>
      <c r="Q65" s="744" t="s">
        <v>294</v>
      </c>
      <c r="R65" s="202" t="s">
        <v>40</v>
      </c>
      <c r="S65" s="31" t="s">
        <v>273</v>
      </c>
      <c r="T65" s="31" t="s">
        <v>273</v>
      </c>
      <c r="U65" s="31">
        <f>IFERROR(VLOOKUP(CONCATENATE(Tabla1[[#This Row],[Severidad]]," ",Tabla1[[#This Row],[Complejidad]]),Catalogos!E$120:G$128,3,FALSE),"")</f>
        <v>64</v>
      </c>
      <c r="V65" s="31" t="str">
        <f>IF(Tabla1[[#This Row],[Tiempo solución max (hrs)]]&lt;&gt;"",IF(Tabla1[[#This Row],[Tiempo solución max (hrs)]]&gt;=Tabla1[[#This Row],[Tiempo
(Hrs 00/100)]],"cumple","no cumple"),"")</f>
        <v>cumple</v>
      </c>
      <c r="W65" s="376" t="s">
        <v>374</v>
      </c>
      <c r="X65" s="377" t="str">
        <f t="shared" ref="X65:X66" si="14">IF(C65&lt;&gt;"",C65,D65)</f>
        <v>SSI</v>
      </c>
      <c r="Y65" t="str">
        <f>SUBSTITUTE(Tabla1[[#This Row],[Descripción]],CHAR(10),"    I    ")</f>
        <v>Servicio para la sustitución de respuestas, para consumo en PNT - Nuevo</v>
      </c>
      <c r="Z65" s="378">
        <f>VLOOKUP(Tabla1[[#This Row],[Perfil]],Catalogos!$B$75:$D$100,3,FALSE)*Tabla1[[#This Row],[Tiempo
(Hrs 00/100)]]*1.16</f>
        <v>3248</v>
      </c>
    </row>
    <row r="66" spans="1:27" ht="42.75" customHeight="1" x14ac:dyDescent="0.3">
      <c r="A66" s="370" t="s">
        <v>22</v>
      </c>
      <c r="B66" s="370" t="s">
        <v>23</v>
      </c>
      <c r="C66" s="205" t="s">
        <v>257</v>
      </c>
      <c r="D66" s="382"/>
      <c r="E66" s="370" t="s">
        <v>408</v>
      </c>
      <c r="F66" s="370" t="s">
        <v>23</v>
      </c>
      <c r="G66" s="370"/>
      <c r="H66" s="371" t="s">
        <v>419</v>
      </c>
      <c r="I66" s="384" t="s">
        <v>420</v>
      </c>
      <c r="J66" s="369">
        <v>44944</v>
      </c>
      <c r="K66" s="753">
        <v>0.54166666666666663</v>
      </c>
      <c r="L66" s="369">
        <v>44944</v>
      </c>
      <c r="M66" s="753">
        <v>0.79166666666666663</v>
      </c>
      <c r="N66" s="210">
        <v>4</v>
      </c>
      <c r="O66" s="374" t="s">
        <v>406</v>
      </c>
      <c r="P66" s="375" t="s">
        <v>412</v>
      </c>
      <c r="Q66" s="744" t="s">
        <v>294</v>
      </c>
      <c r="R66" s="202" t="s">
        <v>40</v>
      </c>
      <c r="S66" s="31" t="s">
        <v>273</v>
      </c>
      <c r="T66" s="31" t="s">
        <v>273</v>
      </c>
      <c r="U66" s="31">
        <f>IFERROR(VLOOKUP(CONCATENATE(Tabla1[[#This Row],[Severidad]]," ",Tabla1[[#This Row],[Complejidad]]),Catalogos!E$120:G$128,3,FALSE),"")</f>
        <v>64</v>
      </c>
      <c r="V66" s="31" t="str">
        <f>IF(Tabla1[[#This Row],[Tiempo solución max (hrs)]]&lt;&gt;"",IF(Tabla1[[#This Row],[Tiempo solución max (hrs)]]&gt;=Tabla1[[#This Row],[Tiempo
(Hrs 00/100)]],"cumple","no cumple"),"")</f>
        <v>cumple</v>
      </c>
      <c r="W66" s="376" t="s">
        <v>374</v>
      </c>
      <c r="X66" s="377" t="str">
        <f t="shared" si="14"/>
        <v>SSI</v>
      </c>
      <c r="Y66" t="str">
        <f>SUBSTITUTE(Tabla1[[#This Row],[Descripción]],CHAR(10),"    I    ")</f>
        <v>Adecuación de bitácoras de soporte para nuevas funcionalidades registradas</v>
      </c>
      <c r="Z66" s="378">
        <f>VLOOKUP(Tabla1[[#This Row],[Perfil]],Catalogos!$B$75:$D$100,3,FALSE)*Tabla1[[#This Row],[Tiempo
(Hrs 00/100)]]*1.16</f>
        <v>3248</v>
      </c>
    </row>
    <row r="67" spans="1:27" ht="42.75" customHeight="1" x14ac:dyDescent="0.3">
      <c r="A67" s="370" t="s">
        <v>22</v>
      </c>
      <c r="B67" s="370" t="s">
        <v>23</v>
      </c>
      <c r="C67" s="205" t="s">
        <v>257</v>
      </c>
      <c r="D67" s="382"/>
      <c r="E67" s="370" t="s">
        <v>408</v>
      </c>
      <c r="F67" s="370" t="s">
        <v>23</v>
      </c>
      <c r="G67" s="370"/>
      <c r="H67" s="371" t="s">
        <v>419</v>
      </c>
      <c r="I67" s="384" t="s">
        <v>420</v>
      </c>
      <c r="J67" s="369">
        <v>44945</v>
      </c>
      <c r="K67" s="747">
        <v>0.375</v>
      </c>
      <c r="L67" s="369">
        <v>44945</v>
      </c>
      <c r="M67" s="753">
        <v>0.79166666666666663</v>
      </c>
      <c r="N67" s="210">
        <v>8</v>
      </c>
      <c r="O67" s="374" t="s">
        <v>406</v>
      </c>
      <c r="P67" s="375" t="s">
        <v>412</v>
      </c>
      <c r="Q67" s="744" t="s">
        <v>294</v>
      </c>
      <c r="R67" s="202" t="s">
        <v>40</v>
      </c>
      <c r="S67" s="31" t="s">
        <v>273</v>
      </c>
      <c r="T67" s="31" t="s">
        <v>273</v>
      </c>
      <c r="U67" s="31">
        <f>IFERROR(VLOOKUP(CONCATENATE(Tabla1[[#This Row],[Severidad]]," ",Tabla1[[#This Row],[Complejidad]]),Catalogos!E$120:G$128,3,FALSE),"")</f>
        <v>64</v>
      </c>
      <c r="V67" s="31" t="str">
        <f>IF(Tabla1[[#This Row],[Tiempo solución max (hrs)]]&lt;&gt;"",IF(Tabla1[[#This Row],[Tiempo solución max (hrs)]]&gt;=Tabla1[[#This Row],[Tiempo
(Hrs 00/100)]],"cumple","no cumple"),"")</f>
        <v>cumple</v>
      </c>
      <c r="W67" s="376" t="s">
        <v>374</v>
      </c>
      <c r="X67" s="377" t="str">
        <f t="shared" si="0"/>
        <v>SSI</v>
      </c>
      <c r="Y67" t="str">
        <f>SUBSTITUTE(Tabla1[[#This Row],[Descripción]],CHAR(10),"    I    ")</f>
        <v>Adecuación de bitácoras de soporte para nuevas funcionalidades registradas</v>
      </c>
      <c r="Z67" s="378">
        <f>VLOOKUP(Tabla1[[#This Row],[Perfil]],Catalogos!$B$75:$D$100,3,FALSE)*Tabla1[[#This Row],[Tiempo
(Hrs 00/100)]]*1.16</f>
        <v>6496</v>
      </c>
    </row>
    <row r="68" spans="1:27" ht="42.75" customHeight="1" x14ac:dyDescent="0.3">
      <c r="A68" s="370" t="s">
        <v>22</v>
      </c>
      <c r="B68" s="370" t="s">
        <v>23</v>
      </c>
      <c r="C68" s="205" t="s">
        <v>257</v>
      </c>
      <c r="D68" s="382"/>
      <c r="E68" s="370" t="s">
        <v>408</v>
      </c>
      <c r="F68" s="370" t="s">
        <v>23</v>
      </c>
      <c r="G68" s="370"/>
      <c r="H68" s="371" t="s">
        <v>419</v>
      </c>
      <c r="I68" s="384" t="s">
        <v>420</v>
      </c>
      <c r="J68" s="369">
        <v>44946</v>
      </c>
      <c r="K68" s="747">
        <v>0.375</v>
      </c>
      <c r="L68" s="369">
        <v>44946</v>
      </c>
      <c r="M68" s="753">
        <v>0.79166666666666663</v>
      </c>
      <c r="N68" s="210">
        <v>8</v>
      </c>
      <c r="O68" s="374" t="s">
        <v>17</v>
      </c>
      <c r="P68" s="375" t="s">
        <v>412</v>
      </c>
      <c r="Q68" s="744" t="s">
        <v>294</v>
      </c>
      <c r="R68" s="202" t="s">
        <v>40</v>
      </c>
      <c r="S68" s="31" t="s">
        <v>273</v>
      </c>
      <c r="T68" s="31" t="s">
        <v>273</v>
      </c>
      <c r="U68" s="31">
        <f>IFERROR(VLOOKUP(CONCATENATE(Tabla1[[#This Row],[Severidad]]," ",Tabla1[[#This Row],[Complejidad]]),Catalogos!E$120:G$128,3,FALSE),"")</f>
        <v>64</v>
      </c>
      <c r="V68" s="31" t="str">
        <f>IF(Tabla1[[#This Row],[Tiempo solución max (hrs)]]&lt;&gt;"",IF(Tabla1[[#This Row],[Tiempo solución max (hrs)]]&gt;=Tabla1[[#This Row],[Tiempo
(Hrs 00/100)]],"cumple","no cumple"),"")</f>
        <v>cumple</v>
      </c>
      <c r="W68" s="376" t="s">
        <v>374</v>
      </c>
      <c r="X68" s="377" t="str">
        <f t="shared" ref="X68" si="15">IF(C68&lt;&gt;"",C68,D68)</f>
        <v>SSI</v>
      </c>
      <c r="Y68" t="str">
        <f>SUBSTITUTE(Tabla1[[#This Row],[Descripción]],CHAR(10),"    I    ")</f>
        <v>Adecuación de bitácoras de soporte para nuevas funcionalidades registradas</v>
      </c>
      <c r="Z68" s="378">
        <f>VLOOKUP(Tabla1[[#This Row],[Perfil]],Catalogos!$B$75:$D$100,3,FALSE)*Tabla1[[#This Row],[Tiempo
(Hrs 00/100)]]*1.16</f>
        <v>6496</v>
      </c>
    </row>
    <row r="69" spans="1:27" ht="42.75" customHeight="1" x14ac:dyDescent="0.3">
      <c r="A69" s="370" t="s">
        <v>22</v>
      </c>
      <c r="B69" s="370" t="s">
        <v>23</v>
      </c>
      <c r="C69" s="205" t="s">
        <v>257</v>
      </c>
      <c r="D69" s="370"/>
      <c r="E69" s="370" t="s">
        <v>404</v>
      </c>
      <c r="F69" s="370" t="s">
        <v>23</v>
      </c>
      <c r="G69" s="370"/>
      <c r="H69" s="243" t="s">
        <v>421</v>
      </c>
      <c r="I69" s="384" t="s">
        <v>422</v>
      </c>
      <c r="J69" s="369">
        <v>44949</v>
      </c>
      <c r="K69" s="747">
        <v>0.375</v>
      </c>
      <c r="L69" s="369">
        <v>44949</v>
      </c>
      <c r="M69" s="753">
        <v>0.79166666666666663</v>
      </c>
      <c r="N69" s="373">
        <v>8</v>
      </c>
      <c r="O69" s="374" t="s">
        <v>17</v>
      </c>
      <c r="P69" s="375" t="s">
        <v>423</v>
      </c>
      <c r="Q69" s="744" t="s">
        <v>294</v>
      </c>
      <c r="R69" s="202" t="s">
        <v>40</v>
      </c>
      <c r="S69" s="31" t="s">
        <v>273</v>
      </c>
      <c r="T69" s="31" t="s">
        <v>273</v>
      </c>
      <c r="U69" s="31">
        <f>IFERROR(VLOOKUP(CONCATENATE(Tabla1[[#This Row],[Severidad]]," ",Tabla1[[#This Row],[Complejidad]]),Catalogos!E$120:G$128,3,FALSE),"")</f>
        <v>64</v>
      </c>
      <c r="V69" s="31" t="str">
        <f>IF(Tabla1[[#This Row],[Tiempo solución max (hrs)]]&lt;&gt;"",IF(Tabla1[[#This Row],[Tiempo solución max (hrs)]]&gt;=Tabla1[[#This Row],[Tiempo
(Hrs 00/100)]],"cumple","no cumple"),"")</f>
        <v>cumple</v>
      </c>
      <c r="W69" s="376" t="s">
        <v>374</v>
      </c>
      <c r="X69" s="377" t="str">
        <f t="shared" si="0"/>
        <v>SSI</v>
      </c>
      <c r="Y69" t="str">
        <f>SUBSTITUTE(Tabla1[[#This Row],[Descripción]],CHAR(10),"    I    ")</f>
        <v xml:space="preserve">Descarga de código pizarras Back y análisis de ambiente para desarrollo </v>
      </c>
      <c r="Z69" s="378">
        <f>VLOOKUP(Tabla1[[#This Row],[Perfil]],Catalogos!$B$75:$D$100,3,FALSE)*Tabla1[[#This Row],[Tiempo
(Hrs 00/100)]]*1.16</f>
        <v>6496</v>
      </c>
    </row>
    <row r="70" spans="1:27" ht="42.75" customHeight="1" x14ac:dyDescent="0.3">
      <c r="A70" s="370" t="s">
        <v>22</v>
      </c>
      <c r="B70" s="370" t="s">
        <v>23</v>
      </c>
      <c r="C70" s="205" t="s">
        <v>257</v>
      </c>
      <c r="D70" s="370"/>
      <c r="E70" s="370" t="s">
        <v>404</v>
      </c>
      <c r="F70" s="370" t="s">
        <v>23</v>
      </c>
      <c r="G70" s="370"/>
      <c r="H70" s="371" t="s">
        <v>424</v>
      </c>
      <c r="I70" s="384" t="s">
        <v>425</v>
      </c>
      <c r="J70" s="369">
        <v>44950</v>
      </c>
      <c r="K70" s="747">
        <v>0.375</v>
      </c>
      <c r="L70" s="369">
        <v>44950</v>
      </c>
      <c r="M70" s="753">
        <v>0.79166666666666663</v>
      </c>
      <c r="N70" s="373">
        <v>8</v>
      </c>
      <c r="O70" s="374" t="s">
        <v>406</v>
      </c>
      <c r="P70" s="375" t="s">
        <v>423</v>
      </c>
      <c r="Q70" s="744" t="s">
        <v>294</v>
      </c>
      <c r="R70" s="202" t="s">
        <v>40</v>
      </c>
      <c r="S70" s="31" t="s">
        <v>273</v>
      </c>
      <c r="T70" s="31" t="s">
        <v>273</v>
      </c>
      <c r="U70" s="31">
        <f>IFERROR(VLOOKUP(CONCATENATE(Tabla1[[#This Row],[Severidad]]," ",Tabla1[[#This Row],[Complejidad]]),Catalogos!E$120:G$128,3,FALSE),"")</f>
        <v>64</v>
      </c>
      <c r="V70" s="31" t="str">
        <f>IF(Tabla1[[#This Row],[Tiempo solución max (hrs)]]&lt;&gt;"",IF(Tabla1[[#This Row],[Tiempo solución max (hrs)]]&gt;=Tabla1[[#This Row],[Tiempo
(Hrs 00/100)]],"cumple","no cumple"),"")</f>
        <v>cumple</v>
      </c>
      <c r="W70" s="376" t="s">
        <v>374</v>
      </c>
      <c r="X70" s="377" t="str">
        <f t="shared" si="0"/>
        <v>SSI</v>
      </c>
      <c r="Y70" t="str">
        <f>SUBSTITUTE(Tabla1[[#This Row],[Descripción]],CHAR(10),"    I    ")</f>
        <v>Mapeo y construcción de servicio de consultas para el módulo de seguimiento</v>
      </c>
      <c r="Z70" s="378">
        <f>VLOOKUP(Tabla1[[#This Row],[Perfil]],Catalogos!$B$75:$D$100,3,FALSE)*Tabla1[[#This Row],[Tiempo
(Hrs 00/100)]]*1.16</f>
        <v>6496</v>
      </c>
    </row>
    <row r="71" spans="1:27" ht="42.75" customHeight="1" x14ac:dyDescent="0.3">
      <c r="A71" s="370" t="s">
        <v>22</v>
      </c>
      <c r="B71" s="370" t="s">
        <v>23</v>
      </c>
      <c r="C71" s="205" t="s">
        <v>257</v>
      </c>
      <c r="D71" s="370"/>
      <c r="E71" s="370" t="s">
        <v>404</v>
      </c>
      <c r="F71" s="370" t="s">
        <v>23</v>
      </c>
      <c r="G71" s="370"/>
      <c r="H71" s="371" t="s">
        <v>424</v>
      </c>
      <c r="I71" s="384" t="s">
        <v>425</v>
      </c>
      <c r="J71" s="369">
        <v>44951</v>
      </c>
      <c r="K71" s="747">
        <v>0.375</v>
      </c>
      <c r="L71" s="369">
        <v>44951</v>
      </c>
      <c r="M71" s="753">
        <v>0.79166666666666663</v>
      </c>
      <c r="N71" s="373">
        <v>8</v>
      </c>
      <c r="O71" s="374" t="s">
        <v>17</v>
      </c>
      <c r="P71" s="375" t="s">
        <v>423</v>
      </c>
      <c r="Q71" s="744" t="s">
        <v>294</v>
      </c>
      <c r="R71" s="202" t="s">
        <v>40</v>
      </c>
      <c r="S71" s="31" t="s">
        <v>273</v>
      </c>
      <c r="T71" s="31" t="s">
        <v>273</v>
      </c>
      <c r="U71" s="31">
        <f>IFERROR(VLOOKUP(CONCATENATE(Tabla1[[#This Row],[Severidad]]," ",Tabla1[[#This Row],[Complejidad]]),Catalogos!E$120:G$128,3,FALSE),"")</f>
        <v>64</v>
      </c>
      <c r="V71" s="31" t="str">
        <f>IF(Tabla1[[#This Row],[Tiempo solución max (hrs)]]&lt;&gt;"",IF(Tabla1[[#This Row],[Tiempo solución max (hrs)]]&gt;=Tabla1[[#This Row],[Tiempo
(Hrs 00/100)]],"cumple","no cumple"),"")</f>
        <v>cumple</v>
      </c>
      <c r="W71" s="376" t="s">
        <v>374</v>
      </c>
      <c r="X71" s="377" t="str">
        <f t="shared" ref="X71" si="16">IF(C71&lt;&gt;"",C71,D71)</f>
        <v>SSI</v>
      </c>
      <c r="Y71" t="str">
        <f>SUBSTITUTE(Tabla1[[#This Row],[Descripción]],CHAR(10),"    I    ")</f>
        <v>Mapeo y construcción de servicio de consultas para el módulo de seguimiento</v>
      </c>
      <c r="Z71" s="378">
        <f>VLOOKUP(Tabla1[[#This Row],[Perfil]],Catalogos!$B$75:$D$100,3,FALSE)*Tabla1[[#This Row],[Tiempo
(Hrs 00/100)]]*1.16</f>
        <v>6496</v>
      </c>
    </row>
    <row r="72" spans="1:27" ht="42.75" customHeight="1" x14ac:dyDescent="0.3">
      <c r="A72" s="370" t="s">
        <v>22</v>
      </c>
      <c r="B72" s="370" t="s">
        <v>23</v>
      </c>
      <c r="C72" s="205" t="s">
        <v>257</v>
      </c>
      <c r="D72" s="370"/>
      <c r="E72" s="370" t="s">
        <v>404</v>
      </c>
      <c r="F72" s="370" t="s">
        <v>23</v>
      </c>
      <c r="G72" s="370"/>
      <c r="H72" s="371" t="s">
        <v>426</v>
      </c>
      <c r="I72" s="385" t="s">
        <v>427</v>
      </c>
      <c r="J72" s="369">
        <v>44952</v>
      </c>
      <c r="K72" s="747">
        <v>0.375</v>
      </c>
      <c r="L72" s="369">
        <v>44952</v>
      </c>
      <c r="M72" s="753">
        <v>0.79166666666666663</v>
      </c>
      <c r="N72" s="373">
        <v>8</v>
      </c>
      <c r="O72" s="374" t="s">
        <v>17</v>
      </c>
      <c r="P72" s="375" t="s">
        <v>423</v>
      </c>
      <c r="Q72" s="744" t="s">
        <v>294</v>
      </c>
      <c r="R72" s="202" t="s">
        <v>40</v>
      </c>
      <c r="S72" s="31" t="s">
        <v>273</v>
      </c>
      <c r="T72" s="31" t="s">
        <v>273</v>
      </c>
      <c r="U72" s="31">
        <f>IFERROR(VLOOKUP(CONCATENATE(Tabla1[[#This Row],[Severidad]]," ",Tabla1[[#This Row],[Complejidad]]),Catalogos!E$120:G$128,3,FALSE),"")</f>
        <v>64</v>
      </c>
      <c r="V72" s="31" t="str">
        <f>IF(Tabla1[[#This Row],[Tiempo solución max (hrs)]]&lt;&gt;"",IF(Tabla1[[#This Row],[Tiempo solución max (hrs)]]&gt;=Tabla1[[#This Row],[Tiempo
(Hrs 00/100)]],"cumple","no cumple"),"")</f>
        <v>cumple</v>
      </c>
      <c r="W72" s="376" t="s">
        <v>374</v>
      </c>
      <c r="X72" s="377" t="str">
        <f t="shared" si="0"/>
        <v>SSI</v>
      </c>
      <c r="Y72" t="str">
        <f>SUBSTITUTE(Tabla1[[#This Row],[Descripción]],CHAR(10),"    I    ")</f>
        <v>Servicio para el alta seguimientos</v>
      </c>
      <c r="Z72" s="378">
        <f>VLOOKUP(Tabla1[[#This Row],[Perfil]],Catalogos!$B$75:$D$100,3,FALSE)*Tabla1[[#This Row],[Tiempo
(Hrs 00/100)]]*1.16</f>
        <v>6496</v>
      </c>
    </row>
    <row r="73" spans="1:27" ht="42.75" customHeight="1" x14ac:dyDescent="0.3">
      <c r="A73" s="370" t="s">
        <v>22</v>
      </c>
      <c r="B73" s="370" t="s">
        <v>23</v>
      </c>
      <c r="C73" s="205" t="s">
        <v>257</v>
      </c>
      <c r="D73" s="382"/>
      <c r="E73" s="370" t="s">
        <v>404</v>
      </c>
      <c r="F73" s="370" t="s">
        <v>23</v>
      </c>
      <c r="G73" s="370"/>
      <c r="H73" s="371" t="s">
        <v>428</v>
      </c>
      <c r="I73" s="385" t="s">
        <v>429</v>
      </c>
      <c r="J73" s="369">
        <v>44953</v>
      </c>
      <c r="K73" s="747">
        <v>0.375</v>
      </c>
      <c r="L73" s="369">
        <v>44953</v>
      </c>
      <c r="M73" s="753">
        <v>0.79166666666666663</v>
      </c>
      <c r="N73" s="210">
        <v>8</v>
      </c>
      <c r="O73" s="374" t="s">
        <v>17</v>
      </c>
      <c r="P73" s="375" t="s">
        <v>423</v>
      </c>
      <c r="Q73" s="744" t="s">
        <v>294</v>
      </c>
      <c r="R73" s="202" t="s">
        <v>40</v>
      </c>
      <c r="S73" s="31" t="s">
        <v>273</v>
      </c>
      <c r="T73" s="31" t="s">
        <v>273</v>
      </c>
      <c r="U73" s="31">
        <f>IFERROR(VLOOKUP(CONCATENATE(Tabla1[[#This Row],[Severidad]]," ",Tabla1[[#This Row],[Complejidad]]),Catalogos!E$120:G$128,3,FALSE),"")</f>
        <v>64</v>
      </c>
      <c r="V73" s="31" t="str">
        <f>IF(Tabla1[[#This Row],[Tiempo solución max (hrs)]]&lt;&gt;"",IF(Tabla1[[#This Row],[Tiempo solución max (hrs)]]&gt;=Tabla1[[#This Row],[Tiempo
(Hrs 00/100)]],"cumple","no cumple"),"")</f>
        <v>cumple</v>
      </c>
      <c r="W73" s="376" t="s">
        <v>374</v>
      </c>
      <c r="X73" s="377" t="str">
        <f t="shared" si="0"/>
        <v>SSI</v>
      </c>
      <c r="Y73" t="str">
        <f>SUBSTITUTE(Tabla1[[#This Row],[Descripción]],CHAR(10),"    I    ")</f>
        <v>Servicio para la baja de seguimientos</v>
      </c>
      <c r="Z73" s="378">
        <f>VLOOKUP(Tabla1[[#This Row],[Perfil]],Catalogos!$B$75:$D$100,3,FALSE)*Tabla1[[#This Row],[Tiempo
(Hrs 00/100)]]*1.16</f>
        <v>6496</v>
      </c>
    </row>
    <row r="74" spans="1:27" ht="42.75" customHeight="1" x14ac:dyDescent="0.3">
      <c r="A74" s="370" t="s">
        <v>22</v>
      </c>
      <c r="B74" s="370" t="s">
        <v>23</v>
      </c>
      <c r="C74" s="205" t="s">
        <v>257</v>
      </c>
      <c r="D74" s="382"/>
      <c r="E74" s="370" t="s">
        <v>404</v>
      </c>
      <c r="F74" s="370" t="s">
        <v>23</v>
      </c>
      <c r="G74" s="370"/>
      <c r="H74" s="371" t="s">
        <v>430</v>
      </c>
      <c r="I74" s="385" t="s">
        <v>431</v>
      </c>
      <c r="J74" s="369">
        <v>44956</v>
      </c>
      <c r="K74" s="747">
        <v>0.375</v>
      </c>
      <c r="L74" s="369">
        <v>44956</v>
      </c>
      <c r="M74" s="753">
        <v>0.79166666666666663</v>
      </c>
      <c r="N74" s="210">
        <v>8</v>
      </c>
      <c r="O74" s="374" t="s">
        <v>17</v>
      </c>
      <c r="P74" s="375" t="s">
        <v>423</v>
      </c>
      <c r="Q74" s="745" t="s">
        <v>294</v>
      </c>
      <c r="R74" s="202" t="s">
        <v>40</v>
      </c>
      <c r="S74" s="31" t="s">
        <v>273</v>
      </c>
      <c r="T74" s="31" t="s">
        <v>273</v>
      </c>
      <c r="U74" s="31">
        <f>IFERROR(VLOOKUP(CONCATENATE(Tabla1[[#This Row],[Severidad]]," ",Tabla1[[#This Row],[Complejidad]]),Catalogos!E$120:G$128,3,FALSE),"")</f>
        <v>64</v>
      </c>
      <c r="V74" s="31" t="str">
        <f>IF(Tabla1[[#This Row],[Tiempo solución max (hrs)]]&lt;&gt;"",IF(Tabla1[[#This Row],[Tiempo solución max (hrs)]]&gt;=Tabla1[[#This Row],[Tiempo
(Hrs 00/100)]],"cumple","no cumple"),"")</f>
        <v>cumple</v>
      </c>
      <c r="W74" s="376" t="s">
        <v>374</v>
      </c>
      <c r="X74" s="377" t="str">
        <f t="shared" si="0"/>
        <v>SSI</v>
      </c>
      <c r="Y74" t="str">
        <f>SUBSTITUTE(Tabla1[[#This Row],[Descripción]],CHAR(10),"    I    ")</f>
        <v>Servicios de actualizar, cancelar, enviar y rechazar para el módulo de seguimiento</v>
      </c>
      <c r="Z74" s="378">
        <f>VLOOKUP(Tabla1[[#This Row],[Perfil]],Catalogos!$B$75:$D$100,3,FALSE)*Tabla1[[#This Row],[Tiempo
(Hrs 00/100)]]*1.16</f>
        <v>6496</v>
      </c>
    </row>
    <row r="75" spans="1:27" ht="42.75" customHeight="1" x14ac:dyDescent="0.3">
      <c r="A75" s="370" t="s">
        <v>22</v>
      </c>
      <c r="B75" s="370" t="s">
        <v>23</v>
      </c>
      <c r="C75" s="205" t="s">
        <v>257</v>
      </c>
      <c r="D75" s="382"/>
      <c r="E75" s="370" t="s">
        <v>404</v>
      </c>
      <c r="F75" s="370" t="s">
        <v>23</v>
      </c>
      <c r="G75" s="370"/>
      <c r="H75" s="371" t="s">
        <v>432</v>
      </c>
      <c r="I75" s="385" t="s">
        <v>433</v>
      </c>
      <c r="J75" s="369">
        <v>44957</v>
      </c>
      <c r="K75" s="747">
        <v>0.375</v>
      </c>
      <c r="L75" s="369">
        <v>44957</v>
      </c>
      <c r="M75" s="753">
        <v>0.79166666666666663</v>
      </c>
      <c r="N75" s="210">
        <v>8</v>
      </c>
      <c r="O75" s="374" t="s">
        <v>17</v>
      </c>
      <c r="P75" s="243" t="s">
        <v>423</v>
      </c>
      <c r="Q75" s="745" t="s">
        <v>294</v>
      </c>
      <c r="R75" s="202" t="s">
        <v>40</v>
      </c>
      <c r="S75" s="31" t="s">
        <v>273</v>
      </c>
      <c r="T75" s="31" t="s">
        <v>273</v>
      </c>
      <c r="U75" s="31">
        <f>IFERROR(VLOOKUP(CONCATENATE(Tabla1[[#This Row],[Severidad]]," ",Tabla1[[#This Row],[Complejidad]]),Catalogos!E$120:G$128,3,FALSE),"")</f>
        <v>64</v>
      </c>
      <c r="V75" s="31" t="str">
        <f>IF(Tabla1[[#This Row],[Tiempo solución max (hrs)]]&lt;&gt;"",IF(Tabla1[[#This Row],[Tiempo solución max (hrs)]]&gt;=Tabla1[[#This Row],[Tiempo
(Hrs 00/100)]],"cumple","no cumple"),"")</f>
        <v>cumple</v>
      </c>
      <c r="W75" s="376" t="s">
        <v>374</v>
      </c>
      <c r="X75" s="377" t="str">
        <f t="shared" si="0"/>
        <v>SSI</v>
      </c>
      <c r="Y75" t="str">
        <f>SUBSTITUTE(Tabla1[[#This Row],[Descripción]],CHAR(10),"    I    ")</f>
        <v>Servicio para realizar la carga de actividades ABC del módulo de actividades</v>
      </c>
      <c r="Z75" s="378">
        <f>VLOOKUP(Tabla1[[#This Row],[Perfil]],Catalogos!$B$75:$D$100,3,FALSE)*Tabla1[[#This Row],[Tiempo
(Hrs 00/100)]]*1.16</f>
        <v>6496</v>
      </c>
    </row>
    <row r="76" spans="1:27" ht="42.75" customHeight="1" x14ac:dyDescent="0.3">
      <c r="A76" s="373" t="s">
        <v>22</v>
      </c>
      <c r="B76" s="184" t="s">
        <v>305</v>
      </c>
      <c r="C76" s="183" t="s">
        <v>16</v>
      </c>
      <c r="D76" s="179"/>
      <c r="E76" s="386" t="s">
        <v>434</v>
      </c>
      <c r="F76" s="373" t="s">
        <v>75</v>
      </c>
      <c r="G76" s="370" t="s">
        <v>435</v>
      </c>
      <c r="H76" s="387" t="s">
        <v>436</v>
      </c>
      <c r="I76" s="388" t="s">
        <v>439</v>
      </c>
      <c r="J76" s="712">
        <v>44935</v>
      </c>
      <c r="K76" s="747">
        <v>0.375</v>
      </c>
      <c r="L76" s="712">
        <v>44935</v>
      </c>
      <c r="M76" s="753">
        <v>0.79166666666666663</v>
      </c>
      <c r="N76" s="179">
        <v>8.5</v>
      </c>
      <c r="O76" s="184" t="s">
        <v>411</v>
      </c>
      <c r="P76" s="389"/>
      <c r="Q76" s="746" t="s">
        <v>258</v>
      </c>
      <c r="R76" s="171" t="s">
        <v>81</v>
      </c>
      <c r="S76" s="31" t="s">
        <v>273</v>
      </c>
      <c r="T76" s="31" t="s">
        <v>273</v>
      </c>
      <c r="U76" s="31">
        <f>IFERROR(VLOOKUP(CONCATENATE(Tabla1[[#This Row],[Severidad]]," ",Tabla1[[#This Row],[Complejidad]]),Catalogos!E$120:G$128,3,FALSE),"")</f>
        <v>64</v>
      </c>
      <c r="V76" s="31" t="str">
        <f>IF(Tabla1[[#This Row],[Tiempo solución max (hrs)]]&lt;&gt;"",IF(Tabla1[[#This Row],[Tiempo solución max (hrs)]]&gt;=Tabla1[[#This Row],[Tiempo
(Hrs 00/100)]],"cumple","no cumple"),"")</f>
        <v>cumple</v>
      </c>
      <c r="W76" s="376" t="s">
        <v>374</v>
      </c>
      <c r="X76" s="377" t="str">
        <f t="shared" si="0"/>
        <v>SAW</v>
      </c>
      <c r="Y76" t="str">
        <f>SUBSTITUTE(Tabla1[[#This Row],[Descripción]],CHAR(10),"    I    ")</f>
        <v xml:space="preserve">Realizar consultas </v>
      </c>
      <c r="Z76" s="378">
        <f>VLOOKUP(Tabla1[[#This Row],[Perfil]],Catalogos!$B$75:$D$100,3,FALSE)*Tabla1[[#This Row],[Tiempo
(Hrs 00/100)]]*1.16</f>
        <v>4930</v>
      </c>
    </row>
    <row r="77" spans="1:27" s="14" customFormat="1" ht="42.75" customHeight="1" x14ac:dyDescent="0.3">
      <c r="A77" s="373" t="s">
        <v>22</v>
      </c>
      <c r="B77" s="184" t="s">
        <v>68</v>
      </c>
      <c r="C77" s="183" t="s">
        <v>16</v>
      </c>
      <c r="D77" s="370"/>
      <c r="E77" s="386" t="s">
        <v>434</v>
      </c>
      <c r="F77" s="373" t="s">
        <v>75</v>
      </c>
      <c r="G77" s="370" t="s">
        <v>435</v>
      </c>
      <c r="H77" s="387" t="s">
        <v>436</v>
      </c>
      <c r="I77" s="388" t="s">
        <v>440</v>
      </c>
      <c r="J77" s="712">
        <v>44936</v>
      </c>
      <c r="K77" s="747">
        <v>0.375</v>
      </c>
      <c r="L77" s="712">
        <v>44936</v>
      </c>
      <c r="M77" s="753">
        <v>0.79166666666666663</v>
      </c>
      <c r="N77" s="179">
        <v>8.5</v>
      </c>
      <c r="O77" s="184" t="s">
        <v>411</v>
      </c>
      <c r="P77" s="185"/>
      <c r="Q77" s="746" t="s">
        <v>258</v>
      </c>
      <c r="R77" s="171" t="s">
        <v>81</v>
      </c>
      <c r="S77" s="31" t="s">
        <v>273</v>
      </c>
      <c r="T77" s="31" t="s">
        <v>273</v>
      </c>
      <c r="U77" s="31">
        <f>IFERROR(VLOOKUP(CONCATENATE(Tabla1[[#This Row],[Severidad]]," ",Tabla1[[#This Row],[Complejidad]]),Catalogos!E$120:G$128,3,FALSE),"")</f>
        <v>64</v>
      </c>
      <c r="V77" s="31" t="str">
        <f>IF(Tabla1[[#This Row],[Tiempo solución max (hrs)]]&lt;&gt;"",IF(Tabla1[[#This Row],[Tiempo solución max (hrs)]]&gt;=Tabla1[[#This Row],[Tiempo
(Hrs 00/100)]],"cumple","no cumple"),"")</f>
        <v>cumple</v>
      </c>
      <c r="W77" s="376" t="s">
        <v>374</v>
      </c>
      <c r="X77" s="377" t="str">
        <f t="shared" si="0"/>
        <v>SAW</v>
      </c>
      <c r="Y77" s="390" t="str">
        <f>SUBSTITUTE(Tabla1[[#This Row],[Descripción]],CHAR(10),"    I    ")</f>
        <v xml:space="preserve">Carga de formatos </v>
      </c>
      <c r="Z77" s="391">
        <f>VLOOKUP(Tabla1[[#This Row],[Perfil]],Catalogos!$B$75:$D$100,3,FALSE)*Tabla1[[#This Row],[Tiempo
(Hrs 00/100)]]*1.16</f>
        <v>4930</v>
      </c>
      <c r="AA77" s="392"/>
    </row>
    <row r="78" spans="1:27" ht="42.75" customHeight="1" x14ac:dyDescent="0.3">
      <c r="A78" s="373" t="s">
        <v>22</v>
      </c>
      <c r="B78" s="184" t="s">
        <v>68</v>
      </c>
      <c r="C78" s="183" t="s">
        <v>16</v>
      </c>
      <c r="D78" s="370"/>
      <c r="E78" s="386" t="s">
        <v>434</v>
      </c>
      <c r="F78" s="373" t="s">
        <v>75</v>
      </c>
      <c r="G78" s="370" t="s">
        <v>435</v>
      </c>
      <c r="H78" s="387" t="s">
        <v>436</v>
      </c>
      <c r="I78" s="393" t="s">
        <v>441</v>
      </c>
      <c r="J78" s="712">
        <v>44937</v>
      </c>
      <c r="K78" s="747">
        <v>0.375</v>
      </c>
      <c r="L78" s="712">
        <v>44937</v>
      </c>
      <c r="M78" s="753">
        <v>0.79166666666666663</v>
      </c>
      <c r="N78" s="179">
        <v>8.5</v>
      </c>
      <c r="O78" s="184" t="s">
        <v>411</v>
      </c>
      <c r="P78" s="185" t="s">
        <v>442</v>
      </c>
      <c r="Q78" s="746" t="s">
        <v>258</v>
      </c>
      <c r="R78" s="171" t="s">
        <v>81</v>
      </c>
      <c r="S78" s="31" t="s">
        <v>273</v>
      </c>
      <c r="T78" s="31" t="s">
        <v>273</v>
      </c>
      <c r="U78" s="31">
        <f>IFERROR(VLOOKUP(CONCATENATE(Tabla1[[#This Row],[Severidad]]," ",Tabla1[[#This Row],[Complejidad]]),Catalogos!E$120:G$128,3,FALSE),"")</f>
        <v>64</v>
      </c>
      <c r="V78" s="31" t="str">
        <f>IF(Tabla1[[#This Row],[Tiempo solución max (hrs)]]&lt;&gt;"",IF(Tabla1[[#This Row],[Tiempo solución max (hrs)]]&gt;=Tabla1[[#This Row],[Tiempo
(Hrs 00/100)]],"cumple","no cumple"),"")</f>
        <v>cumple</v>
      </c>
      <c r="W78" s="376" t="s">
        <v>374</v>
      </c>
      <c r="X78" s="377" t="str">
        <f t="shared" si="0"/>
        <v>SAW</v>
      </c>
      <c r="Y78" t="str">
        <f>SUBSTITUTE(Tabla1[[#This Row],[Descripción]],CHAR(10),"    I    ")</f>
        <v xml:space="preserve">Control de cambio </v>
      </c>
      <c r="Z78" s="378">
        <f>VLOOKUP(Tabla1[[#This Row],[Perfil]],Catalogos!$B$75:$D$100,3,FALSE)*Tabla1[[#This Row],[Tiempo
(Hrs 00/100)]]*1.16</f>
        <v>4930</v>
      </c>
    </row>
    <row r="79" spans="1:27" ht="42.75" customHeight="1" x14ac:dyDescent="0.3">
      <c r="A79" s="373" t="s">
        <v>22</v>
      </c>
      <c r="B79" s="184" t="s">
        <v>68</v>
      </c>
      <c r="C79" s="183" t="s">
        <v>16</v>
      </c>
      <c r="D79" s="179"/>
      <c r="E79" s="386" t="s">
        <v>434</v>
      </c>
      <c r="F79" s="373" t="s">
        <v>75</v>
      </c>
      <c r="G79" s="370" t="s">
        <v>435</v>
      </c>
      <c r="H79" s="387" t="s">
        <v>436</v>
      </c>
      <c r="I79" s="393" t="s">
        <v>443</v>
      </c>
      <c r="J79" s="712">
        <v>44937</v>
      </c>
      <c r="K79" s="747">
        <v>0.375</v>
      </c>
      <c r="L79" s="712">
        <v>44937</v>
      </c>
      <c r="M79" s="753">
        <v>0.79166666666666663</v>
      </c>
      <c r="N79" s="179">
        <v>8.5</v>
      </c>
      <c r="O79" s="184" t="s">
        <v>17</v>
      </c>
      <c r="P79" s="185" t="s">
        <v>444</v>
      </c>
      <c r="Q79" s="746" t="s">
        <v>258</v>
      </c>
      <c r="R79" s="171" t="s">
        <v>81</v>
      </c>
      <c r="S79" s="31" t="s">
        <v>273</v>
      </c>
      <c r="T79" s="31" t="s">
        <v>273</v>
      </c>
      <c r="U79" s="31">
        <f>IFERROR(VLOOKUP(CONCATENATE(Tabla1[[#This Row],[Severidad]]," ",Tabla1[[#This Row],[Complejidad]]),Catalogos!E$120:G$128,3,FALSE),"")</f>
        <v>64</v>
      </c>
      <c r="V79" s="31" t="str">
        <f>IF(Tabla1[[#This Row],[Tiempo solución max (hrs)]]&lt;&gt;"",IF(Tabla1[[#This Row],[Tiempo solución max (hrs)]]&gt;=Tabla1[[#This Row],[Tiempo
(Hrs 00/100)]],"cumple","no cumple"),"")</f>
        <v>cumple</v>
      </c>
      <c r="W79" s="376" t="s">
        <v>374</v>
      </c>
      <c r="X79" s="377" t="str">
        <f t="shared" si="0"/>
        <v>SAW</v>
      </c>
      <c r="Y79" t="str">
        <f>SUBSTITUTE(Tabla1[[#This Row],[Descripción]],CHAR(10),"    I    ")</f>
        <v xml:space="preserve">Revisiones de planes </v>
      </c>
      <c r="Z79" s="378">
        <f>VLOOKUP(Tabla1[[#This Row],[Perfil]],Catalogos!$B$75:$D$100,3,FALSE)*Tabla1[[#This Row],[Tiempo
(Hrs 00/100)]]*1.16</f>
        <v>4930</v>
      </c>
    </row>
    <row r="80" spans="1:27" ht="42.75" customHeight="1" x14ac:dyDescent="0.3">
      <c r="A80" s="373" t="s">
        <v>22</v>
      </c>
      <c r="B80" s="184" t="s">
        <v>68</v>
      </c>
      <c r="C80" s="183" t="s">
        <v>16</v>
      </c>
      <c r="D80" s="179"/>
      <c r="E80" s="386" t="s">
        <v>434</v>
      </c>
      <c r="F80" s="373" t="s">
        <v>75</v>
      </c>
      <c r="G80" s="370" t="s">
        <v>435</v>
      </c>
      <c r="H80" s="387" t="s">
        <v>436</v>
      </c>
      <c r="I80" s="394" t="s">
        <v>445</v>
      </c>
      <c r="J80" s="712">
        <v>44939</v>
      </c>
      <c r="K80" s="709">
        <v>0.375</v>
      </c>
      <c r="L80" s="712">
        <v>44939</v>
      </c>
      <c r="M80" s="739">
        <v>0.66666666666666663</v>
      </c>
      <c r="N80" s="179">
        <v>7</v>
      </c>
      <c r="O80" s="184" t="s">
        <v>411</v>
      </c>
      <c r="P80" s="185"/>
      <c r="Q80" s="746" t="s">
        <v>258</v>
      </c>
      <c r="R80" s="171" t="s">
        <v>81</v>
      </c>
      <c r="S80" s="31" t="s">
        <v>273</v>
      </c>
      <c r="T80" s="31" t="s">
        <v>273</v>
      </c>
      <c r="U80" s="31">
        <f>IFERROR(VLOOKUP(CONCATENATE(Tabla1[[#This Row],[Severidad]]," ",Tabla1[[#This Row],[Complejidad]]),Catalogos!E$120:G$128,3,FALSE),"")</f>
        <v>64</v>
      </c>
      <c r="V80" s="31" t="str">
        <f>IF(Tabla1[[#This Row],[Tiempo solución max (hrs)]]&lt;&gt;"",IF(Tabla1[[#This Row],[Tiempo solución max (hrs)]]&gt;=Tabla1[[#This Row],[Tiempo
(Hrs 00/100)]],"cumple","no cumple"),"")</f>
        <v>cumple</v>
      </c>
      <c r="W80" s="376" t="s">
        <v>374</v>
      </c>
      <c r="X80" s="377" t="str">
        <f t="shared" si="0"/>
        <v>SAW</v>
      </c>
      <c r="Y80" t="str">
        <f>SUBSTITUTE(Tabla1[[#This Row],[Descripción]],CHAR(10),"    I    ")</f>
        <v xml:space="preserve">Planeacion carga de archivos </v>
      </c>
      <c r="Z80" s="378">
        <f>VLOOKUP(Tabla1[[#This Row],[Perfil]],Catalogos!$B$75:$D$100,3,FALSE)*Tabla1[[#This Row],[Tiempo
(Hrs 00/100)]]*1.16</f>
        <v>4059.9999999999995</v>
      </c>
    </row>
    <row r="81" spans="1:26" ht="42.75" customHeight="1" x14ac:dyDescent="0.3">
      <c r="A81" s="373" t="s">
        <v>22</v>
      </c>
      <c r="B81" s="184" t="s">
        <v>68</v>
      </c>
      <c r="C81" s="183" t="s">
        <v>16</v>
      </c>
      <c r="D81" s="179"/>
      <c r="E81" s="386" t="s">
        <v>434</v>
      </c>
      <c r="F81" s="373" t="s">
        <v>75</v>
      </c>
      <c r="G81" s="370" t="s">
        <v>435</v>
      </c>
      <c r="H81" s="387" t="s">
        <v>436</v>
      </c>
      <c r="I81" s="393" t="s">
        <v>446</v>
      </c>
      <c r="J81" s="712">
        <v>44942</v>
      </c>
      <c r="K81" s="709">
        <v>0.375</v>
      </c>
      <c r="L81" s="712">
        <v>44942</v>
      </c>
      <c r="M81" s="739">
        <v>0.79166666666666663</v>
      </c>
      <c r="N81" s="179">
        <v>8.5</v>
      </c>
      <c r="O81" s="184" t="s">
        <v>411</v>
      </c>
      <c r="P81" s="185"/>
      <c r="Q81" s="746" t="s">
        <v>258</v>
      </c>
      <c r="R81" s="171" t="s">
        <v>81</v>
      </c>
      <c r="S81" s="31" t="s">
        <v>273</v>
      </c>
      <c r="T81" s="31" t="s">
        <v>273</v>
      </c>
      <c r="U81" s="31">
        <f>IFERROR(VLOOKUP(CONCATENATE(Tabla1[[#This Row],[Severidad]]," ",Tabla1[[#This Row],[Complejidad]]),Catalogos!E$120:G$128,3,FALSE),"")</f>
        <v>64</v>
      </c>
      <c r="V81" s="31" t="str">
        <f>IF(Tabla1[[#This Row],[Tiempo solución max (hrs)]]&lt;&gt;"",IF(Tabla1[[#This Row],[Tiempo solución max (hrs)]]&gt;=Tabla1[[#This Row],[Tiempo
(Hrs 00/100)]],"cumple","no cumple"),"")</f>
        <v>cumple</v>
      </c>
      <c r="W81" s="376" t="s">
        <v>374</v>
      </c>
      <c r="X81" s="377" t="str">
        <f t="shared" si="0"/>
        <v>SAW</v>
      </c>
      <c r="Y81" t="str">
        <f>SUBSTITUTE(Tabla1[[#This Row],[Descripción]],CHAR(10),"    I    ")</f>
        <v xml:space="preserve">Accesos en pagina web </v>
      </c>
      <c r="Z81" s="378">
        <f>VLOOKUP(Tabla1[[#This Row],[Perfil]],Catalogos!$B$75:$D$100,3,FALSE)*Tabla1[[#This Row],[Tiempo
(Hrs 00/100)]]*1.16</f>
        <v>4930</v>
      </c>
    </row>
    <row r="82" spans="1:26" ht="42.75" customHeight="1" x14ac:dyDescent="0.3">
      <c r="A82" s="373" t="s">
        <v>22</v>
      </c>
      <c r="B82" s="184" t="s">
        <v>68</v>
      </c>
      <c r="C82" s="183" t="s">
        <v>16</v>
      </c>
      <c r="D82" s="179"/>
      <c r="E82" s="386" t="s">
        <v>434</v>
      </c>
      <c r="F82" s="373" t="s">
        <v>75</v>
      </c>
      <c r="G82" s="370" t="s">
        <v>435</v>
      </c>
      <c r="H82" s="387" t="s">
        <v>436</v>
      </c>
      <c r="I82" s="395" t="s">
        <v>447</v>
      </c>
      <c r="J82" s="712">
        <v>44943</v>
      </c>
      <c r="K82" s="709">
        <v>0.375</v>
      </c>
      <c r="L82" s="712">
        <v>44943</v>
      </c>
      <c r="M82" s="739">
        <v>0.79166666666666663</v>
      </c>
      <c r="N82" s="179">
        <v>8.5</v>
      </c>
      <c r="O82" s="184" t="s">
        <v>411</v>
      </c>
      <c r="P82" s="185"/>
      <c r="Q82" s="746" t="s">
        <v>258</v>
      </c>
      <c r="R82" s="171" t="s">
        <v>81</v>
      </c>
      <c r="S82" s="31" t="s">
        <v>273</v>
      </c>
      <c r="T82" s="31" t="s">
        <v>273</v>
      </c>
      <c r="U82" s="31">
        <f>IFERROR(VLOOKUP(CONCATENATE(Tabla1[[#This Row],[Severidad]]," ",Tabla1[[#This Row],[Complejidad]]),Catalogos!E$120:G$128,3,FALSE),"")</f>
        <v>64</v>
      </c>
      <c r="V82" s="31" t="str">
        <f>IF(Tabla1[[#This Row],[Tiempo solución max (hrs)]]&lt;&gt;"",IF(Tabla1[[#This Row],[Tiempo solución max (hrs)]]&gt;=Tabla1[[#This Row],[Tiempo
(Hrs 00/100)]],"cumple","no cumple"),"")</f>
        <v>cumple</v>
      </c>
      <c r="W82" s="376" t="s">
        <v>374</v>
      </c>
      <c r="X82" s="377" t="str">
        <f t="shared" si="0"/>
        <v>SAW</v>
      </c>
      <c r="Y82" t="str">
        <f>SUBSTITUTE(Tabla1[[#This Row],[Descripción]],CHAR(10),"    I    ")</f>
        <v>Ensayo reportaje</v>
      </c>
      <c r="Z82" s="378">
        <f>VLOOKUP(Tabla1[[#This Row],[Perfil]],Catalogos!$B$75:$D$100,3,FALSE)*Tabla1[[#This Row],[Tiempo
(Hrs 00/100)]]*1.16</f>
        <v>4930</v>
      </c>
    </row>
    <row r="83" spans="1:26" ht="42.75" customHeight="1" x14ac:dyDescent="0.3">
      <c r="A83" s="373" t="s">
        <v>22</v>
      </c>
      <c r="B83" s="184" t="s">
        <v>68</v>
      </c>
      <c r="C83" s="183" t="s">
        <v>16</v>
      </c>
      <c r="D83" s="179"/>
      <c r="E83" s="386" t="s">
        <v>434</v>
      </c>
      <c r="F83" s="373" t="s">
        <v>75</v>
      </c>
      <c r="G83" s="370" t="s">
        <v>435</v>
      </c>
      <c r="H83" s="387" t="s">
        <v>436</v>
      </c>
      <c r="I83" s="395" t="s">
        <v>448</v>
      </c>
      <c r="J83" s="712">
        <v>44944</v>
      </c>
      <c r="K83" s="709">
        <v>0.375</v>
      </c>
      <c r="L83" s="712">
        <v>44944</v>
      </c>
      <c r="M83" s="739">
        <v>0.79166666666666663</v>
      </c>
      <c r="N83" s="179">
        <v>8.5</v>
      </c>
      <c r="O83" s="184" t="s">
        <v>411</v>
      </c>
      <c r="P83" s="389"/>
      <c r="Q83" s="746" t="s">
        <v>258</v>
      </c>
      <c r="R83" s="171" t="s">
        <v>81</v>
      </c>
      <c r="S83" s="31" t="s">
        <v>273</v>
      </c>
      <c r="T83" s="31" t="s">
        <v>273</v>
      </c>
      <c r="U83" s="31">
        <f>IFERROR(VLOOKUP(CONCATENATE(Tabla1[[#This Row],[Severidad]]," ",Tabla1[[#This Row],[Complejidad]]),Catalogos!E$120:G$128,3,FALSE),"")</f>
        <v>64</v>
      </c>
      <c r="V83" s="31" t="str">
        <f>IF(Tabla1[[#This Row],[Tiempo solución max (hrs)]]&lt;&gt;"",IF(Tabla1[[#This Row],[Tiempo solución max (hrs)]]&gt;=Tabla1[[#This Row],[Tiempo
(Hrs 00/100)]],"cumple","no cumple"),"")</f>
        <v>cumple</v>
      </c>
      <c r="W83" s="376" t="s">
        <v>374</v>
      </c>
      <c r="X83" s="377" t="str">
        <f t="shared" si="0"/>
        <v>SAW</v>
      </c>
      <c r="Y83" t="str">
        <f>SUBSTITUTE(Tabla1[[#This Row],[Descripción]],CHAR(10),"    I    ")</f>
        <v>Caja de herramientas</v>
      </c>
      <c r="Z83" s="378">
        <f>VLOOKUP(Tabla1[[#This Row],[Perfil]],Catalogos!$B$75:$D$100,3,FALSE)*Tabla1[[#This Row],[Tiempo
(Hrs 00/100)]]*1.16</f>
        <v>4930</v>
      </c>
    </row>
    <row r="84" spans="1:26" ht="42.75" customHeight="1" x14ac:dyDescent="0.3">
      <c r="A84" s="373" t="s">
        <v>22</v>
      </c>
      <c r="B84" s="184" t="s">
        <v>68</v>
      </c>
      <c r="C84" s="183" t="s">
        <v>16</v>
      </c>
      <c r="D84" s="179"/>
      <c r="E84" s="386" t="s">
        <v>434</v>
      </c>
      <c r="F84" s="373" t="s">
        <v>75</v>
      </c>
      <c r="G84" s="370" t="s">
        <v>435</v>
      </c>
      <c r="H84" s="387" t="s">
        <v>436</v>
      </c>
      <c r="I84" s="393" t="s">
        <v>449</v>
      </c>
      <c r="J84" s="712">
        <v>44945</v>
      </c>
      <c r="K84" s="709">
        <v>0.375</v>
      </c>
      <c r="L84" s="712">
        <v>44945</v>
      </c>
      <c r="M84" s="739">
        <v>0.79166666666666663</v>
      </c>
      <c r="N84" s="179">
        <v>8.5</v>
      </c>
      <c r="O84" s="184" t="s">
        <v>411</v>
      </c>
      <c r="P84" s="185"/>
      <c r="Q84" s="746" t="s">
        <v>258</v>
      </c>
      <c r="R84" s="171" t="s">
        <v>81</v>
      </c>
      <c r="S84" s="31" t="s">
        <v>273</v>
      </c>
      <c r="T84" s="31" t="s">
        <v>273</v>
      </c>
      <c r="U84" s="31">
        <f>IFERROR(VLOOKUP(CONCATENATE(Tabla1[[#This Row],[Severidad]]," ",Tabla1[[#This Row],[Complejidad]]),Catalogos!E$120:G$128,3,FALSE),"")</f>
        <v>64</v>
      </c>
      <c r="V84" s="31" t="str">
        <f>IF(Tabla1[[#This Row],[Tiempo solución max (hrs)]]&lt;&gt;"",IF(Tabla1[[#This Row],[Tiempo solución max (hrs)]]&gt;=Tabla1[[#This Row],[Tiempo
(Hrs 00/100)]],"cumple","no cumple"),"")</f>
        <v>cumple</v>
      </c>
      <c r="W84" s="376" t="s">
        <v>374</v>
      </c>
      <c r="X84" s="377" t="str">
        <f t="shared" si="0"/>
        <v>SAW</v>
      </c>
      <c r="Y84" t="str">
        <f>SUBSTITUTE(Tabla1[[#This Row],[Descripción]],CHAR(10),"    I    ")</f>
        <v xml:space="preserve">Parlamento abierto </v>
      </c>
      <c r="Z84" s="378">
        <f>VLOOKUP(Tabla1[[#This Row],[Perfil]],Catalogos!$B$75:$D$100,3,FALSE)*Tabla1[[#This Row],[Tiempo
(Hrs 00/100)]]*1.16</f>
        <v>4930</v>
      </c>
    </row>
    <row r="85" spans="1:26" ht="42.75" customHeight="1" x14ac:dyDescent="0.3">
      <c r="A85" s="373" t="s">
        <v>22</v>
      </c>
      <c r="B85" s="184" t="s">
        <v>68</v>
      </c>
      <c r="C85" s="183" t="s">
        <v>16</v>
      </c>
      <c r="D85" s="179"/>
      <c r="E85" s="386" t="s">
        <v>434</v>
      </c>
      <c r="F85" s="373" t="s">
        <v>75</v>
      </c>
      <c r="G85" s="370" t="s">
        <v>435</v>
      </c>
      <c r="H85" s="387" t="s">
        <v>436</v>
      </c>
      <c r="I85" s="393" t="s">
        <v>443</v>
      </c>
      <c r="J85" s="712">
        <v>44946</v>
      </c>
      <c r="K85" s="709">
        <v>0.375</v>
      </c>
      <c r="L85" s="712">
        <v>44946</v>
      </c>
      <c r="M85" s="739">
        <v>0.66666666666666663</v>
      </c>
      <c r="N85" s="179">
        <v>7</v>
      </c>
      <c r="O85" s="184" t="s">
        <v>17</v>
      </c>
      <c r="P85" s="375" t="s">
        <v>450</v>
      </c>
      <c r="Q85" s="746" t="s">
        <v>258</v>
      </c>
      <c r="R85" s="171" t="s">
        <v>81</v>
      </c>
      <c r="S85" s="31" t="s">
        <v>273</v>
      </c>
      <c r="T85" s="31" t="s">
        <v>273</v>
      </c>
      <c r="U85" s="31">
        <f>IFERROR(VLOOKUP(CONCATENATE(Tabla1[[#This Row],[Severidad]]," ",Tabla1[[#This Row],[Complejidad]]),Catalogos!E$120:G$128,3,FALSE),"")</f>
        <v>64</v>
      </c>
      <c r="V85" s="31" t="str">
        <f>IF(Tabla1[[#This Row],[Tiempo solución max (hrs)]]&lt;&gt;"",IF(Tabla1[[#This Row],[Tiempo solución max (hrs)]]&gt;=Tabla1[[#This Row],[Tiempo
(Hrs 00/100)]],"cumple","no cumple"),"")</f>
        <v>cumple</v>
      </c>
      <c r="W85" s="376" t="s">
        <v>374</v>
      </c>
      <c r="X85" s="377" t="str">
        <f t="shared" si="0"/>
        <v>SAW</v>
      </c>
      <c r="Y85" t="str">
        <f>SUBSTITUTE(Tabla1[[#This Row],[Descripción]],CHAR(10),"    I    ")</f>
        <v xml:space="preserve">Revisiones de planes </v>
      </c>
      <c r="Z85" s="378">
        <f>VLOOKUP(Tabla1[[#This Row],[Perfil]],Catalogos!$B$75:$D$100,3,FALSE)*Tabla1[[#This Row],[Tiempo
(Hrs 00/100)]]*1.16</f>
        <v>4059.9999999999995</v>
      </c>
    </row>
    <row r="86" spans="1:26" ht="42.75" customHeight="1" x14ac:dyDescent="0.3">
      <c r="A86" s="373" t="s">
        <v>22</v>
      </c>
      <c r="B86" s="184" t="s">
        <v>68</v>
      </c>
      <c r="C86" s="183" t="s">
        <v>16</v>
      </c>
      <c r="D86" s="179"/>
      <c r="E86" s="386" t="s">
        <v>434</v>
      </c>
      <c r="F86" s="373" t="s">
        <v>75</v>
      </c>
      <c r="G86" s="370" t="s">
        <v>435</v>
      </c>
      <c r="H86" s="387" t="s">
        <v>436</v>
      </c>
      <c r="I86" s="393" t="s">
        <v>451</v>
      </c>
      <c r="J86" s="712">
        <v>44949</v>
      </c>
      <c r="K86" s="709">
        <v>0.375</v>
      </c>
      <c r="L86" s="712">
        <v>44949</v>
      </c>
      <c r="M86" s="739">
        <v>0.79166666666666663</v>
      </c>
      <c r="N86" s="179">
        <v>8.5</v>
      </c>
      <c r="O86" s="184" t="s">
        <v>411</v>
      </c>
      <c r="P86" s="375"/>
      <c r="Q86" s="746" t="s">
        <v>258</v>
      </c>
      <c r="R86" s="171" t="s">
        <v>81</v>
      </c>
      <c r="S86" s="31" t="s">
        <v>273</v>
      </c>
      <c r="T86" s="31" t="s">
        <v>273</v>
      </c>
      <c r="U86" s="31">
        <f>IFERROR(VLOOKUP(CONCATENATE(Tabla1[[#This Row],[Severidad]]," ",Tabla1[[#This Row],[Complejidad]]),Catalogos!E$120:G$128,3,FALSE),"")</f>
        <v>64</v>
      </c>
      <c r="V86" s="31" t="str">
        <f>IF(Tabla1[[#This Row],[Tiempo solución max (hrs)]]&lt;&gt;"",IF(Tabla1[[#This Row],[Tiempo solución max (hrs)]]&gt;=Tabla1[[#This Row],[Tiempo
(Hrs 00/100)]],"cumple","no cumple"),"")</f>
        <v>cumple</v>
      </c>
      <c r="W86" s="376" t="s">
        <v>374</v>
      </c>
      <c r="X86" s="377" t="str">
        <f t="shared" si="0"/>
        <v>SAW</v>
      </c>
      <c r="Y86" t="str">
        <f>SUBSTITUTE(Tabla1[[#This Row],[Descripción]],CHAR(10),"    I    ")</f>
        <v>promocion y vinculacion</v>
      </c>
      <c r="Z86" s="378">
        <f>VLOOKUP(Tabla1[[#This Row],[Perfil]],Catalogos!$B$75:$D$100,3,FALSE)*Tabla1[[#This Row],[Tiempo
(Hrs 00/100)]]*1.16</f>
        <v>4930</v>
      </c>
    </row>
    <row r="87" spans="1:26" ht="42.75" customHeight="1" x14ac:dyDescent="0.3">
      <c r="A87" s="373" t="s">
        <v>22</v>
      </c>
      <c r="B87" s="184" t="s">
        <v>68</v>
      </c>
      <c r="C87" s="183" t="s">
        <v>16</v>
      </c>
      <c r="D87" s="179"/>
      <c r="E87" s="386" t="s">
        <v>434</v>
      </c>
      <c r="F87" s="373" t="s">
        <v>75</v>
      </c>
      <c r="G87" s="370" t="s">
        <v>435</v>
      </c>
      <c r="H87" s="387" t="s">
        <v>436</v>
      </c>
      <c r="I87" s="396" t="s">
        <v>452</v>
      </c>
      <c r="J87" s="712">
        <v>44950</v>
      </c>
      <c r="K87" s="709">
        <v>0.375</v>
      </c>
      <c r="L87" s="712">
        <v>44950</v>
      </c>
      <c r="M87" s="739">
        <v>0.79166666666666663</v>
      </c>
      <c r="N87" s="179">
        <v>8.5</v>
      </c>
      <c r="O87" s="184" t="s">
        <v>411</v>
      </c>
      <c r="P87" s="397"/>
      <c r="Q87" s="746" t="s">
        <v>258</v>
      </c>
      <c r="R87" s="171" t="s">
        <v>81</v>
      </c>
      <c r="S87" s="31" t="s">
        <v>273</v>
      </c>
      <c r="T87" s="31" t="s">
        <v>273</v>
      </c>
      <c r="U87" s="31">
        <f>IFERROR(VLOOKUP(CONCATENATE(Tabla1[[#This Row],[Severidad]]," ",Tabla1[[#This Row],[Complejidad]]),Catalogos!E$120:G$128,3,FALSE),"")</f>
        <v>64</v>
      </c>
      <c r="V87" s="31" t="str">
        <f>IF(Tabla1[[#This Row],[Tiempo solución max (hrs)]]&lt;&gt;"",IF(Tabla1[[#This Row],[Tiempo solución max (hrs)]]&gt;=Tabla1[[#This Row],[Tiempo
(Hrs 00/100)]],"cumple","no cumple"),"")</f>
        <v>cumple</v>
      </c>
      <c r="W87" s="376" t="s">
        <v>374</v>
      </c>
      <c r="X87" s="377" t="str">
        <f t="shared" si="0"/>
        <v>SAW</v>
      </c>
      <c r="Y87" t="str">
        <f>SUBSTITUTE(Tabla1[[#This Row],[Descripción]],CHAR(10),"    I    ")</f>
        <v>Parlamento abierto 2022</v>
      </c>
      <c r="Z87" s="378">
        <f>VLOOKUP(Tabla1[[#This Row],[Perfil]],Catalogos!$B$75:$D$100,3,FALSE)*Tabla1[[#This Row],[Tiempo
(Hrs 00/100)]]*1.16</f>
        <v>4930</v>
      </c>
    </row>
    <row r="88" spans="1:26" ht="42.75" customHeight="1" x14ac:dyDescent="0.3">
      <c r="A88" s="373" t="s">
        <v>22</v>
      </c>
      <c r="B88" s="184" t="s">
        <v>68</v>
      </c>
      <c r="C88" s="183" t="s">
        <v>16</v>
      </c>
      <c r="D88" s="370"/>
      <c r="E88" s="386" t="s">
        <v>434</v>
      </c>
      <c r="F88" s="373" t="s">
        <v>75</v>
      </c>
      <c r="G88" s="370" t="s">
        <v>435</v>
      </c>
      <c r="H88" s="387" t="s">
        <v>436</v>
      </c>
      <c r="I88" s="393" t="s">
        <v>437</v>
      </c>
      <c r="J88" s="712">
        <v>44951</v>
      </c>
      <c r="K88" s="709">
        <v>0.375</v>
      </c>
      <c r="L88" s="712">
        <v>44951</v>
      </c>
      <c r="M88" s="739">
        <v>0.79166666666666663</v>
      </c>
      <c r="N88" s="179">
        <v>8.5</v>
      </c>
      <c r="O88" s="184" t="s">
        <v>411</v>
      </c>
      <c r="P88" s="185"/>
      <c r="Q88" s="746" t="s">
        <v>258</v>
      </c>
      <c r="R88" s="171" t="s">
        <v>81</v>
      </c>
      <c r="S88" s="31" t="s">
        <v>273</v>
      </c>
      <c r="T88" s="31" t="s">
        <v>273</v>
      </c>
      <c r="U88" s="31">
        <f>IFERROR(VLOOKUP(CONCATENATE(Tabla1[[#This Row],[Severidad]]," ",Tabla1[[#This Row],[Complejidad]]),Catalogos!E$120:G$128,3,FALSE),"")</f>
        <v>64</v>
      </c>
      <c r="V88" s="31" t="str">
        <f>IF(Tabla1[[#This Row],[Tiempo solución max (hrs)]]&lt;&gt;"",IF(Tabla1[[#This Row],[Tiempo solución max (hrs)]]&gt;=Tabla1[[#This Row],[Tiempo
(Hrs 00/100)]],"cumple","no cumple"),"")</f>
        <v>cumple</v>
      </c>
      <c r="W88" s="376" t="s">
        <v>374</v>
      </c>
      <c r="X88" s="377" t="str">
        <f t="shared" ref="X88:X150" si="17">IF(C88&lt;&gt;"",C88,D88)</f>
        <v>SAW</v>
      </c>
      <c r="Y88" t="str">
        <f>SUBSTITUTE(Tabla1[[#This Row],[Descripción]],CHAR(10),"    I    ")</f>
        <v xml:space="preserve">avances informes institucionales </v>
      </c>
      <c r="Z88" s="378">
        <f>VLOOKUP(Tabla1[[#This Row],[Perfil]],Catalogos!$B$75:$D$100,3,FALSE)*Tabla1[[#This Row],[Tiempo
(Hrs 00/100)]]*1.16</f>
        <v>4930</v>
      </c>
    </row>
    <row r="89" spans="1:26" ht="42.75" customHeight="1" x14ac:dyDescent="0.3">
      <c r="A89" s="373" t="s">
        <v>22</v>
      </c>
      <c r="B89" s="184" t="s">
        <v>68</v>
      </c>
      <c r="C89" s="183" t="s">
        <v>16</v>
      </c>
      <c r="D89" s="370"/>
      <c r="E89" s="386" t="s">
        <v>434</v>
      </c>
      <c r="F89" s="373" t="s">
        <v>75</v>
      </c>
      <c r="G89" s="370" t="s">
        <v>435</v>
      </c>
      <c r="H89" s="387" t="s">
        <v>436</v>
      </c>
      <c r="I89" s="393" t="s">
        <v>453</v>
      </c>
      <c r="J89" s="712">
        <v>44952</v>
      </c>
      <c r="K89" s="709">
        <v>0.375</v>
      </c>
      <c r="L89" s="712">
        <v>44952</v>
      </c>
      <c r="M89" s="739">
        <v>0.79166666666666663</v>
      </c>
      <c r="N89" s="179">
        <v>8.5</v>
      </c>
      <c r="O89" s="184" t="s">
        <v>411</v>
      </c>
      <c r="P89" s="185"/>
      <c r="Q89" s="746" t="s">
        <v>258</v>
      </c>
      <c r="R89" s="171" t="s">
        <v>81</v>
      </c>
      <c r="S89" s="31" t="s">
        <v>273</v>
      </c>
      <c r="T89" s="31" t="s">
        <v>273</v>
      </c>
      <c r="U89" s="31">
        <f>IFERROR(VLOOKUP(CONCATENATE(Tabla1[[#This Row],[Severidad]]," ",Tabla1[[#This Row],[Complejidad]]),Catalogos!E$120:G$128,3,FALSE),"")</f>
        <v>64</v>
      </c>
      <c r="V89" s="31" t="str">
        <f>IF(Tabla1[[#This Row],[Tiempo solución max (hrs)]]&lt;&gt;"",IF(Tabla1[[#This Row],[Tiempo solución max (hrs)]]&gt;=Tabla1[[#This Row],[Tiempo
(Hrs 00/100)]],"cumple","no cumple"),"")</f>
        <v>cumple</v>
      </c>
      <c r="W89" s="376" t="s">
        <v>374</v>
      </c>
      <c r="X89" s="377" t="str">
        <f t="shared" si="17"/>
        <v>SAW</v>
      </c>
      <c r="Y89" t="str">
        <f>SUBSTITUTE(Tabla1[[#This Row],[Descripción]],CHAR(10),"    I    ")</f>
        <v xml:space="preserve">Rediseño de submenu de pagina web </v>
      </c>
      <c r="Z89" s="378">
        <f>VLOOKUP(Tabla1[[#This Row],[Perfil]],Catalogos!$B$75:$D$100,3,FALSE)*Tabla1[[#This Row],[Tiempo
(Hrs 00/100)]]*1.16</f>
        <v>4930</v>
      </c>
    </row>
    <row r="90" spans="1:26" ht="42.75" customHeight="1" x14ac:dyDescent="0.3">
      <c r="A90" s="373" t="s">
        <v>22</v>
      </c>
      <c r="B90" s="184" t="s">
        <v>68</v>
      </c>
      <c r="C90" s="183" t="s">
        <v>16</v>
      </c>
      <c r="D90" s="179"/>
      <c r="E90" s="386" t="s">
        <v>434</v>
      </c>
      <c r="F90" s="373" t="s">
        <v>75</v>
      </c>
      <c r="G90" s="370" t="s">
        <v>435</v>
      </c>
      <c r="H90" s="387" t="s">
        <v>436</v>
      </c>
      <c r="I90" s="393" t="s">
        <v>454</v>
      </c>
      <c r="J90" s="712">
        <v>44953</v>
      </c>
      <c r="K90" s="709">
        <v>0.375</v>
      </c>
      <c r="L90" s="712">
        <v>44953</v>
      </c>
      <c r="M90" s="739">
        <v>0.66666666666666663</v>
      </c>
      <c r="N90" s="179">
        <v>7</v>
      </c>
      <c r="O90" s="184" t="s">
        <v>411</v>
      </c>
      <c r="P90" s="398"/>
      <c r="Q90" s="746" t="s">
        <v>258</v>
      </c>
      <c r="R90" s="171" t="s">
        <v>81</v>
      </c>
      <c r="S90" s="31" t="s">
        <v>273</v>
      </c>
      <c r="T90" s="31" t="s">
        <v>273</v>
      </c>
      <c r="U90" s="31">
        <f>IFERROR(VLOOKUP(CONCATENATE(Tabla1[[#This Row],[Severidad]]," ",Tabla1[[#This Row],[Complejidad]]),Catalogos!E$120:G$128,3,FALSE),"")</f>
        <v>64</v>
      </c>
      <c r="V90" s="31" t="str">
        <f>IF(Tabla1[[#This Row],[Tiempo solución max (hrs)]]&lt;&gt;"",IF(Tabla1[[#This Row],[Tiempo solución max (hrs)]]&gt;=Tabla1[[#This Row],[Tiempo
(Hrs 00/100)]],"cumple","no cumple"),"")</f>
        <v>cumple</v>
      </c>
      <c r="W90" s="376" t="s">
        <v>374</v>
      </c>
      <c r="X90" s="377" t="str">
        <f t="shared" si="17"/>
        <v>SAW</v>
      </c>
      <c r="Y90" t="str">
        <f>SUBSTITUTE(Tabla1[[#This Row],[Descripción]],CHAR(10),"    I    ")</f>
        <v>Consultas envio de usuarios</v>
      </c>
      <c r="Z90" s="378">
        <f>VLOOKUP(Tabla1[[#This Row],[Perfil]],Catalogos!$B$75:$D$100,3,FALSE)*Tabla1[[#This Row],[Tiempo
(Hrs 00/100)]]*1.16</f>
        <v>4059.9999999999995</v>
      </c>
    </row>
    <row r="91" spans="1:26" ht="42.75" customHeight="1" x14ac:dyDescent="0.3">
      <c r="A91" s="373" t="s">
        <v>22</v>
      </c>
      <c r="B91" s="184" t="s">
        <v>68</v>
      </c>
      <c r="C91" s="183" t="s">
        <v>16</v>
      </c>
      <c r="D91" s="179"/>
      <c r="E91" s="386" t="s">
        <v>434</v>
      </c>
      <c r="F91" s="373" t="s">
        <v>75</v>
      </c>
      <c r="G91" s="370" t="s">
        <v>435</v>
      </c>
      <c r="H91" s="387" t="s">
        <v>436</v>
      </c>
      <c r="I91" s="393" t="s">
        <v>455</v>
      </c>
      <c r="J91" s="712">
        <v>44956</v>
      </c>
      <c r="K91" s="709">
        <v>0.375</v>
      </c>
      <c r="L91" s="712">
        <v>44956</v>
      </c>
      <c r="M91" s="739">
        <v>0.79166666666666663</v>
      </c>
      <c r="N91" s="179">
        <v>8.5</v>
      </c>
      <c r="O91" s="184" t="s">
        <v>411</v>
      </c>
      <c r="P91" s="399"/>
      <c r="Q91" s="746" t="s">
        <v>258</v>
      </c>
      <c r="R91" s="171" t="s">
        <v>81</v>
      </c>
      <c r="S91" s="31" t="s">
        <v>273</v>
      </c>
      <c r="T91" s="31" t="s">
        <v>273</v>
      </c>
      <c r="U91" s="31">
        <f>IFERROR(VLOOKUP(CONCATENATE(Tabla1[[#This Row],[Severidad]]," ",Tabla1[[#This Row],[Complejidad]]),Catalogos!E$120:G$128,3,FALSE),"")</f>
        <v>64</v>
      </c>
      <c r="V91" s="31" t="str">
        <f>IF(Tabla1[[#This Row],[Tiempo solución max (hrs)]]&lt;&gt;"",IF(Tabla1[[#This Row],[Tiempo solución max (hrs)]]&gt;=Tabla1[[#This Row],[Tiempo
(Hrs 00/100)]],"cumple","no cumple"),"")</f>
        <v>cumple</v>
      </c>
      <c r="W91" s="376" t="s">
        <v>374</v>
      </c>
      <c r="X91" s="377" t="str">
        <f t="shared" si="17"/>
        <v>SAW</v>
      </c>
      <c r="Y91" t="str">
        <f>SUBSTITUTE(Tabla1[[#This Row],[Descripción]],CHAR(10),"    I    ")</f>
        <v xml:space="preserve">Paginas web </v>
      </c>
      <c r="Z91" s="378">
        <f>VLOOKUP(Tabla1[[#This Row],[Perfil]],Catalogos!$B$75:$D$100,3,FALSE)*Tabla1[[#This Row],[Tiempo
(Hrs 00/100)]]*1.16</f>
        <v>4930</v>
      </c>
    </row>
    <row r="92" spans="1:26" ht="42.75" customHeight="1" x14ac:dyDescent="0.3">
      <c r="A92" s="373" t="s">
        <v>22</v>
      </c>
      <c r="B92" s="184" t="s">
        <v>68</v>
      </c>
      <c r="C92" s="183" t="s">
        <v>16</v>
      </c>
      <c r="D92" s="179"/>
      <c r="E92" s="386" t="s">
        <v>434</v>
      </c>
      <c r="F92" s="373" t="s">
        <v>75</v>
      </c>
      <c r="G92" s="370" t="s">
        <v>435</v>
      </c>
      <c r="H92" s="387" t="s">
        <v>436</v>
      </c>
      <c r="I92" s="400" t="s">
        <v>438</v>
      </c>
      <c r="J92" s="712">
        <v>44957</v>
      </c>
      <c r="K92" s="709">
        <v>0.375</v>
      </c>
      <c r="L92" s="712">
        <v>44957</v>
      </c>
      <c r="M92" s="739">
        <v>0.79166666666666663</v>
      </c>
      <c r="N92" s="179">
        <v>8.5</v>
      </c>
      <c r="O92" s="184" t="s">
        <v>411</v>
      </c>
      <c r="P92" s="399"/>
      <c r="Q92" s="746" t="s">
        <v>258</v>
      </c>
      <c r="R92" s="171" t="s">
        <v>81</v>
      </c>
      <c r="S92" s="31" t="s">
        <v>273</v>
      </c>
      <c r="T92" s="31" t="s">
        <v>273</v>
      </c>
      <c r="U92" s="31">
        <f>IFERROR(VLOOKUP(CONCATENATE(Tabla1[[#This Row],[Severidad]]," ",Tabla1[[#This Row],[Complejidad]]),Catalogos!E$120:G$128,3,FALSE),"")</f>
        <v>64</v>
      </c>
      <c r="V92" s="31" t="str">
        <f>IF(Tabla1[[#This Row],[Tiempo solución max (hrs)]]&lt;&gt;"",IF(Tabla1[[#This Row],[Tiempo solución max (hrs)]]&gt;=Tabla1[[#This Row],[Tiempo
(Hrs 00/100)]],"cumple","no cumple"),"")</f>
        <v>cumple</v>
      </c>
      <c r="W92" s="376" t="s">
        <v>374</v>
      </c>
      <c r="X92" s="377" t="str">
        <f t="shared" si="17"/>
        <v>SAW</v>
      </c>
      <c r="Y92" t="str">
        <f>SUBSTITUTE(Tabla1[[#This Row],[Descripción]],CHAR(10),"    I    ")</f>
        <v>Desarrollo del sitio</v>
      </c>
      <c r="Z92" s="378">
        <f>VLOOKUP(Tabla1[[#This Row],[Perfil]],Catalogos!$B$75:$D$100,3,FALSE)*Tabla1[[#This Row],[Tiempo
(Hrs 00/100)]]*1.16</f>
        <v>4930</v>
      </c>
    </row>
    <row r="93" spans="1:26" ht="42.75" customHeight="1" x14ac:dyDescent="0.3">
      <c r="A93" s="373" t="s">
        <v>22</v>
      </c>
      <c r="B93" s="184" t="s">
        <v>23</v>
      </c>
      <c r="C93" s="183" t="s">
        <v>155</v>
      </c>
      <c r="D93" s="179"/>
      <c r="E93" s="386" t="s">
        <v>375</v>
      </c>
      <c r="F93" s="370" t="s">
        <v>23</v>
      </c>
      <c r="G93" s="370" t="s">
        <v>435</v>
      </c>
      <c r="H93" s="387" t="s">
        <v>22</v>
      </c>
      <c r="I93" s="178" t="s">
        <v>5380</v>
      </c>
      <c r="J93" s="713">
        <v>44938</v>
      </c>
      <c r="K93" s="747">
        <v>0.375</v>
      </c>
      <c r="L93" s="713">
        <v>44938</v>
      </c>
      <c r="M93" s="740">
        <v>0.79166666666666663</v>
      </c>
      <c r="N93" s="373">
        <v>8</v>
      </c>
      <c r="O93" s="184" t="s">
        <v>406</v>
      </c>
      <c r="P93" s="401" t="s">
        <v>465</v>
      </c>
      <c r="Q93" s="746" t="s">
        <v>264</v>
      </c>
      <c r="R93" s="202" t="s">
        <v>40</v>
      </c>
      <c r="S93" s="31" t="s">
        <v>273</v>
      </c>
      <c r="T93" s="31" t="s">
        <v>273</v>
      </c>
      <c r="U93" s="31">
        <f>IFERROR(VLOOKUP(CONCATENATE(Tabla1[[#This Row],[Severidad]]," ",Tabla1[[#This Row],[Complejidad]]),Catalogos!E$120:G$128,3,FALSE),"")</f>
        <v>64</v>
      </c>
      <c r="V93" s="31" t="str">
        <f>IF(Tabla1[[#This Row],[Tiempo solución max (hrs)]]&lt;&gt;"",IF(Tabla1[[#This Row],[Tiempo solución max (hrs)]]&gt;=Tabla1[[#This Row],[Tiempo
(Hrs 00/100)]],"cumple","no cumple"),"")</f>
        <v>cumple</v>
      </c>
      <c r="W93" s="376" t="s">
        <v>374</v>
      </c>
      <c r="X93" s="377" t="str">
        <f t="shared" si="17"/>
        <v>DS</v>
      </c>
      <c r="Y93" t="str">
        <f>SUBSTITUTE(Tabla1[[#This Row],[Descripción]],CHAR(10),"    I    ")</f>
        <v>Desarrollo e implementación de las soluciones a los hallazgos de vulnerabilidad de la PNT SIGEMI</v>
      </c>
      <c r="Z93" s="378">
        <f>VLOOKUP(Tabla1[[#This Row],[Perfil]],Catalogos!$B$75:$D$100,3,FALSE)*Tabla1[[#This Row],[Tiempo
(Hrs 00/100)]]*1.16</f>
        <v>6496</v>
      </c>
    </row>
    <row r="94" spans="1:26" ht="42.75" customHeight="1" x14ac:dyDescent="0.3">
      <c r="A94" s="373" t="s">
        <v>22</v>
      </c>
      <c r="B94" s="184" t="s">
        <v>23</v>
      </c>
      <c r="C94" s="183" t="s">
        <v>155</v>
      </c>
      <c r="D94" s="179"/>
      <c r="E94" s="386" t="s">
        <v>375</v>
      </c>
      <c r="F94" s="370" t="s">
        <v>23</v>
      </c>
      <c r="G94" s="370" t="s">
        <v>435</v>
      </c>
      <c r="H94" s="387" t="s">
        <v>22</v>
      </c>
      <c r="I94" s="178" t="s">
        <v>5380</v>
      </c>
      <c r="J94" s="713">
        <v>44939</v>
      </c>
      <c r="K94" s="747">
        <v>0.375</v>
      </c>
      <c r="L94" s="713">
        <v>44939</v>
      </c>
      <c r="M94" s="740">
        <v>0.79166666666666663</v>
      </c>
      <c r="N94" s="373">
        <v>8</v>
      </c>
      <c r="O94" s="184" t="s">
        <v>17</v>
      </c>
      <c r="P94" s="401" t="s">
        <v>465</v>
      </c>
      <c r="Q94" s="746" t="s">
        <v>264</v>
      </c>
      <c r="R94" s="202" t="s">
        <v>40</v>
      </c>
      <c r="S94" s="31" t="s">
        <v>273</v>
      </c>
      <c r="T94" s="31" t="s">
        <v>273</v>
      </c>
      <c r="U94" s="31">
        <f>IFERROR(VLOOKUP(CONCATENATE(Tabla1[[#This Row],[Severidad]]," ",Tabla1[[#This Row],[Complejidad]]),Catalogos!E$120:G$128,3,FALSE),"")</f>
        <v>64</v>
      </c>
      <c r="V94" s="31" t="str">
        <f>IF(Tabla1[[#This Row],[Tiempo solución max (hrs)]]&lt;&gt;"",IF(Tabla1[[#This Row],[Tiempo solución max (hrs)]]&gt;=Tabla1[[#This Row],[Tiempo
(Hrs 00/100)]],"cumple","no cumple"),"")</f>
        <v>cumple</v>
      </c>
      <c r="W94" s="376" t="s">
        <v>374</v>
      </c>
      <c r="X94" s="377" t="str">
        <f t="shared" ref="X94" si="18">IF(C94&lt;&gt;"",C94,D94)</f>
        <v>DS</v>
      </c>
      <c r="Y94" t="str">
        <f>SUBSTITUTE(Tabla1[[#This Row],[Descripción]],CHAR(10),"    I    ")</f>
        <v>Desarrollo e implementación de las soluciones a los hallazgos de vulnerabilidad de la PNT SIGEMI</v>
      </c>
      <c r="Z94" s="378">
        <f>VLOOKUP(Tabla1[[#This Row],[Perfil]],Catalogos!$B$75:$D$100,3,FALSE)*Tabla1[[#This Row],[Tiempo
(Hrs 00/100)]]*1.16</f>
        <v>6496</v>
      </c>
    </row>
    <row r="95" spans="1:26" ht="42.75" customHeight="1" x14ac:dyDescent="0.3">
      <c r="A95" s="373" t="s">
        <v>22</v>
      </c>
      <c r="B95" s="184" t="s">
        <v>23</v>
      </c>
      <c r="C95" s="183" t="s">
        <v>155</v>
      </c>
      <c r="D95" s="179"/>
      <c r="E95" s="386" t="s">
        <v>375</v>
      </c>
      <c r="F95" s="370" t="s">
        <v>23</v>
      </c>
      <c r="G95" s="370" t="s">
        <v>435</v>
      </c>
      <c r="H95" s="387" t="s">
        <v>22</v>
      </c>
      <c r="I95" s="178" t="s">
        <v>5381</v>
      </c>
      <c r="J95" s="713">
        <v>44942</v>
      </c>
      <c r="K95" s="747">
        <v>0.375</v>
      </c>
      <c r="L95" s="713">
        <v>44942</v>
      </c>
      <c r="M95" s="740">
        <v>0.79166666666666663</v>
      </c>
      <c r="N95" s="373">
        <v>8</v>
      </c>
      <c r="O95" s="184" t="s">
        <v>406</v>
      </c>
      <c r="P95" s="401" t="s">
        <v>465</v>
      </c>
      <c r="Q95" s="746" t="s">
        <v>264</v>
      </c>
      <c r="R95" s="202" t="s">
        <v>40</v>
      </c>
      <c r="S95" s="31" t="s">
        <v>273</v>
      </c>
      <c r="T95" s="31" t="s">
        <v>273</v>
      </c>
      <c r="U95" s="31">
        <f>IFERROR(VLOOKUP(CONCATENATE(Tabla1[[#This Row],[Severidad]]," ",Tabla1[[#This Row],[Complejidad]]),Catalogos!E$120:G$128,3,FALSE),"")</f>
        <v>64</v>
      </c>
      <c r="V95" s="31" t="str">
        <f>IF(Tabla1[[#This Row],[Tiempo solución max (hrs)]]&lt;&gt;"",IF(Tabla1[[#This Row],[Tiempo solución max (hrs)]]&gt;=Tabla1[[#This Row],[Tiempo
(Hrs 00/100)]],"cumple","no cumple"),"")</f>
        <v>cumple</v>
      </c>
      <c r="W95" s="376" t="s">
        <v>374</v>
      </c>
      <c r="X95" s="377" t="str">
        <f t="shared" si="17"/>
        <v>DS</v>
      </c>
      <c r="Y95" t="str">
        <f>SUBSTITUTE(Tabla1[[#This Row],[Descripción]],CHAR(10),"    I    ")</f>
        <v>Desarrollo e implementación de las soluciones a los hallazgos de vulnerabilidad de la PNT SISAI</v>
      </c>
      <c r="Z95" s="378">
        <f>VLOOKUP(Tabla1[[#This Row],[Perfil]],Catalogos!$B$75:$D$100,3,FALSE)*Tabla1[[#This Row],[Tiempo
(Hrs 00/100)]]*1.16</f>
        <v>6496</v>
      </c>
    </row>
    <row r="96" spans="1:26" ht="42.75" customHeight="1" x14ac:dyDescent="0.3">
      <c r="A96" s="373" t="s">
        <v>22</v>
      </c>
      <c r="B96" s="184" t="s">
        <v>23</v>
      </c>
      <c r="C96" s="183" t="s">
        <v>155</v>
      </c>
      <c r="D96" s="179"/>
      <c r="E96" s="386" t="s">
        <v>375</v>
      </c>
      <c r="F96" s="370" t="s">
        <v>23</v>
      </c>
      <c r="G96" s="370" t="s">
        <v>435</v>
      </c>
      <c r="H96" s="387" t="s">
        <v>22</v>
      </c>
      <c r="I96" s="178" t="s">
        <v>5381</v>
      </c>
      <c r="J96" s="713">
        <v>44943</v>
      </c>
      <c r="K96" s="747">
        <v>0.375</v>
      </c>
      <c r="L96" s="713">
        <v>44943</v>
      </c>
      <c r="M96" s="740">
        <v>0.79166666666666663</v>
      </c>
      <c r="N96" s="373">
        <v>8</v>
      </c>
      <c r="O96" s="184" t="s">
        <v>406</v>
      </c>
      <c r="P96" s="401" t="s">
        <v>465</v>
      </c>
      <c r="Q96" s="746" t="s">
        <v>264</v>
      </c>
      <c r="R96" s="202" t="s">
        <v>40</v>
      </c>
      <c r="S96" s="31" t="s">
        <v>273</v>
      </c>
      <c r="T96" s="31" t="s">
        <v>273</v>
      </c>
      <c r="U96" s="31">
        <f>IFERROR(VLOOKUP(CONCATENATE(Tabla1[[#This Row],[Severidad]]," ",Tabla1[[#This Row],[Complejidad]]),Catalogos!E$120:G$128,3,FALSE),"")</f>
        <v>64</v>
      </c>
      <c r="V96" s="31" t="str">
        <f>IF(Tabla1[[#This Row],[Tiempo solución max (hrs)]]&lt;&gt;"",IF(Tabla1[[#This Row],[Tiempo solución max (hrs)]]&gt;=Tabla1[[#This Row],[Tiempo
(Hrs 00/100)]],"cumple","no cumple"),"")</f>
        <v>cumple</v>
      </c>
      <c r="W96" s="376" t="s">
        <v>374</v>
      </c>
      <c r="X96" s="377" t="str">
        <f t="shared" ref="X96:X99" si="19">IF(C96&lt;&gt;"",C96,D96)</f>
        <v>DS</v>
      </c>
      <c r="Y96" t="str">
        <f>SUBSTITUTE(Tabla1[[#This Row],[Descripción]],CHAR(10),"    I    ")</f>
        <v>Desarrollo e implementación de las soluciones a los hallazgos de vulnerabilidad de la PNT SISAI</v>
      </c>
      <c r="Z96" s="378">
        <f>VLOOKUP(Tabla1[[#This Row],[Perfil]],Catalogos!$B$75:$D$100,3,FALSE)*Tabla1[[#This Row],[Tiempo
(Hrs 00/100)]]*1.16</f>
        <v>6496</v>
      </c>
    </row>
    <row r="97" spans="1:26" ht="42.75" customHeight="1" x14ac:dyDescent="0.3">
      <c r="A97" s="373" t="s">
        <v>22</v>
      </c>
      <c r="B97" s="184" t="s">
        <v>23</v>
      </c>
      <c r="C97" s="183" t="s">
        <v>155</v>
      </c>
      <c r="D97" s="179"/>
      <c r="E97" s="386" t="s">
        <v>375</v>
      </c>
      <c r="F97" s="370" t="s">
        <v>23</v>
      </c>
      <c r="G97" s="370" t="s">
        <v>435</v>
      </c>
      <c r="H97" s="387" t="s">
        <v>22</v>
      </c>
      <c r="I97" s="178" t="s">
        <v>5381</v>
      </c>
      <c r="J97" s="713">
        <v>44944</v>
      </c>
      <c r="K97" s="747">
        <v>0.375</v>
      </c>
      <c r="L97" s="713">
        <v>44944</v>
      </c>
      <c r="M97" s="740">
        <v>0.79166666666666663</v>
      </c>
      <c r="N97" s="373">
        <v>8</v>
      </c>
      <c r="O97" s="184" t="s">
        <v>406</v>
      </c>
      <c r="P97" s="401" t="s">
        <v>465</v>
      </c>
      <c r="Q97" s="746" t="s">
        <v>264</v>
      </c>
      <c r="R97" s="202" t="s">
        <v>40</v>
      </c>
      <c r="S97" s="31" t="s">
        <v>273</v>
      </c>
      <c r="T97" s="31" t="s">
        <v>273</v>
      </c>
      <c r="U97" s="31">
        <f>IFERROR(VLOOKUP(CONCATENATE(Tabla1[[#This Row],[Severidad]]," ",Tabla1[[#This Row],[Complejidad]]),Catalogos!E$120:G$128,3,FALSE),"")</f>
        <v>64</v>
      </c>
      <c r="V97" s="31" t="str">
        <f>IF(Tabla1[[#This Row],[Tiempo solución max (hrs)]]&lt;&gt;"",IF(Tabla1[[#This Row],[Tiempo solución max (hrs)]]&gt;=Tabla1[[#This Row],[Tiempo
(Hrs 00/100)]],"cumple","no cumple"),"")</f>
        <v>cumple</v>
      </c>
      <c r="W97" s="376" t="s">
        <v>374</v>
      </c>
      <c r="X97" s="377" t="str">
        <f t="shared" si="19"/>
        <v>DS</v>
      </c>
      <c r="Y97" t="str">
        <f>SUBSTITUTE(Tabla1[[#This Row],[Descripción]],CHAR(10),"    I    ")</f>
        <v>Desarrollo e implementación de las soluciones a los hallazgos de vulnerabilidad de la PNT SISAI</v>
      </c>
      <c r="Z97" s="378">
        <f>VLOOKUP(Tabla1[[#This Row],[Perfil]],Catalogos!$B$75:$D$100,3,FALSE)*Tabla1[[#This Row],[Tiempo
(Hrs 00/100)]]*1.16</f>
        <v>6496</v>
      </c>
    </row>
    <row r="98" spans="1:26" ht="42.75" customHeight="1" x14ac:dyDescent="0.3">
      <c r="A98" s="373" t="s">
        <v>22</v>
      </c>
      <c r="B98" s="184" t="s">
        <v>23</v>
      </c>
      <c r="C98" s="183" t="s">
        <v>155</v>
      </c>
      <c r="D98" s="179"/>
      <c r="E98" s="386" t="s">
        <v>375</v>
      </c>
      <c r="F98" s="370" t="s">
        <v>23</v>
      </c>
      <c r="G98" s="370" t="s">
        <v>435</v>
      </c>
      <c r="H98" s="387" t="s">
        <v>22</v>
      </c>
      <c r="I98" s="178" t="s">
        <v>5381</v>
      </c>
      <c r="J98" s="713">
        <v>44945</v>
      </c>
      <c r="K98" s="747">
        <v>0.375</v>
      </c>
      <c r="L98" s="713">
        <v>44945</v>
      </c>
      <c r="M98" s="740">
        <v>0.79166666666666663</v>
      </c>
      <c r="N98" s="373">
        <v>8</v>
      </c>
      <c r="O98" s="184" t="s">
        <v>406</v>
      </c>
      <c r="P98" s="401" t="s">
        <v>465</v>
      </c>
      <c r="Q98" s="746" t="s">
        <v>264</v>
      </c>
      <c r="R98" s="202" t="s">
        <v>40</v>
      </c>
      <c r="S98" s="31" t="s">
        <v>273</v>
      </c>
      <c r="T98" s="31" t="s">
        <v>273</v>
      </c>
      <c r="U98" s="31">
        <f>IFERROR(VLOOKUP(CONCATENATE(Tabla1[[#This Row],[Severidad]]," ",Tabla1[[#This Row],[Complejidad]]),Catalogos!E$120:G$128,3,FALSE),"")</f>
        <v>64</v>
      </c>
      <c r="V98" s="31" t="str">
        <f>IF(Tabla1[[#This Row],[Tiempo solución max (hrs)]]&lt;&gt;"",IF(Tabla1[[#This Row],[Tiempo solución max (hrs)]]&gt;=Tabla1[[#This Row],[Tiempo
(Hrs 00/100)]],"cumple","no cumple"),"")</f>
        <v>cumple</v>
      </c>
      <c r="W98" s="376" t="s">
        <v>374</v>
      </c>
      <c r="X98" s="377" t="str">
        <f t="shared" si="19"/>
        <v>DS</v>
      </c>
      <c r="Y98" t="str">
        <f>SUBSTITUTE(Tabla1[[#This Row],[Descripción]],CHAR(10),"    I    ")</f>
        <v>Desarrollo e implementación de las soluciones a los hallazgos de vulnerabilidad de la PNT SISAI</v>
      </c>
      <c r="Z98" s="378">
        <f>VLOOKUP(Tabla1[[#This Row],[Perfil]],Catalogos!$B$75:$D$100,3,FALSE)*Tabla1[[#This Row],[Tiempo
(Hrs 00/100)]]*1.16</f>
        <v>6496</v>
      </c>
    </row>
    <row r="99" spans="1:26" ht="42.75" customHeight="1" x14ac:dyDescent="0.3">
      <c r="A99" s="373" t="s">
        <v>22</v>
      </c>
      <c r="B99" s="184" t="s">
        <v>23</v>
      </c>
      <c r="C99" s="183" t="s">
        <v>155</v>
      </c>
      <c r="D99" s="179"/>
      <c r="E99" s="386" t="s">
        <v>375</v>
      </c>
      <c r="F99" s="370" t="s">
        <v>23</v>
      </c>
      <c r="G99" s="370" t="s">
        <v>435</v>
      </c>
      <c r="H99" s="387" t="s">
        <v>22</v>
      </c>
      <c r="I99" s="178" t="s">
        <v>5381</v>
      </c>
      <c r="J99" s="713">
        <v>44946</v>
      </c>
      <c r="K99" s="747">
        <v>0.375</v>
      </c>
      <c r="L99" s="713">
        <v>44946</v>
      </c>
      <c r="M99" s="740">
        <v>0.79166666666666663</v>
      </c>
      <c r="N99" s="373">
        <v>8</v>
      </c>
      <c r="O99" s="184" t="s">
        <v>17</v>
      </c>
      <c r="P99" s="401" t="s">
        <v>465</v>
      </c>
      <c r="Q99" s="746" t="s">
        <v>264</v>
      </c>
      <c r="R99" s="202" t="s">
        <v>40</v>
      </c>
      <c r="S99" s="31" t="s">
        <v>273</v>
      </c>
      <c r="T99" s="31" t="s">
        <v>273</v>
      </c>
      <c r="U99" s="31">
        <f>IFERROR(VLOOKUP(CONCATENATE(Tabla1[[#This Row],[Severidad]]," ",Tabla1[[#This Row],[Complejidad]]),Catalogos!E$120:G$128,3,FALSE),"")</f>
        <v>64</v>
      </c>
      <c r="V99" s="31" t="str">
        <f>IF(Tabla1[[#This Row],[Tiempo solución max (hrs)]]&lt;&gt;"",IF(Tabla1[[#This Row],[Tiempo solución max (hrs)]]&gt;=Tabla1[[#This Row],[Tiempo
(Hrs 00/100)]],"cumple","no cumple"),"")</f>
        <v>cumple</v>
      </c>
      <c r="W99" s="376" t="s">
        <v>374</v>
      </c>
      <c r="X99" s="377" t="str">
        <f t="shared" si="19"/>
        <v>DS</v>
      </c>
      <c r="Y99" t="str">
        <f>SUBSTITUTE(Tabla1[[#This Row],[Descripción]],CHAR(10),"    I    ")</f>
        <v>Desarrollo e implementación de las soluciones a los hallazgos de vulnerabilidad de la PNT SISAI</v>
      </c>
      <c r="Z99" s="378">
        <f>VLOOKUP(Tabla1[[#This Row],[Perfil]],Catalogos!$B$75:$D$100,3,FALSE)*Tabla1[[#This Row],[Tiempo
(Hrs 00/100)]]*1.16</f>
        <v>6496</v>
      </c>
    </row>
    <row r="100" spans="1:26" ht="42.75" customHeight="1" x14ac:dyDescent="0.3">
      <c r="A100" s="373" t="s">
        <v>22</v>
      </c>
      <c r="B100" s="184" t="s">
        <v>23</v>
      </c>
      <c r="C100" s="183" t="s">
        <v>155</v>
      </c>
      <c r="D100" s="179"/>
      <c r="E100" s="386" t="s">
        <v>375</v>
      </c>
      <c r="F100" s="370" t="s">
        <v>23</v>
      </c>
      <c r="G100" s="370" t="s">
        <v>435</v>
      </c>
      <c r="H100" s="387" t="s">
        <v>22</v>
      </c>
      <c r="I100" s="178" t="s">
        <v>5382</v>
      </c>
      <c r="J100" s="713">
        <v>44949</v>
      </c>
      <c r="K100" s="747">
        <v>0.375</v>
      </c>
      <c r="L100" s="713">
        <v>44949</v>
      </c>
      <c r="M100" s="740">
        <v>0.79166666666666663</v>
      </c>
      <c r="N100" s="373">
        <v>8</v>
      </c>
      <c r="O100" s="184" t="s">
        <v>406</v>
      </c>
      <c r="P100" s="401" t="s">
        <v>465</v>
      </c>
      <c r="Q100" s="746" t="s">
        <v>264</v>
      </c>
      <c r="R100" s="202" t="s">
        <v>40</v>
      </c>
      <c r="S100" s="31" t="s">
        <v>273</v>
      </c>
      <c r="T100" s="31" t="s">
        <v>273</v>
      </c>
      <c r="U100" s="31">
        <f>IFERROR(VLOOKUP(CONCATENATE(Tabla1[[#This Row],[Severidad]]," ",Tabla1[[#This Row],[Complejidad]]),Catalogos!E$120:G$128,3,FALSE),"")</f>
        <v>64</v>
      </c>
      <c r="V100" s="31" t="str">
        <f>IF(Tabla1[[#This Row],[Tiempo solución max (hrs)]]&lt;&gt;"",IF(Tabla1[[#This Row],[Tiempo solución max (hrs)]]&gt;=Tabla1[[#This Row],[Tiempo
(Hrs 00/100)]],"cumple","no cumple"),"")</f>
        <v>cumple</v>
      </c>
      <c r="W100" s="376" t="s">
        <v>374</v>
      </c>
      <c r="X100" s="377" t="str">
        <f t="shared" si="17"/>
        <v>DS</v>
      </c>
      <c r="Y100" t="str">
        <f>SUBSTITUTE(Tabla1[[#This Row],[Descripción]],CHAR(10),"    I    ")</f>
        <v>Desarrollo e implementación de las soluciones a los hallazgos de vulnerabilidad de la PNT Modulo de Usuarios</v>
      </c>
      <c r="Z100" s="378">
        <f>VLOOKUP(Tabla1[[#This Row],[Perfil]],Catalogos!$B$75:$D$100,3,FALSE)*Tabla1[[#This Row],[Tiempo
(Hrs 00/100)]]*1.16</f>
        <v>6496</v>
      </c>
    </row>
    <row r="101" spans="1:26" ht="42.75" customHeight="1" x14ac:dyDescent="0.3">
      <c r="A101" s="373" t="s">
        <v>22</v>
      </c>
      <c r="B101" s="184" t="s">
        <v>23</v>
      </c>
      <c r="C101" s="183" t="s">
        <v>155</v>
      </c>
      <c r="D101" s="179"/>
      <c r="E101" s="386" t="s">
        <v>375</v>
      </c>
      <c r="F101" s="370" t="s">
        <v>23</v>
      </c>
      <c r="G101" s="370" t="s">
        <v>435</v>
      </c>
      <c r="H101" s="387" t="s">
        <v>22</v>
      </c>
      <c r="I101" s="178" t="s">
        <v>5382</v>
      </c>
      <c r="J101" s="713">
        <v>44950</v>
      </c>
      <c r="K101" s="747">
        <v>0.375</v>
      </c>
      <c r="L101" s="713">
        <v>44950</v>
      </c>
      <c r="M101" s="740">
        <v>0.79166666666666663</v>
      </c>
      <c r="N101" s="373">
        <v>8</v>
      </c>
      <c r="O101" s="184" t="s">
        <v>406</v>
      </c>
      <c r="P101" s="401" t="s">
        <v>465</v>
      </c>
      <c r="Q101" s="746" t="s">
        <v>264</v>
      </c>
      <c r="R101" s="202" t="s">
        <v>40</v>
      </c>
      <c r="S101" s="31" t="s">
        <v>273</v>
      </c>
      <c r="T101" s="31" t="s">
        <v>273</v>
      </c>
      <c r="U101" s="31">
        <f>IFERROR(VLOOKUP(CONCATENATE(Tabla1[[#This Row],[Severidad]]," ",Tabla1[[#This Row],[Complejidad]]),Catalogos!E$120:G$128,3,FALSE),"")</f>
        <v>64</v>
      </c>
      <c r="V101" s="31" t="str">
        <f>IF(Tabla1[[#This Row],[Tiempo solución max (hrs)]]&lt;&gt;"",IF(Tabla1[[#This Row],[Tiempo solución max (hrs)]]&gt;=Tabla1[[#This Row],[Tiempo
(Hrs 00/100)]],"cumple","no cumple"),"")</f>
        <v>cumple</v>
      </c>
      <c r="W101" s="376" t="s">
        <v>374</v>
      </c>
      <c r="X101" s="377" t="str">
        <f t="shared" ref="X101:X104" si="20">IF(C101&lt;&gt;"",C101,D101)</f>
        <v>DS</v>
      </c>
      <c r="Y101" t="str">
        <f>SUBSTITUTE(Tabla1[[#This Row],[Descripción]],CHAR(10),"    I    ")</f>
        <v>Desarrollo e implementación de las soluciones a los hallazgos de vulnerabilidad de la PNT Modulo de Usuarios</v>
      </c>
      <c r="Z101" s="378">
        <f>VLOOKUP(Tabla1[[#This Row],[Perfil]],Catalogos!$B$75:$D$100,3,FALSE)*Tabla1[[#This Row],[Tiempo
(Hrs 00/100)]]*1.16</f>
        <v>6496</v>
      </c>
    </row>
    <row r="102" spans="1:26" ht="42.75" customHeight="1" x14ac:dyDescent="0.3">
      <c r="A102" s="373" t="s">
        <v>22</v>
      </c>
      <c r="B102" s="184" t="s">
        <v>23</v>
      </c>
      <c r="C102" s="183" t="s">
        <v>155</v>
      </c>
      <c r="D102" s="179"/>
      <c r="E102" s="386" t="s">
        <v>375</v>
      </c>
      <c r="F102" s="370" t="s">
        <v>23</v>
      </c>
      <c r="G102" s="370" t="s">
        <v>435</v>
      </c>
      <c r="H102" s="387" t="s">
        <v>22</v>
      </c>
      <c r="I102" s="178" t="s">
        <v>5382</v>
      </c>
      <c r="J102" s="713">
        <v>44951</v>
      </c>
      <c r="K102" s="747">
        <v>0.375</v>
      </c>
      <c r="L102" s="713">
        <v>44951</v>
      </c>
      <c r="M102" s="740">
        <v>0.79166666666666663</v>
      </c>
      <c r="N102" s="373">
        <v>8</v>
      </c>
      <c r="O102" s="184" t="s">
        <v>406</v>
      </c>
      <c r="P102" s="401" t="s">
        <v>465</v>
      </c>
      <c r="Q102" s="746" t="s">
        <v>264</v>
      </c>
      <c r="R102" s="202" t="s">
        <v>40</v>
      </c>
      <c r="S102" s="31" t="s">
        <v>273</v>
      </c>
      <c r="T102" s="31" t="s">
        <v>273</v>
      </c>
      <c r="U102" s="31">
        <f>IFERROR(VLOOKUP(CONCATENATE(Tabla1[[#This Row],[Severidad]]," ",Tabla1[[#This Row],[Complejidad]]),Catalogos!E$120:G$128,3,FALSE),"")</f>
        <v>64</v>
      </c>
      <c r="V102" s="31" t="str">
        <f>IF(Tabla1[[#This Row],[Tiempo solución max (hrs)]]&lt;&gt;"",IF(Tabla1[[#This Row],[Tiempo solución max (hrs)]]&gt;=Tabla1[[#This Row],[Tiempo
(Hrs 00/100)]],"cumple","no cumple"),"")</f>
        <v>cumple</v>
      </c>
      <c r="W102" s="376" t="s">
        <v>374</v>
      </c>
      <c r="X102" s="377" t="str">
        <f t="shared" si="20"/>
        <v>DS</v>
      </c>
      <c r="Y102" t="str">
        <f>SUBSTITUTE(Tabla1[[#This Row],[Descripción]],CHAR(10),"    I    ")</f>
        <v>Desarrollo e implementación de las soluciones a los hallazgos de vulnerabilidad de la PNT Modulo de Usuarios</v>
      </c>
      <c r="Z102" s="378">
        <f>VLOOKUP(Tabla1[[#This Row],[Perfil]],Catalogos!$B$75:$D$100,3,FALSE)*Tabla1[[#This Row],[Tiempo
(Hrs 00/100)]]*1.16</f>
        <v>6496</v>
      </c>
    </row>
    <row r="103" spans="1:26" ht="42.75" customHeight="1" x14ac:dyDescent="0.3">
      <c r="A103" s="373" t="s">
        <v>22</v>
      </c>
      <c r="B103" s="184" t="s">
        <v>23</v>
      </c>
      <c r="C103" s="183" t="s">
        <v>155</v>
      </c>
      <c r="D103" s="179"/>
      <c r="E103" s="386" t="s">
        <v>375</v>
      </c>
      <c r="F103" s="370" t="s">
        <v>23</v>
      </c>
      <c r="G103" s="370" t="s">
        <v>435</v>
      </c>
      <c r="H103" s="387" t="s">
        <v>22</v>
      </c>
      <c r="I103" s="178" t="s">
        <v>5382</v>
      </c>
      <c r="J103" s="713">
        <v>44952</v>
      </c>
      <c r="K103" s="747">
        <v>0.375</v>
      </c>
      <c r="L103" s="713">
        <v>44952</v>
      </c>
      <c r="M103" s="740">
        <v>0.79166666666666663</v>
      </c>
      <c r="N103" s="373">
        <v>8</v>
      </c>
      <c r="O103" s="184" t="s">
        <v>406</v>
      </c>
      <c r="P103" s="401" t="s">
        <v>465</v>
      </c>
      <c r="Q103" s="746" t="s">
        <v>264</v>
      </c>
      <c r="R103" s="202" t="s">
        <v>40</v>
      </c>
      <c r="S103" s="31" t="s">
        <v>273</v>
      </c>
      <c r="T103" s="31" t="s">
        <v>273</v>
      </c>
      <c r="U103" s="31">
        <f>IFERROR(VLOOKUP(CONCATENATE(Tabla1[[#This Row],[Severidad]]," ",Tabla1[[#This Row],[Complejidad]]),Catalogos!E$120:G$128,3,FALSE),"")</f>
        <v>64</v>
      </c>
      <c r="V103" s="31" t="str">
        <f>IF(Tabla1[[#This Row],[Tiempo solución max (hrs)]]&lt;&gt;"",IF(Tabla1[[#This Row],[Tiempo solución max (hrs)]]&gt;=Tabla1[[#This Row],[Tiempo
(Hrs 00/100)]],"cumple","no cumple"),"")</f>
        <v>cumple</v>
      </c>
      <c r="W103" s="376" t="s">
        <v>374</v>
      </c>
      <c r="X103" s="377" t="str">
        <f t="shared" si="20"/>
        <v>DS</v>
      </c>
      <c r="Y103" t="str">
        <f>SUBSTITUTE(Tabla1[[#This Row],[Descripción]],CHAR(10),"    I    ")</f>
        <v>Desarrollo e implementación de las soluciones a los hallazgos de vulnerabilidad de la PNT Modulo de Usuarios</v>
      </c>
      <c r="Z103" s="378">
        <f>VLOOKUP(Tabla1[[#This Row],[Perfil]],Catalogos!$B$75:$D$100,3,FALSE)*Tabla1[[#This Row],[Tiempo
(Hrs 00/100)]]*1.16</f>
        <v>6496</v>
      </c>
    </row>
    <row r="104" spans="1:26" ht="42.75" customHeight="1" x14ac:dyDescent="0.3">
      <c r="A104" s="373" t="s">
        <v>22</v>
      </c>
      <c r="B104" s="184" t="s">
        <v>23</v>
      </c>
      <c r="C104" s="183" t="s">
        <v>155</v>
      </c>
      <c r="D104" s="179"/>
      <c r="E104" s="386" t="s">
        <v>375</v>
      </c>
      <c r="F104" s="370" t="s">
        <v>23</v>
      </c>
      <c r="G104" s="370" t="s">
        <v>435</v>
      </c>
      <c r="H104" s="387" t="s">
        <v>22</v>
      </c>
      <c r="I104" s="178" t="s">
        <v>5382</v>
      </c>
      <c r="J104" s="713">
        <v>44953</v>
      </c>
      <c r="K104" s="747">
        <v>0.375</v>
      </c>
      <c r="L104" s="713">
        <v>44953</v>
      </c>
      <c r="M104" s="740">
        <v>0.79166666666666663</v>
      </c>
      <c r="N104" s="373">
        <v>8</v>
      </c>
      <c r="O104" s="184" t="s">
        <v>17</v>
      </c>
      <c r="P104" s="401" t="s">
        <v>465</v>
      </c>
      <c r="Q104" s="746" t="s">
        <v>264</v>
      </c>
      <c r="R104" s="202" t="s">
        <v>40</v>
      </c>
      <c r="S104" s="31" t="s">
        <v>273</v>
      </c>
      <c r="T104" s="31" t="s">
        <v>273</v>
      </c>
      <c r="U104" s="31">
        <f>IFERROR(VLOOKUP(CONCATENATE(Tabla1[[#This Row],[Severidad]]," ",Tabla1[[#This Row],[Complejidad]]),Catalogos!E$120:G$128,3,FALSE),"")</f>
        <v>64</v>
      </c>
      <c r="V104" s="31" t="str">
        <f>IF(Tabla1[[#This Row],[Tiempo solución max (hrs)]]&lt;&gt;"",IF(Tabla1[[#This Row],[Tiempo solución max (hrs)]]&gt;=Tabla1[[#This Row],[Tiempo
(Hrs 00/100)]],"cumple","no cumple"),"")</f>
        <v>cumple</v>
      </c>
      <c r="W104" s="376" t="s">
        <v>374</v>
      </c>
      <c r="X104" s="377" t="str">
        <f t="shared" si="20"/>
        <v>DS</v>
      </c>
      <c r="Y104" t="str">
        <f>SUBSTITUTE(Tabla1[[#This Row],[Descripción]],CHAR(10),"    I    ")</f>
        <v>Desarrollo e implementación de las soluciones a los hallazgos de vulnerabilidad de la PNT Modulo de Usuarios</v>
      </c>
      <c r="Z104" s="378">
        <f>VLOOKUP(Tabla1[[#This Row],[Perfil]],Catalogos!$B$75:$D$100,3,FALSE)*Tabla1[[#This Row],[Tiempo
(Hrs 00/100)]]*1.16</f>
        <v>6496</v>
      </c>
    </row>
    <row r="105" spans="1:26" ht="42.75" customHeight="1" x14ac:dyDescent="0.3">
      <c r="A105" s="373" t="s">
        <v>22</v>
      </c>
      <c r="B105" s="184" t="s">
        <v>23</v>
      </c>
      <c r="C105" s="183" t="s">
        <v>155</v>
      </c>
      <c r="D105" s="179"/>
      <c r="E105" s="386" t="s">
        <v>375</v>
      </c>
      <c r="F105" s="370" t="s">
        <v>23</v>
      </c>
      <c r="G105" s="370" t="s">
        <v>435</v>
      </c>
      <c r="H105" s="387" t="s">
        <v>22</v>
      </c>
      <c r="I105" s="178" t="s">
        <v>5383</v>
      </c>
      <c r="J105" s="713">
        <v>44956</v>
      </c>
      <c r="K105" s="747">
        <v>0.375</v>
      </c>
      <c r="L105" s="713">
        <v>44956</v>
      </c>
      <c r="M105" s="740">
        <v>0.79166666666666663</v>
      </c>
      <c r="N105" s="373">
        <v>8</v>
      </c>
      <c r="O105" s="184" t="s">
        <v>411</v>
      </c>
      <c r="P105" s="401" t="s">
        <v>465</v>
      </c>
      <c r="Q105" s="746" t="s">
        <v>264</v>
      </c>
      <c r="R105" s="202" t="s">
        <v>40</v>
      </c>
      <c r="S105" s="31" t="s">
        <v>273</v>
      </c>
      <c r="T105" s="31" t="s">
        <v>273</v>
      </c>
      <c r="U105" s="31">
        <f>IFERROR(VLOOKUP(CONCATENATE(Tabla1[[#This Row],[Severidad]]," ",Tabla1[[#This Row],[Complejidad]]),Catalogos!E$120:G$128,3,FALSE),"")</f>
        <v>64</v>
      </c>
      <c r="V105" s="31" t="str">
        <f>IF(Tabla1[[#This Row],[Tiempo solución max (hrs)]]&lt;&gt;"",IF(Tabla1[[#This Row],[Tiempo solución max (hrs)]]&gt;=Tabla1[[#This Row],[Tiempo
(Hrs 00/100)]],"cumple","no cumple"),"")</f>
        <v>cumple</v>
      </c>
      <c r="W105" s="376" t="s">
        <v>374</v>
      </c>
      <c r="X105" s="377" t="str">
        <f t="shared" ref="X105" si="21">IF(C105&lt;&gt;"",C105,D105)</f>
        <v>DS</v>
      </c>
      <c r="Y105" t="str">
        <f>SUBSTITUTE(Tabla1[[#This Row],[Descripción]],CHAR(10),"    I    ")</f>
        <v>Desarrollo e implementación de las soluciones a los hallazgos de vulnerabilidad de la PNT SIPOT</v>
      </c>
      <c r="Z105" s="378">
        <f>VLOOKUP(Tabla1[[#This Row],[Perfil]],Catalogos!$B$75:$D$100,3,FALSE)*Tabla1[[#This Row],[Tiempo
(Hrs 00/100)]]*1.16</f>
        <v>6496</v>
      </c>
    </row>
    <row r="106" spans="1:26" ht="42.75" customHeight="1" x14ac:dyDescent="0.3">
      <c r="A106" s="373" t="s">
        <v>22</v>
      </c>
      <c r="B106" s="184" t="s">
        <v>23</v>
      </c>
      <c r="C106" s="183" t="s">
        <v>155</v>
      </c>
      <c r="D106" s="179"/>
      <c r="E106" s="386" t="s">
        <v>375</v>
      </c>
      <c r="F106" s="370" t="s">
        <v>23</v>
      </c>
      <c r="G106" s="370" t="s">
        <v>435</v>
      </c>
      <c r="H106" s="387" t="s">
        <v>22</v>
      </c>
      <c r="I106" s="178" t="s">
        <v>5383</v>
      </c>
      <c r="J106" s="713">
        <v>44957</v>
      </c>
      <c r="K106" s="747">
        <v>0.375</v>
      </c>
      <c r="L106" s="713">
        <v>44957</v>
      </c>
      <c r="M106" s="740">
        <v>0.79166666666666663</v>
      </c>
      <c r="N106" s="373">
        <v>8</v>
      </c>
      <c r="O106" s="184" t="s">
        <v>17</v>
      </c>
      <c r="P106" s="401" t="s">
        <v>465</v>
      </c>
      <c r="Q106" s="746" t="s">
        <v>264</v>
      </c>
      <c r="R106" s="202" t="s">
        <v>40</v>
      </c>
      <c r="S106" s="31" t="s">
        <v>273</v>
      </c>
      <c r="T106" s="31" t="s">
        <v>273</v>
      </c>
      <c r="U106" s="31">
        <f>IFERROR(VLOOKUP(CONCATENATE(Tabla1[[#This Row],[Severidad]]," ",Tabla1[[#This Row],[Complejidad]]),Catalogos!E$120:G$128,3,FALSE),"")</f>
        <v>64</v>
      </c>
      <c r="V106" s="31" t="str">
        <f>IF(Tabla1[[#This Row],[Tiempo solución max (hrs)]]&lt;&gt;"",IF(Tabla1[[#This Row],[Tiempo solución max (hrs)]]&gt;=Tabla1[[#This Row],[Tiempo
(Hrs 00/100)]],"cumple","no cumple"),"")</f>
        <v>cumple</v>
      </c>
      <c r="W106" s="376" t="s">
        <v>374</v>
      </c>
      <c r="X106" s="377" t="str">
        <f t="shared" ref="X106" si="22">IF(C106&lt;&gt;"",C106,D106)</f>
        <v>DS</v>
      </c>
      <c r="Y106" t="str">
        <f>SUBSTITUTE(Tabla1[[#This Row],[Descripción]],CHAR(10),"    I    ")</f>
        <v>Desarrollo e implementación de las soluciones a los hallazgos de vulnerabilidad de la PNT SIPOT</v>
      </c>
      <c r="Z106" s="378">
        <f>VLOOKUP(Tabla1[[#This Row],[Perfil]],Catalogos!$B$75:$D$100,3,FALSE)*Tabla1[[#This Row],[Tiempo
(Hrs 00/100)]]*1.16</f>
        <v>6496</v>
      </c>
    </row>
    <row r="107" spans="1:26" ht="42.75" customHeight="1" x14ac:dyDescent="0.3">
      <c r="A107" s="373" t="s">
        <v>22</v>
      </c>
      <c r="B107" s="184" t="s">
        <v>23</v>
      </c>
      <c r="C107" s="183" t="s">
        <v>155</v>
      </c>
      <c r="D107" s="179"/>
      <c r="E107" s="386" t="s">
        <v>375</v>
      </c>
      <c r="F107" s="370" t="s">
        <v>23</v>
      </c>
      <c r="G107" s="370" t="s">
        <v>435</v>
      </c>
      <c r="H107" s="387" t="s">
        <v>22</v>
      </c>
      <c r="I107" s="401" t="s">
        <v>456</v>
      </c>
      <c r="J107" s="713">
        <v>44935</v>
      </c>
      <c r="K107" s="747">
        <v>0.375</v>
      </c>
      <c r="L107" s="713">
        <v>44935</v>
      </c>
      <c r="M107" s="753">
        <v>0.79166666666666663</v>
      </c>
      <c r="N107" s="373">
        <v>8</v>
      </c>
      <c r="O107" s="184" t="s">
        <v>17</v>
      </c>
      <c r="P107" s="402" t="s">
        <v>462</v>
      </c>
      <c r="Q107" s="746" t="s">
        <v>208</v>
      </c>
      <c r="R107" s="202" t="s">
        <v>40</v>
      </c>
      <c r="S107" s="31" t="s">
        <v>273</v>
      </c>
      <c r="T107" s="31" t="s">
        <v>273</v>
      </c>
      <c r="U107" s="31">
        <f>IFERROR(VLOOKUP(CONCATENATE(Tabla1[[#This Row],[Severidad]]," ",Tabla1[[#This Row],[Complejidad]]),Catalogos!E$120:G$128,3,FALSE),"")</f>
        <v>64</v>
      </c>
      <c r="V107" s="31" t="str">
        <f>IF(Tabla1[[#This Row],[Tiempo solución max (hrs)]]&lt;&gt;"",IF(Tabla1[[#This Row],[Tiempo solución max (hrs)]]&gt;=Tabla1[[#This Row],[Tiempo
(Hrs 00/100)]],"cumple","no cumple"),"")</f>
        <v>cumple</v>
      </c>
      <c r="W107" s="376" t="s">
        <v>374</v>
      </c>
      <c r="X107" s="377" t="str">
        <f t="shared" si="17"/>
        <v>DS</v>
      </c>
      <c r="Y107" t="str">
        <f>SUBSTITUTE(Tabla1[[#This Row],[Descripción]],CHAR(10),"    I    ")</f>
        <v>Implementación funcionalidad descarga obligaciones de transparencia (datos abiertos)</v>
      </c>
      <c r="Z107" s="378">
        <f>VLOOKUP(Tabla1[[#This Row],[Perfil]],Catalogos!$B$75:$D$100,3,FALSE)*Tabla1[[#This Row],[Tiempo
(Hrs 00/100)]]*1.16</f>
        <v>6496</v>
      </c>
    </row>
    <row r="108" spans="1:26" ht="42.75" customHeight="1" x14ac:dyDescent="0.3">
      <c r="A108" s="373" t="s">
        <v>22</v>
      </c>
      <c r="B108" s="184" t="s">
        <v>23</v>
      </c>
      <c r="C108" s="183" t="s">
        <v>155</v>
      </c>
      <c r="D108" s="179"/>
      <c r="E108" s="386" t="s">
        <v>375</v>
      </c>
      <c r="F108" s="370" t="s">
        <v>23</v>
      </c>
      <c r="G108" s="370" t="s">
        <v>435</v>
      </c>
      <c r="H108" s="387" t="s">
        <v>22</v>
      </c>
      <c r="I108" s="401" t="s">
        <v>457</v>
      </c>
      <c r="J108" s="713">
        <v>44936</v>
      </c>
      <c r="K108" s="747">
        <v>0.375</v>
      </c>
      <c r="L108" s="713">
        <v>44936</v>
      </c>
      <c r="M108" s="753">
        <v>0.79166666666666663</v>
      </c>
      <c r="N108" s="373">
        <v>8</v>
      </c>
      <c r="O108" s="184" t="s">
        <v>17</v>
      </c>
      <c r="P108" s="402" t="s">
        <v>462</v>
      </c>
      <c r="Q108" s="746" t="s">
        <v>208</v>
      </c>
      <c r="R108" s="202" t="s">
        <v>40</v>
      </c>
      <c r="S108" s="31" t="s">
        <v>273</v>
      </c>
      <c r="T108" s="31" t="s">
        <v>273</v>
      </c>
      <c r="U108" s="31">
        <f>IFERROR(VLOOKUP(CONCATENATE(Tabla1[[#This Row],[Severidad]]," ",Tabla1[[#This Row],[Complejidad]]),Catalogos!E$120:G$128,3,FALSE),"")</f>
        <v>64</v>
      </c>
      <c r="V108" s="31" t="str">
        <f>IF(Tabla1[[#This Row],[Tiempo solución max (hrs)]]&lt;&gt;"",IF(Tabla1[[#This Row],[Tiempo solución max (hrs)]]&gt;=Tabla1[[#This Row],[Tiempo
(Hrs 00/100)]],"cumple","no cumple"),"")</f>
        <v>cumple</v>
      </c>
      <c r="W108" s="376" t="s">
        <v>374</v>
      </c>
      <c r="X108" s="377" t="str">
        <f t="shared" si="17"/>
        <v>DS</v>
      </c>
      <c r="Y108" t="str">
        <f>SUBSTITUTE(Tabla1[[#This Row],[Descripción]],CHAR(10),"    I    ")</f>
        <v>Pruebas servicios externos y mejoras validaciones descarga archivos</v>
      </c>
      <c r="Z108" s="378">
        <f>VLOOKUP(Tabla1[[#This Row],[Perfil]],Catalogos!$B$75:$D$100,3,FALSE)*Tabla1[[#This Row],[Tiempo
(Hrs 00/100)]]*1.16</f>
        <v>6496</v>
      </c>
    </row>
    <row r="109" spans="1:26" ht="42.75" customHeight="1" x14ac:dyDescent="0.3">
      <c r="A109" s="373" t="s">
        <v>22</v>
      </c>
      <c r="B109" s="184" t="s">
        <v>23</v>
      </c>
      <c r="C109" s="183" t="s">
        <v>155</v>
      </c>
      <c r="D109" s="179"/>
      <c r="E109" s="386" t="s">
        <v>375</v>
      </c>
      <c r="F109" s="370" t="s">
        <v>23</v>
      </c>
      <c r="G109" s="370" t="s">
        <v>435</v>
      </c>
      <c r="H109" s="387" t="s">
        <v>22</v>
      </c>
      <c r="I109" s="401" t="s">
        <v>458</v>
      </c>
      <c r="J109" s="713">
        <v>44937</v>
      </c>
      <c r="K109" s="747">
        <v>0.375</v>
      </c>
      <c r="L109" s="713">
        <v>44937</v>
      </c>
      <c r="M109" s="753">
        <v>0.79166666666666663</v>
      </c>
      <c r="N109" s="373">
        <v>8</v>
      </c>
      <c r="O109" s="184" t="s">
        <v>17</v>
      </c>
      <c r="P109" s="402" t="s">
        <v>462</v>
      </c>
      <c r="Q109" s="746" t="s">
        <v>208</v>
      </c>
      <c r="R109" s="202" t="s">
        <v>40</v>
      </c>
      <c r="S109" s="31" t="s">
        <v>273</v>
      </c>
      <c r="T109" s="31" t="s">
        <v>273</v>
      </c>
      <c r="U109" s="31">
        <f>IFERROR(VLOOKUP(CONCATENATE(Tabla1[[#This Row],[Severidad]]," ",Tabla1[[#This Row],[Complejidad]]),Catalogos!E$120:G$128,3,FALSE),"")</f>
        <v>64</v>
      </c>
      <c r="V109" s="31" t="str">
        <f>IF(Tabla1[[#This Row],[Tiempo solución max (hrs)]]&lt;&gt;"",IF(Tabla1[[#This Row],[Tiempo solución max (hrs)]]&gt;=Tabla1[[#This Row],[Tiempo
(Hrs 00/100)]],"cumple","no cumple"),"")</f>
        <v>cumple</v>
      </c>
      <c r="W109" s="376" t="s">
        <v>374</v>
      </c>
      <c r="X109" s="377" t="str">
        <f t="shared" si="17"/>
        <v>DS</v>
      </c>
      <c r="Y109" t="str">
        <f>SUBSTITUTE(Tabla1[[#This Row],[Descripción]],CHAR(10),"    I    ")</f>
        <v xml:space="preserve"> Se agrega validación (solo solicitante) a iconos actualizar y cambiar datos(componente sidebar).</v>
      </c>
      <c r="Z109" s="378">
        <f>VLOOKUP(Tabla1[[#This Row],[Perfil]],Catalogos!$B$75:$D$100,3,FALSE)*Tabla1[[#This Row],[Tiempo
(Hrs 00/100)]]*1.16</f>
        <v>6496</v>
      </c>
    </row>
    <row r="110" spans="1:26" ht="42.75" customHeight="1" x14ac:dyDescent="0.3">
      <c r="A110" s="373" t="s">
        <v>22</v>
      </c>
      <c r="B110" s="184" t="s">
        <v>23</v>
      </c>
      <c r="C110" s="183" t="s">
        <v>155</v>
      </c>
      <c r="D110" s="179"/>
      <c r="E110" s="386" t="s">
        <v>375</v>
      </c>
      <c r="F110" s="370" t="s">
        <v>23</v>
      </c>
      <c r="G110" s="370" t="s">
        <v>435</v>
      </c>
      <c r="H110" s="387" t="s">
        <v>22</v>
      </c>
      <c r="I110" s="401" t="s">
        <v>459</v>
      </c>
      <c r="J110" s="713">
        <v>44938</v>
      </c>
      <c r="K110" s="747">
        <v>0.375</v>
      </c>
      <c r="L110" s="713">
        <v>44938</v>
      </c>
      <c r="M110" s="753">
        <v>0.79166666666666663</v>
      </c>
      <c r="N110" s="373">
        <v>8</v>
      </c>
      <c r="O110" s="184" t="s">
        <v>17</v>
      </c>
      <c r="P110" s="402" t="s">
        <v>462</v>
      </c>
      <c r="Q110" s="746" t="s">
        <v>208</v>
      </c>
      <c r="R110" s="202" t="s">
        <v>40</v>
      </c>
      <c r="S110" s="31" t="s">
        <v>273</v>
      </c>
      <c r="T110" s="31" t="s">
        <v>273</v>
      </c>
      <c r="U110" s="31">
        <f>IFERROR(VLOOKUP(CONCATENATE(Tabla1[[#This Row],[Severidad]]," ",Tabla1[[#This Row],[Complejidad]]),Catalogos!E$120:G$128,3,FALSE),"")</f>
        <v>64</v>
      </c>
      <c r="V110" s="31" t="str">
        <f>IF(Tabla1[[#This Row],[Tiempo solución max (hrs)]]&lt;&gt;"",IF(Tabla1[[#This Row],[Tiempo solución max (hrs)]]&gt;=Tabla1[[#This Row],[Tiempo
(Hrs 00/100)]],"cumple","no cumple"),"")</f>
        <v>cumple</v>
      </c>
      <c r="W110" s="376" t="s">
        <v>374</v>
      </c>
      <c r="X110" s="377" t="str">
        <f t="shared" si="17"/>
        <v>DS</v>
      </c>
      <c r="Y110" t="str">
        <f>SUBSTITUTE(Tabla1[[#This Row],[Descripción]],CHAR(10),"    I    ")</f>
        <v>Se refactoriza la carga de datos para los catálogos de estado o federación en pantallas modulo administración</v>
      </c>
      <c r="Z110" s="378">
        <f>VLOOKUP(Tabla1[[#This Row],[Perfil]],Catalogos!$B$75:$D$100,3,FALSE)*Tabla1[[#This Row],[Tiempo
(Hrs 00/100)]]*1.16</f>
        <v>6496</v>
      </c>
    </row>
    <row r="111" spans="1:26" ht="42.75" customHeight="1" x14ac:dyDescent="0.3">
      <c r="A111" s="373" t="s">
        <v>22</v>
      </c>
      <c r="B111" s="184" t="s">
        <v>23</v>
      </c>
      <c r="C111" s="183" t="s">
        <v>155</v>
      </c>
      <c r="D111" s="179"/>
      <c r="E111" s="386" t="s">
        <v>375</v>
      </c>
      <c r="F111" s="370" t="s">
        <v>23</v>
      </c>
      <c r="G111" s="370" t="s">
        <v>435</v>
      </c>
      <c r="H111" s="387" t="s">
        <v>22</v>
      </c>
      <c r="I111" s="401" t="s">
        <v>460</v>
      </c>
      <c r="J111" s="713">
        <v>44939</v>
      </c>
      <c r="K111" s="747">
        <v>0.375</v>
      </c>
      <c r="L111" s="713">
        <v>44939</v>
      </c>
      <c r="M111" s="740">
        <v>0.79166666666666663</v>
      </c>
      <c r="N111" s="373">
        <v>8</v>
      </c>
      <c r="O111" s="184" t="s">
        <v>406</v>
      </c>
      <c r="P111" s="402" t="s">
        <v>462</v>
      </c>
      <c r="Q111" s="746" t="s">
        <v>208</v>
      </c>
      <c r="R111" s="202" t="s">
        <v>40</v>
      </c>
      <c r="S111" s="31" t="s">
        <v>273</v>
      </c>
      <c r="T111" s="31" t="s">
        <v>273</v>
      </c>
      <c r="U111" s="31">
        <f>IFERROR(VLOOKUP(CONCATENATE(Tabla1[[#This Row],[Severidad]]," ",Tabla1[[#This Row],[Complejidad]]),Catalogos!E$120:G$128,3,FALSE),"")</f>
        <v>64</v>
      </c>
      <c r="V111" s="31" t="str">
        <f>IF(Tabla1[[#This Row],[Tiempo solución max (hrs)]]&lt;&gt;"",IF(Tabla1[[#This Row],[Tiempo solución max (hrs)]]&gt;=Tabla1[[#This Row],[Tiempo
(Hrs 00/100)]],"cumple","no cumple"),"")</f>
        <v>cumple</v>
      </c>
      <c r="W111" s="376" t="s">
        <v>374</v>
      </c>
      <c r="X111" s="377" t="str">
        <f t="shared" si="17"/>
        <v>DS</v>
      </c>
      <c r="Y111" t="str">
        <f>SUBSTITUTE(Tabla1[[#This Row],[Descripción]],CHAR(10),"    I    ")</f>
        <v>Desarrollo modal avisos (home) y refactorización importaciones en el sharedModule. Asi como la creación de archivo de barril para los componentes.</v>
      </c>
      <c r="Z111" s="378">
        <f>VLOOKUP(Tabla1[[#This Row],[Perfil]],Catalogos!$B$75:$D$100,3,FALSE)*Tabla1[[#This Row],[Tiempo
(Hrs 00/100)]]*1.16</f>
        <v>6496</v>
      </c>
    </row>
    <row r="112" spans="1:26" ht="42.75" customHeight="1" x14ac:dyDescent="0.3">
      <c r="A112" s="373" t="s">
        <v>22</v>
      </c>
      <c r="B112" s="184" t="s">
        <v>23</v>
      </c>
      <c r="C112" s="183" t="s">
        <v>155</v>
      </c>
      <c r="D112" s="179"/>
      <c r="E112" s="386" t="s">
        <v>375</v>
      </c>
      <c r="F112" s="370" t="s">
        <v>23</v>
      </c>
      <c r="G112" s="370" t="s">
        <v>435</v>
      </c>
      <c r="H112" s="387" t="s">
        <v>22</v>
      </c>
      <c r="I112" s="401" t="s">
        <v>460</v>
      </c>
      <c r="J112" s="713">
        <v>44942</v>
      </c>
      <c r="K112" s="747">
        <v>0.375</v>
      </c>
      <c r="L112" s="713">
        <v>44942</v>
      </c>
      <c r="M112" s="740">
        <v>0.79166666666666663</v>
      </c>
      <c r="N112" s="373">
        <v>8</v>
      </c>
      <c r="O112" s="184" t="s">
        <v>406</v>
      </c>
      <c r="P112" s="402" t="s">
        <v>462</v>
      </c>
      <c r="Q112" s="746" t="s">
        <v>208</v>
      </c>
      <c r="R112" s="202" t="s">
        <v>40</v>
      </c>
      <c r="S112" s="31" t="s">
        <v>273</v>
      </c>
      <c r="T112" s="31" t="s">
        <v>273</v>
      </c>
      <c r="U112" s="31">
        <f>IFERROR(VLOOKUP(CONCATENATE(Tabla1[[#This Row],[Severidad]]," ",Tabla1[[#This Row],[Complejidad]]),Catalogos!E$120:G$128,3,FALSE),"")</f>
        <v>64</v>
      </c>
      <c r="V112" s="31" t="str">
        <f>IF(Tabla1[[#This Row],[Tiempo solución max (hrs)]]&lt;&gt;"",IF(Tabla1[[#This Row],[Tiempo solución max (hrs)]]&gt;=Tabla1[[#This Row],[Tiempo
(Hrs 00/100)]],"cumple","no cumple"),"")</f>
        <v>cumple</v>
      </c>
      <c r="W112" s="376" t="s">
        <v>374</v>
      </c>
      <c r="X112" s="377" t="str">
        <f t="shared" ref="X112:X113" si="23">IF(C112&lt;&gt;"",C112,D112)</f>
        <v>DS</v>
      </c>
      <c r="Y112" t="str">
        <f>SUBSTITUTE(Tabla1[[#This Row],[Descripción]],CHAR(10),"    I    ")</f>
        <v>Desarrollo modal avisos (home) y refactorización importaciones en el sharedModule. Asi como la creación de archivo de barril para los componentes.</v>
      </c>
      <c r="Z112" s="378">
        <f>VLOOKUP(Tabla1[[#This Row],[Perfil]],Catalogos!$B$75:$D$100,3,FALSE)*Tabla1[[#This Row],[Tiempo
(Hrs 00/100)]]*1.16</f>
        <v>6496</v>
      </c>
    </row>
    <row r="113" spans="1:26" ht="42.75" customHeight="1" x14ac:dyDescent="0.3">
      <c r="A113" s="373" t="s">
        <v>22</v>
      </c>
      <c r="B113" s="184" t="s">
        <v>23</v>
      </c>
      <c r="C113" s="183" t="s">
        <v>155</v>
      </c>
      <c r="D113" s="179"/>
      <c r="E113" s="386" t="s">
        <v>375</v>
      </c>
      <c r="F113" s="370" t="s">
        <v>23</v>
      </c>
      <c r="G113" s="370" t="s">
        <v>435</v>
      </c>
      <c r="H113" s="387" t="s">
        <v>22</v>
      </c>
      <c r="I113" s="401" t="s">
        <v>460</v>
      </c>
      <c r="J113" s="713">
        <v>44943</v>
      </c>
      <c r="K113" s="747">
        <v>0.375</v>
      </c>
      <c r="L113" s="713">
        <v>44943</v>
      </c>
      <c r="M113" s="740">
        <v>0.79166666666666663</v>
      </c>
      <c r="N113" s="373">
        <v>8</v>
      </c>
      <c r="O113" s="184" t="s">
        <v>17</v>
      </c>
      <c r="P113" s="402" t="s">
        <v>462</v>
      </c>
      <c r="Q113" s="746" t="s">
        <v>208</v>
      </c>
      <c r="R113" s="202" t="s">
        <v>40</v>
      </c>
      <c r="S113" s="31" t="s">
        <v>273</v>
      </c>
      <c r="T113" s="31" t="s">
        <v>273</v>
      </c>
      <c r="U113" s="31">
        <f>IFERROR(VLOOKUP(CONCATENATE(Tabla1[[#This Row],[Severidad]]," ",Tabla1[[#This Row],[Complejidad]]),Catalogos!E$120:G$128,3,FALSE),"")</f>
        <v>64</v>
      </c>
      <c r="V113" s="31" t="str">
        <f>IF(Tabla1[[#This Row],[Tiempo solución max (hrs)]]&lt;&gt;"",IF(Tabla1[[#This Row],[Tiempo solución max (hrs)]]&gt;=Tabla1[[#This Row],[Tiempo
(Hrs 00/100)]],"cumple","no cumple"),"")</f>
        <v>cumple</v>
      </c>
      <c r="W113" s="376" t="s">
        <v>374</v>
      </c>
      <c r="X113" s="377" t="str">
        <f t="shared" si="23"/>
        <v>DS</v>
      </c>
      <c r="Y113" t="str">
        <f>SUBSTITUTE(Tabla1[[#This Row],[Descripción]],CHAR(10),"    I    ")</f>
        <v>Desarrollo modal avisos (home) y refactorización importaciones en el sharedModule. Asi como la creación de archivo de barril para los componentes.</v>
      </c>
      <c r="Z113" s="378">
        <f>VLOOKUP(Tabla1[[#This Row],[Perfil]],Catalogos!$B$75:$D$100,3,FALSE)*Tabla1[[#This Row],[Tiempo
(Hrs 00/100)]]*1.16</f>
        <v>6496</v>
      </c>
    </row>
    <row r="114" spans="1:26" ht="42.75" customHeight="1" x14ac:dyDescent="0.3">
      <c r="A114" s="373" t="s">
        <v>22</v>
      </c>
      <c r="B114" s="184" t="s">
        <v>23</v>
      </c>
      <c r="C114" s="183" t="s">
        <v>155</v>
      </c>
      <c r="D114" s="179"/>
      <c r="E114" s="386" t="s">
        <v>375</v>
      </c>
      <c r="F114" s="370" t="s">
        <v>23</v>
      </c>
      <c r="G114" s="370" t="s">
        <v>435</v>
      </c>
      <c r="H114" s="387" t="s">
        <v>22</v>
      </c>
      <c r="I114" s="401" t="s">
        <v>461</v>
      </c>
      <c r="J114" s="713">
        <v>44944</v>
      </c>
      <c r="K114" s="747">
        <v>0.375</v>
      </c>
      <c r="L114" s="713">
        <v>44944</v>
      </c>
      <c r="M114" s="740">
        <v>0.79166666666666663</v>
      </c>
      <c r="N114" s="373">
        <v>8</v>
      </c>
      <c r="O114" s="184" t="s">
        <v>406</v>
      </c>
      <c r="P114" s="402" t="s">
        <v>462</v>
      </c>
      <c r="Q114" s="746" t="s">
        <v>208</v>
      </c>
      <c r="R114" s="202" t="s">
        <v>40</v>
      </c>
      <c r="S114" s="31" t="s">
        <v>273</v>
      </c>
      <c r="T114" s="31" t="s">
        <v>273</v>
      </c>
      <c r="U114" s="31">
        <f>IFERROR(VLOOKUP(CONCATENATE(Tabla1[[#This Row],[Severidad]]," ",Tabla1[[#This Row],[Complejidad]]),Catalogos!E$120:G$128,3,FALSE),"")</f>
        <v>64</v>
      </c>
      <c r="V114" s="31" t="str">
        <f>IF(Tabla1[[#This Row],[Tiempo solución max (hrs)]]&lt;&gt;"",IF(Tabla1[[#This Row],[Tiempo solución max (hrs)]]&gt;=Tabla1[[#This Row],[Tiempo
(Hrs 00/100)]],"cumple","no cumple"),"")</f>
        <v>cumple</v>
      </c>
      <c r="W114" s="376" t="s">
        <v>374</v>
      </c>
      <c r="X114" s="377" t="str">
        <f t="shared" si="17"/>
        <v>DS</v>
      </c>
      <c r="Y114" t="str">
        <f>SUBSTITUTE(Tabla1[[#This Row],[Descripción]],CHAR(10),"    I    ")</f>
        <v>Se agregan validaciones y roles a rutas aplicación SISAIV3 para los roles  PNT- USUARIO DE RECURSOS FINANCIEROS  y  PNT- DIRECCION GENERAL DE ENLACE. Se hace análisis y estimación de tiempos para la atención de incidencias detectadas en las pruebas de seguridad de código estático.</v>
      </c>
      <c r="Z114" s="378">
        <f>VLOOKUP(Tabla1[[#This Row],[Perfil]],Catalogos!$B$75:$D$100,3,FALSE)*Tabla1[[#This Row],[Tiempo
(Hrs 00/100)]]*1.16</f>
        <v>6496</v>
      </c>
    </row>
    <row r="115" spans="1:26" ht="42.75" customHeight="1" x14ac:dyDescent="0.3">
      <c r="A115" s="373" t="s">
        <v>22</v>
      </c>
      <c r="B115" s="184" t="s">
        <v>23</v>
      </c>
      <c r="C115" s="183" t="s">
        <v>155</v>
      </c>
      <c r="D115" s="179"/>
      <c r="E115" s="386" t="s">
        <v>375</v>
      </c>
      <c r="F115" s="370" t="s">
        <v>23</v>
      </c>
      <c r="G115" s="370" t="s">
        <v>435</v>
      </c>
      <c r="H115" s="387" t="s">
        <v>22</v>
      </c>
      <c r="I115" s="401" t="s">
        <v>461</v>
      </c>
      <c r="J115" s="713">
        <v>44945</v>
      </c>
      <c r="K115" s="747">
        <v>0.375</v>
      </c>
      <c r="L115" s="713">
        <v>44945</v>
      </c>
      <c r="M115" s="740">
        <v>0.79166666666666663</v>
      </c>
      <c r="N115" s="373">
        <v>8</v>
      </c>
      <c r="O115" s="184" t="s">
        <v>17</v>
      </c>
      <c r="P115" s="402" t="s">
        <v>462</v>
      </c>
      <c r="Q115" s="746" t="s">
        <v>208</v>
      </c>
      <c r="R115" s="202" t="s">
        <v>40</v>
      </c>
      <c r="S115" s="31" t="s">
        <v>273</v>
      </c>
      <c r="T115" s="31" t="s">
        <v>273</v>
      </c>
      <c r="U115" s="31">
        <f>IFERROR(VLOOKUP(CONCATENATE(Tabla1[[#This Row],[Severidad]]," ",Tabla1[[#This Row],[Complejidad]]),Catalogos!E$120:G$128,3,FALSE),"")</f>
        <v>64</v>
      </c>
      <c r="V115" s="31" t="str">
        <f>IF(Tabla1[[#This Row],[Tiempo solución max (hrs)]]&lt;&gt;"",IF(Tabla1[[#This Row],[Tiempo solución max (hrs)]]&gt;=Tabla1[[#This Row],[Tiempo
(Hrs 00/100)]],"cumple","no cumple"),"")</f>
        <v>cumple</v>
      </c>
      <c r="W115" s="376" t="s">
        <v>374</v>
      </c>
      <c r="X115" s="377" t="str">
        <f t="shared" ref="X115" si="24">IF(C115&lt;&gt;"",C115,D115)</f>
        <v>DS</v>
      </c>
      <c r="Y115" t="str">
        <f>SUBSTITUTE(Tabla1[[#This Row],[Descripción]],CHAR(10),"    I    ")</f>
        <v>Se agregan validaciones y roles a rutas aplicación SISAIV3 para los roles  PNT- USUARIO DE RECURSOS FINANCIEROS  y  PNT- DIRECCION GENERAL DE ENLACE. Se hace análisis y estimación de tiempos para la atención de incidencias detectadas en las pruebas de seguridad de código estático.</v>
      </c>
      <c r="Z115" s="378">
        <f>VLOOKUP(Tabla1[[#This Row],[Perfil]],Catalogos!$B$75:$D$100,3,FALSE)*Tabla1[[#This Row],[Tiempo
(Hrs 00/100)]]*1.16</f>
        <v>6496</v>
      </c>
    </row>
    <row r="116" spans="1:26" ht="42.75" customHeight="1" x14ac:dyDescent="0.3">
      <c r="A116" s="373" t="s">
        <v>22</v>
      </c>
      <c r="B116" s="184" t="s">
        <v>23</v>
      </c>
      <c r="C116" s="183" t="s">
        <v>155</v>
      </c>
      <c r="D116" s="179"/>
      <c r="E116" s="386" t="s">
        <v>375</v>
      </c>
      <c r="F116" s="370" t="s">
        <v>23</v>
      </c>
      <c r="G116" s="370" t="s">
        <v>435</v>
      </c>
      <c r="H116" s="387" t="s">
        <v>22</v>
      </c>
      <c r="I116" s="401" t="s">
        <v>463</v>
      </c>
      <c r="J116" s="713">
        <v>44946</v>
      </c>
      <c r="K116" s="747">
        <v>0.375</v>
      </c>
      <c r="L116" s="713">
        <v>44946</v>
      </c>
      <c r="M116" s="740">
        <v>0.54166666666666663</v>
      </c>
      <c r="N116" s="373">
        <v>4</v>
      </c>
      <c r="O116" s="184" t="s">
        <v>17</v>
      </c>
      <c r="P116" s="401" t="s">
        <v>465</v>
      </c>
      <c r="Q116" s="746" t="s">
        <v>208</v>
      </c>
      <c r="R116" s="202" t="s">
        <v>40</v>
      </c>
      <c r="S116" s="31" t="s">
        <v>273</v>
      </c>
      <c r="T116" s="31" t="s">
        <v>273</v>
      </c>
      <c r="U116" s="31">
        <f>IFERROR(VLOOKUP(CONCATENATE(Tabla1[[#This Row],[Severidad]]," ",Tabla1[[#This Row],[Complejidad]]),Catalogos!E$120:G$128,3,FALSE),"")</f>
        <v>64</v>
      </c>
      <c r="V116" s="31" t="str">
        <f>IF(Tabla1[[#This Row],[Tiempo solución max (hrs)]]&lt;&gt;"",IF(Tabla1[[#This Row],[Tiempo solución max (hrs)]]&gt;=Tabla1[[#This Row],[Tiempo
(Hrs 00/100)]],"cumple","no cumple"),"")</f>
        <v>cumple</v>
      </c>
      <c r="W116" s="376" t="s">
        <v>374</v>
      </c>
      <c r="X116" s="377" t="str">
        <f t="shared" si="17"/>
        <v>DS</v>
      </c>
      <c r="Y116" t="str">
        <f>SUBSTITUTE(Tabla1[[#This Row],[Descripción]],CHAR(10),"    I    ")</f>
        <v>Se implementa bandera activa a items del menú del aplicativo PNT V3 y se agregan validaciones con los distintos roles del aplicativo</v>
      </c>
      <c r="Z116" s="378">
        <f>VLOOKUP(Tabla1[[#This Row],[Perfil]],Catalogos!$B$75:$D$100,3,FALSE)*Tabla1[[#This Row],[Tiempo
(Hrs 00/100)]]*1.16</f>
        <v>3248</v>
      </c>
    </row>
    <row r="117" spans="1:26" ht="42.75" customHeight="1" x14ac:dyDescent="0.3">
      <c r="A117" s="373" t="s">
        <v>22</v>
      </c>
      <c r="B117" s="184" t="s">
        <v>23</v>
      </c>
      <c r="C117" s="183" t="s">
        <v>155</v>
      </c>
      <c r="D117" s="179"/>
      <c r="E117" s="386" t="s">
        <v>375</v>
      </c>
      <c r="F117" s="370" t="s">
        <v>23</v>
      </c>
      <c r="G117" s="370" t="s">
        <v>435</v>
      </c>
      <c r="H117" s="387" t="s">
        <v>22</v>
      </c>
      <c r="I117" s="401" t="s">
        <v>464</v>
      </c>
      <c r="J117" s="713">
        <v>44946</v>
      </c>
      <c r="K117" s="740">
        <v>0.54166666666666663</v>
      </c>
      <c r="L117" s="713">
        <v>44946</v>
      </c>
      <c r="M117" s="740">
        <v>0.79166666666666663</v>
      </c>
      <c r="N117" s="373">
        <v>4</v>
      </c>
      <c r="O117" s="184" t="s">
        <v>17</v>
      </c>
      <c r="P117" s="401" t="s">
        <v>465</v>
      </c>
      <c r="Q117" s="746" t="s">
        <v>208</v>
      </c>
      <c r="R117" s="202" t="s">
        <v>40</v>
      </c>
      <c r="S117" s="31" t="s">
        <v>273</v>
      </c>
      <c r="T117" s="31" t="s">
        <v>273</v>
      </c>
      <c r="U117" s="31">
        <f>IFERROR(VLOOKUP(CONCATENATE(Tabla1[[#This Row],[Severidad]]," ",Tabla1[[#This Row],[Complejidad]]),Catalogos!E$120:G$128,3,FALSE),"")</f>
        <v>64</v>
      </c>
      <c r="V117" s="31" t="str">
        <f>IF(Tabla1[[#This Row],[Tiempo solución max (hrs)]]&lt;&gt;"",IF(Tabla1[[#This Row],[Tiempo solución max (hrs)]]&gt;=Tabla1[[#This Row],[Tiempo
(Hrs 00/100)]],"cumple","no cumple"),"")</f>
        <v>cumple</v>
      </c>
      <c r="W117" s="376" t="s">
        <v>374</v>
      </c>
      <c r="X117" s="377" t="str">
        <f t="shared" si="17"/>
        <v>DS</v>
      </c>
      <c r="Y117" t="str">
        <f>SUBSTITUTE(Tabla1[[#This Row],[Descripción]],CHAR(10),"    I    ")</f>
        <v>Se agregan validaciones a iconos sidebar y se ajusta redirección datos abiertos</v>
      </c>
      <c r="Z117" s="378">
        <f>VLOOKUP(Tabla1[[#This Row],[Perfil]],Catalogos!$B$75:$D$100,3,FALSE)*Tabla1[[#This Row],[Tiempo
(Hrs 00/100)]]*1.16</f>
        <v>3248</v>
      </c>
    </row>
    <row r="118" spans="1:26" ht="42.75" customHeight="1" x14ac:dyDescent="0.3">
      <c r="A118" s="373" t="s">
        <v>22</v>
      </c>
      <c r="B118" s="184" t="s">
        <v>23</v>
      </c>
      <c r="C118" s="183" t="s">
        <v>155</v>
      </c>
      <c r="D118" s="179"/>
      <c r="E118" s="386" t="s">
        <v>375</v>
      </c>
      <c r="F118" s="370" t="s">
        <v>23</v>
      </c>
      <c r="G118" s="370" t="s">
        <v>435</v>
      </c>
      <c r="H118" s="387" t="s">
        <v>22</v>
      </c>
      <c r="I118" s="401" t="s">
        <v>467</v>
      </c>
      <c r="J118" s="713">
        <v>44949</v>
      </c>
      <c r="K118" s="747">
        <v>0.375</v>
      </c>
      <c r="L118" s="713">
        <v>44949</v>
      </c>
      <c r="M118" s="740">
        <v>0.54166666666666663</v>
      </c>
      <c r="N118" s="373">
        <v>4</v>
      </c>
      <c r="O118" s="184" t="s">
        <v>17</v>
      </c>
      <c r="P118" s="401" t="s">
        <v>466</v>
      </c>
      <c r="Q118" s="746" t="s">
        <v>208</v>
      </c>
      <c r="R118" s="202" t="s">
        <v>40</v>
      </c>
      <c r="S118" s="31" t="s">
        <v>273</v>
      </c>
      <c r="T118" s="31" t="s">
        <v>273</v>
      </c>
      <c r="U118" s="31">
        <f>IFERROR(VLOOKUP(CONCATENATE(Tabla1[[#This Row],[Severidad]]," ",Tabla1[[#This Row],[Complejidad]]),Catalogos!E$120:G$128,3,FALSE),"")</f>
        <v>64</v>
      </c>
      <c r="V118" s="31" t="str">
        <f>IF(Tabla1[[#This Row],[Tiempo solución max (hrs)]]&lt;&gt;"",IF(Tabla1[[#This Row],[Tiempo solución max (hrs)]]&gt;=Tabla1[[#This Row],[Tiempo
(Hrs 00/100)]],"cumple","no cumple"),"")</f>
        <v>cumple</v>
      </c>
      <c r="W118" s="376" t="s">
        <v>374</v>
      </c>
      <c r="X118" s="377" t="str">
        <f t="shared" si="17"/>
        <v>DS</v>
      </c>
      <c r="Y118" t="str">
        <f>SUBSTITUTE(Tabla1[[#This Row],[Descripción]],CHAR(10),"    I    ")</f>
        <v>Se refactorizan request que incluyen la palabra password en jsp del portlet</v>
      </c>
      <c r="Z118" s="378">
        <f>VLOOKUP(Tabla1[[#This Row],[Perfil]],Catalogos!$B$75:$D$100,3,FALSE)*Tabla1[[#This Row],[Tiempo
(Hrs 00/100)]]*1.16</f>
        <v>3248</v>
      </c>
    </row>
    <row r="119" spans="1:26" ht="42.75" customHeight="1" x14ac:dyDescent="0.3">
      <c r="A119" s="373" t="s">
        <v>22</v>
      </c>
      <c r="B119" s="184" t="s">
        <v>23</v>
      </c>
      <c r="C119" s="183" t="s">
        <v>155</v>
      </c>
      <c r="D119" s="179"/>
      <c r="E119" s="386" t="s">
        <v>375</v>
      </c>
      <c r="F119" s="370" t="s">
        <v>23</v>
      </c>
      <c r="G119" s="370" t="s">
        <v>435</v>
      </c>
      <c r="H119" s="387" t="s">
        <v>22</v>
      </c>
      <c r="I119" s="178" t="s">
        <v>468</v>
      </c>
      <c r="J119" s="713">
        <v>44949</v>
      </c>
      <c r="K119" s="740">
        <v>0.54166666666666663</v>
      </c>
      <c r="L119" s="713">
        <v>44949</v>
      </c>
      <c r="M119" s="740">
        <v>0.79166666666666663</v>
      </c>
      <c r="N119" s="373">
        <v>4</v>
      </c>
      <c r="O119" s="184" t="s">
        <v>406</v>
      </c>
      <c r="P119" s="402" t="s">
        <v>466</v>
      </c>
      <c r="Q119" s="746" t="s">
        <v>208</v>
      </c>
      <c r="R119" s="202" t="s">
        <v>40</v>
      </c>
      <c r="S119" s="31" t="s">
        <v>273</v>
      </c>
      <c r="T119" s="31" t="s">
        <v>273</v>
      </c>
      <c r="U119" s="31">
        <f>IFERROR(VLOOKUP(CONCATENATE(Tabla1[[#This Row],[Severidad]]," ",Tabla1[[#This Row],[Complejidad]]),Catalogos!E$120:G$128,3,FALSE),"")</f>
        <v>64</v>
      </c>
      <c r="V119" s="31" t="str">
        <f>IF(Tabla1[[#This Row],[Tiempo solución max (hrs)]]&lt;&gt;"",IF(Tabla1[[#This Row],[Tiempo solución max (hrs)]]&gt;=Tabla1[[#This Row],[Tiempo
(Hrs 00/100)]],"cumple","no cumple"),"")</f>
        <v>cumple</v>
      </c>
      <c r="W119" s="376" t="s">
        <v>374</v>
      </c>
      <c r="X119" s="377" t="str">
        <f t="shared" si="17"/>
        <v>DS</v>
      </c>
      <c r="Y119" t="str">
        <f>SUBSTITUTE(Tabla1[[#This Row],[Descripción]],CHAR(10),"    I    ")</f>
        <v>Se cambian los console.log por console.error en controladores y servicios  portlet administración</v>
      </c>
      <c r="Z119" s="378">
        <f>VLOOKUP(Tabla1[[#This Row],[Perfil]],Catalogos!$B$75:$D$100,3,FALSE)*Tabla1[[#This Row],[Tiempo
(Hrs 00/100)]]*1.16</f>
        <v>3248</v>
      </c>
    </row>
    <row r="120" spans="1:26" ht="42.75" customHeight="1" x14ac:dyDescent="0.3">
      <c r="A120" s="373" t="s">
        <v>22</v>
      </c>
      <c r="B120" s="184" t="s">
        <v>23</v>
      </c>
      <c r="C120" s="183" t="s">
        <v>155</v>
      </c>
      <c r="D120" s="179"/>
      <c r="E120" s="386" t="s">
        <v>375</v>
      </c>
      <c r="F120" s="370" t="s">
        <v>23</v>
      </c>
      <c r="G120" s="370" t="s">
        <v>435</v>
      </c>
      <c r="H120" s="387" t="s">
        <v>22</v>
      </c>
      <c r="I120" s="178" t="s">
        <v>468</v>
      </c>
      <c r="J120" s="713">
        <v>44950</v>
      </c>
      <c r="K120" s="747">
        <v>0.375</v>
      </c>
      <c r="L120" s="713">
        <v>44950</v>
      </c>
      <c r="M120" s="740">
        <v>0.54166666666666663</v>
      </c>
      <c r="N120" s="373">
        <v>4</v>
      </c>
      <c r="O120" s="184" t="s">
        <v>17</v>
      </c>
      <c r="P120" s="402" t="s">
        <v>466</v>
      </c>
      <c r="Q120" s="746" t="s">
        <v>208</v>
      </c>
      <c r="R120" s="202" t="s">
        <v>40</v>
      </c>
      <c r="S120" s="31" t="s">
        <v>273</v>
      </c>
      <c r="T120" s="31" t="s">
        <v>273</v>
      </c>
      <c r="U120" s="31">
        <f>IFERROR(VLOOKUP(CONCATENATE(Tabla1[[#This Row],[Severidad]]," ",Tabla1[[#This Row],[Complejidad]]),Catalogos!E$120:G$128,3,FALSE),"")</f>
        <v>64</v>
      </c>
      <c r="V120" s="31" t="str">
        <f>IF(Tabla1[[#This Row],[Tiempo solución max (hrs)]]&lt;&gt;"",IF(Tabla1[[#This Row],[Tiempo solución max (hrs)]]&gt;=Tabla1[[#This Row],[Tiempo
(Hrs 00/100)]],"cumple","no cumple"),"")</f>
        <v>cumple</v>
      </c>
      <c r="W120" s="376" t="s">
        <v>374</v>
      </c>
      <c r="X120" s="377" t="str">
        <f t="shared" ref="X120" si="25">IF(C120&lt;&gt;"",C120,D120)</f>
        <v>DS</v>
      </c>
      <c r="Y120" t="str">
        <f>SUBSTITUTE(Tabla1[[#This Row],[Descripción]],CHAR(10),"    I    ")</f>
        <v>Se cambian los console.log por console.error en controladores y servicios  portlet administración</v>
      </c>
      <c r="Z120" s="378">
        <f>VLOOKUP(Tabla1[[#This Row],[Perfil]],Catalogos!$B$75:$D$100,3,FALSE)*Tabla1[[#This Row],[Tiempo
(Hrs 00/100)]]*1.16</f>
        <v>3248</v>
      </c>
    </row>
    <row r="121" spans="1:26" ht="42.75" customHeight="1" x14ac:dyDescent="0.3">
      <c r="A121" s="373" t="s">
        <v>22</v>
      </c>
      <c r="B121" s="184" t="s">
        <v>23</v>
      </c>
      <c r="C121" s="183" t="s">
        <v>155</v>
      </c>
      <c r="D121" s="179"/>
      <c r="E121" s="386" t="s">
        <v>375</v>
      </c>
      <c r="F121" s="370" t="s">
        <v>23</v>
      </c>
      <c r="G121" s="370" t="s">
        <v>435</v>
      </c>
      <c r="H121" s="387" t="s">
        <v>22</v>
      </c>
      <c r="I121" s="178" t="s">
        <v>469</v>
      </c>
      <c r="J121" s="713">
        <v>44950</v>
      </c>
      <c r="K121" s="740">
        <v>0.54166666666666663</v>
      </c>
      <c r="L121" s="713">
        <v>44950</v>
      </c>
      <c r="M121" s="740">
        <v>0.79166666666666663</v>
      </c>
      <c r="N121" s="373">
        <v>4</v>
      </c>
      <c r="O121" s="184" t="s">
        <v>17</v>
      </c>
      <c r="P121" s="402" t="s">
        <v>466</v>
      </c>
      <c r="Q121" s="746" t="s">
        <v>208</v>
      </c>
      <c r="R121" s="202" t="s">
        <v>40</v>
      </c>
      <c r="S121" s="31" t="s">
        <v>273</v>
      </c>
      <c r="T121" s="31" t="s">
        <v>273</v>
      </c>
      <c r="U121" s="31">
        <f>IFERROR(VLOOKUP(CONCATENATE(Tabla1[[#This Row],[Severidad]]," ",Tabla1[[#This Row],[Complejidad]]),Catalogos!E$120:G$128,3,FALSE),"")</f>
        <v>64</v>
      </c>
      <c r="V121" s="31" t="str">
        <f>IF(Tabla1[[#This Row],[Tiempo solución max (hrs)]]&lt;&gt;"",IF(Tabla1[[#This Row],[Tiempo solución max (hrs)]]&gt;=Tabla1[[#This Row],[Tiempo
(Hrs 00/100)]],"cumple","no cumple"),"")</f>
        <v>cumple</v>
      </c>
      <c r="W121" s="376" t="s">
        <v>374</v>
      </c>
      <c r="X121" s="377" t="str">
        <f t="shared" si="17"/>
        <v>DS</v>
      </c>
      <c r="Y121" t="str">
        <f>SUBSTITUTE(Tabla1[[#This Row],[Descripción]],CHAR(10),"    I    ")</f>
        <v>Se quita código comentado y se cambia la manera de comentar en los archivos jsp</v>
      </c>
      <c r="Z121" s="378">
        <f>VLOOKUP(Tabla1[[#This Row],[Perfil]],Catalogos!$B$75:$D$100,3,FALSE)*Tabla1[[#This Row],[Tiempo
(Hrs 00/100)]]*1.16</f>
        <v>3248</v>
      </c>
    </row>
    <row r="122" spans="1:26" ht="42.75" customHeight="1" x14ac:dyDescent="0.3">
      <c r="A122" s="373" t="s">
        <v>22</v>
      </c>
      <c r="B122" s="184" t="s">
        <v>23</v>
      </c>
      <c r="C122" s="183" t="s">
        <v>155</v>
      </c>
      <c r="D122" s="179"/>
      <c r="E122" s="386" t="s">
        <v>375</v>
      </c>
      <c r="F122" s="370" t="s">
        <v>23</v>
      </c>
      <c r="G122" s="370" t="s">
        <v>435</v>
      </c>
      <c r="H122" s="387" t="s">
        <v>22</v>
      </c>
      <c r="I122" s="178" t="s">
        <v>470</v>
      </c>
      <c r="J122" s="713">
        <v>44951</v>
      </c>
      <c r="K122" s="747">
        <v>0.375</v>
      </c>
      <c r="L122" s="713">
        <v>44951</v>
      </c>
      <c r="M122" s="753">
        <v>0.79166666666666663</v>
      </c>
      <c r="N122" s="373">
        <v>8</v>
      </c>
      <c r="O122" s="184" t="s">
        <v>17</v>
      </c>
      <c r="P122" s="402" t="s">
        <v>466</v>
      </c>
      <c r="Q122" s="746" t="s">
        <v>208</v>
      </c>
      <c r="R122" s="202" t="s">
        <v>40</v>
      </c>
      <c r="S122" s="31" t="s">
        <v>273</v>
      </c>
      <c r="T122" s="31" t="s">
        <v>273</v>
      </c>
      <c r="U122" s="31">
        <f>IFERROR(VLOOKUP(CONCATENATE(Tabla1[[#This Row],[Severidad]]," ",Tabla1[[#This Row],[Complejidad]]),Catalogos!E$120:G$128,3,FALSE),"")</f>
        <v>64</v>
      </c>
      <c r="V122" s="31" t="str">
        <f>IF(Tabla1[[#This Row],[Tiempo solución max (hrs)]]&lt;&gt;"",IF(Tabla1[[#This Row],[Tiempo solución max (hrs)]]&gt;=Tabla1[[#This Row],[Tiempo
(Hrs 00/100)]],"cumple","no cumple"),"")</f>
        <v>cumple</v>
      </c>
      <c r="W122" s="376" t="s">
        <v>374</v>
      </c>
      <c r="X122" s="377" t="str">
        <f t="shared" si="17"/>
        <v>DS</v>
      </c>
      <c r="Y122" t="str">
        <f>SUBSTITUTE(Tabla1[[#This Row],[Descripción]],CHAR(10),"    I    ")</f>
        <v>Pruebas y actualización angularjs en portlet administración</v>
      </c>
      <c r="Z122" s="378">
        <f>VLOOKUP(Tabla1[[#This Row],[Perfil]],Catalogos!$B$75:$D$100,3,FALSE)*Tabla1[[#This Row],[Tiempo
(Hrs 00/100)]]*1.16</f>
        <v>6496</v>
      </c>
    </row>
    <row r="123" spans="1:26" ht="42.75" customHeight="1" x14ac:dyDescent="0.3">
      <c r="A123" s="373" t="s">
        <v>22</v>
      </c>
      <c r="B123" s="184" t="s">
        <v>23</v>
      </c>
      <c r="C123" s="183" t="s">
        <v>155</v>
      </c>
      <c r="D123" s="179"/>
      <c r="E123" s="386" t="s">
        <v>375</v>
      </c>
      <c r="F123" s="370" t="s">
        <v>23</v>
      </c>
      <c r="G123" s="370" t="s">
        <v>435</v>
      </c>
      <c r="H123" s="387" t="s">
        <v>22</v>
      </c>
      <c r="I123" s="178" t="s">
        <v>471</v>
      </c>
      <c r="J123" s="713">
        <v>44952</v>
      </c>
      <c r="K123" s="747">
        <v>0.375</v>
      </c>
      <c r="L123" s="713">
        <v>44952</v>
      </c>
      <c r="M123" s="753">
        <v>0.79166666666666663</v>
      </c>
      <c r="N123" s="373">
        <v>8</v>
      </c>
      <c r="O123" s="184" t="s">
        <v>411</v>
      </c>
      <c r="P123" s="402" t="s">
        <v>466</v>
      </c>
      <c r="Q123" s="746" t="s">
        <v>208</v>
      </c>
      <c r="R123" s="202" t="s">
        <v>40</v>
      </c>
      <c r="S123" s="31" t="s">
        <v>273</v>
      </c>
      <c r="T123" s="31" t="s">
        <v>273</v>
      </c>
      <c r="U123" s="31">
        <f>IFERROR(VLOOKUP(CONCATENATE(Tabla1[[#This Row],[Severidad]]," ",Tabla1[[#This Row],[Complejidad]]),Catalogos!E$120:G$128,3,FALSE),"")</f>
        <v>64</v>
      </c>
      <c r="V123" s="31" t="str">
        <f>IF(Tabla1[[#This Row],[Tiempo solución max (hrs)]]&lt;&gt;"",IF(Tabla1[[#This Row],[Tiempo solución max (hrs)]]&gt;=Tabla1[[#This Row],[Tiempo
(Hrs 00/100)]],"cumple","no cumple"),"")</f>
        <v>cumple</v>
      </c>
      <c r="W123" s="376" t="s">
        <v>374</v>
      </c>
      <c r="X123" s="377" t="str">
        <f t="shared" si="17"/>
        <v>DS</v>
      </c>
      <c r="Y123" t="str">
        <f>SUBSTITUTE(Tabla1[[#This Row],[Descripción]],CHAR(10),"    I    ")</f>
        <v>Atención de posibles vulnerabilidades de seguridad en portlet administración</v>
      </c>
      <c r="Z123" s="378">
        <f>VLOOKUP(Tabla1[[#This Row],[Perfil]],Catalogos!$B$75:$D$100,3,FALSE)*Tabla1[[#This Row],[Tiempo
(Hrs 00/100)]]*1.16</f>
        <v>6496</v>
      </c>
    </row>
    <row r="124" spans="1:26" ht="42.75" customHeight="1" x14ac:dyDescent="0.3">
      <c r="A124" s="373" t="s">
        <v>22</v>
      </c>
      <c r="B124" s="184" t="s">
        <v>23</v>
      </c>
      <c r="C124" s="183" t="s">
        <v>155</v>
      </c>
      <c r="D124" s="179"/>
      <c r="E124" s="386" t="s">
        <v>375</v>
      </c>
      <c r="F124" s="370" t="s">
        <v>23</v>
      </c>
      <c r="G124" s="370" t="s">
        <v>435</v>
      </c>
      <c r="H124" s="387" t="s">
        <v>22</v>
      </c>
      <c r="I124" s="178" t="s">
        <v>471</v>
      </c>
      <c r="J124" s="713">
        <v>44953</v>
      </c>
      <c r="K124" s="747">
        <v>0.375</v>
      </c>
      <c r="L124" s="713">
        <v>44953</v>
      </c>
      <c r="M124" s="753">
        <v>0.625</v>
      </c>
      <c r="N124" s="373">
        <v>5</v>
      </c>
      <c r="O124" s="184" t="s">
        <v>411</v>
      </c>
      <c r="P124" s="402" t="s">
        <v>466</v>
      </c>
      <c r="Q124" s="746" t="s">
        <v>208</v>
      </c>
      <c r="R124" s="202" t="s">
        <v>40</v>
      </c>
      <c r="S124" s="31" t="s">
        <v>273</v>
      </c>
      <c r="T124" s="31" t="s">
        <v>273</v>
      </c>
      <c r="U124" s="31">
        <f>IFERROR(VLOOKUP(CONCATENATE(Tabla1[[#This Row],[Severidad]]," ",Tabla1[[#This Row],[Complejidad]]),Catalogos!E$120:G$128,3,FALSE),"")</f>
        <v>64</v>
      </c>
      <c r="V124" s="31" t="str">
        <f>IF(Tabla1[[#This Row],[Tiempo solución max (hrs)]]&lt;&gt;"",IF(Tabla1[[#This Row],[Tiempo solución max (hrs)]]&gt;=Tabla1[[#This Row],[Tiempo
(Hrs 00/100)]],"cumple","no cumple"),"")</f>
        <v>cumple</v>
      </c>
      <c r="W124" s="376" t="s">
        <v>374</v>
      </c>
      <c r="X124" s="377" t="str">
        <f t="shared" ref="X124" si="26">IF(C124&lt;&gt;"",C124,D124)</f>
        <v>DS</v>
      </c>
      <c r="Y124" t="str">
        <f>SUBSTITUTE(Tabla1[[#This Row],[Descripción]],CHAR(10),"    I    ")</f>
        <v>Atención de posibles vulnerabilidades de seguridad en portlet administración</v>
      </c>
      <c r="Z124" s="378">
        <f>VLOOKUP(Tabla1[[#This Row],[Perfil]],Catalogos!$B$75:$D$100,3,FALSE)*Tabla1[[#This Row],[Tiempo
(Hrs 00/100)]]*1.16</f>
        <v>4059.9999999999995</v>
      </c>
    </row>
    <row r="125" spans="1:26" ht="42.75" customHeight="1" x14ac:dyDescent="0.3">
      <c r="A125" s="373" t="s">
        <v>22</v>
      </c>
      <c r="B125" s="184" t="s">
        <v>23</v>
      </c>
      <c r="C125" s="183" t="s">
        <v>155</v>
      </c>
      <c r="D125" s="179"/>
      <c r="E125" s="386" t="s">
        <v>375</v>
      </c>
      <c r="F125" s="370" t="s">
        <v>23</v>
      </c>
      <c r="G125" s="370" t="s">
        <v>435</v>
      </c>
      <c r="H125" s="387" t="s">
        <v>22</v>
      </c>
      <c r="I125" s="178" t="s">
        <v>471</v>
      </c>
      <c r="J125" s="713">
        <v>44956</v>
      </c>
      <c r="K125" s="747">
        <v>0.375</v>
      </c>
      <c r="L125" s="713">
        <v>44956</v>
      </c>
      <c r="M125" s="753">
        <v>0.79166666666666663</v>
      </c>
      <c r="N125" s="373">
        <v>8</v>
      </c>
      <c r="O125" s="184" t="s">
        <v>411</v>
      </c>
      <c r="P125" s="402" t="s">
        <v>466</v>
      </c>
      <c r="Q125" s="746" t="s">
        <v>208</v>
      </c>
      <c r="R125" s="202" t="s">
        <v>40</v>
      </c>
      <c r="S125" s="31" t="s">
        <v>273</v>
      </c>
      <c r="T125" s="31" t="s">
        <v>273</v>
      </c>
      <c r="U125" s="31">
        <f>IFERROR(VLOOKUP(CONCATENATE(Tabla1[[#This Row],[Severidad]]," ",Tabla1[[#This Row],[Complejidad]]),Catalogos!E$120:G$128,3,FALSE),"")</f>
        <v>64</v>
      </c>
      <c r="V125" s="31" t="str">
        <f>IF(Tabla1[[#This Row],[Tiempo solución max (hrs)]]&lt;&gt;"",IF(Tabla1[[#This Row],[Tiempo solución max (hrs)]]&gt;=Tabla1[[#This Row],[Tiempo
(Hrs 00/100)]],"cumple","no cumple"),"")</f>
        <v>cumple</v>
      </c>
      <c r="W125" s="376" t="s">
        <v>374</v>
      </c>
      <c r="X125" s="377" t="str">
        <f t="shared" ref="X125" si="27">IF(C125&lt;&gt;"",C125,D125)</f>
        <v>DS</v>
      </c>
      <c r="Y125" t="str">
        <f>SUBSTITUTE(Tabla1[[#This Row],[Descripción]],CHAR(10),"    I    ")</f>
        <v>Atención de posibles vulnerabilidades de seguridad en portlet administración</v>
      </c>
      <c r="Z125" s="378">
        <f>VLOOKUP(Tabla1[[#This Row],[Perfil]],Catalogos!$B$75:$D$100,3,FALSE)*Tabla1[[#This Row],[Tiempo
(Hrs 00/100)]]*1.16</f>
        <v>6496</v>
      </c>
    </row>
    <row r="126" spans="1:26" ht="42.75" customHeight="1" x14ac:dyDescent="0.3">
      <c r="A126" s="373" t="s">
        <v>22</v>
      </c>
      <c r="B126" s="184" t="s">
        <v>23</v>
      </c>
      <c r="C126" s="183" t="s">
        <v>155</v>
      </c>
      <c r="D126" s="179"/>
      <c r="E126" s="386" t="s">
        <v>375</v>
      </c>
      <c r="F126" s="370" t="s">
        <v>23</v>
      </c>
      <c r="G126" s="370" t="s">
        <v>435</v>
      </c>
      <c r="H126" s="387" t="s">
        <v>22</v>
      </c>
      <c r="I126" s="178" t="s">
        <v>471</v>
      </c>
      <c r="J126" s="713">
        <v>44957</v>
      </c>
      <c r="K126" s="747">
        <v>0.375</v>
      </c>
      <c r="L126" s="713">
        <v>44957</v>
      </c>
      <c r="M126" s="753">
        <v>0.79166666666666663</v>
      </c>
      <c r="N126" s="373">
        <v>8</v>
      </c>
      <c r="O126" s="184" t="s">
        <v>17</v>
      </c>
      <c r="P126" s="402" t="s">
        <v>466</v>
      </c>
      <c r="Q126" s="746" t="s">
        <v>208</v>
      </c>
      <c r="R126" s="202" t="s">
        <v>40</v>
      </c>
      <c r="S126" s="31" t="s">
        <v>273</v>
      </c>
      <c r="T126" s="31" t="s">
        <v>273</v>
      </c>
      <c r="U126" s="31">
        <f>IFERROR(VLOOKUP(CONCATENATE(Tabla1[[#This Row],[Severidad]]," ",Tabla1[[#This Row],[Complejidad]]),Catalogos!E$120:G$128,3,FALSE),"")</f>
        <v>64</v>
      </c>
      <c r="V126" s="31" t="str">
        <f>IF(Tabla1[[#This Row],[Tiempo solución max (hrs)]]&lt;&gt;"",IF(Tabla1[[#This Row],[Tiempo solución max (hrs)]]&gt;=Tabla1[[#This Row],[Tiempo
(Hrs 00/100)]],"cumple","no cumple"),"")</f>
        <v>cumple</v>
      </c>
      <c r="W126" s="376" t="s">
        <v>374</v>
      </c>
      <c r="X126" s="377" t="str">
        <f t="shared" ref="X126" si="28">IF(C126&lt;&gt;"",C126,D126)</f>
        <v>DS</v>
      </c>
      <c r="Y126" t="str">
        <f>SUBSTITUTE(Tabla1[[#This Row],[Descripción]],CHAR(10),"    I    ")</f>
        <v>Atención de posibles vulnerabilidades de seguridad en portlet administración</v>
      </c>
      <c r="Z126" s="378">
        <f>VLOOKUP(Tabla1[[#This Row],[Perfil]],Catalogos!$B$75:$D$100,3,FALSE)*Tabla1[[#This Row],[Tiempo
(Hrs 00/100)]]*1.16</f>
        <v>6496</v>
      </c>
    </row>
    <row r="127" spans="1:26" ht="42.75" customHeight="1" x14ac:dyDescent="0.3">
      <c r="A127" s="370" t="s">
        <v>15</v>
      </c>
      <c r="B127" s="370" t="s">
        <v>67</v>
      </c>
      <c r="C127" s="370" t="s">
        <v>49</v>
      </c>
      <c r="D127" s="370"/>
      <c r="E127" s="370" t="s">
        <v>472</v>
      </c>
      <c r="F127" s="370" t="s">
        <v>473</v>
      </c>
      <c r="G127" s="370" t="s">
        <v>474</v>
      </c>
      <c r="H127" s="178" t="s">
        <v>475</v>
      </c>
      <c r="I127" s="178" t="s">
        <v>476</v>
      </c>
      <c r="J127" s="714">
        <v>44956</v>
      </c>
      <c r="K127" s="747">
        <v>0.375</v>
      </c>
      <c r="L127" s="714">
        <v>44956</v>
      </c>
      <c r="M127" s="780">
        <v>0.41666666666666669</v>
      </c>
      <c r="N127" s="373">
        <v>1</v>
      </c>
      <c r="O127" s="184" t="s">
        <v>17</v>
      </c>
      <c r="P127" s="403"/>
      <c r="Q127" s="746" t="s">
        <v>101</v>
      </c>
      <c r="R127" s="404" t="s">
        <v>83</v>
      </c>
      <c r="S127" s="31" t="s">
        <v>273</v>
      </c>
      <c r="T127" s="31" t="s">
        <v>273</v>
      </c>
      <c r="U127" s="31">
        <f>IFERROR(VLOOKUP(CONCATENATE(Tabla1[[#This Row],[Severidad]]," ",Tabla1[[#This Row],[Complejidad]]),Catalogos!E$120:G$128,3,FALSE),"")</f>
        <v>64</v>
      </c>
      <c r="V127" s="31" t="str">
        <f>IF(Tabla1[[#This Row],[Tiempo solución max (hrs)]]&lt;&gt;"",IF(Tabla1[[#This Row],[Tiempo solución max (hrs)]]&gt;=Tabla1[[#This Row],[Tiempo
(Hrs 00/100)]],"cumple","no cumple"),"")</f>
        <v>cumple</v>
      </c>
      <c r="W127" s="376" t="s">
        <v>374</v>
      </c>
      <c r="X127" s="377" t="str">
        <f t="shared" si="17"/>
        <v>SAI</v>
      </c>
      <c r="Y127" t="str">
        <f>SUBSTITUTE(Tabla1[[#This Row],[Descripción]],CHAR(10),"    I    ")</f>
        <v>Revision de Numeración erronea en casos y ajuste en contadores</v>
      </c>
      <c r="Z127" s="378">
        <f>VLOOKUP(Tabla1[[#This Row],[Perfil]],Catalogos!$B$75:$D$100,3,FALSE)*Tabla1[[#This Row],[Tiempo
(Hrs 00/100)]]*1.16</f>
        <v>696</v>
      </c>
    </row>
    <row r="128" spans="1:26" ht="42.75" customHeight="1" x14ac:dyDescent="0.3">
      <c r="A128" s="373" t="s">
        <v>22</v>
      </c>
      <c r="B128" s="184" t="s">
        <v>23</v>
      </c>
      <c r="C128" s="183" t="s">
        <v>155</v>
      </c>
      <c r="D128" s="179"/>
      <c r="E128" s="386" t="s">
        <v>375</v>
      </c>
      <c r="F128" s="370" t="s">
        <v>23</v>
      </c>
      <c r="G128" s="370" t="s">
        <v>435</v>
      </c>
      <c r="H128" s="36" t="s">
        <v>494</v>
      </c>
      <c r="I128" s="36" t="s">
        <v>477</v>
      </c>
      <c r="J128" s="713">
        <v>44958</v>
      </c>
      <c r="K128" s="747">
        <v>0.375</v>
      </c>
      <c r="L128" s="713">
        <v>44958</v>
      </c>
      <c r="M128" s="753">
        <v>0.79166666666666663</v>
      </c>
      <c r="N128" s="373">
        <v>8</v>
      </c>
      <c r="O128" s="184" t="s">
        <v>17</v>
      </c>
      <c r="P128" s="402" t="s">
        <v>462</v>
      </c>
      <c r="Q128" s="746" t="s">
        <v>264</v>
      </c>
      <c r="R128" s="202" t="s">
        <v>40</v>
      </c>
      <c r="S128" s="31" t="s">
        <v>273</v>
      </c>
      <c r="T128" s="31" t="s">
        <v>273</v>
      </c>
      <c r="U128" s="31">
        <f>IFERROR(VLOOKUP(CONCATENATE(Tabla1[[#This Row],[Severidad]]," ",Tabla1[[#This Row],[Complejidad]]),Catalogos!E$120:G$128,3,FALSE),"")</f>
        <v>64</v>
      </c>
      <c r="V128" s="31" t="str">
        <f>IF(Tabla1[[#This Row],[Tiempo solución max (hrs)]]&lt;&gt;"",IF(Tabla1[[#This Row],[Tiempo solución max (hrs)]]&gt;=Tabla1[[#This Row],[Tiempo
(Hrs 00/100)]],"cumple","no cumple"),"")</f>
        <v>cumple</v>
      </c>
      <c r="W128" s="376" t="s">
        <v>495</v>
      </c>
      <c r="X128" s="377" t="str">
        <f t="shared" si="17"/>
        <v>DS</v>
      </c>
      <c r="Y128" t="str">
        <f>SUBSTITUTE(Tabla1[[#This Row],[Descripción]],CHAR(10),"    I    ")</f>
        <v>Access Specifier Manipulation</v>
      </c>
      <c r="Z128" s="378">
        <f>VLOOKUP(Tabla1[[#This Row],[Perfil]],Catalogos!$B$75:$D$100,3,FALSE)*Tabla1[[#This Row],[Tiempo
(Hrs 00/100)]]*1.16</f>
        <v>6496</v>
      </c>
    </row>
    <row r="129" spans="1:26" ht="42.75" customHeight="1" x14ac:dyDescent="0.3">
      <c r="A129" s="373" t="s">
        <v>22</v>
      </c>
      <c r="B129" s="184" t="s">
        <v>23</v>
      </c>
      <c r="C129" s="183" t="s">
        <v>155</v>
      </c>
      <c r="D129" s="179"/>
      <c r="E129" s="386" t="s">
        <v>375</v>
      </c>
      <c r="F129" s="370" t="s">
        <v>23</v>
      </c>
      <c r="G129" s="370" t="s">
        <v>435</v>
      </c>
      <c r="H129" s="36" t="s">
        <v>494</v>
      </c>
      <c r="I129" s="36" t="s">
        <v>478</v>
      </c>
      <c r="J129" s="713">
        <v>44959</v>
      </c>
      <c r="K129" s="747">
        <v>0.375</v>
      </c>
      <c r="L129" s="713">
        <v>44959</v>
      </c>
      <c r="M129" s="753">
        <v>0.79166666666666663</v>
      </c>
      <c r="N129" s="373">
        <v>8</v>
      </c>
      <c r="O129" s="184" t="s">
        <v>17</v>
      </c>
      <c r="P129" s="402" t="s">
        <v>462</v>
      </c>
      <c r="Q129" s="746" t="s">
        <v>264</v>
      </c>
      <c r="R129" s="202" t="s">
        <v>40</v>
      </c>
      <c r="S129" s="31" t="s">
        <v>273</v>
      </c>
      <c r="T129" s="31" t="s">
        <v>273</v>
      </c>
      <c r="U129" s="31">
        <f>IFERROR(VLOOKUP(CONCATENATE(Tabla1[[#This Row],[Severidad]]," ",Tabla1[[#This Row],[Complejidad]]),Catalogos!E$120:G$128,3,FALSE),"")</f>
        <v>64</v>
      </c>
      <c r="V129" s="31" t="str">
        <f>IF(Tabla1[[#This Row],[Tiempo solución max (hrs)]]&lt;&gt;"",IF(Tabla1[[#This Row],[Tiempo solución max (hrs)]]&gt;=Tabla1[[#This Row],[Tiempo
(Hrs 00/100)]],"cumple","no cumple"),"")</f>
        <v>cumple</v>
      </c>
      <c r="W129" s="376" t="s">
        <v>495</v>
      </c>
      <c r="X129" s="377" t="str">
        <f t="shared" si="17"/>
        <v>DS</v>
      </c>
      <c r="Y129" t="str">
        <f>SUBSTITUTE(Tabla1[[#This Row],[Descripción]],CHAR(10),"    I    ")</f>
        <v>Insecure Randomness</v>
      </c>
      <c r="Z129" s="378">
        <f>VLOOKUP(Tabla1[[#This Row],[Perfil]],Catalogos!$B$75:$D$100,3,FALSE)*Tabla1[[#This Row],[Tiempo
(Hrs 00/100)]]*1.16</f>
        <v>6496</v>
      </c>
    </row>
    <row r="130" spans="1:26" ht="42.75" customHeight="1" x14ac:dyDescent="0.3">
      <c r="A130" s="373" t="s">
        <v>22</v>
      </c>
      <c r="B130" s="184" t="s">
        <v>23</v>
      </c>
      <c r="C130" s="183" t="s">
        <v>155</v>
      </c>
      <c r="D130" s="179"/>
      <c r="E130" s="386" t="s">
        <v>375</v>
      </c>
      <c r="F130" s="370" t="s">
        <v>23</v>
      </c>
      <c r="G130" s="370" t="s">
        <v>435</v>
      </c>
      <c r="H130" s="36" t="s">
        <v>494</v>
      </c>
      <c r="I130" s="36" t="s">
        <v>479</v>
      </c>
      <c r="J130" s="713">
        <v>44960</v>
      </c>
      <c r="K130" s="739">
        <v>0.375</v>
      </c>
      <c r="L130" s="713">
        <v>44960</v>
      </c>
      <c r="M130" s="739">
        <v>0.625</v>
      </c>
      <c r="N130" s="373">
        <v>6</v>
      </c>
      <c r="O130" s="184" t="s">
        <v>17</v>
      </c>
      <c r="P130" s="402" t="s">
        <v>462</v>
      </c>
      <c r="Q130" s="746" t="s">
        <v>264</v>
      </c>
      <c r="R130" s="202" t="s">
        <v>40</v>
      </c>
      <c r="S130" s="31" t="s">
        <v>273</v>
      </c>
      <c r="T130" s="31" t="s">
        <v>273</v>
      </c>
      <c r="U130" s="31">
        <f>IFERROR(VLOOKUP(CONCATENATE(Tabla1[[#This Row],[Severidad]]," ",Tabla1[[#This Row],[Complejidad]]),Catalogos!E$120:G$128,3,FALSE),"")</f>
        <v>64</v>
      </c>
      <c r="V130" s="31" t="str">
        <f>IF(Tabla1[[#This Row],[Tiempo solución max (hrs)]]&lt;&gt;"",IF(Tabla1[[#This Row],[Tiempo solución max (hrs)]]&gt;=Tabla1[[#This Row],[Tiempo
(Hrs 00/100)]],"cumple","no cumple"),"")</f>
        <v>cumple</v>
      </c>
      <c r="W130" s="376" t="s">
        <v>495</v>
      </c>
      <c r="X130" s="377" t="str">
        <f t="shared" si="17"/>
        <v>DS</v>
      </c>
      <c r="Y130" t="str">
        <f>SUBSTITUTE(Tabla1[[#This Row],[Descripción]],CHAR(10),"    I    ")</f>
        <v>Key Management: Hardcoded Encryption Key</v>
      </c>
      <c r="Z130" s="378">
        <f>VLOOKUP(Tabla1[[#This Row],[Perfil]],Catalogos!$B$75:$D$100,3,FALSE)*Tabla1[[#This Row],[Tiempo
(Hrs 00/100)]]*1.16</f>
        <v>4872</v>
      </c>
    </row>
    <row r="131" spans="1:26" ht="42.75" customHeight="1" x14ac:dyDescent="0.3">
      <c r="A131" s="373" t="s">
        <v>22</v>
      </c>
      <c r="B131" s="184" t="s">
        <v>23</v>
      </c>
      <c r="C131" s="183" t="s">
        <v>155</v>
      </c>
      <c r="D131" s="179"/>
      <c r="E131" s="386" t="s">
        <v>375</v>
      </c>
      <c r="F131" s="370" t="s">
        <v>23</v>
      </c>
      <c r="G131" s="370" t="s">
        <v>435</v>
      </c>
      <c r="H131" s="36" t="s">
        <v>494</v>
      </c>
      <c r="I131" s="36" t="s">
        <v>480</v>
      </c>
      <c r="J131" s="713">
        <v>44964</v>
      </c>
      <c r="K131" s="747">
        <v>0.375</v>
      </c>
      <c r="L131" s="713">
        <v>44964</v>
      </c>
      <c r="M131" s="753">
        <v>0.79166666666666663</v>
      </c>
      <c r="N131" s="373">
        <v>8</v>
      </c>
      <c r="O131" s="184" t="s">
        <v>17</v>
      </c>
      <c r="P131" s="402" t="s">
        <v>462</v>
      </c>
      <c r="Q131" s="746" t="s">
        <v>264</v>
      </c>
      <c r="R131" s="202" t="s">
        <v>40</v>
      </c>
      <c r="S131" s="31" t="s">
        <v>273</v>
      </c>
      <c r="T131" s="31" t="s">
        <v>273</v>
      </c>
      <c r="U131" s="31">
        <f>IFERROR(VLOOKUP(CONCATENATE(Tabla1[[#This Row],[Severidad]]," ",Tabla1[[#This Row],[Complejidad]]),Catalogos!E$120:G$128,3,FALSE),"")</f>
        <v>64</v>
      </c>
      <c r="V131" s="31" t="str">
        <f>IF(Tabla1[[#This Row],[Tiempo solución max (hrs)]]&lt;&gt;"",IF(Tabla1[[#This Row],[Tiempo solución max (hrs)]]&gt;=Tabla1[[#This Row],[Tiempo
(Hrs 00/100)]],"cumple","no cumple"),"")</f>
        <v>cumple</v>
      </c>
      <c r="W131" s="376" t="s">
        <v>495</v>
      </c>
      <c r="X131" s="377" t="str">
        <f t="shared" si="17"/>
        <v>DS</v>
      </c>
      <c r="Y131" t="str">
        <f>SUBSTITUTE(Tabla1[[#This Row],[Descripción]],CHAR(10),"    I    ")</f>
        <v>Log Forging</v>
      </c>
      <c r="Z131" s="378">
        <f>VLOOKUP(Tabla1[[#This Row],[Perfil]],Catalogos!$B$75:$D$100,3,FALSE)*Tabla1[[#This Row],[Tiempo
(Hrs 00/100)]]*1.16</f>
        <v>6496</v>
      </c>
    </row>
    <row r="132" spans="1:26" ht="42.75" customHeight="1" x14ac:dyDescent="0.3">
      <c r="A132" s="373" t="s">
        <v>22</v>
      </c>
      <c r="B132" s="184" t="s">
        <v>23</v>
      </c>
      <c r="C132" s="183" t="s">
        <v>155</v>
      </c>
      <c r="D132" s="179"/>
      <c r="E132" s="386" t="s">
        <v>375</v>
      </c>
      <c r="F132" s="370" t="s">
        <v>23</v>
      </c>
      <c r="G132" s="370" t="s">
        <v>435</v>
      </c>
      <c r="H132" s="36" t="s">
        <v>494</v>
      </c>
      <c r="I132" s="36" t="s">
        <v>481</v>
      </c>
      <c r="J132" s="713">
        <v>44965</v>
      </c>
      <c r="K132" s="747">
        <v>0.375</v>
      </c>
      <c r="L132" s="713">
        <v>44965</v>
      </c>
      <c r="M132" s="753">
        <v>0.79166666666666663</v>
      </c>
      <c r="N132" s="373">
        <v>8</v>
      </c>
      <c r="O132" s="184" t="s">
        <v>17</v>
      </c>
      <c r="P132" s="402" t="s">
        <v>462</v>
      </c>
      <c r="Q132" s="746" t="s">
        <v>264</v>
      </c>
      <c r="R132" s="202" t="s">
        <v>40</v>
      </c>
      <c r="S132" s="31" t="s">
        <v>273</v>
      </c>
      <c r="T132" s="31" t="s">
        <v>273</v>
      </c>
      <c r="U132" s="31">
        <f>IFERROR(VLOOKUP(CONCATENATE(Tabla1[[#This Row],[Severidad]]," ",Tabla1[[#This Row],[Complejidad]]),Catalogos!E$120:G$128,3,FALSE),"")</f>
        <v>64</v>
      </c>
      <c r="V132" s="31" t="str">
        <f>IF(Tabla1[[#This Row],[Tiempo solución max (hrs)]]&lt;&gt;"",IF(Tabla1[[#This Row],[Tiempo solución max (hrs)]]&gt;=Tabla1[[#This Row],[Tiempo
(Hrs 00/100)]],"cumple","no cumple"),"")</f>
        <v>cumple</v>
      </c>
      <c r="W132" s="376" t="s">
        <v>495</v>
      </c>
      <c r="X132" s="377" t="str">
        <f t="shared" si="17"/>
        <v>DS</v>
      </c>
      <c r="Y132" t="str">
        <f>SUBSTITUTE(Tabla1[[#This Row],[Descripción]],CHAR(10),"    I    ")</f>
        <v>Null Dereference</v>
      </c>
      <c r="Z132" s="378">
        <f>VLOOKUP(Tabla1[[#This Row],[Perfil]],Catalogos!$B$75:$D$100,3,FALSE)*Tabla1[[#This Row],[Tiempo
(Hrs 00/100)]]*1.16</f>
        <v>6496</v>
      </c>
    </row>
    <row r="133" spans="1:26" ht="42.75" customHeight="1" x14ac:dyDescent="0.3">
      <c r="A133" s="373" t="s">
        <v>22</v>
      </c>
      <c r="B133" s="184" t="s">
        <v>23</v>
      </c>
      <c r="C133" s="183" t="s">
        <v>155</v>
      </c>
      <c r="D133" s="179"/>
      <c r="E133" s="386" t="s">
        <v>375</v>
      </c>
      <c r="F133" s="370" t="s">
        <v>23</v>
      </c>
      <c r="G133" s="370" t="s">
        <v>435</v>
      </c>
      <c r="H133" s="36" t="s">
        <v>494</v>
      </c>
      <c r="I133" s="36" t="s">
        <v>482</v>
      </c>
      <c r="J133" s="713">
        <v>44966</v>
      </c>
      <c r="K133" s="747">
        <v>0.375</v>
      </c>
      <c r="L133" s="713">
        <v>44966</v>
      </c>
      <c r="M133" s="739">
        <v>0.54166666666666663</v>
      </c>
      <c r="N133" s="373">
        <v>4</v>
      </c>
      <c r="O133" s="184" t="s">
        <v>17</v>
      </c>
      <c r="P133" s="402" t="s">
        <v>462</v>
      </c>
      <c r="Q133" s="746" t="s">
        <v>264</v>
      </c>
      <c r="R133" s="202" t="s">
        <v>40</v>
      </c>
      <c r="S133" s="31" t="s">
        <v>273</v>
      </c>
      <c r="T133" s="31" t="s">
        <v>273</v>
      </c>
      <c r="U133" s="31">
        <f>IFERROR(VLOOKUP(CONCATENATE(Tabla1[[#This Row],[Severidad]]," ",Tabla1[[#This Row],[Complejidad]]),Catalogos!E$120:G$128,3,FALSE),"")</f>
        <v>64</v>
      </c>
      <c r="V133" s="31" t="str">
        <f>IF(Tabla1[[#This Row],[Tiempo solución max (hrs)]]&lt;&gt;"",IF(Tabla1[[#This Row],[Tiempo solución max (hrs)]]&gt;=Tabla1[[#This Row],[Tiempo
(Hrs 00/100)]],"cumple","no cumple"),"")</f>
        <v>cumple</v>
      </c>
      <c r="W133" s="376" t="s">
        <v>495</v>
      </c>
      <c r="X133" s="377" t="str">
        <f t="shared" si="17"/>
        <v>DS</v>
      </c>
      <c r="Y133" t="str">
        <f>SUBSTITUTE(Tabla1[[#This Row],[Descripción]],CHAR(10),"    I    ")</f>
        <v>Password Management: Password in Configuration File</v>
      </c>
      <c r="Z133" s="378">
        <f>VLOOKUP(Tabla1[[#This Row],[Perfil]],Catalogos!$B$75:$D$100,3,FALSE)*Tabla1[[#This Row],[Tiempo
(Hrs 00/100)]]*1.16</f>
        <v>3248</v>
      </c>
    </row>
    <row r="134" spans="1:26" ht="42.75" customHeight="1" x14ac:dyDescent="0.3">
      <c r="A134" s="373" t="s">
        <v>22</v>
      </c>
      <c r="B134" s="184" t="s">
        <v>23</v>
      </c>
      <c r="C134" s="183" t="s">
        <v>155</v>
      </c>
      <c r="D134" s="179"/>
      <c r="E134" s="386" t="s">
        <v>375</v>
      </c>
      <c r="F134" s="370" t="s">
        <v>23</v>
      </c>
      <c r="G134" s="370" t="s">
        <v>435</v>
      </c>
      <c r="H134" s="36" t="s">
        <v>494</v>
      </c>
      <c r="I134" s="36" t="s">
        <v>483</v>
      </c>
      <c r="J134" s="713">
        <v>44966</v>
      </c>
      <c r="K134" s="739">
        <v>0.54166666666666663</v>
      </c>
      <c r="L134" s="713">
        <v>44966</v>
      </c>
      <c r="M134" s="739">
        <v>0.79166666666666663</v>
      </c>
      <c r="N134" s="373">
        <v>4</v>
      </c>
      <c r="O134" s="184" t="s">
        <v>411</v>
      </c>
      <c r="P134" s="402" t="s">
        <v>462</v>
      </c>
      <c r="Q134" s="746" t="s">
        <v>264</v>
      </c>
      <c r="R134" s="202" t="s">
        <v>40</v>
      </c>
      <c r="S134" s="31" t="s">
        <v>273</v>
      </c>
      <c r="T134" s="31" t="s">
        <v>273</v>
      </c>
      <c r="U134" s="31">
        <f>IFERROR(VLOOKUP(CONCATENATE(Tabla1[[#This Row],[Severidad]]," ",Tabla1[[#This Row],[Complejidad]]),Catalogos!E$120:G$128,3,FALSE),"")</f>
        <v>64</v>
      </c>
      <c r="V134" s="31" t="str">
        <f>IF(Tabla1[[#This Row],[Tiempo solución max (hrs)]]&lt;&gt;"",IF(Tabla1[[#This Row],[Tiempo solución max (hrs)]]&gt;=Tabla1[[#This Row],[Tiempo
(Hrs 00/100)]],"cumple","no cumple"),"")</f>
        <v>cumple</v>
      </c>
      <c r="W134" s="376" t="s">
        <v>495</v>
      </c>
      <c r="X134" s="377" t="str">
        <f t="shared" si="17"/>
        <v>DS</v>
      </c>
      <c r="Y134" t="str">
        <f>SUBSTITUTE(Tabla1[[#This Row],[Descripción]],CHAR(10),"    I    ")</f>
        <v>Path Manipulation</v>
      </c>
      <c r="Z134" s="378">
        <f>VLOOKUP(Tabla1[[#This Row],[Perfil]],Catalogos!$B$75:$D$100,3,FALSE)*Tabla1[[#This Row],[Tiempo
(Hrs 00/100)]]*1.16</f>
        <v>3248</v>
      </c>
    </row>
    <row r="135" spans="1:26" ht="42.75" customHeight="1" x14ac:dyDescent="0.3">
      <c r="A135" s="373" t="s">
        <v>22</v>
      </c>
      <c r="B135" s="184" t="s">
        <v>23</v>
      </c>
      <c r="C135" s="183" t="s">
        <v>155</v>
      </c>
      <c r="D135" s="179"/>
      <c r="E135" s="386" t="s">
        <v>375</v>
      </c>
      <c r="F135" s="370" t="s">
        <v>23</v>
      </c>
      <c r="G135" s="370" t="s">
        <v>435</v>
      </c>
      <c r="H135" s="36" t="s">
        <v>494</v>
      </c>
      <c r="I135" s="36" t="s">
        <v>483</v>
      </c>
      <c r="J135" s="713">
        <v>44967</v>
      </c>
      <c r="K135" s="747">
        <v>0.375</v>
      </c>
      <c r="L135" s="713">
        <v>44967</v>
      </c>
      <c r="M135" s="739">
        <v>0.54166666666666663</v>
      </c>
      <c r="N135" s="373">
        <v>4</v>
      </c>
      <c r="O135" s="184" t="s">
        <v>17</v>
      </c>
      <c r="P135" s="402" t="s">
        <v>462</v>
      </c>
      <c r="Q135" s="746" t="s">
        <v>264</v>
      </c>
      <c r="R135" s="202" t="s">
        <v>40</v>
      </c>
      <c r="S135" s="31" t="s">
        <v>273</v>
      </c>
      <c r="T135" s="31" t="s">
        <v>273</v>
      </c>
      <c r="U135" s="31">
        <f>IFERROR(VLOOKUP(CONCATENATE(Tabla1[[#This Row],[Severidad]]," ",Tabla1[[#This Row],[Complejidad]]),Catalogos!E$120:G$128,3,FALSE),"")</f>
        <v>64</v>
      </c>
      <c r="V135" s="31" t="str">
        <f>IF(Tabla1[[#This Row],[Tiempo solución max (hrs)]]&lt;&gt;"",IF(Tabla1[[#This Row],[Tiempo solución max (hrs)]]&gt;=Tabla1[[#This Row],[Tiempo
(Hrs 00/100)]],"cumple","no cumple"),"")</f>
        <v>cumple</v>
      </c>
      <c r="W135" s="376" t="s">
        <v>495</v>
      </c>
      <c r="X135" s="377" t="str">
        <f t="shared" ref="X135" si="29">IF(C135&lt;&gt;"",C135,D135)</f>
        <v>DS</v>
      </c>
      <c r="Y135" t="str">
        <f>SUBSTITUTE(Tabla1[[#This Row],[Descripción]],CHAR(10),"    I    ")</f>
        <v>Path Manipulation</v>
      </c>
      <c r="Z135" s="378">
        <f>VLOOKUP(Tabla1[[#This Row],[Perfil]],Catalogos!$B$75:$D$100,3,FALSE)*Tabla1[[#This Row],[Tiempo
(Hrs 00/100)]]*1.16</f>
        <v>3248</v>
      </c>
    </row>
    <row r="136" spans="1:26" ht="42.75" customHeight="1" x14ac:dyDescent="0.3">
      <c r="A136" s="373" t="s">
        <v>22</v>
      </c>
      <c r="B136" s="184" t="s">
        <v>23</v>
      </c>
      <c r="C136" s="183" t="s">
        <v>155</v>
      </c>
      <c r="D136" s="179"/>
      <c r="E136" s="386" t="s">
        <v>375</v>
      </c>
      <c r="F136" s="370" t="s">
        <v>23</v>
      </c>
      <c r="G136" s="370" t="s">
        <v>435</v>
      </c>
      <c r="H136" s="36" t="s">
        <v>494</v>
      </c>
      <c r="I136" s="36" t="s">
        <v>484</v>
      </c>
      <c r="J136" s="713">
        <v>44970</v>
      </c>
      <c r="K136" s="747">
        <v>0.375</v>
      </c>
      <c r="L136" s="713">
        <v>44970</v>
      </c>
      <c r="M136" s="739">
        <v>0.54166666666666663</v>
      </c>
      <c r="N136" s="373">
        <v>4</v>
      </c>
      <c r="O136" s="184" t="s">
        <v>17</v>
      </c>
      <c r="P136" s="402" t="s">
        <v>462</v>
      </c>
      <c r="Q136" s="746" t="s">
        <v>264</v>
      </c>
      <c r="R136" s="202" t="s">
        <v>40</v>
      </c>
      <c r="S136" s="31" t="s">
        <v>273</v>
      </c>
      <c r="T136" s="31" t="s">
        <v>273</v>
      </c>
      <c r="U136" s="31">
        <f>IFERROR(VLOOKUP(CONCATENATE(Tabla1[[#This Row],[Severidad]]," ",Tabla1[[#This Row],[Complejidad]]),Catalogos!E$120:G$128,3,FALSE),"")</f>
        <v>64</v>
      </c>
      <c r="V136" s="31" t="str">
        <f>IF(Tabla1[[#This Row],[Tiempo solución max (hrs)]]&lt;&gt;"",IF(Tabla1[[#This Row],[Tiempo solución max (hrs)]]&gt;=Tabla1[[#This Row],[Tiempo
(Hrs 00/100)]],"cumple","no cumple"),"")</f>
        <v>cumple</v>
      </c>
      <c r="W136" s="376" t="s">
        <v>495</v>
      </c>
      <c r="X136" s="377" t="str">
        <f t="shared" si="17"/>
        <v>DS</v>
      </c>
      <c r="Y136" t="str">
        <f>SUBSTITUTE(Tabla1[[#This Row],[Descripción]],CHAR(10),"    I    ")</f>
        <v>Portability Flaw: Locale Dependent Comparison</v>
      </c>
      <c r="Z136" s="378">
        <f>VLOOKUP(Tabla1[[#This Row],[Perfil]],Catalogos!$B$75:$D$100,3,FALSE)*Tabla1[[#This Row],[Tiempo
(Hrs 00/100)]]*1.16</f>
        <v>3248</v>
      </c>
    </row>
    <row r="137" spans="1:26" ht="42.75" customHeight="1" x14ac:dyDescent="0.3">
      <c r="A137" s="373" t="s">
        <v>22</v>
      </c>
      <c r="B137" s="184" t="s">
        <v>23</v>
      </c>
      <c r="C137" s="183" t="s">
        <v>155</v>
      </c>
      <c r="D137" s="179"/>
      <c r="E137" s="386" t="s">
        <v>375</v>
      </c>
      <c r="F137" s="370" t="s">
        <v>23</v>
      </c>
      <c r="G137" s="370" t="s">
        <v>435</v>
      </c>
      <c r="H137" s="36" t="s">
        <v>494</v>
      </c>
      <c r="I137" s="36" t="s">
        <v>485</v>
      </c>
      <c r="J137" s="713">
        <v>44970</v>
      </c>
      <c r="K137" s="739">
        <v>0.54166666666666663</v>
      </c>
      <c r="L137" s="713">
        <v>44970</v>
      </c>
      <c r="M137" s="739">
        <v>0.625</v>
      </c>
      <c r="N137" s="373">
        <v>2</v>
      </c>
      <c r="O137" s="184" t="s">
        <v>17</v>
      </c>
      <c r="P137" s="402" t="s">
        <v>462</v>
      </c>
      <c r="Q137" s="746" t="s">
        <v>264</v>
      </c>
      <c r="R137" s="202" t="s">
        <v>40</v>
      </c>
      <c r="S137" s="31" t="s">
        <v>273</v>
      </c>
      <c r="T137" s="31" t="s">
        <v>273</v>
      </c>
      <c r="U137" s="31">
        <f>IFERROR(VLOOKUP(CONCATENATE(Tabla1[[#This Row],[Severidad]]," ",Tabla1[[#This Row],[Complejidad]]),Catalogos!E$120:G$128,3,FALSE),"")</f>
        <v>64</v>
      </c>
      <c r="V137" s="31" t="str">
        <f>IF(Tabla1[[#This Row],[Tiempo solución max (hrs)]]&lt;&gt;"",IF(Tabla1[[#This Row],[Tiempo solución max (hrs)]]&gt;=Tabla1[[#This Row],[Tiempo
(Hrs 00/100)]],"cumple","no cumple"),"")</f>
        <v>cumple</v>
      </c>
      <c r="W137" s="376" t="s">
        <v>495</v>
      </c>
      <c r="X137" s="377" t="str">
        <f t="shared" si="17"/>
        <v>DS</v>
      </c>
      <c r="Y137" t="str">
        <f>SUBSTITUTE(Tabla1[[#This Row],[Descripción]],CHAR(10),"    I    ")</f>
        <v>Privacy Violation: Heap Inspection</v>
      </c>
      <c r="Z137" s="378">
        <f>VLOOKUP(Tabla1[[#This Row],[Perfil]],Catalogos!$B$75:$D$100,3,FALSE)*Tabla1[[#This Row],[Tiempo
(Hrs 00/100)]]*1.16</f>
        <v>1624</v>
      </c>
    </row>
    <row r="138" spans="1:26" ht="42.75" customHeight="1" x14ac:dyDescent="0.3">
      <c r="A138" s="373" t="s">
        <v>22</v>
      </c>
      <c r="B138" s="184" t="s">
        <v>23</v>
      </c>
      <c r="C138" s="183" t="s">
        <v>155</v>
      </c>
      <c r="D138" s="179"/>
      <c r="E138" s="386" t="s">
        <v>375</v>
      </c>
      <c r="F138" s="370" t="s">
        <v>23</v>
      </c>
      <c r="G138" s="370" t="s">
        <v>435</v>
      </c>
      <c r="H138" s="36" t="s">
        <v>494</v>
      </c>
      <c r="I138" s="36" t="s">
        <v>486</v>
      </c>
      <c r="J138" s="713">
        <v>44971</v>
      </c>
      <c r="K138" s="747">
        <v>0.375</v>
      </c>
      <c r="L138" s="713">
        <v>44971</v>
      </c>
      <c r="M138" s="753">
        <v>0.79166666666666663</v>
      </c>
      <c r="N138" s="373">
        <v>8</v>
      </c>
      <c r="O138" s="184" t="s">
        <v>17</v>
      </c>
      <c r="P138" s="402" t="s">
        <v>462</v>
      </c>
      <c r="Q138" s="746" t="s">
        <v>264</v>
      </c>
      <c r="R138" s="202" t="s">
        <v>40</v>
      </c>
      <c r="S138" s="31" t="s">
        <v>273</v>
      </c>
      <c r="T138" s="31" t="s">
        <v>273</v>
      </c>
      <c r="U138" s="31">
        <f>IFERROR(VLOOKUP(CONCATENATE(Tabla1[[#This Row],[Severidad]]," ",Tabla1[[#This Row],[Complejidad]]),Catalogos!E$120:G$128,3,FALSE),"")</f>
        <v>64</v>
      </c>
      <c r="V138" s="31" t="str">
        <f>IF(Tabla1[[#This Row],[Tiempo solución max (hrs)]]&lt;&gt;"",IF(Tabla1[[#This Row],[Tiempo solución max (hrs)]]&gt;=Tabla1[[#This Row],[Tiempo
(Hrs 00/100)]],"cumple","no cumple"),"")</f>
        <v>cumple</v>
      </c>
      <c r="W138" s="376" t="s">
        <v>495</v>
      </c>
      <c r="X138" s="377" t="str">
        <f t="shared" si="17"/>
        <v>DS</v>
      </c>
      <c r="Y138" t="str">
        <f>SUBSTITUTE(Tabla1[[#This Row],[Descripción]],CHAR(10),"    I    ")</f>
        <v>Race Condition: Singleton Member Field</v>
      </c>
      <c r="Z138" s="378">
        <f>VLOOKUP(Tabla1[[#This Row],[Perfil]],Catalogos!$B$75:$D$100,3,FALSE)*Tabla1[[#This Row],[Tiempo
(Hrs 00/100)]]*1.16</f>
        <v>6496</v>
      </c>
    </row>
    <row r="139" spans="1:26" ht="42.75" customHeight="1" x14ac:dyDescent="0.3">
      <c r="A139" s="373" t="s">
        <v>22</v>
      </c>
      <c r="B139" s="184" t="s">
        <v>23</v>
      </c>
      <c r="C139" s="183" t="s">
        <v>155</v>
      </c>
      <c r="D139" s="179"/>
      <c r="E139" s="386" t="s">
        <v>375</v>
      </c>
      <c r="F139" s="370" t="s">
        <v>23</v>
      </c>
      <c r="G139" s="370" t="s">
        <v>435</v>
      </c>
      <c r="H139" s="36" t="s">
        <v>494</v>
      </c>
      <c r="I139" s="36" t="s">
        <v>487</v>
      </c>
      <c r="J139" s="713">
        <v>44972</v>
      </c>
      <c r="K139" s="747">
        <v>0.375</v>
      </c>
      <c r="L139" s="713">
        <v>44972</v>
      </c>
      <c r="M139" s="753">
        <v>0.79166666666666663</v>
      </c>
      <c r="N139" s="373">
        <v>8</v>
      </c>
      <c r="O139" s="184" t="s">
        <v>17</v>
      </c>
      <c r="P139" s="402" t="s">
        <v>462</v>
      </c>
      <c r="Q139" s="746" t="s">
        <v>264</v>
      </c>
      <c r="R139" s="202" t="s">
        <v>40</v>
      </c>
      <c r="S139" s="31" t="s">
        <v>273</v>
      </c>
      <c r="T139" s="31" t="s">
        <v>273</v>
      </c>
      <c r="U139" s="31">
        <f>IFERROR(VLOOKUP(CONCATENATE(Tabla1[[#This Row],[Severidad]]," ",Tabla1[[#This Row],[Complejidad]]),Catalogos!E$120:G$128,3,FALSE),"")</f>
        <v>64</v>
      </c>
      <c r="V139" s="31" t="str">
        <f>IF(Tabla1[[#This Row],[Tiempo solución max (hrs)]]&lt;&gt;"",IF(Tabla1[[#This Row],[Tiempo solución max (hrs)]]&gt;=Tabla1[[#This Row],[Tiempo
(Hrs 00/100)]],"cumple","no cumple"),"")</f>
        <v>cumple</v>
      </c>
      <c r="W139" s="376" t="s">
        <v>495</v>
      </c>
      <c r="X139" s="377" t="str">
        <f t="shared" si="17"/>
        <v>DS</v>
      </c>
      <c r="Y139" t="str">
        <f>SUBSTITUTE(Tabla1[[#This Row],[Descripción]],CHAR(10),"    I    ")</f>
        <v>Unreleased Resource: Streams</v>
      </c>
      <c r="Z139" s="378">
        <f>VLOOKUP(Tabla1[[#This Row],[Perfil]],Catalogos!$B$75:$D$100,3,FALSE)*Tabla1[[#This Row],[Tiempo
(Hrs 00/100)]]*1.16</f>
        <v>6496</v>
      </c>
    </row>
    <row r="140" spans="1:26" ht="42.75" customHeight="1" x14ac:dyDescent="0.3">
      <c r="A140" s="373" t="s">
        <v>22</v>
      </c>
      <c r="B140" s="184" t="s">
        <v>23</v>
      </c>
      <c r="C140" s="183" t="s">
        <v>155</v>
      </c>
      <c r="D140" s="179"/>
      <c r="E140" s="386" t="s">
        <v>375</v>
      </c>
      <c r="F140" s="370" t="s">
        <v>23</v>
      </c>
      <c r="G140" s="370" t="s">
        <v>435</v>
      </c>
      <c r="H140" s="36" t="s">
        <v>494</v>
      </c>
      <c r="I140" s="36" t="s">
        <v>488</v>
      </c>
      <c r="J140" s="713">
        <v>44973</v>
      </c>
      <c r="K140" s="747">
        <v>0.375</v>
      </c>
      <c r="L140" s="713">
        <v>44973</v>
      </c>
      <c r="M140" s="739">
        <v>0.45833333333333331</v>
      </c>
      <c r="N140" s="373">
        <v>2</v>
      </c>
      <c r="O140" s="184" t="s">
        <v>17</v>
      </c>
      <c r="P140" s="402" t="s">
        <v>462</v>
      </c>
      <c r="Q140" s="746" t="s">
        <v>264</v>
      </c>
      <c r="R140" s="202" t="s">
        <v>40</v>
      </c>
      <c r="S140" s="31" t="s">
        <v>273</v>
      </c>
      <c r="T140" s="31" t="s">
        <v>273</v>
      </c>
      <c r="U140" s="31">
        <f>IFERROR(VLOOKUP(CONCATENATE(Tabla1[[#This Row],[Severidad]]," ",Tabla1[[#This Row],[Complejidad]]),Catalogos!E$120:G$128,3,FALSE),"")</f>
        <v>64</v>
      </c>
      <c r="V140" s="31" t="str">
        <f>IF(Tabla1[[#This Row],[Tiempo solución max (hrs)]]&lt;&gt;"",IF(Tabla1[[#This Row],[Tiempo solución max (hrs)]]&gt;=Tabla1[[#This Row],[Tiempo
(Hrs 00/100)]],"cumple","no cumple"),"")</f>
        <v>cumple</v>
      </c>
      <c r="W140" s="376" t="s">
        <v>495</v>
      </c>
      <c r="X140" s="377" t="str">
        <f t="shared" si="17"/>
        <v>DS</v>
      </c>
      <c r="Y140" t="str">
        <f>SUBSTITUTE(Tabla1[[#This Row],[Descripción]],CHAR(10),"    I    ")</f>
        <v>Weak Encryption: Insecure Mode of Operation</v>
      </c>
      <c r="Z140" s="378">
        <f>VLOOKUP(Tabla1[[#This Row],[Perfil]],Catalogos!$B$75:$D$100,3,FALSE)*Tabla1[[#This Row],[Tiempo
(Hrs 00/100)]]*1.16</f>
        <v>1624</v>
      </c>
    </row>
    <row r="141" spans="1:26" ht="42.75" customHeight="1" x14ac:dyDescent="0.3">
      <c r="A141" s="373" t="s">
        <v>22</v>
      </c>
      <c r="B141" s="184" t="s">
        <v>23</v>
      </c>
      <c r="C141" s="183" t="s">
        <v>155</v>
      </c>
      <c r="D141" s="179"/>
      <c r="E141" s="386" t="s">
        <v>375</v>
      </c>
      <c r="F141" s="370" t="s">
        <v>23</v>
      </c>
      <c r="G141" s="370" t="s">
        <v>435</v>
      </c>
      <c r="H141" s="36" t="s">
        <v>494</v>
      </c>
      <c r="I141" s="36" t="s">
        <v>489</v>
      </c>
      <c r="J141" s="713">
        <v>44973</v>
      </c>
      <c r="K141" s="739">
        <v>0.45833333333333331</v>
      </c>
      <c r="L141" s="713">
        <v>44973</v>
      </c>
      <c r="M141" s="739">
        <v>0.54166666666666663</v>
      </c>
      <c r="N141" s="373">
        <v>2</v>
      </c>
      <c r="O141" s="184" t="s">
        <v>17</v>
      </c>
      <c r="P141" s="402" t="s">
        <v>462</v>
      </c>
      <c r="Q141" s="746" t="s">
        <v>264</v>
      </c>
      <c r="R141" s="202" t="s">
        <v>40</v>
      </c>
      <c r="S141" s="31" t="s">
        <v>273</v>
      </c>
      <c r="T141" s="31" t="s">
        <v>273</v>
      </c>
      <c r="U141" s="31">
        <f>IFERROR(VLOOKUP(CONCATENATE(Tabla1[[#This Row],[Severidad]]," ",Tabla1[[#This Row],[Complejidad]]),Catalogos!E$120:G$128,3,FALSE),"")</f>
        <v>64</v>
      </c>
      <c r="V141" s="31" t="str">
        <f>IF(Tabla1[[#This Row],[Tiempo solución max (hrs)]]&lt;&gt;"",IF(Tabla1[[#This Row],[Tiempo solución max (hrs)]]&gt;=Tabla1[[#This Row],[Tiempo
(Hrs 00/100)]],"cumple","no cumple"),"")</f>
        <v>cumple</v>
      </c>
      <c r="W141" s="376" t="s">
        <v>495</v>
      </c>
      <c r="X141" s="377" t="str">
        <f t="shared" si="17"/>
        <v>DS</v>
      </c>
      <c r="Y141" t="str">
        <f>SUBSTITUTE(Tabla1[[#This Row],[Descripción]],CHAR(10),"    I    ")</f>
        <v>Build Misconfiguration: External Maven Dependency Repository</v>
      </c>
      <c r="Z141" s="378">
        <f>VLOOKUP(Tabla1[[#This Row],[Perfil]],Catalogos!$B$75:$D$100,3,FALSE)*Tabla1[[#This Row],[Tiempo
(Hrs 00/100)]]*1.16</f>
        <v>1624</v>
      </c>
    </row>
    <row r="142" spans="1:26" ht="42.75" customHeight="1" x14ac:dyDescent="0.3">
      <c r="A142" s="373" t="s">
        <v>22</v>
      </c>
      <c r="B142" s="184" t="s">
        <v>23</v>
      </c>
      <c r="C142" s="183" t="s">
        <v>155</v>
      </c>
      <c r="D142" s="179"/>
      <c r="E142" s="386" t="s">
        <v>375</v>
      </c>
      <c r="F142" s="370" t="s">
        <v>23</v>
      </c>
      <c r="G142" s="370" t="s">
        <v>435</v>
      </c>
      <c r="H142" s="36" t="s">
        <v>494</v>
      </c>
      <c r="I142" s="36" t="s">
        <v>490</v>
      </c>
      <c r="J142" s="713">
        <v>44973</v>
      </c>
      <c r="K142" s="739">
        <v>0.54166666666666663</v>
      </c>
      <c r="L142" s="713">
        <v>44973</v>
      </c>
      <c r="M142" s="739">
        <v>0.79166666666666663</v>
      </c>
      <c r="N142" s="373">
        <v>4</v>
      </c>
      <c r="O142" s="184" t="s">
        <v>411</v>
      </c>
      <c r="P142" s="402" t="s">
        <v>462</v>
      </c>
      <c r="Q142" s="746" t="s">
        <v>264</v>
      </c>
      <c r="R142" s="202" t="s">
        <v>40</v>
      </c>
      <c r="S142" s="31" t="s">
        <v>273</v>
      </c>
      <c r="T142" s="31" t="s">
        <v>273</v>
      </c>
      <c r="U142" s="31">
        <f>IFERROR(VLOOKUP(CONCATENATE(Tabla1[[#This Row],[Severidad]]," ",Tabla1[[#This Row],[Complejidad]]),Catalogos!E$120:G$128,3,FALSE),"")</f>
        <v>64</v>
      </c>
      <c r="V142" s="31" t="str">
        <f>IF(Tabla1[[#This Row],[Tiempo solución max (hrs)]]&lt;&gt;"",IF(Tabla1[[#This Row],[Tiempo solución max (hrs)]]&gt;=Tabla1[[#This Row],[Tiempo
(Hrs 00/100)]],"cumple","no cumple"),"")</f>
        <v>cumple</v>
      </c>
      <c r="W142" s="376" t="s">
        <v>495</v>
      </c>
      <c r="X142" s="377" t="str">
        <f t="shared" si="17"/>
        <v>DS</v>
      </c>
      <c r="Y142" t="str">
        <f>SUBSTITUTE(Tabla1[[#This Row],[Descripción]],CHAR(10),"    I    ")</f>
        <v>Code Correctness: Byte Array to String Conversion</v>
      </c>
      <c r="Z142" s="378">
        <f>VLOOKUP(Tabla1[[#This Row],[Perfil]],Catalogos!$B$75:$D$100,3,FALSE)*Tabla1[[#This Row],[Tiempo
(Hrs 00/100)]]*1.16</f>
        <v>3248</v>
      </c>
    </row>
    <row r="143" spans="1:26" ht="42.75" customHeight="1" x14ac:dyDescent="0.3">
      <c r="A143" s="373" t="s">
        <v>22</v>
      </c>
      <c r="B143" s="184" t="s">
        <v>23</v>
      </c>
      <c r="C143" s="183" t="s">
        <v>155</v>
      </c>
      <c r="D143" s="179"/>
      <c r="E143" s="386" t="s">
        <v>375</v>
      </c>
      <c r="F143" s="370" t="s">
        <v>23</v>
      </c>
      <c r="G143" s="370" t="s">
        <v>435</v>
      </c>
      <c r="H143" s="36" t="s">
        <v>494</v>
      </c>
      <c r="I143" s="36" t="s">
        <v>490</v>
      </c>
      <c r="J143" s="713">
        <v>44974</v>
      </c>
      <c r="K143" s="747">
        <v>0.375</v>
      </c>
      <c r="L143" s="713">
        <v>44974</v>
      </c>
      <c r="M143" s="739">
        <v>0.54166666666666663</v>
      </c>
      <c r="N143" s="373">
        <v>4</v>
      </c>
      <c r="O143" s="184" t="s">
        <v>17</v>
      </c>
      <c r="P143" s="402" t="s">
        <v>462</v>
      </c>
      <c r="Q143" s="746" t="s">
        <v>264</v>
      </c>
      <c r="R143" s="202" t="s">
        <v>40</v>
      </c>
      <c r="S143" s="31" t="s">
        <v>273</v>
      </c>
      <c r="T143" s="31" t="s">
        <v>273</v>
      </c>
      <c r="U143" s="31">
        <f>IFERROR(VLOOKUP(CONCATENATE(Tabla1[[#This Row],[Severidad]]," ",Tabla1[[#This Row],[Complejidad]]),Catalogos!E$120:G$128,3,FALSE),"")</f>
        <v>64</v>
      </c>
      <c r="V143" s="31" t="str">
        <f>IF(Tabla1[[#This Row],[Tiempo solución max (hrs)]]&lt;&gt;"",IF(Tabla1[[#This Row],[Tiempo solución max (hrs)]]&gt;=Tabla1[[#This Row],[Tiempo
(Hrs 00/100)]],"cumple","no cumple"),"")</f>
        <v>cumple</v>
      </c>
      <c r="W143" s="376" t="s">
        <v>495</v>
      </c>
      <c r="X143" s="377" t="str">
        <f t="shared" ref="X143" si="30">IF(C143&lt;&gt;"",C143,D143)</f>
        <v>DS</v>
      </c>
      <c r="Y143" t="str">
        <f>SUBSTITUTE(Tabla1[[#This Row],[Descripción]],CHAR(10),"    I    ")</f>
        <v>Code Correctness: Byte Array to String Conversion</v>
      </c>
      <c r="Z143" s="378">
        <f>VLOOKUP(Tabla1[[#This Row],[Perfil]],Catalogos!$B$75:$D$100,3,FALSE)*Tabla1[[#This Row],[Tiempo
(Hrs 00/100)]]*1.16</f>
        <v>3248</v>
      </c>
    </row>
    <row r="144" spans="1:26" ht="42.75" customHeight="1" x14ac:dyDescent="0.3">
      <c r="A144" s="373" t="s">
        <v>22</v>
      </c>
      <c r="B144" s="184" t="s">
        <v>23</v>
      </c>
      <c r="C144" s="183" t="s">
        <v>155</v>
      </c>
      <c r="D144" s="179"/>
      <c r="E144" s="386" t="s">
        <v>375</v>
      </c>
      <c r="F144" s="370" t="s">
        <v>23</v>
      </c>
      <c r="G144" s="370" t="s">
        <v>435</v>
      </c>
      <c r="H144" s="36" t="s">
        <v>494</v>
      </c>
      <c r="I144" s="36" t="s">
        <v>491</v>
      </c>
      <c r="J144" s="713">
        <v>44974</v>
      </c>
      <c r="K144" s="739">
        <v>0.54166666666666663</v>
      </c>
      <c r="L144" s="713">
        <v>44974</v>
      </c>
      <c r="M144" s="739">
        <v>0.58333333333333337</v>
      </c>
      <c r="N144" s="373">
        <v>1</v>
      </c>
      <c r="O144" s="184" t="s">
        <v>17</v>
      </c>
      <c r="P144" s="402" t="s">
        <v>462</v>
      </c>
      <c r="Q144" s="746" t="s">
        <v>264</v>
      </c>
      <c r="R144" s="202" t="s">
        <v>40</v>
      </c>
      <c r="S144" s="31" t="s">
        <v>273</v>
      </c>
      <c r="T144" s="31" t="s">
        <v>273</v>
      </c>
      <c r="U144" s="31">
        <f>IFERROR(VLOOKUP(CONCATENATE(Tabla1[[#This Row],[Severidad]]," ",Tabla1[[#This Row],[Complejidad]]),Catalogos!E$120:G$128,3,FALSE),"")</f>
        <v>64</v>
      </c>
      <c r="V144" s="31" t="str">
        <f>IF(Tabla1[[#This Row],[Tiempo solución max (hrs)]]&lt;&gt;"",IF(Tabla1[[#This Row],[Tiempo solución max (hrs)]]&gt;=Tabla1[[#This Row],[Tiempo
(Hrs 00/100)]],"cumple","no cumple"),"")</f>
        <v>cumple</v>
      </c>
      <c r="W144" s="376" t="s">
        <v>495</v>
      </c>
      <c r="X144" s="377" t="str">
        <f t="shared" si="17"/>
        <v>DS</v>
      </c>
      <c r="Y144" t="str">
        <f>SUBSTITUTE(Tabla1[[#This Row],[Descripción]],CHAR(10),"    I    ")</f>
        <v>Code Correctness: Class Does Not Implement equals</v>
      </c>
      <c r="Z144" s="378">
        <f>VLOOKUP(Tabla1[[#This Row],[Perfil]],Catalogos!$B$75:$D$100,3,FALSE)*Tabla1[[#This Row],[Tiempo
(Hrs 00/100)]]*1.16</f>
        <v>812</v>
      </c>
    </row>
    <row r="145" spans="1:27" ht="42.75" customHeight="1" x14ac:dyDescent="0.3">
      <c r="A145" s="373" t="s">
        <v>22</v>
      </c>
      <c r="B145" s="184" t="s">
        <v>23</v>
      </c>
      <c r="C145" s="183" t="s">
        <v>155</v>
      </c>
      <c r="D145" s="179"/>
      <c r="E145" s="386" t="s">
        <v>375</v>
      </c>
      <c r="F145" s="370" t="s">
        <v>23</v>
      </c>
      <c r="G145" s="370" t="s">
        <v>435</v>
      </c>
      <c r="H145" s="36" t="s">
        <v>494</v>
      </c>
      <c r="I145" s="36" t="s">
        <v>492</v>
      </c>
      <c r="J145" s="713">
        <v>44977</v>
      </c>
      <c r="K145" s="747">
        <v>0.375</v>
      </c>
      <c r="L145" s="713">
        <v>44977</v>
      </c>
      <c r="M145" s="739">
        <v>0.79166666666666663</v>
      </c>
      <c r="N145" s="373">
        <v>8</v>
      </c>
      <c r="O145" s="184" t="s">
        <v>406</v>
      </c>
      <c r="P145" s="402" t="s">
        <v>462</v>
      </c>
      <c r="Q145" s="746" t="s">
        <v>264</v>
      </c>
      <c r="R145" s="202" t="s">
        <v>40</v>
      </c>
      <c r="S145" s="31" t="s">
        <v>273</v>
      </c>
      <c r="T145" s="31" t="s">
        <v>273</v>
      </c>
      <c r="U145" s="31">
        <f>IFERROR(VLOOKUP(CONCATENATE(Tabla1[[#This Row],[Severidad]]," ",Tabla1[[#This Row],[Complejidad]]),Catalogos!E$120:G$128,3,FALSE),"")</f>
        <v>64</v>
      </c>
      <c r="V145" s="31" t="str">
        <f>IF(Tabla1[[#This Row],[Tiempo solución max (hrs)]]&lt;&gt;"",IF(Tabla1[[#This Row],[Tiempo solución max (hrs)]]&gt;=Tabla1[[#This Row],[Tiempo
(Hrs 00/100)]],"cumple","no cumple"),"")</f>
        <v>cumple</v>
      </c>
      <c r="W145" s="376" t="s">
        <v>495</v>
      </c>
      <c r="X145" s="377" t="str">
        <f t="shared" si="17"/>
        <v>DS</v>
      </c>
      <c r="Y145" t="str">
        <f>SUBSTITUTE(Tabla1[[#This Row],[Descripción]],CHAR(10),"    I    ")</f>
        <v>Code Correctness: Comparison of Boxed Primitive Types</v>
      </c>
      <c r="Z145" s="378">
        <f>VLOOKUP(Tabla1[[#This Row],[Perfil]],Catalogos!$B$75:$D$100,3,FALSE)*Tabla1[[#This Row],[Tiempo
(Hrs 00/100)]]*1.16</f>
        <v>6496</v>
      </c>
    </row>
    <row r="146" spans="1:27" ht="42.75" customHeight="1" x14ac:dyDescent="0.3">
      <c r="A146" s="373" t="s">
        <v>22</v>
      </c>
      <c r="B146" s="184" t="s">
        <v>23</v>
      </c>
      <c r="C146" s="183" t="s">
        <v>155</v>
      </c>
      <c r="D146" s="179"/>
      <c r="E146" s="386" t="s">
        <v>375</v>
      </c>
      <c r="F146" s="370" t="s">
        <v>23</v>
      </c>
      <c r="G146" s="370" t="s">
        <v>435</v>
      </c>
      <c r="H146" s="36" t="s">
        <v>494</v>
      </c>
      <c r="I146" s="36" t="s">
        <v>492</v>
      </c>
      <c r="J146" s="713">
        <v>44978</v>
      </c>
      <c r="K146" s="747">
        <v>0.375</v>
      </c>
      <c r="L146" s="713">
        <v>44978</v>
      </c>
      <c r="M146" s="739">
        <v>0.79166666666666663</v>
      </c>
      <c r="N146" s="373">
        <v>8</v>
      </c>
      <c r="O146" s="184" t="s">
        <v>406</v>
      </c>
      <c r="P146" s="402" t="s">
        <v>462</v>
      </c>
      <c r="Q146" s="746" t="s">
        <v>264</v>
      </c>
      <c r="R146" s="202" t="s">
        <v>40</v>
      </c>
      <c r="S146" s="31" t="s">
        <v>273</v>
      </c>
      <c r="T146" s="31" t="s">
        <v>273</v>
      </c>
      <c r="U146" s="31">
        <f>IFERROR(VLOOKUP(CONCATENATE(Tabla1[[#This Row],[Severidad]]," ",Tabla1[[#This Row],[Complejidad]]),Catalogos!E$120:G$128,3,FALSE),"")</f>
        <v>64</v>
      </c>
      <c r="V146" s="31" t="str">
        <f>IF(Tabla1[[#This Row],[Tiempo solución max (hrs)]]&lt;&gt;"",IF(Tabla1[[#This Row],[Tiempo solución max (hrs)]]&gt;=Tabla1[[#This Row],[Tiempo
(Hrs 00/100)]],"cumple","no cumple"),"")</f>
        <v>cumple</v>
      </c>
      <c r="W146" s="376" t="s">
        <v>495</v>
      </c>
      <c r="X146" s="377" t="str">
        <f t="shared" ref="X146:X148" si="31">IF(C146&lt;&gt;"",C146,D146)</f>
        <v>DS</v>
      </c>
      <c r="Y146" t="str">
        <f>SUBSTITUTE(Tabla1[[#This Row],[Descripción]],CHAR(10),"    I    ")</f>
        <v>Code Correctness: Comparison of Boxed Primitive Types</v>
      </c>
      <c r="Z146" s="378">
        <f>VLOOKUP(Tabla1[[#This Row],[Perfil]],Catalogos!$B$75:$D$100,3,FALSE)*Tabla1[[#This Row],[Tiempo
(Hrs 00/100)]]*1.16</f>
        <v>6496</v>
      </c>
    </row>
    <row r="147" spans="1:27" ht="42.75" customHeight="1" x14ac:dyDescent="0.3">
      <c r="A147" s="373" t="s">
        <v>22</v>
      </c>
      <c r="B147" s="184" t="s">
        <v>23</v>
      </c>
      <c r="C147" s="183" t="s">
        <v>155</v>
      </c>
      <c r="D147" s="179"/>
      <c r="E147" s="386" t="s">
        <v>375</v>
      </c>
      <c r="F147" s="370" t="s">
        <v>23</v>
      </c>
      <c r="G147" s="370" t="s">
        <v>435</v>
      </c>
      <c r="H147" s="36" t="s">
        <v>494</v>
      </c>
      <c r="I147" s="36" t="s">
        <v>492</v>
      </c>
      <c r="J147" s="713">
        <v>44979</v>
      </c>
      <c r="K147" s="747">
        <v>0.375</v>
      </c>
      <c r="L147" s="713">
        <v>44979</v>
      </c>
      <c r="M147" s="739">
        <v>0.70833333333333337</v>
      </c>
      <c r="N147" s="373">
        <v>6</v>
      </c>
      <c r="O147" s="184" t="s">
        <v>17</v>
      </c>
      <c r="P147" s="402" t="s">
        <v>462</v>
      </c>
      <c r="Q147" s="746" t="s">
        <v>264</v>
      </c>
      <c r="R147" s="202" t="s">
        <v>40</v>
      </c>
      <c r="S147" s="31" t="s">
        <v>273</v>
      </c>
      <c r="T147" s="31" t="s">
        <v>273</v>
      </c>
      <c r="U147" s="31">
        <f>IFERROR(VLOOKUP(CONCATENATE(Tabla1[[#This Row],[Severidad]]," ",Tabla1[[#This Row],[Complejidad]]),Catalogos!E$120:G$128,3,FALSE),"")</f>
        <v>64</v>
      </c>
      <c r="V147" s="31" t="str">
        <f>IF(Tabla1[[#This Row],[Tiempo solución max (hrs)]]&lt;&gt;"",IF(Tabla1[[#This Row],[Tiempo solución max (hrs)]]&gt;=Tabla1[[#This Row],[Tiempo
(Hrs 00/100)]],"cumple","no cumple"),"")</f>
        <v>cumple</v>
      </c>
      <c r="W147" s="376" t="s">
        <v>495</v>
      </c>
      <c r="X147" s="377" t="str">
        <f t="shared" si="31"/>
        <v>DS</v>
      </c>
      <c r="Y147" t="str">
        <f>SUBSTITUTE(Tabla1[[#This Row],[Descripción]],CHAR(10),"    I    ")</f>
        <v>Code Correctness: Comparison of Boxed Primitive Types</v>
      </c>
      <c r="Z147" s="378">
        <f>VLOOKUP(Tabla1[[#This Row],[Perfil]],Catalogos!$B$75:$D$100,3,FALSE)*Tabla1[[#This Row],[Tiempo
(Hrs 00/100)]]*1.16</f>
        <v>4872</v>
      </c>
    </row>
    <row r="148" spans="1:27" ht="42.75" customHeight="1" x14ac:dyDescent="0.3">
      <c r="A148" s="373" t="s">
        <v>22</v>
      </c>
      <c r="B148" s="184" t="s">
        <v>23</v>
      </c>
      <c r="C148" s="183" t="s">
        <v>155</v>
      </c>
      <c r="D148" s="179"/>
      <c r="E148" s="386" t="s">
        <v>375</v>
      </c>
      <c r="F148" s="370" t="s">
        <v>23</v>
      </c>
      <c r="G148" s="370" t="s">
        <v>435</v>
      </c>
      <c r="H148" s="36" t="s">
        <v>494</v>
      </c>
      <c r="I148" s="36" t="s">
        <v>493</v>
      </c>
      <c r="J148" s="713">
        <v>44980</v>
      </c>
      <c r="K148" s="747">
        <v>0.375</v>
      </c>
      <c r="L148" s="713">
        <v>44980</v>
      </c>
      <c r="M148" s="739">
        <v>0.79166666666666663</v>
      </c>
      <c r="N148" s="373">
        <v>8</v>
      </c>
      <c r="O148" s="184" t="s">
        <v>17</v>
      </c>
      <c r="P148" s="402" t="s">
        <v>462</v>
      </c>
      <c r="Q148" s="746" t="s">
        <v>264</v>
      </c>
      <c r="R148" s="202" t="s">
        <v>40</v>
      </c>
      <c r="S148" s="31" t="s">
        <v>273</v>
      </c>
      <c r="T148" s="31" t="s">
        <v>273</v>
      </c>
      <c r="U148" s="31">
        <f>IFERROR(VLOOKUP(CONCATENATE(Tabla1[[#This Row],[Severidad]]," ",Tabla1[[#This Row],[Complejidad]]),Catalogos!E$120:G$128,3,FALSE),"")</f>
        <v>64</v>
      </c>
      <c r="V148" s="31" t="str">
        <f>IF(Tabla1[[#This Row],[Tiempo solución max (hrs)]]&lt;&gt;"",IF(Tabla1[[#This Row],[Tiempo solución max (hrs)]]&gt;=Tabla1[[#This Row],[Tiempo
(Hrs 00/100)]],"cumple","no cumple"),"")</f>
        <v>cumple</v>
      </c>
      <c r="W148" s="376" t="s">
        <v>495</v>
      </c>
      <c r="X148" s="377" t="str">
        <f t="shared" si="31"/>
        <v>DS</v>
      </c>
      <c r="Y148" t="str">
        <f>SUBSTITUTE(Tabla1[[#This Row],[Descripción]],CHAR(10),"    I    ")</f>
        <v>Code Correctness: Constructor Invokes Overridable Function</v>
      </c>
      <c r="Z148" s="378">
        <f>VLOOKUP(Tabla1[[#This Row],[Perfil]],Catalogos!$B$75:$D$100,3,FALSE)*Tabla1[[#This Row],[Tiempo
(Hrs 00/100)]]*1.16</f>
        <v>6496</v>
      </c>
    </row>
    <row r="149" spans="1:27" ht="42.75" customHeight="1" x14ac:dyDescent="0.3">
      <c r="A149" s="373" t="s">
        <v>22</v>
      </c>
      <c r="B149" s="184" t="s">
        <v>23</v>
      </c>
      <c r="C149" s="183" t="s">
        <v>155</v>
      </c>
      <c r="D149" s="179"/>
      <c r="E149" s="386" t="s">
        <v>375</v>
      </c>
      <c r="F149" s="370" t="s">
        <v>23</v>
      </c>
      <c r="G149" s="370" t="s">
        <v>435</v>
      </c>
      <c r="H149" s="36" t="s">
        <v>494</v>
      </c>
      <c r="I149" s="36" t="s">
        <v>493</v>
      </c>
      <c r="J149" s="713">
        <v>44981</v>
      </c>
      <c r="K149" s="747">
        <v>0.375</v>
      </c>
      <c r="L149" s="713">
        <v>44981</v>
      </c>
      <c r="M149" s="739">
        <v>0.625</v>
      </c>
      <c r="N149" s="373">
        <v>6</v>
      </c>
      <c r="O149" s="184" t="s">
        <v>17</v>
      </c>
      <c r="P149" s="402" t="s">
        <v>462</v>
      </c>
      <c r="Q149" s="746" t="s">
        <v>264</v>
      </c>
      <c r="R149" s="202" t="s">
        <v>40</v>
      </c>
      <c r="S149" s="31" t="s">
        <v>273</v>
      </c>
      <c r="T149" s="31" t="s">
        <v>273</v>
      </c>
      <c r="U149" s="31">
        <f>IFERROR(VLOOKUP(CONCATENATE(Tabla1[[#This Row],[Severidad]]," ",Tabla1[[#This Row],[Complejidad]]),Catalogos!E$120:G$128,3,FALSE),"")</f>
        <v>64</v>
      </c>
      <c r="V149" s="31" t="str">
        <f>IF(Tabla1[[#This Row],[Tiempo solución max (hrs)]]&lt;&gt;"",IF(Tabla1[[#This Row],[Tiempo solución max (hrs)]]&gt;=Tabla1[[#This Row],[Tiempo
(Hrs 00/100)]],"cumple","no cumple"),"")</f>
        <v>cumple</v>
      </c>
      <c r="W149" s="376" t="s">
        <v>495</v>
      </c>
      <c r="X149" s="377" t="str">
        <f t="shared" ref="X149" si="32">IF(C149&lt;&gt;"",C149,D149)</f>
        <v>DS</v>
      </c>
      <c r="Y149" t="str">
        <f>SUBSTITUTE(Tabla1[[#This Row],[Descripción]],CHAR(10),"    I    ")</f>
        <v>Code Correctness: Constructor Invokes Overridable Function</v>
      </c>
      <c r="Z149" s="378">
        <f>VLOOKUP(Tabla1[[#This Row],[Perfil]],Catalogos!$B$75:$D$100,3,FALSE)*Tabla1[[#This Row],[Tiempo
(Hrs 00/100)]]*1.16</f>
        <v>4872</v>
      </c>
    </row>
    <row r="150" spans="1:27" ht="42.75" customHeight="1" x14ac:dyDescent="0.3">
      <c r="A150" s="373" t="s">
        <v>22</v>
      </c>
      <c r="B150" s="184" t="s">
        <v>23</v>
      </c>
      <c r="C150" s="183" t="s">
        <v>155</v>
      </c>
      <c r="D150" s="179"/>
      <c r="E150" s="386" t="s">
        <v>375</v>
      </c>
      <c r="F150" s="370" t="s">
        <v>23</v>
      </c>
      <c r="G150" s="370" t="s">
        <v>435</v>
      </c>
      <c r="H150" s="36" t="s">
        <v>494</v>
      </c>
      <c r="I150" s="36" t="s">
        <v>493</v>
      </c>
      <c r="J150" s="713">
        <v>44985</v>
      </c>
      <c r="K150" s="747">
        <v>0.375</v>
      </c>
      <c r="L150" s="713">
        <v>44985</v>
      </c>
      <c r="M150" s="739">
        <v>0.79166666666666663</v>
      </c>
      <c r="N150" s="373">
        <v>8</v>
      </c>
      <c r="O150" s="184" t="s">
        <v>17</v>
      </c>
      <c r="P150" s="402" t="s">
        <v>462</v>
      </c>
      <c r="Q150" s="746" t="s">
        <v>264</v>
      </c>
      <c r="R150" s="202" t="s">
        <v>40</v>
      </c>
      <c r="S150" s="31" t="s">
        <v>273</v>
      </c>
      <c r="T150" s="31" t="s">
        <v>273</v>
      </c>
      <c r="U150" s="31">
        <f>IFERROR(VLOOKUP(CONCATENATE(Tabla1[[#This Row],[Severidad]]," ",Tabla1[[#This Row],[Complejidad]]),Catalogos!E$120:G$128,3,FALSE),"")</f>
        <v>64</v>
      </c>
      <c r="V150" s="31" t="str">
        <f>IF(Tabla1[[#This Row],[Tiempo solución max (hrs)]]&lt;&gt;"",IF(Tabla1[[#This Row],[Tiempo solución max (hrs)]]&gt;=Tabla1[[#This Row],[Tiempo
(Hrs 00/100)]],"cumple","no cumple"),"")</f>
        <v>cumple</v>
      </c>
      <c r="W150" s="376" t="s">
        <v>495</v>
      </c>
      <c r="X150" s="377" t="str">
        <f t="shared" si="17"/>
        <v>DS</v>
      </c>
      <c r="Y150" t="str">
        <f>SUBSTITUTE(Tabla1[[#This Row],[Descripción]],CHAR(10),"    I    ")</f>
        <v>Code Correctness: Constructor Invokes Overridable Function</v>
      </c>
      <c r="Z150" s="378">
        <f>VLOOKUP(Tabla1[[#This Row],[Perfil]],Catalogos!$B$75:$D$100,3,FALSE)*Tabla1[[#This Row],[Tiempo
(Hrs 00/100)]]*1.16</f>
        <v>6496</v>
      </c>
    </row>
    <row r="151" spans="1:27" s="35" customFormat="1" ht="42.75" customHeight="1" x14ac:dyDescent="0.3">
      <c r="A151" s="373" t="s">
        <v>22</v>
      </c>
      <c r="B151" s="184" t="s">
        <v>23</v>
      </c>
      <c r="C151" s="183" t="s">
        <v>155</v>
      </c>
      <c r="D151" s="179"/>
      <c r="E151" s="386" t="s">
        <v>375</v>
      </c>
      <c r="F151" s="370" t="s">
        <v>23</v>
      </c>
      <c r="G151" s="370" t="s">
        <v>435</v>
      </c>
      <c r="H151" s="36" t="s">
        <v>494</v>
      </c>
      <c r="I151" s="405" t="s">
        <v>496</v>
      </c>
      <c r="J151" s="369">
        <v>44958</v>
      </c>
      <c r="K151" s="747">
        <v>0.375</v>
      </c>
      <c r="L151" s="369">
        <v>44958</v>
      </c>
      <c r="M151" s="739">
        <v>0.79166666666666663</v>
      </c>
      <c r="N151" s="406">
        <v>8</v>
      </c>
      <c r="O151" s="406" t="s">
        <v>406</v>
      </c>
      <c r="P151" s="402" t="s">
        <v>462</v>
      </c>
      <c r="Q151" s="748" t="s">
        <v>208</v>
      </c>
      <c r="R151" s="202" t="s">
        <v>40</v>
      </c>
      <c r="S151" s="31" t="s">
        <v>273</v>
      </c>
      <c r="T151" s="31" t="s">
        <v>273</v>
      </c>
      <c r="U151" s="31">
        <f>IFERROR(VLOOKUP(CONCATENATE(Tabla1[[#This Row],[Severidad]]," ",Tabla1[[#This Row],[Complejidad]]),Catalogos!E$120:G$128,3,FALSE),"")</f>
        <v>64</v>
      </c>
      <c r="V151" s="31" t="str">
        <f>IF(Tabla1[[#This Row],[Tiempo solución max (hrs)]]&lt;&gt;"",IF(Tabla1[[#This Row],[Tiempo solución max (hrs)]]&gt;=Tabla1[[#This Row],[Tiempo
(Hrs 00/100)]],"cumple","no cumple"),"")</f>
        <v>cumple</v>
      </c>
      <c r="W151" s="376" t="s">
        <v>495</v>
      </c>
      <c r="X151" s="377" t="str">
        <f t="shared" ref="X151:X241" si="33">IF(C151&lt;&gt;"",C151,D151)</f>
        <v>DS</v>
      </c>
      <c r="Y151" t="str">
        <f>SUBSTITUTE(Tabla1[[#This Row],[Descripción]],CHAR(10),"    I    ")</f>
        <v>Modificar paidload que genera Liferay para leer Id que trae el token</v>
      </c>
      <c r="Z151" s="378">
        <f>VLOOKUP(Tabla1[[#This Row],[Perfil]],Catalogos!$B$75:$D$100,3,FALSE)*Tabla1[[#This Row],[Tiempo
(Hrs 00/100)]]*1.16</f>
        <v>6496</v>
      </c>
      <c r="AA151"/>
    </row>
    <row r="152" spans="1:27" s="35" customFormat="1" ht="42.75" customHeight="1" x14ac:dyDescent="0.3">
      <c r="A152" s="373" t="s">
        <v>22</v>
      </c>
      <c r="B152" s="184" t="s">
        <v>23</v>
      </c>
      <c r="C152" s="183" t="s">
        <v>155</v>
      </c>
      <c r="D152" s="179"/>
      <c r="E152" s="386" t="s">
        <v>375</v>
      </c>
      <c r="F152" s="370" t="s">
        <v>23</v>
      </c>
      <c r="G152" s="370" t="s">
        <v>435</v>
      </c>
      <c r="H152" s="36" t="s">
        <v>494</v>
      </c>
      <c r="I152" s="405" t="s">
        <v>496</v>
      </c>
      <c r="J152" s="369">
        <v>44959</v>
      </c>
      <c r="K152" s="747">
        <v>0.375</v>
      </c>
      <c r="L152" s="369">
        <v>44959</v>
      </c>
      <c r="M152" s="739">
        <v>0.625</v>
      </c>
      <c r="N152" s="406">
        <v>6</v>
      </c>
      <c r="O152" s="406" t="s">
        <v>406</v>
      </c>
      <c r="P152" s="402" t="s">
        <v>462</v>
      </c>
      <c r="Q152" s="748" t="s">
        <v>208</v>
      </c>
      <c r="R152" s="202" t="s">
        <v>40</v>
      </c>
      <c r="S152" s="31" t="s">
        <v>273</v>
      </c>
      <c r="T152" s="31" t="s">
        <v>273</v>
      </c>
      <c r="U152" s="31">
        <f>IFERROR(VLOOKUP(CONCATENATE(Tabla1[[#This Row],[Severidad]]," ",Tabla1[[#This Row],[Complejidad]]),Catalogos!E$120:G$128,3,FALSE),"")</f>
        <v>64</v>
      </c>
      <c r="V152" s="31" t="str">
        <f>IF(Tabla1[[#This Row],[Tiempo solución max (hrs)]]&lt;&gt;"",IF(Tabla1[[#This Row],[Tiempo solución max (hrs)]]&gt;=Tabla1[[#This Row],[Tiempo
(Hrs 00/100)]],"cumple","no cumple"),"")</f>
        <v>cumple</v>
      </c>
      <c r="W152" s="376" t="s">
        <v>495</v>
      </c>
      <c r="X152" s="377" t="str">
        <f t="shared" ref="X152:X153" si="34">IF(C152&lt;&gt;"",C152,D152)</f>
        <v>DS</v>
      </c>
      <c r="Y152" t="str">
        <f>SUBSTITUTE(Tabla1[[#This Row],[Descripción]],CHAR(10),"    I    ")</f>
        <v>Modificar paidload que genera Liferay para leer Id que trae el token</v>
      </c>
      <c r="Z152" s="378">
        <f>VLOOKUP(Tabla1[[#This Row],[Perfil]],Catalogos!$B$75:$D$100,3,FALSE)*Tabla1[[#This Row],[Tiempo
(Hrs 00/100)]]*1.16</f>
        <v>4872</v>
      </c>
      <c r="AA152"/>
    </row>
    <row r="153" spans="1:27" s="35" customFormat="1" ht="42.75" customHeight="1" x14ac:dyDescent="0.3">
      <c r="A153" s="373" t="s">
        <v>22</v>
      </c>
      <c r="B153" s="184" t="s">
        <v>23</v>
      </c>
      <c r="C153" s="183" t="s">
        <v>155</v>
      </c>
      <c r="D153" s="179"/>
      <c r="E153" s="386" t="s">
        <v>375</v>
      </c>
      <c r="F153" s="370" t="s">
        <v>23</v>
      </c>
      <c r="G153" s="370" t="s">
        <v>435</v>
      </c>
      <c r="H153" s="36" t="s">
        <v>494</v>
      </c>
      <c r="I153" s="405" t="s">
        <v>496</v>
      </c>
      <c r="J153" s="369">
        <v>44960</v>
      </c>
      <c r="K153" s="747">
        <v>0.375</v>
      </c>
      <c r="L153" s="369">
        <v>44960</v>
      </c>
      <c r="M153" s="739">
        <v>0.625</v>
      </c>
      <c r="N153" s="406">
        <v>6</v>
      </c>
      <c r="O153" s="406" t="s">
        <v>17</v>
      </c>
      <c r="P153" s="402" t="s">
        <v>462</v>
      </c>
      <c r="Q153" s="748" t="s">
        <v>208</v>
      </c>
      <c r="R153" s="202" t="s">
        <v>40</v>
      </c>
      <c r="S153" s="31" t="s">
        <v>273</v>
      </c>
      <c r="T153" s="31" t="s">
        <v>273</v>
      </c>
      <c r="U153" s="31">
        <f>IFERROR(VLOOKUP(CONCATENATE(Tabla1[[#This Row],[Severidad]]," ",Tabla1[[#This Row],[Complejidad]]),Catalogos!E$120:G$128,3,FALSE),"")</f>
        <v>64</v>
      </c>
      <c r="V153" s="31" t="str">
        <f>IF(Tabla1[[#This Row],[Tiempo solución max (hrs)]]&lt;&gt;"",IF(Tabla1[[#This Row],[Tiempo solución max (hrs)]]&gt;=Tabla1[[#This Row],[Tiempo
(Hrs 00/100)]],"cumple","no cumple"),"")</f>
        <v>cumple</v>
      </c>
      <c r="W153" s="376" t="s">
        <v>495</v>
      </c>
      <c r="X153" s="377" t="str">
        <f t="shared" si="34"/>
        <v>DS</v>
      </c>
      <c r="Y153" t="str">
        <f>SUBSTITUTE(Tabla1[[#This Row],[Descripción]],CHAR(10),"    I    ")</f>
        <v>Modificar paidload que genera Liferay para leer Id que trae el token</v>
      </c>
      <c r="Z153" s="378">
        <f>VLOOKUP(Tabla1[[#This Row],[Perfil]],Catalogos!$B$75:$D$100,3,FALSE)*Tabla1[[#This Row],[Tiempo
(Hrs 00/100)]]*1.16</f>
        <v>4872</v>
      </c>
      <c r="AA153"/>
    </row>
    <row r="154" spans="1:27" s="35" customFormat="1" ht="42.75" customHeight="1" x14ac:dyDescent="0.3">
      <c r="A154" s="373" t="s">
        <v>22</v>
      </c>
      <c r="B154" s="184" t="s">
        <v>23</v>
      </c>
      <c r="C154" s="183" t="s">
        <v>155</v>
      </c>
      <c r="D154" s="179"/>
      <c r="E154" s="386" t="s">
        <v>375</v>
      </c>
      <c r="F154" s="370" t="s">
        <v>23</v>
      </c>
      <c r="G154" s="370" t="s">
        <v>435</v>
      </c>
      <c r="H154" s="36" t="s">
        <v>494</v>
      </c>
      <c r="I154" s="407" t="s">
        <v>497</v>
      </c>
      <c r="J154" s="369">
        <v>44964</v>
      </c>
      <c r="K154" s="747">
        <v>0.375</v>
      </c>
      <c r="L154" s="369">
        <v>44964</v>
      </c>
      <c r="M154" s="739">
        <v>0.625</v>
      </c>
      <c r="N154" s="406">
        <v>6</v>
      </c>
      <c r="O154" s="406" t="s">
        <v>411</v>
      </c>
      <c r="P154" s="402" t="s">
        <v>462</v>
      </c>
      <c r="Q154" s="748" t="s">
        <v>208</v>
      </c>
      <c r="R154" s="202" t="s">
        <v>40</v>
      </c>
      <c r="S154" s="31" t="s">
        <v>273</v>
      </c>
      <c r="T154" s="31" t="s">
        <v>273</v>
      </c>
      <c r="U154" s="31">
        <f>IFERROR(VLOOKUP(CONCATENATE(Tabla1[[#This Row],[Severidad]]," ",Tabla1[[#This Row],[Complejidad]]),Catalogos!E$120:G$128,3,FALSE),"")</f>
        <v>64</v>
      </c>
      <c r="V154" s="31" t="str">
        <f>IF(Tabla1[[#This Row],[Tiempo solución max (hrs)]]&lt;&gt;"",IF(Tabla1[[#This Row],[Tiempo solución max (hrs)]]&gt;=Tabla1[[#This Row],[Tiempo
(Hrs 00/100)]],"cumple","no cumple"),"")</f>
        <v>cumple</v>
      </c>
      <c r="W154" s="376" t="s">
        <v>495</v>
      </c>
      <c r="X154" s="377" t="str">
        <f t="shared" si="33"/>
        <v>DS</v>
      </c>
      <c r="Y154" t="str">
        <f>SUBSTITUTE(Tabla1[[#This Row],[Descripción]],CHAR(10),"    I    ")</f>
        <v>Agregar funcionalidad para generar token con el Id usuario autenticado en Liferay</v>
      </c>
      <c r="Z154" s="378">
        <f>VLOOKUP(Tabla1[[#This Row],[Perfil]],Catalogos!$B$75:$D$100,3,FALSE)*Tabla1[[#This Row],[Tiempo
(Hrs 00/100)]]*1.16</f>
        <v>4872</v>
      </c>
      <c r="AA154"/>
    </row>
    <row r="155" spans="1:27" s="35" customFormat="1" ht="42.75" customHeight="1" x14ac:dyDescent="0.3">
      <c r="A155" s="373" t="s">
        <v>22</v>
      </c>
      <c r="B155" s="184" t="s">
        <v>23</v>
      </c>
      <c r="C155" s="183" t="s">
        <v>155</v>
      </c>
      <c r="D155" s="179"/>
      <c r="E155" s="386" t="s">
        <v>375</v>
      </c>
      <c r="F155" s="370" t="s">
        <v>23</v>
      </c>
      <c r="G155" s="370" t="s">
        <v>435</v>
      </c>
      <c r="H155" s="36" t="s">
        <v>494</v>
      </c>
      <c r="I155" s="407" t="s">
        <v>497</v>
      </c>
      <c r="J155" s="369">
        <v>44965</v>
      </c>
      <c r="K155" s="747">
        <v>0.375</v>
      </c>
      <c r="L155" s="369">
        <v>44965</v>
      </c>
      <c r="M155" s="739">
        <v>0.625</v>
      </c>
      <c r="N155" s="406">
        <v>6</v>
      </c>
      <c r="O155" s="406" t="s">
        <v>17</v>
      </c>
      <c r="P155" s="402" t="s">
        <v>462</v>
      </c>
      <c r="Q155" s="748" t="s">
        <v>208</v>
      </c>
      <c r="R155" s="202" t="s">
        <v>40</v>
      </c>
      <c r="S155" s="31" t="s">
        <v>273</v>
      </c>
      <c r="T155" s="31" t="s">
        <v>273</v>
      </c>
      <c r="U155" s="31">
        <f>IFERROR(VLOOKUP(CONCATENATE(Tabla1[[#This Row],[Severidad]]," ",Tabla1[[#This Row],[Complejidad]]),Catalogos!E$120:G$128,3,FALSE),"")</f>
        <v>64</v>
      </c>
      <c r="V155" s="31" t="str">
        <f>IF(Tabla1[[#This Row],[Tiempo solución max (hrs)]]&lt;&gt;"",IF(Tabla1[[#This Row],[Tiempo solución max (hrs)]]&gt;=Tabla1[[#This Row],[Tiempo
(Hrs 00/100)]],"cumple","no cumple"),"")</f>
        <v>cumple</v>
      </c>
      <c r="W155" s="376" t="s">
        <v>495</v>
      </c>
      <c r="X155" s="377" t="str">
        <f t="shared" ref="X155" si="35">IF(C155&lt;&gt;"",C155,D155)</f>
        <v>DS</v>
      </c>
      <c r="Y155" t="str">
        <f>SUBSTITUTE(Tabla1[[#This Row],[Descripción]],CHAR(10),"    I    ")</f>
        <v>Agregar funcionalidad para generar token con el Id usuario autenticado en Liferay</v>
      </c>
      <c r="Z155" s="378">
        <f>VLOOKUP(Tabla1[[#This Row],[Perfil]],Catalogos!$B$75:$D$100,3,FALSE)*Tabla1[[#This Row],[Tiempo
(Hrs 00/100)]]*1.16</f>
        <v>4872</v>
      </c>
      <c r="AA155"/>
    </row>
    <row r="156" spans="1:27" s="35" customFormat="1" ht="42.75" customHeight="1" x14ac:dyDescent="0.3">
      <c r="A156" s="373" t="s">
        <v>22</v>
      </c>
      <c r="B156" s="184" t="s">
        <v>23</v>
      </c>
      <c r="C156" s="183" t="s">
        <v>155</v>
      </c>
      <c r="D156" s="179"/>
      <c r="E156" s="386" t="s">
        <v>375</v>
      </c>
      <c r="F156" s="370" t="s">
        <v>23</v>
      </c>
      <c r="G156" s="370" t="s">
        <v>435</v>
      </c>
      <c r="H156" s="36" t="s">
        <v>494</v>
      </c>
      <c r="I156" s="407" t="s">
        <v>498</v>
      </c>
      <c r="J156" s="369">
        <v>44966</v>
      </c>
      <c r="K156" s="747">
        <v>0.375</v>
      </c>
      <c r="L156" s="369">
        <v>44966</v>
      </c>
      <c r="M156" s="739">
        <v>0.625</v>
      </c>
      <c r="N156" s="406">
        <v>6</v>
      </c>
      <c r="O156" s="406" t="s">
        <v>406</v>
      </c>
      <c r="P156" s="402" t="s">
        <v>462</v>
      </c>
      <c r="Q156" s="748" t="s">
        <v>208</v>
      </c>
      <c r="R156" s="202" t="s">
        <v>40</v>
      </c>
      <c r="S156" s="31" t="s">
        <v>273</v>
      </c>
      <c r="T156" s="31" t="s">
        <v>273</v>
      </c>
      <c r="U156" s="31">
        <f>IFERROR(VLOOKUP(CONCATENATE(Tabla1[[#This Row],[Severidad]]," ",Tabla1[[#This Row],[Complejidad]]),Catalogos!E$120:G$128,3,FALSE),"")</f>
        <v>64</v>
      </c>
      <c r="V156" s="31" t="str">
        <f>IF(Tabla1[[#This Row],[Tiempo solución max (hrs)]]&lt;&gt;"",IF(Tabla1[[#This Row],[Tiempo solución max (hrs)]]&gt;=Tabla1[[#This Row],[Tiempo
(Hrs 00/100)]],"cumple","no cumple"),"")</f>
        <v>cumple</v>
      </c>
      <c r="W156" s="376" t="s">
        <v>495</v>
      </c>
      <c r="X156" s="377" t="str">
        <f t="shared" si="33"/>
        <v>DS</v>
      </c>
      <c r="Y156" t="str">
        <f>SUBSTITUTE(Tabla1[[#This Row],[Descripción]],CHAR(10),"    I    ")</f>
        <v>Programar mecanismo de descifrado de token</v>
      </c>
      <c r="Z156" s="378">
        <f>VLOOKUP(Tabla1[[#This Row],[Perfil]],Catalogos!$B$75:$D$100,3,FALSE)*Tabla1[[#This Row],[Tiempo
(Hrs 00/100)]]*1.16</f>
        <v>4872</v>
      </c>
      <c r="AA156"/>
    </row>
    <row r="157" spans="1:27" s="35" customFormat="1" ht="42.75" customHeight="1" x14ac:dyDescent="0.3">
      <c r="A157" s="373" t="s">
        <v>22</v>
      </c>
      <c r="B157" s="184" t="s">
        <v>23</v>
      </c>
      <c r="C157" s="183" t="s">
        <v>155</v>
      </c>
      <c r="D157" s="179"/>
      <c r="E157" s="386" t="s">
        <v>375</v>
      </c>
      <c r="F157" s="370" t="s">
        <v>23</v>
      </c>
      <c r="G157" s="370" t="s">
        <v>435</v>
      </c>
      <c r="H157" s="36" t="s">
        <v>494</v>
      </c>
      <c r="I157" s="407" t="s">
        <v>498</v>
      </c>
      <c r="J157" s="369">
        <v>44967</v>
      </c>
      <c r="K157" s="747">
        <v>0.375</v>
      </c>
      <c r="L157" s="369">
        <v>44967</v>
      </c>
      <c r="M157" s="739">
        <v>0.625</v>
      </c>
      <c r="N157" s="406">
        <v>6</v>
      </c>
      <c r="O157" s="406" t="s">
        <v>17</v>
      </c>
      <c r="P157" s="402" t="s">
        <v>462</v>
      </c>
      <c r="Q157" s="748" t="s">
        <v>208</v>
      </c>
      <c r="R157" s="202" t="s">
        <v>40</v>
      </c>
      <c r="S157" s="31" t="s">
        <v>273</v>
      </c>
      <c r="T157" s="31" t="s">
        <v>273</v>
      </c>
      <c r="U157" s="31">
        <f>IFERROR(VLOOKUP(CONCATENATE(Tabla1[[#This Row],[Severidad]]," ",Tabla1[[#This Row],[Complejidad]]),Catalogos!E$120:G$128,3,FALSE),"")</f>
        <v>64</v>
      </c>
      <c r="V157" s="31" t="str">
        <f>IF(Tabla1[[#This Row],[Tiempo solución max (hrs)]]&lt;&gt;"",IF(Tabla1[[#This Row],[Tiempo solución max (hrs)]]&gt;=Tabla1[[#This Row],[Tiempo
(Hrs 00/100)]],"cumple","no cumple"),"")</f>
        <v>cumple</v>
      </c>
      <c r="W157" s="376" t="s">
        <v>495</v>
      </c>
      <c r="X157" s="377" t="str">
        <f t="shared" ref="X157" si="36">IF(C157&lt;&gt;"",C157,D157)</f>
        <v>DS</v>
      </c>
      <c r="Y157" t="str">
        <f>SUBSTITUTE(Tabla1[[#This Row],[Descripción]],CHAR(10),"    I    ")</f>
        <v>Programar mecanismo de descifrado de token</v>
      </c>
      <c r="Z157" s="378">
        <f>VLOOKUP(Tabla1[[#This Row],[Perfil]],Catalogos!$B$75:$D$100,3,FALSE)*Tabla1[[#This Row],[Tiempo
(Hrs 00/100)]]*1.16</f>
        <v>4872</v>
      </c>
      <c r="AA157"/>
    </row>
    <row r="158" spans="1:27" s="35" customFormat="1" ht="42.75" customHeight="1" x14ac:dyDescent="0.3">
      <c r="A158" s="373" t="s">
        <v>22</v>
      </c>
      <c r="B158" s="184" t="s">
        <v>23</v>
      </c>
      <c r="C158" s="183" t="s">
        <v>155</v>
      </c>
      <c r="D158" s="179"/>
      <c r="E158" s="386" t="s">
        <v>375</v>
      </c>
      <c r="F158" s="370" t="s">
        <v>23</v>
      </c>
      <c r="G158" s="370" t="s">
        <v>435</v>
      </c>
      <c r="H158" s="36" t="s">
        <v>494</v>
      </c>
      <c r="I158" s="408" t="s">
        <v>499</v>
      </c>
      <c r="J158" s="369">
        <v>44970</v>
      </c>
      <c r="K158" s="747">
        <v>0.375</v>
      </c>
      <c r="L158" s="369">
        <v>44970</v>
      </c>
      <c r="M158" s="739">
        <v>0.625</v>
      </c>
      <c r="N158" s="406">
        <v>6</v>
      </c>
      <c r="O158" s="406" t="s">
        <v>406</v>
      </c>
      <c r="P158" s="402" t="s">
        <v>462</v>
      </c>
      <c r="Q158" s="748" t="s">
        <v>208</v>
      </c>
      <c r="R158" s="202" t="s">
        <v>40</v>
      </c>
      <c r="S158" s="31" t="s">
        <v>273</v>
      </c>
      <c r="T158" s="31" t="s">
        <v>273</v>
      </c>
      <c r="U158" s="31">
        <f>IFERROR(VLOOKUP(CONCATENATE(Tabla1[[#This Row],[Severidad]]," ",Tabla1[[#This Row],[Complejidad]]),Catalogos!E$120:G$128,3,FALSE),"")</f>
        <v>64</v>
      </c>
      <c r="V158" s="31" t="str">
        <f>IF(Tabla1[[#This Row],[Tiempo solución max (hrs)]]&lt;&gt;"",IF(Tabla1[[#This Row],[Tiempo solución max (hrs)]]&gt;=Tabla1[[#This Row],[Tiempo
(Hrs 00/100)]],"cumple","no cumple"),"")</f>
        <v>cumple</v>
      </c>
      <c r="W158" s="376" t="s">
        <v>495</v>
      </c>
      <c r="X158" s="377" t="str">
        <f t="shared" si="33"/>
        <v>DS</v>
      </c>
      <c r="Y158" t="str">
        <f>SUBSTITUTE(Tabla1[[#This Row],[Descripción]],CHAR(10),"    I    ")</f>
        <v>Integración con mecanismo del token del service builder con el back end</v>
      </c>
      <c r="Z158" s="378">
        <f>VLOOKUP(Tabla1[[#This Row],[Perfil]],Catalogos!$B$75:$D$100,3,FALSE)*Tabla1[[#This Row],[Tiempo
(Hrs 00/100)]]*1.16</f>
        <v>4872</v>
      </c>
      <c r="AA158"/>
    </row>
    <row r="159" spans="1:27" s="35" customFormat="1" ht="42.75" customHeight="1" x14ac:dyDescent="0.3">
      <c r="A159" s="373" t="s">
        <v>22</v>
      </c>
      <c r="B159" s="184" t="s">
        <v>23</v>
      </c>
      <c r="C159" s="183" t="s">
        <v>155</v>
      </c>
      <c r="D159" s="179"/>
      <c r="E159" s="386" t="s">
        <v>375</v>
      </c>
      <c r="F159" s="370" t="s">
        <v>23</v>
      </c>
      <c r="G159" s="370" t="s">
        <v>435</v>
      </c>
      <c r="H159" s="36" t="s">
        <v>494</v>
      </c>
      <c r="I159" s="408" t="s">
        <v>499</v>
      </c>
      <c r="J159" s="369">
        <v>44971</v>
      </c>
      <c r="K159" s="747">
        <v>0.375</v>
      </c>
      <c r="L159" s="369">
        <v>44971</v>
      </c>
      <c r="M159" s="739">
        <v>0.625</v>
      </c>
      <c r="N159" s="406">
        <v>6</v>
      </c>
      <c r="O159" s="406" t="s">
        <v>17</v>
      </c>
      <c r="P159" s="402" t="s">
        <v>462</v>
      </c>
      <c r="Q159" s="748" t="s">
        <v>208</v>
      </c>
      <c r="R159" s="202" t="s">
        <v>40</v>
      </c>
      <c r="S159" s="31" t="s">
        <v>273</v>
      </c>
      <c r="T159" s="31" t="s">
        <v>273</v>
      </c>
      <c r="U159" s="31">
        <f>IFERROR(VLOOKUP(CONCATENATE(Tabla1[[#This Row],[Severidad]]," ",Tabla1[[#This Row],[Complejidad]]),Catalogos!E$120:G$128,3,FALSE),"")</f>
        <v>64</v>
      </c>
      <c r="V159" s="31" t="str">
        <f>IF(Tabla1[[#This Row],[Tiempo solución max (hrs)]]&lt;&gt;"",IF(Tabla1[[#This Row],[Tiempo solución max (hrs)]]&gt;=Tabla1[[#This Row],[Tiempo
(Hrs 00/100)]],"cumple","no cumple"),"")</f>
        <v>cumple</v>
      </c>
      <c r="W159" s="376" t="s">
        <v>495</v>
      </c>
      <c r="X159" s="377" t="str">
        <f t="shared" ref="X159" si="37">IF(C159&lt;&gt;"",C159,D159)</f>
        <v>DS</v>
      </c>
      <c r="Y159" t="str">
        <f>SUBSTITUTE(Tabla1[[#This Row],[Descripción]],CHAR(10),"    I    ")</f>
        <v>Integración con mecanismo del token del service builder con el back end</v>
      </c>
      <c r="Z159" s="378">
        <f>VLOOKUP(Tabla1[[#This Row],[Perfil]],Catalogos!$B$75:$D$100,3,FALSE)*Tabla1[[#This Row],[Tiempo
(Hrs 00/100)]]*1.16</f>
        <v>4872</v>
      </c>
      <c r="AA159"/>
    </row>
    <row r="160" spans="1:27" ht="42.75" customHeight="1" x14ac:dyDescent="0.3">
      <c r="A160" s="373" t="s">
        <v>22</v>
      </c>
      <c r="B160" s="184" t="s">
        <v>23</v>
      </c>
      <c r="C160" s="183" t="s">
        <v>155</v>
      </c>
      <c r="D160" s="179"/>
      <c r="E160" s="386" t="s">
        <v>375</v>
      </c>
      <c r="F160" s="370" t="s">
        <v>23</v>
      </c>
      <c r="G160" s="370" t="s">
        <v>435</v>
      </c>
      <c r="H160" s="36" t="s">
        <v>494</v>
      </c>
      <c r="I160" s="408" t="s">
        <v>500</v>
      </c>
      <c r="J160" s="369">
        <v>44972</v>
      </c>
      <c r="K160" s="747">
        <v>0.375</v>
      </c>
      <c r="L160" s="369">
        <v>44972</v>
      </c>
      <c r="M160" s="740">
        <v>0.625</v>
      </c>
      <c r="N160" s="406">
        <v>6</v>
      </c>
      <c r="O160" s="406" t="s">
        <v>406</v>
      </c>
      <c r="P160" s="402" t="s">
        <v>462</v>
      </c>
      <c r="Q160" s="748" t="s">
        <v>208</v>
      </c>
      <c r="R160" s="202" t="s">
        <v>40</v>
      </c>
      <c r="S160" s="31" t="s">
        <v>273</v>
      </c>
      <c r="T160" s="31" t="s">
        <v>273</v>
      </c>
      <c r="U160" s="31">
        <f>IFERROR(VLOOKUP(CONCATENATE(Tabla1[[#This Row],[Severidad]]," ",Tabla1[[#This Row],[Complejidad]]),Catalogos!E$120:G$128,3,FALSE),"")</f>
        <v>64</v>
      </c>
      <c r="V160" s="31" t="str">
        <f>IF(Tabla1[[#This Row],[Tiempo solución max (hrs)]]&lt;&gt;"",IF(Tabla1[[#This Row],[Tiempo solución max (hrs)]]&gt;=Tabla1[[#This Row],[Tiempo
(Hrs 00/100)]],"cumple","no cumple"),"")</f>
        <v>cumple</v>
      </c>
      <c r="W160" s="376" t="s">
        <v>495</v>
      </c>
      <c r="X160" s="377" t="str">
        <f t="shared" si="33"/>
        <v>DS</v>
      </c>
      <c r="Y160" t="str">
        <f>SUBSTITUTE(Tabla1[[#This Row],[Descripción]],CHAR(10),"    I    ")</f>
        <v>Servicios Back Solicitudes</v>
      </c>
      <c r="Z160" s="378">
        <f>VLOOKUP(Tabla1[[#This Row],[Perfil]],Catalogos!$B$75:$D$100,3,FALSE)*Tabla1[[#This Row],[Tiempo
(Hrs 00/100)]]*1.16</f>
        <v>4872</v>
      </c>
    </row>
    <row r="161" spans="1:27" ht="42.75" customHeight="1" x14ac:dyDescent="0.3">
      <c r="A161" s="373" t="s">
        <v>22</v>
      </c>
      <c r="B161" s="184" t="s">
        <v>23</v>
      </c>
      <c r="C161" s="183" t="s">
        <v>155</v>
      </c>
      <c r="D161" s="179"/>
      <c r="E161" s="386" t="s">
        <v>375</v>
      </c>
      <c r="F161" s="370" t="s">
        <v>23</v>
      </c>
      <c r="G161" s="370" t="s">
        <v>435</v>
      </c>
      <c r="H161" s="36" t="s">
        <v>494</v>
      </c>
      <c r="I161" s="408" t="s">
        <v>500</v>
      </c>
      <c r="J161" s="369">
        <v>44973</v>
      </c>
      <c r="K161" s="747">
        <v>0.375</v>
      </c>
      <c r="L161" s="369">
        <v>44973</v>
      </c>
      <c r="M161" s="740">
        <v>0.625</v>
      </c>
      <c r="N161" s="406">
        <v>6</v>
      </c>
      <c r="O161" s="406" t="s">
        <v>406</v>
      </c>
      <c r="P161" s="402" t="s">
        <v>462</v>
      </c>
      <c r="Q161" s="748" t="s">
        <v>208</v>
      </c>
      <c r="R161" s="202" t="s">
        <v>40</v>
      </c>
      <c r="S161" s="31" t="s">
        <v>273</v>
      </c>
      <c r="T161" s="31" t="s">
        <v>273</v>
      </c>
      <c r="U161" s="31">
        <f>IFERROR(VLOOKUP(CONCATENATE(Tabla1[[#This Row],[Severidad]]," ",Tabla1[[#This Row],[Complejidad]]),Catalogos!E$120:G$128,3,FALSE),"")</f>
        <v>64</v>
      </c>
      <c r="V161" s="31" t="str">
        <f>IF(Tabla1[[#This Row],[Tiempo solución max (hrs)]]&lt;&gt;"",IF(Tabla1[[#This Row],[Tiempo solución max (hrs)]]&gt;=Tabla1[[#This Row],[Tiempo
(Hrs 00/100)]],"cumple","no cumple"),"")</f>
        <v>cumple</v>
      </c>
      <c r="W161" s="376" t="s">
        <v>495</v>
      </c>
      <c r="X161" s="377" t="str">
        <f t="shared" ref="X161:X162" si="38">IF(C161&lt;&gt;"",C161,D161)</f>
        <v>DS</v>
      </c>
      <c r="Y161" t="str">
        <f>SUBSTITUTE(Tabla1[[#This Row],[Descripción]],CHAR(10),"    I    ")</f>
        <v>Servicios Back Solicitudes</v>
      </c>
      <c r="Z161" s="378">
        <f>VLOOKUP(Tabla1[[#This Row],[Perfil]],Catalogos!$B$75:$D$100,3,FALSE)*Tabla1[[#This Row],[Tiempo
(Hrs 00/100)]]*1.16</f>
        <v>4872</v>
      </c>
    </row>
    <row r="162" spans="1:27" ht="42.75" customHeight="1" x14ac:dyDescent="0.3">
      <c r="A162" s="373" t="s">
        <v>22</v>
      </c>
      <c r="B162" s="184" t="s">
        <v>23</v>
      </c>
      <c r="C162" s="183" t="s">
        <v>155</v>
      </c>
      <c r="D162" s="179"/>
      <c r="E162" s="386" t="s">
        <v>375</v>
      </c>
      <c r="F162" s="370" t="s">
        <v>23</v>
      </c>
      <c r="G162" s="370" t="s">
        <v>435</v>
      </c>
      <c r="H162" s="36" t="s">
        <v>494</v>
      </c>
      <c r="I162" s="408" t="s">
        <v>500</v>
      </c>
      <c r="J162" s="369">
        <v>44974</v>
      </c>
      <c r="K162" s="747">
        <v>0.375</v>
      </c>
      <c r="L162" s="369">
        <v>44974</v>
      </c>
      <c r="M162" s="740">
        <v>0.625</v>
      </c>
      <c r="N162" s="406">
        <v>6</v>
      </c>
      <c r="O162" s="406" t="s">
        <v>17</v>
      </c>
      <c r="P162" s="402" t="s">
        <v>462</v>
      </c>
      <c r="Q162" s="748" t="s">
        <v>208</v>
      </c>
      <c r="R162" s="202" t="s">
        <v>40</v>
      </c>
      <c r="S162" s="31" t="s">
        <v>273</v>
      </c>
      <c r="T162" s="31" t="s">
        <v>273</v>
      </c>
      <c r="U162" s="31">
        <f>IFERROR(VLOOKUP(CONCATENATE(Tabla1[[#This Row],[Severidad]]," ",Tabla1[[#This Row],[Complejidad]]),Catalogos!E$120:G$128,3,FALSE),"")</f>
        <v>64</v>
      </c>
      <c r="V162" s="31" t="str">
        <f>IF(Tabla1[[#This Row],[Tiempo solución max (hrs)]]&lt;&gt;"",IF(Tabla1[[#This Row],[Tiempo solución max (hrs)]]&gt;=Tabla1[[#This Row],[Tiempo
(Hrs 00/100)]],"cumple","no cumple"),"")</f>
        <v>cumple</v>
      </c>
      <c r="W162" s="376" t="s">
        <v>495</v>
      </c>
      <c r="X162" s="377" t="str">
        <f t="shared" si="38"/>
        <v>DS</v>
      </c>
      <c r="Y162" t="str">
        <f>SUBSTITUTE(Tabla1[[#This Row],[Descripción]],CHAR(10),"    I    ")</f>
        <v>Servicios Back Solicitudes</v>
      </c>
      <c r="Z162" s="378">
        <f>VLOOKUP(Tabla1[[#This Row],[Perfil]],Catalogos!$B$75:$D$100,3,FALSE)*Tabla1[[#This Row],[Tiempo
(Hrs 00/100)]]*1.16</f>
        <v>4872</v>
      </c>
    </row>
    <row r="163" spans="1:27" ht="42.75" customHeight="1" x14ac:dyDescent="0.3">
      <c r="A163" s="373" t="s">
        <v>22</v>
      </c>
      <c r="B163" s="184" t="s">
        <v>23</v>
      </c>
      <c r="C163" s="183" t="s">
        <v>155</v>
      </c>
      <c r="D163" s="179"/>
      <c r="E163" s="386" t="s">
        <v>375</v>
      </c>
      <c r="F163" s="370" t="s">
        <v>23</v>
      </c>
      <c r="G163" s="370" t="s">
        <v>435</v>
      </c>
      <c r="H163" s="36" t="s">
        <v>494</v>
      </c>
      <c r="I163" s="408" t="s">
        <v>501</v>
      </c>
      <c r="J163" s="713">
        <v>44977</v>
      </c>
      <c r="K163" s="747">
        <v>0.375</v>
      </c>
      <c r="L163" s="713">
        <v>44977</v>
      </c>
      <c r="M163" s="740">
        <v>0.625</v>
      </c>
      <c r="N163" s="373">
        <v>6</v>
      </c>
      <c r="O163" s="184" t="s">
        <v>406</v>
      </c>
      <c r="P163" s="402" t="s">
        <v>462</v>
      </c>
      <c r="Q163" s="748" t="s">
        <v>208</v>
      </c>
      <c r="R163" s="202" t="s">
        <v>40</v>
      </c>
      <c r="S163" s="31" t="s">
        <v>273</v>
      </c>
      <c r="T163" s="31" t="s">
        <v>273</v>
      </c>
      <c r="U163" s="31">
        <f>IFERROR(VLOOKUP(CONCATENATE(Tabla1[[#This Row],[Severidad]]," ",Tabla1[[#This Row],[Complejidad]]),Catalogos!E$120:G$128,3,FALSE),"")</f>
        <v>64</v>
      </c>
      <c r="V163" s="31" t="str">
        <f>IF(Tabla1[[#This Row],[Tiempo solución max (hrs)]]&lt;&gt;"",IF(Tabla1[[#This Row],[Tiempo solución max (hrs)]]&gt;=Tabla1[[#This Row],[Tiempo
(Hrs 00/100)]],"cumple","no cumple"),"")</f>
        <v>cumple</v>
      </c>
      <c r="W163" s="376" t="s">
        <v>495</v>
      </c>
      <c r="X163" s="377" t="str">
        <f t="shared" si="33"/>
        <v>DS</v>
      </c>
      <c r="Y163" t="str">
        <f>SUBSTITUTE(Tabla1[[#This Row],[Descripción]],CHAR(10),"    I    ")</f>
        <v>Servicios Back Unidad de Transparencia</v>
      </c>
      <c r="Z163" s="378">
        <f>VLOOKUP(Tabla1[[#This Row],[Perfil]],Catalogos!$B$75:$D$100,3,FALSE)*Tabla1[[#This Row],[Tiempo
(Hrs 00/100)]]*1.16</f>
        <v>4872</v>
      </c>
    </row>
    <row r="164" spans="1:27" ht="42.75" customHeight="1" x14ac:dyDescent="0.3">
      <c r="A164" s="373" t="s">
        <v>22</v>
      </c>
      <c r="B164" s="184" t="s">
        <v>23</v>
      </c>
      <c r="C164" s="183" t="s">
        <v>155</v>
      </c>
      <c r="D164" s="179"/>
      <c r="E164" s="386" t="s">
        <v>375</v>
      </c>
      <c r="F164" s="370" t="s">
        <v>23</v>
      </c>
      <c r="G164" s="370" t="s">
        <v>435</v>
      </c>
      <c r="H164" s="36" t="s">
        <v>494</v>
      </c>
      <c r="I164" s="408" t="s">
        <v>501</v>
      </c>
      <c r="J164" s="713">
        <v>44978</v>
      </c>
      <c r="K164" s="747">
        <v>0.375</v>
      </c>
      <c r="L164" s="713">
        <v>44978</v>
      </c>
      <c r="M164" s="740">
        <v>0.625</v>
      </c>
      <c r="N164" s="373">
        <v>6</v>
      </c>
      <c r="O164" s="184" t="s">
        <v>406</v>
      </c>
      <c r="P164" s="402" t="s">
        <v>462</v>
      </c>
      <c r="Q164" s="748" t="s">
        <v>208</v>
      </c>
      <c r="R164" s="202" t="s">
        <v>40</v>
      </c>
      <c r="S164" s="31" t="s">
        <v>273</v>
      </c>
      <c r="T164" s="31" t="s">
        <v>273</v>
      </c>
      <c r="U164" s="31">
        <f>IFERROR(VLOOKUP(CONCATENATE(Tabla1[[#This Row],[Severidad]]," ",Tabla1[[#This Row],[Complejidad]]),Catalogos!E$120:G$128,3,FALSE),"")</f>
        <v>64</v>
      </c>
      <c r="V164" s="31" t="str">
        <f>IF(Tabla1[[#This Row],[Tiempo solución max (hrs)]]&lt;&gt;"",IF(Tabla1[[#This Row],[Tiempo solución max (hrs)]]&gt;=Tabla1[[#This Row],[Tiempo
(Hrs 00/100)]],"cumple","no cumple"),"")</f>
        <v>cumple</v>
      </c>
      <c r="W164" s="376" t="s">
        <v>495</v>
      </c>
      <c r="X164" s="377" t="str">
        <f t="shared" ref="X164:X166" si="39">IF(C164&lt;&gt;"",C164,D164)</f>
        <v>DS</v>
      </c>
      <c r="Y164" t="str">
        <f>SUBSTITUTE(Tabla1[[#This Row],[Descripción]],CHAR(10),"    I    ")</f>
        <v>Servicios Back Unidad de Transparencia</v>
      </c>
      <c r="Z164" s="378">
        <f>VLOOKUP(Tabla1[[#This Row],[Perfil]],Catalogos!$B$75:$D$100,3,FALSE)*Tabla1[[#This Row],[Tiempo
(Hrs 00/100)]]*1.16</f>
        <v>4872</v>
      </c>
    </row>
    <row r="165" spans="1:27" ht="42.75" customHeight="1" x14ac:dyDescent="0.3">
      <c r="A165" s="373" t="s">
        <v>22</v>
      </c>
      <c r="B165" s="184" t="s">
        <v>23</v>
      </c>
      <c r="C165" s="183" t="s">
        <v>155</v>
      </c>
      <c r="D165" s="179"/>
      <c r="E165" s="386" t="s">
        <v>375</v>
      </c>
      <c r="F165" s="370" t="s">
        <v>23</v>
      </c>
      <c r="G165" s="370" t="s">
        <v>435</v>
      </c>
      <c r="H165" s="36" t="s">
        <v>494</v>
      </c>
      <c r="I165" s="408" t="s">
        <v>501</v>
      </c>
      <c r="J165" s="713">
        <v>44979</v>
      </c>
      <c r="K165" s="747">
        <v>0.375</v>
      </c>
      <c r="L165" s="713">
        <v>44979</v>
      </c>
      <c r="M165" s="740">
        <v>0.625</v>
      </c>
      <c r="N165" s="373">
        <v>6</v>
      </c>
      <c r="O165" s="184" t="s">
        <v>406</v>
      </c>
      <c r="P165" s="402" t="s">
        <v>462</v>
      </c>
      <c r="Q165" s="748" t="s">
        <v>208</v>
      </c>
      <c r="R165" s="202" t="s">
        <v>40</v>
      </c>
      <c r="S165" s="31" t="s">
        <v>273</v>
      </c>
      <c r="T165" s="31" t="s">
        <v>273</v>
      </c>
      <c r="U165" s="31">
        <f>IFERROR(VLOOKUP(CONCATENATE(Tabla1[[#This Row],[Severidad]]," ",Tabla1[[#This Row],[Complejidad]]),Catalogos!E$120:G$128,3,FALSE),"")</f>
        <v>64</v>
      </c>
      <c r="V165" s="31" t="str">
        <f>IF(Tabla1[[#This Row],[Tiempo solución max (hrs)]]&lt;&gt;"",IF(Tabla1[[#This Row],[Tiempo solución max (hrs)]]&gt;=Tabla1[[#This Row],[Tiempo
(Hrs 00/100)]],"cumple","no cumple"),"")</f>
        <v>cumple</v>
      </c>
      <c r="W165" s="376" t="s">
        <v>495</v>
      </c>
      <c r="X165" s="377" t="str">
        <f t="shared" si="39"/>
        <v>DS</v>
      </c>
      <c r="Y165" t="str">
        <f>SUBSTITUTE(Tabla1[[#This Row],[Descripción]],CHAR(10),"    I    ")</f>
        <v>Servicios Back Unidad de Transparencia</v>
      </c>
      <c r="Z165" s="378">
        <f>VLOOKUP(Tabla1[[#This Row],[Perfil]],Catalogos!$B$75:$D$100,3,FALSE)*Tabla1[[#This Row],[Tiempo
(Hrs 00/100)]]*1.16</f>
        <v>4872</v>
      </c>
    </row>
    <row r="166" spans="1:27" ht="42.75" customHeight="1" x14ac:dyDescent="0.3">
      <c r="A166" s="373" t="s">
        <v>22</v>
      </c>
      <c r="B166" s="184" t="s">
        <v>23</v>
      </c>
      <c r="C166" s="183" t="s">
        <v>155</v>
      </c>
      <c r="D166" s="179"/>
      <c r="E166" s="386" t="s">
        <v>375</v>
      </c>
      <c r="F166" s="370" t="s">
        <v>23</v>
      </c>
      <c r="G166" s="370" t="s">
        <v>435</v>
      </c>
      <c r="H166" s="36" t="s">
        <v>494</v>
      </c>
      <c r="I166" s="408" t="s">
        <v>501</v>
      </c>
      <c r="J166" s="713">
        <v>44980</v>
      </c>
      <c r="K166" s="747">
        <v>0.375</v>
      </c>
      <c r="L166" s="713">
        <v>44980</v>
      </c>
      <c r="M166" s="740">
        <v>0.625</v>
      </c>
      <c r="N166" s="373">
        <v>6</v>
      </c>
      <c r="O166" s="184" t="s">
        <v>17</v>
      </c>
      <c r="P166" s="402" t="s">
        <v>462</v>
      </c>
      <c r="Q166" s="748" t="s">
        <v>208</v>
      </c>
      <c r="R166" s="202" t="s">
        <v>40</v>
      </c>
      <c r="S166" s="31" t="s">
        <v>273</v>
      </c>
      <c r="T166" s="31" t="s">
        <v>273</v>
      </c>
      <c r="U166" s="31">
        <f>IFERROR(VLOOKUP(CONCATENATE(Tabla1[[#This Row],[Severidad]]," ",Tabla1[[#This Row],[Complejidad]]),Catalogos!E$120:G$128,3,FALSE),"")</f>
        <v>64</v>
      </c>
      <c r="V166" s="31" t="str">
        <f>IF(Tabla1[[#This Row],[Tiempo solución max (hrs)]]&lt;&gt;"",IF(Tabla1[[#This Row],[Tiempo solución max (hrs)]]&gt;=Tabla1[[#This Row],[Tiempo
(Hrs 00/100)]],"cumple","no cumple"),"")</f>
        <v>cumple</v>
      </c>
      <c r="W166" s="376" t="s">
        <v>495</v>
      </c>
      <c r="X166" s="377" t="str">
        <f t="shared" si="39"/>
        <v>DS</v>
      </c>
      <c r="Y166" t="str">
        <f>SUBSTITUTE(Tabla1[[#This Row],[Descripción]],CHAR(10),"    I    ")</f>
        <v>Servicios Back Unidad de Transparencia</v>
      </c>
      <c r="Z166" s="378">
        <f>VLOOKUP(Tabla1[[#This Row],[Perfil]],Catalogos!$B$75:$D$100,3,FALSE)*Tabla1[[#This Row],[Tiempo
(Hrs 00/100)]]*1.16</f>
        <v>4872</v>
      </c>
    </row>
    <row r="167" spans="1:27" s="35" customFormat="1" ht="42.75" customHeight="1" x14ac:dyDescent="0.3">
      <c r="A167" s="373" t="s">
        <v>22</v>
      </c>
      <c r="B167" s="184" t="s">
        <v>23</v>
      </c>
      <c r="C167" s="183" t="s">
        <v>155</v>
      </c>
      <c r="D167" s="179"/>
      <c r="E167" s="386" t="s">
        <v>375</v>
      </c>
      <c r="F167" s="370" t="s">
        <v>23</v>
      </c>
      <c r="G167" s="370" t="s">
        <v>435</v>
      </c>
      <c r="H167" s="36" t="s">
        <v>494</v>
      </c>
      <c r="I167" s="408" t="s">
        <v>502</v>
      </c>
      <c r="J167" s="713">
        <v>44981</v>
      </c>
      <c r="K167" s="747">
        <v>0.375</v>
      </c>
      <c r="L167" s="713">
        <v>44981</v>
      </c>
      <c r="M167" s="740">
        <v>0.625</v>
      </c>
      <c r="N167" s="373">
        <v>6</v>
      </c>
      <c r="O167" s="184" t="s">
        <v>406</v>
      </c>
      <c r="P167" s="402" t="s">
        <v>462</v>
      </c>
      <c r="Q167" s="748" t="s">
        <v>208</v>
      </c>
      <c r="R167" s="202" t="s">
        <v>40</v>
      </c>
      <c r="S167" s="31" t="s">
        <v>273</v>
      </c>
      <c r="T167" s="31" t="s">
        <v>273</v>
      </c>
      <c r="U167" s="31">
        <f>IFERROR(VLOOKUP(CONCATENATE(Tabla1[[#This Row],[Severidad]]," ",Tabla1[[#This Row],[Complejidad]]),Catalogos!E$120:G$128,3,FALSE),"")</f>
        <v>64</v>
      </c>
      <c r="V167" s="31" t="str">
        <f>IF(Tabla1[[#This Row],[Tiempo solución max (hrs)]]&lt;&gt;"",IF(Tabla1[[#This Row],[Tiempo solución max (hrs)]]&gt;=Tabla1[[#This Row],[Tiempo
(Hrs 00/100)]],"cumple","no cumple"),"")</f>
        <v>cumple</v>
      </c>
      <c r="W167" s="376" t="s">
        <v>495</v>
      </c>
      <c r="X167" s="377" t="str">
        <f t="shared" si="33"/>
        <v>DS</v>
      </c>
      <c r="Y167" t="str">
        <f>SUBSTITUTE(Tabla1[[#This Row],[Descripción]],CHAR(10),"    I    ")</f>
        <v>Servicios Back Gestión Interna</v>
      </c>
      <c r="Z167" s="378">
        <f>VLOOKUP(Tabla1[[#This Row],[Perfil]],Catalogos!$B$75:$D$100,3,FALSE)*Tabla1[[#This Row],[Tiempo
(Hrs 00/100)]]*1.16</f>
        <v>4872</v>
      </c>
      <c r="AA167"/>
    </row>
    <row r="168" spans="1:27" s="35" customFormat="1" ht="42.75" customHeight="1" x14ac:dyDescent="0.3">
      <c r="A168" s="373" t="s">
        <v>22</v>
      </c>
      <c r="B168" s="184" t="s">
        <v>23</v>
      </c>
      <c r="C168" s="183" t="s">
        <v>155</v>
      </c>
      <c r="D168" s="179"/>
      <c r="E168" s="386" t="s">
        <v>375</v>
      </c>
      <c r="F168" s="370" t="s">
        <v>23</v>
      </c>
      <c r="G168" s="370" t="s">
        <v>435</v>
      </c>
      <c r="H168" s="36" t="s">
        <v>494</v>
      </c>
      <c r="I168" s="408" t="s">
        <v>502</v>
      </c>
      <c r="J168" s="713">
        <v>44984</v>
      </c>
      <c r="K168" s="747">
        <v>0.375</v>
      </c>
      <c r="L168" s="713">
        <v>44984</v>
      </c>
      <c r="M168" s="740">
        <v>0.625</v>
      </c>
      <c r="N168" s="373">
        <v>6</v>
      </c>
      <c r="O168" s="184" t="s">
        <v>406</v>
      </c>
      <c r="P168" s="402" t="s">
        <v>462</v>
      </c>
      <c r="Q168" s="748" t="s">
        <v>208</v>
      </c>
      <c r="R168" s="202" t="s">
        <v>40</v>
      </c>
      <c r="S168" s="31" t="s">
        <v>273</v>
      </c>
      <c r="T168" s="31" t="s">
        <v>273</v>
      </c>
      <c r="U168" s="31">
        <f>IFERROR(VLOOKUP(CONCATENATE(Tabla1[[#This Row],[Severidad]]," ",Tabla1[[#This Row],[Complejidad]]),Catalogos!E$120:G$128,3,FALSE),"")</f>
        <v>64</v>
      </c>
      <c r="V168" s="31" t="str">
        <f>IF(Tabla1[[#This Row],[Tiempo solución max (hrs)]]&lt;&gt;"",IF(Tabla1[[#This Row],[Tiempo solución max (hrs)]]&gt;=Tabla1[[#This Row],[Tiempo
(Hrs 00/100)]],"cumple","no cumple"),"")</f>
        <v>cumple</v>
      </c>
      <c r="W168" s="376" t="s">
        <v>495</v>
      </c>
      <c r="X168" s="377" t="str">
        <f t="shared" ref="X168:X169" si="40">IF(C168&lt;&gt;"",C168,D168)</f>
        <v>DS</v>
      </c>
      <c r="Y168" t="str">
        <f>SUBSTITUTE(Tabla1[[#This Row],[Descripción]],CHAR(10),"    I    ")</f>
        <v>Servicios Back Gestión Interna</v>
      </c>
      <c r="Z168" s="378">
        <f>VLOOKUP(Tabla1[[#This Row],[Perfil]],Catalogos!$B$75:$D$100,3,FALSE)*Tabla1[[#This Row],[Tiempo
(Hrs 00/100)]]*1.16</f>
        <v>4872</v>
      </c>
      <c r="AA168"/>
    </row>
    <row r="169" spans="1:27" s="35" customFormat="1" ht="42.75" customHeight="1" x14ac:dyDescent="0.3">
      <c r="A169" s="373" t="s">
        <v>22</v>
      </c>
      <c r="B169" s="184" t="s">
        <v>23</v>
      </c>
      <c r="C169" s="183" t="s">
        <v>155</v>
      </c>
      <c r="D169" s="179"/>
      <c r="E169" s="386" t="s">
        <v>375</v>
      </c>
      <c r="F169" s="370" t="s">
        <v>23</v>
      </c>
      <c r="G169" s="370" t="s">
        <v>435</v>
      </c>
      <c r="H169" s="36" t="s">
        <v>494</v>
      </c>
      <c r="I169" s="408" t="s">
        <v>502</v>
      </c>
      <c r="J169" s="713">
        <v>44985</v>
      </c>
      <c r="K169" s="747">
        <v>0.375</v>
      </c>
      <c r="L169" s="713">
        <v>44985</v>
      </c>
      <c r="M169" s="740">
        <v>0.625</v>
      </c>
      <c r="N169" s="373">
        <v>6</v>
      </c>
      <c r="O169" s="184" t="s">
        <v>17</v>
      </c>
      <c r="P169" s="402" t="s">
        <v>462</v>
      </c>
      <c r="Q169" s="748" t="s">
        <v>208</v>
      </c>
      <c r="R169" s="202" t="s">
        <v>40</v>
      </c>
      <c r="S169" s="31" t="s">
        <v>273</v>
      </c>
      <c r="T169" s="31" t="s">
        <v>273</v>
      </c>
      <c r="U169" s="31">
        <f>IFERROR(VLOOKUP(CONCATENATE(Tabla1[[#This Row],[Severidad]]," ",Tabla1[[#This Row],[Complejidad]]),Catalogos!E$120:G$128,3,FALSE),"")</f>
        <v>64</v>
      </c>
      <c r="V169" s="31" t="str">
        <f>IF(Tabla1[[#This Row],[Tiempo solución max (hrs)]]&lt;&gt;"",IF(Tabla1[[#This Row],[Tiempo solución max (hrs)]]&gt;=Tabla1[[#This Row],[Tiempo
(Hrs 00/100)]],"cumple","no cumple"),"")</f>
        <v>cumple</v>
      </c>
      <c r="W169" s="376" t="s">
        <v>495</v>
      </c>
      <c r="X169" s="377" t="str">
        <f t="shared" si="40"/>
        <v>DS</v>
      </c>
      <c r="Y169" t="str">
        <f>SUBSTITUTE(Tabla1[[#This Row],[Descripción]],CHAR(10),"    I    ")</f>
        <v>Servicios Back Gestión Interna</v>
      </c>
      <c r="Z169" s="378">
        <f>VLOOKUP(Tabla1[[#This Row],[Perfil]],Catalogos!$B$75:$D$100,3,FALSE)*Tabla1[[#This Row],[Tiempo
(Hrs 00/100)]]*1.16</f>
        <v>4872</v>
      </c>
      <c r="AA169"/>
    </row>
    <row r="170" spans="1:27" ht="42.75" customHeight="1" x14ac:dyDescent="0.3">
      <c r="A170" s="373" t="s">
        <v>22</v>
      </c>
      <c r="B170" s="184" t="s">
        <v>305</v>
      </c>
      <c r="C170" s="183" t="s">
        <v>16</v>
      </c>
      <c r="D170" s="179"/>
      <c r="E170" s="386" t="s">
        <v>503</v>
      </c>
      <c r="F170" s="373" t="s">
        <v>75</v>
      </c>
      <c r="G170" s="370" t="s">
        <v>435</v>
      </c>
      <c r="H170" s="387" t="s">
        <v>436</v>
      </c>
      <c r="I170" s="393" t="s">
        <v>504</v>
      </c>
      <c r="J170" s="712">
        <v>44958</v>
      </c>
      <c r="K170" s="709">
        <v>0.375</v>
      </c>
      <c r="L170" s="712">
        <v>44958</v>
      </c>
      <c r="M170" s="753">
        <v>0.79166666666666663</v>
      </c>
      <c r="N170" s="179">
        <v>8.5</v>
      </c>
      <c r="O170" s="184" t="s">
        <v>17</v>
      </c>
      <c r="P170" s="397" t="s">
        <v>505</v>
      </c>
      <c r="Q170" s="746" t="s">
        <v>258</v>
      </c>
      <c r="R170" s="171" t="s">
        <v>81</v>
      </c>
      <c r="S170" s="31" t="s">
        <v>273</v>
      </c>
      <c r="T170" s="31" t="s">
        <v>273</v>
      </c>
      <c r="U170" s="31">
        <f>IFERROR(VLOOKUP(CONCATENATE(Tabla1[[#This Row],[Severidad]]," ",Tabla1[[#This Row],[Complejidad]]),Catalogos!E$120:G$128,3,FALSE),"")</f>
        <v>64</v>
      </c>
      <c r="V170" s="31" t="str">
        <f>IF(Tabla1[[#This Row],[Tiempo solución max (hrs)]]&lt;&gt;"",IF(Tabla1[[#This Row],[Tiempo solución max (hrs)]]&gt;=Tabla1[[#This Row],[Tiempo
(Hrs 00/100)]],"cumple","no cumple"),"")</f>
        <v>cumple</v>
      </c>
      <c r="W170" s="376" t="s">
        <v>495</v>
      </c>
      <c r="X170" s="377" t="str">
        <f t="shared" si="33"/>
        <v>SAW</v>
      </c>
      <c r="Y170" t="str">
        <f>SUBSTITUTE(Tabla1[[#This Row],[Descripción]],CHAR(10),"    I    ")</f>
        <v xml:space="preserve">Actualizacion CEVINAI </v>
      </c>
      <c r="Z170" s="378">
        <f>VLOOKUP(Tabla1[[#This Row],[Perfil]],Catalogos!$B$75:$D$100,3,FALSE)*Tabla1[[#This Row],[Tiempo
(Hrs 00/100)]]*1.16</f>
        <v>4930</v>
      </c>
    </row>
    <row r="171" spans="1:27" ht="42.75" customHeight="1" x14ac:dyDescent="0.3">
      <c r="A171" s="373" t="s">
        <v>22</v>
      </c>
      <c r="B171" s="184" t="s">
        <v>305</v>
      </c>
      <c r="C171" s="183" t="s">
        <v>16</v>
      </c>
      <c r="D171" s="179"/>
      <c r="E171" s="386" t="s">
        <v>503</v>
      </c>
      <c r="F171" s="373" t="s">
        <v>75</v>
      </c>
      <c r="G171" s="370" t="s">
        <v>435</v>
      </c>
      <c r="H171" s="387" t="s">
        <v>436</v>
      </c>
      <c r="I171" s="400" t="s">
        <v>506</v>
      </c>
      <c r="J171" s="712">
        <v>44959</v>
      </c>
      <c r="K171" s="709">
        <v>0.375</v>
      </c>
      <c r="L171" s="712">
        <v>44959</v>
      </c>
      <c r="M171" s="753">
        <v>0.79166666666666663</v>
      </c>
      <c r="N171" s="179">
        <v>8.5</v>
      </c>
      <c r="O171" s="184" t="s">
        <v>17</v>
      </c>
      <c r="P171" s="185" t="s">
        <v>507</v>
      </c>
      <c r="Q171" s="746" t="s">
        <v>258</v>
      </c>
      <c r="R171" s="171" t="s">
        <v>81</v>
      </c>
      <c r="S171" s="31" t="s">
        <v>273</v>
      </c>
      <c r="T171" s="31" t="s">
        <v>273</v>
      </c>
      <c r="U171" s="31">
        <f>IFERROR(VLOOKUP(CONCATENATE(Tabla1[[#This Row],[Severidad]]," ",Tabla1[[#This Row],[Complejidad]]),Catalogos!E$120:G$128,3,FALSE),"")</f>
        <v>64</v>
      </c>
      <c r="V171" s="31" t="str">
        <f>IF(Tabla1[[#This Row],[Tiempo solución max (hrs)]]&lt;&gt;"",IF(Tabla1[[#This Row],[Tiempo solución max (hrs)]]&gt;=Tabla1[[#This Row],[Tiempo
(Hrs 00/100)]],"cumple","no cumple"),"")</f>
        <v>cumple</v>
      </c>
      <c r="W171" s="376" t="s">
        <v>495</v>
      </c>
      <c r="X171" s="377" t="str">
        <f t="shared" si="33"/>
        <v>SAW</v>
      </c>
      <c r="Y171" t="str">
        <f>SUBSTITUTE(Tabla1[[#This Row],[Descripción]],CHAR(10),"    I    ")</f>
        <v xml:space="preserve">Micrositio Certamen </v>
      </c>
      <c r="Z171" s="378">
        <f>VLOOKUP(Tabla1[[#This Row],[Perfil]],Catalogos!$B$75:$D$100,3,FALSE)*Tabla1[[#This Row],[Tiempo
(Hrs 00/100)]]*1.16</f>
        <v>4930</v>
      </c>
    </row>
    <row r="172" spans="1:27" ht="42.75" customHeight="1" x14ac:dyDescent="0.3">
      <c r="A172" s="373" t="s">
        <v>22</v>
      </c>
      <c r="B172" s="184" t="s">
        <v>305</v>
      </c>
      <c r="C172" s="183" t="s">
        <v>16</v>
      </c>
      <c r="D172" s="179"/>
      <c r="E172" s="386" t="s">
        <v>503</v>
      </c>
      <c r="F172" s="373" t="s">
        <v>75</v>
      </c>
      <c r="G172" s="370" t="s">
        <v>435</v>
      </c>
      <c r="H172" s="387" t="s">
        <v>436</v>
      </c>
      <c r="I172" s="393" t="s">
        <v>508</v>
      </c>
      <c r="J172" s="712">
        <v>44960</v>
      </c>
      <c r="K172" s="739">
        <v>0.375</v>
      </c>
      <c r="L172" s="712">
        <v>44960</v>
      </c>
      <c r="M172" s="753">
        <v>0.79166666666666663</v>
      </c>
      <c r="N172" s="179">
        <v>8.5</v>
      </c>
      <c r="O172" s="184" t="s">
        <v>17</v>
      </c>
      <c r="P172" s="185" t="s">
        <v>509</v>
      </c>
      <c r="Q172" s="746" t="s">
        <v>258</v>
      </c>
      <c r="R172" s="171" t="s">
        <v>81</v>
      </c>
      <c r="S172" s="31" t="s">
        <v>273</v>
      </c>
      <c r="T172" s="31" t="s">
        <v>273</v>
      </c>
      <c r="U172" s="31">
        <f>IFERROR(VLOOKUP(CONCATENATE(Tabla1[[#This Row],[Severidad]]," ",Tabla1[[#This Row],[Complejidad]]),Catalogos!E$120:G$128,3,FALSE),"")</f>
        <v>64</v>
      </c>
      <c r="V172" s="31" t="str">
        <f>IF(Tabla1[[#This Row],[Tiempo solución max (hrs)]]&lt;&gt;"",IF(Tabla1[[#This Row],[Tiempo solución max (hrs)]]&gt;=Tabla1[[#This Row],[Tiempo
(Hrs 00/100)]],"cumple","no cumple"),"")</f>
        <v>cumple</v>
      </c>
      <c r="W172" s="376" t="s">
        <v>495</v>
      </c>
      <c r="X172" s="377" t="str">
        <f t="shared" si="33"/>
        <v>SAW</v>
      </c>
      <c r="Y172" t="str">
        <f>SUBSTITUTE(Tabla1[[#This Row],[Descripción]],CHAR(10),"    I    ")</f>
        <v xml:space="preserve">PROSEDE </v>
      </c>
      <c r="Z172" s="378">
        <f>VLOOKUP(Tabla1[[#This Row],[Perfil]],Catalogos!$B$75:$D$100,3,FALSE)*Tabla1[[#This Row],[Tiempo
(Hrs 00/100)]]*1.16</f>
        <v>4930</v>
      </c>
    </row>
    <row r="173" spans="1:27" ht="42.75" customHeight="1" x14ac:dyDescent="0.3">
      <c r="A173" s="373" t="s">
        <v>22</v>
      </c>
      <c r="B173" s="184" t="s">
        <v>305</v>
      </c>
      <c r="C173" s="183" t="s">
        <v>16</v>
      </c>
      <c r="D173" s="179"/>
      <c r="E173" s="386" t="s">
        <v>503</v>
      </c>
      <c r="F173" s="373" t="s">
        <v>75</v>
      </c>
      <c r="G173" s="370" t="s">
        <v>435</v>
      </c>
      <c r="H173" s="387" t="s">
        <v>436</v>
      </c>
      <c r="I173" s="393" t="s">
        <v>510</v>
      </c>
      <c r="J173" s="712">
        <v>44964</v>
      </c>
      <c r="K173" s="747">
        <v>0.375</v>
      </c>
      <c r="L173" s="712">
        <v>44964</v>
      </c>
      <c r="M173" s="753">
        <v>0.79166666666666663</v>
      </c>
      <c r="N173" s="179">
        <v>8.5</v>
      </c>
      <c r="O173" s="184" t="s">
        <v>17</v>
      </c>
      <c r="P173" s="389" t="s">
        <v>511</v>
      </c>
      <c r="Q173" s="746" t="s">
        <v>258</v>
      </c>
      <c r="R173" s="171" t="s">
        <v>81</v>
      </c>
      <c r="S173" s="31" t="s">
        <v>273</v>
      </c>
      <c r="T173" s="31" t="s">
        <v>273</v>
      </c>
      <c r="U173" s="31">
        <f>IFERROR(VLOOKUP(CONCATENATE(Tabla1[[#This Row],[Severidad]]," ",Tabla1[[#This Row],[Complejidad]]),Catalogos!E$120:G$128,3,FALSE),"")</f>
        <v>64</v>
      </c>
      <c r="V173" s="31" t="str">
        <f>IF(Tabla1[[#This Row],[Tiempo solución max (hrs)]]&lt;&gt;"",IF(Tabla1[[#This Row],[Tiempo solución max (hrs)]]&gt;=Tabla1[[#This Row],[Tiempo
(Hrs 00/100)]],"cumple","no cumple"),"")</f>
        <v>cumple</v>
      </c>
      <c r="W173" s="376" t="s">
        <v>495</v>
      </c>
      <c r="X173" s="377" t="str">
        <f t="shared" si="33"/>
        <v>SAW</v>
      </c>
      <c r="Y173" t="str">
        <f>SUBSTITUTE(Tabla1[[#This Row],[Descripción]],CHAR(10),"    I    ")</f>
        <v xml:space="preserve">Migracion de Informacion Resoluciones </v>
      </c>
      <c r="Z173" s="378">
        <f>VLOOKUP(Tabla1[[#This Row],[Perfil]],Catalogos!$B$75:$D$100,3,FALSE)*Tabla1[[#This Row],[Tiempo
(Hrs 00/100)]]*1.16</f>
        <v>4930</v>
      </c>
    </row>
    <row r="174" spans="1:27" ht="42.75" customHeight="1" x14ac:dyDescent="0.3">
      <c r="A174" s="373" t="s">
        <v>22</v>
      </c>
      <c r="B174" s="184" t="s">
        <v>305</v>
      </c>
      <c r="C174" s="183" t="s">
        <v>16</v>
      </c>
      <c r="D174" s="179"/>
      <c r="E174" s="386" t="s">
        <v>503</v>
      </c>
      <c r="F174" s="373" t="s">
        <v>75</v>
      </c>
      <c r="G174" s="370" t="s">
        <v>435</v>
      </c>
      <c r="H174" s="387" t="s">
        <v>436</v>
      </c>
      <c r="I174" s="400" t="s">
        <v>512</v>
      </c>
      <c r="J174" s="712">
        <v>44965</v>
      </c>
      <c r="K174" s="747">
        <v>0.375</v>
      </c>
      <c r="L174" s="712">
        <v>44965</v>
      </c>
      <c r="M174" s="753">
        <v>0.79166666666666663</v>
      </c>
      <c r="N174" s="179">
        <v>8.5</v>
      </c>
      <c r="O174" s="184" t="s">
        <v>17</v>
      </c>
      <c r="P174" s="185" t="s">
        <v>513</v>
      </c>
      <c r="Q174" s="746" t="s">
        <v>258</v>
      </c>
      <c r="R174" s="171" t="s">
        <v>81</v>
      </c>
      <c r="S174" s="31" t="s">
        <v>273</v>
      </c>
      <c r="T174" s="31" t="s">
        <v>273</v>
      </c>
      <c r="U174" s="31">
        <f>IFERROR(VLOOKUP(CONCATENATE(Tabla1[[#This Row],[Severidad]]," ",Tabla1[[#This Row],[Complejidad]]),Catalogos!E$120:G$128,3,FALSE),"")</f>
        <v>64</v>
      </c>
      <c r="V174" s="31" t="str">
        <f>IF(Tabla1[[#This Row],[Tiempo solución max (hrs)]]&lt;&gt;"",IF(Tabla1[[#This Row],[Tiempo solución max (hrs)]]&gt;=Tabla1[[#This Row],[Tiempo
(Hrs 00/100)]],"cumple","no cumple"),"")</f>
        <v>cumple</v>
      </c>
      <c r="W174" s="376" t="s">
        <v>495</v>
      </c>
      <c r="X174" s="377" t="str">
        <f t="shared" si="33"/>
        <v>SAW</v>
      </c>
      <c r="Y174" t="str">
        <f>SUBSTITUTE(Tabla1[[#This Row],[Descripción]],CHAR(10),"    I    ")</f>
        <v xml:space="preserve">Carga a micrositio Premio Innovacion </v>
      </c>
      <c r="Z174" s="378">
        <f>VLOOKUP(Tabla1[[#This Row],[Perfil]],Catalogos!$B$75:$D$100,3,FALSE)*Tabla1[[#This Row],[Tiempo
(Hrs 00/100)]]*1.16</f>
        <v>4930</v>
      </c>
    </row>
    <row r="175" spans="1:27" ht="42.75" customHeight="1" x14ac:dyDescent="0.3">
      <c r="A175" s="373" t="s">
        <v>22</v>
      </c>
      <c r="B175" s="184" t="s">
        <v>305</v>
      </c>
      <c r="C175" s="183" t="s">
        <v>16</v>
      </c>
      <c r="D175" s="179"/>
      <c r="E175" s="386" t="s">
        <v>503</v>
      </c>
      <c r="F175" s="373" t="s">
        <v>75</v>
      </c>
      <c r="G175" s="370" t="s">
        <v>435</v>
      </c>
      <c r="H175" s="387" t="s">
        <v>436</v>
      </c>
      <c r="I175" s="388" t="s">
        <v>514</v>
      </c>
      <c r="J175" s="712">
        <v>44966</v>
      </c>
      <c r="K175" s="747">
        <v>0.375</v>
      </c>
      <c r="L175" s="712">
        <v>44966</v>
      </c>
      <c r="M175" s="753">
        <v>0.79166666666666663</v>
      </c>
      <c r="N175" s="179">
        <v>8.5</v>
      </c>
      <c r="O175" s="184" t="s">
        <v>17</v>
      </c>
      <c r="P175" s="389" t="s">
        <v>515</v>
      </c>
      <c r="Q175" s="746" t="s">
        <v>258</v>
      </c>
      <c r="R175" s="171" t="s">
        <v>81</v>
      </c>
      <c r="S175" s="31" t="s">
        <v>273</v>
      </c>
      <c r="T175" s="31" t="s">
        <v>273</v>
      </c>
      <c r="U175" s="31">
        <f>IFERROR(VLOOKUP(CONCATENATE(Tabla1[[#This Row],[Severidad]]," ",Tabla1[[#This Row],[Complejidad]]),Catalogos!E$120:G$128,3,FALSE),"")</f>
        <v>64</v>
      </c>
      <c r="V175" s="31" t="str">
        <f>IF(Tabla1[[#This Row],[Tiempo solución max (hrs)]]&lt;&gt;"",IF(Tabla1[[#This Row],[Tiempo solución max (hrs)]]&gt;=Tabla1[[#This Row],[Tiempo
(Hrs 00/100)]],"cumple","no cumple"),"")</f>
        <v>cumple</v>
      </c>
      <c r="W175" s="376" t="s">
        <v>495</v>
      </c>
      <c r="X175" s="377" t="str">
        <f t="shared" si="33"/>
        <v>SAW</v>
      </c>
      <c r="Y175" t="str">
        <f>SUBSTITUTE(Tabla1[[#This Row],[Descripción]],CHAR(10),"    I    ")</f>
        <v xml:space="preserve">Project Micrositios </v>
      </c>
      <c r="Z175" s="378">
        <f>VLOOKUP(Tabla1[[#This Row],[Perfil]],Catalogos!$B$75:$D$100,3,FALSE)*Tabla1[[#This Row],[Tiempo
(Hrs 00/100)]]*1.16</f>
        <v>4930</v>
      </c>
    </row>
    <row r="176" spans="1:27" ht="42.75" customHeight="1" x14ac:dyDescent="0.3">
      <c r="A176" s="373" t="s">
        <v>22</v>
      </c>
      <c r="B176" s="184" t="s">
        <v>68</v>
      </c>
      <c r="C176" s="183" t="s">
        <v>16</v>
      </c>
      <c r="D176" s="370"/>
      <c r="E176" s="386" t="s">
        <v>503</v>
      </c>
      <c r="F176" s="373" t="s">
        <v>75</v>
      </c>
      <c r="G176" s="370" t="s">
        <v>435</v>
      </c>
      <c r="H176" s="387" t="s">
        <v>436</v>
      </c>
      <c r="I176" s="388" t="s">
        <v>516</v>
      </c>
      <c r="J176" s="712">
        <v>44967</v>
      </c>
      <c r="K176" s="739">
        <v>0.375</v>
      </c>
      <c r="L176" s="712">
        <v>44967</v>
      </c>
      <c r="M176" s="739">
        <v>0.625</v>
      </c>
      <c r="N176" s="179">
        <v>6</v>
      </c>
      <c r="O176" s="184" t="s">
        <v>17</v>
      </c>
      <c r="P176" s="185" t="s">
        <v>450</v>
      </c>
      <c r="Q176" s="746" t="s">
        <v>258</v>
      </c>
      <c r="R176" s="171" t="s">
        <v>81</v>
      </c>
      <c r="S176" s="31" t="s">
        <v>273</v>
      </c>
      <c r="T176" s="31" t="s">
        <v>273</v>
      </c>
      <c r="U176" s="31">
        <f>IFERROR(VLOOKUP(CONCATENATE(Tabla1[[#This Row],[Severidad]]," ",Tabla1[[#This Row],[Complejidad]]),Catalogos!E$120:G$128,3,FALSE),"")</f>
        <v>64</v>
      </c>
      <c r="V176" s="31" t="str">
        <f>IF(Tabla1[[#This Row],[Tiempo solución max (hrs)]]&lt;&gt;"",IF(Tabla1[[#This Row],[Tiempo solución max (hrs)]]&gt;=Tabla1[[#This Row],[Tiempo
(Hrs 00/100)]],"cumple","no cumple"),"")</f>
        <v>cumple</v>
      </c>
      <c r="W176" s="376" t="s">
        <v>495</v>
      </c>
      <c r="X176" s="377" t="str">
        <f t="shared" si="33"/>
        <v>SAW</v>
      </c>
      <c r="Y176" t="str">
        <f>SUBSTITUTE(Tabla1[[#This Row],[Descripción]],CHAR(10),"    I    ")</f>
        <v xml:space="preserve">Revision de micrositios </v>
      </c>
      <c r="Z176" s="378">
        <f>VLOOKUP(Tabla1[[#This Row],[Perfil]],Catalogos!$B$75:$D$100,3,FALSE)*Tabla1[[#This Row],[Tiempo
(Hrs 00/100)]]*1.16</f>
        <v>3479.9999999999995</v>
      </c>
    </row>
    <row r="177" spans="1:26" ht="42.75" customHeight="1" x14ac:dyDescent="0.3">
      <c r="A177" s="373" t="s">
        <v>22</v>
      </c>
      <c r="B177" s="184" t="s">
        <v>68</v>
      </c>
      <c r="C177" s="183" t="s">
        <v>16</v>
      </c>
      <c r="D177" s="370"/>
      <c r="E177" s="386" t="s">
        <v>503</v>
      </c>
      <c r="F177" s="373" t="s">
        <v>75</v>
      </c>
      <c r="G177" s="370" t="s">
        <v>435</v>
      </c>
      <c r="H177" s="387" t="s">
        <v>436</v>
      </c>
      <c r="I177" s="393" t="s">
        <v>517</v>
      </c>
      <c r="J177" s="712">
        <v>44970</v>
      </c>
      <c r="K177" s="747">
        <v>0.375</v>
      </c>
      <c r="L177" s="712">
        <v>44970</v>
      </c>
      <c r="M177" s="753">
        <v>0.79166666666666663</v>
      </c>
      <c r="N177" s="179">
        <v>8.5</v>
      </c>
      <c r="O177" s="184" t="s">
        <v>17</v>
      </c>
      <c r="P177" s="185" t="s">
        <v>518</v>
      </c>
      <c r="Q177" s="746" t="s">
        <v>258</v>
      </c>
      <c r="R177" s="171" t="s">
        <v>81</v>
      </c>
      <c r="S177" s="31" t="s">
        <v>273</v>
      </c>
      <c r="T177" s="31" t="s">
        <v>273</v>
      </c>
      <c r="U177" s="31">
        <f>IFERROR(VLOOKUP(CONCATENATE(Tabla1[[#This Row],[Severidad]]," ",Tabla1[[#This Row],[Complejidad]]),Catalogos!E$120:G$128,3,FALSE),"")</f>
        <v>64</v>
      </c>
      <c r="V177" s="31" t="str">
        <f>IF(Tabla1[[#This Row],[Tiempo solución max (hrs)]]&lt;&gt;"",IF(Tabla1[[#This Row],[Tiempo solución max (hrs)]]&gt;=Tabla1[[#This Row],[Tiempo
(Hrs 00/100)]],"cumple","no cumple"),"")</f>
        <v>cumple</v>
      </c>
      <c r="W177" s="376" t="s">
        <v>495</v>
      </c>
      <c r="X177" s="377" t="str">
        <f t="shared" si="33"/>
        <v>SAW</v>
      </c>
      <c r="Y177" t="str">
        <f>SUBSTITUTE(Tabla1[[#This Row],[Descripción]],CHAR(10),"    I    ")</f>
        <v xml:space="preserve">Contenido Certamen </v>
      </c>
      <c r="Z177" s="378">
        <f>VLOOKUP(Tabla1[[#This Row],[Perfil]],Catalogos!$B$75:$D$100,3,FALSE)*Tabla1[[#This Row],[Tiempo
(Hrs 00/100)]]*1.16</f>
        <v>4930</v>
      </c>
    </row>
    <row r="178" spans="1:26" ht="42.75" customHeight="1" x14ac:dyDescent="0.3">
      <c r="A178" s="373" t="s">
        <v>22</v>
      </c>
      <c r="B178" s="184" t="s">
        <v>68</v>
      </c>
      <c r="C178" s="183" t="s">
        <v>16</v>
      </c>
      <c r="D178" s="179"/>
      <c r="E178" s="386" t="s">
        <v>503</v>
      </c>
      <c r="F178" s="373" t="s">
        <v>75</v>
      </c>
      <c r="G178" s="370" t="s">
        <v>435</v>
      </c>
      <c r="H178" s="387" t="s">
        <v>436</v>
      </c>
      <c r="I178" s="393" t="s">
        <v>519</v>
      </c>
      <c r="J178" s="712">
        <v>44971</v>
      </c>
      <c r="K178" s="747">
        <v>0.375</v>
      </c>
      <c r="L178" s="712">
        <v>44971</v>
      </c>
      <c r="M178" s="753">
        <v>0.79166666666666663</v>
      </c>
      <c r="N178" s="179">
        <v>8.5</v>
      </c>
      <c r="O178" s="184" t="s">
        <v>17</v>
      </c>
      <c r="P178" s="185" t="s">
        <v>520</v>
      </c>
      <c r="Q178" s="746" t="s">
        <v>258</v>
      </c>
      <c r="R178" s="171" t="s">
        <v>81</v>
      </c>
      <c r="S178" s="31" t="s">
        <v>273</v>
      </c>
      <c r="T178" s="31" t="s">
        <v>273</v>
      </c>
      <c r="U178" s="31">
        <f>IFERROR(VLOOKUP(CONCATENATE(Tabla1[[#This Row],[Severidad]]," ",Tabla1[[#This Row],[Complejidad]]),Catalogos!E$120:G$128,3,FALSE),"")</f>
        <v>64</v>
      </c>
      <c r="V178" s="31" t="str">
        <f>IF(Tabla1[[#This Row],[Tiempo solución max (hrs)]]&lt;&gt;"",IF(Tabla1[[#This Row],[Tiempo solución max (hrs)]]&gt;=Tabla1[[#This Row],[Tiempo
(Hrs 00/100)]],"cumple","no cumple"),"")</f>
        <v>cumple</v>
      </c>
      <c r="W178" s="376" t="s">
        <v>495</v>
      </c>
      <c r="X178" s="377" t="str">
        <f t="shared" si="33"/>
        <v>SAW</v>
      </c>
      <c r="Y178" t="str">
        <f>SUBSTITUTE(Tabla1[[#This Row],[Descripción]],CHAR(10),"    I    ")</f>
        <v xml:space="preserve">Actualizacion Unidad de Transparencia </v>
      </c>
      <c r="Z178" s="378">
        <f>VLOOKUP(Tabla1[[#This Row],[Perfil]],Catalogos!$B$75:$D$100,3,FALSE)*Tabla1[[#This Row],[Tiempo
(Hrs 00/100)]]*1.16</f>
        <v>4930</v>
      </c>
    </row>
    <row r="179" spans="1:26" ht="42.75" customHeight="1" x14ac:dyDescent="0.3">
      <c r="A179" s="373" t="s">
        <v>22</v>
      </c>
      <c r="B179" s="184" t="s">
        <v>68</v>
      </c>
      <c r="C179" s="183" t="s">
        <v>16</v>
      </c>
      <c r="D179" s="179"/>
      <c r="E179" s="386" t="s">
        <v>503</v>
      </c>
      <c r="F179" s="373" t="s">
        <v>75</v>
      </c>
      <c r="G179" s="370" t="s">
        <v>435</v>
      </c>
      <c r="H179" s="387" t="s">
        <v>436</v>
      </c>
      <c r="I179" s="394" t="s">
        <v>521</v>
      </c>
      <c r="J179" s="712">
        <v>44972</v>
      </c>
      <c r="K179" s="747">
        <v>0.375</v>
      </c>
      <c r="L179" s="712">
        <v>44972</v>
      </c>
      <c r="M179" s="753">
        <v>0.79166666666666663</v>
      </c>
      <c r="N179" s="179">
        <v>8.5</v>
      </c>
      <c r="O179" s="184" t="s">
        <v>17</v>
      </c>
      <c r="P179" s="185" t="s">
        <v>522</v>
      </c>
      <c r="Q179" s="746" t="s">
        <v>258</v>
      </c>
      <c r="R179" s="171" t="s">
        <v>81</v>
      </c>
      <c r="S179" s="31" t="s">
        <v>273</v>
      </c>
      <c r="T179" s="31" t="s">
        <v>273</v>
      </c>
      <c r="U179" s="31">
        <f>IFERROR(VLOOKUP(CONCATENATE(Tabla1[[#This Row],[Severidad]]," ",Tabla1[[#This Row],[Complejidad]]),Catalogos!E$120:G$128,3,FALSE),"")</f>
        <v>64</v>
      </c>
      <c r="V179" s="31" t="str">
        <f>IF(Tabla1[[#This Row],[Tiempo solución max (hrs)]]&lt;&gt;"",IF(Tabla1[[#This Row],[Tiempo solución max (hrs)]]&gt;=Tabla1[[#This Row],[Tiempo
(Hrs 00/100)]],"cumple","no cumple"),"")</f>
        <v>cumple</v>
      </c>
      <c r="W179" s="376" t="s">
        <v>495</v>
      </c>
      <c r="X179" s="377" t="str">
        <f t="shared" si="33"/>
        <v>SAW</v>
      </c>
      <c r="Y179" t="str">
        <f>SUBSTITUTE(Tabla1[[#This Row],[Descripción]],CHAR(10),"    I    ")</f>
        <v xml:space="preserve">Actualizacion Comité de Transparencia </v>
      </c>
      <c r="Z179" s="378">
        <f>VLOOKUP(Tabla1[[#This Row],[Perfil]],Catalogos!$B$75:$D$100,3,FALSE)*Tabla1[[#This Row],[Tiempo
(Hrs 00/100)]]*1.16</f>
        <v>4930</v>
      </c>
    </row>
    <row r="180" spans="1:26" ht="42.75" customHeight="1" x14ac:dyDescent="0.3">
      <c r="A180" s="373" t="s">
        <v>22</v>
      </c>
      <c r="B180" s="184" t="s">
        <v>68</v>
      </c>
      <c r="C180" s="183" t="s">
        <v>16</v>
      </c>
      <c r="D180" s="179"/>
      <c r="E180" s="386" t="s">
        <v>503</v>
      </c>
      <c r="F180" s="373" t="s">
        <v>75</v>
      </c>
      <c r="G180" s="370" t="s">
        <v>435</v>
      </c>
      <c r="H180" s="387" t="s">
        <v>436</v>
      </c>
      <c r="I180" s="388" t="s">
        <v>514</v>
      </c>
      <c r="J180" s="712">
        <v>44973</v>
      </c>
      <c r="K180" s="747">
        <v>0.375</v>
      </c>
      <c r="L180" s="712">
        <v>44973</v>
      </c>
      <c r="M180" s="753">
        <v>0.79166666666666663</v>
      </c>
      <c r="N180" s="179">
        <v>8.5</v>
      </c>
      <c r="O180" s="184" t="s">
        <v>17</v>
      </c>
      <c r="P180" s="185" t="s">
        <v>523</v>
      </c>
      <c r="Q180" s="746" t="s">
        <v>258</v>
      </c>
      <c r="R180" s="171" t="s">
        <v>81</v>
      </c>
      <c r="S180" s="31" t="s">
        <v>273</v>
      </c>
      <c r="T180" s="31" t="s">
        <v>273</v>
      </c>
      <c r="U180" s="31">
        <f>IFERROR(VLOOKUP(CONCATENATE(Tabla1[[#This Row],[Severidad]]," ",Tabla1[[#This Row],[Complejidad]]),Catalogos!E$120:G$128,3,FALSE),"")</f>
        <v>64</v>
      </c>
      <c r="V180" s="31" t="str">
        <f>IF(Tabla1[[#This Row],[Tiempo solución max (hrs)]]&lt;&gt;"",IF(Tabla1[[#This Row],[Tiempo solución max (hrs)]]&gt;=Tabla1[[#This Row],[Tiempo
(Hrs 00/100)]],"cumple","no cumple"),"")</f>
        <v>cumple</v>
      </c>
      <c r="W180" s="376" t="s">
        <v>495</v>
      </c>
      <c r="X180" s="377" t="str">
        <f t="shared" si="33"/>
        <v>SAW</v>
      </c>
      <c r="Y180" t="str">
        <f>SUBSTITUTE(Tabla1[[#This Row],[Descripción]],CHAR(10),"    I    ")</f>
        <v xml:space="preserve">Project Micrositios </v>
      </c>
      <c r="Z180" s="378">
        <f>VLOOKUP(Tabla1[[#This Row],[Perfil]],Catalogos!$B$75:$D$100,3,FALSE)*Tabla1[[#This Row],[Tiempo
(Hrs 00/100)]]*1.16</f>
        <v>4930</v>
      </c>
    </row>
    <row r="181" spans="1:26" ht="42.75" customHeight="1" x14ac:dyDescent="0.3">
      <c r="A181" s="373" t="s">
        <v>22</v>
      </c>
      <c r="B181" s="184" t="s">
        <v>68</v>
      </c>
      <c r="C181" s="183" t="s">
        <v>16</v>
      </c>
      <c r="D181" s="179"/>
      <c r="E181" s="386" t="s">
        <v>503</v>
      </c>
      <c r="F181" s="373" t="s">
        <v>75</v>
      </c>
      <c r="G181" s="370" t="s">
        <v>435</v>
      </c>
      <c r="H181" s="387" t="s">
        <v>436</v>
      </c>
      <c r="I181" s="395" t="s">
        <v>524</v>
      </c>
      <c r="J181" s="712">
        <v>44974</v>
      </c>
      <c r="K181" s="739">
        <v>0.375</v>
      </c>
      <c r="L181" s="712">
        <v>44974</v>
      </c>
      <c r="M181" s="739">
        <v>0.64583333333333337</v>
      </c>
      <c r="N181" s="179">
        <v>6.5</v>
      </c>
      <c r="O181" s="184" t="s">
        <v>17</v>
      </c>
      <c r="P181" s="185" t="s">
        <v>525</v>
      </c>
      <c r="Q181" s="746" t="s">
        <v>258</v>
      </c>
      <c r="R181" s="171" t="s">
        <v>81</v>
      </c>
      <c r="S181" s="31" t="s">
        <v>273</v>
      </c>
      <c r="T181" s="31" t="s">
        <v>273</v>
      </c>
      <c r="U181" s="31">
        <f>IFERROR(VLOOKUP(CONCATENATE(Tabla1[[#This Row],[Severidad]]," ",Tabla1[[#This Row],[Complejidad]]),Catalogos!E$120:G$128,3,FALSE),"")</f>
        <v>64</v>
      </c>
      <c r="V181" s="31" t="str">
        <f>IF(Tabla1[[#This Row],[Tiempo solución max (hrs)]]&lt;&gt;"",IF(Tabla1[[#This Row],[Tiempo solución max (hrs)]]&gt;=Tabla1[[#This Row],[Tiempo
(Hrs 00/100)]],"cumple","no cumple"),"")</f>
        <v>cumple</v>
      </c>
      <c r="W181" s="376" t="s">
        <v>495</v>
      </c>
      <c r="X181" s="377" t="str">
        <f t="shared" si="33"/>
        <v>SAW</v>
      </c>
      <c r="Y181" t="str">
        <f>SUBSTITUTE(Tabla1[[#This Row],[Descripción]],CHAR(10),"    I    ")</f>
        <v xml:space="preserve">Credenciales Prosede </v>
      </c>
      <c r="Z181" s="378">
        <f>VLOOKUP(Tabla1[[#This Row],[Perfil]],Catalogos!$B$75:$D$100,3,FALSE)*Tabla1[[#This Row],[Tiempo
(Hrs 00/100)]]*1.16</f>
        <v>3769.9999999999995</v>
      </c>
    </row>
    <row r="182" spans="1:26" ht="42.75" customHeight="1" x14ac:dyDescent="0.3">
      <c r="A182" s="373" t="s">
        <v>22</v>
      </c>
      <c r="B182" s="184" t="s">
        <v>68</v>
      </c>
      <c r="C182" s="183" t="s">
        <v>16</v>
      </c>
      <c r="D182" s="179"/>
      <c r="E182" s="386" t="s">
        <v>503</v>
      </c>
      <c r="F182" s="373" t="s">
        <v>75</v>
      </c>
      <c r="G182" s="370" t="s">
        <v>435</v>
      </c>
      <c r="H182" s="387" t="s">
        <v>436</v>
      </c>
      <c r="I182" s="395" t="s">
        <v>526</v>
      </c>
      <c r="J182" s="712">
        <v>44977</v>
      </c>
      <c r="K182" s="747">
        <v>0.375</v>
      </c>
      <c r="L182" s="712">
        <v>44977</v>
      </c>
      <c r="M182" s="753">
        <v>0.79166666666666663</v>
      </c>
      <c r="N182" s="179">
        <v>8.5</v>
      </c>
      <c r="O182" s="184" t="s">
        <v>17</v>
      </c>
      <c r="P182" s="389" t="s">
        <v>527</v>
      </c>
      <c r="Q182" s="746" t="s">
        <v>258</v>
      </c>
      <c r="R182" s="171" t="s">
        <v>81</v>
      </c>
      <c r="S182" s="31" t="s">
        <v>273</v>
      </c>
      <c r="T182" s="31" t="s">
        <v>273</v>
      </c>
      <c r="U182" s="31">
        <f>IFERROR(VLOOKUP(CONCATENATE(Tabla1[[#This Row],[Severidad]]," ",Tabla1[[#This Row],[Complejidad]]),Catalogos!E$120:G$128,3,FALSE),"")</f>
        <v>64</v>
      </c>
      <c r="V182" s="31" t="str">
        <f>IF(Tabla1[[#This Row],[Tiempo solución max (hrs)]]&lt;&gt;"",IF(Tabla1[[#This Row],[Tiempo solución max (hrs)]]&gt;=Tabla1[[#This Row],[Tiempo
(Hrs 00/100)]],"cumple","no cumple"),"")</f>
        <v>cumple</v>
      </c>
      <c r="W182" s="376" t="s">
        <v>495</v>
      </c>
      <c r="X182" s="377" t="str">
        <f t="shared" si="33"/>
        <v>SAW</v>
      </c>
      <c r="Y182" t="str">
        <f>SUBSTITUTE(Tabla1[[#This Row],[Descripción]],CHAR(10),"    I    ")</f>
        <v xml:space="preserve">Actualizacion de Usuarios SNT </v>
      </c>
      <c r="Z182" s="378">
        <f>VLOOKUP(Tabla1[[#This Row],[Perfil]],Catalogos!$B$75:$D$100,3,FALSE)*Tabla1[[#This Row],[Tiempo
(Hrs 00/100)]]*1.16</f>
        <v>4930</v>
      </c>
    </row>
    <row r="183" spans="1:26" ht="42.75" customHeight="1" x14ac:dyDescent="0.3">
      <c r="A183" s="373" t="s">
        <v>22</v>
      </c>
      <c r="B183" s="184" t="s">
        <v>68</v>
      </c>
      <c r="C183" s="183" t="s">
        <v>16</v>
      </c>
      <c r="D183" s="179"/>
      <c r="E183" s="386" t="s">
        <v>503</v>
      </c>
      <c r="F183" s="373" t="s">
        <v>75</v>
      </c>
      <c r="G183" s="370" t="s">
        <v>435</v>
      </c>
      <c r="H183" s="387" t="s">
        <v>436</v>
      </c>
      <c r="I183" s="393" t="s">
        <v>528</v>
      </c>
      <c r="J183" s="712">
        <v>44978</v>
      </c>
      <c r="K183" s="747">
        <v>0.375</v>
      </c>
      <c r="L183" s="712">
        <v>44978</v>
      </c>
      <c r="M183" s="753">
        <v>0.79166666666666663</v>
      </c>
      <c r="N183" s="179">
        <v>8.5</v>
      </c>
      <c r="O183" s="184" t="s">
        <v>17</v>
      </c>
      <c r="P183" s="185" t="s">
        <v>529</v>
      </c>
      <c r="Q183" s="746" t="s">
        <v>258</v>
      </c>
      <c r="R183" s="171" t="s">
        <v>81</v>
      </c>
      <c r="S183" s="31" t="s">
        <v>273</v>
      </c>
      <c r="T183" s="31" t="s">
        <v>273</v>
      </c>
      <c r="U183" s="31">
        <f>IFERROR(VLOOKUP(CONCATENATE(Tabla1[[#This Row],[Severidad]]," ",Tabla1[[#This Row],[Complejidad]]),Catalogos!E$120:G$128,3,FALSE),"")</f>
        <v>64</v>
      </c>
      <c r="V183" s="31" t="str">
        <f>IF(Tabla1[[#This Row],[Tiempo solución max (hrs)]]&lt;&gt;"",IF(Tabla1[[#This Row],[Tiempo solución max (hrs)]]&gt;=Tabla1[[#This Row],[Tiempo
(Hrs 00/100)]],"cumple","no cumple"),"")</f>
        <v>cumple</v>
      </c>
      <c r="W183" s="376" t="s">
        <v>495</v>
      </c>
      <c r="X183" s="377" t="str">
        <f t="shared" si="33"/>
        <v>SAW</v>
      </c>
      <c r="Y183" t="str">
        <f>SUBSTITUTE(Tabla1[[#This Row],[Descripción]],CHAR(10),"    I    ")</f>
        <v xml:space="preserve">Modificacion en Certamen </v>
      </c>
      <c r="Z183" s="378">
        <f>VLOOKUP(Tabla1[[#This Row],[Perfil]],Catalogos!$B$75:$D$100,3,FALSE)*Tabla1[[#This Row],[Tiempo
(Hrs 00/100)]]*1.16</f>
        <v>4930</v>
      </c>
    </row>
    <row r="184" spans="1:26" ht="42.75" customHeight="1" x14ac:dyDescent="0.3">
      <c r="A184" s="373" t="s">
        <v>22</v>
      </c>
      <c r="B184" s="184" t="s">
        <v>68</v>
      </c>
      <c r="C184" s="183" t="s">
        <v>16</v>
      </c>
      <c r="D184" s="179"/>
      <c r="E184" s="386" t="s">
        <v>503</v>
      </c>
      <c r="F184" s="373" t="s">
        <v>75</v>
      </c>
      <c r="G184" s="370" t="s">
        <v>435</v>
      </c>
      <c r="H184" s="387" t="s">
        <v>436</v>
      </c>
      <c r="I184" s="393" t="s">
        <v>530</v>
      </c>
      <c r="J184" s="712">
        <v>44979</v>
      </c>
      <c r="K184" s="747">
        <v>0.375</v>
      </c>
      <c r="L184" s="712">
        <v>44979</v>
      </c>
      <c r="M184" s="739">
        <v>0.625</v>
      </c>
      <c r="N184" s="179">
        <v>6</v>
      </c>
      <c r="O184" s="184" t="s">
        <v>17</v>
      </c>
      <c r="P184" s="375" t="s">
        <v>531</v>
      </c>
      <c r="Q184" s="746" t="s">
        <v>258</v>
      </c>
      <c r="R184" s="171" t="s">
        <v>81</v>
      </c>
      <c r="S184" s="31" t="s">
        <v>273</v>
      </c>
      <c r="T184" s="31" t="s">
        <v>273</v>
      </c>
      <c r="U184" s="31">
        <f>IFERROR(VLOOKUP(CONCATENATE(Tabla1[[#This Row],[Severidad]]," ",Tabla1[[#This Row],[Complejidad]]),Catalogos!E$120:G$128,3,FALSE),"")</f>
        <v>64</v>
      </c>
      <c r="V184" s="31" t="str">
        <f>IF(Tabla1[[#This Row],[Tiempo solución max (hrs)]]&lt;&gt;"",IF(Tabla1[[#This Row],[Tiempo solución max (hrs)]]&gt;=Tabla1[[#This Row],[Tiempo
(Hrs 00/100)]],"cumple","no cumple"),"")</f>
        <v>cumple</v>
      </c>
      <c r="W184" s="376" t="s">
        <v>495</v>
      </c>
      <c r="X184" s="377" t="str">
        <f t="shared" si="33"/>
        <v>SAW</v>
      </c>
      <c r="Y184" t="str">
        <f>SUBSTITUTE(Tabla1[[#This Row],[Descripción]],CHAR(10),"    I    ")</f>
        <v xml:space="preserve">Actualizacion Micrositio del CIT23 </v>
      </c>
      <c r="Z184" s="378">
        <f>VLOOKUP(Tabla1[[#This Row],[Perfil]],Catalogos!$B$75:$D$100,3,FALSE)*Tabla1[[#This Row],[Tiempo
(Hrs 00/100)]]*1.16</f>
        <v>3479.9999999999995</v>
      </c>
    </row>
    <row r="185" spans="1:26" ht="42.75" customHeight="1" x14ac:dyDescent="0.3">
      <c r="A185" s="373" t="s">
        <v>22</v>
      </c>
      <c r="B185" s="184" t="s">
        <v>68</v>
      </c>
      <c r="C185" s="183" t="s">
        <v>16</v>
      </c>
      <c r="D185" s="179"/>
      <c r="E185" s="386" t="s">
        <v>503</v>
      </c>
      <c r="F185" s="373" t="s">
        <v>75</v>
      </c>
      <c r="G185" s="370" t="s">
        <v>435</v>
      </c>
      <c r="H185" s="387" t="s">
        <v>436</v>
      </c>
      <c r="I185" s="393" t="s">
        <v>532</v>
      </c>
      <c r="J185" s="712">
        <v>44980</v>
      </c>
      <c r="K185" s="747">
        <v>0.375</v>
      </c>
      <c r="L185" s="712">
        <v>44980</v>
      </c>
      <c r="M185" s="753">
        <v>0.79166666666666663</v>
      </c>
      <c r="N185" s="179">
        <v>8.5</v>
      </c>
      <c r="O185" s="184" t="s">
        <v>17</v>
      </c>
      <c r="P185" s="375" t="s">
        <v>533</v>
      </c>
      <c r="Q185" s="746" t="s">
        <v>258</v>
      </c>
      <c r="R185" s="171" t="s">
        <v>81</v>
      </c>
      <c r="S185" s="31" t="s">
        <v>273</v>
      </c>
      <c r="T185" s="31" t="s">
        <v>273</v>
      </c>
      <c r="U185" s="31">
        <f>IFERROR(VLOOKUP(CONCATENATE(Tabla1[[#This Row],[Severidad]]," ",Tabla1[[#This Row],[Complejidad]]),Catalogos!E$120:G$128,3,FALSE),"")</f>
        <v>64</v>
      </c>
      <c r="V185" s="31" t="str">
        <f>IF(Tabla1[[#This Row],[Tiempo solución max (hrs)]]&lt;&gt;"",IF(Tabla1[[#This Row],[Tiempo solución max (hrs)]]&gt;=Tabla1[[#This Row],[Tiempo
(Hrs 00/100)]],"cumple","no cumple"),"")</f>
        <v>cumple</v>
      </c>
      <c r="W185" s="376" t="s">
        <v>495</v>
      </c>
      <c r="X185" s="377" t="str">
        <f t="shared" si="33"/>
        <v>SAW</v>
      </c>
      <c r="Y185" t="str">
        <f>SUBSTITUTE(Tabla1[[#This Row],[Descripción]],CHAR(10),"    I    ")</f>
        <v xml:space="preserve">Banco de Practicas </v>
      </c>
      <c r="Z185" s="378">
        <f>VLOOKUP(Tabla1[[#This Row],[Perfil]],Catalogos!$B$75:$D$100,3,FALSE)*Tabla1[[#This Row],[Tiempo
(Hrs 00/100)]]*1.16</f>
        <v>4930</v>
      </c>
    </row>
    <row r="186" spans="1:26" ht="42.75" customHeight="1" x14ac:dyDescent="0.3">
      <c r="A186" s="373" t="s">
        <v>22</v>
      </c>
      <c r="B186" s="184" t="s">
        <v>68</v>
      </c>
      <c r="C186" s="183" t="s">
        <v>16</v>
      </c>
      <c r="D186" s="179"/>
      <c r="E186" s="386" t="s">
        <v>503</v>
      </c>
      <c r="F186" s="373" t="s">
        <v>75</v>
      </c>
      <c r="G186" s="370" t="s">
        <v>435</v>
      </c>
      <c r="H186" s="387" t="s">
        <v>436</v>
      </c>
      <c r="I186" s="388" t="s">
        <v>516</v>
      </c>
      <c r="J186" s="712">
        <v>44981</v>
      </c>
      <c r="K186" s="739">
        <v>0.375</v>
      </c>
      <c r="L186" s="712">
        <v>44981</v>
      </c>
      <c r="M186" s="739">
        <v>0.625</v>
      </c>
      <c r="N186" s="179">
        <v>6</v>
      </c>
      <c r="O186" s="184" t="s">
        <v>17</v>
      </c>
      <c r="P186" s="397" t="s">
        <v>450</v>
      </c>
      <c r="Q186" s="746" t="s">
        <v>258</v>
      </c>
      <c r="R186" s="171" t="s">
        <v>81</v>
      </c>
      <c r="S186" s="31" t="s">
        <v>273</v>
      </c>
      <c r="T186" s="31" t="s">
        <v>273</v>
      </c>
      <c r="U186" s="31">
        <f>IFERROR(VLOOKUP(CONCATENATE(Tabla1[[#This Row],[Severidad]]," ",Tabla1[[#This Row],[Complejidad]]),Catalogos!E$120:G$128,3,FALSE),"")</f>
        <v>64</v>
      </c>
      <c r="V186" s="31" t="str">
        <f>IF(Tabla1[[#This Row],[Tiempo solución max (hrs)]]&lt;&gt;"",IF(Tabla1[[#This Row],[Tiempo solución max (hrs)]]&gt;=Tabla1[[#This Row],[Tiempo
(Hrs 00/100)]],"cumple","no cumple"),"")</f>
        <v>cumple</v>
      </c>
      <c r="W186" s="376" t="s">
        <v>495</v>
      </c>
      <c r="X186" s="377" t="str">
        <f t="shared" si="33"/>
        <v>SAW</v>
      </c>
      <c r="Y186" t="str">
        <f>SUBSTITUTE(Tabla1[[#This Row],[Descripción]],CHAR(10),"    I    ")</f>
        <v xml:space="preserve">Revision de micrositios </v>
      </c>
      <c r="Z186" s="378">
        <f>VLOOKUP(Tabla1[[#This Row],[Perfil]],Catalogos!$B$75:$D$100,3,FALSE)*Tabla1[[#This Row],[Tiempo
(Hrs 00/100)]]*1.16</f>
        <v>3479.9999999999995</v>
      </c>
    </row>
    <row r="187" spans="1:26" ht="42.75" customHeight="1" x14ac:dyDescent="0.3">
      <c r="A187" s="373" t="s">
        <v>22</v>
      </c>
      <c r="B187" s="184" t="s">
        <v>68</v>
      </c>
      <c r="C187" s="183" t="s">
        <v>16</v>
      </c>
      <c r="D187" s="370"/>
      <c r="E187" s="386" t="s">
        <v>503</v>
      </c>
      <c r="F187" s="373" t="s">
        <v>75</v>
      </c>
      <c r="G187" s="370" t="s">
        <v>435</v>
      </c>
      <c r="H187" s="387" t="s">
        <v>436</v>
      </c>
      <c r="I187" s="393" t="s">
        <v>534</v>
      </c>
      <c r="J187" s="712">
        <v>44984</v>
      </c>
      <c r="K187" s="747">
        <v>0.375</v>
      </c>
      <c r="L187" s="712">
        <v>44984</v>
      </c>
      <c r="M187" s="753">
        <v>0.79166666666666663</v>
      </c>
      <c r="N187" s="179">
        <v>8.5</v>
      </c>
      <c r="O187" s="184" t="s">
        <v>17</v>
      </c>
      <c r="P187" s="185" t="s">
        <v>535</v>
      </c>
      <c r="Q187" s="746" t="s">
        <v>258</v>
      </c>
      <c r="R187" s="171" t="s">
        <v>81</v>
      </c>
      <c r="S187" s="31" t="s">
        <v>273</v>
      </c>
      <c r="T187" s="31" t="s">
        <v>273</v>
      </c>
      <c r="U187" s="31">
        <f>IFERROR(VLOOKUP(CONCATENATE(Tabla1[[#This Row],[Severidad]]," ",Tabla1[[#This Row],[Complejidad]]),Catalogos!E$120:G$128,3,FALSE),"")</f>
        <v>64</v>
      </c>
      <c r="V187" s="31" t="str">
        <f>IF(Tabla1[[#This Row],[Tiempo solución max (hrs)]]&lt;&gt;"",IF(Tabla1[[#This Row],[Tiempo solución max (hrs)]]&gt;=Tabla1[[#This Row],[Tiempo
(Hrs 00/100)]],"cumple","no cumple"),"")</f>
        <v>cumple</v>
      </c>
      <c r="W187" s="376" t="s">
        <v>495</v>
      </c>
      <c r="X187" s="377" t="str">
        <f t="shared" si="33"/>
        <v>SAW</v>
      </c>
      <c r="Y187" t="str">
        <f>SUBSTITUTE(Tabla1[[#This Row],[Descripción]],CHAR(10),"    I    ")</f>
        <v xml:space="preserve">Micrositio Contratacion Abierta </v>
      </c>
      <c r="Z187" s="378">
        <f>VLOOKUP(Tabla1[[#This Row],[Perfil]],Catalogos!$B$75:$D$100,3,FALSE)*Tabla1[[#This Row],[Tiempo
(Hrs 00/100)]]*1.16</f>
        <v>4930</v>
      </c>
    </row>
    <row r="188" spans="1:26" ht="42.75" customHeight="1" x14ac:dyDescent="0.3">
      <c r="A188" s="373" t="s">
        <v>22</v>
      </c>
      <c r="B188" s="184" t="s">
        <v>68</v>
      </c>
      <c r="C188" s="183" t="s">
        <v>16</v>
      </c>
      <c r="D188" s="370"/>
      <c r="E188" s="386" t="s">
        <v>503</v>
      </c>
      <c r="F188" s="373" t="s">
        <v>75</v>
      </c>
      <c r="G188" s="370" t="s">
        <v>435</v>
      </c>
      <c r="H188" s="387" t="s">
        <v>436</v>
      </c>
      <c r="I188" s="393" t="s">
        <v>536</v>
      </c>
      <c r="J188" s="712">
        <v>44985</v>
      </c>
      <c r="K188" s="747">
        <v>0.375</v>
      </c>
      <c r="L188" s="712">
        <v>44985</v>
      </c>
      <c r="M188" s="753">
        <v>0.79166666666666663</v>
      </c>
      <c r="N188" s="179">
        <v>8.5</v>
      </c>
      <c r="O188" s="184" t="s">
        <v>17</v>
      </c>
      <c r="P188" s="185" t="s">
        <v>537</v>
      </c>
      <c r="Q188" s="746" t="s">
        <v>258</v>
      </c>
      <c r="R188" s="171" t="s">
        <v>81</v>
      </c>
      <c r="S188" s="31" t="s">
        <v>273</v>
      </c>
      <c r="T188" s="31" t="s">
        <v>273</v>
      </c>
      <c r="U188" s="31">
        <f>IFERROR(VLOOKUP(CONCATENATE(Tabla1[[#This Row],[Severidad]]," ",Tabla1[[#This Row],[Complejidad]]),Catalogos!E$120:G$128,3,FALSE),"")</f>
        <v>64</v>
      </c>
      <c r="V188" s="31" t="str">
        <f>IF(Tabla1[[#This Row],[Tiempo solución max (hrs)]]&lt;&gt;"",IF(Tabla1[[#This Row],[Tiempo solución max (hrs)]]&gt;=Tabla1[[#This Row],[Tiempo
(Hrs 00/100)]],"cumple","no cumple"),"")</f>
        <v>cumple</v>
      </c>
      <c r="W188" s="376" t="s">
        <v>495</v>
      </c>
      <c r="X188" s="377" t="str">
        <f t="shared" si="33"/>
        <v>SAW</v>
      </c>
      <c r="Y188" t="str">
        <f>SUBSTITUTE(Tabla1[[#This Row],[Descripción]],CHAR(10),"    I    ")</f>
        <v xml:space="preserve">Modificacion Certamen 2023 </v>
      </c>
      <c r="Z188" s="378">
        <f>VLOOKUP(Tabla1[[#This Row],[Perfil]],Catalogos!$B$75:$D$100,3,FALSE)*Tabla1[[#This Row],[Tiempo
(Hrs 00/100)]]*1.16</f>
        <v>4930</v>
      </c>
    </row>
    <row r="189" spans="1:26" ht="42.75" customHeight="1" x14ac:dyDescent="0.3">
      <c r="A189" s="370" t="s">
        <v>15</v>
      </c>
      <c r="B189" s="370" t="s">
        <v>60</v>
      </c>
      <c r="C189" s="205" t="s">
        <v>49</v>
      </c>
      <c r="D189" s="370"/>
      <c r="E189" s="370" t="s">
        <v>538</v>
      </c>
      <c r="F189" s="370" t="s">
        <v>72</v>
      </c>
      <c r="G189" s="370"/>
      <c r="H189" s="371" t="s">
        <v>539</v>
      </c>
      <c r="I189" s="371" t="s">
        <v>540</v>
      </c>
      <c r="J189" s="369">
        <v>44985</v>
      </c>
      <c r="K189" s="709">
        <v>0.375</v>
      </c>
      <c r="L189" s="369">
        <v>44985</v>
      </c>
      <c r="M189" s="739">
        <v>0.79166666666666663</v>
      </c>
      <c r="N189" s="373">
        <v>8</v>
      </c>
      <c r="O189" s="374" t="s">
        <v>411</v>
      </c>
      <c r="P189" s="375"/>
      <c r="Q189" s="744" t="s">
        <v>541</v>
      </c>
      <c r="R189" s="202" t="s">
        <v>40</v>
      </c>
      <c r="S189" s="31" t="s">
        <v>273</v>
      </c>
      <c r="T189" s="31" t="s">
        <v>273</v>
      </c>
      <c r="U189" s="31">
        <f>IFERROR(VLOOKUP(CONCATENATE(Tabla1[[#This Row],[Severidad]]," ",Tabla1[[#This Row],[Complejidad]]),Catalogos!E$120:G$128,3,FALSE),"")</f>
        <v>64</v>
      </c>
      <c r="V189" s="31" t="str">
        <f>IF(Tabla1[[#This Row],[Tiempo solución max (hrs)]]&lt;&gt;"",IF(Tabla1[[#This Row],[Tiempo solución max (hrs)]]&gt;=Tabla1[[#This Row],[Tiempo
(Hrs 00/100)]],"cumple","no cumple"),"")</f>
        <v>cumple</v>
      </c>
      <c r="W189" s="376" t="s">
        <v>495</v>
      </c>
      <c r="X189" s="377" t="str">
        <f t="shared" si="33"/>
        <v>SAI</v>
      </c>
      <c r="Y189" t="str">
        <f>SUBSTITUTE(Tabla1[[#This Row],[Descripción]],CHAR(10),"    I    ")</f>
        <v>Analisis y revisión de la guía de remediación de SICOM</v>
      </c>
      <c r="Z189" s="378">
        <f>VLOOKUP(Tabla1[[#This Row],[Perfil]],Catalogos!$B$75:$D$100,3,FALSE)*Tabla1[[#This Row],[Tiempo
(Hrs 00/100)]]*1.16</f>
        <v>6496</v>
      </c>
    </row>
    <row r="190" spans="1:26" ht="42.75" customHeight="1" x14ac:dyDescent="0.3">
      <c r="A190" s="370" t="s">
        <v>22</v>
      </c>
      <c r="B190" s="370" t="s">
        <v>62</v>
      </c>
      <c r="C190" s="370" t="s">
        <v>49</v>
      </c>
      <c r="D190" s="370"/>
      <c r="E190" s="370" t="s">
        <v>404</v>
      </c>
      <c r="F190" s="370" t="s">
        <v>73</v>
      </c>
      <c r="G190" s="370"/>
      <c r="H190" s="371" t="s">
        <v>405</v>
      </c>
      <c r="I190" s="371" t="s">
        <v>5384</v>
      </c>
      <c r="J190" s="369">
        <v>44958</v>
      </c>
      <c r="K190" s="747">
        <v>0.375</v>
      </c>
      <c r="L190" s="369">
        <v>44958</v>
      </c>
      <c r="M190" s="753">
        <v>0.79166666666666663</v>
      </c>
      <c r="N190" s="373">
        <v>8</v>
      </c>
      <c r="O190" s="374" t="s">
        <v>406</v>
      </c>
      <c r="P190" s="375" t="s">
        <v>407</v>
      </c>
      <c r="Q190" s="744" t="s">
        <v>295</v>
      </c>
      <c r="R190" s="202" t="s">
        <v>40</v>
      </c>
      <c r="S190" s="31" t="s">
        <v>273</v>
      </c>
      <c r="T190" s="31" t="s">
        <v>273</v>
      </c>
      <c r="U190" s="31">
        <f>IFERROR(VLOOKUP(CONCATENATE(Tabla1[[#This Row],[Severidad]]," ",Tabla1[[#This Row],[Complejidad]]),Catalogos!E$120:G$128,3,FALSE),"")</f>
        <v>64</v>
      </c>
      <c r="V190" s="31" t="str">
        <f>IF(Tabla1[[#This Row],[Tiempo solución max (hrs)]]&lt;&gt;"",IF(Tabla1[[#This Row],[Tiempo solución max (hrs)]]&gt;=Tabla1[[#This Row],[Tiempo
(Hrs 00/100)]],"cumple","no cumple"),"")</f>
        <v>cumple</v>
      </c>
      <c r="W190" s="376" t="s">
        <v>495</v>
      </c>
      <c r="X190" s="377" t="str">
        <f t="shared" si="33"/>
        <v>SAI</v>
      </c>
      <c r="Y190" t="str">
        <f>SUBSTITUTE(Tabla1[[#This Row],[Descripción]],CHAR(10),"    I    ")</f>
        <v>Se han trabajado y actualizado todos los módulos a petición de los clientes del sistema SIPRON I</v>
      </c>
      <c r="Z190" s="378">
        <f>VLOOKUP(Tabla1[[#This Row],[Perfil]],Catalogos!$B$75:$D$100,3,FALSE)*Tabla1[[#This Row],[Tiempo
(Hrs 00/100)]]*1.16</f>
        <v>6496</v>
      </c>
    </row>
    <row r="191" spans="1:26" ht="42.75" customHeight="1" x14ac:dyDescent="0.3">
      <c r="A191" s="370" t="s">
        <v>22</v>
      </c>
      <c r="B191" s="370" t="s">
        <v>62</v>
      </c>
      <c r="C191" s="370" t="s">
        <v>49</v>
      </c>
      <c r="D191" s="370"/>
      <c r="E191" s="370" t="s">
        <v>404</v>
      </c>
      <c r="F191" s="370" t="s">
        <v>73</v>
      </c>
      <c r="G191" s="370"/>
      <c r="H191" s="371" t="s">
        <v>405</v>
      </c>
      <c r="I191" s="371" t="s">
        <v>5384</v>
      </c>
      <c r="J191" s="369">
        <v>44959</v>
      </c>
      <c r="K191" s="747">
        <v>0.375</v>
      </c>
      <c r="L191" s="369">
        <v>44959</v>
      </c>
      <c r="M191" s="753">
        <v>0.79166666666666663</v>
      </c>
      <c r="N191" s="373">
        <v>8</v>
      </c>
      <c r="O191" s="374" t="s">
        <v>406</v>
      </c>
      <c r="P191" s="375" t="s">
        <v>407</v>
      </c>
      <c r="Q191" s="744" t="s">
        <v>295</v>
      </c>
      <c r="R191" s="202" t="s">
        <v>40</v>
      </c>
      <c r="S191" s="31" t="s">
        <v>273</v>
      </c>
      <c r="T191" s="31" t="s">
        <v>273</v>
      </c>
      <c r="U191" s="31">
        <f>IFERROR(VLOOKUP(CONCATENATE(Tabla1[[#This Row],[Severidad]]," ",Tabla1[[#This Row],[Complejidad]]),Catalogos!E$120:G$128,3,FALSE),"")</f>
        <v>64</v>
      </c>
      <c r="V191" s="31" t="str">
        <f>IF(Tabla1[[#This Row],[Tiempo solución max (hrs)]]&lt;&gt;"",IF(Tabla1[[#This Row],[Tiempo solución max (hrs)]]&gt;=Tabla1[[#This Row],[Tiempo
(Hrs 00/100)]],"cumple","no cumple"),"")</f>
        <v>cumple</v>
      </c>
      <c r="W191" s="376" t="s">
        <v>495</v>
      </c>
      <c r="X191" s="377" t="str">
        <f t="shared" ref="X191:X192" si="41">IF(C191&lt;&gt;"",C191,D191)</f>
        <v>SAI</v>
      </c>
      <c r="Y191" t="str">
        <f>SUBSTITUTE(Tabla1[[#This Row],[Descripción]],CHAR(10),"    I    ")</f>
        <v>Se han trabajado y actualizado todos los módulos a petición de los clientes del sistema SIPRON I</v>
      </c>
      <c r="Z191" s="378">
        <f>VLOOKUP(Tabla1[[#This Row],[Perfil]],Catalogos!$B$75:$D$100,3,FALSE)*Tabla1[[#This Row],[Tiempo
(Hrs 00/100)]]*1.16</f>
        <v>6496</v>
      </c>
    </row>
    <row r="192" spans="1:26" ht="42.75" customHeight="1" x14ac:dyDescent="0.3">
      <c r="A192" s="370" t="s">
        <v>22</v>
      </c>
      <c r="B192" s="370" t="s">
        <v>62</v>
      </c>
      <c r="C192" s="370" t="s">
        <v>49</v>
      </c>
      <c r="D192" s="370"/>
      <c r="E192" s="370" t="s">
        <v>404</v>
      </c>
      <c r="F192" s="370" t="s">
        <v>73</v>
      </c>
      <c r="G192" s="370"/>
      <c r="H192" s="371" t="s">
        <v>405</v>
      </c>
      <c r="I192" s="371" t="s">
        <v>5384</v>
      </c>
      <c r="J192" s="369">
        <v>44960</v>
      </c>
      <c r="K192" s="747">
        <v>0.375</v>
      </c>
      <c r="L192" s="369">
        <v>44960</v>
      </c>
      <c r="M192" s="753">
        <v>0.79166666666666663</v>
      </c>
      <c r="N192" s="373">
        <v>8</v>
      </c>
      <c r="O192" s="374" t="s">
        <v>17</v>
      </c>
      <c r="P192" s="375" t="s">
        <v>407</v>
      </c>
      <c r="Q192" s="744" t="s">
        <v>295</v>
      </c>
      <c r="R192" s="202" t="s">
        <v>40</v>
      </c>
      <c r="S192" s="31" t="s">
        <v>273</v>
      </c>
      <c r="T192" s="31" t="s">
        <v>273</v>
      </c>
      <c r="U192" s="31">
        <f>IFERROR(VLOOKUP(CONCATENATE(Tabla1[[#This Row],[Severidad]]," ",Tabla1[[#This Row],[Complejidad]]),Catalogos!E$120:G$128,3,FALSE),"")</f>
        <v>64</v>
      </c>
      <c r="V192" s="31" t="str">
        <f>IF(Tabla1[[#This Row],[Tiempo solución max (hrs)]]&lt;&gt;"",IF(Tabla1[[#This Row],[Tiempo solución max (hrs)]]&gt;=Tabla1[[#This Row],[Tiempo
(Hrs 00/100)]],"cumple","no cumple"),"")</f>
        <v>cumple</v>
      </c>
      <c r="W192" s="376" t="s">
        <v>495</v>
      </c>
      <c r="X192" s="377" t="str">
        <f t="shared" si="41"/>
        <v>SAI</v>
      </c>
      <c r="Y192" t="str">
        <f>SUBSTITUTE(Tabla1[[#This Row],[Descripción]],CHAR(10),"    I    ")</f>
        <v>Se han trabajado y actualizado todos los módulos a petición de los clientes del sistema SIPRON I</v>
      </c>
      <c r="Z192" s="378">
        <f>VLOOKUP(Tabla1[[#This Row],[Perfil]],Catalogos!$B$75:$D$100,3,FALSE)*Tabla1[[#This Row],[Tiempo
(Hrs 00/100)]]*1.16</f>
        <v>6496</v>
      </c>
    </row>
    <row r="193" spans="1:26" ht="42.75" customHeight="1" x14ac:dyDescent="0.3">
      <c r="A193" s="370" t="s">
        <v>22</v>
      </c>
      <c r="B193" s="370" t="s">
        <v>62</v>
      </c>
      <c r="C193" s="370" t="s">
        <v>49</v>
      </c>
      <c r="D193" s="370"/>
      <c r="E193" s="370" t="s">
        <v>404</v>
      </c>
      <c r="F193" s="370" t="s">
        <v>73</v>
      </c>
      <c r="G193" s="370"/>
      <c r="H193" s="371" t="s">
        <v>405</v>
      </c>
      <c r="I193" s="371" t="s">
        <v>542</v>
      </c>
      <c r="J193" s="369">
        <v>44961</v>
      </c>
      <c r="K193" s="747">
        <v>0.375</v>
      </c>
      <c r="L193" s="369">
        <v>44961</v>
      </c>
      <c r="M193" s="753">
        <v>0.83333333333333337</v>
      </c>
      <c r="N193" s="373">
        <v>10</v>
      </c>
      <c r="O193" s="374" t="s">
        <v>406</v>
      </c>
      <c r="P193" s="375" t="s">
        <v>407</v>
      </c>
      <c r="Q193" s="744" t="s">
        <v>295</v>
      </c>
      <c r="R193" s="202" t="s">
        <v>40</v>
      </c>
      <c r="S193" s="31" t="s">
        <v>273</v>
      </c>
      <c r="T193" s="31" t="s">
        <v>273</v>
      </c>
      <c r="U193" s="31">
        <f>IFERROR(VLOOKUP(CONCATENATE(Tabla1[[#This Row],[Severidad]]," ",Tabla1[[#This Row],[Complejidad]]),Catalogos!E$120:G$128,3,FALSE),"")</f>
        <v>64</v>
      </c>
      <c r="V193" s="31" t="str">
        <f>IF(Tabla1[[#This Row],[Tiempo solución max (hrs)]]&lt;&gt;"",IF(Tabla1[[#This Row],[Tiempo solución max (hrs)]]&gt;=Tabla1[[#This Row],[Tiempo
(Hrs 00/100)]],"cumple","no cumple"),"")</f>
        <v>cumple</v>
      </c>
      <c r="W193" s="376" t="s">
        <v>495</v>
      </c>
      <c r="X193" s="377" t="str">
        <f t="shared" si="33"/>
        <v>SAI</v>
      </c>
      <c r="Y193" t="str">
        <f>SUBSTITUTE(Tabla1[[#This Row],[Descripción]],CHAR(10),"    I    ")</f>
        <v>Se han trabajado y actualizado todos los módulos a petición de los clientes del sistema SIPRON, nos dijeron que trabajaramos Sábado, Domingo y Lunes(Puente), y que sería remunerado con dias extras</v>
      </c>
      <c r="Z193" s="378">
        <f>VLOOKUP(Tabla1[[#This Row],[Perfil]],Catalogos!$B$75:$D$100,3,FALSE)*Tabla1[[#This Row],[Tiempo
(Hrs 00/100)]]*1.16</f>
        <v>8119.9999999999991</v>
      </c>
    </row>
    <row r="194" spans="1:26" ht="42.75" customHeight="1" x14ac:dyDescent="0.3">
      <c r="A194" s="370" t="s">
        <v>22</v>
      </c>
      <c r="B194" s="370" t="s">
        <v>62</v>
      </c>
      <c r="C194" s="370" t="s">
        <v>49</v>
      </c>
      <c r="D194" s="370"/>
      <c r="E194" s="370" t="s">
        <v>404</v>
      </c>
      <c r="F194" s="370" t="s">
        <v>73</v>
      </c>
      <c r="G194" s="370"/>
      <c r="H194" s="371" t="s">
        <v>405</v>
      </c>
      <c r="I194" s="371" t="s">
        <v>542</v>
      </c>
      <c r="J194" s="369">
        <v>44962</v>
      </c>
      <c r="K194" s="747">
        <v>0.375</v>
      </c>
      <c r="L194" s="369">
        <v>44962</v>
      </c>
      <c r="M194" s="753">
        <v>0.83333333333333337</v>
      </c>
      <c r="N194" s="373">
        <v>10</v>
      </c>
      <c r="O194" s="374" t="s">
        <v>406</v>
      </c>
      <c r="P194" s="375" t="s">
        <v>407</v>
      </c>
      <c r="Q194" s="744" t="s">
        <v>295</v>
      </c>
      <c r="R194" s="202" t="s">
        <v>40</v>
      </c>
      <c r="S194" s="31" t="s">
        <v>273</v>
      </c>
      <c r="T194" s="31" t="s">
        <v>273</v>
      </c>
      <c r="U194" s="31">
        <f>IFERROR(VLOOKUP(CONCATENATE(Tabla1[[#This Row],[Severidad]]," ",Tabla1[[#This Row],[Complejidad]]),Catalogos!E$120:G$128,3,FALSE),"")</f>
        <v>64</v>
      </c>
      <c r="V194" s="31" t="str">
        <f>IF(Tabla1[[#This Row],[Tiempo solución max (hrs)]]&lt;&gt;"",IF(Tabla1[[#This Row],[Tiempo solución max (hrs)]]&gt;=Tabla1[[#This Row],[Tiempo
(Hrs 00/100)]],"cumple","no cumple"),"")</f>
        <v>cumple</v>
      </c>
      <c r="W194" s="376" t="s">
        <v>495</v>
      </c>
      <c r="X194" s="377" t="str">
        <f t="shared" ref="X194:X195" si="42">IF(C194&lt;&gt;"",C194,D194)</f>
        <v>SAI</v>
      </c>
      <c r="Y194" t="str">
        <f>SUBSTITUTE(Tabla1[[#This Row],[Descripción]],CHAR(10),"    I    ")</f>
        <v>Se han trabajado y actualizado todos los módulos a petición de los clientes del sistema SIPRON, nos dijeron que trabajaramos Sábado, Domingo y Lunes(Puente), y que sería remunerado con dias extras</v>
      </c>
      <c r="Z194" s="378">
        <f>VLOOKUP(Tabla1[[#This Row],[Perfil]],Catalogos!$B$75:$D$100,3,FALSE)*Tabla1[[#This Row],[Tiempo
(Hrs 00/100)]]*1.16</f>
        <v>8119.9999999999991</v>
      </c>
    </row>
    <row r="195" spans="1:26" ht="42.75" customHeight="1" x14ac:dyDescent="0.3">
      <c r="A195" s="370" t="s">
        <v>22</v>
      </c>
      <c r="B195" s="370" t="s">
        <v>62</v>
      </c>
      <c r="C195" s="370" t="s">
        <v>49</v>
      </c>
      <c r="D195" s="370"/>
      <c r="E195" s="370" t="s">
        <v>404</v>
      </c>
      <c r="F195" s="370" t="s">
        <v>73</v>
      </c>
      <c r="G195" s="370"/>
      <c r="H195" s="371" t="s">
        <v>405</v>
      </c>
      <c r="I195" s="371" t="s">
        <v>542</v>
      </c>
      <c r="J195" s="369">
        <v>44963</v>
      </c>
      <c r="K195" s="747">
        <v>0.375</v>
      </c>
      <c r="L195" s="369">
        <v>44963</v>
      </c>
      <c r="M195" s="753">
        <v>0.83333333333333337</v>
      </c>
      <c r="N195" s="373">
        <v>10</v>
      </c>
      <c r="O195" s="374" t="s">
        <v>17</v>
      </c>
      <c r="P195" s="375" t="s">
        <v>407</v>
      </c>
      <c r="Q195" s="744" t="s">
        <v>295</v>
      </c>
      <c r="R195" s="202" t="s">
        <v>40</v>
      </c>
      <c r="S195" s="31" t="s">
        <v>273</v>
      </c>
      <c r="T195" s="31" t="s">
        <v>273</v>
      </c>
      <c r="U195" s="31">
        <f>IFERROR(VLOOKUP(CONCATENATE(Tabla1[[#This Row],[Severidad]]," ",Tabla1[[#This Row],[Complejidad]]),Catalogos!E$120:G$128,3,FALSE),"")</f>
        <v>64</v>
      </c>
      <c r="V195" s="31" t="str">
        <f>IF(Tabla1[[#This Row],[Tiempo solución max (hrs)]]&lt;&gt;"",IF(Tabla1[[#This Row],[Tiempo solución max (hrs)]]&gt;=Tabla1[[#This Row],[Tiempo
(Hrs 00/100)]],"cumple","no cumple"),"")</f>
        <v>cumple</v>
      </c>
      <c r="W195" s="376" t="s">
        <v>495</v>
      </c>
      <c r="X195" s="377" t="str">
        <f t="shared" si="42"/>
        <v>SAI</v>
      </c>
      <c r="Y195" t="str">
        <f>SUBSTITUTE(Tabla1[[#This Row],[Descripción]],CHAR(10),"    I    ")</f>
        <v>Se han trabajado y actualizado todos los módulos a petición de los clientes del sistema SIPRON, nos dijeron que trabajaramos Sábado, Domingo y Lunes(Puente), y que sería remunerado con dias extras</v>
      </c>
      <c r="Z195" s="378">
        <f>VLOOKUP(Tabla1[[#This Row],[Perfil]],Catalogos!$B$75:$D$100,3,FALSE)*Tabla1[[#This Row],[Tiempo
(Hrs 00/100)]]*1.16</f>
        <v>8119.9999999999991</v>
      </c>
    </row>
    <row r="196" spans="1:26" ht="42.75" customHeight="1" x14ac:dyDescent="0.3">
      <c r="A196" s="370" t="s">
        <v>22</v>
      </c>
      <c r="B196" s="370" t="s">
        <v>62</v>
      </c>
      <c r="C196" s="370" t="s">
        <v>49</v>
      </c>
      <c r="D196" s="370"/>
      <c r="E196" s="370" t="s">
        <v>404</v>
      </c>
      <c r="F196" s="370" t="s">
        <v>73</v>
      </c>
      <c r="G196" s="370"/>
      <c r="H196" s="371" t="s">
        <v>405</v>
      </c>
      <c r="I196" s="371" t="s">
        <v>5385</v>
      </c>
      <c r="J196" s="369">
        <v>44964</v>
      </c>
      <c r="K196" s="747">
        <v>0.375</v>
      </c>
      <c r="L196" s="369">
        <v>44964</v>
      </c>
      <c r="M196" s="753">
        <v>0.83333333333333337</v>
      </c>
      <c r="N196" s="373">
        <v>10</v>
      </c>
      <c r="O196" s="374" t="s">
        <v>406</v>
      </c>
      <c r="P196" s="375" t="s">
        <v>407</v>
      </c>
      <c r="Q196" s="744" t="s">
        <v>295</v>
      </c>
      <c r="R196" s="202" t="s">
        <v>40</v>
      </c>
      <c r="S196" s="31" t="s">
        <v>273</v>
      </c>
      <c r="T196" s="31" t="s">
        <v>273</v>
      </c>
      <c r="U196" s="31">
        <f>IFERROR(VLOOKUP(CONCATENATE(Tabla1[[#This Row],[Severidad]]," ",Tabla1[[#This Row],[Complejidad]]),Catalogos!E$120:G$128,3,FALSE),"")</f>
        <v>64</v>
      </c>
      <c r="V196" s="31" t="str">
        <f>IF(Tabla1[[#This Row],[Tiempo solución max (hrs)]]&lt;&gt;"",IF(Tabla1[[#This Row],[Tiempo solución max (hrs)]]&gt;=Tabla1[[#This Row],[Tiempo
(Hrs 00/100)]],"cumple","no cumple"),"")</f>
        <v>cumple</v>
      </c>
      <c r="W196" s="376" t="s">
        <v>495</v>
      </c>
      <c r="X196" s="377" t="str">
        <f t="shared" si="33"/>
        <v>SAI</v>
      </c>
      <c r="Y196" t="str">
        <f>SUBSTITUTE(Tabla1[[#This Row],[Descripción]],CHAR(10),"    I    ")</f>
        <v>Se han trabajado y actualizado todos los módulos a petición de los clientes del sistema SIPRON II</v>
      </c>
      <c r="Z196" s="378">
        <f>VLOOKUP(Tabla1[[#This Row],[Perfil]],Catalogos!$B$75:$D$100,3,FALSE)*Tabla1[[#This Row],[Tiempo
(Hrs 00/100)]]*1.16</f>
        <v>8119.9999999999991</v>
      </c>
    </row>
    <row r="197" spans="1:26" ht="42.75" customHeight="1" x14ac:dyDescent="0.3">
      <c r="A197" s="370" t="s">
        <v>22</v>
      </c>
      <c r="B197" s="370" t="s">
        <v>62</v>
      </c>
      <c r="C197" s="370" t="s">
        <v>49</v>
      </c>
      <c r="D197" s="370"/>
      <c r="E197" s="370" t="s">
        <v>404</v>
      </c>
      <c r="F197" s="370" t="s">
        <v>73</v>
      </c>
      <c r="G197" s="370"/>
      <c r="H197" s="371" t="s">
        <v>405</v>
      </c>
      <c r="I197" s="371" t="s">
        <v>5385</v>
      </c>
      <c r="J197" s="369">
        <v>44965</v>
      </c>
      <c r="K197" s="747">
        <v>0.375</v>
      </c>
      <c r="L197" s="369">
        <v>44965</v>
      </c>
      <c r="M197" s="753">
        <v>0.83333333333333337</v>
      </c>
      <c r="N197" s="373">
        <v>10</v>
      </c>
      <c r="O197" s="374" t="s">
        <v>406</v>
      </c>
      <c r="P197" s="375" t="s">
        <v>407</v>
      </c>
      <c r="Q197" s="744" t="s">
        <v>295</v>
      </c>
      <c r="R197" s="202" t="s">
        <v>40</v>
      </c>
      <c r="S197" s="31" t="s">
        <v>273</v>
      </c>
      <c r="T197" s="31" t="s">
        <v>273</v>
      </c>
      <c r="U197" s="31">
        <f>IFERROR(VLOOKUP(CONCATENATE(Tabla1[[#This Row],[Severidad]]," ",Tabla1[[#This Row],[Complejidad]]),Catalogos!E$120:G$128,3,FALSE),"")</f>
        <v>64</v>
      </c>
      <c r="V197" s="31" t="str">
        <f>IF(Tabla1[[#This Row],[Tiempo solución max (hrs)]]&lt;&gt;"",IF(Tabla1[[#This Row],[Tiempo solución max (hrs)]]&gt;=Tabla1[[#This Row],[Tiempo
(Hrs 00/100)]],"cumple","no cumple"),"")</f>
        <v>cumple</v>
      </c>
      <c r="W197" s="376" t="s">
        <v>495</v>
      </c>
      <c r="X197" s="377" t="str">
        <f t="shared" ref="X197:X199" si="43">IF(C197&lt;&gt;"",C197,D197)</f>
        <v>SAI</v>
      </c>
      <c r="Y197" t="str">
        <f>SUBSTITUTE(Tabla1[[#This Row],[Descripción]],CHAR(10),"    I    ")</f>
        <v>Se han trabajado y actualizado todos los módulos a petición de los clientes del sistema SIPRON II</v>
      </c>
      <c r="Z197" s="378">
        <f>VLOOKUP(Tabla1[[#This Row],[Perfil]],Catalogos!$B$75:$D$100,3,FALSE)*Tabla1[[#This Row],[Tiempo
(Hrs 00/100)]]*1.16</f>
        <v>8119.9999999999991</v>
      </c>
    </row>
    <row r="198" spans="1:26" ht="42.75" customHeight="1" x14ac:dyDescent="0.3">
      <c r="A198" s="370" t="s">
        <v>22</v>
      </c>
      <c r="B198" s="370" t="s">
        <v>62</v>
      </c>
      <c r="C198" s="370" t="s">
        <v>49</v>
      </c>
      <c r="D198" s="370"/>
      <c r="E198" s="370" t="s">
        <v>404</v>
      </c>
      <c r="F198" s="370" t="s">
        <v>73</v>
      </c>
      <c r="G198" s="370"/>
      <c r="H198" s="371" t="s">
        <v>405</v>
      </c>
      <c r="I198" s="371" t="s">
        <v>5385</v>
      </c>
      <c r="J198" s="369">
        <v>44966</v>
      </c>
      <c r="K198" s="747">
        <v>0.375</v>
      </c>
      <c r="L198" s="369">
        <v>44966</v>
      </c>
      <c r="M198" s="753">
        <v>0.79166666666666663</v>
      </c>
      <c r="N198" s="373">
        <v>8</v>
      </c>
      <c r="O198" s="374" t="s">
        <v>406</v>
      </c>
      <c r="P198" s="375" t="s">
        <v>407</v>
      </c>
      <c r="Q198" s="744" t="s">
        <v>295</v>
      </c>
      <c r="R198" s="202" t="s">
        <v>40</v>
      </c>
      <c r="S198" s="31" t="s">
        <v>273</v>
      </c>
      <c r="T198" s="31" t="s">
        <v>273</v>
      </c>
      <c r="U198" s="31">
        <f>IFERROR(VLOOKUP(CONCATENATE(Tabla1[[#This Row],[Severidad]]," ",Tabla1[[#This Row],[Complejidad]]),Catalogos!E$120:G$128,3,FALSE),"")</f>
        <v>64</v>
      </c>
      <c r="V198" s="31" t="str">
        <f>IF(Tabla1[[#This Row],[Tiempo solución max (hrs)]]&lt;&gt;"",IF(Tabla1[[#This Row],[Tiempo solución max (hrs)]]&gt;=Tabla1[[#This Row],[Tiempo
(Hrs 00/100)]],"cumple","no cumple"),"")</f>
        <v>cumple</v>
      </c>
      <c r="W198" s="376" t="s">
        <v>495</v>
      </c>
      <c r="X198" s="377" t="str">
        <f t="shared" si="43"/>
        <v>SAI</v>
      </c>
      <c r="Y198" t="str">
        <f>SUBSTITUTE(Tabla1[[#This Row],[Descripción]],CHAR(10),"    I    ")</f>
        <v>Se han trabajado y actualizado todos los módulos a petición de los clientes del sistema SIPRON II</v>
      </c>
      <c r="Z198" s="378">
        <f>VLOOKUP(Tabla1[[#This Row],[Perfil]],Catalogos!$B$75:$D$100,3,FALSE)*Tabla1[[#This Row],[Tiempo
(Hrs 00/100)]]*1.16</f>
        <v>6496</v>
      </c>
    </row>
    <row r="199" spans="1:26" ht="42.75" customHeight="1" x14ac:dyDescent="0.3">
      <c r="A199" s="370" t="s">
        <v>22</v>
      </c>
      <c r="B199" s="370" t="s">
        <v>62</v>
      </c>
      <c r="C199" s="370" t="s">
        <v>49</v>
      </c>
      <c r="D199" s="370"/>
      <c r="E199" s="370" t="s">
        <v>404</v>
      </c>
      <c r="F199" s="370" t="s">
        <v>73</v>
      </c>
      <c r="G199" s="370"/>
      <c r="H199" s="371" t="s">
        <v>405</v>
      </c>
      <c r="I199" s="371" t="s">
        <v>5385</v>
      </c>
      <c r="J199" s="369">
        <v>44967</v>
      </c>
      <c r="K199" s="747">
        <v>0.375</v>
      </c>
      <c r="L199" s="369">
        <v>44967</v>
      </c>
      <c r="M199" s="753">
        <v>0.79166666666666663</v>
      </c>
      <c r="N199" s="373">
        <v>8</v>
      </c>
      <c r="O199" s="374" t="s">
        <v>17</v>
      </c>
      <c r="P199" s="375" t="s">
        <v>407</v>
      </c>
      <c r="Q199" s="744" t="s">
        <v>295</v>
      </c>
      <c r="R199" s="202" t="s">
        <v>40</v>
      </c>
      <c r="S199" s="31" t="s">
        <v>273</v>
      </c>
      <c r="T199" s="31" t="s">
        <v>273</v>
      </c>
      <c r="U199" s="31">
        <f>IFERROR(VLOOKUP(CONCATENATE(Tabla1[[#This Row],[Severidad]]," ",Tabla1[[#This Row],[Complejidad]]),Catalogos!E$120:G$128,3,FALSE),"")</f>
        <v>64</v>
      </c>
      <c r="V199" s="31" t="str">
        <f>IF(Tabla1[[#This Row],[Tiempo solución max (hrs)]]&lt;&gt;"",IF(Tabla1[[#This Row],[Tiempo solución max (hrs)]]&gt;=Tabla1[[#This Row],[Tiempo
(Hrs 00/100)]],"cumple","no cumple"),"")</f>
        <v>cumple</v>
      </c>
      <c r="W199" s="376" t="s">
        <v>495</v>
      </c>
      <c r="X199" s="377" t="str">
        <f t="shared" si="43"/>
        <v>SAI</v>
      </c>
      <c r="Y199" t="str">
        <f>SUBSTITUTE(Tabla1[[#This Row],[Descripción]],CHAR(10),"    I    ")</f>
        <v>Se han trabajado y actualizado todos los módulos a petición de los clientes del sistema SIPRON II</v>
      </c>
      <c r="Z199" s="378">
        <f>VLOOKUP(Tabla1[[#This Row],[Perfil]],Catalogos!$B$75:$D$100,3,FALSE)*Tabla1[[#This Row],[Tiempo
(Hrs 00/100)]]*1.16</f>
        <v>6496</v>
      </c>
    </row>
    <row r="200" spans="1:26" ht="42.75" customHeight="1" x14ac:dyDescent="0.3">
      <c r="A200" s="370" t="s">
        <v>22</v>
      </c>
      <c r="B200" s="370" t="s">
        <v>62</v>
      </c>
      <c r="C200" s="370" t="s">
        <v>49</v>
      </c>
      <c r="D200" s="382"/>
      <c r="E200" s="370" t="s">
        <v>404</v>
      </c>
      <c r="F200" s="370" t="s">
        <v>73</v>
      </c>
      <c r="G200" s="370"/>
      <c r="H200" s="371" t="s">
        <v>405</v>
      </c>
      <c r="I200" s="371" t="s">
        <v>5386</v>
      </c>
      <c r="J200" s="369">
        <v>44970</v>
      </c>
      <c r="K200" s="747">
        <v>0.375</v>
      </c>
      <c r="L200" s="369">
        <v>44970</v>
      </c>
      <c r="M200" s="753">
        <v>0.79166666666666663</v>
      </c>
      <c r="N200" s="373">
        <v>8</v>
      </c>
      <c r="O200" s="374" t="s">
        <v>406</v>
      </c>
      <c r="P200" s="375" t="s">
        <v>407</v>
      </c>
      <c r="Q200" s="744" t="s">
        <v>295</v>
      </c>
      <c r="R200" s="202" t="s">
        <v>40</v>
      </c>
      <c r="S200" s="31" t="s">
        <v>273</v>
      </c>
      <c r="T200" s="31" t="s">
        <v>273</v>
      </c>
      <c r="U200" s="31">
        <f>IFERROR(VLOOKUP(CONCATENATE(Tabla1[[#This Row],[Severidad]]," ",Tabla1[[#This Row],[Complejidad]]),Catalogos!E$120:G$128,3,FALSE),"")</f>
        <v>64</v>
      </c>
      <c r="V200" s="31" t="str">
        <f>IF(Tabla1[[#This Row],[Tiempo solución max (hrs)]]&lt;&gt;"",IF(Tabla1[[#This Row],[Tiempo solución max (hrs)]]&gt;=Tabla1[[#This Row],[Tiempo
(Hrs 00/100)]],"cumple","no cumple"),"")</f>
        <v>cumple</v>
      </c>
      <c r="W200" s="376" t="s">
        <v>495</v>
      </c>
      <c r="X200" s="377" t="str">
        <f t="shared" si="33"/>
        <v>SAI</v>
      </c>
      <c r="Y200" t="str">
        <f>SUBSTITUTE(Tabla1[[#This Row],[Descripción]],CHAR(10),"    I    ")</f>
        <v>Se han trabajado y actualizado todos los módulos a petición de los clientes del sistema SIPRON III</v>
      </c>
      <c r="Z200" s="378">
        <f>VLOOKUP(Tabla1[[#This Row],[Perfil]],Catalogos!$B$75:$D$100,3,FALSE)*Tabla1[[#This Row],[Tiempo
(Hrs 00/100)]]*1.16</f>
        <v>6496</v>
      </c>
    </row>
    <row r="201" spans="1:26" ht="42.75" customHeight="1" x14ac:dyDescent="0.3">
      <c r="A201" s="370" t="s">
        <v>22</v>
      </c>
      <c r="B201" s="370" t="s">
        <v>62</v>
      </c>
      <c r="C201" s="370" t="s">
        <v>49</v>
      </c>
      <c r="D201" s="382"/>
      <c r="E201" s="370" t="s">
        <v>404</v>
      </c>
      <c r="F201" s="370" t="s">
        <v>73</v>
      </c>
      <c r="G201" s="370"/>
      <c r="H201" s="371" t="s">
        <v>405</v>
      </c>
      <c r="I201" s="371" t="s">
        <v>5386</v>
      </c>
      <c r="J201" s="369">
        <v>44971</v>
      </c>
      <c r="K201" s="747">
        <v>0.375</v>
      </c>
      <c r="L201" s="369">
        <v>44971</v>
      </c>
      <c r="M201" s="753">
        <v>0.79166666666666663</v>
      </c>
      <c r="N201" s="373">
        <v>8</v>
      </c>
      <c r="O201" s="374" t="s">
        <v>406</v>
      </c>
      <c r="P201" s="375" t="s">
        <v>407</v>
      </c>
      <c r="Q201" s="744" t="s">
        <v>295</v>
      </c>
      <c r="R201" s="202" t="s">
        <v>40</v>
      </c>
      <c r="S201" s="31" t="s">
        <v>273</v>
      </c>
      <c r="T201" s="31" t="s">
        <v>273</v>
      </c>
      <c r="U201" s="31">
        <f>IFERROR(VLOOKUP(CONCATENATE(Tabla1[[#This Row],[Severidad]]," ",Tabla1[[#This Row],[Complejidad]]),Catalogos!E$120:G$128,3,FALSE),"")</f>
        <v>64</v>
      </c>
      <c r="V201" s="31" t="str">
        <f>IF(Tabla1[[#This Row],[Tiempo solución max (hrs)]]&lt;&gt;"",IF(Tabla1[[#This Row],[Tiempo solución max (hrs)]]&gt;=Tabla1[[#This Row],[Tiempo
(Hrs 00/100)]],"cumple","no cumple"),"")</f>
        <v>cumple</v>
      </c>
      <c r="W201" s="376" t="s">
        <v>495</v>
      </c>
      <c r="X201" s="377" t="str">
        <f t="shared" ref="X201:X204" si="44">IF(C201&lt;&gt;"",C201,D201)</f>
        <v>SAI</v>
      </c>
      <c r="Y201" t="str">
        <f>SUBSTITUTE(Tabla1[[#This Row],[Descripción]],CHAR(10),"    I    ")</f>
        <v>Se han trabajado y actualizado todos los módulos a petición de los clientes del sistema SIPRON III</v>
      </c>
      <c r="Z201" s="378">
        <f>VLOOKUP(Tabla1[[#This Row],[Perfil]],Catalogos!$B$75:$D$100,3,FALSE)*Tabla1[[#This Row],[Tiempo
(Hrs 00/100)]]*1.16</f>
        <v>6496</v>
      </c>
    </row>
    <row r="202" spans="1:26" ht="42.75" customHeight="1" x14ac:dyDescent="0.3">
      <c r="A202" s="370" t="s">
        <v>22</v>
      </c>
      <c r="B202" s="370" t="s">
        <v>62</v>
      </c>
      <c r="C202" s="370" t="s">
        <v>49</v>
      </c>
      <c r="D202" s="382"/>
      <c r="E202" s="370" t="s">
        <v>404</v>
      </c>
      <c r="F202" s="370" t="s">
        <v>73</v>
      </c>
      <c r="G202" s="370"/>
      <c r="H202" s="371" t="s">
        <v>405</v>
      </c>
      <c r="I202" s="371" t="s">
        <v>5386</v>
      </c>
      <c r="J202" s="369">
        <v>44972</v>
      </c>
      <c r="K202" s="747">
        <v>0.375</v>
      </c>
      <c r="L202" s="369">
        <v>44972</v>
      </c>
      <c r="M202" s="753">
        <v>0.79166666666666663</v>
      </c>
      <c r="N202" s="373">
        <v>8</v>
      </c>
      <c r="O202" s="374" t="s">
        <v>406</v>
      </c>
      <c r="P202" s="375" t="s">
        <v>407</v>
      </c>
      <c r="Q202" s="744" t="s">
        <v>295</v>
      </c>
      <c r="R202" s="202" t="s">
        <v>40</v>
      </c>
      <c r="S202" s="31" t="s">
        <v>273</v>
      </c>
      <c r="T202" s="31" t="s">
        <v>273</v>
      </c>
      <c r="U202" s="31">
        <f>IFERROR(VLOOKUP(CONCATENATE(Tabla1[[#This Row],[Severidad]]," ",Tabla1[[#This Row],[Complejidad]]),Catalogos!E$120:G$128,3,FALSE),"")</f>
        <v>64</v>
      </c>
      <c r="V202" s="31" t="str">
        <f>IF(Tabla1[[#This Row],[Tiempo solución max (hrs)]]&lt;&gt;"",IF(Tabla1[[#This Row],[Tiempo solución max (hrs)]]&gt;=Tabla1[[#This Row],[Tiempo
(Hrs 00/100)]],"cumple","no cumple"),"")</f>
        <v>cumple</v>
      </c>
      <c r="W202" s="376" t="s">
        <v>495</v>
      </c>
      <c r="X202" s="377" t="str">
        <f t="shared" si="44"/>
        <v>SAI</v>
      </c>
      <c r="Y202" t="str">
        <f>SUBSTITUTE(Tabla1[[#This Row],[Descripción]],CHAR(10),"    I    ")</f>
        <v>Se han trabajado y actualizado todos los módulos a petición de los clientes del sistema SIPRON III</v>
      </c>
      <c r="Z202" s="378">
        <f>VLOOKUP(Tabla1[[#This Row],[Perfil]],Catalogos!$B$75:$D$100,3,FALSE)*Tabla1[[#This Row],[Tiempo
(Hrs 00/100)]]*1.16</f>
        <v>6496</v>
      </c>
    </row>
    <row r="203" spans="1:26" ht="42.75" customHeight="1" x14ac:dyDescent="0.3">
      <c r="A203" s="370" t="s">
        <v>22</v>
      </c>
      <c r="B203" s="370" t="s">
        <v>62</v>
      </c>
      <c r="C203" s="370" t="s">
        <v>49</v>
      </c>
      <c r="D203" s="382"/>
      <c r="E203" s="370" t="s">
        <v>404</v>
      </c>
      <c r="F203" s="370" t="s">
        <v>73</v>
      </c>
      <c r="G203" s="370"/>
      <c r="H203" s="371" t="s">
        <v>405</v>
      </c>
      <c r="I203" s="371" t="s">
        <v>5386</v>
      </c>
      <c r="J203" s="369">
        <v>44973</v>
      </c>
      <c r="K203" s="747">
        <v>0.375</v>
      </c>
      <c r="L203" s="369">
        <v>44973</v>
      </c>
      <c r="M203" s="753">
        <v>0.79166666666666663</v>
      </c>
      <c r="N203" s="373">
        <v>8</v>
      </c>
      <c r="O203" s="374" t="s">
        <v>406</v>
      </c>
      <c r="P203" s="375" t="s">
        <v>407</v>
      </c>
      <c r="Q203" s="744" t="s">
        <v>295</v>
      </c>
      <c r="R203" s="202" t="s">
        <v>40</v>
      </c>
      <c r="S203" s="31" t="s">
        <v>273</v>
      </c>
      <c r="T203" s="31" t="s">
        <v>273</v>
      </c>
      <c r="U203" s="31">
        <f>IFERROR(VLOOKUP(CONCATENATE(Tabla1[[#This Row],[Severidad]]," ",Tabla1[[#This Row],[Complejidad]]),Catalogos!E$120:G$128,3,FALSE),"")</f>
        <v>64</v>
      </c>
      <c r="V203" s="31" t="str">
        <f>IF(Tabla1[[#This Row],[Tiempo solución max (hrs)]]&lt;&gt;"",IF(Tabla1[[#This Row],[Tiempo solución max (hrs)]]&gt;=Tabla1[[#This Row],[Tiempo
(Hrs 00/100)]],"cumple","no cumple"),"")</f>
        <v>cumple</v>
      </c>
      <c r="W203" s="376" t="s">
        <v>495</v>
      </c>
      <c r="X203" s="377" t="str">
        <f t="shared" si="44"/>
        <v>SAI</v>
      </c>
      <c r="Y203" t="str">
        <f>SUBSTITUTE(Tabla1[[#This Row],[Descripción]],CHAR(10),"    I    ")</f>
        <v>Se han trabajado y actualizado todos los módulos a petición de los clientes del sistema SIPRON III</v>
      </c>
      <c r="Z203" s="378">
        <f>VLOOKUP(Tabla1[[#This Row],[Perfil]],Catalogos!$B$75:$D$100,3,FALSE)*Tabla1[[#This Row],[Tiempo
(Hrs 00/100)]]*1.16</f>
        <v>6496</v>
      </c>
    </row>
    <row r="204" spans="1:26" ht="42.75" customHeight="1" x14ac:dyDescent="0.3">
      <c r="A204" s="370" t="s">
        <v>22</v>
      </c>
      <c r="B204" s="370" t="s">
        <v>62</v>
      </c>
      <c r="C204" s="370" t="s">
        <v>49</v>
      </c>
      <c r="D204" s="382"/>
      <c r="E204" s="370" t="s">
        <v>404</v>
      </c>
      <c r="F204" s="370" t="s">
        <v>73</v>
      </c>
      <c r="G204" s="370"/>
      <c r="H204" s="371" t="s">
        <v>405</v>
      </c>
      <c r="I204" s="371" t="s">
        <v>5386</v>
      </c>
      <c r="J204" s="369">
        <v>44974</v>
      </c>
      <c r="K204" s="747">
        <v>0.375</v>
      </c>
      <c r="L204" s="369">
        <v>44974</v>
      </c>
      <c r="M204" s="753">
        <v>0.79166666666666663</v>
      </c>
      <c r="N204" s="373">
        <v>8</v>
      </c>
      <c r="O204" s="374" t="s">
        <v>17</v>
      </c>
      <c r="P204" s="375" t="s">
        <v>407</v>
      </c>
      <c r="Q204" s="744" t="s">
        <v>295</v>
      </c>
      <c r="R204" s="202" t="s">
        <v>40</v>
      </c>
      <c r="S204" s="31" t="s">
        <v>273</v>
      </c>
      <c r="T204" s="31" t="s">
        <v>273</v>
      </c>
      <c r="U204" s="31">
        <f>IFERROR(VLOOKUP(CONCATENATE(Tabla1[[#This Row],[Severidad]]," ",Tabla1[[#This Row],[Complejidad]]),Catalogos!E$120:G$128,3,FALSE),"")</f>
        <v>64</v>
      </c>
      <c r="V204" s="31" t="str">
        <f>IF(Tabla1[[#This Row],[Tiempo solución max (hrs)]]&lt;&gt;"",IF(Tabla1[[#This Row],[Tiempo solución max (hrs)]]&gt;=Tabla1[[#This Row],[Tiempo
(Hrs 00/100)]],"cumple","no cumple"),"")</f>
        <v>cumple</v>
      </c>
      <c r="W204" s="376" t="s">
        <v>495</v>
      </c>
      <c r="X204" s="377" t="str">
        <f t="shared" si="44"/>
        <v>SAI</v>
      </c>
      <c r="Y204" t="str">
        <f>SUBSTITUTE(Tabla1[[#This Row],[Descripción]],CHAR(10),"    I    ")</f>
        <v>Se han trabajado y actualizado todos los módulos a petición de los clientes del sistema SIPRON III</v>
      </c>
      <c r="Z204" s="378">
        <f>VLOOKUP(Tabla1[[#This Row],[Perfil]],Catalogos!$B$75:$D$100,3,FALSE)*Tabla1[[#This Row],[Tiempo
(Hrs 00/100)]]*1.16</f>
        <v>6496</v>
      </c>
    </row>
    <row r="205" spans="1:26" ht="42.75" customHeight="1" x14ac:dyDescent="0.3">
      <c r="A205" s="370" t="s">
        <v>22</v>
      </c>
      <c r="B205" s="370" t="s">
        <v>62</v>
      </c>
      <c r="C205" s="370" t="s">
        <v>49</v>
      </c>
      <c r="D205" s="382"/>
      <c r="E205" s="370" t="s">
        <v>404</v>
      </c>
      <c r="F205" s="370" t="s">
        <v>73</v>
      </c>
      <c r="G205" s="370"/>
      <c r="H205" s="371" t="s">
        <v>405</v>
      </c>
      <c r="I205" s="371" t="s">
        <v>5387</v>
      </c>
      <c r="J205" s="369">
        <v>44977</v>
      </c>
      <c r="K205" s="747">
        <v>0.375</v>
      </c>
      <c r="L205" s="369">
        <v>44977</v>
      </c>
      <c r="M205" s="753">
        <v>0.79166666666666663</v>
      </c>
      <c r="N205" s="210">
        <v>8</v>
      </c>
      <c r="O205" s="374" t="s">
        <v>406</v>
      </c>
      <c r="P205" s="375" t="s">
        <v>543</v>
      </c>
      <c r="Q205" s="744" t="s">
        <v>295</v>
      </c>
      <c r="R205" s="202" t="s">
        <v>40</v>
      </c>
      <c r="S205" s="31" t="s">
        <v>273</v>
      </c>
      <c r="T205" s="31" t="s">
        <v>273</v>
      </c>
      <c r="U205" s="31">
        <f>IFERROR(VLOOKUP(CONCATENATE(Tabla1[[#This Row],[Severidad]]," ",Tabla1[[#This Row],[Complejidad]]),Catalogos!E$120:G$128,3,FALSE),"")</f>
        <v>64</v>
      </c>
      <c r="V205" s="31" t="str">
        <f>IF(Tabla1[[#This Row],[Tiempo solución max (hrs)]]&lt;&gt;"",IF(Tabla1[[#This Row],[Tiempo solución max (hrs)]]&gt;=Tabla1[[#This Row],[Tiempo
(Hrs 00/100)]],"cumple","no cumple"),"")</f>
        <v>cumple</v>
      </c>
      <c r="W205" s="376" t="s">
        <v>495</v>
      </c>
      <c r="X205" s="377" t="str">
        <f t="shared" si="33"/>
        <v>SAI</v>
      </c>
      <c r="Y205" t="str">
        <f>SUBSTITUTE(Tabla1[[#This Row],[Descripción]],CHAR(10),"    I    ")</f>
        <v>Se han trabajado y actualizado todos los módulos a petición de los clientes del sistema SIPRON IV</v>
      </c>
      <c r="Z205" s="378">
        <f>VLOOKUP(Tabla1[[#This Row],[Perfil]],Catalogos!$B$75:$D$100,3,FALSE)*Tabla1[[#This Row],[Tiempo
(Hrs 00/100)]]*1.16</f>
        <v>6496</v>
      </c>
    </row>
    <row r="206" spans="1:26" ht="42.75" customHeight="1" x14ac:dyDescent="0.3">
      <c r="A206" s="370" t="s">
        <v>22</v>
      </c>
      <c r="B206" s="370" t="s">
        <v>62</v>
      </c>
      <c r="C206" s="370" t="s">
        <v>49</v>
      </c>
      <c r="D206" s="382"/>
      <c r="E206" s="370" t="s">
        <v>404</v>
      </c>
      <c r="F206" s="370" t="s">
        <v>73</v>
      </c>
      <c r="G206" s="370"/>
      <c r="H206" s="371" t="s">
        <v>405</v>
      </c>
      <c r="I206" s="371" t="s">
        <v>5387</v>
      </c>
      <c r="J206" s="369">
        <v>44978</v>
      </c>
      <c r="K206" s="747">
        <v>0.375</v>
      </c>
      <c r="L206" s="369">
        <v>44978</v>
      </c>
      <c r="M206" s="753">
        <v>0.79166666666666663</v>
      </c>
      <c r="N206" s="210">
        <v>8</v>
      </c>
      <c r="O206" s="374" t="s">
        <v>406</v>
      </c>
      <c r="P206" s="375" t="s">
        <v>543</v>
      </c>
      <c r="Q206" s="744" t="s">
        <v>295</v>
      </c>
      <c r="R206" s="202" t="s">
        <v>40</v>
      </c>
      <c r="S206" s="31" t="s">
        <v>273</v>
      </c>
      <c r="T206" s="31" t="s">
        <v>273</v>
      </c>
      <c r="U206" s="31">
        <f>IFERROR(VLOOKUP(CONCATENATE(Tabla1[[#This Row],[Severidad]]," ",Tabla1[[#This Row],[Complejidad]]),Catalogos!E$120:G$128,3,FALSE),"")</f>
        <v>64</v>
      </c>
      <c r="V206" s="31" t="str">
        <f>IF(Tabla1[[#This Row],[Tiempo solución max (hrs)]]&lt;&gt;"",IF(Tabla1[[#This Row],[Tiempo solución max (hrs)]]&gt;=Tabla1[[#This Row],[Tiempo
(Hrs 00/100)]],"cumple","no cumple"),"")</f>
        <v>cumple</v>
      </c>
      <c r="W206" s="376" t="s">
        <v>495</v>
      </c>
      <c r="X206" s="377" t="str">
        <f t="shared" ref="X206:X209" si="45">IF(C206&lt;&gt;"",C206,D206)</f>
        <v>SAI</v>
      </c>
      <c r="Y206" t="str">
        <f>SUBSTITUTE(Tabla1[[#This Row],[Descripción]],CHAR(10),"    I    ")</f>
        <v>Se han trabajado y actualizado todos los módulos a petición de los clientes del sistema SIPRON IV</v>
      </c>
      <c r="Z206" s="378">
        <f>VLOOKUP(Tabla1[[#This Row],[Perfil]],Catalogos!$B$75:$D$100,3,FALSE)*Tabla1[[#This Row],[Tiempo
(Hrs 00/100)]]*1.16</f>
        <v>6496</v>
      </c>
    </row>
    <row r="207" spans="1:26" ht="42.75" customHeight="1" x14ac:dyDescent="0.3">
      <c r="A207" s="370" t="s">
        <v>22</v>
      </c>
      <c r="B207" s="370" t="s">
        <v>62</v>
      </c>
      <c r="C207" s="370" t="s">
        <v>49</v>
      </c>
      <c r="D207" s="382"/>
      <c r="E207" s="370" t="s">
        <v>404</v>
      </c>
      <c r="F207" s="370" t="s">
        <v>73</v>
      </c>
      <c r="G207" s="370"/>
      <c r="H207" s="371" t="s">
        <v>405</v>
      </c>
      <c r="I207" s="371" t="s">
        <v>5387</v>
      </c>
      <c r="J207" s="369">
        <v>44979</v>
      </c>
      <c r="K207" s="747">
        <v>0.375</v>
      </c>
      <c r="L207" s="369">
        <v>44979</v>
      </c>
      <c r="M207" s="753">
        <v>0.79166666666666663</v>
      </c>
      <c r="N207" s="210">
        <v>8</v>
      </c>
      <c r="O207" s="374" t="s">
        <v>406</v>
      </c>
      <c r="P207" s="375" t="s">
        <v>543</v>
      </c>
      <c r="Q207" s="744" t="s">
        <v>295</v>
      </c>
      <c r="R207" s="202" t="s">
        <v>40</v>
      </c>
      <c r="S207" s="31" t="s">
        <v>273</v>
      </c>
      <c r="T207" s="31" t="s">
        <v>273</v>
      </c>
      <c r="U207" s="31">
        <f>IFERROR(VLOOKUP(CONCATENATE(Tabla1[[#This Row],[Severidad]]," ",Tabla1[[#This Row],[Complejidad]]),Catalogos!E$120:G$128,3,FALSE),"")</f>
        <v>64</v>
      </c>
      <c r="V207" s="31" t="str">
        <f>IF(Tabla1[[#This Row],[Tiempo solución max (hrs)]]&lt;&gt;"",IF(Tabla1[[#This Row],[Tiempo solución max (hrs)]]&gt;=Tabla1[[#This Row],[Tiempo
(Hrs 00/100)]],"cumple","no cumple"),"")</f>
        <v>cumple</v>
      </c>
      <c r="W207" s="376" t="s">
        <v>495</v>
      </c>
      <c r="X207" s="377" t="str">
        <f t="shared" si="45"/>
        <v>SAI</v>
      </c>
      <c r="Y207" t="str">
        <f>SUBSTITUTE(Tabla1[[#This Row],[Descripción]],CHAR(10),"    I    ")</f>
        <v>Se han trabajado y actualizado todos los módulos a petición de los clientes del sistema SIPRON IV</v>
      </c>
      <c r="Z207" s="378">
        <f>VLOOKUP(Tabla1[[#This Row],[Perfil]],Catalogos!$B$75:$D$100,3,FALSE)*Tabla1[[#This Row],[Tiempo
(Hrs 00/100)]]*1.16</f>
        <v>6496</v>
      </c>
    </row>
    <row r="208" spans="1:26" ht="42.75" customHeight="1" x14ac:dyDescent="0.3">
      <c r="A208" s="370" t="s">
        <v>22</v>
      </c>
      <c r="B208" s="370" t="s">
        <v>62</v>
      </c>
      <c r="C208" s="370" t="s">
        <v>49</v>
      </c>
      <c r="D208" s="382"/>
      <c r="E208" s="370" t="s">
        <v>404</v>
      </c>
      <c r="F208" s="370" t="s">
        <v>73</v>
      </c>
      <c r="G208" s="370"/>
      <c r="H208" s="371" t="s">
        <v>405</v>
      </c>
      <c r="I208" s="371" t="s">
        <v>5387</v>
      </c>
      <c r="J208" s="369">
        <v>44980</v>
      </c>
      <c r="K208" s="747">
        <v>0.375</v>
      </c>
      <c r="L208" s="369">
        <v>44980</v>
      </c>
      <c r="M208" s="753">
        <v>0.79166666666666663</v>
      </c>
      <c r="N208" s="210">
        <v>8</v>
      </c>
      <c r="O208" s="374" t="s">
        <v>406</v>
      </c>
      <c r="P208" s="375" t="s">
        <v>543</v>
      </c>
      <c r="Q208" s="744" t="s">
        <v>295</v>
      </c>
      <c r="R208" s="202" t="s">
        <v>40</v>
      </c>
      <c r="S208" s="31" t="s">
        <v>273</v>
      </c>
      <c r="T208" s="31" t="s">
        <v>273</v>
      </c>
      <c r="U208" s="31">
        <f>IFERROR(VLOOKUP(CONCATENATE(Tabla1[[#This Row],[Severidad]]," ",Tabla1[[#This Row],[Complejidad]]),Catalogos!E$120:G$128,3,FALSE),"")</f>
        <v>64</v>
      </c>
      <c r="V208" s="31" t="str">
        <f>IF(Tabla1[[#This Row],[Tiempo solución max (hrs)]]&lt;&gt;"",IF(Tabla1[[#This Row],[Tiempo solución max (hrs)]]&gt;=Tabla1[[#This Row],[Tiempo
(Hrs 00/100)]],"cumple","no cumple"),"")</f>
        <v>cumple</v>
      </c>
      <c r="W208" s="376" t="s">
        <v>495</v>
      </c>
      <c r="X208" s="377" t="str">
        <f t="shared" si="45"/>
        <v>SAI</v>
      </c>
      <c r="Y208" t="str">
        <f>SUBSTITUTE(Tabla1[[#This Row],[Descripción]],CHAR(10),"    I    ")</f>
        <v>Se han trabajado y actualizado todos los módulos a petición de los clientes del sistema SIPRON IV</v>
      </c>
      <c r="Z208" s="378">
        <f>VLOOKUP(Tabla1[[#This Row],[Perfil]],Catalogos!$B$75:$D$100,3,FALSE)*Tabla1[[#This Row],[Tiempo
(Hrs 00/100)]]*1.16</f>
        <v>6496</v>
      </c>
    </row>
    <row r="209" spans="1:26" ht="42.75" customHeight="1" x14ac:dyDescent="0.3">
      <c r="A209" s="370" t="s">
        <v>22</v>
      </c>
      <c r="B209" s="370" t="s">
        <v>62</v>
      </c>
      <c r="C209" s="370" t="s">
        <v>49</v>
      </c>
      <c r="D209" s="382"/>
      <c r="E209" s="370" t="s">
        <v>404</v>
      </c>
      <c r="F209" s="370" t="s">
        <v>73</v>
      </c>
      <c r="G209" s="370"/>
      <c r="H209" s="371" t="s">
        <v>405</v>
      </c>
      <c r="I209" s="371" t="s">
        <v>5387</v>
      </c>
      <c r="J209" s="369">
        <v>44981</v>
      </c>
      <c r="K209" s="747">
        <v>0.375</v>
      </c>
      <c r="L209" s="369">
        <v>44981</v>
      </c>
      <c r="M209" s="753">
        <v>0.79166666666666663</v>
      </c>
      <c r="N209" s="210">
        <v>8</v>
      </c>
      <c r="O209" s="374" t="s">
        <v>17</v>
      </c>
      <c r="P209" s="375" t="s">
        <v>543</v>
      </c>
      <c r="Q209" s="744" t="s">
        <v>295</v>
      </c>
      <c r="R209" s="202" t="s">
        <v>40</v>
      </c>
      <c r="S209" s="31" t="s">
        <v>273</v>
      </c>
      <c r="T209" s="31" t="s">
        <v>273</v>
      </c>
      <c r="U209" s="31">
        <f>IFERROR(VLOOKUP(CONCATENATE(Tabla1[[#This Row],[Severidad]]," ",Tabla1[[#This Row],[Complejidad]]),Catalogos!E$120:G$128,3,FALSE),"")</f>
        <v>64</v>
      </c>
      <c r="V209" s="31" t="str">
        <f>IF(Tabla1[[#This Row],[Tiempo solución max (hrs)]]&lt;&gt;"",IF(Tabla1[[#This Row],[Tiempo solución max (hrs)]]&gt;=Tabla1[[#This Row],[Tiempo
(Hrs 00/100)]],"cumple","no cumple"),"")</f>
        <v>cumple</v>
      </c>
      <c r="W209" s="376" t="s">
        <v>495</v>
      </c>
      <c r="X209" s="377" t="str">
        <f t="shared" si="45"/>
        <v>SAI</v>
      </c>
      <c r="Y209" t="str">
        <f>SUBSTITUTE(Tabla1[[#This Row],[Descripción]],CHAR(10),"    I    ")</f>
        <v>Se han trabajado y actualizado todos los módulos a petición de los clientes del sistema SIPRON IV</v>
      </c>
      <c r="Z209" s="378">
        <f>VLOOKUP(Tabla1[[#This Row],[Perfil]],Catalogos!$B$75:$D$100,3,FALSE)*Tabla1[[#This Row],[Tiempo
(Hrs 00/100)]]*1.16</f>
        <v>6496</v>
      </c>
    </row>
    <row r="210" spans="1:26" ht="42.75" customHeight="1" x14ac:dyDescent="0.3">
      <c r="A210" s="370" t="s">
        <v>22</v>
      </c>
      <c r="B210" s="370" t="s">
        <v>62</v>
      </c>
      <c r="C210" s="370" t="s">
        <v>49</v>
      </c>
      <c r="D210" s="370"/>
      <c r="E210" s="370" t="s">
        <v>404</v>
      </c>
      <c r="F210" s="370" t="s">
        <v>73</v>
      </c>
      <c r="G210" s="370"/>
      <c r="H210" s="371" t="s">
        <v>405</v>
      </c>
      <c r="I210" s="371" t="s">
        <v>5388</v>
      </c>
      <c r="J210" s="369">
        <v>44984</v>
      </c>
      <c r="K210" s="747">
        <v>0.375</v>
      </c>
      <c r="L210" s="369">
        <v>44984</v>
      </c>
      <c r="M210" s="753">
        <v>0.79166666666666663</v>
      </c>
      <c r="N210" s="373">
        <v>9</v>
      </c>
      <c r="O210" s="374" t="s">
        <v>406</v>
      </c>
      <c r="P210" s="375" t="s">
        <v>544</v>
      </c>
      <c r="Q210" s="744" t="s">
        <v>295</v>
      </c>
      <c r="R210" s="202" t="s">
        <v>40</v>
      </c>
      <c r="S210" s="31" t="s">
        <v>273</v>
      </c>
      <c r="T210" s="31" t="s">
        <v>273</v>
      </c>
      <c r="U210" s="31">
        <f>IFERROR(VLOOKUP(CONCATENATE(Tabla1[[#This Row],[Severidad]]," ",Tabla1[[#This Row],[Complejidad]]),Catalogos!E$120:G$128,3,FALSE),"")</f>
        <v>64</v>
      </c>
      <c r="V210" s="31" t="str">
        <f>IF(Tabla1[[#This Row],[Tiempo solución max (hrs)]]&lt;&gt;"",IF(Tabla1[[#This Row],[Tiempo solución max (hrs)]]&gt;=Tabla1[[#This Row],[Tiempo
(Hrs 00/100)]],"cumple","no cumple"),"")</f>
        <v>cumple</v>
      </c>
      <c r="W210" s="376" t="s">
        <v>495</v>
      </c>
      <c r="X210" s="377" t="str">
        <f t="shared" si="33"/>
        <v>SAI</v>
      </c>
      <c r="Y210" t="str">
        <f>SUBSTITUTE(Tabla1[[#This Row],[Descripción]],CHAR(10),"    I    ")</f>
        <v>Se han trabajado y actualizado todos los módulos a petición de los clientes del sistema SIPRON V</v>
      </c>
      <c r="Z210" s="378">
        <f>VLOOKUP(Tabla1[[#This Row],[Perfil]],Catalogos!$B$75:$D$100,3,FALSE)*Tabla1[[#This Row],[Tiempo
(Hrs 00/100)]]*1.16</f>
        <v>7307.9999999999991</v>
      </c>
    </row>
    <row r="211" spans="1:26" ht="42.75" customHeight="1" x14ac:dyDescent="0.3">
      <c r="A211" s="370" t="s">
        <v>22</v>
      </c>
      <c r="B211" s="370" t="s">
        <v>62</v>
      </c>
      <c r="C211" s="370" t="s">
        <v>49</v>
      </c>
      <c r="D211" s="370"/>
      <c r="E211" s="370" t="s">
        <v>404</v>
      </c>
      <c r="F211" s="370" t="s">
        <v>73</v>
      </c>
      <c r="G211" s="370"/>
      <c r="H211" s="371" t="s">
        <v>405</v>
      </c>
      <c r="I211" s="371" t="s">
        <v>5388</v>
      </c>
      <c r="J211" s="369">
        <v>44985</v>
      </c>
      <c r="K211" s="747">
        <v>0.375</v>
      </c>
      <c r="L211" s="369">
        <v>44985</v>
      </c>
      <c r="M211" s="753">
        <v>0.79166666666666663</v>
      </c>
      <c r="N211" s="373">
        <v>9</v>
      </c>
      <c r="O211" s="374" t="s">
        <v>406</v>
      </c>
      <c r="P211" s="375" t="s">
        <v>544</v>
      </c>
      <c r="Q211" s="744" t="s">
        <v>295</v>
      </c>
      <c r="R211" s="202" t="s">
        <v>40</v>
      </c>
      <c r="S211" s="31" t="s">
        <v>273</v>
      </c>
      <c r="T211" s="31" t="s">
        <v>273</v>
      </c>
      <c r="U211" s="31">
        <f>IFERROR(VLOOKUP(CONCATENATE(Tabla1[[#This Row],[Severidad]]," ",Tabla1[[#This Row],[Complejidad]]),Catalogos!E$120:G$128,3,FALSE),"")</f>
        <v>64</v>
      </c>
      <c r="V211" s="31" t="str">
        <f>IF(Tabla1[[#This Row],[Tiempo solución max (hrs)]]&lt;&gt;"",IF(Tabla1[[#This Row],[Tiempo solución max (hrs)]]&gt;=Tabla1[[#This Row],[Tiempo
(Hrs 00/100)]],"cumple","no cumple"),"")</f>
        <v>cumple</v>
      </c>
      <c r="W211" s="376" t="s">
        <v>495</v>
      </c>
      <c r="X211" s="377" t="str">
        <f t="shared" ref="X211" si="46">IF(C211&lt;&gt;"",C211,D211)</f>
        <v>SAI</v>
      </c>
      <c r="Y211" t="str">
        <f>SUBSTITUTE(Tabla1[[#This Row],[Descripción]],CHAR(10),"    I    ")</f>
        <v>Se han trabajado y actualizado todos los módulos a petición de los clientes del sistema SIPRON V</v>
      </c>
      <c r="Z211" s="378">
        <f>VLOOKUP(Tabla1[[#This Row],[Perfil]],Catalogos!$B$75:$D$100,3,FALSE)*Tabla1[[#This Row],[Tiempo
(Hrs 00/100)]]*1.16</f>
        <v>7307.9999999999991</v>
      </c>
    </row>
    <row r="212" spans="1:26" ht="42.75" customHeight="1" x14ac:dyDescent="0.3">
      <c r="A212" s="409" t="s">
        <v>73</v>
      </c>
      <c r="B212" s="409" t="s">
        <v>65</v>
      </c>
      <c r="C212" s="409" t="s">
        <v>45</v>
      </c>
      <c r="D212" s="409"/>
      <c r="E212" s="409" t="s">
        <v>545</v>
      </c>
      <c r="F212" s="409" t="s">
        <v>73</v>
      </c>
      <c r="G212" s="409"/>
      <c r="H212" s="410" t="s">
        <v>546</v>
      </c>
      <c r="I212" s="410" t="s">
        <v>547</v>
      </c>
      <c r="J212" s="411">
        <v>44958</v>
      </c>
      <c r="K212" s="747">
        <v>0.375</v>
      </c>
      <c r="L212" s="411">
        <v>44958</v>
      </c>
      <c r="M212" s="412">
        <v>0.83333333333333337</v>
      </c>
      <c r="N212" s="409">
        <v>10</v>
      </c>
      <c r="O212" s="413" t="s">
        <v>411</v>
      </c>
      <c r="P212" s="414"/>
      <c r="Q212" s="749" t="s">
        <v>548</v>
      </c>
      <c r="R212" s="53" t="s">
        <v>38</v>
      </c>
      <c r="S212" s="31" t="s">
        <v>273</v>
      </c>
      <c r="T212" s="31" t="s">
        <v>273</v>
      </c>
      <c r="U212" s="31">
        <f>IFERROR(VLOOKUP(CONCATENATE(Tabla1[[#This Row],[Severidad]]," ",Tabla1[[#This Row],[Complejidad]]),Catalogos!E$120:G$128,3,FALSE),"")</f>
        <v>64</v>
      </c>
      <c r="V212" s="31" t="str">
        <f>IF(Tabla1[[#This Row],[Tiempo solución max (hrs)]]&lt;&gt;"",IF(Tabla1[[#This Row],[Tiempo solución max (hrs)]]&gt;=Tabla1[[#This Row],[Tiempo
(Hrs 00/100)]],"cumple","no cumple"),"")</f>
        <v>cumple</v>
      </c>
      <c r="W212" s="376" t="s">
        <v>495</v>
      </c>
      <c r="X212" s="377" t="str">
        <f t="shared" si="33"/>
        <v>SPD</v>
      </c>
      <c r="Y212" t="str">
        <f>SUBSTITUTE(Tabla1[[#This Row],[Descripción]],CHAR(10),"    I    ")</f>
        <v>Elaboración de propuesta de 3 pantallas de entrada, creación del icono de información inteligente, diseño de pantalla de estadisticas y tendencias, elaboración de pantalla de solicitudes con reacomodo de 5 filtros.</v>
      </c>
      <c r="Z212" s="378">
        <f>VLOOKUP(Tabla1[[#This Row],[Perfil]],Catalogos!$B$75:$D$100,3,FALSE)*Tabla1[[#This Row],[Tiempo
(Hrs 00/100)]]*1.16</f>
        <v>4640</v>
      </c>
    </row>
    <row r="213" spans="1:26" ht="42.75" customHeight="1" x14ac:dyDescent="0.3">
      <c r="A213" s="409" t="s">
        <v>73</v>
      </c>
      <c r="B213" s="409" t="s">
        <v>65</v>
      </c>
      <c r="C213" s="409" t="s">
        <v>45</v>
      </c>
      <c r="D213" s="409"/>
      <c r="E213" s="409" t="s">
        <v>545</v>
      </c>
      <c r="F213" s="409" t="s">
        <v>73</v>
      </c>
      <c r="G213" s="409"/>
      <c r="H213" s="410" t="s">
        <v>546</v>
      </c>
      <c r="I213" s="410" t="s">
        <v>547</v>
      </c>
      <c r="J213" s="411">
        <v>44959</v>
      </c>
      <c r="K213" s="747">
        <v>0.375</v>
      </c>
      <c r="L213" s="411">
        <v>44959</v>
      </c>
      <c r="M213" s="412">
        <v>0.83333333333333337</v>
      </c>
      <c r="N213" s="409">
        <v>10</v>
      </c>
      <c r="O213" s="413" t="s">
        <v>411</v>
      </c>
      <c r="P213" s="414"/>
      <c r="Q213" s="749" t="s">
        <v>548</v>
      </c>
      <c r="R213" s="53" t="s">
        <v>38</v>
      </c>
      <c r="S213" s="31" t="s">
        <v>273</v>
      </c>
      <c r="T213" s="31" t="s">
        <v>273</v>
      </c>
      <c r="U213" s="31">
        <f>IFERROR(VLOOKUP(CONCATENATE(Tabla1[[#This Row],[Severidad]]," ",Tabla1[[#This Row],[Complejidad]]),Catalogos!E$120:G$128,3,FALSE),"")</f>
        <v>64</v>
      </c>
      <c r="V213" s="31" t="str">
        <f>IF(Tabla1[[#This Row],[Tiempo solución max (hrs)]]&lt;&gt;"",IF(Tabla1[[#This Row],[Tiempo solución max (hrs)]]&gt;=Tabla1[[#This Row],[Tiempo
(Hrs 00/100)]],"cumple","no cumple"),"")</f>
        <v>cumple</v>
      </c>
      <c r="W213" s="376" t="s">
        <v>495</v>
      </c>
      <c r="X213" s="377" t="str">
        <f t="shared" ref="X213:X216" si="47">IF(C213&lt;&gt;"",C213,D213)</f>
        <v>SPD</v>
      </c>
      <c r="Y213" t="str">
        <f>SUBSTITUTE(Tabla1[[#This Row],[Descripción]],CHAR(10),"    I    ")</f>
        <v>Elaboración de propuesta de 3 pantallas de entrada, creación del icono de información inteligente, diseño de pantalla de estadisticas y tendencias, elaboración de pantalla de solicitudes con reacomodo de 5 filtros.</v>
      </c>
      <c r="Z213" s="378">
        <f>VLOOKUP(Tabla1[[#This Row],[Perfil]],Catalogos!$B$75:$D$100,3,FALSE)*Tabla1[[#This Row],[Tiempo
(Hrs 00/100)]]*1.16</f>
        <v>4640</v>
      </c>
    </row>
    <row r="214" spans="1:26" ht="42.75" customHeight="1" x14ac:dyDescent="0.3">
      <c r="A214" s="409" t="s">
        <v>73</v>
      </c>
      <c r="B214" s="409" t="s">
        <v>65</v>
      </c>
      <c r="C214" s="409" t="s">
        <v>45</v>
      </c>
      <c r="D214" s="409"/>
      <c r="E214" s="409" t="s">
        <v>545</v>
      </c>
      <c r="F214" s="409" t="s">
        <v>73</v>
      </c>
      <c r="G214" s="409"/>
      <c r="H214" s="410" t="s">
        <v>546</v>
      </c>
      <c r="I214" s="410" t="s">
        <v>547</v>
      </c>
      <c r="J214" s="411">
        <v>44960</v>
      </c>
      <c r="K214" s="747">
        <v>0.375</v>
      </c>
      <c r="L214" s="411">
        <v>44960</v>
      </c>
      <c r="M214" s="412">
        <v>0.83333333333333337</v>
      </c>
      <c r="N214" s="409">
        <v>10</v>
      </c>
      <c r="O214" s="413" t="s">
        <v>411</v>
      </c>
      <c r="P214" s="414"/>
      <c r="Q214" s="749" t="s">
        <v>548</v>
      </c>
      <c r="R214" s="53" t="s">
        <v>38</v>
      </c>
      <c r="S214" s="31" t="s">
        <v>273</v>
      </c>
      <c r="T214" s="31" t="s">
        <v>273</v>
      </c>
      <c r="U214" s="31">
        <f>IFERROR(VLOOKUP(CONCATENATE(Tabla1[[#This Row],[Severidad]]," ",Tabla1[[#This Row],[Complejidad]]),Catalogos!E$120:G$128,3,FALSE),"")</f>
        <v>64</v>
      </c>
      <c r="V214" s="31" t="str">
        <f>IF(Tabla1[[#This Row],[Tiempo solución max (hrs)]]&lt;&gt;"",IF(Tabla1[[#This Row],[Tiempo solución max (hrs)]]&gt;=Tabla1[[#This Row],[Tiempo
(Hrs 00/100)]],"cumple","no cumple"),"")</f>
        <v>cumple</v>
      </c>
      <c r="W214" s="376" t="s">
        <v>495</v>
      </c>
      <c r="X214" s="377" t="str">
        <f t="shared" si="47"/>
        <v>SPD</v>
      </c>
      <c r="Y214" t="str">
        <f>SUBSTITUTE(Tabla1[[#This Row],[Descripción]],CHAR(10),"    I    ")</f>
        <v>Elaboración de propuesta de 3 pantallas de entrada, creación del icono de información inteligente, diseño de pantalla de estadisticas y tendencias, elaboración de pantalla de solicitudes con reacomodo de 5 filtros.</v>
      </c>
      <c r="Z214" s="378">
        <f>VLOOKUP(Tabla1[[#This Row],[Perfil]],Catalogos!$B$75:$D$100,3,FALSE)*Tabla1[[#This Row],[Tiempo
(Hrs 00/100)]]*1.16</f>
        <v>4640</v>
      </c>
    </row>
    <row r="215" spans="1:26" ht="42.75" customHeight="1" x14ac:dyDescent="0.3">
      <c r="A215" s="409" t="s">
        <v>73</v>
      </c>
      <c r="B215" s="409" t="s">
        <v>65</v>
      </c>
      <c r="C215" s="409" t="s">
        <v>45</v>
      </c>
      <c r="D215" s="409"/>
      <c r="E215" s="409" t="s">
        <v>545</v>
      </c>
      <c r="F215" s="409" t="s">
        <v>73</v>
      </c>
      <c r="G215" s="409"/>
      <c r="H215" s="410" t="s">
        <v>546</v>
      </c>
      <c r="I215" s="410" t="s">
        <v>547</v>
      </c>
      <c r="J215" s="411">
        <v>44963</v>
      </c>
      <c r="K215" s="747">
        <v>0.375</v>
      </c>
      <c r="L215" s="411">
        <v>44963</v>
      </c>
      <c r="M215" s="412">
        <v>0.75</v>
      </c>
      <c r="N215" s="409">
        <v>8</v>
      </c>
      <c r="O215" s="413" t="s">
        <v>411</v>
      </c>
      <c r="P215" s="414"/>
      <c r="Q215" s="749" t="s">
        <v>548</v>
      </c>
      <c r="R215" s="53" t="s">
        <v>38</v>
      </c>
      <c r="S215" s="31" t="s">
        <v>273</v>
      </c>
      <c r="T215" s="31" t="s">
        <v>273</v>
      </c>
      <c r="U215" s="31">
        <f>IFERROR(VLOOKUP(CONCATENATE(Tabla1[[#This Row],[Severidad]]," ",Tabla1[[#This Row],[Complejidad]]),Catalogos!E$120:G$128,3,FALSE),"")</f>
        <v>64</v>
      </c>
      <c r="V215" s="31" t="str">
        <f>IF(Tabla1[[#This Row],[Tiempo solución max (hrs)]]&lt;&gt;"",IF(Tabla1[[#This Row],[Tiempo solución max (hrs)]]&gt;=Tabla1[[#This Row],[Tiempo
(Hrs 00/100)]],"cumple","no cumple"),"")</f>
        <v>cumple</v>
      </c>
      <c r="W215" s="376" t="s">
        <v>495</v>
      </c>
      <c r="X215" s="377" t="str">
        <f t="shared" si="47"/>
        <v>SPD</v>
      </c>
      <c r="Y215" t="str">
        <f>SUBSTITUTE(Tabla1[[#This Row],[Descripción]],CHAR(10),"    I    ")</f>
        <v>Elaboración de propuesta de 3 pantallas de entrada, creación del icono de información inteligente, diseño de pantalla de estadisticas y tendencias, elaboración de pantalla de solicitudes con reacomodo de 5 filtros.</v>
      </c>
      <c r="Z215" s="378">
        <f>VLOOKUP(Tabla1[[#This Row],[Perfil]],Catalogos!$B$75:$D$100,3,FALSE)*Tabla1[[#This Row],[Tiempo
(Hrs 00/100)]]*1.16</f>
        <v>3711.9999999999995</v>
      </c>
    </row>
    <row r="216" spans="1:26" ht="42.75" customHeight="1" x14ac:dyDescent="0.3">
      <c r="A216" s="409" t="s">
        <v>73</v>
      </c>
      <c r="B216" s="409" t="s">
        <v>65</v>
      </c>
      <c r="C216" s="409" t="s">
        <v>45</v>
      </c>
      <c r="D216" s="409"/>
      <c r="E216" s="409" t="s">
        <v>545</v>
      </c>
      <c r="F216" s="409" t="s">
        <v>73</v>
      </c>
      <c r="G216" s="409"/>
      <c r="H216" s="410" t="s">
        <v>546</v>
      </c>
      <c r="I216" s="410" t="s">
        <v>547</v>
      </c>
      <c r="J216" s="411">
        <v>44964</v>
      </c>
      <c r="K216" s="747">
        <v>0.375</v>
      </c>
      <c r="L216" s="411">
        <v>44964</v>
      </c>
      <c r="M216" s="412">
        <v>0.83333333333333337</v>
      </c>
      <c r="N216" s="409">
        <v>10</v>
      </c>
      <c r="O216" s="413" t="s">
        <v>17</v>
      </c>
      <c r="P216" s="414"/>
      <c r="Q216" s="749" t="s">
        <v>548</v>
      </c>
      <c r="R216" s="53" t="s">
        <v>38</v>
      </c>
      <c r="S216" s="31" t="s">
        <v>273</v>
      </c>
      <c r="T216" s="31" t="s">
        <v>273</v>
      </c>
      <c r="U216" s="31">
        <f>IFERROR(VLOOKUP(CONCATENATE(Tabla1[[#This Row],[Severidad]]," ",Tabla1[[#This Row],[Complejidad]]),Catalogos!E$120:G$128,3,FALSE),"")</f>
        <v>64</v>
      </c>
      <c r="V216" s="31" t="str">
        <f>IF(Tabla1[[#This Row],[Tiempo solución max (hrs)]]&lt;&gt;"",IF(Tabla1[[#This Row],[Tiempo solución max (hrs)]]&gt;=Tabla1[[#This Row],[Tiempo
(Hrs 00/100)]],"cumple","no cumple"),"")</f>
        <v>cumple</v>
      </c>
      <c r="W216" s="376" t="s">
        <v>495</v>
      </c>
      <c r="X216" s="377" t="str">
        <f t="shared" si="47"/>
        <v>SPD</v>
      </c>
      <c r="Y216" t="str">
        <f>SUBSTITUTE(Tabla1[[#This Row],[Descripción]],CHAR(10),"    I    ")</f>
        <v>Elaboración de propuesta de 3 pantallas de entrada, creación del icono de información inteligente, diseño de pantalla de estadisticas y tendencias, elaboración de pantalla de solicitudes con reacomodo de 5 filtros.</v>
      </c>
      <c r="Z216" s="378">
        <f>VLOOKUP(Tabla1[[#This Row],[Perfil]],Catalogos!$B$75:$D$100,3,FALSE)*Tabla1[[#This Row],[Tiempo
(Hrs 00/100)]]*1.16</f>
        <v>4640</v>
      </c>
    </row>
    <row r="217" spans="1:26" ht="42.75" customHeight="1" x14ac:dyDescent="0.3">
      <c r="A217" s="409" t="s">
        <v>73</v>
      </c>
      <c r="B217" s="409" t="s">
        <v>65</v>
      </c>
      <c r="C217" s="409" t="s">
        <v>45</v>
      </c>
      <c r="D217" s="409"/>
      <c r="E217" s="409" t="s">
        <v>545</v>
      </c>
      <c r="F217" s="409" t="s">
        <v>73</v>
      </c>
      <c r="G217" s="409"/>
      <c r="H217" s="410" t="s">
        <v>546</v>
      </c>
      <c r="I217" s="410" t="s">
        <v>549</v>
      </c>
      <c r="J217" s="411">
        <v>44965</v>
      </c>
      <c r="K217" s="747">
        <v>0.375</v>
      </c>
      <c r="L217" s="411">
        <v>44965</v>
      </c>
      <c r="M217" s="412">
        <v>0.79166666666666663</v>
      </c>
      <c r="N217" s="409">
        <v>8</v>
      </c>
      <c r="O217" s="413" t="s">
        <v>411</v>
      </c>
      <c r="P217" s="414"/>
      <c r="Q217" s="749" t="s">
        <v>548</v>
      </c>
      <c r="R217" s="53" t="s">
        <v>38</v>
      </c>
      <c r="S217" s="31" t="s">
        <v>273</v>
      </c>
      <c r="T217" s="31" t="s">
        <v>273</v>
      </c>
      <c r="U217" s="31">
        <f>IFERROR(VLOOKUP(CONCATENATE(Tabla1[[#This Row],[Severidad]]," ",Tabla1[[#This Row],[Complejidad]]),Catalogos!E$120:G$128,3,FALSE),"")</f>
        <v>64</v>
      </c>
      <c r="V217" s="31" t="str">
        <f>IF(Tabla1[[#This Row],[Tiempo solución max (hrs)]]&lt;&gt;"",IF(Tabla1[[#This Row],[Tiempo solución max (hrs)]]&gt;=Tabla1[[#This Row],[Tiempo
(Hrs 00/100)]],"cumple","no cumple"),"")</f>
        <v>cumple</v>
      </c>
      <c r="W217" s="376" t="s">
        <v>495</v>
      </c>
      <c r="X217" s="377" t="str">
        <f t="shared" si="33"/>
        <v>SPD</v>
      </c>
      <c r="Y217" t="str">
        <f>SUBSTITUTE(Tabla1[[#This Row],[Descripción]],CHAR(10),"    I    ")</f>
        <v>Elaboración de propuestade la pantalla con carrusel, acomodo de elementos en la pantalla de solicitudes y 2 propuestas de acomodo de solicitudes, propuesta de navegación de 42 temas y sus subtemas, propuesta de 3 iconos para los tema, elaboración y diseño de 3 pantallas de gráficas de los temas más consultados, propuesta de la colocación de datos duros con texto y gráfica circular.</v>
      </c>
      <c r="Z217" s="378">
        <f>VLOOKUP(Tabla1[[#This Row],[Perfil]],Catalogos!$B$75:$D$100,3,FALSE)*Tabla1[[#This Row],[Tiempo
(Hrs 00/100)]]*1.16</f>
        <v>3711.9999999999995</v>
      </c>
    </row>
    <row r="218" spans="1:26" ht="42.75" customHeight="1" x14ac:dyDescent="0.3">
      <c r="A218" s="409" t="s">
        <v>73</v>
      </c>
      <c r="B218" s="409" t="s">
        <v>65</v>
      </c>
      <c r="C218" s="409" t="s">
        <v>45</v>
      </c>
      <c r="D218" s="409"/>
      <c r="E218" s="409" t="s">
        <v>545</v>
      </c>
      <c r="F218" s="409" t="s">
        <v>73</v>
      </c>
      <c r="G218" s="409"/>
      <c r="H218" s="410" t="s">
        <v>546</v>
      </c>
      <c r="I218" s="410" t="s">
        <v>549</v>
      </c>
      <c r="J218" s="411">
        <v>44966</v>
      </c>
      <c r="K218" s="747">
        <v>0.375</v>
      </c>
      <c r="L218" s="411">
        <v>44966</v>
      </c>
      <c r="M218" s="412">
        <v>0.79166666666666663</v>
      </c>
      <c r="N218" s="409">
        <v>8</v>
      </c>
      <c r="O218" s="413" t="s">
        <v>411</v>
      </c>
      <c r="P218" s="414"/>
      <c r="Q218" s="749" t="s">
        <v>548</v>
      </c>
      <c r="R218" s="53" t="s">
        <v>38</v>
      </c>
      <c r="S218" s="31" t="s">
        <v>273</v>
      </c>
      <c r="T218" s="31" t="s">
        <v>273</v>
      </c>
      <c r="U218" s="31">
        <f>IFERROR(VLOOKUP(CONCATENATE(Tabla1[[#This Row],[Severidad]]," ",Tabla1[[#This Row],[Complejidad]]),Catalogos!E$120:G$128,3,FALSE),"")</f>
        <v>64</v>
      </c>
      <c r="V218" s="31" t="str">
        <f>IF(Tabla1[[#This Row],[Tiempo solución max (hrs)]]&lt;&gt;"",IF(Tabla1[[#This Row],[Tiempo solución max (hrs)]]&gt;=Tabla1[[#This Row],[Tiempo
(Hrs 00/100)]],"cumple","no cumple"),"")</f>
        <v>cumple</v>
      </c>
      <c r="W218" s="376" t="s">
        <v>495</v>
      </c>
      <c r="X218" s="377" t="str">
        <f t="shared" ref="X218:X221" si="48">IF(C218&lt;&gt;"",C218,D218)</f>
        <v>SPD</v>
      </c>
      <c r="Y218" t="str">
        <f>SUBSTITUTE(Tabla1[[#This Row],[Descripción]],CHAR(10),"    I    ")</f>
        <v>Elaboración de propuestade la pantalla con carrusel, acomodo de elementos en la pantalla de solicitudes y 2 propuestas de acomodo de solicitudes, propuesta de navegación de 42 temas y sus subtemas, propuesta de 3 iconos para los tema, elaboración y diseño de 3 pantallas de gráficas de los temas más consultados, propuesta de la colocación de datos duros con texto y gráfica circular.</v>
      </c>
      <c r="Z218" s="378">
        <f>VLOOKUP(Tabla1[[#This Row],[Perfil]],Catalogos!$B$75:$D$100,3,FALSE)*Tabla1[[#This Row],[Tiempo
(Hrs 00/100)]]*1.16</f>
        <v>3711.9999999999995</v>
      </c>
    </row>
    <row r="219" spans="1:26" ht="42.75" customHeight="1" x14ac:dyDescent="0.3">
      <c r="A219" s="409" t="s">
        <v>73</v>
      </c>
      <c r="B219" s="409" t="s">
        <v>65</v>
      </c>
      <c r="C219" s="409" t="s">
        <v>45</v>
      </c>
      <c r="D219" s="409"/>
      <c r="E219" s="409" t="s">
        <v>545</v>
      </c>
      <c r="F219" s="409" t="s">
        <v>73</v>
      </c>
      <c r="G219" s="409"/>
      <c r="H219" s="410" t="s">
        <v>546</v>
      </c>
      <c r="I219" s="410" t="s">
        <v>549</v>
      </c>
      <c r="J219" s="411">
        <v>44967</v>
      </c>
      <c r="K219" s="747">
        <v>0.375</v>
      </c>
      <c r="L219" s="411">
        <v>44967</v>
      </c>
      <c r="M219" s="412">
        <v>0.79166666666666663</v>
      </c>
      <c r="N219" s="409">
        <v>8</v>
      </c>
      <c r="O219" s="413" t="s">
        <v>411</v>
      </c>
      <c r="P219" s="414"/>
      <c r="Q219" s="749" t="s">
        <v>548</v>
      </c>
      <c r="R219" s="53" t="s">
        <v>38</v>
      </c>
      <c r="S219" s="31" t="s">
        <v>273</v>
      </c>
      <c r="T219" s="31" t="s">
        <v>273</v>
      </c>
      <c r="U219" s="31">
        <f>IFERROR(VLOOKUP(CONCATENATE(Tabla1[[#This Row],[Severidad]]," ",Tabla1[[#This Row],[Complejidad]]),Catalogos!E$120:G$128,3,FALSE),"")</f>
        <v>64</v>
      </c>
      <c r="V219" s="31" t="str">
        <f>IF(Tabla1[[#This Row],[Tiempo solución max (hrs)]]&lt;&gt;"",IF(Tabla1[[#This Row],[Tiempo solución max (hrs)]]&gt;=Tabla1[[#This Row],[Tiempo
(Hrs 00/100)]],"cumple","no cumple"),"")</f>
        <v>cumple</v>
      </c>
      <c r="W219" s="376" t="s">
        <v>495</v>
      </c>
      <c r="X219" s="377" t="str">
        <f t="shared" si="48"/>
        <v>SPD</v>
      </c>
      <c r="Y219" t="str">
        <f>SUBSTITUTE(Tabla1[[#This Row],[Descripción]],CHAR(10),"    I    ")</f>
        <v>Elaboración de propuestade la pantalla con carrusel, acomodo de elementos en la pantalla de solicitudes y 2 propuestas de acomodo de solicitudes, propuesta de navegación de 42 temas y sus subtemas, propuesta de 3 iconos para los tema, elaboración y diseño de 3 pantallas de gráficas de los temas más consultados, propuesta de la colocación de datos duros con texto y gráfica circular.</v>
      </c>
      <c r="Z219" s="378">
        <f>VLOOKUP(Tabla1[[#This Row],[Perfil]],Catalogos!$B$75:$D$100,3,FALSE)*Tabla1[[#This Row],[Tiempo
(Hrs 00/100)]]*1.16</f>
        <v>3711.9999999999995</v>
      </c>
    </row>
    <row r="220" spans="1:26" ht="42.75" customHeight="1" x14ac:dyDescent="0.3">
      <c r="A220" s="409" t="s">
        <v>73</v>
      </c>
      <c r="B220" s="409" t="s">
        <v>65</v>
      </c>
      <c r="C220" s="409" t="s">
        <v>45</v>
      </c>
      <c r="D220" s="409"/>
      <c r="E220" s="409" t="s">
        <v>545</v>
      </c>
      <c r="F220" s="409" t="s">
        <v>73</v>
      </c>
      <c r="G220" s="409"/>
      <c r="H220" s="410" t="s">
        <v>546</v>
      </c>
      <c r="I220" s="410" t="s">
        <v>549</v>
      </c>
      <c r="J220" s="411">
        <v>44970</v>
      </c>
      <c r="K220" s="747">
        <v>0.375</v>
      </c>
      <c r="L220" s="411">
        <v>44970</v>
      </c>
      <c r="M220" s="412">
        <v>0.79166666666666663</v>
      </c>
      <c r="N220" s="409">
        <v>8</v>
      </c>
      <c r="O220" s="413" t="s">
        <v>411</v>
      </c>
      <c r="P220" s="414"/>
      <c r="Q220" s="749" t="s">
        <v>548</v>
      </c>
      <c r="R220" s="53" t="s">
        <v>38</v>
      </c>
      <c r="S220" s="31" t="s">
        <v>273</v>
      </c>
      <c r="T220" s="31" t="s">
        <v>273</v>
      </c>
      <c r="U220" s="31">
        <f>IFERROR(VLOOKUP(CONCATENATE(Tabla1[[#This Row],[Severidad]]," ",Tabla1[[#This Row],[Complejidad]]),Catalogos!E$120:G$128,3,FALSE),"")</f>
        <v>64</v>
      </c>
      <c r="V220" s="31" t="str">
        <f>IF(Tabla1[[#This Row],[Tiempo solución max (hrs)]]&lt;&gt;"",IF(Tabla1[[#This Row],[Tiempo solución max (hrs)]]&gt;=Tabla1[[#This Row],[Tiempo
(Hrs 00/100)]],"cumple","no cumple"),"")</f>
        <v>cumple</v>
      </c>
      <c r="W220" s="376" t="s">
        <v>495</v>
      </c>
      <c r="X220" s="377" t="str">
        <f t="shared" si="48"/>
        <v>SPD</v>
      </c>
      <c r="Y220" t="str">
        <f>SUBSTITUTE(Tabla1[[#This Row],[Descripción]],CHAR(10),"    I    ")</f>
        <v>Elaboración de propuestade la pantalla con carrusel, acomodo de elementos en la pantalla de solicitudes y 2 propuestas de acomodo de solicitudes, propuesta de navegación de 42 temas y sus subtemas, propuesta de 3 iconos para los tema, elaboración y diseño de 3 pantallas de gráficas de los temas más consultados, propuesta de la colocación de datos duros con texto y gráfica circular.</v>
      </c>
      <c r="Z220" s="378">
        <f>VLOOKUP(Tabla1[[#This Row],[Perfil]],Catalogos!$B$75:$D$100,3,FALSE)*Tabla1[[#This Row],[Tiempo
(Hrs 00/100)]]*1.16</f>
        <v>3711.9999999999995</v>
      </c>
    </row>
    <row r="221" spans="1:26" ht="42.75" customHeight="1" x14ac:dyDescent="0.3">
      <c r="A221" s="409" t="s">
        <v>73</v>
      </c>
      <c r="B221" s="409" t="s">
        <v>65</v>
      </c>
      <c r="C221" s="409" t="s">
        <v>45</v>
      </c>
      <c r="D221" s="409"/>
      <c r="E221" s="409" t="s">
        <v>545</v>
      </c>
      <c r="F221" s="409" t="s">
        <v>73</v>
      </c>
      <c r="G221" s="409"/>
      <c r="H221" s="410" t="s">
        <v>546</v>
      </c>
      <c r="I221" s="410" t="s">
        <v>549</v>
      </c>
      <c r="J221" s="411">
        <v>44971</v>
      </c>
      <c r="K221" s="747">
        <v>0.375</v>
      </c>
      <c r="L221" s="411">
        <v>44971</v>
      </c>
      <c r="M221" s="412">
        <v>0.79166666666666663</v>
      </c>
      <c r="N221" s="409">
        <v>8</v>
      </c>
      <c r="O221" s="413" t="s">
        <v>17</v>
      </c>
      <c r="P221" s="414"/>
      <c r="Q221" s="749" t="s">
        <v>548</v>
      </c>
      <c r="R221" s="53" t="s">
        <v>38</v>
      </c>
      <c r="S221" s="31" t="s">
        <v>273</v>
      </c>
      <c r="T221" s="31" t="s">
        <v>273</v>
      </c>
      <c r="U221" s="31">
        <f>IFERROR(VLOOKUP(CONCATENATE(Tabla1[[#This Row],[Severidad]]," ",Tabla1[[#This Row],[Complejidad]]),Catalogos!E$120:G$128,3,FALSE),"")</f>
        <v>64</v>
      </c>
      <c r="V221" s="31" t="str">
        <f>IF(Tabla1[[#This Row],[Tiempo solución max (hrs)]]&lt;&gt;"",IF(Tabla1[[#This Row],[Tiempo solución max (hrs)]]&gt;=Tabla1[[#This Row],[Tiempo
(Hrs 00/100)]],"cumple","no cumple"),"")</f>
        <v>cumple</v>
      </c>
      <c r="W221" s="376" t="s">
        <v>495</v>
      </c>
      <c r="X221" s="377" t="str">
        <f t="shared" si="48"/>
        <v>SPD</v>
      </c>
      <c r="Y221" t="str">
        <f>SUBSTITUTE(Tabla1[[#This Row],[Descripción]],CHAR(10),"    I    ")</f>
        <v>Elaboración de propuestade la pantalla con carrusel, acomodo de elementos en la pantalla de solicitudes y 2 propuestas de acomodo de solicitudes, propuesta de navegación de 42 temas y sus subtemas, propuesta de 3 iconos para los tema, elaboración y diseño de 3 pantallas de gráficas de los temas más consultados, propuesta de la colocación de datos duros con texto y gráfica circular.</v>
      </c>
      <c r="Z221" s="378">
        <f>VLOOKUP(Tabla1[[#This Row],[Perfil]],Catalogos!$B$75:$D$100,3,FALSE)*Tabla1[[#This Row],[Tiempo
(Hrs 00/100)]]*1.16</f>
        <v>3711.9999999999995</v>
      </c>
    </row>
    <row r="222" spans="1:26" ht="42.75" customHeight="1" x14ac:dyDescent="0.3">
      <c r="A222" s="409" t="s">
        <v>73</v>
      </c>
      <c r="B222" s="409" t="s">
        <v>65</v>
      </c>
      <c r="C222" s="409" t="s">
        <v>45</v>
      </c>
      <c r="D222" s="409"/>
      <c r="E222" s="409" t="s">
        <v>545</v>
      </c>
      <c r="F222" s="409" t="s">
        <v>73</v>
      </c>
      <c r="G222" s="409"/>
      <c r="H222" s="410" t="s">
        <v>546</v>
      </c>
      <c r="I222" s="410" t="s">
        <v>550</v>
      </c>
      <c r="J222" s="411">
        <v>44972</v>
      </c>
      <c r="K222" s="747">
        <v>0.375</v>
      </c>
      <c r="L222" s="411">
        <v>44972</v>
      </c>
      <c r="M222" s="412">
        <v>0.79166666666666663</v>
      </c>
      <c r="N222" s="409">
        <v>8</v>
      </c>
      <c r="O222" s="413" t="s">
        <v>411</v>
      </c>
      <c r="P222" s="416"/>
      <c r="Q222" s="749" t="s">
        <v>548</v>
      </c>
      <c r="R222" s="53" t="s">
        <v>38</v>
      </c>
      <c r="S222" s="31" t="s">
        <v>273</v>
      </c>
      <c r="T222" s="31" t="s">
        <v>273</v>
      </c>
      <c r="U222" s="31">
        <f>IFERROR(VLOOKUP(CONCATENATE(Tabla1[[#This Row],[Severidad]]," ",Tabla1[[#This Row],[Complejidad]]),Catalogos!E$120:G$128,3,FALSE),"")</f>
        <v>64</v>
      </c>
      <c r="V222" s="31" t="str">
        <f>IF(Tabla1[[#This Row],[Tiempo solución max (hrs)]]&lt;&gt;"",IF(Tabla1[[#This Row],[Tiempo solución max (hrs)]]&gt;=Tabla1[[#This Row],[Tiempo
(Hrs 00/100)]],"cumple","no cumple"),"")</f>
        <v>cumple</v>
      </c>
      <c r="W222" s="376" t="s">
        <v>495</v>
      </c>
      <c r="X222" s="377" t="str">
        <f t="shared" si="33"/>
        <v>SPD</v>
      </c>
      <c r="Y222" t="str">
        <f>SUBSTITUTE(Tabla1[[#This Row],[Descripción]],CHAR(10),"    I    ")</f>
        <v>Propuesta y acomodo de 39 iconos para temas, cambio y propuesta de la sección de temas relacionados ordenados por probabilidad y análisis, propuesta de hoja de la solicitud a la hora de bajar el archivo en PDF, diseño de la propuesta de la vista de los Subtemas, cambio de propuesta para la pantalla de tendencias con 2 opciones: lo mas preguntado y lo más consultado, propuesta de 3 imágenes para gráficas de tendencias.</v>
      </c>
      <c r="Z222" s="378">
        <f>VLOOKUP(Tabla1[[#This Row],[Perfil]],Catalogos!$B$75:$D$100,3,FALSE)*Tabla1[[#This Row],[Tiempo
(Hrs 00/100)]]*1.16</f>
        <v>3711.9999999999995</v>
      </c>
    </row>
    <row r="223" spans="1:26" ht="42.75" customHeight="1" x14ac:dyDescent="0.3">
      <c r="A223" s="409" t="s">
        <v>73</v>
      </c>
      <c r="B223" s="409" t="s">
        <v>65</v>
      </c>
      <c r="C223" s="409" t="s">
        <v>45</v>
      </c>
      <c r="D223" s="409"/>
      <c r="E223" s="409" t="s">
        <v>545</v>
      </c>
      <c r="F223" s="409" t="s">
        <v>73</v>
      </c>
      <c r="G223" s="409"/>
      <c r="H223" s="410" t="s">
        <v>546</v>
      </c>
      <c r="I223" s="410" t="s">
        <v>550</v>
      </c>
      <c r="J223" s="411">
        <v>44973</v>
      </c>
      <c r="K223" s="747">
        <v>0.375</v>
      </c>
      <c r="L223" s="411">
        <v>44973</v>
      </c>
      <c r="M223" s="412">
        <v>0.79166666666666663</v>
      </c>
      <c r="N223" s="409">
        <v>8</v>
      </c>
      <c r="O223" s="413" t="s">
        <v>411</v>
      </c>
      <c r="P223" s="416"/>
      <c r="Q223" s="749" t="s">
        <v>548</v>
      </c>
      <c r="R223" s="53" t="s">
        <v>38</v>
      </c>
      <c r="S223" s="31" t="s">
        <v>273</v>
      </c>
      <c r="T223" s="31" t="s">
        <v>273</v>
      </c>
      <c r="U223" s="31">
        <f>IFERROR(VLOOKUP(CONCATENATE(Tabla1[[#This Row],[Severidad]]," ",Tabla1[[#This Row],[Complejidad]]),Catalogos!E$120:G$128,3,FALSE),"")</f>
        <v>64</v>
      </c>
      <c r="V223" s="31" t="str">
        <f>IF(Tabla1[[#This Row],[Tiempo solución max (hrs)]]&lt;&gt;"",IF(Tabla1[[#This Row],[Tiempo solución max (hrs)]]&gt;=Tabla1[[#This Row],[Tiempo
(Hrs 00/100)]],"cumple","no cumple"),"")</f>
        <v>cumple</v>
      </c>
      <c r="W223" s="376" t="s">
        <v>495</v>
      </c>
      <c r="X223" s="377" t="str">
        <f t="shared" ref="X223:X226" si="49">IF(C223&lt;&gt;"",C223,D223)</f>
        <v>SPD</v>
      </c>
      <c r="Y223" t="str">
        <f>SUBSTITUTE(Tabla1[[#This Row],[Descripción]],CHAR(10),"    I    ")</f>
        <v>Propuesta y acomodo de 39 iconos para temas, cambio y propuesta de la sección de temas relacionados ordenados por probabilidad y análisis, propuesta de hoja de la solicitud a la hora de bajar el archivo en PDF, diseño de la propuesta de la vista de los Subtemas, cambio de propuesta para la pantalla de tendencias con 2 opciones: lo mas preguntado y lo más consultado, propuesta de 3 imágenes para gráficas de tendencias.</v>
      </c>
      <c r="Z223" s="378">
        <f>VLOOKUP(Tabla1[[#This Row],[Perfil]],Catalogos!$B$75:$D$100,3,FALSE)*Tabla1[[#This Row],[Tiempo
(Hrs 00/100)]]*1.16</f>
        <v>3711.9999999999995</v>
      </c>
    </row>
    <row r="224" spans="1:26" ht="42.75" customHeight="1" x14ac:dyDescent="0.3">
      <c r="A224" s="409" t="s">
        <v>73</v>
      </c>
      <c r="B224" s="409" t="s">
        <v>65</v>
      </c>
      <c r="C224" s="409" t="s">
        <v>45</v>
      </c>
      <c r="D224" s="409"/>
      <c r="E224" s="409" t="s">
        <v>545</v>
      </c>
      <c r="F224" s="409" t="s">
        <v>73</v>
      </c>
      <c r="G224" s="409"/>
      <c r="H224" s="410" t="s">
        <v>546</v>
      </c>
      <c r="I224" s="410" t="s">
        <v>550</v>
      </c>
      <c r="J224" s="411">
        <v>44974</v>
      </c>
      <c r="K224" s="747">
        <v>0.375</v>
      </c>
      <c r="L224" s="411">
        <v>44974</v>
      </c>
      <c r="M224" s="412">
        <v>0.79166666666666663</v>
      </c>
      <c r="N224" s="409">
        <v>8</v>
      </c>
      <c r="O224" s="413" t="s">
        <v>411</v>
      </c>
      <c r="P224" s="416"/>
      <c r="Q224" s="749" t="s">
        <v>548</v>
      </c>
      <c r="R224" s="53" t="s">
        <v>38</v>
      </c>
      <c r="S224" s="31" t="s">
        <v>273</v>
      </c>
      <c r="T224" s="31" t="s">
        <v>273</v>
      </c>
      <c r="U224" s="31">
        <f>IFERROR(VLOOKUP(CONCATENATE(Tabla1[[#This Row],[Severidad]]," ",Tabla1[[#This Row],[Complejidad]]),Catalogos!E$120:G$128,3,FALSE),"")</f>
        <v>64</v>
      </c>
      <c r="V224" s="31" t="str">
        <f>IF(Tabla1[[#This Row],[Tiempo solución max (hrs)]]&lt;&gt;"",IF(Tabla1[[#This Row],[Tiempo solución max (hrs)]]&gt;=Tabla1[[#This Row],[Tiempo
(Hrs 00/100)]],"cumple","no cumple"),"")</f>
        <v>cumple</v>
      </c>
      <c r="W224" s="376" t="s">
        <v>495</v>
      </c>
      <c r="X224" s="377" t="str">
        <f t="shared" si="49"/>
        <v>SPD</v>
      </c>
      <c r="Y224" t="str">
        <f>SUBSTITUTE(Tabla1[[#This Row],[Descripción]],CHAR(10),"    I    ")</f>
        <v>Propuesta y acomodo de 39 iconos para temas, cambio y propuesta de la sección de temas relacionados ordenados por probabilidad y análisis, propuesta de hoja de la solicitud a la hora de bajar el archivo en PDF, diseño de la propuesta de la vista de los Subtemas, cambio de propuesta para la pantalla de tendencias con 2 opciones: lo mas preguntado y lo más consultado, propuesta de 3 imágenes para gráficas de tendencias.</v>
      </c>
      <c r="Z224" s="378">
        <f>VLOOKUP(Tabla1[[#This Row],[Perfil]],Catalogos!$B$75:$D$100,3,FALSE)*Tabla1[[#This Row],[Tiempo
(Hrs 00/100)]]*1.16</f>
        <v>3711.9999999999995</v>
      </c>
    </row>
    <row r="225" spans="1:26" ht="42.75" customHeight="1" x14ac:dyDescent="0.3">
      <c r="A225" s="409" t="s">
        <v>73</v>
      </c>
      <c r="B225" s="409" t="s">
        <v>65</v>
      </c>
      <c r="C225" s="409" t="s">
        <v>45</v>
      </c>
      <c r="D225" s="409"/>
      <c r="E225" s="409" t="s">
        <v>545</v>
      </c>
      <c r="F225" s="409" t="s">
        <v>73</v>
      </c>
      <c r="G225" s="409"/>
      <c r="H225" s="410" t="s">
        <v>546</v>
      </c>
      <c r="I225" s="410" t="s">
        <v>550</v>
      </c>
      <c r="J225" s="411">
        <v>44977</v>
      </c>
      <c r="K225" s="747">
        <v>0.375</v>
      </c>
      <c r="L225" s="411">
        <v>44977</v>
      </c>
      <c r="M225" s="412">
        <v>0.79166666666666663</v>
      </c>
      <c r="N225" s="409">
        <v>8</v>
      </c>
      <c r="O225" s="413" t="s">
        <v>411</v>
      </c>
      <c r="P225" s="416"/>
      <c r="Q225" s="749" t="s">
        <v>548</v>
      </c>
      <c r="R225" s="53" t="s">
        <v>38</v>
      </c>
      <c r="S225" s="31" t="s">
        <v>273</v>
      </c>
      <c r="T225" s="31" t="s">
        <v>273</v>
      </c>
      <c r="U225" s="31">
        <f>IFERROR(VLOOKUP(CONCATENATE(Tabla1[[#This Row],[Severidad]]," ",Tabla1[[#This Row],[Complejidad]]),Catalogos!E$120:G$128,3,FALSE),"")</f>
        <v>64</v>
      </c>
      <c r="V225" s="31" t="str">
        <f>IF(Tabla1[[#This Row],[Tiempo solución max (hrs)]]&lt;&gt;"",IF(Tabla1[[#This Row],[Tiempo solución max (hrs)]]&gt;=Tabla1[[#This Row],[Tiempo
(Hrs 00/100)]],"cumple","no cumple"),"")</f>
        <v>cumple</v>
      </c>
      <c r="W225" s="376" t="s">
        <v>495</v>
      </c>
      <c r="X225" s="377" t="str">
        <f t="shared" si="49"/>
        <v>SPD</v>
      </c>
      <c r="Y225" t="str">
        <f>SUBSTITUTE(Tabla1[[#This Row],[Descripción]],CHAR(10),"    I    ")</f>
        <v>Propuesta y acomodo de 39 iconos para temas, cambio y propuesta de la sección de temas relacionados ordenados por probabilidad y análisis, propuesta de hoja de la solicitud a la hora de bajar el archivo en PDF, diseño de la propuesta de la vista de los Subtemas, cambio de propuesta para la pantalla de tendencias con 2 opciones: lo mas preguntado y lo más consultado, propuesta de 3 imágenes para gráficas de tendencias.</v>
      </c>
      <c r="Z225" s="378">
        <f>VLOOKUP(Tabla1[[#This Row],[Perfil]],Catalogos!$B$75:$D$100,3,FALSE)*Tabla1[[#This Row],[Tiempo
(Hrs 00/100)]]*1.16</f>
        <v>3711.9999999999995</v>
      </c>
    </row>
    <row r="226" spans="1:26" ht="42.75" customHeight="1" x14ac:dyDescent="0.3">
      <c r="A226" s="409" t="s">
        <v>73</v>
      </c>
      <c r="B226" s="409" t="s">
        <v>65</v>
      </c>
      <c r="C226" s="409" t="s">
        <v>45</v>
      </c>
      <c r="D226" s="409"/>
      <c r="E226" s="409" t="s">
        <v>545</v>
      </c>
      <c r="F226" s="409" t="s">
        <v>73</v>
      </c>
      <c r="G226" s="409"/>
      <c r="H226" s="410" t="s">
        <v>546</v>
      </c>
      <c r="I226" s="410" t="s">
        <v>550</v>
      </c>
      <c r="J226" s="411">
        <v>44978</v>
      </c>
      <c r="K226" s="747">
        <v>0.375</v>
      </c>
      <c r="L226" s="411">
        <v>44978</v>
      </c>
      <c r="M226" s="412">
        <v>0.79166666666666663</v>
      </c>
      <c r="N226" s="409">
        <v>8</v>
      </c>
      <c r="O226" s="413" t="s">
        <v>17</v>
      </c>
      <c r="P226" s="416"/>
      <c r="Q226" s="749" t="s">
        <v>548</v>
      </c>
      <c r="R226" s="53" t="s">
        <v>38</v>
      </c>
      <c r="S226" s="31" t="s">
        <v>273</v>
      </c>
      <c r="T226" s="31" t="s">
        <v>273</v>
      </c>
      <c r="U226" s="31">
        <f>IFERROR(VLOOKUP(CONCATENATE(Tabla1[[#This Row],[Severidad]]," ",Tabla1[[#This Row],[Complejidad]]),Catalogos!E$120:G$128,3,FALSE),"")</f>
        <v>64</v>
      </c>
      <c r="V226" s="31" t="str">
        <f>IF(Tabla1[[#This Row],[Tiempo solución max (hrs)]]&lt;&gt;"",IF(Tabla1[[#This Row],[Tiempo solución max (hrs)]]&gt;=Tabla1[[#This Row],[Tiempo
(Hrs 00/100)]],"cumple","no cumple"),"")</f>
        <v>cumple</v>
      </c>
      <c r="W226" s="376" t="s">
        <v>495</v>
      </c>
      <c r="X226" s="377" t="str">
        <f t="shared" si="49"/>
        <v>SPD</v>
      </c>
      <c r="Y226" t="str">
        <f>SUBSTITUTE(Tabla1[[#This Row],[Descripción]],CHAR(10),"    I    ")</f>
        <v>Propuesta y acomodo de 39 iconos para temas, cambio y propuesta de la sección de temas relacionados ordenados por probabilidad y análisis, propuesta de hoja de la solicitud a la hora de bajar el archivo en PDF, diseño de la propuesta de la vista de los Subtemas, cambio de propuesta para la pantalla de tendencias con 2 opciones: lo mas preguntado y lo más consultado, propuesta de 3 imágenes para gráficas de tendencias.</v>
      </c>
      <c r="Z226" s="378">
        <f>VLOOKUP(Tabla1[[#This Row],[Perfil]],Catalogos!$B$75:$D$100,3,FALSE)*Tabla1[[#This Row],[Tiempo
(Hrs 00/100)]]*1.16</f>
        <v>3711.9999999999995</v>
      </c>
    </row>
    <row r="227" spans="1:26" ht="42.75" customHeight="1" x14ac:dyDescent="0.3">
      <c r="A227" s="409" t="s">
        <v>73</v>
      </c>
      <c r="B227" s="409" t="s">
        <v>65</v>
      </c>
      <c r="C227" s="409" t="s">
        <v>45</v>
      </c>
      <c r="D227" s="409"/>
      <c r="E227" s="409" t="s">
        <v>545</v>
      </c>
      <c r="F227" s="409" t="s">
        <v>73</v>
      </c>
      <c r="G227" s="409"/>
      <c r="H227" s="410" t="s">
        <v>546</v>
      </c>
      <c r="I227" s="410" t="s">
        <v>551</v>
      </c>
      <c r="J227" s="411">
        <v>44979</v>
      </c>
      <c r="K227" s="747">
        <v>0.375</v>
      </c>
      <c r="L227" s="411">
        <v>44979</v>
      </c>
      <c r="M227" s="412">
        <v>0.79166666666666663</v>
      </c>
      <c r="N227" s="409">
        <v>8</v>
      </c>
      <c r="O227" s="413" t="s">
        <v>411</v>
      </c>
      <c r="P227" s="416"/>
      <c r="Q227" s="749" t="s">
        <v>548</v>
      </c>
      <c r="R227" s="53" t="s">
        <v>38</v>
      </c>
      <c r="S227" s="31" t="s">
        <v>273</v>
      </c>
      <c r="T227" s="31" t="s">
        <v>273</v>
      </c>
      <c r="U227" s="31">
        <f>IFERROR(VLOOKUP(CONCATENATE(Tabla1[[#This Row],[Severidad]]," ",Tabla1[[#This Row],[Complejidad]]),Catalogos!E$120:G$128,3,FALSE),"")</f>
        <v>64</v>
      </c>
      <c r="V227" s="31" t="str">
        <f>IF(Tabla1[[#This Row],[Tiempo solución max (hrs)]]&lt;&gt;"",IF(Tabla1[[#This Row],[Tiempo solución max (hrs)]]&gt;=Tabla1[[#This Row],[Tiempo
(Hrs 00/100)]],"cumple","no cumple"),"")</f>
        <v>cumple</v>
      </c>
      <c r="W227" s="376" t="s">
        <v>495</v>
      </c>
      <c r="X227" s="377" t="str">
        <f t="shared" si="33"/>
        <v>SPD</v>
      </c>
      <c r="Y227" t="str">
        <f>SUBSTITUTE(Tabla1[[#This Row],[Descripción]],CHAR(10),"    I    ")</f>
        <v>Atención a cambios de las propuestas, ajustes de vistas, colores de gráficas y contornos, elaboración de archivos en ptt y pdf para su visto bueno, separación de elementos para la elaboración del HTML.</v>
      </c>
      <c r="Z227" s="378">
        <f>VLOOKUP(Tabla1[[#This Row],[Perfil]],Catalogos!$B$75:$D$100,3,FALSE)*Tabla1[[#This Row],[Tiempo
(Hrs 00/100)]]*1.16</f>
        <v>3711.9999999999995</v>
      </c>
    </row>
    <row r="228" spans="1:26" ht="42.75" customHeight="1" x14ac:dyDescent="0.3">
      <c r="A228" s="409" t="s">
        <v>73</v>
      </c>
      <c r="B228" s="409" t="s">
        <v>65</v>
      </c>
      <c r="C228" s="409" t="s">
        <v>45</v>
      </c>
      <c r="D228" s="409"/>
      <c r="E228" s="409" t="s">
        <v>545</v>
      </c>
      <c r="F228" s="409" t="s">
        <v>73</v>
      </c>
      <c r="G228" s="409"/>
      <c r="H228" s="410" t="s">
        <v>546</v>
      </c>
      <c r="I228" s="410" t="s">
        <v>551</v>
      </c>
      <c r="J228" s="411">
        <v>44980</v>
      </c>
      <c r="K228" s="747">
        <v>0.375</v>
      </c>
      <c r="L228" s="411">
        <v>44980</v>
      </c>
      <c r="M228" s="412">
        <v>0.79166666666666663</v>
      </c>
      <c r="N228" s="409">
        <v>8</v>
      </c>
      <c r="O228" s="413" t="s">
        <v>411</v>
      </c>
      <c r="P228" s="416"/>
      <c r="Q228" s="749" t="s">
        <v>548</v>
      </c>
      <c r="R228" s="53" t="s">
        <v>38</v>
      </c>
      <c r="S228" s="31" t="s">
        <v>273</v>
      </c>
      <c r="T228" s="31" t="s">
        <v>273</v>
      </c>
      <c r="U228" s="31">
        <f>IFERROR(VLOOKUP(CONCATENATE(Tabla1[[#This Row],[Severidad]]," ",Tabla1[[#This Row],[Complejidad]]),Catalogos!E$120:G$128,3,FALSE),"")</f>
        <v>64</v>
      </c>
      <c r="V228" s="31" t="str">
        <f>IF(Tabla1[[#This Row],[Tiempo solución max (hrs)]]&lt;&gt;"",IF(Tabla1[[#This Row],[Tiempo solución max (hrs)]]&gt;=Tabla1[[#This Row],[Tiempo
(Hrs 00/100)]],"cumple","no cumple"),"")</f>
        <v>cumple</v>
      </c>
      <c r="W228" s="376" t="s">
        <v>495</v>
      </c>
      <c r="X228" s="377" t="str">
        <f t="shared" ref="X228:X231" si="50">IF(C228&lt;&gt;"",C228,D228)</f>
        <v>SPD</v>
      </c>
      <c r="Y228" t="str">
        <f>SUBSTITUTE(Tabla1[[#This Row],[Descripción]],CHAR(10),"    I    ")</f>
        <v>Atención a cambios de las propuestas, ajustes de vistas, colores de gráficas y contornos, elaboración de archivos en ptt y pdf para su visto bueno, separación de elementos para la elaboración del HTML.</v>
      </c>
      <c r="Z228" s="378">
        <f>VLOOKUP(Tabla1[[#This Row],[Perfil]],Catalogos!$B$75:$D$100,3,FALSE)*Tabla1[[#This Row],[Tiempo
(Hrs 00/100)]]*1.16</f>
        <v>3711.9999999999995</v>
      </c>
    </row>
    <row r="229" spans="1:26" ht="42.75" customHeight="1" x14ac:dyDescent="0.3">
      <c r="A229" s="409" t="s">
        <v>73</v>
      </c>
      <c r="B229" s="409" t="s">
        <v>65</v>
      </c>
      <c r="C229" s="409" t="s">
        <v>45</v>
      </c>
      <c r="D229" s="409"/>
      <c r="E229" s="409" t="s">
        <v>545</v>
      </c>
      <c r="F229" s="409" t="s">
        <v>73</v>
      </c>
      <c r="G229" s="409"/>
      <c r="H229" s="410" t="s">
        <v>546</v>
      </c>
      <c r="I229" s="410" t="s">
        <v>551</v>
      </c>
      <c r="J229" s="411">
        <v>44981</v>
      </c>
      <c r="K229" s="747">
        <v>0.375</v>
      </c>
      <c r="L229" s="411">
        <v>44981</v>
      </c>
      <c r="M229" s="412">
        <v>0.79166666666666663</v>
      </c>
      <c r="N229" s="409">
        <v>8</v>
      </c>
      <c r="O229" s="413" t="s">
        <v>411</v>
      </c>
      <c r="P229" s="416"/>
      <c r="Q229" s="749" t="s">
        <v>548</v>
      </c>
      <c r="R229" s="53" t="s">
        <v>38</v>
      </c>
      <c r="S229" s="31" t="s">
        <v>273</v>
      </c>
      <c r="T229" s="31" t="s">
        <v>273</v>
      </c>
      <c r="U229" s="31">
        <f>IFERROR(VLOOKUP(CONCATENATE(Tabla1[[#This Row],[Severidad]]," ",Tabla1[[#This Row],[Complejidad]]),Catalogos!E$120:G$128,3,FALSE),"")</f>
        <v>64</v>
      </c>
      <c r="V229" s="31" t="str">
        <f>IF(Tabla1[[#This Row],[Tiempo solución max (hrs)]]&lt;&gt;"",IF(Tabla1[[#This Row],[Tiempo solución max (hrs)]]&gt;=Tabla1[[#This Row],[Tiempo
(Hrs 00/100)]],"cumple","no cumple"),"")</f>
        <v>cumple</v>
      </c>
      <c r="W229" s="376" t="s">
        <v>495</v>
      </c>
      <c r="X229" s="377" t="str">
        <f t="shared" si="50"/>
        <v>SPD</v>
      </c>
      <c r="Y229" t="str">
        <f>SUBSTITUTE(Tabla1[[#This Row],[Descripción]],CHAR(10),"    I    ")</f>
        <v>Atención a cambios de las propuestas, ajustes de vistas, colores de gráficas y contornos, elaboración de archivos en ptt y pdf para su visto bueno, separación de elementos para la elaboración del HTML.</v>
      </c>
      <c r="Z229" s="378">
        <f>VLOOKUP(Tabla1[[#This Row],[Perfil]],Catalogos!$B$75:$D$100,3,FALSE)*Tabla1[[#This Row],[Tiempo
(Hrs 00/100)]]*1.16</f>
        <v>3711.9999999999995</v>
      </c>
    </row>
    <row r="230" spans="1:26" ht="42.75" customHeight="1" x14ac:dyDescent="0.3">
      <c r="A230" s="409" t="s">
        <v>73</v>
      </c>
      <c r="B230" s="409" t="s">
        <v>65</v>
      </c>
      <c r="C230" s="409" t="s">
        <v>45</v>
      </c>
      <c r="D230" s="409"/>
      <c r="E230" s="409" t="s">
        <v>545</v>
      </c>
      <c r="F230" s="409" t="s">
        <v>73</v>
      </c>
      <c r="G230" s="409"/>
      <c r="H230" s="410" t="s">
        <v>546</v>
      </c>
      <c r="I230" s="410" t="s">
        <v>551</v>
      </c>
      <c r="J230" s="411">
        <v>44984</v>
      </c>
      <c r="K230" s="747">
        <v>0.375</v>
      </c>
      <c r="L230" s="411">
        <v>44984</v>
      </c>
      <c r="M230" s="412">
        <v>0.79166666666666663</v>
      </c>
      <c r="N230" s="409">
        <v>8</v>
      </c>
      <c r="O230" s="413" t="s">
        <v>411</v>
      </c>
      <c r="P230" s="416"/>
      <c r="Q230" s="749" t="s">
        <v>548</v>
      </c>
      <c r="R230" s="53" t="s">
        <v>38</v>
      </c>
      <c r="S230" s="31" t="s">
        <v>273</v>
      </c>
      <c r="T230" s="31" t="s">
        <v>273</v>
      </c>
      <c r="U230" s="31">
        <f>IFERROR(VLOOKUP(CONCATENATE(Tabla1[[#This Row],[Severidad]]," ",Tabla1[[#This Row],[Complejidad]]),Catalogos!E$120:G$128,3,FALSE),"")</f>
        <v>64</v>
      </c>
      <c r="V230" s="31" t="str">
        <f>IF(Tabla1[[#This Row],[Tiempo solución max (hrs)]]&lt;&gt;"",IF(Tabla1[[#This Row],[Tiempo solución max (hrs)]]&gt;=Tabla1[[#This Row],[Tiempo
(Hrs 00/100)]],"cumple","no cumple"),"")</f>
        <v>cumple</v>
      </c>
      <c r="W230" s="376" t="s">
        <v>495</v>
      </c>
      <c r="X230" s="377" t="str">
        <f t="shared" si="50"/>
        <v>SPD</v>
      </c>
      <c r="Y230" t="str">
        <f>SUBSTITUTE(Tabla1[[#This Row],[Descripción]],CHAR(10),"    I    ")</f>
        <v>Atención a cambios de las propuestas, ajustes de vistas, colores de gráficas y contornos, elaboración de archivos en ptt y pdf para su visto bueno, separación de elementos para la elaboración del HTML.</v>
      </c>
      <c r="Z230" s="378">
        <f>VLOOKUP(Tabla1[[#This Row],[Perfil]],Catalogos!$B$75:$D$100,3,FALSE)*Tabla1[[#This Row],[Tiempo
(Hrs 00/100)]]*1.16</f>
        <v>3711.9999999999995</v>
      </c>
    </row>
    <row r="231" spans="1:26" ht="42.75" customHeight="1" x14ac:dyDescent="0.3">
      <c r="A231" s="409" t="s">
        <v>73</v>
      </c>
      <c r="B231" s="409" t="s">
        <v>65</v>
      </c>
      <c r="C231" s="409" t="s">
        <v>45</v>
      </c>
      <c r="D231" s="409"/>
      <c r="E231" s="409" t="s">
        <v>545</v>
      </c>
      <c r="F231" s="409" t="s">
        <v>73</v>
      </c>
      <c r="G231" s="409"/>
      <c r="H231" s="410" t="s">
        <v>546</v>
      </c>
      <c r="I231" s="410" t="s">
        <v>551</v>
      </c>
      <c r="J231" s="411">
        <v>44985</v>
      </c>
      <c r="K231" s="747">
        <v>0.375</v>
      </c>
      <c r="L231" s="411">
        <v>44985</v>
      </c>
      <c r="M231" s="412">
        <v>0.79166666666666663</v>
      </c>
      <c r="N231" s="409">
        <v>8</v>
      </c>
      <c r="O231" s="413" t="s">
        <v>17</v>
      </c>
      <c r="P231" s="416"/>
      <c r="Q231" s="749" t="s">
        <v>548</v>
      </c>
      <c r="R231" s="53" t="s">
        <v>38</v>
      </c>
      <c r="S231" s="31" t="s">
        <v>273</v>
      </c>
      <c r="T231" s="31" t="s">
        <v>273</v>
      </c>
      <c r="U231" s="31">
        <f>IFERROR(VLOOKUP(CONCATENATE(Tabla1[[#This Row],[Severidad]]," ",Tabla1[[#This Row],[Complejidad]]),Catalogos!E$120:G$128,3,FALSE),"")</f>
        <v>64</v>
      </c>
      <c r="V231" s="31" t="str">
        <f>IF(Tabla1[[#This Row],[Tiempo solución max (hrs)]]&lt;&gt;"",IF(Tabla1[[#This Row],[Tiempo solución max (hrs)]]&gt;=Tabla1[[#This Row],[Tiempo
(Hrs 00/100)]],"cumple","no cumple"),"")</f>
        <v>cumple</v>
      </c>
      <c r="W231" s="376" t="s">
        <v>495</v>
      </c>
      <c r="X231" s="377" t="str">
        <f t="shared" si="50"/>
        <v>SPD</v>
      </c>
      <c r="Y231" t="str">
        <f>SUBSTITUTE(Tabla1[[#This Row],[Descripción]],CHAR(10),"    I    ")</f>
        <v>Atención a cambios de las propuestas, ajustes de vistas, colores de gráficas y contornos, elaboración de archivos en ptt y pdf para su visto bueno, separación de elementos para la elaboración del HTML.</v>
      </c>
      <c r="Z231" s="378">
        <f>VLOOKUP(Tabla1[[#This Row],[Perfil]],Catalogos!$B$75:$D$100,3,FALSE)*Tabla1[[#This Row],[Tiempo
(Hrs 00/100)]]*1.16</f>
        <v>3711.9999999999995</v>
      </c>
    </row>
    <row r="232" spans="1:26" ht="42.75" customHeight="1" x14ac:dyDescent="0.3">
      <c r="A232" s="370" t="s">
        <v>15</v>
      </c>
      <c r="B232" s="370" t="s">
        <v>67</v>
      </c>
      <c r="C232" s="370" t="s">
        <v>49</v>
      </c>
      <c r="D232" s="370"/>
      <c r="E232" s="370" t="s">
        <v>472</v>
      </c>
      <c r="F232" s="370" t="s">
        <v>473</v>
      </c>
      <c r="G232" s="370" t="s">
        <v>552</v>
      </c>
      <c r="H232" s="178" t="s">
        <v>475</v>
      </c>
      <c r="I232" s="178" t="s">
        <v>553</v>
      </c>
      <c r="J232" s="715">
        <v>44958</v>
      </c>
      <c r="K232" s="747">
        <v>0.375</v>
      </c>
      <c r="L232" s="715">
        <v>44958</v>
      </c>
      <c r="M232" s="762">
        <v>0.70833333333333337</v>
      </c>
      <c r="N232" s="373">
        <v>7</v>
      </c>
      <c r="O232" s="184" t="s">
        <v>17</v>
      </c>
      <c r="P232" s="403" t="s">
        <v>632</v>
      </c>
      <c r="Q232" s="746" t="s">
        <v>101</v>
      </c>
      <c r="R232" s="404" t="s">
        <v>83</v>
      </c>
      <c r="S232" s="31" t="s">
        <v>273</v>
      </c>
      <c r="T232" s="31" t="s">
        <v>273</v>
      </c>
      <c r="U232" s="31">
        <f>IFERROR(VLOOKUP(CONCATENATE(Tabla1[[#This Row],[Severidad]]," ",Tabla1[[#This Row],[Complejidad]]),Catalogos!E$120:G$128,3,FALSE),"")</f>
        <v>64</v>
      </c>
      <c r="V232" s="31" t="str">
        <f>IF(Tabla1[[#This Row],[Tiempo solución max (hrs)]]&lt;&gt;"",IF(Tabla1[[#This Row],[Tiempo solución max (hrs)]]&gt;=Tabla1[[#This Row],[Tiempo
(Hrs 00/100)]],"cumple","no cumple"),"")</f>
        <v>cumple</v>
      </c>
      <c r="W232" s="376" t="s">
        <v>495</v>
      </c>
      <c r="X232" s="377" t="str">
        <f t="shared" si="33"/>
        <v>SAI</v>
      </c>
      <c r="Y232" t="str">
        <f>SUBSTITUTE(Tabla1[[#This Row],[Descripción]],CHAR(10),"    I    ")</f>
        <v>Ajuste de contadores de Solicitud de Proteccion de Derechos,    I    Ajuste a casos de Solicitud de Proteccion de Derechos en la corrección de números de expediente</v>
      </c>
      <c r="Z232" s="378">
        <f>VLOOKUP(Tabla1[[#This Row],[Perfil]],Catalogos!$B$75:$D$100,3,FALSE)*Tabla1[[#This Row],[Tiempo
(Hrs 00/100)]]*1.16</f>
        <v>4872</v>
      </c>
    </row>
    <row r="233" spans="1:26" ht="42.75" customHeight="1" x14ac:dyDescent="0.3">
      <c r="A233" s="409" t="s">
        <v>22</v>
      </c>
      <c r="B233" s="409" t="s">
        <v>23</v>
      </c>
      <c r="C233" s="409" t="s">
        <v>45</v>
      </c>
      <c r="D233" s="409"/>
      <c r="E233" s="409" t="s">
        <v>554</v>
      </c>
      <c r="F233" s="409" t="s">
        <v>23</v>
      </c>
      <c r="G233" s="409"/>
      <c r="H233" s="410" t="s">
        <v>555</v>
      </c>
      <c r="I233" s="410" t="s">
        <v>556</v>
      </c>
      <c r="J233" s="411">
        <v>44958</v>
      </c>
      <c r="K233" s="747">
        <v>0.375</v>
      </c>
      <c r="L233" s="411">
        <v>44958</v>
      </c>
      <c r="M233" s="412">
        <v>0.58333333333333337</v>
      </c>
      <c r="N233" s="409">
        <v>5</v>
      </c>
      <c r="O233" s="413" t="s">
        <v>17</v>
      </c>
      <c r="P233" s="414" t="s">
        <v>557</v>
      </c>
      <c r="Q233" s="749" t="s">
        <v>558</v>
      </c>
      <c r="R233" s="415" t="s">
        <v>263</v>
      </c>
      <c r="S233" s="31" t="s">
        <v>273</v>
      </c>
      <c r="T233" s="31" t="s">
        <v>273</v>
      </c>
      <c r="U233" s="31">
        <f>IFERROR(VLOOKUP(CONCATENATE(Tabla1[[#This Row],[Severidad]]," ",Tabla1[[#This Row],[Complejidad]]),Catalogos!E$120:G$128,3,FALSE),"")</f>
        <v>64</v>
      </c>
      <c r="V233" s="31" t="str">
        <f>IF(Tabla1[[#This Row],[Tiempo solución max (hrs)]]&lt;&gt;"",IF(Tabla1[[#This Row],[Tiempo solución max (hrs)]]&gt;=Tabla1[[#This Row],[Tiempo
(Hrs 00/100)]],"cumple","no cumple"),"")</f>
        <v>cumple</v>
      </c>
      <c r="W233" s="376" t="s">
        <v>495</v>
      </c>
      <c r="X233" s="377" t="str">
        <f t="shared" si="33"/>
        <v>SPD</v>
      </c>
      <c r="Y233" t="str">
        <f>SUBSTITUTE(Tabla1[[#This Row],[Descripción]],CHAR(10),"    I    ")</f>
        <v>Se migra pantalla de login</v>
      </c>
      <c r="Z233" s="378">
        <f>VLOOKUP(Tabla1[[#This Row],[Perfil]],Catalogos!$B$75:$D$100,3,FALSE)*Tabla1[[#This Row],[Tiempo
(Hrs 00/100)]]*1.16</f>
        <v>2900</v>
      </c>
    </row>
    <row r="234" spans="1:26" ht="42.75" customHeight="1" x14ac:dyDescent="0.3">
      <c r="A234" s="409" t="s">
        <v>22</v>
      </c>
      <c r="B234" s="409" t="s">
        <v>23</v>
      </c>
      <c r="C234" s="409" t="s">
        <v>45</v>
      </c>
      <c r="D234" s="409"/>
      <c r="E234" s="409" t="s">
        <v>554</v>
      </c>
      <c r="F234" s="409" t="s">
        <v>23</v>
      </c>
      <c r="G234" s="409"/>
      <c r="H234" s="410" t="s">
        <v>559</v>
      </c>
      <c r="I234" s="410" t="s">
        <v>559</v>
      </c>
      <c r="J234" s="411">
        <v>44958</v>
      </c>
      <c r="K234" s="412">
        <v>0.625</v>
      </c>
      <c r="L234" s="411">
        <v>44958</v>
      </c>
      <c r="M234" s="412">
        <v>0.83333333333333337</v>
      </c>
      <c r="N234" s="409">
        <v>5</v>
      </c>
      <c r="O234" s="413" t="s">
        <v>17</v>
      </c>
      <c r="P234" s="414" t="s">
        <v>557</v>
      </c>
      <c r="Q234" s="749" t="s">
        <v>558</v>
      </c>
      <c r="R234" s="415" t="s">
        <v>263</v>
      </c>
      <c r="S234" s="31" t="s">
        <v>273</v>
      </c>
      <c r="T234" s="31" t="s">
        <v>273</v>
      </c>
      <c r="U234" s="31">
        <f>IFERROR(VLOOKUP(CONCATENATE(Tabla1[[#This Row],[Severidad]]," ",Tabla1[[#This Row],[Complejidad]]),Catalogos!E$120:G$128,3,FALSE),"")</f>
        <v>64</v>
      </c>
      <c r="V234" s="31" t="str">
        <f>IF(Tabla1[[#This Row],[Tiempo solución max (hrs)]]&lt;&gt;"",IF(Tabla1[[#This Row],[Tiempo solución max (hrs)]]&gt;=Tabla1[[#This Row],[Tiempo
(Hrs 00/100)]],"cumple","no cumple"),"")</f>
        <v>cumple</v>
      </c>
      <c r="W234" s="376" t="s">
        <v>495</v>
      </c>
      <c r="X234" s="377" t="str">
        <f t="shared" si="33"/>
        <v>SPD</v>
      </c>
      <c r="Y234" t="str">
        <f>SUBSTITUTE(Tabla1[[#This Row],[Descripción]],CHAR(10),"    I    ")</f>
        <v>Incorporar servicios de login</v>
      </c>
      <c r="Z234" s="378">
        <f>VLOOKUP(Tabla1[[#This Row],[Perfil]],Catalogos!$B$75:$D$100,3,FALSE)*Tabla1[[#This Row],[Tiempo
(Hrs 00/100)]]*1.16</f>
        <v>2900</v>
      </c>
    </row>
    <row r="235" spans="1:26" ht="42.75" customHeight="1" x14ac:dyDescent="0.3">
      <c r="A235" s="409" t="s">
        <v>22</v>
      </c>
      <c r="B235" s="409" t="s">
        <v>23</v>
      </c>
      <c r="C235" s="409" t="s">
        <v>45</v>
      </c>
      <c r="D235" s="409"/>
      <c r="E235" s="409" t="s">
        <v>554</v>
      </c>
      <c r="F235" s="409" t="s">
        <v>23</v>
      </c>
      <c r="G235" s="409"/>
      <c r="H235" s="410" t="s">
        <v>560</v>
      </c>
      <c r="I235" s="410" t="s">
        <v>561</v>
      </c>
      <c r="J235" s="411">
        <v>44959</v>
      </c>
      <c r="K235" s="747">
        <v>0.375</v>
      </c>
      <c r="L235" s="411">
        <v>44959</v>
      </c>
      <c r="M235" s="412">
        <v>0.58333333333333337</v>
      </c>
      <c r="N235" s="409">
        <v>5</v>
      </c>
      <c r="O235" s="413" t="s">
        <v>17</v>
      </c>
      <c r="P235" s="416" t="s">
        <v>557</v>
      </c>
      <c r="Q235" s="749" t="s">
        <v>558</v>
      </c>
      <c r="R235" s="415" t="s">
        <v>263</v>
      </c>
      <c r="S235" s="31" t="s">
        <v>273</v>
      </c>
      <c r="T235" s="31" t="s">
        <v>273</v>
      </c>
      <c r="U235" s="31">
        <f>IFERROR(VLOOKUP(CONCATENATE(Tabla1[[#This Row],[Severidad]]," ",Tabla1[[#This Row],[Complejidad]]),Catalogos!E$120:G$128,3,FALSE),"")</f>
        <v>64</v>
      </c>
      <c r="V235" s="31" t="str">
        <f>IF(Tabla1[[#This Row],[Tiempo solución max (hrs)]]&lt;&gt;"",IF(Tabla1[[#This Row],[Tiempo solución max (hrs)]]&gt;=Tabla1[[#This Row],[Tiempo
(Hrs 00/100)]],"cumple","no cumple"),"")</f>
        <v>cumple</v>
      </c>
      <c r="W235" s="376" t="s">
        <v>495</v>
      </c>
      <c r="X235" s="377" t="str">
        <f t="shared" si="33"/>
        <v>SPD</v>
      </c>
      <c r="Y235" t="str">
        <f>SUBSTITUTE(Tabla1[[#This Row],[Descripción]],CHAR(10),"    I    ")</f>
        <v>Se migra pantalla de registro</v>
      </c>
      <c r="Z235" s="378">
        <f>VLOOKUP(Tabla1[[#This Row],[Perfil]],Catalogos!$B$75:$D$100,3,FALSE)*Tabla1[[#This Row],[Tiempo
(Hrs 00/100)]]*1.16</f>
        <v>2900</v>
      </c>
    </row>
    <row r="236" spans="1:26" ht="42.75" customHeight="1" x14ac:dyDescent="0.3">
      <c r="A236" s="409" t="s">
        <v>22</v>
      </c>
      <c r="B236" s="409" t="s">
        <v>23</v>
      </c>
      <c r="C236" s="409" t="s">
        <v>45</v>
      </c>
      <c r="D236" s="409"/>
      <c r="E236" s="409" t="s">
        <v>554</v>
      </c>
      <c r="F236" s="409" t="s">
        <v>23</v>
      </c>
      <c r="G236" s="409"/>
      <c r="H236" s="410" t="s">
        <v>562</v>
      </c>
      <c r="I236" s="410" t="s">
        <v>563</v>
      </c>
      <c r="J236" s="411">
        <v>44959</v>
      </c>
      <c r="K236" s="412">
        <v>0.625</v>
      </c>
      <c r="L236" s="411">
        <v>44959</v>
      </c>
      <c r="M236" s="412">
        <v>0.83333333333333337</v>
      </c>
      <c r="N236" s="409">
        <v>5</v>
      </c>
      <c r="O236" s="413" t="s">
        <v>17</v>
      </c>
      <c r="P236" s="416" t="s">
        <v>557</v>
      </c>
      <c r="Q236" s="749" t="s">
        <v>558</v>
      </c>
      <c r="R236" s="415" t="s">
        <v>263</v>
      </c>
      <c r="S236" s="31" t="s">
        <v>273</v>
      </c>
      <c r="T236" s="31" t="s">
        <v>273</v>
      </c>
      <c r="U236" s="31">
        <f>IFERROR(VLOOKUP(CONCATENATE(Tabla1[[#This Row],[Severidad]]," ",Tabla1[[#This Row],[Complejidad]]),Catalogos!E$120:G$128,3,FALSE),"")</f>
        <v>64</v>
      </c>
      <c r="V236" s="31" t="str">
        <f>IF(Tabla1[[#This Row],[Tiempo solución max (hrs)]]&lt;&gt;"",IF(Tabla1[[#This Row],[Tiempo solución max (hrs)]]&gt;=Tabla1[[#This Row],[Tiempo
(Hrs 00/100)]],"cumple","no cumple"),"")</f>
        <v>cumple</v>
      </c>
      <c r="W236" s="376" t="s">
        <v>495</v>
      </c>
      <c r="X236" s="377" t="str">
        <f t="shared" si="33"/>
        <v>SPD</v>
      </c>
      <c r="Y236" t="str">
        <f>SUBSTITUTE(Tabla1[[#This Row],[Descripción]],CHAR(10),"    I    ")</f>
        <v>Se recuperar he integran keys para login con redes</v>
      </c>
      <c r="Z236" s="378">
        <f>VLOOKUP(Tabla1[[#This Row],[Perfil]],Catalogos!$B$75:$D$100,3,FALSE)*Tabla1[[#This Row],[Tiempo
(Hrs 00/100)]]*1.16</f>
        <v>2900</v>
      </c>
    </row>
    <row r="237" spans="1:26" ht="42.75" customHeight="1" x14ac:dyDescent="0.3">
      <c r="A237" s="409" t="s">
        <v>22</v>
      </c>
      <c r="B237" s="409" t="s">
        <v>23</v>
      </c>
      <c r="C237" s="409" t="s">
        <v>45</v>
      </c>
      <c r="D237" s="409"/>
      <c r="E237" s="409" t="s">
        <v>554</v>
      </c>
      <c r="F237" s="409" t="s">
        <v>23</v>
      </c>
      <c r="G237" s="409"/>
      <c r="H237" s="410" t="s">
        <v>564</v>
      </c>
      <c r="I237" s="410" t="s">
        <v>565</v>
      </c>
      <c r="J237" s="411">
        <v>44960</v>
      </c>
      <c r="K237" s="709">
        <v>0.375</v>
      </c>
      <c r="L237" s="411">
        <v>44960</v>
      </c>
      <c r="M237" s="739">
        <v>0.83333333333333337</v>
      </c>
      <c r="N237" s="409">
        <v>10</v>
      </c>
      <c r="O237" s="413" t="s">
        <v>17</v>
      </c>
      <c r="P237" s="416" t="s">
        <v>557</v>
      </c>
      <c r="Q237" s="749" t="s">
        <v>558</v>
      </c>
      <c r="R237" s="415" t="s">
        <v>263</v>
      </c>
      <c r="S237" s="31" t="s">
        <v>273</v>
      </c>
      <c r="T237" s="31" t="s">
        <v>273</v>
      </c>
      <c r="U237" s="31">
        <f>IFERROR(VLOOKUP(CONCATENATE(Tabla1[[#This Row],[Severidad]]," ",Tabla1[[#This Row],[Complejidad]]),Catalogos!E$120:G$128,3,FALSE),"")</f>
        <v>64</v>
      </c>
      <c r="V237" s="31" t="str">
        <f>IF(Tabla1[[#This Row],[Tiempo solución max (hrs)]]&lt;&gt;"",IF(Tabla1[[#This Row],[Tiempo solución max (hrs)]]&gt;=Tabla1[[#This Row],[Tiempo
(Hrs 00/100)]],"cumple","no cumple"),"")</f>
        <v>cumple</v>
      </c>
      <c r="W237" s="376" t="s">
        <v>495</v>
      </c>
      <c r="X237" s="377" t="str">
        <f t="shared" si="33"/>
        <v>SPD</v>
      </c>
      <c r="Y237" t="str">
        <f>SUBSTITUTE(Tabla1[[#This Row],[Descripción]],CHAR(10),"    I    ")</f>
        <v>Se incorpora login de Facebook y se obtienen token de pnt</v>
      </c>
      <c r="Z237" s="378">
        <f>VLOOKUP(Tabla1[[#This Row],[Perfil]],Catalogos!$B$75:$D$100,3,FALSE)*Tabla1[[#This Row],[Tiempo
(Hrs 00/100)]]*1.16</f>
        <v>5800</v>
      </c>
    </row>
    <row r="238" spans="1:26" ht="42.75" customHeight="1" x14ac:dyDescent="0.3">
      <c r="A238" s="409" t="s">
        <v>22</v>
      </c>
      <c r="B238" s="409" t="s">
        <v>23</v>
      </c>
      <c r="C238" s="409" t="s">
        <v>45</v>
      </c>
      <c r="D238" s="409"/>
      <c r="E238" s="409" t="s">
        <v>554</v>
      </c>
      <c r="F238" s="409" t="s">
        <v>23</v>
      </c>
      <c r="G238" s="409"/>
      <c r="H238" s="410" t="s">
        <v>566</v>
      </c>
      <c r="I238" s="410" t="s">
        <v>567</v>
      </c>
      <c r="J238" s="411">
        <v>44963</v>
      </c>
      <c r="K238" s="709">
        <v>0.375</v>
      </c>
      <c r="L238" s="411">
        <v>44963</v>
      </c>
      <c r="M238" s="412">
        <v>0.79166666666666663</v>
      </c>
      <c r="N238" s="409">
        <v>8</v>
      </c>
      <c r="O238" s="413" t="s">
        <v>17</v>
      </c>
      <c r="P238" s="416" t="s">
        <v>557</v>
      </c>
      <c r="Q238" s="749" t="s">
        <v>558</v>
      </c>
      <c r="R238" s="415" t="s">
        <v>263</v>
      </c>
      <c r="S238" s="31" t="s">
        <v>273</v>
      </c>
      <c r="T238" s="31" t="s">
        <v>273</v>
      </c>
      <c r="U238" s="31">
        <f>IFERROR(VLOOKUP(CONCATENATE(Tabla1[[#This Row],[Severidad]]," ",Tabla1[[#This Row],[Complejidad]]),Catalogos!E$120:G$128,3,FALSE),"")</f>
        <v>64</v>
      </c>
      <c r="V238" s="31" t="str">
        <f>IF(Tabla1[[#This Row],[Tiempo solución max (hrs)]]&lt;&gt;"",IF(Tabla1[[#This Row],[Tiempo solución max (hrs)]]&gt;=Tabla1[[#This Row],[Tiempo
(Hrs 00/100)]],"cumple","no cumple"),"")</f>
        <v>cumple</v>
      </c>
      <c r="W238" s="376" t="s">
        <v>495</v>
      </c>
      <c r="X238" s="377" t="str">
        <f t="shared" si="33"/>
        <v>SPD</v>
      </c>
      <c r="Y238" t="str">
        <f>SUBSTITUTE(Tabla1[[#This Row],[Descripción]],CHAR(10),"    I    ")</f>
        <v>Se incorpora login de Google y se obtienen token de pnt</v>
      </c>
      <c r="Z238" s="378">
        <f>VLOOKUP(Tabla1[[#This Row],[Perfil]],Catalogos!$B$75:$D$100,3,FALSE)*Tabla1[[#This Row],[Tiempo
(Hrs 00/100)]]*1.16</f>
        <v>4640</v>
      </c>
    </row>
    <row r="239" spans="1:26" ht="42.75" customHeight="1" x14ac:dyDescent="0.3">
      <c r="A239" s="409" t="s">
        <v>22</v>
      </c>
      <c r="B239" s="409" t="s">
        <v>23</v>
      </c>
      <c r="C239" s="409" t="s">
        <v>45</v>
      </c>
      <c r="D239" s="409"/>
      <c r="E239" s="409" t="s">
        <v>554</v>
      </c>
      <c r="F239" s="409" t="s">
        <v>23</v>
      </c>
      <c r="G239" s="409"/>
      <c r="H239" s="410" t="s">
        <v>568</v>
      </c>
      <c r="I239" s="410" t="s">
        <v>569</v>
      </c>
      <c r="J239" s="411">
        <v>44964</v>
      </c>
      <c r="K239" s="709">
        <v>0.375</v>
      </c>
      <c r="L239" s="411">
        <v>44964</v>
      </c>
      <c r="M239" s="412">
        <v>0.79166666666666663</v>
      </c>
      <c r="N239" s="409">
        <v>8</v>
      </c>
      <c r="O239" s="413" t="s">
        <v>17</v>
      </c>
      <c r="P239" s="416" t="s">
        <v>557</v>
      </c>
      <c r="Q239" s="749" t="s">
        <v>558</v>
      </c>
      <c r="R239" s="415" t="s">
        <v>263</v>
      </c>
      <c r="S239" s="31" t="s">
        <v>273</v>
      </c>
      <c r="T239" s="31" t="s">
        <v>273</v>
      </c>
      <c r="U239" s="31">
        <f>IFERROR(VLOOKUP(CONCATENATE(Tabla1[[#This Row],[Severidad]]," ",Tabla1[[#This Row],[Complejidad]]),Catalogos!E$120:G$128,3,FALSE),"")</f>
        <v>64</v>
      </c>
      <c r="V239" s="31" t="str">
        <f>IF(Tabla1[[#This Row],[Tiempo solución max (hrs)]]&lt;&gt;"",IF(Tabla1[[#This Row],[Tiempo solución max (hrs)]]&gt;=Tabla1[[#This Row],[Tiempo
(Hrs 00/100)]],"cumple","no cumple"),"")</f>
        <v>cumple</v>
      </c>
      <c r="W239" s="376" t="s">
        <v>495</v>
      </c>
      <c r="X239" s="377" t="str">
        <f t="shared" si="33"/>
        <v>SPD</v>
      </c>
      <c r="Y239" t="str">
        <f>SUBSTITUTE(Tabla1[[#This Row],[Descripción]],CHAR(10),"    I    ")</f>
        <v>Se incorpora login de Twitter y se obtienen token de pnt</v>
      </c>
      <c r="Z239" s="378">
        <f>VLOOKUP(Tabla1[[#This Row],[Perfil]],Catalogos!$B$75:$D$100,3,FALSE)*Tabla1[[#This Row],[Tiempo
(Hrs 00/100)]]*1.16</f>
        <v>4640</v>
      </c>
    </row>
    <row r="240" spans="1:26" ht="42.75" customHeight="1" x14ac:dyDescent="0.3">
      <c r="A240" s="409" t="s">
        <v>22</v>
      </c>
      <c r="B240" s="409" t="s">
        <v>23</v>
      </c>
      <c r="C240" s="409" t="s">
        <v>45</v>
      </c>
      <c r="D240" s="409"/>
      <c r="E240" s="409" t="s">
        <v>554</v>
      </c>
      <c r="F240" s="409" t="s">
        <v>23</v>
      </c>
      <c r="G240" s="409"/>
      <c r="H240" s="410" t="s">
        <v>570</v>
      </c>
      <c r="I240" s="410" t="s">
        <v>571</v>
      </c>
      <c r="J240" s="411">
        <v>44965</v>
      </c>
      <c r="K240" s="709">
        <v>0.375</v>
      </c>
      <c r="L240" s="411">
        <v>44965</v>
      </c>
      <c r="M240" s="412">
        <v>0.54166666666666663</v>
      </c>
      <c r="N240" s="409">
        <v>4</v>
      </c>
      <c r="O240" s="413" t="s">
        <v>17</v>
      </c>
      <c r="P240" s="416" t="s">
        <v>557</v>
      </c>
      <c r="Q240" s="749" t="s">
        <v>558</v>
      </c>
      <c r="R240" s="415" t="s">
        <v>263</v>
      </c>
      <c r="S240" s="31" t="s">
        <v>273</v>
      </c>
      <c r="T240" s="31" t="s">
        <v>273</v>
      </c>
      <c r="U240" s="31">
        <f>IFERROR(VLOOKUP(CONCATENATE(Tabla1[[#This Row],[Severidad]]," ",Tabla1[[#This Row],[Complejidad]]),Catalogos!E$120:G$128,3,FALSE),"")</f>
        <v>64</v>
      </c>
      <c r="V240" s="31" t="str">
        <f>IF(Tabla1[[#This Row],[Tiempo solución max (hrs)]]&lt;&gt;"",IF(Tabla1[[#This Row],[Tiempo solución max (hrs)]]&gt;=Tabla1[[#This Row],[Tiempo
(Hrs 00/100)]],"cumple","no cumple"),"")</f>
        <v>cumple</v>
      </c>
      <c r="W240" s="376" t="s">
        <v>495</v>
      </c>
      <c r="X240" s="377" t="str">
        <f t="shared" si="33"/>
        <v>SPD</v>
      </c>
      <c r="Y240" t="str">
        <f>SUBSTITUTE(Tabla1[[#This Row],[Descripción]],CHAR(10),"    I    ")</f>
        <v>Se incorpora login de Apple y se obtienen token de pnt</v>
      </c>
      <c r="Z240" s="378">
        <f>VLOOKUP(Tabla1[[#This Row],[Perfil]],Catalogos!$B$75:$D$100,3,FALSE)*Tabla1[[#This Row],[Tiempo
(Hrs 00/100)]]*1.16</f>
        <v>2320</v>
      </c>
    </row>
    <row r="241" spans="1:26" ht="42.75" customHeight="1" x14ac:dyDescent="0.3">
      <c r="A241" s="409" t="s">
        <v>22</v>
      </c>
      <c r="B241" s="409" t="s">
        <v>23</v>
      </c>
      <c r="C241" s="409" t="s">
        <v>45</v>
      </c>
      <c r="D241" s="409"/>
      <c r="E241" s="409" t="s">
        <v>554</v>
      </c>
      <c r="F241" s="409" t="s">
        <v>23</v>
      </c>
      <c r="G241" s="409"/>
      <c r="H241" s="409" t="s">
        <v>572</v>
      </c>
      <c r="I241" s="409" t="s">
        <v>572</v>
      </c>
      <c r="J241" s="411">
        <v>44965</v>
      </c>
      <c r="K241" s="412">
        <v>0.54166666666666663</v>
      </c>
      <c r="L241" s="411">
        <v>44965</v>
      </c>
      <c r="M241" s="412">
        <v>0.79166666666666663</v>
      </c>
      <c r="N241" s="409">
        <v>4</v>
      </c>
      <c r="O241" s="413" t="s">
        <v>17</v>
      </c>
      <c r="P241" s="416" t="s">
        <v>557</v>
      </c>
      <c r="Q241" s="749" t="s">
        <v>558</v>
      </c>
      <c r="R241" s="415" t="s">
        <v>263</v>
      </c>
      <c r="S241" s="31" t="s">
        <v>273</v>
      </c>
      <c r="T241" s="31" t="s">
        <v>273</v>
      </c>
      <c r="U241" s="31">
        <f>IFERROR(VLOOKUP(CONCATENATE(Tabla1[[#This Row],[Severidad]]," ",Tabla1[[#This Row],[Complejidad]]),Catalogos!E$120:G$128,3,FALSE),"")</f>
        <v>64</v>
      </c>
      <c r="V241" s="31" t="str">
        <f>IF(Tabla1[[#This Row],[Tiempo solución max (hrs)]]&lt;&gt;"",IF(Tabla1[[#This Row],[Tiempo solución max (hrs)]]&gt;=Tabla1[[#This Row],[Tiempo
(Hrs 00/100)]],"cumple","no cumple"),"")</f>
        <v>cumple</v>
      </c>
      <c r="W241" s="376" t="s">
        <v>495</v>
      </c>
      <c r="X241" s="377" t="str">
        <f t="shared" si="33"/>
        <v>SPD</v>
      </c>
      <c r="Y241" t="str">
        <f>SUBSTITUTE(Tabla1[[#This Row],[Descripción]],CHAR(10),"    I    ")</f>
        <v xml:space="preserve">Agregar excepciones para falta de emial en redes sociales y configuracion interceptor </v>
      </c>
      <c r="Z241" s="378">
        <f>VLOOKUP(Tabla1[[#This Row],[Perfil]],Catalogos!$B$75:$D$100,3,FALSE)*Tabla1[[#This Row],[Tiempo
(Hrs 00/100)]]*1.16</f>
        <v>2320</v>
      </c>
    </row>
    <row r="242" spans="1:26" ht="42.75" customHeight="1" x14ac:dyDescent="0.3">
      <c r="A242" s="409" t="s">
        <v>22</v>
      </c>
      <c r="B242" s="409" t="s">
        <v>23</v>
      </c>
      <c r="C242" s="409" t="s">
        <v>45</v>
      </c>
      <c r="D242" s="409"/>
      <c r="E242" s="409" t="s">
        <v>554</v>
      </c>
      <c r="F242" s="409" t="s">
        <v>23</v>
      </c>
      <c r="G242" s="409"/>
      <c r="H242" s="409" t="s">
        <v>573</v>
      </c>
      <c r="I242" s="409" t="s">
        <v>574</v>
      </c>
      <c r="J242" s="411">
        <v>44966</v>
      </c>
      <c r="K242" s="709">
        <v>0.375</v>
      </c>
      <c r="L242" s="411">
        <v>44966</v>
      </c>
      <c r="M242" s="412">
        <v>0.54166666666666663</v>
      </c>
      <c r="N242" s="415">
        <v>4</v>
      </c>
      <c r="O242" s="413" t="s">
        <v>17</v>
      </c>
      <c r="P242" s="416" t="s">
        <v>557</v>
      </c>
      <c r="Q242" s="749" t="s">
        <v>558</v>
      </c>
      <c r="R242" s="415" t="s">
        <v>263</v>
      </c>
      <c r="S242" s="31" t="s">
        <v>273</v>
      </c>
      <c r="T242" s="31" t="s">
        <v>273</v>
      </c>
      <c r="U242" s="31">
        <f>IFERROR(VLOOKUP(CONCATENATE(Tabla1[[#This Row],[Severidad]]," ",Tabla1[[#This Row],[Complejidad]]),Catalogos!E$120:G$128,3,FALSE),"")</f>
        <v>64</v>
      </c>
      <c r="V242" s="31" t="str">
        <f>IF(Tabla1[[#This Row],[Tiempo solución max (hrs)]]&lt;&gt;"",IF(Tabla1[[#This Row],[Tiempo solución max (hrs)]]&gt;=Tabla1[[#This Row],[Tiempo
(Hrs 00/100)]],"cumple","no cumple"),"")</f>
        <v>cumple</v>
      </c>
      <c r="W242" s="376" t="s">
        <v>495</v>
      </c>
      <c r="X242" s="377" t="str">
        <f t="shared" ref="X242:X270" si="51">IF(C242&lt;&gt;"",C242,D242)</f>
        <v>SPD</v>
      </c>
      <c r="Y242" t="str">
        <f>SUBSTITUTE(Tabla1[[#This Row],[Descripción]],CHAR(10),"    I    ")</f>
        <v>Se crea pantalla de home utilizando tabbar</v>
      </c>
      <c r="Z242" s="378">
        <f>VLOOKUP(Tabla1[[#This Row],[Perfil]],Catalogos!$B$75:$D$100,3,FALSE)*Tabla1[[#This Row],[Tiempo
(Hrs 00/100)]]*1.16</f>
        <v>2320</v>
      </c>
    </row>
    <row r="243" spans="1:26" ht="42.75" customHeight="1" x14ac:dyDescent="0.3">
      <c r="A243" s="409" t="s">
        <v>22</v>
      </c>
      <c r="B243" s="409" t="s">
        <v>23</v>
      </c>
      <c r="C243" s="409" t="s">
        <v>45</v>
      </c>
      <c r="D243" s="409"/>
      <c r="E243" s="409" t="s">
        <v>554</v>
      </c>
      <c r="F243" s="409" t="s">
        <v>23</v>
      </c>
      <c r="G243" s="409"/>
      <c r="H243" s="409" t="s">
        <v>575</v>
      </c>
      <c r="I243" s="409" t="s">
        <v>576</v>
      </c>
      <c r="J243" s="411">
        <v>44966</v>
      </c>
      <c r="K243" s="412">
        <v>0.54166666666666663</v>
      </c>
      <c r="L243" s="411">
        <v>44966</v>
      </c>
      <c r="M243" s="412">
        <v>0.79166666666666663</v>
      </c>
      <c r="N243" s="409">
        <v>4</v>
      </c>
      <c r="O243" s="409" t="s">
        <v>17</v>
      </c>
      <c r="P243" s="409" t="s">
        <v>557</v>
      </c>
      <c r="Q243" s="750" t="s">
        <v>558</v>
      </c>
      <c r="R243" s="409" t="s">
        <v>263</v>
      </c>
      <c r="S243" s="31" t="s">
        <v>273</v>
      </c>
      <c r="T243" s="31" t="s">
        <v>273</v>
      </c>
      <c r="U243" s="31">
        <f>IFERROR(VLOOKUP(CONCATENATE(Tabla1[[#This Row],[Severidad]]," ",Tabla1[[#This Row],[Complejidad]]),Catalogos!E$120:G$128,3,FALSE),"")</f>
        <v>64</v>
      </c>
      <c r="V243" s="31" t="str">
        <f>IF(Tabla1[[#This Row],[Tiempo solución max (hrs)]]&lt;&gt;"",IF(Tabla1[[#This Row],[Tiempo solución max (hrs)]]&gt;=Tabla1[[#This Row],[Tiempo
(Hrs 00/100)]],"cumple","no cumple"),"")</f>
        <v>cumple</v>
      </c>
      <c r="W243" s="376" t="s">
        <v>495</v>
      </c>
      <c r="X243" s="377" t="str">
        <f t="shared" si="51"/>
        <v>SPD</v>
      </c>
      <c r="Y243" t="str">
        <f>SUBSTITUTE(Tabla1[[#This Row],[Descripción]],CHAR(10),"    I    ")</f>
        <v>Se crea el componente Card para utilizar en los menus de Home y se agrega animacion</v>
      </c>
      <c r="Z243" s="378">
        <f>VLOOKUP(Tabla1[[#This Row],[Perfil]],Catalogos!$B$75:$D$100,3,FALSE)*Tabla1[[#This Row],[Tiempo
(Hrs 00/100)]]*1.16</f>
        <v>2320</v>
      </c>
    </row>
    <row r="244" spans="1:26" ht="42.75" customHeight="1" x14ac:dyDescent="0.3">
      <c r="A244" s="409" t="s">
        <v>22</v>
      </c>
      <c r="B244" s="409" t="s">
        <v>23</v>
      </c>
      <c r="C244" s="409" t="s">
        <v>45</v>
      </c>
      <c r="D244" s="409"/>
      <c r="E244" s="409" t="s">
        <v>554</v>
      </c>
      <c r="F244" s="409" t="s">
        <v>23</v>
      </c>
      <c r="G244" s="409"/>
      <c r="H244" s="409" t="s">
        <v>577</v>
      </c>
      <c r="I244" s="409" t="s">
        <v>578</v>
      </c>
      <c r="J244" s="411">
        <v>44967</v>
      </c>
      <c r="K244" s="739">
        <v>0.375</v>
      </c>
      <c r="L244" s="411">
        <v>44967</v>
      </c>
      <c r="M244" s="739">
        <v>0.58333333333333337</v>
      </c>
      <c r="N244" s="409">
        <v>5</v>
      </c>
      <c r="O244" s="409" t="s">
        <v>17</v>
      </c>
      <c r="P244" s="409" t="s">
        <v>557</v>
      </c>
      <c r="Q244" s="750" t="s">
        <v>558</v>
      </c>
      <c r="R244" s="409" t="s">
        <v>263</v>
      </c>
      <c r="S244" s="31" t="s">
        <v>273</v>
      </c>
      <c r="T244" s="31" t="s">
        <v>273</v>
      </c>
      <c r="U244" s="31">
        <f>IFERROR(VLOOKUP(CONCATENATE(Tabla1[[#This Row],[Severidad]]," ",Tabla1[[#This Row],[Complejidad]]),Catalogos!E$120:G$128,3,FALSE),"")</f>
        <v>64</v>
      </c>
      <c r="V244" s="31" t="str">
        <f>IF(Tabla1[[#This Row],[Tiempo solución max (hrs)]]&lt;&gt;"",IF(Tabla1[[#This Row],[Tiempo solución max (hrs)]]&gt;=Tabla1[[#This Row],[Tiempo
(Hrs 00/100)]],"cumple","no cumple"),"")</f>
        <v>cumple</v>
      </c>
      <c r="W244" s="376" t="s">
        <v>495</v>
      </c>
      <c r="X244" s="377" t="str">
        <f t="shared" si="51"/>
        <v>SPD</v>
      </c>
      <c r="Y244" t="str">
        <f>SUBSTITUTE(Tabla1[[#This Row],[Descripción]],CHAR(10),"    I    ")</f>
        <v>Se crean listados que sirven como menu en Home</v>
      </c>
      <c r="Z244" s="378">
        <f>VLOOKUP(Tabla1[[#This Row],[Perfil]],Catalogos!$B$75:$D$100,3,FALSE)*Tabla1[[#This Row],[Tiempo
(Hrs 00/100)]]*1.16</f>
        <v>2900</v>
      </c>
    </row>
    <row r="245" spans="1:26" ht="42.75" customHeight="1" x14ac:dyDescent="0.3">
      <c r="A245" s="409" t="s">
        <v>22</v>
      </c>
      <c r="B245" s="409" t="s">
        <v>23</v>
      </c>
      <c r="C245" s="409" t="s">
        <v>45</v>
      </c>
      <c r="D245" s="409"/>
      <c r="E245" s="409" t="s">
        <v>554</v>
      </c>
      <c r="F245" s="409" t="s">
        <v>23</v>
      </c>
      <c r="G245" s="409"/>
      <c r="H245" s="409" t="s">
        <v>579</v>
      </c>
      <c r="I245" s="409" t="s">
        <v>580</v>
      </c>
      <c r="J245" s="411">
        <v>44967</v>
      </c>
      <c r="K245" s="739">
        <v>0.625</v>
      </c>
      <c r="L245" s="411">
        <v>44967</v>
      </c>
      <c r="M245" s="412">
        <v>0.83333333333333337</v>
      </c>
      <c r="N245" s="409">
        <v>5</v>
      </c>
      <c r="O245" s="409" t="s">
        <v>17</v>
      </c>
      <c r="P245" s="409" t="s">
        <v>557</v>
      </c>
      <c r="Q245" s="750" t="s">
        <v>558</v>
      </c>
      <c r="R245" s="409" t="s">
        <v>263</v>
      </c>
      <c r="S245" s="31" t="s">
        <v>273</v>
      </c>
      <c r="T245" s="31" t="s">
        <v>273</v>
      </c>
      <c r="U245" s="31">
        <f>IFERROR(VLOOKUP(CONCATENATE(Tabla1[[#This Row],[Severidad]]," ",Tabla1[[#This Row],[Complejidad]]),Catalogos!E$120:G$128,3,FALSE),"")</f>
        <v>64</v>
      </c>
      <c r="V245" s="31" t="str">
        <f>IF(Tabla1[[#This Row],[Tiempo solución max (hrs)]]&lt;&gt;"",IF(Tabla1[[#This Row],[Tiempo solución max (hrs)]]&gt;=Tabla1[[#This Row],[Tiempo
(Hrs 00/100)]],"cumple","no cumple"),"")</f>
        <v>cumple</v>
      </c>
      <c r="W245" s="376" t="s">
        <v>495</v>
      </c>
      <c r="X245" s="377" t="str">
        <f t="shared" si="51"/>
        <v>SPD</v>
      </c>
      <c r="Y245" t="str">
        <f>SUBSTITUTE(Tabla1[[#This Row],[Descripción]],CHAR(10),"    I    ")</f>
        <v>Se crea dialogo para mostrar durante la carga de una peticion u operacion</v>
      </c>
      <c r="Z245" s="378">
        <f>VLOOKUP(Tabla1[[#This Row],[Perfil]],Catalogos!$B$75:$D$100,3,FALSE)*Tabla1[[#This Row],[Tiempo
(Hrs 00/100)]]*1.16</f>
        <v>2900</v>
      </c>
    </row>
    <row r="246" spans="1:26" ht="42.75" customHeight="1" x14ac:dyDescent="0.3">
      <c r="A246" s="409" t="s">
        <v>22</v>
      </c>
      <c r="B246" s="409" t="s">
        <v>23</v>
      </c>
      <c r="C246" s="409" t="s">
        <v>45</v>
      </c>
      <c r="D246" s="409"/>
      <c r="E246" s="409" t="s">
        <v>554</v>
      </c>
      <c r="F246" s="409" t="s">
        <v>23</v>
      </c>
      <c r="G246" s="409"/>
      <c r="H246" s="409" t="s">
        <v>581</v>
      </c>
      <c r="I246" s="409" t="s">
        <v>582</v>
      </c>
      <c r="J246" s="411">
        <v>44970</v>
      </c>
      <c r="K246" s="739">
        <v>0.375</v>
      </c>
      <c r="L246" s="411">
        <v>44970</v>
      </c>
      <c r="M246" s="739">
        <v>0.45833333333333331</v>
      </c>
      <c r="N246" s="409">
        <v>2</v>
      </c>
      <c r="O246" s="409" t="s">
        <v>411</v>
      </c>
      <c r="P246" s="409" t="s">
        <v>557</v>
      </c>
      <c r="Q246" s="750" t="s">
        <v>558</v>
      </c>
      <c r="R246" s="409" t="s">
        <v>263</v>
      </c>
      <c r="S246" s="31" t="s">
        <v>273</v>
      </c>
      <c r="T246" s="31" t="s">
        <v>273</v>
      </c>
      <c r="U246" s="31">
        <f>IFERROR(VLOOKUP(CONCATENATE(Tabla1[[#This Row],[Severidad]]," ",Tabla1[[#This Row],[Complejidad]]),Catalogos!E$120:G$128,3,FALSE),"")</f>
        <v>64</v>
      </c>
      <c r="V246" s="31" t="str">
        <f>IF(Tabla1[[#This Row],[Tiempo solución max (hrs)]]&lt;&gt;"",IF(Tabla1[[#This Row],[Tiempo solución max (hrs)]]&gt;=Tabla1[[#This Row],[Tiempo
(Hrs 00/100)]],"cumple","no cumple"),"")</f>
        <v>cumple</v>
      </c>
      <c r="W246" s="376" t="s">
        <v>495</v>
      </c>
      <c r="X246" s="377" t="str">
        <f t="shared" si="51"/>
        <v>SPD</v>
      </c>
      <c r="Y246" t="str">
        <f>SUBSTITUTE(Tabla1[[#This Row],[Descripción]],CHAR(10),"    I    ")</f>
        <v>Se crea el formulario para Mis Solicitudes</v>
      </c>
      <c r="Z246" s="378">
        <f>VLOOKUP(Tabla1[[#This Row],[Perfil]],Catalogos!$B$75:$D$100,3,FALSE)*Tabla1[[#This Row],[Tiempo
(Hrs 00/100)]]*1.16</f>
        <v>1160</v>
      </c>
    </row>
    <row r="247" spans="1:26" ht="42.75" customHeight="1" x14ac:dyDescent="0.3">
      <c r="A247" s="409" t="s">
        <v>22</v>
      </c>
      <c r="B247" s="409" t="s">
        <v>23</v>
      </c>
      <c r="C247" s="409" t="s">
        <v>45</v>
      </c>
      <c r="D247" s="409"/>
      <c r="E247" s="409" t="s">
        <v>554</v>
      </c>
      <c r="F247" s="409" t="s">
        <v>23</v>
      </c>
      <c r="G247" s="409"/>
      <c r="H247" s="409" t="s">
        <v>583</v>
      </c>
      <c r="I247" s="409" t="s">
        <v>584</v>
      </c>
      <c r="J247" s="411">
        <v>44970</v>
      </c>
      <c r="K247" s="739">
        <v>0.45833333333333331</v>
      </c>
      <c r="L247" s="411">
        <v>44970</v>
      </c>
      <c r="M247" s="739">
        <v>0.75</v>
      </c>
      <c r="N247" s="409">
        <v>5</v>
      </c>
      <c r="O247" s="409" t="s">
        <v>17</v>
      </c>
      <c r="P247" s="409" t="s">
        <v>557</v>
      </c>
      <c r="Q247" s="750" t="s">
        <v>558</v>
      </c>
      <c r="R247" s="409" t="s">
        <v>263</v>
      </c>
      <c r="S247" s="31" t="s">
        <v>273</v>
      </c>
      <c r="T247" s="31" t="s">
        <v>273</v>
      </c>
      <c r="U247" s="31">
        <f>IFERROR(VLOOKUP(CONCATENATE(Tabla1[[#This Row],[Severidad]]," ",Tabla1[[#This Row],[Complejidad]]),Catalogos!E$120:G$128,3,FALSE),"")</f>
        <v>64</v>
      </c>
      <c r="V247" s="31" t="str">
        <f>IF(Tabla1[[#This Row],[Tiempo solución max (hrs)]]&lt;&gt;"",IF(Tabla1[[#This Row],[Tiempo solución max (hrs)]]&gt;=Tabla1[[#This Row],[Tiempo
(Hrs 00/100)]],"cumple","no cumple"),"")</f>
        <v>cumple</v>
      </c>
      <c r="W247" s="376" t="s">
        <v>495</v>
      </c>
      <c r="X247" s="377" t="str">
        <f t="shared" si="51"/>
        <v>SPD</v>
      </c>
      <c r="Y247" t="str">
        <f>SUBSTITUTE(Tabla1[[#This Row],[Descripción]],CHAR(10),"    I    ")</f>
        <v>Crear selector de sujeto obligado</v>
      </c>
      <c r="Z247" s="378">
        <f>VLOOKUP(Tabla1[[#This Row],[Perfil]],Catalogos!$B$75:$D$100,3,FALSE)*Tabla1[[#This Row],[Tiempo
(Hrs 00/100)]]*1.16</f>
        <v>2900</v>
      </c>
    </row>
    <row r="248" spans="1:26" ht="42.75" customHeight="1" x14ac:dyDescent="0.3">
      <c r="A248" s="409" t="s">
        <v>22</v>
      </c>
      <c r="B248" s="409" t="s">
        <v>23</v>
      </c>
      <c r="C248" s="409" t="s">
        <v>45</v>
      </c>
      <c r="D248" s="409"/>
      <c r="E248" s="409" t="s">
        <v>554</v>
      </c>
      <c r="F248" s="409" t="s">
        <v>23</v>
      </c>
      <c r="G248" s="409"/>
      <c r="H248" s="409" t="s">
        <v>584</v>
      </c>
      <c r="I248" s="409" t="s">
        <v>584</v>
      </c>
      <c r="J248" s="411">
        <v>44970</v>
      </c>
      <c r="K248" s="739">
        <v>0.75</v>
      </c>
      <c r="L248" s="411">
        <v>44970</v>
      </c>
      <c r="M248" s="739">
        <v>0.79166666666666663</v>
      </c>
      <c r="N248" s="409">
        <v>1</v>
      </c>
      <c r="O248" s="409" t="s">
        <v>17</v>
      </c>
      <c r="P248" s="409" t="s">
        <v>557</v>
      </c>
      <c r="Q248" s="750" t="s">
        <v>558</v>
      </c>
      <c r="R248" s="409" t="s">
        <v>263</v>
      </c>
      <c r="S248" s="31" t="s">
        <v>273</v>
      </c>
      <c r="T248" s="31" t="s">
        <v>273</v>
      </c>
      <c r="U248" s="31">
        <f>IFERROR(VLOOKUP(CONCATENATE(Tabla1[[#This Row],[Severidad]]," ",Tabla1[[#This Row],[Complejidad]]),Catalogos!E$120:G$128,3,FALSE),"")</f>
        <v>64</v>
      </c>
      <c r="V248" s="31" t="str">
        <f>IF(Tabla1[[#This Row],[Tiempo solución max (hrs)]]&lt;&gt;"",IF(Tabla1[[#This Row],[Tiempo solución max (hrs)]]&gt;=Tabla1[[#This Row],[Tiempo
(Hrs 00/100)]],"cumple","no cumple"),"")</f>
        <v>cumple</v>
      </c>
      <c r="W248" s="376" t="s">
        <v>495</v>
      </c>
      <c r="X248" s="377" t="str">
        <f t="shared" si="51"/>
        <v>SPD</v>
      </c>
      <c r="Y248" t="str">
        <f>SUBSTITUTE(Tabla1[[#This Row],[Descripción]],CHAR(10),"    I    ")</f>
        <v>Crear selector de sujeto obligado</v>
      </c>
      <c r="Z248" s="378">
        <f>VLOOKUP(Tabla1[[#This Row],[Perfil]],Catalogos!$B$75:$D$100,3,FALSE)*Tabla1[[#This Row],[Tiempo
(Hrs 00/100)]]*1.16</f>
        <v>580</v>
      </c>
    </row>
    <row r="249" spans="1:26" ht="42.75" customHeight="1" x14ac:dyDescent="0.3">
      <c r="A249" s="409" t="s">
        <v>22</v>
      </c>
      <c r="B249" s="409" t="s">
        <v>23</v>
      </c>
      <c r="C249" s="409" t="s">
        <v>45</v>
      </c>
      <c r="D249" s="409"/>
      <c r="E249" s="409" t="s">
        <v>554</v>
      </c>
      <c r="F249" s="409" t="s">
        <v>23</v>
      </c>
      <c r="G249" s="409"/>
      <c r="H249" s="409" t="s">
        <v>584</v>
      </c>
      <c r="I249" s="409" t="s">
        <v>584</v>
      </c>
      <c r="J249" s="411">
        <v>44971</v>
      </c>
      <c r="K249" s="739">
        <v>0.375</v>
      </c>
      <c r="L249" s="411">
        <v>44971</v>
      </c>
      <c r="M249" s="412">
        <v>0.54166666666666663</v>
      </c>
      <c r="N249" s="409">
        <v>4</v>
      </c>
      <c r="O249" s="409" t="s">
        <v>17</v>
      </c>
      <c r="P249" s="409" t="s">
        <v>557</v>
      </c>
      <c r="Q249" s="750" t="s">
        <v>558</v>
      </c>
      <c r="R249" s="409" t="s">
        <v>263</v>
      </c>
      <c r="S249" s="31" t="s">
        <v>273</v>
      </c>
      <c r="T249" s="31" t="s">
        <v>273</v>
      </c>
      <c r="U249" s="31">
        <f>IFERROR(VLOOKUP(CONCATENATE(Tabla1[[#This Row],[Severidad]]," ",Tabla1[[#This Row],[Complejidad]]),Catalogos!E$120:G$128,3,FALSE),"")</f>
        <v>64</v>
      </c>
      <c r="V249" s="31" t="str">
        <f>IF(Tabla1[[#This Row],[Tiempo solución max (hrs)]]&lt;&gt;"",IF(Tabla1[[#This Row],[Tiempo solución max (hrs)]]&gt;=Tabla1[[#This Row],[Tiempo
(Hrs 00/100)]],"cumple","no cumple"),"")</f>
        <v>cumple</v>
      </c>
      <c r="W249" s="376" t="s">
        <v>495</v>
      </c>
      <c r="X249" s="377" t="str">
        <f t="shared" si="51"/>
        <v>SPD</v>
      </c>
      <c r="Y249" t="str">
        <f>SUBSTITUTE(Tabla1[[#This Row],[Descripción]],CHAR(10),"    I    ")</f>
        <v>Crear selector de sujeto obligado</v>
      </c>
      <c r="Z249" s="378">
        <f>VLOOKUP(Tabla1[[#This Row],[Perfil]],Catalogos!$B$75:$D$100,3,FALSE)*Tabla1[[#This Row],[Tiempo
(Hrs 00/100)]]*1.16</f>
        <v>2320</v>
      </c>
    </row>
    <row r="250" spans="1:26" ht="42.75" customHeight="1" x14ac:dyDescent="0.3">
      <c r="A250" s="409" t="s">
        <v>22</v>
      </c>
      <c r="B250" s="409" t="s">
        <v>23</v>
      </c>
      <c r="C250" s="409" t="s">
        <v>45</v>
      </c>
      <c r="D250" s="409"/>
      <c r="E250" s="409" t="s">
        <v>554</v>
      </c>
      <c r="F250" s="409" t="s">
        <v>23</v>
      </c>
      <c r="G250" s="409"/>
      <c r="H250" s="409" t="s">
        <v>585</v>
      </c>
      <c r="I250" s="409" t="s">
        <v>586</v>
      </c>
      <c r="J250" s="411">
        <v>44971</v>
      </c>
      <c r="K250" s="412">
        <v>0.54166666666666663</v>
      </c>
      <c r="L250" s="411">
        <v>44971</v>
      </c>
      <c r="M250" s="739">
        <v>0.79166666666666663</v>
      </c>
      <c r="N250" s="409">
        <v>4</v>
      </c>
      <c r="O250" s="409" t="s">
        <v>17</v>
      </c>
      <c r="P250" s="409" t="s">
        <v>557</v>
      </c>
      <c r="Q250" s="750" t="s">
        <v>558</v>
      </c>
      <c r="R250" s="409" t="s">
        <v>263</v>
      </c>
      <c r="S250" s="31" t="s">
        <v>273</v>
      </c>
      <c r="T250" s="31" t="s">
        <v>273</v>
      </c>
      <c r="U250" s="31">
        <f>IFERROR(VLOOKUP(CONCATENATE(Tabla1[[#This Row],[Severidad]]," ",Tabla1[[#This Row],[Complejidad]]),Catalogos!E$120:G$128,3,FALSE),"")</f>
        <v>64</v>
      </c>
      <c r="V250" s="31" t="str">
        <f>IF(Tabla1[[#This Row],[Tiempo solución max (hrs)]]&lt;&gt;"",IF(Tabla1[[#This Row],[Tiempo solución max (hrs)]]&gt;=Tabla1[[#This Row],[Tiempo
(Hrs 00/100)]],"cumple","no cumple"),"")</f>
        <v>cumple</v>
      </c>
      <c r="W250" s="376" t="s">
        <v>495</v>
      </c>
      <c r="X250" s="377" t="str">
        <f t="shared" si="51"/>
        <v>SPD</v>
      </c>
      <c r="Y250" t="str">
        <f>SUBSTITUTE(Tabla1[[#This Row],[Descripción]],CHAR(10),"    I    ")</f>
        <v>Se genera el listado para los resultados de busqueda de mis solicitudes</v>
      </c>
      <c r="Z250" s="378">
        <f>VLOOKUP(Tabla1[[#This Row],[Perfil]],Catalogos!$B$75:$D$100,3,FALSE)*Tabla1[[#This Row],[Tiempo
(Hrs 00/100)]]*1.16</f>
        <v>2320</v>
      </c>
    </row>
    <row r="251" spans="1:26" ht="42.75" customHeight="1" x14ac:dyDescent="0.3">
      <c r="A251" s="409" t="s">
        <v>22</v>
      </c>
      <c r="B251" s="409" t="s">
        <v>23</v>
      </c>
      <c r="C251" s="409" t="s">
        <v>45</v>
      </c>
      <c r="D251" s="409"/>
      <c r="E251" s="409" t="s">
        <v>554</v>
      </c>
      <c r="F251" s="409" t="s">
        <v>23</v>
      </c>
      <c r="G251" s="409"/>
      <c r="H251" s="409" t="s">
        <v>587</v>
      </c>
      <c r="I251" s="409" t="s">
        <v>588</v>
      </c>
      <c r="J251" s="411">
        <v>44972</v>
      </c>
      <c r="K251" s="739">
        <v>0.375</v>
      </c>
      <c r="L251" s="411">
        <v>44972</v>
      </c>
      <c r="M251" s="412">
        <v>0.54166666666666663</v>
      </c>
      <c r="N251" s="409">
        <v>4</v>
      </c>
      <c r="O251" s="409" t="s">
        <v>17</v>
      </c>
      <c r="P251" s="409" t="s">
        <v>557</v>
      </c>
      <c r="Q251" s="750" t="s">
        <v>558</v>
      </c>
      <c r="R251" s="409" t="s">
        <v>263</v>
      </c>
      <c r="S251" s="31" t="s">
        <v>273</v>
      </c>
      <c r="T251" s="31" t="s">
        <v>273</v>
      </c>
      <c r="U251" s="31">
        <f>IFERROR(VLOOKUP(CONCATENATE(Tabla1[[#This Row],[Severidad]]," ",Tabla1[[#This Row],[Complejidad]]),Catalogos!E$120:G$128,3,FALSE),"")</f>
        <v>64</v>
      </c>
      <c r="V251" s="31" t="str">
        <f>IF(Tabla1[[#This Row],[Tiempo solución max (hrs)]]&lt;&gt;"",IF(Tabla1[[#This Row],[Tiempo solución max (hrs)]]&gt;=Tabla1[[#This Row],[Tiempo
(Hrs 00/100)]],"cumple","no cumple"),"")</f>
        <v>cumple</v>
      </c>
      <c r="W251" s="376" t="s">
        <v>495</v>
      </c>
      <c r="X251" s="377" t="str">
        <f t="shared" si="51"/>
        <v>SPD</v>
      </c>
      <c r="Y251" t="str">
        <f>SUBSTITUTE(Tabla1[[#This Row],[Descripción]],CHAR(10),"    I    ")</f>
        <v>Se genera vista detalle de mis solicitudes</v>
      </c>
      <c r="Z251" s="378">
        <f>VLOOKUP(Tabla1[[#This Row],[Perfil]],Catalogos!$B$75:$D$100,3,FALSE)*Tabla1[[#This Row],[Tiempo
(Hrs 00/100)]]*1.16</f>
        <v>2320</v>
      </c>
    </row>
    <row r="252" spans="1:26" ht="42.75" customHeight="1" x14ac:dyDescent="0.3">
      <c r="A252" s="409" t="s">
        <v>22</v>
      </c>
      <c r="B252" s="409" t="s">
        <v>23</v>
      </c>
      <c r="C252" s="409" t="s">
        <v>45</v>
      </c>
      <c r="D252" s="409"/>
      <c r="E252" s="409" t="s">
        <v>554</v>
      </c>
      <c r="F252" s="409" t="s">
        <v>23</v>
      </c>
      <c r="G252" s="409"/>
      <c r="H252" s="409" t="s">
        <v>589</v>
      </c>
      <c r="I252" s="409" t="s">
        <v>590</v>
      </c>
      <c r="J252" s="411">
        <v>44972</v>
      </c>
      <c r="K252" s="412">
        <v>0.54166666666666663</v>
      </c>
      <c r="L252" s="411">
        <v>44972</v>
      </c>
      <c r="M252" s="739">
        <v>0.79166666666666663</v>
      </c>
      <c r="N252" s="409">
        <v>4</v>
      </c>
      <c r="O252" s="409" t="s">
        <v>17</v>
      </c>
      <c r="P252" s="409" t="s">
        <v>557</v>
      </c>
      <c r="Q252" s="750" t="s">
        <v>558</v>
      </c>
      <c r="R252" s="409" t="s">
        <v>263</v>
      </c>
      <c r="S252" s="31" t="s">
        <v>273</v>
      </c>
      <c r="T252" s="31" t="s">
        <v>273</v>
      </c>
      <c r="U252" s="31">
        <f>IFERROR(VLOOKUP(CONCATENATE(Tabla1[[#This Row],[Severidad]]," ",Tabla1[[#This Row],[Complejidad]]),Catalogos!E$120:G$128,3,FALSE),"")</f>
        <v>64</v>
      </c>
      <c r="V252" s="31" t="str">
        <f>IF(Tabla1[[#This Row],[Tiempo solución max (hrs)]]&lt;&gt;"",IF(Tabla1[[#This Row],[Tiempo solución max (hrs)]]&gt;=Tabla1[[#This Row],[Tiempo
(Hrs 00/100)]],"cumple","no cumple"),"")</f>
        <v>cumple</v>
      </c>
      <c r="W252" s="376" t="s">
        <v>495</v>
      </c>
      <c r="X252" s="377" t="str">
        <f t="shared" si="51"/>
        <v>SPD</v>
      </c>
      <c r="Y252" t="str">
        <f>SUBSTITUTE(Tabla1[[#This Row],[Descripción]],CHAR(10),"    I    ")</f>
        <v>Dentro la vista detalle de mis solicitudes, se agrega la vista para ver el historial de una solicitud</v>
      </c>
      <c r="Z252" s="378">
        <f>VLOOKUP(Tabla1[[#This Row],[Perfil]],Catalogos!$B$75:$D$100,3,FALSE)*Tabla1[[#This Row],[Tiempo
(Hrs 00/100)]]*1.16</f>
        <v>2320</v>
      </c>
    </row>
    <row r="253" spans="1:26" ht="42.75" customHeight="1" x14ac:dyDescent="0.3">
      <c r="A253" s="409" t="s">
        <v>22</v>
      </c>
      <c r="B253" s="409" t="s">
        <v>23</v>
      </c>
      <c r="C253" s="409" t="s">
        <v>45</v>
      </c>
      <c r="D253" s="409"/>
      <c r="E253" s="409" t="s">
        <v>554</v>
      </c>
      <c r="F253" s="409" t="s">
        <v>23</v>
      </c>
      <c r="G253" s="409"/>
      <c r="H253" s="409" t="s">
        <v>585</v>
      </c>
      <c r="I253" s="409" t="s">
        <v>591</v>
      </c>
      <c r="J253" s="411">
        <v>44973</v>
      </c>
      <c r="K253" s="739">
        <v>0.375</v>
      </c>
      <c r="L253" s="411">
        <v>44973</v>
      </c>
      <c r="M253" s="412">
        <v>0.54166666666666663</v>
      </c>
      <c r="N253" s="409">
        <v>4</v>
      </c>
      <c r="O253" s="409" t="s">
        <v>17</v>
      </c>
      <c r="P253" s="409" t="s">
        <v>557</v>
      </c>
      <c r="Q253" s="750" t="s">
        <v>558</v>
      </c>
      <c r="R253" s="409" t="s">
        <v>263</v>
      </c>
      <c r="S253" s="31" t="s">
        <v>273</v>
      </c>
      <c r="T253" s="31" t="s">
        <v>273</v>
      </c>
      <c r="U253" s="31">
        <f>IFERROR(VLOOKUP(CONCATENATE(Tabla1[[#This Row],[Severidad]]," ",Tabla1[[#This Row],[Complejidad]]),Catalogos!E$120:G$128,3,FALSE),"")</f>
        <v>64</v>
      </c>
      <c r="V253" s="31" t="str">
        <f>IF(Tabla1[[#This Row],[Tiempo solución max (hrs)]]&lt;&gt;"",IF(Tabla1[[#This Row],[Tiempo solución max (hrs)]]&gt;=Tabla1[[#This Row],[Tiempo
(Hrs 00/100)]],"cumple","no cumple"),"")</f>
        <v>cumple</v>
      </c>
      <c r="W253" s="376" t="s">
        <v>495</v>
      </c>
      <c r="X253" s="377" t="str">
        <f t="shared" si="51"/>
        <v>SPD</v>
      </c>
      <c r="Y253" t="str">
        <f>SUBSTITUTE(Tabla1[[#This Row],[Descripción]],CHAR(10),"    I    ")</f>
        <v>Se crea selector multiple para sujetos obligados</v>
      </c>
      <c r="Z253" s="378">
        <f>VLOOKUP(Tabla1[[#This Row],[Perfil]],Catalogos!$B$75:$D$100,3,FALSE)*Tabla1[[#This Row],[Tiempo
(Hrs 00/100)]]*1.16</f>
        <v>2320</v>
      </c>
    </row>
    <row r="254" spans="1:26" ht="42.75" customHeight="1" x14ac:dyDescent="0.3">
      <c r="A254" s="409" t="s">
        <v>22</v>
      </c>
      <c r="B254" s="409" t="s">
        <v>23</v>
      </c>
      <c r="C254" s="409" t="s">
        <v>45</v>
      </c>
      <c r="D254" s="409"/>
      <c r="E254" s="409" t="s">
        <v>554</v>
      </c>
      <c r="F254" s="409" t="s">
        <v>23</v>
      </c>
      <c r="G254" s="409"/>
      <c r="H254" s="409" t="s">
        <v>592</v>
      </c>
      <c r="I254" s="409" t="s">
        <v>593</v>
      </c>
      <c r="J254" s="411">
        <v>44973</v>
      </c>
      <c r="K254" s="412">
        <v>0.54166666666666663</v>
      </c>
      <c r="L254" s="411">
        <v>44973</v>
      </c>
      <c r="M254" s="739">
        <v>0.79166666666666663</v>
      </c>
      <c r="N254" s="409">
        <v>4</v>
      </c>
      <c r="O254" s="409" t="s">
        <v>17</v>
      </c>
      <c r="P254" s="409" t="s">
        <v>557</v>
      </c>
      <c r="Q254" s="750" t="s">
        <v>558</v>
      </c>
      <c r="R254" s="409" t="s">
        <v>263</v>
      </c>
      <c r="S254" s="31" t="s">
        <v>273</v>
      </c>
      <c r="T254" s="31" t="s">
        <v>273</v>
      </c>
      <c r="U254" s="31">
        <f>IFERROR(VLOOKUP(CONCATENATE(Tabla1[[#This Row],[Severidad]]," ",Tabla1[[#This Row],[Complejidad]]),Catalogos!E$120:G$128,3,FALSE),"")</f>
        <v>64</v>
      </c>
      <c r="V254" s="31" t="str">
        <f>IF(Tabla1[[#This Row],[Tiempo solución max (hrs)]]&lt;&gt;"",IF(Tabla1[[#This Row],[Tiempo solución max (hrs)]]&gt;=Tabla1[[#This Row],[Tiempo
(Hrs 00/100)]],"cumple","no cumple"),"")</f>
        <v>cumple</v>
      </c>
      <c r="W254" s="376" t="s">
        <v>495</v>
      </c>
      <c r="X254" s="377" t="str">
        <f t="shared" si="51"/>
        <v>SPD</v>
      </c>
      <c r="Y254" t="str">
        <f>SUBSTITUTE(Tabla1[[#This Row],[Descripción]],CHAR(10),"    I    ")</f>
        <v>Eleccion de widget, maquetado del primer paso de formulairo y generacion de validaciones</v>
      </c>
      <c r="Z254" s="378">
        <f>VLOOKUP(Tabla1[[#This Row],[Perfil]],Catalogos!$B$75:$D$100,3,FALSE)*Tabla1[[#This Row],[Tiempo
(Hrs 00/100)]]*1.16</f>
        <v>2320</v>
      </c>
    </row>
    <row r="255" spans="1:26" ht="42.75" customHeight="1" x14ac:dyDescent="0.3">
      <c r="A255" s="409" t="s">
        <v>22</v>
      </c>
      <c r="B255" s="409" t="s">
        <v>23</v>
      </c>
      <c r="C255" s="409" t="s">
        <v>45</v>
      </c>
      <c r="D255" s="409"/>
      <c r="E255" s="409" t="s">
        <v>554</v>
      </c>
      <c r="F255" s="409" t="s">
        <v>23</v>
      </c>
      <c r="G255" s="409"/>
      <c r="H255" s="409" t="s">
        <v>592</v>
      </c>
      <c r="I255" s="409" t="s">
        <v>594</v>
      </c>
      <c r="J255" s="411">
        <v>44974</v>
      </c>
      <c r="K255" s="747">
        <v>0.375</v>
      </c>
      <c r="L255" s="411">
        <v>44974</v>
      </c>
      <c r="M255" s="753">
        <v>0.79166666666666663</v>
      </c>
      <c r="N255" s="409">
        <v>8</v>
      </c>
      <c r="O255" s="409" t="s">
        <v>17</v>
      </c>
      <c r="P255" s="409" t="s">
        <v>557</v>
      </c>
      <c r="Q255" s="750" t="s">
        <v>558</v>
      </c>
      <c r="R255" s="409" t="s">
        <v>263</v>
      </c>
      <c r="S255" s="31" t="s">
        <v>273</v>
      </c>
      <c r="T255" s="31" t="s">
        <v>273</v>
      </c>
      <c r="U255" s="31">
        <f>IFERROR(VLOOKUP(CONCATENATE(Tabla1[[#This Row],[Severidad]]," ",Tabla1[[#This Row],[Complejidad]]),Catalogos!E$120:G$128,3,FALSE),"")</f>
        <v>64</v>
      </c>
      <c r="V255" s="31" t="str">
        <f>IF(Tabla1[[#This Row],[Tiempo solución max (hrs)]]&lt;&gt;"",IF(Tabla1[[#This Row],[Tiempo solución max (hrs)]]&gt;=Tabla1[[#This Row],[Tiempo
(Hrs 00/100)]],"cumple","no cumple"),"")</f>
        <v>cumple</v>
      </c>
      <c r="W255" s="376" t="s">
        <v>495</v>
      </c>
      <c r="X255" s="377" t="str">
        <f t="shared" si="51"/>
        <v>SPD</v>
      </c>
      <c r="Y255" t="str">
        <f>SUBSTITUTE(Tabla1[[#This Row],[Descripción]],CHAR(10),"    I    ")</f>
        <v>Maquetado de formulario para crear solicitudes</v>
      </c>
      <c r="Z255" s="378">
        <f>VLOOKUP(Tabla1[[#This Row],[Perfil]],Catalogos!$B$75:$D$100,3,FALSE)*Tabla1[[#This Row],[Tiempo
(Hrs 00/100)]]*1.16</f>
        <v>4640</v>
      </c>
    </row>
    <row r="256" spans="1:26" ht="42.75" customHeight="1" x14ac:dyDescent="0.3">
      <c r="A256" s="409" t="s">
        <v>22</v>
      </c>
      <c r="B256" s="409" t="s">
        <v>23</v>
      </c>
      <c r="C256" s="409" t="s">
        <v>45</v>
      </c>
      <c r="D256" s="409"/>
      <c r="E256" s="409" t="s">
        <v>554</v>
      </c>
      <c r="F256" s="409" t="s">
        <v>23</v>
      </c>
      <c r="G256" s="409"/>
      <c r="H256" s="409" t="s">
        <v>592</v>
      </c>
      <c r="I256" s="409" t="s">
        <v>594</v>
      </c>
      <c r="J256" s="411">
        <v>44977</v>
      </c>
      <c r="K256" s="747">
        <v>0.375</v>
      </c>
      <c r="L256" s="411">
        <v>44974</v>
      </c>
      <c r="M256" s="747">
        <v>0.5</v>
      </c>
      <c r="N256" s="409">
        <v>3</v>
      </c>
      <c r="O256" s="409" t="s">
        <v>17</v>
      </c>
      <c r="P256" s="409" t="s">
        <v>557</v>
      </c>
      <c r="Q256" s="750" t="s">
        <v>558</v>
      </c>
      <c r="R256" s="409" t="s">
        <v>263</v>
      </c>
      <c r="S256" s="31" t="s">
        <v>273</v>
      </c>
      <c r="T256" s="31" t="s">
        <v>273</v>
      </c>
      <c r="U256" s="31">
        <f>IFERROR(VLOOKUP(CONCATENATE(Tabla1[[#This Row],[Severidad]]," ",Tabla1[[#This Row],[Complejidad]]),Catalogos!E$120:G$128,3,FALSE),"")</f>
        <v>64</v>
      </c>
      <c r="V256" s="31" t="str">
        <f>IF(Tabla1[[#This Row],[Tiempo solución max (hrs)]]&lt;&gt;"",IF(Tabla1[[#This Row],[Tiempo solución max (hrs)]]&gt;=Tabla1[[#This Row],[Tiempo
(Hrs 00/100)]],"cumple","no cumple"),"")</f>
        <v>cumple</v>
      </c>
      <c r="W256" s="376" t="s">
        <v>495</v>
      </c>
      <c r="X256" s="377" t="str">
        <f t="shared" si="51"/>
        <v>SPD</v>
      </c>
      <c r="Y256" t="str">
        <f>SUBSTITUTE(Tabla1[[#This Row],[Descripción]],CHAR(10),"    I    ")</f>
        <v>Maquetado de formulario para crear solicitudes</v>
      </c>
      <c r="Z256" s="378">
        <f>VLOOKUP(Tabla1[[#This Row],[Perfil]],Catalogos!$B$75:$D$100,3,FALSE)*Tabla1[[#This Row],[Tiempo
(Hrs 00/100)]]*1.16</f>
        <v>1739.9999999999998</v>
      </c>
    </row>
    <row r="257" spans="1:26" ht="42.75" customHeight="1" x14ac:dyDescent="0.3">
      <c r="A257" s="409" t="s">
        <v>22</v>
      </c>
      <c r="B257" s="409" t="s">
        <v>23</v>
      </c>
      <c r="C257" s="409" t="s">
        <v>45</v>
      </c>
      <c r="D257" s="409"/>
      <c r="E257" s="409" t="s">
        <v>554</v>
      </c>
      <c r="F257" s="409" t="s">
        <v>23</v>
      </c>
      <c r="G257" s="409"/>
      <c r="H257" s="409" t="s">
        <v>595</v>
      </c>
      <c r="I257" s="409" t="s">
        <v>595</v>
      </c>
      <c r="J257" s="411">
        <v>44977</v>
      </c>
      <c r="K257" s="412">
        <v>0.5</v>
      </c>
      <c r="L257" s="411">
        <v>44977</v>
      </c>
      <c r="M257" s="412">
        <v>0.58333333333333337</v>
      </c>
      <c r="N257" s="409">
        <v>2</v>
      </c>
      <c r="O257" s="409" t="s">
        <v>17</v>
      </c>
      <c r="P257" s="409" t="s">
        <v>557</v>
      </c>
      <c r="Q257" s="750" t="s">
        <v>558</v>
      </c>
      <c r="R257" s="409" t="s">
        <v>263</v>
      </c>
      <c r="S257" s="31" t="s">
        <v>273</v>
      </c>
      <c r="T257" s="31" t="s">
        <v>273</v>
      </c>
      <c r="U257" s="31">
        <f>IFERROR(VLOOKUP(CONCATENATE(Tabla1[[#This Row],[Severidad]]," ",Tabla1[[#This Row],[Complejidad]]),Catalogos!E$120:G$128,3,FALSE),"")</f>
        <v>64</v>
      </c>
      <c r="V257" s="31" t="str">
        <f>IF(Tabla1[[#This Row],[Tiempo solución max (hrs)]]&lt;&gt;"",IF(Tabla1[[#This Row],[Tiempo solución max (hrs)]]&gt;=Tabla1[[#This Row],[Tiempo
(Hrs 00/100)]],"cumple","no cumple"),"")</f>
        <v>cumple</v>
      </c>
      <c r="W257" s="376" t="s">
        <v>495</v>
      </c>
      <c r="X257" s="377" t="str">
        <f t="shared" si="51"/>
        <v>SPD</v>
      </c>
      <c r="Y257" t="str">
        <f>SUBSTITUTE(Tabla1[[#This Row],[Descripción]],CHAR(10),"    I    ")</f>
        <v>Modificar archivos nativos para integracion de plugins para seleccionar archivos</v>
      </c>
      <c r="Z257" s="378">
        <f>VLOOKUP(Tabla1[[#This Row],[Perfil]],Catalogos!$B$75:$D$100,3,FALSE)*Tabla1[[#This Row],[Tiempo
(Hrs 00/100)]]*1.16</f>
        <v>1160</v>
      </c>
    </row>
    <row r="258" spans="1:26" ht="42.75" customHeight="1" x14ac:dyDescent="0.3">
      <c r="A258" s="409" t="s">
        <v>22</v>
      </c>
      <c r="B258" s="409" t="s">
        <v>23</v>
      </c>
      <c r="C258" s="409" t="s">
        <v>45</v>
      </c>
      <c r="D258" s="409"/>
      <c r="E258" s="409" t="s">
        <v>554</v>
      </c>
      <c r="F258" s="409" t="s">
        <v>23</v>
      </c>
      <c r="G258" s="409"/>
      <c r="H258" s="409" t="s">
        <v>596</v>
      </c>
      <c r="I258" s="409" t="s">
        <v>596</v>
      </c>
      <c r="J258" s="411">
        <v>44977</v>
      </c>
      <c r="K258" s="412">
        <v>0.66666666666666663</v>
      </c>
      <c r="L258" s="411">
        <v>44977</v>
      </c>
      <c r="M258" s="747">
        <v>0.79166666666666663</v>
      </c>
      <c r="N258" s="409">
        <v>3</v>
      </c>
      <c r="O258" s="409" t="s">
        <v>17</v>
      </c>
      <c r="P258" s="409" t="s">
        <v>557</v>
      </c>
      <c r="Q258" s="750" t="s">
        <v>558</v>
      </c>
      <c r="R258" s="409" t="s">
        <v>263</v>
      </c>
      <c r="S258" s="31" t="s">
        <v>273</v>
      </c>
      <c r="T258" s="31" t="s">
        <v>273</v>
      </c>
      <c r="U258" s="31">
        <f>IFERROR(VLOOKUP(CONCATENATE(Tabla1[[#This Row],[Severidad]]," ",Tabla1[[#This Row],[Complejidad]]),Catalogos!E$120:G$128,3,FALSE),"")</f>
        <v>64</v>
      </c>
      <c r="V258" s="31" t="str">
        <f>IF(Tabla1[[#This Row],[Tiempo solución max (hrs)]]&lt;&gt;"",IF(Tabla1[[#This Row],[Tiempo solución max (hrs)]]&gt;=Tabla1[[#This Row],[Tiempo
(Hrs 00/100)]],"cumple","no cumple"),"")</f>
        <v>cumple</v>
      </c>
      <c r="W258" s="376" t="s">
        <v>495</v>
      </c>
      <c r="X258" s="377" t="str">
        <f t="shared" si="51"/>
        <v>SPD</v>
      </c>
      <c r="Y258" t="str">
        <f>SUBSTITUTE(Tabla1[[#This Row],[Descripción]],CHAR(10),"    I    ")</f>
        <v>Generar listado de notificaciones para el detalle de mis solicitudes</v>
      </c>
      <c r="Z258" s="378">
        <f>VLOOKUP(Tabla1[[#This Row],[Perfil]],Catalogos!$B$75:$D$100,3,FALSE)*Tabla1[[#This Row],[Tiempo
(Hrs 00/100)]]*1.16</f>
        <v>1739.9999999999998</v>
      </c>
    </row>
    <row r="259" spans="1:26" ht="42.75" customHeight="1" x14ac:dyDescent="0.3">
      <c r="A259" s="409" t="s">
        <v>22</v>
      </c>
      <c r="B259" s="409" t="s">
        <v>23</v>
      </c>
      <c r="C259" s="409" t="s">
        <v>45</v>
      </c>
      <c r="D259" s="409"/>
      <c r="E259" s="409" t="s">
        <v>554</v>
      </c>
      <c r="F259" s="409" t="s">
        <v>23</v>
      </c>
      <c r="G259" s="409"/>
      <c r="H259" s="409" t="s">
        <v>596</v>
      </c>
      <c r="I259" s="417" t="s">
        <v>597</v>
      </c>
      <c r="J259" s="411">
        <v>44978</v>
      </c>
      <c r="K259" s="747">
        <v>0.375</v>
      </c>
      <c r="L259" s="411">
        <v>44978</v>
      </c>
      <c r="M259" s="747">
        <v>0.79166666666666663</v>
      </c>
      <c r="N259" s="409">
        <v>8</v>
      </c>
      <c r="O259" s="409" t="s">
        <v>17</v>
      </c>
      <c r="P259" s="409" t="s">
        <v>557</v>
      </c>
      <c r="Q259" s="750" t="s">
        <v>558</v>
      </c>
      <c r="R259" s="409" t="s">
        <v>263</v>
      </c>
      <c r="S259" s="31" t="s">
        <v>273</v>
      </c>
      <c r="T259" s="31" t="s">
        <v>273</v>
      </c>
      <c r="U259" s="31">
        <f>IFERROR(VLOOKUP(CONCATENATE(Tabla1[[#This Row],[Severidad]]," ",Tabla1[[#This Row],[Complejidad]]),Catalogos!E$120:G$128,3,FALSE),"")</f>
        <v>64</v>
      </c>
      <c r="V259" s="31" t="str">
        <f>IF(Tabla1[[#This Row],[Tiempo solución max (hrs)]]&lt;&gt;"",IF(Tabla1[[#This Row],[Tiempo solución max (hrs)]]&gt;=Tabla1[[#This Row],[Tiempo
(Hrs 00/100)]],"cumple","no cumple"),"")</f>
        <v>cumple</v>
      </c>
      <c r="W259" s="376" t="s">
        <v>495</v>
      </c>
      <c r="X259" s="377" t="str">
        <f t="shared" si="51"/>
        <v>SPD</v>
      </c>
      <c r="Y259" t="str">
        <f>SUBSTITUTE(Tabla1[[#This Row],[Descripción]],CHAR(10),"    I    ")</f>
        <v>Se genera la pantalla de prevencion para el detalle de mis solicitudes</v>
      </c>
      <c r="Z259" s="378">
        <f>VLOOKUP(Tabla1[[#This Row],[Perfil]],Catalogos!$B$75:$D$100,3,FALSE)*Tabla1[[#This Row],[Tiempo
(Hrs 00/100)]]*1.16</f>
        <v>4640</v>
      </c>
    </row>
    <row r="260" spans="1:26" ht="42.75" customHeight="1" x14ac:dyDescent="0.3">
      <c r="A260" s="409" t="s">
        <v>22</v>
      </c>
      <c r="B260" s="409" t="s">
        <v>23</v>
      </c>
      <c r="C260" s="409" t="s">
        <v>45</v>
      </c>
      <c r="D260" s="409"/>
      <c r="E260" s="409" t="s">
        <v>554</v>
      </c>
      <c r="F260" s="409" t="s">
        <v>23</v>
      </c>
      <c r="G260" s="409"/>
      <c r="H260" s="409" t="s">
        <v>596</v>
      </c>
      <c r="I260" s="417" t="s">
        <v>598</v>
      </c>
      <c r="J260" s="411">
        <v>44979</v>
      </c>
      <c r="K260" s="747">
        <v>0.375</v>
      </c>
      <c r="L260" s="411">
        <v>44979</v>
      </c>
      <c r="M260" s="747">
        <v>0.79166666666666663</v>
      </c>
      <c r="N260" s="409">
        <v>8</v>
      </c>
      <c r="O260" s="409" t="s">
        <v>17</v>
      </c>
      <c r="P260" s="409" t="s">
        <v>557</v>
      </c>
      <c r="Q260" s="750" t="s">
        <v>558</v>
      </c>
      <c r="R260" s="409" t="s">
        <v>263</v>
      </c>
      <c r="S260" s="31" t="s">
        <v>273</v>
      </c>
      <c r="T260" s="31" t="s">
        <v>273</v>
      </c>
      <c r="U260" s="31">
        <f>IFERROR(VLOOKUP(CONCATENATE(Tabla1[[#This Row],[Severidad]]," ",Tabla1[[#This Row],[Complejidad]]),Catalogos!E$120:G$128,3,FALSE),"")</f>
        <v>64</v>
      </c>
      <c r="V260" s="31" t="str">
        <f>IF(Tabla1[[#This Row],[Tiempo solución max (hrs)]]&lt;&gt;"",IF(Tabla1[[#This Row],[Tiempo solución max (hrs)]]&gt;=Tabla1[[#This Row],[Tiempo
(Hrs 00/100)]],"cumple","no cumple"),"")</f>
        <v>cumple</v>
      </c>
      <c r="W260" s="376" t="s">
        <v>495</v>
      </c>
      <c r="X260" s="377" t="str">
        <f t="shared" si="51"/>
        <v>SPD</v>
      </c>
      <c r="Y260" t="str">
        <f>SUBSTITUTE(Tabla1[[#This Row],[Descripción]],CHAR(10),"    I    ")</f>
        <v>Se genera la pantalla de disponibilidad para el detalle de mis solicitudes</v>
      </c>
      <c r="Z260" s="378">
        <f>VLOOKUP(Tabla1[[#This Row],[Perfil]],Catalogos!$B$75:$D$100,3,FALSE)*Tabla1[[#This Row],[Tiempo
(Hrs 00/100)]]*1.16</f>
        <v>4640</v>
      </c>
    </row>
    <row r="261" spans="1:26" ht="42.75" customHeight="1" x14ac:dyDescent="0.3">
      <c r="A261" s="409" t="s">
        <v>22</v>
      </c>
      <c r="B261" s="409" t="s">
        <v>23</v>
      </c>
      <c r="C261" s="409" t="s">
        <v>45</v>
      </c>
      <c r="D261" s="409"/>
      <c r="E261" s="409" t="s">
        <v>554</v>
      </c>
      <c r="F261" s="409" t="s">
        <v>23</v>
      </c>
      <c r="G261" s="409"/>
      <c r="H261" s="409" t="s">
        <v>596</v>
      </c>
      <c r="I261" s="417" t="s">
        <v>599</v>
      </c>
      <c r="J261" s="411">
        <v>44980</v>
      </c>
      <c r="K261" s="747">
        <v>0.375</v>
      </c>
      <c r="L261" s="411">
        <v>44980</v>
      </c>
      <c r="M261" s="753">
        <v>0.79166666666666663</v>
      </c>
      <c r="N261" s="409">
        <v>8</v>
      </c>
      <c r="O261" s="409" t="s">
        <v>17</v>
      </c>
      <c r="P261" s="409" t="s">
        <v>557</v>
      </c>
      <c r="Q261" s="750" t="s">
        <v>558</v>
      </c>
      <c r="R261" s="409" t="s">
        <v>263</v>
      </c>
      <c r="S261" s="31" t="s">
        <v>273</v>
      </c>
      <c r="T261" s="31" t="s">
        <v>273</v>
      </c>
      <c r="U261" s="31">
        <f>IFERROR(VLOOKUP(CONCATENATE(Tabla1[[#This Row],[Severidad]]," ",Tabla1[[#This Row],[Complejidad]]),Catalogos!E$120:G$128,3,FALSE),"")</f>
        <v>64</v>
      </c>
      <c r="V261" s="31" t="str">
        <f>IF(Tabla1[[#This Row],[Tiempo solución max (hrs)]]&lt;&gt;"",IF(Tabla1[[#This Row],[Tiempo solución max (hrs)]]&gt;=Tabla1[[#This Row],[Tiempo
(Hrs 00/100)]],"cumple","no cumple"),"")</f>
        <v>cumple</v>
      </c>
      <c r="W261" s="376" t="s">
        <v>495</v>
      </c>
      <c r="X261" s="377" t="str">
        <f t="shared" si="51"/>
        <v>SPD</v>
      </c>
      <c r="Y261" t="str">
        <f>SUBSTITUTE(Tabla1[[#This Row],[Descripción]],CHAR(10),"    I    ")</f>
        <v>Se genera la pantalla de quejas para el detalle de mis solicitudes</v>
      </c>
      <c r="Z261" s="378">
        <f>VLOOKUP(Tabla1[[#This Row],[Perfil]],Catalogos!$B$75:$D$100,3,FALSE)*Tabla1[[#This Row],[Tiempo
(Hrs 00/100)]]*1.16</f>
        <v>4640</v>
      </c>
    </row>
    <row r="262" spans="1:26" ht="42.75" customHeight="1" x14ac:dyDescent="0.3">
      <c r="A262" s="409" t="s">
        <v>22</v>
      </c>
      <c r="B262" s="409" t="s">
        <v>23</v>
      </c>
      <c r="C262" s="409" t="s">
        <v>45</v>
      </c>
      <c r="D262" s="409"/>
      <c r="E262" s="409" t="s">
        <v>554</v>
      </c>
      <c r="F262" s="409" t="s">
        <v>23</v>
      </c>
      <c r="G262" s="409"/>
      <c r="H262" s="409" t="s">
        <v>596</v>
      </c>
      <c r="I262" s="417" t="s">
        <v>600</v>
      </c>
      <c r="J262" s="411">
        <v>44981</v>
      </c>
      <c r="K262" s="747">
        <v>0.375</v>
      </c>
      <c r="L262" s="411">
        <v>44981</v>
      </c>
      <c r="M262" s="412">
        <v>0.54166666666666663</v>
      </c>
      <c r="N262" s="409">
        <v>4</v>
      </c>
      <c r="O262" s="409" t="s">
        <v>17</v>
      </c>
      <c r="P262" s="409" t="s">
        <v>557</v>
      </c>
      <c r="Q262" s="750" t="s">
        <v>558</v>
      </c>
      <c r="R262" s="409" t="s">
        <v>263</v>
      </c>
      <c r="S262" s="31" t="s">
        <v>273</v>
      </c>
      <c r="T262" s="31" t="s">
        <v>273</v>
      </c>
      <c r="U262" s="31">
        <f>IFERROR(VLOOKUP(CONCATENATE(Tabla1[[#This Row],[Severidad]]," ",Tabla1[[#This Row],[Complejidad]]),Catalogos!E$120:G$128,3,FALSE),"")</f>
        <v>64</v>
      </c>
      <c r="V262" s="31" t="str">
        <f>IF(Tabla1[[#This Row],[Tiempo solución max (hrs)]]&lt;&gt;"",IF(Tabla1[[#This Row],[Tiempo solución max (hrs)]]&gt;=Tabla1[[#This Row],[Tiempo
(Hrs 00/100)]],"cumple","no cumple"),"")</f>
        <v>cumple</v>
      </c>
      <c r="W262" s="376" t="s">
        <v>495</v>
      </c>
      <c r="X262" s="377" t="str">
        <f t="shared" si="51"/>
        <v>SPD</v>
      </c>
      <c r="Y262" t="str">
        <f>SUBSTITUTE(Tabla1[[#This Row],[Descripción]],CHAR(10),"    I    ")</f>
        <v>Se genera la pantalla de prevencion parcial/prevencion para el detalle de mis solicitudes</v>
      </c>
      <c r="Z262" s="378">
        <f>VLOOKUP(Tabla1[[#This Row],[Perfil]],Catalogos!$B$75:$D$100,3,FALSE)*Tabla1[[#This Row],[Tiempo
(Hrs 00/100)]]*1.16</f>
        <v>2320</v>
      </c>
    </row>
    <row r="263" spans="1:26" ht="42.75" customHeight="1" x14ac:dyDescent="0.3">
      <c r="A263" s="409" t="s">
        <v>22</v>
      </c>
      <c r="B263" s="409" t="s">
        <v>23</v>
      </c>
      <c r="C263" s="409" t="s">
        <v>45</v>
      </c>
      <c r="D263" s="409"/>
      <c r="E263" s="409" t="s">
        <v>554</v>
      </c>
      <c r="F263" s="409" t="s">
        <v>23</v>
      </c>
      <c r="G263" s="409"/>
      <c r="H263" s="409" t="s">
        <v>592</v>
      </c>
      <c r="I263" s="417" t="s">
        <v>601</v>
      </c>
      <c r="J263" s="411">
        <v>44981</v>
      </c>
      <c r="K263" s="412">
        <v>0.54166666666666663</v>
      </c>
      <c r="L263" s="411">
        <v>44981</v>
      </c>
      <c r="M263" s="753">
        <v>0.79166666666666663</v>
      </c>
      <c r="N263" s="409">
        <v>4</v>
      </c>
      <c r="O263" s="409" t="s">
        <v>17</v>
      </c>
      <c r="P263" s="409" t="s">
        <v>557</v>
      </c>
      <c r="Q263" s="750" t="s">
        <v>558</v>
      </c>
      <c r="R263" s="409" t="s">
        <v>263</v>
      </c>
      <c r="S263" s="31" t="s">
        <v>273</v>
      </c>
      <c r="T263" s="31" t="s">
        <v>273</v>
      </c>
      <c r="U263" s="31">
        <f>IFERROR(VLOOKUP(CONCATENATE(Tabla1[[#This Row],[Severidad]]," ",Tabla1[[#This Row],[Complejidad]]),Catalogos!E$120:G$128,3,FALSE),"")</f>
        <v>64</v>
      </c>
      <c r="V263" s="31" t="str">
        <f>IF(Tabla1[[#This Row],[Tiempo solución max (hrs)]]&lt;&gt;"",IF(Tabla1[[#This Row],[Tiempo solución max (hrs)]]&gt;=Tabla1[[#This Row],[Tiempo
(Hrs 00/100)]],"cumple","no cumple"),"")</f>
        <v>cumple</v>
      </c>
      <c r="W263" s="376" t="s">
        <v>495</v>
      </c>
      <c r="X263" s="377" t="str">
        <f t="shared" si="51"/>
        <v>SPD</v>
      </c>
      <c r="Y263" t="str">
        <f>SUBSTITUTE(Tabla1[[#This Row],[Descripción]],CHAR(10),"    I    ")</f>
        <v>Se complementan validaciones para crear solicitud</v>
      </c>
      <c r="Z263" s="378">
        <f>VLOOKUP(Tabla1[[#This Row],[Perfil]],Catalogos!$B$75:$D$100,3,FALSE)*Tabla1[[#This Row],[Tiempo
(Hrs 00/100)]]*1.16</f>
        <v>2320</v>
      </c>
    </row>
    <row r="264" spans="1:26" ht="42.75" customHeight="1" x14ac:dyDescent="0.3">
      <c r="A264" s="409" t="s">
        <v>22</v>
      </c>
      <c r="B264" s="409" t="s">
        <v>23</v>
      </c>
      <c r="C264" s="409" t="s">
        <v>45</v>
      </c>
      <c r="D264" s="409"/>
      <c r="E264" s="409" t="s">
        <v>554</v>
      </c>
      <c r="F264" s="409" t="s">
        <v>23</v>
      </c>
      <c r="G264" s="409"/>
      <c r="H264" s="409" t="s">
        <v>592</v>
      </c>
      <c r="I264" s="417" t="s">
        <v>602</v>
      </c>
      <c r="J264" s="411">
        <v>44984</v>
      </c>
      <c r="K264" s="747">
        <v>0.375</v>
      </c>
      <c r="L264" s="411">
        <v>44984</v>
      </c>
      <c r="M264" s="753">
        <v>0.79166666666666663</v>
      </c>
      <c r="N264" s="409">
        <v>8</v>
      </c>
      <c r="O264" s="409" t="s">
        <v>17</v>
      </c>
      <c r="P264" s="409" t="s">
        <v>557</v>
      </c>
      <c r="Q264" s="750" t="s">
        <v>558</v>
      </c>
      <c r="R264" s="409" t="s">
        <v>263</v>
      </c>
      <c r="S264" s="31" t="s">
        <v>273</v>
      </c>
      <c r="T264" s="31" t="s">
        <v>273</v>
      </c>
      <c r="U264" s="31">
        <f>IFERROR(VLOOKUP(CONCATENATE(Tabla1[[#This Row],[Severidad]]," ",Tabla1[[#This Row],[Complejidad]]),Catalogos!E$120:G$128,3,FALSE),"")</f>
        <v>64</v>
      </c>
      <c r="V264" s="31" t="str">
        <f>IF(Tabla1[[#This Row],[Tiempo solución max (hrs)]]&lt;&gt;"",IF(Tabla1[[#This Row],[Tiempo solución max (hrs)]]&gt;=Tabla1[[#This Row],[Tiempo
(Hrs 00/100)]],"cumple","no cumple"),"")</f>
        <v>cumple</v>
      </c>
      <c r="W264" s="376" t="s">
        <v>495</v>
      </c>
      <c r="X264" s="377" t="str">
        <f t="shared" si="51"/>
        <v>SPD</v>
      </c>
      <c r="Y264" t="str">
        <f>SUBSTITUTE(Tabla1[[#This Row],[Descripción]],CHAR(10),"    I    ")</f>
        <v>Se generan modelos y servicios faltantes para crear solicitud de informacion publica</v>
      </c>
      <c r="Z264" s="378">
        <f>VLOOKUP(Tabla1[[#This Row],[Perfil]],Catalogos!$B$75:$D$100,3,FALSE)*Tabla1[[#This Row],[Tiempo
(Hrs 00/100)]]*1.16</f>
        <v>4640</v>
      </c>
    </row>
    <row r="265" spans="1:26" ht="42.75" customHeight="1" x14ac:dyDescent="0.3">
      <c r="A265" s="409" t="s">
        <v>22</v>
      </c>
      <c r="B265" s="409" t="s">
        <v>23</v>
      </c>
      <c r="C265" s="409" t="s">
        <v>45</v>
      </c>
      <c r="D265" s="409"/>
      <c r="E265" s="409" t="s">
        <v>554</v>
      </c>
      <c r="F265" s="409" t="s">
        <v>23</v>
      </c>
      <c r="G265" s="409"/>
      <c r="H265" s="409" t="s">
        <v>603</v>
      </c>
      <c r="I265" s="409" t="s">
        <v>594</v>
      </c>
      <c r="J265" s="411">
        <v>44985</v>
      </c>
      <c r="K265" s="747">
        <v>0.375</v>
      </c>
      <c r="L265" s="411">
        <v>44985</v>
      </c>
      <c r="M265" s="753">
        <v>0.79166666666666663</v>
      </c>
      <c r="N265" s="409">
        <v>8</v>
      </c>
      <c r="O265" s="409" t="s">
        <v>17</v>
      </c>
      <c r="P265" s="409" t="s">
        <v>557</v>
      </c>
      <c r="Q265" s="750" t="s">
        <v>558</v>
      </c>
      <c r="R265" s="409" t="s">
        <v>263</v>
      </c>
      <c r="S265" s="31" t="s">
        <v>273</v>
      </c>
      <c r="T265" s="31" t="s">
        <v>273</v>
      </c>
      <c r="U265" s="31">
        <f>IFERROR(VLOOKUP(CONCATENATE(Tabla1[[#This Row],[Severidad]]," ",Tabla1[[#This Row],[Complejidad]]),Catalogos!E$120:G$128,3,FALSE),"")</f>
        <v>64</v>
      </c>
      <c r="V265" s="31" t="str">
        <f>IF(Tabla1[[#This Row],[Tiempo solución max (hrs)]]&lt;&gt;"",IF(Tabla1[[#This Row],[Tiempo solución max (hrs)]]&gt;=Tabla1[[#This Row],[Tiempo
(Hrs 00/100)]],"cumple","no cumple"),"")</f>
        <v>cumple</v>
      </c>
      <c r="W265" s="376" t="s">
        <v>495</v>
      </c>
      <c r="X265" s="377" t="str">
        <f t="shared" si="51"/>
        <v>SPD</v>
      </c>
      <c r="Y265" t="str">
        <f>SUBSTITUTE(Tabla1[[#This Row],[Descripción]],CHAR(10),"    I    ")</f>
        <v>Maquetado de formulario para crear solicitudes</v>
      </c>
      <c r="Z265" s="378">
        <f>VLOOKUP(Tabla1[[#This Row],[Perfil]],Catalogos!$B$75:$D$100,3,FALSE)*Tabla1[[#This Row],[Tiempo
(Hrs 00/100)]]*1.16</f>
        <v>4640</v>
      </c>
    </row>
    <row r="266" spans="1:26" ht="42.75" customHeight="1" x14ac:dyDescent="0.3">
      <c r="A266" s="370" t="s">
        <v>15</v>
      </c>
      <c r="B266" s="370" t="s">
        <v>67</v>
      </c>
      <c r="C266" s="205" t="s">
        <v>257</v>
      </c>
      <c r="D266" s="370"/>
      <c r="E266" s="370" t="s">
        <v>404</v>
      </c>
      <c r="F266" s="370" t="s">
        <v>23</v>
      </c>
      <c r="G266" s="370" t="s">
        <v>604</v>
      </c>
      <c r="H266" s="371" t="s">
        <v>605</v>
      </c>
      <c r="I266" s="383" t="s">
        <v>606</v>
      </c>
      <c r="J266" s="369">
        <v>44977</v>
      </c>
      <c r="K266" s="747">
        <v>0.375</v>
      </c>
      <c r="L266" s="369">
        <v>44977</v>
      </c>
      <c r="M266" s="753">
        <v>0.79166666666666663</v>
      </c>
      <c r="N266" s="373">
        <v>8</v>
      </c>
      <c r="O266" s="374" t="s">
        <v>17</v>
      </c>
      <c r="P266" s="375" t="s">
        <v>631</v>
      </c>
      <c r="Q266" s="751" t="s">
        <v>629</v>
      </c>
      <c r="R266" s="53" t="s">
        <v>302</v>
      </c>
      <c r="S266" s="31" t="s">
        <v>273</v>
      </c>
      <c r="T266" s="31" t="s">
        <v>273</v>
      </c>
      <c r="U266" s="31">
        <f>IFERROR(VLOOKUP(CONCATENATE(Tabla1[[#This Row],[Severidad]]," ",Tabla1[[#This Row],[Complejidad]]),Catalogos!E$120:G$128,3,FALSE),"")</f>
        <v>64</v>
      </c>
      <c r="V266" s="31" t="str">
        <f>IF(Tabla1[[#This Row],[Tiempo solución max (hrs)]]&lt;&gt;"",IF(Tabla1[[#This Row],[Tiempo solución max (hrs)]]&gt;=Tabla1[[#This Row],[Tiempo
(Hrs 00/100)]],"cumple","no cumple"),"")</f>
        <v>cumple</v>
      </c>
      <c r="W266" s="376" t="s">
        <v>495</v>
      </c>
      <c r="X266" s="377" t="str">
        <f t="shared" si="51"/>
        <v>SSI</v>
      </c>
      <c r="Y266" t="str">
        <f>SUBSTITUTE(Tabla1[[#This Row],[Descripción]],CHAR(10),"    I    ")</f>
        <v>Se tuvo uns sesión para revisar los reportes de pizarras que se tenían. De igual forma se tomó nota de los cambios que se requerían. Se comenzó a realizar la migración de base de datos.</v>
      </c>
      <c r="Z266" s="378">
        <f>VLOOKUP(Tabla1[[#This Row],[Perfil]],Catalogos!$B$75:$D$100,3,FALSE)*Tabla1[[#This Row],[Tiempo
(Hrs 00/100)]]*1.16</f>
        <v>7423.9999999999991</v>
      </c>
    </row>
    <row r="267" spans="1:26" ht="42.75" customHeight="1" x14ac:dyDescent="0.3">
      <c r="A267" s="370" t="s">
        <v>15</v>
      </c>
      <c r="B267" s="370" t="s">
        <v>67</v>
      </c>
      <c r="C267" s="205" t="s">
        <v>257</v>
      </c>
      <c r="D267" s="370"/>
      <c r="E267" s="370" t="s">
        <v>404</v>
      </c>
      <c r="F267" s="370" t="s">
        <v>23</v>
      </c>
      <c r="G267" s="370" t="s">
        <v>604</v>
      </c>
      <c r="H267" s="371" t="s">
        <v>605</v>
      </c>
      <c r="I267" s="383" t="s">
        <v>607</v>
      </c>
      <c r="J267" s="369">
        <v>44978</v>
      </c>
      <c r="K267" s="747">
        <v>0.375</v>
      </c>
      <c r="L267" s="369">
        <v>44978</v>
      </c>
      <c r="M267" s="753">
        <v>0.79166666666666663</v>
      </c>
      <c r="N267" s="373">
        <v>8</v>
      </c>
      <c r="O267" s="374" t="s">
        <v>17</v>
      </c>
      <c r="P267" s="375" t="s">
        <v>631</v>
      </c>
      <c r="Q267" s="751" t="s">
        <v>629</v>
      </c>
      <c r="R267" s="53" t="s">
        <v>302</v>
      </c>
      <c r="S267" s="31" t="s">
        <v>273</v>
      </c>
      <c r="T267" s="31" t="s">
        <v>273</v>
      </c>
      <c r="U267" s="31">
        <f>IFERROR(VLOOKUP(CONCATENATE(Tabla1[[#This Row],[Severidad]]," ",Tabla1[[#This Row],[Complejidad]]),Catalogos!E$120:G$128,3,FALSE),"")</f>
        <v>64</v>
      </c>
      <c r="V267" s="31" t="str">
        <f>IF(Tabla1[[#This Row],[Tiempo solución max (hrs)]]&lt;&gt;"",IF(Tabla1[[#This Row],[Tiempo solución max (hrs)]]&gt;=Tabla1[[#This Row],[Tiempo
(Hrs 00/100)]],"cumple","no cumple"),"")</f>
        <v>cumple</v>
      </c>
      <c r="W267" s="376" t="s">
        <v>495</v>
      </c>
      <c r="X267" s="377" t="str">
        <f t="shared" si="51"/>
        <v>SSI</v>
      </c>
      <c r="Y267" t="str">
        <f>SUBSTITUTE(Tabla1[[#This Row],[Descripción]],CHAR(10),"    I    ")</f>
        <v>Se continuó con la migración a la nueva base de datos y se detectaron algunos campos faltantes.</v>
      </c>
      <c r="Z267" s="378">
        <f>VLOOKUP(Tabla1[[#This Row],[Perfil]],Catalogos!$B$75:$D$100,3,FALSE)*Tabla1[[#This Row],[Tiempo
(Hrs 00/100)]]*1.16</f>
        <v>7423.9999999999991</v>
      </c>
    </row>
    <row r="268" spans="1:26" ht="42.75" customHeight="1" x14ac:dyDescent="0.3">
      <c r="A268" s="370" t="s">
        <v>15</v>
      </c>
      <c r="B268" s="370" t="s">
        <v>67</v>
      </c>
      <c r="C268" s="205" t="s">
        <v>257</v>
      </c>
      <c r="D268" s="370"/>
      <c r="E268" s="370" t="s">
        <v>404</v>
      </c>
      <c r="F268" s="370" t="s">
        <v>23</v>
      </c>
      <c r="G268" s="370" t="s">
        <v>604</v>
      </c>
      <c r="H268" s="371" t="s">
        <v>605</v>
      </c>
      <c r="I268" s="383" t="s">
        <v>608</v>
      </c>
      <c r="J268" s="369">
        <v>44979</v>
      </c>
      <c r="K268" s="747">
        <v>0.375</v>
      </c>
      <c r="L268" s="369">
        <v>44979</v>
      </c>
      <c r="M268" s="753">
        <v>0.79166666666666663</v>
      </c>
      <c r="N268" s="373">
        <v>8</v>
      </c>
      <c r="O268" s="374" t="s">
        <v>17</v>
      </c>
      <c r="P268" s="375" t="s">
        <v>631</v>
      </c>
      <c r="Q268" s="751" t="s">
        <v>629</v>
      </c>
      <c r="R268" s="53" t="s">
        <v>302</v>
      </c>
      <c r="S268" s="31" t="s">
        <v>273</v>
      </c>
      <c r="T268" s="31" t="s">
        <v>273</v>
      </c>
      <c r="U268" s="31">
        <f>IFERROR(VLOOKUP(CONCATENATE(Tabla1[[#This Row],[Severidad]]," ",Tabla1[[#This Row],[Complejidad]]),Catalogos!E$120:G$128,3,FALSE),"")</f>
        <v>64</v>
      </c>
      <c r="V268" s="31" t="str">
        <f>IF(Tabla1[[#This Row],[Tiempo solución max (hrs)]]&lt;&gt;"",IF(Tabla1[[#This Row],[Tiempo solución max (hrs)]]&gt;=Tabla1[[#This Row],[Tiempo
(Hrs 00/100)]],"cumple","no cumple"),"")</f>
        <v>cumple</v>
      </c>
      <c r="W268" s="376" t="s">
        <v>495</v>
      </c>
      <c r="X268" s="377" t="str">
        <f t="shared" si="51"/>
        <v>SSI</v>
      </c>
      <c r="Y268" t="str">
        <f>SUBSTITUTE(Tabla1[[#This Row],[Descripción]],CHAR(10),"    I    ")</f>
        <v>Se continuó con la migración a la nueva base de datos y se comenzaron a realizar pruebas de funcionalidad.</v>
      </c>
      <c r="Z268" s="378">
        <f>VLOOKUP(Tabla1[[#This Row],[Perfil]],Catalogos!$B$75:$D$100,3,FALSE)*Tabla1[[#This Row],[Tiempo
(Hrs 00/100)]]*1.16</f>
        <v>7423.9999999999991</v>
      </c>
    </row>
    <row r="269" spans="1:26" ht="42.75" customHeight="1" x14ac:dyDescent="0.3">
      <c r="A269" s="210" t="s">
        <v>15</v>
      </c>
      <c r="B269" s="374" t="s">
        <v>67</v>
      </c>
      <c r="C269" s="205" t="s">
        <v>257</v>
      </c>
      <c r="D269" s="382"/>
      <c r="E269" s="210" t="s">
        <v>404</v>
      </c>
      <c r="F269" s="210" t="s">
        <v>23</v>
      </c>
      <c r="G269" s="370" t="s">
        <v>604</v>
      </c>
      <c r="H269" s="371" t="s">
        <v>605</v>
      </c>
      <c r="I269" s="383" t="s">
        <v>609</v>
      </c>
      <c r="J269" s="369">
        <v>44980</v>
      </c>
      <c r="K269" s="747">
        <v>0.375</v>
      </c>
      <c r="L269" s="369">
        <v>44980</v>
      </c>
      <c r="M269" s="753">
        <v>0.79166666666666663</v>
      </c>
      <c r="N269" s="210">
        <v>8</v>
      </c>
      <c r="O269" s="374" t="s">
        <v>17</v>
      </c>
      <c r="P269" s="375" t="s">
        <v>631</v>
      </c>
      <c r="Q269" s="751" t="s">
        <v>629</v>
      </c>
      <c r="R269" s="53" t="s">
        <v>302</v>
      </c>
      <c r="S269" s="31" t="s">
        <v>273</v>
      </c>
      <c r="T269" s="31" t="s">
        <v>273</v>
      </c>
      <c r="U269" s="31">
        <f>IFERROR(VLOOKUP(CONCATENATE(Tabla1[[#This Row],[Severidad]]," ",Tabla1[[#This Row],[Complejidad]]),Catalogos!E$120:G$128,3,FALSE),"")</f>
        <v>64</v>
      </c>
      <c r="V269" s="31" t="str">
        <f>IF(Tabla1[[#This Row],[Tiempo solución max (hrs)]]&lt;&gt;"",IF(Tabla1[[#This Row],[Tiempo solución max (hrs)]]&gt;=Tabla1[[#This Row],[Tiempo
(Hrs 00/100)]],"cumple","no cumple"),"")</f>
        <v>cumple</v>
      </c>
      <c r="W269" s="376" t="s">
        <v>495</v>
      </c>
      <c r="X269" s="377" t="str">
        <f t="shared" si="51"/>
        <v>SSI</v>
      </c>
      <c r="Y269" t="str">
        <f>SUBSTITUTE(Tabla1[[#This Row],[Descripción]],CHAR(10),"    I    ")</f>
        <v>Se concluyó con la migración a la base de datos y se complementó la tabla de entidades con la información del usuario- Se realizaron pruebas de funcionalidad.</v>
      </c>
      <c r="Z269" s="378">
        <f>VLOOKUP(Tabla1[[#This Row],[Perfil]],Catalogos!$B$75:$D$100,3,FALSE)*Tabla1[[#This Row],[Tiempo
(Hrs 00/100)]]*1.16</f>
        <v>7423.9999999999991</v>
      </c>
    </row>
    <row r="270" spans="1:26" ht="42.75" customHeight="1" x14ac:dyDescent="0.3">
      <c r="A270" s="210" t="s">
        <v>15</v>
      </c>
      <c r="B270" s="374" t="s">
        <v>67</v>
      </c>
      <c r="C270" s="205" t="s">
        <v>257</v>
      </c>
      <c r="D270" s="382"/>
      <c r="E270" s="210" t="s">
        <v>404</v>
      </c>
      <c r="F270" s="210" t="s">
        <v>23</v>
      </c>
      <c r="G270" s="370" t="s">
        <v>604</v>
      </c>
      <c r="H270" s="371" t="s">
        <v>605</v>
      </c>
      <c r="I270" s="383" t="s">
        <v>610</v>
      </c>
      <c r="J270" s="369">
        <v>44981</v>
      </c>
      <c r="K270" s="747">
        <v>0.375</v>
      </c>
      <c r="L270" s="369">
        <v>44981</v>
      </c>
      <c r="M270" s="753">
        <v>0.79166666666666663</v>
      </c>
      <c r="N270" s="210">
        <v>8</v>
      </c>
      <c r="O270" s="374" t="s">
        <v>17</v>
      </c>
      <c r="P270" s="375" t="s">
        <v>631</v>
      </c>
      <c r="Q270" s="751" t="s">
        <v>629</v>
      </c>
      <c r="R270" s="53" t="s">
        <v>302</v>
      </c>
      <c r="S270" s="31" t="s">
        <v>273</v>
      </c>
      <c r="T270" s="31" t="s">
        <v>273</v>
      </c>
      <c r="U270" s="31">
        <f>IFERROR(VLOOKUP(CONCATENATE(Tabla1[[#This Row],[Severidad]]," ",Tabla1[[#This Row],[Complejidad]]),Catalogos!E$120:G$128,3,FALSE),"")</f>
        <v>64</v>
      </c>
      <c r="V270" s="31" t="str">
        <f>IF(Tabla1[[#This Row],[Tiempo solución max (hrs)]]&lt;&gt;"",IF(Tabla1[[#This Row],[Tiempo solución max (hrs)]]&gt;=Tabla1[[#This Row],[Tiempo
(Hrs 00/100)]],"cumple","no cumple"),"")</f>
        <v>cumple</v>
      </c>
      <c r="W270" s="376" t="s">
        <v>495</v>
      </c>
      <c r="X270" s="377" t="str">
        <f t="shared" si="51"/>
        <v>SSI</v>
      </c>
      <c r="Y270" t="str">
        <f>SUBSTITUTE(Tabla1[[#This Row],[Descripción]],CHAR(10),"    I    ")</f>
        <v>Se realizaron algunas pruebas funcionales además de que se realizaron pruebas de publicación de los reportes.</v>
      </c>
      <c r="Z270" s="378">
        <f>VLOOKUP(Tabla1[[#This Row],[Perfil]],Catalogos!$B$75:$D$100,3,FALSE)*Tabla1[[#This Row],[Tiempo
(Hrs 00/100)]]*1.16</f>
        <v>7423.9999999999991</v>
      </c>
    </row>
    <row r="271" spans="1:26" ht="42.75" customHeight="1" x14ac:dyDescent="0.3">
      <c r="A271" s="370" t="s">
        <v>22</v>
      </c>
      <c r="B271" s="370" t="s">
        <v>62</v>
      </c>
      <c r="C271" s="205" t="s">
        <v>49</v>
      </c>
      <c r="D271" s="382"/>
      <c r="E271" s="370" t="s">
        <v>404</v>
      </c>
      <c r="F271" s="370" t="s">
        <v>23</v>
      </c>
      <c r="G271" s="370"/>
      <c r="H271" s="371" t="s">
        <v>611</v>
      </c>
      <c r="I271" s="371" t="s">
        <v>612</v>
      </c>
      <c r="J271" s="369">
        <v>44958</v>
      </c>
      <c r="K271" s="747">
        <v>0.375</v>
      </c>
      <c r="L271" s="369">
        <v>44958</v>
      </c>
      <c r="M271" s="753">
        <v>0.79166666666666663</v>
      </c>
      <c r="N271" s="373">
        <v>8</v>
      </c>
      <c r="O271" s="374" t="s">
        <v>411</v>
      </c>
      <c r="P271" s="375" t="s">
        <v>613</v>
      </c>
      <c r="Q271" s="744" t="s">
        <v>294</v>
      </c>
      <c r="R271" s="202" t="s">
        <v>40</v>
      </c>
      <c r="S271" s="31" t="s">
        <v>273</v>
      </c>
      <c r="T271" s="31" t="s">
        <v>273</v>
      </c>
      <c r="U271" s="31">
        <f>IFERROR(VLOOKUP(CONCATENATE(Tabla1[[#This Row],[Severidad]]," ",Tabla1[[#This Row],[Complejidad]]),Catalogos!E$120:G$128,3,FALSE),"")</f>
        <v>64</v>
      </c>
      <c r="V271" s="31" t="str">
        <f>IF(Tabla1[[#This Row],[Tiempo solución max (hrs)]]&lt;&gt;"",IF(Tabla1[[#This Row],[Tiempo solución max (hrs)]]&gt;=Tabla1[[#This Row],[Tiempo
(Hrs 00/100)]],"cumple","no cumple"),"")</f>
        <v>cumple</v>
      </c>
      <c r="W271" s="376" t="s">
        <v>495</v>
      </c>
      <c r="X271" s="377" t="str">
        <f t="shared" ref="X271:X337" si="52">IF(C271&lt;&gt;"",C271,D271)</f>
        <v>SAI</v>
      </c>
      <c r="Y271" t="str">
        <f>SUBSTITUTE(Tabla1[[#This Row],[Descripción]],CHAR(10),"    I    ")</f>
        <v>Se realizaron los servicios correspondientes al módulo de Seguimiento de Actividades</v>
      </c>
      <c r="Z271" s="378">
        <f>VLOOKUP(Tabla1[[#This Row],[Perfil]],Catalogos!$B$75:$D$100,3,FALSE)*Tabla1[[#This Row],[Tiempo
(Hrs 00/100)]]*1.16</f>
        <v>6496</v>
      </c>
    </row>
    <row r="272" spans="1:26" ht="42.75" customHeight="1" x14ac:dyDescent="0.3">
      <c r="A272" s="370" t="s">
        <v>22</v>
      </c>
      <c r="B272" s="370" t="s">
        <v>62</v>
      </c>
      <c r="C272" s="205" t="s">
        <v>49</v>
      </c>
      <c r="D272" s="382"/>
      <c r="E272" s="370" t="s">
        <v>404</v>
      </c>
      <c r="F272" s="370" t="s">
        <v>23</v>
      </c>
      <c r="G272" s="370"/>
      <c r="H272" s="371" t="s">
        <v>611</v>
      </c>
      <c r="I272" s="371" t="s">
        <v>612</v>
      </c>
      <c r="J272" s="369">
        <v>44959</v>
      </c>
      <c r="K272" s="747">
        <v>0.375</v>
      </c>
      <c r="L272" s="369">
        <v>44959</v>
      </c>
      <c r="M272" s="753">
        <v>0.79166666666666663</v>
      </c>
      <c r="N272" s="373">
        <v>8</v>
      </c>
      <c r="O272" s="374" t="s">
        <v>411</v>
      </c>
      <c r="P272" s="375" t="s">
        <v>613</v>
      </c>
      <c r="Q272" s="744" t="s">
        <v>294</v>
      </c>
      <c r="R272" s="202" t="s">
        <v>40</v>
      </c>
      <c r="S272" s="31" t="s">
        <v>273</v>
      </c>
      <c r="T272" s="31" t="s">
        <v>273</v>
      </c>
      <c r="U272" s="31">
        <f>IFERROR(VLOOKUP(CONCATENATE(Tabla1[[#This Row],[Severidad]]," ",Tabla1[[#This Row],[Complejidad]]),Catalogos!E$120:G$128,3,FALSE),"")</f>
        <v>64</v>
      </c>
      <c r="V272" s="31" t="str">
        <f>IF(Tabla1[[#This Row],[Tiempo solución max (hrs)]]&lt;&gt;"",IF(Tabla1[[#This Row],[Tiempo solución max (hrs)]]&gt;=Tabla1[[#This Row],[Tiempo
(Hrs 00/100)]],"cumple","no cumple"),"")</f>
        <v>cumple</v>
      </c>
      <c r="W272" s="376" t="s">
        <v>495</v>
      </c>
      <c r="X272" s="377" t="str">
        <f t="shared" ref="X272:X273" si="53">IF(C272&lt;&gt;"",C272,D272)</f>
        <v>SAI</v>
      </c>
      <c r="Y272" t="str">
        <f>SUBSTITUTE(Tabla1[[#This Row],[Descripción]],CHAR(10),"    I    ")</f>
        <v>Se realizaron los servicios correspondientes al módulo de Seguimiento de Actividades</v>
      </c>
      <c r="Z272" s="378">
        <f>VLOOKUP(Tabla1[[#This Row],[Perfil]],Catalogos!$B$75:$D$100,3,FALSE)*Tabla1[[#This Row],[Tiempo
(Hrs 00/100)]]*1.16</f>
        <v>6496</v>
      </c>
    </row>
    <row r="273" spans="1:26" ht="42.75" customHeight="1" x14ac:dyDescent="0.3">
      <c r="A273" s="370" t="s">
        <v>22</v>
      </c>
      <c r="B273" s="370" t="s">
        <v>62</v>
      </c>
      <c r="C273" s="205" t="s">
        <v>49</v>
      </c>
      <c r="D273" s="382"/>
      <c r="E273" s="370" t="s">
        <v>404</v>
      </c>
      <c r="F273" s="370" t="s">
        <v>23</v>
      </c>
      <c r="G273" s="370"/>
      <c r="H273" s="371" t="s">
        <v>611</v>
      </c>
      <c r="I273" s="371" t="s">
        <v>612</v>
      </c>
      <c r="J273" s="369">
        <v>44960</v>
      </c>
      <c r="K273" s="747">
        <v>0.375</v>
      </c>
      <c r="L273" s="369">
        <v>44960</v>
      </c>
      <c r="M273" s="753">
        <v>0.79166666666666663</v>
      </c>
      <c r="N273" s="373">
        <v>8</v>
      </c>
      <c r="O273" s="374" t="s">
        <v>17</v>
      </c>
      <c r="P273" s="375" t="s">
        <v>613</v>
      </c>
      <c r="Q273" s="744" t="s">
        <v>294</v>
      </c>
      <c r="R273" s="202" t="s">
        <v>40</v>
      </c>
      <c r="S273" s="31" t="s">
        <v>273</v>
      </c>
      <c r="T273" s="31" t="s">
        <v>273</v>
      </c>
      <c r="U273" s="31">
        <f>IFERROR(VLOOKUP(CONCATENATE(Tabla1[[#This Row],[Severidad]]," ",Tabla1[[#This Row],[Complejidad]]),Catalogos!E$120:G$128,3,FALSE),"")</f>
        <v>64</v>
      </c>
      <c r="V273" s="31" t="str">
        <f>IF(Tabla1[[#This Row],[Tiempo solución max (hrs)]]&lt;&gt;"",IF(Tabla1[[#This Row],[Tiempo solución max (hrs)]]&gt;=Tabla1[[#This Row],[Tiempo
(Hrs 00/100)]],"cumple","no cumple"),"")</f>
        <v>cumple</v>
      </c>
      <c r="W273" s="376" t="s">
        <v>495</v>
      </c>
      <c r="X273" s="377" t="str">
        <f t="shared" si="53"/>
        <v>SAI</v>
      </c>
      <c r="Y273" t="str">
        <f>SUBSTITUTE(Tabla1[[#This Row],[Descripción]],CHAR(10),"    I    ")</f>
        <v>Se realizaron los servicios correspondientes al módulo de Seguimiento de Actividades</v>
      </c>
      <c r="Z273" s="378">
        <f>VLOOKUP(Tabla1[[#This Row],[Perfil]],Catalogos!$B$75:$D$100,3,FALSE)*Tabla1[[#This Row],[Tiempo
(Hrs 00/100)]]*1.16</f>
        <v>6496</v>
      </c>
    </row>
    <row r="274" spans="1:26" ht="42.75" customHeight="1" x14ac:dyDescent="0.3">
      <c r="A274" s="370" t="s">
        <v>22</v>
      </c>
      <c r="B274" s="370" t="s">
        <v>62</v>
      </c>
      <c r="C274" s="205" t="s">
        <v>49</v>
      </c>
      <c r="D274" s="370"/>
      <c r="E274" s="370" t="s">
        <v>404</v>
      </c>
      <c r="F274" s="370" t="s">
        <v>23</v>
      </c>
      <c r="G274" s="370"/>
      <c r="H274" s="371" t="s">
        <v>614</v>
      </c>
      <c r="I274" s="371" t="s">
        <v>615</v>
      </c>
      <c r="J274" s="369">
        <v>44961</v>
      </c>
      <c r="K274" s="747">
        <v>0.375</v>
      </c>
      <c r="L274" s="369">
        <v>44961</v>
      </c>
      <c r="M274" s="753">
        <v>0.83333333333333337</v>
      </c>
      <c r="N274" s="373">
        <v>10</v>
      </c>
      <c r="O274" s="374" t="s">
        <v>406</v>
      </c>
      <c r="P274" s="375" t="s">
        <v>613</v>
      </c>
      <c r="Q274" s="744" t="s">
        <v>294</v>
      </c>
      <c r="R274" s="202" t="s">
        <v>40</v>
      </c>
      <c r="S274" s="31" t="s">
        <v>273</v>
      </c>
      <c r="T274" s="31" t="s">
        <v>273</v>
      </c>
      <c r="U274" s="31">
        <f>IFERROR(VLOOKUP(CONCATENATE(Tabla1[[#This Row],[Severidad]]," ",Tabla1[[#This Row],[Complejidad]]),Catalogos!E$120:G$128,3,FALSE),"")</f>
        <v>64</v>
      </c>
      <c r="V274" s="31" t="str">
        <f>IF(Tabla1[[#This Row],[Tiempo solución max (hrs)]]&lt;&gt;"",IF(Tabla1[[#This Row],[Tiempo solución max (hrs)]]&gt;=Tabla1[[#This Row],[Tiempo
(Hrs 00/100)]],"cumple","no cumple"),"")</f>
        <v>cumple</v>
      </c>
      <c r="W274" s="376" t="s">
        <v>495</v>
      </c>
      <c r="X274" s="377" t="str">
        <f t="shared" si="52"/>
        <v>SAI</v>
      </c>
      <c r="Y274" t="str">
        <f>SUBSTITUTE(Tabla1[[#This Row],[Descripción]],CHAR(10),"    I    ")</f>
        <v>Se realiza el Back de las pantallas de módulo de activdidades ABC, alta, baja, cambios y carga.</v>
      </c>
      <c r="Z274" s="378">
        <f>VLOOKUP(Tabla1[[#This Row],[Perfil]],Catalogos!$B$75:$D$100,3,FALSE)*Tabla1[[#This Row],[Tiempo
(Hrs 00/100)]]*1.16</f>
        <v>8119.9999999999991</v>
      </c>
    </row>
    <row r="275" spans="1:26" ht="42.75" customHeight="1" x14ac:dyDescent="0.3">
      <c r="A275" s="370" t="s">
        <v>22</v>
      </c>
      <c r="B275" s="370" t="s">
        <v>62</v>
      </c>
      <c r="C275" s="205" t="s">
        <v>49</v>
      </c>
      <c r="D275" s="370"/>
      <c r="E275" s="370" t="s">
        <v>404</v>
      </c>
      <c r="F275" s="370" t="s">
        <v>23</v>
      </c>
      <c r="G275" s="370"/>
      <c r="H275" s="371" t="s">
        <v>614</v>
      </c>
      <c r="I275" s="371" t="s">
        <v>615</v>
      </c>
      <c r="J275" s="369">
        <v>44962</v>
      </c>
      <c r="K275" s="747">
        <v>0.375</v>
      </c>
      <c r="L275" s="369">
        <v>44962</v>
      </c>
      <c r="M275" s="753">
        <v>0.83333333333333337</v>
      </c>
      <c r="N275" s="373">
        <v>10</v>
      </c>
      <c r="O275" s="374" t="s">
        <v>406</v>
      </c>
      <c r="P275" s="375" t="s">
        <v>613</v>
      </c>
      <c r="Q275" s="744" t="s">
        <v>294</v>
      </c>
      <c r="R275" s="202" t="s">
        <v>40</v>
      </c>
      <c r="S275" s="31" t="s">
        <v>273</v>
      </c>
      <c r="T275" s="31" t="s">
        <v>273</v>
      </c>
      <c r="U275" s="31">
        <f>IFERROR(VLOOKUP(CONCATENATE(Tabla1[[#This Row],[Severidad]]," ",Tabla1[[#This Row],[Complejidad]]),Catalogos!E$120:G$128,3,FALSE),"")</f>
        <v>64</v>
      </c>
      <c r="V275" s="31" t="str">
        <f>IF(Tabla1[[#This Row],[Tiempo solución max (hrs)]]&lt;&gt;"",IF(Tabla1[[#This Row],[Tiempo solución max (hrs)]]&gt;=Tabla1[[#This Row],[Tiempo
(Hrs 00/100)]],"cumple","no cumple"),"")</f>
        <v>cumple</v>
      </c>
      <c r="W275" s="376" t="s">
        <v>495</v>
      </c>
      <c r="X275" s="377" t="str">
        <f t="shared" ref="X275:X276" si="54">IF(C275&lt;&gt;"",C275,D275)</f>
        <v>SAI</v>
      </c>
      <c r="Y275" t="str">
        <f>SUBSTITUTE(Tabla1[[#This Row],[Descripción]],CHAR(10),"    I    ")</f>
        <v>Se realiza el Back de las pantallas de módulo de activdidades ABC, alta, baja, cambios y carga.</v>
      </c>
      <c r="Z275" s="378">
        <f>VLOOKUP(Tabla1[[#This Row],[Perfil]],Catalogos!$B$75:$D$100,3,FALSE)*Tabla1[[#This Row],[Tiempo
(Hrs 00/100)]]*1.16</f>
        <v>8119.9999999999991</v>
      </c>
    </row>
    <row r="276" spans="1:26" ht="42.75" customHeight="1" x14ac:dyDescent="0.3">
      <c r="A276" s="370" t="s">
        <v>22</v>
      </c>
      <c r="B276" s="370" t="s">
        <v>62</v>
      </c>
      <c r="C276" s="205" t="s">
        <v>49</v>
      </c>
      <c r="D276" s="370"/>
      <c r="E276" s="370" t="s">
        <v>404</v>
      </c>
      <c r="F276" s="370" t="s">
        <v>23</v>
      </c>
      <c r="G276" s="370"/>
      <c r="H276" s="371" t="s">
        <v>614</v>
      </c>
      <c r="I276" s="371" t="s">
        <v>615</v>
      </c>
      <c r="J276" s="369">
        <v>44963</v>
      </c>
      <c r="K276" s="747">
        <v>0.375</v>
      </c>
      <c r="L276" s="369">
        <v>44963</v>
      </c>
      <c r="M276" s="753">
        <v>0.83333333333333337</v>
      </c>
      <c r="N276" s="373">
        <v>10</v>
      </c>
      <c r="O276" s="374" t="s">
        <v>17</v>
      </c>
      <c r="P276" s="375" t="s">
        <v>613</v>
      </c>
      <c r="Q276" s="744" t="s">
        <v>294</v>
      </c>
      <c r="R276" s="202" t="s">
        <v>40</v>
      </c>
      <c r="S276" s="31" t="s">
        <v>273</v>
      </c>
      <c r="T276" s="31" t="s">
        <v>273</v>
      </c>
      <c r="U276" s="31">
        <f>IFERROR(VLOOKUP(CONCATENATE(Tabla1[[#This Row],[Severidad]]," ",Tabla1[[#This Row],[Complejidad]]),Catalogos!E$120:G$128,3,FALSE),"")</f>
        <v>64</v>
      </c>
      <c r="V276" s="31" t="str">
        <f>IF(Tabla1[[#This Row],[Tiempo solución max (hrs)]]&lt;&gt;"",IF(Tabla1[[#This Row],[Tiempo solución max (hrs)]]&gt;=Tabla1[[#This Row],[Tiempo
(Hrs 00/100)]],"cumple","no cumple"),"")</f>
        <v>cumple</v>
      </c>
      <c r="W276" s="376" t="s">
        <v>495</v>
      </c>
      <c r="X276" s="377" t="str">
        <f t="shared" si="54"/>
        <v>SAI</v>
      </c>
      <c r="Y276" t="str">
        <f>SUBSTITUTE(Tabla1[[#This Row],[Descripción]],CHAR(10),"    I    ")</f>
        <v>Se realiza el Back de las pantallas de módulo de activdidades ABC, alta, baja, cambios y carga.</v>
      </c>
      <c r="Z276" s="378">
        <f>VLOOKUP(Tabla1[[#This Row],[Perfil]],Catalogos!$B$75:$D$100,3,FALSE)*Tabla1[[#This Row],[Tiempo
(Hrs 00/100)]]*1.16</f>
        <v>8119.9999999999991</v>
      </c>
    </row>
    <row r="277" spans="1:26" ht="42.75" customHeight="1" x14ac:dyDescent="0.3">
      <c r="A277" s="370" t="s">
        <v>22</v>
      </c>
      <c r="B277" s="370" t="s">
        <v>62</v>
      </c>
      <c r="C277" s="205" t="s">
        <v>49</v>
      </c>
      <c r="D277" s="382"/>
      <c r="E277" s="370" t="s">
        <v>404</v>
      </c>
      <c r="F277" s="370" t="s">
        <v>23</v>
      </c>
      <c r="G277" s="370"/>
      <c r="H277" s="371" t="s">
        <v>405</v>
      </c>
      <c r="I277" s="371" t="s">
        <v>616</v>
      </c>
      <c r="J277" s="369">
        <v>44964</v>
      </c>
      <c r="K277" s="747">
        <v>0.375</v>
      </c>
      <c r="L277" s="369">
        <v>44964</v>
      </c>
      <c r="M277" s="753">
        <v>0.79166666666666663</v>
      </c>
      <c r="N277" s="373">
        <v>9</v>
      </c>
      <c r="O277" s="374" t="s">
        <v>406</v>
      </c>
      <c r="P277" s="375" t="s">
        <v>613</v>
      </c>
      <c r="Q277" s="744" t="s">
        <v>294</v>
      </c>
      <c r="R277" s="202" t="s">
        <v>40</v>
      </c>
      <c r="S277" s="31" t="s">
        <v>273</v>
      </c>
      <c r="T277" s="31" t="s">
        <v>273</v>
      </c>
      <c r="U277" s="31">
        <f>IFERROR(VLOOKUP(CONCATENATE(Tabla1[[#This Row],[Severidad]]," ",Tabla1[[#This Row],[Complejidad]]),Catalogos!E$120:G$128,3,FALSE),"")</f>
        <v>64</v>
      </c>
      <c r="V277" s="31" t="str">
        <f>IF(Tabla1[[#This Row],[Tiempo solución max (hrs)]]&lt;&gt;"",IF(Tabla1[[#This Row],[Tiempo solución max (hrs)]]&gt;=Tabla1[[#This Row],[Tiempo
(Hrs 00/100)]],"cumple","no cumple"),"")</f>
        <v>cumple</v>
      </c>
      <c r="W277" s="376" t="s">
        <v>495</v>
      </c>
      <c r="X277" s="377" t="str">
        <f t="shared" si="52"/>
        <v>SAI</v>
      </c>
      <c r="Y277" t="str">
        <f>SUBSTITUTE(Tabla1[[#This Row],[Descripción]],CHAR(10),"    I    ")</f>
        <v>Se terminan las funionalidades faltantes del sistema de Pizarras para presentar al usuario.</v>
      </c>
      <c r="Z277" s="378">
        <f>VLOOKUP(Tabla1[[#This Row],[Perfil]],Catalogos!$B$75:$D$100,3,FALSE)*Tabla1[[#This Row],[Tiempo
(Hrs 00/100)]]*1.16</f>
        <v>7307.9999999999991</v>
      </c>
    </row>
    <row r="278" spans="1:26" ht="42.75" customHeight="1" x14ac:dyDescent="0.3">
      <c r="A278" s="370" t="s">
        <v>22</v>
      </c>
      <c r="B278" s="370" t="s">
        <v>62</v>
      </c>
      <c r="C278" s="205" t="s">
        <v>49</v>
      </c>
      <c r="D278" s="382"/>
      <c r="E278" s="370" t="s">
        <v>404</v>
      </c>
      <c r="F278" s="370" t="s">
        <v>23</v>
      </c>
      <c r="G278" s="370"/>
      <c r="H278" s="371" t="s">
        <v>405</v>
      </c>
      <c r="I278" s="371" t="s">
        <v>616</v>
      </c>
      <c r="J278" s="369">
        <v>44965</v>
      </c>
      <c r="K278" s="747">
        <v>0.375</v>
      </c>
      <c r="L278" s="369">
        <v>44965</v>
      </c>
      <c r="M278" s="753">
        <v>0.79166666666666663</v>
      </c>
      <c r="N278" s="373">
        <v>9</v>
      </c>
      <c r="O278" s="374" t="s">
        <v>406</v>
      </c>
      <c r="P278" s="375" t="s">
        <v>613</v>
      </c>
      <c r="Q278" s="744" t="s">
        <v>294</v>
      </c>
      <c r="R278" s="202" t="s">
        <v>40</v>
      </c>
      <c r="S278" s="31" t="s">
        <v>273</v>
      </c>
      <c r="T278" s="31" t="s">
        <v>273</v>
      </c>
      <c r="U278" s="31">
        <f>IFERROR(VLOOKUP(CONCATENATE(Tabla1[[#This Row],[Severidad]]," ",Tabla1[[#This Row],[Complejidad]]),Catalogos!E$120:G$128,3,FALSE),"")</f>
        <v>64</v>
      </c>
      <c r="V278" s="31" t="str">
        <f>IF(Tabla1[[#This Row],[Tiempo solución max (hrs)]]&lt;&gt;"",IF(Tabla1[[#This Row],[Tiempo solución max (hrs)]]&gt;=Tabla1[[#This Row],[Tiempo
(Hrs 00/100)]],"cumple","no cumple"),"")</f>
        <v>cumple</v>
      </c>
      <c r="W278" s="376" t="s">
        <v>495</v>
      </c>
      <c r="X278" s="377" t="str">
        <f t="shared" ref="X278:X280" si="55">IF(C278&lt;&gt;"",C278,D278)</f>
        <v>SAI</v>
      </c>
      <c r="Y278" t="str">
        <f>SUBSTITUTE(Tabla1[[#This Row],[Descripción]],CHAR(10),"    I    ")</f>
        <v>Se terminan las funionalidades faltantes del sistema de Pizarras para presentar al usuario.</v>
      </c>
      <c r="Z278" s="378">
        <f>VLOOKUP(Tabla1[[#This Row],[Perfil]],Catalogos!$B$75:$D$100,3,FALSE)*Tabla1[[#This Row],[Tiempo
(Hrs 00/100)]]*1.16</f>
        <v>7307.9999999999991</v>
      </c>
    </row>
    <row r="279" spans="1:26" ht="42.75" customHeight="1" x14ac:dyDescent="0.3">
      <c r="A279" s="370" t="s">
        <v>22</v>
      </c>
      <c r="B279" s="370" t="s">
        <v>62</v>
      </c>
      <c r="C279" s="205" t="s">
        <v>49</v>
      </c>
      <c r="D279" s="382"/>
      <c r="E279" s="370" t="s">
        <v>404</v>
      </c>
      <c r="F279" s="370" t="s">
        <v>23</v>
      </c>
      <c r="G279" s="370"/>
      <c r="H279" s="371" t="s">
        <v>405</v>
      </c>
      <c r="I279" s="371" t="s">
        <v>616</v>
      </c>
      <c r="J279" s="369">
        <v>44966</v>
      </c>
      <c r="K279" s="747">
        <v>0.375</v>
      </c>
      <c r="L279" s="369">
        <v>44966</v>
      </c>
      <c r="M279" s="753">
        <v>0.79166666666666663</v>
      </c>
      <c r="N279" s="373">
        <v>9</v>
      </c>
      <c r="O279" s="374" t="s">
        <v>406</v>
      </c>
      <c r="P279" s="375" t="s">
        <v>613</v>
      </c>
      <c r="Q279" s="744" t="s">
        <v>294</v>
      </c>
      <c r="R279" s="202" t="s">
        <v>40</v>
      </c>
      <c r="S279" s="31" t="s">
        <v>273</v>
      </c>
      <c r="T279" s="31" t="s">
        <v>273</v>
      </c>
      <c r="U279" s="31">
        <f>IFERROR(VLOOKUP(CONCATENATE(Tabla1[[#This Row],[Severidad]]," ",Tabla1[[#This Row],[Complejidad]]),Catalogos!E$120:G$128,3,FALSE),"")</f>
        <v>64</v>
      </c>
      <c r="V279" s="31" t="str">
        <f>IF(Tabla1[[#This Row],[Tiempo solución max (hrs)]]&lt;&gt;"",IF(Tabla1[[#This Row],[Tiempo solución max (hrs)]]&gt;=Tabla1[[#This Row],[Tiempo
(Hrs 00/100)]],"cumple","no cumple"),"")</f>
        <v>cumple</v>
      </c>
      <c r="W279" s="376" t="s">
        <v>495</v>
      </c>
      <c r="X279" s="377" t="str">
        <f t="shared" si="55"/>
        <v>SAI</v>
      </c>
      <c r="Y279" t="str">
        <f>SUBSTITUTE(Tabla1[[#This Row],[Descripción]],CHAR(10),"    I    ")</f>
        <v>Se terminan las funionalidades faltantes del sistema de Pizarras para presentar al usuario.</v>
      </c>
      <c r="Z279" s="378">
        <f>VLOOKUP(Tabla1[[#This Row],[Perfil]],Catalogos!$B$75:$D$100,3,FALSE)*Tabla1[[#This Row],[Tiempo
(Hrs 00/100)]]*1.16</f>
        <v>7307.9999999999991</v>
      </c>
    </row>
    <row r="280" spans="1:26" ht="42.75" customHeight="1" x14ac:dyDescent="0.3">
      <c r="A280" s="370" t="s">
        <v>22</v>
      </c>
      <c r="B280" s="370" t="s">
        <v>62</v>
      </c>
      <c r="C280" s="205" t="s">
        <v>49</v>
      </c>
      <c r="D280" s="382"/>
      <c r="E280" s="370" t="s">
        <v>404</v>
      </c>
      <c r="F280" s="370" t="s">
        <v>23</v>
      </c>
      <c r="G280" s="370"/>
      <c r="H280" s="371" t="s">
        <v>405</v>
      </c>
      <c r="I280" s="371" t="s">
        <v>616</v>
      </c>
      <c r="J280" s="369">
        <v>44967</v>
      </c>
      <c r="K280" s="747">
        <v>0.375</v>
      </c>
      <c r="L280" s="369">
        <v>44967</v>
      </c>
      <c r="M280" s="753">
        <v>0.79166666666666663</v>
      </c>
      <c r="N280" s="373">
        <v>9</v>
      </c>
      <c r="O280" s="374" t="s">
        <v>17</v>
      </c>
      <c r="P280" s="375" t="s">
        <v>613</v>
      </c>
      <c r="Q280" s="744" t="s">
        <v>294</v>
      </c>
      <c r="R280" s="202" t="s">
        <v>40</v>
      </c>
      <c r="S280" s="31" t="s">
        <v>273</v>
      </c>
      <c r="T280" s="31" t="s">
        <v>273</v>
      </c>
      <c r="U280" s="31">
        <f>IFERROR(VLOOKUP(CONCATENATE(Tabla1[[#This Row],[Severidad]]," ",Tabla1[[#This Row],[Complejidad]]),Catalogos!E$120:G$128,3,FALSE),"")</f>
        <v>64</v>
      </c>
      <c r="V280" s="31" t="str">
        <f>IF(Tabla1[[#This Row],[Tiempo solución max (hrs)]]&lt;&gt;"",IF(Tabla1[[#This Row],[Tiempo solución max (hrs)]]&gt;=Tabla1[[#This Row],[Tiempo
(Hrs 00/100)]],"cumple","no cumple"),"")</f>
        <v>cumple</v>
      </c>
      <c r="W280" s="376" t="s">
        <v>495</v>
      </c>
      <c r="X280" s="377" t="str">
        <f t="shared" si="55"/>
        <v>SAI</v>
      </c>
      <c r="Y280" t="str">
        <f>SUBSTITUTE(Tabla1[[#This Row],[Descripción]],CHAR(10),"    I    ")</f>
        <v>Se terminan las funionalidades faltantes del sistema de Pizarras para presentar al usuario.</v>
      </c>
      <c r="Z280" s="378">
        <f>VLOOKUP(Tabla1[[#This Row],[Perfil]],Catalogos!$B$75:$D$100,3,FALSE)*Tabla1[[#This Row],[Tiempo
(Hrs 00/100)]]*1.16</f>
        <v>7307.9999999999991</v>
      </c>
    </row>
    <row r="281" spans="1:26" ht="42.75" customHeight="1" x14ac:dyDescent="0.3">
      <c r="A281" s="370" t="s">
        <v>22</v>
      </c>
      <c r="B281" s="370" t="s">
        <v>62</v>
      </c>
      <c r="C281" s="205" t="s">
        <v>45</v>
      </c>
      <c r="D281" s="382"/>
      <c r="E281" s="370" t="s">
        <v>617</v>
      </c>
      <c r="F281" s="370" t="s">
        <v>72</v>
      </c>
      <c r="G281" s="370"/>
      <c r="H281" s="371" t="s">
        <v>618</v>
      </c>
      <c r="I281" s="371" t="s">
        <v>619</v>
      </c>
      <c r="J281" s="369">
        <v>44970</v>
      </c>
      <c r="K281" s="747">
        <v>0.375</v>
      </c>
      <c r="L281" s="369">
        <v>44970</v>
      </c>
      <c r="M281" s="753">
        <v>0.79166666666666663</v>
      </c>
      <c r="N281" s="373">
        <v>8</v>
      </c>
      <c r="O281" s="374" t="s">
        <v>406</v>
      </c>
      <c r="P281" s="375" t="s">
        <v>630</v>
      </c>
      <c r="Q281" s="744" t="s">
        <v>294</v>
      </c>
      <c r="R281" s="202" t="s">
        <v>40</v>
      </c>
      <c r="S281" s="31" t="s">
        <v>273</v>
      </c>
      <c r="T281" s="31" t="s">
        <v>273</v>
      </c>
      <c r="U281" s="31">
        <f>IFERROR(VLOOKUP(CONCATENATE(Tabla1[[#This Row],[Severidad]]," ",Tabla1[[#This Row],[Complejidad]]),Catalogos!E$120:G$128,3,FALSE),"")</f>
        <v>64</v>
      </c>
      <c r="V281" s="31" t="str">
        <f>IF(Tabla1[[#This Row],[Tiempo solución max (hrs)]]&lt;&gt;"",IF(Tabla1[[#This Row],[Tiempo solución max (hrs)]]&gt;=Tabla1[[#This Row],[Tiempo
(Hrs 00/100)]],"cumple","no cumple"),"")</f>
        <v>cumple</v>
      </c>
      <c r="W281" s="376" t="s">
        <v>495</v>
      </c>
      <c r="X281" s="377" t="str">
        <f t="shared" si="52"/>
        <v>SPD</v>
      </c>
      <c r="Y281" t="str">
        <f>SUBSTITUTE(Tabla1[[#This Row],[Descripción]],CHAR(10),"    I    ")</f>
        <v>Corrección de incidentes de seguridad, se arreglan hallazgos de vulnerabilidades de seguridad del sistema Buscador General</v>
      </c>
      <c r="Z281" s="378">
        <f>VLOOKUP(Tabla1[[#This Row],[Perfil]],Catalogos!$B$75:$D$100,3,FALSE)*Tabla1[[#This Row],[Tiempo
(Hrs 00/100)]]*1.16</f>
        <v>6496</v>
      </c>
    </row>
    <row r="282" spans="1:26" ht="42.75" customHeight="1" x14ac:dyDescent="0.3">
      <c r="A282" s="370" t="s">
        <v>22</v>
      </c>
      <c r="B282" s="370" t="s">
        <v>62</v>
      </c>
      <c r="C282" s="205" t="s">
        <v>45</v>
      </c>
      <c r="D282" s="382"/>
      <c r="E282" s="370" t="s">
        <v>617</v>
      </c>
      <c r="F282" s="370" t="s">
        <v>72</v>
      </c>
      <c r="G282" s="370"/>
      <c r="H282" s="371" t="s">
        <v>618</v>
      </c>
      <c r="I282" s="371" t="s">
        <v>619</v>
      </c>
      <c r="J282" s="369">
        <v>44971</v>
      </c>
      <c r="K282" s="747">
        <v>0.375</v>
      </c>
      <c r="L282" s="369">
        <v>44971</v>
      </c>
      <c r="M282" s="753">
        <v>0.79166666666666663</v>
      </c>
      <c r="N282" s="373">
        <v>8</v>
      </c>
      <c r="O282" s="374" t="s">
        <v>406</v>
      </c>
      <c r="P282" s="375" t="s">
        <v>630</v>
      </c>
      <c r="Q282" s="744" t="s">
        <v>294</v>
      </c>
      <c r="R282" s="202" t="s">
        <v>40</v>
      </c>
      <c r="S282" s="31" t="s">
        <v>273</v>
      </c>
      <c r="T282" s="31" t="s">
        <v>273</v>
      </c>
      <c r="U282" s="31">
        <f>IFERROR(VLOOKUP(CONCATENATE(Tabla1[[#This Row],[Severidad]]," ",Tabla1[[#This Row],[Complejidad]]),Catalogos!E$120:G$128,3,FALSE),"")</f>
        <v>64</v>
      </c>
      <c r="V282" s="31" t="str">
        <f>IF(Tabla1[[#This Row],[Tiempo solución max (hrs)]]&lt;&gt;"",IF(Tabla1[[#This Row],[Tiempo solución max (hrs)]]&gt;=Tabla1[[#This Row],[Tiempo
(Hrs 00/100)]],"cumple","no cumple"),"")</f>
        <v>cumple</v>
      </c>
      <c r="W282" s="376" t="s">
        <v>495</v>
      </c>
      <c r="X282" s="377" t="str">
        <f t="shared" ref="X282:X285" si="56">IF(C282&lt;&gt;"",C282,D282)</f>
        <v>SPD</v>
      </c>
      <c r="Y282" t="str">
        <f>SUBSTITUTE(Tabla1[[#This Row],[Descripción]],CHAR(10),"    I    ")</f>
        <v>Corrección de incidentes de seguridad, se arreglan hallazgos de vulnerabilidades de seguridad del sistema Buscador General</v>
      </c>
      <c r="Z282" s="378">
        <f>VLOOKUP(Tabla1[[#This Row],[Perfil]],Catalogos!$B$75:$D$100,3,FALSE)*Tabla1[[#This Row],[Tiempo
(Hrs 00/100)]]*1.16</f>
        <v>6496</v>
      </c>
    </row>
    <row r="283" spans="1:26" ht="42.75" customHeight="1" x14ac:dyDescent="0.3">
      <c r="A283" s="370" t="s">
        <v>22</v>
      </c>
      <c r="B283" s="370" t="s">
        <v>62</v>
      </c>
      <c r="C283" s="205" t="s">
        <v>45</v>
      </c>
      <c r="D283" s="382"/>
      <c r="E283" s="370" t="s">
        <v>617</v>
      </c>
      <c r="F283" s="370" t="s">
        <v>72</v>
      </c>
      <c r="G283" s="370"/>
      <c r="H283" s="371" t="s">
        <v>618</v>
      </c>
      <c r="I283" s="371" t="s">
        <v>619</v>
      </c>
      <c r="J283" s="369">
        <v>44972</v>
      </c>
      <c r="K283" s="747">
        <v>0.375</v>
      </c>
      <c r="L283" s="369">
        <v>44972</v>
      </c>
      <c r="M283" s="753">
        <v>0.79166666666666663</v>
      </c>
      <c r="N283" s="373">
        <v>8</v>
      </c>
      <c r="O283" s="374" t="s">
        <v>406</v>
      </c>
      <c r="P283" s="375" t="s">
        <v>630</v>
      </c>
      <c r="Q283" s="744" t="s">
        <v>294</v>
      </c>
      <c r="R283" s="202" t="s">
        <v>40</v>
      </c>
      <c r="S283" s="31" t="s">
        <v>273</v>
      </c>
      <c r="T283" s="31" t="s">
        <v>273</v>
      </c>
      <c r="U283" s="31">
        <f>IFERROR(VLOOKUP(CONCATENATE(Tabla1[[#This Row],[Severidad]]," ",Tabla1[[#This Row],[Complejidad]]),Catalogos!E$120:G$128,3,FALSE),"")</f>
        <v>64</v>
      </c>
      <c r="V283" s="31" t="str">
        <f>IF(Tabla1[[#This Row],[Tiempo solución max (hrs)]]&lt;&gt;"",IF(Tabla1[[#This Row],[Tiempo solución max (hrs)]]&gt;=Tabla1[[#This Row],[Tiempo
(Hrs 00/100)]],"cumple","no cumple"),"")</f>
        <v>cumple</v>
      </c>
      <c r="W283" s="376" t="s">
        <v>495</v>
      </c>
      <c r="X283" s="377" t="str">
        <f t="shared" si="56"/>
        <v>SPD</v>
      </c>
      <c r="Y283" t="str">
        <f>SUBSTITUTE(Tabla1[[#This Row],[Descripción]],CHAR(10),"    I    ")</f>
        <v>Corrección de incidentes de seguridad, se arreglan hallazgos de vulnerabilidades de seguridad del sistema Buscador General</v>
      </c>
      <c r="Z283" s="378">
        <f>VLOOKUP(Tabla1[[#This Row],[Perfil]],Catalogos!$B$75:$D$100,3,FALSE)*Tabla1[[#This Row],[Tiempo
(Hrs 00/100)]]*1.16</f>
        <v>6496</v>
      </c>
    </row>
    <row r="284" spans="1:26" ht="42.75" customHeight="1" x14ac:dyDescent="0.3">
      <c r="A284" s="370" t="s">
        <v>22</v>
      </c>
      <c r="B284" s="370" t="s">
        <v>62</v>
      </c>
      <c r="C284" s="205" t="s">
        <v>45</v>
      </c>
      <c r="D284" s="382"/>
      <c r="E284" s="370" t="s">
        <v>617</v>
      </c>
      <c r="F284" s="370" t="s">
        <v>72</v>
      </c>
      <c r="G284" s="370"/>
      <c r="H284" s="371" t="s">
        <v>618</v>
      </c>
      <c r="I284" s="371" t="s">
        <v>619</v>
      </c>
      <c r="J284" s="369">
        <v>44973</v>
      </c>
      <c r="K284" s="747">
        <v>0.375</v>
      </c>
      <c r="L284" s="369">
        <v>44973</v>
      </c>
      <c r="M284" s="753">
        <v>0.79166666666666663</v>
      </c>
      <c r="N284" s="373">
        <v>8</v>
      </c>
      <c r="O284" s="374" t="s">
        <v>406</v>
      </c>
      <c r="P284" s="375" t="s">
        <v>630</v>
      </c>
      <c r="Q284" s="744" t="s">
        <v>294</v>
      </c>
      <c r="R284" s="202" t="s">
        <v>40</v>
      </c>
      <c r="S284" s="31" t="s">
        <v>273</v>
      </c>
      <c r="T284" s="31" t="s">
        <v>273</v>
      </c>
      <c r="U284" s="31">
        <f>IFERROR(VLOOKUP(CONCATENATE(Tabla1[[#This Row],[Severidad]]," ",Tabla1[[#This Row],[Complejidad]]),Catalogos!E$120:G$128,3,FALSE),"")</f>
        <v>64</v>
      </c>
      <c r="V284" s="31" t="str">
        <f>IF(Tabla1[[#This Row],[Tiempo solución max (hrs)]]&lt;&gt;"",IF(Tabla1[[#This Row],[Tiempo solución max (hrs)]]&gt;=Tabla1[[#This Row],[Tiempo
(Hrs 00/100)]],"cumple","no cumple"),"")</f>
        <v>cumple</v>
      </c>
      <c r="W284" s="376" t="s">
        <v>495</v>
      </c>
      <c r="X284" s="377" t="str">
        <f t="shared" si="56"/>
        <v>SPD</v>
      </c>
      <c r="Y284" t="str">
        <f>SUBSTITUTE(Tabla1[[#This Row],[Descripción]],CHAR(10),"    I    ")</f>
        <v>Corrección de incidentes de seguridad, se arreglan hallazgos de vulnerabilidades de seguridad del sistema Buscador General</v>
      </c>
      <c r="Z284" s="378">
        <f>VLOOKUP(Tabla1[[#This Row],[Perfil]],Catalogos!$B$75:$D$100,3,FALSE)*Tabla1[[#This Row],[Tiempo
(Hrs 00/100)]]*1.16</f>
        <v>6496</v>
      </c>
    </row>
    <row r="285" spans="1:26" ht="42.75" customHeight="1" x14ac:dyDescent="0.3">
      <c r="A285" s="370" t="s">
        <v>22</v>
      </c>
      <c r="B285" s="370" t="s">
        <v>62</v>
      </c>
      <c r="C285" s="205" t="s">
        <v>45</v>
      </c>
      <c r="D285" s="382"/>
      <c r="E285" s="370" t="s">
        <v>617</v>
      </c>
      <c r="F285" s="370" t="s">
        <v>72</v>
      </c>
      <c r="G285" s="370"/>
      <c r="H285" s="371" t="s">
        <v>618</v>
      </c>
      <c r="I285" s="371" t="s">
        <v>619</v>
      </c>
      <c r="J285" s="369">
        <v>44974</v>
      </c>
      <c r="K285" s="747">
        <v>0.375</v>
      </c>
      <c r="L285" s="369">
        <v>44974</v>
      </c>
      <c r="M285" s="753">
        <v>0.79166666666666663</v>
      </c>
      <c r="N285" s="373">
        <v>8</v>
      </c>
      <c r="O285" s="374" t="s">
        <v>17</v>
      </c>
      <c r="P285" s="375" t="s">
        <v>630</v>
      </c>
      <c r="Q285" s="744" t="s">
        <v>294</v>
      </c>
      <c r="R285" s="202" t="s">
        <v>40</v>
      </c>
      <c r="S285" s="31" t="s">
        <v>273</v>
      </c>
      <c r="T285" s="31" t="s">
        <v>273</v>
      </c>
      <c r="U285" s="31">
        <f>IFERROR(VLOOKUP(CONCATENATE(Tabla1[[#This Row],[Severidad]]," ",Tabla1[[#This Row],[Complejidad]]),Catalogos!E$120:G$128,3,FALSE),"")</f>
        <v>64</v>
      </c>
      <c r="V285" s="31" t="str">
        <f>IF(Tabla1[[#This Row],[Tiempo solución max (hrs)]]&lt;&gt;"",IF(Tabla1[[#This Row],[Tiempo solución max (hrs)]]&gt;=Tabla1[[#This Row],[Tiempo
(Hrs 00/100)]],"cumple","no cumple"),"")</f>
        <v>cumple</v>
      </c>
      <c r="W285" s="376" t="s">
        <v>495</v>
      </c>
      <c r="X285" s="377" t="str">
        <f t="shared" si="56"/>
        <v>SPD</v>
      </c>
      <c r="Y285" t="str">
        <f>SUBSTITUTE(Tabla1[[#This Row],[Descripción]],CHAR(10),"    I    ")</f>
        <v>Corrección de incidentes de seguridad, se arreglan hallazgos de vulnerabilidades de seguridad del sistema Buscador General</v>
      </c>
      <c r="Z285" s="378">
        <f>VLOOKUP(Tabla1[[#This Row],[Perfil]],Catalogos!$B$75:$D$100,3,FALSE)*Tabla1[[#This Row],[Tiempo
(Hrs 00/100)]]*1.16</f>
        <v>6496</v>
      </c>
    </row>
    <row r="286" spans="1:26" ht="42.75" customHeight="1" x14ac:dyDescent="0.3">
      <c r="A286" s="370" t="s">
        <v>22</v>
      </c>
      <c r="B286" s="370" t="s">
        <v>62</v>
      </c>
      <c r="C286" s="205" t="s">
        <v>49</v>
      </c>
      <c r="D286" s="370"/>
      <c r="E286" s="370" t="s">
        <v>404</v>
      </c>
      <c r="F286" s="370" t="s">
        <v>23</v>
      </c>
      <c r="G286" s="370"/>
      <c r="H286" s="371" t="s">
        <v>405</v>
      </c>
      <c r="I286" s="371" t="s">
        <v>620</v>
      </c>
      <c r="J286" s="369">
        <v>44977</v>
      </c>
      <c r="K286" s="747">
        <v>0.375</v>
      </c>
      <c r="L286" s="369">
        <v>44977</v>
      </c>
      <c r="M286" s="753">
        <v>0.79166666666666663</v>
      </c>
      <c r="N286" s="373">
        <v>8</v>
      </c>
      <c r="O286" s="374" t="s">
        <v>406</v>
      </c>
      <c r="P286" s="375" t="s">
        <v>613</v>
      </c>
      <c r="Q286" s="744" t="s">
        <v>294</v>
      </c>
      <c r="R286" s="202" t="s">
        <v>40</v>
      </c>
      <c r="S286" s="31" t="s">
        <v>273</v>
      </c>
      <c r="T286" s="31" t="s">
        <v>273</v>
      </c>
      <c r="U286" s="31">
        <f>IFERROR(VLOOKUP(CONCATENATE(Tabla1[[#This Row],[Severidad]]," ",Tabla1[[#This Row],[Complejidad]]),Catalogos!E$120:G$128,3,FALSE),"")</f>
        <v>64</v>
      </c>
      <c r="V286" s="31" t="str">
        <f>IF(Tabla1[[#This Row],[Tiempo solución max (hrs)]]&lt;&gt;"",IF(Tabla1[[#This Row],[Tiempo solución max (hrs)]]&gt;=Tabla1[[#This Row],[Tiempo
(Hrs 00/100)]],"cumple","no cumple"),"")</f>
        <v>cumple</v>
      </c>
      <c r="W286" s="376" t="s">
        <v>495</v>
      </c>
      <c r="X286" s="377" t="str">
        <f t="shared" si="52"/>
        <v>SAI</v>
      </c>
      <c r="Y286" t="str">
        <f>SUBSTITUTE(Tabla1[[#This Row],[Descripción]],CHAR(10),"    I    ")</f>
        <v>Se da soporte y mantenimiento de las incidencias reportadas por el área usuaria.</v>
      </c>
      <c r="Z286" s="378">
        <f>VLOOKUP(Tabla1[[#This Row],[Perfil]],Catalogos!$B$75:$D$100,3,FALSE)*Tabla1[[#This Row],[Tiempo
(Hrs 00/100)]]*1.16</f>
        <v>6496</v>
      </c>
    </row>
    <row r="287" spans="1:26" ht="42.75" customHeight="1" x14ac:dyDescent="0.3">
      <c r="A287" s="370" t="s">
        <v>22</v>
      </c>
      <c r="B287" s="370" t="s">
        <v>62</v>
      </c>
      <c r="C287" s="205" t="s">
        <v>49</v>
      </c>
      <c r="D287" s="370"/>
      <c r="E287" s="370" t="s">
        <v>404</v>
      </c>
      <c r="F287" s="370" t="s">
        <v>23</v>
      </c>
      <c r="G287" s="370"/>
      <c r="H287" s="371" t="s">
        <v>405</v>
      </c>
      <c r="I287" s="371" t="s">
        <v>620</v>
      </c>
      <c r="J287" s="369">
        <v>44978</v>
      </c>
      <c r="K287" s="747">
        <v>0.375</v>
      </c>
      <c r="L287" s="369">
        <v>44978</v>
      </c>
      <c r="M287" s="753">
        <v>0.79166666666666663</v>
      </c>
      <c r="N287" s="373">
        <v>8</v>
      </c>
      <c r="O287" s="374" t="s">
        <v>406</v>
      </c>
      <c r="P287" s="375" t="s">
        <v>613</v>
      </c>
      <c r="Q287" s="744" t="s">
        <v>294</v>
      </c>
      <c r="R287" s="202" t="s">
        <v>40</v>
      </c>
      <c r="S287" s="31" t="s">
        <v>273</v>
      </c>
      <c r="T287" s="31" t="s">
        <v>273</v>
      </c>
      <c r="U287" s="31">
        <f>IFERROR(VLOOKUP(CONCATENATE(Tabla1[[#This Row],[Severidad]]," ",Tabla1[[#This Row],[Complejidad]]),Catalogos!E$120:G$128,3,FALSE),"")</f>
        <v>64</v>
      </c>
      <c r="V287" s="31" t="str">
        <f>IF(Tabla1[[#This Row],[Tiempo solución max (hrs)]]&lt;&gt;"",IF(Tabla1[[#This Row],[Tiempo solución max (hrs)]]&gt;=Tabla1[[#This Row],[Tiempo
(Hrs 00/100)]],"cumple","no cumple"),"")</f>
        <v>cumple</v>
      </c>
      <c r="W287" s="376" t="s">
        <v>495</v>
      </c>
      <c r="X287" s="377" t="str">
        <f t="shared" ref="X287:X291" si="57">IF(C287&lt;&gt;"",C287,D287)</f>
        <v>SAI</v>
      </c>
      <c r="Y287" t="str">
        <f>SUBSTITUTE(Tabla1[[#This Row],[Descripción]],CHAR(10),"    I    ")</f>
        <v>Se da soporte y mantenimiento de las incidencias reportadas por el área usuaria.</v>
      </c>
      <c r="Z287" s="378">
        <f>VLOOKUP(Tabla1[[#This Row],[Perfil]],Catalogos!$B$75:$D$100,3,FALSE)*Tabla1[[#This Row],[Tiempo
(Hrs 00/100)]]*1.16</f>
        <v>6496</v>
      </c>
    </row>
    <row r="288" spans="1:26" ht="42.75" customHeight="1" x14ac:dyDescent="0.3">
      <c r="A288" s="370" t="s">
        <v>22</v>
      </c>
      <c r="B288" s="370" t="s">
        <v>62</v>
      </c>
      <c r="C288" s="205" t="s">
        <v>49</v>
      </c>
      <c r="D288" s="370"/>
      <c r="E288" s="370" t="s">
        <v>404</v>
      </c>
      <c r="F288" s="370" t="s">
        <v>23</v>
      </c>
      <c r="G288" s="370"/>
      <c r="H288" s="371" t="s">
        <v>405</v>
      </c>
      <c r="I288" s="371" t="s">
        <v>620</v>
      </c>
      <c r="J288" s="369">
        <v>44979</v>
      </c>
      <c r="K288" s="747">
        <v>0.375</v>
      </c>
      <c r="L288" s="369">
        <v>44979</v>
      </c>
      <c r="M288" s="753">
        <v>0.79166666666666663</v>
      </c>
      <c r="N288" s="373">
        <v>8</v>
      </c>
      <c r="O288" s="374" t="s">
        <v>406</v>
      </c>
      <c r="P288" s="375" t="s">
        <v>613</v>
      </c>
      <c r="Q288" s="744" t="s">
        <v>294</v>
      </c>
      <c r="R288" s="202" t="s">
        <v>40</v>
      </c>
      <c r="S288" s="31" t="s">
        <v>273</v>
      </c>
      <c r="T288" s="31" t="s">
        <v>273</v>
      </c>
      <c r="U288" s="31">
        <f>IFERROR(VLOOKUP(CONCATENATE(Tabla1[[#This Row],[Severidad]]," ",Tabla1[[#This Row],[Complejidad]]),Catalogos!E$120:G$128,3,FALSE),"")</f>
        <v>64</v>
      </c>
      <c r="V288" s="31" t="str">
        <f>IF(Tabla1[[#This Row],[Tiempo solución max (hrs)]]&lt;&gt;"",IF(Tabla1[[#This Row],[Tiempo solución max (hrs)]]&gt;=Tabla1[[#This Row],[Tiempo
(Hrs 00/100)]],"cumple","no cumple"),"")</f>
        <v>cumple</v>
      </c>
      <c r="W288" s="376" t="s">
        <v>495</v>
      </c>
      <c r="X288" s="377" t="str">
        <f t="shared" si="57"/>
        <v>SAI</v>
      </c>
      <c r="Y288" t="str">
        <f>SUBSTITUTE(Tabla1[[#This Row],[Descripción]],CHAR(10),"    I    ")</f>
        <v>Se da soporte y mantenimiento de las incidencias reportadas por el área usuaria.</v>
      </c>
      <c r="Z288" s="378">
        <f>VLOOKUP(Tabla1[[#This Row],[Perfil]],Catalogos!$B$75:$D$100,3,FALSE)*Tabla1[[#This Row],[Tiempo
(Hrs 00/100)]]*1.16</f>
        <v>6496</v>
      </c>
    </row>
    <row r="289" spans="1:26" ht="42.75" customHeight="1" x14ac:dyDescent="0.3">
      <c r="A289" s="370" t="s">
        <v>22</v>
      </c>
      <c r="B289" s="370" t="s">
        <v>62</v>
      </c>
      <c r="C289" s="205" t="s">
        <v>49</v>
      </c>
      <c r="D289" s="370"/>
      <c r="E289" s="370" t="s">
        <v>404</v>
      </c>
      <c r="F289" s="370" t="s">
        <v>23</v>
      </c>
      <c r="G289" s="370"/>
      <c r="H289" s="371" t="s">
        <v>405</v>
      </c>
      <c r="I289" s="371" t="s">
        <v>620</v>
      </c>
      <c r="J289" s="369">
        <v>44980</v>
      </c>
      <c r="K289" s="747">
        <v>0.375</v>
      </c>
      <c r="L289" s="369">
        <v>44980</v>
      </c>
      <c r="M289" s="753">
        <v>0.79166666666666663</v>
      </c>
      <c r="N289" s="373">
        <v>8</v>
      </c>
      <c r="O289" s="374" t="s">
        <v>406</v>
      </c>
      <c r="P289" s="375" t="s">
        <v>613</v>
      </c>
      <c r="Q289" s="744" t="s">
        <v>294</v>
      </c>
      <c r="R289" s="202" t="s">
        <v>40</v>
      </c>
      <c r="S289" s="31" t="s">
        <v>273</v>
      </c>
      <c r="T289" s="31" t="s">
        <v>273</v>
      </c>
      <c r="U289" s="31">
        <f>IFERROR(VLOOKUP(CONCATENATE(Tabla1[[#This Row],[Severidad]]," ",Tabla1[[#This Row],[Complejidad]]),Catalogos!E$120:G$128,3,FALSE),"")</f>
        <v>64</v>
      </c>
      <c r="V289" s="31" t="str">
        <f>IF(Tabla1[[#This Row],[Tiempo solución max (hrs)]]&lt;&gt;"",IF(Tabla1[[#This Row],[Tiempo solución max (hrs)]]&gt;=Tabla1[[#This Row],[Tiempo
(Hrs 00/100)]],"cumple","no cumple"),"")</f>
        <v>cumple</v>
      </c>
      <c r="W289" s="376" t="s">
        <v>495</v>
      </c>
      <c r="X289" s="377" t="str">
        <f t="shared" si="57"/>
        <v>SAI</v>
      </c>
      <c r="Y289" t="str">
        <f>SUBSTITUTE(Tabla1[[#This Row],[Descripción]],CHAR(10),"    I    ")</f>
        <v>Se da soporte y mantenimiento de las incidencias reportadas por el área usuaria.</v>
      </c>
      <c r="Z289" s="378">
        <f>VLOOKUP(Tabla1[[#This Row],[Perfil]],Catalogos!$B$75:$D$100,3,FALSE)*Tabla1[[#This Row],[Tiempo
(Hrs 00/100)]]*1.16</f>
        <v>6496</v>
      </c>
    </row>
    <row r="290" spans="1:26" ht="42.75" customHeight="1" x14ac:dyDescent="0.3">
      <c r="A290" s="370" t="s">
        <v>22</v>
      </c>
      <c r="B290" s="370" t="s">
        <v>62</v>
      </c>
      <c r="C290" s="205" t="s">
        <v>49</v>
      </c>
      <c r="D290" s="370"/>
      <c r="E290" s="370" t="s">
        <v>404</v>
      </c>
      <c r="F290" s="370" t="s">
        <v>23</v>
      </c>
      <c r="G290" s="370"/>
      <c r="H290" s="371" t="s">
        <v>405</v>
      </c>
      <c r="I290" s="371" t="s">
        <v>620</v>
      </c>
      <c r="J290" s="369">
        <v>44981</v>
      </c>
      <c r="K290" s="747">
        <v>0.375</v>
      </c>
      <c r="L290" s="369">
        <v>44981</v>
      </c>
      <c r="M290" s="753">
        <v>0.79166666666666663</v>
      </c>
      <c r="N290" s="373">
        <v>8</v>
      </c>
      <c r="O290" s="374" t="s">
        <v>17</v>
      </c>
      <c r="P290" s="375" t="s">
        <v>613</v>
      </c>
      <c r="Q290" s="744" t="s">
        <v>294</v>
      </c>
      <c r="R290" s="202" t="s">
        <v>40</v>
      </c>
      <c r="S290" s="31" t="s">
        <v>273</v>
      </c>
      <c r="T290" s="31" t="s">
        <v>273</v>
      </c>
      <c r="U290" s="31">
        <f>IFERROR(VLOOKUP(CONCATENATE(Tabla1[[#This Row],[Severidad]]," ",Tabla1[[#This Row],[Complejidad]]),Catalogos!E$120:G$128,3,FALSE),"")</f>
        <v>64</v>
      </c>
      <c r="V290" s="31" t="str">
        <f>IF(Tabla1[[#This Row],[Tiempo solución max (hrs)]]&lt;&gt;"",IF(Tabla1[[#This Row],[Tiempo solución max (hrs)]]&gt;=Tabla1[[#This Row],[Tiempo
(Hrs 00/100)]],"cumple","no cumple"),"")</f>
        <v>cumple</v>
      </c>
      <c r="W290" s="376" t="s">
        <v>495</v>
      </c>
      <c r="X290" s="377" t="str">
        <f t="shared" si="57"/>
        <v>SAI</v>
      </c>
      <c r="Y290" t="str">
        <f>SUBSTITUTE(Tabla1[[#This Row],[Descripción]],CHAR(10),"    I    ")</f>
        <v>Se da soporte y mantenimiento de las incidencias reportadas por el área usuaria.</v>
      </c>
      <c r="Z290" s="378">
        <f>VLOOKUP(Tabla1[[#This Row],[Perfil]],Catalogos!$B$75:$D$100,3,FALSE)*Tabla1[[#This Row],[Tiempo
(Hrs 00/100)]]*1.16</f>
        <v>6496</v>
      </c>
    </row>
    <row r="291" spans="1:26" ht="42.75" customHeight="1" x14ac:dyDescent="0.3">
      <c r="A291" s="370" t="s">
        <v>22</v>
      </c>
      <c r="B291" s="370" t="s">
        <v>62</v>
      </c>
      <c r="C291" s="205" t="s">
        <v>49</v>
      </c>
      <c r="D291" s="382"/>
      <c r="E291" s="370" t="s">
        <v>404</v>
      </c>
      <c r="F291" s="370" t="s">
        <v>23</v>
      </c>
      <c r="G291" s="370"/>
      <c r="H291" s="371" t="s">
        <v>405</v>
      </c>
      <c r="I291" s="371" t="s">
        <v>621</v>
      </c>
      <c r="J291" s="369">
        <v>44984</v>
      </c>
      <c r="K291" s="747">
        <v>0.375</v>
      </c>
      <c r="L291" s="369">
        <v>44984</v>
      </c>
      <c r="M291" s="753">
        <v>0.79166666666666663</v>
      </c>
      <c r="N291" s="373">
        <v>9</v>
      </c>
      <c r="O291" s="374" t="s">
        <v>406</v>
      </c>
      <c r="P291" s="375" t="s">
        <v>613</v>
      </c>
      <c r="Q291" s="744" t="s">
        <v>294</v>
      </c>
      <c r="R291" s="202" t="s">
        <v>40</v>
      </c>
      <c r="S291" s="31" t="s">
        <v>273</v>
      </c>
      <c r="T291" s="31" t="s">
        <v>273</v>
      </c>
      <c r="U291" s="31">
        <f>IFERROR(VLOOKUP(CONCATENATE(Tabla1[[#This Row],[Severidad]]," ",Tabla1[[#This Row],[Complejidad]]),Catalogos!E$120:G$128,3,FALSE),"")</f>
        <v>64</v>
      </c>
      <c r="V291" s="31" t="str">
        <f>IF(Tabla1[[#This Row],[Tiempo solución max (hrs)]]&lt;&gt;"",IF(Tabla1[[#This Row],[Tiempo solución max (hrs)]]&gt;=Tabla1[[#This Row],[Tiempo
(Hrs 00/100)]],"cumple","no cumple"),"")</f>
        <v>cumple</v>
      </c>
      <c r="W291" s="376" t="s">
        <v>495</v>
      </c>
      <c r="X291" s="377" t="str">
        <f t="shared" si="57"/>
        <v>SAI</v>
      </c>
      <c r="Y291" t="str">
        <f>SUBSTITUTE(Tabla1[[#This Row],[Descripción]],CHAR(10),"    I    ")</f>
        <v>Se da soporte y mantenimiento de las incidencias reportadas por el área usuaria en la capacitación.</v>
      </c>
      <c r="Z291" s="378">
        <f>VLOOKUP(Tabla1[[#This Row],[Perfil]],Catalogos!$B$75:$D$100,3,FALSE)*Tabla1[[#This Row],[Tiempo
(Hrs 00/100)]]*1.16</f>
        <v>7307.9999999999991</v>
      </c>
    </row>
    <row r="292" spans="1:26" ht="42.75" customHeight="1" x14ac:dyDescent="0.3">
      <c r="A292" s="370" t="s">
        <v>22</v>
      </c>
      <c r="B292" s="370" t="s">
        <v>62</v>
      </c>
      <c r="C292" s="205" t="s">
        <v>49</v>
      </c>
      <c r="D292" s="382"/>
      <c r="E292" s="370" t="s">
        <v>404</v>
      </c>
      <c r="F292" s="370" t="s">
        <v>23</v>
      </c>
      <c r="G292" s="370"/>
      <c r="H292" s="371" t="s">
        <v>405</v>
      </c>
      <c r="I292" s="371" t="s">
        <v>621</v>
      </c>
      <c r="J292" s="369">
        <v>44985</v>
      </c>
      <c r="K292" s="747">
        <v>0.375</v>
      </c>
      <c r="L292" s="369">
        <v>44985</v>
      </c>
      <c r="M292" s="753">
        <v>0.79166666666666663</v>
      </c>
      <c r="N292" s="373">
        <v>9</v>
      </c>
      <c r="O292" s="374" t="s">
        <v>17</v>
      </c>
      <c r="P292" s="375" t="s">
        <v>613</v>
      </c>
      <c r="Q292" s="744" t="s">
        <v>294</v>
      </c>
      <c r="R292" s="202" t="s">
        <v>40</v>
      </c>
      <c r="S292" s="31" t="s">
        <v>273</v>
      </c>
      <c r="T292" s="31" t="s">
        <v>273</v>
      </c>
      <c r="U292" s="31">
        <f>IFERROR(VLOOKUP(CONCATENATE(Tabla1[[#This Row],[Severidad]]," ",Tabla1[[#This Row],[Complejidad]]),Catalogos!E$120:G$128,3,FALSE),"")</f>
        <v>64</v>
      </c>
      <c r="V292" s="31" t="str">
        <f>IF(Tabla1[[#This Row],[Tiempo solución max (hrs)]]&lt;&gt;"",IF(Tabla1[[#This Row],[Tiempo solución max (hrs)]]&gt;=Tabla1[[#This Row],[Tiempo
(Hrs 00/100)]],"cumple","no cumple"),"")</f>
        <v>cumple</v>
      </c>
      <c r="W292" s="376" t="s">
        <v>495</v>
      </c>
      <c r="X292" s="377" t="str">
        <f t="shared" si="52"/>
        <v>SAI</v>
      </c>
      <c r="Y292" t="str">
        <f>SUBSTITUTE(Tabla1[[#This Row],[Descripción]],CHAR(10),"    I    ")</f>
        <v>Se da soporte y mantenimiento de las incidencias reportadas por el área usuaria en la capacitación.</v>
      </c>
      <c r="Z292" s="378">
        <f>VLOOKUP(Tabla1[[#This Row],[Perfil]],Catalogos!$B$75:$D$100,3,FALSE)*Tabla1[[#This Row],[Tiempo
(Hrs 00/100)]]*1.16</f>
        <v>7307.9999999999991</v>
      </c>
    </row>
    <row r="293" spans="1:26" ht="42.75" customHeight="1" x14ac:dyDescent="0.3">
      <c r="A293" s="370" t="s">
        <v>22</v>
      </c>
      <c r="B293" s="370" t="s">
        <v>23</v>
      </c>
      <c r="C293" s="205" t="s">
        <v>49</v>
      </c>
      <c r="D293" s="370"/>
      <c r="E293" s="370" t="s">
        <v>404</v>
      </c>
      <c r="F293" s="370" t="s">
        <v>23</v>
      </c>
      <c r="G293" s="370"/>
      <c r="H293" s="371" t="s">
        <v>634</v>
      </c>
      <c r="I293" s="371" t="s">
        <v>635</v>
      </c>
      <c r="J293" s="369">
        <v>44986</v>
      </c>
      <c r="K293" s="747">
        <v>0.375</v>
      </c>
      <c r="L293" s="369">
        <v>44986</v>
      </c>
      <c r="M293" s="753">
        <v>0.79166666666666663</v>
      </c>
      <c r="N293" s="373">
        <v>8</v>
      </c>
      <c r="O293" s="374" t="s">
        <v>17</v>
      </c>
      <c r="P293" s="375" t="s">
        <v>613</v>
      </c>
      <c r="Q293" s="744" t="s">
        <v>294</v>
      </c>
      <c r="R293" s="202" t="s">
        <v>40</v>
      </c>
      <c r="S293" s="31" t="s">
        <v>273</v>
      </c>
      <c r="T293" s="31" t="s">
        <v>273</v>
      </c>
      <c r="U293" s="31">
        <f>IFERROR(VLOOKUP(CONCATENATE(Tabla1[[#This Row],[Severidad]]," ",Tabla1[[#This Row],[Complejidad]]),Catalogos!E$120:G$128,3,FALSE),"")</f>
        <v>64</v>
      </c>
      <c r="V293" s="31" t="str">
        <f>IF(Tabla1[[#This Row],[Tiempo solución max (hrs)]]&lt;&gt;"",IF(Tabla1[[#This Row],[Tiempo solución max (hrs)]]&gt;=Tabla1[[#This Row],[Tiempo
(Hrs 00/100)]],"cumple","no cumple"),"")</f>
        <v>cumple</v>
      </c>
      <c r="W293" s="376" t="s">
        <v>681</v>
      </c>
      <c r="X293" s="377" t="str">
        <f t="shared" si="52"/>
        <v>SAI</v>
      </c>
      <c r="Y293" t="str">
        <f>SUBSTITUTE(Tabla1[[#This Row],[Descripción]],CHAR(10),"    I    ")</f>
        <v>Se trabajan en las incidencias de pizarras. Consulta de actividades ABC, ordenamiento de tabla de actividades, incidencia de consulta de actividades</v>
      </c>
      <c r="Z293" s="378">
        <f>VLOOKUP(Tabla1[[#This Row],[Perfil]],Catalogos!$B$75:$D$100,3,FALSE)*Tabla1[[#This Row],[Tiempo
(Hrs 00/100)]]*1.16</f>
        <v>6496</v>
      </c>
    </row>
    <row r="294" spans="1:26" ht="42.75" customHeight="1" x14ac:dyDescent="0.3">
      <c r="A294" s="370" t="s">
        <v>22</v>
      </c>
      <c r="B294" s="370" t="s">
        <v>23</v>
      </c>
      <c r="C294" s="205" t="s">
        <v>49</v>
      </c>
      <c r="D294" s="370"/>
      <c r="E294" s="370" t="s">
        <v>404</v>
      </c>
      <c r="F294" s="370" t="s">
        <v>23</v>
      </c>
      <c r="G294" s="370"/>
      <c r="H294" s="371" t="s">
        <v>636</v>
      </c>
      <c r="I294" s="371" t="s">
        <v>637</v>
      </c>
      <c r="J294" s="369">
        <v>44987</v>
      </c>
      <c r="K294" s="747">
        <v>0.375</v>
      </c>
      <c r="L294" s="369">
        <v>44987</v>
      </c>
      <c r="M294" s="753">
        <v>0.79166666666666663</v>
      </c>
      <c r="N294" s="373">
        <v>8</v>
      </c>
      <c r="O294" s="374" t="s">
        <v>17</v>
      </c>
      <c r="P294" s="375" t="s">
        <v>613</v>
      </c>
      <c r="Q294" s="744" t="s">
        <v>294</v>
      </c>
      <c r="R294" s="202" t="s">
        <v>40</v>
      </c>
      <c r="S294" s="31" t="s">
        <v>273</v>
      </c>
      <c r="T294" s="31" t="s">
        <v>273</v>
      </c>
      <c r="U294" s="31">
        <f>IFERROR(VLOOKUP(CONCATENATE(Tabla1[[#This Row],[Severidad]]," ",Tabla1[[#This Row],[Complejidad]]),Catalogos!E$120:G$128,3,FALSE),"")</f>
        <v>64</v>
      </c>
      <c r="V294" s="31" t="str">
        <f>IF(Tabla1[[#This Row],[Tiempo solución max (hrs)]]&lt;&gt;"",IF(Tabla1[[#This Row],[Tiempo solución max (hrs)]]&gt;=Tabla1[[#This Row],[Tiempo
(Hrs 00/100)]],"cumple","no cumple"),"")</f>
        <v>cumple</v>
      </c>
      <c r="W294" s="376" t="s">
        <v>681</v>
      </c>
      <c r="X294" s="377" t="str">
        <f t="shared" si="52"/>
        <v>SAI</v>
      </c>
      <c r="Y294" t="str">
        <f>SUBSTITUTE(Tabla1[[#This Row],[Descripción]],CHAR(10),"    I    ")</f>
        <v xml:space="preserve">Se trabajan en las incidencias reportadas por el usuario y se vuelve a generar versión de pruebas </v>
      </c>
      <c r="Z294" s="378">
        <f>VLOOKUP(Tabla1[[#This Row],[Perfil]],Catalogos!$B$75:$D$100,3,FALSE)*Tabla1[[#This Row],[Tiempo
(Hrs 00/100)]]*1.16</f>
        <v>6496</v>
      </c>
    </row>
    <row r="295" spans="1:26" ht="42.75" customHeight="1" x14ac:dyDescent="0.3">
      <c r="A295" s="370" t="s">
        <v>22</v>
      </c>
      <c r="B295" s="370" t="s">
        <v>23</v>
      </c>
      <c r="C295" s="205" t="s">
        <v>49</v>
      </c>
      <c r="D295" s="370"/>
      <c r="E295" s="370" t="s">
        <v>404</v>
      </c>
      <c r="F295" s="370" t="s">
        <v>23</v>
      </c>
      <c r="G295" s="370"/>
      <c r="H295" s="371" t="s">
        <v>638</v>
      </c>
      <c r="I295" s="371" t="s">
        <v>639</v>
      </c>
      <c r="J295" s="369">
        <v>44988</v>
      </c>
      <c r="K295" s="747">
        <v>0.375</v>
      </c>
      <c r="L295" s="369">
        <v>44988</v>
      </c>
      <c r="M295" s="753">
        <v>0.79166666666666663</v>
      </c>
      <c r="N295" s="373">
        <v>8</v>
      </c>
      <c r="O295" s="374" t="s">
        <v>17</v>
      </c>
      <c r="P295" s="375" t="s">
        <v>613</v>
      </c>
      <c r="Q295" s="744" t="s">
        <v>294</v>
      </c>
      <c r="R295" s="202" t="s">
        <v>40</v>
      </c>
      <c r="S295" s="31" t="s">
        <v>273</v>
      </c>
      <c r="T295" s="31" t="s">
        <v>273</v>
      </c>
      <c r="U295" s="31">
        <f>IFERROR(VLOOKUP(CONCATENATE(Tabla1[[#This Row],[Severidad]]," ",Tabla1[[#This Row],[Complejidad]]),Catalogos!E$120:G$128,3,FALSE),"")</f>
        <v>64</v>
      </c>
      <c r="V295" s="31" t="str">
        <f>IF(Tabla1[[#This Row],[Tiempo solución max (hrs)]]&lt;&gt;"",IF(Tabla1[[#This Row],[Tiempo solución max (hrs)]]&gt;=Tabla1[[#This Row],[Tiempo
(Hrs 00/100)]],"cumple","no cumple"),"")</f>
        <v>cumple</v>
      </c>
      <c r="W295" s="376" t="s">
        <v>681</v>
      </c>
      <c r="X295" s="377" t="str">
        <f t="shared" si="52"/>
        <v>SAI</v>
      </c>
      <c r="Y295" t="str">
        <f>SUBSTITUTE(Tabla1[[#This Row],[Descripción]],CHAR(10),"    I    ")</f>
        <v>Se detecta la inicidencia de que se permite la creación de usuarios con el mismo correo y se detectan varios casos en la base</v>
      </c>
      <c r="Z295" s="378">
        <f>VLOOKUP(Tabla1[[#This Row],[Perfil]],Catalogos!$B$75:$D$100,3,FALSE)*Tabla1[[#This Row],[Tiempo
(Hrs 00/100)]]*1.16</f>
        <v>6496</v>
      </c>
    </row>
    <row r="296" spans="1:26" ht="42.75" customHeight="1" x14ac:dyDescent="0.3">
      <c r="A296" s="370" t="s">
        <v>22</v>
      </c>
      <c r="B296" s="370" t="s">
        <v>23</v>
      </c>
      <c r="C296" s="205" t="s">
        <v>49</v>
      </c>
      <c r="D296" s="382"/>
      <c r="E296" s="370" t="s">
        <v>404</v>
      </c>
      <c r="F296" s="370" t="s">
        <v>23</v>
      </c>
      <c r="G296" s="370"/>
      <c r="H296" s="371" t="s">
        <v>638</v>
      </c>
      <c r="I296" s="371" t="s">
        <v>640</v>
      </c>
      <c r="J296" s="369">
        <v>44991</v>
      </c>
      <c r="K296" s="747">
        <v>0.375</v>
      </c>
      <c r="L296" s="369">
        <v>44991</v>
      </c>
      <c r="M296" s="753">
        <v>0.79166666666666663</v>
      </c>
      <c r="N296" s="373">
        <v>8</v>
      </c>
      <c r="O296" s="374" t="s">
        <v>17</v>
      </c>
      <c r="P296" s="375" t="s">
        <v>613</v>
      </c>
      <c r="Q296" s="744" t="s">
        <v>294</v>
      </c>
      <c r="R296" s="202" t="s">
        <v>40</v>
      </c>
      <c r="S296" s="31" t="s">
        <v>273</v>
      </c>
      <c r="T296" s="31" t="s">
        <v>273</v>
      </c>
      <c r="U296" s="31">
        <f>IFERROR(VLOOKUP(CONCATENATE(Tabla1[[#This Row],[Severidad]]," ",Tabla1[[#This Row],[Complejidad]]),Catalogos!E$120:G$128,3,FALSE),"")</f>
        <v>64</v>
      </c>
      <c r="V296" s="31" t="str">
        <f>IF(Tabla1[[#This Row],[Tiempo solución max (hrs)]]&lt;&gt;"",IF(Tabla1[[#This Row],[Tiempo solución max (hrs)]]&gt;=Tabla1[[#This Row],[Tiempo
(Hrs 00/100)]],"cumple","no cumple"),"")</f>
        <v>cumple</v>
      </c>
      <c r="W296" s="376" t="s">
        <v>681</v>
      </c>
      <c r="X296" s="377" t="str">
        <f t="shared" si="52"/>
        <v>SAI</v>
      </c>
      <c r="Y296" t="str">
        <f>SUBSTITUTE(Tabla1[[#This Row],[Descripción]],CHAR(10),"    I    ")</f>
        <v>Se realiza la corrección y las restricciones en el back para la creación de usuarios</v>
      </c>
      <c r="Z296" s="378">
        <f>VLOOKUP(Tabla1[[#This Row],[Perfil]],Catalogos!$B$75:$D$100,3,FALSE)*Tabla1[[#This Row],[Tiempo
(Hrs 00/100)]]*1.16</f>
        <v>6496</v>
      </c>
    </row>
    <row r="297" spans="1:26" ht="42.75" customHeight="1" x14ac:dyDescent="0.3">
      <c r="A297" s="370" t="s">
        <v>22</v>
      </c>
      <c r="B297" s="370" t="s">
        <v>23</v>
      </c>
      <c r="C297" s="205" t="s">
        <v>49</v>
      </c>
      <c r="D297" s="382"/>
      <c r="E297" s="370" t="s">
        <v>404</v>
      </c>
      <c r="F297" s="370" t="s">
        <v>23</v>
      </c>
      <c r="G297" s="370"/>
      <c r="H297" s="371" t="s">
        <v>638</v>
      </c>
      <c r="I297" s="371" t="s">
        <v>640</v>
      </c>
      <c r="J297" s="369">
        <v>44992</v>
      </c>
      <c r="K297" s="747">
        <v>0.375</v>
      </c>
      <c r="L297" s="369">
        <v>44992</v>
      </c>
      <c r="M297" s="753">
        <v>0.79166666666666663</v>
      </c>
      <c r="N297" s="210">
        <v>8</v>
      </c>
      <c r="O297" s="374" t="s">
        <v>17</v>
      </c>
      <c r="P297" s="375" t="s">
        <v>613</v>
      </c>
      <c r="Q297" s="744" t="s">
        <v>294</v>
      </c>
      <c r="R297" s="202" t="s">
        <v>40</v>
      </c>
      <c r="S297" s="31" t="s">
        <v>273</v>
      </c>
      <c r="T297" s="31" t="s">
        <v>273</v>
      </c>
      <c r="U297" s="31">
        <f>IFERROR(VLOOKUP(CONCATENATE(Tabla1[[#This Row],[Severidad]]," ",Tabla1[[#This Row],[Complejidad]]),Catalogos!E$120:G$128,3,FALSE),"")</f>
        <v>64</v>
      </c>
      <c r="V297" s="31" t="str">
        <f>IF(Tabla1[[#This Row],[Tiempo solución max (hrs)]]&lt;&gt;"",IF(Tabla1[[#This Row],[Tiempo solución max (hrs)]]&gt;=Tabla1[[#This Row],[Tiempo
(Hrs 00/100)]],"cumple","no cumple"),"")</f>
        <v>cumple</v>
      </c>
      <c r="W297" s="376" t="s">
        <v>681</v>
      </c>
      <c r="X297" s="377" t="str">
        <f t="shared" si="52"/>
        <v>SAI</v>
      </c>
      <c r="Y297" t="str">
        <f>SUBSTITUTE(Tabla1[[#This Row],[Descripción]],CHAR(10),"    I    ")</f>
        <v>Se realiza la corrección y las restricciones en el back para la creación de usuarios</v>
      </c>
      <c r="Z297" s="378">
        <f>VLOOKUP(Tabla1[[#This Row],[Perfil]],Catalogos!$B$75:$D$100,3,FALSE)*Tabla1[[#This Row],[Tiempo
(Hrs 00/100)]]*1.16</f>
        <v>6496</v>
      </c>
    </row>
    <row r="298" spans="1:26" ht="42.75" customHeight="1" x14ac:dyDescent="0.3">
      <c r="A298" s="370" t="s">
        <v>22</v>
      </c>
      <c r="B298" s="370" t="s">
        <v>23</v>
      </c>
      <c r="C298" s="205" t="s">
        <v>45</v>
      </c>
      <c r="D298" s="370"/>
      <c r="E298" s="370" t="s">
        <v>641</v>
      </c>
      <c r="F298" s="370" t="s">
        <v>72</v>
      </c>
      <c r="G298" s="370"/>
      <c r="H298" s="371" t="s">
        <v>642</v>
      </c>
      <c r="I298" s="371" t="s">
        <v>643</v>
      </c>
      <c r="J298" s="369">
        <v>44993</v>
      </c>
      <c r="K298" s="709">
        <v>0.375</v>
      </c>
      <c r="L298" s="369">
        <v>44993</v>
      </c>
      <c r="M298" s="739">
        <v>0.79166666666666663</v>
      </c>
      <c r="N298" s="373">
        <v>8</v>
      </c>
      <c r="O298" s="374" t="s">
        <v>411</v>
      </c>
      <c r="P298" s="375" t="s">
        <v>647</v>
      </c>
      <c r="Q298" s="744" t="s">
        <v>294</v>
      </c>
      <c r="R298" s="202" t="s">
        <v>40</v>
      </c>
      <c r="S298" s="31" t="s">
        <v>273</v>
      </c>
      <c r="T298" s="31" t="s">
        <v>273</v>
      </c>
      <c r="U298" s="31">
        <f>IFERROR(VLOOKUP(CONCATENATE(Tabla1[[#This Row],[Severidad]]," ",Tabla1[[#This Row],[Complejidad]]),Catalogos!E$120:G$128,3,FALSE),"")</f>
        <v>64</v>
      </c>
      <c r="V298" s="31" t="str">
        <f>IF(Tabla1[[#This Row],[Tiempo solución max (hrs)]]&lt;&gt;"",IF(Tabla1[[#This Row],[Tiempo solución max (hrs)]]&gt;=Tabla1[[#This Row],[Tiempo
(Hrs 00/100)]],"cumple","no cumple"),"")</f>
        <v>cumple</v>
      </c>
      <c r="W298" s="376" t="s">
        <v>681</v>
      </c>
      <c r="X298" s="377" t="str">
        <f t="shared" si="52"/>
        <v>SPD</v>
      </c>
      <c r="Y298" t="str">
        <f>SUBSTITUTE(Tabla1[[#This Row],[Descripción]],CHAR(10),"    I    ")</f>
        <v>Se estudia la documentación proporcionada para la reingeniería del proceoso de quejas</v>
      </c>
      <c r="Z298" s="378">
        <f>VLOOKUP(Tabla1[[#This Row],[Perfil]],Catalogos!$B$75:$D$100,3,FALSE)*Tabla1[[#This Row],[Tiempo
(Hrs 00/100)]]*1.16</f>
        <v>6496</v>
      </c>
    </row>
    <row r="299" spans="1:26" ht="42.75" customHeight="1" x14ac:dyDescent="0.3">
      <c r="A299" s="370" t="s">
        <v>22</v>
      </c>
      <c r="B299" s="370" t="s">
        <v>23</v>
      </c>
      <c r="C299" s="205" t="s">
        <v>45</v>
      </c>
      <c r="D299" s="370"/>
      <c r="E299" s="370" t="s">
        <v>641</v>
      </c>
      <c r="F299" s="370" t="s">
        <v>72</v>
      </c>
      <c r="G299" s="370"/>
      <c r="H299" s="371" t="s">
        <v>644</v>
      </c>
      <c r="I299" s="371" t="s">
        <v>645</v>
      </c>
      <c r="J299" s="369">
        <v>44994</v>
      </c>
      <c r="K299" s="709">
        <v>0.375</v>
      </c>
      <c r="L299" s="369">
        <v>44994</v>
      </c>
      <c r="M299" s="739">
        <v>0.79166666666666663</v>
      </c>
      <c r="N299" s="373">
        <v>8</v>
      </c>
      <c r="O299" s="374" t="s">
        <v>411</v>
      </c>
      <c r="P299" s="375" t="s">
        <v>647</v>
      </c>
      <c r="Q299" s="744" t="s">
        <v>294</v>
      </c>
      <c r="R299" s="202" t="s">
        <v>40</v>
      </c>
      <c r="S299" s="31" t="s">
        <v>273</v>
      </c>
      <c r="T299" s="31" t="s">
        <v>273</v>
      </c>
      <c r="U299" s="31">
        <f>IFERROR(VLOOKUP(CONCATENATE(Tabla1[[#This Row],[Severidad]]," ",Tabla1[[#This Row],[Complejidad]]),Catalogos!E$120:G$128,3,FALSE),"")</f>
        <v>64</v>
      </c>
      <c r="V299" s="31" t="str">
        <f>IF(Tabla1[[#This Row],[Tiempo solución max (hrs)]]&lt;&gt;"",IF(Tabla1[[#This Row],[Tiempo solución max (hrs)]]&gt;=Tabla1[[#This Row],[Tiempo
(Hrs 00/100)]],"cumple","no cumple"),"")</f>
        <v>cumple</v>
      </c>
      <c r="W299" s="376" t="s">
        <v>681</v>
      </c>
      <c r="X299" s="377" t="str">
        <f t="shared" si="52"/>
        <v>SPD</v>
      </c>
      <c r="Y299" t="str">
        <f>SUBSTITUTE(Tabla1[[#This Row],[Descripción]],CHAR(10),"    I    ")</f>
        <v>Se hace el estudio del store procedure que forma parte del guardado de quejas actual</v>
      </c>
      <c r="Z299" s="378">
        <f>VLOOKUP(Tabla1[[#This Row],[Perfil]],Catalogos!$B$75:$D$100,3,FALSE)*Tabla1[[#This Row],[Tiempo
(Hrs 00/100)]]*1.16</f>
        <v>6496</v>
      </c>
    </row>
    <row r="300" spans="1:26" ht="42.75" customHeight="1" x14ac:dyDescent="0.3">
      <c r="A300" s="243" t="s">
        <v>22</v>
      </c>
      <c r="B300" s="243" t="s">
        <v>23</v>
      </c>
      <c r="C300" s="243" t="s">
        <v>45</v>
      </c>
      <c r="D300" s="243"/>
      <c r="E300" s="243" t="s">
        <v>641</v>
      </c>
      <c r="F300" s="243" t="s">
        <v>23</v>
      </c>
      <c r="G300" s="243"/>
      <c r="H300" s="243" t="s">
        <v>646</v>
      </c>
      <c r="I300" s="243" t="s">
        <v>5389</v>
      </c>
      <c r="J300" s="369">
        <v>44995</v>
      </c>
      <c r="K300" s="747">
        <v>0.375</v>
      </c>
      <c r="L300" s="369">
        <v>44995</v>
      </c>
      <c r="M300" s="753">
        <v>0.79166666666666663</v>
      </c>
      <c r="N300" s="373">
        <v>8</v>
      </c>
      <c r="O300" s="374" t="s">
        <v>17</v>
      </c>
      <c r="P300" s="375" t="s">
        <v>647</v>
      </c>
      <c r="Q300" s="744" t="s">
        <v>294</v>
      </c>
      <c r="R300" s="202" t="s">
        <v>40</v>
      </c>
      <c r="S300" s="31" t="s">
        <v>273</v>
      </c>
      <c r="T300" s="31" t="s">
        <v>273</v>
      </c>
      <c r="U300" s="31">
        <f>IFERROR(VLOOKUP(CONCATENATE(Tabla1[[#This Row],[Severidad]]," ",Tabla1[[#This Row],[Complejidad]]),Catalogos!E$120:G$128,3,FALSE),"")</f>
        <v>64</v>
      </c>
      <c r="V300" s="31" t="str">
        <f>IF(Tabla1[[#This Row],[Tiempo solución max (hrs)]]&lt;&gt;"",IF(Tabla1[[#This Row],[Tiempo solución max (hrs)]]&gt;=Tabla1[[#This Row],[Tiempo
(Hrs 00/100)]],"cumple","no cumple"),"")</f>
        <v>cumple</v>
      </c>
      <c r="W300" s="376" t="s">
        <v>681</v>
      </c>
      <c r="X300" s="377" t="str">
        <f t="shared" si="52"/>
        <v>SPD</v>
      </c>
      <c r="Y300" t="str">
        <f>SUBSTITUTE(Tabla1[[#This Row],[Descripción]],CHAR(10),"    I    ")</f>
        <v>Se descarga el proecto nuevo de quejas y se realizan las conexiones y puebas necesarias para empezar el desarrllo del sistema. Se idetifican los servicios y las tablas necesarias dentro del servicio de guardado de queja</v>
      </c>
      <c r="Z300" s="378">
        <f>VLOOKUP(Tabla1[[#This Row],[Perfil]],Catalogos!$B$75:$D$100,3,FALSE)*Tabla1[[#This Row],[Tiempo
(Hrs 00/100)]]*1.16</f>
        <v>6496</v>
      </c>
    </row>
    <row r="301" spans="1:26" ht="42.75" customHeight="1" x14ac:dyDescent="0.3">
      <c r="A301" s="243" t="s">
        <v>22</v>
      </c>
      <c r="B301" s="243" t="s">
        <v>23</v>
      </c>
      <c r="C301" s="243" t="s">
        <v>45</v>
      </c>
      <c r="D301" s="243"/>
      <c r="E301" s="243" t="s">
        <v>641</v>
      </c>
      <c r="F301" s="243" t="s">
        <v>23</v>
      </c>
      <c r="G301" s="243"/>
      <c r="H301" s="243" t="s">
        <v>648</v>
      </c>
      <c r="I301" s="243" t="s">
        <v>649</v>
      </c>
      <c r="J301" s="369">
        <v>44998</v>
      </c>
      <c r="K301" s="747">
        <v>0.375</v>
      </c>
      <c r="L301" s="369">
        <v>44998</v>
      </c>
      <c r="M301" s="753">
        <v>0.79166666666666663</v>
      </c>
      <c r="N301" s="210">
        <v>8</v>
      </c>
      <c r="O301" s="374" t="s">
        <v>17</v>
      </c>
      <c r="P301" s="375" t="s">
        <v>647</v>
      </c>
      <c r="Q301" s="744" t="s">
        <v>294</v>
      </c>
      <c r="R301" s="202" t="s">
        <v>40</v>
      </c>
      <c r="S301" s="31" t="s">
        <v>273</v>
      </c>
      <c r="T301" s="31" t="s">
        <v>273</v>
      </c>
      <c r="U301" s="31">
        <f>IFERROR(VLOOKUP(CONCATENATE(Tabla1[[#This Row],[Severidad]]," ",Tabla1[[#This Row],[Complejidad]]),Catalogos!E$120:G$128,3,FALSE),"")</f>
        <v>64</v>
      </c>
      <c r="V301" s="31" t="str">
        <f>IF(Tabla1[[#This Row],[Tiempo solución max (hrs)]]&lt;&gt;"",IF(Tabla1[[#This Row],[Tiempo solución max (hrs)]]&gt;=Tabla1[[#This Row],[Tiempo
(Hrs 00/100)]],"cumple","no cumple"),"")</f>
        <v>cumple</v>
      </c>
      <c r="W301" s="376" t="s">
        <v>681</v>
      </c>
      <c r="X301" s="377" t="str">
        <f t="shared" si="52"/>
        <v>SPD</v>
      </c>
      <c r="Y301" t="str">
        <f>SUBSTITUTE(Tabla1[[#This Row],[Descripción]],CHAR(10),"    I    ")</f>
        <v>Se inicia el mapeo de las clases para iniciar a implmentar el servicio</v>
      </c>
      <c r="Z301" s="378">
        <f>VLOOKUP(Tabla1[[#This Row],[Perfil]],Catalogos!$B$75:$D$100,3,FALSE)*Tabla1[[#This Row],[Tiempo
(Hrs 00/100)]]*1.16</f>
        <v>6496</v>
      </c>
    </row>
    <row r="302" spans="1:26" ht="42.75" customHeight="1" x14ac:dyDescent="0.3">
      <c r="A302" s="243" t="s">
        <v>22</v>
      </c>
      <c r="B302" s="243" t="s">
        <v>23</v>
      </c>
      <c r="C302" s="243" t="s">
        <v>45</v>
      </c>
      <c r="D302" s="243"/>
      <c r="E302" s="243" t="s">
        <v>641</v>
      </c>
      <c r="F302" s="243" t="s">
        <v>23</v>
      </c>
      <c r="G302" s="243"/>
      <c r="H302" s="243" t="s">
        <v>650</v>
      </c>
      <c r="I302" s="243" t="s">
        <v>651</v>
      </c>
      <c r="J302" s="369">
        <v>44999</v>
      </c>
      <c r="K302" s="747">
        <v>0.375</v>
      </c>
      <c r="L302" s="369">
        <v>44999</v>
      </c>
      <c r="M302" s="753">
        <v>0.79166666666666663</v>
      </c>
      <c r="N302" s="210">
        <v>8</v>
      </c>
      <c r="O302" s="374" t="s">
        <v>17</v>
      </c>
      <c r="P302" s="375" t="s">
        <v>630</v>
      </c>
      <c r="Q302" s="744" t="s">
        <v>294</v>
      </c>
      <c r="R302" s="202" t="s">
        <v>40</v>
      </c>
      <c r="S302" s="31" t="s">
        <v>273</v>
      </c>
      <c r="T302" s="31" t="s">
        <v>273</v>
      </c>
      <c r="U302" s="31">
        <f>IFERROR(VLOOKUP(CONCATENATE(Tabla1[[#This Row],[Severidad]]," ",Tabla1[[#This Row],[Complejidad]]),Catalogos!E$120:G$128,3,FALSE),"")</f>
        <v>64</v>
      </c>
      <c r="V302" s="31" t="str">
        <f>IF(Tabla1[[#This Row],[Tiempo solución max (hrs)]]&lt;&gt;"",IF(Tabla1[[#This Row],[Tiempo solución max (hrs)]]&gt;=Tabla1[[#This Row],[Tiempo
(Hrs 00/100)]],"cumple","no cumple"),"")</f>
        <v>cumple</v>
      </c>
      <c r="W302" s="376" t="s">
        <v>681</v>
      </c>
      <c r="X302" s="377" t="str">
        <f t="shared" si="52"/>
        <v>SPD</v>
      </c>
      <c r="Y302" t="str">
        <f>SUBSTITUTE(Tabla1[[#This Row],[Descripción]],CHAR(10),"    I    ")</f>
        <v>Se realiza el mapeo de catalogos para ws guardado de queja</v>
      </c>
      <c r="Z302" s="378">
        <f>VLOOKUP(Tabla1[[#This Row],[Perfil]],Catalogos!$B$75:$D$100,3,FALSE)*Tabla1[[#This Row],[Tiempo
(Hrs 00/100)]]*1.16</f>
        <v>6496</v>
      </c>
    </row>
    <row r="303" spans="1:26" ht="42.75" customHeight="1" x14ac:dyDescent="0.3">
      <c r="A303" s="243" t="s">
        <v>22</v>
      </c>
      <c r="B303" s="243" t="s">
        <v>23</v>
      </c>
      <c r="C303" s="243" t="s">
        <v>45</v>
      </c>
      <c r="D303" s="243"/>
      <c r="E303" s="243" t="s">
        <v>641</v>
      </c>
      <c r="F303" s="243" t="s">
        <v>23</v>
      </c>
      <c r="G303" s="243"/>
      <c r="H303" s="243" t="s">
        <v>652</v>
      </c>
      <c r="I303" s="243" t="s">
        <v>653</v>
      </c>
      <c r="J303" s="369">
        <v>45000</v>
      </c>
      <c r="K303" s="747">
        <v>0.375</v>
      </c>
      <c r="L303" s="369">
        <v>45000</v>
      </c>
      <c r="M303" s="753">
        <v>0.79166666666666663</v>
      </c>
      <c r="N303" s="210">
        <v>8</v>
      </c>
      <c r="O303" s="374" t="s">
        <v>17</v>
      </c>
      <c r="P303" s="375" t="s">
        <v>630</v>
      </c>
      <c r="Q303" s="744" t="s">
        <v>294</v>
      </c>
      <c r="R303" s="202" t="s">
        <v>40</v>
      </c>
      <c r="S303" s="31" t="s">
        <v>273</v>
      </c>
      <c r="T303" s="31" t="s">
        <v>273</v>
      </c>
      <c r="U303" s="31">
        <f>IFERROR(VLOOKUP(CONCATENATE(Tabla1[[#This Row],[Severidad]]," ",Tabla1[[#This Row],[Complejidad]]),Catalogos!E$120:G$128,3,FALSE),"")</f>
        <v>64</v>
      </c>
      <c r="V303" s="31" t="str">
        <f>IF(Tabla1[[#This Row],[Tiempo solución max (hrs)]]&lt;&gt;"",IF(Tabla1[[#This Row],[Tiempo solución max (hrs)]]&gt;=Tabla1[[#This Row],[Tiempo
(Hrs 00/100)]],"cumple","no cumple"),"")</f>
        <v>cumple</v>
      </c>
      <c r="W303" s="376" t="s">
        <v>681</v>
      </c>
      <c r="X303" s="377" t="str">
        <f t="shared" si="52"/>
        <v>SPD</v>
      </c>
      <c r="Y303" t="str">
        <f>SUBSTITUTE(Tabla1[[#This Row],[Descripción]],CHAR(10),"    I    ")</f>
        <v>Se realiza el diseño de servicios y repositorios para todos los catalogos y entidades mapeadas</v>
      </c>
      <c r="Z303" s="378">
        <f>VLOOKUP(Tabla1[[#This Row],[Perfil]],Catalogos!$B$75:$D$100,3,FALSE)*Tabla1[[#This Row],[Tiempo
(Hrs 00/100)]]*1.16</f>
        <v>6496</v>
      </c>
    </row>
    <row r="304" spans="1:26" ht="42.75" customHeight="1" x14ac:dyDescent="0.3">
      <c r="A304" s="370" t="s">
        <v>22</v>
      </c>
      <c r="B304" s="370" t="s">
        <v>23</v>
      </c>
      <c r="C304" s="205" t="s">
        <v>45</v>
      </c>
      <c r="D304" s="370"/>
      <c r="E304" s="370" t="s">
        <v>641</v>
      </c>
      <c r="F304" s="370" t="s">
        <v>23</v>
      </c>
      <c r="G304" s="370"/>
      <c r="H304" s="371" t="s">
        <v>654</v>
      </c>
      <c r="I304" s="383" t="s">
        <v>655</v>
      </c>
      <c r="J304" s="369">
        <v>45001</v>
      </c>
      <c r="K304" s="747">
        <v>0.375</v>
      </c>
      <c r="L304" s="369">
        <v>45001</v>
      </c>
      <c r="M304" s="753">
        <v>0.79166666666666663</v>
      </c>
      <c r="N304" s="373">
        <v>8</v>
      </c>
      <c r="O304" s="374" t="s">
        <v>17</v>
      </c>
      <c r="P304" s="375" t="s">
        <v>630</v>
      </c>
      <c r="Q304" s="744" t="s">
        <v>294</v>
      </c>
      <c r="R304" s="202" t="s">
        <v>40</v>
      </c>
      <c r="S304" s="31" t="s">
        <v>273</v>
      </c>
      <c r="T304" s="31" t="s">
        <v>273</v>
      </c>
      <c r="U304" s="31">
        <f>IFERROR(VLOOKUP(CONCATENATE(Tabla1[[#This Row],[Severidad]]," ",Tabla1[[#This Row],[Complejidad]]),Catalogos!E$120:G$128,3,FALSE),"")</f>
        <v>64</v>
      </c>
      <c r="V304" s="31" t="str">
        <f>IF(Tabla1[[#This Row],[Tiempo solución max (hrs)]]&lt;&gt;"",IF(Tabla1[[#This Row],[Tiempo solución max (hrs)]]&gt;=Tabla1[[#This Row],[Tiempo
(Hrs 00/100)]],"cumple","no cumple"),"")</f>
        <v>cumple</v>
      </c>
      <c r="W304" s="376" t="s">
        <v>681</v>
      </c>
      <c r="X304" s="377" t="str">
        <f t="shared" si="52"/>
        <v>SPD</v>
      </c>
      <c r="Y304" t="str">
        <f>SUBSTITUTE(Tabla1[[#This Row],[Descripción]],CHAR(10),"    I    ")</f>
        <v>Se realiza el diseño de arquitectura para la unifiación de excepciones y validaciones dentro del proyecto</v>
      </c>
      <c r="Z304" s="378">
        <f>VLOOKUP(Tabla1[[#This Row],[Perfil]],Catalogos!$B$75:$D$100,3,FALSE)*Tabla1[[#This Row],[Tiempo
(Hrs 00/100)]]*1.16</f>
        <v>6496</v>
      </c>
    </row>
    <row r="305" spans="1:26" ht="42.75" customHeight="1" x14ac:dyDescent="0.3">
      <c r="A305" s="210" t="s">
        <v>22</v>
      </c>
      <c r="B305" s="374" t="s">
        <v>23</v>
      </c>
      <c r="C305" s="205" t="s">
        <v>45</v>
      </c>
      <c r="D305" s="382"/>
      <c r="E305" s="370" t="s">
        <v>641</v>
      </c>
      <c r="F305" s="210" t="s">
        <v>23</v>
      </c>
      <c r="G305" s="370"/>
      <c r="H305" s="371" t="s">
        <v>656</v>
      </c>
      <c r="I305" s="383" t="s">
        <v>657</v>
      </c>
      <c r="J305" s="369">
        <v>45002</v>
      </c>
      <c r="K305" s="747">
        <v>0.375</v>
      </c>
      <c r="L305" s="369">
        <v>45002</v>
      </c>
      <c r="M305" s="753">
        <v>0.79166666666666663</v>
      </c>
      <c r="N305" s="210">
        <v>8</v>
      </c>
      <c r="O305" s="374" t="s">
        <v>17</v>
      </c>
      <c r="P305" s="375" t="s">
        <v>630</v>
      </c>
      <c r="Q305" s="744" t="s">
        <v>294</v>
      </c>
      <c r="R305" s="202" t="s">
        <v>40</v>
      </c>
      <c r="S305" s="31" t="s">
        <v>273</v>
      </c>
      <c r="T305" s="31" t="s">
        <v>273</v>
      </c>
      <c r="U305" s="31">
        <f>IFERROR(VLOOKUP(CONCATENATE(Tabla1[[#This Row],[Severidad]]," ",Tabla1[[#This Row],[Complejidad]]),Catalogos!E$120:G$128,3,FALSE),"")</f>
        <v>64</v>
      </c>
      <c r="V305" s="31" t="str">
        <f>IF(Tabla1[[#This Row],[Tiempo solución max (hrs)]]&lt;&gt;"",IF(Tabla1[[#This Row],[Tiempo solución max (hrs)]]&gt;=Tabla1[[#This Row],[Tiempo
(Hrs 00/100)]],"cumple","no cumple"),"")</f>
        <v>cumple</v>
      </c>
      <c r="W305" s="376" t="s">
        <v>681</v>
      </c>
      <c r="X305" s="377" t="str">
        <f t="shared" si="52"/>
        <v>SPD</v>
      </c>
      <c r="Y305" t="str">
        <f>SUBSTITUTE(Tabla1[[#This Row],[Descripción]],CHAR(10),"    I    ")</f>
        <v>Se trabaja en el servicio de guardado de quejas</v>
      </c>
      <c r="Z305" s="378">
        <f>VLOOKUP(Tabla1[[#This Row],[Perfil]],Catalogos!$B$75:$D$100,3,FALSE)*Tabla1[[#This Row],[Tiempo
(Hrs 00/100)]]*1.16</f>
        <v>6496</v>
      </c>
    </row>
    <row r="306" spans="1:26" ht="42.75" customHeight="1" x14ac:dyDescent="0.3">
      <c r="A306" s="210" t="s">
        <v>22</v>
      </c>
      <c r="B306" s="374" t="s">
        <v>23</v>
      </c>
      <c r="C306" s="205" t="s">
        <v>45</v>
      </c>
      <c r="D306" s="382"/>
      <c r="E306" s="370" t="s">
        <v>641</v>
      </c>
      <c r="F306" s="210" t="s">
        <v>23</v>
      </c>
      <c r="G306" s="370"/>
      <c r="H306" s="371" t="s">
        <v>656</v>
      </c>
      <c r="I306" s="383" t="s">
        <v>657</v>
      </c>
      <c r="J306" s="369">
        <v>45006</v>
      </c>
      <c r="K306" s="747">
        <v>0.375</v>
      </c>
      <c r="L306" s="369">
        <v>45006</v>
      </c>
      <c r="M306" s="753">
        <v>0.79166666666666663</v>
      </c>
      <c r="N306" s="373">
        <v>8</v>
      </c>
      <c r="O306" s="374" t="s">
        <v>17</v>
      </c>
      <c r="P306" s="375" t="s">
        <v>630</v>
      </c>
      <c r="Q306" s="744" t="s">
        <v>294</v>
      </c>
      <c r="R306" s="202" t="s">
        <v>40</v>
      </c>
      <c r="S306" s="31" t="s">
        <v>273</v>
      </c>
      <c r="T306" s="31" t="s">
        <v>273</v>
      </c>
      <c r="U306" s="31">
        <f>IFERROR(VLOOKUP(CONCATENATE(Tabla1[[#This Row],[Severidad]]," ",Tabla1[[#This Row],[Complejidad]]),Catalogos!E$120:G$128,3,FALSE),"")</f>
        <v>64</v>
      </c>
      <c r="V306" s="31" t="str">
        <f>IF(Tabla1[[#This Row],[Tiempo solución max (hrs)]]&lt;&gt;"",IF(Tabla1[[#This Row],[Tiempo solución max (hrs)]]&gt;=Tabla1[[#This Row],[Tiempo
(Hrs 00/100)]],"cumple","no cumple"),"")</f>
        <v>cumple</v>
      </c>
      <c r="W306" s="376" t="s">
        <v>681</v>
      </c>
      <c r="X306" s="377" t="str">
        <f t="shared" si="52"/>
        <v>SPD</v>
      </c>
      <c r="Y306" t="str">
        <f>SUBSTITUTE(Tabla1[[#This Row],[Descripción]],CHAR(10),"    I    ")</f>
        <v>Se trabaja en el servicio de guardado de quejas</v>
      </c>
      <c r="Z306" s="378">
        <f>VLOOKUP(Tabla1[[#This Row],[Perfil]],Catalogos!$B$75:$D$100,3,FALSE)*Tabla1[[#This Row],[Tiempo
(Hrs 00/100)]]*1.16</f>
        <v>6496</v>
      </c>
    </row>
    <row r="307" spans="1:26" ht="42.75" customHeight="1" x14ac:dyDescent="0.3">
      <c r="A307" s="210" t="s">
        <v>22</v>
      </c>
      <c r="B307" s="374" t="s">
        <v>23</v>
      </c>
      <c r="C307" s="205" t="s">
        <v>45</v>
      </c>
      <c r="D307" s="382"/>
      <c r="E307" s="370" t="s">
        <v>404</v>
      </c>
      <c r="F307" s="210" t="s">
        <v>23</v>
      </c>
      <c r="G307" s="370"/>
      <c r="H307" s="371" t="s">
        <v>658</v>
      </c>
      <c r="I307" s="383" t="s">
        <v>659</v>
      </c>
      <c r="J307" s="369">
        <v>45007</v>
      </c>
      <c r="K307" s="747">
        <v>0.375</v>
      </c>
      <c r="L307" s="369">
        <v>45007</v>
      </c>
      <c r="M307" s="753">
        <v>0.79166666666666663</v>
      </c>
      <c r="N307" s="210">
        <v>8</v>
      </c>
      <c r="O307" s="374" t="s">
        <v>17</v>
      </c>
      <c r="P307" s="375" t="s">
        <v>613</v>
      </c>
      <c r="Q307" s="744" t="s">
        <v>294</v>
      </c>
      <c r="R307" s="202" t="s">
        <v>40</v>
      </c>
      <c r="S307" s="31" t="s">
        <v>273</v>
      </c>
      <c r="T307" s="31" t="s">
        <v>273</v>
      </c>
      <c r="U307" s="31">
        <f>IFERROR(VLOOKUP(CONCATENATE(Tabla1[[#This Row],[Severidad]]," ",Tabla1[[#This Row],[Complejidad]]),Catalogos!E$120:G$128,3,FALSE),"")</f>
        <v>64</v>
      </c>
      <c r="V307" s="31" t="str">
        <f>IF(Tabla1[[#This Row],[Tiempo solución max (hrs)]]&lt;&gt;"",IF(Tabla1[[#This Row],[Tiempo solución max (hrs)]]&gt;=Tabla1[[#This Row],[Tiempo
(Hrs 00/100)]],"cumple","no cumple"),"")</f>
        <v>cumple</v>
      </c>
      <c r="W307" s="376" t="s">
        <v>681</v>
      </c>
      <c r="X307" s="377" t="str">
        <f t="shared" si="52"/>
        <v>SPD</v>
      </c>
      <c r="Y307" t="str">
        <f>SUBSTITUTE(Tabla1[[#This Row],[Descripción]],CHAR(10),"    I    ")</f>
        <v>Se realiza la corrección del tamaño de caracteres dentro de los comentarios para actividades, seguimientos y actividades abc</v>
      </c>
      <c r="Z307" s="378">
        <f>VLOOKUP(Tabla1[[#This Row],[Perfil]],Catalogos!$B$75:$D$100,3,FALSE)*Tabla1[[#This Row],[Tiempo
(Hrs 00/100)]]*1.16</f>
        <v>6496</v>
      </c>
    </row>
    <row r="308" spans="1:26" ht="42.75" customHeight="1" x14ac:dyDescent="0.3">
      <c r="A308" s="370" t="s">
        <v>22</v>
      </c>
      <c r="B308" s="370" t="s">
        <v>23</v>
      </c>
      <c r="C308" s="418" t="s">
        <v>45</v>
      </c>
      <c r="D308" s="370"/>
      <c r="E308" s="370" t="s">
        <v>641</v>
      </c>
      <c r="F308" s="370" t="s">
        <v>23</v>
      </c>
      <c r="G308" s="370"/>
      <c r="H308" s="371" t="s">
        <v>660</v>
      </c>
      <c r="I308" s="383" t="s">
        <v>661</v>
      </c>
      <c r="J308" s="369">
        <v>45008</v>
      </c>
      <c r="K308" s="747">
        <v>0.375</v>
      </c>
      <c r="L308" s="369">
        <v>45008</v>
      </c>
      <c r="M308" s="753">
        <v>0.79166666666666663</v>
      </c>
      <c r="N308" s="210">
        <v>8</v>
      </c>
      <c r="O308" s="374" t="s">
        <v>17</v>
      </c>
      <c r="P308" s="375" t="s">
        <v>630</v>
      </c>
      <c r="Q308" s="744" t="s">
        <v>294</v>
      </c>
      <c r="R308" s="202" t="s">
        <v>40</v>
      </c>
      <c r="S308" s="31" t="s">
        <v>273</v>
      </c>
      <c r="T308" s="31" t="s">
        <v>273</v>
      </c>
      <c r="U308" s="31">
        <f>IFERROR(VLOOKUP(CONCATENATE(Tabla1[[#This Row],[Severidad]]," ",Tabla1[[#This Row],[Complejidad]]),Catalogos!E$120:G$128,3,FALSE),"")</f>
        <v>64</v>
      </c>
      <c r="V308" s="31" t="str">
        <f>IF(Tabla1[[#This Row],[Tiempo solución max (hrs)]]&lt;&gt;"",IF(Tabla1[[#This Row],[Tiempo solución max (hrs)]]&gt;=Tabla1[[#This Row],[Tiempo
(Hrs 00/100)]],"cumple","no cumple"),"")</f>
        <v>cumple</v>
      </c>
      <c r="W308" s="376" t="s">
        <v>681</v>
      </c>
      <c r="X308" s="377" t="str">
        <f t="shared" si="52"/>
        <v>SPD</v>
      </c>
      <c r="Y308" t="str">
        <f>SUBSTITUTE(Tabla1[[#This Row],[Descripción]],CHAR(10),"    I    ")</f>
        <v>Se trabaja con SICOM para mayor conexto del servicio y se resuelven dudas para la creación del nuevo servicio</v>
      </c>
      <c r="Z308" s="378">
        <f>VLOOKUP(Tabla1[[#This Row],[Perfil]],Catalogos!$B$75:$D$100,3,FALSE)*Tabla1[[#This Row],[Tiempo
(Hrs 00/100)]]*1.16</f>
        <v>6496</v>
      </c>
    </row>
    <row r="309" spans="1:26" ht="42.75" customHeight="1" x14ac:dyDescent="0.3">
      <c r="A309" s="210" t="s">
        <v>22</v>
      </c>
      <c r="B309" s="374" t="s">
        <v>23</v>
      </c>
      <c r="C309" s="205" t="s">
        <v>45</v>
      </c>
      <c r="D309" s="382"/>
      <c r="E309" s="370" t="s">
        <v>641</v>
      </c>
      <c r="F309" s="210" t="s">
        <v>23</v>
      </c>
      <c r="G309" s="370"/>
      <c r="H309" s="371" t="s">
        <v>656</v>
      </c>
      <c r="I309" s="383" t="s">
        <v>657</v>
      </c>
      <c r="J309" s="369">
        <v>45009</v>
      </c>
      <c r="K309" s="747">
        <v>0.375</v>
      </c>
      <c r="L309" s="369">
        <v>45009</v>
      </c>
      <c r="M309" s="753">
        <v>0.79166666666666663</v>
      </c>
      <c r="N309" s="210">
        <v>8</v>
      </c>
      <c r="O309" s="374" t="s">
        <v>17</v>
      </c>
      <c r="P309" s="375" t="s">
        <v>630</v>
      </c>
      <c r="Q309" s="744" t="s">
        <v>294</v>
      </c>
      <c r="R309" s="202" t="s">
        <v>40</v>
      </c>
      <c r="S309" s="31" t="s">
        <v>273</v>
      </c>
      <c r="T309" s="31" t="s">
        <v>273</v>
      </c>
      <c r="U309" s="31">
        <f>IFERROR(VLOOKUP(CONCATENATE(Tabla1[[#This Row],[Severidad]]," ",Tabla1[[#This Row],[Complejidad]]),Catalogos!E$120:G$128,3,FALSE),"")</f>
        <v>64</v>
      </c>
      <c r="V309" s="31" t="str">
        <f>IF(Tabla1[[#This Row],[Tiempo solución max (hrs)]]&lt;&gt;"",IF(Tabla1[[#This Row],[Tiempo solución max (hrs)]]&gt;=Tabla1[[#This Row],[Tiempo
(Hrs 00/100)]],"cumple","no cumple"),"")</f>
        <v>cumple</v>
      </c>
      <c r="W309" s="376" t="s">
        <v>681</v>
      </c>
      <c r="X309" s="377" t="str">
        <f t="shared" si="52"/>
        <v>SPD</v>
      </c>
      <c r="Y309" t="str">
        <f>SUBSTITUTE(Tabla1[[#This Row],[Descripción]],CHAR(10),"    I    ")</f>
        <v>Se trabaja en el servicio de guardado de quejas</v>
      </c>
      <c r="Z309" s="378">
        <f>VLOOKUP(Tabla1[[#This Row],[Perfil]],Catalogos!$B$75:$D$100,3,FALSE)*Tabla1[[#This Row],[Tiempo
(Hrs 00/100)]]*1.16</f>
        <v>6496</v>
      </c>
    </row>
    <row r="310" spans="1:26" ht="42.75" customHeight="1" x14ac:dyDescent="0.3">
      <c r="A310" s="370" t="s">
        <v>22</v>
      </c>
      <c r="B310" s="370" t="s">
        <v>23</v>
      </c>
      <c r="C310" s="205" t="s">
        <v>45</v>
      </c>
      <c r="D310" s="370"/>
      <c r="E310" s="370" t="s">
        <v>641</v>
      </c>
      <c r="F310" s="370" t="s">
        <v>23</v>
      </c>
      <c r="G310" s="370"/>
      <c r="H310" s="371" t="s">
        <v>656</v>
      </c>
      <c r="I310" s="383" t="s">
        <v>657</v>
      </c>
      <c r="J310" s="369">
        <v>45012</v>
      </c>
      <c r="K310" s="747">
        <v>0.375</v>
      </c>
      <c r="L310" s="369">
        <v>45012</v>
      </c>
      <c r="M310" s="753">
        <v>0.79166666666666663</v>
      </c>
      <c r="N310" s="210">
        <v>8</v>
      </c>
      <c r="O310" s="374" t="s">
        <v>17</v>
      </c>
      <c r="P310" s="375" t="s">
        <v>630</v>
      </c>
      <c r="Q310" s="744" t="s">
        <v>294</v>
      </c>
      <c r="R310" s="202" t="s">
        <v>40</v>
      </c>
      <c r="S310" s="31" t="s">
        <v>273</v>
      </c>
      <c r="T310" s="31" t="s">
        <v>273</v>
      </c>
      <c r="U310" s="31">
        <f>IFERROR(VLOOKUP(CONCATENATE(Tabla1[[#This Row],[Severidad]]," ",Tabla1[[#This Row],[Complejidad]]),Catalogos!E$120:G$128,3,FALSE),"")</f>
        <v>64</v>
      </c>
      <c r="V310" s="31" t="str">
        <f>IF(Tabla1[[#This Row],[Tiempo solución max (hrs)]]&lt;&gt;"",IF(Tabla1[[#This Row],[Tiempo solución max (hrs)]]&gt;=Tabla1[[#This Row],[Tiempo
(Hrs 00/100)]],"cumple","no cumple"),"")</f>
        <v>cumple</v>
      </c>
      <c r="W310" s="376" t="s">
        <v>681</v>
      </c>
      <c r="X310" s="377" t="str">
        <f t="shared" si="52"/>
        <v>SPD</v>
      </c>
      <c r="Y310" t="str">
        <f>SUBSTITUTE(Tabla1[[#This Row],[Descripción]],CHAR(10),"    I    ")</f>
        <v>Se trabaja en el servicio de guardado de quejas</v>
      </c>
      <c r="Z310" s="378">
        <f>VLOOKUP(Tabla1[[#This Row],[Perfil]],Catalogos!$B$75:$D$100,3,FALSE)*Tabla1[[#This Row],[Tiempo
(Hrs 00/100)]]*1.16</f>
        <v>6496</v>
      </c>
    </row>
    <row r="311" spans="1:26" ht="42.75" customHeight="1" x14ac:dyDescent="0.3">
      <c r="A311" s="210" t="s">
        <v>22</v>
      </c>
      <c r="B311" s="374" t="s">
        <v>23</v>
      </c>
      <c r="C311" s="205" t="s">
        <v>45</v>
      </c>
      <c r="D311" s="382"/>
      <c r="E311" s="370" t="s">
        <v>641</v>
      </c>
      <c r="F311" s="210" t="s">
        <v>23</v>
      </c>
      <c r="G311" s="370"/>
      <c r="H311" s="419" t="s">
        <v>656</v>
      </c>
      <c r="I311" s="420" t="s">
        <v>657</v>
      </c>
      <c r="J311" s="369">
        <v>45013</v>
      </c>
      <c r="K311" s="747">
        <v>0.375</v>
      </c>
      <c r="L311" s="369">
        <v>45013</v>
      </c>
      <c r="M311" s="753">
        <v>0.79166666666666663</v>
      </c>
      <c r="N311" s="210">
        <v>8</v>
      </c>
      <c r="O311" s="374" t="s">
        <v>17</v>
      </c>
      <c r="P311" s="375" t="s">
        <v>630</v>
      </c>
      <c r="Q311" s="744" t="s">
        <v>294</v>
      </c>
      <c r="R311" s="202" t="s">
        <v>40</v>
      </c>
      <c r="S311" s="31" t="s">
        <v>273</v>
      </c>
      <c r="T311" s="31" t="s">
        <v>273</v>
      </c>
      <c r="U311" s="31">
        <f>IFERROR(VLOOKUP(CONCATENATE(Tabla1[[#This Row],[Severidad]]," ",Tabla1[[#This Row],[Complejidad]]),Catalogos!E$120:G$128,3,FALSE),"")</f>
        <v>64</v>
      </c>
      <c r="V311" s="31" t="str">
        <f>IF(Tabla1[[#This Row],[Tiempo solución max (hrs)]]&lt;&gt;"",IF(Tabla1[[#This Row],[Tiempo solución max (hrs)]]&gt;=Tabla1[[#This Row],[Tiempo
(Hrs 00/100)]],"cumple","no cumple"),"")</f>
        <v>cumple</v>
      </c>
      <c r="W311" s="376" t="s">
        <v>681</v>
      </c>
      <c r="X311" s="377" t="str">
        <f t="shared" si="52"/>
        <v>SPD</v>
      </c>
      <c r="Y311" t="str">
        <f>SUBSTITUTE(Tabla1[[#This Row],[Descripción]],CHAR(10),"    I    ")</f>
        <v>Se trabaja en el servicio de guardado de quejas</v>
      </c>
      <c r="Z311" s="378">
        <f>VLOOKUP(Tabla1[[#This Row],[Perfil]],Catalogos!$B$75:$D$100,3,FALSE)*Tabla1[[#This Row],[Tiempo
(Hrs 00/100)]]*1.16</f>
        <v>6496</v>
      </c>
    </row>
    <row r="312" spans="1:26" ht="42.75" customHeight="1" x14ac:dyDescent="0.3">
      <c r="A312" s="210" t="s">
        <v>22</v>
      </c>
      <c r="B312" s="374" t="s">
        <v>23</v>
      </c>
      <c r="C312" s="205" t="s">
        <v>45</v>
      </c>
      <c r="D312" s="382"/>
      <c r="E312" s="370" t="s">
        <v>641</v>
      </c>
      <c r="F312" s="210" t="s">
        <v>23</v>
      </c>
      <c r="G312" s="370"/>
      <c r="H312" s="371" t="s">
        <v>656</v>
      </c>
      <c r="I312" s="383" t="s">
        <v>657</v>
      </c>
      <c r="J312" s="369">
        <v>45014</v>
      </c>
      <c r="K312" s="747">
        <v>0.375</v>
      </c>
      <c r="L312" s="369">
        <v>45014</v>
      </c>
      <c r="M312" s="753">
        <v>0.79166666666666663</v>
      </c>
      <c r="N312" s="210">
        <v>8</v>
      </c>
      <c r="O312" s="374" t="s">
        <v>17</v>
      </c>
      <c r="P312" s="375" t="s">
        <v>630</v>
      </c>
      <c r="Q312" s="744" t="s">
        <v>294</v>
      </c>
      <c r="R312" s="202" t="s">
        <v>40</v>
      </c>
      <c r="S312" s="31" t="s">
        <v>273</v>
      </c>
      <c r="T312" s="31" t="s">
        <v>273</v>
      </c>
      <c r="U312" s="31">
        <f>IFERROR(VLOOKUP(CONCATENATE(Tabla1[[#This Row],[Severidad]]," ",Tabla1[[#This Row],[Complejidad]]),Catalogos!E$120:G$128,3,FALSE),"")</f>
        <v>64</v>
      </c>
      <c r="V312" s="31" t="str">
        <f>IF(Tabla1[[#This Row],[Tiempo solución max (hrs)]]&lt;&gt;"",IF(Tabla1[[#This Row],[Tiempo solución max (hrs)]]&gt;=Tabla1[[#This Row],[Tiempo
(Hrs 00/100)]],"cumple","no cumple"),"")</f>
        <v>cumple</v>
      </c>
      <c r="W312" s="376" t="s">
        <v>681</v>
      </c>
      <c r="X312" s="377" t="str">
        <f t="shared" si="52"/>
        <v>SPD</v>
      </c>
      <c r="Y312" t="str">
        <f>SUBSTITUTE(Tabla1[[#This Row],[Descripción]],CHAR(10),"    I    ")</f>
        <v>Se trabaja en el servicio de guardado de quejas</v>
      </c>
      <c r="Z312" s="378">
        <f>VLOOKUP(Tabla1[[#This Row],[Perfil]],Catalogos!$B$75:$D$100,3,FALSE)*Tabla1[[#This Row],[Tiempo
(Hrs 00/100)]]*1.16</f>
        <v>6496</v>
      </c>
    </row>
    <row r="313" spans="1:26" ht="42.75" customHeight="1" x14ac:dyDescent="0.3">
      <c r="A313" s="210" t="s">
        <v>22</v>
      </c>
      <c r="B313" s="374" t="s">
        <v>23</v>
      </c>
      <c r="C313" s="205" t="s">
        <v>49</v>
      </c>
      <c r="D313" s="382"/>
      <c r="E313" s="370" t="s">
        <v>404</v>
      </c>
      <c r="F313" s="210" t="s">
        <v>23</v>
      </c>
      <c r="G313" s="370"/>
      <c r="H313" s="371" t="s">
        <v>662</v>
      </c>
      <c r="I313" s="383" t="s">
        <v>663</v>
      </c>
      <c r="J313" s="369">
        <v>45015</v>
      </c>
      <c r="K313" s="747">
        <v>0.375</v>
      </c>
      <c r="L313" s="369">
        <v>45015</v>
      </c>
      <c r="M313" s="753">
        <v>0.79166666666666663</v>
      </c>
      <c r="N313" s="210">
        <v>8</v>
      </c>
      <c r="O313" s="374" t="s">
        <v>17</v>
      </c>
      <c r="P313" s="375" t="s">
        <v>613</v>
      </c>
      <c r="Q313" s="744" t="s">
        <v>294</v>
      </c>
      <c r="R313" s="202" t="s">
        <v>40</v>
      </c>
      <c r="S313" s="31" t="s">
        <v>273</v>
      </c>
      <c r="T313" s="31" t="s">
        <v>273</v>
      </c>
      <c r="U313" s="31">
        <f>IFERROR(VLOOKUP(CONCATENATE(Tabla1[[#This Row],[Severidad]]," ",Tabla1[[#This Row],[Complejidad]]),Catalogos!E$120:G$128,3,FALSE),"")</f>
        <v>64</v>
      </c>
      <c r="V313" s="31" t="str">
        <f>IF(Tabla1[[#This Row],[Tiempo solución max (hrs)]]&lt;&gt;"",IF(Tabla1[[#This Row],[Tiempo solución max (hrs)]]&gt;=Tabla1[[#This Row],[Tiempo
(Hrs 00/100)]],"cumple","no cumple"),"")</f>
        <v>cumple</v>
      </c>
      <c r="W313" s="376" t="s">
        <v>681</v>
      </c>
      <c r="X313" s="377" t="str">
        <f t="shared" si="52"/>
        <v>SAI</v>
      </c>
      <c r="Y313" t="str">
        <f>SUBSTITUTE(Tabla1[[#This Row],[Descripción]],CHAR(10),"    I    ")</f>
        <v>Se da acompañamiento a Adrían para levantar el ambiente de pizarras y se atiende error de fecha de creación en actividades</v>
      </c>
      <c r="Z313" s="378">
        <f>VLOOKUP(Tabla1[[#This Row],[Perfil]],Catalogos!$B$75:$D$100,3,FALSE)*Tabla1[[#This Row],[Tiempo
(Hrs 00/100)]]*1.16</f>
        <v>6496</v>
      </c>
    </row>
    <row r="314" spans="1:26" ht="42.75" customHeight="1" x14ac:dyDescent="0.3">
      <c r="A314" s="210" t="s">
        <v>22</v>
      </c>
      <c r="B314" s="374" t="s">
        <v>23</v>
      </c>
      <c r="C314" s="205" t="s">
        <v>45</v>
      </c>
      <c r="D314" s="382"/>
      <c r="E314" s="370" t="s">
        <v>641</v>
      </c>
      <c r="F314" s="210" t="s">
        <v>23</v>
      </c>
      <c r="G314" s="370"/>
      <c r="H314" s="371" t="s">
        <v>664</v>
      </c>
      <c r="I314" s="383" t="s">
        <v>665</v>
      </c>
      <c r="J314" s="369">
        <v>45016</v>
      </c>
      <c r="K314" s="747">
        <v>0.375</v>
      </c>
      <c r="L314" s="369">
        <v>45016</v>
      </c>
      <c r="M314" s="753">
        <v>0.79166666666666663</v>
      </c>
      <c r="N314" s="210">
        <v>8</v>
      </c>
      <c r="O314" s="374" t="s">
        <v>17</v>
      </c>
      <c r="P314" s="375" t="s">
        <v>630</v>
      </c>
      <c r="Q314" s="744" t="s">
        <v>294</v>
      </c>
      <c r="R314" s="202" t="s">
        <v>40</v>
      </c>
      <c r="S314" s="31" t="s">
        <v>273</v>
      </c>
      <c r="T314" s="31" t="s">
        <v>273</v>
      </c>
      <c r="U314" s="31">
        <f>IFERROR(VLOOKUP(CONCATENATE(Tabla1[[#This Row],[Severidad]]," ",Tabla1[[#This Row],[Complejidad]]),Catalogos!E$120:G$128,3,FALSE),"")</f>
        <v>64</v>
      </c>
      <c r="V314" s="31" t="str">
        <f>IF(Tabla1[[#This Row],[Tiempo solución max (hrs)]]&lt;&gt;"",IF(Tabla1[[#This Row],[Tiempo solución max (hrs)]]&gt;=Tabla1[[#This Row],[Tiempo
(Hrs 00/100)]],"cumple","no cumple"),"")</f>
        <v>cumple</v>
      </c>
      <c r="W314" s="376" t="s">
        <v>681</v>
      </c>
      <c r="X314" s="377" t="str">
        <f t="shared" si="52"/>
        <v>SPD</v>
      </c>
      <c r="Y314" t="str">
        <f>SUBSTITUTE(Tabla1[[#This Row],[Descripción]],CHAR(10),"    I    ")</f>
        <v>Se realiza diagrama de flujo de lo que se realiza en el servicio de guardar quejas</v>
      </c>
      <c r="Z314" s="378">
        <f>VLOOKUP(Tabla1[[#This Row],[Perfil]],Catalogos!$B$75:$D$100,3,FALSE)*Tabla1[[#This Row],[Tiempo
(Hrs 00/100)]]*1.16</f>
        <v>6496</v>
      </c>
    </row>
    <row r="315" spans="1:26" ht="42.75" customHeight="1" x14ac:dyDescent="0.3">
      <c r="A315" s="224" t="s">
        <v>73</v>
      </c>
      <c r="B315" s="224" t="s">
        <v>65</v>
      </c>
      <c r="C315" s="224" t="s">
        <v>45</v>
      </c>
      <c r="D315" s="224"/>
      <c r="E315" s="224" t="s">
        <v>545</v>
      </c>
      <c r="F315" s="224" t="s">
        <v>73</v>
      </c>
      <c r="G315" s="224"/>
      <c r="H315" s="421" t="s">
        <v>666</v>
      </c>
      <c r="I315" s="5" t="s">
        <v>667</v>
      </c>
      <c r="J315" s="369">
        <v>44986</v>
      </c>
      <c r="K315" s="747">
        <v>0.375</v>
      </c>
      <c r="L315" s="369">
        <v>44986</v>
      </c>
      <c r="M315" s="753">
        <v>0.54166666666666663</v>
      </c>
      <c r="N315" s="224">
        <v>4</v>
      </c>
      <c r="O315" s="422" t="s">
        <v>17</v>
      </c>
      <c r="P315" s="193"/>
      <c r="Q315" s="752" t="s">
        <v>548</v>
      </c>
      <c r="R315" s="423" t="s">
        <v>38</v>
      </c>
      <c r="S315" s="31" t="s">
        <v>273</v>
      </c>
      <c r="T315" s="31" t="s">
        <v>273</v>
      </c>
      <c r="U315" s="31">
        <f>IFERROR(VLOOKUP(CONCATENATE(Tabla1[[#This Row],[Severidad]]," ",Tabla1[[#This Row],[Complejidad]]),Catalogos!E$120:G$128,3,FALSE),"")</f>
        <v>64</v>
      </c>
      <c r="V315" s="31" t="str">
        <f>IF(Tabla1[[#This Row],[Tiempo solución max (hrs)]]&lt;&gt;"",IF(Tabla1[[#This Row],[Tiempo solución max (hrs)]]&gt;=Tabla1[[#This Row],[Tiempo
(Hrs 00/100)]],"cumple","no cumple"),"")</f>
        <v>cumple</v>
      </c>
      <c r="W315" s="376" t="s">
        <v>681</v>
      </c>
      <c r="X315" s="377" t="str">
        <f t="shared" si="52"/>
        <v>SPD</v>
      </c>
      <c r="Y315" t="str">
        <f>SUBSTITUTE(Tabla1[[#This Row],[Descripción]],CHAR(10),"    I    ")</f>
        <v>Investigacion para crearla mejor opciónde un  carousel con css y html</v>
      </c>
      <c r="Z315" s="378">
        <f>VLOOKUP(Tabla1[[#This Row],[Perfil]],Catalogos!$B$75:$D$100,3,FALSE)*Tabla1[[#This Row],[Tiempo
(Hrs 00/100)]]*1.16</f>
        <v>1855.9999999999998</v>
      </c>
    </row>
    <row r="316" spans="1:26" ht="42.75" customHeight="1" x14ac:dyDescent="0.3">
      <c r="A316" s="224" t="s">
        <v>73</v>
      </c>
      <c r="B316" s="224" t="s">
        <v>65</v>
      </c>
      <c r="C316" s="224" t="s">
        <v>45</v>
      </c>
      <c r="D316" s="224"/>
      <c r="E316" s="224" t="s">
        <v>545</v>
      </c>
      <c r="F316" s="224" t="s">
        <v>73</v>
      </c>
      <c r="G316" s="224"/>
      <c r="H316" s="421" t="s">
        <v>666</v>
      </c>
      <c r="I316" s="5" t="s">
        <v>668</v>
      </c>
      <c r="J316" s="369">
        <v>44986</v>
      </c>
      <c r="K316" s="753">
        <v>0.54166666666666663</v>
      </c>
      <c r="L316" s="369">
        <v>44986</v>
      </c>
      <c r="M316" s="753">
        <v>0.70833333333333337</v>
      </c>
      <c r="N316" s="224">
        <v>2</v>
      </c>
      <c r="O316" s="422" t="s">
        <v>17</v>
      </c>
      <c r="P316" s="193"/>
      <c r="Q316" s="752" t="s">
        <v>548</v>
      </c>
      <c r="R316" s="423" t="s">
        <v>38</v>
      </c>
      <c r="S316" s="31" t="s">
        <v>273</v>
      </c>
      <c r="T316" s="31" t="s">
        <v>273</v>
      </c>
      <c r="U316" s="31">
        <f>IFERROR(VLOOKUP(CONCATENATE(Tabla1[[#This Row],[Severidad]]," ",Tabla1[[#This Row],[Complejidad]]),Catalogos!E$120:G$128,3,FALSE),"")</f>
        <v>64</v>
      </c>
      <c r="V316" s="31" t="str">
        <f>IF(Tabla1[[#This Row],[Tiempo solución max (hrs)]]&lt;&gt;"",IF(Tabla1[[#This Row],[Tiempo solución max (hrs)]]&gt;=Tabla1[[#This Row],[Tiempo
(Hrs 00/100)]],"cumple","no cumple"),"")</f>
        <v>cumple</v>
      </c>
      <c r="W316" s="376" t="s">
        <v>681</v>
      </c>
      <c r="X316" s="377" t="str">
        <f t="shared" si="52"/>
        <v>SPD</v>
      </c>
      <c r="Y316" t="str">
        <f>SUBSTITUTE(Tabla1[[#This Row],[Descripción]],CHAR(10),"    I    ")</f>
        <v>Maquetado html  pantalla carousel</v>
      </c>
      <c r="Z316" s="378">
        <f>VLOOKUP(Tabla1[[#This Row],[Perfil]],Catalogos!$B$75:$D$100,3,FALSE)*Tabla1[[#This Row],[Tiempo
(Hrs 00/100)]]*1.16</f>
        <v>927.99999999999989</v>
      </c>
    </row>
    <row r="317" spans="1:26" ht="42.75" customHeight="1" x14ac:dyDescent="0.3">
      <c r="A317" s="224" t="s">
        <v>73</v>
      </c>
      <c r="B317" s="224" t="s">
        <v>65</v>
      </c>
      <c r="C317" s="224" t="s">
        <v>45</v>
      </c>
      <c r="D317" s="224"/>
      <c r="E317" s="224" t="s">
        <v>545</v>
      </c>
      <c r="F317" s="224" t="s">
        <v>73</v>
      </c>
      <c r="G317" s="224"/>
      <c r="H317" s="421" t="s">
        <v>666</v>
      </c>
      <c r="I317" s="5" t="s">
        <v>669</v>
      </c>
      <c r="J317" s="369">
        <v>44986</v>
      </c>
      <c r="K317" s="753">
        <v>0.70833333333333337</v>
      </c>
      <c r="L317" s="369">
        <v>44986</v>
      </c>
      <c r="M317" s="753">
        <v>0.79166666666666663</v>
      </c>
      <c r="N317" s="224">
        <v>2</v>
      </c>
      <c r="O317" s="422" t="s">
        <v>17</v>
      </c>
      <c r="P317" s="424"/>
      <c r="Q317" s="752" t="s">
        <v>548</v>
      </c>
      <c r="R317" s="423" t="s">
        <v>38</v>
      </c>
      <c r="S317" s="31" t="s">
        <v>273</v>
      </c>
      <c r="T317" s="31" t="s">
        <v>273</v>
      </c>
      <c r="U317" s="31">
        <f>IFERROR(VLOOKUP(CONCATENATE(Tabla1[[#This Row],[Severidad]]," ",Tabla1[[#This Row],[Complejidad]]),Catalogos!E$120:G$128,3,FALSE),"")</f>
        <v>64</v>
      </c>
      <c r="V317" s="31" t="str">
        <f>IF(Tabla1[[#This Row],[Tiempo solución max (hrs)]]&lt;&gt;"",IF(Tabla1[[#This Row],[Tiempo solución max (hrs)]]&gt;=Tabla1[[#This Row],[Tiempo
(Hrs 00/100)]],"cumple","no cumple"),"")</f>
        <v>cumple</v>
      </c>
      <c r="W317" s="376" t="s">
        <v>681</v>
      </c>
      <c r="X317" s="377" t="str">
        <f t="shared" si="52"/>
        <v>SPD</v>
      </c>
      <c r="Y317" t="str">
        <f>SUBSTITUTE(Tabla1[[#This Row],[Descripción]],CHAR(10),"    I    ")</f>
        <v>Maquetado css  pantalla carousel</v>
      </c>
      <c r="Z317" s="378">
        <f>VLOOKUP(Tabla1[[#This Row],[Perfil]],Catalogos!$B$75:$D$100,3,FALSE)*Tabla1[[#This Row],[Tiempo
(Hrs 00/100)]]*1.16</f>
        <v>927.99999999999989</v>
      </c>
    </row>
    <row r="318" spans="1:26" ht="42.75" customHeight="1" x14ac:dyDescent="0.3">
      <c r="A318" s="224" t="s">
        <v>73</v>
      </c>
      <c r="B318" s="224" t="s">
        <v>65</v>
      </c>
      <c r="C318" s="224" t="s">
        <v>45</v>
      </c>
      <c r="D318" s="224"/>
      <c r="E318" s="224" t="s">
        <v>545</v>
      </c>
      <c r="F318" s="224" t="s">
        <v>73</v>
      </c>
      <c r="G318" s="224"/>
      <c r="H318" s="421" t="s">
        <v>666</v>
      </c>
      <c r="I318" s="5" t="s">
        <v>670</v>
      </c>
      <c r="J318" s="369">
        <v>44987</v>
      </c>
      <c r="K318" s="747">
        <v>0.375</v>
      </c>
      <c r="L318" s="369">
        <v>44987</v>
      </c>
      <c r="M318" s="753">
        <v>0.79166666666666663</v>
      </c>
      <c r="N318" s="224">
        <v>8</v>
      </c>
      <c r="O318" s="422" t="s">
        <v>17</v>
      </c>
      <c r="P318" s="424"/>
      <c r="Q318" s="752" t="s">
        <v>548</v>
      </c>
      <c r="R318" s="423" t="s">
        <v>38</v>
      </c>
      <c r="S318" s="31" t="s">
        <v>273</v>
      </c>
      <c r="T318" s="31" t="s">
        <v>273</v>
      </c>
      <c r="U318" s="31">
        <f>IFERROR(VLOOKUP(CONCATENATE(Tabla1[[#This Row],[Severidad]]," ",Tabla1[[#This Row],[Complejidad]]),Catalogos!E$120:G$128,3,FALSE),"")</f>
        <v>64</v>
      </c>
      <c r="V318" s="31" t="str">
        <f>IF(Tabla1[[#This Row],[Tiempo solución max (hrs)]]&lt;&gt;"",IF(Tabla1[[#This Row],[Tiempo solución max (hrs)]]&gt;=Tabla1[[#This Row],[Tiempo
(Hrs 00/100)]],"cumple","no cumple"),"")</f>
        <v>cumple</v>
      </c>
      <c r="W318" s="376" t="s">
        <v>681</v>
      </c>
      <c r="X318" s="377" t="str">
        <f t="shared" si="52"/>
        <v>SPD</v>
      </c>
      <c r="Y318" t="str">
        <f>SUBSTITUTE(Tabla1[[#This Row],[Descripción]],CHAR(10),"    I    ")</f>
        <v>Creacion de carousel con mas de una fila de iconos</v>
      </c>
      <c r="Z318" s="378">
        <f>VLOOKUP(Tabla1[[#This Row],[Perfil]],Catalogos!$B$75:$D$100,3,FALSE)*Tabla1[[#This Row],[Tiempo
(Hrs 00/100)]]*1.16</f>
        <v>3711.9999999999995</v>
      </c>
    </row>
    <row r="319" spans="1:26" ht="42.75" customHeight="1" x14ac:dyDescent="0.3">
      <c r="A319" s="224" t="s">
        <v>73</v>
      </c>
      <c r="B319" s="224" t="s">
        <v>65</v>
      </c>
      <c r="C319" s="224" t="s">
        <v>45</v>
      </c>
      <c r="D319" s="224"/>
      <c r="E319" s="224" t="s">
        <v>545</v>
      </c>
      <c r="F319" s="224" t="s">
        <v>73</v>
      </c>
      <c r="G319" s="224"/>
      <c r="H319" s="421" t="s">
        <v>666</v>
      </c>
      <c r="I319" s="5" t="s">
        <v>671</v>
      </c>
      <c r="J319" s="369">
        <v>44988</v>
      </c>
      <c r="K319" s="747">
        <v>0.375</v>
      </c>
      <c r="L319" s="369">
        <v>44988</v>
      </c>
      <c r="M319" s="753">
        <v>0.45833333333333331</v>
      </c>
      <c r="N319" s="224">
        <v>2</v>
      </c>
      <c r="O319" s="422" t="s">
        <v>17</v>
      </c>
      <c r="P319" s="424"/>
      <c r="Q319" s="752" t="s">
        <v>548</v>
      </c>
      <c r="R319" s="423" t="s">
        <v>38</v>
      </c>
      <c r="S319" s="31" t="s">
        <v>273</v>
      </c>
      <c r="T319" s="31" t="s">
        <v>273</v>
      </c>
      <c r="U319" s="31">
        <f>IFERROR(VLOOKUP(CONCATENATE(Tabla1[[#This Row],[Severidad]]," ",Tabla1[[#This Row],[Complejidad]]),Catalogos!E$120:G$128,3,FALSE),"")</f>
        <v>64</v>
      </c>
      <c r="V319" s="31" t="str">
        <f>IF(Tabla1[[#This Row],[Tiempo solución max (hrs)]]&lt;&gt;"",IF(Tabla1[[#This Row],[Tiempo solución max (hrs)]]&gt;=Tabla1[[#This Row],[Tiempo
(Hrs 00/100)]],"cumple","no cumple"),"")</f>
        <v>cumple</v>
      </c>
      <c r="W319" s="376" t="s">
        <v>681</v>
      </c>
      <c r="X319" s="377" t="str">
        <f t="shared" si="52"/>
        <v>SPD</v>
      </c>
      <c r="Y319" t="str">
        <f>SUBSTITUTE(Tabla1[[#This Row],[Descripción]],CHAR(10),"    I    ")</f>
        <v>Maquetado html segunda pantalla carousel</v>
      </c>
      <c r="Z319" s="378">
        <f>VLOOKUP(Tabla1[[#This Row],[Perfil]],Catalogos!$B$75:$D$100,3,FALSE)*Tabla1[[#This Row],[Tiempo
(Hrs 00/100)]]*1.16</f>
        <v>927.99999999999989</v>
      </c>
    </row>
    <row r="320" spans="1:26" ht="42.75" customHeight="1" x14ac:dyDescent="0.3">
      <c r="A320" s="224" t="s">
        <v>73</v>
      </c>
      <c r="B320" s="224" t="s">
        <v>65</v>
      </c>
      <c r="C320" s="224" t="s">
        <v>45</v>
      </c>
      <c r="D320" s="224"/>
      <c r="E320" s="224" t="s">
        <v>545</v>
      </c>
      <c r="F320" s="224" t="s">
        <v>73</v>
      </c>
      <c r="G320" s="224"/>
      <c r="H320" s="421" t="s">
        <v>666</v>
      </c>
      <c r="I320" s="5" t="s">
        <v>672</v>
      </c>
      <c r="J320" s="369">
        <v>44988</v>
      </c>
      <c r="K320" s="753">
        <v>0.45833333333333331</v>
      </c>
      <c r="L320" s="369">
        <v>44988</v>
      </c>
      <c r="M320" s="753">
        <v>0.54166666666666663</v>
      </c>
      <c r="N320" s="224">
        <v>2</v>
      </c>
      <c r="O320" s="422" t="s">
        <v>17</v>
      </c>
      <c r="P320" s="193"/>
      <c r="Q320" s="752" t="s">
        <v>548</v>
      </c>
      <c r="R320" s="423" t="s">
        <v>38</v>
      </c>
      <c r="S320" s="31" t="s">
        <v>273</v>
      </c>
      <c r="T320" s="31" t="s">
        <v>273</v>
      </c>
      <c r="U320" s="31">
        <f>IFERROR(VLOOKUP(CONCATENATE(Tabla1[[#This Row],[Severidad]]," ",Tabla1[[#This Row],[Complejidad]]),Catalogos!E$120:G$128,3,FALSE),"")</f>
        <v>64</v>
      </c>
      <c r="V320" s="31" t="str">
        <f>IF(Tabla1[[#This Row],[Tiempo solución max (hrs)]]&lt;&gt;"",IF(Tabla1[[#This Row],[Tiempo solución max (hrs)]]&gt;=Tabla1[[#This Row],[Tiempo
(Hrs 00/100)]],"cumple","no cumple"),"")</f>
        <v>cumple</v>
      </c>
      <c r="W320" s="376" t="s">
        <v>681</v>
      </c>
      <c r="X320" s="377" t="str">
        <f t="shared" si="52"/>
        <v>SPD</v>
      </c>
      <c r="Y320" t="str">
        <f>SUBSTITUTE(Tabla1[[#This Row],[Descripción]],CHAR(10),"    I    ")</f>
        <v>Maquetado css segunda pantalla carousel</v>
      </c>
      <c r="Z320" s="378">
        <f>VLOOKUP(Tabla1[[#This Row],[Perfil]],Catalogos!$B$75:$D$100,3,FALSE)*Tabla1[[#This Row],[Tiempo
(Hrs 00/100)]]*1.16</f>
        <v>927.99999999999989</v>
      </c>
    </row>
    <row r="321" spans="1:26" ht="42.75" customHeight="1" x14ac:dyDescent="0.3">
      <c r="A321" s="224" t="s">
        <v>73</v>
      </c>
      <c r="B321" s="224" t="s">
        <v>65</v>
      </c>
      <c r="C321" s="224" t="s">
        <v>45</v>
      </c>
      <c r="D321" s="224"/>
      <c r="E321" s="224" t="s">
        <v>545</v>
      </c>
      <c r="F321" s="224" t="s">
        <v>73</v>
      </c>
      <c r="G321" s="224"/>
      <c r="H321" s="421" t="s">
        <v>666</v>
      </c>
      <c r="I321" s="5" t="s">
        <v>673</v>
      </c>
      <c r="J321" s="369">
        <v>44988</v>
      </c>
      <c r="K321" s="753">
        <v>0.54166666666666663</v>
      </c>
      <c r="L321" s="369">
        <v>44988</v>
      </c>
      <c r="M321" s="753">
        <v>0.79166666666666663</v>
      </c>
      <c r="N321" s="224">
        <v>4</v>
      </c>
      <c r="O321" s="422" t="s">
        <v>17</v>
      </c>
      <c r="P321" s="193"/>
      <c r="Q321" s="752" t="s">
        <v>548</v>
      </c>
      <c r="R321" s="423" t="s">
        <v>38</v>
      </c>
      <c r="S321" s="31" t="s">
        <v>273</v>
      </c>
      <c r="T321" s="31" t="s">
        <v>273</v>
      </c>
      <c r="U321" s="31">
        <f>IFERROR(VLOOKUP(CONCATENATE(Tabla1[[#This Row],[Severidad]]," ",Tabla1[[#This Row],[Complejidad]]),Catalogos!E$120:G$128,3,FALSE),"")</f>
        <v>64</v>
      </c>
      <c r="V321" s="31" t="str">
        <f>IF(Tabla1[[#This Row],[Tiempo solución max (hrs)]]&lt;&gt;"",IF(Tabla1[[#This Row],[Tiempo solución max (hrs)]]&gt;=Tabla1[[#This Row],[Tiempo
(Hrs 00/100)]],"cumple","no cumple"),"")</f>
        <v>cumple</v>
      </c>
      <c r="W321" s="376" t="s">
        <v>681</v>
      </c>
      <c r="X321" s="377" t="str">
        <f t="shared" si="52"/>
        <v>SPD</v>
      </c>
      <c r="Y321" t="str">
        <f>SUBSTITUTE(Tabla1[[#This Row],[Descripción]],CHAR(10),"    I    ")</f>
        <v>Creacion de carousel con una fila de iconos</v>
      </c>
      <c r="Z321" s="378">
        <f>VLOOKUP(Tabla1[[#This Row],[Perfil]],Catalogos!$B$75:$D$100,3,FALSE)*Tabla1[[#This Row],[Tiempo
(Hrs 00/100)]]*1.16</f>
        <v>1855.9999999999998</v>
      </c>
    </row>
    <row r="322" spans="1:26" ht="42.75" customHeight="1" x14ac:dyDescent="0.3">
      <c r="A322" s="224" t="s">
        <v>73</v>
      </c>
      <c r="B322" s="224" t="s">
        <v>65</v>
      </c>
      <c r="C322" s="224" t="s">
        <v>45</v>
      </c>
      <c r="D322" s="224"/>
      <c r="E322" s="224" t="s">
        <v>545</v>
      </c>
      <c r="F322" s="224" t="s">
        <v>73</v>
      </c>
      <c r="G322" s="224"/>
      <c r="H322" s="421" t="s">
        <v>666</v>
      </c>
      <c r="I322" s="5" t="s">
        <v>674</v>
      </c>
      <c r="J322" s="369">
        <v>44991</v>
      </c>
      <c r="K322" s="747">
        <v>0.375</v>
      </c>
      <c r="L322" s="369">
        <v>44991</v>
      </c>
      <c r="M322" s="753">
        <v>0.54166666666666663</v>
      </c>
      <c r="N322" s="224">
        <v>4</v>
      </c>
      <c r="O322" s="422" t="s">
        <v>17</v>
      </c>
      <c r="P322" s="193"/>
      <c r="Q322" s="752" t="s">
        <v>548</v>
      </c>
      <c r="R322" s="423" t="s">
        <v>38</v>
      </c>
      <c r="S322" s="31" t="s">
        <v>273</v>
      </c>
      <c r="T322" s="31" t="s">
        <v>273</v>
      </c>
      <c r="U322" s="31">
        <f>IFERROR(VLOOKUP(CONCATENATE(Tabla1[[#This Row],[Severidad]]," ",Tabla1[[#This Row],[Complejidad]]),Catalogos!E$120:G$128,3,FALSE),"")</f>
        <v>64</v>
      </c>
      <c r="V322" s="31" t="str">
        <f>IF(Tabla1[[#This Row],[Tiempo solución max (hrs)]]&lt;&gt;"",IF(Tabla1[[#This Row],[Tiempo solución max (hrs)]]&gt;=Tabla1[[#This Row],[Tiempo
(Hrs 00/100)]],"cumple","no cumple"),"")</f>
        <v>cumple</v>
      </c>
      <c r="W322" s="376" t="s">
        <v>681</v>
      </c>
      <c r="X322" s="377" t="str">
        <f t="shared" si="52"/>
        <v>SPD</v>
      </c>
      <c r="Y322" t="str">
        <f>SUBSTITUTE(Tabla1[[#This Row],[Descripción]],CHAR(10),"    I    ")</f>
        <v>Investigacion de como crear barra lateral solo con html y css</v>
      </c>
      <c r="Z322" s="378">
        <f>VLOOKUP(Tabla1[[#This Row],[Perfil]],Catalogos!$B$75:$D$100,3,FALSE)*Tabla1[[#This Row],[Tiempo
(Hrs 00/100)]]*1.16</f>
        <v>1855.9999999999998</v>
      </c>
    </row>
    <row r="323" spans="1:26" ht="42.75" customHeight="1" x14ac:dyDescent="0.3">
      <c r="A323" s="224" t="s">
        <v>73</v>
      </c>
      <c r="B323" s="224" t="s">
        <v>65</v>
      </c>
      <c r="C323" s="224" t="s">
        <v>45</v>
      </c>
      <c r="D323" s="224"/>
      <c r="E323" s="224" t="s">
        <v>545</v>
      </c>
      <c r="F323" s="224" t="s">
        <v>73</v>
      </c>
      <c r="G323" s="224"/>
      <c r="H323" s="421" t="s">
        <v>666</v>
      </c>
      <c r="I323" s="5" t="s">
        <v>675</v>
      </c>
      <c r="J323" s="369">
        <v>44991</v>
      </c>
      <c r="K323" s="753">
        <v>0.54166666666666663</v>
      </c>
      <c r="L323" s="369">
        <v>44991</v>
      </c>
      <c r="M323" s="753">
        <v>0.79166666666666663</v>
      </c>
      <c r="N323" s="423">
        <v>4</v>
      </c>
      <c r="O323" s="422" t="s">
        <v>17</v>
      </c>
      <c r="P323" s="193"/>
      <c r="Q323" s="752" t="s">
        <v>548</v>
      </c>
      <c r="R323" s="423" t="s">
        <v>38</v>
      </c>
      <c r="S323" s="31" t="s">
        <v>273</v>
      </c>
      <c r="T323" s="31" t="s">
        <v>273</v>
      </c>
      <c r="U323" s="31">
        <f>IFERROR(VLOOKUP(CONCATENATE(Tabla1[[#This Row],[Severidad]]," ",Tabla1[[#This Row],[Complejidad]]),Catalogos!E$120:G$128,3,FALSE),"")</f>
        <v>64</v>
      </c>
      <c r="V323" s="31" t="str">
        <f>IF(Tabla1[[#This Row],[Tiempo solución max (hrs)]]&lt;&gt;"",IF(Tabla1[[#This Row],[Tiempo solución max (hrs)]]&gt;=Tabla1[[#This Row],[Tiempo
(Hrs 00/100)]],"cumple","no cumple"),"")</f>
        <v>cumple</v>
      </c>
      <c r="W323" s="376" t="s">
        <v>681</v>
      </c>
      <c r="X323" s="377" t="str">
        <f t="shared" si="52"/>
        <v>SPD</v>
      </c>
      <c r="Y323" t="str">
        <f>SUBSTITUTE(Tabla1[[#This Row],[Descripción]],CHAR(10),"    I    ")</f>
        <v>Creacion de barra lateral y tabla colapsables</v>
      </c>
      <c r="Z323" s="378">
        <f>VLOOKUP(Tabla1[[#This Row],[Perfil]],Catalogos!$B$75:$D$100,3,FALSE)*Tabla1[[#This Row],[Tiempo
(Hrs 00/100)]]*1.16</f>
        <v>1855.9999999999998</v>
      </c>
    </row>
    <row r="324" spans="1:26" ht="42.75" customHeight="1" x14ac:dyDescent="0.3">
      <c r="A324" s="224" t="s">
        <v>73</v>
      </c>
      <c r="B324" s="224" t="s">
        <v>65</v>
      </c>
      <c r="C324" s="224" t="s">
        <v>45</v>
      </c>
      <c r="D324" s="224"/>
      <c r="E324" s="224" t="s">
        <v>545</v>
      </c>
      <c r="F324" s="224" t="s">
        <v>73</v>
      </c>
      <c r="G324" s="224"/>
      <c r="H324" s="421" t="s">
        <v>666</v>
      </c>
      <c r="I324" s="5" t="s">
        <v>675</v>
      </c>
      <c r="J324" s="369">
        <v>44992</v>
      </c>
      <c r="K324" s="747">
        <v>0.375</v>
      </c>
      <c r="L324" s="369">
        <v>44992</v>
      </c>
      <c r="M324" s="753">
        <v>0.79166666666666663</v>
      </c>
      <c r="N324" s="224">
        <v>8</v>
      </c>
      <c r="O324" s="422" t="s">
        <v>17</v>
      </c>
      <c r="P324" s="425"/>
      <c r="Q324" s="752" t="s">
        <v>548</v>
      </c>
      <c r="R324" s="423" t="s">
        <v>38</v>
      </c>
      <c r="S324" s="31" t="s">
        <v>273</v>
      </c>
      <c r="T324" s="31" t="s">
        <v>273</v>
      </c>
      <c r="U324" s="31">
        <f>IFERROR(VLOOKUP(CONCATENATE(Tabla1[[#This Row],[Severidad]]," ",Tabla1[[#This Row],[Complejidad]]),Catalogos!E$120:G$128,3,FALSE),"")</f>
        <v>64</v>
      </c>
      <c r="V324" s="31" t="str">
        <f>IF(Tabla1[[#This Row],[Tiempo solución max (hrs)]]&lt;&gt;"",IF(Tabla1[[#This Row],[Tiempo solución max (hrs)]]&gt;=Tabla1[[#This Row],[Tiempo
(Hrs 00/100)]],"cumple","no cumple"),"")</f>
        <v>cumple</v>
      </c>
      <c r="W324" s="376" t="s">
        <v>681</v>
      </c>
      <c r="X324" s="377" t="str">
        <f t="shared" si="52"/>
        <v>SPD</v>
      </c>
      <c r="Y324" t="str">
        <f>SUBSTITUTE(Tabla1[[#This Row],[Descripción]],CHAR(10),"    I    ")</f>
        <v>Creacion de barra lateral y tabla colapsables</v>
      </c>
      <c r="Z324" s="378">
        <f>VLOOKUP(Tabla1[[#This Row],[Perfil]],Catalogos!$B$75:$D$100,3,FALSE)*Tabla1[[#This Row],[Tiempo
(Hrs 00/100)]]*1.16</f>
        <v>3711.9999999999995</v>
      </c>
    </row>
    <row r="325" spans="1:26" ht="42.75" customHeight="1" x14ac:dyDescent="0.3">
      <c r="A325" s="224" t="s">
        <v>73</v>
      </c>
      <c r="B325" s="224" t="s">
        <v>65</v>
      </c>
      <c r="C325" s="224" t="s">
        <v>45</v>
      </c>
      <c r="D325" s="224"/>
      <c r="E325" s="224" t="s">
        <v>545</v>
      </c>
      <c r="F325" s="224" t="s">
        <v>73</v>
      </c>
      <c r="G325" s="426"/>
      <c r="H325" s="421" t="s">
        <v>666</v>
      </c>
      <c r="I325" s="5" t="s">
        <v>676</v>
      </c>
      <c r="J325" s="369">
        <v>44993</v>
      </c>
      <c r="K325" s="747">
        <v>0.375</v>
      </c>
      <c r="L325" s="369">
        <v>44993</v>
      </c>
      <c r="M325" s="753">
        <v>0.54166666666666663</v>
      </c>
      <c r="N325" s="427">
        <v>4</v>
      </c>
      <c r="O325" s="422" t="s">
        <v>17</v>
      </c>
      <c r="P325" s="428"/>
      <c r="Q325" s="752" t="s">
        <v>548</v>
      </c>
      <c r="R325" s="423" t="s">
        <v>38</v>
      </c>
      <c r="S325" s="31" t="s">
        <v>273</v>
      </c>
      <c r="T325" s="31" t="s">
        <v>273</v>
      </c>
      <c r="U325" s="31">
        <f>IFERROR(VLOOKUP(CONCATENATE(Tabla1[[#This Row],[Severidad]]," ",Tabla1[[#This Row],[Complejidad]]),Catalogos!E$120:G$128,3,FALSE),"")</f>
        <v>64</v>
      </c>
      <c r="V325" s="31" t="str">
        <f>IF(Tabla1[[#This Row],[Tiempo solución max (hrs)]]&lt;&gt;"",IF(Tabla1[[#This Row],[Tiempo solución max (hrs)]]&gt;=Tabla1[[#This Row],[Tiempo
(Hrs 00/100)]],"cumple","no cumple"),"")</f>
        <v>cumple</v>
      </c>
      <c r="W325" s="376" t="s">
        <v>681</v>
      </c>
      <c r="X325" s="377" t="str">
        <f t="shared" si="52"/>
        <v>SPD</v>
      </c>
      <c r="Y325" t="str">
        <f>SUBSTITUTE(Tabla1[[#This Row],[Descripción]],CHAR(10),"    I    ")</f>
        <v>Creacion de pantalla  html y css para las 3 graficas</v>
      </c>
      <c r="Z325" s="378">
        <f>VLOOKUP(Tabla1[[#This Row],[Perfil]],Catalogos!$B$75:$D$100,3,FALSE)*Tabla1[[#This Row],[Tiempo
(Hrs 00/100)]]*1.16</f>
        <v>1855.9999999999998</v>
      </c>
    </row>
    <row r="326" spans="1:26" ht="42.75" customHeight="1" x14ac:dyDescent="0.3">
      <c r="A326" s="224" t="s">
        <v>73</v>
      </c>
      <c r="B326" s="224" t="s">
        <v>65</v>
      </c>
      <c r="C326" s="224" t="s">
        <v>45</v>
      </c>
      <c r="D326" s="224"/>
      <c r="E326" s="224" t="s">
        <v>545</v>
      </c>
      <c r="F326" s="224" t="s">
        <v>73</v>
      </c>
      <c r="G326" s="224"/>
      <c r="H326" s="421" t="s">
        <v>666</v>
      </c>
      <c r="I326" s="5" t="s">
        <v>677</v>
      </c>
      <c r="J326" s="369">
        <v>44993</v>
      </c>
      <c r="K326" s="753">
        <v>0.54166666666666663</v>
      </c>
      <c r="L326" s="369">
        <v>44993</v>
      </c>
      <c r="M326" s="753">
        <v>0.58333333333333337</v>
      </c>
      <c r="N326" s="224">
        <v>1</v>
      </c>
      <c r="O326" s="422" t="s">
        <v>17</v>
      </c>
      <c r="P326" s="429"/>
      <c r="Q326" s="752" t="s">
        <v>548</v>
      </c>
      <c r="R326" s="423" t="s">
        <v>38</v>
      </c>
      <c r="S326" s="31" t="s">
        <v>273</v>
      </c>
      <c r="T326" s="31" t="s">
        <v>273</v>
      </c>
      <c r="U326" s="31">
        <f>IFERROR(VLOOKUP(CONCATENATE(Tabla1[[#This Row],[Severidad]]," ",Tabla1[[#This Row],[Complejidad]]),Catalogos!E$120:G$128,3,FALSE),"")</f>
        <v>64</v>
      </c>
      <c r="V326" s="31" t="str">
        <f>IF(Tabla1[[#This Row],[Tiempo solución max (hrs)]]&lt;&gt;"",IF(Tabla1[[#This Row],[Tiempo solución max (hrs)]]&gt;=Tabla1[[#This Row],[Tiempo
(Hrs 00/100)]],"cumple","no cumple"),"")</f>
        <v>cumple</v>
      </c>
      <c r="W326" s="376" t="s">
        <v>681</v>
      </c>
      <c r="X326" s="377" t="str">
        <f t="shared" si="52"/>
        <v>SPD</v>
      </c>
      <c r="Y326" t="str">
        <f>SUBSTITUTE(Tabla1[[#This Row],[Descripción]],CHAR(10),"    I    ")</f>
        <v>Reunión de revisión del HTML</v>
      </c>
      <c r="Z326" s="378">
        <f>VLOOKUP(Tabla1[[#This Row],[Perfil]],Catalogos!$B$75:$D$100,3,FALSE)*Tabla1[[#This Row],[Tiempo
(Hrs 00/100)]]*1.16</f>
        <v>463.99999999999994</v>
      </c>
    </row>
    <row r="327" spans="1:26" ht="42.75" customHeight="1" x14ac:dyDescent="0.3">
      <c r="A327" s="224" t="s">
        <v>73</v>
      </c>
      <c r="B327" s="224" t="s">
        <v>65</v>
      </c>
      <c r="C327" s="224" t="s">
        <v>45</v>
      </c>
      <c r="D327" s="224"/>
      <c r="E327" s="224" t="s">
        <v>545</v>
      </c>
      <c r="F327" s="224" t="s">
        <v>73</v>
      </c>
      <c r="G327" s="224"/>
      <c r="H327" s="421" t="s">
        <v>666</v>
      </c>
      <c r="I327" s="430" t="s">
        <v>678</v>
      </c>
      <c r="J327" s="369">
        <v>44993</v>
      </c>
      <c r="K327" s="747">
        <v>0.66666666666666663</v>
      </c>
      <c r="L327" s="369">
        <v>44993</v>
      </c>
      <c r="M327" s="747">
        <v>0.70833333333333337</v>
      </c>
      <c r="N327" s="224">
        <v>1</v>
      </c>
      <c r="O327" s="422" t="s">
        <v>17</v>
      </c>
      <c r="P327" s="193"/>
      <c r="Q327" s="752" t="s">
        <v>548</v>
      </c>
      <c r="R327" s="423" t="s">
        <v>38</v>
      </c>
      <c r="S327" s="31" t="s">
        <v>273</v>
      </c>
      <c r="T327" s="31" t="s">
        <v>273</v>
      </c>
      <c r="U327" s="31">
        <f>IFERROR(VLOOKUP(CONCATENATE(Tabla1[[#This Row],[Severidad]]," ",Tabla1[[#This Row],[Complejidad]]),Catalogos!E$120:G$128,3,FALSE),"")</f>
        <v>64</v>
      </c>
      <c r="V327" s="31" t="str">
        <f>IF(Tabla1[[#This Row],[Tiempo solución max (hrs)]]&lt;&gt;"",IF(Tabla1[[#This Row],[Tiempo solución max (hrs)]]&gt;=Tabla1[[#This Row],[Tiempo
(Hrs 00/100)]],"cumple","no cumple"),"")</f>
        <v>cumple</v>
      </c>
      <c r="W327" s="376" t="s">
        <v>681</v>
      </c>
      <c r="X327" s="377" t="str">
        <f t="shared" si="52"/>
        <v>SPD</v>
      </c>
      <c r="Y327" t="str">
        <f>SUBSTITUTE(Tabla1[[#This Row],[Descripción]],CHAR(10),"    I    ")</f>
        <v>Eloboración de paquete y envío de entregable</v>
      </c>
      <c r="Z327" s="378">
        <f>VLOOKUP(Tabla1[[#This Row],[Perfil]],Catalogos!$B$75:$D$100,3,FALSE)*Tabla1[[#This Row],[Tiempo
(Hrs 00/100)]]*1.16</f>
        <v>463.99999999999994</v>
      </c>
    </row>
    <row r="328" spans="1:26" ht="42.75" customHeight="1" x14ac:dyDescent="0.3">
      <c r="A328" s="224" t="s">
        <v>73</v>
      </c>
      <c r="B328" s="224" t="s">
        <v>65</v>
      </c>
      <c r="C328" s="224" t="s">
        <v>45</v>
      </c>
      <c r="D328" s="224"/>
      <c r="E328" s="224" t="s">
        <v>545</v>
      </c>
      <c r="F328" s="224" t="s">
        <v>73</v>
      </c>
      <c r="G328" s="224"/>
      <c r="H328" s="431" t="s">
        <v>679</v>
      </c>
      <c r="I328" s="432" t="s">
        <v>680</v>
      </c>
      <c r="J328" s="369">
        <v>44993</v>
      </c>
      <c r="K328" s="747">
        <v>0.70833333333333337</v>
      </c>
      <c r="L328" s="369">
        <v>44993</v>
      </c>
      <c r="M328" s="753">
        <v>0.79166666666666663</v>
      </c>
      <c r="N328" s="224">
        <v>2</v>
      </c>
      <c r="O328" s="422" t="s">
        <v>17</v>
      </c>
      <c r="P328" s="5"/>
      <c r="Q328" s="752" t="s">
        <v>548</v>
      </c>
      <c r="R328" s="423" t="s">
        <v>38</v>
      </c>
      <c r="S328" s="31" t="s">
        <v>273</v>
      </c>
      <c r="T328" s="31" t="s">
        <v>273</v>
      </c>
      <c r="U328" s="31">
        <f>IFERROR(VLOOKUP(CONCATENATE(Tabla1[[#This Row],[Severidad]]," ",Tabla1[[#This Row],[Complejidad]]),Catalogos!E$120:G$128,3,FALSE),"")</f>
        <v>64</v>
      </c>
      <c r="V328" s="31" t="str">
        <f>IF(Tabla1[[#This Row],[Tiempo solución max (hrs)]]&lt;&gt;"",IF(Tabla1[[#This Row],[Tiempo solución max (hrs)]]&gt;=Tabla1[[#This Row],[Tiempo
(Hrs 00/100)]],"cumple","no cumple"),"")</f>
        <v>cumple</v>
      </c>
      <c r="W328" s="376" t="s">
        <v>681</v>
      </c>
      <c r="X328" s="377" t="str">
        <f t="shared" si="52"/>
        <v>SPD</v>
      </c>
      <c r="Y328" t="str">
        <f>SUBSTITUTE(Tabla1[[#This Row],[Descripción]],CHAR(10),"    I    ")</f>
        <v>Elaboración de cambios en la maqueta, revisión de maqueta y envío de la maqueta final.</v>
      </c>
      <c r="Z328" s="378">
        <f>VLOOKUP(Tabla1[[#This Row],[Perfil]],Catalogos!$B$75:$D$100,3,FALSE)*Tabla1[[#This Row],[Tiempo
(Hrs 00/100)]]*1.16</f>
        <v>927.99999999999989</v>
      </c>
    </row>
    <row r="329" spans="1:26" ht="42.75" customHeight="1" x14ac:dyDescent="0.3">
      <c r="A329" s="370" t="s">
        <v>15</v>
      </c>
      <c r="B329" s="370" t="s">
        <v>67</v>
      </c>
      <c r="C329" s="205" t="s">
        <v>257</v>
      </c>
      <c r="D329" s="370"/>
      <c r="E329" s="370" t="s">
        <v>682</v>
      </c>
      <c r="F329" s="370" t="s">
        <v>76</v>
      </c>
      <c r="G329" s="370"/>
      <c r="H329" s="371" t="s">
        <v>683</v>
      </c>
      <c r="I329" s="371" t="s">
        <v>684</v>
      </c>
      <c r="J329" s="369">
        <v>44986</v>
      </c>
      <c r="K329" s="747">
        <v>0.375</v>
      </c>
      <c r="L329" s="369">
        <v>44986</v>
      </c>
      <c r="M329" s="753">
        <v>0.79166666666666663</v>
      </c>
      <c r="N329" s="373">
        <v>9</v>
      </c>
      <c r="O329" s="422" t="s">
        <v>17</v>
      </c>
      <c r="P329" s="375" t="s">
        <v>544</v>
      </c>
      <c r="Q329" s="744" t="s">
        <v>295</v>
      </c>
      <c r="R329" s="202" t="s">
        <v>40</v>
      </c>
      <c r="S329" s="31" t="s">
        <v>273</v>
      </c>
      <c r="T329" s="31" t="s">
        <v>273</v>
      </c>
      <c r="U329" s="31">
        <f>IFERROR(VLOOKUP(CONCATENATE(Tabla1[[#This Row],[Severidad]]," ",Tabla1[[#This Row],[Complejidad]]),Catalogos!E$120:G$128,3,FALSE),"")</f>
        <v>64</v>
      </c>
      <c r="V329" s="31" t="str">
        <f>IF(Tabla1[[#This Row],[Tiempo solución max (hrs)]]&lt;&gt;"",IF(Tabla1[[#This Row],[Tiempo solución max (hrs)]]&gt;=Tabla1[[#This Row],[Tiempo
(Hrs 00/100)]],"cumple","no cumple"),"")</f>
        <v>cumple</v>
      </c>
      <c r="W329" s="376" t="s">
        <v>681</v>
      </c>
      <c r="X329" s="377" t="str">
        <f t="shared" si="52"/>
        <v>SSI</v>
      </c>
      <c r="Y329" t="str">
        <f>SUBSTITUTE(Tabla1[[#This Row],[Descripción]],CHAR(10),"    I    ")</f>
        <v>Incidencia de consulta de actividades-Consulta de Seguimientos </v>
      </c>
      <c r="Z329" s="378">
        <f>VLOOKUP(Tabla1[[#This Row],[Perfil]],Catalogos!$B$75:$D$100,3,FALSE)*Tabla1[[#This Row],[Tiempo
(Hrs 00/100)]]*1.16</f>
        <v>7307.9999999999991</v>
      </c>
    </row>
    <row r="330" spans="1:26" ht="42.75" customHeight="1" x14ac:dyDescent="0.3">
      <c r="A330" s="370" t="s">
        <v>15</v>
      </c>
      <c r="B330" s="370" t="s">
        <v>67</v>
      </c>
      <c r="C330" s="205" t="s">
        <v>257</v>
      </c>
      <c r="D330" s="370"/>
      <c r="E330" s="370" t="s">
        <v>682</v>
      </c>
      <c r="F330" s="370" t="s">
        <v>76</v>
      </c>
      <c r="G330" s="370"/>
      <c r="H330" s="371" t="s">
        <v>683</v>
      </c>
      <c r="I330" s="371" t="s">
        <v>685</v>
      </c>
      <c r="J330" s="369">
        <v>44987</v>
      </c>
      <c r="K330" s="709">
        <v>0.375</v>
      </c>
      <c r="L330" s="369">
        <v>44987</v>
      </c>
      <c r="M330" s="739">
        <v>0.79166666666666663</v>
      </c>
      <c r="N330" s="373">
        <v>8</v>
      </c>
      <c r="O330" s="422" t="s">
        <v>17</v>
      </c>
      <c r="P330" s="375" t="s">
        <v>544</v>
      </c>
      <c r="Q330" s="744" t="s">
        <v>295</v>
      </c>
      <c r="R330" s="202" t="s">
        <v>40</v>
      </c>
      <c r="S330" s="31" t="s">
        <v>273</v>
      </c>
      <c r="T330" s="31" t="s">
        <v>273</v>
      </c>
      <c r="U330" s="31">
        <f>IFERROR(VLOOKUP(CONCATENATE(Tabla1[[#This Row],[Severidad]]," ",Tabla1[[#This Row],[Complejidad]]),Catalogos!E$120:G$128,3,FALSE),"")</f>
        <v>64</v>
      </c>
      <c r="V330" s="31" t="str">
        <f>IF(Tabla1[[#This Row],[Tiempo solución max (hrs)]]&lt;&gt;"",IF(Tabla1[[#This Row],[Tiempo solución max (hrs)]]&gt;=Tabla1[[#This Row],[Tiempo
(Hrs 00/100)]],"cumple","no cumple"),"")</f>
        <v>cumple</v>
      </c>
      <c r="W330" s="376" t="s">
        <v>681</v>
      </c>
      <c r="X330" s="377" t="str">
        <f t="shared" si="52"/>
        <v>SSI</v>
      </c>
      <c r="Y330" t="str">
        <f>SUBSTITUTE(Tabla1[[#This Row],[Descripción]],CHAR(10),"    I    ")</f>
        <v>Consulta de Actividades ABC, En catálogos líneas de acción se puede poner la numeración y agregar múltiples líneas</v>
      </c>
      <c r="Z330" s="378">
        <f>VLOOKUP(Tabla1[[#This Row],[Perfil]],Catalogos!$B$75:$D$100,3,FALSE)*Tabla1[[#This Row],[Tiempo
(Hrs 00/100)]]*1.16</f>
        <v>6496</v>
      </c>
    </row>
    <row r="331" spans="1:26" ht="42.75" customHeight="1" x14ac:dyDescent="0.3">
      <c r="A331" s="370" t="s">
        <v>15</v>
      </c>
      <c r="B331" s="370" t="s">
        <v>67</v>
      </c>
      <c r="C331" s="205" t="s">
        <v>257</v>
      </c>
      <c r="D331" s="370"/>
      <c r="E331" s="370" t="s">
        <v>682</v>
      </c>
      <c r="F331" s="370" t="s">
        <v>76</v>
      </c>
      <c r="G331" s="370"/>
      <c r="H331" s="371" t="s">
        <v>683</v>
      </c>
      <c r="I331" s="371" t="s">
        <v>686</v>
      </c>
      <c r="J331" s="369">
        <v>44988</v>
      </c>
      <c r="K331" s="709">
        <v>0.375</v>
      </c>
      <c r="L331" s="369">
        <v>44988</v>
      </c>
      <c r="M331" s="739">
        <v>0.79166666666666663</v>
      </c>
      <c r="N331" s="373">
        <v>8</v>
      </c>
      <c r="O331" s="422" t="s">
        <v>17</v>
      </c>
      <c r="P331" s="375" t="s">
        <v>544</v>
      </c>
      <c r="Q331" s="744" t="s">
        <v>295</v>
      </c>
      <c r="R331" s="202" t="s">
        <v>40</v>
      </c>
      <c r="S331" s="31" t="s">
        <v>273</v>
      </c>
      <c r="T331" s="31" t="s">
        <v>273</v>
      </c>
      <c r="U331" s="31">
        <f>IFERROR(VLOOKUP(CONCATENATE(Tabla1[[#This Row],[Severidad]]," ",Tabla1[[#This Row],[Complejidad]]),Catalogos!E$120:G$128,3,FALSE),"")</f>
        <v>64</v>
      </c>
      <c r="V331" s="31" t="str">
        <f>IF(Tabla1[[#This Row],[Tiempo solución max (hrs)]]&lt;&gt;"",IF(Tabla1[[#This Row],[Tiempo solución max (hrs)]]&gt;=Tabla1[[#This Row],[Tiempo
(Hrs 00/100)]],"cumple","no cumple"),"")</f>
        <v>cumple</v>
      </c>
      <c r="W331" s="376" t="s">
        <v>681</v>
      </c>
      <c r="X331" s="377" t="str">
        <f t="shared" si="52"/>
        <v>SSI</v>
      </c>
      <c r="Y331" t="str">
        <f>SUBSTITUTE(Tabla1[[#This Row],[Descripción]],CHAR(10),"    I    ")</f>
        <v>Ordenamiento de tabla de Actividades-ordenamiento de tabla de seguimientos</v>
      </c>
      <c r="Z331" s="378">
        <f>VLOOKUP(Tabla1[[#This Row],[Perfil]],Catalogos!$B$75:$D$100,3,FALSE)*Tabla1[[#This Row],[Tiempo
(Hrs 00/100)]]*1.16</f>
        <v>6496</v>
      </c>
    </row>
    <row r="332" spans="1:26" ht="42.75" customHeight="1" x14ac:dyDescent="0.3">
      <c r="A332" s="370" t="s">
        <v>15</v>
      </c>
      <c r="B332" s="370" t="s">
        <v>67</v>
      </c>
      <c r="C332" s="205" t="s">
        <v>257</v>
      </c>
      <c r="D332" s="382"/>
      <c r="E332" s="370" t="s">
        <v>682</v>
      </c>
      <c r="F332" s="370" t="s">
        <v>76</v>
      </c>
      <c r="G332" s="370"/>
      <c r="H332" s="371" t="s">
        <v>687</v>
      </c>
      <c r="I332" s="371" t="s">
        <v>688</v>
      </c>
      <c r="J332" s="369">
        <v>44991</v>
      </c>
      <c r="K332" s="709">
        <v>0.375</v>
      </c>
      <c r="L332" s="369">
        <v>44991</v>
      </c>
      <c r="M332" s="739">
        <v>0.79166666666666663</v>
      </c>
      <c r="N332" s="373">
        <v>8</v>
      </c>
      <c r="O332" s="422" t="s">
        <v>17</v>
      </c>
      <c r="P332" s="375" t="s">
        <v>544</v>
      </c>
      <c r="Q332" s="744" t="s">
        <v>295</v>
      </c>
      <c r="R332" s="202" t="s">
        <v>40</v>
      </c>
      <c r="S332" s="31" t="s">
        <v>273</v>
      </c>
      <c r="T332" s="31" t="s">
        <v>273</v>
      </c>
      <c r="U332" s="31">
        <f>IFERROR(VLOOKUP(CONCATENATE(Tabla1[[#This Row],[Severidad]]," ",Tabla1[[#This Row],[Complejidad]]),Catalogos!E$120:G$128,3,FALSE),"")</f>
        <v>64</v>
      </c>
      <c r="V332" s="31" t="str">
        <f>IF(Tabla1[[#This Row],[Tiempo solución max (hrs)]]&lt;&gt;"",IF(Tabla1[[#This Row],[Tiempo solución max (hrs)]]&gt;=Tabla1[[#This Row],[Tiempo
(Hrs 00/100)]],"cumple","no cumple"),"")</f>
        <v>cumple</v>
      </c>
      <c r="W332" s="376" t="s">
        <v>681</v>
      </c>
      <c r="X332" s="377" t="str">
        <f t="shared" si="52"/>
        <v>SSI</v>
      </c>
      <c r="Y332" t="str">
        <f>SUBSTITUTE(Tabla1[[#This Row],[Descripción]],CHAR(10),"    I    ")</f>
        <v>Generación de filtros en cascada en la parte de búsqueda, y en la creación de nuevo.</v>
      </c>
      <c r="Z332" s="378">
        <f>VLOOKUP(Tabla1[[#This Row],[Perfil]],Catalogos!$B$75:$D$100,3,FALSE)*Tabla1[[#This Row],[Tiempo
(Hrs 00/100)]]*1.16</f>
        <v>6496</v>
      </c>
    </row>
    <row r="333" spans="1:26" ht="42.75" customHeight="1" x14ac:dyDescent="0.3">
      <c r="A333" s="370" t="s">
        <v>58</v>
      </c>
      <c r="B333" s="370" t="s">
        <v>305</v>
      </c>
      <c r="C333" s="205" t="s">
        <v>45</v>
      </c>
      <c r="D333" s="382"/>
      <c r="E333" s="370" t="s">
        <v>689</v>
      </c>
      <c r="F333" s="370" t="s">
        <v>72</v>
      </c>
      <c r="G333" s="370"/>
      <c r="H333" s="371" t="s">
        <v>687</v>
      </c>
      <c r="I333" s="371" t="s">
        <v>690</v>
      </c>
      <c r="J333" s="369">
        <v>44992</v>
      </c>
      <c r="K333" s="747">
        <v>0.375</v>
      </c>
      <c r="L333" s="369">
        <v>44992</v>
      </c>
      <c r="M333" s="753">
        <v>0.79166666666666663</v>
      </c>
      <c r="N333" s="210">
        <v>8</v>
      </c>
      <c r="O333" s="374" t="s">
        <v>17</v>
      </c>
      <c r="P333" s="375" t="s">
        <v>544</v>
      </c>
      <c r="Q333" s="744" t="s">
        <v>295</v>
      </c>
      <c r="R333" s="202" t="s">
        <v>40</v>
      </c>
      <c r="S333" s="31" t="s">
        <v>273</v>
      </c>
      <c r="T333" s="31" t="s">
        <v>273</v>
      </c>
      <c r="U333" s="31">
        <f>IFERROR(VLOOKUP(CONCATENATE(Tabla1[[#This Row],[Severidad]]," ",Tabla1[[#This Row],[Complejidad]]),Catalogos!E$120:G$128,3,FALSE),"")</f>
        <v>64</v>
      </c>
      <c r="V333" s="31" t="str">
        <f>IF(Tabla1[[#This Row],[Tiempo solución max (hrs)]]&lt;&gt;"",IF(Tabla1[[#This Row],[Tiempo solución max (hrs)]]&gt;=Tabla1[[#This Row],[Tiempo
(Hrs 00/100)]],"cumple","no cumple"),"")</f>
        <v>cumple</v>
      </c>
      <c r="W333" s="376" t="s">
        <v>681</v>
      </c>
      <c r="X333" s="377" t="str">
        <f t="shared" si="52"/>
        <v>SPD</v>
      </c>
      <c r="Y333" t="str">
        <f>SUBSTITUTE(Tabla1[[#This Row],[Descripción]],CHAR(10),"    I    ")</f>
        <v>Programación de modulos : Integrantes lineas de accion, Implementaciòn actividades, seguimiento actividades, Formato ABC, Catalogo lineas de accion</v>
      </c>
      <c r="Z333" s="378">
        <f>VLOOKUP(Tabla1[[#This Row],[Perfil]],Catalogos!$B$75:$D$100,3,FALSE)*Tabla1[[#This Row],[Tiempo
(Hrs 00/100)]]*1.16</f>
        <v>6496</v>
      </c>
    </row>
    <row r="334" spans="1:26" ht="42.75" customHeight="1" x14ac:dyDescent="0.3">
      <c r="A334" s="370" t="s">
        <v>58</v>
      </c>
      <c r="B334" s="370" t="s">
        <v>305</v>
      </c>
      <c r="C334" s="205" t="s">
        <v>45</v>
      </c>
      <c r="D334" s="370"/>
      <c r="E334" s="370" t="s">
        <v>689</v>
      </c>
      <c r="F334" s="370" t="s">
        <v>72</v>
      </c>
      <c r="G334" s="370"/>
      <c r="H334" s="371" t="s">
        <v>689</v>
      </c>
      <c r="I334" s="371" t="s">
        <v>691</v>
      </c>
      <c r="J334" s="369">
        <v>44993</v>
      </c>
      <c r="K334" s="709">
        <v>0.375</v>
      </c>
      <c r="L334" s="369">
        <v>44993</v>
      </c>
      <c r="M334" s="739">
        <v>0.79166666666666663</v>
      </c>
      <c r="N334" s="373">
        <v>8</v>
      </c>
      <c r="O334" s="422" t="s">
        <v>17</v>
      </c>
      <c r="P334" s="375" t="s">
        <v>705</v>
      </c>
      <c r="Q334" s="744" t="s">
        <v>295</v>
      </c>
      <c r="R334" s="202" t="s">
        <v>40</v>
      </c>
      <c r="S334" s="31" t="s">
        <v>273</v>
      </c>
      <c r="T334" s="31" t="s">
        <v>273</v>
      </c>
      <c r="U334" s="31">
        <f>IFERROR(VLOOKUP(CONCATENATE(Tabla1[[#This Row],[Severidad]]," ",Tabla1[[#This Row],[Complejidad]]),Catalogos!E$120:G$128,3,FALSE),"")</f>
        <v>64</v>
      </c>
      <c r="V334" s="31" t="str">
        <f>IF(Tabla1[[#This Row],[Tiempo solución max (hrs)]]&lt;&gt;"",IF(Tabla1[[#This Row],[Tiempo solución max (hrs)]]&gt;=Tabla1[[#This Row],[Tiempo
(Hrs 00/100)]],"cumple","no cumple"),"")</f>
        <v>cumple</v>
      </c>
      <c r="W334" s="376" t="s">
        <v>681</v>
      </c>
      <c r="X334" s="377" t="str">
        <f t="shared" si="52"/>
        <v>SPD</v>
      </c>
      <c r="Y334" t="str">
        <f>SUBSTITUTE(Tabla1[[#This Row],[Descripción]],CHAR(10),"    I    ")</f>
        <v>Reunión, acuerdos y revisión de las tecnologias que se utilizarán  para el desarrollo del Buscador</v>
      </c>
      <c r="Z334" s="378">
        <f>VLOOKUP(Tabla1[[#This Row],[Perfil]],Catalogos!$B$75:$D$100,3,FALSE)*Tabla1[[#This Row],[Tiempo
(Hrs 00/100)]]*1.16</f>
        <v>6496</v>
      </c>
    </row>
    <row r="335" spans="1:26" ht="42.75" customHeight="1" x14ac:dyDescent="0.3">
      <c r="A335" s="370" t="s">
        <v>58</v>
      </c>
      <c r="B335" s="370" t="s">
        <v>305</v>
      </c>
      <c r="C335" s="205" t="s">
        <v>45</v>
      </c>
      <c r="D335" s="370"/>
      <c r="E335" s="370" t="s">
        <v>689</v>
      </c>
      <c r="F335" s="370" t="s">
        <v>72</v>
      </c>
      <c r="G335" s="370"/>
      <c r="H335" s="371" t="s">
        <v>689</v>
      </c>
      <c r="I335" s="371" t="s">
        <v>692</v>
      </c>
      <c r="J335" s="369">
        <v>44994</v>
      </c>
      <c r="K335" s="709">
        <v>0.375</v>
      </c>
      <c r="L335" s="369">
        <v>44994</v>
      </c>
      <c r="M335" s="739">
        <v>0.79166666666666663</v>
      </c>
      <c r="N335" s="373">
        <v>8</v>
      </c>
      <c r="O335" s="422" t="s">
        <v>17</v>
      </c>
      <c r="P335" s="375" t="s">
        <v>705</v>
      </c>
      <c r="Q335" s="744" t="s">
        <v>295</v>
      </c>
      <c r="R335" s="202" t="s">
        <v>40</v>
      </c>
      <c r="S335" s="31" t="s">
        <v>273</v>
      </c>
      <c r="T335" s="31" t="s">
        <v>273</v>
      </c>
      <c r="U335" s="31">
        <f>IFERROR(VLOOKUP(CONCATENATE(Tabla1[[#This Row],[Severidad]]," ",Tabla1[[#This Row],[Complejidad]]),Catalogos!E$120:G$128,3,FALSE),"")</f>
        <v>64</v>
      </c>
      <c r="V335" s="31" t="str">
        <f>IF(Tabla1[[#This Row],[Tiempo solución max (hrs)]]&lt;&gt;"",IF(Tabla1[[#This Row],[Tiempo solución max (hrs)]]&gt;=Tabla1[[#This Row],[Tiempo
(Hrs 00/100)]],"cumple","no cumple"),"")</f>
        <v>cumple</v>
      </c>
      <c r="W335" s="376" t="s">
        <v>681</v>
      </c>
      <c r="X335" s="377" t="str">
        <f t="shared" si="52"/>
        <v>SPD</v>
      </c>
      <c r="Y335" t="str">
        <f>SUBSTITUTE(Tabla1[[#This Row],[Descripción]],CHAR(10),"    I    ")</f>
        <v>Recepción de  maquetado e inicio del análisis del Buscador</v>
      </c>
      <c r="Z335" s="378">
        <f>VLOOKUP(Tabla1[[#This Row],[Perfil]],Catalogos!$B$75:$D$100,3,FALSE)*Tabla1[[#This Row],[Tiempo
(Hrs 00/100)]]*1.16</f>
        <v>6496</v>
      </c>
    </row>
    <row r="336" spans="1:26" ht="42.75" customHeight="1" x14ac:dyDescent="0.3">
      <c r="A336" s="370" t="s">
        <v>58</v>
      </c>
      <c r="B336" s="370" t="s">
        <v>305</v>
      </c>
      <c r="C336" s="205" t="s">
        <v>45</v>
      </c>
      <c r="D336" s="370"/>
      <c r="E336" s="370" t="s">
        <v>689</v>
      </c>
      <c r="F336" s="370" t="s">
        <v>72</v>
      </c>
      <c r="G336" s="370"/>
      <c r="H336" s="371" t="s">
        <v>689</v>
      </c>
      <c r="I336" s="383" t="s">
        <v>693</v>
      </c>
      <c r="J336" s="369">
        <v>44995</v>
      </c>
      <c r="K336" s="747">
        <v>0.375</v>
      </c>
      <c r="L336" s="369">
        <v>44995</v>
      </c>
      <c r="M336" s="753">
        <v>0.625</v>
      </c>
      <c r="N336" s="373">
        <v>6</v>
      </c>
      <c r="O336" s="422" t="s">
        <v>17</v>
      </c>
      <c r="P336" s="375" t="s">
        <v>705</v>
      </c>
      <c r="Q336" s="744" t="s">
        <v>295</v>
      </c>
      <c r="R336" s="202" t="s">
        <v>40</v>
      </c>
      <c r="S336" s="31" t="s">
        <v>273</v>
      </c>
      <c r="T336" s="31" t="s">
        <v>273</v>
      </c>
      <c r="U336" s="31">
        <f>IFERROR(VLOOKUP(CONCATENATE(Tabla1[[#This Row],[Severidad]]," ",Tabla1[[#This Row],[Complejidad]]),Catalogos!E$120:G$128,3,FALSE),"")</f>
        <v>64</v>
      </c>
      <c r="V336" s="31" t="str">
        <f>IF(Tabla1[[#This Row],[Tiempo solución max (hrs)]]&lt;&gt;"",IF(Tabla1[[#This Row],[Tiempo solución max (hrs)]]&gt;=Tabla1[[#This Row],[Tiempo
(Hrs 00/100)]],"cumple","no cumple"),"")</f>
        <v>cumple</v>
      </c>
      <c r="W336" s="376" t="s">
        <v>681</v>
      </c>
      <c r="X336" s="377" t="str">
        <f t="shared" si="52"/>
        <v>SPD</v>
      </c>
      <c r="Y336" t="str">
        <f>SUBSTITUTE(Tabla1[[#This Row],[Descripción]],CHAR(10),"    I    ")</f>
        <v>Inicio investigacion de la tecnologia Redux con Ngrx</v>
      </c>
      <c r="Z336" s="378">
        <f>VLOOKUP(Tabla1[[#This Row],[Perfil]],Catalogos!$B$75:$D$100,3,FALSE)*Tabla1[[#This Row],[Tiempo
(Hrs 00/100)]]*1.16</f>
        <v>4872</v>
      </c>
    </row>
    <row r="337" spans="1:26" ht="42.75" customHeight="1" x14ac:dyDescent="0.3">
      <c r="A337" s="210" t="s">
        <v>58</v>
      </c>
      <c r="B337" s="374" t="s">
        <v>305</v>
      </c>
      <c r="C337" s="205" t="s">
        <v>45</v>
      </c>
      <c r="D337" s="382"/>
      <c r="E337" s="370" t="s">
        <v>689</v>
      </c>
      <c r="F337" s="210" t="s">
        <v>72</v>
      </c>
      <c r="G337" s="370"/>
      <c r="H337" s="371" t="s">
        <v>694</v>
      </c>
      <c r="I337" s="383" t="s">
        <v>695</v>
      </c>
      <c r="J337" s="369">
        <v>44998</v>
      </c>
      <c r="K337" s="747">
        <v>0.375</v>
      </c>
      <c r="L337" s="369">
        <v>44998</v>
      </c>
      <c r="M337" s="753">
        <v>0.45833333333333331</v>
      </c>
      <c r="N337" s="210">
        <v>2</v>
      </c>
      <c r="O337" s="422" t="s">
        <v>17</v>
      </c>
      <c r="P337" s="375" t="s">
        <v>705</v>
      </c>
      <c r="Q337" s="744" t="s">
        <v>295</v>
      </c>
      <c r="R337" s="202" t="s">
        <v>40</v>
      </c>
      <c r="S337" s="31" t="s">
        <v>273</v>
      </c>
      <c r="T337" s="31" t="s">
        <v>273</v>
      </c>
      <c r="U337" s="31">
        <f>IFERROR(VLOOKUP(CONCATENATE(Tabla1[[#This Row],[Severidad]]," ",Tabla1[[#This Row],[Complejidad]]),Catalogos!E$120:G$128,3,FALSE),"")</f>
        <v>64</v>
      </c>
      <c r="V337" s="31" t="str">
        <f>IF(Tabla1[[#This Row],[Tiempo solución max (hrs)]]&lt;&gt;"",IF(Tabla1[[#This Row],[Tiempo solución max (hrs)]]&gt;=Tabla1[[#This Row],[Tiempo
(Hrs 00/100)]],"cumple","no cumple"),"")</f>
        <v>cumple</v>
      </c>
      <c r="W337" s="376" t="s">
        <v>681</v>
      </c>
      <c r="X337" s="377" t="str">
        <f t="shared" si="52"/>
        <v>SPD</v>
      </c>
      <c r="Y337" t="str">
        <f>SUBSTITUTE(Tabla1[[#This Row],[Descripción]],CHAR(10),"    I    ")</f>
        <v>Reunión para trabajar con el equipo y banderazo para iniciar con el análisis del desarrollo del Buscador</v>
      </c>
      <c r="Z337" s="378">
        <f>VLOOKUP(Tabla1[[#This Row],[Perfil]],Catalogos!$B$75:$D$100,3,FALSE)*Tabla1[[#This Row],[Tiempo
(Hrs 00/100)]]*1.16</f>
        <v>1624</v>
      </c>
    </row>
    <row r="338" spans="1:26" ht="42.75" customHeight="1" x14ac:dyDescent="0.3">
      <c r="A338" s="210" t="s">
        <v>58</v>
      </c>
      <c r="B338" s="374" t="s">
        <v>305</v>
      </c>
      <c r="C338" s="205" t="s">
        <v>45</v>
      </c>
      <c r="D338" s="382"/>
      <c r="E338" s="370" t="s">
        <v>689</v>
      </c>
      <c r="F338" s="210" t="s">
        <v>72</v>
      </c>
      <c r="G338" s="370"/>
      <c r="H338" s="371" t="s">
        <v>696</v>
      </c>
      <c r="I338" s="383" t="s">
        <v>697</v>
      </c>
      <c r="J338" s="369">
        <v>44998</v>
      </c>
      <c r="K338" s="753">
        <v>0.45833333333333331</v>
      </c>
      <c r="L338" s="369">
        <v>44998</v>
      </c>
      <c r="M338" s="739">
        <v>0.79166666666666663</v>
      </c>
      <c r="N338" s="210">
        <v>6</v>
      </c>
      <c r="O338" s="422" t="s">
        <v>17</v>
      </c>
      <c r="P338" s="375" t="s">
        <v>705</v>
      </c>
      <c r="Q338" s="744" t="s">
        <v>295</v>
      </c>
      <c r="R338" s="202" t="s">
        <v>40</v>
      </c>
      <c r="S338" s="31" t="s">
        <v>273</v>
      </c>
      <c r="T338" s="31" t="s">
        <v>273</v>
      </c>
      <c r="U338" s="31">
        <f>IFERROR(VLOOKUP(CONCATENATE(Tabla1[[#This Row],[Severidad]]," ",Tabla1[[#This Row],[Complejidad]]),Catalogos!E$120:G$128,3,FALSE),"")</f>
        <v>64</v>
      </c>
      <c r="V338" s="31" t="str">
        <f>IF(Tabla1[[#This Row],[Tiempo solución max (hrs)]]&lt;&gt;"",IF(Tabla1[[#This Row],[Tiempo solución max (hrs)]]&gt;=Tabla1[[#This Row],[Tiempo
(Hrs 00/100)]],"cumple","no cumple"),"")</f>
        <v>cumple</v>
      </c>
      <c r="W338" s="376" t="s">
        <v>681</v>
      </c>
      <c r="X338" s="377" t="str">
        <f t="shared" ref="X338:X347" si="58">IF(C338&lt;&gt;"",C338,D338)</f>
        <v>SPD</v>
      </c>
      <c r="Y338" t="str">
        <f>SUBSTITUTE(Tabla1[[#This Row],[Descripción]],CHAR(10),"    I    ")</f>
        <v>Inicio de capacitación tecnología Redux</v>
      </c>
      <c r="Z338" s="378">
        <f>VLOOKUP(Tabla1[[#This Row],[Perfil]],Catalogos!$B$75:$D$100,3,FALSE)*Tabla1[[#This Row],[Tiempo
(Hrs 00/100)]]*1.16</f>
        <v>4872</v>
      </c>
    </row>
    <row r="339" spans="1:26" ht="42.75" customHeight="1" x14ac:dyDescent="0.3">
      <c r="A339" s="210" t="s">
        <v>58</v>
      </c>
      <c r="B339" s="374" t="s">
        <v>305</v>
      </c>
      <c r="C339" s="205" t="s">
        <v>45</v>
      </c>
      <c r="D339" s="382"/>
      <c r="E339" s="370" t="s">
        <v>689</v>
      </c>
      <c r="F339" s="210" t="s">
        <v>72</v>
      </c>
      <c r="G339" s="370"/>
      <c r="H339" s="371" t="s">
        <v>698</v>
      </c>
      <c r="I339" s="383" t="s">
        <v>699</v>
      </c>
      <c r="J339" s="369">
        <v>44999</v>
      </c>
      <c r="K339" s="709">
        <v>0.375</v>
      </c>
      <c r="L339" s="369">
        <v>44999</v>
      </c>
      <c r="M339" s="753">
        <v>0.41666666666666669</v>
      </c>
      <c r="N339" s="210">
        <v>1</v>
      </c>
      <c r="O339" s="422" t="s">
        <v>17</v>
      </c>
      <c r="P339" s="375" t="s">
        <v>705</v>
      </c>
      <c r="Q339" s="744" t="s">
        <v>295</v>
      </c>
      <c r="R339" s="202" t="s">
        <v>40</v>
      </c>
      <c r="S339" s="31" t="s">
        <v>273</v>
      </c>
      <c r="T339" s="31" t="s">
        <v>273</v>
      </c>
      <c r="U339" s="31">
        <f>IFERROR(VLOOKUP(CONCATENATE(Tabla1[[#This Row],[Severidad]]," ",Tabla1[[#This Row],[Complejidad]]),Catalogos!E$120:G$128,3,FALSE),"")</f>
        <v>64</v>
      </c>
      <c r="V339" s="31" t="str">
        <f>IF(Tabla1[[#This Row],[Tiempo solución max (hrs)]]&lt;&gt;"",IF(Tabla1[[#This Row],[Tiempo solución max (hrs)]]&gt;=Tabla1[[#This Row],[Tiempo
(Hrs 00/100)]],"cumple","no cumple"),"")</f>
        <v>cumple</v>
      </c>
      <c r="W339" s="376" t="s">
        <v>681</v>
      </c>
      <c r="X339" s="377" t="str">
        <f t="shared" si="58"/>
        <v>SPD</v>
      </c>
      <c r="Y339" t="str">
        <f>SUBSTITUTE(Tabla1[[#This Row],[Descripción]],CHAR(10),"    I    ")</f>
        <v>Validación grupal de accesos al repositorio</v>
      </c>
      <c r="Z339" s="378">
        <f>VLOOKUP(Tabla1[[#This Row],[Perfil]],Catalogos!$B$75:$D$100,3,FALSE)*Tabla1[[#This Row],[Tiempo
(Hrs 00/100)]]*1.16</f>
        <v>812</v>
      </c>
    </row>
    <row r="340" spans="1:26" ht="42.75" customHeight="1" x14ac:dyDescent="0.3">
      <c r="A340" s="370" t="s">
        <v>22</v>
      </c>
      <c r="B340" s="370" t="s">
        <v>65</v>
      </c>
      <c r="C340" s="418" t="s">
        <v>45</v>
      </c>
      <c r="D340" s="370"/>
      <c r="E340" s="370" t="s">
        <v>689</v>
      </c>
      <c r="F340" s="370" t="s">
        <v>73</v>
      </c>
      <c r="G340" s="370"/>
      <c r="H340" s="371" t="s">
        <v>700</v>
      </c>
      <c r="I340" s="383" t="s">
        <v>701</v>
      </c>
      <c r="J340" s="369">
        <v>44999</v>
      </c>
      <c r="K340" s="753">
        <v>0.41666666666666669</v>
      </c>
      <c r="L340" s="369">
        <v>44999</v>
      </c>
      <c r="M340" s="739">
        <v>0.79166666666666663</v>
      </c>
      <c r="N340" s="373">
        <v>8</v>
      </c>
      <c r="O340" s="422" t="s">
        <v>17</v>
      </c>
      <c r="P340" s="375" t="s">
        <v>705</v>
      </c>
      <c r="Q340" s="744" t="s">
        <v>295</v>
      </c>
      <c r="R340" s="202" t="s">
        <v>40</v>
      </c>
      <c r="S340" s="31" t="s">
        <v>273</v>
      </c>
      <c r="T340" s="31" t="s">
        <v>273</v>
      </c>
      <c r="U340" s="31">
        <f>IFERROR(VLOOKUP(CONCATENATE(Tabla1[[#This Row],[Severidad]]," ",Tabla1[[#This Row],[Complejidad]]),Catalogos!E$120:G$128,3,FALSE),"")</f>
        <v>64</v>
      </c>
      <c r="V340" s="31" t="str">
        <f>IF(Tabla1[[#This Row],[Tiempo solución max (hrs)]]&lt;&gt;"",IF(Tabla1[[#This Row],[Tiempo solución max (hrs)]]&gt;=Tabla1[[#This Row],[Tiempo
(Hrs 00/100)]],"cumple","no cumple"),"")</f>
        <v>cumple</v>
      </c>
      <c r="W340" s="376" t="s">
        <v>681</v>
      </c>
      <c r="X340" s="377" t="str">
        <f t="shared" si="58"/>
        <v>SPD</v>
      </c>
      <c r="Y340" t="str">
        <f>SUBSTITUTE(Tabla1[[#This Row],[Descripción]],CHAR(10),"    I    ")</f>
        <v>Maquetado del carrusel principal</v>
      </c>
      <c r="Z340" s="378">
        <f>VLOOKUP(Tabla1[[#This Row],[Perfil]],Catalogos!$B$75:$D$100,3,FALSE)*Tabla1[[#This Row],[Tiempo
(Hrs 00/100)]]*1.16</f>
        <v>6496</v>
      </c>
    </row>
    <row r="341" spans="1:26" ht="42.75" customHeight="1" x14ac:dyDescent="0.3">
      <c r="A341" s="210" t="s">
        <v>22</v>
      </c>
      <c r="B341" s="374" t="s">
        <v>65</v>
      </c>
      <c r="C341" s="205" t="s">
        <v>45</v>
      </c>
      <c r="D341" s="382"/>
      <c r="E341" s="370" t="s">
        <v>689</v>
      </c>
      <c r="F341" s="210" t="s">
        <v>73</v>
      </c>
      <c r="G341" s="370"/>
      <c r="H341" s="371" t="s">
        <v>702</v>
      </c>
      <c r="I341" s="383" t="s">
        <v>703</v>
      </c>
      <c r="J341" s="369">
        <v>45000</v>
      </c>
      <c r="K341" s="747">
        <v>0.375</v>
      </c>
      <c r="L341" s="369">
        <v>45000</v>
      </c>
      <c r="M341" s="753">
        <v>0.79166666666666663</v>
      </c>
      <c r="N341" s="210">
        <v>9</v>
      </c>
      <c r="O341" s="374" t="s">
        <v>411</v>
      </c>
      <c r="P341" s="375" t="s">
        <v>705</v>
      </c>
      <c r="Q341" s="744" t="s">
        <v>295</v>
      </c>
      <c r="R341" s="202" t="s">
        <v>40</v>
      </c>
      <c r="S341" s="31" t="s">
        <v>273</v>
      </c>
      <c r="T341" s="31" t="s">
        <v>273</v>
      </c>
      <c r="U341" s="31">
        <f>IFERROR(VLOOKUP(CONCATENATE(Tabla1[[#This Row],[Severidad]]," ",Tabla1[[#This Row],[Complejidad]]),Catalogos!E$120:G$128,3,FALSE),"")</f>
        <v>64</v>
      </c>
      <c r="V341" s="31" t="str">
        <f>IF(Tabla1[[#This Row],[Tiempo solución max (hrs)]]&lt;&gt;"",IF(Tabla1[[#This Row],[Tiempo solución max (hrs)]]&gt;=Tabla1[[#This Row],[Tiempo
(Hrs 00/100)]],"cumple","no cumple"),"")</f>
        <v>cumple</v>
      </c>
      <c r="W341" s="376" t="s">
        <v>681</v>
      </c>
      <c r="X341" s="377" t="str">
        <f t="shared" si="58"/>
        <v>SPD</v>
      </c>
      <c r="Y341" t="str">
        <f>SUBSTITUTE(Tabla1[[#This Row],[Descripción]],CHAR(10),"    I    ")</f>
        <v>Conexión con servicios sin aplicar redux para el carrusel princiapal, se mantiene en suspenso el uso del ngrx</v>
      </c>
      <c r="Z341" s="378">
        <f>VLOOKUP(Tabla1[[#This Row],[Perfil]],Catalogos!$B$75:$D$100,3,FALSE)*Tabla1[[#This Row],[Tiempo
(Hrs 00/100)]]*1.16</f>
        <v>7307.9999999999991</v>
      </c>
    </row>
    <row r="342" spans="1:26" ht="42.75" customHeight="1" x14ac:dyDescent="0.3">
      <c r="A342" s="370" t="s">
        <v>22</v>
      </c>
      <c r="B342" s="370" t="s">
        <v>65</v>
      </c>
      <c r="C342" s="205" t="s">
        <v>45</v>
      </c>
      <c r="D342" s="370"/>
      <c r="E342" s="370" t="s">
        <v>689</v>
      </c>
      <c r="F342" s="370" t="s">
        <v>73</v>
      </c>
      <c r="G342" s="370"/>
      <c r="H342" s="371" t="s">
        <v>702</v>
      </c>
      <c r="I342" s="383" t="s">
        <v>704</v>
      </c>
      <c r="J342" s="369">
        <v>45001</v>
      </c>
      <c r="K342" s="747">
        <v>0.375</v>
      </c>
      <c r="L342" s="369">
        <v>45001</v>
      </c>
      <c r="M342" s="753">
        <v>0.79166666666666663</v>
      </c>
      <c r="N342" s="373">
        <v>9</v>
      </c>
      <c r="O342" s="374" t="s">
        <v>17</v>
      </c>
      <c r="P342" s="375" t="s">
        <v>705</v>
      </c>
      <c r="Q342" s="744" t="s">
        <v>295</v>
      </c>
      <c r="R342" s="202" t="s">
        <v>40</v>
      </c>
      <c r="S342" s="31" t="s">
        <v>273</v>
      </c>
      <c r="T342" s="31" t="s">
        <v>273</v>
      </c>
      <c r="U342" s="31">
        <f>IFERROR(VLOOKUP(CONCATENATE(Tabla1[[#This Row],[Severidad]]," ",Tabla1[[#This Row],[Complejidad]]),Catalogos!E$120:G$128,3,FALSE),"")</f>
        <v>64</v>
      </c>
      <c r="V342" s="31" t="str">
        <f>IF(Tabla1[[#This Row],[Tiempo solución max (hrs)]]&lt;&gt;"",IF(Tabla1[[#This Row],[Tiempo solución max (hrs)]]&gt;=Tabla1[[#This Row],[Tiempo
(Hrs 00/100)]],"cumple","no cumple"),"")</f>
        <v>cumple</v>
      </c>
      <c r="W342" s="376" t="s">
        <v>681</v>
      </c>
      <c r="X342" s="377" t="str">
        <f t="shared" si="58"/>
        <v>SPD</v>
      </c>
      <c r="Y342" t="str">
        <f>SUBSTITUTE(Tabla1[[#This Row],[Descripción]],CHAR(10),"    I    ")</f>
        <v>Conexión con servicios sin aplicar redux para el carrusel princiapal, se mantiene en suspenso el uso del Ngrx</v>
      </c>
      <c r="Z342" s="378">
        <f>VLOOKUP(Tabla1[[#This Row],[Perfil]],Catalogos!$B$75:$D$100,3,FALSE)*Tabla1[[#This Row],[Tiempo
(Hrs 00/100)]]*1.16</f>
        <v>7307.9999999999991</v>
      </c>
    </row>
    <row r="343" spans="1:26" ht="42.75" customHeight="1" x14ac:dyDescent="0.3">
      <c r="A343" s="210" t="s">
        <v>22</v>
      </c>
      <c r="B343" s="374" t="s">
        <v>65</v>
      </c>
      <c r="C343" s="205" t="s">
        <v>45</v>
      </c>
      <c r="D343" s="382"/>
      <c r="E343" s="370" t="s">
        <v>689</v>
      </c>
      <c r="F343" s="210" t="s">
        <v>73</v>
      </c>
      <c r="G343" s="370"/>
      <c r="H343" s="419" t="s">
        <v>706</v>
      </c>
      <c r="I343" s="420" t="s">
        <v>707</v>
      </c>
      <c r="J343" s="369">
        <v>45002</v>
      </c>
      <c r="K343" s="739">
        <v>0.375</v>
      </c>
      <c r="L343" s="369">
        <v>45002</v>
      </c>
      <c r="M343" s="739">
        <v>0.625</v>
      </c>
      <c r="N343" s="210">
        <v>6</v>
      </c>
      <c r="O343" s="374" t="s">
        <v>17</v>
      </c>
      <c r="P343" s="375" t="s">
        <v>708</v>
      </c>
      <c r="Q343" s="744" t="s">
        <v>295</v>
      </c>
      <c r="R343" s="202" t="s">
        <v>40</v>
      </c>
      <c r="S343" s="31" t="s">
        <v>273</v>
      </c>
      <c r="T343" s="31" t="s">
        <v>273</v>
      </c>
      <c r="U343" s="31">
        <f>IFERROR(VLOOKUP(CONCATENATE(Tabla1[[#This Row],[Severidad]]," ",Tabla1[[#This Row],[Complejidad]]),Catalogos!E$120:G$128,3,FALSE),"")</f>
        <v>64</v>
      </c>
      <c r="V343" s="31" t="str">
        <f>IF(Tabla1[[#This Row],[Tiempo solución max (hrs)]]&lt;&gt;"",IF(Tabla1[[#This Row],[Tiempo solución max (hrs)]]&gt;=Tabla1[[#This Row],[Tiempo
(Hrs 00/100)]],"cumple","no cumple"),"")</f>
        <v>cumple</v>
      </c>
      <c r="W343" s="376" t="s">
        <v>681</v>
      </c>
      <c r="X343" s="377" t="str">
        <f t="shared" si="58"/>
        <v>SPD</v>
      </c>
      <c r="Y343" t="str">
        <f>SUBSTITUTE(Tabla1[[#This Row],[Descripción]],CHAR(10),"    I    ")</f>
        <v>Diseño de carrousel secundario y analisis de la tarjeta SISAI de la aplicación, daily</v>
      </c>
      <c r="Z343" s="378">
        <f>VLOOKUP(Tabla1[[#This Row],[Perfil]],Catalogos!$B$75:$D$100,3,FALSE)*Tabla1[[#This Row],[Tiempo
(Hrs 00/100)]]*1.16</f>
        <v>4872</v>
      </c>
    </row>
    <row r="344" spans="1:26" ht="42.75" customHeight="1" x14ac:dyDescent="0.3">
      <c r="A344" s="210" t="s">
        <v>22</v>
      </c>
      <c r="B344" s="374" t="s">
        <v>65</v>
      </c>
      <c r="C344" s="205" t="s">
        <v>45</v>
      </c>
      <c r="D344" s="382"/>
      <c r="E344" s="370" t="s">
        <v>689</v>
      </c>
      <c r="F344" s="210" t="s">
        <v>73</v>
      </c>
      <c r="G344" s="370"/>
      <c r="H344" s="371" t="s">
        <v>709</v>
      </c>
      <c r="I344" s="383" t="s">
        <v>710</v>
      </c>
      <c r="J344" s="369">
        <v>45006</v>
      </c>
      <c r="K344" s="709">
        <v>0.375</v>
      </c>
      <c r="L344" s="369">
        <v>45006</v>
      </c>
      <c r="M344" s="739">
        <v>0.79166666666666663</v>
      </c>
      <c r="N344" s="210">
        <v>8</v>
      </c>
      <c r="O344" s="422" t="s">
        <v>17</v>
      </c>
      <c r="P344" s="375" t="s">
        <v>708</v>
      </c>
      <c r="Q344" s="744" t="s">
        <v>295</v>
      </c>
      <c r="R344" s="202" t="s">
        <v>40</v>
      </c>
      <c r="S344" s="31" t="s">
        <v>273</v>
      </c>
      <c r="T344" s="31" t="s">
        <v>273</v>
      </c>
      <c r="U344" s="31">
        <f>IFERROR(VLOOKUP(CONCATENATE(Tabla1[[#This Row],[Severidad]]," ",Tabla1[[#This Row],[Complejidad]]),Catalogos!E$120:G$128,3,FALSE),"")</f>
        <v>64</v>
      </c>
      <c r="V344" s="31" t="str">
        <f>IF(Tabla1[[#This Row],[Tiempo solución max (hrs)]]&lt;&gt;"",IF(Tabla1[[#This Row],[Tiempo solución max (hrs)]]&gt;=Tabla1[[#This Row],[Tiempo
(Hrs 00/100)]],"cumple","no cumple"),"")</f>
        <v>cumple</v>
      </c>
      <c r="W344" s="376" t="s">
        <v>681</v>
      </c>
      <c r="X344" s="377" t="str">
        <f t="shared" si="58"/>
        <v>SPD</v>
      </c>
      <c r="Y344" t="str">
        <f>SUBSTITUTE(Tabla1[[#This Row],[Descripción]],CHAR(10),"    I    ")</f>
        <v>Implementación del del patrón de diseño Redux, a cards</v>
      </c>
      <c r="Z344" s="378">
        <f>VLOOKUP(Tabla1[[#This Row],[Perfil]],Catalogos!$B$75:$D$100,3,FALSE)*Tabla1[[#This Row],[Tiempo
(Hrs 00/100)]]*1.16</f>
        <v>6496</v>
      </c>
    </row>
    <row r="345" spans="1:26" ht="42.75" customHeight="1" x14ac:dyDescent="0.3">
      <c r="A345" s="210" t="s">
        <v>58</v>
      </c>
      <c r="B345" s="374" t="s">
        <v>305</v>
      </c>
      <c r="C345" s="205" t="s">
        <v>45</v>
      </c>
      <c r="D345" s="382"/>
      <c r="E345" s="370" t="s">
        <v>689</v>
      </c>
      <c r="F345" s="210" t="s">
        <v>73</v>
      </c>
      <c r="G345" s="370"/>
      <c r="H345" s="371" t="s">
        <v>709</v>
      </c>
      <c r="I345" s="383" t="s">
        <v>711</v>
      </c>
      <c r="J345" s="369">
        <v>45007</v>
      </c>
      <c r="K345" s="709">
        <v>0.375</v>
      </c>
      <c r="L345" s="369">
        <v>45007</v>
      </c>
      <c r="M345" s="753">
        <v>0.54166666666666663</v>
      </c>
      <c r="N345" s="210">
        <v>4</v>
      </c>
      <c r="O345" s="422" t="s">
        <v>17</v>
      </c>
      <c r="P345" s="375" t="s">
        <v>708</v>
      </c>
      <c r="Q345" s="744" t="s">
        <v>295</v>
      </c>
      <c r="R345" s="202" t="s">
        <v>40</v>
      </c>
      <c r="S345" s="31" t="s">
        <v>273</v>
      </c>
      <c r="T345" s="31" t="s">
        <v>273</v>
      </c>
      <c r="U345" s="31">
        <f>IFERROR(VLOOKUP(CONCATENATE(Tabla1[[#This Row],[Severidad]]," ",Tabla1[[#This Row],[Complejidad]]),Catalogos!E$120:G$128,3,FALSE),"")</f>
        <v>64</v>
      </c>
      <c r="V345" s="31" t="str">
        <f>IF(Tabla1[[#This Row],[Tiempo solución max (hrs)]]&lt;&gt;"",IF(Tabla1[[#This Row],[Tiempo solución max (hrs)]]&gt;=Tabla1[[#This Row],[Tiempo
(Hrs 00/100)]],"cumple","no cumple"),"")</f>
        <v>cumple</v>
      </c>
      <c r="W345" s="376" t="s">
        <v>681</v>
      </c>
      <c r="X345" s="377" t="str">
        <f t="shared" si="58"/>
        <v>SPD</v>
      </c>
      <c r="Y345" t="str">
        <f>SUBSTITUTE(Tabla1[[#This Row],[Descripción]],CHAR(10),"    I    ")</f>
        <v>Análisis de los códigos propuestos para la aplicación del patron redux, en equipo y por separado</v>
      </c>
      <c r="Z345" s="378">
        <f>VLOOKUP(Tabla1[[#This Row],[Perfil]],Catalogos!$B$75:$D$100,3,FALSE)*Tabla1[[#This Row],[Tiempo
(Hrs 00/100)]]*1.16</f>
        <v>3248</v>
      </c>
    </row>
    <row r="346" spans="1:26" ht="42.75" customHeight="1" x14ac:dyDescent="0.3">
      <c r="A346" s="210" t="s">
        <v>22</v>
      </c>
      <c r="B346" s="374" t="s">
        <v>62</v>
      </c>
      <c r="C346" s="205" t="s">
        <v>45</v>
      </c>
      <c r="D346" s="382"/>
      <c r="E346" s="370" t="s">
        <v>689</v>
      </c>
      <c r="F346" s="210" t="s">
        <v>73</v>
      </c>
      <c r="G346" s="370"/>
      <c r="H346" s="371" t="s">
        <v>712</v>
      </c>
      <c r="I346" s="383" t="s">
        <v>713</v>
      </c>
      <c r="J346" s="369">
        <v>45007</v>
      </c>
      <c r="K346" s="753">
        <v>0.54166666666666663</v>
      </c>
      <c r="L346" s="369">
        <v>45007</v>
      </c>
      <c r="M346" s="739">
        <v>0.79166666666666663</v>
      </c>
      <c r="N346" s="210">
        <v>5</v>
      </c>
      <c r="O346" s="422" t="s">
        <v>17</v>
      </c>
      <c r="P346" s="375" t="s">
        <v>708</v>
      </c>
      <c r="Q346" s="744" t="s">
        <v>295</v>
      </c>
      <c r="R346" s="202" t="s">
        <v>40</v>
      </c>
      <c r="S346" s="31" t="s">
        <v>273</v>
      </c>
      <c r="T346" s="31" t="s">
        <v>273</v>
      </c>
      <c r="U346" s="31">
        <f>IFERROR(VLOOKUP(CONCATENATE(Tabla1[[#This Row],[Severidad]]," ",Tabla1[[#This Row],[Complejidad]]),Catalogos!E$120:G$128,3,FALSE),"")</f>
        <v>64</v>
      </c>
      <c r="V346" s="31" t="str">
        <f>IF(Tabla1[[#This Row],[Tiempo solución max (hrs)]]&lt;&gt;"",IF(Tabla1[[#This Row],[Tiempo solución max (hrs)]]&gt;=Tabla1[[#This Row],[Tiempo
(Hrs 00/100)]],"cumple","no cumple"),"")</f>
        <v>cumple</v>
      </c>
      <c r="W346" s="376" t="s">
        <v>681</v>
      </c>
      <c r="X346" s="377" t="str">
        <f t="shared" si="58"/>
        <v>SPD</v>
      </c>
      <c r="Y346" t="str">
        <f>SUBSTITUTE(Tabla1[[#This Row],[Descripción]],CHAR(10),"    I    ")</f>
        <v>Conexión de un servicio,  sin Redux, para la modificación de las tarjetas como deben mostrarse ya con datos reales</v>
      </c>
      <c r="Z346" s="378">
        <f>VLOOKUP(Tabla1[[#This Row],[Perfil]],Catalogos!$B$75:$D$100,3,FALSE)*Tabla1[[#This Row],[Tiempo
(Hrs 00/100)]]*1.16</f>
        <v>4059.9999999999995</v>
      </c>
    </row>
    <row r="347" spans="1:26" ht="42.75" customHeight="1" x14ac:dyDescent="0.3">
      <c r="A347" s="210" t="s">
        <v>22</v>
      </c>
      <c r="B347" s="374" t="s">
        <v>62</v>
      </c>
      <c r="C347" s="205" t="s">
        <v>45</v>
      </c>
      <c r="D347" s="382"/>
      <c r="E347" s="370" t="s">
        <v>689</v>
      </c>
      <c r="F347" s="210" t="s">
        <v>73</v>
      </c>
      <c r="G347" s="370"/>
      <c r="H347" s="371" t="s">
        <v>712</v>
      </c>
      <c r="I347" s="383" t="s">
        <v>714</v>
      </c>
      <c r="J347" s="369">
        <v>45008</v>
      </c>
      <c r="K347" s="709">
        <v>0.375</v>
      </c>
      <c r="L347" s="369">
        <v>45008</v>
      </c>
      <c r="M347" s="739">
        <v>0.79166666666666663</v>
      </c>
      <c r="N347" s="210">
        <v>8</v>
      </c>
      <c r="O347" s="422" t="s">
        <v>17</v>
      </c>
      <c r="P347" s="375" t="s">
        <v>708</v>
      </c>
      <c r="Q347" s="744" t="s">
        <v>295</v>
      </c>
      <c r="R347" s="202" t="s">
        <v>40</v>
      </c>
      <c r="S347" s="31" t="s">
        <v>273</v>
      </c>
      <c r="T347" s="31" t="s">
        <v>273</v>
      </c>
      <c r="U347" s="31">
        <f>IFERROR(VLOOKUP(CONCATENATE(Tabla1[[#This Row],[Severidad]]," ",Tabla1[[#This Row],[Complejidad]]),Catalogos!E$120:G$128,3,FALSE),"")</f>
        <v>64</v>
      </c>
      <c r="V347" s="31" t="str">
        <f>IF(Tabla1[[#This Row],[Tiempo solución max (hrs)]]&lt;&gt;"",IF(Tabla1[[#This Row],[Tiempo solución max (hrs)]]&gt;=Tabla1[[#This Row],[Tiempo
(Hrs 00/100)]],"cumple","no cumple"),"")</f>
        <v>cumple</v>
      </c>
      <c r="W347" s="376" t="s">
        <v>681</v>
      </c>
      <c r="X347" s="377" t="str">
        <f t="shared" si="58"/>
        <v>SPD</v>
      </c>
      <c r="Y347" t="str">
        <f>SUBSTITUTE(Tabla1[[#This Row],[Descripción]],CHAR(10),"    I    ")</f>
        <v>Avances en tarjeta probabilidad de analisis, cambios en pagina de resultados</v>
      </c>
      <c r="Z347" s="378">
        <f>VLOOKUP(Tabla1[[#This Row],[Perfil]],Catalogos!$B$75:$D$100,3,FALSE)*Tabla1[[#This Row],[Tiempo
(Hrs 00/100)]]*1.16</f>
        <v>6496</v>
      </c>
    </row>
    <row r="348" spans="1:26" ht="42.75" customHeight="1" x14ac:dyDescent="0.3">
      <c r="A348" s="210" t="s">
        <v>22</v>
      </c>
      <c r="B348" s="374" t="s">
        <v>62</v>
      </c>
      <c r="C348" s="205" t="s">
        <v>45</v>
      </c>
      <c r="D348" s="382"/>
      <c r="E348" s="370" t="s">
        <v>689</v>
      </c>
      <c r="F348" s="210" t="s">
        <v>73</v>
      </c>
      <c r="G348" s="370"/>
      <c r="H348" s="371" t="s">
        <v>712</v>
      </c>
      <c r="I348" s="383" t="s">
        <v>715</v>
      </c>
      <c r="J348" s="369">
        <v>45009</v>
      </c>
      <c r="K348" s="709">
        <v>0.375</v>
      </c>
      <c r="L348" s="369">
        <v>45009</v>
      </c>
      <c r="M348" s="739">
        <v>0.79166666666666663</v>
      </c>
      <c r="N348" s="210">
        <v>8</v>
      </c>
      <c r="O348" s="422" t="s">
        <v>17</v>
      </c>
      <c r="P348" s="375" t="s">
        <v>708</v>
      </c>
      <c r="Q348" s="744" t="s">
        <v>295</v>
      </c>
      <c r="R348" s="202" t="s">
        <v>40</v>
      </c>
      <c r="S348" s="31" t="s">
        <v>273</v>
      </c>
      <c r="T348" s="31" t="s">
        <v>273</v>
      </c>
      <c r="U348" s="31">
        <f>IFERROR(VLOOKUP(CONCATENATE(Tabla1[[#This Row],[Severidad]]," ",Tabla1[[#This Row],[Complejidad]]),Catalogos!E$120:G$128,3,FALSE),"")</f>
        <v>64</v>
      </c>
      <c r="V348" s="31" t="str">
        <f>IF(Tabla1[[#This Row],[Tiempo solución max (hrs)]]&lt;&gt;"",IF(Tabla1[[#This Row],[Tiempo solución max (hrs)]]&gt;=Tabla1[[#This Row],[Tiempo
(Hrs 00/100)]],"cumple","no cumple"),"")</f>
        <v>cumple</v>
      </c>
      <c r="W348" s="376" t="s">
        <v>681</v>
      </c>
      <c r="X348" s="377" t="str">
        <f t="shared" ref="X348:X357" si="59">IF(C348&lt;&gt;"",C348,D348)</f>
        <v>SPD</v>
      </c>
      <c r="Y348" t="str">
        <f>SUBSTITUTE(Tabla1[[#This Row],[Descripción]],CHAR(10),"    I    ")</f>
        <v>Cambios en temas-page, preparacion para subida de graficos, actualizacion de tarjeta SISAI y caruseles</v>
      </c>
      <c r="Z348" s="378">
        <f>VLOOKUP(Tabla1[[#This Row],[Perfil]],Catalogos!$B$75:$D$100,3,FALSE)*Tabla1[[#This Row],[Tiempo
(Hrs 00/100)]]*1.16</f>
        <v>6496</v>
      </c>
    </row>
    <row r="349" spans="1:26" ht="42.75" customHeight="1" x14ac:dyDescent="0.3">
      <c r="A349" s="210" t="s">
        <v>22</v>
      </c>
      <c r="B349" s="374" t="s">
        <v>62</v>
      </c>
      <c r="C349" s="205" t="s">
        <v>45</v>
      </c>
      <c r="D349" s="382"/>
      <c r="E349" s="370" t="s">
        <v>689</v>
      </c>
      <c r="F349" s="210" t="s">
        <v>73</v>
      </c>
      <c r="G349" s="370"/>
      <c r="H349" s="371" t="s">
        <v>712</v>
      </c>
      <c r="I349" s="383" t="s">
        <v>716</v>
      </c>
      <c r="J349" s="369">
        <v>45012</v>
      </c>
      <c r="K349" s="747">
        <v>0.375</v>
      </c>
      <c r="L349" s="369">
        <v>45012</v>
      </c>
      <c r="M349" s="753">
        <v>0.79166666666666663</v>
      </c>
      <c r="N349" s="210">
        <v>8</v>
      </c>
      <c r="O349" s="374" t="s">
        <v>17</v>
      </c>
      <c r="P349" s="375" t="s">
        <v>708</v>
      </c>
      <c r="Q349" s="744" t="s">
        <v>295</v>
      </c>
      <c r="R349" s="202" t="s">
        <v>40</v>
      </c>
      <c r="S349" s="31" t="s">
        <v>273</v>
      </c>
      <c r="T349" s="31" t="s">
        <v>273</v>
      </c>
      <c r="U349" s="31">
        <f>IFERROR(VLOOKUP(CONCATENATE(Tabla1[[#This Row],[Severidad]]," ",Tabla1[[#This Row],[Complejidad]]),Catalogos!E$120:G$128,3,FALSE),"")</f>
        <v>64</v>
      </c>
      <c r="V349" s="31" t="str">
        <f>IF(Tabla1[[#This Row],[Tiempo solución max (hrs)]]&lt;&gt;"",IF(Tabla1[[#This Row],[Tiempo solución max (hrs)]]&gt;=Tabla1[[#This Row],[Tiempo
(Hrs 00/100)]],"cumple","no cumple"),"")</f>
        <v>cumple</v>
      </c>
      <c r="W349" s="376" t="s">
        <v>681</v>
      </c>
      <c r="X349" s="377" t="str">
        <f t="shared" si="59"/>
        <v>SPD</v>
      </c>
      <c r="Y349" t="str">
        <f>SUBSTITUTE(Tabla1[[#This Row],[Descripción]],CHAR(10),"    I    ")</f>
        <v>Corrección de errores, y cambios solicitados a tarjeta SISAI</v>
      </c>
      <c r="Z349" s="378">
        <f>VLOOKUP(Tabla1[[#This Row],[Perfil]],Catalogos!$B$75:$D$100,3,FALSE)*Tabla1[[#This Row],[Tiempo
(Hrs 00/100)]]*1.16</f>
        <v>6496</v>
      </c>
    </row>
    <row r="350" spans="1:26" ht="42.75" customHeight="1" x14ac:dyDescent="0.3">
      <c r="A350" s="210" t="s">
        <v>22</v>
      </c>
      <c r="B350" s="374" t="s">
        <v>62</v>
      </c>
      <c r="C350" s="205" t="s">
        <v>45</v>
      </c>
      <c r="D350" s="382"/>
      <c r="E350" s="370" t="s">
        <v>689</v>
      </c>
      <c r="F350" s="210" t="s">
        <v>73</v>
      </c>
      <c r="G350" s="370"/>
      <c r="H350" s="371" t="s">
        <v>717</v>
      </c>
      <c r="I350" s="383" t="s">
        <v>718</v>
      </c>
      <c r="J350" s="369">
        <v>45013</v>
      </c>
      <c r="K350" s="709">
        <v>0.375</v>
      </c>
      <c r="L350" s="369">
        <v>45013</v>
      </c>
      <c r="M350" s="739">
        <v>0.79166666666666663</v>
      </c>
      <c r="N350" s="210">
        <v>8</v>
      </c>
      <c r="O350" s="422" t="s">
        <v>17</v>
      </c>
      <c r="P350" s="375" t="s">
        <v>708</v>
      </c>
      <c r="Q350" s="744" t="s">
        <v>295</v>
      </c>
      <c r="R350" s="202" t="s">
        <v>40</v>
      </c>
      <c r="S350" s="31" t="s">
        <v>273</v>
      </c>
      <c r="T350" s="31" t="s">
        <v>273</v>
      </c>
      <c r="U350" s="31">
        <f>IFERROR(VLOOKUP(CONCATENATE(Tabla1[[#This Row],[Severidad]]," ",Tabla1[[#This Row],[Complejidad]]),Catalogos!E$120:G$128,3,FALSE),"")</f>
        <v>64</v>
      </c>
      <c r="V350" s="31" t="str">
        <f>IF(Tabla1[[#This Row],[Tiempo solución max (hrs)]]&lt;&gt;"",IF(Tabla1[[#This Row],[Tiempo solución max (hrs)]]&gt;=Tabla1[[#This Row],[Tiempo
(Hrs 00/100)]],"cumple","no cumple"),"")</f>
        <v>cumple</v>
      </c>
      <c r="W350" s="376" t="s">
        <v>681</v>
      </c>
      <c r="X350" s="377" t="str">
        <f t="shared" si="59"/>
        <v>SPD</v>
      </c>
      <c r="Y350" t="str">
        <f>SUBSTITUTE(Tabla1[[#This Row],[Descripción]],CHAR(10),"    I    ")</f>
        <v>Cambio en efectos, filtros, input-search, efectos y reducers, tarjeta SISAI</v>
      </c>
      <c r="Z350" s="378">
        <f>VLOOKUP(Tabla1[[#This Row],[Perfil]],Catalogos!$B$75:$D$100,3,FALSE)*Tabla1[[#This Row],[Tiempo
(Hrs 00/100)]]*1.16</f>
        <v>6496</v>
      </c>
    </row>
    <row r="351" spans="1:26" ht="42.75" customHeight="1" x14ac:dyDescent="0.3">
      <c r="A351" s="210" t="s">
        <v>22</v>
      </c>
      <c r="B351" s="374" t="s">
        <v>62</v>
      </c>
      <c r="C351" s="205" t="s">
        <v>45</v>
      </c>
      <c r="D351" s="382"/>
      <c r="E351" s="370" t="s">
        <v>689</v>
      </c>
      <c r="F351" s="210" t="s">
        <v>73</v>
      </c>
      <c r="G351" s="370"/>
      <c r="H351" s="371" t="s">
        <v>719</v>
      </c>
      <c r="I351" s="383" t="s">
        <v>720</v>
      </c>
      <c r="J351" s="369">
        <v>45014</v>
      </c>
      <c r="K351" s="747">
        <v>0.375</v>
      </c>
      <c r="L351" s="369">
        <v>45014</v>
      </c>
      <c r="M351" s="753">
        <v>0.79166666666666663</v>
      </c>
      <c r="N351" s="210">
        <v>8</v>
      </c>
      <c r="O351" s="374" t="s">
        <v>17</v>
      </c>
      <c r="P351" s="375" t="s">
        <v>708</v>
      </c>
      <c r="Q351" s="744" t="s">
        <v>295</v>
      </c>
      <c r="R351" s="202" t="s">
        <v>40</v>
      </c>
      <c r="S351" s="31" t="s">
        <v>273</v>
      </c>
      <c r="T351" s="31" t="s">
        <v>273</v>
      </c>
      <c r="U351" s="31">
        <f>IFERROR(VLOOKUP(CONCATENATE(Tabla1[[#This Row],[Severidad]]," ",Tabla1[[#This Row],[Complejidad]]),Catalogos!E$120:G$128,3,FALSE),"")</f>
        <v>64</v>
      </c>
      <c r="V351" s="31" t="str">
        <f>IF(Tabla1[[#This Row],[Tiempo solución max (hrs)]]&lt;&gt;"",IF(Tabla1[[#This Row],[Tiempo solución max (hrs)]]&gt;=Tabla1[[#This Row],[Tiempo
(Hrs 00/100)]],"cumple","no cumple"),"")</f>
        <v>cumple</v>
      </c>
      <c r="W351" s="376" t="s">
        <v>681</v>
      </c>
      <c r="X351" s="377" t="str">
        <f t="shared" si="59"/>
        <v>SPD</v>
      </c>
      <c r="Y351" t="str">
        <f>SUBSTITUTE(Tabla1[[#This Row],[Descripción]],CHAR(10),"    I    ")</f>
        <v>Modificaciónes finales, de la tarjeta SISAI, creación de la tarjeta SICOM</v>
      </c>
      <c r="Z351" s="378">
        <f>VLOOKUP(Tabla1[[#This Row],[Perfil]],Catalogos!$B$75:$D$100,3,FALSE)*Tabla1[[#This Row],[Tiempo
(Hrs 00/100)]]*1.16</f>
        <v>6496</v>
      </c>
    </row>
    <row r="352" spans="1:26" ht="42.75" customHeight="1" x14ac:dyDescent="0.3">
      <c r="A352" s="210" t="s">
        <v>22</v>
      </c>
      <c r="B352" s="374" t="s">
        <v>62</v>
      </c>
      <c r="C352" s="205" t="s">
        <v>45</v>
      </c>
      <c r="D352" s="382"/>
      <c r="E352" s="370" t="s">
        <v>689</v>
      </c>
      <c r="F352" s="210" t="s">
        <v>73</v>
      </c>
      <c r="G352" s="370"/>
      <c r="H352" s="371" t="s">
        <v>721</v>
      </c>
      <c r="I352" s="383" t="s">
        <v>722</v>
      </c>
      <c r="J352" s="369">
        <v>45015</v>
      </c>
      <c r="K352" s="747">
        <v>0.375</v>
      </c>
      <c r="L352" s="369">
        <v>45015</v>
      </c>
      <c r="M352" s="753">
        <v>0.79166666666666663</v>
      </c>
      <c r="N352" s="210">
        <v>9</v>
      </c>
      <c r="O352" s="374" t="s">
        <v>17</v>
      </c>
      <c r="P352" s="375" t="s">
        <v>708</v>
      </c>
      <c r="Q352" s="744" t="s">
        <v>295</v>
      </c>
      <c r="R352" s="202" t="s">
        <v>40</v>
      </c>
      <c r="S352" s="31" t="s">
        <v>273</v>
      </c>
      <c r="T352" s="31" t="s">
        <v>273</v>
      </c>
      <c r="U352" s="31">
        <f>IFERROR(VLOOKUP(CONCATENATE(Tabla1[[#This Row],[Severidad]]," ",Tabla1[[#This Row],[Complejidad]]),Catalogos!E$120:G$128,3,FALSE),"")</f>
        <v>64</v>
      </c>
      <c r="V352" s="31" t="str">
        <f>IF(Tabla1[[#This Row],[Tiempo solución max (hrs)]]&lt;&gt;"",IF(Tabla1[[#This Row],[Tiempo solución max (hrs)]]&gt;=Tabla1[[#This Row],[Tiempo
(Hrs 00/100)]],"cumple","no cumple"),"")</f>
        <v>cumple</v>
      </c>
      <c r="W352" s="376" t="s">
        <v>681</v>
      </c>
      <c r="X352" s="377" t="str">
        <f t="shared" si="59"/>
        <v>SPD</v>
      </c>
      <c r="Y352" t="str">
        <f>SUBSTITUTE(Tabla1[[#This Row],[Descripción]],CHAR(10),"    I    ")</f>
        <v>Finalizacion de la tarjeta SICOM, Avances tarjeta SIPOT</v>
      </c>
      <c r="Z352" s="378">
        <f>VLOOKUP(Tabla1[[#This Row],[Perfil]],Catalogos!$B$75:$D$100,3,FALSE)*Tabla1[[#This Row],[Tiempo
(Hrs 00/100)]]*1.16</f>
        <v>7307.9999999999991</v>
      </c>
    </row>
    <row r="353" spans="1:26" ht="42.75" customHeight="1" x14ac:dyDescent="0.3">
      <c r="A353" s="210" t="s">
        <v>22</v>
      </c>
      <c r="B353" s="374" t="s">
        <v>62</v>
      </c>
      <c r="C353" s="205" t="s">
        <v>45</v>
      </c>
      <c r="D353" s="382"/>
      <c r="E353" s="370" t="s">
        <v>689</v>
      </c>
      <c r="F353" s="210" t="s">
        <v>73</v>
      </c>
      <c r="G353" s="370"/>
      <c r="H353" s="371" t="s">
        <v>721</v>
      </c>
      <c r="I353" s="383" t="s">
        <v>723</v>
      </c>
      <c r="J353" s="369">
        <v>45016</v>
      </c>
      <c r="K353" s="739">
        <v>0.375</v>
      </c>
      <c r="L353" s="369">
        <v>45016</v>
      </c>
      <c r="M353" s="739">
        <v>0.625</v>
      </c>
      <c r="N353" s="210">
        <v>6</v>
      </c>
      <c r="O353" s="374" t="s">
        <v>17</v>
      </c>
      <c r="P353" s="375" t="s">
        <v>708</v>
      </c>
      <c r="Q353" s="744" t="s">
        <v>295</v>
      </c>
      <c r="R353" s="202" t="s">
        <v>40</v>
      </c>
      <c r="S353" s="31" t="s">
        <v>273</v>
      </c>
      <c r="T353" s="31" t="s">
        <v>273</v>
      </c>
      <c r="U353" s="31">
        <f>IFERROR(VLOOKUP(CONCATENATE(Tabla1[[#This Row],[Severidad]]," ",Tabla1[[#This Row],[Complejidad]]),Catalogos!E$120:G$128,3,FALSE),"")</f>
        <v>64</v>
      </c>
      <c r="V353" s="31" t="str">
        <f>IF(Tabla1[[#This Row],[Tiempo solución max (hrs)]]&lt;&gt;"",IF(Tabla1[[#This Row],[Tiempo solución max (hrs)]]&gt;=Tabla1[[#This Row],[Tiempo
(Hrs 00/100)]],"cumple","no cumple"),"")</f>
        <v>cumple</v>
      </c>
      <c r="W353" s="376" t="s">
        <v>681</v>
      </c>
      <c r="X353" s="377" t="str">
        <f t="shared" si="59"/>
        <v>SPD</v>
      </c>
      <c r="Y353" t="str">
        <f>SUBSTITUTE(Tabla1[[#This Row],[Descripción]],CHAR(10),"    I    ")</f>
        <v>Finalizacion tarjeta SIPOT</v>
      </c>
      <c r="Z353" s="378">
        <f>VLOOKUP(Tabla1[[#This Row],[Perfil]],Catalogos!$B$75:$D$100,3,FALSE)*Tabla1[[#This Row],[Tiempo
(Hrs 00/100)]]*1.16</f>
        <v>4872</v>
      </c>
    </row>
    <row r="354" spans="1:26" ht="42.75" customHeight="1" x14ac:dyDescent="0.3">
      <c r="A354" s="433" t="s">
        <v>22</v>
      </c>
      <c r="B354" s="433" t="s">
        <v>23</v>
      </c>
      <c r="C354" s="433" t="s">
        <v>45</v>
      </c>
      <c r="D354" s="433"/>
      <c r="E354" s="433" t="s">
        <v>554</v>
      </c>
      <c r="F354" s="433" t="s">
        <v>23</v>
      </c>
      <c r="G354" s="433"/>
      <c r="H354" s="434" t="s">
        <v>724</v>
      </c>
      <c r="I354" s="434" t="s">
        <v>725</v>
      </c>
      <c r="J354" s="369">
        <v>44986</v>
      </c>
      <c r="K354" s="739">
        <v>0.375</v>
      </c>
      <c r="L354" s="369">
        <v>44986</v>
      </c>
      <c r="M354" s="753">
        <v>0.54166666666666663</v>
      </c>
      <c r="N354" s="433">
        <v>4</v>
      </c>
      <c r="O354" s="435" t="s">
        <v>17</v>
      </c>
      <c r="P354" s="436" t="s">
        <v>557</v>
      </c>
      <c r="Q354" s="754" t="s">
        <v>558</v>
      </c>
      <c r="R354" s="437" t="s">
        <v>263</v>
      </c>
      <c r="S354" s="31" t="s">
        <v>273</v>
      </c>
      <c r="T354" s="31" t="s">
        <v>273</v>
      </c>
      <c r="U354" s="31">
        <f>IFERROR(VLOOKUP(CONCATENATE(Tabla1[[#This Row],[Severidad]]," ",Tabla1[[#This Row],[Complejidad]]),Catalogos!E$120:G$128,3,FALSE),"")</f>
        <v>64</v>
      </c>
      <c r="V354" s="31" t="str">
        <f>IF(Tabla1[[#This Row],[Tiempo solución max (hrs)]]&lt;&gt;"",IF(Tabla1[[#This Row],[Tiempo solución max (hrs)]]&gt;=Tabla1[[#This Row],[Tiempo
(Hrs 00/100)]],"cumple","no cumple"),"")</f>
        <v>cumple</v>
      </c>
      <c r="W354" s="376" t="s">
        <v>681</v>
      </c>
      <c r="X354" s="377" t="str">
        <f t="shared" si="59"/>
        <v>SPD</v>
      </c>
      <c r="Y354" t="str">
        <f>SUBSTITUTE(Tabla1[[#This Row],[Descripción]],CHAR(10),"    I    ")</f>
        <v>Se analiza y construye la peticion oara generar la solicitud de informacion</v>
      </c>
      <c r="Z354" s="378">
        <f>VLOOKUP(Tabla1[[#This Row],[Perfil]],Catalogos!$B$75:$D$100,3,FALSE)*Tabla1[[#This Row],[Tiempo
(Hrs 00/100)]]*1.16</f>
        <v>2320</v>
      </c>
    </row>
    <row r="355" spans="1:26" ht="42.75" customHeight="1" x14ac:dyDescent="0.3">
      <c r="A355" s="433" t="s">
        <v>22</v>
      </c>
      <c r="B355" s="433" t="s">
        <v>23</v>
      </c>
      <c r="C355" s="433" t="s">
        <v>45</v>
      </c>
      <c r="D355" s="433"/>
      <c r="E355" s="433" t="s">
        <v>554</v>
      </c>
      <c r="F355" s="433" t="s">
        <v>23</v>
      </c>
      <c r="G355" s="433"/>
      <c r="H355" s="434" t="s">
        <v>724</v>
      </c>
      <c r="I355" s="434" t="s">
        <v>726</v>
      </c>
      <c r="J355" s="369">
        <v>44986</v>
      </c>
      <c r="K355" s="753">
        <v>0.54166666666666663</v>
      </c>
      <c r="L355" s="369">
        <v>44986</v>
      </c>
      <c r="M355" s="753">
        <v>0.79166666666666663</v>
      </c>
      <c r="N355" s="433">
        <v>4</v>
      </c>
      <c r="O355" s="435" t="s">
        <v>17</v>
      </c>
      <c r="P355" s="436" t="s">
        <v>557</v>
      </c>
      <c r="Q355" s="754" t="s">
        <v>558</v>
      </c>
      <c r="R355" s="437" t="s">
        <v>263</v>
      </c>
      <c r="S355" s="31" t="s">
        <v>273</v>
      </c>
      <c r="T355" s="31" t="s">
        <v>273</v>
      </c>
      <c r="U355" s="31">
        <f>IFERROR(VLOOKUP(CONCATENATE(Tabla1[[#This Row],[Severidad]]," ",Tabla1[[#This Row],[Complejidad]]),Catalogos!E$120:G$128,3,FALSE),"")</f>
        <v>64</v>
      </c>
      <c r="V355" s="31" t="str">
        <f>IF(Tabla1[[#This Row],[Tiempo solución max (hrs)]]&lt;&gt;"",IF(Tabla1[[#This Row],[Tiempo solución max (hrs)]]&gt;=Tabla1[[#This Row],[Tiempo
(Hrs 00/100)]],"cumple","no cumple"),"")</f>
        <v>cumple</v>
      </c>
      <c r="W355" s="376" t="s">
        <v>681</v>
      </c>
      <c r="X355" s="377" t="str">
        <f t="shared" si="59"/>
        <v>SPD</v>
      </c>
      <c r="Y355" t="str">
        <f>SUBSTITUTE(Tabla1[[#This Row],[Descripción]],CHAR(10),"    I    ")</f>
        <v>Se integra nuevo servicio para recuperar datos estadisticos del usuario, relevantes para el alta de solicitud</v>
      </c>
      <c r="Z355" s="378">
        <f>VLOOKUP(Tabla1[[#This Row],[Perfil]],Catalogos!$B$75:$D$100,3,FALSE)*Tabla1[[#This Row],[Tiempo
(Hrs 00/100)]]*1.16</f>
        <v>2320</v>
      </c>
    </row>
    <row r="356" spans="1:26" ht="42.75" customHeight="1" x14ac:dyDescent="0.3">
      <c r="A356" s="433" t="s">
        <v>22</v>
      </c>
      <c r="B356" s="433" t="s">
        <v>23</v>
      </c>
      <c r="C356" s="433" t="s">
        <v>45</v>
      </c>
      <c r="D356" s="433"/>
      <c r="E356" s="433" t="s">
        <v>554</v>
      </c>
      <c r="F356" s="433" t="s">
        <v>23</v>
      </c>
      <c r="G356" s="433"/>
      <c r="H356" s="434" t="s">
        <v>727</v>
      </c>
      <c r="I356" s="434" t="s">
        <v>725</v>
      </c>
      <c r="J356" s="369">
        <v>44987</v>
      </c>
      <c r="K356" s="739">
        <v>0.375</v>
      </c>
      <c r="L356" s="369">
        <v>44987</v>
      </c>
      <c r="M356" s="753">
        <v>0.45833333333333331</v>
      </c>
      <c r="N356" s="433">
        <v>2</v>
      </c>
      <c r="O356" s="435" t="s">
        <v>17</v>
      </c>
      <c r="P356" s="436" t="s">
        <v>557</v>
      </c>
      <c r="Q356" s="754" t="s">
        <v>558</v>
      </c>
      <c r="R356" s="437" t="s">
        <v>263</v>
      </c>
      <c r="S356" s="31" t="s">
        <v>273</v>
      </c>
      <c r="T356" s="31" t="s">
        <v>273</v>
      </c>
      <c r="U356" s="31">
        <f>IFERROR(VLOOKUP(CONCATENATE(Tabla1[[#This Row],[Severidad]]," ",Tabla1[[#This Row],[Complejidad]]),Catalogos!E$120:G$128,3,FALSE),"")</f>
        <v>64</v>
      </c>
      <c r="V356" s="31" t="str">
        <f>IF(Tabla1[[#This Row],[Tiempo solución max (hrs)]]&lt;&gt;"",IF(Tabla1[[#This Row],[Tiempo solución max (hrs)]]&gt;=Tabla1[[#This Row],[Tiempo
(Hrs 00/100)]],"cumple","no cumple"),"")</f>
        <v>cumple</v>
      </c>
      <c r="W356" s="376" t="s">
        <v>681</v>
      </c>
      <c r="X356" s="377" t="str">
        <f t="shared" si="59"/>
        <v>SPD</v>
      </c>
      <c r="Y356" t="str">
        <f>SUBSTITUTE(Tabla1[[#This Row],[Descripción]],CHAR(10),"    I    ")</f>
        <v>Se analiza y construye la peticion oara generar la solicitud de informacion</v>
      </c>
      <c r="Z356" s="378">
        <f>VLOOKUP(Tabla1[[#This Row],[Perfil]],Catalogos!$B$75:$D$100,3,FALSE)*Tabla1[[#This Row],[Tiempo
(Hrs 00/100)]]*1.16</f>
        <v>1160</v>
      </c>
    </row>
    <row r="357" spans="1:26" ht="42.75" customHeight="1" x14ac:dyDescent="0.3">
      <c r="A357" s="433" t="s">
        <v>22</v>
      </c>
      <c r="B357" s="433" t="s">
        <v>23</v>
      </c>
      <c r="C357" s="433" t="s">
        <v>45</v>
      </c>
      <c r="D357" s="433"/>
      <c r="E357" s="433" t="s">
        <v>554</v>
      </c>
      <c r="F357" s="433" t="s">
        <v>23</v>
      </c>
      <c r="G357" s="433"/>
      <c r="H357" s="434" t="s">
        <v>728</v>
      </c>
      <c r="I357" s="434" t="s">
        <v>729</v>
      </c>
      <c r="J357" s="369">
        <v>44987</v>
      </c>
      <c r="K357" s="753">
        <v>0.45833333333333331</v>
      </c>
      <c r="L357" s="369">
        <v>44987</v>
      </c>
      <c r="M357" s="753">
        <v>0.79166666666666663</v>
      </c>
      <c r="N357" s="433">
        <v>6</v>
      </c>
      <c r="O357" s="435" t="s">
        <v>17</v>
      </c>
      <c r="P357" s="436" t="s">
        <v>557</v>
      </c>
      <c r="Q357" s="754" t="s">
        <v>558</v>
      </c>
      <c r="R357" s="437" t="s">
        <v>263</v>
      </c>
      <c r="S357" s="31" t="s">
        <v>273</v>
      </c>
      <c r="T357" s="31" t="s">
        <v>273</v>
      </c>
      <c r="U357" s="31">
        <f>IFERROR(VLOOKUP(CONCATENATE(Tabla1[[#This Row],[Severidad]]," ",Tabla1[[#This Row],[Complejidad]]),Catalogos!E$120:G$128,3,FALSE),"")</f>
        <v>64</v>
      </c>
      <c r="V357" s="31" t="str">
        <f>IF(Tabla1[[#This Row],[Tiempo solución max (hrs)]]&lt;&gt;"",IF(Tabla1[[#This Row],[Tiempo solución max (hrs)]]&gt;=Tabla1[[#This Row],[Tiempo
(Hrs 00/100)]],"cumple","no cumple"),"")</f>
        <v>cumple</v>
      </c>
      <c r="W357" s="376" t="s">
        <v>681</v>
      </c>
      <c r="X357" s="377" t="str">
        <f t="shared" si="59"/>
        <v>SPD</v>
      </c>
      <c r="Y357" t="str">
        <f>SUBSTITUTE(Tabla1[[#This Row],[Descripción]],CHAR(10),"    I    ")</f>
        <v>Se agregan validaciones de campos visibles y no visibles de acuerdo a las selecciones del usuario</v>
      </c>
      <c r="Z357" s="378">
        <f>VLOOKUP(Tabla1[[#This Row],[Perfil]],Catalogos!$B$75:$D$100,3,FALSE)*Tabla1[[#This Row],[Tiempo
(Hrs 00/100)]]*1.16</f>
        <v>3479.9999999999995</v>
      </c>
    </row>
    <row r="358" spans="1:26" ht="42.75" customHeight="1" x14ac:dyDescent="0.3">
      <c r="A358" s="433" t="s">
        <v>22</v>
      </c>
      <c r="B358" s="433" t="s">
        <v>23</v>
      </c>
      <c r="C358" s="433" t="s">
        <v>45</v>
      </c>
      <c r="D358" s="433"/>
      <c r="E358" s="433" t="s">
        <v>554</v>
      </c>
      <c r="F358" s="433" t="s">
        <v>23</v>
      </c>
      <c r="G358" s="433"/>
      <c r="H358" s="434" t="s">
        <v>730</v>
      </c>
      <c r="I358" s="434" t="s">
        <v>731</v>
      </c>
      <c r="J358" s="369">
        <v>44988</v>
      </c>
      <c r="K358" s="739">
        <v>0.375</v>
      </c>
      <c r="L358" s="369">
        <v>44988</v>
      </c>
      <c r="M358" s="753">
        <v>0.54166666666666663</v>
      </c>
      <c r="N358" s="433">
        <v>4</v>
      </c>
      <c r="O358" s="435" t="s">
        <v>17</v>
      </c>
      <c r="P358" s="436" t="s">
        <v>557</v>
      </c>
      <c r="Q358" s="754" t="s">
        <v>558</v>
      </c>
      <c r="R358" s="437" t="s">
        <v>263</v>
      </c>
      <c r="S358" s="31" t="s">
        <v>273</v>
      </c>
      <c r="T358" s="31" t="s">
        <v>273</v>
      </c>
      <c r="U358" s="31">
        <f>IFERROR(VLOOKUP(CONCATENATE(Tabla1[[#This Row],[Severidad]]," ",Tabla1[[#This Row],[Complejidad]]),Catalogos!E$120:G$128,3,FALSE),"")</f>
        <v>64</v>
      </c>
      <c r="V358" s="31" t="str">
        <f>IF(Tabla1[[#This Row],[Tiempo solución max (hrs)]]&lt;&gt;"",IF(Tabla1[[#This Row],[Tiempo solución max (hrs)]]&gt;=Tabla1[[#This Row],[Tiempo
(Hrs 00/100)]],"cumple","no cumple"),"")</f>
        <v>cumple</v>
      </c>
      <c r="W358" s="376" t="s">
        <v>681</v>
      </c>
      <c r="X358" s="377" t="str">
        <f t="shared" ref="X358:X362" si="60">IF(C358&lt;&gt;"",C358,D358)</f>
        <v>SPD</v>
      </c>
      <c r="Y358" t="str">
        <f>SUBSTITUTE(Tabla1[[#This Row],[Descripción]],CHAR(10),"    I    ")</f>
        <v xml:space="preserve">Se crea nueva pantalla donde se podran descargar los acuses generados por una solicitud </v>
      </c>
      <c r="Z358" s="378">
        <f>VLOOKUP(Tabla1[[#This Row],[Perfil]],Catalogos!$B$75:$D$100,3,FALSE)*Tabla1[[#This Row],[Tiempo
(Hrs 00/100)]]*1.16</f>
        <v>2320</v>
      </c>
    </row>
    <row r="359" spans="1:26" ht="42.75" customHeight="1" x14ac:dyDescent="0.3">
      <c r="A359" s="433" t="s">
        <v>22</v>
      </c>
      <c r="B359" s="433" t="s">
        <v>23</v>
      </c>
      <c r="C359" s="433" t="s">
        <v>45</v>
      </c>
      <c r="D359" s="433"/>
      <c r="E359" s="433" t="s">
        <v>554</v>
      </c>
      <c r="F359" s="433" t="s">
        <v>23</v>
      </c>
      <c r="G359" s="433"/>
      <c r="H359" s="434" t="s">
        <v>732</v>
      </c>
      <c r="I359" s="434" t="s">
        <v>733</v>
      </c>
      <c r="J359" s="369">
        <v>44988</v>
      </c>
      <c r="K359" s="753">
        <v>0.54166666666666663</v>
      </c>
      <c r="L359" s="369">
        <v>44988</v>
      </c>
      <c r="M359" s="753">
        <v>0.75</v>
      </c>
      <c r="N359" s="433">
        <v>3</v>
      </c>
      <c r="O359" s="435" t="s">
        <v>17</v>
      </c>
      <c r="P359" s="436" t="s">
        <v>557</v>
      </c>
      <c r="Q359" s="754" t="s">
        <v>558</v>
      </c>
      <c r="R359" s="437" t="s">
        <v>263</v>
      </c>
      <c r="S359" s="31" t="s">
        <v>273</v>
      </c>
      <c r="T359" s="31" t="s">
        <v>273</v>
      </c>
      <c r="U359" s="31">
        <f>IFERROR(VLOOKUP(CONCATENATE(Tabla1[[#This Row],[Severidad]]," ",Tabla1[[#This Row],[Complejidad]]),Catalogos!E$120:G$128,3,FALSE),"")</f>
        <v>64</v>
      </c>
      <c r="V359" s="31" t="str">
        <f>IF(Tabla1[[#This Row],[Tiempo solución max (hrs)]]&lt;&gt;"",IF(Tabla1[[#This Row],[Tiempo solución max (hrs)]]&gt;=Tabla1[[#This Row],[Tiempo
(Hrs 00/100)]],"cumple","no cumple"),"")</f>
        <v>cumple</v>
      </c>
      <c r="W359" s="376" t="s">
        <v>681</v>
      </c>
      <c r="X359" s="377" t="str">
        <f t="shared" si="60"/>
        <v>SPD</v>
      </c>
      <c r="Y359" t="str">
        <f>SUBSTITUTE(Tabla1[[#This Row],[Descripción]],CHAR(10),"    I    ")</f>
        <v>El cuerpo de las peticiones se adapta a los campos escencialmente requeridos en la app movil, aplica para informacion publica y datos personales</v>
      </c>
      <c r="Z359" s="378">
        <f>VLOOKUP(Tabla1[[#This Row],[Perfil]],Catalogos!$B$75:$D$100,3,FALSE)*Tabla1[[#This Row],[Tiempo
(Hrs 00/100)]]*1.16</f>
        <v>1739.9999999999998</v>
      </c>
    </row>
    <row r="360" spans="1:26" ht="42.75" customHeight="1" thickBot="1" x14ac:dyDescent="0.35">
      <c r="A360" s="438" t="s">
        <v>22</v>
      </c>
      <c r="B360" s="438" t="s">
        <v>23</v>
      </c>
      <c r="C360" s="438" t="s">
        <v>45</v>
      </c>
      <c r="D360" s="438"/>
      <c r="E360" s="438" t="s">
        <v>554</v>
      </c>
      <c r="F360" s="438" t="s">
        <v>23</v>
      </c>
      <c r="G360" s="438"/>
      <c r="H360" s="439" t="s">
        <v>734</v>
      </c>
      <c r="I360" s="439" t="s">
        <v>735</v>
      </c>
      <c r="J360" s="369">
        <v>44988</v>
      </c>
      <c r="K360" s="753">
        <v>0.75</v>
      </c>
      <c r="L360" s="369">
        <v>44988</v>
      </c>
      <c r="M360" s="753">
        <v>0.79166666666666663</v>
      </c>
      <c r="N360" s="438">
        <v>1</v>
      </c>
      <c r="O360" s="440" t="s">
        <v>17</v>
      </c>
      <c r="P360" s="441" t="s">
        <v>557</v>
      </c>
      <c r="Q360" s="755" t="s">
        <v>558</v>
      </c>
      <c r="R360" s="442" t="s">
        <v>263</v>
      </c>
      <c r="S360" s="31" t="s">
        <v>273</v>
      </c>
      <c r="T360" s="31" t="s">
        <v>273</v>
      </c>
      <c r="U360" s="31">
        <f>IFERROR(VLOOKUP(CONCATENATE(Tabla1[[#This Row],[Severidad]]," ",Tabla1[[#This Row],[Complejidad]]),Catalogos!E$120:G$128,3,FALSE),"")</f>
        <v>64</v>
      </c>
      <c r="V360" s="31" t="str">
        <f>IF(Tabla1[[#This Row],[Tiempo solución max (hrs)]]&lt;&gt;"",IF(Tabla1[[#This Row],[Tiempo solución max (hrs)]]&gt;=Tabla1[[#This Row],[Tiempo
(Hrs 00/100)]],"cumple","no cumple"),"")</f>
        <v>cumple</v>
      </c>
      <c r="W360" s="376" t="s">
        <v>681</v>
      </c>
      <c r="X360" s="377" t="str">
        <f t="shared" si="60"/>
        <v>SPD</v>
      </c>
      <c r="Y360" t="str">
        <f>SUBSTITUTE(Tabla1[[#This Row],[Descripción]],CHAR(10),"    I    ")</f>
        <v>Se crea una pantalla para cambiar los datos personales del usuario de cuenta [Controller, model, binding, screen]</v>
      </c>
      <c r="Z360" s="378">
        <f>VLOOKUP(Tabla1[[#This Row],[Perfil]],Catalogos!$B$75:$D$100,3,FALSE)*Tabla1[[#This Row],[Tiempo
(Hrs 00/100)]]*1.16</f>
        <v>580</v>
      </c>
    </row>
    <row r="361" spans="1:26" ht="42.75" customHeight="1" thickTop="1" x14ac:dyDescent="0.3">
      <c r="A361" s="443" t="s">
        <v>22</v>
      </c>
      <c r="B361" s="443" t="s">
        <v>23</v>
      </c>
      <c r="C361" s="443" t="s">
        <v>45</v>
      </c>
      <c r="D361" s="443"/>
      <c r="E361" s="443" t="s">
        <v>554</v>
      </c>
      <c r="F361" s="443" t="s">
        <v>23</v>
      </c>
      <c r="G361" s="443"/>
      <c r="H361" s="444" t="s">
        <v>734</v>
      </c>
      <c r="I361" s="444" t="s">
        <v>735</v>
      </c>
      <c r="J361" s="369">
        <v>44991</v>
      </c>
      <c r="K361" s="739">
        <v>0.375</v>
      </c>
      <c r="L361" s="369">
        <v>44991</v>
      </c>
      <c r="M361" s="753">
        <v>0.58333333333333337</v>
      </c>
      <c r="N361" s="443">
        <v>5</v>
      </c>
      <c r="O361" s="445" t="s">
        <v>17</v>
      </c>
      <c r="P361" s="446" t="s">
        <v>557</v>
      </c>
      <c r="Q361" s="756" t="s">
        <v>558</v>
      </c>
      <c r="R361" s="447" t="s">
        <v>263</v>
      </c>
      <c r="S361" s="31" t="s">
        <v>273</v>
      </c>
      <c r="T361" s="31" t="s">
        <v>273</v>
      </c>
      <c r="U361" s="31">
        <f>IFERROR(VLOOKUP(CONCATENATE(Tabla1[[#This Row],[Severidad]]," ",Tabla1[[#This Row],[Complejidad]]),Catalogos!E$120:G$128,3,FALSE),"")</f>
        <v>64</v>
      </c>
      <c r="V361" s="31" t="str">
        <f>IF(Tabla1[[#This Row],[Tiempo solución max (hrs)]]&lt;&gt;"",IF(Tabla1[[#This Row],[Tiempo solución max (hrs)]]&gt;=Tabla1[[#This Row],[Tiempo
(Hrs 00/100)]],"cumple","no cumple"),"")</f>
        <v>cumple</v>
      </c>
      <c r="W361" s="376" t="s">
        <v>681</v>
      </c>
      <c r="X361" s="377" t="str">
        <f t="shared" si="60"/>
        <v>SPD</v>
      </c>
      <c r="Y361" t="str">
        <f>SUBSTITUTE(Tabla1[[#This Row],[Descripción]],CHAR(10),"    I    ")</f>
        <v>Se crea una pantalla para cambiar los datos personales del usuario de cuenta [Controller, model, binding, screen]</v>
      </c>
      <c r="Z361" s="378">
        <f>VLOOKUP(Tabla1[[#This Row],[Perfil]],Catalogos!$B$75:$D$100,3,FALSE)*Tabla1[[#This Row],[Tiempo
(Hrs 00/100)]]*1.16</f>
        <v>2900</v>
      </c>
    </row>
    <row r="362" spans="1:26" ht="42.75" customHeight="1" x14ac:dyDescent="0.3">
      <c r="A362" s="433" t="s">
        <v>22</v>
      </c>
      <c r="B362" s="433" t="s">
        <v>23</v>
      </c>
      <c r="C362" s="433" t="s">
        <v>45</v>
      </c>
      <c r="D362" s="433"/>
      <c r="E362" s="433" t="s">
        <v>554</v>
      </c>
      <c r="F362" s="433" t="s">
        <v>23</v>
      </c>
      <c r="G362" s="433"/>
      <c r="H362" s="434" t="s">
        <v>736</v>
      </c>
      <c r="I362" s="433" t="s">
        <v>737</v>
      </c>
      <c r="J362" s="369">
        <v>44991</v>
      </c>
      <c r="K362" s="747">
        <v>0.66666666666666663</v>
      </c>
      <c r="L362" s="369">
        <v>44991</v>
      </c>
      <c r="M362" s="753">
        <v>0.79166666666666663</v>
      </c>
      <c r="N362" s="433">
        <v>3</v>
      </c>
      <c r="O362" s="435" t="s">
        <v>17</v>
      </c>
      <c r="P362" s="436" t="s">
        <v>557</v>
      </c>
      <c r="Q362" s="754" t="s">
        <v>558</v>
      </c>
      <c r="R362" s="437" t="s">
        <v>263</v>
      </c>
      <c r="S362" s="31" t="s">
        <v>273</v>
      </c>
      <c r="T362" s="31" t="s">
        <v>273</v>
      </c>
      <c r="U362" s="31">
        <f>IFERROR(VLOOKUP(CONCATENATE(Tabla1[[#This Row],[Severidad]]," ",Tabla1[[#This Row],[Complejidad]]),Catalogos!E$120:G$128,3,FALSE),"")</f>
        <v>64</v>
      </c>
      <c r="V362" s="31" t="str">
        <f>IF(Tabla1[[#This Row],[Tiempo solución max (hrs)]]&lt;&gt;"",IF(Tabla1[[#This Row],[Tiempo solución max (hrs)]]&gt;=Tabla1[[#This Row],[Tiempo
(Hrs 00/100)]],"cumple","no cumple"),"")</f>
        <v>cumple</v>
      </c>
      <c r="W362" s="376" t="s">
        <v>681</v>
      </c>
      <c r="X362" s="377" t="str">
        <f t="shared" si="60"/>
        <v>SPD</v>
      </c>
      <c r="Y362" t="str">
        <f>SUBSTITUTE(Tabla1[[#This Row],[Descripción]],CHAR(10),"    I    ")</f>
        <v>Se destino tiempo para corregitr problemas de conectividad a la vpn</v>
      </c>
      <c r="Z362" s="378">
        <f>VLOOKUP(Tabla1[[#This Row],[Perfil]],Catalogos!$B$75:$D$100,3,FALSE)*Tabla1[[#This Row],[Tiempo
(Hrs 00/100)]]*1.16</f>
        <v>1739.9999999999998</v>
      </c>
    </row>
    <row r="363" spans="1:26" ht="42.75" customHeight="1" x14ac:dyDescent="0.3">
      <c r="A363" s="433" t="s">
        <v>22</v>
      </c>
      <c r="B363" s="433" t="s">
        <v>23</v>
      </c>
      <c r="C363" s="433" t="s">
        <v>45</v>
      </c>
      <c r="D363" s="433"/>
      <c r="E363" s="433" t="s">
        <v>554</v>
      </c>
      <c r="F363" s="433" t="s">
        <v>23</v>
      </c>
      <c r="G363" s="433"/>
      <c r="H363" s="433" t="s">
        <v>738</v>
      </c>
      <c r="I363" s="433" t="s">
        <v>739</v>
      </c>
      <c r="J363" s="369">
        <v>44992</v>
      </c>
      <c r="K363" s="739">
        <v>0.375</v>
      </c>
      <c r="L363" s="369">
        <v>44992</v>
      </c>
      <c r="M363" s="753">
        <v>0.45833333333333331</v>
      </c>
      <c r="N363" s="437">
        <v>2</v>
      </c>
      <c r="O363" s="435" t="s">
        <v>17</v>
      </c>
      <c r="P363" s="436" t="s">
        <v>557</v>
      </c>
      <c r="Q363" s="754" t="s">
        <v>558</v>
      </c>
      <c r="R363" s="437" t="s">
        <v>263</v>
      </c>
      <c r="S363" s="31" t="s">
        <v>273</v>
      </c>
      <c r="T363" s="31" t="s">
        <v>273</v>
      </c>
      <c r="U363" s="31">
        <f>IFERROR(VLOOKUP(CONCATENATE(Tabla1[[#This Row],[Severidad]]," ",Tabla1[[#This Row],[Complejidad]]),Catalogos!E$120:G$128,3,FALSE),"")</f>
        <v>64</v>
      </c>
      <c r="V363" s="31" t="str">
        <f>IF(Tabla1[[#This Row],[Tiempo solución max (hrs)]]&lt;&gt;"",IF(Tabla1[[#This Row],[Tiempo solución max (hrs)]]&gt;=Tabla1[[#This Row],[Tiempo
(Hrs 00/100)]],"cumple","no cumple"),"")</f>
        <v>cumple</v>
      </c>
      <c r="W363" s="376" t="s">
        <v>681</v>
      </c>
      <c r="X363" s="377" t="str">
        <f t="shared" ref="X363:X403" si="61">IF(C363&lt;&gt;"",C363,D363)</f>
        <v>SPD</v>
      </c>
      <c r="Y363" t="str">
        <f>SUBSTITUTE(Tabla1[[#This Row],[Descripción]],CHAR(10),"    I    ")</f>
        <v>Se agrega el servicio para poder cambiar datos relativos al usuario [Model, request, response]</v>
      </c>
      <c r="Z363" s="378">
        <f>VLOOKUP(Tabla1[[#This Row],[Perfil]],Catalogos!$B$75:$D$100,3,FALSE)*Tabla1[[#This Row],[Tiempo
(Hrs 00/100)]]*1.16</f>
        <v>1160</v>
      </c>
    </row>
    <row r="364" spans="1:26" ht="42.75" customHeight="1" x14ac:dyDescent="0.3">
      <c r="A364" s="433" t="s">
        <v>22</v>
      </c>
      <c r="B364" s="433" t="s">
        <v>23</v>
      </c>
      <c r="C364" s="433" t="s">
        <v>45</v>
      </c>
      <c r="D364" s="433"/>
      <c r="E364" s="433" t="s">
        <v>554</v>
      </c>
      <c r="F364" s="433" t="s">
        <v>23</v>
      </c>
      <c r="G364" s="433"/>
      <c r="H364" s="433" t="s">
        <v>740</v>
      </c>
      <c r="I364" s="433" t="s">
        <v>741</v>
      </c>
      <c r="J364" s="369">
        <v>44992</v>
      </c>
      <c r="K364" s="753">
        <v>0.45833333333333331</v>
      </c>
      <c r="L364" s="369">
        <v>44992</v>
      </c>
      <c r="M364" s="753">
        <v>0.5</v>
      </c>
      <c r="N364" s="433">
        <v>1</v>
      </c>
      <c r="O364" s="435" t="s">
        <v>17</v>
      </c>
      <c r="P364" s="436" t="s">
        <v>557</v>
      </c>
      <c r="Q364" s="754" t="s">
        <v>558</v>
      </c>
      <c r="R364" s="437" t="s">
        <v>263</v>
      </c>
      <c r="S364" s="31" t="s">
        <v>273</v>
      </c>
      <c r="T364" s="31" t="s">
        <v>273</v>
      </c>
      <c r="U364" s="31">
        <f>IFERROR(VLOOKUP(CONCATENATE(Tabla1[[#This Row],[Severidad]]," ",Tabla1[[#This Row],[Complejidad]]),Catalogos!E$120:G$128,3,FALSE),"")</f>
        <v>64</v>
      </c>
      <c r="V364" s="31" t="str">
        <f>IF(Tabla1[[#This Row],[Tiempo solución max (hrs)]]&lt;&gt;"",IF(Tabla1[[#This Row],[Tiempo solución max (hrs)]]&gt;=Tabla1[[#This Row],[Tiempo
(Hrs 00/100)]],"cumple","no cumple"),"")</f>
        <v>cumple</v>
      </c>
      <c r="W364" s="376" t="s">
        <v>681</v>
      </c>
      <c r="X364" s="377" t="str">
        <f t="shared" si="61"/>
        <v>SPD</v>
      </c>
      <c r="Y364" t="str">
        <f>SUBSTITUTE(Tabla1[[#This Row],[Descripción]],CHAR(10),"    I    ")</f>
        <v>Se agrega el servicio para poder recuperar datos relativos al usuario y colocarlos en el formulario</v>
      </c>
      <c r="Z364" s="378">
        <f>VLOOKUP(Tabla1[[#This Row],[Perfil]],Catalogos!$B$75:$D$100,3,FALSE)*Tabla1[[#This Row],[Tiempo
(Hrs 00/100)]]*1.16</f>
        <v>580</v>
      </c>
    </row>
    <row r="365" spans="1:26" ht="42.75" customHeight="1" x14ac:dyDescent="0.3">
      <c r="A365" s="433" t="s">
        <v>22</v>
      </c>
      <c r="B365" s="433" t="s">
        <v>23</v>
      </c>
      <c r="C365" s="433" t="s">
        <v>45</v>
      </c>
      <c r="D365" s="433"/>
      <c r="E365" s="433" t="s">
        <v>554</v>
      </c>
      <c r="F365" s="433" t="s">
        <v>23</v>
      </c>
      <c r="G365" s="433"/>
      <c r="H365" s="433" t="s">
        <v>742</v>
      </c>
      <c r="I365" s="433" t="s">
        <v>743</v>
      </c>
      <c r="J365" s="369">
        <v>44992</v>
      </c>
      <c r="K365" s="753">
        <v>0.5</v>
      </c>
      <c r="L365" s="369">
        <v>44992</v>
      </c>
      <c r="M365" s="753">
        <v>0.58333333333333337</v>
      </c>
      <c r="N365" s="433">
        <v>2</v>
      </c>
      <c r="O365" s="435" t="s">
        <v>17</v>
      </c>
      <c r="P365" s="436" t="s">
        <v>557</v>
      </c>
      <c r="Q365" s="754" t="s">
        <v>558</v>
      </c>
      <c r="R365" s="437" t="s">
        <v>263</v>
      </c>
      <c r="S365" s="31" t="s">
        <v>273</v>
      </c>
      <c r="T365" s="31" t="s">
        <v>273</v>
      </c>
      <c r="U365" s="31">
        <f>IFERROR(VLOOKUP(CONCATENATE(Tabla1[[#This Row],[Severidad]]," ",Tabla1[[#This Row],[Complejidad]]),Catalogos!E$120:G$128,3,FALSE),"")</f>
        <v>64</v>
      </c>
      <c r="V365" s="31" t="str">
        <f>IF(Tabla1[[#This Row],[Tiempo solución max (hrs)]]&lt;&gt;"",IF(Tabla1[[#This Row],[Tiempo solución max (hrs)]]&gt;=Tabla1[[#This Row],[Tiempo
(Hrs 00/100)]],"cumple","no cumple"),"")</f>
        <v>cumple</v>
      </c>
      <c r="W365" s="376" t="s">
        <v>681</v>
      </c>
      <c r="X365" s="377" t="str">
        <f t="shared" si="61"/>
        <v>SPD</v>
      </c>
      <c r="Y365" t="str">
        <f>SUBSTITUTE(Tabla1[[#This Row],[Descripción]],CHAR(10),"    I    ")</f>
        <v>Se agrega el servicio para poder cambiar contraseña deñ usuario [Model, request, response]</v>
      </c>
      <c r="Z365" s="378">
        <f>VLOOKUP(Tabla1[[#This Row],[Perfil]],Catalogos!$B$75:$D$100,3,FALSE)*Tabla1[[#This Row],[Tiempo
(Hrs 00/100)]]*1.16</f>
        <v>1160</v>
      </c>
    </row>
    <row r="366" spans="1:26" ht="42.75" customHeight="1" x14ac:dyDescent="0.3">
      <c r="A366" s="433" t="s">
        <v>22</v>
      </c>
      <c r="B366" s="433" t="s">
        <v>23</v>
      </c>
      <c r="C366" s="433" t="s">
        <v>45</v>
      </c>
      <c r="D366" s="433"/>
      <c r="E366" s="433" t="s">
        <v>554</v>
      </c>
      <c r="F366" s="433" t="s">
        <v>23</v>
      </c>
      <c r="G366" s="433"/>
      <c r="H366" s="434" t="s">
        <v>744</v>
      </c>
      <c r="I366" s="433" t="s">
        <v>745</v>
      </c>
      <c r="J366" s="369">
        <v>44992</v>
      </c>
      <c r="K366" s="747">
        <v>0.66666666666666663</v>
      </c>
      <c r="L366" s="369">
        <v>44992</v>
      </c>
      <c r="M366" s="753">
        <v>0.79166666666666663</v>
      </c>
      <c r="N366" s="433">
        <v>3</v>
      </c>
      <c r="O366" s="435" t="s">
        <v>17</v>
      </c>
      <c r="P366" s="436" t="s">
        <v>557</v>
      </c>
      <c r="Q366" s="754" t="s">
        <v>558</v>
      </c>
      <c r="R366" s="437" t="s">
        <v>263</v>
      </c>
      <c r="S366" s="31" t="s">
        <v>273</v>
      </c>
      <c r="T366" s="31" t="s">
        <v>273</v>
      </c>
      <c r="U366" s="31">
        <f>IFERROR(VLOOKUP(CONCATENATE(Tabla1[[#This Row],[Severidad]]," ",Tabla1[[#This Row],[Complejidad]]),Catalogos!E$120:G$128,3,FALSE),"")</f>
        <v>64</v>
      </c>
      <c r="V366" s="31" t="str">
        <f>IF(Tabla1[[#This Row],[Tiempo solución max (hrs)]]&lt;&gt;"",IF(Tabla1[[#This Row],[Tiempo solución max (hrs)]]&gt;=Tabla1[[#This Row],[Tiempo
(Hrs 00/100)]],"cumple","no cumple"),"")</f>
        <v>cumple</v>
      </c>
      <c r="W366" s="376" t="s">
        <v>681</v>
      </c>
      <c r="X366" s="377" t="str">
        <f t="shared" si="61"/>
        <v>SPD</v>
      </c>
      <c r="Y366" t="str">
        <f>SUBSTITUTE(Tabla1[[#This Row],[Descripción]],CHAR(10),"    I    ")</f>
        <v>Se crea una pantalla para cambiar contraseña [Controller, model, binding, screen]</v>
      </c>
      <c r="Z366" s="378">
        <f>VLOOKUP(Tabla1[[#This Row],[Perfil]],Catalogos!$B$75:$D$100,3,FALSE)*Tabla1[[#This Row],[Tiempo
(Hrs 00/100)]]*1.16</f>
        <v>1739.9999999999998</v>
      </c>
    </row>
    <row r="367" spans="1:26" ht="42.75" customHeight="1" x14ac:dyDescent="0.3">
      <c r="A367" s="433" t="s">
        <v>22</v>
      </c>
      <c r="B367" s="433" t="s">
        <v>23</v>
      </c>
      <c r="C367" s="433" t="s">
        <v>45</v>
      </c>
      <c r="D367" s="433"/>
      <c r="E367" s="433" t="s">
        <v>554</v>
      </c>
      <c r="F367" s="433" t="s">
        <v>23</v>
      </c>
      <c r="G367" s="433"/>
      <c r="H367" s="433" t="s">
        <v>746</v>
      </c>
      <c r="I367" s="433" t="s">
        <v>747</v>
      </c>
      <c r="J367" s="369">
        <v>44993</v>
      </c>
      <c r="K367" s="747">
        <v>0.375</v>
      </c>
      <c r="L367" s="369">
        <v>44993</v>
      </c>
      <c r="M367" s="753">
        <v>0.5</v>
      </c>
      <c r="N367" s="433">
        <v>3</v>
      </c>
      <c r="O367" s="435" t="s">
        <v>17</v>
      </c>
      <c r="P367" s="448" t="s">
        <v>557</v>
      </c>
      <c r="Q367" s="754" t="s">
        <v>558</v>
      </c>
      <c r="R367" s="437" t="s">
        <v>263</v>
      </c>
      <c r="S367" s="31" t="s">
        <v>273</v>
      </c>
      <c r="T367" s="31" t="s">
        <v>273</v>
      </c>
      <c r="U367" s="31">
        <f>IFERROR(VLOOKUP(CONCATENATE(Tabla1[[#This Row],[Severidad]]," ",Tabla1[[#This Row],[Complejidad]]),Catalogos!E$120:G$128,3,FALSE),"")</f>
        <v>64</v>
      </c>
      <c r="V367" s="31" t="str">
        <f>IF(Tabla1[[#This Row],[Tiempo solución max (hrs)]]&lt;&gt;"",IF(Tabla1[[#This Row],[Tiempo solución max (hrs)]]&gt;=Tabla1[[#This Row],[Tiempo
(Hrs 00/100)]],"cumple","no cumple"),"")</f>
        <v>cumple</v>
      </c>
      <c r="W367" s="376" t="s">
        <v>681</v>
      </c>
      <c r="X367" s="377" t="str">
        <f t="shared" si="61"/>
        <v>SPD</v>
      </c>
      <c r="Y367" t="str">
        <f>SUBSTITUTE(Tabla1[[#This Row],[Descripción]],CHAR(10),"    I    ")</f>
        <v>Se agregan opciones de envio a domicilio al recurrente de disponibilidad, se agrega listado de paises</v>
      </c>
      <c r="Z367" s="378">
        <f>VLOOKUP(Tabla1[[#This Row],[Perfil]],Catalogos!$B$75:$D$100,3,FALSE)*Tabla1[[#This Row],[Tiempo
(Hrs 00/100)]]*1.16</f>
        <v>1739.9999999999998</v>
      </c>
    </row>
    <row r="368" spans="1:26" ht="42.75" customHeight="1" x14ac:dyDescent="0.3">
      <c r="A368" s="433" t="s">
        <v>22</v>
      </c>
      <c r="B368" s="433" t="s">
        <v>23</v>
      </c>
      <c r="C368" s="433" t="s">
        <v>45</v>
      </c>
      <c r="D368" s="433"/>
      <c r="E368" s="433" t="s">
        <v>554</v>
      </c>
      <c r="F368" s="433" t="s">
        <v>23</v>
      </c>
      <c r="G368" s="433"/>
      <c r="H368" s="433" t="s">
        <v>746</v>
      </c>
      <c r="I368" s="433" t="s">
        <v>748</v>
      </c>
      <c r="J368" s="369">
        <v>44993</v>
      </c>
      <c r="K368" s="753">
        <v>0.5</v>
      </c>
      <c r="L368" s="369">
        <v>44993</v>
      </c>
      <c r="M368" s="753">
        <v>0.70833333333333337</v>
      </c>
      <c r="N368" s="433">
        <v>3</v>
      </c>
      <c r="O368" s="435" t="s">
        <v>17</v>
      </c>
      <c r="P368" s="448" t="s">
        <v>557</v>
      </c>
      <c r="Q368" s="754" t="s">
        <v>558</v>
      </c>
      <c r="R368" s="437" t="s">
        <v>263</v>
      </c>
      <c r="S368" s="31" t="s">
        <v>273</v>
      </c>
      <c r="T368" s="31" t="s">
        <v>273</v>
      </c>
      <c r="U368" s="31">
        <f>IFERROR(VLOOKUP(CONCATENATE(Tabla1[[#This Row],[Severidad]]," ",Tabla1[[#This Row],[Complejidad]]),Catalogos!E$120:G$128,3,FALSE),"")</f>
        <v>64</v>
      </c>
      <c r="V368" s="31" t="str">
        <f>IF(Tabla1[[#This Row],[Tiempo solución max (hrs)]]&lt;&gt;"",IF(Tabla1[[#This Row],[Tiempo solución max (hrs)]]&gt;=Tabla1[[#This Row],[Tiempo
(Hrs 00/100)]],"cumple","no cumple"),"")</f>
        <v>cumple</v>
      </c>
      <c r="W368" s="376" t="s">
        <v>681</v>
      </c>
      <c r="X368" s="377" t="str">
        <f t="shared" si="61"/>
        <v>SPD</v>
      </c>
      <c r="Y368" t="str">
        <f>SUBSTITUTE(Tabla1[[#This Row],[Descripción]],CHAR(10),"    I    ")</f>
        <v>Se agregan opciones de envio a domicilio al recurrente de disponibilidad, se agrega listado de municipios</v>
      </c>
      <c r="Z368" s="378">
        <f>VLOOKUP(Tabla1[[#This Row],[Perfil]],Catalogos!$B$75:$D$100,3,FALSE)*Tabla1[[#This Row],[Tiempo
(Hrs 00/100)]]*1.16</f>
        <v>1739.9999999999998</v>
      </c>
    </row>
    <row r="369" spans="1:26" ht="42.75" customHeight="1" x14ac:dyDescent="0.3">
      <c r="A369" s="433" t="s">
        <v>22</v>
      </c>
      <c r="B369" s="433" t="s">
        <v>23</v>
      </c>
      <c r="C369" s="433" t="s">
        <v>45</v>
      </c>
      <c r="D369" s="433"/>
      <c r="E369" s="433" t="s">
        <v>554</v>
      </c>
      <c r="F369" s="433" t="s">
        <v>23</v>
      </c>
      <c r="G369" s="433"/>
      <c r="H369" s="433" t="s">
        <v>746</v>
      </c>
      <c r="I369" s="433" t="s">
        <v>749</v>
      </c>
      <c r="J369" s="369">
        <v>44993</v>
      </c>
      <c r="K369" s="753">
        <v>0.70833333333333337</v>
      </c>
      <c r="L369" s="369">
        <v>44993</v>
      </c>
      <c r="M369" s="753">
        <v>0.79166666666666663</v>
      </c>
      <c r="N369" s="433">
        <v>2</v>
      </c>
      <c r="O369" s="435" t="s">
        <v>17</v>
      </c>
      <c r="P369" s="448" t="s">
        <v>557</v>
      </c>
      <c r="Q369" s="754" t="s">
        <v>558</v>
      </c>
      <c r="R369" s="437" t="s">
        <v>263</v>
      </c>
      <c r="S369" s="31" t="s">
        <v>273</v>
      </c>
      <c r="T369" s="31" t="s">
        <v>273</v>
      </c>
      <c r="U369" s="31">
        <f>IFERROR(VLOOKUP(CONCATENATE(Tabla1[[#This Row],[Severidad]]," ",Tabla1[[#This Row],[Complejidad]]),Catalogos!E$120:G$128,3,FALSE),"")</f>
        <v>64</v>
      </c>
      <c r="V369" s="31" t="str">
        <f>IF(Tabla1[[#This Row],[Tiempo solución max (hrs)]]&lt;&gt;"",IF(Tabla1[[#This Row],[Tiempo solución max (hrs)]]&gt;=Tabla1[[#This Row],[Tiempo
(Hrs 00/100)]],"cumple","no cumple"),"")</f>
        <v>cumple</v>
      </c>
      <c r="W369" s="376" t="s">
        <v>681</v>
      </c>
      <c r="X369" s="377" t="str">
        <f t="shared" si="61"/>
        <v>SPD</v>
      </c>
      <c r="Y369" t="str">
        <f>SUBSTITUTE(Tabla1[[#This Row],[Descripción]],CHAR(10),"    I    ")</f>
        <v>Se agregan opciones de envio a domicilio al recurrente de disponibilidad, se agrega listado de colonias</v>
      </c>
      <c r="Z369" s="378">
        <f>VLOOKUP(Tabla1[[#This Row],[Perfil]],Catalogos!$B$75:$D$100,3,FALSE)*Tabla1[[#This Row],[Tiempo
(Hrs 00/100)]]*1.16</f>
        <v>1160</v>
      </c>
    </row>
    <row r="370" spans="1:26" ht="42.75" customHeight="1" x14ac:dyDescent="0.3">
      <c r="A370" s="433" t="s">
        <v>22</v>
      </c>
      <c r="B370" s="433" t="s">
        <v>23</v>
      </c>
      <c r="C370" s="433" t="s">
        <v>45</v>
      </c>
      <c r="D370" s="433"/>
      <c r="E370" s="433" t="s">
        <v>554</v>
      </c>
      <c r="F370" s="433" t="s">
        <v>23</v>
      </c>
      <c r="G370" s="433"/>
      <c r="H370" s="433" t="s">
        <v>746</v>
      </c>
      <c r="I370" s="433" t="s">
        <v>749</v>
      </c>
      <c r="J370" s="369">
        <v>44994</v>
      </c>
      <c r="K370" s="747">
        <v>0.375</v>
      </c>
      <c r="L370" s="369">
        <v>44994</v>
      </c>
      <c r="M370" s="753">
        <v>0.41666666666666669</v>
      </c>
      <c r="N370" s="433">
        <v>1</v>
      </c>
      <c r="O370" s="435" t="s">
        <v>17</v>
      </c>
      <c r="P370" s="448" t="s">
        <v>557</v>
      </c>
      <c r="Q370" s="754" t="s">
        <v>558</v>
      </c>
      <c r="R370" s="437" t="s">
        <v>263</v>
      </c>
      <c r="S370" s="31" t="s">
        <v>273</v>
      </c>
      <c r="T370" s="31" t="s">
        <v>273</v>
      </c>
      <c r="U370" s="31">
        <f>IFERROR(VLOOKUP(CONCATENATE(Tabla1[[#This Row],[Severidad]]," ",Tabla1[[#This Row],[Complejidad]]),Catalogos!E$120:G$128,3,FALSE),"")</f>
        <v>64</v>
      </c>
      <c r="V370" s="31" t="str">
        <f>IF(Tabla1[[#This Row],[Tiempo solución max (hrs)]]&lt;&gt;"",IF(Tabla1[[#This Row],[Tiempo solución max (hrs)]]&gt;=Tabla1[[#This Row],[Tiempo
(Hrs 00/100)]],"cumple","no cumple"),"")</f>
        <v>cumple</v>
      </c>
      <c r="W370" s="376" t="s">
        <v>681</v>
      </c>
      <c r="X370" s="377" t="str">
        <f t="shared" si="61"/>
        <v>SPD</v>
      </c>
      <c r="Y370" t="str">
        <f>SUBSTITUTE(Tabla1[[#This Row],[Descripción]],CHAR(10),"    I    ")</f>
        <v>Se agregan opciones de envio a domicilio al recurrente de disponibilidad, se agrega listado de colonias</v>
      </c>
      <c r="Z370" s="378">
        <f>VLOOKUP(Tabla1[[#This Row],[Perfil]],Catalogos!$B$75:$D$100,3,FALSE)*Tabla1[[#This Row],[Tiempo
(Hrs 00/100)]]*1.16</f>
        <v>580</v>
      </c>
    </row>
    <row r="371" spans="1:26" ht="42.75" customHeight="1" x14ac:dyDescent="0.3">
      <c r="A371" s="433" t="s">
        <v>22</v>
      </c>
      <c r="B371" s="433" t="s">
        <v>23</v>
      </c>
      <c r="C371" s="433" t="s">
        <v>45</v>
      </c>
      <c r="D371" s="433"/>
      <c r="E371" s="433" t="s">
        <v>554</v>
      </c>
      <c r="F371" s="433" t="s">
        <v>23</v>
      </c>
      <c r="G371" s="433"/>
      <c r="H371" s="433" t="s">
        <v>746</v>
      </c>
      <c r="I371" s="433" t="s">
        <v>750</v>
      </c>
      <c r="J371" s="369">
        <v>44994</v>
      </c>
      <c r="K371" s="753">
        <v>0.41666666666666669</v>
      </c>
      <c r="L371" s="369">
        <v>44994</v>
      </c>
      <c r="M371" s="753">
        <v>0.5</v>
      </c>
      <c r="N371" s="433">
        <v>2</v>
      </c>
      <c r="O371" s="435" t="s">
        <v>17</v>
      </c>
      <c r="P371" s="448" t="s">
        <v>557</v>
      </c>
      <c r="Q371" s="754" t="s">
        <v>558</v>
      </c>
      <c r="R371" s="437" t="s">
        <v>263</v>
      </c>
      <c r="S371" s="31" t="s">
        <v>273</v>
      </c>
      <c r="T371" s="31" t="s">
        <v>273</v>
      </c>
      <c r="U371" s="31">
        <f>IFERROR(VLOOKUP(CONCATENATE(Tabla1[[#This Row],[Severidad]]," ",Tabla1[[#This Row],[Complejidad]]),Catalogos!E$120:G$128,3,FALSE),"")</f>
        <v>64</v>
      </c>
      <c r="V371" s="31" t="str">
        <f>IF(Tabla1[[#This Row],[Tiempo solución max (hrs)]]&lt;&gt;"",IF(Tabla1[[#This Row],[Tiempo solución max (hrs)]]&gt;=Tabla1[[#This Row],[Tiempo
(Hrs 00/100)]],"cumple","no cumple"),"")</f>
        <v>cumple</v>
      </c>
      <c r="W371" s="376" t="s">
        <v>681</v>
      </c>
      <c r="X371" s="377" t="str">
        <f t="shared" si="61"/>
        <v>SPD</v>
      </c>
      <c r="Y371" t="str">
        <f>SUBSTITUTE(Tabla1[[#This Row],[Descripción]],CHAR(10),"    I    ")</f>
        <v>Se agregan opciones de envio a domicilio al recurrente de disponibilidad, se agrega busqueda de domicilio via codigo postal</v>
      </c>
      <c r="Z371" s="378">
        <f>VLOOKUP(Tabla1[[#This Row],[Perfil]],Catalogos!$B$75:$D$100,3,FALSE)*Tabla1[[#This Row],[Tiempo
(Hrs 00/100)]]*1.16</f>
        <v>1160</v>
      </c>
    </row>
    <row r="372" spans="1:26" ht="42.75" customHeight="1" x14ac:dyDescent="0.3">
      <c r="A372" s="433" t="s">
        <v>22</v>
      </c>
      <c r="B372" s="433" t="s">
        <v>23</v>
      </c>
      <c r="C372" s="433" t="s">
        <v>45</v>
      </c>
      <c r="D372" s="433"/>
      <c r="E372" s="433" t="s">
        <v>554</v>
      </c>
      <c r="F372" s="433" t="s">
        <v>23</v>
      </c>
      <c r="G372" s="433"/>
      <c r="H372" s="433" t="s">
        <v>751</v>
      </c>
      <c r="I372" s="433" t="s">
        <v>752</v>
      </c>
      <c r="J372" s="369">
        <v>44994</v>
      </c>
      <c r="K372" s="753">
        <v>0.5</v>
      </c>
      <c r="L372" s="369">
        <v>44994</v>
      </c>
      <c r="M372" s="753">
        <v>0.625</v>
      </c>
      <c r="N372" s="433">
        <v>3</v>
      </c>
      <c r="O372" s="435" t="s">
        <v>17</v>
      </c>
      <c r="P372" s="448" t="s">
        <v>557</v>
      </c>
      <c r="Q372" s="754" t="s">
        <v>558</v>
      </c>
      <c r="R372" s="437" t="s">
        <v>263</v>
      </c>
      <c r="S372" s="31" t="s">
        <v>273</v>
      </c>
      <c r="T372" s="31" t="s">
        <v>273</v>
      </c>
      <c r="U372" s="31">
        <f>IFERROR(VLOOKUP(CONCATENATE(Tabla1[[#This Row],[Severidad]]," ",Tabla1[[#This Row],[Complejidad]]),Catalogos!E$120:G$128,3,FALSE),"")</f>
        <v>64</v>
      </c>
      <c r="V372" s="31" t="str">
        <f>IF(Tabla1[[#This Row],[Tiempo solución max (hrs)]]&lt;&gt;"",IF(Tabla1[[#This Row],[Tiempo solución max (hrs)]]&gt;=Tabla1[[#This Row],[Tiempo
(Hrs 00/100)]],"cumple","no cumple"),"")</f>
        <v>cumple</v>
      </c>
      <c r="W372" s="376" t="s">
        <v>681</v>
      </c>
      <c r="X372" s="377" t="str">
        <f t="shared" si="61"/>
        <v>SPD</v>
      </c>
      <c r="Y372" t="str">
        <f>SUBSTITUTE(Tabla1[[#This Row],[Descripción]],CHAR(10),"    I    ")</f>
        <v>Se agrega el calco de costo del medio de reproduccion usando su respectivo servicio y el domicilio proporcionado</v>
      </c>
      <c r="Z372" s="378">
        <f>VLOOKUP(Tabla1[[#This Row],[Perfil]],Catalogos!$B$75:$D$100,3,FALSE)*Tabla1[[#This Row],[Tiempo
(Hrs 00/100)]]*1.16</f>
        <v>1739.9999999999998</v>
      </c>
    </row>
    <row r="373" spans="1:26" ht="42.75" customHeight="1" x14ac:dyDescent="0.3">
      <c r="A373" s="433" t="s">
        <v>22</v>
      </c>
      <c r="B373" s="433" t="s">
        <v>23</v>
      </c>
      <c r="C373" s="433" t="s">
        <v>45</v>
      </c>
      <c r="D373" s="433"/>
      <c r="E373" s="433" t="s">
        <v>554</v>
      </c>
      <c r="F373" s="433" t="s">
        <v>23</v>
      </c>
      <c r="G373" s="433"/>
      <c r="H373" s="433" t="s">
        <v>753</v>
      </c>
      <c r="I373" s="433" t="s">
        <v>754</v>
      </c>
      <c r="J373" s="369">
        <v>44994</v>
      </c>
      <c r="K373" s="747">
        <v>0.66666666666666663</v>
      </c>
      <c r="L373" s="369">
        <v>44994</v>
      </c>
      <c r="M373" s="753">
        <v>0.79166666666666663</v>
      </c>
      <c r="N373" s="433">
        <v>3</v>
      </c>
      <c r="O373" s="435" t="s">
        <v>17</v>
      </c>
      <c r="P373" s="448" t="s">
        <v>557</v>
      </c>
      <c r="Q373" s="754" t="s">
        <v>558</v>
      </c>
      <c r="R373" s="437" t="s">
        <v>263</v>
      </c>
      <c r="S373" s="31" t="s">
        <v>273</v>
      </c>
      <c r="T373" s="31" t="s">
        <v>273</v>
      </c>
      <c r="U373" s="31">
        <f>IFERROR(VLOOKUP(CONCATENATE(Tabla1[[#This Row],[Severidad]]," ",Tabla1[[#This Row],[Complejidad]]),Catalogos!E$120:G$128,3,FALSE),"")</f>
        <v>64</v>
      </c>
      <c r="V373" s="31" t="str">
        <f>IF(Tabla1[[#This Row],[Tiempo solución max (hrs)]]&lt;&gt;"",IF(Tabla1[[#This Row],[Tiempo solución max (hrs)]]&gt;=Tabla1[[#This Row],[Tiempo
(Hrs 00/100)]],"cumple","no cumple"),"")</f>
        <v>cumple</v>
      </c>
      <c r="W373" s="376" t="s">
        <v>681</v>
      </c>
      <c r="X373" s="377" t="str">
        <f t="shared" si="61"/>
        <v>SPD</v>
      </c>
      <c r="Y373" t="str">
        <f>SUBSTITUTE(Tabla1[[#This Row],[Descripción]],CHAR(10),"    I    ")</f>
        <v>Se verifican validaciones para entrega nacional e internacional, asi tambien las relacionadas con los costos</v>
      </c>
      <c r="Z373" s="378">
        <f>VLOOKUP(Tabla1[[#This Row],[Perfil]],Catalogos!$B$75:$D$100,3,FALSE)*Tabla1[[#This Row],[Tiempo
(Hrs 00/100)]]*1.16</f>
        <v>1739.9999999999998</v>
      </c>
    </row>
    <row r="374" spans="1:26" ht="42.75" customHeight="1" x14ac:dyDescent="0.3">
      <c r="A374" s="433" t="s">
        <v>22</v>
      </c>
      <c r="B374" s="433" t="s">
        <v>23</v>
      </c>
      <c r="C374" s="433" t="s">
        <v>45</v>
      </c>
      <c r="D374" s="433"/>
      <c r="E374" s="433" t="s">
        <v>554</v>
      </c>
      <c r="F374" s="433" t="s">
        <v>23</v>
      </c>
      <c r="G374" s="433"/>
      <c r="H374" s="433" t="s">
        <v>755</v>
      </c>
      <c r="I374" s="433" t="s">
        <v>756</v>
      </c>
      <c r="J374" s="369">
        <v>44995</v>
      </c>
      <c r="K374" s="747">
        <v>0.375</v>
      </c>
      <c r="L374" s="369">
        <v>44995</v>
      </c>
      <c r="M374" s="753">
        <v>0.54166666666666663</v>
      </c>
      <c r="N374" s="433">
        <v>4</v>
      </c>
      <c r="O374" s="435" t="s">
        <v>17</v>
      </c>
      <c r="P374" s="448" t="s">
        <v>557</v>
      </c>
      <c r="Q374" s="754" t="s">
        <v>558</v>
      </c>
      <c r="R374" s="437" t="s">
        <v>263</v>
      </c>
      <c r="S374" s="31" t="s">
        <v>273</v>
      </c>
      <c r="T374" s="31" t="s">
        <v>273</v>
      </c>
      <c r="U374" s="31">
        <f>IFERROR(VLOOKUP(CONCATENATE(Tabla1[[#This Row],[Severidad]]," ",Tabla1[[#This Row],[Complejidad]]),Catalogos!E$120:G$128,3,FALSE),"")</f>
        <v>64</v>
      </c>
      <c r="V374" s="31" t="str">
        <f>IF(Tabla1[[#This Row],[Tiempo solución max (hrs)]]&lt;&gt;"",IF(Tabla1[[#This Row],[Tiempo solución max (hrs)]]&gt;=Tabla1[[#This Row],[Tiempo
(Hrs 00/100)]],"cumple","no cumple"),"")</f>
        <v>cumple</v>
      </c>
      <c r="W374" s="376" t="s">
        <v>681</v>
      </c>
      <c r="X374" s="377" t="str">
        <f t="shared" si="61"/>
        <v>SPD</v>
      </c>
      <c r="Y374" t="str">
        <f>SUBSTITUTE(Tabla1[[#This Row],[Descripción]],CHAR(10),"    I    ")</f>
        <v>Se genera la peticion y respuesta para responder al recurrente disponibildiad</v>
      </c>
      <c r="Z374" s="378">
        <f>VLOOKUP(Tabla1[[#This Row],[Perfil]],Catalogos!$B$75:$D$100,3,FALSE)*Tabla1[[#This Row],[Tiempo
(Hrs 00/100)]]*1.16</f>
        <v>2320</v>
      </c>
    </row>
    <row r="375" spans="1:26" ht="42.75" customHeight="1" thickBot="1" x14ac:dyDescent="0.35">
      <c r="A375" s="438" t="s">
        <v>22</v>
      </c>
      <c r="B375" s="438" t="s">
        <v>23</v>
      </c>
      <c r="C375" s="438" t="s">
        <v>45</v>
      </c>
      <c r="D375" s="438"/>
      <c r="E375" s="438" t="s">
        <v>554</v>
      </c>
      <c r="F375" s="438" t="s">
        <v>23</v>
      </c>
      <c r="G375" s="438"/>
      <c r="H375" s="438" t="s">
        <v>757</v>
      </c>
      <c r="I375" s="438" t="s">
        <v>758</v>
      </c>
      <c r="J375" s="369">
        <v>44995</v>
      </c>
      <c r="K375" s="753">
        <v>0.54166666666666663</v>
      </c>
      <c r="L375" s="369">
        <v>44995</v>
      </c>
      <c r="M375" s="753">
        <v>0.79166666666666663</v>
      </c>
      <c r="N375" s="438">
        <v>4</v>
      </c>
      <c r="O375" s="438" t="s">
        <v>17</v>
      </c>
      <c r="P375" s="438" t="s">
        <v>557</v>
      </c>
      <c r="Q375" s="757" t="s">
        <v>558</v>
      </c>
      <c r="R375" s="438" t="s">
        <v>263</v>
      </c>
      <c r="S375" s="31" t="s">
        <v>273</v>
      </c>
      <c r="T375" s="31" t="s">
        <v>273</v>
      </c>
      <c r="U375" s="31">
        <f>IFERROR(VLOOKUP(CONCATENATE(Tabla1[[#This Row],[Severidad]]," ",Tabla1[[#This Row],[Complejidad]]),Catalogos!E$120:G$128,3,FALSE),"")</f>
        <v>64</v>
      </c>
      <c r="V375" s="31" t="str">
        <f>IF(Tabla1[[#This Row],[Tiempo solución max (hrs)]]&lt;&gt;"",IF(Tabla1[[#This Row],[Tiempo solución max (hrs)]]&gt;=Tabla1[[#This Row],[Tiempo
(Hrs 00/100)]],"cumple","no cumple"),"")</f>
        <v>cumple</v>
      </c>
      <c r="W375" s="376" t="s">
        <v>681</v>
      </c>
      <c r="X375" s="377" t="str">
        <f t="shared" si="61"/>
        <v>SPD</v>
      </c>
      <c r="Y375" t="str">
        <f>SUBSTITUTE(Tabla1[[#This Row],[Descripción]],CHAR(10),"    I    ")</f>
        <v>Se genera la peticion para responder al recurrente prevencion, se hace busqueda en el codigo prexistente para rescatar el cuerpo de la peticion</v>
      </c>
      <c r="Z375" s="378">
        <f>VLOOKUP(Tabla1[[#This Row],[Perfil]],Catalogos!$B$75:$D$100,3,FALSE)*Tabla1[[#This Row],[Tiempo
(Hrs 00/100)]]*1.16</f>
        <v>2320</v>
      </c>
    </row>
    <row r="376" spans="1:26" ht="42.75" customHeight="1" thickTop="1" x14ac:dyDescent="0.3">
      <c r="A376" s="443" t="s">
        <v>22</v>
      </c>
      <c r="B376" s="443" t="s">
        <v>23</v>
      </c>
      <c r="C376" s="443" t="s">
        <v>45</v>
      </c>
      <c r="D376" s="443"/>
      <c r="E376" s="443" t="s">
        <v>554</v>
      </c>
      <c r="F376" s="443" t="s">
        <v>23</v>
      </c>
      <c r="G376" s="443"/>
      <c r="H376" s="443" t="s">
        <v>759</v>
      </c>
      <c r="I376" s="443" t="s">
        <v>760</v>
      </c>
      <c r="J376" s="369">
        <v>44998</v>
      </c>
      <c r="K376" s="747">
        <v>0.375</v>
      </c>
      <c r="L376" s="369">
        <v>44998</v>
      </c>
      <c r="M376" s="753">
        <v>0.54166666666666663</v>
      </c>
      <c r="N376" s="443">
        <v>4</v>
      </c>
      <c r="O376" s="435" t="s">
        <v>17</v>
      </c>
      <c r="P376" s="448" t="s">
        <v>557</v>
      </c>
      <c r="Q376" s="754" t="s">
        <v>558</v>
      </c>
      <c r="R376" s="437" t="s">
        <v>263</v>
      </c>
      <c r="S376" s="31" t="s">
        <v>273</v>
      </c>
      <c r="T376" s="31" t="s">
        <v>273</v>
      </c>
      <c r="U376" s="31">
        <f>IFERROR(VLOOKUP(CONCATENATE(Tabla1[[#This Row],[Severidad]]," ",Tabla1[[#This Row],[Complejidad]]),Catalogos!E$120:G$128,3,FALSE),"")</f>
        <v>64</v>
      </c>
      <c r="V376" s="31" t="str">
        <f>IF(Tabla1[[#This Row],[Tiempo solución max (hrs)]]&lt;&gt;"",IF(Tabla1[[#This Row],[Tiempo solución max (hrs)]]&gt;=Tabla1[[#This Row],[Tiempo
(Hrs 00/100)]],"cumple","no cumple"),"")</f>
        <v>cumple</v>
      </c>
      <c r="W376" s="376" t="s">
        <v>681</v>
      </c>
      <c r="X376" s="377" t="str">
        <f t="shared" si="61"/>
        <v>SPD</v>
      </c>
      <c r="Y376" t="str">
        <f>SUBSTITUTE(Tabla1[[#This Row],[Descripción]],CHAR(10),"    I    ")</f>
        <v>Se crea la pantalla de buscador de mis quejas</v>
      </c>
      <c r="Z376" s="378">
        <f>VLOOKUP(Tabla1[[#This Row],[Perfil]],Catalogos!$B$75:$D$100,3,FALSE)*Tabla1[[#This Row],[Tiempo
(Hrs 00/100)]]*1.16</f>
        <v>2320</v>
      </c>
    </row>
    <row r="377" spans="1:26" ht="42.75" customHeight="1" x14ac:dyDescent="0.3">
      <c r="A377" s="443" t="s">
        <v>22</v>
      </c>
      <c r="B377" s="443" t="s">
        <v>23</v>
      </c>
      <c r="C377" s="443" t="s">
        <v>45</v>
      </c>
      <c r="D377" s="443"/>
      <c r="E377" s="443" t="s">
        <v>554</v>
      </c>
      <c r="F377" s="443" t="s">
        <v>23</v>
      </c>
      <c r="G377" s="433"/>
      <c r="H377" s="433" t="s">
        <v>761</v>
      </c>
      <c r="I377" s="433" t="s">
        <v>762</v>
      </c>
      <c r="J377" s="369">
        <v>44998</v>
      </c>
      <c r="K377" s="753">
        <v>0.54166666666666663</v>
      </c>
      <c r="L377" s="369">
        <v>44998</v>
      </c>
      <c r="M377" s="753">
        <v>0.79166666666666663</v>
      </c>
      <c r="N377" s="433">
        <v>4</v>
      </c>
      <c r="O377" s="435" t="s">
        <v>17</v>
      </c>
      <c r="P377" s="448" t="s">
        <v>557</v>
      </c>
      <c r="Q377" s="754" t="s">
        <v>558</v>
      </c>
      <c r="R377" s="437" t="s">
        <v>263</v>
      </c>
      <c r="S377" s="31" t="s">
        <v>273</v>
      </c>
      <c r="T377" s="31" t="s">
        <v>273</v>
      </c>
      <c r="U377" s="31">
        <f>IFERROR(VLOOKUP(CONCATENATE(Tabla1[[#This Row],[Severidad]]," ",Tabla1[[#This Row],[Complejidad]]),Catalogos!E$120:G$128,3,FALSE),"")</f>
        <v>64</v>
      </c>
      <c r="V377" s="31" t="str">
        <f>IF(Tabla1[[#This Row],[Tiempo solución max (hrs)]]&lt;&gt;"",IF(Tabla1[[#This Row],[Tiempo solución max (hrs)]]&gt;=Tabla1[[#This Row],[Tiempo
(Hrs 00/100)]],"cumple","no cumple"),"")</f>
        <v>cumple</v>
      </c>
      <c r="W377" s="376" t="s">
        <v>681</v>
      </c>
      <c r="X377" s="377" t="str">
        <f t="shared" si="61"/>
        <v>SPD</v>
      </c>
      <c r="Y377" t="str">
        <f>SUBSTITUTE(Tabla1[[#This Row],[Descripción]],CHAR(10),"    I    ")</f>
        <v>Se crea la pantalla del detalle de mis quejas, lista el resultado de la busqueda</v>
      </c>
      <c r="Z377" s="378">
        <f>VLOOKUP(Tabla1[[#This Row],[Perfil]],Catalogos!$B$75:$D$100,3,FALSE)*Tabla1[[#This Row],[Tiempo
(Hrs 00/100)]]*1.16</f>
        <v>2320</v>
      </c>
    </row>
    <row r="378" spans="1:26" ht="42.75" customHeight="1" x14ac:dyDescent="0.3">
      <c r="A378" s="443" t="s">
        <v>22</v>
      </c>
      <c r="B378" s="443" t="s">
        <v>23</v>
      </c>
      <c r="C378" s="443" t="s">
        <v>45</v>
      </c>
      <c r="D378" s="443"/>
      <c r="E378" s="443" t="s">
        <v>554</v>
      </c>
      <c r="F378" s="443" t="s">
        <v>23</v>
      </c>
      <c r="G378" s="433"/>
      <c r="H378" s="433" t="s">
        <v>763</v>
      </c>
      <c r="I378" s="433" t="s">
        <v>764</v>
      </c>
      <c r="J378" s="369">
        <v>44999</v>
      </c>
      <c r="K378" s="747">
        <v>0.375</v>
      </c>
      <c r="L378" s="369">
        <v>44999</v>
      </c>
      <c r="M378" s="753">
        <v>0.54166666666666663</v>
      </c>
      <c r="N378" s="433">
        <v>4</v>
      </c>
      <c r="O378" s="435" t="s">
        <v>17</v>
      </c>
      <c r="P378" s="448" t="s">
        <v>557</v>
      </c>
      <c r="Q378" s="754" t="s">
        <v>558</v>
      </c>
      <c r="R378" s="437" t="s">
        <v>263</v>
      </c>
      <c r="S378" s="31" t="s">
        <v>273</v>
      </c>
      <c r="T378" s="31" t="s">
        <v>273</v>
      </c>
      <c r="U378" s="31">
        <f>IFERROR(VLOOKUP(CONCATENATE(Tabla1[[#This Row],[Severidad]]," ",Tabla1[[#This Row],[Complejidad]]),Catalogos!E$120:G$128,3,FALSE),"")</f>
        <v>64</v>
      </c>
      <c r="V378" s="31" t="str">
        <f>IF(Tabla1[[#This Row],[Tiempo solución max (hrs)]]&lt;&gt;"",IF(Tabla1[[#This Row],[Tiempo solución max (hrs)]]&gt;=Tabla1[[#This Row],[Tiempo
(Hrs 00/100)]],"cumple","no cumple"),"")</f>
        <v>cumple</v>
      </c>
      <c r="W378" s="376" t="s">
        <v>681</v>
      </c>
      <c r="X378" s="377" t="str">
        <f t="shared" si="61"/>
        <v>SPD</v>
      </c>
      <c r="Y378" t="str">
        <f>SUBSTITUTE(Tabla1[[#This Row],[Descripción]],CHAR(10),"    I    ")</f>
        <v>Se integra libreria y permisos para escuchar push notifications desde FCM</v>
      </c>
      <c r="Z378" s="378">
        <f>VLOOKUP(Tabla1[[#This Row],[Perfil]],Catalogos!$B$75:$D$100,3,FALSE)*Tabla1[[#This Row],[Tiempo
(Hrs 00/100)]]*1.16</f>
        <v>2320</v>
      </c>
    </row>
    <row r="379" spans="1:26" ht="42.75" customHeight="1" x14ac:dyDescent="0.3">
      <c r="A379" s="443" t="s">
        <v>22</v>
      </c>
      <c r="B379" s="443" t="s">
        <v>23</v>
      </c>
      <c r="C379" s="443" t="s">
        <v>45</v>
      </c>
      <c r="D379" s="443"/>
      <c r="E379" s="443" t="s">
        <v>554</v>
      </c>
      <c r="F379" s="443" t="s">
        <v>23</v>
      </c>
      <c r="G379" s="433"/>
      <c r="H379" s="433" t="s">
        <v>763</v>
      </c>
      <c r="I379" s="449" t="s">
        <v>765</v>
      </c>
      <c r="J379" s="369">
        <v>44999</v>
      </c>
      <c r="K379" s="753">
        <v>0.54166666666666663</v>
      </c>
      <c r="L379" s="369">
        <v>44999</v>
      </c>
      <c r="M379" s="753">
        <v>0.79166666666666663</v>
      </c>
      <c r="N379" s="433">
        <v>4</v>
      </c>
      <c r="O379" s="435" t="s">
        <v>17</v>
      </c>
      <c r="P379" s="448" t="s">
        <v>557</v>
      </c>
      <c r="Q379" s="754" t="s">
        <v>558</v>
      </c>
      <c r="R379" s="437" t="s">
        <v>263</v>
      </c>
      <c r="S379" s="31" t="s">
        <v>273</v>
      </c>
      <c r="T379" s="31" t="s">
        <v>273</v>
      </c>
      <c r="U379" s="31">
        <f>IFERROR(VLOOKUP(CONCATENATE(Tabla1[[#This Row],[Severidad]]," ",Tabla1[[#This Row],[Complejidad]]),Catalogos!E$120:G$128,3,FALSE),"")</f>
        <v>64</v>
      </c>
      <c r="V379" s="31" t="str">
        <f>IF(Tabla1[[#This Row],[Tiempo solución max (hrs)]]&lt;&gt;"",IF(Tabla1[[#This Row],[Tiempo solución max (hrs)]]&gt;=Tabla1[[#This Row],[Tiempo
(Hrs 00/100)]],"cumple","no cumple"),"")</f>
        <v>cumple</v>
      </c>
      <c r="W379" s="376" t="s">
        <v>681</v>
      </c>
      <c r="X379" s="377" t="str">
        <f t="shared" si="61"/>
        <v>SPD</v>
      </c>
      <c r="Y379" t="str">
        <f>SUBSTITUTE(Tabla1[[#This Row],[Descripción]],CHAR(10),"    I    ")</f>
        <v>Se integra la reaccion de recibir notificaciones y se dirige las pantallas correspondiente existentes</v>
      </c>
      <c r="Z379" s="378">
        <f>VLOOKUP(Tabla1[[#This Row],[Perfil]],Catalogos!$B$75:$D$100,3,FALSE)*Tabla1[[#This Row],[Tiempo
(Hrs 00/100)]]*1.16</f>
        <v>2320</v>
      </c>
    </row>
    <row r="380" spans="1:26" ht="42.75" customHeight="1" x14ac:dyDescent="0.3">
      <c r="A380" s="443" t="s">
        <v>22</v>
      </c>
      <c r="B380" s="443" t="s">
        <v>23</v>
      </c>
      <c r="C380" s="443" t="s">
        <v>45</v>
      </c>
      <c r="D380" s="443"/>
      <c r="E380" s="443" t="s">
        <v>554</v>
      </c>
      <c r="F380" s="443" t="s">
        <v>23</v>
      </c>
      <c r="G380" s="433"/>
      <c r="H380" s="433" t="s">
        <v>763</v>
      </c>
      <c r="I380" s="433" t="s">
        <v>766</v>
      </c>
      <c r="J380" s="369">
        <v>45000</v>
      </c>
      <c r="K380" s="747">
        <v>0.375</v>
      </c>
      <c r="L380" s="369">
        <v>45000</v>
      </c>
      <c r="M380" s="753">
        <v>0.45833333333333331</v>
      </c>
      <c r="N380" s="433">
        <v>2</v>
      </c>
      <c r="O380" s="435" t="s">
        <v>17</v>
      </c>
      <c r="P380" s="448" t="s">
        <v>557</v>
      </c>
      <c r="Q380" s="754" t="s">
        <v>558</v>
      </c>
      <c r="R380" s="437" t="s">
        <v>263</v>
      </c>
      <c r="S380" s="31" t="s">
        <v>273</v>
      </c>
      <c r="T380" s="31" t="s">
        <v>273</v>
      </c>
      <c r="U380" s="31">
        <f>IFERROR(VLOOKUP(CONCATENATE(Tabla1[[#This Row],[Severidad]]," ",Tabla1[[#This Row],[Complejidad]]),Catalogos!E$120:G$128,3,FALSE),"")</f>
        <v>64</v>
      </c>
      <c r="V380" s="31" t="str">
        <f>IF(Tabla1[[#This Row],[Tiempo solución max (hrs)]]&lt;&gt;"",IF(Tabla1[[#This Row],[Tiempo solución max (hrs)]]&gt;=Tabla1[[#This Row],[Tiempo
(Hrs 00/100)]],"cumple","no cumple"),"")</f>
        <v>cumple</v>
      </c>
      <c r="W380" s="376" t="s">
        <v>681</v>
      </c>
      <c r="X380" s="377" t="str">
        <f t="shared" si="61"/>
        <v>SPD</v>
      </c>
      <c r="Y380" t="str">
        <f>SUBSTITUTE(Tabla1[[#This Row],[Descripción]],CHAR(10),"    I    ")</f>
        <v>Se crean patanllas faltantes para notificacion de finaliazacion de solicitud</v>
      </c>
      <c r="Z380" s="378">
        <f>VLOOKUP(Tabla1[[#This Row],[Perfil]],Catalogos!$B$75:$D$100,3,FALSE)*Tabla1[[#This Row],[Tiempo
(Hrs 00/100)]]*1.16</f>
        <v>1160</v>
      </c>
    </row>
    <row r="381" spans="1:26" ht="42.75" customHeight="1" x14ac:dyDescent="0.3">
      <c r="A381" s="443" t="s">
        <v>22</v>
      </c>
      <c r="B381" s="443" t="s">
        <v>23</v>
      </c>
      <c r="C381" s="443" t="s">
        <v>45</v>
      </c>
      <c r="D381" s="443"/>
      <c r="E381" s="443" t="s">
        <v>554</v>
      </c>
      <c r="F381" s="443" t="s">
        <v>23</v>
      </c>
      <c r="G381" s="433"/>
      <c r="H381" s="433" t="s">
        <v>767</v>
      </c>
      <c r="I381" s="450" t="s">
        <v>768</v>
      </c>
      <c r="J381" s="369">
        <v>45000</v>
      </c>
      <c r="K381" s="753">
        <v>0.45833333333333331</v>
      </c>
      <c r="L381" s="369">
        <v>45000</v>
      </c>
      <c r="M381" s="753">
        <v>0.54166666666666663</v>
      </c>
      <c r="N381" s="433">
        <v>2</v>
      </c>
      <c r="O381" s="435" t="s">
        <v>17</v>
      </c>
      <c r="P381" s="448" t="s">
        <v>557</v>
      </c>
      <c r="Q381" s="754" t="s">
        <v>558</v>
      </c>
      <c r="R381" s="437" t="s">
        <v>263</v>
      </c>
      <c r="S381" s="31" t="s">
        <v>273</v>
      </c>
      <c r="T381" s="31" t="s">
        <v>273</v>
      </c>
      <c r="U381" s="31">
        <f>IFERROR(VLOOKUP(CONCATENATE(Tabla1[[#This Row],[Severidad]]," ",Tabla1[[#This Row],[Complejidad]]),Catalogos!E$120:G$128,3,FALSE),"")</f>
        <v>64</v>
      </c>
      <c r="V381" s="31" t="str">
        <f>IF(Tabla1[[#This Row],[Tiempo solución max (hrs)]]&lt;&gt;"",IF(Tabla1[[#This Row],[Tiempo solución max (hrs)]]&gt;=Tabla1[[#This Row],[Tiempo
(Hrs 00/100)]],"cumple","no cumple"),"")</f>
        <v>cumple</v>
      </c>
      <c r="W381" s="376" t="s">
        <v>681</v>
      </c>
      <c r="X381" s="377" t="str">
        <f t="shared" si="61"/>
        <v>SPD</v>
      </c>
      <c r="Y381" t="str">
        <f>SUBSTITUTE(Tabla1[[#This Row],[Descripción]],CHAR(10),"    I    ")</f>
        <v>Se integra servicio para buscar solicitudes publicas</v>
      </c>
      <c r="Z381" s="378">
        <f>VLOOKUP(Tabla1[[#This Row],[Perfil]],Catalogos!$B$75:$D$100,3,FALSE)*Tabla1[[#This Row],[Tiempo
(Hrs 00/100)]]*1.16</f>
        <v>1160</v>
      </c>
    </row>
    <row r="382" spans="1:26" ht="42.75" customHeight="1" x14ac:dyDescent="0.3">
      <c r="A382" s="443" t="s">
        <v>22</v>
      </c>
      <c r="B382" s="443" t="s">
        <v>23</v>
      </c>
      <c r="C382" s="443" t="s">
        <v>45</v>
      </c>
      <c r="D382" s="443"/>
      <c r="E382" s="443" t="s">
        <v>554</v>
      </c>
      <c r="F382" s="443" t="s">
        <v>23</v>
      </c>
      <c r="G382" s="433"/>
      <c r="H382" s="433" t="s">
        <v>767</v>
      </c>
      <c r="I382" s="450" t="s">
        <v>769</v>
      </c>
      <c r="J382" s="369">
        <v>45000</v>
      </c>
      <c r="K382" s="753">
        <v>0.54166666666666663</v>
      </c>
      <c r="L382" s="369">
        <v>45000</v>
      </c>
      <c r="M382" s="753">
        <v>0.79166666666666663</v>
      </c>
      <c r="N382" s="433">
        <v>4</v>
      </c>
      <c r="O382" s="435" t="s">
        <v>17</v>
      </c>
      <c r="P382" s="448" t="s">
        <v>557</v>
      </c>
      <c r="Q382" s="754" t="s">
        <v>558</v>
      </c>
      <c r="R382" s="437" t="s">
        <v>263</v>
      </c>
      <c r="S382" s="31" t="s">
        <v>273</v>
      </c>
      <c r="T382" s="31" t="s">
        <v>273</v>
      </c>
      <c r="U382" s="31">
        <f>IFERROR(VLOOKUP(CONCATENATE(Tabla1[[#This Row],[Severidad]]," ",Tabla1[[#This Row],[Complejidad]]),Catalogos!E$120:G$128,3,FALSE),"")</f>
        <v>64</v>
      </c>
      <c r="V382" s="31" t="str">
        <f>IF(Tabla1[[#This Row],[Tiempo solución max (hrs)]]&lt;&gt;"",IF(Tabla1[[#This Row],[Tiempo solución max (hrs)]]&gt;=Tabla1[[#This Row],[Tiempo
(Hrs 00/100)]],"cumple","no cumple"),"")</f>
        <v>cumple</v>
      </c>
      <c r="W382" s="376" t="s">
        <v>681</v>
      </c>
      <c r="X382" s="377" t="str">
        <f t="shared" si="61"/>
        <v>SPD</v>
      </c>
      <c r="Y382" t="str">
        <f>SUBSTITUTE(Tabla1[[#This Row],[Descripción]],CHAR(10),"    I    ")</f>
        <v>Se crea vista de buscador de solicitudes publicas y sus validaciones</v>
      </c>
      <c r="Z382" s="378">
        <f>VLOOKUP(Tabla1[[#This Row],[Perfil]],Catalogos!$B$75:$D$100,3,FALSE)*Tabla1[[#This Row],[Tiempo
(Hrs 00/100)]]*1.16</f>
        <v>2320</v>
      </c>
    </row>
    <row r="383" spans="1:26" ht="42.75" customHeight="1" x14ac:dyDescent="0.3">
      <c r="A383" s="443" t="s">
        <v>22</v>
      </c>
      <c r="B383" s="443" t="s">
        <v>23</v>
      </c>
      <c r="C383" s="443" t="s">
        <v>45</v>
      </c>
      <c r="D383" s="443"/>
      <c r="E383" s="443" t="s">
        <v>554</v>
      </c>
      <c r="F383" s="443" t="s">
        <v>23</v>
      </c>
      <c r="G383" s="433"/>
      <c r="H383" s="433" t="s">
        <v>767</v>
      </c>
      <c r="I383" s="450" t="s">
        <v>770</v>
      </c>
      <c r="J383" s="369">
        <v>45001</v>
      </c>
      <c r="K383" s="747">
        <v>0.375</v>
      </c>
      <c r="L383" s="369">
        <v>45001</v>
      </c>
      <c r="M383" s="753">
        <v>0.5</v>
      </c>
      <c r="N383" s="433">
        <v>3</v>
      </c>
      <c r="O383" s="435" t="s">
        <v>17</v>
      </c>
      <c r="P383" s="448" t="s">
        <v>557</v>
      </c>
      <c r="Q383" s="754" t="s">
        <v>558</v>
      </c>
      <c r="R383" s="437" t="s">
        <v>263</v>
      </c>
      <c r="S383" s="31" t="s">
        <v>273</v>
      </c>
      <c r="T383" s="31" t="s">
        <v>273</v>
      </c>
      <c r="U383" s="31">
        <f>IFERROR(VLOOKUP(CONCATENATE(Tabla1[[#This Row],[Severidad]]," ",Tabla1[[#This Row],[Complejidad]]),Catalogos!E$120:G$128,3,FALSE),"")</f>
        <v>64</v>
      </c>
      <c r="V383" s="31" t="str">
        <f>IF(Tabla1[[#This Row],[Tiempo solución max (hrs)]]&lt;&gt;"",IF(Tabla1[[#This Row],[Tiempo solución max (hrs)]]&gt;=Tabla1[[#This Row],[Tiempo
(Hrs 00/100)]],"cumple","no cumple"),"")</f>
        <v>cumple</v>
      </c>
      <c r="W383" s="376" t="s">
        <v>681</v>
      </c>
      <c r="X383" s="377" t="str">
        <f t="shared" si="61"/>
        <v>SPD</v>
      </c>
      <c r="Y383" t="str">
        <f>SUBSTITUTE(Tabla1[[#This Row],[Descripción]],CHAR(10),"    I    ")</f>
        <v>Se crea vista del listado de solicitudes publicas y servicio para compartir solicitud</v>
      </c>
      <c r="Z383" s="378">
        <f>VLOOKUP(Tabla1[[#This Row],[Perfil]],Catalogos!$B$75:$D$100,3,FALSE)*Tabla1[[#This Row],[Tiempo
(Hrs 00/100)]]*1.16</f>
        <v>1739.9999999999998</v>
      </c>
    </row>
    <row r="384" spans="1:26" ht="42.75" customHeight="1" x14ac:dyDescent="0.3">
      <c r="A384" s="443" t="s">
        <v>22</v>
      </c>
      <c r="B384" s="443" t="s">
        <v>23</v>
      </c>
      <c r="C384" s="443" t="s">
        <v>45</v>
      </c>
      <c r="D384" s="443"/>
      <c r="E384" s="443" t="s">
        <v>554</v>
      </c>
      <c r="F384" s="443" t="s">
        <v>23</v>
      </c>
      <c r="G384" s="433"/>
      <c r="H384" s="433" t="s">
        <v>771</v>
      </c>
      <c r="I384" s="450" t="s">
        <v>772</v>
      </c>
      <c r="J384" s="369">
        <v>45001</v>
      </c>
      <c r="K384" s="753">
        <v>0.5</v>
      </c>
      <c r="L384" s="369">
        <v>45001</v>
      </c>
      <c r="M384" s="753">
        <v>0.70833333333333337</v>
      </c>
      <c r="N384" s="433">
        <v>3</v>
      </c>
      <c r="O384" s="435" t="s">
        <v>17</v>
      </c>
      <c r="P384" s="448" t="s">
        <v>557</v>
      </c>
      <c r="Q384" s="754" t="s">
        <v>558</v>
      </c>
      <c r="R384" s="437" t="s">
        <v>263</v>
      </c>
      <c r="S384" s="31" t="s">
        <v>273</v>
      </c>
      <c r="T384" s="31" t="s">
        <v>273</v>
      </c>
      <c r="U384" s="31">
        <f>IFERROR(VLOOKUP(CONCATENATE(Tabla1[[#This Row],[Severidad]]," ",Tabla1[[#This Row],[Complejidad]]),Catalogos!E$120:G$128,3,FALSE),"")</f>
        <v>64</v>
      </c>
      <c r="V384" s="31" t="str">
        <f>IF(Tabla1[[#This Row],[Tiempo solución max (hrs)]]&lt;&gt;"",IF(Tabla1[[#This Row],[Tiempo solución max (hrs)]]&gt;=Tabla1[[#This Row],[Tiempo
(Hrs 00/100)]],"cumple","no cumple"),"")</f>
        <v>cumple</v>
      </c>
      <c r="W384" s="376" t="s">
        <v>681</v>
      </c>
      <c r="X384" s="377" t="str">
        <f t="shared" si="61"/>
        <v>SPD</v>
      </c>
      <c r="Y384" t="str">
        <f>SUBSTITUTE(Tabla1[[#This Row],[Descripción]],CHAR(10),"    I    ")</f>
        <v>Se crea vista de buscador de quejas y sus validaciones</v>
      </c>
      <c r="Z384" s="378">
        <f>VLOOKUP(Tabla1[[#This Row],[Perfil]],Catalogos!$B$75:$D$100,3,FALSE)*Tabla1[[#This Row],[Tiempo
(Hrs 00/100)]]*1.16</f>
        <v>1739.9999999999998</v>
      </c>
    </row>
    <row r="385" spans="1:26" ht="42.75" customHeight="1" x14ac:dyDescent="0.3">
      <c r="A385" s="443" t="s">
        <v>22</v>
      </c>
      <c r="B385" s="443" t="s">
        <v>23</v>
      </c>
      <c r="C385" s="443" t="s">
        <v>45</v>
      </c>
      <c r="D385" s="443"/>
      <c r="E385" s="443" t="s">
        <v>554</v>
      </c>
      <c r="F385" s="443" t="s">
        <v>23</v>
      </c>
      <c r="G385" s="433"/>
      <c r="H385" s="433" t="s">
        <v>771</v>
      </c>
      <c r="I385" s="450" t="s">
        <v>773</v>
      </c>
      <c r="J385" s="369">
        <v>45001</v>
      </c>
      <c r="K385" s="753">
        <v>0.70833333333333337</v>
      </c>
      <c r="L385" s="369">
        <v>45001</v>
      </c>
      <c r="M385" s="753">
        <v>0.79166666666666663</v>
      </c>
      <c r="N385" s="433">
        <v>2</v>
      </c>
      <c r="O385" s="435" t="s">
        <v>17</v>
      </c>
      <c r="P385" s="448" t="s">
        <v>557</v>
      </c>
      <c r="Q385" s="754" t="s">
        <v>558</v>
      </c>
      <c r="R385" s="437" t="s">
        <v>263</v>
      </c>
      <c r="S385" s="31" t="s">
        <v>273</v>
      </c>
      <c r="T385" s="31" t="s">
        <v>273</v>
      </c>
      <c r="U385" s="31">
        <f>IFERROR(VLOOKUP(CONCATENATE(Tabla1[[#This Row],[Severidad]]," ",Tabla1[[#This Row],[Complejidad]]),Catalogos!E$120:G$128,3,FALSE),"")</f>
        <v>64</v>
      </c>
      <c r="V385" s="31" t="str">
        <f>IF(Tabla1[[#This Row],[Tiempo solución max (hrs)]]&lt;&gt;"",IF(Tabla1[[#This Row],[Tiempo solución max (hrs)]]&gt;=Tabla1[[#This Row],[Tiempo
(Hrs 00/100)]],"cumple","no cumple"),"")</f>
        <v>cumple</v>
      </c>
      <c r="W385" s="376" t="s">
        <v>681</v>
      </c>
      <c r="X385" s="377" t="str">
        <f t="shared" si="61"/>
        <v>SPD</v>
      </c>
      <c r="Y385" t="str">
        <f>SUBSTITUTE(Tabla1[[#This Row],[Descripción]],CHAR(10),"    I    ")</f>
        <v>Se integra servicio para buscar quejas</v>
      </c>
      <c r="Z385" s="378">
        <f>VLOOKUP(Tabla1[[#This Row],[Perfil]],Catalogos!$B$75:$D$100,3,FALSE)*Tabla1[[#This Row],[Tiempo
(Hrs 00/100)]]*1.16</f>
        <v>1160</v>
      </c>
    </row>
    <row r="386" spans="1:26" ht="42.75" customHeight="1" x14ac:dyDescent="0.3">
      <c r="A386" s="443" t="s">
        <v>22</v>
      </c>
      <c r="B386" s="443" t="s">
        <v>23</v>
      </c>
      <c r="C386" s="443" t="s">
        <v>45</v>
      </c>
      <c r="D386" s="443"/>
      <c r="E386" s="443" t="s">
        <v>554</v>
      </c>
      <c r="F386" s="443" t="s">
        <v>23</v>
      </c>
      <c r="G386" s="433"/>
      <c r="H386" s="433" t="s">
        <v>774</v>
      </c>
      <c r="I386" s="450" t="s">
        <v>775</v>
      </c>
      <c r="J386" s="369">
        <v>45002</v>
      </c>
      <c r="K386" s="747">
        <v>0.375</v>
      </c>
      <c r="L386" s="369">
        <v>45002</v>
      </c>
      <c r="M386" s="753">
        <v>0.45833333333333331</v>
      </c>
      <c r="N386" s="433">
        <v>2</v>
      </c>
      <c r="O386" s="435" t="s">
        <v>17</v>
      </c>
      <c r="P386" s="448" t="s">
        <v>557</v>
      </c>
      <c r="Q386" s="754" t="s">
        <v>558</v>
      </c>
      <c r="R386" s="437" t="s">
        <v>263</v>
      </c>
      <c r="S386" s="31" t="s">
        <v>273</v>
      </c>
      <c r="T386" s="31" t="s">
        <v>273</v>
      </c>
      <c r="U386" s="31">
        <f>IFERROR(VLOOKUP(CONCATENATE(Tabla1[[#This Row],[Severidad]]," ",Tabla1[[#This Row],[Complejidad]]),Catalogos!E$120:G$128,3,FALSE),"")</f>
        <v>64</v>
      </c>
      <c r="V386" s="31" t="str">
        <f>IF(Tabla1[[#This Row],[Tiempo solución max (hrs)]]&lt;&gt;"",IF(Tabla1[[#This Row],[Tiempo solución max (hrs)]]&gt;=Tabla1[[#This Row],[Tiempo
(Hrs 00/100)]],"cumple","no cumple"),"")</f>
        <v>cumple</v>
      </c>
      <c r="W386" s="376" t="s">
        <v>681</v>
      </c>
      <c r="X386" s="377" t="str">
        <f t="shared" si="61"/>
        <v>SPD</v>
      </c>
      <c r="Y386" t="str">
        <f>SUBSTITUTE(Tabla1[[#This Row],[Descripción]],CHAR(10),"    I    ")</f>
        <v>Se crea vista de buscador de obligaciones y sus validaciones</v>
      </c>
      <c r="Z386" s="378">
        <f>VLOOKUP(Tabla1[[#This Row],[Perfil]],Catalogos!$B$75:$D$100,3,FALSE)*Tabla1[[#This Row],[Tiempo
(Hrs 00/100)]]*1.16</f>
        <v>1160</v>
      </c>
    </row>
    <row r="387" spans="1:26" ht="42.75" customHeight="1" x14ac:dyDescent="0.3">
      <c r="A387" s="443" t="s">
        <v>22</v>
      </c>
      <c r="B387" s="443" t="s">
        <v>23</v>
      </c>
      <c r="C387" s="443" t="s">
        <v>45</v>
      </c>
      <c r="D387" s="443"/>
      <c r="E387" s="443" t="s">
        <v>554</v>
      </c>
      <c r="F387" s="443" t="s">
        <v>23</v>
      </c>
      <c r="G387" s="433"/>
      <c r="H387" s="433" t="s">
        <v>774</v>
      </c>
      <c r="I387" s="450" t="s">
        <v>776</v>
      </c>
      <c r="J387" s="369">
        <v>45002</v>
      </c>
      <c r="K387" s="753">
        <v>0.45833333333333331</v>
      </c>
      <c r="L387" s="369">
        <v>45002</v>
      </c>
      <c r="M387" s="753">
        <v>0.54166666666666663</v>
      </c>
      <c r="N387" s="433">
        <v>2</v>
      </c>
      <c r="O387" s="435" t="s">
        <v>17</v>
      </c>
      <c r="P387" s="448" t="s">
        <v>557</v>
      </c>
      <c r="Q387" s="754" t="s">
        <v>558</v>
      </c>
      <c r="R387" s="437" t="s">
        <v>263</v>
      </c>
      <c r="S387" s="31" t="s">
        <v>273</v>
      </c>
      <c r="T387" s="31" t="s">
        <v>273</v>
      </c>
      <c r="U387" s="31">
        <f>IFERROR(VLOOKUP(CONCATENATE(Tabla1[[#This Row],[Severidad]]," ",Tabla1[[#This Row],[Complejidad]]),Catalogos!E$120:G$128,3,FALSE),"")</f>
        <v>64</v>
      </c>
      <c r="V387" s="31" t="str">
        <f>IF(Tabla1[[#This Row],[Tiempo solución max (hrs)]]&lt;&gt;"",IF(Tabla1[[#This Row],[Tiempo solución max (hrs)]]&gt;=Tabla1[[#This Row],[Tiempo
(Hrs 00/100)]],"cumple","no cumple"),"")</f>
        <v>cumple</v>
      </c>
      <c r="W387" s="376" t="s">
        <v>681</v>
      </c>
      <c r="X387" s="377" t="str">
        <f t="shared" si="61"/>
        <v>SPD</v>
      </c>
      <c r="Y387" t="str">
        <f>SUBSTITUTE(Tabla1[[#This Row],[Descripción]],CHAR(10),"    I    ")</f>
        <v>Se crea vista de catalogo para seleccionar Obligaciones disponibles del organo garante</v>
      </c>
      <c r="Z387" s="378">
        <f>VLOOKUP(Tabla1[[#This Row],[Perfil]],Catalogos!$B$75:$D$100,3,FALSE)*Tabla1[[#This Row],[Tiempo
(Hrs 00/100)]]*1.16</f>
        <v>1160</v>
      </c>
    </row>
    <row r="388" spans="1:26" ht="42.75" customHeight="1" x14ac:dyDescent="0.3">
      <c r="A388" s="443" t="s">
        <v>22</v>
      </c>
      <c r="B388" s="443" t="s">
        <v>23</v>
      </c>
      <c r="C388" s="443" t="s">
        <v>45</v>
      </c>
      <c r="D388" s="443"/>
      <c r="E388" s="443" t="s">
        <v>554</v>
      </c>
      <c r="F388" s="443" t="s">
        <v>23</v>
      </c>
      <c r="G388" s="433"/>
      <c r="H388" s="433" t="s">
        <v>774</v>
      </c>
      <c r="I388" s="450" t="s">
        <v>777</v>
      </c>
      <c r="J388" s="369">
        <v>45002</v>
      </c>
      <c r="K388" s="753">
        <v>0.54166666666666663</v>
      </c>
      <c r="L388" s="369">
        <v>45002</v>
      </c>
      <c r="M388" s="753">
        <v>0.70833333333333337</v>
      </c>
      <c r="N388" s="433">
        <v>2</v>
      </c>
      <c r="O388" s="435" t="s">
        <v>17</v>
      </c>
      <c r="P388" s="448" t="s">
        <v>557</v>
      </c>
      <c r="Q388" s="754" t="s">
        <v>558</v>
      </c>
      <c r="R388" s="437" t="s">
        <v>263</v>
      </c>
      <c r="S388" s="31" t="s">
        <v>273</v>
      </c>
      <c r="T388" s="31" t="s">
        <v>273</v>
      </c>
      <c r="U388" s="31">
        <f>IFERROR(VLOOKUP(CONCATENATE(Tabla1[[#This Row],[Severidad]]," ",Tabla1[[#This Row],[Complejidad]]),Catalogos!E$120:G$128,3,FALSE),"")</f>
        <v>64</v>
      </c>
      <c r="V388" s="31" t="str">
        <f>IF(Tabla1[[#This Row],[Tiempo solución max (hrs)]]&lt;&gt;"",IF(Tabla1[[#This Row],[Tiempo solución max (hrs)]]&gt;=Tabla1[[#This Row],[Tiempo
(Hrs 00/100)]],"cumple","no cumple"),"")</f>
        <v>cumple</v>
      </c>
      <c r="W388" s="376" t="s">
        <v>681</v>
      </c>
      <c r="X388" s="377" t="str">
        <f t="shared" si="61"/>
        <v>SPD</v>
      </c>
      <c r="Y388" t="str">
        <f>SUBSTITUTE(Tabla1[[#This Row],[Descripción]],CHAR(10),"    I    ")</f>
        <v>Se integra servicio para buscar obligaciones</v>
      </c>
      <c r="Z388" s="378">
        <f>VLOOKUP(Tabla1[[#This Row],[Perfil]],Catalogos!$B$75:$D$100,3,FALSE)*Tabla1[[#This Row],[Tiempo
(Hrs 00/100)]]*1.16</f>
        <v>1160</v>
      </c>
    </row>
    <row r="389" spans="1:26" ht="42.75" customHeight="1" thickBot="1" x14ac:dyDescent="0.35">
      <c r="A389" s="451" t="s">
        <v>22</v>
      </c>
      <c r="B389" s="451" t="s">
        <v>23</v>
      </c>
      <c r="C389" s="451" t="s">
        <v>45</v>
      </c>
      <c r="D389" s="451"/>
      <c r="E389" s="451" t="s">
        <v>554</v>
      </c>
      <c r="F389" s="451" t="s">
        <v>23</v>
      </c>
      <c r="G389" s="438"/>
      <c r="H389" s="438" t="s">
        <v>774</v>
      </c>
      <c r="I389" s="452" t="s">
        <v>778</v>
      </c>
      <c r="J389" s="369">
        <v>45002</v>
      </c>
      <c r="K389" s="753">
        <v>0.70833333333333337</v>
      </c>
      <c r="L389" s="369">
        <v>45002</v>
      </c>
      <c r="M389" s="753">
        <v>0.79166666666666663</v>
      </c>
      <c r="N389" s="438">
        <v>2</v>
      </c>
      <c r="O389" s="440" t="s">
        <v>17</v>
      </c>
      <c r="P389" s="453" t="s">
        <v>557</v>
      </c>
      <c r="Q389" s="755" t="s">
        <v>558</v>
      </c>
      <c r="R389" s="442" t="s">
        <v>263</v>
      </c>
      <c r="S389" s="31" t="s">
        <v>273</v>
      </c>
      <c r="T389" s="31" t="s">
        <v>273</v>
      </c>
      <c r="U389" s="31">
        <f>IFERROR(VLOOKUP(CONCATENATE(Tabla1[[#This Row],[Severidad]]," ",Tabla1[[#This Row],[Complejidad]]),Catalogos!E$120:G$128,3,FALSE),"")</f>
        <v>64</v>
      </c>
      <c r="V389" s="31" t="str">
        <f>IF(Tabla1[[#This Row],[Tiempo solución max (hrs)]]&lt;&gt;"",IF(Tabla1[[#This Row],[Tiempo solución max (hrs)]]&gt;=Tabla1[[#This Row],[Tiempo
(Hrs 00/100)]],"cumple","no cumple"),"")</f>
        <v>cumple</v>
      </c>
      <c r="W389" s="376" t="s">
        <v>681</v>
      </c>
      <c r="X389" s="377" t="str">
        <f t="shared" si="61"/>
        <v>SPD</v>
      </c>
      <c r="Y389" t="str">
        <f>SUBSTITUTE(Tabla1[[#This Row],[Descripción]],CHAR(10),"    I    ")</f>
        <v>Se crea vista del listado de obligaciones</v>
      </c>
      <c r="Z389" s="378">
        <f>VLOOKUP(Tabla1[[#This Row],[Perfil]],Catalogos!$B$75:$D$100,3,FALSE)*Tabla1[[#This Row],[Tiempo
(Hrs 00/100)]]*1.16</f>
        <v>1160</v>
      </c>
    </row>
    <row r="390" spans="1:26" ht="42.75" customHeight="1" thickTop="1" x14ac:dyDescent="0.3">
      <c r="A390" s="443" t="s">
        <v>22</v>
      </c>
      <c r="B390" s="443" t="s">
        <v>23</v>
      </c>
      <c r="C390" s="443" t="s">
        <v>45</v>
      </c>
      <c r="D390" s="443"/>
      <c r="E390" s="443" t="s">
        <v>554</v>
      </c>
      <c r="F390" s="443" t="s">
        <v>23</v>
      </c>
      <c r="G390" s="443"/>
      <c r="H390" s="443" t="s">
        <v>774</v>
      </c>
      <c r="I390" s="443" t="s">
        <v>779</v>
      </c>
      <c r="J390" s="369">
        <v>45006</v>
      </c>
      <c r="K390" s="747">
        <v>0.375</v>
      </c>
      <c r="L390" s="369">
        <v>45006</v>
      </c>
      <c r="M390" s="753">
        <v>0.54166666666666663</v>
      </c>
      <c r="N390" s="443">
        <v>4</v>
      </c>
      <c r="O390" s="435" t="s">
        <v>17</v>
      </c>
      <c r="P390" s="448" t="s">
        <v>557</v>
      </c>
      <c r="Q390" s="754" t="s">
        <v>558</v>
      </c>
      <c r="R390" s="437" t="s">
        <v>263</v>
      </c>
      <c r="S390" s="31" t="s">
        <v>273</v>
      </c>
      <c r="T390" s="31" t="s">
        <v>273</v>
      </c>
      <c r="U390" s="31">
        <f>IFERROR(VLOOKUP(CONCATENATE(Tabla1[[#This Row],[Severidad]]," ",Tabla1[[#This Row],[Complejidad]]),Catalogos!E$120:G$128,3,FALSE),"")</f>
        <v>64</v>
      </c>
      <c r="V390" s="31" t="str">
        <f>IF(Tabla1[[#This Row],[Tiempo solución max (hrs)]]&lt;&gt;"",IF(Tabla1[[#This Row],[Tiempo solución max (hrs)]]&gt;=Tabla1[[#This Row],[Tiempo
(Hrs 00/100)]],"cumple","no cumple"),"")</f>
        <v>cumple</v>
      </c>
      <c r="W390" s="376" t="s">
        <v>681</v>
      </c>
      <c r="X390" s="377" t="str">
        <f t="shared" si="61"/>
        <v>SPD</v>
      </c>
      <c r="Y390" t="str">
        <f>SUBSTITUTE(Tabla1[[#This Row],[Descripción]],CHAR(10),"    I    ")</f>
        <v>Se crea el item de cada resultado de buscador de acuerdo a la respuesta en forma de Map</v>
      </c>
      <c r="Z390" s="378">
        <f>VLOOKUP(Tabla1[[#This Row],[Perfil]],Catalogos!$B$75:$D$100,3,FALSE)*Tabla1[[#This Row],[Tiempo
(Hrs 00/100)]]*1.16</f>
        <v>2320</v>
      </c>
    </row>
    <row r="391" spans="1:26" ht="42.75" customHeight="1" x14ac:dyDescent="0.3">
      <c r="A391" s="443" t="s">
        <v>22</v>
      </c>
      <c r="B391" s="443" t="s">
        <v>23</v>
      </c>
      <c r="C391" s="443" t="s">
        <v>45</v>
      </c>
      <c r="D391" s="443"/>
      <c r="E391" s="443" t="s">
        <v>554</v>
      </c>
      <c r="F391" s="443" t="s">
        <v>23</v>
      </c>
      <c r="G391" s="433"/>
      <c r="H391" s="433" t="s">
        <v>774</v>
      </c>
      <c r="I391" s="450" t="s">
        <v>780</v>
      </c>
      <c r="J391" s="369">
        <v>45006</v>
      </c>
      <c r="K391" s="753">
        <v>0.54166666666666663</v>
      </c>
      <c r="L391" s="369">
        <v>45006</v>
      </c>
      <c r="M391" s="753">
        <v>0.79166666666666663</v>
      </c>
      <c r="N391" s="433">
        <v>4</v>
      </c>
      <c r="O391" s="435" t="s">
        <v>17</v>
      </c>
      <c r="P391" s="448" t="s">
        <v>557</v>
      </c>
      <c r="Q391" s="754" t="s">
        <v>558</v>
      </c>
      <c r="R391" s="437" t="s">
        <v>263</v>
      </c>
      <c r="S391" s="31" t="s">
        <v>273</v>
      </c>
      <c r="T391" s="31" t="s">
        <v>273</v>
      </c>
      <c r="U391" s="31">
        <f>IFERROR(VLOOKUP(CONCATENATE(Tabla1[[#This Row],[Severidad]]," ",Tabla1[[#This Row],[Complejidad]]),Catalogos!E$120:G$128,3,FALSE),"")</f>
        <v>64</v>
      </c>
      <c r="V391" s="31" t="str">
        <f>IF(Tabla1[[#This Row],[Tiempo solución max (hrs)]]&lt;&gt;"",IF(Tabla1[[#This Row],[Tiempo solución max (hrs)]]&gt;=Tabla1[[#This Row],[Tiempo
(Hrs 00/100)]],"cumple","no cumple"),"")</f>
        <v>cumple</v>
      </c>
      <c r="W391" s="376" t="s">
        <v>681</v>
      </c>
      <c r="X391" s="377" t="str">
        <f t="shared" si="61"/>
        <v>SPD</v>
      </c>
      <c r="Y391" t="str">
        <f>SUBSTITUTE(Tabla1[[#This Row],[Descripción]],CHAR(10),"    I    ")</f>
        <v>Creacion de logica para obtener la informaciona mostrar correctamente en cada item</v>
      </c>
      <c r="Z391" s="378">
        <f>VLOOKUP(Tabla1[[#This Row],[Perfil]],Catalogos!$B$75:$D$100,3,FALSE)*Tabla1[[#This Row],[Tiempo
(Hrs 00/100)]]*1.16</f>
        <v>2320</v>
      </c>
    </row>
    <row r="392" spans="1:26" ht="42.75" customHeight="1" x14ac:dyDescent="0.3">
      <c r="A392" s="443" t="s">
        <v>22</v>
      </c>
      <c r="B392" s="443" t="s">
        <v>23</v>
      </c>
      <c r="C392" s="443" t="s">
        <v>45</v>
      </c>
      <c r="D392" s="443"/>
      <c r="E392" s="443" t="s">
        <v>554</v>
      </c>
      <c r="F392" s="443" t="s">
        <v>23</v>
      </c>
      <c r="G392" s="433"/>
      <c r="H392" s="433" t="s">
        <v>781</v>
      </c>
      <c r="I392" s="450" t="s">
        <v>782</v>
      </c>
      <c r="J392" s="369">
        <v>45007</v>
      </c>
      <c r="K392" s="747">
        <v>0.375</v>
      </c>
      <c r="L392" s="369">
        <v>45007</v>
      </c>
      <c r="M392" s="753">
        <v>0.5</v>
      </c>
      <c r="N392" s="433">
        <v>3</v>
      </c>
      <c r="O392" s="435" t="s">
        <v>17</v>
      </c>
      <c r="P392" s="448" t="s">
        <v>557</v>
      </c>
      <c r="Q392" s="754" t="s">
        <v>558</v>
      </c>
      <c r="R392" s="437" t="s">
        <v>263</v>
      </c>
      <c r="S392" s="31" t="s">
        <v>273</v>
      </c>
      <c r="T392" s="31" t="s">
        <v>273</v>
      </c>
      <c r="U392" s="31">
        <f>IFERROR(VLOOKUP(CONCATENATE(Tabla1[[#This Row],[Severidad]]," ",Tabla1[[#This Row],[Complejidad]]),Catalogos!E$120:G$128,3,FALSE),"")</f>
        <v>64</v>
      </c>
      <c r="V392" s="31" t="str">
        <f>IF(Tabla1[[#This Row],[Tiempo solución max (hrs)]]&lt;&gt;"",IF(Tabla1[[#This Row],[Tiempo solución max (hrs)]]&gt;=Tabla1[[#This Row],[Tiempo
(Hrs 00/100)]],"cumple","no cumple"),"")</f>
        <v>cumple</v>
      </c>
      <c r="W392" s="376" t="s">
        <v>681</v>
      </c>
      <c r="X392" s="377" t="str">
        <f t="shared" si="61"/>
        <v>SPD</v>
      </c>
      <c r="Y392" t="str">
        <f>SUBSTITUTE(Tabla1[[#This Row],[Descripción]],CHAR(10),"    I    ")</f>
        <v>Se crea el pdf descargable del resultado del buscador</v>
      </c>
      <c r="Z392" s="378">
        <f>VLOOKUP(Tabla1[[#This Row],[Perfil]],Catalogos!$B$75:$D$100,3,FALSE)*Tabla1[[#This Row],[Tiempo
(Hrs 00/100)]]*1.16</f>
        <v>1739.9999999999998</v>
      </c>
    </row>
    <row r="393" spans="1:26" ht="42.75" customHeight="1" x14ac:dyDescent="0.3">
      <c r="A393" s="443" t="s">
        <v>22</v>
      </c>
      <c r="B393" s="443" t="s">
        <v>23</v>
      </c>
      <c r="C393" s="443" t="s">
        <v>45</v>
      </c>
      <c r="D393" s="443"/>
      <c r="E393" s="443" t="s">
        <v>554</v>
      </c>
      <c r="F393" s="443" t="s">
        <v>23</v>
      </c>
      <c r="G393" s="433"/>
      <c r="H393" s="433" t="s">
        <v>783</v>
      </c>
      <c r="I393" s="450" t="s">
        <v>782</v>
      </c>
      <c r="J393" s="369">
        <v>45007</v>
      </c>
      <c r="K393" s="753">
        <v>0.5</v>
      </c>
      <c r="L393" s="369">
        <v>45007</v>
      </c>
      <c r="M393" s="753">
        <v>0.70833333333333337</v>
      </c>
      <c r="N393" s="433">
        <v>3</v>
      </c>
      <c r="O393" s="435" t="s">
        <v>17</v>
      </c>
      <c r="P393" s="448" t="s">
        <v>557</v>
      </c>
      <c r="Q393" s="754" t="s">
        <v>558</v>
      </c>
      <c r="R393" s="437" t="s">
        <v>263</v>
      </c>
      <c r="S393" s="31" t="s">
        <v>273</v>
      </c>
      <c r="T393" s="31" t="s">
        <v>273</v>
      </c>
      <c r="U393" s="31">
        <f>IFERROR(VLOOKUP(CONCATENATE(Tabla1[[#This Row],[Severidad]]," ",Tabla1[[#This Row],[Complejidad]]),Catalogos!E$120:G$128,3,FALSE),"")</f>
        <v>64</v>
      </c>
      <c r="V393" s="31" t="str">
        <f>IF(Tabla1[[#This Row],[Tiempo solución max (hrs)]]&lt;&gt;"",IF(Tabla1[[#This Row],[Tiempo solución max (hrs)]]&gt;=Tabla1[[#This Row],[Tiempo
(Hrs 00/100)]],"cumple","no cumple"),"")</f>
        <v>cumple</v>
      </c>
      <c r="W393" s="376" t="s">
        <v>681</v>
      </c>
      <c r="X393" s="377" t="str">
        <f t="shared" si="61"/>
        <v>SPD</v>
      </c>
      <c r="Y393" t="str">
        <f>SUBSTITUTE(Tabla1[[#This Row],[Descripción]],CHAR(10),"    I    ")</f>
        <v>Se crea el pdf descargable del resultado del buscador</v>
      </c>
      <c r="Z393" s="378">
        <f>VLOOKUP(Tabla1[[#This Row],[Perfil]],Catalogos!$B$75:$D$100,3,FALSE)*Tabla1[[#This Row],[Tiempo
(Hrs 00/100)]]*1.16</f>
        <v>1739.9999999999998</v>
      </c>
    </row>
    <row r="394" spans="1:26" ht="42.75" customHeight="1" x14ac:dyDescent="0.3">
      <c r="A394" s="443" t="s">
        <v>22</v>
      </c>
      <c r="B394" s="443" t="s">
        <v>23</v>
      </c>
      <c r="C394" s="443" t="s">
        <v>45</v>
      </c>
      <c r="D394" s="443"/>
      <c r="E394" s="443" t="s">
        <v>554</v>
      </c>
      <c r="F394" s="443" t="s">
        <v>23</v>
      </c>
      <c r="G394" s="433"/>
      <c r="H394" s="433" t="s">
        <v>784</v>
      </c>
      <c r="I394" s="450" t="s">
        <v>785</v>
      </c>
      <c r="J394" s="369">
        <v>45007</v>
      </c>
      <c r="K394" s="753">
        <v>0.70833333333333337</v>
      </c>
      <c r="L394" s="369">
        <v>45007</v>
      </c>
      <c r="M394" s="753">
        <v>0.79166666666666663</v>
      </c>
      <c r="N394" s="433">
        <v>2</v>
      </c>
      <c r="O394" s="435" t="s">
        <v>17</v>
      </c>
      <c r="P394" s="448" t="s">
        <v>557</v>
      </c>
      <c r="Q394" s="754" t="s">
        <v>558</v>
      </c>
      <c r="R394" s="437" t="s">
        <v>263</v>
      </c>
      <c r="S394" s="31" t="s">
        <v>273</v>
      </c>
      <c r="T394" s="31" t="s">
        <v>273</v>
      </c>
      <c r="U394" s="31">
        <f>IFERROR(VLOOKUP(CONCATENATE(Tabla1[[#This Row],[Severidad]]," ",Tabla1[[#This Row],[Complejidad]]),Catalogos!E$120:G$128,3,FALSE),"")</f>
        <v>64</v>
      </c>
      <c r="V394" s="31" t="str">
        <f>IF(Tabla1[[#This Row],[Tiempo solución max (hrs)]]&lt;&gt;"",IF(Tabla1[[#This Row],[Tiempo solución max (hrs)]]&gt;=Tabla1[[#This Row],[Tiempo
(Hrs 00/100)]],"cumple","no cumple"),"")</f>
        <v>cumple</v>
      </c>
      <c r="W394" s="376" t="s">
        <v>681</v>
      </c>
      <c r="X394" s="377" t="str">
        <f t="shared" si="61"/>
        <v>SPD</v>
      </c>
      <c r="Y394" t="str">
        <f>SUBSTITUTE(Tabla1[[#This Row],[Descripción]],CHAR(10),"    I    ")</f>
        <v>Se agregan las peticiones a servicios de estadistico para los 3 buscadores</v>
      </c>
      <c r="Z394" s="378">
        <f>VLOOKUP(Tabla1[[#This Row],[Perfil]],Catalogos!$B$75:$D$100,3,FALSE)*Tabla1[[#This Row],[Tiempo
(Hrs 00/100)]]*1.16</f>
        <v>1160</v>
      </c>
    </row>
    <row r="395" spans="1:26" ht="42.75" customHeight="1" x14ac:dyDescent="0.3">
      <c r="A395" s="443" t="s">
        <v>22</v>
      </c>
      <c r="B395" s="443" t="s">
        <v>23</v>
      </c>
      <c r="C395" s="443" t="s">
        <v>45</v>
      </c>
      <c r="D395" s="443"/>
      <c r="E395" s="443" t="s">
        <v>554</v>
      </c>
      <c r="F395" s="443" t="s">
        <v>23</v>
      </c>
      <c r="G395" s="433"/>
      <c r="H395" s="433" t="s">
        <v>786</v>
      </c>
      <c r="I395" s="450" t="s">
        <v>787</v>
      </c>
      <c r="J395" s="369">
        <v>45008</v>
      </c>
      <c r="K395" s="747">
        <v>0.375</v>
      </c>
      <c r="L395" s="369">
        <v>45008</v>
      </c>
      <c r="M395" s="753">
        <v>0.5</v>
      </c>
      <c r="N395" s="433">
        <v>3</v>
      </c>
      <c r="O395" s="435" t="s">
        <v>17</v>
      </c>
      <c r="P395" s="448" t="s">
        <v>557</v>
      </c>
      <c r="Q395" s="754" t="s">
        <v>558</v>
      </c>
      <c r="R395" s="437" t="s">
        <v>263</v>
      </c>
      <c r="S395" s="31" t="s">
        <v>273</v>
      </c>
      <c r="T395" s="31" t="s">
        <v>273</v>
      </c>
      <c r="U395" s="31">
        <f>IFERROR(VLOOKUP(CONCATENATE(Tabla1[[#This Row],[Severidad]]," ",Tabla1[[#This Row],[Complejidad]]),Catalogos!E$120:G$128,3,FALSE),"")</f>
        <v>64</v>
      </c>
      <c r="V395" s="31" t="str">
        <f>IF(Tabla1[[#This Row],[Tiempo solución max (hrs)]]&lt;&gt;"",IF(Tabla1[[#This Row],[Tiempo solución max (hrs)]]&gt;=Tabla1[[#This Row],[Tiempo
(Hrs 00/100)]],"cumple","no cumple"),"")</f>
        <v>cumple</v>
      </c>
      <c r="W395" s="376" t="s">
        <v>681</v>
      </c>
      <c r="X395" s="377" t="str">
        <f t="shared" si="61"/>
        <v>SPD</v>
      </c>
      <c r="Y395" t="str">
        <f>SUBSTITUTE(Tabla1[[#This Row],[Descripción]],CHAR(10),"    I    ")</f>
        <v>Se agregan los servicios para descargar archivos adjuntos para solicitudes y quejas, se agrega libreria</v>
      </c>
      <c r="Z395" s="378">
        <f>VLOOKUP(Tabla1[[#This Row],[Perfil]],Catalogos!$B$75:$D$100,3,FALSE)*Tabla1[[#This Row],[Tiempo
(Hrs 00/100)]]*1.16</f>
        <v>1739.9999999999998</v>
      </c>
    </row>
    <row r="396" spans="1:26" ht="42.75" customHeight="1" x14ac:dyDescent="0.3">
      <c r="A396" s="443" t="s">
        <v>22</v>
      </c>
      <c r="B396" s="443" t="s">
        <v>23</v>
      </c>
      <c r="C396" s="443" t="s">
        <v>45</v>
      </c>
      <c r="D396" s="443"/>
      <c r="E396" s="443" t="s">
        <v>554</v>
      </c>
      <c r="F396" s="443" t="s">
        <v>23</v>
      </c>
      <c r="G396" s="433"/>
      <c r="H396" s="433" t="s">
        <v>784</v>
      </c>
      <c r="I396" s="450" t="s">
        <v>785</v>
      </c>
      <c r="J396" s="369">
        <v>45008</v>
      </c>
      <c r="K396" s="753">
        <v>0.5</v>
      </c>
      <c r="L396" s="369">
        <v>45008</v>
      </c>
      <c r="M396" s="753">
        <v>0.54166666666666663</v>
      </c>
      <c r="N396" s="433">
        <v>1</v>
      </c>
      <c r="O396" s="435" t="s">
        <v>17</v>
      </c>
      <c r="P396" s="448" t="s">
        <v>557</v>
      </c>
      <c r="Q396" s="754" t="s">
        <v>558</v>
      </c>
      <c r="R396" s="437" t="s">
        <v>263</v>
      </c>
      <c r="S396" s="31" t="s">
        <v>273</v>
      </c>
      <c r="T396" s="31" t="s">
        <v>273</v>
      </c>
      <c r="U396" s="31">
        <f>IFERROR(VLOOKUP(CONCATENATE(Tabla1[[#This Row],[Severidad]]," ",Tabla1[[#This Row],[Complejidad]]),Catalogos!E$120:G$128,3,FALSE),"")</f>
        <v>64</v>
      </c>
      <c r="V396" s="31" t="str">
        <f>IF(Tabla1[[#This Row],[Tiempo solución max (hrs)]]&lt;&gt;"",IF(Tabla1[[#This Row],[Tiempo solución max (hrs)]]&gt;=Tabla1[[#This Row],[Tiempo
(Hrs 00/100)]],"cumple","no cumple"),"")</f>
        <v>cumple</v>
      </c>
      <c r="W396" s="376" t="s">
        <v>681</v>
      </c>
      <c r="X396" s="377" t="str">
        <f t="shared" si="61"/>
        <v>SPD</v>
      </c>
      <c r="Y396" t="str">
        <f>SUBSTITUTE(Tabla1[[#This Row],[Descripción]],CHAR(10),"    I    ")</f>
        <v>Se agregan las peticiones a servicios de estadistico para los 3 buscadores</v>
      </c>
      <c r="Z396" s="378">
        <f>VLOOKUP(Tabla1[[#This Row],[Perfil]],Catalogos!$B$75:$D$100,3,FALSE)*Tabla1[[#This Row],[Tiempo
(Hrs 00/100)]]*1.16</f>
        <v>580</v>
      </c>
    </row>
    <row r="397" spans="1:26" ht="42.75" customHeight="1" x14ac:dyDescent="0.3">
      <c r="A397" s="443" t="s">
        <v>22</v>
      </c>
      <c r="B397" s="443" t="s">
        <v>23</v>
      </c>
      <c r="C397" s="443" t="s">
        <v>45</v>
      </c>
      <c r="D397" s="443"/>
      <c r="E397" s="443" t="s">
        <v>554</v>
      </c>
      <c r="F397" s="443" t="s">
        <v>23</v>
      </c>
      <c r="G397" s="433"/>
      <c r="H397" s="433" t="s">
        <v>788</v>
      </c>
      <c r="I397" s="450" t="s">
        <v>789</v>
      </c>
      <c r="J397" s="369">
        <v>45008</v>
      </c>
      <c r="K397" s="753">
        <v>0.54166666666666663</v>
      </c>
      <c r="L397" s="369">
        <v>45008</v>
      </c>
      <c r="M397" s="753">
        <v>0.70833333333333337</v>
      </c>
      <c r="N397" s="433">
        <v>2</v>
      </c>
      <c r="O397" s="435" t="s">
        <v>17</v>
      </c>
      <c r="P397" s="448" t="s">
        <v>557</v>
      </c>
      <c r="Q397" s="754" t="s">
        <v>558</v>
      </c>
      <c r="R397" s="437" t="s">
        <v>263</v>
      </c>
      <c r="S397" s="31" t="s">
        <v>273</v>
      </c>
      <c r="T397" s="31" t="s">
        <v>273</v>
      </c>
      <c r="U397" s="31">
        <f>IFERROR(VLOOKUP(CONCATENATE(Tabla1[[#This Row],[Severidad]]," ",Tabla1[[#This Row],[Complejidad]]),Catalogos!E$120:G$128,3,FALSE),"")</f>
        <v>64</v>
      </c>
      <c r="V397" s="31" t="str">
        <f>IF(Tabla1[[#This Row],[Tiempo solución max (hrs)]]&lt;&gt;"",IF(Tabla1[[#This Row],[Tiempo solución max (hrs)]]&gt;=Tabla1[[#This Row],[Tiempo
(Hrs 00/100)]],"cumple","no cumple"),"")</f>
        <v>cumple</v>
      </c>
      <c r="W397" s="376" t="s">
        <v>681</v>
      </c>
      <c r="X397" s="377" t="str">
        <f t="shared" si="61"/>
        <v>SPD</v>
      </c>
      <c r="Y397" t="str">
        <f>SUBSTITUTE(Tabla1[[#This Row],[Descripción]],CHAR(10),"    I    ")</f>
        <v>Se crea vista para configurar datos del perfil</v>
      </c>
      <c r="Z397" s="378">
        <f>VLOOKUP(Tabla1[[#This Row],[Perfil]],Catalogos!$B$75:$D$100,3,FALSE)*Tabla1[[#This Row],[Tiempo
(Hrs 00/100)]]*1.16</f>
        <v>1160</v>
      </c>
    </row>
    <row r="398" spans="1:26" ht="42.75" customHeight="1" x14ac:dyDescent="0.3">
      <c r="A398" s="443" t="s">
        <v>22</v>
      </c>
      <c r="B398" s="443" t="s">
        <v>23</v>
      </c>
      <c r="C398" s="443" t="s">
        <v>45</v>
      </c>
      <c r="D398" s="443"/>
      <c r="E398" s="443" t="s">
        <v>554</v>
      </c>
      <c r="F398" s="443" t="s">
        <v>23</v>
      </c>
      <c r="G398" s="433"/>
      <c r="H398" s="433" t="s">
        <v>790</v>
      </c>
      <c r="I398" s="450" t="s">
        <v>791</v>
      </c>
      <c r="J398" s="369">
        <v>45008</v>
      </c>
      <c r="K398" s="753">
        <v>0.70833333333333337</v>
      </c>
      <c r="L398" s="369">
        <v>45008</v>
      </c>
      <c r="M398" s="753">
        <v>0.79166666666666663</v>
      </c>
      <c r="N398" s="433">
        <v>2</v>
      </c>
      <c r="O398" s="435" t="s">
        <v>17</v>
      </c>
      <c r="P398" s="448" t="s">
        <v>557</v>
      </c>
      <c r="Q398" s="754" t="s">
        <v>558</v>
      </c>
      <c r="R398" s="437" t="s">
        <v>263</v>
      </c>
      <c r="S398" s="31" t="s">
        <v>273</v>
      </c>
      <c r="T398" s="31" t="s">
        <v>273</v>
      </c>
      <c r="U398" s="31">
        <f>IFERROR(VLOOKUP(CONCATENATE(Tabla1[[#This Row],[Severidad]]," ",Tabla1[[#This Row],[Complejidad]]),Catalogos!E$120:G$128,3,FALSE),"")</f>
        <v>64</v>
      </c>
      <c r="V398" s="31" t="str">
        <f>IF(Tabla1[[#This Row],[Tiempo solución max (hrs)]]&lt;&gt;"",IF(Tabla1[[#This Row],[Tiempo solución max (hrs)]]&gt;=Tabla1[[#This Row],[Tiempo
(Hrs 00/100)]],"cumple","no cumple"),"")</f>
        <v>cumple</v>
      </c>
      <c r="W398" s="376" t="s">
        <v>681</v>
      </c>
      <c r="X398" s="377" t="str">
        <f t="shared" si="61"/>
        <v>SPD</v>
      </c>
      <c r="Y398" t="str">
        <f>SUBSTITUTE(Tabla1[[#This Row],[Descripción]],CHAR(10),"    I    ")</f>
        <v>Se realizan pruebas a los servicios de buscadores y a los cuerpos de peticion</v>
      </c>
      <c r="Z398" s="378">
        <f>VLOOKUP(Tabla1[[#This Row],[Perfil]],Catalogos!$B$75:$D$100,3,FALSE)*Tabla1[[#This Row],[Tiempo
(Hrs 00/100)]]*1.16</f>
        <v>1160</v>
      </c>
    </row>
    <row r="399" spans="1:26" ht="42.75" customHeight="1" x14ac:dyDescent="0.3">
      <c r="A399" s="443" t="s">
        <v>22</v>
      </c>
      <c r="B399" s="443" t="s">
        <v>23</v>
      </c>
      <c r="C399" s="443" t="s">
        <v>45</v>
      </c>
      <c r="D399" s="443"/>
      <c r="E399" s="443" t="s">
        <v>554</v>
      </c>
      <c r="F399" s="443" t="s">
        <v>23</v>
      </c>
      <c r="G399" s="433"/>
      <c r="H399" s="433" t="s">
        <v>788</v>
      </c>
      <c r="I399" s="450" t="s">
        <v>792</v>
      </c>
      <c r="J399" s="369">
        <v>45009</v>
      </c>
      <c r="K399" s="709">
        <v>0.375</v>
      </c>
      <c r="L399" s="369">
        <v>45009</v>
      </c>
      <c r="M399" s="739">
        <v>0.75</v>
      </c>
      <c r="N399" s="433">
        <v>7</v>
      </c>
      <c r="O399" s="435" t="s">
        <v>17</v>
      </c>
      <c r="P399" s="448" t="s">
        <v>557</v>
      </c>
      <c r="Q399" s="754" t="s">
        <v>558</v>
      </c>
      <c r="R399" s="437" t="s">
        <v>263</v>
      </c>
      <c r="S399" s="31" t="s">
        <v>273</v>
      </c>
      <c r="T399" s="31" t="s">
        <v>273</v>
      </c>
      <c r="U399" s="31">
        <f>IFERROR(VLOOKUP(CONCATENATE(Tabla1[[#This Row],[Severidad]]," ",Tabla1[[#This Row],[Complejidad]]),Catalogos!E$120:G$128,3,FALSE),"")</f>
        <v>64</v>
      </c>
      <c r="V399" s="31" t="str">
        <f>IF(Tabla1[[#This Row],[Tiempo solución max (hrs)]]&lt;&gt;"",IF(Tabla1[[#This Row],[Tiempo solución max (hrs)]]&gt;=Tabla1[[#This Row],[Tiempo
(Hrs 00/100)]],"cumple","no cumple"),"")</f>
        <v>cumple</v>
      </c>
      <c r="W399" s="376" t="s">
        <v>681</v>
      </c>
      <c r="X399" s="377" t="str">
        <f t="shared" si="61"/>
        <v>SPD</v>
      </c>
      <c r="Y399" t="str">
        <f>SUBSTITUTE(Tabla1[[#This Row],[Descripción]],CHAR(10),"    I    ")</f>
        <v>Se crea vista para datos de perfil personales de persona fisica</v>
      </c>
      <c r="Z399" s="378">
        <f>VLOOKUP(Tabla1[[#This Row],[Perfil]],Catalogos!$B$75:$D$100,3,FALSE)*Tabla1[[#This Row],[Tiempo
(Hrs 00/100)]]*1.16</f>
        <v>4059.9999999999995</v>
      </c>
    </row>
    <row r="400" spans="1:26" ht="42.75" customHeight="1" thickBot="1" x14ac:dyDescent="0.35">
      <c r="A400" s="451" t="s">
        <v>22</v>
      </c>
      <c r="B400" s="451" t="s">
        <v>23</v>
      </c>
      <c r="C400" s="451" t="s">
        <v>45</v>
      </c>
      <c r="D400" s="451"/>
      <c r="E400" s="451" t="s">
        <v>554</v>
      </c>
      <c r="F400" s="451" t="s">
        <v>23</v>
      </c>
      <c r="G400" s="438"/>
      <c r="H400" s="438" t="s">
        <v>788</v>
      </c>
      <c r="I400" s="452" t="s">
        <v>793</v>
      </c>
      <c r="J400" s="369">
        <v>45009</v>
      </c>
      <c r="K400" s="739">
        <v>0.75</v>
      </c>
      <c r="L400" s="369">
        <v>45009</v>
      </c>
      <c r="M400" s="753">
        <v>0.79166666666666663</v>
      </c>
      <c r="N400" s="438">
        <v>1</v>
      </c>
      <c r="O400" s="440" t="s">
        <v>17</v>
      </c>
      <c r="P400" s="453" t="s">
        <v>557</v>
      </c>
      <c r="Q400" s="755" t="s">
        <v>558</v>
      </c>
      <c r="R400" s="442" t="s">
        <v>263</v>
      </c>
      <c r="S400" s="31" t="s">
        <v>273</v>
      </c>
      <c r="T400" s="31" t="s">
        <v>273</v>
      </c>
      <c r="U400" s="31">
        <f>IFERROR(VLOOKUP(CONCATENATE(Tabla1[[#This Row],[Severidad]]," ",Tabla1[[#This Row],[Complejidad]]),Catalogos!E$120:G$128,3,FALSE),"")</f>
        <v>64</v>
      </c>
      <c r="V400" s="31" t="str">
        <f>IF(Tabla1[[#This Row],[Tiempo solución max (hrs)]]&lt;&gt;"",IF(Tabla1[[#This Row],[Tiempo solución max (hrs)]]&gt;=Tabla1[[#This Row],[Tiempo
(Hrs 00/100)]],"cumple","no cumple"),"")</f>
        <v>cumple</v>
      </c>
      <c r="W400" s="376" t="s">
        <v>681</v>
      </c>
      <c r="X400" s="377" t="str">
        <f t="shared" si="61"/>
        <v>SPD</v>
      </c>
      <c r="Y400" t="str">
        <f>SUBSTITUTE(Tabla1[[#This Row],[Descripción]],CHAR(10),"    I    ")</f>
        <v>Se crea vista para datos de perfil personales de persona moral</v>
      </c>
      <c r="Z400" s="378">
        <f>VLOOKUP(Tabla1[[#This Row],[Perfil]],Catalogos!$B$75:$D$100,3,FALSE)*Tabla1[[#This Row],[Tiempo
(Hrs 00/100)]]*1.16</f>
        <v>580</v>
      </c>
    </row>
    <row r="401" spans="1:26" ht="42.75" customHeight="1" thickTop="1" x14ac:dyDescent="0.3">
      <c r="A401" s="443" t="s">
        <v>22</v>
      </c>
      <c r="B401" s="443" t="s">
        <v>23</v>
      </c>
      <c r="C401" s="443" t="s">
        <v>45</v>
      </c>
      <c r="D401" s="443"/>
      <c r="E401" s="443" t="s">
        <v>554</v>
      </c>
      <c r="F401" s="443" t="s">
        <v>23</v>
      </c>
      <c r="G401" s="443"/>
      <c r="H401" s="433" t="s">
        <v>788</v>
      </c>
      <c r="I401" s="450" t="s">
        <v>794</v>
      </c>
      <c r="J401" s="369">
        <v>45012</v>
      </c>
      <c r="K401" s="747">
        <v>0.375</v>
      </c>
      <c r="L401" s="369">
        <v>45012</v>
      </c>
      <c r="M401" s="753">
        <v>0.54166666666666663</v>
      </c>
      <c r="N401" s="443">
        <v>4</v>
      </c>
      <c r="O401" s="435" t="s">
        <v>17</v>
      </c>
      <c r="P401" s="448" t="s">
        <v>557</v>
      </c>
      <c r="Q401" s="754" t="s">
        <v>558</v>
      </c>
      <c r="R401" s="437" t="s">
        <v>263</v>
      </c>
      <c r="S401" s="31" t="s">
        <v>273</v>
      </c>
      <c r="T401" s="31" t="s">
        <v>273</v>
      </c>
      <c r="U401" s="31">
        <f>IFERROR(VLOOKUP(CONCATENATE(Tabla1[[#This Row],[Severidad]]," ",Tabla1[[#This Row],[Complejidad]]),Catalogos!E$120:G$128,3,FALSE),"")</f>
        <v>64</v>
      </c>
      <c r="V401" s="31" t="str">
        <f>IF(Tabla1[[#This Row],[Tiempo solución max (hrs)]]&lt;&gt;"",IF(Tabla1[[#This Row],[Tiempo solución max (hrs)]]&gt;=Tabla1[[#This Row],[Tiempo
(Hrs 00/100)]],"cumple","no cumple"),"")</f>
        <v>cumple</v>
      </c>
      <c r="W401" s="376" t="s">
        <v>681</v>
      </c>
      <c r="X401" s="377" t="str">
        <f t="shared" si="61"/>
        <v>SPD</v>
      </c>
      <c r="Y401" t="str">
        <f>SUBSTITUTE(Tabla1[[#This Row],[Descripción]],CHAR(10),"    I    ")</f>
        <v>Se crea vista para datos de direccion</v>
      </c>
      <c r="Z401" s="378">
        <f>VLOOKUP(Tabla1[[#This Row],[Perfil]],Catalogos!$B$75:$D$100,3,FALSE)*Tabla1[[#This Row],[Tiempo
(Hrs 00/100)]]*1.16</f>
        <v>2320</v>
      </c>
    </row>
    <row r="402" spans="1:26" ht="42.75" customHeight="1" x14ac:dyDescent="0.3">
      <c r="A402" s="443" t="s">
        <v>22</v>
      </c>
      <c r="B402" s="443" t="s">
        <v>23</v>
      </c>
      <c r="C402" s="443" t="s">
        <v>45</v>
      </c>
      <c r="D402" s="443"/>
      <c r="E402" s="443" t="s">
        <v>554</v>
      </c>
      <c r="F402" s="443" t="s">
        <v>23</v>
      </c>
      <c r="G402" s="433"/>
      <c r="H402" s="433" t="s">
        <v>788</v>
      </c>
      <c r="I402" s="450" t="s">
        <v>795</v>
      </c>
      <c r="J402" s="369">
        <v>45012</v>
      </c>
      <c r="K402" s="753">
        <v>0.54166666666666663</v>
      </c>
      <c r="L402" s="369">
        <v>45012</v>
      </c>
      <c r="M402" s="753">
        <v>0.79166666666666663</v>
      </c>
      <c r="N402" s="433">
        <v>4</v>
      </c>
      <c r="O402" s="435" t="s">
        <v>17</v>
      </c>
      <c r="P402" s="448" t="s">
        <v>557</v>
      </c>
      <c r="Q402" s="754" t="s">
        <v>558</v>
      </c>
      <c r="R402" s="437" t="s">
        <v>263</v>
      </c>
      <c r="S402" s="31" t="s">
        <v>273</v>
      </c>
      <c r="T402" s="31" t="s">
        <v>273</v>
      </c>
      <c r="U402" s="31">
        <f>IFERROR(VLOOKUP(CONCATENATE(Tabla1[[#This Row],[Severidad]]," ",Tabla1[[#This Row],[Complejidad]]),Catalogos!E$120:G$128,3,FALSE),"")</f>
        <v>64</v>
      </c>
      <c r="V402" s="31" t="str">
        <f>IF(Tabla1[[#This Row],[Tiempo solución max (hrs)]]&lt;&gt;"",IF(Tabla1[[#This Row],[Tiempo solución max (hrs)]]&gt;=Tabla1[[#This Row],[Tiempo
(Hrs 00/100)]],"cumple","no cumple"),"")</f>
        <v>cumple</v>
      </c>
      <c r="W402" s="376" t="s">
        <v>681</v>
      </c>
      <c r="X402" s="377" t="str">
        <f t="shared" si="61"/>
        <v>SPD</v>
      </c>
      <c r="Y402" t="str">
        <f>SUBSTITUTE(Tabla1[[#This Row],[Descripción]],CHAR(10),"    I    ")</f>
        <v>Se crea vista para datos de estadisticos</v>
      </c>
      <c r="Z402" s="378">
        <f>VLOOKUP(Tabla1[[#This Row],[Perfil]],Catalogos!$B$75:$D$100,3,FALSE)*Tabla1[[#This Row],[Tiempo
(Hrs 00/100)]]*1.16</f>
        <v>2320</v>
      </c>
    </row>
    <row r="403" spans="1:26" ht="42.75" customHeight="1" x14ac:dyDescent="0.3">
      <c r="A403" s="443" t="s">
        <v>22</v>
      </c>
      <c r="B403" s="443" t="s">
        <v>23</v>
      </c>
      <c r="C403" s="443" t="s">
        <v>45</v>
      </c>
      <c r="D403" s="443"/>
      <c r="E403" s="443" t="s">
        <v>554</v>
      </c>
      <c r="F403" s="443" t="s">
        <v>23</v>
      </c>
      <c r="G403" s="433"/>
      <c r="H403" s="433" t="s">
        <v>796</v>
      </c>
      <c r="I403" s="450" t="s">
        <v>797</v>
      </c>
      <c r="J403" s="369">
        <v>45013</v>
      </c>
      <c r="K403" s="747">
        <v>0.375</v>
      </c>
      <c r="L403" s="369">
        <v>45013</v>
      </c>
      <c r="M403" s="753">
        <v>0.54166666666666663</v>
      </c>
      <c r="N403" s="433">
        <v>4</v>
      </c>
      <c r="O403" s="435" t="s">
        <v>17</v>
      </c>
      <c r="P403" s="448" t="s">
        <v>557</v>
      </c>
      <c r="Q403" s="754" t="s">
        <v>558</v>
      </c>
      <c r="R403" s="437" t="s">
        <v>263</v>
      </c>
      <c r="S403" s="31" t="s">
        <v>273</v>
      </c>
      <c r="T403" s="31" t="s">
        <v>273</v>
      </c>
      <c r="U403" s="31">
        <f>IFERROR(VLOOKUP(CONCATENATE(Tabla1[[#This Row],[Severidad]]," ",Tabla1[[#This Row],[Complejidad]]),Catalogos!E$120:G$128,3,FALSE),"")</f>
        <v>64</v>
      </c>
      <c r="V403" s="31" t="str">
        <f>IF(Tabla1[[#This Row],[Tiempo solución max (hrs)]]&lt;&gt;"",IF(Tabla1[[#This Row],[Tiempo solución max (hrs)]]&gt;=Tabla1[[#This Row],[Tiempo
(Hrs 00/100)]],"cumple","no cumple"),"")</f>
        <v>cumple</v>
      </c>
      <c r="W403" s="376" t="s">
        <v>681</v>
      </c>
      <c r="X403" s="377" t="str">
        <f t="shared" si="61"/>
        <v>SPD</v>
      </c>
      <c r="Y403" t="str">
        <f>SUBSTITUTE(Tabla1[[#This Row],[Descripción]],CHAR(10),"    I    ")</f>
        <v>Se crean peticiones para registrar nuevos usuarios</v>
      </c>
      <c r="Z403" s="378">
        <f>VLOOKUP(Tabla1[[#This Row],[Perfil]],Catalogos!$B$75:$D$100,3,FALSE)*Tabla1[[#This Row],[Tiempo
(Hrs 00/100)]]*1.16</f>
        <v>2320</v>
      </c>
    </row>
    <row r="404" spans="1:26" ht="42.75" customHeight="1" x14ac:dyDescent="0.3">
      <c r="A404" s="443" t="s">
        <v>22</v>
      </c>
      <c r="B404" s="443" t="s">
        <v>23</v>
      </c>
      <c r="C404" s="443" t="s">
        <v>45</v>
      </c>
      <c r="D404" s="443"/>
      <c r="E404" s="443" t="s">
        <v>554</v>
      </c>
      <c r="F404" s="443" t="s">
        <v>23</v>
      </c>
      <c r="G404" s="433"/>
      <c r="H404" s="433" t="s">
        <v>798</v>
      </c>
      <c r="I404" s="450" t="s">
        <v>799</v>
      </c>
      <c r="J404" s="369">
        <v>45013</v>
      </c>
      <c r="K404" s="753">
        <v>0.54166666666666663</v>
      </c>
      <c r="L404" s="369">
        <v>45013</v>
      </c>
      <c r="M404" s="753">
        <v>0.70833333333333337</v>
      </c>
      <c r="N404" s="433">
        <v>2</v>
      </c>
      <c r="O404" s="435" t="s">
        <v>17</v>
      </c>
      <c r="P404" s="448" t="s">
        <v>557</v>
      </c>
      <c r="Q404" s="754" t="s">
        <v>558</v>
      </c>
      <c r="R404" s="437" t="s">
        <v>263</v>
      </c>
      <c r="S404" s="31" t="s">
        <v>273</v>
      </c>
      <c r="T404" s="31" t="s">
        <v>273</v>
      </c>
      <c r="U404" s="31">
        <f>IFERROR(VLOOKUP(CONCATENATE(Tabla1[[#This Row],[Severidad]]," ",Tabla1[[#This Row],[Complejidad]]),Catalogos!E$120:G$128,3,FALSE),"")</f>
        <v>64</v>
      </c>
      <c r="V404" s="31" t="str">
        <f>IF(Tabla1[[#This Row],[Tiempo solución max (hrs)]]&lt;&gt;"",IF(Tabla1[[#This Row],[Tiempo solución max (hrs)]]&gt;=Tabla1[[#This Row],[Tiempo
(Hrs 00/100)]],"cumple","no cumple"),"")</f>
        <v>cumple</v>
      </c>
      <c r="W404" s="376" t="s">
        <v>681</v>
      </c>
      <c r="X404" s="377" t="str">
        <f t="shared" ref="X404:X466" si="62">IF(C404&lt;&gt;"",C404,D404)</f>
        <v>SPD</v>
      </c>
      <c r="Y404" t="str">
        <f>SUBSTITUTE(Tabla1[[#This Row],[Descripción]],CHAR(10),"    I    ")</f>
        <v>Se verifica la funcionalidad general de las pantallas existentes de la app</v>
      </c>
      <c r="Z404" s="378">
        <f>VLOOKUP(Tabla1[[#This Row],[Perfil]],Catalogos!$B$75:$D$100,3,FALSE)*Tabla1[[#This Row],[Tiempo
(Hrs 00/100)]]*1.16</f>
        <v>1160</v>
      </c>
    </row>
    <row r="405" spans="1:26" ht="42.75" customHeight="1" x14ac:dyDescent="0.3">
      <c r="A405" s="443" t="s">
        <v>22</v>
      </c>
      <c r="B405" s="443" t="s">
        <v>23</v>
      </c>
      <c r="C405" s="443" t="s">
        <v>45</v>
      </c>
      <c r="D405" s="443"/>
      <c r="E405" s="443" t="s">
        <v>554</v>
      </c>
      <c r="F405" s="443" t="s">
        <v>23</v>
      </c>
      <c r="G405" s="433"/>
      <c r="H405" s="433" t="s">
        <v>796</v>
      </c>
      <c r="I405" s="450" t="s">
        <v>800</v>
      </c>
      <c r="J405" s="369">
        <v>45013</v>
      </c>
      <c r="K405" s="753">
        <v>0.70833333333333337</v>
      </c>
      <c r="L405" s="369">
        <v>45013</v>
      </c>
      <c r="M405" s="753">
        <v>0.79166666666666663</v>
      </c>
      <c r="N405" s="433">
        <v>2</v>
      </c>
      <c r="O405" s="435" t="s">
        <v>17</v>
      </c>
      <c r="P405" s="448" t="s">
        <v>557</v>
      </c>
      <c r="Q405" s="754" t="s">
        <v>558</v>
      </c>
      <c r="R405" s="437" t="s">
        <v>263</v>
      </c>
      <c r="S405" s="31" t="s">
        <v>273</v>
      </c>
      <c r="T405" s="31" t="s">
        <v>273</v>
      </c>
      <c r="U405" s="31">
        <f>IFERROR(VLOOKUP(CONCATENATE(Tabla1[[#This Row],[Severidad]]," ",Tabla1[[#This Row],[Complejidad]]),Catalogos!E$120:G$128,3,FALSE),"")</f>
        <v>64</v>
      </c>
      <c r="V405" s="31" t="str">
        <f>IF(Tabla1[[#This Row],[Tiempo solución max (hrs)]]&lt;&gt;"",IF(Tabla1[[#This Row],[Tiempo solución max (hrs)]]&gt;=Tabla1[[#This Row],[Tiempo
(Hrs 00/100)]],"cumple","no cumple"),"")</f>
        <v>cumple</v>
      </c>
      <c r="W405" s="376" t="s">
        <v>681</v>
      </c>
      <c r="X405" s="377" t="str">
        <f t="shared" si="62"/>
        <v>SPD</v>
      </c>
      <c r="Y405" t="str">
        <f>SUBSTITUTE(Tabla1[[#This Row],[Descripción]],CHAR(10),"    I    ")</f>
        <v>Se agregan validaciones de campos para registro de usuariois</v>
      </c>
      <c r="Z405" s="378">
        <f>VLOOKUP(Tabla1[[#This Row],[Perfil]],Catalogos!$B$75:$D$100,3,FALSE)*Tabla1[[#This Row],[Tiempo
(Hrs 00/100)]]*1.16</f>
        <v>1160</v>
      </c>
    </row>
    <row r="406" spans="1:26" ht="42.75" customHeight="1" x14ac:dyDescent="0.3">
      <c r="A406" s="443" t="s">
        <v>22</v>
      </c>
      <c r="B406" s="443" t="s">
        <v>23</v>
      </c>
      <c r="C406" s="443" t="s">
        <v>45</v>
      </c>
      <c r="D406" s="443"/>
      <c r="E406" s="443" t="s">
        <v>554</v>
      </c>
      <c r="F406" s="443" t="s">
        <v>23</v>
      </c>
      <c r="G406" s="433"/>
      <c r="H406" s="433" t="s">
        <v>801</v>
      </c>
      <c r="I406" s="450" t="s">
        <v>802</v>
      </c>
      <c r="J406" s="369">
        <v>45014</v>
      </c>
      <c r="K406" s="747">
        <v>0.375</v>
      </c>
      <c r="L406" s="369">
        <v>45014</v>
      </c>
      <c r="M406" s="753">
        <v>0.54166666666666663</v>
      </c>
      <c r="N406" s="433">
        <v>4</v>
      </c>
      <c r="O406" s="435" t="s">
        <v>17</v>
      </c>
      <c r="P406" s="448" t="s">
        <v>557</v>
      </c>
      <c r="Q406" s="754" t="s">
        <v>558</v>
      </c>
      <c r="R406" s="437" t="s">
        <v>263</v>
      </c>
      <c r="S406" s="31" t="s">
        <v>273</v>
      </c>
      <c r="T406" s="31" t="s">
        <v>273</v>
      </c>
      <c r="U406" s="31">
        <f>IFERROR(VLOOKUP(CONCATENATE(Tabla1[[#This Row],[Severidad]]," ",Tabla1[[#This Row],[Complejidad]]),Catalogos!E$120:G$128,3,FALSE),"")</f>
        <v>64</v>
      </c>
      <c r="V406" s="31" t="str">
        <f>IF(Tabla1[[#This Row],[Tiempo solución max (hrs)]]&lt;&gt;"",IF(Tabla1[[#This Row],[Tiempo solución max (hrs)]]&gt;=Tabla1[[#This Row],[Tiempo
(Hrs 00/100)]],"cumple","no cumple"),"")</f>
        <v>cumple</v>
      </c>
      <c r="W406" s="376" t="s">
        <v>681</v>
      </c>
      <c r="X406" s="377" t="str">
        <f t="shared" si="62"/>
        <v>SPD</v>
      </c>
      <c r="Y406" t="str">
        <f>SUBSTITUTE(Tabla1[[#This Row],[Descripción]],CHAR(10),"    I    ")</f>
        <v>Se crea nueva pantalla de registro para migrar el uso de liferay</v>
      </c>
      <c r="Z406" s="378">
        <f>VLOOKUP(Tabla1[[#This Row],[Perfil]],Catalogos!$B$75:$D$100,3,FALSE)*Tabla1[[#This Row],[Tiempo
(Hrs 00/100)]]*1.16</f>
        <v>2320</v>
      </c>
    </row>
    <row r="407" spans="1:26" ht="42.75" customHeight="1" x14ac:dyDescent="0.3">
      <c r="A407" s="443" t="s">
        <v>22</v>
      </c>
      <c r="B407" s="443" t="s">
        <v>23</v>
      </c>
      <c r="C407" s="443" t="s">
        <v>45</v>
      </c>
      <c r="D407" s="443"/>
      <c r="E407" s="443" t="s">
        <v>554</v>
      </c>
      <c r="F407" s="443" t="s">
        <v>23</v>
      </c>
      <c r="G407" s="433"/>
      <c r="H407" s="433" t="s">
        <v>801</v>
      </c>
      <c r="I407" s="450" t="s">
        <v>797</v>
      </c>
      <c r="J407" s="369">
        <v>45014</v>
      </c>
      <c r="K407" s="753">
        <v>0.54166666666666663</v>
      </c>
      <c r="L407" s="369">
        <v>45014</v>
      </c>
      <c r="M407" s="753">
        <v>0.70833333333333337</v>
      </c>
      <c r="N407" s="433">
        <v>2</v>
      </c>
      <c r="O407" s="435" t="s">
        <v>17</v>
      </c>
      <c r="P407" s="448" t="s">
        <v>557</v>
      </c>
      <c r="Q407" s="754" t="s">
        <v>558</v>
      </c>
      <c r="R407" s="437" t="s">
        <v>263</v>
      </c>
      <c r="S407" s="31" t="s">
        <v>273</v>
      </c>
      <c r="T407" s="31" t="s">
        <v>273</v>
      </c>
      <c r="U407" s="31">
        <f>IFERROR(VLOOKUP(CONCATENATE(Tabla1[[#This Row],[Severidad]]," ",Tabla1[[#This Row],[Complejidad]]),Catalogos!E$120:G$128,3,FALSE),"")</f>
        <v>64</v>
      </c>
      <c r="V407" s="31" t="str">
        <f>IF(Tabla1[[#This Row],[Tiempo solución max (hrs)]]&lt;&gt;"",IF(Tabla1[[#This Row],[Tiempo solución max (hrs)]]&gt;=Tabla1[[#This Row],[Tiempo
(Hrs 00/100)]],"cumple","no cumple"),"")</f>
        <v>cumple</v>
      </c>
      <c r="W407" s="376" t="s">
        <v>681</v>
      </c>
      <c r="X407" s="377" t="str">
        <f t="shared" si="62"/>
        <v>SPD</v>
      </c>
      <c r="Y407" t="str">
        <f>SUBSTITUTE(Tabla1[[#This Row],[Descripción]],CHAR(10),"    I    ")</f>
        <v>Se crean peticiones para registrar nuevos usuarios</v>
      </c>
      <c r="Z407" s="378">
        <f>VLOOKUP(Tabla1[[#This Row],[Perfil]],Catalogos!$B$75:$D$100,3,FALSE)*Tabla1[[#This Row],[Tiempo
(Hrs 00/100)]]*1.16</f>
        <v>1160</v>
      </c>
    </row>
    <row r="408" spans="1:26" ht="42.75" customHeight="1" x14ac:dyDescent="0.3">
      <c r="A408" s="443" t="s">
        <v>22</v>
      </c>
      <c r="B408" s="443" t="s">
        <v>23</v>
      </c>
      <c r="C408" s="443" t="s">
        <v>45</v>
      </c>
      <c r="D408" s="443"/>
      <c r="E408" s="443" t="s">
        <v>554</v>
      </c>
      <c r="F408" s="443" t="s">
        <v>23</v>
      </c>
      <c r="G408" s="433"/>
      <c r="H408" s="433" t="s">
        <v>801</v>
      </c>
      <c r="I408" s="450" t="s">
        <v>803</v>
      </c>
      <c r="J408" s="369">
        <v>45014</v>
      </c>
      <c r="K408" s="753">
        <v>0.70833333333333337</v>
      </c>
      <c r="L408" s="369">
        <v>45014</v>
      </c>
      <c r="M408" s="753">
        <v>0.79166666666666663</v>
      </c>
      <c r="N408" s="433">
        <v>2</v>
      </c>
      <c r="O408" s="435" t="s">
        <v>17</v>
      </c>
      <c r="P408" s="448" t="s">
        <v>557</v>
      </c>
      <c r="Q408" s="754" t="s">
        <v>558</v>
      </c>
      <c r="R408" s="437" t="s">
        <v>263</v>
      </c>
      <c r="S408" s="31" t="s">
        <v>273</v>
      </c>
      <c r="T408" s="31" t="s">
        <v>273</v>
      </c>
      <c r="U408" s="31">
        <f>IFERROR(VLOOKUP(CONCATENATE(Tabla1[[#This Row],[Severidad]]," ",Tabla1[[#This Row],[Complejidad]]),Catalogos!E$120:G$128,3,FALSE),"")</f>
        <v>64</v>
      </c>
      <c r="V408" s="31" t="str">
        <f>IF(Tabla1[[#This Row],[Tiempo solución max (hrs)]]&lt;&gt;"",IF(Tabla1[[#This Row],[Tiempo solución max (hrs)]]&gt;=Tabla1[[#This Row],[Tiempo
(Hrs 00/100)]],"cumple","no cumple"),"")</f>
        <v>cumple</v>
      </c>
      <c r="W408" s="376" t="s">
        <v>681</v>
      </c>
      <c r="X408" s="377" t="str">
        <f t="shared" si="62"/>
        <v>SPD</v>
      </c>
      <c r="Y408" t="str">
        <f>SUBSTITUTE(Tabla1[[#This Row],[Descripción]],CHAR(10),"    I    ")</f>
        <v>Se agrega peticion para registrar nuevos usuarios</v>
      </c>
      <c r="Z408" s="378">
        <f>VLOOKUP(Tabla1[[#This Row],[Perfil]],Catalogos!$B$75:$D$100,3,FALSE)*Tabla1[[#This Row],[Tiempo
(Hrs 00/100)]]*1.16</f>
        <v>1160</v>
      </c>
    </row>
    <row r="409" spans="1:26" ht="42.75" customHeight="1" x14ac:dyDescent="0.3">
      <c r="A409" s="443" t="s">
        <v>22</v>
      </c>
      <c r="B409" s="443" t="s">
        <v>23</v>
      </c>
      <c r="C409" s="443" t="s">
        <v>45</v>
      </c>
      <c r="D409" s="443"/>
      <c r="E409" s="443" t="s">
        <v>554</v>
      </c>
      <c r="F409" s="443" t="s">
        <v>23</v>
      </c>
      <c r="G409" s="433"/>
      <c r="H409" s="433" t="s">
        <v>804</v>
      </c>
      <c r="I409" s="450" t="s">
        <v>805</v>
      </c>
      <c r="J409" s="369">
        <v>45015</v>
      </c>
      <c r="K409" s="747">
        <v>0.375</v>
      </c>
      <c r="L409" s="369">
        <v>45015</v>
      </c>
      <c r="M409" s="753">
        <v>0.45833333333333331</v>
      </c>
      <c r="N409" s="433">
        <v>2</v>
      </c>
      <c r="O409" s="435" t="s">
        <v>17</v>
      </c>
      <c r="P409" s="448" t="s">
        <v>557</v>
      </c>
      <c r="Q409" s="754" t="s">
        <v>558</v>
      </c>
      <c r="R409" s="437" t="s">
        <v>263</v>
      </c>
      <c r="S409" s="31" t="s">
        <v>273</v>
      </c>
      <c r="T409" s="31" t="s">
        <v>273</v>
      </c>
      <c r="U409" s="31">
        <f>IFERROR(VLOOKUP(CONCATENATE(Tabla1[[#This Row],[Severidad]]," ",Tabla1[[#This Row],[Complejidad]]),Catalogos!E$120:G$128,3,FALSE),"")</f>
        <v>64</v>
      </c>
      <c r="V409" s="31" t="str">
        <f>IF(Tabla1[[#This Row],[Tiempo solución max (hrs)]]&lt;&gt;"",IF(Tabla1[[#This Row],[Tiempo solución max (hrs)]]&gt;=Tabla1[[#This Row],[Tiempo
(Hrs 00/100)]],"cumple","no cumple"),"")</f>
        <v>cumple</v>
      </c>
      <c r="W409" s="376" t="s">
        <v>681</v>
      </c>
      <c r="X409" s="377" t="str">
        <f t="shared" si="62"/>
        <v>SPD</v>
      </c>
      <c r="Y409" t="str">
        <f>SUBSTITUTE(Tabla1[[#This Row],[Descripción]],CHAR(10),"    I    ")</f>
        <v>Se incorpora el registro con facebook, se recupera informacion publica de la cuenta</v>
      </c>
      <c r="Z409" s="378">
        <f>VLOOKUP(Tabla1[[#This Row],[Perfil]],Catalogos!$B$75:$D$100,3,FALSE)*Tabla1[[#This Row],[Tiempo
(Hrs 00/100)]]*1.16</f>
        <v>1160</v>
      </c>
    </row>
    <row r="410" spans="1:26" ht="42.75" customHeight="1" x14ac:dyDescent="0.3">
      <c r="A410" s="443" t="s">
        <v>22</v>
      </c>
      <c r="B410" s="443" t="s">
        <v>23</v>
      </c>
      <c r="C410" s="443" t="s">
        <v>45</v>
      </c>
      <c r="D410" s="443"/>
      <c r="E410" s="443" t="s">
        <v>554</v>
      </c>
      <c r="F410" s="443" t="s">
        <v>23</v>
      </c>
      <c r="G410" s="433"/>
      <c r="H410" s="433" t="s">
        <v>804</v>
      </c>
      <c r="I410" s="450" t="s">
        <v>806</v>
      </c>
      <c r="J410" s="369">
        <v>45015</v>
      </c>
      <c r="K410" s="753">
        <v>0.45833333333333331</v>
      </c>
      <c r="L410" s="369">
        <v>45015</v>
      </c>
      <c r="M410" s="753">
        <v>0.54166666666666663</v>
      </c>
      <c r="N410" s="433">
        <v>2</v>
      </c>
      <c r="O410" s="435" t="s">
        <v>17</v>
      </c>
      <c r="P410" s="448" t="s">
        <v>557</v>
      </c>
      <c r="Q410" s="754" t="s">
        <v>558</v>
      </c>
      <c r="R410" s="437" t="s">
        <v>263</v>
      </c>
      <c r="S410" s="31" t="s">
        <v>273</v>
      </c>
      <c r="T410" s="31" t="s">
        <v>273</v>
      </c>
      <c r="U410" s="31">
        <f>IFERROR(VLOOKUP(CONCATENATE(Tabla1[[#This Row],[Severidad]]," ",Tabla1[[#This Row],[Complejidad]]),Catalogos!E$120:G$128,3,FALSE),"")</f>
        <v>64</v>
      </c>
      <c r="V410" s="31" t="str">
        <f>IF(Tabla1[[#This Row],[Tiempo solución max (hrs)]]&lt;&gt;"",IF(Tabla1[[#This Row],[Tiempo solución max (hrs)]]&gt;=Tabla1[[#This Row],[Tiempo
(Hrs 00/100)]],"cumple","no cumple"),"")</f>
        <v>cumple</v>
      </c>
      <c r="W410" s="376" t="s">
        <v>681</v>
      </c>
      <c r="X410" s="377" t="str">
        <f t="shared" si="62"/>
        <v>SPD</v>
      </c>
      <c r="Y410" t="str">
        <f>SUBSTITUTE(Tabla1[[#This Row],[Descripción]],CHAR(10),"    I    ")</f>
        <v>Se incorpora el registro con google, se recupera informacion publica de la cuenta</v>
      </c>
      <c r="Z410" s="378">
        <f>VLOOKUP(Tabla1[[#This Row],[Perfil]],Catalogos!$B$75:$D$100,3,FALSE)*Tabla1[[#This Row],[Tiempo
(Hrs 00/100)]]*1.16</f>
        <v>1160</v>
      </c>
    </row>
    <row r="411" spans="1:26" ht="42.75" customHeight="1" x14ac:dyDescent="0.3">
      <c r="A411" s="443" t="s">
        <v>22</v>
      </c>
      <c r="B411" s="443" t="s">
        <v>23</v>
      </c>
      <c r="C411" s="443" t="s">
        <v>45</v>
      </c>
      <c r="D411" s="443"/>
      <c r="E411" s="443" t="s">
        <v>554</v>
      </c>
      <c r="F411" s="443" t="s">
        <v>23</v>
      </c>
      <c r="G411" s="433"/>
      <c r="H411" s="433" t="s">
        <v>804</v>
      </c>
      <c r="I411" s="450" t="s">
        <v>807</v>
      </c>
      <c r="J411" s="369">
        <v>45015</v>
      </c>
      <c r="K411" s="753">
        <v>0.54166666666666663</v>
      </c>
      <c r="L411" s="369">
        <v>45015</v>
      </c>
      <c r="M411" s="753">
        <v>0.70833333333333337</v>
      </c>
      <c r="N411" s="433">
        <v>2</v>
      </c>
      <c r="O411" s="435" t="s">
        <v>17</v>
      </c>
      <c r="P411" s="448" t="s">
        <v>557</v>
      </c>
      <c r="Q411" s="754" t="s">
        <v>558</v>
      </c>
      <c r="R411" s="437" t="s">
        <v>263</v>
      </c>
      <c r="S411" s="31" t="s">
        <v>273</v>
      </c>
      <c r="T411" s="31" t="s">
        <v>273</v>
      </c>
      <c r="U411" s="31">
        <f>IFERROR(VLOOKUP(CONCATENATE(Tabla1[[#This Row],[Severidad]]," ",Tabla1[[#This Row],[Complejidad]]),Catalogos!E$120:G$128,3,FALSE),"")</f>
        <v>64</v>
      </c>
      <c r="V411" s="31" t="str">
        <f>IF(Tabla1[[#This Row],[Tiempo solución max (hrs)]]&lt;&gt;"",IF(Tabla1[[#This Row],[Tiempo solución max (hrs)]]&gt;=Tabla1[[#This Row],[Tiempo
(Hrs 00/100)]],"cumple","no cumple"),"")</f>
        <v>cumple</v>
      </c>
      <c r="W411" s="376" t="s">
        <v>681</v>
      </c>
      <c r="X411" s="377" t="str">
        <f t="shared" si="62"/>
        <v>SPD</v>
      </c>
      <c r="Y411" t="str">
        <f>SUBSTITUTE(Tabla1[[#This Row],[Descripción]],CHAR(10),"    I    ")</f>
        <v>Se incorpora el registro con twitter, se recupera informacion publica de la cuenta</v>
      </c>
      <c r="Z411" s="378">
        <f>VLOOKUP(Tabla1[[#This Row],[Perfil]],Catalogos!$B$75:$D$100,3,FALSE)*Tabla1[[#This Row],[Tiempo
(Hrs 00/100)]]*1.16</f>
        <v>1160</v>
      </c>
    </row>
    <row r="412" spans="1:26" ht="42.75" customHeight="1" x14ac:dyDescent="0.3">
      <c r="A412" s="443" t="s">
        <v>22</v>
      </c>
      <c r="B412" s="443" t="s">
        <v>23</v>
      </c>
      <c r="C412" s="443" t="s">
        <v>45</v>
      </c>
      <c r="D412" s="443"/>
      <c r="E412" s="443" t="s">
        <v>554</v>
      </c>
      <c r="F412" s="443" t="s">
        <v>23</v>
      </c>
      <c r="G412" s="433"/>
      <c r="H412" s="433" t="s">
        <v>804</v>
      </c>
      <c r="I412" s="450" t="s">
        <v>808</v>
      </c>
      <c r="J412" s="369">
        <v>45015</v>
      </c>
      <c r="K412" s="753">
        <v>0.70833333333333337</v>
      </c>
      <c r="L412" s="369">
        <v>45015</v>
      </c>
      <c r="M412" s="753">
        <v>0.79166666666666663</v>
      </c>
      <c r="N412" s="433">
        <v>2</v>
      </c>
      <c r="O412" s="435" t="s">
        <v>17</v>
      </c>
      <c r="P412" s="448" t="s">
        <v>557</v>
      </c>
      <c r="Q412" s="754" t="s">
        <v>558</v>
      </c>
      <c r="R412" s="437" t="s">
        <v>263</v>
      </c>
      <c r="S412" s="31" t="s">
        <v>273</v>
      </c>
      <c r="T412" s="31" t="s">
        <v>273</v>
      </c>
      <c r="U412" s="31">
        <f>IFERROR(VLOOKUP(CONCATENATE(Tabla1[[#This Row],[Severidad]]," ",Tabla1[[#This Row],[Complejidad]]),Catalogos!E$120:G$128,3,FALSE),"")</f>
        <v>64</v>
      </c>
      <c r="V412" s="31" t="str">
        <f>IF(Tabla1[[#This Row],[Tiempo solución max (hrs)]]&lt;&gt;"",IF(Tabla1[[#This Row],[Tiempo solución max (hrs)]]&gt;=Tabla1[[#This Row],[Tiempo
(Hrs 00/100)]],"cumple","no cumple"),"")</f>
        <v>cumple</v>
      </c>
      <c r="W412" s="376" t="s">
        <v>681</v>
      </c>
      <c r="X412" s="377" t="str">
        <f t="shared" si="62"/>
        <v>SPD</v>
      </c>
      <c r="Y412" t="str">
        <f>SUBSTITUTE(Tabla1[[#This Row],[Descripción]],CHAR(10),"    I    ")</f>
        <v>Se crean peticiones e interfaz para los botones de redes sociales</v>
      </c>
      <c r="Z412" s="378">
        <f>VLOOKUP(Tabla1[[#This Row],[Perfil]],Catalogos!$B$75:$D$100,3,FALSE)*Tabla1[[#This Row],[Tiempo
(Hrs 00/100)]]*1.16</f>
        <v>1160</v>
      </c>
    </row>
    <row r="413" spans="1:26" ht="42.75" customHeight="1" x14ac:dyDescent="0.3">
      <c r="A413" s="443" t="s">
        <v>22</v>
      </c>
      <c r="B413" s="443" t="s">
        <v>23</v>
      </c>
      <c r="C413" s="443" t="s">
        <v>45</v>
      </c>
      <c r="D413" s="443"/>
      <c r="E413" s="443" t="s">
        <v>554</v>
      </c>
      <c r="F413" s="443" t="s">
        <v>23</v>
      </c>
      <c r="G413" s="433"/>
      <c r="H413" s="434" t="s">
        <v>809</v>
      </c>
      <c r="I413" s="450" t="s">
        <v>810</v>
      </c>
      <c r="J413" s="369">
        <v>45016</v>
      </c>
      <c r="K413" s="747">
        <v>0.375</v>
      </c>
      <c r="L413" s="369">
        <v>45016</v>
      </c>
      <c r="M413" s="753">
        <v>0.54166666666666663</v>
      </c>
      <c r="N413" s="433">
        <v>4</v>
      </c>
      <c r="O413" s="435" t="s">
        <v>17</v>
      </c>
      <c r="P413" s="448" t="s">
        <v>557</v>
      </c>
      <c r="Q413" s="754" t="s">
        <v>558</v>
      </c>
      <c r="R413" s="437" t="s">
        <v>263</v>
      </c>
      <c r="S413" s="31" t="s">
        <v>273</v>
      </c>
      <c r="T413" s="31" t="s">
        <v>273</v>
      </c>
      <c r="U413" s="31">
        <f>IFERROR(VLOOKUP(CONCATENATE(Tabla1[[#This Row],[Severidad]]," ",Tabla1[[#This Row],[Complejidad]]),Catalogos!E$120:G$128,3,FALSE),"")</f>
        <v>64</v>
      </c>
      <c r="V413" s="31" t="str">
        <f>IF(Tabla1[[#This Row],[Tiempo solución max (hrs)]]&lt;&gt;"",IF(Tabla1[[#This Row],[Tiempo solución max (hrs)]]&gt;=Tabla1[[#This Row],[Tiempo
(Hrs 00/100)]],"cumple","no cumple"),"")</f>
        <v>cumple</v>
      </c>
      <c r="W413" s="376" t="s">
        <v>681</v>
      </c>
      <c r="X413" s="377" t="str">
        <f t="shared" si="62"/>
        <v>SPD</v>
      </c>
      <c r="Y413" t="str">
        <f>SUBSTITUTE(Tabla1[[#This Row],[Descripción]],CHAR(10),"    I    ")</f>
        <v>Se crea formulario y peticiones para recuperar contraseña con los servicios actuales</v>
      </c>
      <c r="Z413" s="378">
        <f>VLOOKUP(Tabla1[[#This Row],[Perfil]],Catalogos!$B$75:$D$100,3,FALSE)*Tabla1[[#This Row],[Tiempo
(Hrs 00/100)]]*1.16</f>
        <v>2320</v>
      </c>
    </row>
    <row r="414" spans="1:26" ht="42.75" customHeight="1" x14ac:dyDescent="0.3">
      <c r="A414" s="443" t="s">
        <v>22</v>
      </c>
      <c r="B414" s="443" t="s">
        <v>23</v>
      </c>
      <c r="C414" s="443" t="s">
        <v>45</v>
      </c>
      <c r="D414" s="443"/>
      <c r="E414" s="443" t="s">
        <v>554</v>
      </c>
      <c r="F414" s="443" t="s">
        <v>23</v>
      </c>
      <c r="G414" s="433"/>
      <c r="H414" s="434" t="s">
        <v>809</v>
      </c>
      <c r="I414" s="450" t="s">
        <v>811</v>
      </c>
      <c r="J414" s="369">
        <v>45016</v>
      </c>
      <c r="K414" s="753">
        <v>0.54166666666666663</v>
      </c>
      <c r="L414" s="369">
        <v>45016</v>
      </c>
      <c r="M414" s="753">
        <v>0.75</v>
      </c>
      <c r="N414" s="433">
        <v>3</v>
      </c>
      <c r="O414" s="435" t="s">
        <v>17</v>
      </c>
      <c r="P414" s="448" t="s">
        <v>557</v>
      </c>
      <c r="Q414" s="754" t="s">
        <v>558</v>
      </c>
      <c r="R414" s="437" t="s">
        <v>263</v>
      </c>
      <c r="S414" s="31" t="s">
        <v>273</v>
      </c>
      <c r="T414" s="31" t="s">
        <v>273</v>
      </c>
      <c r="U414" s="31">
        <f>IFERROR(VLOOKUP(CONCATENATE(Tabla1[[#This Row],[Severidad]]," ",Tabla1[[#This Row],[Complejidad]]),Catalogos!E$120:G$128,3,FALSE),"")</f>
        <v>64</v>
      </c>
      <c r="V414" s="31" t="str">
        <f>IF(Tabla1[[#This Row],[Tiempo solución max (hrs)]]&lt;&gt;"",IF(Tabla1[[#This Row],[Tiempo solución max (hrs)]]&gt;=Tabla1[[#This Row],[Tiempo
(Hrs 00/100)]],"cumple","no cumple"),"")</f>
        <v>cumple</v>
      </c>
      <c r="W414" s="376" t="s">
        <v>681</v>
      </c>
      <c r="X414" s="377" t="str">
        <f t="shared" si="62"/>
        <v>SPD</v>
      </c>
      <c r="Y414" t="str">
        <f>SUBSTITUTE(Tabla1[[#This Row],[Descripción]],CHAR(10),"    I    ")</f>
        <v>Se crea formulario y peticiones para recuperar contraseña con los servicios de pnt v3</v>
      </c>
      <c r="Z414" s="378">
        <f>VLOOKUP(Tabla1[[#This Row],[Perfil]],Catalogos!$B$75:$D$100,3,FALSE)*Tabla1[[#This Row],[Tiempo
(Hrs 00/100)]]*1.16</f>
        <v>1739.9999999999998</v>
      </c>
    </row>
    <row r="415" spans="1:26" ht="42.75" customHeight="1" x14ac:dyDescent="0.3">
      <c r="A415" s="370" t="s">
        <v>15</v>
      </c>
      <c r="B415" s="370" t="s">
        <v>60</v>
      </c>
      <c r="C415" s="205" t="s">
        <v>49</v>
      </c>
      <c r="D415" s="370"/>
      <c r="E415" s="370" t="s">
        <v>538</v>
      </c>
      <c r="F415" s="370" t="s">
        <v>72</v>
      </c>
      <c r="G415" s="370"/>
      <c r="H415" s="371" t="s">
        <v>812</v>
      </c>
      <c r="I415" s="371" t="s">
        <v>813</v>
      </c>
      <c r="J415" s="369">
        <v>44986</v>
      </c>
      <c r="K415" s="747">
        <v>0.375</v>
      </c>
      <c r="L415" s="369">
        <v>44986</v>
      </c>
      <c r="M415" s="753">
        <v>0.79166666666666663</v>
      </c>
      <c r="N415" s="373">
        <v>8</v>
      </c>
      <c r="O415" s="374" t="s">
        <v>17</v>
      </c>
      <c r="P415" s="375" t="s">
        <v>814</v>
      </c>
      <c r="Q415" s="744" t="s">
        <v>541</v>
      </c>
      <c r="R415" s="202" t="s">
        <v>40</v>
      </c>
      <c r="S415" s="31" t="s">
        <v>273</v>
      </c>
      <c r="T415" s="31" t="s">
        <v>273</v>
      </c>
      <c r="U415" s="31">
        <f>IFERROR(VLOOKUP(CONCATENATE(Tabla1[[#This Row],[Severidad]]," ",Tabla1[[#This Row],[Complejidad]]),Catalogos!E$120:G$128,3,FALSE),"")</f>
        <v>64</v>
      </c>
      <c r="V415" s="31" t="str">
        <f>IF(Tabla1[[#This Row],[Tiempo solución max (hrs)]]&lt;&gt;"",IF(Tabla1[[#This Row],[Tiempo solución max (hrs)]]&gt;=Tabla1[[#This Row],[Tiempo
(Hrs 00/100)]],"cumple","no cumple"),"")</f>
        <v>cumple</v>
      </c>
      <c r="W415" s="376" t="s">
        <v>681</v>
      </c>
      <c r="X415" s="377" t="str">
        <f t="shared" si="62"/>
        <v>SAI</v>
      </c>
      <c r="Y415" t="str">
        <f>SUBSTITUTE(Tabla1[[#This Row],[Descripción]],CHAR(10),"    I    ")</f>
        <v>Se atenendieron las remediacións correspondientes con: Null Dereference</v>
      </c>
      <c r="Z415" s="378">
        <f>VLOOKUP(Tabla1[[#This Row],[Perfil]],Catalogos!$B$75:$D$100,3,FALSE)*Tabla1[[#This Row],[Tiempo
(Hrs 00/100)]]*1.16</f>
        <v>6496</v>
      </c>
    </row>
    <row r="416" spans="1:26" ht="42.75" customHeight="1" x14ac:dyDescent="0.3">
      <c r="A416" s="370" t="s">
        <v>15</v>
      </c>
      <c r="B416" s="370" t="s">
        <v>60</v>
      </c>
      <c r="C416" s="205" t="s">
        <v>49</v>
      </c>
      <c r="D416" s="370"/>
      <c r="E416" s="370" t="s">
        <v>538</v>
      </c>
      <c r="F416" s="370" t="s">
        <v>72</v>
      </c>
      <c r="G416" s="370"/>
      <c r="H416" s="371" t="s">
        <v>812</v>
      </c>
      <c r="I416" s="371" t="s">
        <v>815</v>
      </c>
      <c r="J416" s="369">
        <v>44987</v>
      </c>
      <c r="K416" s="747">
        <v>0.375</v>
      </c>
      <c r="L416" s="369">
        <v>44987</v>
      </c>
      <c r="M416" s="753">
        <v>0.79166666666666663</v>
      </c>
      <c r="N416" s="373">
        <v>8</v>
      </c>
      <c r="O416" s="374" t="s">
        <v>17</v>
      </c>
      <c r="P416" s="375" t="s">
        <v>814</v>
      </c>
      <c r="Q416" s="744" t="s">
        <v>541</v>
      </c>
      <c r="R416" s="202" t="s">
        <v>40</v>
      </c>
      <c r="S416" s="31" t="s">
        <v>273</v>
      </c>
      <c r="T416" s="31" t="s">
        <v>273</v>
      </c>
      <c r="U416" s="31">
        <f>IFERROR(VLOOKUP(CONCATENATE(Tabla1[[#This Row],[Severidad]]," ",Tabla1[[#This Row],[Complejidad]]),Catalogos!E$120:G$128,3,FALSE),"")</f>
        <v>64</v>
      </c>
      <c r="V416" s="31" t="str">
        <f>IF(Tabla1[[#This Row],[Tiempo solución max (hrs)]]&lt;&gt;"",IF(Tabla1[[#This Row],[Tiempo solución max (hrs)]]&gt;=Tabla1[[#This Row],[Tiempo
(Hrs 00/100)]],"cumple","no cumple"),"")</f>
        <v>cumple</v>
      </c>
      <c r="W416" s="376" t="s">
        <v>681</v>
      </c>
      <c r="X416" s="377" t="str">
        <f t="shared" si="62"/>
        <v>SAI</v>
      </c>
      <c r="Y416" t="str">
        <f>SUBSTITUTE(Tabla1[[#This Row],[Descripción]],CHAR(10),"    I    ")</f>
        <v>Se atenendieron las remediacións correspondientes con: Password Management: Hardcoded Password</v>
      </c>
      <c r="Z416" s="378">
        <f>VLOOKUP(Tabla1[[#This Row],[Perfil]],Catalogos!$B$75:$D$100,3,FALSE)*Tabla1[[#This Row],[Tiempo
(Hrs 00/100)]]*1.16</f>
        <v>6496</v>
      </c>
    </row>
    <row r="417" spans="1:26" ht="42.75" customHeight="1" x14ac:dyDescent="0.3">
      <c r="A417" s="370" t="s">
        <v>15</v>
      </c>
      <c r="B417" s="370" t="s">
        <v>60</v>
      </c>
      <c r="C417" s="205" t="s">
        <v>49</v>
      </c>
      <c r="D417" s="382"/>
      <c r="E417" s="370" t="s">
        <v>538</v>
      </c>
      <c r="F417" s="370" t="s">
        <v>72</v>
      </c>
      <c r="G417" s="370"/>
      <c r="H417" s="371" t="s">
        <v>812</v>
      </c>
      <c r="I417" s="371" t="s">
        <v>816</v>
      </c>
      <c r="J417" s="369">
        <v>44988</v>
      </c>
      <c r="K417" s="747">
        <v>0.375</v>
      </c>
      <c r="L417" s="369">
        <v>44988</v>
      </c>
      <c r="M417" s="753">
        <v>0.79166666666666663</v>
      </c>
      <c r="N417" s="373">
        <v>8</v>
      </c>
      <c r="O417" s="374" t="s">
        <v>17</v>
      </c>
      <c r="P417" s="375" t="s">
        <v>814</v>
      </c>
      <c r="Q417" s="744" t="s">
        <v>541</v>
      </c>
      <c r="R417" s="202" t="s">
        <v>40</v>
      </c>
      <c r="S417" s="31" t="s">
        <v>273</v>
      </c>
      <c r="T417" s="31" t="s">
        <v>273</v>
      </c>
      <c r="U417" s="31">
        <f>IFERROR(VLOOKUP(CONCATENATE(Tabla1[[#This Row],[Severidad]]," ",Tabla1[[#This Row],[Complejidad]]),Catalogos!E$120:G$128,3,FALSE),"")</f>
        <v>64</v>
      </c>
      <c r="V417" s="31" t="str">
        <f>IF(Tabla1[[#This Row],[Tiempo solución max (hrs)]]&lt;&gt;"",IF(Tabla1[[#This Row],[Tiempo solución max (hrs)]]&gt;=Tabla1[[#This Row],[Tiempo
(Hrs 00/100)]],"cumple","no cumple"),"")</f>
        <v>cumple</v>
      </c>
      <c r="W417" s="376" t="s">
        <v>681</v>
      </c>
      <c r="X417" s="377" t="str">
        <f t="shared" si="62"/>
        <v>SAI</v>
      </c>
      <c r="Y417" t="str">
        <f>SUBSTITUTE(Tabla1[[#This Row],[Descripción]],CHAR(10),"    I    ")</f>
        <v>Se atenendieron las remediacións correspondientes con: Password Management: Password in Configuration File</v>
      </c>
      <c r="Z417" s="378">
        <f>VLOOKUP(Tabla1[[#This Row],[Perfil]],Catalogos!$B$75:$D$100,3,FALSE)*Tabla1[[#This Row],[Tiempo
(Hrs 00/100)]]*1.16</f>
        <v>6496</v>
      </c>
    </row>
    <row r="418" spans="1:26" ht="42.75" customHeight="1" x14ac:dyDescent="0.3">
      <c r="A418" s="370" t="s">
        <v>15</v>
      </c>
      <c r="B418" s="370" t="s">
        <v>60</v>
      </c>
      <c r="C418" s="205" t="s">
        <v>49</v>
      </c>
      <c r="D418" s="382"/>
      <c r="E418" s="370" t="s">
        <v>538</v>
      </c>
      <c r="F418" s="370" t="s">
        <v>72</v>
      </c>
      <c r="G418" s="370"/>
      <c r="H418" s="371" t="s">
        <v>812</v>
      </c>
      <c r="I418" s="371" t="s">
        <v>817</v>
      </c>
      <c r="J418" s="369">
        <v>44991</v>
      </c>
      <c r="K418" s="747">
        <v>0.375</v>
      </c>
      <c r="L418" s="369">
        <v>44991</v>
      </c>
      <c r="M418" s="753">
        <v>0.79166666666666663</v>
      </c>
      <c r="N418" s="210">
        <v>8</v>
      </c>
      <c r="O418" s="374" t="s">
        <v>17</v>
      </c>
      <c r="P418" s="375" t="s">
        <v>814</v>
      </c>
      <c r="Q418" s="744" t="s">
        <v>541</v>
      </c>
      <c r="R418" s="202" t="s">
        <v>40</v>
      </c>
      <c r="S418" s="31" t="s">
        <v>273</v>
      </c>
      <c r="T418" s="31" t="s">
        <v>273</v>
      </c>
      <c r="U418" s="31">
        <f>IFERROR(VLOOKUP(CONCATENATE(Tabla1[[#This Row],[Severidad]]," ",Tabla1[[#This Row],[Complejidad]]),Catalogos!E$120:G$128,3,FALSE),"")</f>
        <v>64</v>
      </c>
      <c r="V418" s="31" t="str">
        <f>IF(Tabla1[[#This Row],[Tiempo solución max (hrs)]]&lt;&gt;"",IF(Tabla1[[#This Row],[Tiempo solución max (hrs)]]&gt;=Tabla1[[#This Row],[Tiempo
(Hrs 00/100)]],"cumple","no cumple"),"")</f>
        <v>cumple</v>
      </c>
      <c r="W418" s="376" t="s">
        <v>681</v>
      </c>
      <c r="X418" s="377" t="str">
        <f t="shared" si="62"/>
        <v>SAI</v>
      </c>
      <c r="Y418" t="str">
        <f>SUBSTITUTE(Tabla1[[#This Row],[Descripción]],CHAR(10),"    I    ")</f>
        <v>Se atenendieron las remediacións correspondientes con: Portability Flaw: Locale Dependent Comparison y Path Manipulation</v>
      </c>
      <c r="Z418" s="378">
        <f>VLOOKUP(Tabla1[[#This Row],[Perfil]],Catalogos!$B$75:$D$100,3,FALSE)*Tabla1[[#This Row],[Tiempo
(Hrs 00/100)]]*1.16</f>
        <v>6496</v>
      </c>
    </row>
    <row r="419" spans="1:26" ht="42.75" customHeight="1" x14ac:dyDescent="0.3">
      <c r="A419" s="370" t="s">
        <v>15</v>
      </c>
      <c r="B419" s="370" t="s">
        <v>60</v>
      </c>
      <c r="C419" s="205" t="s">
        <v>49</v>
      </c>
      <c r="D419" s="370"/>
      <c r="E419" s="370" t="s">
        <v>538</v>
      </c>
      <c r="F419" s="370" t="s">
        <v>72</v>
      </c>
      <c r="G419" s="370"/>
      <c r="H419" s="371" t="s">
        <v>812</v>
      </c>
      <c r="I419" s="371" t="s">
        <v>818</v>
      </c>
      <c r="J419" s="369">
        <v>44992</v>
      </c>
      <c r="K419" s="747">
        <v>0.375</v>
      </c>
      <c r="L419" s="369">
        <v>44992</v>
      </c>
      <c r="M419" s="753">
        <v>0.79166666666666663</v>
      </c>
      <c r="N419" s="373">
        <v>8</v>
      </c>
      <c r="O419" s="374" t="s">
        <v>17</v>
      </c>
      <c r="P419" s="375" t="s">
        <v>814</v>
      </c>
      <c r="Q419" s="744" t="s">
        <v>541</v>
      </c>
      <c r="R419" s="202" t="s">
        <v>40</v>
      </c>
      <c r="S419" s="31" t="s">
        <v>273</v>
      </c>
      <c r="T419" s="31" t="s">
        <v>273</v>
      </c>
      <c r="U419" s="31">
        <f>IFERROR(VLOOKUP(CONCATENATE(Tabla1[[#This Row],[Severidad]]," ",Tabla1[[#This Row],[Complejidad]]),Catalogos!E$120:G$128,3,FALSE),"")</f>
        <v>64</v>
      </c>
      <c r="V419" s="31" t="str">
        <f>IF(Tabla1[[#This Row],[Tiempo solución max (hrs)]]&lt;&gt;"",IF(Tabla1[[#This Row],[Tiempo solución max (hrs)]]&gt;=Tabla1[[#This Row],[Tiempo
(Hrs 00/100)]],"cumple","no cumple"),"")</f>
        <v>cumple</v>
      </c>
      <c r="W419" s="376" t="s">
        <v>681</v>
      </c>
      <c r="X419" s="377" t="str">
        <f t="shared" si="62"/>
        <v>SAI</v>
      </c>
      <c r="Y419" t="str">
        <f>SUBSTITUTE(Tabla1[[#This Row],[Descripción]],CHAR(10),"    I    ")</f>
        <v>Se atenendieron las remediacións correspondientes con: Race Condition: Singleton Member Field</v>
      </c>
      <c r="Z419" s="378">
        <f>VLOOKUP(Tabla1[[#This Row],[Perfil]],Catalogos!$B$75:$D$100,3,FALSE)*Tabla1[[#This Row],[Tiempo
(Hrs 00/100)]]*1.16</f>
        <v>6496</v>
      </c>
    </row>
    <row r="420" spans="1:26" ht="42.75" customHeight="1" x14ac:dyDescent="0.3">
      <c r="A420" s="370" t="s">
        <v>15</v>
      </c>
      <c r="B420" s="370" t="s">
        <v>60</v>
      </c>
      <c r="C420" s="205" t="s">
        <v>49</v>
      </c>
      <c r="D420" s="370"/>
      <c r="E420" s="370" t="s">
        <v>538</v>
      </c>
      <c r="F420" s="370" t="s">
        <v>72</v>
      </c>
      <c r="G420" s="370"/>
      <c r="H420" s="371" t="s">
        <v>812</v>
      </c>
      <c r="I420" s="371" t="s">
        <v>819</v>
      </c>
      <c r="J420" s="715">
        <v>44993</v>
      </c>
      <c r="K420" s="747">
        <v>0.375</v>
      </c>
      <c r="L420" s="369">
        <v>44993</v>
      </c>
      <c r="M420" s="753">
        <v>0.79166666666666663</v>
      </c>
      <c r="N420" s="373">
        <v>8</v>
      </c>
      <c r="O420" s="374" t="s">
        <v>17</v>
      </c>
      <c r="P420" s="375" t="s">
        <v>814</v>
      </c>
      <c r="Q420" s="744" t="s">
        <v>541</v>
      </c>
      <c r="R420" s="202" t="s">
        <v>40</v>
      </c>
      <c r="S420" s="31" t="s">
        <v>273</v>
      </c>
      <c r="T420" s="31" t="s">
        <v>273</v>
      </c>
      <c r="U420" s="31">
        <f>IFERROR(VLOOKUP(CONCATENATE(Tabla1[[#This Row],[Severidad]]," ",Tabla1[[#This Row],[Complejidad]]),Catalogos!E$120:G$128,3,FALSE),"")</f>
        <v>64</v>
      </c>
      <c r="V420" s="31" t="str">
        <f>IF(Tabla1[[#This Row],[Tiempo solución max (hrs)]]&lt;&gt;"",IF(Tabla1[[#This Row],[Tiempo solución max (hrs)]]&gt;=Tabla1[[#This Row],[Tiempo
(Hrs 00/100)]],"cumple","no cumple"),"")</f>
        <v>cumple</v>
      </c>
      <c r="W420" s="376" t="s">
        <v>681</v>
      </c>
      <c r="X420" s="377" t="str">
        <f t="shared" si="62"/>
        <v>SAI</v>
      </c>
      <c r="Y420" t="str">
        <f>SUBSTITUTE(Tabla1[[#This Row],[Descripción]],CHAR(10),"    I    ")</f>
        <v>Se atenendieron las remediacións correspondientes con: Unreleased Resource: Streams</v>
      </c>
      <c r="Z420" s="378">
        <f>VLOOKUP(Tabla1[[#This Row],[Perfil]],Catalogos!$B$75:$D$100,3,FALSE)*Tabla1[[#This Row],[Tiempo
(Hrs 00/100)]]*1.16</f>
        <v>6496</v>
      </c>
    </row>
    <row r="421" spans="1:26" ht="42.75" customHeight="1" x14ac:dyDescent="0.3">
      <c r="A421" s="370" t="s">
        <v>15</v>
      </c>
      <c r="B421" s="370" t="s">
        <v>60</v>
      </c>
      <c r="C421" s="205" t="s">
        <v>49</v>
      </c>
      <c r="D421" s="370"/>
      <c r="E421" s="370" t="s">
        <v>538</v>
      </c>
      <c r="F421" s="370" t="s">
        <v>72</v>
      </c>
      <c r="G421" s="370"/>
      <c r="H421" s="371" t="s">
        <v>812</v>
      </c>
      <c r="I421" s="383" t="s">
        <v>820</v>
      </c>
      <c r="J421" s="369">
        <v>44994</v>
      </c>
      <c r="K421" s="747">
        <v>0.375</v>
      </c>
      <c r="L421" s="369">
        <v>44994</v>
      </c>
      <c r="M421" s="753">
        <v>0.79166666666666663</v>
      </c>
      <c r="N421" s="373">
        <v>8</v>
      </c>
      <c r="O421" s="374" t="s">
        <v>17</v>
      </c>
      <c r="P421" s="375" t="s">
        <v>814</v>
      </c>
      <c r="Q421" s="744" t="s">
        <v>541</v>
      </c>
      <c r="R421" s="202" t="s">
        <v>40</v>
      </c>
      <c r="S421" s="31" t="s">
        <v>273</v>
      </c>
      <c r="T421" s="31" t="s">
        <v>273</v>
      </c>
      <c r="U421" s="31">
        <f>IFERROR(VLOOKUP(CONCATENATE(Tabla1[[#This Row],[Severidad]]," ",Tabla1[[#This Row],[Complejidad]]),Catalogos!E$120:G$128,3,FALSE),"")</f>
        <v>64</v>
      </c>
      <c r="V421" s="31" t="str">
        <f>IF(Tabla1[[#This Row],[Tiempo solución max (hrs)]]&lt;&gt;"",IF(Tabla1[[#This Row],[Tiempo solución max (hrs)]]&gt;=Tabla1[[#This Row],[Tiempo
(Hrs 00/100)]],"cumple","no cumple"),"")</f>
        <v>cumple</v>
      </c>
      <c r="W421" s="376" t="s">
        <v>681</v>
      </c>
      <c r="X421" s="377" t="str">
        <f t="shared" si="62"/>
        <v>SAI</v>
      </c>
      <c r="Y421" t="str">
        <f>SUBSTITUTE(Tabla1[[#This Row],[Descripción]],CHAR(10),"    I    ")</f>
        <v>Se atenendieron las remediacións correspondientes con: Dead Code: Unused Field</v>
      </c>
      <c r="Z421" s="378">
        <f>VLOOKUP(Tabla1[[#This Row],[Perfil]],Catalogos!$B$75:$D$100,3,FALSE)*Tabla1[[#This Row],[Tiempo
(Hrs 00/100)]]*1.16</f>
        <v>6496</v>
      </c>
    </row>
    <row r="422" spans="1:26" ht="42.75" customHeight="1" x14ac:dyDescent="0.3">
      <c r="A422" s="210" t="s">
        <v>15</v>
      </c>
      <c r="B422" s="374" t="s">
        <v>60</v>
      </c>
      <c r="C422" s="205" t="s">
        <v>49</v>
      </c>
      <c r="D422" s="382"/>
      <c r="E422" s="370" t="s">
        <v>538</v>
      </c>
      <c r="F422" s="210" t="s">
        <v>72</v>
      </c>
      <c r="G422" s="370"/>
      <c r="H422" s="371" t="s">
        <v>812</v>
      </c>
      <c r="I422" s="383" t="s">
        <v>821</v>
      </c>
      <c r="J422" s="369">
        <v>44995</v>
      </c>
      <c r="K422" s="747">
        <v>0.375</v>
      </c>
      <c r="L422" s="369">
        <v>44995</v>
      </c>
      <c r="M422" s="753">
        <v>0.79166666666666663</v>
      </c>
      <c r="N422" s="210">
        <v>8</v>
      </c>
      <c r="O422" s="374" t="s">
        <v>17</v>
      </c>
      <c r="P422" s="375" t="s">
        <v>814</v>
      </c>
      <c r="Q422" s="744" t="s">
        <v>541</v>
      </c>
      <c r="R422" s="202" t="s">
        <v>40</v>
      </c>
      <c r="S422" s="31" t="s">
        <v>273</v>
      </c>
      <c r="T422" s="31" t="s">
        <v>273</v>
      </c>
      <c r="U422" s="31">
        <f>IFERROR(VLOOKUP(CONCATENATE(Tabla1[[#This Row],[Severidad]]," ",Tabla1[[#This Row],[Complejidad]]),Catalogos!E$120:G$128,3,FALSE),"")</f>
        <v>64</v>
      </c>
      <c r="V422" s="31" t="str">
        <f>IF(Tabla1[[#This Row],[Tiempo solución max (hrs)]]&lt;&gt;"",IF(Tabla1[[#This Row],[Tiempo solución max (hrs)]]&gt;=Tabla1[[#This Row],[Tiempo
(Hrs 00/100)]],"cumple","no cumple"),"")</f>
        <v>cumple</v>
      </c>
      <c r="W422" s="376" t="s">
        <v>681</v>
      </c>
      <c r="X422" s="377" t="str">
        <f t="shared" si="62"/>
        <v>SAI</v>
      </c>
      <c r="Y422" t="str">
        <f>SUBSTITUTE(Tabla1[[#This Row],[Descripción]],CHAR(10),"    I    ")</f>
        <v>Se atenendieron las remediacións correspondientes con: Code Correctness: Constructor Invokes Overridable Function</v>
      </c>
      <c r="Z422" s="378">
        <f>VLOOKUP(Tabla1[[#This Row],[Perfil]],Catalogos!$B$75:$D$100,3,FALSE)*Tabla1[[#This Row],[Tiempo
(Hrs 00/100)]]*1.16</f>
        <v>6496</v>
      </c>
    </row>
    <row r="423" spans="1:26" ht="42.75" customHeight="1" x14ac:dyDescent="0.3">
      <c r="A423" s="210" t="s">
        <v>15</v>
      </c>
      <c r="B423" s="374" t="s">
        <v>60</v>
      </c>
      <c r="C423" s="205" t="s">
        <v>49</v>
      </c>
      <c r="D423" s="382"/>
      <c r="E423" s="370" t="s">
        <v>538</v>
      </c>
      <c r="F423" s="210" t="s">
        <v>72</v>
      </c>
      <c r="G423" s="370"/>
      <c r="H423" s="371" t="s">
        <v>812</v>
      </c>
      <c r="I423" s="383" t="s">
        <v>822</v>
      </c>
      <c r="J423" s="369">
        <v>44998</v>
      </c>
      <c r="K423" s="747">
        <v>0.375</v>
      </c>
      <c r="L423" s="369">
        <v>44998</v>
      </c>
      <c r="M423" s="753">
        <v>0.79166666666666663</v>
      </c>
      <c r="N423" s="210">
        <v>8</v>
      </c>
      <c r="O423" s="374" t="s">
        <v>17</v>
      </c>
      <c r="P423" s="375" t="s">
        <v>814</v>
      </c>
      <c r="Q423" s="744" t="s">
        <v>541</v>
      </c>
      <c r="R423" s="202" t="s">
        <v>40</v>
      </c>
      <c r="S423" s="31" t="s">
        <v>273</v>
      </c>
      <c r="T423" s="31" t="s">
        <v>273</v>
      </c>
      <c r="U423" s="31">
        <f>IFERROR(VLOOKUP(CONCATENATE(Tabla1[[#This Row],[Severidad]]," ",Tabla1[[#This Row],[Complejidad]]),Catalogos!E$120:G$128,3,FALSE),"")</f>
        <v>64</v>
      </c>
      <c r="V423" s="31" t="str">
        <f>IF(Tabla1[[#This Row],[Tiempo solución max (hrs)]]&lt;&gt;"",IF(Tabla1[[#This Row],[Tiempo solución max (hrs)]]&gt;=Tabla1[[#This Row],[Tiempo
(Hrs 00/100)]],"cumple","no cumple"),"")</f>
        <v>cumple</v>
      </c>
      <c r="W423" s="376" t="s">
        <v>681</v>
      </c>
      <c r="X423" s="377" t="str">
        <f t="shared" si="62"/>
        <v>SAI</v>
      </c>
      <c r="Y423" t="str">
        <f>SUBSTITUTE(Tabla1[[#This Row],[Descripción]],CHAR(10),"    I    ")</f>
        <v>Se atenendieron las remediacións correspondientes con: Code Correctness: Dead Code: Unused Field</v>
      </c>
      <c r="Z423" s="378">
        <f>VLOOKUP(Tabla1[[#This Row],[Perfil]],Catalogos!$B$75:$D$100,3,FALSE)*Tabla1[[#This Row],[Tiempo
(Hrs 00/100)]]*1.16</f>
        <v>6496</v>
      </c>
    </row>
    <row r="424" spans="1:26" ht="42.75" customHeight="1" x14ac:dyDescent="0.3">
      <c r="A424" s="210" t="s">
        <v>15</v>
      </c>
      <c r="B424" s="374" t="s">
        <v>60</v>
      </c>
      <c r="C424" s="205" t="s">
        <v>49</v>
      </c>
      <c r="D424" s="382"/>
      <c r="E424" s="370" t="s">
        <v>538</v>
      </c>
      <c r="F424" s="210" t="s">
        <v>72</v>
      </c>
      <c r="G424" s="370"/>
      <c r="H424" s="371" t="s">
        <v>812</v>
      </c>
      <c r="I424" s="383" t="s">
        <v>823</v>
      </c>
      <c r="J424" s="369">
        <v>44999</v>
      </c>
      <c r="K424" s="747">
        <v>0.375</v>
      </c>
      <c r="L424" s="369">
        <v>44999</v>
      </c>
      <c r="M424" s="753">
        <v>0.79166666666666663</v>
      </c>
      <c r="N424" s="210">
        <v>8</v>
      </c>
      <c r="O424" s="374" t="s">
        <v>17</v>
      </c>
      <c r="P424" s="375" t="s">
        <v>814</v>
      </c>
      <c r="Q424" s="744" t="s">
        <v>541</v>
      </c>
      <c r="R424" s="202" t="s">
        <v>40</v>
      </c>
      <c r="S424" s="31" t="s">
        <v>273</v>
      </c>
      <c r="T424" s="31" t="s">
        <v>273</v>
      </c>
      <c r="U424" s="31">
        <f>IFERROR(VLOOKUP(CONCATENATE(Tabla1[[#This Row],[Severidad]]," ",Tabla1[[#This Row],[Complejidad]]),Catalogos!E$120:G$128,3,FALSE),"")</f>
        <v>64</v>
      </c>
      <c r="V424" s="31" t="str">
        <f>IF(Tabla1[[#This Row],[Tiempo solución max (hrs)]]&lt;&gt;"",IF(Tabla1[[#This Row],[Tiempo solución max (hrs)]]&gt;=Tabla1[[#This Row],[Tiempo
(Hrs 00/100)]],"cumple","no cumple"),"")</f>
        <v>cumple</v>
      </c>
      <c r="W424" s="376" t="s">
        <v>681</v>
      </c>
      <c r="X424" s="377" t="str">
        <f t="shared" si="62"/>
        <v>SAI</v>
      </c>
      <c r="Y424" t="str">
        <f>SUBSTITUTE(Tabla1[[#This Row],[Descripción]],CHAR(10),"    I    ")</f>
        <v>Se atenendieron las remediacións correspondientes con: Code Correctness: Dead Code: Unused Method</v>
      </c>
      <c r="Z424" s="378">
        <f>VLOOKUP(Tabla1[[#This Row],[Perfil]],Catalogos!$B$75:$D$100,3,FALSE)*Tabla1[[#This Row],[Tiempo
(Hrs 00/100)]]*1.16</f>
        <v>6496</v>
      </c>
    </row>
    <row r="425" spans="1:26" ht="42.75" customHeight="1" x14ac:dyDescent="0.3">
      <c r="A425" s="370" t="s">
        <v>15</v>
      </c>
      <c r="B425" s="370" t="s">
        <v>60</v>
      </c>
      <c r="C425" s="418" t="s">
        <v>49</v>
      </c>
      <c r="D425" s="370"/>
      <c r="E425" s="370" t="s">
        <v>538</v>
      </c>
      <c r="F425" s="370" t="s">
        <v>72</v>
      </c>
      <c r="G425" s="370"/>
      <c r="H425" s="371" t="s">
        <v>812</v>
      </c>
      <c r="I425" s="383" t="s">
        <v>824</v>
      </c>
      <c r="J425" s="369">
        <v>45000</v>
      </c>
      <c r="K425" s="747">
        <v>0.375</v>
      </c>
      <c r="L425" s="369">
        <v>45000</v>
      </c>
      <c r="M425" s="753">
        <v>0.79166666666666663</v>
      </c>
      <c r="N425" s="373">
        <v>8</v>
      </c>
      <c r="O425" s="374" t="s">
        <v>17</v>
      </c>
      <c r="P425" s="375" t="s">
        <v>814</v>
      </c>
      <c r="Q425" s="744" t="s">
        <v>541</v>
      </c>
      <c r="R425" s="202" t="s">
        <v>40</v>
      </c>
      <c r="S425" s="31" t="s">
        <v>273</v>
      </c>
      <c r="T425" s="31" t="s">
        <v>273</v>
      </c>
      <c r="U425" s="31">
        <f>IFERROR(VLOOKUP(CONCATENATE(Tabla1[[#This Row],[Severidad]]," ",Tabla1[[#This Row],[Complejidad]]),Catalogos!E$120:G$128,3,FALSE),"")</f>
        <v>64</v>
      </c>
      <c r="V425" s="31" t="str">
        <f>IF(Tabla1[[#This Row],[Tiempo solución max (hrs)]]&lt;&gt;"",IF(Tabla1[[#This Row],[Tiempo solución max (hrs)]]&gt;=Tabla1[[#This Row],[Tiempo
(Hrs 00/100)]],"cumple","no cumple"),"")</f>
        <v>cumple</v>
      </c>
      <c r="W425" s="376" t="s">
        <v>681</v>
      </c>
      <c r="X425" s="377" t="str">
        <f t="shared" si="62"/>
        <v>SAI</v>
      </c>
      <c r="Y425" t="str">
        <f>SUBSTITUTE(Tabla1[[#This Row],[Descripción]],CHAR(10),"    I    ")</f>
        <v>Se atenendieron las remediacións correspondientes con: Code Correctness: J2EE Bad Practices: Leftover Debug Code</v>
      </c>
      <c r="Z425" s="378">
        <f>VLOOKUP(Tabla1[[#This Row],[Perfil]],Catalogos!$B$75:$D$100,3,FALSE)*Tabla1[[#This Row],[Tiempo
(Hrs 00/100)]]*1.16</f>
        <v>6496</v>
      </c>
    </row>
    <row r="426" spans="1:26" ht="42.75" customHeight="1" x14ac:dyDescent="0.3">
      <c r="A426" s="210" t="s">
        <v>15</v>
      </c>
      <c r="B426" s="374" t="s">
        <v>60</v>
      </c>
      <c r="C426" s="205" t="s">
        <v>49</v>
      </c>
      <c r="D426" s="382"/>
      <c r="E426" s="370" t="s">
        <v>538</v>
      </c>
      <c r="F426" s="210" t="s">
        <v>72</v>
      </c>
      <c r="G426" s="370"/>
      <c r="H426" s="371" t="s">
        <v>812</v>
      </c>
      <c r="I426" s="383" t="s">
        <v>825</v>
      </c>
      <c r="J426" s="369">
        <v>45001</v>
      </c>
      <c r="K426" s="747">
        <v>0.375</v>
      </c>
      <c r="L426" s="369">
        <v>45001</v>
      </c>
      <c r="M426" s="753">
        <v>0.79166666666666663</v>
      </c>
      <c r="N426" s="210">
        <v>8</v>
      </c>
      <c r="O426" s="374" t="s">
        <v>17</v>
      </c>
      <c r="P426" s="375" t="s">
        <v>814</v>
      </c>
      <c r="Q426" s="744" t="s">
        <v>541</v>
      </c>
      <c r="R426" s="202" t="s">
        <v>40</v>
      </c>
      <c r="S426" s="31" t="s">
        <v>273</v>
      </c>
      <c r="T426" s="31" t="s">
        <v>273</v>
      </c>
      <c r="U426" s="31">
        <f>IFERROR(VLOOKUP(CONCATENATE(Tabla1[[#This Row],[Severidad]]," ",Tabla1[[#This Row],[Complejidad]]),Catalogos!E$120:G$128,3,FALSE),"")</f>
        <v>64</v>
      </c>
      <c r="V426" s="31" t="str">
        <f>IF(Tabla1[[#This Row],[Tiempo solución max (hrs)]]&lt;&gt;"",IF(Tabla1[[#This Row],[Tiempo solución max (hrs)]]&gt;=Tabla1[[#This Row],[Tiempo
(Hrs 00/100)]],"cumple","no cumple"),"")</f>
        <v>cumple</v>
      </c>
      <c r="W426" s="376" t="s">
        <v>681</v>
      </c>
      <c r="X426" s="377" t="str">
        <f t="shared" si="62"/>
        <v>SAI</v>
      </c>
      <c r="Y426" t="str">
        <f>SUBSTITUTE(Tabla1[[#This Row],[Descripción]],CHAR(10),"    I    ")</f>
        <v>Se atenendieron las remediacións correspondientes con: Missing Check against Null</v>
      </c>
      <c r="Z426" s="378">
        <f>VLOOKUP(Tabla1[[#This Row],[Perfil]],Catalogos!$B$75:$D$100,3,FALSE)*Tabla1[[#This Row],[Tiempo
(Hrs 00/100)]]*1.16</f>
        <v>6496</v>
      </c>
    </row>
    <row r="427" spans="1:26" ht="42.75" customHeight="1" x14ac:dyDescent="0.3">
      <c r="A427" s="370" t="s">
        <v>15</v>
      </c>
      <c r="B427" s="370" t="s">
        <v>60</v>
      </c>
      <c r="C427" s="205" t="s">
        <v>49</v>
      </c>
      <c r="D427" s="370"/>
      <c r="E427" s="370" t="s">
        <v>538</v>
      </c>
      <c r="F427" s="370" t="s">
        <v>72</v>
      </c>
      <c r="G427" s="370"/>
      <c r="H427" s="371" t="s">
        <v>812</v>
      </c>
      <c r="I427" s="383" t="s">
        <v>826</v>
      </c>
      <c r="J427" s="369">
        <v>45002</v>
      </c>
      <c r="K427" s="747">
        <v>0.375</v>
      </c>
      <c r="L427" s="369">
        <v>45002</v>
      </c>
      <c r="M427" s="753">
        <v>0.79166666666666663</v>
      </c>
      <c r="N427" s="373">
        <v>8</v>
      </c>
      <c r="O427" s="374" t="s">
        <v>17</v>
      </c>
      <c r="P427" s="375" t="s">
        <v>814</v>
      </c>
      <c r="Q427" s="744" t="s">
        <v>541</v>
      </c>
      <c r="R427" s="202" t="s">
        <v>40</v>
      </c>
      <c r="S427" s="31" t="s">
        <v>273</v>
      </c>
      <c r="T427" s="31" t="s">
        <v>273</v>
      </c>
      <c r="U427" s="31">
        <f>IFERROR(VLOOKUP(CONCATENATE(Tabla1[[#This Row],[Severidad]]," ",Tabla1[[#This Row],[Complejidad]]),Catalogos!E$120:G$128,3,FALSE),"")</f>
        <v>64</v>
      </c>
      <c r="V427" s="31" t="str">
        <f>IF(Tabla1[[#This Row],[Tiempo solución max (hrs)]]&lt;&gt;"",IF(Tabla1[[#This Row],[Tiempo solución max (hrs)]]&gt;=Tabla1[[#This Row],[Tiempo
(Hrs 00/100)]],"cumple","no cumple"),"")</f>
        <v>cumple</v>
      </c>
      <c r="W427" s="376" t="s">
        <v>681</v>
      </c>
      <c r="X427" s="377" t="str">
        <f t="shared" si="62"/>
        <v>SAI</v>
      </c>
      <c r="Y427" t="str">
        <f>SUBSTITUTE(Tabla1[[#This Row],[Descripción]],CHAR(10),"    I    ")</f>
        <v>Se atenendieron las remediacións correspondientes con: Missing Check for Null Parameter</v>
      </c>
      <c r="Z427" s="378">
        <f>VLOOKUP(Tabla1[[#This Row],[Perfil]],Catalogos!$B$75:$D$100,3,FALSE)*Tabla1[[#This Row],[Tiempo
(Hrs 00/100)]]*1.16</f>
        <v>6496</v>
      </c>
    </row>
    <row r="428" spans="1:26" ht="42.75" customHeight="1" x14ac:dyDescent="0.3">
      <c r="A428" s="210" t="s">
        <v>15</v>
      </c>
      <c r="B428" s="374" t="s">
        <v>60</v>
      </c>
      <c r="C428" s="205" t="s">
        <v>49</v>
      </c>
      <c r="D428" s="382"/>
      <c r="E428" s="370" t="s">
        <v>538</v>
      </c>
      <c r="F428" s="210" t="s">
        <v>72</v>
      </c>
      <c r="G428" s="370"/>
      <c r="H428" s="419" t="s">
        <v>812</v>
      </c>
      <c r="I428" s="420" t="s">
        <v>827</v>
      </c>
      <c r="J428" s="369">
        <v>45006</v>
      </c>
      <c r="K428" s="747">
        <v>0.375</v>
      </c>
      <c r="L428" s="369">
        <v>45006</v>
      </c>
      <c r="M428" s="753">
        <v>0.79166666666666663</v>
      </c>
      <c r="N428" s="210">
        <v>8</v>
      </c>
      <c r="O428" s="374" t="s">
        <v>17</v>
      </c>
      <c r="P428" s="375" t="s">
        <v>814</v>
      </c>
      <c r="Q428" s="744" t="s">
        <v>541</v>
      </c>
      <c r="R428" s="202" t="s">
        <v>40</v>
      </c>
      <c r="S428" s="31" t="s">
        <v>273</v>
      </c>
      <c r="T428" s="31" t="s">
        <v>273</v>
      </c>
      <c r="U428" s="31">
        <f>IFERROR(VLOOKUP(CONCATENATE(Tabla1[[#This Row],[Severidad]]," ",Tabla1[[#This Row],[Complejidad]]),Catalogos!E$120:G$128,3,FALSE),"")</f>
        <v>64</v>
      </c>
      <c r="V428" s="31" t="str">
        <f>IF(Tabla1[[#This Row],[Tiempo solución max (hrs)]]&lt;&gt;"",IF(Tabla1[[#This Row],[Tiempo solución max (hrs)]]&gt;=Tabla1[[#This Row],[Tiempo
(Hrs 00/100)]],"cumple","no cumple"),"")</f>
        <v>cumple</v>
      </c>
      <c r="W428" s="376" t="s">
        <v>681</v>
      </c>
      <c r="X428" s="377" t="str">
        <f t="shared" si="62"/>
        <v>SAI</v>
      </c>
      <c r="Y428" t="str">
        <f>SUBSTITUTE(Tabla1[[#This Row],[Descripción]],CHAR(10),"    I    ")</f>
        <v>Se atenendieron las remediacións correspondientes con: Object Model Violation: Erroneous clone() Method</v>
      </c>
      <c r="Z428" s="378">
        <f>VLOOKUP(Tabla1[[#This Row],[Perfil]],Catalogos!$B$75:$D$100,3,FALSE)*Tabla1[[#This Row],[Tiempo
(Hrs 00/100)]]*1.16</f>
        <v>6496</v>
      </c>
    </row>
    <row r="429" spans="1:26" ht="42.75" customHeight="1" x14ac:dyDescent="0.3">
      <c r="A429" s="210" t="s">
        <v>15</v>
      </c>
      <c r="B429" s="374" t="s">
        <v>60</v>
      </c>
      <c r="C429" s="205" t="s">
        <v>49</v>
      </c>
      <c r="D429" s="382"/>
      <c r="E429" s="370" t="s">
        <v>538</v>
      </c>
      <c r="F429" s="210" t="s">
        <v>72</v>
      </c>
      <c r="G429" s="370"/>
      <c r="H429" s="371" t="s">
        <v>812</v>
      </c>
      <c r="I429" s="383" t="s">
        <v>828</v>
      </c>
      <c r="J429" s="369">
        <v>45007</v>
      </c>
      <c r="K429" s="747">
        <v>0.375</v>
      </c>
      <c r="L429" s="369">
        <v>45007</v>
      </c>
      <c r="M429" s="753">
        <v>0.79166666666666663</v>
      </c>
      <c r="N429" s="210">
        <v>8</v>
      </c>
      <c r="O429" s="374" t="s">
        <v>17</v>
      </c>
      <c r="P429" s="375" t="s">
        <v>814</v>
      </c>
      <c r="Q429" s="744" t="s">
        <v>541</v>
      </c>
      <c r="R429" s="202" t="s">
        <v>40</v>
      </c>
      <c r="S429" s="31" t="s">
        <v>273</v>
      </c>
      <c r="T429" s="31" t="s">
        <v>273</v>
      </c>
      <c r="U429" s="31">
        <f>IFERROR(VLOOKUP(CONCATENATE(Tabla1[[#This Row],[Severidad]]," ",Tabla1[[#This Row],[Complejidad]]),Catalogos!E$120:G$128,3,FALSE),"")</f>
        <v>64</v>
      </c>
      <c r="V429" s="31" t="str">
        <f>IF(Tabla1[[#This Row],[Tiempo solución max (hrs)]]&lt;&gt;"",IF(Tabla1[[#This Row],[Tiempo solución max (hrs)]]&gt;=Tabla1[[#This Row],[Tiempo
(Hrs 00/100)]],"cumple","no cumple"),"")</f>
        <v>cumple</v>
      </c>
      <c r="W429" s="376" t="s">
        <v>681</v>
      </c>
      <c r="X429" s="377" t="str">
        <f t="shared" si="62"/>
        <v>SAI</v>
      </c>
      <c r="Y429" t="str">
        <f>SUBSTITUTE(Tabla1[[#This Row],[Descripción]],CHAR(10),"    I    ")</f>
        <v>Se atenendieron las remediacións correspondientes con: Object Model Violation: Just one of equals() and hashCode() Defined</v>
      </c>
      <c r="Z429" s="378">
        <f>VLOOKUP(Tabla1[[#This Row],[Perfil]],Catalogos!$B$75:$D$100,3,FALSE)*Tabla1[[#This Row],[Tiempo
(Hrs 00/100)]]*1.16</f>
        <v>6496</v>
      </c>
    </row>
    <row r="430" spans="1:26" ht="42.75" customHeight="1" x14ac:dyDescent="0.3">
      <c r="A430" s="210" t="s">
        <v>15</v>
      </c>
      <c r="B430" s="374" t="s">
        <v>60</v>
      </c>
      <c r="C430" s="205" t="s">
        <v>49</v>
      </c>
      <c r="D430" s="382"/>
      <c r="E430" s="370" t="s">
        <v>538</v>
      </c>
      <c r="F430" s="210" t="s">
        <v>72</v>
      </c>
      <c r="G430" s="370"/>
      <c r="H430" s="371" t="s">
        <v>812</v>
      </c>
      <c r="I430" s="383" t="s">
        <v>829</v>
      </c>
      <c r="J430" s="369">
        <v>45008</v>
      </c>
      <c r="K430" s="747">
        <v>0.375</v>
      </c>
      <c r="L430" s="369">
        <v>45008</v>
      </c>
      <c r="M430" s="753">
        <v>0.79166666666666663</v>
      </c>
      <c r="N430" s="210">
        <v>8</v>
      </c>
      <c r="O430" s="374" t="s">
        <v>17</v>
      </c>
      <c r="P430" s="375" t="s">
        <v>814</v>
      </c>
      <c r="Q430" s="744" t="s">
        <v>541</v>
      </c>
      <c r="R430" s="202" t="s">
        <v>40</v>
      </c>
      <c r="S430" s="31" t="s">
        <v>273</v>
      </c>
      <c r="T430" s="31" t="s">
        <v>273</v>
      </c>
      <c r="U430" s="31">
        <f>IFERROR(VLOOKUP(CONCATENATE(Tabla1[[#This Row],[Severidad]]," ",Tabla1[[#This Row],[Complejidad]]),Catalogos!E$120:G$128,3,FALSE),"")</f>
        <v>64</v>
      </c>
      <c r="V430" s="31" t="str">
        <f>IF(Tabla1[[#This Row],[Tiempo solución max (hrs)]]&lt;&gt;"",IF(Tabla1[[#This Row],[Tiempo solución max (hrs)]]&gt;=Tabla1[[#This Row],[Tiempo
(Hrs 00/100)]],"cumple","no cumple"),"")</f>
        <v>cumple</v>
      </c>
      <c r="W430" s="376" t="s">
        <v>681</v>
      </c>
      <c r="X430" s="377" t="str">
        <f t="shared" si="62"/>
        <v>SAI</v>
      </c>
      <c r="Y430" t="str">
        <f>SUBSTITUTE(Tabla1[[#This Row],[Descripción]],CHAR(10),"    I    ")</f>
        <v>Se atenendieron las remediacións correspondientes con: Password Management: Password in Comment</v>
      </c>
      <c r="Z430" s="378">
        <f>VLOOKUP(Tabla1[[#This Row],[Perfil]],Catalogos!$B$75:$D$100,3,FALSE)*Tabla1[[#This Row],[Tiempo
(Hrs 00/100)]]*1.16</f>
        <v>6496</v>
      </c>
    </row>
    <row r="431" spans="1:26" ht="42.75" customHeight="1" x14ac:dyDescent="0.3">
      <c r="A431" s="210" t="s">
        <v>15</v>
      </c>
      <c r="B431" s="374" t="s">
        <v>60</v>
      </c>
      <c r="C431" s="205" t="s">
        <v>49</v>
      </c>
      <c r="D431" s="382"/>
      <c r="E431" s="370" t="s">
        <v>538</v>
      </c>
      <c r="F431" s="210" t="s">
        <v>72</v>
      </c>
      <c r="G431" s="370"/>
      <c r="H431" s="371" t="s">
        <v>812</v>
      </c>
      <c r="I431" s="383" t="s">
        <v>830</v>
      </c>
      <c r="J431" s="369">
        <v>45009</v>
      </c>
      <c r="K431" s="747">
        <v>0.375</v>
      </c>
      <c r="L431" s="369">
        <v>45009</v>
      </c>
      <c r="M431" s="753">
        <v>0.79166666666666663</v>
      </c>
      <c r="N431" s="210">
        <v>8</v>
      </c>
      <c r="O431" s="374" t="s">
        <v>17</v>
      </c>
      <c r="P431" s="375" t="s">
        <v>814</v>
      </c>
      <c r="Q431" s="744" t="s">
        <v>541</v>
      </c>
      <c r="R431" s="202" t="s">
        <v>40</v>
      </c>
      <c r="S431" s="31" t="s">
        <v>273</v>
      </c>
      <c r="T431" s="31" t="s">
        <v>273</v>
      </c>
      <c r="U431" s="31">
        <f>IFERROR(VLOOKUP(CONCATENATE(Tabla1[[#This Row],[Severidad]]," ",Tabla1[[#This Row],[Complejidad]]),Catalogos!E$120:G$128,3,FALSE),"")</f>
        <v>64</v>
      </c>
      <c r="V431" s="31" t="str">
        <f>IF(Tabla1[[#This Row],[Tiempo solución max (hrs)]]&lt;&gt;"",IF(Tabla1[[#This Row],[Tiempo solución max (hrs)]]&gt;=Tabla1[[#This Row],[Tiempo
(Hrs 00/100)]],"cumple","no cumple"),"")</f>
        <v>cumple</v>
      </c>
      <c r="W431" s="376" t="s">
        <v>681</v>
      </c>
      <c r="X431" s="377" t="str">
        <f t="shared" si="62"/>
        <v>SAI</v>
      </c>
      <c r="Y431" t="str">
        <f>SUBSTITUTE(Tabla1[[#This Row],[Descripción]],CHAR(10),"    I    ")</f>
        <v>Se atenendieron las remediacións correspondientes con: Poor Error Handling: Empty Catch Block</v>
      </c>
      <c r="Z431" s="378">
        <f>VLOOKUP(Tabla1[[#This Row],[Perfil]],Catalogos!$B$75:$D$100,3,FALSE)*Tabla1[[#This Row],[Tiempo
(Hrs 00/100)]]*1.16</f>
        <v>6496</v>
      </c>
    </row>
    <row r="432" spans="1:26" ht="42.75" customHeight="1" x14ac:dyDescent="0.3">
      <c r="A432" s="210" t="s">
        <v>15</v>
      </c>
      <c r="B432" s="374" t="s">
        <v>60</v>
      </c>
      <c r="C432" s="205" t="s">
        <v>49</v>
      </c>
      <c r="D432" s="382"/>
      <c r="E432" s="370" t="s">
        <v>538</v>
      </c>
      <c r="F432" s="210" t="s">
        <v>72</v>
      </c>
      <c r="G432" s="370"/>
      <c r="H432" s="371" t="s">
        <v>812</v>
      </c>
      <c r="I432" s="383" t="s">
        <v>831</v>
      </c>
      <c r="J432" s="369">
        <v>45012</v>
      </c>
      <c r="K432" s="747">
        <v>0.375</v>
      </c>
      <c r="L432" s="369">
        <v>45012</v>
      </c>
      <c r="M432" s="753">
        <v>0.79166666666666663</v>
      </c>
      <c r="N432" s="210">
        <v>8</v>
      </c>
      <c r="O432" s="374" t="s">
        <v>17</v>
      </c>
      <c r="P432" s="375" t="s">
        <v>814</v>
      </c>
      <c r="Q432" s="744" t="s">
        <v>541</v>
      </c>
      <c r="R432" s="202" t="s">
        <v>40</v>
      </c>
      <c r="S432" s="31" t="s">
        <v>273</v>
      </c>
      <c r="T432" s="31" t="s">
        <v>273</v>
      </c>
      <c r="U432" s="31">
        <f>IFERROR(VLOOKUP(CONCATENATE(Tabla1[[#This Row],[Severidad]]," ",Tabla1[[#This Row],[Complejidad]]),Catalogos!E$120:G$128,3,FALSE),"")</f>
        <v>64</v>
      </c>
      <c r="V432" s="31" t="str">
        <f>IF(Tabla1[[#This Row],[Tiempo solución max (hrs)]]&lt;&gt;"",IF(Tabla1[[#This Row],[Tiempo solución max (hrs)]]&gt;=Tabla1[[#This Row],[Tiempo
(Hrs 00/100)]],"cumple","no cumple"),"")</f>
        <v>cumple</v>
      </c>
      <c r="W432" s="376" t="s">
        <v>681</v>
      </c>
      <c r="X432" s="377" t="str">
        <f t="shared" si="62"/>
        <v>SAI</v>
      </c>
      <c r="Y432" t="str">
        <f>SUBSTITUTE(Tabla1[[#This Row],[Descripción]],CHAR(10),"    I    ")</f>
        <v>Se atenendieron las remediacións correspondientes con: Overly Broad Catch</v>
      </c>
      <c r="Z432" s="378">
        <f>VLOOKUP(Tabla1[[#This Row],[Perfil]],Catalogos!$B$75:$D$100,3,FALSE)*Tabla1[[#This Row],[Tiempo
(Hrs 00/100)]]*1.16</f>
        <v>6496</v>
      </c>
    </row>
    <row r="433" spans="1:26" ht="42.75" customHeight="1" x14ac:dyDescent="0.3">
      <c r="A433" s="210" t="s">
        <v>15</v>
      </c>
      <c r="B433" s="374" t="s">
        <v>60</v>
      </c>
      <c r="C433" s="205" t="s">
        <v>49</v>
      </c>
      <c r="D433" s="382"/>
      <c r="E433" s="370" t="s">
        <v>538</v>
      </c>
      <c r="F433" s="210" t="s">
        <v>72</v>
      </c>
      <c r="G433" s="370"/>
      <c r="H433" s="371" t="s">
        <v>812</v>
      </c>
      <c r="I433" s="383" t="s">
        <v>832</v>
      </c>
      <c r="J433" s="369">
        <v>45013</v>
      </c>
      <c r="K433" s="747">
        <v>0.375</v>
      </c>
      <c r="L433" s="369">
        <v>45013</v>
      </c>
      <c r="M433" s="753">
        <v>0.79166666666666663</v>
      </c>
      <c r="N433" s="210">
        <v>8</v>
      </c>
      <c r="O433" s="374" t="s">
        <v>17</v>
      </c>
      <c r="P433" s="375" t="s">
        <v>814</v>
      </c>
      <c r="Q433" s="744" t="s">
        <v>541</v>
      </c>
      <c r="R433" s="202" t="s">
        <v>40</v>
      </c>
      <c r="S433" s="31" t="s">
        <v>273</v>
      </c>
      <c r="T433" s="31" t="s">
        <v>273</v>
      </c>
      <c r="U433" s="31">
        <f>IFERROR(VLOOKUP(CONCATENATE(Tabla1[[#This Row],[Severidad]]," ",Tabla1[[#This Row],[Complejidad]]),Catalogos!E$120:G$128,3,FALSE),"")</f>
        <v>64</v>
      </c>
      <c r="V433" s="31" t="str">
        <f>IF(Tabla1[[#This Row],[Tiempo solución max (hrs)]]&lt;&gt;"",IF(Tabla1[[#This Row],[Tiempo solución max (hrs)]]&gt;=Tabla1[[#This Row],[Tiempo
(Hrs 00/100)]],"cumple","no cumple"),"")</f>
        <v>cumple</v>
      </c>
      <c r="W433" s="376" t="s">
        <v>681</v>
      </c>
      <c r="X433" s="377" t="str">
        <f t="shared" si="62"/>
        <v>SAI</v>
      </c>
      <c r="Y433" t="str">
        <f>SUBSTITUTE(Tabla1[[#This Row],[Descripción]],CHAR(10),"    I    ")</f>
        <v>Se atenendieron las remediacións correspondientes con: Poor Error Handling: Overly Broad Catch</v>
      </c>
      <c r="Z433" s="378">
        <f>VLOOKUP(Tabla1[[#This Row],[Perfil]],Catalogos!$B$75:$D$100,3,FALSE)*Tabla1[[#This Row],[Tiempo
(Hrs 00/100)]]*1.16</f>
        <v>6496</v>
      </c>
    </row>
    <row r="434" spans="1:26" ht="42.75" customHeight="1" x14ac:dyDescent="0.3">
      <c r="A434" s="210" t="s">
        <v>15</v>
      </c>
      <c r="B434" s="374" t="s">
        <v>60</v>
      </c>
      <c r="C434" s="205" t="s">
        <v>49</v>
      </c>
      <c r="D434" s="382"/>
      <c r="E434" s="370" t="s">
        <v>538</v>
      </c>
      <c r="F434" s="210" t="s">
        <v>72</v>
      </c>
      <c r="G434" s="370"/>
      <c r="H434" s="371" t="s">
        <v>812</v>
      </c>
      <c r="I434" s="383" t="s">
        <v>832</v>
      </c>
      <c r="J434" s="369">
        <v>45014</v>
      </c>
      <c r="K434" s="747">
        <v>0.375</v>
      </c>
      <c r="L434" s="369">
        <v>45014</v>
      </c>
      <c r="M434" s="753">
        <v>0.79166666666666663</v>
      </c>
      <c r="N434" s="210">
        <v>8</v>
      </c>
      <c r="O434" s="374" t="s">
        <v>17</v>
      </c>
      <c r="P434" s="375" t="s">
        <v>814</v>
      </c>
      <c r="Q434" s="744" t="s">
        <v>541</v>
      </c>
      <c r="R434" s="202" t="s">
        <v>40</v>
      </c>
      <c r="S434" s="31" t="s">
        <v>273</v>
      </c>
      <c r="T434" s="31" t="s">
        <v>273</v>
      </c>
      <c r="U434" s="31">
        <f>IFERROR(VLOOKUP(CONCATENATE(Tabla1[[#This Row],[Severidad]]," ",Tabla1[[#This Row],[Complejidad]]),Catalogos!E$120:G$128,3,FALSE),"")</f>
        <v>64</v>
      </c>
      <c r="V434" s="31" t="str">
        <f>IF(Tabla1[[#This Row],[Tiempo solución max (hrs)]]&lt;&gt;"",IF(Tabla1[[#This Row],[Tiempo solución max (hrs)]]&gt;=Tabla1[[#This Row],[Tiempo
(Hrs 00/100)]],"cumple","no cumple"),"")</f>
        <v>cumple</v>
      </c>
      <c r="W434" s="376" t="s">
        <v>681</v>
      </c>
      <c r="X434" s="377" t="str">
        <f t="shared" si="62"/>
        <v>SAI</v>
      </c>
      <c r="Y434" t="str">
        <f>SUBSTITUTE(Tabla1[[#This Row],[Descripción]],CHAR(10),"    I    ")</f>
        <v>Se atenendieron las remediacións correspondientes con: Poor Error Handling: Overly Broad Catch</v>
      </c>
      <c r="Z434" s="378">
        <f>VLOOKUP(Tabla1[[#This Row],[Perfil]],Catalogos!$B$75:$D$100,3,FALSE)*Tabla1[[#This Row],[Tiempo
(Hrs 00/100)]]*1.16</f>
        <v>6496</v>
      </c>
    </row>
    <row r="435" spans="1:26" ht="42.75" customHeight="1" x14ac:dyDescent="0.3">
      <c r="A435" s="210" t="s">
        <v>15</v>
      </c>
      <c r="B435" s="374" t="s">
        <v>60</v>
      </c>
      <c r="C435" s="205" t="s">
        <v>49</v>
      </c>
      <c r="D435" s="382"/>
      <c r="E435" s="370" t="s">
        <v>538</v>
      </c>
      <c r="F435" s="210" t="s">
        <v>72</v>
      </c>
      <c r="G435" s="370"/>
      <c r="H435" s="371" t="s">
        <v>812</v>
      </c>
      <c r="I435" s="383" t="s">
        <v>833</v>
      </c>
      <c r="J435" s="369">
        <v>45015</v>
      </c>
      <c r="K435" s="747">
        <v>0.375</v>
      </c>
      <c r="L435" s="369">
        <v>45015</v>
      </c>
      <c r="M435" s="753">
        <v>0.79166666666666663</v>
      </c>
      <c r="N435" s="210">
        <v>8</v>
      </c>
      <c r="O435" s="374" t="s">
        <v>17</v>
      </c>
      <c r="P435" s="375" t="s">
        <v>814</v>
      </c>
      <c r="Q435" s="744" t="s">
        <v>541</v>
      </c>
      <c r="R435" s="202" t="s">
        <v>40</v>
      </c>
      <c r="S435" s="31" t="s">
        <v>273</v>
      </c>
      <c r="T435" s="31" t="s">
        <v>273</v>
      </c>
      <c r="U435" s="31">
        <f>IFERROR(VLOOKUP(CONCATENATE(Tabla1[[#This Row],[Severidad]]," ",Tabla1[[#This Row],[Complejidad]]),Catalogos!E$120:G$128,3,FALSE),"")</f>
        <v>64</v>
      </c>
      <c r="V435" s="31" t="str">
        <f>IF(Tabla1[[#This Row],[Tiempo solución max (hrs)]]&lt;&gt;"",IF(Tabla1[[#This Row],[Tiempo solución max (hrs)]]&gt;=Tabla1[[#This Row],[Tiempo
(Hrs 00/100)]],"cumple","no cumple"),"")</f>
        <v>cumple</v>
      </c>
      <c r="W435" s="376" t="s">
        <v>681</v>
      </c>
      <c r="X435" s="377" t="str">
        <f t="shared" si="62"/>
        <v>SAI</v>
      </c>
      <c r="Y435" t="str">
        <f>SUBSTITUTE(Tabla1[[#This Row],[Descripción]],CHAR(10),"    I    ")</f>
        <v>Se atenendieron las remediacións correspondientes con el levantamiento y revisión del proyecto de pizarras</v>
      </c>
      <c r="Z435" s="378">
        <f>VLOOKUP(Tabla1[[#This Row],[Perfil]],Catalogos!$B$75:$D$100,3,FALSE)*Tabla1[[#This Row],[Tiempo
(Hrs 00/100)]]*1.16</f>
        <v>6496</v>
      </c>
    </row>
    <row r="436" spans="1:26" ht="42.75" customHeight="1" x14ac:dyDescent="0.3">
      <c r="A436" s="210" t="s">
        <v>15</v>
      </c>
      <c r="B436" s="374" t="s">
        <v>60</v>
      </c>
      <c r="C436" s="205" t="s">
        <v>49</v>
      </c>
      <c r="D436" s="382"/>
      <c r="E436" s="370" t="s">
        <v>538</v>
      </c>
      <c r="F436" s="210" t="s">
        <v>72</v>
      </c>
      <c r="G436" s="370"/>
      <c r="H436" s="371" t="s">
        <v>812</v>
      </c>
      <c r="I436" s="383" t="s">
        <v>834</v>
      </c>
      <c r="J436" s="369">
        <v>45016</v>
      </c>
      <c r="K436" s="747">
        <v>0.375</v>
      </c>
      <c r="L436" s="369">
        <v>45016</v>
      </c>
      <c r="M436" s="753">
        <v>0.79166666666666663</v>
      </c>
      <c r="N436" s="210">
        <v>8</v>
      </c>
      <c r="O436" s="374" t="s">
        <v>17</v>
      </c>
      <c r="P436" s="375" t="s">
        <v>814</v>
      </c>
      <c r="Q436" s="744" t="s">
        <v>541</v>
      </c>
      <c r="R436" s="202" t="s">
        <v>40</v>
      </c>
      <c r="S436" s="31" t="s">
        <v>273</v>
      </c>
      <c r="T436" s="31" t="s">
        <v>273</v>
      </c>
      <c r="U436" s="31">
        <f>IFERROR(VLOOKUP(CONCATENATE(Tabla1[[#This Row],[Severidad]]," ",Tabla1[[#This Row],[Complejidad]]),Catalogos!E$120:G$128,3,FALSE),"")</f>
        <v>64</v>
      </c>
      <c r="V436" s="31" t="str">
        <f>IF(Tabla1[[#This Row],[Tiempo solución max (hrs)]]&lt;&gt;"",IF(Tabla1[[#This Row],[Tiempo solución max (hrs)]]&gt;=Tabla1[[#This Row],[Tiempo
(Hrs 00/100)]],"cumple","no cumple"),"")</f>
        <v>cumple</v>
      </c>
      <c r="W436" s="376" t="s">
        <v>681</v>
      </c>
      <c r="X436" s="377" t="str">
        <f t="shared" si="62"/>
        <v>SAI</v>
      </c>
      <c r="Y436" t="str">
        <f>SUBSTITUTE(Tabla1[[#This Row],[Descripción]],CHAR(10),"    I    ")</f>
        <v>Se ambiento y tramitaron permisos para levantar el proyecto de manera local</v>
      </c>
      <c r="Z436" s="378">
        <f>VLOOKUP(Tabla1[[#This Row],[Perfil]],Catalogos!$B$75:$D$100,3,FALSE)*Tabla1[[#This Row],[Tiempo
(Hrs 00/100)]]*1.16</f>
        <v>6496</v>
      </c>
    </row>
    <row r="437" spans="1:26" ht="42.75" customHeight="1" x14ac:dyDescent="0.3">
      <c r="A437" s="373" t="s">
        <v>22</v>
      </c>
      <c r="B437" s="184" t="s">
        <v>305</v>
      </c>
      <c r="C437" s="183" t="s">
        <v>16</v>
      </c>
      <c r="D437" s="179"/>
      <c r="E437" s="386" t="s">
        <v>503</v>
      </c>
      <c r="F437" s="373" t="s">
        <v>75</v>
      </c>
      <c r="G437" s="370" t="s">
        <v>435</v>
      </c>
      <c r="H437" s="387" t="s">
        <v>436</v>
      </c>
      <c r="I437" s="393" t="s">
        <v>835</v>
      </c>
      <c r="J437" s="712">
        <v>44986</v>
      </c>
      <c r="K437" s="747">
        <v>0.375</v>
      </c>
      <c r="L437" s="712">
        <v>44986</v>
      </c>
      <c r="M437" s="739">
        <v>0.54166666666666663</v>
      </c>
      <c r="N437" s="179">
        <v>4</v>
      </c>
      <c r="O437" s="184" t="s">
        <v>17</v>
      </c>
      <c r="P437" s="185" t="s">
        <v>836</v>
      </c>
      <c r="Q437" s="746" t="s">
        <v>258</v>
      </c>
      <c r="R437" s="171" t="s">
        <v>81</v>
      </c>
      <c r="S437" s="31" t="s">
        <v>273</v>
      </c>
      <c r="T437" s="31" t="s">
        <v>273</v>
      </c>
      <c r="U437" s="31">
        <f>IFERROR(VLOOKUP(CONCATENATE(Tabla1[[#This Row],[Severidad]]," ",Tabla1[[#This Row],[Complejidad]]),Catalogos!E$120:G$128,3,FALSE),"")</f>
        <v>64</v>
      </c>
      <c r="V437" s="31" t="str">
        <f>IF(Tabla1[[#This Row],[Tiempo solución max (hrs)]]&lt;&gt;"",IF(Tabla1[[#This Row],[Tiempo solución max (hrs)]]&gt;=Tabla1[[#This Row],[Tiempo
(Hrs 00/100)]],"cumple","no cumple"),"")</f>
        <v>cumple</v>
      </c>
      <c r="W437" s="376" t="s">
        <v>681</v>
      </c>
      <c r="X437" s="377" t="str">
        <f t="shared" si="62"/>
        <v>SAW</v>
      </c>
      <c r="Y437" t="str">
        <f>SUBSTITUTE(Tabla1[[#This Row],[Descripción]],CHAR(10),"    I    ")</f>
        <v xml:space="preserve">Modificacion servicio profecional </v>
      </c>
      <c r="Z437" s="378">
        <f>VLOOKUP(Tabla1[[#This Row],[Perfil]],Catalogos!$B$75:$D$100,3,FALSE)*Tabla1[[#This Row],[Tiempo
(Hrs 00/100)]]*1.16</f>
        <v>2320</v>
      </c>
    </row>
    <row r="438" spans="1:26" ht="42.75" customHeight="1" x14ac:dyDescent="0.3">
      <c r="A438" s="373" t="s">
        <v>22</v>
      </c>
      <c r="B438" s="184" t="s">
        <v>305</v>
      </c>
      <c r="C438" s="183" t="s">
        <v>16</v>
      </c>
      <c r="D438" s="179"/>
      <c r="E438" s="386" t="s">
        <v>503</v>
      </c>
      <c r="F438" s="373" t="s">
        <v>75</v>
      </c>
      <c r="G438" s="370" t="s">
        <v>435</v>
      </c>
      <c r="H438" s="387" t="s">
        <v>436</v>
      </c>
      <c r="I438" s="393" t="s">
        <v>837</v>
      </c>
      <c r="J438" s="712">
        <v>44986</v>
      </c>
      <c r="K438" s="739">
        <v>0.54166666666666663</v>
      </c>
      <c r="L438" s="712">
        <v>44986</v>
      </c>
      <c r="M438" s="753">
        <v>0.79166666666666663</v>
      </c>
      <c r="N438" s="179">
        <v>4</v>
      </c>
      <c r="O438" s="184" t="s">
        <v>17</v>
      </c>
      <c r="P438" s="185" t="s">
        <v>838</v>
      </c>
      <c r="Q438" s="746" t="s">
        <v>258</v>
      </c>
      <c r="R438" s="171" t="s">
        <v>81</v>
      </c>
      <c r="S438" s="31" t="s">
        <v>273</v>
      </c>
      <c r="T438" s="31" t="s">
        <v>273</v>
      </c>
      <c r="U438" s="31">
        <f>IFERROR(VLOOKUP(CONCATENATE(Tabla1[[#This Row],[Severidad]]," ",Tabla1[[#This Row],[Complejidad]]),Catalogos!E$120:G$128,3,FALSE),"")</f>
        <v>64</v>
      </c>
      <c r="V438" s="31" t="str">
        <f>IF(Tabla1[[#This Row],[Tiempo solución max (hrs)]]&lt;&gt;"",IF(Tabla1[[#This Row],[Tiempo solución max (hrs)]]&gt;=Tabla1[[#This Row],[Tiempo
(Hrs 00/100)]],"cumple","no cumple"),"")</f>
        <v>cumple</v>
      </c>
      <c r="W438" s="376" t="s">
        <v>681</v>
      </c>
      <c r="X438" s="377" t="str">
        <f t="shared" si="62"/>
        <v>SAW</v>
      </c>
      <c r="Y438" t="str">
        <f>SUBSTITUTE(Tabla1[[#This Row],[Descripción]],CHAR(10),"    I    ")</f>
        <v xml:space="preserve">Actualizacion Reportes </v>
      </c>
      <c r="Z438" s="378">
        <f>VLOOKUP(Tabla1[[#This Row],[Perfil]],Catalogos!$B$75:$D$100,3,FALSE)*Tabla1[[#This Row],[Tiempo
(Hrs 00/100)]]*1.16</f>
        <v>2320</v>
      </c>
    </row>
    <row r="439" spans="1:26" ht="42.75" customHeight="1" x14ac:dyDescent="0.3">
      <c r="A439" s="373" t="s">
        <v>22</v>
      </c>
      <c r="B439" s="184" t="s">
        <v>305</v>
      </c>
      <c r="C439" s="183" t="s">
        <v>16</v>
      </c>
      <c r="D439" s="179"/>
      <c r="E439" s="386" t="s">
        <v>503</v>
      </c>
      <c r="F439" s="373" t="s">
        <v>75</v>
      </c>
      <c r="G439" s="370" t="s">
        <v>435</v>
      </c>
      <c r="H439" s="387" t="s">
        <v>436</v>
      </c>
      <c r="I439" s="395" t="s">
        <v>839</v>
      </c>
      <c r="J439" s="712">
        <v>44987</v>
      </c>
      <c r="K439" s="747">
        <v>0.375</v>
      </c>
      <c r="L439" s="712">
        <v>44987</v>
      </c>
      <c r="M439" s="739">
        <v>0.54166666666666663</v>
      </c>
      <c r="N439" s="179">
        <v>4</v>
      </c>
      <c r="O439" s="184" t="s">
        <v>17</v>
      </c>
      <c r="P439" s="185" t="s">
        <v>838</v>
      </c>
      <c r="Q439" s="746" t="s">
        <v>258</v>
      </c>
      <c r="R439" s="171" t="s">
        <v>81</v>
      </c>
      <c r="S439" s="31" t="s">
        <v>273</v>
      </c>
      <c r="T439" s="31" t="s">
        <v>273</v>
      </c>
      <c r="U439" s="31">
        <f>IFERROR(VLOOKUP(CONCATENATE(Tabla1[[#This Row],[Severidad]]," ",Tabla1[[#This Row],[Complejidad]]),Catalogos!E$120:G$128,3,FALSE),"")</f>
        <v>64</v>
      </c>
      <c r="V439" s="31" t="str">
        <f>IF(Tabla1[[#This Row],[Tiempo solución max (hrs)]]&lt;&gt;"",IF(Tabla1[[#This Row],[Tiempo solución max (hrs)]]&gt;=Tabla1[[#This Row],[Tiempo
(Hrs 00/100)]],"cumple","no cumple"),"")</f>
        <v>cumple</v>
      </c>
      <c r="W439" s="376" t="s">
        <v>681</v>
      </c>
      <c r="X439" s="377" t="str">
        <f t="shared" si="62"/>
        <v>SAW</v>
      </c>
      <c r="Y439" t="str">
        <f>SUBSTITUTE(Tabla1[[#This Row],[Descripción]],CHAR(10),"    I    ")</f>
        <v xml:space="preserve">Avance de proyectos  </v>
      </c>
      <c r="Z439" s="378">
        <f>VLOOKUP(Tabla1[[#This Row],[Perfil]],Catalogos!$B$75:$D$100,3,FALSE)*Tabla1[[#This Row],[Tiempo
(Hrs 00/100)]]*1.16</f>
        <v>2320</v>
      </c>
    </row>
    <row r="440" spans="1:26" ht="42.75" customHeight="1" x14ac:dyDescent="0.3">
      <c r="A440" s="373" t="s">
        <v>22</v>
      </c>
      <c r="B440" s="184" t="s">
        <v>305</v>
      </c>
      <c r="C440" s="183" t="s">
        <v>16</v>
      </c>
      <c r="D440" s="179"/>
      <c r="E440" s="386" t="s">
        <v>503</v>
      </c>
      <c r="F440" s="373" t="s">
        <v>75</v>
      </c>
      <c r="G440" s="370" t="s">
        <v>435</v>
      </c>
      <c r="H440" s="387" t="s">
        <v>436</v>
      </c>
      <c r="I440" s="395" t="s">
        <v>840</v>
      </c>
      <c r="J440" s="712">
        <v>44987</v>
      </c>
      <c r="K440" s="739">
        <v>0.54166666666666663</v>
      </c>
      <c r="L440" s="712">
        <v>44987</v>
      </c>
      <c r="M440" s="753">
        <v>0.79166666666666663</v>
      </c>
      <c r="N440" s="179">
        <v>4</v>
      </c>
      <c r="O440" s="184" t="s">
        <v>17</v>
      </c>
      <c r="P440" s="389" t="s">
        <v>841</v>
      </c>
      <c r="Q440" s="746" t="s">
        <v>258</v>
      </c>
      <c r="R440" s="171" t="s">
        <v>81</v>
      </c>
      <c r="S440" s="31" t="s">
        <v>273</v>
      </c>
      <c r="T440" s="31" t="s">
        <v>273</v>
      </c>
      <c r="U440" s="31">
        <f>IFERROR(VLOOKUP(CONCATENATE(Tabla1[[#This Row],[Severidad]]," ",Tabla1[[#This Row],[Complejidad]]),Catalogos!E$120:G$128,3,FALSE),"")</f>
        <v>64</v>
      </c>
      <c r="V440" s="31" t="str">
        <f>IF(Tabla1[[#This Row],[Tiempo solución max (hrs)]]&lt;&gt;"",IF(Tabla1[[#This Row],[Tiempo solución max (hrs)]]&gt;=Tabla1[[#This Row],[Tiempo
(Hrs 00/100)]],"cumple","no cumple"),"")</f>
        <v>cumple</v>
      </c>
      <c r="W440" s="376" t="s">
        <v>681</v>
      </c>
      <c r="X440" s="377" t="str">
        <f t="shared" si="62"/>
        <v>SAW</v>
      </c>
      <c r="Y440" t="str">
        <f>SUBSTITUTE(Tabla1[[#This Row],[Descripción]],CHAR(10),"    I    ")</f>
        <v xml:space="preserve">Pruebas CEVINAI </v>
      </c>
      <c r="Z440" s="378">
        <f>VLOOKUP(Tabla1[[#This Row],[Perfil]],Catalogos!$B$75:$D$100,3,FALSE)*Tabla1[[#This Row],[Tiempo
(Hrs 00/100)]]*1.16</f>
        <v>2320</v>
      </c>
    </row>
    <row r="441" spans="1:26" ht="42.75" customHeight="1" x14ac:dyDescent="0.3">
      <c r="A441" s="373" t="s">
        <v>22</v>
      </c>
      <c r="B441" s="184" t="s">
        <v>305</v>
      </c>
      <c r="C441" s="183" t="s">
        <v>16</v>
      </c>
      <c r="D441" s="179"/>
      <c r="E441" s="386" t="s">
        <v>503</v>
      </c>
      <c r="F441" s="373" t="s">
        <v>75</v>
      </c>
      <c r="G441" s="370" t="s">
        <v>435</v>
      </c>
      <c r="H441" s="387" t="s">
        <v>436</v>
      </c>
      <c r="I441" s="395" t="s">
        <v>842</v>
      </c>
      <c r="J441" s="712">
        <v>44988</v>
      </c>
      <c r="K441" s="709">
        <v>0.375</v>
      </c>
      <c r="L441" s="712">
        <v>44988</v>
      </c>
      <c r="M441" s="739">
        <v>0.45833333333333331</v>
      </c>
      <c r="N441" s="179">
        <v>2</v>
      </c>
      <c r="O441" s="184" t="s">
        <v>17</v>
      </c>
      <c r="P441" s="389" t="s">
        <v>843</v>
      </c>
      <c r="Q441" s="746" t="s">
        <v>258</v>
      </c>
      <c r="R441" s="171" t="s">
        <v>81</v>
      </c>
      <c r="S441" s="31" t="s">
        <v>273</v>
      </c>
      <c r="T441" s="31" t="s">
        <v>273</v>
      </c>
      <c r="U441" s="31">
        <f>IFERROR(VLOOKUP(CONCATENATE(Tabla1[[#This Row],[Severidad]]," ",Tabla1[[#This Row],[Complejidad]]),Catalogos!E$120:G$128,3,FALSE),"")</f>
        <v>64</v>
      </c>
      <c r="V441" s="31" t="str">
        <f>IF(Tabla1[[#This Row],[Tiempo solución max (hrs)]]&lt;&gt;"",IF(Tabla1[[#This Row],[Tiempo solución max (hrs)]]&gt;=Tabla1[[#This Row],[Tiempo
(Hrs 00/100)]],"cumple","no cumple"),"")</f>
        <v>cumple</v>
      </c>
      <c r="W441" s="376" t="s">
        <v>681</v>
      </c>
      <c r="X441" s="377" t="str">
        <f t="shared" si="62"/>
        <v>SAW</v>
      </c>
      <c r="Y441" t="str">
        <f>SUBSTITUTE(Tabla1[[#This Row],[Descripción]],CHAR(10),"    I    ")</f>
        <v xml:space="preserve">Rediseño de URL </v>
      </c>
      <c r="Z441" s="378">
        <f>VLOOKUP(Tabla1[[#This Row],[Perfil]],Catalogos!$B$75:$D$100,3,FALSE)*Tabla1[[#This Row],[Tiempo
(Hrs 00/100)]]*1.16</f>
        <v>1160</v>
      </c>
    </row>
    <row r="442" spans="1:26" ht="42.75" customHeight="1" x14ac:dyDescent="0.3">
      <c r="A442" s="373" t="s">
        <v>22</v>
      </c>
      <c r="B442" s="184" t="s">
        <v>305</v>
      </c>
      <c r="C442" s="183" t="s">
        <v>16</v>
      </c>
      <c r="D442" s="179"/>
      <c r="E442" s="386" t="s">
        <v>503</v>
      </c>
      <c r="F442" s="373" t="s">
        <v>75</v>
      </c>
      <c r="G442" s="370" t="s">
        <v>435</v>
      </c>
      <c r="H442" s="387" t="s">
        <v>436</v>
      </c>
      <c r="I442" s="395" t="s">
        <v>844</v>
      </c>
      <c r="J442" s="712">
        <v>44988</v>
      </c>
      <c r="K442" s="709">
        <v>0.45833333333333331</v>
      </c>
      <c r="L442" s="712">
        <v>44988</v>
      </c>
      <c r="M442" s="739">
        <v>0.5</v>
      </c>
      <c r="N442" s="179">
        <v>1</v>
      </c>
      <c r="O442" s="184" t="s">
        <v>17</v>
      </c>
      <c r="P442" s="389" t="s">
        <v>845</v>
      </c>
      <c r="Q442" s="746" t="s">
        <v>258</v>
      </c>
      <c r="R442" s="171" t="s">
        <v>81</v>
      </c>
      <c r="S442" s="31" t="s">
        <v>273</v>
      </c>
      <c r="T442" s="31" t="s">
        <v>273</v>
      </c>
      <c r="U442" s="31">
        <f>IFERROR(VLOOKUP(CONCATENATE(Tabla1[[#This Row],[Severidad]]," ",Tabla1[[#This Row],[Complejidad]]),Catalogos!E$120:G$128,3,FALSE),"")</f>
        <v>64</v>
      </c>
      <c r="V442" s="31" t="str">
        <f>IF(Tabla1[[#This Row],[Tiempo solución max (hrs)]]&lt;&gt;"",IF(Tabla1[[#This Row],[Tiempo solución max (hrs)]]&gt;=Tabla1[[#This Row],[Tiempo
(Hrs 00/100)]],"cumple","no cumple"),"")</f>
        <v>cumple</v>
      </c>
      <c r="W442" s="376" t="s">
        <v>681</v>
      </c>
      <c r="X442" s="377" t="str">
        <f t="shared" si="62"/>
        <v>SAW</v>
      </c>
      <c r="Y442" t="str">
        <f>SUBSTITUTE(Tabla1[[#This Row],[Descripción]],CHAR(10),"    I    ")</f>
        <v xml:space="preserve">Reunion semanal </v>
      </c>
      <c r="Z442" s="378">
        <f>VLOOKUP(Tabla1[[#This Row],[Perfil]],Catalogos!$B$75:$D$100,3,FALSE)*Tabla1[[#This Row],[Tiempo
(Hrs 00/100)]]*1.16</f>
        <v>580</v>
      </c>
    </row>
    <row r="443" spans="1:26" ht="42.75" customHeight="1" x14ac:dyDescent="0.3">
      <c r="A443" s="373" t="s">
        <v>22</v>
      </c>
      <c r="B443" s="184" t="s">
        <v>68</v>
      </c>
      <c r="C443" s="183" t="s">
        <v>16</v>
      </c>
      <c r="D443" s="370"/>
      <c r="E443" s="386" t="s">
        <v>503</v>
      </c>
      <c r="F443" s="373" t="s">
        <v>75</v>
      </c>
      <c r="G443" s="370" t="s">
        <v>435</v>
      </c>
      <c r="H443" s="387" t="s">
        <v>436</v>
      </c>
      <c r="I443" s="395" t="s">
        <v>846</v>
      </c>
      <c r="J443" s="712">
        <v>44988</v>
      </c>
      <c r="K443" s="709">
        <v>0.5</v>
      </c>
      <c r="L443" s="712">
        <v>44988</v>
      </c>
      <c r="M443" s="739">
        <v>0.66666666666666663</v>
      </c>
      <c r="N443" s="179">
        <v>4</v>
      </c>
      <c r="O443" s="184" t="s">
        <v>17</v>
      </c>
      <c r="P443" s="185" t="s">
        <v>847</v>
      </c>
      <c r="Q443" s="746" t="s">
        <v>258</v>
      </c>
      <c r="R443" s="171" t="s">
        <v>81</v>
      </c>
      <c r="S443" s="31" t="s">
        <v>273</v>
      </c>
      <c r="T443" s="31" t="s">
        <v>273</v>
      </c>
      <c r="U443" s="31">
        <f>IFERROR(VLOOKUP(CONCATENATE(Tabla1[[#This Row],[Severidad]]," ",Tabla1[[#This Row],[Complejidad]]),Catalogos!E$120:G$128,3,FALSE),"")</f>
        <v>64</v>
      </c>
      <c r="V443" s="31" t="str">
        <f>IF(Tabla1[[#This Row],[Tiempo solución max (hrs)]]&lt;&gt;"",IF(Tabla1[[#This Row],[Tiempo solución max (hrs)]]&gt;=Tabla1[[#This Row],[Tiempo
(Hrs 00/100)]],"cumple","no cumple"),"")</f>
        <v>cumple</v>
      </c>
      <c r="W443" s="376" t="s">
        <v>681</v>
      </c>
      <c r="X443" s="377" t="str">
        <f t="shared" si="62"/>
        <v>SAW</v>
      </c>
      <c r="Y443" t="str">
        <f>SUBSTITUTE(Tabla1[[#This Row],[Descripción]],CHAR(10),"    I    ")</f>
        <v xml:space="preserve">Concurso Historieta Infantil 2023 </v>
      </c>
      <c r="Z443" s="378">
        <f>VLOOKUP(Tabla1[[#This Row],[Perfil]],Catalogos!$B$75:$D$100,3,FALSE)*Tabla1[[#This Row],[Tiempo
(Hrs 00/100)]]*1.16</f>
        <v>2320</v>
      </c>
    </row>
    <row r="444" spans="1:26" ht="42.75" customHeight="1" x14ac:dyDescent="0.3">
      <c r="A444" s="373" t="s">
        <v>22</v>
      </c>
      <c r="B444" s="184" t="s">
        <v>68</v>
      </c>
      <c r="C444" s="183" t="s">
        <v>16</v>
      </c>
      <c r="D444" s="370"/>
      <c r="E444" s="386" t="s">
        <v>503</v>
      </c>
      <c r="F444" s="373" t="s">
        <v>75</v>
      </c>
      <c r="G444" s="370" t="s">
        <v>435</v>
      </c>
      <c r="H444" s="387" t="s">
        <v>436</v>
      </c>
      <c r="I444" s="395" t="s">
        <v>848</v>
      </c>
      <c r="J444" s="712">
        <v>44991</v>
      </c>
      <c r="K444" s="709">
        <v>0.375</v>
      </c>
      <c r="L444" s="712">
        <v>44991</v>
      </c>
      <c r="M444" s="709">
        <v>0.5</v>
      </c>
      <c r="N444" s="179">
        <v>3</v>
      </c>
      <c r="O444" s="184" t="s">
        <v>17</v>
      </c>
      <c r="P444" s="389" t="s">
        <v>841</v>
      </c>
      <c r="Q444" s="746" t="s">
        <v>258</v>
      </c>
      <c r="R444" s="171" t="s">
        <v>81</v>
      </c>
      <c r="S444" s="31" t="s">
        <v>273</v>
      </c>
      <c r="T444" s="31" t="s">
        <v>273</v>
      </c>
      <c r="U444" s="31">
        <f>IFERROR(VLOOKUP(CONCATENATE(Tabla1[[#This Row],[Severidad]]," ",Tabla1[[#This Row],[Complejidad]]),Catalogos!E$120:G$128,3,FALSE),"")</f>
        <v>64</v>
      </c>
      <c r="V444" s="31" t="str">
        <f>IF(Tabla1[[#This Row],[Tiempo solución max (hrs)]]&lt;&gt;"",IF(Tabla1[[#This Row],[Tiempo solución max (hrs)]]&gt;=Tabla1[[#This Row],[Tiempo
(Hrs 00/100)]],"cumple","no cumple"),"")</f>
        <v>cumple</v>
      </c>
      <c r="W444" s="376" t="s">
        <v>681</v>
      </c>
      <c r="X444" s="377" t="str">
        <f t="shared" si="62"/>
        <v>SAW</v>
      </c>
      <c r="Y444" t="str">
        <f>SUBSTITUTE(Tabla1[[#This Row],[Descripción]],CHAR(10),"    I    ")</f>
        <v xml:space="preserve"> Fechas de Platica Informativa </v>
      </c>
      <c r="Z444" s="378">
        <f>VLOOKUP(Tabla1[[#This Row],[Perfil]],Catalogos!$B$75:$D$100,3,FALSE)*Tabla1[[#This Row],[Tiempo
(Hrs 00/100)]]*1.16</f>
        <v>1739.9999999999998</v>
      </c>
    </row>
    <row r="445" spans="1:26" ht="42.75" customHeight="1" x14ac:dyDescent="0.3">
      <c r="A445" s="373" t="s">
        <v>22</v>
      </c>
      <c r="B445" s="184" t="s">
        <v>68</v>
      </c>
      <c r="C445" s="183" t="s">
        <v>16</v>
      </c>
      <c r="D445" s="179"/>
      <c r="E445" s="386" t="s">
        <v>503</v>
      </c>
      <c r="F445" s="373" t="s">
        <v>75</v>
      </c>
      <c r="G445" s="370" t="s">
        <v>435</v>
      </c>
      <c r="H445" s="387" t="s">
        <v>436</v>
      </c>
      <c r="I445" s="393" t="s">
        <v>849</v>
      </c>
      <c r="J445" s="712">
        <v>44991</v>
      </c>
      <c r="K445" s="709">
        <v>0.5</v>
      </c>
      <c r="L445" s="712">
        <v>44991</v>
      </c>
      <c r="M445" s="739">
        <v>0.60416666666666663</v>
      </c>
      <c r="N445" s="179">
        <v>2.5</v>
      </c>
      <c r="O445" s="184" t="s">
        <v>17</v>
      </c>
      <c r="P445" s="185" t="s">
        <v>850</v>
      </c>
      <c r="Q445" s="746" t="s">
        <v>258</v>
      </c>
      <c r="R445" s="171" t="s">
        <v>81</v>
      </c>
      <c r="S445" s="31" t="s">
        <v>273</v>
      </c>
      <c r="T445" s="31" t="s">
        <v>273</v>
      </c>
      <c r="U445" s="31">
        <f>IFERROR(VLOOKUP(CONCATENATE(Tabla1[[#This Row],[Severidad]]," ",Tabla1[[#This Row],[Complejidad]]),Catalogos!E$120:G$128,3,FALSE),"")</f>
        <v>64</v>
      </c>
      <c r="V445" s="31" t="str">
        <f>IF(Tabla1[[#This Row],[Tiempo solución max (hrs)]]&lt;&gt;"",IF(Tabla1[[#This Row],[Tiempo solución max (hrs)]]&gt;=Tabla1[[#This Row],[Tiempo
(Hrs 00/100)]],"cumple","no cumple"),"")</f>
        <v>cumple</v>
      </c>
      <c r="W445" s="376" t="s">
        <v>681</v>
      </c>
      <c r="X445" s="377" t="str">
        <f t="shared" si="62"/>
        <v>SAW</v>
      </c>
      <c r="Y445" t="str">
        <f>SUBSTITUTE(Tabla1[[#This Row],[Descripción]],CHAR(10),"    I    ")</f>
        <v xml:space="preserve">Actualizacion micrositio CC-INAI </v>
      </c>
      <c r="Z445" s="378">
        <f>VLOOKUP(Tabla1[[#This Row],[Perfil]],Catalogos!$B$75:$D$100,3,FALSE)*Tabla1[[#This Row],[Tiempo
(Hrs 00/100)]]*1.16</f>
        <v>1450</v>
      </c>
    </row>
    <row r="446" spans="1:26" ht="42.75" customHeight="1" x14ac:dyDescent="0.3">
      <c r="A446" s="373" t="s">
        <v>22</v>
      </c>
      <c r="B446" s="184" t="s">
        <v>68</v>
      </c>
      <c r="C446" s="183" t="s">
        <v>16</v>
      </c>
      <c r="D446" s="179"/>
      <c r="E446" s="386" t="s">
        <v>503</v>
      </c>
      <c r="F446" s="373" t="s">
        <v>75</v>
      </c>
      <c r="G446" s="370" t="s">
        <v>435</v>
      </c>
      <c r="H446" s="387" t="s">
        <v>436</v>
      </c>
      <c r="I446" s="394" t="s">
        <v>851</v>
      </c>
      <c r="J446" s="712">
        <v>44991</v>
      </c>
      <c r="K446" s="709">
        <v>0.66666666666666663</v>
      </c>
      <c r="L446" s="712">
        <v>44991</v>
      </c>
      <c r="M446" s="739">
        <v>0.70833333333333337</v>
      </c>
      <c r="N446" s="179">
        <v>1</v>
      </c>
      <c r="O446" s="184" t="s">
        <v>17</v>
      </c>
      <c r="P446" s="185" t="s">
        <v>852</v>
      </c>
      <c r="Q446" s="746" t="s">
        <v>258</v>
      </c>
      <c r="R446" s="171" t="s">
        <v>81</v>
      </c>
      <c r="S446" s="31" t="s">
        <v>273</v>
      </c>
      <c r="T446" s="31" t="s">
        <v>273</v>
      </c>
      <c r="U446" s="31">
        <f>IFERROR(VLOOKUP(CONCATENATE(Tabla1[[#This Row],[Severidad]]," ",Tabla1[[#This Row],[Complejidad]]),Catalogos!E$120:G$128,3,FALSE),"")</f>
        <v>64</v>
      </c>
      <c r="V446" s="31" t="str">
        <f>IF(Tabla1[[#This Row],[Tiempo solución max (hrs)]]&lt;&gt;"",IF(Tabla1[[#This Row],[Tiempo solución max (hrs)]]&gt;=Tabla1[[#This Row],[Tiempo
(Hrs 00/100)]],"cumple","no cumple"),"")</f>
        <v>cumple</v>
      </c>
      <c r="W446" s="376" t="s">
        <v>681</v>
      </c>
      <c r="X446" s="377" t="str">
        <f t="shared" si="62"/>
        <v>SAW</v>
      </c>
      <c r="Y446" t="str">
        <f>SUBSTITUTE(Tabla1[[#This Row],[Descripción]],CHAR(10),"    I    ")</f>
        <v xml:space="preserve">Minutas CEVINAI </v>
      </c>
      <c r="Z446" s="378">
        <f>VLOOKUP(Tabla1[[#This Row],[Perfil]],Catalogos!$B$75:$D$100,3,FALSE)*Tabla1[[#This Row],[Tiempo
(Hrs 00/100)]]*1.16</f>
        <v>580</v>
      </c>
    </row>
    <row r="447" spans="1:26" ht="42.75" customHeight="1" x14ac:dyDescent="0.3">
      <c r="A447" s="373" t="s">
        <v>22</v>
      </c>
      <c r="B447" s="184" t="s">
        <v>68</v>
      </c>
      <c r="C447" s="183" t="s">
        <v>16</v>
      </c>
      <c r="D447" s="179"/>
      <c r="E447" s="386" t="s">
        <v>503</v>
      </c>
      <c r="F447" s="373" t="s">
        <v>75</v>
      </c>
      <c r="G447" s="370" t="s">
        <v>435</v>
      </c>
      <c r="H447" s="387" t="s">
        <v>436</v>
      </c>
      <c r="I447" s="388" t="s">
        <v>853</v>
      </c>
      <c r="J447" s="712">
        <v>44991</v>
      </c>
      <c r="K447" s="739">
        <v>0.70833333333333337</v>
      </c>
      <c r="L447" s="712">
        <v>44991</v>
      </c>
      <c r="M447" s="739">
        <v>0.79166666666666663</v>
      </c>
      <c r="N447" s="179">
        <v>2</v>
      </c>
      <c r="O447" s="184" t="s">
        <v>17</v>
      </c>
      <c r="P447" s="185" t="s">
        <v>836</v>
      </c>
      <c r="Q447" s="746" t="s">
        <v>258</v>
      </c>
      <c r="R447" s="171" t="s">
        <v>81</v>
      </c>
      <c r="S447" s="31" t="s">
        <v>273</v>
      </c>
      <c r="T447" s="31" t="s">
        <v>273</v>
      </c>
      <c r="U447" s="31">
        <f>IFERROR(VLOOKUP(CONCATENATE(Tabla1[[#This Row],[Severidad]]," ",Tabla1[[#This Row],[Complejidad]]),Catalogos!E$120:G$128,3,FALSE),"")</f>
        <v>64</v>
      </c>
      <c r="V447" s="31" t="str">
        <f>IF(Tabla1[[#This Row],[Tiempo solución max (hrs)]]&lt;&gt;"",IF(Tabla1[[#This Row],[Tiempo solución max (hrs)]]&gt;=Tabla1[[#This Row],[Tiempo
(Hrs 00/100)]],"cumple","no cumple"),"")</f>
        <v>cumple</v>
      </c>
      <c r="W447" s="376" t="s">
        <v>681</v>
      </c>
      <c r="X447" s="377" t="str">
        <f t="shared" si="62"/>
        <v>SAW</v>
      </c>
      <c r="Y447" t="str">
        <f>SUBSTITUTE(Tabla1[[#This Row],[Descripción]],CHAR(10),"    I    ")</f>
        <v xml:space="preserve">Servicio profesional </v>
      </c>
      <c r="Z447" s="378">
        <f>VLOOKUP(Tabla1[[#This Row],[Perfil]],Catalogos!$B$75:$D$100,3,FALSE)*Tabla1[[#This Row],[Tiempo
(Hrs 00/100)]]*1.16</f>
        <v>1160</v>
      </c>
    </row>
    <row r="448" spans="1:26" ht="42.75" customHeight="1" x14ac:dyDescent="0.3">
      <c r="A448" s="373" t="s">
        <v>22</v>
      </c>
      <c r="B448" s="184" t="s">
        <v>68</v>
      </c>
      <c r="C448" s="183" t="s">
        <v>16</v>
      </c>
      <c r="D448" s="179"/>
      <c r="E448" s="386" t="s">
        <v>503</v>
      </c>
      <c r="F448" s="373" t="s">
        <v>75</v>
      </c>
      <c r="G448" s="370" t="s">
        <v>435</v>
      </c>
      <c r="H448" s="387" t="s">
        <v>436</v>
      </c>
      <c r="I448" s="395" t="s">
        <v>854</v>
      </c>
      <c r="J448" s="712">
        <v>44992</v>
      </c>
      <c r="K448" s="709">
        <v>0.375</v>
      </c>
      <c r="L448" s="712">
        <v>44992</v>
      </c>
      <c r="M448" s="739">
        <v>0.45833333333333331</v>
      </c>
      <c r="N448" s="179">
        <v>2</v>
      </c>
      <c r="O448" s="184" t="s">
        <v>17</v>
      </c>
      <c r="P448" s="389" t="s">
        <v>841</v>
      </c>
      <c r="Q448" s="746" t="s">
        <v>258</v>
      </c>
      <c r="R448" s="171" t="s">
        <v>81</v>
      </c>
      <c r="S448" s="31" t="s">
        <v>273</v>
      </c>
      <c r="T448" s="31" t="s">
        <v>273</v>
      </c>
      <c r="U448" s="31">
        <f>IFERROR(VLOOKUP(CONCATENATE(Tabla1[[#This Row],[Severidad]]," ",Tabla1[[#This Row],[Complejidad]]),Catalogos!E$120:G$128,3,FALSE),"")</f>
        <v>64</v>
      </c>
      <c r="V448" s="31" t="str">
        <f>IF(Tabla1[[#This Row],[Tiempo solución max (hrs)]]&lt;&gt;"",IF(Tabla1[[#This Row],[Tiempo solución max (hrs)]]&gt;=Tabla1[[#This Row],[Tiempo
(Hrs 00/100)]],"cumple","no cumple"),"")</f>
        <v>cumple</v>
      </c>
      <c r="W448" s="376" t="s">
        <v>681</v>
      </c>
      <c r="X448" s="377" t="str">
        <f t="shared" si="62"/>
        <v>SAW</v>
      </c>
      <c r="Y448" t="str">
        <f>SUBSTITUTE(Tabla1[[#This Row],[Descripción]],CHAR(10),"    I    ")</f>
        <v>Actualizacion solicitud de Informacion</v>
      </c>
      <c r="Z448" s="378">
        <f>VLOOKUP(Tabla1[[#This Row],[Perfil]],Catalogos!$B$75:$D$100,3,FALSE)*Tabla1[[#This Row],[Tiempo
(Hrs 00/100)]]*1.16</f>
        <v>1160</v>
      </c>
    </row>
    <row r="449" spans="1:26" ht="42.75" customHeight="1" x14ac:dyDescent="0.3">
      <c r="A449" s="373" t="s">
        <v>22</v>
      </c>
      <c r="B449" s="184" t="s">
        <v>68</v>
      </c>
      <c r="C449" s="183" t="s">
        <v>16</v>
      </c>
      <c r="D449" s="179"/>
      <c r="E449" s="386" t="s">
        <v>503</v>
      </c>
      <c r="F449" s="373" t="s">
        <v>75</v>
      </c>
      <c r="G449" s="370" t="s">
        <v>435</v>
      </c>
      <c r="H449" s="387" t="s">
        <v>436</v>
      </c>
      <c r="I449" s="395" t="s">
        <v>855</v>
      </c>
      <c r="J449" s="712">
        <v>44992</v>
      </c>
      <c r="K449" s="739">
        <v>0.45833333333333331</v>
      </c>
      <c r="L449" s="712">
        <v>44992</v>
      </c>
      <c r="M449" s="739">
        <v>0.58333333333333337</v>
      </c>
      <c r="N449" s="179">
        <v>3</v>
      </c>
      <c r="O449" s="184" t="s">
        <v>17</v>
      </c>
      <c r="P449" s="389" t="s">
        <v>856</v>
      </c>
      <c r="Q449" s="746" t="s">
        <v>258</v>
      </c>
      <c r="R449" s="171" t="s">
        <v>81</v>
      </c>
      <c r="S449" s="31" t="s">
        <v>273</v>
      </c>
      <c r="T449" s="31" t="s">
        <v>273</v>
      </c>
      <c r="U449" s="31">
        <f>IFERROR(VLOOKUP(CONCATENATE(Tabla1[[#This Row],[Severidad]]," ",Tabla1[[#This Row],[Complejidad]]),Catalogos!E$120:G$128,3,FALSE),"")</f>
        <v>64</v>
      </c>
      <c r="V449" s="31" t="str">
        <f>IF(Tabla1[[#This Row],[Tiempo solución max (hrs)]]&lt;&gt;"",IF(Tabla1[[#This Row],[Tiempo solución max (hrs)]]&gt;=Tabla1[[#This Row],[Tiempo
(Hrs 00/100)]],"cumple","no cumple"),"")</f>
        <v>cumple</v>
      </c>
      <c r="W449" s="376" t="s">
        <v>681</v>
      </c>
      <c r="X449" s="377" t="str">
        <f t="shared" si="62"/>
        <v>SAW</v>
      </c>
      <c r="Y449" t="str">
        <f>SUBSTITUTE(Tabla1[[#This Row],[Descripción]],CHAR(10),"    I    ")</f>
        <v xml:space="preserve">Validacion pagina web Registro de eventos </v>
      </c>
      <c r="Z449" s="378">
        <f>VLOOKUP(Tabla1[[#This Row],[Perfil]],Catalogos!$B$75:$D$100,3,FALSE)*Tabla1[[#This Row],[Tiempo
(Hrs 00/100)]]*1.16</f>
        <v>1739.9999999999998</v>
      </c>
    </row>
    <row r="450" spans="1:26" ht="42.75" customHeight="1" x14ac:dyDescent="0.3">
      <c r="A450" s="373" t="s">
        <v>22</v>
      </c>
      <c r="B450" s="184" t="s">
        <v>68</v>
      </c>
      <c r="C450" s="183" t="s">
        <v>16</v>
      </c>
      <c r="D450" s="179"/>
      <c r="E450" s="386" t="s">
        <v>503</v>
      </c>
      <c r="F450" s="373" t="s">
        <v>75</v>
      </c>
      <c r="G450" s="370" t="s">
        <v>435</v>
      </c>
      <c r="H450" s="387" t="s">
        <v>436</v>
      </c>
      <c r="I450" s="393" t="s">
        <v>857</v>
      </c>
      <c r="J450" s="712">
        <v>44992</v>
      </c>
      <c r="K450" s="739">
        <v>0.58333333333333337</v>
      </c>
      <c r="L450" s="712">
        <v>44992</v>
      </c>
      <c r="M450" s="739">
        <v>0.75</v>
      </c>
      <c r="N450" s="179">
        <v>2.5</v>
      </c>
      <c r="O450" s="184" t="s">
        <v>17</v>
      </c>
      <c r="P450" s="185" t="s">
        <v>858</v>
      </c>
      <c r="Q450" s="746" t="s">
        <v>258</v>
      </c>
      <c r="R450" s="171" t="s">
        <v>81</v>
      </c>
      <c r="S450" s="31" t="s">
        <v>273</v>
      </c>
      <c r="T450" s="31" t="s">
        <v>273</v>
      </c>
      <c r="U450" s="31">
        <f>IFERROR(VLOOKUP(CONCATENATE(Tabla1[[#This Row],[Severidad]]," ",Tabla1[[#This Row],[Complejidad]]),Catalogos!E$120:G$128,3,FALSE),"")</f>
        <v>64</v>
      </c>
      <c r="V450" s="31" t="str">
        <f>IF(Tabla1[[#This Row],[Tiempo solución max (hrs)]]&lt;&gt;"",IF(Tabla1[[#This Row],[Tiempo solución max (hrs)]]&gt;=Tabla1[[#This Row],[Tiempo
(Hrs 00/100)]],"cumple","no cumple"),"")</f>
        <v>cumple</v>
      </c>
      <c r="W450" s="376" t="s">
        <v>681</v>
      </c>
      <c r="X450" s="377" t="str">
        <f t="shared" si="62"/>
        <v>SAW</v>
      </c>
      <c r="Y450" t="str">
        <f>SUBSTITUTE(Tabla1[[#This Row],[Descripción]],CHAR(10),"    I    ")</f>
        <v xml:space="preserve">Micrositio de Promocion y Vinculacion con la sociedad </v>
      </c>
      <c r="Z450" s="378">
        <f>VLOOKUP(Tabla1[[#This Row],[Perfil]],Catalogos!$B$75:$D$100,3,FALSE)*Tabla1[[#This Row],[Tiempo
(Hrs 00/100)]]*1.16</f>
        <v>1450</v>
      </c>
    </row>
    <row r="451" spans="1:26" ht="42.75" customHeight="1" x14ac:dyDescent="0.3">
      <c r="A451" s="373" t="s">
        <v>22</v>
      </c>
      <c r="B451" s="184" t="s">
        <v>68</v>
      </c>
      <c r="C451" s="183" t="s">
        <v>16</v>
      </c>
      <c r="D451" s="179"/>
      <c r="E451" s="386" t="s">
        <v>503</v>
      </c>
      <c r="F451" s="373" t="s">
        <v>75</v>
      </c>
      <c r="G451" s="370" t="s">
        <v>435</v>
      </c>
      <c r="H451" s="387" t="s">
        <v>436</v>
      </c>
      <c r="I451" s="393" t="s">
        <v>859</v>
      </c>
      <c r="J451" s="712">
        <v>44992</v>
      </c>
      <c r="K451" s="739">
        <v>0.75</v>
      </c>
      <c r="L451" s="712">
        <v>44992</v>
      </c>
      <c r="M451" s="739">
        <v>0.79166666666666663</v>
      </c>
      <c r="N451" s="179">
        <v>1</v>
      </c>
      <c r="O451" s="184" t="s">
        <v>17</v>
      </c>
      <c r="P451" s="389" t="s">
        <v>841</v>
      </c>
      <c r="Q451" s="746" t="s">
        <v>258</v>
      </c>
      <c r="R451" s="171" t="s">
        <v>81</v>
      </c>
      <c r="S451" s="31" t="s">
        <v>273</v>
      </c>
      <c r="T451" s="31" t="s">
        <v>273</v>
      </c>
      <c r="U451" s="31">
        <f>IFERROR(VLOOKUP(CONCATENATE(Tabla1[[#This Row],[Severidad]]," ",Tabla1[[#This Row],[Complejidad]]),Catalogos!E$120:G$128,3,FALSE),"")</f>
        <v>64</v>
      </c>
      <c r="V451" s="31" t="str">
        <f>IF(Tabla1[[#This Row],[Tiempo solución max (hrs)]]&lt;&gt;"",IF(Tabla1[[#This Row],[Tiempo solución max (hrs)]]&gt;=Tabla1[[#This Row],[Tiempo
(Hrs 00/100)]],"cumple","no cumple"),"")</f>
        <v>cumple</v>
      </c>
      <c r="W451" s="376" t="s">
        <v>681</v>
      </c>
      <c r="X451" s="377" t="str">
        <f t="shared" si="62"/>
        <v>SAW</v>
      </c>
      <c r="Y451" t="str">
        <f>SUBSTITUTE(Tabla1[[#This Row],[Descripción]],CHAR(10),"    I    ")</f>
        <v xml:space="preserve">Reunion CEVINAI </v>
      </c>
      <c r="Z451" s="378">
        <f>VLOOKUP(Tabla1[[#This Row],[Perfil]],Catalogos!$B$75:$D$100,3,FALSE)*Tabla1[[#This Row],[Tiempo
(Hrs 00/100)]]*1.16</f>
        <v>580</v>
      </c>
    </row>
    <row r="452" spans="1:26" ht="42.75" customHeight="1" x14ac:dyDescent="0.3">
      <c r="A452" s="373" t="s">
        <v>22</v>
      </c>
      <c r="B452" s="184" t="s">
        <v>68</v>
      </c>
      <c r="C452" s="183" t="s">
        <v>16</v>
      </c>
      <c r="D452" s="179"/>
      <c r="E452" s="386" t="s">
        <v>503</v>
      </c>
      <c r="F452" s="373" t="s">
        <v>75</v>
      </c>
      <c r="G452" s="370" t="s">
        <v>435</v>
      </c>
      <c r="H452" s="387" t="s">
        <v>436</v>
      </c>
      <c r="I452" s="388" t="s">
        <v>860</v>
      </c>
      <c r="J452" s="712">
        <v>44993</v>
      </c>
      <c r="K452" s="709">
        <v>0.375</v>
      </c>
      <c r="L452" s="712">
        <v>44993</v>
      </c>
      <c r="M452" s="739">
        <v>0.52083333333333337</v>
      </c>
      <c r="N452" s="179">
        <v>3.5</v>
      </c>
      <c r="O452" s="184" t="s">
        <v>17</v>
      </c>
      <c r="P452" s="389" t="s">
        <v>861</v>
      </c>
      <c r="Q452" s="746" t="s">
        <v>258</v>
      </c>
      <c r="R452" s="171" t="s">
        <v>81</v>
      </c>
      <c r="S452" s="31" t="s">
        <v>273</v>
      </c>
      <c r="T452" s="31" t="s">
        <v>273</v>
      </c>
      <c r="U452" s="31">
        <f>IFERROR(VLOOKUP(CONCATENATE(Tabla1[[#This Row],[Severidad]]," ",Tabla1[[#This Row],[Complejidad]]),Catalogos!E$120:G$128,3,FALSE),"")</f>
        <v>64</v>
      </c>
      <c r="V452" s="31" t="str">
        <f>IF(Tabla1[[#This Row],[Tiempo solución max (hrs)]]&lt;&gt;"",IF(Tabla1[[#This Row],[Tiempo solución max (hrs)]]&gt;=Tabla1[[#This Row],[Tiempo
(Hrs 00/100)]],"cumple","no cumple"),"")</f>
        <v>cumple</v>
      </c>
      <c r="W452" s="376" t="s">
        <v>681</v>
      </c>
      <c r="X452" s="377" t="str">
        <f t="shared" si="62"/>
        <v>SAW</v>
      </c>
      <c r="Y452" t="str">
        <f>SUBSTITUTE(Tabla1[[#This Row],[Descripción]],CHAR(10),"    I    ")</f>
        <v xml:space="preserve">Actualizacion micrositio Pleno infantil 2023 </v>
      </c>
      <c r="Z452" s="378">
        <f>VLOOKUP(Tabla1[[#This Row],[Perfil]],Catalogos!$B$75:$D$100,3,FALSE)*Tabla1[[#This Row],[Tiempo
(Hrs 00/100)]]*1.16</f>
        <v>2029.9999999999998</v>
      </c>
    </row>
    <row r="453" spans="1:26" ht="42.75" customHeight="1" x14ac:dyDescent="0.3">
      <c r="A453" s="373" t="s">
        <v>22</v>
      </c>
      <c r="B453" s="184" t="s">
        <v>68</v>
      </c>
      <c r="C453" s="183" t="s">
        <v>16</v>
      </c>
      <c r="D453" s="179"/>
      <c r="E453" s="386" t="s">
        <v>503</v>
      </c>
      <c r="F453" s="373" t="s">
        <v>75</v>
      </c>
      <c r="G453" s="370" t="s">
        <v>435</v>
      </c>
      <c r="H453" s="387" t="s">
        <v>436</v>
      </c>
      <c r="I453" s="393" t="s">
        <v>862</v>
      </c>
      <c r="J453" s="712">
        <v>44993</v>
      </c>
      <c r="K453" s="739">
        <v>0.52083333333333337</v>
      </c>
      <c r="L453" s="712">
        <v>44993</v>
      </c>
      <c r="M453" s="739">
        <v>0.70833333333333337</v>
      </c>
      <c r="N453" s="179">
        <v>3</v>
      </c>
      <c r="O453" s="184" t="s">
        <v>17</v>
      </c>
      <c r="P453" s="389" t="s">
        <v>841</v>
      </c>
      <c r="Q453" s="746" t="s">
        <v>258</v>
      </c>
      <c r="R453" s="171" t="s">
        <v>81</v>
      </c>
      <c r="S453" s="31" t="s">
        <v>273</v>
      </c>
      <c r="T453" s="31" t="s">
        <v>273</v>
      </c>
      <c r="U453" s="31">
        <f>IFERROR(VLOOKUP(CONCATENATE(Tabla1[[#This Row],[Severidad]]," ",Tabla1[[#This Row],[Complejidad]]),Catalogos!E$120:G$128,3,FALSE),"")</f>
        <v>64</v>
      </c>
      <c r="V453" s="31" t="str">
        <f>IF(Tabla1[[#This Row],[Tiempo solución max (hrs)]]&lt;&gt;"",IF(Tabla1[[#This Row],[Tiempo solución max (hrs)]]&gt;=Tabla1[[#This Row],[Tiempo
(Hrs 00/100)]],"cumple","no cumple"),"")</f>
        <v>cumple</v>
      </c>
      <c r="W453" s="376" t="s">
        <v>681</v>
      </c>
      <c r="X453" s="377" t="str">
        <f t="shared" si="62"/>
        <v>SAW</v>
      </c>
      <c r="Y453" t="str">
        <f>SUBSTITUTE(Tabla1[[#This Row],[Descripción]],CHAR(10),"    I    ")</f>
        <v xml:space="preserve">Actualizacion micrositio Planeacion </v>
      </c>
      <c r="Z453" s="378">
        <f>VLOOKUP(Tabla1[[#This Row],[Perfil]],Catalogos!$B$75:$D$100,3,FALSE)*Tabla1[[#This Row],[Tiempo
(Hrs 00/100)]]*1.16</f>
        <v>1739.9999999999998</v>
      </c>
    </row>
    <row r="454" spans="1:26" ht="42.75" customHeight="1" x14ac:dyDescent="0.3">
      <c r="A454" s="373" t="s">
        <v>22</v>
      </c>
      <c r="B454" s="184" t="s">
        <v>68</v>
      </c>
      <c r="C454" s="183" t="s">
        <v>16</v>
      </c>
      <c r="D454" s="370"/>
      <c r="E454" s="386" t="s">
        <v>503</v>
      </c>
      <c r="F454" s="373" t="s">
        <v>75</v>
      </c>
      <c r="G454" s="370" t="s">
        <v>435</v>
      </c>
      <c r="H454" s="387" t="s">
        <v>436</v>
      </c>
      <c r="I454" s="393" t="s">
        <v>863</v>
      </c>
      <c r="J454" s="712">
        <v>44993</v>
      </c>
      <c r="K454" s="739">
        <v>0.70833333333333337</v>
      </c>
      <c r="L454" s="712">
        <v>44993</v>
      </c>
      <c r="M454" s="739">
        <v>0.79166666666666663</v>
      </c>
      <c r="N454" s="179">
        <v>2</v>
      </c>
      <c r="O454" s="184" t="s">
        <v>17</v>
      </c>
      <c r="P454" s="389" t="s">
        <v>864</v>
      </c>
      <c r="Q454" s="746" t="s">
        <v>258</v>
      </c>
      <c r="R454" s="171" t="s">
        <v>81</v>
      </c>
      <c r="S454" s="31" t="s">
        <v>273</v>
      </c>
      <c r="T454" s="31" t="s">
        <v>273</v>
      </c>
      <c r="U454" s="31">
        <f>IFERROR(VLOOKUP(CONCATENATE(Tabla1[[#This Row],[Severidad]]," ",Tabla1[[#This Row],[Complejidad]]),Catalogos!E$120:G$128,3,FALSE),"")</f>
        <v>64</v>
      </c>
      <c r="V454" s="31" t="str">
        <f>IF(Tabla1[[#This Row],[Tiempo solución max (hrs)]]&lt;&gt;"",IF(Tabla1[[#This Row],[Tiempo solución max (hrs)]]&gt;=Tabla1[[#This Row],[Tiempo
(Hrs 00/100)]],"cumple","no cumple"),"")</f>
        <v>cumple</v>
      </c>
      <c r="W454" s="376" t="s">
        <v>681</v>
      </c>
      <c r="X454" s="377" t="str">
        <f t="shared" si="62"/>
        <v>SAW</v>
      </c>
      <c r="Y454" t="str">
        <f>SUBSTITUTE(Tabla1[[#This Row],[Descripción]],CHAR(10),"    I    ")</f>
        <v xml:space="preserve">pruebas concurso nacional de cuento juvenil 2023 </v>
      </c>
      <c r="Z454" s="378">
        <f>VLOOKUP(Tabla1[[#This Row],[Perfil]],Catalogos!$B$75:$D$100,3,FALSE)*Tabla1[[#This Row],[Tiempo
(Hrs 00/100)]]*1.16</f>
        <v>1160</v>
      </c>
    </row>
    <row r="455" spans="1:26" ht="42.75" customHeight="1" x14ac:dyDescent="0.3">
      <c r="A455" s="373" t="s">
        <v>22</v>
      </c>
      <c r="B455" s="184" t="s">
        <v>68</v>
      </c>
      <c r="C455" s="183" t="s">
        <v>16</v>
      </c>
      <c r="D455" s="370"/>
      <c r="E455" s="386" t="s">
        <v>503</v>
      </c>
      <c r="F455" s="373" t="s">
        <v>75</v>
      </c>
      <c r="G455" s="370" t="s">
        <v>435</v>
      </c>
      <c r="H455" s="387" t="s">
        <v>436</v>
      </c>
      <c r="I455" s="395" t="s">
        <v>855</v>
      </c>
      <c r="J455" s="712">
        <v>44994</v>
      </c>
      <c r="K455" s="709">
        <v>0.375</v>
      </c>
      <c r="L455" s="712">
        <v>44994</v>
      </c>
      <c r="M455" s="739">
        <v>0.45833333333333331</v>
      </c>
      <c r="N455" s="179">
        <v>2</v>
      </c>
      <c r="O455" s="184" t="s">
        <v>17</v>
      </c>
      <c r="P455" s="389" t="s">
        <v>856</v>
      </c>
      <c r="Q455" s="746" t="s">
        <v>258</v>
      </c>
      <c r="R455" s="171" t="s">
        <v>81</v>
      </c>
      <c r="S455" s="31" t="s">
        <v>273</v>
      </c>
      <c r="T455" s="31" t="s">
        <v>273</v>
      </c>
      <c r="U455" s="31">
        <f>IFERROR(VLOOKUP(CONCATENATE(Tabla1[[#This Row],[Severidad]]," ",Tabla1[[#This Row],[Complejidad]]),Catalogos!E$120:G$128,3,FALSE),"")</f>
        <v>64</v>
      </c>
      <c r="V455" s="31" t="str">
        <f>IF(Tabla1[[#This Row],[Tiempo solución max (hrs)]]&lt;&gt;"",IF(Tabla1[[#This Row],[Tiempo solución max (hrs)]]&gt;=Tabla1[[#This Row],[Tiempo
(Hrs 00/100)]],"cumple","no cumple"),"")</f>
        <v>cumple</v>
      </c>
      <c r="W455" s="376" t="s">
        <v>681</v>
      </c>
      <c r="X455" s="377" t="str">
        <f t="shared" si="62"/>
        <v>SAW</v>
      </c>
      <c r="Y455" t="str">
        <f>SUBSTITUTE(Tabla1[[#This Row],[Descripción]],CHAR(10),"    I    ")</f>
        <v xml:space="preserve">Validacion pagina web Registro de eventos </v>
      </c>
      <c r="Z455" s="378">
        <f>VLOOKUP(Tabla1[[#This Row],[Perfil]],Catalogos!$B$75:$D$100,3,FALSE)*Tabla1[[#This Row],[Tiempo
(Hrs 00/100)]]*1.16</f>
        <v>1160</v>
      </c>
    </row>
    <row r="456" spans="1:26" ht="42.75" customHeight="1" x14ac:dyDescent="0.3">
      <c r="A456" s="373" t="s">
        <v>22</v>
      </c>
      <c r="B456" s="184" t="s">
        <v>68</v>
      </c>
      <c r="C456" s="183" t="s">
        <v>16</v>
      </c>
      <c r="D456" s="179"/>
      <c r="E456" s="386" t="s">
        <v>503</v>
      </c>
      <c r="F456" s="373" t="s">
        <v>75</v>
      </c>
      <c r="G456" s="370" t="s">
        <v>435</v>
      </c>
      <c r="H456" s="387" t="s">
        <v>436</v>
      </c>
      <c r="I456" s="393" t="s">
        <v>865</v>
      </c>
      <c r="J456" s="712">
        <v>44994</v>
      </c>
      <c r="K456" s="739">
        <v>0.45833333333333331</v>
      </c>
      <c r="L456" s="712">
        <v>44994</v>
      </c>
      <c r="M456" s="739">
        <v>0.5625</v>
      </c>
      <c r="N456" s="179">
        <v>2.5</v>
      </c>
      <c r="O456" s="184" t="s">
        <v>17</v>
      </c>
      <c r="P456" s="389" t="s">
        <v>856</v>
      </c>
      <c r="Q456" s="746" t="s">
        <v>258</v>
      </c>
      <c r="R456" s="171" t="s">
        <v>81</v>
      </c>
      <c r="S456" s="31" t="s">
        <v>273</v>
      </c>
      <c r="T456" s="31" t="s">
        <v>273</v>
      </c>
      <c r="U456" s="31">
        <f>IFERROR(VLOOKUP(CONCATENATE(Tabla1[[#This Row],[Severidad]]," ",Tabla1[[#This Row],[Complejidad]]),Catalogos!E$120:G$128,3,FALSE),"")</f>
        <v>64</v>
      </c>
      <c r="V456" s="31" t="str">
        <f>IF(Tabla1[[#This Row],[Tiempo solución max (hrs)]]&lt;&gt;"",IF(Tabla1[[#This Row],[Tiempo solución max (hrs)]]&gt;=Tabla1[[#This Row],[Tiempo
(Hrs 00/100)]],"cumple","no cumple"),"")</f>
        <v>cumple</v>
      </c>
      <c r="W456" s="376" t="s">
        <v>681</v>
      </c>
      <c r="X456" s="377" t="str">
        <f t="shared" si="62"/>
        <v>SAW</v>
      </c>
      <c r="Y456" t="str">
        <f>SUBSTITUTE(Tabla1[[#This Row],[Descripción]],CHAR(10),"    I    ")</f>
        <v>Actualizacion elementos graficos</v>
      </c>
      <c r="Z456" s="378">
        <f>VLOOKUP(Tabla1[[#This Row],[Perfil]],Catalogos!$B$75:$D$100,3,FALSE)*Tabla1[[#This Row],[Tiempo
(Hrs 00/100)]]*1.16</f>
        <v>1450</v>
      </c>
    </row>
    <row r="457" spans="1:26" ht="42.75" customHeight="1" x14ac:dyDescent="0.3">
      <c r="A457" s="373" t="s">
        <v>22</v>
      </c>
      <c r="B457" s="184" t="s">
        <v>68</v>
      </c>
      <c r="C457" s="183" t="s">
        <v>16</v>
      </c>
      <c r="D457" s="179"/>
      <c r="E457" s="386" t="s">
        <v>503</v>
      </c>
      <c r="F457" s="373" t="s">
        <v>75</v>
      </c>
      <c r="G457" s="370" t="s">
        <v>435</v>
      </c>
      <c r="H457" s="387" t="s">
        <v>436</v>
      </c>
      <c r="I457" s="395" t="s">
        <v>866</v>
      </c>
      <c r="J457" s="712">
        <v>44994</v>
      </c>
      <c r="K457" s="739">
        <v>0.5625</v>
      </c>
      <c r="L457" s="712">
        <v>44994</v>
      </c>
      <c r="M457" s="739">
        <v>0.79166666666666663</v>
      </c>
      <c r="N457" s="179">
        <v>4</v>
      </c>
      <c r="O457" s="184" t="s">
        <v>17</v>
      </c>
      <c r="P457" s="185" t="s">
        <v>838</v>
      </c>
      <c r="Q457" s="746" t="s">
        <v>258</v>
      </c>
      <c r="R457" s="171" t="s">
        <v>81</v>
      </c>
      <c r="S457" s="31" t="s">
        <v>273</v>
      </c>
      <c r="T457" s="31" t="s">
        <v>273</v>
      </c>
      <c r="U457" s="31">
        <f>IFERROR(VLOOKUP(CONCATENATE(Tabla1[[#This Row],[Severidad]]," ",Tabla1[[#This Row],[Complejidad]]),Catalogos!E$120:G$128,3,FALSE),"")</f>
        <v>64</v>
      </c>
      <c r="V457" s="31" t="str">
        <f>IF(Tabla1[[#This Row],[Tiempo solución max (hrs)]]&lt;&gt;"",IF(Tabla1[[#This Row],[Tiempo solución max (hrs)]]&gt;=Tabla1[[#This Row],[Tiempo
(Hrs 00/100)]],"cumple","no cumple"),"")</f>
        <v>cumple</v>
      </c>
      <c r="W457" s="376" t="s">
        <v>681</v>
      </c>
      <c r="X457" s="377" t="str">
        <f t="shared" si="62"/>
        <v>SAW</v>
      </c>
      <c r="Y457" t="str">
        <f>SUBSTITUTE(Tabla1[[#This Row],[Descripción]],CHAR(10),"    I    ")</f>
        <v xml:space="preserve">Actualizacion de avance de proyectos </v>
      </c>
      <c r="Z457" s="378">
        <f>VLOOKUP(Tabla1[[#This Row],[Perfil]],Catalogos!$B$75:$D$100,3,FALSE)*Tabla1[[#This Row],[Tiempo
(Hrs 00/100)]]*1.16</f>
        <v>2320</v>
      </c>
    </row>
    <row r="458" spans="1:26" ht="42.75" customHeight="1" x14ac:dyDescent="0.3">
      <c r="A458" s="373" t="s">
        <v>22</v>
      </c>
      <c r="B458" s="184" t="s">
        <v>68</v>
      </c>
      <c r="C458" s="183" t="s">
        <v>16</v>
      </c>
      <c r="D458" s="179"/>
      <c r="E458" s="386" t="s">
        <v>503</v>
      </c>
      <c r="F458" s="373" t="s">
        <v>75</v>
      </c>
      <c r="G458" s="370" t="s">
        <v>435</v>
      </c>
      <c r="H458" s="387" t="s">
        <v>436</v>
      </c>
      <c r="I458" s="393" t="s">
        <v>862</v>
      </c>
      <c r="J458" s="712">
        <v>44995</v>
      </c>
      <c r="K458" s="709">
        <v>0.375</v>
      </c>
      <c r="L458" s="712">
        <v>44995</v>
      </c>
      <c r="M458" s="739">
        <v>0.45833333333333331</v>
      </c>
      <c r="N458" s="179">
        <v>2</v>
      </c>
      <c r="O458" s="184" t="s">
        <v>17</v>
      </c>
      <c r="P458" s="389" t="s">
        <v>841</v>
      </c>
      <c r="Q458" s="746" t="s">
        <v>258</v>
      </c>
      <c r="R458" s="171" t="s">
        <v>81</v>
      </c>
      <c r="S458" s="31" t="s">
        <v>273</v>
      </c>
      <c r="T458" s="31" t="s">
        <v>273</v>
      </c>
      <c r="U458" s="31">
        <f>IFERROR(VLOOKUP(CONCATENATE(Tabla1[[#This Row],[Severidad]]," ",Tabla1[[#This Row],[Complejidad]]),Catalogos!E$120:G$128,3,FALSE),"")</f>
        <v>64</v>
      </c>
      <c r="V458" s="31" t="str">
        <f>IF(Tabla1[[#This Row],[Tiempo solución max (hrs)]]&lt;&gt;"",IF(Tabla1[[#This Row],[Tiempo solución max (hrs)]]&gt;=Tabla1[[#This Row],[Tiempo
(Hrs 00/100)]],"cumple","no cumple"),"")</f>
        <v>cumple</v>
      </c>
      <c r="W458" s="376" t="s">
        <v>681</v>
      </c>
      <c r="X458" s="377" t="str">
        <f t="shared" si="62"/>
        <v>SAW</v>
      </c>
      <c r="Y458" t="str">
        <f>SUBSTITUTE(Tabla1[[#This Row],[Descripción]],CHAR(10),"    I    ")</f>
        <v xml:space="preserve">Actualizacion micrositio Planeacion </v>
      </c>
      <c r="Z458" s="378">
        <f>VLOOKUP(Tabla1[[#This Row],[Perfil]],Catalogos!$B$75:$D$100,3,FALSE)*Tabla1[[#This Row],[Tiempo
(Hrs 00/100)]]*1.16</f>
        <v>1160</v>
      </c>
    </row>
    <row r="459" spans="1:26" ht="42.75" customHeight="1" x14ac:dyDescent="0.3">
      <c r="A459" s="373" t="s">
        <v>22</v>
      </c>
      <c r="B459" s="184" t="s">
        <v>68</v>
      </c>
      <c r="C459" s="183" t="s">
        <v>16</v>
      </c>
      <c r="D459" s="179"/>
      <c r="E459" s="386" t="s">
        <v>503</v>
      </c>
      <c r="F459" s="373" t="s">
        <v>75</v>
      </c>
      <c r="G459" s="370" t="s">
        <v>435</v>
      </c>
      <c r="H459" s="387" t="s">
        <v>436</v>
      </c>
      <c r="I459" s="395" t="s">
        <v>855</v>
      </c>
      <c r="J459" s="712">
        <v>44995</v>
      </c>
      <c r="K459" s="739">
        <v>0.45833333333333331</v>
      </c>
      <c r="L459" s="712">
        <v>44995</v>
      </c>
      <c r="M459" s="739">
        <v>0.5</v>
      </c>
      <c r="N459" s="179">
        <v>1</v>
      </c>
      <c r="O459" s="184" t="s">
        <v>17</v>
      </c>
      <c r="P459" s="389" t="s">
        <v>856</v>
      </c>
      <c r="Q459" s="746" t="s">
        <v>258</v>
      </c>
      <c r="R459" s="171" t="s">
        <v>81</v>
      </c>
      <c r="S459" s="31" t="s">
        <v>273</v>
      </c>
      <c r="T459" s="31" t="s">
        <v>273</v>
      </c>
      <c r="U459" s="31">
        <f>IFERROR(VLOOKUP(CONCATENATE(Tabla1[[#This Row],[Severidad]]," ",Tabla1[[#This Row],[Complejidad]]),Catalogos!E$120:G$128,3,FALSE),"")</f>
        <v>64</v>
      </c>
      <c r="V459" s="31" t="str">
        <f>IF(Tabla1[[#This Row],[Tiempo solución max (hrs)]]&lt;&gt;"",IF(Tabla1[[#This Row],[Tiempo solución max (hrs)]]&gt;=Tabla1[[#This Row],[Tiempo
(Hrs 00/100)]],"cumple","no cumple"),"")</f>
        <v>cumple</v>
      </c>
      <c r="W459" s="376" t="s">
        <v>681</v>
      </c>
      <c r="X459" s="377" t="str">
        <f t="shared" si="62"/>
        <v>SAW</v>
      </c>
      <c r="Y459" t="str">
        <f>SUBSTITUTE(Tabla1[[#This Row],[Descripción]],CHAR(10),"    I    ")</f>
        <v xml:space="preserve">Validacion pagina web Registro de eventos </v>
      </c>
      <c r="Z459" s="378">
        <f>VLOOKUP(Tabla1[[#This Row],[Perfil]],Catalogos!$B$75:$D$100,3,FALSE)*Tabla1[[#This Row],[Tiempo
(Hrs 00/100)]]*1.16</f>
        <v>580</v>
      </c>
    </row>
    <row r="460" spans="1:26" ht="42.75" customHeight="1" x14ac:dyDescent="0.3">
      <c r="A460" s="373" t="s">
        <v>22</v>
      </c>
      <c r="B460" s="184" t="s">
        <v>68</v>
      </c>
      <c r="C460" s="183" t="s">
        <v>16</v>
      </c>
      <c r="D460" s="179"/>
      <c r="E460" s="386" t="s">
        <v>503</v>
      </c>
      <c r="F460" s="373" t="s">
        <v>75</v>
      </c>
      <c r="G460" s="370" t="s">
        <v>435</v>
      </c>
      <c r="H460" s="387" t="s">
        <v>436</v>
      </c>
      <c r="I460" s="395" t="s">
        <v>854</v>
      </c>
      <c r="J460" s="712">
        <v>44995</v>
      </c>
      <c r="K460" s="739">
        <v>0.5</v>
      </c>
      <c r="L460" s="712">
        <v>44995</v>
      </c>
      <c r="M460" s="739">
        <v>0.66666666666666663</v>
      </c>
      <c r="N460" s="179">
        <v>4</v>
      </c>
      <c r="O460" s="184" t="s">
        <v>17</v>
      </c>
      <c r="P460" s="389" t="s">
        <v>841</v>
      </c>
      <c r="Q460" s="746" t="s">
        <v>258</v>
      </c>
      <c r="R460" s="171" t="s">
        <v>81</v>
      </c>
      <c r="S460" s="31" t="s">
        <v>273</v>
      </c>
      <c r="T460" s="31" t="s">
        <v>273</v>
      </c>
      <c r="U460" s="31">
        <f>IFERROR(VLOOKUP(CONCATENATE(Tabla1[[#This Row],[Severidad]]," ",Tabla1[[#This Row],[Complejidad]]),Catalogos!E$120:G$128,3,FALSE),"")</f>
        <v>64</v>
      </c>
      <c r="V460" s="31" t="str">
        <f>IF(Tabla1[[#This Row],[Tiempo solución max (hrs)]]&lt;&gt;"",IF(Tabla1[[#This Row],[Tiempo solución max (hrs)]]&gt;=Tabla1[[#This Row],[Tiempo
(Hrs 00/100)]],"cumple","no cumple"),"")</f>
        <v>cumple</v>
      </c>
      <c r="W460" s="376" t="s">
        <v>681</v>
      </c>
      <c r="X460" s="377" t="str">
        <f t="shared" si="62"/>
        <v>SAW</v>
      </c>
      <c r="Y460" t="str">
        <f>SUBSTITUTE(Tabla1[[#This Row],[Descripción]],CHAR(10),"    I    ")</f>
        <v>Actualizacion solicitud de Informacion</v>
      </c>
      <c r="Z460" s="378">
        <f>VLOOKUP(Tabla1[[#This Row],[Perfil]],Catalogos!$B$75:$D$100,3,FALSE)*Tabla1[[#This Row],[Tiempo
(Hrs 00/100)]]*1.16</f>
        <v>2320</v>
      </c>
    </row>
    <row r="461" spans="1:26" ht="42.75" customHeight="1" x14ac:dyDescent="0.3">
      <c r="A461" s="373" t="s">
        <v>22</v>
      </c>
      <c r="B461" s="184" t="s">
        <v>68</v>
      </c>
      <c r="C461" s="183" t="s">
        <v>16</v>
      </c>
      <c r="D461" s="370"/>
      <c r="E461" s="386" t="s">
        <v>503</v>
      </c>
      <c r="F461" s="373" t="s">
        <v>75</v>
      </c>
      <c r="G461" s="370" t="s">
        <v>435</v>
      </c>
      <c r="H461" s="387" t="s">
        <v>436</v>
      </c>
      <c r="I461" s="393" t="s">
        <v>867</v>
      </c>
      <c r="J461" s="712">
        <v>44998</v>
      </c>
      <c r="K461" s="709">
        <v>0.375</v>
      </c>
      <c r="L461" s="712">
        <v>44998</v>
      </c>
      <c r="M461" s="739">
        <v>0.47916666666666669</v>
      </c>
      <c r="N461" s="179">
        <v>2.5</v>
      </c>
      <c r="O461" s="184" t="s">
        <v>17</v>
      </c>
      <c r="P461" s="185" t="s">
        <v>868</v>
      </c>
      <c r="Q461" s="746" t="s">
        <v>258</v>
      </c>
      <c r="R461" s="171" t="s">
        <v>81</v>
      </c>
      <c r="S461" s="31" t="s">
        <v>273</v>
      </c>
      <c r="T461" s="31" t="s">
        <v>273</v>
      </c>
      <c r="U461" s="31">
        <f>IFERROR(VLOOKUP(CONCATENATE(Tabla1[[#This Row],[Severidad]]," ",Tabla1[[#This Row],[Complejidad]]),Catalogos!E$120:G$128,3,FALSE),"")</f>
        <v>64</v>
      </c>
      <c r="V461" s="31" t="str">
        <f>IF(Tabla1[[#This Row],[Tiempo solución max (hrs)]]&lt;&gt;"",IF(Tabla1[[#This Row],[Tiempo solución max (hrs)]]&gt;=Tabla1[[#This Row],[Tiempo
(Hrs 00/100)]],"cumple","no cumple"),"")</f>
        <v>cumple</v>
      </c>
      <c r="W461" s="376" t="s">
        <v>681</v>
      </c>
      <c r="X461" s="377" t="str">
        <f t="shared" si="62"/>
        <v>SAW</v>
      </c>
      <c r="Y461" t="str">
        <f>SUBSTITUTE(Tabla1[[#This Row],[Descripción]],CHAR(10),"    I    ")</f>
        <v xml:space="preserve">Actualizacion micrositio cuentos </v>
      </c>
      <c r="Z461" s="378">
        <f>VLOOKUP(Tabla1[[#This Row],[Perfil]],Catalogos!$B$75:$D$100,3,FALSE)*Tabla1[[#This Row],[Tiempo
(Hrs 00/100)]]*1.16</f>
        <v>1450</v>
      </c>
    </row>
    <row r="462" spans="1:26" ht="42.75" customHeight="1" x14ac:dyDescent="0.3">
      <c r="A462" s="373" t="s">
        <v>22</v>
      </c>
      <c r="B462" s="184" t="s">
        <v>68</v>
      </c>
      <c r="C462" s="183" t="s">
        <v>16</v>
      </c>
      <c r="D462" s="179"/>
      <c r="E462" s="386" t="s">
        <v>503</v>
      </c>
      <c r="F462" s="373" t="s">
        <v>75</v>
      </c>
      <c r="G462" s="370" t="s">
        <v>435</v>
      </c>
      <c r="H462" s="387" t="s">
        <v>436</v>
      </c>
      <c r="I462" s="393" t="s">
        <v>857</v>
      </c>
      <c r="J462" s="712">
        <v>44998</v>
      </c>
      <c r="K462" s="709">
        <v>0.47916666666666669</v>
      </c>
      <c r="L462" s="712">
        <v>44998</v>
      </c>
      <c r="M462" s="739">
        <v>0.75</v>
      </c>
      <c r="N462" s="179">
        <v>5</v>
      </c>
      <c r="O462" s="184" t="s">
        <v>17</v>
      </c>
      <c r="P462" s="185" t="s">
        <v>858</v>
      </c>
      <c r="Q462" s="746" t="s">
        <v>258</v>
      </c>
      <c r="R462" s="171" t="s">
        <v>81</v>
      </c>
      <c r="S462" s="31" t="s">
        <v>273</v>
      </c>
      <c r="T462" s="31" t="s">
        <v>273</v>
      </c>
      <c r="U462" s="31">
        <f>IFERROR(VLOOKUP(CONCATENATE(Tabla1[[#This Row],[Severidad]]," ",Tabla1[[#This Row],[Complejidad]]),Catalogos!E$120:G$128,3,FALSE),"")</f>
        <v>64</v>
      </c>
      <c r="V462" s="31" t="str">
        <f>IF(Tabla1[[#This Row],[Tiempo solución max (hrs)]]&lt;&gt;"",IF(Tabla1[[#This Row],[Tiempo solución max (hrs)]]&gt;=Tabla1[[#This Row],[Tiempo
(Hrs 00/100)]],"cumple","no cumple"),"")</f>
        <v>cumple</v>
      </c>
      <c r="W462" s="376" t="s">
        <v>681</v>
      </c>
      <c r="X462" s="377" t="str">
        <f t="shared" si="62"/>
        <v>SAW</v>
      </c>
      <c r="Y462" t="str">
        <f>SUBSTITUTE(Tabla1[[#This Row],[Descripción]],CHAR(10),"    I    ")</f>
        <v xml:space="preserve">Micrositio de Promocion y Vinculacion con la sociedad </v>
      </c>
      <c r="Z462" s="378">
        <f>VLOOKUP(Tabla1[[#This Row],[Perfil]],Catalogos!$B$75:$D$100,3,FALSE)*Tabla1[[#This Row],[Tiempo
(Hrs 00/100)]]*1.16</f>
        <v>2900</v>
      </c>
    </row>
    <row r="463" spans="1:26" ht="42.75" customHeight="1" x14ac:dyDescent="0.3">
      <c r="A463" s="373" t="s">
        <v>22</v>
      </c>
      <c r="B463" s="184" t="s">
        <v>68</v>
      </c>
      <c r="C463" s="183" t="s">
        <v>16</v>
      </c>
      <c r="D463" s="179"/>
      <c r="E463" s="386" t="s">
        <v>503</v>
      </c>
      <c r="F463" s="373" t="s">
        <v>75</v>
      </c>
      <c r="G463" s="370" t="s">
        <v>435</v>
      </c>
      <c r="H463" s="387" t="s">
        <v>436</v>
      </c>
      <c r="I463" s="395" t="s">
        <v>869</v>
      </c>
      <c r="J463" s="712">
        <v>44998</v>
      </c>
      <c r="K463" s="739">
        <v>0.75</v>
      </c>
      <c r="L463" s="712">
        <v>44998</v>
      </c>
      <c r="M463" s="739">
        <v>0.79166666666666663</v>
      </c>
      <c r="N463" s="179">
        <v>1</v>
      </c>
      <c r="O463" s="184" t="s">
        <v>17</v>
      </c>
      <c r="P463" s="185" t="s">
        <v>870</v>
      </c>
      <c r="Q463" s="746" t="s">
        <v>258</v>
      </c>
      <c r="R463" s="171" t="s">
        <v>81</v>
      </c>
      <c r="S463" s="31" t="s">
        <v>273</v>
      </c>
      <c r="T463" s="31" t="s">
        <v>273</v>
      </c>
      <c r="U463" s="31">
        <f>IFERROR(VLOOKUP(CONCATENATE(Tabla1[[#This Row],[Severidad]]," ",Tabla1[[#This Row],[Complejidad]]),Catalogos!E$120:G$128,3,FALSE),"")</f>
        <v>64</v>
      </c>
      <c r="V463" s="31" t="str">
        <f>IF(Tabla1[[#This Row],[Tiempo solución max (hrs)]]&lt;&gt;"",IF(Tabla1[[#This Row],[Tiempo solución max (hrs)]]&gt;=Tabla1[[#This Row],[Tiempo
(Hrs 00/100)]],"cumple","no cumple"),"")</f>
        <v>cumple</v>
      </c>
      <c r="W463" s="376" t="s">
        <v>681</v>
      </c>
      <c r="X463" s="377" t="str">
        <f t="shared" si="62"/>
        <v>SAW</v>
      </c>
      <c r="Y463" t="str">
        <f>SUBSTITUTE(Tabla1[[#This Row],[Descripción]],CHAR(10),"    I    ")</f>
        <v xml:space="preserve">Actualizacion liga You tube </v>
      </c>
      <c r="Z463" s="378">
        <f>VLOOKUP(Tabla1[[#This Row],[Perfil]],Catalogos!$B$75:$D$100,3,FALSE)*Tabla1[[#This Row],[Tiempo
(Hrs 00/100)]]*1.16</f>
        <v>580</v>
      </c>
    </row>
    <row r="464" spans="1:26" ht="42.75" customHeight="1" x14ac:dyDescent="0.3">
      <c r="A464" s="373" t="s">
        <v>22</v>
      </c>
      <c r="B464" s="184" t="s">
        <v>68</v>
      </c>
      <c r="C464" s="183" t="s">
        <v>16</v>
      </c>
      <c r="D464" s="179"/>
      <c r="E464" s="386" t="s">
        <v>503</v>
      </c>
      <c r="F464" s="373" t="s">
        <v>75</v>
      </c>
      <c r="G464" s="370" t="s">
        <v>435</v>
      </c>
      <c r="H464" s="387" t="s">
        <v>436</v>
      </c>
      <c r="I464" s="395" t="s">
        <v>855</v>
      </c>
      <c r="J464" s="712">
        <v>44999</v>
      </c>
      <c r="K464" s="709">
        <v>0.375</v>
      </c>
      <c r="L464" s="712">
        <v>44999</v>
      </c>
      <c r="M464" s="739">
        <v>0.52083333333333337</v>
      </c>
      <c r="N464" s="179">
        <v>3.5</v>
      </c>
      <c r="O464" s="184" t="s">
        <v>17</v>
      </c>
      <c r="P464" s="389" t="s">
        <v>856</v>
      </c>
      <c r="Q464" s="746" t="s">
        <v>258</v>
      </c>
      <c r="R464" s="171" t="s">
        <v>81</v>
      </c>
      <c r="S464" s="31" t="s">
        <v>273</v>
      </c>
      <c r="T464" s="31" t="s">
        <v>273</v>
      </c>
      <c r="U464" s="31">
        <f>IFERROR(VLOOKUP(CONCATENATE(Tabla1[[#This Row],[Severidad]]," ",Tabla1[[#This Row],[Complejidad]]),Catalogos!E$120:G$128,3,FALSE),"")</f>
        <v>64</v>
      </c>
      <c r="V464" s="31" t="str">
        <f>IF(Tabla1[[#This Row],[Tiempo solución max (hrs)]]&lt;&gt;"",IF(Tabla1[[#This Row],[Tiempo solución max (hrs)]]&gt;=Tabla1[[#This Row],[Tiempo
(Hrs 00/100)]],"cumple","no cumple"),"")</f>
        <v>cumple</v>
      </c>
      <c r="W464" s="376" t="s">
        <v>681</v>
      </c>
      <c r="X464" s="377" t="str">
        <f t="shared" si="62"/>
        <v>SAW</v>
      </c>
      <c r="Y464" t="str">
        <f>SUBSTITUTE(Tabla1[[#This Row],[Descripción]],CHAR(10),"    I    ")</f>
        <v xml:space="preserve">Validacion pagina web Registro de eventos </v>
      </c>
      <c r="Z464" s="378">
        <f>VLOOKUP(Tabla1[[#This Row],[Perfil]],Catalogos!$B$75:$D$100,3,FALSE)*Tabla1[[#This Row],[Tiempo
(Hrs 00/100)]]*1.16</f>
        <v>2029.9999999999998</v>
      </c>
    </row>
    <row r="465" spans="1:26" ht="42.75" customHeight="1" x14ac:dyDescent="0.3">
      <c r="A465" s="373" t="s">
        <v>22</v>
      </c>
      <c r="B465" s="184" t="s">
        <v>68</v>
      </c>
      <c r="C465" s="183" t="s">
        <v>16</v>
      </c>
      <c r="D465" s="179"/>
      <c r="E465" s="386" t="s">
        <v>503</v>
      </c>
      <c r="F465" s="373" t="s">
        <v>75</v>
      </c>
      <c r="G465" s="370" t="s">
        <v>435</v>
      </c>
      <c r="H465" s="387" t="s">
        <v>436</v>
      </c>
      <c r="I465" s="395" t="s">
        <v>854</v>
      </c>
      <c r="J465" s="712">
        <v>44999</v>
      </c>
      <c r="K465" s="739">
        <v>0.52083333333333337</v>
      </c>
      <c r="L465" s="712">
        <v>44999</v>
      </c>
      <c r="M465" s="739">
        <v>0.70833333333333337</v>
      </c>
      <c r="N465" s="179">
        <v>3</v>
      </c>
      <c r="O465" s="184" t="s">
        <v>17</v>
      </c>
      <c r="P465" s="389" t="s">
        <v>841</v>
      </c>
      <c r="Q465" s="746" t="s">
        <v>258</v>
      </c>
      <c r="R465" s="171" t="s">
        <v>81</v>
      </c>
      <c r="S465" s="31" t="s">
        <v>273</v>
      </c>
      <c r="T465" s="31" t="s">
        <v>273</v>
      </c>
      <c r="U465" s="31">
        <f>IFERROR(VLOOKUP(CONCATENATE(Tabla1[[#This Row],[Severidad]]," ",Tabla1[[#This Row],[Complejidad]]),Catalogos!E$120:G$128,3,FALSE),"")</f>
        <v>64</v>
      </c>
      <c r="V465" s="31" t="str">
        <f>IF(Tabla1[[#This Row],[Tiempo solución max (hrs)]]&lt;&gt;"",IF(Tabla1[[#This Row],[Tiempo solución max (hrs)]]&gt;=Tabla1[[#This Row],[Tiempo
(Hrs 00/100)]],"cumple","no cumple"),"")</f>
        <v>cumple</v>
      </c>
      <c r="W465" s="376" t="s">
        <v>681</v>
      </c>
      <c r="X465" s="377" t="str">
        <f t="shared" si="62"/>
        <v>SAW</v>
      </c>
      <c r="Y465" t="str">
        <f>SUBSTITUTE(Tabla1[[#This Row],[Descripción]],CHAR(10),"    I    ")</f>
        <v>Actualizacion solicitud de Informacion</v>
      </c>
      <c r="Z465" s="378">
        <f>VLOOKUP(Tabla1[[#This Row],[Perfil]],Catalogos!$B$75:$D$100,3,FALSE)*Tabla1[[#This Row],[Tiempo
(Hrs 00/100)]]*1.16</f>
        <v>1739.9999999999998</v>
      </c>
    </row>
    <row r="466" spans="1:26" ht="42.75" customHeight="1" x14ac:dyDescent="0.3">
      <c r="A466" s="373" t="s">
        <v>22</v>
      </c>
      <c r="B466" s="184" t="s">
        <v>68</v>
      </c>
      <c r="C466" s="183" t="s">
        <v>16</v>
      </c>
      <c r="D466" s="179"/>
      <c r="E466" s="386" t="s">
        <v>503</v>
      </c>
      <c r="F466" s="373" t="s">
        <v>75</v>
      </c>
      <c r="G466" s="370" t="s">
        <v>435</v>
      </c>
      <c r="H466" s="387" t="s">
        <v>436</v>
      </c>
      <c r="I466" s="395" t="s">
        <v>871</v>
      </c>
      <c r="J466" s="712">
        <v>44999</v>
      </c>
      <c r="K466" s="739">
        <v>0.70833333333333337</v>
      </c>
      <c r="L466" s="712">
        <v>44999</v>
      </c>
      <c r="M466" s="739">
        <v>0.79166666666666663</v>
      </c>
      <c r="N466" s="179">
        <v>2</v>
      </c>
      <c r="O466" s="184" t="s">
        <v>17</v>
      </c>
      <c r="P466" s="389" t="s">
        <v>861</v>
      </c>
      <c r="Q466" s="746" t="s">
        <v>258</v>
      </c>
      <c r="R466" s="171" t="s">
        <v>81</v>
      </c>
      <c r="S466" s="31" t="s">
        <v>273</v>
      </c>
      <c r="T466" s="31" t="s">
        <v>273</v>
      </c>
      <c r="U466" s="31">
        <f>IFERROR(VLOOKUP(CONCATENATE(Tabla1[[#This Row],[Severidad]]," ",Tabla1[[#This Row],[Complejidad]]),Catalogos!E$120:G$128,3,FALSE),"")</f>
        <v>64</v>
      </c>
      <c r="V466" s="31" t="str">
        <f>IF(Tabla1[[#This Row],[Tiempo solución max (hrs)]]&lt;&gt;"",IF(Tabla1[[#This Row],[Tiempo solución max (hrs)]]&gt;=Tabla1[[#This Row],[Tiempo
(Hrs 00/100)]],"cumple","no cumple"),"")</f>
        <v>cumple</v>
      </c>
      <c r="W466" s="376" t="s">
        <v>681</v>
      </c>
      <c r="X466" s="377" t="str">
        <f t="shared" si="62"/>
        <v>SAW</v>
      </c>
      <c r="Y466" t="str">
        <f>SUBSTITUTE(Tabla1[[#This Row],[Descripción]],CHAR(10),"    I    ")</f>
        <v xml:space="preserve">Actualizacion del Micrositio pleno Infantil </v>
      </c>
      <c r="Z466" s="378">
        <f>VLOOKUP(Tabla1[[#This Row],[Perfil]],Catalogos!$B$75:$D$100,3,FALSE)*Tabla1[[#This Row],[Tiempo
(Hrs 00/100)]]*1.16</f>
        <v>1160</v>
      </c>
    </row>
    <row r="467" spans="1:26" ht="42.75" customHeight="1" x14ac:dyDescent="0.3">
      <c r="A467" s="373" t="s">
        <v>22</v>
      </c>
      <c r="B467" s="184" t="s">
        <v>68</v>
      </c>
      <c r="C467" s="183" t="s">
        <v>16</v>
      </c>
      <c r="D467" s="179"/>
      <c r="E467" s="386" t="s">
        <v>503</v>
      </c>
      <c r="F467" s="373" t="s">
        <v>75</v>
      </c>
      <c r="G467" s="370" t="s">
        <v>435</v>
      </c>
      <c r="H467" s="387" t="s">
        <v>436</v>
      </c>
      <c r="I467" s="395" t="s">
        <v>872</v>
      </c>
      <c r="J467" s="712">
        <v>45000</v>
      </c>
      <c r="K467" s="709">
        <v>0.375</v>
      </c>
      <c r="L467" s="712">
        <v>45000</v>
      </c>
      <c r="M467" s="739">
        <v>0.54166666666666663</v>
      </c>
      <c r="N467" s="179">
        <v>4</v>
      </c>
      <c r="O467" s="184" t="s">
        <v>17</v>
      </c>
      <c r="P467" s="185" t="s">
        <v>873</v>
      </c>
      <c r="Q467" s="746" t="s">
        <v>258</v>
      </c>
      <c r="R467" s="171" t="s">
        <v>81</v>
      </c>
      <c r="S467" s="31" t="s">
        <v>273</v>
      </c>
      <c r="T467" s="31" t="s">
        <v>273</v>
      </c>
      <c r="U467" s="31">
        <f>IFERROR(VLOOKUP(CONCATENATE(Tabla1[[#This Row],[Severidad]]," ",Tabla1[[#This Row],[Complejidad]]),Catalogos!E$120:G$128,3,FALSE),"")</f>
        <v>64</v>
      </c>
      <c r="V467" s="31" t="str">
        <f>IF(Tabla1[[#This Row],[Tiempo solución max (hrs)]]&lt;&gt;"",IF(Tabla1[[#This Row],[Tiempo solución max (hrs)]]&gt;=Tabla1[[#This Row],[Tiempo
(Hrs 00/100)]],"cumple","no cumple"),"")</f>
        <v>cumple</v>
      </c>
      <c r="W467" s="376" t="s">
        <v>681</v>
      </c>
      <c r="X467" s="377" t="str">
        <f t="shared" ref="X467:X517" si="63">IF(C467&lt;&gt;"",C467,D467)</f>
        <v>SAW</v>
      </c>
      <c r="Y467" t="str">
        <f>SUBSTITUTE(Tabla1[[#This Row],[Descripción]],CHAR(10),"    I    ")</f>
        <v xml:space="preserve">Modificacion PROSEDE </v>
      </c>
      <c r="Z467" s="378">
        <f>VLOOKUP(Tabla1[[#This Row],[Perfil]],Catalogos!$B$75:$D$100,3,FALSE)*Tabla1[[#This Row],[Tiempo
(Hrs 00/100)]]*1.16</f>
        <v>2320</v>
      </c>
    </row>
    <row r="468" spans="1:26" ht="42.75" customHeight="1" x14ac:dyDescent="0.3">
      <c r="A468" s="373" t="s">
        <v>22</v>
      </c>
      <c r="B468" s="184" t="s">
        <v>68</v>
      </c>
      <c r="C468" s="183" t="s">
        <v>16</v>
      </c>
      <c r="D468" s="179"/>
      <c r="E468" s="386" t="s">
        <v>503</v>
      </c>
      <c r="F468" s="373" t="s">
        <v>75</v>
      </c>
      <c r="G468" s="370" t="s">
        <v>435</v>
      </c>
      <c r="H468" s="387" t="s">
        <v>436</v>
      </c>
      <c r="I468" s="395" t="s">
        <v>874</v>
      </c>
      <c r="J468" s="712">
        <v>45000</v>
      </c>
      <c r="K468" s="739">
        <v>0.54166666666666663</v>
      </c>
      <c r="L468" s="712">
        <v>45000</v>
      </c>
      <c r="M468" s="739">
        <v>0.79166666666666663</v>
      </c>
      <c r="N468" s="179">
        <v>4.5</v>
      </c>
      <c r="O468" s="184" t="s">
        <v>17</v>
      </c>
      <c r="P468" s="185" t="s">
        <v>875</v>
      </c>
      <c r="Q468" s="746" t="s">
        <v>258</v>
      </c>
      <c r="R468" s="171" t="s">
        <v>81</v>
      </c>
      <c r="S468" s="31" t="s">
        <v>273</v>
      </c>
      <c r="T468" s="31" t="s">
        <v>273</v>
      </c>
      <c r="U468" s="31">
        <f>IFERROR(VLOOKUP(CONCATENATE(Tabla1[[#This Row],[Severidad]]," ",Tabla1[[#This Row],[Complejidad]]),Catalogos!E$120:G$128,3,FALSE),"")</f>
        <v>64</v>
      </c>
      <c r="V468" s="31" t="str">
        <f>IF(Tabla1[[#This Row],[Tiempo solución max (hrs)]]&lt;&gt;"",IF(Tabla1[[#This Row],[Tiempo solución max (hrs)]]&gt;=Tabla1[[#This Row],[Tiempo
(Hrs 00/100)]],"cumple","no cumple"),"")</f>
        <v>cumple</v>
      </c>
      <c r="W468" s="376" t="s">
        <v>681</v>
      </c>
      <c r="X468" s="377" t="str">
        <f t="shared" si="63"/>
        <v>SAW</v>
      </c>
      <c r="Y468" t="str">
        <f>SUBSTITUTE(Tabla1[[#This Row],[Descripción]],CHAR(10),"    I    ")</f>
        <v>Inicio  Concurso Nacional Universitario 2023</v>
      </c>
      <c r="Z468" s="378">
        <f>VLOOKUP(Tabla1[[#This Row],[Perfil]],Catalogos!$B$75:$D$100,3,FALSE)*Tabla1[[#This Row],[Tiempo
(Hrs 00/100)]]*1.16</f>
        <v>2610</v>
      </c>
    </row>
    <row r="469" spans="1:26" ht="42.75" customHeight="1" x14ac:dyDescent="0.3">
      <c r="A469" s="373" t="s">
        <v>22</v>
      </c>
      <c r="B469" s="184" t="s">
        <v>68</v>
      </c>
      <c r="C469" s="183" t="s">
        <v>16</v>
      </c>
      <c r="D469" s="179"/>
      <c r="E469" s="386" t="s">
        <v>503</v>
      </c>
      <c r="F469" s="373" t="s">
        <v>75</v>
      </c>
      <c r="G469" s="370" t="s">
        <v>435</v>
      </c>
      <c r="H469" s="387" t="s">
        <v>436</v>
      </c>
      <c r="I469" s="393" t="s">
        <v>876</v>
      </c>
      <c r="J469" s="712">
        <v>45001</v>
      </c>
      <c r="K469" s="709">
        <v>0.375</v>
      </c>
      <c r="L469" s="712">
        <v>45001</v>
      </c>
      <c r="M469" s="739">
        <v>0.4375</v>
      </c>
      <c r="N469" s="179">
        <v>1.5</v>
      </c>
      <c r="O469" s="184" t="s">
        <v>17</v>
      </c>
      <c r="P469" s="185" t="s">
        <v>877</v>
      </c>
      <c r="Q469" s="746" t="s">
        <v>258</v>
      </c>
      <c r="R469" s="171" t="s">
        <v>81</v>
      </c>
      <c r="S469" s="31" t="s">
        <v>273</v>
      </c>
      <c r="T469" s="31" t="s">
        <v>273</v>
      </c>
      <c r="U469" s="31">
        <f>IFERROR(VLOOKUP(CONCATENATE(Tabla1[[#This Row],[Severidad]]," ",Tabla1[[#This Row],[Complejidad]]),Catalogos!E$120:G$128,3,FALSE),"")</f>
        <v>64</v>
      </c>
      <c r="V469" s="31" t="str">
        <f>IF(Tabla1[[#This Row],[Tiempo solución max (hrs)]]&lt;&gt;"",IF(Tabla1[[#This Row],[Tiempo solución max (hrs)]]&gt;=Tabla1[[#This Row],[Tiempo
(Hrs 00/100)]],"cumple","no cumple"),"")</f>
        <v>cumple</v>
      </c>
      <c r="W469" s="376" t="s">
        <v>681</v>
      </c>
      <c r="X469" s="377" t="str">
        <f t="shared" si="63"/>
        <v>SAW</v>
      </c>
      <c r="Y469" t="str">
        <f>SUBSTITUTE(Tabla1[[#This Row],[Descripción]],CHAR(10),"    I    ")</f>
        <v xml:space="preserve">seguimiento Concurso Nacional de Spot de Radio </v>
      </c>
      <c r="Z469" s="378">
        <f>VLOOKUP(Tabla1[[#This Row],[Perfil]],Catalogos!$B$75:$D$100,3,FALSE)*Tabla1[[#This Row],[Tiempo
(Hrs 00/100)]]*1.16</f>
        <v>869.99999999999989</v>
      </c>
    </row>
    <row r="470" spans="1:26" ht="42.75" customHeight="1" x14ac:dyDescent="0.3">
      <c r="A470" s="373" t="s">
        <v>22</v>
      </c>
      <c r="B470" s="184" t="s">
        <v>68</v>
      </c>
      <c r="C470" s="183" t="s">
        <v>16</v>
      </c>
      <c r="D470" s="179"/>
      <c r="E470" s="386" t="s">
        <v>503</v>
      </c>
      <c r="F470" s="373" t="s">
        <v>75</v>
      </c>
      <c r="G470" s="370" t="s">
        <v>435</v>
      </c>
      <c r="H470" s="387" t="s">
        <v>436</v>
      </c>
      <c r="I470" s="394" t="s">
        <v>866</v>
      </c>
      <c r="J470" s="712">
        <v>45001</v>
      </c>
      <c r="K470" s="739">
        <v>0.4375</v>
      </c>
      <c r="L470" s="712">
        <v>45001</v>
      </c>
      <c r="M470" s="739">
        <v>0.52083333333333337</v>
      </c>
      <c r="N470" s="179">
        <v>2</v>
      </c>
      <c r="O470" s="184" t="s">
        <v>17</v>
      </c>
      <c r="P470" s="185" t="s">
        <v>878</v>
      </c>
      <c r="Q470" s="746" t="s">
        <v>258</v>
      </c>
      <c r="R470" s="171" t="s">
        <v>81</v>
      </c>
      <c r="S470" s="31" t="s">
        <v>273</v>
      </c>
      <c r="T470" s="31" t="s">
        <v>273</v>
      </c>
      <c r="U470" s="31">
        <f>IFERROR(VLOOKUP(CONCATENATE(Tabla1[[#This Row],[Severidad]]," ",Tabla1[[#This Row],[Complejidad]]),Catalogos!E$120:G$128,3,FALSE),"")</f>
        <v>64</v>
      </c>
      <c r="V470" s="31" t="str">
        <f>IF(Tabla1[[#This Row],[Tiempo solución max (hrs)]]&lt;&gt;"",IF(Tabla1[[#This Row],[Tiempo solución max (hrs)]]&gt;=Tabla1[[#This Row],[Tiempo
(Hrs 00/100)]],"cumple","no cumple"),"")</f>
        <v>cumple</v>
      </c>
      <c r="W470" s="376" t="s">
        <v>681</v>
      </c>
      <c r="X470" s="377" t="str">
        <f t="shared" si="63"/>
        <v>SAW</v>
      </c>
      <c r="Y470" t="str">
        <f>SUBSTITUTE(Tabla1[[#This Row],[Descripción]],CHAR(10),"    I    ")</f>
        <v xml:space="preserve">Actualizacion de avance de proyectos </v>
      </c>
      <c r="Z470" s="378">
        <f>VLOOKUP(Tabla1[[#This Row],[Perfil]],Catalogos!$B$75:$D$100,3,FALSE)*Tabla1[[#This Row],[Tiempo
(Hrs 00/100)]]*1.16</f>
        <v>1160</v>
      </c>
    </row>
    <row r="471" spans="1:26" ht="42.75" customHeight="1" x14ac:dyDescent="0.3">
      <c r="A471" s="373" t="s">
        <v>22</v>
      </c>
      <c r="B471" s="184" t="s">
        <v>68</v>
      </c>
      <c r="C471" s="183" t="s">
        <v>16</v>
      </c>
      <c r="D471" s="179"/>
      <c r="E471" s="386" t="s">
        <v>503</v>
      </c>
      <c r="F471" s="373" t="s">
        <v>75</v>
      </c>
      <c r="G471" s="370" t="s">
        <v>435</v>
      </c>
      <c r="H471" s="387" t="s">
        <v>436</v>
      </c>
      <c r="I471" s="388" t="s">
        <v>879</v>
      </c>
      <c r="J471" s="712">
        <v>45001</v>
      </c>
      <c r="K471" s="739">
        <v>0.52083333333333337</v>
      </c>
      <c r="L471" s="712">
        <v>45001</v>
      </c>
      <c r="M471" s="739">
        <v>0.79166666666666663</v>
      </c>
      <c r="N471" s="179">
        <v>5</v>
      </c>
      <c r="O471" s="184" t="s">
        <v>17</v>
      </c>
      <c r="P471" s="185" t="s">
        <v>880</v>
      </c>
      <c r="Q471" s="746" t="s">
        <v>258</v>
      </c>
      <c r="R471" s="171" t="s">
        <v>81</v>
      </c>
      <c r="S471" s="31" t="s">
        <v>273</v>
      </c>
      <c r="T471" s="31" t="s">
        <v>273</v>
      </c>
      <c r="U471" s="31">
        <f>IFERROR(VLOOKUP(CONCATENATE(Tabla1[[#This Row],[Severidad]]," ",Tabla1[[#This Row],[Complejidad]]),Catalogos!E$120:G$128,3,FALSE),"")</f>
        <v>64</v>
      </c>
      <c r="V471" s="31" t="str">
        <f>IF(Tabla1[[#This Row],[Tiempo solución max (hrs)]]&lt;&gt;"",IF(Tabla1[[#This Row],[Tiempo solución max (hrs)]]&gt;=Tabla1[[#This Row],[Tiempo
(Hrs 00/100)]],"cumple","no cumple"),"")</f>
        <v>cumple</v>
      </c>
      <c r="W471" s="376" t="s">
        <v>681</v>
      </c>
      <c r="X471" s="377" t="str">
        <f t="shared" si="63"/>
        <v>SAW</v>
      </c>
      <c r="Y471" t="str">
        <f>SUBSTITUTE(Tabla1[[#This Row],[Descripción]],CHAR(10),"    I    ")</f>
        <v xml:space="preserve">Monitoreo EIPDP </v>
      </c>
      <c r="Z471" s="378">
        <f>VLOOKUP(Tabla1[[#This Row],[Perfil]],Catalogos!$B$75:$D$100,3,FALSE)*Tabla1[[#This Row],[Tiempo
(Hrs 00/100)]]*1.16</f>
        <v>2900</v>
      </c>
    </row>
    <row r="472" spans="1:26" ht="42.75" customHeight="1" x14ac:dyDescent="0.3">
      <c r="A472" s="373" t="s">
        <v>22</v>
      </c>
      <c r="B472" s="184" t="s">
        <v>68</v>
      </c>
      <c r="C472" s="183" t="s">
        <v>16</v>
      </c>
      <c r="D472" s="179"/>
      <c r="E472" s="386" t="s">
        <v>503</v>
      </c>
      <c r="F472" s="373" t="s">
        <v>75</v>
      </c>
      <c r="G472" s="370" t="s">
        <v>435</v>
      </c>
      <c r="H472" s="387" t="s">
        <v>436</v>
      </c>
      <c r="I472" s="395" t="s">
        <v>881</v>
      </c>
      <c r="J472" s="712">
        <v>45002</v>
      </c>
      <c r="K472" s="709">
        <v>0.375</v>
      </c>
      <c r="L472" s="712">
        <v>45002</v>
      </c>
      <c r="M472" s="739">
        <v>0.5</v>
      </c>
      <c r="N472" s="179">
        <v>3</v>
      </c>
      <c r="O472" s="184" t="s">
        <v>17</v>
      </c>
      <c r="P472" s="185" t="s">
        <v>882</v>
      </c>
      <c r="Q472" s="746" t="s">
        <v>258</v>
      </c>
      <c r="R472" s="171" t="s">
        <v>81</v>
      </c>
      <c r="S472" s="31" t="s">
        <v>273</v>
      </c>
      <c r="T472" s="31" t="s">
        <v>273</v>
      </c>
      <c r="U472" s="31">
        <f>IFERROR(VLOOKUP(CONCATENATE(Tabla1[[#This Row],[Severidad]]," ",Tabla1[[#This Row],[Complejidad]]),Catalogos!E$120:G$128,3,FALSE),"")</f>
        <v>64</v>
      </c>
      <c r="V472" s="31" t="str">
        <f>IF(Tabla1[[#This Row],[Tiempo solución max (hrs)]]&lt;&gt;"",IF(Tabla1[[#This Row],[Tiempo solución max (hrs)]]&gt;=Tabla1[[#This Row],[Tiempo
(Hrs 00/100)]],"cumple","no cumple"),"")</f>
        <v>cumple</v>
      </c>
      <c r="W472" s="376" t="s">
        <v>681</v>
      </c>
      <c r="X472" s="377" t="str">
        <f t="shared" si="63"/>
        <v>SAW</v>
      </c>
      <c r="Y472" t="str">
        <f>SUBSTITUTE(Tabla1[[#This Row],[Descripción]],CHAR(10),"    I    ")</f>
        <v xml:space="preserve">Pruebas Micrositio Trabajo Universitario </v>
      </c>
      <c r="Z472" s="378">
        <f>VLOOKUP(Tabla1[[#This Row],[Perfil]],Catalogos!$B$75:$D$100,3,FALSE)*Tabla1[[#This Row],[Tiempo
(Hrs 00/100)]]*1.16</f>
        <v>1739.9999999999998</v>
      </c>
    </row>
    <row r="473" spans="1:26" ht="42.75" customHeight="1" x14ac:dyDescent="0.3">
      <c r="A473" s="373" t="s">
        <v>22</v>
      </c>
      <c r="B473" s="184" t="s">
        <v>68</v>
      </c>
      <c r="C473" s="183" t="s">
        <v>16</v>
      </c>
      <c r="D473" s="179"/>
      <c r="E473" s="386" t="s">
        <v>503</v>
      </c>
      <c r="F473" s="373" t="s">
        <v>75</v>
      </c>
      <c r="G473" s="370" t="s">
        <v>435</v>
      </c>
      <c r="H473" s="387" t="s">
        <v>436</v>
      </c>
      <c r="I473" s="395" t="s">
        <v>883</v>
      </c>
      <c r="J473" s="712">
        <v>45002</v>
      </c>
      <c r="K473" s="739">
        <v>0.5</v>
      </c>
      <c r="L473" s="712">
        <v>45002</v>
      </c>
      <c r="M473" s="739">
        <v>0.64583333333333337</v>
      </c>
      <c r="N473" s="179">
        <v>3.5</v>
      </c>
      <c r="O473" s="184" t="s">
        <v>17</v>
      </c>
      <c r="P473" s="389" t="s">
        <v>884</v>
      </c>
      <c r="Q473" s="746" t="s">
        <v>258</v>
      </c>
      <c r="R473" s="171" t="s">
        <v>81</v>
      </c>
      <c r="S473" s="31" t="s">
        <v>273</v>
      </c>
      <c r="T473" s="31" t="s">
        <v>273</v>
      </c>
      <c r="U473" s="31">
        <f>IFERROR(VLOOKUP(CONCATENATE(Tabla1[[#This Row],[Severidad]]," ",Tabla1[[#This Row],[Complejidad]]),Catalogos!E$120:G$128,3,FALSE),"")</f>
        <v>64</v>
      </c>
      <c r="V473" s="31" t="str">
        <f>IF(Tabla1[[#This Row],[Tiempo solución max (hrs)]]&lt;&gt;"",IF(Tabla1[[#This Row],[Tiempo solución max (hrs)]]&gt;=Tabla1[[#This Row],[Tiempo
(Hrs 00/100)]],"cumple","no cumple"),"")</f>
        <v>cumple</v>
      </c>
      <c r="W473" s="376" t="s">
        <v>681</v>
      </c>
      <c r="X473" s="377" t="str">
        <f t="shared" si="63"/>
        <v>SAW</v>
      </c>
      <c r="Y473" t="str">
        <f>SUBSTITUTE(Tabla1[[#This Row],[Descripción]],CHAR(10),"    I    ")</f>
        <v xml:space="preserve">Actualizacion Banco de Practica </v>
      </c>
      <c r="Z473" s="378">
        <f>VLOOKUP(Tabla1[[#This Row],[Perfil]],Catalogos!$B$75:$D$100,3,FALSE)*Tabla1[[#This Row],[Tiempo
(Hrs 00/100)]]*1.16</f>
        <v>2029.9999999999998</v>
      </c>
    </row>
    <row r="474" spans="1:26" ht="42.75" customHeight="1" x14ac:dyDescent="0.3">
      <c r="A474" s="373" t="s">
        <v>22</v>
      </c>
      <c r="B474" s="184" t="s">
        <v>68</v>
      </c>
      <c r="C474" s="183" t="s">
        <v>16</v>
      </c>
      <c r="D474" s="179"/>
      <c r="E474" s="386" t="s">
        <v>503</v>
      </c>
      <c r="F474" s="373" t="s">
        <v>75</v>
      </c>
      <c r="G474" s="370" t="s">
        <v>435</v>
      </c>
      <c r="H474" s="387" t="s">
        <v>436</v>
      </c>
      <c r="I474" s="393" t="s">
        <v>885</v>
      </c>
      <c r="J474" s="712">
        <v>45006</v>
      </c>
      <c r="K474" s="709">
        <v>0.375</v>
      </c>
      <c r="L474" s="712">
        <v>45006</v>
      </c>
      <c r="M474" s="739">
        <v>0.4375</v>
      </c>
      <c r="N474" s="179">
        <v>1.5</v>
      </c>
      <c r="O474" s="184" t="s">
        <v>17</v>
      </c>
      <c r="P474" s="185" t="s">
        <v>886</v>
      </c>
      <c r="Q474" s="746" t="s">
        <v>258</v>
      </c>
      <c r="R474" s="171" t="s">
        <v>81</v>
      </c>
      <c r="S474" s="31" t="s">
        <v>273</v>
      </c>
      <c r="T474" s="31" t="s">
        <v>273</v>
      </c>
      <c r="U474" s="31">
        <f>IFERROR(VLOOKUP(CONCATENATE(Tabla1[[#This Row],[Severidad]]," ",Tabla1[[#This Row],[Complejidad]]),Catalogos!E$120:G$128,3,FALSE),"")</f>
        <v>64</v>
      </c>
      <c r="V474" s="31" t="str">
        <f>IF(Tabla1[[#This Row],[Tiempo solución max (hrs)]]&lt;&gt;"",IF(Tabla1[[#This Row],[Tiempo solución max (hrs)]]&gt;=Tabla1[[#This Row],[Tiempo
(Hrs 00/100)]],"cumple","no cumple"),"")</f>
        <v>cumple</v>
      </c>
      <c r="W474" s="376" t="s">
        <v>681</v>
      </c>
      <c r="X474" s="377" t="str">
        <f t="shared" si="63"/>
        <v>SAW</v>
      </c>
      <c r="Y474" t="str">
        <f>SUBSTITUTE(Tabla1[[#This Row],[Descripción]],CHAR(10),"    I    ")</f>
        <v>Registro de evento Pagina web "Guia de apoyo"</v>
      </c>
      <c r="Z474" s="378">
        <f>VLOOKUP(Tabla1[[#This Row],[Perfil]],Catalogos!$B$75:$D$100,3,FALSE)*Tabla1[[#This Row],[Tiempo
(Hrs 00/100)]]*1.16</f>
        <v>869.99999999999989</v>
      </c>
    </row>
    <row r="475" spans="1:26" ht="42.75" customHeight="1" x14ac:dyDescent="0.3">
      <c r="A475" s="373" t="s">
        <v>22</v>
      </c>
      <c r="B475" s="184" t="s">
        <v>68</v>
      </c>
      <c r="C475" s="183" t="s">
        <v>16</v>
      </c>
      <c r="D475" s="179"/>
      <c r="E475" s="386" t="s">
        <v>503</v>
      </c>
      <c r="F475" s="373" t="s">
        <v>75</v>
      </c>
      <c r="G475" s="370" t="s">
        <v>435</v>
      </c>
      <c r="H475" s="387" t="s">
        <v>436</v>
      </c>
      <c r="I475" s="393" t="s">
        <v>887</v>
      </c>
      <c r="J475" s="712">
        <v>45006</v>
      </c>
      <c r="K475" s="739">
        <v>0.4375</v>
      </c>
      <c r="L475" s="712">
        <v>45006</v>
      </c>
      <c r="M475" s="739">
        <v>0.47916666666666669</v>
      </c>
      <c r="N475" s="179">
        <v>1</v>
      </c>
      <c r="O475" s="184" t="s">
        <v>17</v>
      </c>
      <c r="P475" s="185" t="s">
        <v>888</v>
      </c>
      <c r="Q475" s="746" t="s">
        <v>258</v>
      </c>
      <c r="R475" s="171" t="s">
        <v>81</v>
      </c>
      <c r="S475" s="31" t="s">
        <v>273</v>
      </c>
      <c r="T475" s="31" t="s">
        <v>273</v>
      </c>
      <c r="U475" s="31">
        <f>IFERROR(VLOOKUP(CONCATENATE(Tabla1[[#This Row],[Severidad]]," ",Tabla1[[#This Row],[Complejidad]]),Catalogos!E$120:G$128,3,FALSE),"")</f>
        <v>64</v>
      </c>
      <c r="V475" s="31" t="str">
        <f>IF(Tabla1[[#This Row],[Tiempo solución max (hrs)]]&lt;&gt;"",IF(Tabla1[[#This Row],[Tiempo solución max (hrs)]]&gt;=Tabla1[[#This Row],[Tiempo
(Hrs 00/100)]],"cumple","no cumple"),"")</f>
        <v>cumple</v>
      </c>
      <c r="W475" s="376" t="s">
        <v>681</v>
      </c>
      <c r="X475" s="377" t="str">
        <f t="shared" si="63"/>
        <v>SAW</v>
      </c>
      <c r="Y475" t="str">
        <f>SUBSTITUTE(Tabla1[[#This Row],[Descripción]],CHAR(10),"    I    ")</f>
        <v xml:space="preserve">Reunion Sitio de Informes </v>
      </c>
      <c r="Z475" s="378">
        <f>VLOOKUP(Tabla1[[#This Row],[Perfil]],Catalogos!$B$75:$D$100,3,FALSE)*Tabla1[[#This Row],[Tiempo
(Hrs 00/100)]]*1.16</f>
        <v>580</v>
      </c>
    </row>
    <row r="476" spans="1:26" ht="42.75" customHeight="1" x14ac:dyDescent="0.3">
      <c r="A476" s="373" t="s">
        <v>22</v>
      </c>
      <c r="B476" s="184" t="s">
        <v>68</v>
      </c>
      <c r="C476" s="183" t="s">
        <v>16</v>
      </c>
      <c r="D476" s="179"/>
      <c r="E476" s="386" t="s">
        <v>503</v>
      </c>
      <c r="F476" s="373" t="s">
        <v>75</v>
      </c>
      <c r="G476" s="370" t="s">
        <v>435</v>
      </c>
      <c r="H476" s="387" t="s">
        <v>436</v>
      </c>
      <c r="I476" s="395" t="s">
        <v>889</v>
      </c>
      <c r="J476" s="712">
        <v>45006</v>
      </c>
      <c r="K476" s="739">
        <v>0.47916666666666669</v>
      </c>
      <c r="L476" s="712">
        <v>45006</v>
      </c>
      <c r="M476" s="739">
        <v>0.60416666666666663</v>
      </c>
      <c r="N476" s="179">
        <v>3</v>
      </c>
      <c r="O476" s="184" t="s">
        <v>17</v>
      </c>
      <c r="P476" s="185" t="s">
        <v>882</v>
      </c>
      <c r="Q476" s="746" t="s">
        <v>258</v>
      </c>
      <c r="R476" s="171" t="s">
        <v>81</v>
      </c>
      <c r="S476" s="31" t="s">
        <v>273</v>
      </c>
      <c r="T476" s="31" t="s">
        <v>273</v>
      </c>
      <c r="U476" s="31">
        <f>IFERROR(VLOOKUP(CONCATENATE(Tabla1[[#This Row],[Severidad]]," ",Tabla1[[#This Row],[Complejidad]]),Catalogos!E$120:G$128,3,FALSE),"")</f>
        <v>64</v>
      </c>
      <c r="V476" s="31" t="str">
        <f>IF(Tabla1[[#This Row],[Tiempo solución max (hrs)]]&lt;&gt;"",IF(Tabla1[[#This Row],[Tiempo solución max (hrs)]]&gt;=Tabla1[[#This Row],[Tiempo
(Hrs 00/100)]],"cumple","no cumple"),"")</f>
        <v>cumple</v>
      </c>
      <c r="W476" s="376" t="s">
        <v>681</v>
      </c>
      <c r="X476" s="377" t="str">
        <f t="shared" si="63"/>
        <v>SAW</v>
      </c>
      <c r="Y476" t="str">
        <f>SUBSTITUTE(Tabla1[[#This Row],[Descripción]],CHAR(10),"    I    ")</f>
        <v xml:space="preserve">actializacion micrositio trabajo Universitario </v>
      </c>
      <c r="Z476" s="378">
        <f>VLOOKUP(Tabla1[[#This Row],[Perfil]],Catalogos!$B$75:$D$100,3,FALSE)*Tabla1[[#This Row],[Tiempo
(Hrs 00/100)]]*1.16</f>
        <v>1739.9999999999998</v>
      </c>
    </row>
    <row r="477" spans="1:26" ht="42.75" customHeight="1" x14ac:dyDescent="0.3">
      <c r="A477" s="373" t="s">
        <v>22</v>
      </c>
      <c r="B477" s="184" t="s">
        <v>68</v>
      </c>
      <c r="C477" s="183" t="s">
        <v>16</v>
      </c>
      <c r="D477" s="179"/>
      <c r="E477" s="386" t="s">
        <v>503</v>
      </c>
      <c r="F477" s="373" t="s">
        <v>75</v>
      </c>
      <c r="G477" s="370" t="s">
        <v>435</v>
      </c>
      <c r="H477" s="387" t="s">
        <v>436</v>
      </c>
      <c r="I477" s="395" t="s">
        <v>890</v>
      </c>
      <c r="J477" s="712">
        <v>45006</v>
      </c>
      <c r="K477" s="709">
        <v>0.66666666666666663</v>
      </c>
      <c r="L477" s="712">
        <v>45006</v>
      </c>
      <c r="M477" s="739">
        <v>0.79166666666666663</v>
      </c>
      <c r="N477" s="179">
        <v>3</v>
      </c>
      <c r="O477" s="184" t="s">
        <v>17</v>
      </c>
      <c r="P477" s="389" t="s">
        <v>891</v>
      </c>
      <c r="Q477" s="746" t="s">
        <v>258</v>
      </c>
      <c r="R477" s="171" t="s">
        <v>81</v>
      </c>
      <c r="S477" s="31" t="s">
        <v>273</v>
      </c>
      <c r="T477" s="31" t="s">
        <v>273</v>
      </c>
      <c r="U477" s="31">
        <f>IFERROR(VLOOKUP(CONCATENATE(Tabla1[[#This Row],[Severidad]]," ",Tabla1[[#This Row],[Complejidad]]),Catalogos!E$120:G$128,3,FALSE),"")</f>
        <v>64</v>
      </c>
      <c r="V477" s="31" t="str">
        <f>IF(Tabla1[[#This Row],[Tiempo solución max (hrs)]]&lt;&gt;"",IF(Tabla1[[#This Row],[Tiempo solución max (hrs)]]&gt;=Tabla1[[#This Row],[Tiempo
(Hrs 00/100)]],"cumple","no cumple"),"")</f>
        <v>cumple</v>
      </c>
      <c r="W477" s="376" t="s">
        <v>681</v>
      </c>
      <c r="X477" s="377" t="str">
        <f t="shared" si="63"/>
        <v>SAW</v>
      </c>
      <c r="Y477" t="str">
        <f>SUBSTITUTE(Tabla1[[#This Row],[Descripción]],CHAR(10),"    I    ")</f>
        <v xml:space="preserve">Actualizaciones micrositio Informes de Labores </v>
      </c>
      <c r="Z477" s="378">
        <f>VLOOKUP(Tabla1[[#This Row],[Perfil]],Catalogos!$B$75:$D$100,3,FALSE)*Tabla1[[#This Row],[Tiempo
(Hrs 00/100)]]*1.16</f>
        <v>1739.9999999999998</v>
      </c>
    </row>
    <row r="478" spans="1:26" ht="42.75" customHeight="1" x14ac:dyDescent="0.3">
      <c r="A478" s="373" t="s">
        <v>22</v>
      </c>
      <c r="B478" s="184" t="s">
        <v>68</v>
      </c>
      <c r="C478" s="183" t="s">
        <v>16</v>
      </c>
      <c r="D478" s="179"/>
      <c r="E478" s="386" t="s">
        <v>503</v>
      </c>
      <c r="F478" s="373" t="s">
        <v>75</v>
      </c>
      <c r="G478" s="370" t="s">
        <v>435</v>
      </c>
      <c r="H478" s="387" t="s">
        <v>436</v>
      </c>
      <c r="I478" s="395" t="s">
        <v>892</v>
      </c>
      <c r="J478" s="712">
        <v>45007</v>
      </c>
      <c r="K478" s="709">
        <v>0.375</v>
      </c>
      <c r="L478" s="712">
        <v>45007</v>
      </c>
      <c r="M478" s="739">
        <v>0.54166666666666663</v>
      </c>
      <c r="N478" s="179">
        <v>4</v>
      </c>
      <c r="O478" s="184" t="s">
        <v>17</v>
      </c>
      <c r="P478" s="389" t="s">
        <v>864</v>
      </c>
      <c r="Q478" s="746" t="s">
        <v>258</v>
      </c>
      <c r="R478" s="171" t="s">
        <v>81</v>
      </c>
      <c r="S478" s="31" t="s">
        <v>273</v>
      </c>
      <c r="T478" s="31" t="s">
        <v>273</v>
      </c>
      <c r="U478" s="31">
        <f>IFERROR(VLOOKUP(CONCATENATE(Tabla1[[#This Row],[Severidad]]," ",Tabla1[[#This Row],[Complejidad]]),Catalogos!E$120:G$128,3,FALSE),"")</f>
        <v>64</v>
      </c>
      <c r="V478" s="31" t="str">
        <f>IF(Tabla1[[#This Row],[Tiempo solución max (hrs)]]&lt;&gt;"",IF(Tabla1[[#This Row],[Tiempo solución max (hrs)]]&gt;=Tabla1[[#This Row],[Tiempo
(Hrs 00/100)]],"cumple","no cumple"),"")</f>
        <v>cumple</v>
      </c>
      <c r="W478" s="376" t="s">
        <v>681</v>
      </c>
      <c r="X478" s="377" t="str">
        <f t="shared" si="63"/>
        <v>SAW</v>
      </c>
      <c r="Y478" t="str">
        <f>SUBSTITUTE(Tabla1[[#This Row],[Descripción]],CHAR(10),"    I    ")</f>
        <v xml:space="preserve">Solicitudes de Usuarios Pleno niños </v>
      </c>
      <c r="Z478" s="378">
        <f>VLOOKUP(Tabla1[[#This Row],[Perfil]],Catalogos!$B$75:$D$100,3,FALSE)*Tabla1[[#This Row],[Tiempo
(Hrs 00/100)]]*1.16</f>
        <v>2320</v>
      </c>
    </row>
    <row r="479" spans="1:26" ht="42.75" customHeight="1" x14ac:dyDescent="0.3">
      <c r="A479" s="373" t="s">
        <v>22</v>
      </c>
      <c r="B479" s="184" t="s">
        <v>68</v>
      </c>
      <c r="C479" s="183" t="s">
        <v>16</v>
      </c>
      <c r="D479" s="179"/>
      <c r="E479" s="386" t="s">
        <v>503</v>
      </c>
      <c r="F479" s="373" t="s">
        <v>75</v>
      </c>
      <c r="G479" s="370" t="s">
        <v>435</v>
      </c>
      <c r="H479" s="387" t="s">
        <v>436</v>
      </c>
      <c r="I479" s="395" t="s">
        <v>893</v>
      </c>
      <c r="J479" s="712">
        <v>45007</v>
      </c>
      <c r="K479" s="739">
        <v>0.54166666666666663</v>
      </c>
      <c r="L479" s="712">
        <v>45007</v>
      </c>
      <c r="M479" s="739">
        <v>0.75</v>
      </c>
      <c r="N479" s="179">
        <v>3.5</v>
      </c>
      <c r="O479" s="184" t="s">
        <v>17</v>
      </c>
      <c r="P479" s="454" t="s">
        <v>894</v>
      </c>
      <c r="Q479" s="746" t="s">
        <v>258</v>
      </c>
      <c r="R479" s="171" t="s">
        <v>81</v>
      </c>
      <c r="S479" s="31" t="s">
        <v>273</v>
      </c>
      <c r="T479" s="31" t="s">
        <v>273</v>
      </c>
      <c r="U479" s="31">
        <f>IFERROR(VLOOKUP(CONCATENATE(Tabla1[[#This Row],[Severidad]]," ",Tabla1[[#This Row],[Complejidad]]),Catalogos!E$120:G$128,3,FALSE),"")</f>
        <v>64</v>
      </c>
      <c r="V479" s="31" t="str">
        <f>IF(Tabla1[[#This Row],[Tiempo solución max (hrs)]]&lt;&gt;"",IF(Tabla1[[#This Row],[Tiempo solución max (hrs)]]&gt;=Tabla1[[#This Row],[Tiempo
(Hrs 00/100)]],"cumple","no cumple"),"")</f>
        <v>cumple</v>
      </c>
      <c r="W479" s="376" t="s">
        <v>681</v>
      </c>
      <c r="X479" s="377" t="str">
        <f t="shared" si="63"/>
        <v>SAW</v>
      </c>
      <c r="Y479" t="str">
        <f>SUBSTITUTE(Tabla1[[#This Row],[Descripción]],CHAR(10),"    I    ")</f>
        <v xml:space="preserve">Cambios micrositio Informes de Labores </v>
      </c>
      <c r="Z479" s="378">
        <f>VLOOKUP(Tabla1[[#This Row],[Perfil]],Catalogos!$B$75:$D$100,3,FALSE)*Tabla1[[#This Row],[Tiempo
(Hrs 00/100)]]*1.16</f>
        <v>2029.9999999999998</v>
      </c>
    </row>
    <row r="480" spans="1:26" ht="42.75" customHeight="1" x14ac:dyDescent="0.3">
      <c r="A480" s="373" t="s">
        <v>22</v>
      </c>
      <c r="B480" s="184" t="s">
        <v>68</v>
      </c>
      <c r="C480" s="183" t="s">
        <v>16</v>
      </c>
      <c r="D480" s="179"/>
      <c r="E480" s="386" t="s">
        <v>503</v>
      </c>
      <c r="F480" s="373" t="s">
        <v>75</v>
      </c>
      <c r="G480" s="370" t="s">
        <v>435</v>
      </c>
      <c r="H480" s="387" t="s">
        <v>436</v>
      </c>
      <c r="I480" s="395" t="s">
        <v>895</v>
      </c>
      <c r="J480" s="712">
        <v>45007</v>
      </c>
      <c r="K480" s="739">
        <v>0.75</v>
      </c>
      <c r="L480" s="712">
        <v>45007</v>
      </c>
      <c r="M480" s="739">
        <v>0.79166666666666663</v>
      </c>
      <c r="N480" s="179">
        <v>1</v>
      </c>
      <c r="O480" s="184" t="s">
        <v>17</v>
      </c>
      <c r="P480" s="185" t="s">
        <v>896</v>
      </c>
      <c r="Q480" s="746" t="s">
        <v>258</v>
      </c>
      <c r="R480" s="171" t="s">
        <v>81</v>
      </c>
      <c r="S480" s="31" t="s">
        <v>273</v>
      </c>
      <c r="T480" s="31" t="s">
        <v>273</v>
      </c>
      <c r="U480" s="31">
        <f>IFERROR(VLOOKUP(CONCATENATE(Tabla1[[#This Row],[Severidad]]," ",Tabla1[[#This Row],[Complejidad]]),Catalogos!E$120:G$128,3,FALSE),"")</f>
        <v>64</v>
      </c>
      <c r="V480" s="31" t="str">
        <f>IF(Tabla1[[#This Row],[Tiempo solución max (hrs)]]&lt;&gt;"",IF(Tabla1[[#This Row],[Tiempo solución max (hrs)]]&gt;=Tabla1[[#This Row],[Tiempo
(Hrs 00/100)]],"cumple","no cumple"),"")</f>
        <v>cumple</v>
      </c>
      <c r="W480" s="376" t="s">
        <v>681</v>
      </c>
      <c r="X480" s="377" t="str">
        <f t="shared" si="63"/>
        <v>SAW</v>
      </c>
      <c r="Y480" t="str">
        <f>SUBSTITUTE(Tabla1[[#This Row],[Descripción]],CHAR(10),"    I    ")</f>
        <v xml:space="preserve">Seguimuento de proyecto CEVINAI </v>
      </c>
      <c r="Z480" s="378">
        <f>VLOOKUP(Tabla1[[#This Row],[Perfil]],Catalogos!$B$75:$D$100,3,FALSE)*Tabla1[[#This Row],[Tiempo
(Hrs 00/100)]]*1.16</f>
        <v>580</v>
      </c>
    </row>
    <row r="481" spans="1:26" ht="42.75" customHeight="1" x14ac:dyDescent="0.3">
      <c r="A481" s="373" t="s">
        <v>22</v>
      </c>
      <c r="B481" s="184" t="s">
        <v>68</v>
      </c>
      <c r="C481" s="183" t="s">
        <v>16</v>
      </c>
      <c r="D481" s="179"/>
      <c r="E481" s="386" t="s">
        <v>503</v>
      </c>
      <c r="F481" s="373" t="s">
        <v>75</v>
      </c>
      <c r="G481" s="370" t="s">
        <v>435</v>
      </c>
      <c r="H481" s="387" t="s">
        <v>436</v>
      </c>
      <c r="I481" s="393" t="s">
        <v>897</v>
      </c>
      <c r="J481" s="712">
        <v>45008</v>
      </c>
      <c r="K481" s="709">
        <v>0.375</v>
      </c>
      <c r="L481" s="712">
        <v>45008</v>
      </c>
      <c r="M481" s="739">
        <v>0.47916666666666669</v>
      </c>
      <c r="N481" s="179">
        <v>2.5</v>
      </c>
      <c r="O481" s="184" t="s">
        <v>17</v>
      </c>
      <c r="P481" s="389" t="s">
        <v>898</v>
      </c>
      <c r="Q481" s="746" t="s">
        <v>258</v>
      </c>
      <c r="R481" s="171" t="s">
        <v>81</v>
      </c>
      <c r="S481" s="31" t="s">
        <v>273</v>
      </c>
      <c r="T481" s="31" t="s">
        <v>273</v>
      </c>
      <c r="U481" s="31">
        <f>IFERROR(VLOOKUP(CONCATENATE(Tabla1[[#This Row],[Severidad]]," ",Tabla1[[#This Row],[Complejidad]]),Catalogos!E$120:G$128,3,FALSE),"")</f>
        <v>64</v>
      </c>
      <c r="V481" s="31" t="str">
        <f>IF(Tabla1[[#This Row],[Tiempo solución max (hrs)]]&lt;&gt;"",IF(Tabla1[[#This Row],[Tiempo solución max (hrs)]]&gt;=Tabla1[[#This Row],[Tiempo
(Hrs 00/100)]],"cumple","no cumple"),"")</f>
        <v>cumple</v>
      </c>
      <c r="W481" s="376" t="s">
        <v>681</v>
      </c>
      <c r="X481" s="377" t="str">
        <f t="shared" si="63"/>
        <v>SAW</v>
      </c>
      <c r="Y481" t="str">
        <f>SUBSTITUTE(Tabla1[[#This Row],[Descripción]],CHAR(10),"    I    ")</f>
        <v xml:space="preserve">carga de Insumos Banco de Practica </v>
      </c>
      <c r="Z481" s="378">
        <f>VLOOKUP(Tabla1[[#This Row],[Perfil]],Catalogos!$B$75:$D$100,3,FALSE)*Tabla1[[#This Row],[Tiempo
(Hrs 00/100)]]*1.16</f>
        <v>1450</v>
      </c>
    </row>
    <row r="482" spans="1:26" ht="42.75" customHeight="1" x14ac:dyDescent="0.3">
      <c r="A482" s="373" t="s">
        <v>22</v>
      </c>
      <c r="B482" s="184" t="s">
        <v>68</v>
      </c>
      <c r="C482" s="183" t="s">
        <v>16</v>
      </c>
      <c r="D482" s="179"/>
      <c r="E482" s="386" t="s">
        <v>503</v>
      </c>
      <c r="F482" s="373" t="s">
        <v>75</v>
      </c>
      <c r="G482" s="370" t="s">
        <v>435</v>
      </c>
      <c r="H482" s="387" t="s">
        <v>436</v>
      </c>
      <c r="I482" s="395" t="s">
        <v>899</v>
      </c>
      <c r="J482" s="712">
        <v>45008</v>
      </c>
      <c r="K482" s="739">
        <v>0.47916666666666669</v>
      </c>
      <c r="L482" s="712">
        <v>45008</v>
      </c>
      <c r="M482" s="739">
        <v>0.52083333333333337</v>
      </c>
      <c r="N482" s="179">
        <v>1</v>
      </c>
      <c r="O482" s="184" t="s">
        <v>17</v>
      </c>
      <c r="P482" s="185" t="s">
        <v>900</v>
      </c>
      <c r="Q482" s="746" t="s">
        <v>258</v>
      </c>
      <c r="R482" s="171" t="s">
        <v>81</v>
      </c>
      <c r="S482" s="31" t="s">
        <v>273</v>
      </c>
      <c r="T482" s="31" t="s">
        <v>273</v>
      </c>
      <c r="U482" s="31">
        <f>IFERROR(VLOOKUP(CONCATENATE(Tabla1[[#This Row],[Severidad]]," ",Tabla1[[#This Row],[Complejidad]]),Catalogos!E$120:G$128,3,FALSE),"")</f>
        <v>64</v>
      </c>
      <c r="V482" s="31" t="str">
        <f>IF(Tabla1[[#This Row],[Tiempo solución max (hrs)]]&lt;&gt;"",IF(Tabla1[[#This Row],[Tiempo solución max (hrs)]]&gt;=Tabla1[[#This Row],[Tiempo
(Hrs 00/100)]],"cumple","no cumple"),"")</f>
        <v>cumple</v>
      </c>
      <c r="W482" s="376" t="s">
        <v>681</v>
      </c>
      <c r="X482" s="377" t="str">
        <f t="shared" si="63"/>
        <v>SAW</v>
      </c>
      <c r="Y482" t="str">
        <f>SUBSTITUTE(Tabla1[[#This Row],[Descripción]],CHAR(10),"    I    ")</f>
        <v>Reunion Actualizacion de actividades</v>
      </c>
      <c r="Z482" s="378">
        <f>VLOOKUP(Tabla1[[#This Row],[Perfil]],Catalogos!$B$75:$D$100,3,FALSE)*Tabla1[[#This Row],[Tiempo
(Hrs 00/100)]]*1.16</f>
        <v>580</v>
      </c>
    </row>
    <row r="483" spans="1:26" ht="42.75" customHeight="1" x14ac:dyDescent="0.3">
      <c r="A483" s="373" t="s">
        <v>22</v>
      </c>
      <c r="B483" s="184" t="s">
        <v>68</v>
      </c>
      <c r="C483" s="183" t="s">
        <v>16</v>
      </c>
      <c r="D483" s="179"/>
      <c r="E483" s="386" t="s">
        <v>503</v>
      </c>
      <c r="F483" s="373" t="s">
        <v>75</v>
      </c>
      <c r="G483" s="370" t="s">
        <v>435</v>
      </c>
      <c r="H483" s="387" t="s">
        <v>436</v>
      </c>
      <c r="I483" s="395" t="s">
        <v>866</v>
      </c>
      <c r="J483" s="712">
        <v>45008</v>
      </c>
      <c r="K483" s="739">
        <v>0.52083333333333337</v>
      </c>
      <c r="L483" s="712">
        <v>45008</v>
      </c>
      <c r="M483" s="739">
        <v>0.75</v>
      </c>
      <c r="N483" s="179">
        <v>4</v>
      </c>
      <c r="O483" s="184" t="s">
        <v>17</v>
      </c>
      <c r="P483" s="185" t="s">
        <v>838</v>
      </c>
      <c r="Q483" s="746" t="s">
        <v>258</v>
      </c>
      <c r="R483" s="171" t="s">
        <v>81</v>
      </c>
      <c r="S483" s="31" t="s">
        <v>273</v>
      </c>
      <c r="T483" s="31" t="s">
        <v>273</v>
      </c>
      <c r="U483" s="31">
        <f>IFERROR(VLOOKUP(CONCATENATE(Tabla1[[#This Row],[Severidad]]," ",Tabla1[[#This Row],[Complejidad]]),Catalogos!E$120:G$128,3,FALSE),"")</f>
        <v>64</v>
      </c>
      <c r="V483" s="31" t="str">
        <f>IF(Tabla1[[#This Row],[Tiempo solución max (hrs)]]&lt;&gt;"",IF(Tabla1[[#This Row],[Tiempo solución max (hrs)]]&gt;=Tabla1[[#This Row],[Tiempo
(Hrs 00/100)]],"cumple","no cumple"),"")</f>
        <v>cumple</v>
      </c>
      <c r="W483" s="376" t="s">
        <v>681</v>
      </c>
      <c r="X483" s="377" t="str">
        <f t="shared" si="63"/>
        <v>SAW</v>
      </c>
      <c r="Y483" t="str">
        <f>SUBSTITUTE(Tabla1[[#This Row],[Descripción]],CHAR(10),"    I    ")</f>
        <v xml:space="preserve">Actualizacion de avance de proyectos </v>
      </c>
      <c r="Z483" s="378">
        <f>VLOOKUP(Tabla1[[#This Row],[Perfil]],Catalogos!$B$75:$D$100,3,FALSE)*Tabla1[[#This Row],[Tiempo
(Hrs 00/100)]]*1.16</f>
        <v>2320</v>
      </c>
    </row>
    <row r="484" spans="1:26" ht="42.75" customHeight="1" x14ac:dyDescent="0.3">
      <c r="A484" s="373" t="s">
        <v>22</v>
      </c>
      <c r="B484" s="184" t="s">
        <v>68</v>
      </c>
      <c r="C484" s="183" t="s">
        <v>16</v>
      </c>
      <c r="D484" s="179"/>
      <c r="E484" s="386" t="s">
        <v>503</v>
      </c>
      <c r="F484" s="373" t="s">
        <v>75</v>
      </c>
      <c r="G484" s="370" t="s">
        <v>435</v>
      </c>
      <c r="H484" s="387" t="s">
        <v>436</v>
      </c>
      <c r="I484" s="394" t="s">
        <v>901</v>
      </c>
      <c r="J484" s="712">
        <v>45008</v>
      </c>
      <c r="K484" s="739">
        <v>0.75</v>
      </c>
      <c r="L484" s="712">
        <v>45008</v>
      </c>
      <c r="M484" s="739">
        <v>0.79166666666666663</v>
      </c>
      <c r="N484" s="179">
        <v>1</v>
      </c>
      <c r="O484" s="184" t="s">
        <v>17</v>
      </c>
      <c r="P484" s="185" t="s">
        <v>902</v>
      </c>
      <c r="Q484" s="746" t="s">
        <v>258</v>
      </c>
      <c r="R484" s="171" t="s">
        <v>81</v>
      </c>
      <c r="S484" s="31" t="s">
        <v>273</v>
      </c>
      <c r="T484" s="31" t="s">
        <v>273</v>
      </c>
      <c r="U484" s="31">
        <f>IFERROR(VLOOKUP(CONCATENATE(Tabla1[[#This Row],[Severidad]]," ",Tabla1[[#This Row],[Complejidad]]),Catalogos!E$120:G$128,3,FALSE),"")</f>
        <v>64</v>
      </c>
      <c r="V484" s="31" t="str">
        <f>IF(Tabla1[[#This Row],[Tiempo solución max (hrs)]]&lt;&gt;"",IF(Tabla1[[#This Row],[Tiempo solución max (hrs)]]&gt;=Tabla1[[#This Row],[Tiempo
(Hrs 00/100)]],"cumple","no cumple"),"")</f>
        <v>cumple</v>
      </c>
      <c r="W484" s="376" t="s">
        <v>681</v>
      </c>
      <c r="X484" s="377" t="str">
        <f t="shared" si="63"/>
        <v>SAW</v>
      </c>
      <c r="Y484" t="str">
        <f>SUBSTITUTE(Tabla1[[#This Row],[Descripción]],CHAR(10),"    I    ")</f>
        <v xml:space="preserve">Reunion Sitios Consultas </v>
      </c>
      <c r="Z484" s="378">
        <f>VLOOKUP(Tabla1[[#This Row],[Perfil]],Catalogos!$B$75:$D$100,3,FALSE)*Tabla1[[#This Row],[Tiempo
(Hrs 00/100)]]*1.16</f>
        <v>580</v>
      </c>
    </row>
    <row r="485" spans="1:26" ht="42.75" customHeight="1" x14ac:dyDescent="0.3">
      <c r="A485" s="373" t="s">
        <v>22</v>
      </c>
      <c r="B485" s="184" t="s">
        <v>68</v>
      </c>
      <c r="C485" s="183" t="s">
        <v>16</v>
      </c>
      <c r="D485" s="179"/>
      <c r="E485" s="386" t="s">
        <v>503</v>
      </c>
      <c r="F485" s="373" t="s">
        <v>75</v>
      </c>
      <c r="G485" s="370" t="s">
        <v>435</v>
      </c>
      <c r="H485" s="387" t="s">
        <v>436</v>
      </c>
      <c r="I485" s="388" t="s">
        <v>903</v>
      </c>
      <c r="J485" s="712">
        <v>45009</v>
      </c>
      <c r="K485" s="709">
        <v>0.375</v>
      </c>
      <c r="L485" s="712">
        <v>45009</v>
      </c>
      <c r="M485" s="739">
        <v>0.41666666666666669</v>
      </c>
      <c r="N485" s="179">
        <v>1</v>
      </c>
      <c r="O485" s="184" t="s">
        <v>17</v>
      </c>
      <c r="P485" s="389" t="s">
        <v>904</v>
      </c>
      <c r="Q485" s="746" t="s">
        <v>258</v>
      </c>
      <c r="R485" s="171" t="s">
        <v>81</v>
      </c>
      <c r="S485" s="31" t="s">
        <v>273</v>
      </c>
      <c r="T485" s="31" t="s">
        <v>273</v>
      </c>
      <c r="U485" s="31">
        <f>IFERROR(VLOOKUP(CONCATENATE(Tabla1[[#This Row],[Severidad]]," ",Tabla1[[#This Row],[Complejidad]]),Catalogos!E$120:G$128,3,FALSE),"")</f>
        <v>64</v>
      </c>
      <c r="V485" s="31" t="str">
        <f>IF(Tabla1[[#This Row],[Tiempo solución max (hrs)]]&lt;&gt;"",IF(Tabla1[[#This Row],[Tiempo solución max (hrs)]]&gt;=Tabla1[[#This Row],[Tiempo
(Hrs 00/100)]],"cumple","no cumple"),"")</f>
        <v>cumple</v>
      </c>
      <c r="W485" s="376" t="s">
        <v>681</v>
      </c>
      <c r="X485" s="377" t="str">
        <f t="shared" si="63"/>
        <v>SAW</v>
      </c>
      <c r="Y485" t="str">
        <f>SUBSTITUTE(Tabla1[[#This Row],[Descripción]],CHAR(10),"    I    ")</f>
        <v xml:space="preserve">Reunioln Avance de Proyectos </v>
      </c>
      <c r="Z485" s="378">
        <f>VLOOKUP(Tabla1[[#This Row],[Perfil]],Catalogos!$B$75:$D$100,3,FALSE)*Tabla1[[#This Row],[Tiempo
(Hrs 00/100)]]*1.16</f>
        <v>580</v>
      </c>
    </row>
    <row r="486" spans="1:26" ht="42.75" customHeight="1" x14ac:dyDescent="0.3">
      <c r="A486" s="373" t="s">
        <v>22</v>
      </c>
      <c r="B486" s="184" t="s">
        <v>68</v>
      </c>
      <c r="C486" s="183" t="s">
        <v>16</v>
      </c>
      <c r="D486" s="179"/>
      <c r="E486" s="386" t="s">
        <v>503</v>
      </c>
      <c r="F486" s="373" t="s">
        <v>75</v>
      </c>
      <c r="G486" s="370" t="s">
        <v>435</v>
      </c>
      <c r="H486" s="387" t="s">
        <v>436</v>
      </c>
      <c r="I486" s="395" t="s">
        <v>905</v>
      </c>
      <c r="J486" s="712">
        <v>45009</v>
      </c>
      <c r="K486" s="739">
        <v>0.41666666666666669</v>
      </c>
      <c r="L486" s="712">
        <v>45009</v>
      </c>
      <c r="M486" s="739">
        <v>0.45833333333333331</v>
      </c>
      <c r="N486" s="179">
        <v>1</v>
      </c>
      <c r="O486" s="184" t="s">
        <v>17</v>
      </c>
      <c r="P486" s="185" t="s">
        <v>906</v>
      </c>
      <c r="Q486" s="746" t="s">
        <v>258</v>
      </c>
      <c r="R486" s="171" t="s">
        <v>81</v>
      </c>
      <c r="S486" s="31" t="s">
        <v>273</v>
      </c>
      <c r="T486" s="31" t="s">
        <v>273</v>
      </c>
      <c r="U486" s="31">
        <f>IFERROR(VLOOKUP(CONCATENATE(Tabla1[[#This Row],[Severidad]]," ",Tabla1[[#This Row],[Complejidad]]),Catalogos!E$120:G$128,3,FALSE),"")</f>
        <v>64</v>
      </c>
      <c r="V486" s="31" t="str">
        <f>IF(Tabla1[[#This Row],[Tiempo solución max (hrs)]]&lt;&gt;"",IF(Tabla1[[#This Row],[Tiempo solución max (hrs)]]&gt;=Tabla1[[#This Row],[Tiempo
(Hrs 00/100)]],"cumple","no cumple"),"")</f>
        <v>cumple</v>
      </c>
      <c r="W486" s="376" t="s">
        <v>681</v>
      </c>
      <c r="X486" s="377" t="str">
        <f t="shared" si="63"/>
        <v>SAW</v>
      </c>
      <c r="Y486" t="str">
        <f>SUBSTITUTE(Tabla1[[#This Row],[Descripción]],CHAR(10),"    I    ")</f>
        <v xml:space="preserve">Reunion Revision de Anexo </v>
      </c>
      <c r="Z486" s="378">
        <f>VLOOKUP(Tabla1[[#This Row],[Perfil]],Catalogos!$B$75:$D$100,3,FALSE)*Tabla1[[#This Row],[Tiempo
(Hrs 00/100)]]*1.16</f>
        <v>580</v>
      </c>
    </row>
    <row r="487" spans="1:26" ht="42.75" customHeight="1" x14ac:dyDescent="0.3">
      <c r="A487" s="373" t="s">
        <v>22</v>
      </c>
      <c r="B487" s="184" t="s">
        <v>68</v>
      </c>
      <c r="C487" s="183" t="s">
        <v>16</v>
      </c>
      <c r="D487" s="179"/>
      <c r="E487" s="386" t="s">
        <v>503</v>
      </c>
      <c r="F487" s="373" t="s">
        <v>75</v>
      </c>
      <c r="G487" s="370" t="s">
        <v>435</v>
      </c>
      <c r="H487" s="387" t="s">
        <v>436</v>
      </c>
      <c r="I487" s="395" t="s">
        <v>907</v>
      </c>
      <c r="J487" s="712">
        <v>45009</v>
      </c>
      <c r="K487" s="739">
        <v>0.45833333333333331</v>
      </c>
      <c r="L487" s="712">
        <v>45009</v>
      </c>
      <c r="M487" s="739">
        <v>0.58333333333333337</v>
      </c>
      <c r="N487" s="179">
        <v>3</v>
      </c>
      <c r="O487" s="184" t="s">
        <v>17</v>
      </c>
      <c r="P487" s="389" t="s">
        <v>908</v>
      </c>
      <c r="Q487" s="746" t="s">
        <v>258</v>
      </c>
      <c r="R487" s="171" t="s">
        <v>81</v>
      </c>
      <c r="S487" s="31" t="s">
        <v>273</v>
      </c>
      <c r="T487" s="31" t="s">
        <v>273</v>
      </c>
      <c r="U487" s="31">
        <f>IFERROR(VLOOKUP(CONCATENATE(Tabla1[[#This Row],[Severidad]]," ",Tabla1[[#This Row],[Complejidad]]),Catalogos!E$120:G$128,3,FALSE),"")</f>
        <v>64</v>
      </c>
      <c r="V487" s="31" t="str">
        <f>IF(Tabla1[[#This Row],[Tiempo solución max (hrs)]]&lt;&gt;"",IF(Tabla1[[#This Row],[Tiempo solución max (hrs)]]&gt;=Tabla1[[#This Row],[Tiempo
(Hrs 00/100)]],"cumple","no cumple"),"")</f>
        <v>cumple</v>
      </c>
      <c r="W487" s="376" t="s">
        <v>681</v>
      </c>
      <c r="X487" s="377" t="str">
        <f t="shared" si="63"/>
        <v>SAW</v>
      </c>
      <c r="Y487" t="str">
        <f>SUBSTITUTE(Tabla1[[#This Row],[Descripción]],CHAR(10),"    I    ")</f>
        <v xml:space="preserve">Actualizacion micrositio Identidad segura </v>
      </c>
      <c r="Z487" s="378">
        <f>VLOOKUP(Tabla1[[#This Row],[Perfil]],Catalogos!$B$75:$D$100,3,FALSE)*Tabla1[[#This Row],[Tiempo
(Hrs 00/100)]]*1.16</f>
        <v>1739.9999999999998</v>
      </c>
    </row>
    <row r="488" spans="1:26" ht="42.75" customHeight="1" x14ac:dyDescent="0.3">
      <c r="A488" s="373" t="s">
        <v>22</v>
      </c>
      <c r="B488" s="184" t="s">
        <v>68</v>
      </c>
      <c r="C488" s="183" t="s">
        <v>16</v>
      </c>
      <c r="D488" s="179"/>
      <c r="E488" s="386" t="s">
        <v>503</v>
      </c>
      <c r="F488" s="373" t="s">
        <v>75</v>
      </c>
      <c r="G488" s="370" t="s">
        <v>435</v>
      </c>
      <c r="H488" s="387" t="s">
        <v>436</v>
      </c>
      <c r="I488" s="393" t="s">
        <v>909</v>
      </c>
      <c r="J488" s="712">
        <v>45009</v>
      </c>
      <c r="K488" s="739">
        <v>0.58333333333333337</v>
      </c>
      <c r="L488" s="712">
        <v>45009</v>
      </c>
      <c r="M488" s="739">
        <v>0.625</v>
      </c>
      <c r="N488" s="179">
        <v>1</v>
      </c>
      <c r="O488" s="184" t="s">
        <v>17</v>
      </c>
      <c r="P488" s="185" t="s">
        <v>898</v>
      </c>
      <c r="Q488" s="746" t="s">
        <v>258</v>
      </c>
      <c r="R488" s="171" t="s">
        <v>81</v>
      </c>
      <c r="S488" s="31" t="s">
        <v>273</v>
      </c>
      <c r="T488" s="31" t="s">
        <v>273</v>
      </c>
      <c r="U488" s="31">
        <f>IFERROR(VLOOKUP(CONCATENATE(Tabla1[[#This Row],[Severidad]]," ",Tabla1[[#This Row],[Complejidad]]),Catalogos!E$120:G$128,3,FALSE),"")</f>
        <v>64</v>
      </c>
      <c r="V488" s="31" t="str">
        <f>IF(Tabla1[[#This Row],[Tiempo solución max (hrs)]]&lt;&gt;"",IF(Tabla1[[#This Row],[Tiempo solución max (hrs)]]&gt;=Tabla1[[#This Row],[Tiempo
(Hrs 00/100)]],"cumple","no cumple"),"")</f>
        <v>cumple</v>
      </c>
      <c r="W488" s="376" t="s">
        <v>681</v>
      </c>
      <c r="X488" s="377" t="str">
        <f t="shared" si="63"/>
        <v>SAW</v>
      </c>
      <c r="Y488" t="str">
        <f>SUBSTITUTE(Tabla1[[#This Row],[Descripción]],CHAR(10),"    I    ")</f>
        <v xml:space="preserve">Modificacion Banco de Practica </v>
      </c>
      <c r="Z488" s="378">
        <f>VLOOKUP(Tabla1[[#This Row],[Perfil]],Catalogos!$B$75:$D$100,3,FALSE)*Tabla1[[#This Row],[Tiempo
(Hrs 00/100)]]*1.16</f>
        <v>580</v>
      </c>
    </row>
    <row r="489" spans="1:26" ht="42.75" customHeight="1" x14ac:dyDescent="0.3">
      <c r="A489" s="373" t="s">
        <v>22</v>
      </c>
      <c r="B489" s="184" t="s">
        <v>68</v>
      </c>
      <c r="C489" s="183" t="s">
        <v>16</v>
      </c>
      <c r="D489" s="179"/>
      <c r="E489" s="386" t="s">
        <v>503</v>
      </c>
      <c r="F489" s="373" t="s">
        <v>75</v>
      </c>
      <c r="G489" s="370" t="s">
        <v>435</v>
      </c>
      <c r="H489" s="387" t="s">
        <v>436</v>
      </c>
      <c r="I489" s="395" t="s">
        <v>893</v>
      </c>
      <c r="J489" s="712">
        <v>45012</v>
      </c>
      <c r="K489" s="739">
        <v>0.375</v>
      </c>
      <c r="L489" s="712">
        <v>45012</v>
      </c>
      <c r="M489" s="739">
        <v>0.47916666666666669</v>
      </c>
      <c r="N489" s="179">
        <v>2.5</v>
      </c>
      <c r="O489" s="184" t="s">
        <v>17</v>
      </c>
      <c r="P489" s="454" t="s">
        <v>894</v>
      </c>
      <c r="Q489" s="746" t="s">
        <v>258</v>
      </c>
      <c r="R489" s="171" t="s">
        <v>81</v>
      </c>
      <c r="S489" s="31" t="s">
        <v>273</v>
      </c>
      <c r="T489" s="31" t="s">
        <v>273</v>
      </c>
      <c r="U489" s="31">
        <f>IFERROR(VLOOKUP(CONCATENATE(Tabla1[[#This Row],[Severidad]]," ",Tabla1[[#This Row],[Complejidad]]),Catalogos!E$120:G$128,3,FALSE),"")</f>
        <v>64</v>
      </c>
      <c r="V489" s="31" t="str">
        <f>IF(Tabla1[[#This Row],[Tiempo solución max (hrs)]]&lt;&gt;"",IF(Tabla1[[#This Row],[Tiempo solución max (hrs)]]&gt;=Tabla1[[#This Row],[Tiempo
(Hrs 00/100)]],"cumple","no cumple"),"")</f>
        <v>cumple</v>
      </c>
      <c r="W489" s="376" t="s">
        <v>681</v>
      </c>
      <c r="X489" s="377" t="str">
        <f t="shared" si="63"/>
        <v>SAW</v>
      </c>
      <c r="Y489" t="str">
        <f>SUBSTITUTE(Tabla1[[#This Row],[Descripción]],CHAR(10),"    I    ")</f>
        <v xml:space="preserve">Cambios micrositio Informes de Labores </v>
      </c>
      <c r="Z489" s="378">
        <f>VLOOKUP(Tabla1[[#This Row],[Perfil]],Catalogos!$B$75:$D$100,3,FALSE)*Tabla1[[#This Row],[Tiempo
(Hrs 00/100)]]*1.16</f>
        <v>1450</v>
      </c>
    </row>
    <row r="490" spans="1:26" ht="42.75" customHeight="1" x14ac:dyDescent="0.3">
      <c r="A490" s="373" t="s">
        <v>22</v>
      </c>
      <c r="B490" s="184" t="s">
        <v>68</v>
      </c>
      <c r="C490" s="183" t="s">
        <v>16</v>
      </c>
      <c r="D490" s="179"/>
      <c r="E490" s="386" t="s">
        <v>503</v>
      </c>
      <c r="F490" s="373" t="s">
        <v>75</v>
      </c>
      <c r="G490" s="370" t="s">
        <v>435</v>
      </c>
      <c r="H490" s="387" t="s">
        <v>436</v>
      </c>
      <c r="I490" s="393" t="s">
        <v>885</v>
      </c>
      <c r="J490" s="712">
        <v>45012</v>
      </c>
      <c r="K490" s="739">
        <v>0.47916666666666669</v>
      </c>
      <c r="L490" s="712">
        <v>45012</v>
      </c>
      <c r="M490" s="739">
        <v>0.60416666666666663</v>
      </c>
      <c r="N490" s="179">
        <v>3</v>
      </c>
      <c r="O490" s="184" t="s">
        <v>17</v>
      </c>
      <c r="P490" s="185" t="s">
        <v>886</v>
      </c>
      <c r="Q490" s="746" t="s">
        <v>258</v>
      </c>
      <c r="R490" s="171" t="s">
        <v>81</v>
      </c>
      <c r="S490" s="31" t="s">
        <v>273</v>
      </c>
      <c r="T490" s="31" t="s">
        <v>273</v>
      </c>
      <c r="U490" s="31">
        <f>IFERROR(VLOOKUP(CONCATENATE(Tabla1[[#This Row],[Severidad]]," ",Tabla1[[#This Row],[Complejidad]]),Catalogos!E$120:G$128,3,FALSE),"")</f>
        <v>64</v>
      </c>
      <c r="V490" s="31" t="str">
        <f>IF(Tabla1[[#This Row],[Tiempo solución max (hrs)]]&lt;&gt;"",IF(Tabla1[[#This Row],[Tiempo solución max (hrs)]]&gt;=Tabla1[[#This Row],[Tiempo
(Hrs 00/100)]],"cumple","no cumple"),"")</f>
        <v>cumple</v>
      </c>
      <c r="W490" s="376" t="s">
        <v>681</v>
      </c>
      <c r="X490" s="377" t="str">
        <f t="shared" si="63"/>
        <v>SAW</v>
      </c>
      <c r="Y490" t="str">
        <f>SUBSTITUTE(Tabla1[[#This Row],[Descripción]],CHAR(10),"    I    ")</f>
        <v>Registro de evento Pagina web "Guia de apoyo"</v>
      </c>
      <c r="Z490" s="378">
        <f>VLOOKUP(Tabla1[[#This Row],[Perfil]],Catalogos!$B$75:$D$100,3,FALSE)*Tabla1[[#This Row],[Tiempo
(Hrs 00/100)]]*1.16</f>
        <v>1739.9999999999998</v>
      </c>
    </row>
    <row r="491" spans="1:26" ht="42.75" customHeight="1" x14ac:dyDescent="0.3">
      <c r="A491" s="373" t="s">
        <v>22</v>
      </c>
      <c r="B491" s="184" t="s">
        <v>68</v>
      </c>
      <c r="C491" s="183" t="s">
        <v>16</v>
      </c>
      <c r="D491" s="179"/>
      <c r="E491" s="386" t="s">
        <v>503</v>
      </c>
      <c r="F491" s="373" t="s">
        <v>75</v>
      </c>
      <c r="G491" s="370" t="s">
        <v>435</v>
      </c>
      <c r="H491" s="387" t="s">
        <v>436</v>
      </c>
      <c r="I491" s="395" t="s">
        <v>866</v>
      </c>
      <c r="J491" s="712">
        <v>45012</v>
      </c>
      <c r="K491" s="709">
        <v>0.66666666666666663</v>
      </c>
      <c r="L491" s="712">
        <v>45012</v>
      </c>
      <c r="M491" s="739">
        <v>0.79166666666666663</v>
      </c>
      <c r="N491" s="179">
        <v>3</v>
      </c>
      <c r="O491" s="184" t="s">
        <v>17</v>
      </c>
      <c r="P491" s="185" t="s">
        <v>838</v>
      </c>
      <c r="Q491" s="746" t="s">
        <v>258</v>
      </c>
      <c r="R491" s="171" t="s">
        <v>81</v>
      </c>
      <c r="S491" s="31" t="s">
        <v>273</v>
      </c>
      <c r="T491" s="31" t="s">
        <v>273</v>
      </c>
      <c r="U491" s="31">
        <f>IFERROR(VLOOKUP(CONCATENATE(Tabla1[[#This Row],[Severidad]]," ",Tabla1[[#This Row],[Complejidad]]),Catalogos!E$120:G$128,3,FALSE),"")</f>
        <v>64</v>
      </c>
      <c r="V491" s="31" t="str">
        <f>IF(Tabla1[[#This Row],[Tiempo solución max (hrs)]]&lt;&gt;"",IF(Tabla1[[#This Row],[Tiempo solución max (hrs)]]&gt;=Tabla1[[#This Row],[Tiempo
(Hrs 00/100)]],"cumple","no cumple"),"")</f>
        <v>cumple</v>
      </c>
      <c r="W491" s="376" t="s">
        <v>681</v>
      </c>
      <c r="X491" s="377" t="str">
        <f t="shared" si="63"/>
        <v>SAW</v>
      </c>
      <c r="Y491" t="str">
        <f>SUBSTITUTE(Tabla1[[#This Row],[Descripción]],CHAR(10),"    I    ")</f>
        <v xml:space="preserve">Actualizacion de avance de proyectos </v>
      </c>
      <c r="Z491" s="378">
        <f>VLOOKUP(Tabla1[[#This Row],[Perfil]],Catalogos!$B$75:$D$100,3,FALSE)*Tabla1[[#This Row],[Tiempo
(Hrs 00/100)]]*1.16</f>
        <v>1739.9999999999998</v>
      </c>
    </row>
    <row r="492" spans="1:26" ht="42.75" customHeight="1" x14ac:dyDescent="0.3">
      <c r="A492" s="373" t="s">
        <v>22</v>
      </c>
      <c r="B492" s="184" t="s">
        <v>68</v>
      </c>
      <c r="C492" s="183" t="s">
        <v>16</v>
      </c>
      <c r="D492" s="179"/>
      <c r="E492" s="386" t="s">
        <v>503</v>
      </c>
      <c r="F492" s="373" t="s">
        <v>75</v>
      </c>
      <c r="G492" s="370" t="s">
        <v>435</v>
      </c>
      <c r="H492" s="387" t="s">
        <v>436</v>
      </c>
      <c r="I492" s="393" t="s">
        <v>883</v>
      </c>
      <c r="J492" s="712">
        <v>45013</v>
      </c>
      <c r="K492" s="709">
        <v>0.375</v>
      </c>
      <c r="L492" s="712">
        <v>45013</v>
      </c>
      <c r="M492" s="739">
        <v>0.45833333333333331</v>
      </c>
      <c r="N492" s="179">
        <v>2</v>
      </c>
      <c r="O492" s="184" t="s">
        <v>17</v>
      </c>
      <c r="P492" s="389" t="s">
        <v>898</v>
      </c>
      <c r="Q492" s="746" t="s">
        <v>258</v>
      </c>
      <c r="R492" s="171" t="s">
        <v>81</v>
      </c>
      <c r="S492" s="31" t="s">
        <v>273</v>
      </c>
      <c r="T492" s="31" t="s">
        <v>273</v>
      </c>
      <c r="U492" s="31">
        <f>IFERROR(VLOOKUP(CONCATENATE(Tabla1[[#This Row],[Severidad]]," ",Tabla1[[#This Row],[Complejidad]]),Catalogos!E$120:G$128,3,FALSE),"")</f>
        <v>64</v>
      </c>
      <c r="V492" s="31" t="str">
        <f>IF(Tabla1[[#This Row],[Tiempo solución max (hrs)]]&lt;&gt;"",IF(Tabla1[[#This Row],[Tiempo solución max (hrs)]]&gt;=Tabla1[[#This Row],[Tiempo
(Hrs 00/100)]],"cumple","no cumple"),"")</f>
        <v>cumple</v>
      </c>
      <c r="W492" s="376" t="s">
        <v>681</v>
      </c>
      <c r="X492" s="377" t="str">
        <f t="shared" si="63"/>
        <v>SAW</v>
      </c>
      <c r="Y492" t="str">
        <f>SUBSTITUTE(Tabla1[[#This Row],[Descripción]],CHAR(10),"    I    ")</f>
        <v xml:space="preserve">Actualizacion Banco de Practica </v>
      </c>
      <c r="Z492" s="378">
        <f>VLOOKUP(Tabla1[[#This Row],[Perfil]],Catalogos!$B$75:$D$100,3,FALSE)*Tabla1[[#This Row],[Tiempo
(Hrs 00/100)]]*1.16</f>
        <v>1160</v>
      </c>
    </row>
    <row r="493" spans="1:26" ht="42.75" customHeight="1" x14ac:dyDescent="0.3">
      <c r="A493" s="373" t="s">
        <v>22</v>
      </c>
      <c r="B493" s="184" t="s">
        <v>68</v>
      </c>
      <c r="C493" s="183" t="s">
        <v>16</v>
      </c>
      <c r="D493" s="179"/>
      <c r="E493" s="386" t="s">
        <v>503</v>
      </c>
      <c r="F493" s="373" t="s">
        <v>75</v>
      </c>
      <c r="G493" s="370" t="s">
        <v>435</v>
      </c>
      <c r="H493" s="387" t="s">
        <v>436</v>
      </c>
      <c r="I493" s="395" t="s">
        <v>889</v>
      </c>
      <c r="J493" s="712">
        <v>45013</v>
      </c>
      <c r="K493" s="739">
        <v>0.45833333333333331</v>
      </c>
      <c r="L493" s="712">
        <v>45013</v>
      </c>
      <c r="M493" s="739">
        <v>0.72916666666666663</v>
      </c>
      <c r="N493" s="179">
        <v>4</v>
      </c>
      <c r="O493" s="184" t="s">
        <v>17</v>
      </c>
      <c r="P493" s="185" t="s">
        <v>882</v>
      </c>
      <c r="Q493" s="746" t="s">
        <v>258</v>
      </c>
      <c r="R493" s="171" t="s">
        <v>81</v>
      </c>
      <c r="S493" s="31" t="s">
        <v>273</v>
      </c>
      <c r="T493" s="31" t="s">
        <v>273</v>
      </c>
      <c r="U493" s="31">
        <f>IFERROR(VLOOKUP(CONCATENATE(Tabla1[[#This Row],[Severidad]]," ",Tabla1[[#This Row],[Complejidad]]),Catalogos!E$120:G$128,3,FALSE),"")</f>
        <v>64</v>
      </c>
      <c r="V493" s="31" t="str">
        <f>IF(Tabla1[[#This Row],[Tiempo solución max (hrs)]]&lt;&gt;"",IF(Tabla1[[#This Row],[Tiempo solución max (hrs)]]&gt;=Tabla1[[#This Row],[Tiempo
(Hrs 00/100)]],"cumple","no cumple"),"")</f>
        <v>cumple</v>
      </c>
      <c r="W493" s="376" t="s">
        <v>681</v>
      </c>
      <c r="X493" s="377" t="str">
        <f t="shared" si="63"/>
        <v>SAW</v>
      </c>
      <c r="Y493" t="str">
        <f>SUBSTITUTE(Tabla1[[#This Row],[Descripción]],CHAR(10),"    I    ")</f>
        <v xml:space="preserve">actializacion micrositio trabajo Universitario </v>
      </c>
      <c r="Z493" s="378">
        <f>VLOOKUP(Tabla1[[#This Row],[Perfil]],Catalogos!$B$75:$D$100,3,FALSE)*Tabla1[[#This Row],[Tiempo
(Hrs 00/100)]]*1.16</f>
        <v>2320</v>
      </c>
    </row>
    <row r="494" spans="1:26" ht="42.75" customHeight="1" x14ac:dyDescent="0.3">
      <c r="A494" s="373" t="s">
        <v>22</v>
      </c>
      <c r="B494" s="184" t="s">
        <v>68</v>
      </c>
      <c r="C494" s="183" t="s">
        <v>16</v>
      </c>
      <c r="D494" s="179"/>
      <c r="E494" s="386" t="s">
        <v>503</v>
      </c>
      <c r="F494" s="373" t="s">
        <v>75</v>
      </c>
      <c r="G494" s="370" t="s">
        <v>435</v>
      </c>
      <c r="H494" s="387" t="s">
        <v>436</v>
      </c>
      <c r="I494" s="393" t="s">
        <v>910</v>
      </c>
      <c r="J494" s="712">
        <v>45013</v>
      </c>
      <c r="K494" s="739">
        <v>0.72916666666666663</v>
      </c>
      <c r="L494" s="712">
        <v>45013</v>
      </c>
      <c r="M494" s="739">
        <v>0.79166666666666663</v>
      </c>
      <c r="N494" s="179">
        <v>2.5</v>
      </c>
      <c r="O494" s="184" t="s">
        <v>17</v>
      </c>
      <c r="P494" s="389" t="s">
        <v>841</v>
      </c>
      <c r="Q494" s="746" t="s">
        <v>258</v>
      </c>
      <c r="R494" s="171" t="s">
        <v>81</v>
      </c>
      <c r="S494" s="31" t="s">
        <v>273</v>
      </c>
      <c r="T494" s="31" t="s">
        <v>273</v>
      </c>
      <c r="U494" s="31">
        <f>IFERROR(VLOOKUP(CONCATENATE(Tabla1[[#This Row],[Severidad]]," ",Tabla1[[#This Row],[Complejidad]]),Catalogos!E$120:G$128,3,FALSE),"")</f>
        <v>64</v>
      </c>
      <c r="V494" s="31" t="str">
        <f>IF(Tabla1[[#This Row],[Tiempo solución max (hrs)]]&lt;&gt;"",IF(Tabla1[[#This Row],[Tiempo solución max (hrs)]]&gt;=Tabla1[[#This Row],[Tiempo
(Hrs 00/100)]],"cumple","no cumple"),"")</f>
        <v>cumple</v>
      </c>
      <c r="W494" s="376" t="s">
        <v>681</v>
      </c>
      <c r="X494" s="377" t="str">
        <f t="shared" si="63"/>
        <v>SAW</v>
      </c>
      <c r="Y494" t="str">
        <f>SUBSTITUTE(Tabla1[[#This Row],[Descripción]],CHAR(10),"    I    ")</f>
        <v xml:space="preserve">Actualizacion informacion grafica </v>
      </c>
      <c r="Z494" s="378">
        <f>VLOOKUP(Tabla1[[#This Row],[Perfil]],Catalogos!$B$75:$D$100,3,FALSE)*Tabla1[[#This Row],[Tiempo
(Hrs 00/100)]]*1.16</f>
        <v>1450</v>
      </c>
    </row>
    <row r="495" spans="1:26" ht="42.75" customHeight="1" x14ac:dyDescent="0.3">
      <c r="A495" s="373" t="s">
        <v>22</v>
      </c>
      <c r="B495" s="184" t="s">
        <v>68</v>
      </c>
      <c r="C495" s="183" t="s">
        <v>16</v>
      </c>
      <c r="D495" s="179"/>
      <c r="E495" s="386" t="s">
        <v>503</v>
      </c>
      <c r="F495" s="373" t="s">
        <v>75</v>
      </c>
      <c r="G495" s="370" t="s">
        <v>435</v>
      </c>
      <c r="H495" s="387" t="s">
        <v>436</v>
      </c>
      <c r="I495" s="393" t="s">
        <v>883</v>
      </c>
      <c r="J495" s="712">
        <v>45014</v>
      </c>
      <c r="K495" s="709">
        <v>0.375</v>
      </c>
      <c r="L495" s="712">
        <v>45014</v>
      </c>
      <c r="M495" s="739">
        <v>0.45833333333333331</v>
      </c>
      <c r="N495" s="179">
        <v>2</v>
      </c>
      <c r="O495" s="184" t="s">
        <v>17</v>
      </c>
      <c r="P495" s="389" t="s">
        <v>898</v>
      </c>
      <c r="Q495" s="746" t="s">
        <v>258</v>
      </c>
      <c r="R495" s="171" t="s">
        <v>81</v>
      </c>
      <c r="S495" s="31" t="s">
        <v>273</v>
      </c>
      <c r="T495" s="31" t="s">
        <v>273</v>
      </c>
      <c r="U495" s="31">
        <f>IFERROR(VLOOKUP(CONCATENATE(Tabla1[[#This Row],[Severidad]]," ",Tabla1[[#This Row],[Complejidad]]),Catalogos!E$120:G$128,3,FALSE),"")</f>
        <v>64</v>
      </c>
      <c r="V495" s="31" t="str">
        <f>IF(Tabla1[[#This Row],[Tiempo solución max (hrs)]]&lt;&gt;"",IF(Tabla1[[#This Row],[Tiempo solución max (hrs)]]&gt;=Tabla1[[#This Row],[Tiempo
(Hrs 00/100)]],"cumple","no cumple"),"")</f>
        <v>cumple</v>
      </c>
      <c r="W495" s="376" t="s">
        <v>681</v>
      </c>
      <c r="X495" s="377" t="str">
        <f t="shared" si="63"/>
        <v>SAW</v>
      </c>
      <c r="Y495" t="str">
        <f>SUBSTITUTE(Tabla1[[#This Row],[Descripción]],CHAR(10),"    I    ")</f>
        <v xml:space="preserve">Actualizacion Banco de Practica </v>
      </c>
      <c r="Z495" s="378">
        <f>VLOOKUP(Tabla1[[#This Row],[Perfil]],Catalogos!$B$75:$D$100,3,FALSE)*Tabla1[[#This Row],[Tiempo
(Hrs 00/100)]]*1.16</f>
        <v>1160</v>
      </c>
    </row>
    <row r="496" spans="1:26" ht="42.75" customHeight="1" x14ac:dyDescent="0.3">
      <c r="A496" s="373" t="s">
        <v>22</v>
      </c>
      <c r="B496" s="184" t="s">
        <v>68</v>
      </c>
      <c r="C496" s="183" t="s">
        <v>16</v>
      </c>
      <c r="D496" s="179"/>
      <c r="E496" s="386" t="s">
        <v>503</v>
      </c>
      <c r="F496" s="373" t="s">
        <v>75</v>
      </c>
      <c r="G496" s="370" t="s">
        <v>435</v>
      </c>
      <c r="H496" s="387" t="s">
        <v>436</v>
      </c>
      <c r="I496" s="395" t="s">
        <v>855</v>
      </c>
      <c r="J496" s="712">
        <v>45014</v>
      </c>
      <c r="K496" s="739">
        <v>0.45833333333333331</v>
      </c>
      <c r="L496" s="712">
        <v>45014</v>
      </c>
      <c r="M496" s="739">
        <v>0.5</v>
      </c>
      <c r="N496" s="179">
        <v>1</v>
      </c>
      <c r="O496" s="184" t="s">
        <v>17</v>
      </c>
      <c r="P496" s="389" t="s">
        <v>856</v>
      </c>
      <c r="Q496" s="746" t="s">
        <v>258</v>
      </c>
      <c r="R496" s="171" t="s">
        <v>81</v>
      </c>
      <c r="S496" s="31" t="s">
        <v>273</v>
      </c>
      <c r="T496" s="31" t="s">
        <v>273</v>
      </c>
      <c r="U496" s="31">
        <f>IFERROR(VLOOKUP(CONCATENATE(Tabla1[[#This Row],[Severidad]]," ",Tabla1[[#This Row],[Complejidad]]),Catalogos!E$120:G$128,3,FALSE),"")</f>
        <v>64</v>
      </c>
      <c r="V496" s="31" t="str">
        <f>IF(Tabla1[[#This Row],[Tiempo solución max (hrs)]]&lt;&gt;"",IF(Tabla1[[#This Row],[Tiempo solución max (hrs)]]&gt;=Tabla1[[#This Row],[Tiempo
(Hrs 00/100)]],"cumple","no cumple"),"")</f>
        <v>cumple</v>
      </c>
      <c r="W496" s="376" t="s">
        <v>681</v>
      </c>
      <c r="X496" s="377" t="str">
        <f t="shared" si="63"/>
        <v>SAW</v>
      </c>
      <c r="Y496" t="str">
        <f>SUBSTITUTE(Tabla1[[#This Row],[Descripción]],CHAR(10),"    I    ")</f>
        <v xml:space="preserve">Validacion pagina web Registro de eventos </v>
      </c>
      <c r="Z496" s="378">
        <f>VLOOKUP(Tabla1[[#This Row],[Perfil]],Catalogos!$B$75:$D$100,3,FALSE)*Tabla1[[#This Row],[Tiempo
(Hrs 00/100)]]*1.16</f>
        <v>580</v>
      </c>
    </row>
    <row r="497" spans="1:26" ht="42.75" customHeight="1" x14ac:dyDescent="0.3">
      <c r="A497" s="373" t="s">
        <v>22</v>
      </c>
      <c r="B497" s="184" t="s">
        <v>68</v>
      </c>
      <c r="C497" s="183" t="s">
        <v>16</v>
      </c>
      <c r="D497" s="179"/>
      <c r="E497" s="386" t="s">
        <v>503</v>
      </c>
      <c r="F497" s="373" t="s">
        <v>75</v>
      </c>
      <c r="G497" s="370" t="s">
        <v>435</v>
      </c>
      <c r="H497" s="387" t="s">
        <v>436</v>
      </c>
      <c r="I497" s="455" t="s">
        <v>911</v>
      </c>
      <c r="J497" s="712">
        <v>45014</v>
      </c>
      <c r="K497" s="739">
        <v>0.5</v>
      </c>
      <c r="L497" s="712">
        <v>45014</v>
      </c>
      <c r="M497" s="739">
        <v>0.72916666666666663</v>
      </c>
      <c r="N497" s="179">
        <v>4</v>
      </c>
      <c r="O497" s="184" t="s">
        <v>17</v>
      </c>
      <c r="P497" s="185" t="s">
        <v>898</v>
      </c>
      <c r="Q497" s="746" t="s">
        <v>258</v>
      </c>
      <c r="R497" s="171" t="s">
        <v>81</v>
      </c>
      <c r="S497" s="31" t="s">
        <v>273</v>
      </c>
      <c r="T497" s="31" t="s">
        <v>273</v>
      </c>
      <c r="U497" s="31">
        <f>IFERROR(VLOOKUP(CONCATENATE(Tabla1[[#This Row],[Severidad]]," ",Tabla1[[#This Row],[Complejidad]]),Catalogos!E$120:G$128,3,FALSE),"")</f>
        <v>64</v>
      </c>
      <c r="V497" s="31" t="str">
        <f>IF(Tabla1[[#This Row],[Tiempo solución max (hrs)]]&lt;&gt;"",IF(Tabla1[[#This Row],[Tiempo solución max (hrs)]]&gt;=Tabla1[[#This Row],[Tiempo
(Hrs 00/100)]],"cumple","no cumple"),"")</f>
        <v>cumple</v>
      </c>
      <c r="W497" s="376" t="s">
        <v>681</v>
      </c>
      <c r="X497" s="377" t="str">
        <f t="shared" si="63"/>
        <v>SAW</v>
      </c>
      <c r="Y497" t="str">
        <f>SUBSTITUTE(Tabla1[[#This Row],[Descripción]],CHAR(10),"    I    ")</f>
        <v xml:space="preserve">Validacion Banco de Practica </v>
      </c>
      <c r="Z497" s="378">
        <f>VLOOKUP(Tabla1[[#This Row],[Perfil]],Catalogos!$B$75:$D$100,3,FALSE)*Tabla1[[#This Row],[Tiempo
(Hrs 00/100)]]*1.16</f>
        <v>2320</v>
      </c>
    </row>
    <row r="498" spans="1:26" ht="42.75" customHeight="1" x14ac:dyDescent="0.3">
      <c r="A498" s="373" t="s">
        <v>22</v>
      </c>
      <c r="B498" s="184" t="s">
        <v>68</v>
      </c>
      <c r="C498" s="183" t="s">
        <v>16</v>
      </c>
      <c r="D498" s="179"/>
      <c r="E498" s="386" t="s">
        <v>503</v>
      </c>
      <c r="F498" s="373" t="s">
        <v>75</v>
      </c>
      <c r="G498" s="370" t="s">
        <v>435</v>
      </c>
      <c r="H498" s="387" t="s">
        <v>436</v>
      </c>
      <c r="I498" s="456" t="s">
        <v>912</v>
      </c>
      <c r="J498" s="712">
        <v>45014</v>
      </c>
      <c r="K498" s="739">
        <v>0.72916666666666663</v>
      </c>
      <c r="L498" s="712">
        <v>45014</v>
      </c>
      <c r="M498" s="739">
        <v>0.79166666666666663</v>
      </c>
      <c r="N498" s="179">
        <v>1.5</v>
      </c>
      <c r="O498" s="184" t="s">
        <v>17</v>
      </c>
      <c r="P498" s="185" t="s">
        <v>877</v>
      </c>
      <c r="Q498" s="746" t="s">
        <v>258</v>
      </c>
      <c r="R498" s="171" t="s">
        <v>81</v>
      </c>
      <c r="S498" s="31" t="s">
        <v>273</v>
      </c>
      <c r="T498" s="31" t="s">
        <v>273</v>
      </c>
      <c r="U498" s="31">
        <f>IFERROR(VLOOKUP(CONCATENATE(Tabla1[[#This Row],[Severidad]]," ",Tabla1[[#This Row],[Complejidad]]),Catalogos!E$120:G$128,3,FALSE),"")</f>
        <v>64</v>
      </c>
      <c r="V498" s="31" t="str">
        <f>IF(Tabla1[[#This Row],[Tiempo solución max (hrs)]]&lt;&gt;"",IF(Tabla1[[#This Row],[Tiempo solución max (hrs)]]&gt;=Tabla1[[#This Row],[Tiempo
(Hrs 00/100)]],"cumple","no cumple"),"")</f>
        <v>cumple</v>
      </c>
      <c r="W498" s="376" t="s">
        <v>681</v>
      </c>
      <c r="X498" s="377" t="str">
        <f t="shared" si="63"/>
        <v>SAW</v>
      </c>
      <c r="Y498" t="str">
        <f>SUBSTITUTE(Tabla1[[#This Row],[Descripción]],CHAR(10),"    I    ")</f>
        <v>Actualizacion Certamen de Innovacion en Transparencia 2023</v>
      </c>
      <c r="Z498" s="378">
        <f>VLOOKUP(Tabla1[[#This Row],[Perfil]],Catalogos!$B$75:$D$100,3,FALSE)*Tabla1[[#This Row],[Tiempo
(Hrs 00/100)]]*1.16</f>
        <v>869.99999999999989</v>
      </c>
    </row>
    <row r="499" spans="1:26" ht="42.75" customHeight="1" x14ac:dyDescent="0.3">
      <c r="A499" s="373" t="s">
        <v>22</v>
      </c>
      <c r="B499" s="184" t="s">
        <v>68</v>
      </c>
      <c r="C499" s="183" t="s">
        <v>16</v>
      </c>
      <c r="D499" s="179"/>
      <c r="E499" s="386" t="s">
        <v>503</v>
      </c>
      <c r="F499" s="373" t="s">
        <v>75</v>
      </c>
      <c r="G499" s="370" t="s">
        <v>435</v>
      </c>
      <c r="H499" s="387" t="s">
        <v>436</v>
      </c>
      <c r="I499" s="395" t="s">
        <v>913</v>
      </c>
      <c r="J499" s="712">
        <v>45015</v>
      </c>
      <c r="K499" s="709">
        <v>0.375</v>
      </c>
      <c r="L499" s="712">
        <v>45015</v>
      </c>
      <c r="M499" s="739">
        <v>0.5</v>
      </c>
      <c r="N499" s="179">
        <v>3</v>
      </c>
      <c r="O499" s="184" t="s">
        <v>17</v>
      </c>
      <c r="P499" s="389" t="s">
        <v>864</v>
      </c>
      <c r="Q499" s="746" t="s">
        <v>258</v>
      </c>
      <c r="R499" s="171" t="s">
        <v>81</v>
      </c>
      <c r="S499" s="31" t="s">
        <v>273</v>
      </c>
      <c r="T499" s="31" t="s">
        <v>273</v>
      </c>
      <c r="U499" s="31">
        <f>IFERROR(VLOOKUP(CONCATENATE(Tabla1[[#This Row],[Severidad]]," ",Tabla1[[#This Row],[Complejidad]]),Catalogos!E$120:G$128,3,FALSE),"")</f>
        <v>64</v>
      </c>
      <c r="V499" s="31" t="str">
        <f>IF(Tabla1[[#This Row],[Tiempo solución max (hrs)]]&lt;&gt;"",IF(Tabla1[[#This Row],[Tiempo solución max (hrs)]]&gt;=Tabla1[[#This Row],[Tiempo
(Hrs 00/100)]],"cumple","no cumple"),"")</f>
        <v>cumple</v>
      </c>
      <c r="W499" s="376" t="s">
        <v>681</v>
      </c>
      <c r="X499" s="377" t="str">
        <f t="shared" si="63"/>
        <v>SAW</v>
      </c>
      <c r="Y499" t="str">
        <f>SUBSTITUTE(Tabla1[[#This Row],[Descripción]],CHAR(10),"    I    ")</f>
        <v xml:space="preserve">Solicitudes de Usuarios Pleno </v>
      </c>
      <c r="Z499" s="378">
        <f>VLOOKUP(Tabla1[[#This Row],[Perfil]],Catalogos!$B$75:$D$100,3,FALSE)*Tabla1[[#This Row],[Tiempo
(Hrs 00/100)]]*1.16</f>
        <v>1739.9999999999998</v>
      </c>
    </row>
    <row r="500" spans="1:26" ht="42.75" customHeight="1" x14ac:dyDescent="0.3">
      <c r="A500" s="373" t="s">
        <v>22</v>
      </c>
      <c r="B500" s="184" t="s">
        <v>68</v>
      </c>
      <c r="C500" s="183" t="s">
        <v>16</v>
      </c>
      <c r="D500" s="179"/>
      <c r="E500" s="386" t="s">
        <v>503</v>
      </c>
      <c r="F500" s="373" t="s">
        <v>75</v>
      </c>
      <c r="G500" s="370" t="s">
        <v>435</v>
      </c>
      <c r="H500" s="387" t="s">
        <v>436</v>
      </c>
      <c r="I500" s="393" t="s">
        <v>835</v>
      </c>
      <c r="J500" s="712">
        <v>45015</v>
      </c>
      <c r="K500" s="739">
        <v>0.5</v>
      </c>
      <c r="L500" s="712">
        <v>45015</v>
      </c>
      <c r="M500" s="739">
        <v>0.6875</v>
      </c>
      <c r="N500" s="179">
        <v>3</v>
      </c>
      <c r="O500" s="184" t="s">
        <v>17</v>
      </c>
      <c r="P500" s="185" t="s">
        <v>836</v>
      </c>
      <c r="Q500" s="746" t="s">
        <v>258</v>
      </c>
      <c r="R500" s="171" t="s">
        <v>81</v>
      </c>
      <c r="S500" s="31" t="s">
        <v>273</v>
      </c>
      <c r="T500" s="31" t="s">
        <v>273</v>
      </c>
      <c r="U500" s="31">
        <f>IFERROR(VLOOKUP(CONCATENATE(Tabla1[[#This Row],[Severidad]]," ",Tabla1[[#This Row],[Complejidad]]),Catalogos!E$120:G$128,3,FALSE),"")</f>
        <v>64</v>
      </c>
      <c r="V500" s="31" t="str">
        <f>IF(Tabla1[[#This Row],[Tiempo solución max (hrs)]]&lt;&gt;"",IF(Tabla1[[#This Row],[Tiempo solución max (hrs)]]&gt;=Tabla1[[#This Row],[Tiempo
(Hrs 00/100)]],"cumple","no cumple"),"")</f>
        <v>cumple</v>
      </c>
      <c r="W500" s="376" t="s">
        <v>681</v>
      </c>
      <c r="X500" s="377" t="str">
        <f t="shared" si="63"/>
        <v>SAW</v>
      </c>
      <c r="Y500" t="str">
        <f>SUBSTITUTE(Tabla1[[#This Row],[Descripción]],CHAR(10),"    I    ")</f>
        <v xml:space="preserve">Modificacion servicio profecional </v>
      </c>
      <c r="Z500" s="378">
        <f>VLOOKUP(Tabla1[[#This Row],[Perfil]],Catalogos!$B$75:$D$100,3,FALSE)*Tabla1[[#This Row],[Tiempo
(Hrs 00/100)]]*1.16</f>
        <v>1739.9999999999998</v>
      </c>
    </row>
    <row r="501" spans="1:26" ht="42.75" customHeight="1" x14ac:dyDescent="0.3">
      <c r="A501" s="373" t="s">
        <v>22</v>
      </c>
      <c r="B501" s="184" t="s">
        <v>68</v>
      </c>
      <c r="C501" s="183" t="s">
        <v>16</v>
      </c>
      <c r="D501" s="179"/>
      <c r="E501" s="386" t="s">
        <v>503</v>
      </c>
      <c r="F501" s="373" t="s">
        <v>75</v>
      </c>
      <c r="G501" s="370" t="s">
        <v>435</v>
      </c>
      <c r="H501" s="387" t="s">
        <v>436</v>
      </c>
      <c r="I501" s="178" t="s">
        <v>914</v>
      </c>
      <c r="J501" s="712">
        <v>45015</v>
      </c>
      <c r="K501" s="739">
        <v>0.6875</v>
      </c>
      <c r="L501" s="712">
        <v>45015</v>
      </c>
      <c r="M501" s="739">
        <v>0.79166666666666663</v>
      </c>
      <c r="N501" s="179">
        <v>2.5</v>
      </c>
      <c r="O501" s="184" t="s">
        <v>17</v>
      </c>
      <c r="P501" s="185" t="s">
        <v>877</v>
      </c>
      <c r="Q501" s="746" t="s">
        <v>258</v>
      </c>
      <c r="R501" s="171" t="s">
        <v>81</v>
      </c>
      <c r="S501" s="31" t="s">
        <v>273</v>
      </c>
      <c r="T501" s="31" t="s">
        <v>273</v>
      </c>
      <c r="U501" s="31">
        <f>IFERROR(VLOOKUP(CONCATENATE(Tabla1[[#This Row],[Severidad]]," ",Tabla1[[#This Row],[Complejidad]]),Catalogos!E$120:G$128,3,FALSE),"")</f>
        <v>64</v>
      </c>
      <c r="V501" s="31" t="str">
        <f>IF(Tabla1[[#This Row],[Tiempo solución max (hrs)]]&lt;&gt;"",IF(Tabla1[[#This Row],[Tiempo solución max (hrs)]]&gt;=Tabla1[[#This Row],[Tiempo
(Hrs 00/100)]],"cumple","no cumple"),"")</f>
        <v>cumple</v>
      </c>
      <c r="W501" s="376" t="s">
        <v>681</v>
      </c>
      <c r="X501" s="377" t="str">
        <f t="shared" si="63"/>
        <v>SAW</v>
      </c>
      <c r="Y501" t="str">
        <f>SUBSTITUTE(Tabla1[[#This Row],[Descripción]],CHAR(10),"    I    ")</f>
        <v xml:space="preserve">Actualizacion concurso nacional de periodismo </v>
      </c>
      <c r="Z501" s="378">
        <f>VLOOKUP(Tabla1[[#This Row],[Perfil]],Catalogos!$B$75:$D$100,3,FALSE)*Tabla1[[#This Row],[Tiempo
(Hrs 00/100)]]*1.16</f>
        <v>1450</v>
      </c>
    </row>
    <row r="502" spans="1:26" ht="42.75" customHeight="1" x14ac:dyDescent="0.3">
      <c r="A502" s="373" t="s">
        <v>22</v>
      </c>
      <c r="B502" s="184" t="s">
        <v>68</v>
      </c>
      <c r="C502" s="183" t="s">
        <v>16</v>
      </c>
      <c r="D502" s="179"/>
      <c r="E502" s="386" t="s">
        <v>503</v>
      </c>
      <c r="F502" s="373" t="s">
        <v>75</v>
      </c>
      <c r="G502" s="370" t="s">
        <v>435</v>
      </c>
      <c r="H502" s="387" t="s">
        <v>436</v>
      </c>
      <c r="I502" s="178" t="s">
        <v>915</v>
      </c>
      <c r="J502" s="712">
        <v>45016</v>
      </c>
      <c r="K502" s="709">
        <v>0.375</v>
      </c>
      <c r="L502" s="712">
        <v>45016</v>
      </c>
      <c r="M502" s="739">
        <v>0.41666666666666669</v>
      </c>
      <c r="N502" s="179">
        <v>1</v>
      </c>
      <c r="O502" s="184" t="s">
        <v>17</v>
      </c>
      <c r="P502" s="185" t="s">
        <v>904</v>
      </c>
      <c r="Q502" s="746" t="s">
        <v>258</v>
      </c>
      <c r="R502" s="171" t="s">
        <v>81</v>
      </c>
      <c r="S502" s="31" t="s">
        <v>273</v>
      </c>
      <c r="T502" s="31" t="s">
        <v>273</v>
      </c>
      <c r="U502" s="31">
        <f>IFERROR(VLOOKUP(CONCATENATE(Tabla1[[#This Row],[Severidad]]," ",Tabla1[[#This Row],[Complejidad]]),Catalogos!E$120:G$128,3,FALSE),"")</f>
        <v>64</v>
      </c>
      <c r="V502" s="31" t="str">
        <f>IF(Tabla1[[#This Row],[Tiempo solución max (hrs)]]&lt;&gt;"",IF(Tabla1[[#This Row],[Tiempo solución max (hrs)]]&gt;=Tabla1[[#This Row],[Tiempo
(Hrs 00/100)]],"cumple","no cumple"),"")</f>
        <v>cumple</v>
      </c>
      <c r="W502" s="376" t="s">
        <v>681</v>
      </c>
      <c r="X502" s="377" t="str">
        <f t="shared" si="63"/>
        <v>SAW</v>
      </c>
      <c r="Y502" t="str">
        <f>SUBSTITUTE(Tabla1[[#This Row],[Descripción]],CHAR(10),"    I    ")</f>
        <v xml:space="preserve">Reunion avance de proyectos </v>
      </c>
      <c r="Z502" s="378">
        <f>VLOOKUP(Tabla1[[#This Row],[Perfil]],Catalogos!$B$75:$D$100,3,FALSE)*Tabla1[[#This Row],[Tiempo
(Hrs 00/100)]]*1.16</f>
        <v>580</v>
      </c>
    </row>
    <row r="503" spans="1:26" ht="42.75" customHeight="1" x14ac:dyDescent="0.3">
      <c r="A503" s="373" t="s">
        <v>22</v>
      </c>
      <c r="B503" s="184" t="s">
        <v>68</v>
      </c>
      <c r="C503" s="183" t="s">
        <v>16</v>
      </c>
      <c r="D503" s="179"/>
      <c r="E503" s="386" t="s">
        <v>503</v>
      </c>
      <c r="F503" s="373" t="s">
        <v>75</v>
      </c>
      <c r="G503" s="370" t="s">
        <v>435</v>
      </c>
      <c r="H503" s="387" t="s">
        <v>436</v>
      </c>
      <c r="I503" s="178" t="s">
        <v>916</v>
      </c>
      <c r="J503" s="712">
        <v>45016</v>
      </c>
      <c r="K503" s="739">
        <v>0.41666666666666669</v>
      </c>
      <c r="L503" s="712">
        <v>45016</v>
      </c>
      <c r="M503" s="739">
        <v>0.54166666666666663</v>
      </c>
      <c r="N503" s="179">
        <v>3</v>
      </c>
      <c r="O503" s="184" t="s">
        <v>17</v>
      </c>
      <c r="P503" s="185" t="s">
        <v>838</v>
      </c>
      <c r="Q503" s="746" t="s">
        <v>258</v>
      </c>
      <c r="R503" s="171" t="s">
        <v>81</v>
      </c>
      <c r="S503" s="31" t="s">
        <v>273</v>
      </c>
      <c r="T503" s="31" t="s">
        <v>273</v>
      </c>
      <c r="U503" s="31">
        <f>IFERROR(VLOOKUP(CONCATENATE(Tabla1[[#This Row],[Severidad]]," ",Tabla1[[#This Row],[Complejidad]]),Catalogos!E$120:G$128,3,FALSE),"")</f>
        <v>64</v>
      </c>
      <c r="V503" s="31" t="str">
        <f>IF(Tabla1[[#This Row],[Tiempo solución max (hrs)]]&lt;&gt;"",IF(Tabla1[[#This Row],[Tiempo solución max (hrs)]]&gt;=Tabla1[[#This Row],[Tiempo
(Hrs 00/100)]],"cumple","no cumple"),"")</f>
        <v>cumple</v>
      </c>
      <c r="W503" s="376" t="s">
        <v>681</v>
      </c>
      <c r="X503" s="377" t="str">
        <f t="shared" si="63"/>
        <v>SAW</v>
      </c>
      <c r="Y503" t="str">
        <f>SUBSTITUTE(Tabla1[[#This Row],[Descripción]],CHAR(10),"    I    ")</f>
        <v xml:space="preserve">Actualizacion proyectos </v>
      </c>
      <c r="Z503" s="378">
        <f>VLOOKUP(Tabla1[[#This Row],[Perfil]],Catalogos!$B$75:$D$100,3,FALSE)*Tabla1[[#This Row],[Tiempo
(Hrs 00/100)]]*1.16</f>
        <v>1739.9999999999998</v>
      </c>
    </row>
    <row r="504" spans="1:26" ht="42.75" customHeight="1" x14ac:dyDescent="0.3">
      <c r="A504" s="373" t="s">
        <v>22</v>
      </c>
      <c r="B504" s="184" t="s">
        <v>68</v>
      </c>
      <c r="C504" s="183" t="s">
        <v>16</v>
      </c>
      <c r="D504" s="179"/>
      <c r="E504" s="386" t="s">
        <v>503</v>
      </c>
      <c r="F504" s="373" t="s">
        <v>75</v>
      </c>
      <c r="G504" s="370" t="s">
        <v>435</v>
      </c>
      <c r="H504" s="387" t="s">
        <v>436</v>
      </c>
      <c r="I504" s="395" t="s">
        <v>854</v>
      </c>
      <c r="J504" s="712">
        <v>45016</v>
      </c>
      <c r="K504" s="739">
        <v>0.54166666666666663</v>
      </c>
      <c r="L504" s="712">
        <v>45016</v>
      </c>
      <c r="M504" s="739">
        <v>0.625</v>
      </c>
      <c r="N504" s="179">
        <v>2</v>
      </c>
      <c r="O504" s="184" t="s">
        <v>17</v>
      </c>
      <c r="P504" s="389" t="s">
        <v>841</v>
      </c>
      <c r="Q504" s="746" t="s">
        <v>258</v>
      </c>
      <c r="R504" s="171" t="s">
        <v>81</v>
      </c>
      <c r="S504" s="31" t="s">
        <v>273</v>
      </c>
      <c r="T504" s="31" t="s">
        <v>273</v>
      </c>
      <c r="U504" s="31">
        <f>IFERROR(VLOOKUP(CONCATENATE(Tabla1[[#This Row],[Severidad]]," ",Tabla1[[#This Row],[Complejidad]]),Catalogos!E$120:G$128,3,FALSE),"")</f>
        <v>64</v>
      </c>
      <c r="V504" s="31" t="str">
        <f>IF(Tabla1[[#This Row],[Tiempo solución max (hrs)]]&lt;&gt;"",IF(Tabla1[[#This Row],[Tiempo solución max (hrs)]]&gt;=Tabla1[[#This Row],[Tiempo
(Hrs 00/100)]],"cumple","no cumple"),"")</f>
        <v>cumple</v>
      </c>
      <c r="W504" s="376" t="s">
        <v>681</v>
      </c>
      <c r="X504" s="377" t="str">
        <f t="shared" si="63"/>
        <v>SAW</v>
      </c>
      <c r="Y504" t="str">
        <f>SUBSTITUTE(Tabla1[[#This Row],[Descripción]],CHAR(10),"    I    ")</f>
        <v>Actualizacion solicitud de Informacion</v>
      </c>
      <c r="Z504" s="378">
        <f>VLOOKUP(Tabla1[[#This Row],[Perfil]],Catalogos!$B$75:$D$100,3,FALSE)*Tabla1[[#This Row],[Tiempo
(Hrs 00/100)]]*1.16</f>
        <v>1160</v>
      </c>
    </row>
    <row r="505" spans="1:26" ht="42.75" customHeight="1" x14ac:dyDescent="0.3">
      <c r="A505" s="373" t="s">
        <v>22</v>
      </c>
      <c r="B505" s="370" t="s">
        <v>23</v>
      </c>
      <c r="C505" s="205" t="s">
        <v>155</v>
      </c>
      <c r="D505" s="370"/>
      <c r="E505" s="370" t="s">
        <v>408</v>
      </c>
      <c r="F505" s="370" t="s">
        <v>23</v>
      </c>
      <c r="G505" s="370"/>
      <c r="H505" s="371" t="s">
        <v>405</v>
      </c>
      <c r="I505" s="383" t="s">
        <v>937</v>
      </c>
      <c r="J505" s="369">
        <v>44986</v>
      </c>
      <c r="K505" s="747">
        <v>0.375</v>
      </c>
      <c r="L505" s="369">
        <v>44986</v>
      </c>
      <c r="M505" s="753">
        <v>0.79166666666666663</v>
      </c>
      <c r="N505" s="373">
        <v>8</v>
      </c>
      <c r="O505" s="184" t="s">
        <v>411</v>
      </c>
      <c r="P505" s="457" t="s">
        <v>922</v>
      </c>
      <c r="Q505" s="785" t="s">
        <v>208</v>
      </c>
      <c r="R505" s="202" t="s">
        <v>40</v>
      </c>
      <c r="S505" s="31" t="s">
        <v>273</v>
      </c>
      <c r="T505" s="31" t="s">
        <v>273</v>
      </c>
      <c r="U505" s="31">
        <f>IFERROR(VLOOKUP(CONCATENATE(Tabla1[[#This Row],[Severidad]]," ",Tabla1[[#This Row],[Complejidad]]),Catalogos!E$120:G$128,3,FALSE),"")</f>
        <v>64</v>
      </c>
      <c r="V505" s="31" t="str">
        <f>IF(Tabla1[[#This Row],[Tiempo solución max (hrs)]]&lt;&gt;"",IF(Tabla1[[#This Row],[Tiempo solución max (hrs)]]&gt;=Tabla1[[#This Row],[Tiempo
(Hrs 00/100)]],"cumple","no cumple"),"")</f>
        <v>cumple</v>
      </c>
      <c r="W505" s="376" t="s">
        <v>681</v>
      </c>
      <c r="X505" s="377" t="str">
        <f t="shared" si="63"/>
        <v>DS</v>
      </c>
      <c r="Y505" t="str">
        <f>SUBSTITUTE(Tabla1[[#This Row],[Descripción]],CHAR(10),"    I    ")</f>
        <v>desarrollo validar acceso a endpoints monitor</v>
      </c>
      <c r="Z505" s="378">
        <f>VLOOKUP(Tabla1[[#This Row],[Perfil]],Catalogos!$B$75:$D$100,3,FALSE)*Tabla1[[#This Row],[Tiempo
(Hrs 00/100)]]*1.16</f>
        <v>6496</v>
      </c>
    </row>
    <row r="506" spans="1:26" ht="42.75" customHeight="1" x14ac:dyDescent="0.3">
      <c r="A506" s="373" t="s">
        <v>22</v>
      </c>
      <c r="B506" s="370" t="s">
        <v>23</v>
      </c>
      <c r="C506" s="205" t="s">
        <v>155</v>
      </c>
      <c r="D506" s="370"/>
      <c r="E506" s="370" t="s">
        <v>408</v>
      </c>
      <c r="F506" s="370" t="s">
        <v>23</v>
      </c>
      <c r="G506" s="370"/>
      <c r="H506" s="371" t="s">
        <v>405</v>
      </c>
      <c r="I506" s="383" t="s">
        <v>937</v>
      </c>
      <c r="J506" s="369">
        <v>44987</v>
      </c>
      <c r="K506" s="747">
        <v>0.375</v>
      </c>
      <c r="L506" s="369">
        <v>44987</v>
      </c>
      <c r="M506" s="753">
        <v>0.54166666666666663</v>
      </c>
      <c r="N506" s="373">
        <v>4</v>
      </c>
      <c r="O506" s="184" t="s">
        <v>17</v>
      </c>
      <c r="P506" s="457" t="s">
        <v>922</v>
      </c>
      <c r="Q506" s="785" t="s">
        <v>208</v>
      </c>
      <c r="R506" s="202" t="s">
        <v>40</v>
      </c>
      <c r="S506" s="31" t="s">
        <v>273</v>
      </c>
      <c r="T506" s="31" t="s">
        <v>273</v>
      </c>
      <c r="U506" s="31">
        <f>IFERROR(VLOOKUP(CONCATENATE(Tabla1[[#This Row],[Severidad]]," ",Tabla1[[#This Row],[Complejidad]]),Catalogos!E$120:G$128,3,FALSE),"")</f>
        <v>64</v>
      </c>
      <c r="V506" s="31" t="str">
        <f>IF(Tabla1[[#This Row],[Tiempo solución max (hrs)]]&lt;&gt;"",IF(Tabla1[[#This Row],[Tiempo solución max (hrs)]]&gt;=Tabla1[[#This Row],[Tiempo
(Hrs 00/100)]],"cumple","no cumple"),"")</f>
        <v>cumple</v>
      </c>
      <c r="W506" s="376" t="s">
        <v>681</v>
      </c>
      <c r="X506" s="377" t="str">
        <f t="shared" ref="X506:X507" si="64">IF(C506&lt;&gt;"",C506,D506)</f>
        <v>DS</v>
      </c>
      <c r="Y506" t="str">
        <f>SUBSTITUTE(Tabla1[[#This Row],[Descripción]],CHAR(10),"    I    ")</f>
        <v>desarrollo validar acceso a endpoints monitor</v>
      </c>
      <c r="Z506" s="378">
        <f>VLOOKUP(Tabla1[[#This Row],[Perfil]],Catalogos!$B$75:$D$100,3,FALSE)*Tabla1[[#This Row],[Tiempo
(Hrs 00/100)]]*1.16</f>
        <v>3248</v>
      </c>
    </row>
    <row r="507" spans="1:26" ht="42.75" customHeight="1" x14ac:dyDescent="0.3">
      <c r="A507" s="373" t="s">
        <v>22</v>
      </c>
      <c r="B507" s="370" t="s">
        <v>23</v>
      </c>
      <c r="C507" s="205" t="s">
        <v>155</v>
      </c>
      <c r="D507" s="370"/>
      <c r="E507" s="370" t="s">
        <v>408</v>
      </c>
      <c r="F507" s="370" t="s">
        <v>23</v>
      </c>
      <c r="G507" s="370"/>
      <c r="H507" s="371" t="s">
        <v>405</v>
      </c>
      <c r="I507" s="383" t="s">
        <v>938</v>
      </c>
      <c r="J507" s="369">
        <v>44987</v>
      </c>
      <c r="K507" s="753">
        <v>0.54166666666666663</v>
      </c>
      <c r="L507" s="369">
        <v>44987</v>
      </c>
      <c r="M507" s="753">
        <v>0.79166666666666663</v>
      </c>
      <c r="N507" s="373">
        <v>4</v>
      </c>
      <c r="O507" s="184" t="s">
        <v>411</v>
      </c>
      <c r="P507" s="457" t="s">
        <v>922</v>
      </c>
      <c r="Q507" s="785" t="s">
        <v>208</v>
      </c>
      <c r="R507" s="202" t="s">
        <v>40</v>
      </c>
      <c r="S507" s="31" t="s">
        <v>273</v>
      </c>
      <c r="T507" s="31" t="s">
        <v>273</v>
      </c>
      <c r="U507" s="31">
        <f>IFERROR(VLOOKUP(CONCATENATE(Tabla1[[#This Row],[Severidad]]," ",Tabla1[[#This Row],[Complejidad]]),Catalogos!E$120:G$128,3,FALSE),"")</f>
        <v>64</v>
      </c>
      <c r="V507" s="31" t="str">
        <f>IF(Tabla1[[#This Row],[Tiempo solución max (hrs)]]&lt;&gt;"",IF(Tabla1[[#This Row],[Tiempo solución max (hrs)]]&gt;=Tabla1[[#This Row],[Tiempo
(Hrs 00/100)]],"cumple","no cumple"),"")</f>
        <v>cumple</v>
      </c>
      <c r="W507" s="376" t="s">
        <v>681</v>
      </c>
      <c r="X507" s="377" t="str">
        <f t="shared" si="64"/>
        <v>DS</v>
      </c>
      <c r="Y507" t="str">
        <f>SUBSTITUTE(Tabla1[[#This Row],[Descripción]],CHAR(10),"    I    ")</f>
        <v>desarrollo validar acceso a endpoints servicios reportes</v>
      </c>
      <c r="Z507" s="378">
        <f>VLOOKUP(Tabla1[[#This Row],[Perfil]],Catalogos!$B$75:$D$100,3,FALSE)*Tabla1[[#This Row],[Tiempo
(Hrs 00/100)]]*1.16</f>
        <v>3248</v>
      </c>
    </row>
    <row r="508" spans="1:26" ht="42.75" customHeight="1" x14ac:dyDescent="0.3">
      <c r="A508" s="373" t="s">
        <v>22</v>
      </c>
      <c r="B508" s="370" t="s">
        <v>23</v>
      </c>
      <c r="C508" s="205" t="s">
        <v>155</v>
      </c>
      <c r="D508" s="370"/>
      <c r="E508" s="370" t="s">
        <v>408</v>
      </c>
      <c r="F508" s="370" t="s">
        <v>23</v>
      </c>
      <c r="G508" s="370"/>
      <c r="H508" s="371" t="s">
        <v>405</v>
      </c>
      <c r="I508" s="383" t="s">
        <v>938</v>
      </c>
      <c r="J508" s="369">
        <v>44988</v>
      </c>
      <c r="K508" s="747">
        <v>0.375</v>
      </c>
      <c r="L508" s="369">
        <v>44988</v>
      </c>
      <c r="M508" s="753">
        <v>0.79166666666666663</v>
      </c>
      <c r="N508" s="373">
        <v>8</v>
      </c>
      <c r="O508" s="184" t="s">
        <v>17</v>
      </c>
      <c r="P508" s="457" t="s">
        <v>922</v>
      </c>
      <c r="Q508" s="785" t="s">
        <v>208</v>
      </c>
      <c r="R508" s="202" t="s">
        <v>40</v>
      </c>
      <c r="S508" s="31" t="s">
        <v>273</v>
      </c>
      <c r="T508" s="31" t="s">
        <v>273</v>
      </c>
      <c r="U508" s="31">
        <f>IFERROR(VLOOKUP(CONCATENATE(Tabla1[[#This Row],[Severidad]]," ",Tabla1[[#This Row],[Complejidad]]),Catalogos!E$120:G$128,3,FALSE),"")</f>
        <v>64</v>
      </c>
      <c r="V508" s="31" t="str">
        <f>IF(Tabla1[[#This Row],[Tiempo solución max (hrs)]]&lt;&gt;"",IF(Tabla1[[#This Row],[Tiempo solución max (hrs)]]&gt;=Tabla1[[#This Row],[Tiempo
(Hrs 00/100)]],"cumple","no cumple"),"")</f>
        <v>cumple</v>
      </c>
      <c r="W508" s="376" t="s">
        <v>681</v>
      </c>
      <c r="X508" s="377" t="str">
        <f t="shared" si="63"/>
        <v>DS</v>
      </c>
      <c r="Y508" t="str">
        <f>SUBSTITUTE(Tabla1[[#This Row],[Descripción]],CHAR(10),"    I    ")</f>
        <v>desarrollo validar acceso a endpoints servicios reportes</v>
      </c>
      <c r="Z508" s="378">
        <f>VLOOKUP(Tabla1[[#This Row],[Perfil]],Catalogos!$B$75:$D$100,3,FALSE)*Tabla1[[#This Row],[Tiempo
(Hrs 00/100)]]*1.16</f>
        <v>6496</v>
      </c>
    </row>
    <row r="509" spans="1:26" ht="42.75" customHeight="1" x14ac:dyDescent="0.3">
      <c r="A509" s="373" t="s">
        <v>22</v>
      </c>
      <c r="B509" s="370" t="s">
        <v>23</v>
      </c>
      <c r="C509" s="205" t="s">
        <v>155</v>
      </c>
      <c r="D509" s="370"/>
      <c r="E509" s="370" t="s">
        <v>408</v>
      </c>
      <c r="F509" s="370" t="s">
        <v>23</v>
      </c>
      <c r="G509" s="370"/>
      <c r="H509" s="371" t="s">
        <v>405</v>
      </c>
      <c r="I509" s="383" t="s">
        <v>939</v>
      </c>
      <c r="J509" s="369">
        <v>44991</v>
      </c>
      <c r="K509" s="747">
        <v>0.375</v>
      </c>
      <c r="L509" s="369">
        <v>44991</v>
      </c>
      <c r="M509" s="753">
        <v>0.79166666666666663</v>
      </c>
      <c r="N509" s="373">
        <v>8</v>
      </c>
      <c r="O509" s="184" t="s">
        <v>411</v>
      </c>
      <c r="P509" s="457" t="s">
        <v>922</v>
      </c>
      <c r="Q509" s="785" t="s">
        <v>208</v>
      </c>
      <c r="R509" s="202" t="s">
        <v>40</v>
      </c>
      <c r="S509" s="31" t="s">
        <v>273</v>
      </c>
      <c r="T509" s="31" t="s">
        <v>273</v>
      </c>
      <c r="U509" s="31">
        <f>IFERROR(VLOOKUP(CONCATENATE(Tabla1[[#This Row],[Severidad]]," ",Tabla1[[#This Row],[Complejidad]]),Catalogos!E$120:G$128,3,FALSE),"")</f>
        <v>64</v>
      </c>
      <c r="V509" s="31" t="str">
        <f>IF(Tabla1[[#This Row],[Tiempo solución max (hrs)]]&lt;&gt;"",IF(Tabla1[[#This Row],[Tiempo solución max (hrs)]]&gt;=Tabla1[[#This Row],[Tiempo
(Hrs 00/100)]],"cumple","no cumple"),"")</f>
        <v>cumple</v>
      </c>
      <c r="W509" s="376" t="s">
        <v>681</v>
      </c>
      <c r="X509" s="377" t="str">
        <f t="shared" si="63"/>
        <v>DS</v>
      </c>
      <c r="Y509" s="459" t="str">
        <f>SUBSTITUTE(Tabla1[[#This Row],[Descripción]],CHAR(10),"    I    ")</f>
        <v xml:space="preserve">desarrollo rateLimit en commands solicitudes </v>
      </c>
      <c r="Z509" s="460">
        <f>VLOOKUP(Tabla1[[#This Row],[Perfil]],Catalogos!$B$75:$D$100,3,FALSE)*Tabla1[[#This Row],[Tiempo
(Hrs 00/100)]]*1.16</f>
        <v>6496</v>
      </c>
    </row>
    <row r="510" spans="1:26" ht="42.75" customHeight="1" x14ac:dyDescent="0.3">
      <c r="A510" s="373" t="s">
        <v>22</v>
      </c>
      <c r="B510" s="370" t="s">
        <v>23</v>
      </c>
      <c r="C510" s="205" t="s">
        <v>155</v>
      </c>
      <c r="D510" s="370"/>
      <c r="E510" s="370" t="s">
        <v>408</v>
      </c>
      <c r="F510" s="370" t="s">
        <v>23</v>
      </c>
      <c r="G510" s="370"/>
      <c r="H510" s="371" t="s">
        <v>405</v>
      </c>
      <c r="I510" s="383" t="s">
        <v>939</v>
      </c>
      <c r="J510" s="369">
        <v>44992</v>
      </c>
      <c r="K510" s="747">
        <v>0.375</v>
      </c>
      <c r="L510" s="369">
        <v>44992</v>
      </c>
      <c r="M510" s="753">
        <v>0.79166666666666663</v>
      </c>
      <c r="N510" s="373">
        <v>8</v>
      </c>
      <c r="O510" s="184" t="s">
        <v>17</v>
      </c>
      <c r="P510" s="457" t="s">
        <v>922</v>
      </c>
      <c r="Q510" s="785" t="s">
        <v>208</v>
      </c>
      <c r="R510" s="202" t="s">
        <v>40</v>
      </c>
      <c r="S510" s="31" t="s">
        <v>273</v>
      </c>
      <c r="T510" s="31" t="s">
        <v>273</v>
      </c>
      <c r="U510" s="31">
        <f>IFERROR(VLOOKUP(CONCATENATE(Tabla1[[#This Row],[Severidad]]," ",Tabla1[[#This Row],[Complejidad]]),Catalogos!E$120:G$128,3,FALSE),"")</f>
        <v>64</v>
      </c>
      <c r="V510" s="31" t="str">
        <f>IF(Tabla1[[#This Row],[Tiempo solución max (hrs)]]&lt;&gt;"",IF(Tabla1[[#This Row],[Tiempo solución max (hrs)]]&gt;=Tabla1[[#This Row],[Tiempo
(Hrs 00/100)]],"cumple","no cumple"),"")</f>
        <v>cumple</v>
      </c>
      <c r="W510" s="376" t="s">
        <v>681</v>
      </c>
      <c r="X510" s="377" t="str">
        <f t="shared" ref="X510" si="65">IF(C510&lt;&gt;"",C510,D510)</f>
        <v>DS</v>
      </c>
      <c r="Y510" s="459" t="str">
        <f>SUBSTITUTE(Tabla1[[#This Row],[Descripción]],CHAR(10),"    I    ")</f>
        <v xml:space="preserve">desarrollo rateLimit en commands solicitudes </v>
      </c>
      <c r="Z510" s="460">
        <f>VLOOKUP(Tabla1[[#This Row],[Perfil]],Catalogos!$B$75:$D$100,3,FALSE)*Tabla1[[#This Row],[Tiempo
(Hrs 00/100)]]*1.16</f>
        <v>6496</v>
      </c>
    </row>
    <row r="511" spans="1:26" ht="42.75" customHeight="1" x14ac:dyDescent="0.3">
      <c r="A511" s="373" t="s">
        <v>22</v>
      </c>
      <c r="B511" s="370" t="s">
        <v>23</v>
      </c>
      <c r="C511" s="205" t="s">
        <v>155</v>
      </c>
      <c r="D511" s="370"/>
      <c r="E511" s="370" t="s">
        <v>408</v>
      </c>
      <c r="F511" s="370" t="s">
        <v>23</v>
      </c>
      <c r="G511" s="370"/>
      <c r="H511" s="371" t="s">
        <v>405</v>
      </c>
      <c r="I511" s="383" t="s">
        <v>940</v>
      </c>
      <c r="J511" s="369">
        <v>44993</v>
      </c>
      <c r="K511" s="747">
        <v>0.375</v>
      </c>
      <c r="L511" s="369">
        <v>44993</v>
      </c>
      <c r="M511" s="753">
        <v>0.79166666666666663</v>
      </c>
      <c r="N511" s="373">
        <v>8</v>
      </c>
      <c r="O511" s="184" t="s">
        <v>411</v>
      </c>
      <c r="P511" s="457" t="s">
        <v>922</v>
      </c>
      <c r="Q511" s="785" t="s">
        <v>208</v>
      </c>
      <c r="R511" s="202" t="s">
        <v>40</v>
      </c>
      <c r="S511" s="31" t="s">
        <v>273</v>
      </c>
      <c r="T511" s="31" t="s">
        <v>273</v>
      </c>
      <c r="U511" s="31">
        <f>IFERROR(VLOOKUP(CONCATENATE(Tabla1[[#This Row],[Severidad]]," ",Tabla1[[#This Row],[Complejidad]]),Catalogos!E$120:G$128,3,FALSE),"")</f>
        <v>64</v>
      </c>
      <c r="V511" s="31" t="str">
        <f>IF(Tabla1[[#This Row],[Tiempo solución max (hrs)]]&lt;&gt;"",IF(Tabla1[[#This Row],[Tiempo solución max (hrs)]]&gt;=Tabla1[[#This Row],[Tiempo
(Hrs 00/100)]],"cumple","no cumple"),"")</f>
        <v>cumple</v>
      </c>
      <c r="W511" s="376" t="s">
        <v>681</v>
      </c>
      <c r="X511" s="377" t="str">
        <f t="shared" si="63"/>
        <v>DS</v>
      </c>
      <c r="Y511" s="459" t="str">
        <f>SUBSTITUTE(Tabla1[[#This Row],[Descripción]],CHAR(10),"    I    ")</f>
        <v>desarrollo obtener token en clases commands portlet Federado</v>
      </c>
      <c r="Z511" s="460">
        <f>VLOOKUP(Tabla1[[#This Row],[Perfil]],Catalogos!$B$75:$D$100,3,FALSE)*Tabla1[[#This Row],[Tiempo
(Hrs 00/100)]]*1.16</f>
        <v>6496</v>
      </c>
    </row>
    <row r="512" spans="1:26" ht="42.75" customHeight="1" x14ac:dyDescent="0.3">
      <c r="A512" s="373" t="s">
        <v>22</v>
      </c>
      <c r="B512" s="370" t="s">
        <v>23</v>
      </c>
      <c r="C512" s="205" t="s">
        <v>155</v>
      </c>
      <c r="D512" s="370"/>
      <c r="E512" s="370" t="s">
        <v>408</v>
      </c>
      <c r="F512" s="370" t="s">
        <v>23</v>
      </c>
      <c r="G512" s="370"/>
      <c r="H512" s="371" t="s">
        <v>405</v>
      </c>
      <c r="I512" s="383" t="s">
        <v>940</v>
      </c>
      <c r="J512" s="369">
        <v>44994</v>
      </c>
      <c r="K512" s="747">
        <v>0.375</v>
      </c>
      <c r="L512" s="369">
        <v>44994</v>
      </c>
      <c r="M512" s="753">
        <v>0.79166666666666663</v>
      </c>
      <c r="N512" s="373">
        <v>8</v>
      </c>
      <c r="O512" s="184" t="s">
        <v>411</v>
      </c>
      <c r="P512" s="457" t="s">
        <v>922</v>
      </c>
      <c r="Q512" s="785" t="s">
        <v>208</v>
      </c>
      <c r="R512" s="202" t="s">
        <v>40</v>
      </c>
      <c r="S512" s="31" t="s">
        <v>273</v>
      </c>
      <c r="T512" s="31" t="s">
        <v>273</v>
      </c>
      <c r="U512" s="31">
        <f>IFERROR(VLOOKUP(CONCATENATE(Tabla1[[#This Row],[Severidad]]," ",Tabla1[[#This Row],[Complejidad]]),Catalogos!E$120:G$128,3,FALSE),"")</f>
        <v>64</v>
      </c>
      <c r="V512" s="31" t="str">
        <f>IF(Tabla1[[#This Row],[Tiempo solución max (hrs)]]&lt;&gt;"",IF(Tabla1[[#This Row],[Tiempo solución max (hrs)]]&gt;=Tabla1[[#This Row],[Tiempo
(Hrs 00/100)]],"cumple","no cumple"),"")</f>
        <v>cumple</v>
      </c>
      <c r="W512" s="376" t="s">
        <v>681</v>
      </c>
      <c r="X512" s="377" t="str">
        <f t="shared" ref="X512:X513" si="66">IF(C512&lt;&gt;"",C512,D512)</f>
        <v>DS</v>
      </c>
      <c r="Y512" s="459" t="str">
        <f>SUBSTITUTE(Tabla1[[#This Row],[Descripción]],CHAR(10),"    I    ")</f>
        <v>desarrollo obtener token en clases commands portlet Federado</v>
      </c>
      <c r="Z512" s="460">
        <f>VLOOKUP(Tabla1[[#This Row],[Perfil]],Catalogos!$B$75:$D$100,3,FALSE)*Tabla1[[#This Row],[Tiempo
(Hrs 00/100)]]*1.16</f>
        <v>6496</v>
      </c>
    </row>
    <row r="513" spans="1:26" ht="42.75" customHeight="1" x14ac:dyDescent="0.3">
      <c r="A513" s="373" t="s">
        <v>22</v>
      </c>
      <c r="B513" s="370" t="s">
        <v>23</v>
      </c>
      <c r="C513" s="205" t="s">
        <v>155</v>
      </c>
      <c r="D513" s="370"/>
      <c r="E513" s="370" t="s">
        <v>408</v>
      </c>
      <c r="F513" s="370" t="s">
        <v>23</v>
      </c>
      <c r="G513" s="370"/>
      <c r="H513" s="371" t="s">
        <v>405</v>
      </c>
      <c r="I513" s="383" t="s">
        <v>940</v>
      </c>
      <c r="J513" s="369">
        <v>44995</v>
      </c>
      <c r="K513" s="747">
        <v>0.375</v>
      </c>
      <c r="L513" s="369">
        <v>44995</v>
      </c>
      <c r="M513" s="753">
        <v>0.58333333333333337</v>
      </c>
      <c r="N513" s="373">
        <v>5</v>
      </c>
      <c r="O513" s="184" t="s">
        <v>17</v>
      </c>
      <c r="P513" s="457" t="s">
        <v>922</v>
      </c>
      <c r="Q513" s="785" t="s">
        <v>208</v>
      </c>
      <c r="R513" s="202" t="s">
        <v>40</v>
      </c>
      <c r="S513" s="31" t="s">
        <v>273</v>
      </c>
      <c r="T513" s="31" t="s">
        <v>273</v>
      </c>
      <c r="U513" s="31">
        <f>IFERROR(VLOOKUP(CONCATENATE(Tabla1[[#This Row],[Severidad]]," ",Tabla1[[#This Row],[Complejidad]]),Catalogos!E$120:G$128,3,FALSE),"")</f>
        <v>64</v>
      </c>
      <c r="V513" s="31" t="str">
        <f>IF(Tabla1[[#This Row],[Tiempo solución max (hrs)]]&lt;&gt;"",IF(Tabla1[[#This Row],[Tiempo solución max (hrs)]]&gt;=Tabla1[[#This Row],[Tiempo
(Hrs 00/100)]],"cumple","no cumple"),"")</f>
        <v>cumple</v>
      </c>
      <c r="W513" s="376" t="s">
        <v>681</v>
      </c>
      <c r="X513" s="377" t="str">
        <f t="shared" si="66"/>
        <v>DS</v>
      </c>
      <c r="Y513" s="459" t="str">
        <f>SUBSTITUTE(Tabla1[[#This Row],[Descripción]],CHAR(10),"    I    ")</f>
        <v>desarrollo obtener token en clases commands portlet Federado</v>
      </c>
      <c r="Z513" s="460">
        <f>VLOOKUP(Tabla1[[#This Row],[Perfil]],Catalogos!$B$75:$D$100,3,FALSE)*Tabla1[[#This Row],[Tiempo
(Hrs 00/100)]]*1.16</f>
        <v>4059.9999999999995</v>
      </c>
    </row>
    <row r="514" spans="1:26" ht="42.75" customHeight="1" x14ac:dyDescent="0.3">
      <c r="A514" s="373" t="s">
        <v>22</v>
      </c>
      <c r="B514" s="370" t="s">
        <v>23</v>
      </c>
      <c r="C514" s="205" t="s">
        <v>155</v>
      </c>
      <c r="D514" s="370"/>
      <c r="E514" s="370" t="s">
        <v>408</v>
      </c>
      <c r="F514" s="370" t="s">
        <v>23</v>
      </c>
      <c r="G514" s="370"/>
      <c r="H514" s="371" t="s">
        <v>405</v>
      </c>
      <c r="I514" s="383" t="s">
        <v>941</v>
      </c>
      <c r="J514" s="369">
        <v>44998</v>
      </c>
      <c r="K514" s="747">
        <v>0.375</v>
      </c>
      <c r="L514" s="369">
        <v>44998</v>
      </c>
      <c r="M514" s="753">
        <v>0.79166666666666663</v>
      </c>
      <c r="N514" s="373">
        <v>8</v>
      </c>
      <c r="O514" s="184" t="s">
        <v>17</v>
      </c>
      <c r="P514" s="457" t="s">
        <v>922</v>
      </c>
      <c r="Q514" s="785" t="s">
        <v>208</v>
      </c>
      <c r="R514" s="202" t="s">
        <v>40</v>
      </c>
      <c r="S514" s="31" t="s">
        <v>273</v>
      </c>
      <c r="T514" s="31" t="s">
        <v>273</v>
      </c>
      <c r="U514" s="31">
        <f>IFERROR(VLOOKUP(CONCATENATE(Tabla1[[#This Row],[Severidad]]," ",Tabla1[[#This Row],[Complejidad]]),Catalogos!E$120:G$128,3,FALSE),"")</f>
        <v>64</v>
      </c>
      <c r="V514" s="31" t="str">
        <f>IF(Tabla1[[#This Row],[Tiempo solución max (hrs)]]&lt;&gt;"",IF(Tabla1[[#This Row],[Tiempo solución max (hrs)]]&gt;=Tabla1[[#This Row],[Tiempo
(Hrs 00/100)]],"cumple","no cumple"),"")</f>
        <v>cumple</v>
      </c>
      <c r="W514" s="376" t="s">
        <v>681</v>
      </c>
      <c r="X514" s="377" t="str">
        <f t="shared" si="63"/>
        <v>DS</v>
      </c>
      <c r="Y514" s="459" t="str">
        <f>SUBSTITUTE(Tabla1[[#This Row],[Descripción]],CHAR(10),"    I    ")</f>
        <v>desarrollo ventana modal al superar el límite de peticiones permitidas</v>
      </c>
      <c r="Z514" s="460">
        <f>VLOOKUP(Tabla1[[#This Row],[Perfil]],Catalogos!$B$75:$D$100,3,FALSE)*Tabla1[[#This Row],[Tiempo
(Hrs 00/100)]]*1.16</f>
        <v>6496</v>
      </c>
    </row>
    <row r="515" spans="1:26" ht="42.75" customHeight="1" x14ac:dyDescent="0.3">
      <c r="A515" s="373" t="s">
        <v>22</v>
      </c>
      <c r="B515" s="370" t="s">
        <v>23</v>
      </c>
      <c r="C515" s="205" t="s">
        <v>155</v>
      </c>
      <c r="D515" s="179"/>
      <c r="E515" s="373" t="s">
        <v>924</v>
      </c>
      <c r="F515" s="370" t="s">
        <v>23</v>
      </c>
      <c r="G515" s="370"/>
      <c r="H515" s="461" t="s">
        <v>405</v>
      </c>
      <c r="I515" s="399" t="s">
        <v>917</v>
      </c>
      <c r="J515" s="369">
        <v>44986</v>
      </c>
      <c r="K515" s="747">
        <v>0.375</v>
      </c>
      <c r="L515" s="369">
        <v>44986</v>
      </c>
      <c r="M515" s="753">
        <v>0.79166666666666663</v>
      </c>
      <c r="N515" s="373">
        <v>8</v>
      </c>
      <c r="O515" s="184" t="s">
        <v>411</v>
      </c>
      <c r="P515" s="401" t="s">
        <v>923</v>
      </c>
      <c r="Q515" s="746" t="s">
        <v>264</v>
      </c>
      <c r="R515" s="202" t="s">
        <v>40</v>
      </c>
      <c r="S515" s="31" t="s">
        <v>273</v>
      </c>
      <c r="T515" s="31" t="s">
        <v>273</v>
      </c>
      <c r="U515" s="31">
        <f>IFERROR(VLOOKUP(CONCATENATE(Tabla1[[#This Row],[Severidad]]," ",Tabla1[[#This Row],[Complejidad]]),Catalogos!E$120:G$128,3,FALSE),"")</f>
        <v>64</v>
      </c>
      <c r="V515" s="31" t="str">
        <f>IF(Tabla1[[#This Row],[Tiempo solución max (hrs)]]&lt;&gt;"",IF(Tabla1[[#This Row],[Tiempo solución max (hrs)]]&gt;=Tabla1[[#This Row],[Tiempo
(Hrs 00/100)]],"cumple","no cumple"),"")</f>
        <v>cumple</v>
      </c>
      <c r="W515" s="376" t="s">
        <v>681</v>
      </c>
      <c r="X515" s="377" t="str">
        <f t="shared" si="63"/>
        <v>DS</v>
      </c>
      <c r="Y515" s="459" t="str">
        <f>SUBSTITUTE(Tabla1[[#This Row],[Descripción]],CHAR(10),"    I    ")</f>
        <v>Ambientación y descarga proyecto Buscador Inteligente</v>
      </c>
      <c r="Z515" s="460">
        <f>VLOOKUP(Tabla1[[#This Row],[Perfil]],Catalogos!$B$75:$D$100,3,FALSE)*Tabla1[[#This Row],[Tiempo
(Hrs 00/100)]]*1.16</f>
        <v>6496</v>
      </c>
    </row>
    <row r="516" spans="1:26" ht="42.75" customHeight="1" x14ac:dyDescent="0.3">
      <c r="A516" s="373" t="s">
        <v>22</v>
      </c>
      <c r="B516" s="370" t="s">
        <v>23</v>
      </c>
      <c r="C516" s="205" t="s">
        <v>155</v>
      </c>
      <c r="D516" s="179"/>
      <c r="E516" s="373" t="s">
        <v>924</v>
      </c>
      <c r="F516" s="370" t="s">
        <v>23</v>
      </c>
      <c r="G516" s="370"/>
      <c r="H516" s="461" t="s">
        <v>405</v>
      </c>
      <c r="I516" s="399" t="s">
        <v>917</v>
      </c>
      <c r="J516" s="369">
        <v>44987</v>
      </c>
      <c r="K516" s="747">
        <v>0.375</v>
      </c>
      <c r="L516" s="369">
        <v>44987</v>
      </c>
      <c r="M516" s="753">
        <v>0.79166666666666663</v>
      </c>
      <c r="N516" s="373">
        <v>8</v>
      </c>
      <c r="O516" s="184" t="s">
        <v>17</v>
      </c>
      <c r="P516" s="401" t="s">
        <v>923</v>
      </c>
      <c r="Q516" s="746" t="s">
        <v>264</v>
      </c>
      <c r="R516" s="202" t="s">
        <v>40</v>
      </c>
      <c r="S516" s="31" t="s">
        <v>273</v>
      </c>
      <c r="T516" s="31" t="s">
        <v>273</v>
      </c>
      <c r="U516" s="31">
        <f>IFERROR(VLOOKUP(CONCATENATE(Tabla1[[#This Row],[Severidad]]," ",Tabla1[[#This Row],[Complejidad]]),Catalogos!E$120:G$128,3,FALSE),"")</f>
        <v>64</v>
      </c>
      <c r="V516" s="31" t="str">
        <f>IF(Tabla1[[#This Row],[Tiempo solución max (hrs)]]&lt;&gt;"",IF(Tabla1[[#This Row],[Tiempo solución max (hrs)]]&gt;=Tabla1[[#This Row],[Tiempo
(Hrs 00/100)]],"cumple","no cumple"),"")</f>
        <v>cumple</v>
      </c>
      <c r="W516" s="376" t="s">
        <v>681</v>
      </c>
      <c r="X516" s="377" t="str">
        <f t="shared" ref="X516" si="67">IF(C516&lt;&gt;"",C516,D516)</f>
        <v>DS</v>
      </c>
      <c r="Y516" s="459" t="str">
        <f>SUBSTITUTE(Tabla1[[#This Row],[Descripción]],CHAR(10),"    I    ")</f>
        <v>Ambientación y descarga proyecto Buscador Inteligente</v>
      </c>
      <c r="Z516" s="460">
        <f>VLOOKUP(Tabla1[[#This Row],[Perfil]],Catalogos!$B$75:$D$100,3,FALSE)*Tabla1[[#This Row],[Tiempo
(Hrs 00/100)]]*1.16</f>
        <v>6496</v>
      </c>
    </row>
    <row r="517" spans="1:26" ht="42.75" customHeight="1" x14ac:dyDescent="0.3">
      <c r="A517" s="373" t="s">
        <v>22</v>
      </c>
      <c r="B517" s="370" t="s">
        <v>23</v>
      </c>
      <c r="C517" s="205" t="s">
        <v>155</v>
      </c>
      <c r="D517" s="179"/>
      <c r="E517" s="373" t="s">
        <v>924</v>
      </c>
      <c r="F517" s="370" t="s">
        <v>23</v>
      </c>
      <c r="G517" s="370"/>
      <c r="H517" s="461" t="s">
        <v>405</v>
      </c>
      <c r="I517" s="399" t="s">
        <v>918</v>
      </c>
      <c r="J517" s="369">
        <v>44988</v>
      </c>
      <c r="K517" s="747">
        <v>0.375</v>
      </c>
      <c r="L517" s="369">
        <v>44988</v>
      </c>
      <c r="M517" s="753">
        <v>0.79166666666666663</v>
      </c>
      <c r="N517" s="373">
        <v>8</v>
      </c>
      <c r="O517" s="184" t="s">
        <v>17</v>
      </c>
      <c r="P517" s="401" t="s">
        <v>923</v>
      </c>
      <c r="Q517" s="746" t="s">
        <v>264</v>
      </c>
      <c r="R517" s="202" t="s">
        <v>40</v>
      </c>
      <c r="S517" s="31" t="s">
        <v>273</v>
      </c>
      <c r="T517" s="31" t="s">
        <v>273</v>
      </c>
      <c r="U517" s="31">
        <f>IFERROR(VLOOKUP(CONCATENATE(Tabla1[[#This Row],[Severidad]]," ",Tabla1[[#This Row],[Complejidad]]),Catalogos!E$120:G$128,3,FALSE),"")</f>
        <v>64</v>
      </c>
      <c r="V517" s="31" t="str">
        <f>IF(Tabla1[[#This Row],[Tiempo solución max (hrs)]]&lt;&gt;"",IF(Tabla1[[#This Row],[Tiempo solución max (hrs)]]&gt;=Tabla1[[#This Row],[Tiempo
(Hrs 00/100)]],"cumple","no cumple"),"")</f>
        <v>cumple</v>
      </c>
      <c r="W517" s="376" t="s">
        <v>681</v>
      </c>
      <c r="X517" s="377" t="str">
        <f t="shared" si="63"/>
        <v>DS</v>
      </c>
      <c r="Y517" s="459" t="str">
        <f>SUBSTITUTE(Tabla1[[#This Row],[Descripción]],CHAR(10),"    I    ")</f>
        <v>Asignación de tiempos, actividades y analisis estructura de carpetas y configuración del proyecto</v>
      </c>
      <c r="Z517" s="460">
        <f>VLOOKUP(Tabla1[[#This Row],[Perfil]],Catalogos!$B$75:$D$100,3,FALSE)*Tabla1[[#This Row],[Tiempo
(Hrs 00/100)]]*1.16</f>
        <v>6496</v>
      </c>
    </row>
    <row r="518" spans="1:26" ht="30.6" x14ac:dyDescent="0.3">
      <c r="A518" s="373" t="s">
        <v>22</v>
      </c>
      <c r="B518" s="370" t="s">
        <v>23</v>
      </c>
      <c r="C518" s="205" t="s">
        <v>155</v>
      </c>
      <c r="D518" s="179"/>
      <c r="E518" s="373" t="s">
        <v>924</v>
      </c>
      <c r="F518" s="370" t="s">
        <v>23</v>
      </c>
      <c r="G518" s="370"/>
      <c r="H518" s="461" t="s">
        <v>405</v>
      </c>
      <c r="I518" s="462" t="s">
        <v>919</v>
      </c>
      <c r="J518" s="369">
        <v>44991</v>
      </c>
      <c r="K518" s="747">
        <v>0.375</v>
      </c>
      <c r="L518" s="369">
        <v>44991</v>
      </c>
      <c r="M518" s="753">
        <v>0.79166666666666663</v>
      </c>
      <c r="N518" s="373">
        <v>8</v>
      </c>
      <c r="O518" s="184" t="s">
        <v>411</v>
      </c>
      <c r="P518" s="401" t="s">
        <v>923</v>
      </c>
      <c r="Q518" s="746" t="s">
        <v>264</v>
      </c>
      <c r="R518" s="202" t="s">
        <v>40</v>
      </c>
      <c r="S518" s="31" t="s">
        <v>273</v>
      </c>
      <c r="T518" s="31" t="s">
        <v>273</v>
      </c>
      <c r="U518" s="31">
        <f>IFERROR(VLOOKUP(CONCATENATE(Tabla1[[#This Row],[Severidad]]," ",Tabla1[[#This Row],[Complejidad]]),Catalogos!E$120:G$128,3,FALSE),"")</f>
        <v>64</v>
      </c>
      <c r="V518" s="31" t="str">
        <f>IF(Tabla1[[#This Row],[Tiempo solución max (hrs)]]&lt;&gt;"",IF(Tabla1[[#This Row],[Tiempo solución max (hrs)]]&gt;=Tabla1[[#This Row],[Tiempo
(Hrs 00/100)]],"cumple","no cumple"),"")</f>
        <v>cumple</v>
      </c>
      <c r="W518" s="376" t="s">
        <v>681</v>
      </c>
      <c r="X518" s="463" t="str">
        <f t="shared" ref="X518:X560" si="68">IF(C518&lt;&gt;"",C518,D518)</f>
        <v>DS</v>
      </c>
      <c r="Y518" s="459" t="str">
        <f>SUBSTITUTE(Tabla1[[#This Row],[Descripción]],CHAR(10),"    I    ")</f>
        <v>Desarrollo pantalla resultados,desarrollo componente filtro entidad e institución</v>
      </c>
      <c r="Z518" s="464">
        <f>VLOOKUP(Tabla1[[#This Row],[Perfil]],Catalogos!$B$75:$D$100,3,FALSE)*Tabla1[[#This Row],[Tiempo
(Hrs 00/100)]]*1.16</f>
        <v>6496</v>
      </c>
    </row>
    <row r="519" spans="1:26" ht="30.6" x14ac:dyDescent="0.3">
      <c r="A519" s="373" t="s">
        <v>22</v>
      </c>
      <c r="B519" s="370" t="s">
        <v>23</v>
      </c>
      <c r="C519" s="205" t="s">
        <v>155</v>
      </c>
      <c r="D519" s="179"/>
      <c r="E519" s="373" t="s">
        <v>924</v>
      </c>
      <c r="F519" s="370" t="s">
        <v>23</v>
      </c>
      <c r="G519" s="370"/>
      <c r="H519" s="461" t="s">
        <v>405</v>
      </c>
      <c r="I519" s="462" t="s">
        <v>919</v>
      </c>
      <c r="J519" s="369">
        <v>44992</v>
      </c>
      <c r="K519" s="747">
        <v>0.375</v>
      </c>
      <c r="L519" s="369">
        <v>44992</v>
      </c>
      <c r="M519" s="753">
        <v>0.79166666666666663</v>
      </c>
      <c r="N519" s="373">
        <v>8</v>
      </c>
      <c r="O519" s="184" t="s">
        <v>17</v>
      </c>
      <c r="P519" s="401" t="s">
        <v>923</v>
      </c>
      <c r="Q519" s="746" t="s">
        <v>264</v>
      </c>
      <c r="R519" s="202" t="s">
        <v>40</v>
      </c>
      <c r="S519" s="31" t="s">
        <v>273</v>
      </c>
      <c r="T519" s="31" t="s">
        <v>273</v>
      </c>
      <c r="U519" s="31">
        <f>IFERROR(VLOOKUP(CONCATENATE(Tabla1[[#This Row],[Severidad]]," ",Tabla1[[#This Row],[Complejidad]]),Catalogos!E$120:G$128,3,FALSE),"")</f>
        <v>64</v>
      </c>
      <c r="V519" s="31" t="str">
        <f>IF(Tabla1[[#This Row],[Tiempo solución max (hrs)]]&lt;&gt;"",IF(Tabla1[[#This Row],[Tiempo solución max (hrs)]]&gt;=Tabla1[[#This Row],[Tiempo
(Hrs 00/100)]],"cumple","no cumple"),"")</f>
        <v>cumple</v>
      </c>
      <c r="W519" s="376" t="s">
        <v>681</v>
      </c>
      <c r="X519" s="463" t="str">
        <f t="shared" ref="X519" si="69">IF(C519&lt;&gt;"",C519,D519)</f>
        <v>DS</v>
      </c>
      <c r="Y519" s="459" t="str">
        <f>SUBSTITUTE(Tabla1[[#This Row],[Descripción]],CHAR(10),"    I    ")</f>
        <v>Desarrollo pantalla resultados,desarrollo componente filtro entidad e institución</v>
      </c>
      <c r="Z519" s="464">
        <f>VLOOKUP(Tabla1[[#This Row],[Perfil]],Catalogos!$B$75:$D$100,3,FALSE)*Tabla1[[#This Row],[Tiempo
(Hrs 00/100)]]*1.16</f>
        <v>6496</v>
      </c>
    </row>
    <row r="520" spans="1:26" ht="30.6" x14ac:dyDescent="0.3">
      <c r="A520" s="373" t="s">
        <v>22</v>
      </c>
      <c r="B520" s="370" t="s">
        <v>23</v>
      </c>
      <c r="C520" s="205" t="s">
        <v>155</v>
      </c>
      <c r="D520" s="179"/>
      <c r="E520" s="373" t="s">
        <v>924</v>
      </c>
      <c r="F520" s="370" t="s">
        <v>23</v>
      </c>
      <c r="G520" s="370"/>
      <c r="H520" s="461" t="s">
        <v>405</v>
      </c>
      <c r="I520" s="462" t="s">
        <v>920</v>
      </c>
      <c r="J520" s="369">
        <v>44993</v>
      </c>
      <c r="K520" s="747">
        <v>0.375</v>
      </c>
      <c r="L520" s="369">
        <v>44993</v>
      </c>
      <c r="M520" s="753">
        <v>0.79166666666666663</v>
      </c>
      <c r="N520" s="373">
        <v>8</v>
      </c>
      <c r="O520" s="184" t="s">
        <v>17</v>
      </c>
      <c r="P520" s="401" t="s">
        <v>923</v>
      </c>
      <c r="Q520" s="746" t="s">
        <v>264</v>
      </c>
      <c r="R520" s="202" t="s">
        <v>40</v>
      </c>
      <c r="S520" s="31" t="s">
        <v>273</v>
      </c>
      <c r="T520" s="31" t="s">
        <v>273</v>
      </c>
      <c r="U520" s="31">
        <f>IFERROR(VLOOKUP(CONCATENATE(Tabla1[[#This Row],[Severidad]]," ",Tabla1[[#This Row],[Complejidad]]),Catalogos!E$120:G$128,3,FALSE),"")</f>
        <v>64</v>
      </c>
      <c r="V520" s="31" t="str">
        <f>IF(Tabla1[[#This Row],[Tiempo solución max (hrs)]]&lt;&gt;"",IF(Tabla1[[#This Row],[Tiempo solución max (hrs)]]&gt;=Tabla1[[#This Row],[Tiempo
(Hrs 00/100)]],"cumple","no cumple"),"")</f>
        <v>cumple</v>
      </c>
      <c r="W520" s="376" t="s">
        <v>681</v>
      </c>
      <c r="X520" s="463" t="str">
        <f t="shared" si="68"/>
        <v>DS</v>
      </c>
      <c r="Y520" s="459" t="str">
        <f>SUBSTITUTE(Tabla1[[#This Row],[Descripción]],CHAR(10),"    I    ")</f>
        <v>Desarrollo maqueta sección resultados y componente filtros año y rango de fechas</v>
      </c>
      <c r="Z520" s="464">
        <f>VLOOKUP(Tabla1[[#This Row],[Perfil]],Catalogos!$B$75:$D$100,3,FALSE)*Tabla1[[#This Row],[Tiempo
(Hrs 00/100)]]*1.16</f>
        <v>6496</v>
      </c>
    </row>
    <row r="521" spans="1:26" ht="30.6" x14ac:dyDescent="0.3">
      <c r="A521" s="373" t="s">
        <v>22</v>
      </c>
      <c r="B521" s="370" t="s">
        <v>23</v>
      </c>
      <c r="C521" s="205" t="s">
        <v>155</v>
      </c>
      <c r="D521" s="179"/>
      <c r="E521" s="373" t="s">
        <v>924</v>
      </c>
      <c r="F521" s="370" t="s">
        <v>23</v>
      </c>
      <c r="G521" s="370"/>
      <c r="H521" s="461" t="s">
        <v>405</v>
      </c>
      <c r="I521" s="465" t="s">
        <v>921</v>
      </c>
      <c r="J521" s="369">
        <v>44994</v>
      </c>
      <c r="K521" s="747">
        <v>0.375</v>
      </c>
      <c r="L521" s="369">
        <v>44994</v>
      </c>
      <c r="M521" s="753">
        <v>0.79166666666666663</v>
      </c>
      <c r="N521" s="373">
        <v>8</v>
      </c>
      <c r="O521" s="184" t="s">
        <v>411</v>
      </c>
      <c r="P521" s="401" t="s">
        <v>923</v>
      </c>
      <c r="Q521" s="746" t="s">
        <v>264</v>
      </c>
      <c r="R521" s="202" t="s">
        <v>40</v>
      </c>
      <c r="S521" s="31" t="s">
        <v>273</v>
      </c>
      <c r="T521" s="31" t="s">
        <v>273</v>
      </c>
      <c r="U521" s="31">
        <f>IFERROR(VLOOKUP(CONCATENATE(Tabla1[[#This Row],[Severidad]]," ",Tabla1[[#This Row],[Complejidad]]),Catalogos!E$120:G$128,3,FALSE),"")</f>
        <v>64</v>
      </c>
      <c r="V521" s="31" t="str">
        <f>IF(Tabla1[[#This Row],[Tiempo solución max (hrs)]]&lt;&gt;"",IF(Tabla1[[#This Row],[Tiempo solución max (hrs)]]&gt;=Tabla1[[#This Row],[Tiempo
(Hrs 00/100)]],"cumple","no cumple"),"")</f>
        <v>cumple</v>
      </c>
      <c r="W521" s="376" t="s">
        <v>681</v>
      </c>
      <c r="X521" s="463" t="str">
        <f t="shared" si="68"/>
        <v>DS</v>
      </c>
      <c r="Y521" s="459" t="str">
        <f>SUBSTITUTE(Tabla1[[#This Row],[Descripción]],CHAR(10),"    I    ")</f>
        <v>Implementación del patrón NGRX para persistir y modificar el request que se envía a la petición http que regresa los resultados</v>
      </c>
      <c r="Z521" s="464">
        <f>VLOOKUP(Tabla1[[#This Row],[Perfil]],Catalogos!$B$75:$D$100,3,FALSE)*Tabla1[[#This Row],[Tiempo
(Hrs 00/100)]]*1.16</f>
        <v>6496</v>
      </c>
    </row>
    <row r="522" spans="1:26" ht="30.6" x14ac:dyDescent="0.3">
      <c r="A522" s="373" t="s">
        <v>22</v>
      </c>
      <c r="B522" s="370" t="s">
        <v>23</v>
      </c>
      <c r="C522" s="205" t="s">
        <v>155</v>
      </c>
      <c r="D522" s="179"/>
      <c r="E522" s="373" t="s">
        <v>924</v>
      </c>
      <c r="F522" s="370" t="s">
        <v>23</v>
      </c>
      <c r="G522" s="370"/>
      <c r="H522" s="461" t="s">
        <v>405</v>
      </c>
      <c r="I522" s="465" t="s">
        <v>921</v>
      </c>
      <c r="J522" s="369">
        <v>44995</v>
      </c>
      <c r="K522" s="747">
        <v>0.375</v>
      </c>
      <c r="L522" s="369">
        <v>44995</v>
      </c>
      <c r="M522" s="753">
        <v>0.79166666666666663</v>
      </c>
      <c r="N522" s="373">
        <v>8</v>
      </c>
      <c r="O522" s="184" t="s">
        <v>411</v>
      </c>
      <c r="P522" s="401" t="s">
        <v>923</v>
      </c>
      <c r="Q522" s="746" t="s">
        <v>264</v>
      </c>
      <c r="R522" s="202" t="s">
        <v>40</v>
      </c>
      <c r="S522" s="31" t="s">
        <v>273</v>
      </c>
      <c r="T522" s="31" t="s">
        <v>273</v>
      </c>
      <c r="U522" s="31">
        <f>IFERROR(VLOOKUP(CONCATENATE(Tabla1[[#This Row],[Severidad]]," ",Tabla1[[#This Row],[Complejidad]]),Catalogos!E$120:G$128,3,FALSE),"")</f>
        <v>64</v>
      </c>
      <c r="V522" s="31" t="str">
        <f>IF(Tabla1[[#This Row],[Tiempo solución max (hrs)]]&lt;&gt;"",IF(Tabla1[[#This Row],[Tiempo solución max (hrs)]]&gt;=Tabla1[[#This Row],[Tiempo
(Hrs 00/100)]],"cumple","no cumple"),"")</f>
        <v>cumple</v>
      </c>
      <c r="W522" s="376" t="s">
        <v>681</v>
      </c>
      <c r="X522" s="463" t="str">
        <f t="shared" ref="X522:X523" si="70">IF(C522&lt;&gt;"",C522,D522)</f>
        <v>DS</v>
      </c>
      <c r="Y522" s="459" t="str">
        <f>SUBSTITUTE(Tabla1[[#This Row],[Descripción]],CHAR(10),"    I    ")</f>
        <v>Implementación del patrón NGRX para persistir y modificar el request que se envía a la petición http que regresa los resultados</v>
      </c>
      <c r="Z522" s="464">
        <f>VLOOKUP(Tabla1[[#This Row],[Perfil]],Catalogos!$B$75:$D$100,3,FALSE)*Tabla1[[#This Row],[Tiempo
(Hrs 00/100)]]*1.16</f>
        <v>6496</v>
      </c>
    </row>
    <row r="523" spans="1:26" ht="30.6" x14ac:dyDescent="0.3">
      <c r="A523" s="373" t="s">
        <v>22</v>
      </c>
      <c r="B523" s="370" t="s">
        <v>23</v>
      </c>
      <c r="C523" s="205" t="s">
        <v>155</v>
      </c>
      <c r="D523" s="179"/>
      <c r="E523" s="373" t="s">
        <v>924</v>
      </c>
      <c r="F523" s="370" t="s">
        <v>23</v>
      </c>
      <c r="G523" s="370"/>
      <c r="H523" s="461" t="s">
        <v>405</v>
      </c>
      <c r="I523" s="465" t="s">
        <v>921</v>
      </c>
      <c r="J523" s="369">
        <v>44998</v>
      </c>
      <c r="K523" s="747">
        <v>0.375</v>
      </c>
      <c r="L523" s="369">
        <v>44998</v>
      </c>
      <c r="M523" s="753">
        <v>0.79166666666666663</v>
      </c>
      <c r="N523" s="373">
        <v>8</v>
      </c>
      <c r="O523" s="184" t="s">
        <v>17</v>
      </c>
      <c r="P523" s="401" t="s">
        <v>923</v>
      </c>
      <c r="Q523" s="746" t="s">
        <v>264</v>
      </c>
      <c r="R523" s="202" t="s">
        <v>40</v>
      </c>
      <c r="S523" s="31" t="s">
        <v>273</v>
      </c>
      <c r="T523" s="31" t="s">
        <v>273</v>
      </c>
      <c r="U523" s="31">
        <f>IFERROR(VLOOKUP(CONCATENATE(Tabla1[[#This Row],[Severidad]]," ",Tabla1[[#This Row],[Complejidad]]),Catalogos!E$120:G$128,3,FALSE),"")</f>
        <v>64</v>
      </c>
      <c r="V523" s="31" t="str">
        <f>IF(Tabla1[[#This Row],[Tiempo solución max (hrs)]]&lt;&gt;"",IF(Tabla1[[#This Row],[Tiempo solución max (hrs)]]&gt;=Tabla1[[#This Row],[Tiempo
(Hrs 00/100)]],"cumple","no cumple"),"")</f>
        <v>cumple</v>
      </c>
      <c r="W523" s="376" t="s">
        <v>681</v>
      </c>
      <c r="X523" s="463" t="str">
        <f t="shared" si="70"/>
        <v>DS</v>
      </c>
      <c r="Y523" s="459" t="str">
        <f>SUBSTITUTE(Tabla1[[#This Row],[Descripción]],CHAR(10),"    I    ")</f>
        <v>Implementación del patrón NGRX para persistir y modificar el request que se envía a la petición http que regresa los resultados</v>
      </c>
      <c r="Z523" s="464">
        <f>VLOOKUP(Tabla1[[#This Row],[Perfil]],Catalogos!$B$75:$D$100,3,FALSE)*Tabla1[[#This Row],[Tiempo
(Hrs 00/100)]]*1.16</f>
        <v>6496</v>
      </c>
    </row>
    <row r="524" spans="1:26" ht="15" customHeight="1" x14ac:dyDescent="0.3">
      <c r="A524" s="373" t="s">
        <v>22</v>
      </c>
      <c r="B524" s="370" t="s">
        <v>23</v>
      </c>
      <c r="C524" s="205" t="s">
        <v>155</v>
      </c>
      <c r="D524" s="179"/>
      <c r="E524" s="373" t="s">
        <v>924</v>
      </c>
      <c r="F524" s="370" t="s">
        <v>23</v>
      </c>
      <c r="G524" s="370"/>
      <c r="H524" s="461" t="s">
        <v>405</v>
      </c>
      <c r="I524" s="399" t="s">
        <v>925</v>
      </c>
      <c r="J524" s="369">
        <v>44999</v>
      </c>
      <c r="K524" s="747">
        <v>0.375</v>
      </c>
      <c r="L524" s="369">
        <v>44999</v>
      </c>
      <c r="M524" s="753">
        <v>0.79166666666666663</v>
      </c>
      <c r="N524" s="373">
        <v>8</v>
      </c>
      <c r="O524" s="184" t="s">
        <v>17</v>
      </c>
      <c r="P524" s="401" t="s">
        <v>923</v>
      </c>
      <c r="Q524" s="746" t="s">
        <v>264</v>
      </c>
      <c r="R524" s="202" t="s">
        <v>40</v>
      </c>
      <c r="S524" s="31" t="s">
        <v>273</v>
      </c>
      <c r="T524" s="31" t="s">
        <v>273</v>
      </c>
      <c r="U524" s="31">
        <f>IFERROR(VLOOKUP(CONCATENATE(Tabla1[[#This Row],[Severidad]]," ",Tabla1[[#This Row],[Complejidad]]),Catalogos!E$120:G$128,3,FALSE),"")</f>
        <v>64</v>
      </c>
      <c r="V524" s="31" t="str">
        <f>IF(Tabla1[[#This Row],[Tiempo solución max (hrs)]]&lt;&gt;"",IF(Tabla1[[#This Row],[Tiempo solución max (hrs)]]&gt;=Tabla1[[#This Row],[Tiempo
(Hrs 00/100)]],"cumple","no cumple"),"")</f>
        <v>cumple</v>
      </c>
      <c r="W524" s="376" t="s">
        <v>681</v>
      </c>
      <c r="X524" s="463" t="str">
        <f t="shared" si="68"/>
        <v>DS</v>
      </c>
      <c r="Y524" s="459" t="str">
        <f>SUBSTITUTE(Tabla1[[#This Row],[Descripción]],CHAR(10),"    I    ")</f>
        <v>Creación interfaces, actions y reducers</v>
      </c>
      <c r="Z524" s="464">
        <f>VLOOKUP(Tabla1[[#This Row],[Perfil]],Catalogos!$B$75:$D$100,3,FALSE)*Tabla1[[#This Row],[Tiempo
(Hrs 00/100)]]*1.16</f>
        <v>6496</v>
      </c>
    </row>
    <row r="525" spans="1:26" ht="15" customHeight="1" x14ac:dyDescent="0.3">
      <c r="A525" s="373" t="s">
        <v>22</v>
      </c>
      <c r="B525" s="370" t="s">
        <v>23</v>
      </c>
      <c r="C525" s="205" t="s">
        <v>155</v>
      </c>
      <c r="D525" s="179"/>
      <c r="E525" s="373" t="s">
        <v>924</v>
      </c>
      <c r="F525" s="370" t="s">
        <v>23</v>
      </c>
      <c r="G525" s="370"/>
      <c r="H525" s="461" t="s">
        <v>405</v>
      </c>
      <c r="I525" s="399" t="s">
        <v>926</v>
      </c>
      <c r="J525" s="369">
        <v>45000</v>
      </c>
      <c r="K525" s="747">
        <v>0.375</v>
      </c>
      <c r="L525" s="369">
        <v>45000</v>
      </c>
      <c r="M525" s="753">
        <v>0.79166666666666663</v>
      </c>
      <c r="N525" s="373">
        <v>8</v>
      </c>
      <c r="O525" s="184" t="s">
        <v>17</v>
      </c>
      <c r="P525" s="401" t="s">
        <v>923</v>
      </c>
      <c r="Q525" s="746" t="s">
        <v>264</v>
      </c>
      <c r="R525" s="202" t="s">
        <v>40</v>
      </c>
      <c r="S525" s="31" t="s">
        <v>273</v>
      </c>
      <c r="T525" s="31" t="s">
        <v>273</v>
      </c>
      <c r="U525" s="31">
        <f>IFERROR(VLOOKUP(CONCATENATE(Tabla1[[#This Row],[Severidad]]," ",Tabla1[[#This Row],[Complejidad]]),Catalogos!E$120:G$128,3,FALSE),"")</f>
        <v>64</v>
      </c>
      <c r="V525" s="31" t="str">
        <f>IF(Tabla1[[#This Row],[Tiempo solución max (hrs)]]&lt;&gt;"",IF(Tabla1[[#This Row],[Tiempo solución max (hrs)]]&gt;=Tabla1[[#This Row],[Tiempo
(Hrs 00/100)]],"cumple","no cumple"),"")</f>
        <v>cumple</v>
      </c>
      <c r="W525" s="376" t="s">
        <v>681</v>
      </c>
      <c r="X525" s="463" t="str">
        <f t="shared" si="68"/>
        <v>DS</v>
      </c>
      <c r="Y525" s="459" t="str">
        <f>SUBSTITUTE(Tabla1[[#This Row],[Descripción]],CHAR(10),"    I    ")</f>
        <v xml:space="preserve">Creación servicios y effects NGRX,para obtener los datos del back </v>
      </c>
      <c r="Z525" s="464">
        <f>VLOOKUP(Tabla1[[#This Row],[Perfil]],Catalogos!$B$75:$D$100,3,FALSE)*Tabla1[[#This Row],[Tiempo
(Hrs 00/100)]]*1.16</f>
        <v>6496</v>
      </c>
    </row>
    <row r="526" spans="1:26" ht="15" customHeight="1" x14ac:dyDescent="0.3">
      <c r="A526" s="373" t="s">
        <v>22</v>
      </c>
      <c r="B526" s="370" t="s">
        <v>23</v>
      </c>
      <c r="C526" s="205" t="s">
        <v>155</v>
      </c>
      <c r="D526" s="179"/>
      <c r="E526" s="373" t="s">
        <v>924</v>
      </c>
      <c r="F526" s="370" t="s">
        <v>23</v>
      </c>
      <c r="G526" s="370"/>
      <c r="H526" s="461" t="s">
        <v>405</v>
      </c>
      <c r="I526" s="399" t="s">
        <v>927</v>
      </c>
      <c r="J526" s="369">
        <v>45001</v>
      </c>
      <c r="K526" s="747">
        <v>0.375</v>
      </c>
      <c r="L526" s="369">
        <v>45001</v>
      </c>
      <c r="M526" s="753">
        <v>0.79166666666666663</v>
      </c>
      <c r="N526" s="373">
        <v>8</v>
      </c>
      <c r="O526" s="184" t="s">
        <v>17</v>
      </c>
      <c r="P526" s="401" t="s">
        <v>923</v>
      </c>
      <c r="Q526" s="746" t="s">
        <v>264</v>
      </c>
      <c r="R526" s="202" t="s">
        <v>40</v>
      </c>
      <c r="S526" s="31" t="s">
        <v>273</v>
      </c>
      <c r="T526" s="31" t="s">
        <v>273</v>
      </c>
      <c r="U526" s="31">
        <f>IFERROR(VLOOKUP(CONCATENATE(Tabla1[[#This Row],[Severidad]]," ",Tabla1[[#This Row],[Complejidad]]),Catalogos!E$120:G$128,3,FALSE),"")</f>
        <v>64</v>
      </c>
      <c r="V526" s="31" t="str">
        <f>IF(Tabla1[[#This Row],[Tiempo solución max (hrs)]]&lt;&gt;"",IF(Tabla1[[#This Row],[Tiempo solución max (hrs)]]&gt;=Tabla1[[#This Row],[Tiempo
(Hrs 00/100)]],"cumple","no cumple"),"")</f>
        <v>cumple</v>
      </c>
      <c r="W526" s="376" t="s">
        <v>681</v>
      </c>
      <c r="X526" s="463" t="str">
        <f t="shared" si="68"/>
        <v>DS</v>
      </c>
      <c r="Y526" s="459" t="str">
        <f>SUBSTITUTE(Tabla1[[#This Row],[Descripción]],CHAR(10),"    I    ")</f>
        <v>Uso de actions y reducers en componente filtros Temas,subtemas,entidad y sujetos obligados</v>
      </c>
      <c r="Z526" s="464">
        <f>VLOOKUP(Tabla1[[#This Row],[Perfil]],Catalogos!$B$75:$D$100,3,FALSE)*Tabla1[[#This Row],[Tiempo
(Hrs 00/100)]]*1.16</f>
        <v>6496</v>
      </c>
    </row>
    <row r="527" spans="1:26" ht="15" customHeight="1" x14ac:dyDescent="0.3">
      <c r="A527" s="373" t="s">
        <v>22</v>
      </c>
      <c r="B527" s="370" t="s">
        <v>23</v>
      </c>
      <c r="C527" s="205" t="s">
        <v>155</v>
      </c>
      <c r="D527" s="179"/>
      <c r="E527" s="373" t="s">
        <v>924</v>
      </c>
      <c r="F527" s="370" t="s">
        <v>23</v>
      </c>
      <c r="G527" s="370"/>
      <c r="H527" s="461" t="s">
        <v>405</v>
      </c>
      <c r="I527" s="399" t="s">
        <v>928</v>
      </c>
      <c r="J527" s="369">
        <v>45002</v>
      </c>
      <c r="K527" s="747">
        <v>0.375</v>
      </c>
      <c r="L527" s="369">
        <v>45002</v>
      </c>
      <c r="M527" s="753">
        <v>0.79166666666666663</v>
      </c>
      <c r="N527" s="373">
        <v>8</v>
      </c>
      <c r="O527" s="184" t="s">
        <v>17</v>
      </c>
      <c r="P527" s="401" t="s">
        <v>923</v>
      </c>
      <c r="Q527" s="746" t="s">
        <v>264</v>
      </c>
      <c r="R527" s="202" t="s">
        <v>40</v>
      </c>
      <c r="S527" s="31" t="s">
        <v>273</v>
      </c>
      <c r="T527" s="31" t="s">
        <v>273</v>
      </c>
      <c r="U527" s="31">
        <f>IFERROR(VLOOKUP(CONCATENATE(Tabla1[[#This Row],[Severidad]]," ",Tabla1[[#This Row],[Complejidad]]),Catalogos!E$120:G$128,3,FALSE),"")</f>
        <v>64</v>
      </c>
      <c r="V527" s="31" t="str">
        <f>IF(Tabla1[[#This Row],[Tiempo solución max (hrs)]]&lt;&gt;"",IF(Tabla1[[#This Row],[Tiempo solución max (hrs)]]&gt;=Tabla1[[#This Row],[Tiempo
(Hrs 00/100)]],"cumple","no cumple"),"")</f>
        <v>cumple</v>
      </c>
      <c r="W527" s="376" t="s">
        <v>681</v>
      </c>
      <c r="X527" s="463" t="str">
        <f t="shared" si="68"/>
        <v>DS</v>
      </c>
      <c r="Y527" s="459" t="str">
        <f>SUBSTITUTE(Tabla1[[#This Row],[Descripción]],CHAR(10),"    I    ")</f>
        <v>Implementación de checkbox y envío de datos de acuerdo al filtro seleccionado en filtros Temas,subtemas,entidad y sujetos obligados</v>
      </c>
      <c r="Z527" s="464">
        <f>VLOOKUP(Tabla1[[#This Row],[Perfil]],Catalogos!$B$75:$D$100,3,FALSE)*Tabla1[[#This Row],[Tiempo
(Hrs 00/100)]]*1.16</f>
        <v>6496</v>
      </c>
    </row>
    <row r="528" spans="1:26" ht="15" customHeight="1" x14ac:dyDescent="0.3">
      <c r="A528" s="373" t="s">
        <v>22</v>
      </c>
      <c r="B528" s="370" t="s">
        <v>23</v>
      </c>
      <c r="C528" s="205" t="s">
        <v>155</v>
      </c>
      <c r="D528" s="179"/>
      <c r="E528" s="373" t="s">
        <v>924</v>
      </c>
      <c r="F528" s="370" t="s">
        <v>23</v>
      </c>
      <c r="G528" s="370"/>
      <c r="H528" s="461" t="s">
        <v>405</v>
      </c>
      <c r="I528" s="399" t="s">
        <v>929</v>
      </c>
      <c r="J528" s="369">
        <v>45006</v>
      </c>
      <c r="K528" s="747">
        <v>0.375</v>
      </c>
      <c r="L528" s="369">
        <v>45006</v>
      </c>
      <c r="M528" s="753">
        <v>0.79166666666666663</v>
      </c>
      <c r="N528" s="373">
        <v>8</v>
      </c>
      <c r="O528" s="184" t="s">
        <v>17</v>
      </c>
      <c r="P528" s="401" t="s">
        <v>923</v>
      </c>
      <c r="Q528" s="746" t="s">
        <v>264</v>
      </c>
      <c r="R528" s="202" t="s">
        <v>40</v>
      </c>
      <c r="S528" s="31" t="s">
        <v>273</v>
      </c>
      <c r="T528" s="31" t="s">
        <v>273</v>
      </c>
      <c r="U528" s="31">
        <f>IFERROR(VLOOKUP(CONCATENATE(Tabla1[[#This Row],[Severidad]]," ",Tabla1[[#This Row],[Complejidad]]),Catalogos!E$120:G$128,3,FALSE),"")</f>
        <v>64</v>
      </c>
      <c r="V528" s="31" t="str">
        <f>IF(Tabla1[[#This Row],[Tiempo solución max (hrs)]]&lt;&gt;"",IF(Tabla1[[#This Row],[Tiempo solución max (hrs)]]&gt;=Tabla1[[#This Row],[Tiempo
(Hrs 00/100)]],"cumple","no cumple"),"")</f>
        <v>cumple</v>
      </c>
      <c r="W528" s="376" t="s">
        <v>681</v>
      </c>
      <c r="X528" s="463" t="str">
        <f t="shared" si="68"/>
        <v>DS</v>
      </c>
      <c r="Y528" s="459" t="str">
        <f>SUBSTITUTE(Tabla1[[#This Row],[Descripción]],CHAR(10),"    I    ")</f>
        <v xml:space="preserve">Implementación validaciones para mostrar los filtros de acuerdo a la colección seleccionada </v>
      </c>
      <c r="Z528" s="464">
        <f>VLOOKUP(Tabla1[[#This Row],[Perfil]],Catalogos!$B$75:$D$100,3,FALSE)*Tabla1[[#This Row],[Tiempo
(Hrs 00/100)]]*1.16</f>
        <v>6496</v>
      </c>
    </row>
    <row r="529" spans="1:26" ht="15" customHeight="1" x14ac:dyDescent="0.3">
      <c r="A529" s="373" t="s">
        <v>22</v>
      </c>
      <c r="B529" s="370" t="s">
        <v>23</v>
      </c>
      <c r="C529" s="205" t="s">
        <v>155</v>
      </c>
      <c r="D529" s="179"/>
      <c r="E529" s="373" t="s">
        <v>924</v>
      </c>
      <c r="F529" s="370" t="s">
        <v>23</v>
      </c>
      <c r="G529" s="370"/>
      <c r="H529" s="461" t="s">
        <v>405</v>
      </c>
      <c r="I529" s="399" t="s">
        <v>930</v>
      </c>
      <c r="J529" s="369">
        <v>45007</v>
      </c>
      <c r="K529" s="747">
        <v>0.375</v>
      </c>
      <c r="L529" s="369">
        <v>45007</v>
      </c>
      <c r="M529" s="753">
        <v>0.79166666666666663</v>
      </c>
      <c r="N529" s="373">
        <v>8</v>
      </c>
      <c r="O529" s="184" t="s">
        <v>17</v>
      </c>
      <c r="P529" s="401" t="s">
        <v>923</v>
      </c>
      <c r="Q529" s="746" t="s">
        <v>264</v>
      </c>
      <c r="R529" s="202" t="s">
        <v>40</v>
      </c>
      <c r="S529" s="31" t="s">
        <v>273</v>
      </c>
      <c r="T529" s="31" t="s">
        <v>273</v>
      </c>
      <c r="U529" s="31">
        <f>IFERROR(VLOOKUP(CONCATENATE(Tabla1[[#This Row],[Severidad]]," ",Tabla1[[#This Row],[Complejidad]]),Catalogos!E$120:G$128,3,FALSE),"")</f>
        <v>64</v>
      </c>
      <c r="V529" s="31" t="str">
        <f>IF(Tabla1[[#This Row],[Tiempo solución max (hrs)]]&lt;&gt;"",IF(Tabla1[[#This Row],[Tiempo solución max (hrs)]]&gt;=Tabla1[[#This Row],[Tiempo
(Hrs 00/100)]],"cumple","no cumple"),"")</f>
        <v>cumple</v>
      </c>
      <c r="W529" s="376" t="s">
        <v>681</v>
      </c>
      <c r="X529" s="463" t="str">
        <f t="shared" si="68"/>
        <v>DS</v>
      </c>
      <c r="Y529" s="459" t="str">
        <f>SUBSTITUTE(Tabla1[[#This Row],[Descripción]],CHAR(10),"    I    ")</f>
        <v>Desarrollo filtros para la colección Quejas</v>
      </c>
      <c r="Z529" s="464">
        <f>VLOOKUP(Tabla1[[#This Row],[Perfil]],Catalogos!$B$75:$D$100,3,FALSE)*Tabla1[[#This Row],[Tiempo
(Hrs 00/100)]]*1.16</f>
        <v>6496</v>
      </c>
    </row>
    <row r="530" spans="1:26" ht="15" customHeight="1" x14ac:dyDescent="0.3">
      <c r="A530" s="373" t="s">
        <v>22</v>
      </c>
      <c r="B530" s="370" t="s">
        <v>23</v>
      </c>
      <c r="C530" s="205" t="s">
        <v>155</v>
      </c>
      <c r="D530" s="179"/>
      <c r="E530" s="373" t="s">
        <v>924</v>
      </c>
      <c r="F530" s="370" t="s">
        <v>23</v>
      </c>
      <c r="G530" s="370"/>
      <c r="H530" s="461" t="s">
        <v>405</v>
      </c>
      <c r="I530" s="466" t="s">
        <v>931</v>
      </c>
      <c r="J530" s="369">
        <v>45008</v>
      </c>
      <c r="K530" s="747">
        <v>0.375</v>
      </c>
      <c r="L530" s="369">
        <v>45008</v>
      </c>
      <c r="M530" s="753">
        <v>0.79166666666666663</v>
      </c>
      <c r="N530" s="373">
        <v>8</v>
      </c>
      <c r="O530" s="184" t="s">
        <v>17</v>
      </c>
      <c r="P530" s="401" t="s">
        <v>923</v>
      </c>
      <c r="Q530" s="746" t="s">
        <v>264</v>
      </c>
      <c r="R530" s="202" t="s">
        <v>40</v>
      </c>
      <c r="S530" s="31" t="s">
        <v>273</v>
      </c>
      <c r="T530" s="31" t="s">
        <v>273</v>
      </c>
      <c r="U530" s="31">
        <f>IFERROR(VLOOKUP(CONCATENATE(Tabla1[[#This Row],[Severidad]]," ",Tabla1[[#This Row],[Complejidad]]),Catalogos!E$120:G$128,3,FALSE),"")</f>
        <v>64</v>
      </c>
      <c r="V530" s="31" t="str">
        <f>IF(Tabla1[[#This Row],[Tiempo solución max (hrs)]]&lt;&gt;"",IF(Tabla1[[#This Row],[Tiempo solución max (hrs)]]&gt;=Tabla1[[#This Row],[Tiempo
(Hrs 00/100)]],"cumple","no cumple"),"")</f>
        <v>cumple</v>
      </c>
      <c r="W530" s="376" t="s">
        <v>681</v>
      </c>
      <c r="X530" s="463" t="str">
        <f t="shared" si="68"/>
        <v>DS</v>
      </c>
      <c r="Y530" s="459" t="str">
        <f>SUBSTITUTE(Tabla1[[#This Row],[Descripción]],CHAR(10),"    I    ")</f>
        <v>Desarrollo componente filtros seleccionados</v>
      </c>
      <c r="Z530" s="464">
        <f>VLOOKUP(Tabla1[[#This Row],[Perfil]],Catalogos!$B$75:$D$100,3,FALSE)*Tabla1[[#This Row],[Tiempo
(Hrs 00/100)]]*1.16</f>
        <v>6496</v>
      </c>
    </row>
    <row r="531" spans="1:26" ht="15" customHeight="1" x14ac:dyDescent="0.3">
      <c r="A531" s="373" t="s">
        <v>22</v>
      </c>
      <c r="B531" s="370" t="s">
        <v>23</v>
      </c>
      <c r="C531" s="205" t="s">
        <v>155</v>
      </c>
      <c r="D531" s="179"/>
      <c r="E531" s="373" t="s">
        <v>924</v>
      </c>
      <c r="F531" s="370" t="s">
        <v>23</v>
      </c>
      <c r="G531" s="370"/>
      <c r="H531" s="461" t="s">
        <v>405</v>
      </c>
      <c r="I531" s="466" t="s">
        <v>932</v>
      </c>
      <c r="J531" s="369">
        <v>45009</v>
      </c>
      <c r="K531" s="747">
        <v>0.375</v>
      </c>
      <c r="L531" s="369">
        <v>45009</v>
      </c>
      <c r="M531" s="753">
        <v>0.79166666666666663</v>
      </c>
      <c r="N531" s="373">
        <v>8</v>
      </c>
      <c r="O531" s="184" t="s">
        <v>17</v>
      </c>
      <c r="P531" s="401" t="s">
        <v>923</v>
      </c>
      <c r="Q531" s="746" t="s">
        <v>264</v>
      </c>
      <c r="R531" s="202" t="s">
        <v>40</v>
      </c>
      <c r="S531" s="31" t="s">
        <v>273</v>
      </c>
      <c r="T531" s="31" t="s">
        <v>273</v>
      </c>
      <c r="U531" s="31">
        <f>IFERROR(VLOOKUP(CONCATENATE(Tabla1[[#This Row],[Severidad]]," ",Tabla1[[#This Row],[Complejidad]]),Catalogos!E$120:G$128,3,FALSE),"")</f>
        <v>64</v>
      </c>
      <c r="V531" s="31" t="str">
        <f>IF(Tabla1[[#This Row],[Tiempo solución max (hrs)]]&lt;&gt;"",IF(Tabla1[[#This Row],[Tiempo solución max (hrs)]]&gt;=Tabla1[[#This Row],[Tiempo
(Hrs 00/100)]],"cumple","no cumple"),"")</f>
        <v>cumple</v>
      </c>
      <c r="W531" s="376" t="s">
        <v>681</v>
      </c>
      <c r="X531" s="463" t="str">
        <f t="shared" si="68"/>
        <v>DS</v>
      </c>
      <c r="Y531" s="459" t="str">
        <f>SUBSTITUTE(Tabla1[[#This Row],[Descripción]],CHAR(10),"    I    ")</f>
        <v>Implementación actions y reducers para los filtros de la colección SICOM</v>
      </c>
      <c r="Z531" s="464">
        <f>VLOOKUP(Tabla1[[#This Row],[Perfil]],Catalogos!$B$75:$D$100,3,FALSE)*Tabla1[[#This Row],[Tiempo
(Hrs 00/100)]]*1.16</f>
        <v>6496</v>
      </c>
    </row>
    <row r="532" spans="1:26" ht="15" customHeight="1" x14ac:dyDescent="0.3">
      <c r="A532" s="373" t="s">
        <v>22</v>
      </c>
      <c r="B532" s="370" t="s">
        <v>23</v>
      </c>
      <c r="C532" s="205" t="s">
        <v>155</v>
      </c>
      <c r="D532" s="179"/>
      <c r="E532" s="373" t="s">
        <v>924</v>
      </c>
      <c r="F532" s="370" t="s">
        <v>23</v>
      </c>
      <c r="G532" s="370"/>
      <c r="H532" s="461" t="s">
        <v>405</v>
      </c>
      <c r="I532" s="466" t="s">
        <v>933</v>
      </c>
      <c r="J532" s="369">
        <v>45012</v>
      </c>
      <c r="K532" s="747">
        <v>0.375</v>
      </c>
      <c r="L532" s="369">
        <v>45012</v>
      </c>
      <c r="M532" s="753">
        <v>0.79166666666666663</v>
      </c>
      <c r="N532" s="373">
        <v>8</v>
      </c>
      <c r="O532" s="184" t="s">
        <v>17</v>
      </c>
      <c r="P532" s="401" t="s">
        <v>923</v>
      </c>
      <c r="Q532" s="746" t="s">
        <v>264</v>
      </c>
      <c r="R532" s="202" t="s">
        <v>40</v>
      </c>
      <c r="S532" s="31" t="s">
        <v>273</v>
      </c>
      <c r="T532" s="31" t="s">
        <v>273</v>
      </c>
      <c r="U532" s="31">
        <f>IFERROR(VLOOKUP(CONCATENATE(Tabla1[[#This Row],[Severidad]]," ",Tabla1[[#This Row],[Complejidad]]),Catalogos!E$120:G$128,3,FALSE),"")</f>
        <v>64</v>
      </c>
      <c r="V532" s="31" t="str">
        <f>IF(Tabla1[[#This Row],[Tiempo solución max (hrs)]]&lt;&gt;"",IF(Tabla1[[#This Row],[Tiempo solución max (hrs)]]&gt;=Tabla1[[#This Row],[Tiempo
(Hrs 00/100)]],"cumple","no cumple"),"")</f>
        <v>cumple</v>
      </c>
      <c r="W532" s="376" t="s">
        <v>681</v>
      </c>
      <c r="X532" s="463" t="str">
        <f t="shared" si="68"/>
        <v>DS</v>
      </c>
      <c r="Y532" s="459" t="str">
        <f>SUBSTITUTE(Tabla1[[#This Row],[Descripción]],CHAR(10),"    I    ")</f>
        <v>Mejora en las interfaces y actualización de las mismas,nueva funcionalidad filtros colección SISAI</v>
      </c>
      <c r="Z532" s="464">
        <f>VLOOKUP(Tabla1[[#This Row],[Perfil]],Catalogos!$B$75:$D$100,3,FALSE)*Tabla1[[#This Row],[Tiempo
(Hrs 00/100)]]*1.16</f>
        <v>6496</v>
      </c>
    </row>
    <row r="533" spans="1:26" ht="15" customHeight="1" x14ac:dyDescent="0.3">
      <c r="A533" s="373" t="s">
        <v>22</v>
      </c>
      <c r="B533" s="370" t="s">
        <v>23</v>
      </c>
      <c r="C533" s="205" t="s">
        <v>155</v>
      </c>
      <c r="D533" s="179"/>
      <c r="E533" s="373" t="s">
        <v>924</v>
      </c>
      <c r="F533" s="370" t="s">
        <v>23</v>
      </c>
      <c r="G533" s="370"/>
      <c r="H533" s="461" t="s">
        <v>405</v>
      </c>
      <c r="I533" s="466" t="s">
        <v>934</v>
      </c>
      <c r="J533" s="369">
        <v>45013</v>
      </c>
      <c r="K533" s="747">
        <v>0.375</v>
      </c>
      <c r="L533" s="369">
        <v>45013</v>
      </c>
      <c r="M533" s="753">
        <v>0.79166666666666663</v>
      </c>
      <c r="N533" s="373">
        <v>8</v>
      </c>
      <c r="O533" s="184" t="s">
        <v>17</v>
      </c>
      <c r="P533" s="401" t="s">
        <v>923</v>
      </c>
      <c r="Q533" s="746" t="s">
        <v>264</v>
      </c>
      <c r="R533" s="202" t="s">
        <v>40</v>
      </c>
      <c r="S533" s="31" t="s">
        <v>273</v>
      </c>
      <c r="T533" s="31" t="s">
        <v>273</v>
      </c>
      <c r="U533" s="31">
        <f>IFERROR(VLOOKUP(CONCATENATE(Tabla1[[#This Row],[Severidad]]," ",Tabla1[[#This Row],[Complejidad]]),Catalogos!E$120:G$128,3,FALSE),"")</f>
        <v>64</v>
      </c>
      <c r="V533" s="31" t="str">
        <f>IF(Tabla1[[#This Row],[Tiempo solución max (hrs)]]&lt;&gt;"",IF(Tabla1[[#This Row],[Tiempo solución max (hrs)]]&gt;=Tabla1[[#This Row],[Tiempo
(Hrs 00/100)]],"cumple","no cumple"),"")</f>
        <v>cumple</v>
      </c>
      <c r="W533" s="376" t="s">
        <v>681</v>
      </c>
      <c r="X533" s="463" t="str">
        <f t="shared" si="68"/>
        <v>DS</v>
      </c>
      <c r="Y533" s="459" t="str">
        <f>SUBSTITUTE(Tabla1[[#This Row],[Descripción]],CHAR(10),"    I    ")</f>
        <v>Implementación validaciones para los filtros seleccionados y los filtros no se rendericen una vez que navegas entre páginas.</v>
      </c>
      <c r="Z533" s="464">
        <f>VLOOKUP(Tabla1[[#This Row],[Perfil]],Catalogos!$B$75:$D$100,3,FALSE)*Tabla1[[#This Row],[Tiempo
(Hrs 00/100)]]*1.16</f>
        <v>6496</v>
      </c>
    </row>
    <row r="534" spans="1:26" ht="30.6" x14ac:dyDescent="0.3">
      <c r="A534" s="373" t="s">
        <v>22</v>
      </c>
      <c r="B534" s="370" t="s">
        <v>23</v>
      </c>
      <c r="C534" s="205" t="s">
        <v>155</v>
      </c>
      <c r="D534" s="179"/>
      <c r="E534" s="373" t="s">
        <v>924</v>
      </c>
      <c r="F534" s="370" t="s">
        <v>23</v>
      </c>
      <c r="G534" s="370"/>
      <c r="H534" s="461" t="s">
        <v>405</v>
      </c>
      <c r="I534" s="466" t="s">
        <v>935</v>
      </c>
      <c r="J534" s="369">
        <v>45014</v>
      </c>
      <c r="K534" s="747">
        <v>0.375</v>
      </c>
      <c r="L534" s="369">
        <v>45014</v>
      </c>
      <c r="M534" s="753">
        <v>0.79166666666666663</v>
      </c>
      <c r="N534" s="373">
        <v>8</v>
      </c>
      <c r="O534" s="184" t="s">
        <v>411</v>
      </c>
      <c r="P534" s="401" t="s">
        <v>923</v>
      </c>
      <c r="Q534" s="746" t="s">
        <v>264</v>
      </c>
      <c r="R534" s="202" t="s">
        <v>40</v>
      </c>
      <c r="S534" s="31" t="s">
        <v>273</v>
      </c>
      <c r="T534" s="31" t="s">
        <v>273</v>
      </c>
      <c r="U534" s="31">
        <f>IFERROR(VLOOKUP(CONCATENATE(Tabla1[[#This Row],[Severidad]]," ",Tabla1[[#This Row],[Complejidad]]),Catalogos!E$120:G$128,3,FALSE),"")</f>
        <v>64</v>
      </c>
      <c r="V534" s="31" t="str">
        <f>IF(Tabla1[[#This Row],[Tiempo solución max (hrs)]]&lt;&gt;"",IF(Tabla1[[#This Row],[Tiempo solución max (hrs)]]&gt;=Tabla1[[#This Row],[Tiempo
(Hrs 00/100)]],"cumple","no cumple"),"")</f>
        <v>cumple</v>
      </c>
      <c r="W534" s="376" t="s">
        <v>681</v>
      </c>
      <c r="X534" s="463" t="str">
        <f t="shared" si="68"/>
        <v>DS</v>
      </c>
      <c r="Y534" s="459" t="str">
        <f>SUBSTITUTE(Tabla1[[#This Row],[Descripción]],CHAR(10),"    I    ")</f>
        <v>Implementación y desarrollo de los filtros para la colección SIPOT, así como el desarrollo del componente tiempo solo por mes y año</v>
      </c>
      <c r="Z534" s="464">
        <f>VLOOKUP(Tabla1[[#This Row],[Perfil]],Catalogos!$B$75:$D$100,3,FALSE)*Tabla1[[#This Row],[Tiempo
(Hrs 00/100)]]*1.16</f>
        <v>6496</v>
      </c>
    </row>
    <row r="535" spans="1:26" ht="30.6" x14ac:dyDescent="0.3">
      <c r="A535" s="373" t="s">
        <v>22</v>
      </c>
      <c r="B535" s="370" t="s">
        <v>23</v>
      </c>
      <c r="C535" s="205" t="s">
        <v>155</v>
      </c>
      <c r="D535" s="179"/>
      <c r="E535" s="373" t="s">
        <v>924</v>
      </c>
      <c r="F535" s="370" t="s">
        <v>23</v>
      </c>
      <c r="G535" s="370"/>
      <c r="H535" s="461" t="s">
        <v>405</v>
      </c>
      <c r="I535" s="466" t="s">
        <v>935</v>
      </c>
      <c r="J535" s="369">
        <v>45015</v>
      </c>
      <c r="K535" s="747">
        <v>0.375</v>
      </c>
      <c r="L535" s="369">
        <v>45015</v>
      </c>
      <c r="M535" s="753">
        <v>0.79166666666666663</v>
      </c>
      <c r="N535" s="373">
        <v>8</v>
      </c>
      <c r="O535" s="184" t="s">
        <v>17</v>
      </c>
      <c r="P535" s="401" t="s">
        <v>923</v>
      </c>
      <c r="Q535" s="746" t="s">
        <v>264</v>
      </c>
      <c r="R535" s="202" t="s">
        <v>40</v>
      </c>
      <c r="S535" s="31" t="s">
        <v>273</v>
      </c>
      <c r="T535" s="31" t="s">
        <v>273</v>
      </c>
      <c r="U535" s="31">
        <f>IFERROR(VLOOKUP(CONCATENATE(Tabla1[[#This Row],[Severidad]]," ",Tabla1[[#This Row],[Complejidad]]),Catalogos!E$120:G$128,3,FALSE),"")</f>
        <v>64</v>
      </c>
      <c r="V535" s="31" t="str">
        <f>IF(Tabla1[[#This Row],[Tiempo solución max (hrs)]]&lt;&gt;"",IF(Tabla1[[#This Row],[Tiempo solución max (hrs)]]&gt;=Tabla1[[#This Row],[Tiempo
(Hrs 00/100)]],"cumple","no cumple"),"")</f>
        <v>cumple</v>
      </c>
      <c r="W535" s="376" t="s">
        <v>681</v>
      </c>
      <c r="X535" s="463" t="str">
        <f t="shared" ref="X535" si="71">IF(C535&lt;&gt;"",C535,D535)</f>
        <v>DS</v>
      </c>
      <c r="Y535" s="459" t="str">
        <f>SUBSTITUTE(Tabla1[[#This Row],[Descripción]],CHAR(10),"    I    ")</f>
        <v>Implementación y desarrollo de los filtros para la colección SIPOT, así como el desarrollo del componente tiempo solo por mes y año</v>
      </c>
      <c r="Z535" s="464">
        <f>VLOOKUP(Tabla1[[#This Row],[Perfil]],Catalogos!$B$75:$D$100,3,FALSE)*Tabla1[[#This Row],[Tiempo
(Hrs 00/100)]]*1.16</f>
        <v>6496</v>
      </c>
    </row>
    <row r="536" spans="1:26" ht="15" customHeight="1" x14ac:dyDescent="0.3">
      <c r="A536" s="373" t="s">
        <v>22</v>
      </c>
      <c r="B536" s="370" t="s">
        <v>23</v>
      </c>
      <c r="C536" s="205" t="s">
        <v>155</v>
      </c>
      <c r="D536" s="179"/>
      <c r="E536" s="373" t="s">
        <v>924</v>
      </c>
      <c r="F536" s="370" t="s">
        <v>23</v>
      </c>
      <c r="G536" s="370"/>
      <c r="H536" s="461" t="s">
        <v>405</v>
      </c>
      <c r="I536" s="466" t="s">
        <v>936</v>
      </c>
      <c r="J536" s="369">
        <v>45016</v>
      </c>
      <c r="K536" s="747">
        <v>0.375</v>
      </c>
      <c r="L536" s="369">
        <v>45016</v>
      </c>
      <c r="M536" s="753">
        <v>0.79166666666666663</v>
      </c>
      <c r="N536" s="373">
        <v>8</v>
      </c>
      <c r="O536" s="184" t="s">
        <v>17</v>
      </c>
      <c r="P536" s="401" t="s">
        <v>923</v>
      </c>
      <c r="Q536" s="746" t="s">
        <v>264</v>
      </c>
      <c r="R536" s="202" t="s">
        <v>40</v>
      </c>
      <c r="S536" s="31" t="s">
        <v>273</v>
      </c>
      <c r="T536" s="31" t="s">
        <v>273</v>
      </c>
      <c r="U536" s="31">
        <f>IFERROR(VLOOKUP(CONCATENATE(Tabla1[[#This Row],[Severidad]]," ",Tabla1[[#This Row],[Complejidad]]),Catalogos!E$120:G$128,3,FALSE),"")</f>
        <v>64</v>
      </c>
      <c r="V536" s="31" t="str">
        <f>IF(Tabla1[[#This Row],[Tiempo solución max (hrs)]]&lt;&gt;"",IF(Tabla1[[#This Row],[Tiempo solución max (hrs)]]&gt;=Tabla1[[#This Row],[Tiempo
(Hrs 00/100)]],"cumple","no cumple"),"")</f>
        <v>cumple</v>
      </c>
      <c r="W536" s="376" t="s">
        <v>681</v>
      </c>
      <c r="X536" s="463" t="str">
        <f t="shared" si="68"/>
        <v>DS</v>
      </c>
      <c r="Y536" s="459" t="str">
        <f>SUBSTITUTE(Tabla1[[#This Row],[Descripción]],CHAR(10),"    I    ")</f>
        <v>Mejoras y refactorización de algunos metodos de los componentes filtro</v>
      </c>
      <c r="Z536" s="464">
        <f>VLOOKUP(Tabla1[[#This Row],[Perfil]],Catalogos!$B$75:$D$100,3,FALSE)*Tabla1[[#This Row],[Tiempo
(Hrs 00/100)]]*1.16</f>
        <v>6496</v>
      </c>
    </row>
    <row r="537" spans="1:26" ht="30.6" x14ac:dyDescent="0.3">
      <c r="A537" s="373" t="s">
        <v>22</v>
      </c>
      <c r="B537" s="370" t="s">
        <v>23</v>
      </c>
      <c r="C537" s="205" t="s">
        <v>155</v>
      </c>
      <c r="D537" s="179"/>
      <c r="E537" s="373" t="s">
        <v>924</v>
      </c>
      <c r="F537" s="370" t="s">
        <v>23</v>
      </c>
      <c r="G537" s="370"/>
      <c r="H537" s="461" t="s">
        <v>405</v>
      </c>
      <c r="I537" s="466" t="s">
        <v>942</v>
      </c>
      <c r="J537" s="713">
        <v>45026</v>
      </c>
      <c r="K537" s="747">
        <v>0.375</v>
      </c>
      <c r="L537" s="713">
        <v>45026</v>
      </c>
      <c r="M537" s="753">
        <v>0.79166666666666663</v>
      </c>
      <c r="N537" s="373">
        <v>8</v>
      </c>
      <c r="O537" s="184" t="s">
        <v>411</v>
      </c>
      <c r="P537" s="401" t="s">
        <v>923</v>
      </c>
      <c r="Q537" s="746" t="s">
        <v>1120</v>
      </c>
      <c r="R537" s="202" t="s">
        <v>40</v>
      </c>
      <c r="S537" s="31" t="s">
        <v>273</v>
      </c>
      <c r="T537" s="31" t="s">
        <v>273</v>
      </c>
      <c r="U537" s="31">
        <f>IFERROR(VLOOKUP(CONCATENATE(Tabla1[[#This Row],[Severidad]]," ",Tabla1[[#This Row],[Complejidad]]),Catalogos!E$120:G$128,3,FALSE),"")</f>
        <v>64</v>
      </c>
      <c r="V537" s="31" t="str">
        <f>IF(Tabla1[[#This Row],[Tiempo solución max (hrs)]]&lt;&gt;"",IF(Tabla1[[#This Row],[Tiempo solución max (hrs)]]&gt;=Tabla1[[#This Row],[Tiempo
(Hrs 00/100)]],"cumple","no cumple"),"")</f>
        <v>cumple</v>
      </c>
      <c r="W537" s="376" t="s">
        <v>962</v>
      </c>
      <c r="X537" s="463" t="str">
        <f t="shared" si="68"/>
        <v>DS</v>
      </c>
      <c r="Y537" s="459" t="str">
        <f>SUBSTITUTE(Tabla1[[#This Row],[Descripción]],CHAR(10),"    I    ")</f>
        <v>Desarrollo de lógica para agrupamiento de información de Solicitudes</v>
      </c>
      <c r="Z537" s="464">
        <f>VLOOKUP(Tabla1[[#This Row],[Perfil]],Catalogos!$B$75:$D$100,3,FALSE)*Tabla1[[#This Row],[Tiempo
(Hrs 00/100)]]*1.16</f>
        <v>6496</v>
      </c>
    </row>
    <row r="538" spans="1:26" ht="30.6" x14ac:dyDescent="0.3">
      <c r="A538" s="373" t="s">
        <v>22</v>
      </c>
      <c r="B538" s="370" t="s">
        <v>23</v>
      </c>
      <c r="C538" s="205" t="s">
        <v>155</v>
      </c>
      <c r="D538" s="179"/>
      <c r="E538" s="373" t="s">
        <v>924</v>
      </c>
      <c r="F538" s="370" t="s">
        <v>23</v>
      </c>
      <c r="G538" s="370"/>
      <c r="H538" s="461" t="s">
        <v>405</v>
      </c>
      <c r="I538" s="466" t="s">
        <v>942</v>
      </c>
      <c r="J538" s="713">
        <v>45027</v>
      </c>
      <c r="K538" s="747">
        <v>0.375</v>
      </c>
      <c r="L538" s="713">
        <v>45027</v>
      </c>
      <c r="M538" s="753">
        <v>0.79166666666666663</v>
      </c>
      <c r="N538" s="373">
        <v>8</v>
      </c>
      <c r="O538" s="184" t="s">
        <v>17</v>
      </c>
      <c r="P538" s="401" t="s">
        <v>923</v>
      </c>
      <c r="Q538" s="746" t="s">
        <v>1120</v>
      </c>
      <c r="R538" s="202" t="s">
        <v>40</v>
      </c>
      <c r="S538" s="31" t="s">
        <v>273</v>
      </c>
      <c r="T538" s="31" t="s">
        <v>273</v>
      </c>
      <c r="U538" s="31">
        <f>IFERROR(VLOOKUP(CONCATENATE(Tabla1[[#This Row],[Severidad]]," ",Tabla1[[#This Row],[Complejidad]]),Catalogos!E$120:G$128,3,FALSE),"")</f>
        <v>64</v>
      </c>
      <c r="V538" s="31" t="str">
        <f>IF(Tabla1[[#This Row],[Tiempo solución max (hrs)]]&lt;&gt;"",IF(Tabla1[[#This Row],[Tiempo solución max (hrs)]]&gt;=Tabla1[[#This Row],[Tiempo
(Hrs 00/100)]],"cumple","no cumple"),"")</f>
        <v>cumple</v>
      </c>
      <c r="W538" s="376" t="s">
        <v>962</v>
      </c>
      <c r="X538" s="463" t="str">
        <f t="shared" ref="X538" si="72">IF(C538&lt;&gt;"",C538,D538)</f>
        <v>DS</v>
      </c>
      <c r="Y538" s="459" t="str">
        <f>SUBSTITUTE(Tabla1[[#This Row],[Descripción]],CHAR(10),"    I    ")</f>
        <v>Desarrollo de lógica para agrupamiento de información de Solicitudes</v>
      </c>
      <c r="Z538" s="464">
        <f>VLOOKUP(Tabla1[[#This Row],[Perfil]],Catalogos!$B$75:$D$100,3,FALSE)*Tabla1[[#This Row],[Tiempo
(Hrs 00/100)]]*1.16</f>
        <v>6496</v>
      </c>
    </row>
    <row r="539" spans="1:26" ht="15" customHeight="1" x14ac:dyDescent="0.3">
      <c r="A539" s="373" t="s">
        <v>22</v>
      </c>
      <c r="B539" s="370" t="s">
        <v>23</v>
      </c>
      <c r="C539" s="205" t="s">
        <v>155</v>
      </c>
      <c r="D539" s="179"/>
      <c r="E539" s="373" t="s">
        <v>924</v>
      </c>
      <c r="F539" s="370" t="s">
        <v>23</v>
      </c>
      <c r="G539" s="370"/>
      <c r="H539" s="461" t="s">
        <v>405</v>
      </c>
      <c r="I539" s="408" t="s">
        <v>943</v>
      </c>
      <c r="J539" s="713">
        <v>45028</v>
      </c>
      <c r="K539" s="747">
        <v>0.375</v>
      </c>
      <c r="L539" s="713">
        <v>45028</v>
      </c>
      <c r="M539" s="753">
        <v>0.79166666666666663</v>
      </c>
      <c r="N539" s="373">
        <v>8</v>
      </c>
      <c r="O539" s="184" t="s">
        <v>17</v>
      </c>
      <c r="P539" s="401" t="s">
        <v>923</v>
      </c>
      <c r="Q539" s="746" t="s">
        <v>1120</v>
      </c>
      <c r="R539" s="202" t="s">
        <v>40</v>
      </c>
      <c r="S539" s="31" t="s">
        <v>273</v>
      </c>
      <c r="T539" s="31" t="s">
        <v>273</v>
      </c>
      <c r="U539" s="31">
        <f>IFERROR(VLOOKUP(CONCATENATE(Tabla1[[#This Row],[Severidad]]," ",Tabla1[[#This Row],[Complejidad]]),Catalogos!E$120:G$128,3,FALSE),"")</f>
        <v>64</v>
      </c>
      <c r="V539" s="31" t="str">
        <f>IF(Tabla1[[#This Row],[Tiempo solución max (hrs)]]&lt;&gt;"",IF(Tabla1[[#This Row],[Tiempo solución max (hrs)]]&gt;=Tabla1[[#This Row],[Tiempo
(Hrs 00/100)]],"cumple","no cumple"),"")</f>
        <v>cumple</v>
      </c>
      <c r="W539" s="376" t="s">
        <v>962</v>
      </c>
      <c r="X539" s="463" t="str">
        <f t="shared" si="68"/>
        <v>DS</v>
      </c>
      <c r="Y539" s="459" t="str">
        <f>SUBSTITUTE(Tabla1[[#This Row],[Descripción]],CHAR(10),"    I    ")</f>
        <v>Modificación de servicio para descarga de Solicitudes y Recursos</v>
      </c>
      <c r="Z539" s="464">
        <f>VLOOKUP(Tabla1[[#This Row],[Perfil]],Catalogos!$B$75:$D$100,3,FALSE)*Tabla1[[#This Row],[Tiempo
(Hrs 00/100)]]*1.16</f>
        <v>6496</v>
      </c>
    </row>
    <row r="540" spans="1:26" ht="30.6" x14ac:dyDescent="0.3">
      <c r="A540" s="373" t="s">
        <v>22</v>
      </c>
      <c r="B540" s="370" t="s">
        <v>23</v>
      </c>
      <c r="C540" s="205" t="s">
        <v>155</v>
      </c>
      <c r="D540" s="179"/>
      <c r="E540" s="373" t="s">
        <v>924</v>
      </c>
      <c r="F540" s="370" t="s">
        <v>23</v>
      </c>
      <c r="G540" s="370"/>
      <c r="H540" s="461" t="s">
        <v>405</v>
      </c>
      <c r="I540" s="408" t="s">
        <v>944</v>
      </c>
      <c r="J540" s="713">
        <v>45029</v>
      </c>
      <c r="K540" s="747">
        <v>0.375</v>
      </c>
      <c r="L540" s="713">
        <v>45029</v>
      </c>
      <c r="M540" s="753">
        <v>0.79166666666666663</v>
      </c>
      <c r="N540" s="373">
        <v>8</v>
      </c>
      <c r="O540" s="184" t="s">
        <v>411</v>
      </c>
      <c r="P540" s="401" t="s">
        <v>923</v>
      </c>
      <c r="Q540" s="746" t="s">
        <v>1120</v>
      </c>
      <c r="R540" s="202" t="s">
        <v>40</v>
      </c>
      <c r="S540" s="31" t="s">
        <v>273</v>
      </c>
      <c r="T540" s="31" t="s">
        <v>273</v>
      </c>
      <c r="U540" s="31">
        <f>IFERROR(VLOOKUP(CONCATENATE(Tabla1[[#This Row],[Severidad]]," ",Tabla1[[#This Row],[Complejidad]]),Catalogos!E$120:G$128,3,FALSE),"")</f>
        <v>64</v>
      </c>
      <c r="V540" s="31" t="str">
        <f>IF(Tabla1[[#This Row],[Tiempo solución max (hrs)]]&lt;&gt;"",IF(Tabla1[[#This Row],[Tiempo solución max (hrs)]]&gt;=Tabla1[[#This Row],[Tiempo
(Hrs 00/100)]],"cumple","no cumple"),"")</f>
        <v>cumple</v>
      </c>
      <c r="W540" s="376" t="s">
        <v>962</v>
      </c>
      <c r="X540" s="463" t="str">
        <f t="shared" si="68"/>
        <v>DS</v>
      </c>
      <c r="Y540" s="459" t="str">
        <f>SUBSTITUTE(Tabla1[[#This Row],[Descripción]],CHAR(10),"    I    ")</f>
        <v>Desarrollo de lógica para recuperación de información de Solicitudes</v>
      </c>
      <c r="Z540" s="464">
        <f>VLOOKUP(Tabla1[[#This Row],[Perfil]],Catalogos!$B$75:$D$100,3,FALSE)*Tabla1[[#This Row],[Tiempo
(Hrs 00/100)]]*1.16</f>
        <v>6496</v>
      </c>
    </row>
    <row r="541" spans="1:26" ht="30.6" x14ac:dyDescent="0.3">
      <c r="A541" s="373" t="s">
        <v>22</v>
      </c>
      <c r="B541" s="370" t="s">
        <v>23</v>
      </c>
      <c r="C541" s="205" t="s">
        <v>155</v>
      </c>
      <c r="D541" s="179"/>
      <c r="E541" s="373" t="s">
        <v>924</v>
      </c>
      <c r="F541" s="370" t="s">
        <v>23</v>
      </c>
      <c r="G541" s="370"/>
      <c r="H541" s="461" t="s">
        <v>405</v>
      </c>
      <c r="I541" s="408" t="s">
        <v>944</v>
      </c>
      <c r="J541" s="713">
        <v>45030</v>
      </c>
      <c r="K541" s="747">
        <v>0.375</v>
      </c>
      <c r="L541" s="713">
        <v>45030</v>
      </c>
      <c r="M541" s="753">
        <v>0.625</v>
      </c>
      <c r="N541" s="373">
        <v>6</v>
      </c>
      <c r="O541" s="184" t="s">
        <v>17</v>
      </c>
      <c r="P541" s="401" t="s">
        <v>923</v>
      </c>
      <c r="Q541" s="746" t="s">
        <v>1120</v>
      </c>
      <c r="R541" s="202" t="s">
        <v>40</v>
      </c>
      <c r="S541" s="31" t="s">
        <v>273</v>
      </c>
      <c r="T541" s="31" t="s">
        <v>273</v>
      </c>
      <c r="U541" s="31">
        <f>IFERROR(VLOOKUP(CONCATENATE(Tabla1[[#This Row],[Severidad]]," ",Tabla1[[#This Row],[Complejidad]]),Catalogos!E$120:G$128,3,FALSE),"")</f>
        <v>64</v>
      </c>
      <c r="V541" s="31" t="str">
        <f>IF(Tabla1[[#This Row],[Tiempo solución max (hrs)]]&lt;&gt;"",IF(Tabla1[[#This Row],[Tiempo solución max (hrs)]]&gt;=Tabla1[[#This Row],[Tiempo
(Hrs 00/100)]],"cumple","no cumple"),"")</f>
        <v>cumple</v>
      </c>
      <c r="W541" s="376" t="s">
        <v>962</v>
      </c>
      <c r="X541" s="463" t="str">
        <f t="shared" ref="X541" si="73">IF(C541&lt;&gt;"",C541,D541)</f>
        <v>DS</v>
      </c>
      <c r="Y541" s="459" t="str">
        <f>SUBSTITUTE(Tabla1[[#This Row],[Descripción]],CHAR(10),"    I    ")</f>
        <v>Desarrollo de lógica para recuperación de información de Solicitudes</v>
      </c>
      <c r="Z541" s="464">
        <f>VLOOKUP(Tabla1[[#This Row],[Perfil]],Catalogos!$B$75:$D$100,3,FALSE)*Tabla1[[#This Row],[Tiempo
(Hrs 00/100)]]*1.16</f>
        <v>4872</v>
      </c>
    </row>
    <row r="542" spans="1:26" ht="15" customHeight="1" x14ac:dyDescent="0.3">
      <c r="A542" s="373" t="s">
        <v>22</v>
      </c>
      <c r="B542" s="370" t="s">
        <v>23</v>
      </c>
      <c r="C542" s="205" t="s">
        <v>155</v>
      </c>
      <c r="D542" s="179"/>
      <c r="E542" s="373" t="s">
        <v>924</v>
      </c>
      <c r="F542" s="370" t="s">
        <v>23</v>
      </c>
      <c r="G542" s="370"/>
      <c r="H542" s="461" t="s">
        <v>405</v>
      </c>
      <c r="I542" s="408" t="s">
        <v>945</v>
      </c>
      <c r="J542" s="713">
        <v>45033</v>
      </c>
      <c r="K542" s="747">
        <v>0.375</v>
      </c>
      <c r="L542" s="713">
        <v>45033</v>
      </c>
      <c r="M542" s="753">
        <v>0.79166666666666663</v>
      </c>
      <c r="N542" s="373">
        <v>8</v>
      </c>
      <c r="O542" s="184" t="s">
        <v>411</v>
      </c>
      <c r="P542" s="401" t="s">
        <v>923</v>
      </c>
      <c r="Q542" s="746" t="s">
        <v>1120</v>
      </c>
      <c r="R542" s="202" t="s">
        <v>40</v>
      </c>
      <c r="S542" s="31" t="s">
        <v>273</v>
      </c>
      <c r="T542" s="31" t="s">
        <v>273</v>
      </c>
      <c r="U542" s="31">
        <f>IFERROR(VLOOKUP(CONCATENATE(Tabla1[[#This Row],[Severidad]]," ",Tabla1[[#This Row],[Complejidad]]),Catalogos!E$120:G$128,3,FALSE),"")</f>
        <v>64</v>
      </c>
      <c r="V542" s="31" t="str">
        <f>IF(Tabla1[[#This Row],[Tiempo solución max (hrs)]]&lt;&gt;"",IF(Tabla1[[#This Row],[Tiempo solución max (hrs)]]&gt;=Tabla1[[#This Row],[Tiempo
(Hrs 00/100)]],"cumple","no cumple"),"")</f>
        <v>cumple</v>
      </c>
      <c r="W542" s="376" t="s">
        <v>962</v>
      </c>
      <c r="X542" s="463" t="str">
        <f t="shared" si="68"/>
        <v>DS</v>
      </c>
      <c r="Y542" s="459" t="str">
        <f>SUBSTITUTE(Tabla1[[#This Row],[Descripción]],CHAR(10),"    I    ")</f>
        <v>Desarrollo de lógica para agrupamiento de información de Recursos</v>
      </c>
      <c r="Z542" s="464">
        <f>VLOOKUP(Tabla1[[#This Row],[Perfil]],Catalogos!$B$75:$D$100,3,FALSE)*Tabla1[[#This Row],[Tiempo
(Hrs 00/100)]]*1.16</f>
        <v>6496</v>
      </c>
    </row>
    <row r="543" spans="1:26" ht="15" customHeight="1" x14ac:dyDescent="0.3">
      <c r="A543" s="373" t="s">
        <v>22</v>
      </c>
      <c r="B543" s="370" t="s">
        <v>23</v>
      </c>
      <c r="C543" s="205" t="s">
        <v>155</v>
      </c>
      <c r="D543" s="179"/>
      <c r="E543" s="373" t="s">
        <v>924</v>
      </c>
      <c r="F543" s="370" t="s">
        <v>23</v>
      </c>
      <c r="G543" s="370"/>
      <c r="H543" s="461" t="s">
        <v>405</v>
      </c>
      <c r="I543" s="408" t="s">
        <v>945</v>
      </c>
      <c r="J543" s="713">
        <v>45034</v>
      </c>
      <c r="K543" s="747">
        <v>0.375</v>
      </c>
      <c r="L543" s="713">
        <v>45034</v>
      </c>
      <c r="M543" s="753">
        <v>0.79166666666666663</v>
      </c>
      <c r="N543" s="373">
        <v>8</v>
      </c>
      <c r="O543" s="184" t="s">
        <v>17</v>
      </c>
      <c r="P543" s="401" t="s">
        <v>923</v>
      </c>
      <c r="Q543" s="746" t="s">
        <v>1120</v>
      </c>
      <c r="R543" s="202" t="s">
        <v>40</v>
      </c>
      <c r="S543" s="31" t="s">
        <v>273</v>
      </c>
      <c r="T543" s="31" t="s">
        <v>273</v>
      </c>
      <c r="U543" s="31">
        <f>IFERROR(VLOOKUP(CONCATENATE(Tabla1[[#This Row],[Severidad]]," ",Tabla1[[#This Row],[Complejidad]]),Catalogos!E$120:G$128,3,FALSE),"")</f>
        <v>64</v>
      </c>
      <c r="V543" s="31" t="str">
        <f>IF(Tabla1[[#This Row],[Tiempo solución max (hrs)]]&lt;&gt;"",IF(Tabla1[[#This Row],[Tiempo solución max (hrs)]]&gt;=Tabla1[[#This Row],[Tiempo
(Hrs 00/100)]],"cumple","no cumple"),"")</f>
        <v>cumple</v>
      </c>
      <c r="W543" s="376" t="s">
        <v>962</v>
      </c>
      <c r="X543" s="463" t="str">
        <f t="shared" ref="X543" si="74">IF(C543&lt;&gt;"",C543,D543)</f>
        <v>DS</v>
      </c>
      <c r="Y543" s="459" t="str">
        <f>SUBSTITUTE(Tabla1[[#This Row],[Descripción]],CHAR(10),"    I    ")</f>
        <v>Desarrollo de lógica para agrupamiento de información de Recursos</v>
      </c>
      <c r="Z543" s="464">
        <f>VLOOKUP(Tabla1[[#This Row],[Perfil]],Catalogos!$B$75:$D$100,3,FALSE)*Tabla1[[#This Row],[Tiempo
(Hrs 00/100)]]*1.16</f>
        <v>6496</v>
      </c>
    </row>
    <row r="544" spans="1:26" ht="30.6" x14ac:dyDescent="0.3">
      <c r="A544" s="373" t="s">
        <v>22</v>
      </c>
      <c r="B544" s="370" t="s">
        <v>23</v>
      </c>
      <c r="C544" s="205" t="s">
        <v>155</v>
      </c>
      <c r="D544" s="179"/>
      <c r="E544" s="373" t="s">
        <v>924</v>
      </c>
      <c r="F544" s="370" t="s">
        <v>23</v>
      </c>
      <c r="G544" s="370"/>
      <c r="H544" s="461" t="s">
        <v>405</v>
      </c>
      <c r="I544" s="408" t="s">
        <v>946</v>
      </c>
      <c r="J544" s="713">
        <v>45035</v>
      </c>
      <c r="K544" s="747">
        <v>0.375</v>
      </c>
      <c r="L544" s="713">
        <v>45035</v>
      </c>
      <c r="M544" s="753">
        <v>0.79166666666666663</v>
      </c>
      <c r="N544" s="373">
        <v>8</v>
      </c>
      <c r="O544" s="184" t="s">
        <v>411</v>
      </c>
      <c r="P544" s="401" t="s">
        <v>923</v>
      </c>
      <c r="Q544" s="746" t="s">
        <v>1120</v>
      </c>
      <c r="R544" s="202" t="s">
        <v>40</v>
      </c>
      <c r="S544" s="31" t="s">
        <v>273</v>
      </c>
      <c r="T544" s="31" t="s">
        <v>273</v>
      </c>
      <c r="U544" s="31">
        <f>IFERROR(VLOOKUP(CONCATENATE(Tabla1[[#This Row],[Severidad]]," ",Tabla1[[#This Row],[Complejidad]]),Catalogos!E$120:G$128,3,FALSE),"")</f>
        <v>64</v>
      </c>
      <c r="V544" s="31" t="str">
        <f>IF(Tabla1[[#This Row],[Tiempo solución max (hrs)]]&lt;&gt;"",IF(Tabla1[[#This Row],[Tiempo solución max (hrs)]]&gt;=Tabla1[[#This Row],[Tiempo
(Hrs 00/100)]],"cumple","no cumple"),"")</f>
        <v>cumple</v>
      </c>
      <c r="W544" s="376" t="s">
        <v>962</v>
      </c>
      <c r="X544" s="463" t="str">
        <f t="shared" si="68"/>
        <v>DS</v>
      </c>
      <c r="Y544" s="459" t="str">
        <f>SUBSTITUTE(Tabla1[[#This Row],[Descripción]],CHAR(10),"    I    ")</f>
        <v>Desarrollo de lógica para recuperación de información de Recursos</v>
      </c>
      <c r="Z544" s="464">
        <f>VLOOKUP(Tabla1[[#This Row],[Perfil]],Catalogos!$B$75:$D$100,3,FALSE)*Tabla1[[#This Row],[Tiempo
(Hrs 00/100)]]*1.16</f>
        <v>6496</v>
      </c>
    </row>
    <row r="545" spans="1:26" ht="30.6" x14ac:dyDescent="0.3">
      <c r="A545" s="373" t="s">
        <v>22</v>
      </c>
      <c r="B545" s="370" t="s">
        <v>23</v>
      </c>
      <c r="C545" s="205" t="s">
        <v>155</v>
      </c>
      <c r="D545" s="179"/>
      <c r="E545" s="373" t="s">
        <v>924</v>
      </c>
      <c r="F545" s="370" t="s">
        <v>23</v>
      </c>
      <c r="G545" s="370"/>
      <c r="H545" s="461" t="s">
        <v>405</v>
      </c>
      <c r="I545" s="408" t="s">
        <v>946</v>
      </c>
      <c r="J545" s="713">
        <v>45036</v>
      </c>
      <c r="K545" s="747">
        <v>0.375</v>
      </c>
      <c r="L545" s="713">
        <v>45036</v>
      </c>
      <c r="M545" s="753">
        <v>0.79166666666666663</v>
      </c>
      <c r="N545" s="373">
        <v>8</v>
      </c>
      <c r="O545" s="184" t="s">
        <v>17</v>
      </c>
      <c r="P545" s="401" t="s">
        <v>923</v>
      </c>
      <c r="Q545" s="746" t="s">
        <v>1120</v>
      </c>
      <c r="R545" s="202" t="s">
        <v>40</v>
      </c>
      <c r="S545" s="31" t="s">
        <v>273</v>
      </c>
      <c r="T545" s="31" t="s">
        <v>273</v>
      </c>
      <c r="U545" s="31">
        <f>IFERROR(VLOOKUP(CONCATENATE(Tabla1[[#This Row],[Severidad]]," ",Tabla1[[#This Row],[Complejidad]]),Catalogos!E$120:G$128,3,FALSE),"")</f>
        <v>64</v>
      </c>
      <c r="V545" s="31" t="str">
        <f>IF(Tabla1[[#This Row],[Tiempo solución max (hrs)]]&lt;&gt;"",IF(Tabla1[[#This Row],[Tiempo solución max (hrs)]]&gt;=Tabla1[[#This Row],[Tiempo
(Hrs 00/100)]],"cumple","no cumple"),"")</f>
        <v>cumple</v>
      </c>
      <c r="W545" s="376" t="s">
        <v>962</v>
      </c>
      <c r="X545" s="463" t="str">
        <f t="shared" ref="X545" si="75">IF(C545&lt;&gt;"",C545,D545)</f>
        <v>DS</v>
      </c>
      <c r="Y545" s="459" t="str">
        <f>SUBSTITUTE(Tabla1[[#This Row],[Descripción]],CHAR(10),"    I    ")</f>
        <v>Desarrollo de lógica para recuperación de información de Recursos</v>
      </c>
      <c r="Z545" s="464">
        <f>VLOOKUP(Tabla1[[#This Row],[Perfil]],Catalogos!$B$75:$D$100,3,FALSE)*Tabla1[[#This Row],[Tiempo
(Hrs 00/100)]]*1.16</f>
        <v>6496</v>
      </c>
    </row>
    <row r="546" spans="1:26" ht="30.6" x14ac:dyDescent="0.3">
      <c r="A546" s="373" t="s">
        <v>22</v>
      </c>
      <c r="B546" s="370" t="s">
        <v>23</v>
      </c>
      <c r="C546" s="205" t="s">
        <v>155</v>
      </c>
      <c r="D546" s="179"/>
      <c r="E546" s="373" t="s">
        <v>924</v>
      </c>
      <c r="F546" s="370" t="s">
        <v>23</v>
      </c>
      <c r="G546" s="370"/>
      <c r="H546" s="461" t="s">
        <v>405</v>
      </c>
      <c r="I546" s="408" t="s">
        <v>947</v>
      </c>
      <c r="J546" s="713">
        <v>45037</v>
      </c>
      <c r="K546" s="747">
        <v>0.375</v>
      </c>
      <c r="L546" s="713">
        <v>45037</v>
      </c>
      <c r="M546" s="753">
        <v>0.625</v>
      </c>
      <c r="N546" s="373">
        <v>6</v>
      </c>
      <c r="O546" s="184" t="s">
        <v>411</v>
      </c>
      <c r="P546" s="401" t="s">
        <v>923</v>
      </c>
      <c r="Q546" s="746" t="s">
        <v>1120</v>
      </c>
      <c r="R546" s="202" t="s">
        <v>40</v>
      </c>
      <c r="S546" s="31" t="s">
        <v>273</v>
      </c>
      <c r="T546" s="31" t="s">
        <v>273</v>
      </c>
      <c r="U546" s="31">
        <f>IFERROR(VLOOKUP(CONCATENATE(Tabla1[[#This Row],[Severidad]]," ",Tabla1[[#This Row],[Complejidad]]),Catalogos!E$120:G$128,3,FALSE),"")</f>
        <v>64</v>
      </c>
      <c r="V546" s="31" t="str">
        <f>IF(Tabla1[[#This Row],[Tiempo solución max (hrs)]]&lt;&gt;"",IF(Tabla1[[#This Row],[Tiempo solución max (hrs)]]&gt;=Tabla1[[#This Row],[Tiempo
(Hrs 00/100)]],"cumple","no cumple"),"")</f>
        <v>cumple</v>
      </c>
      <c r="W546" s="376" t="s">
        <v>962</v>
      </c>
      <c r="X546" s="463" t="str">
        <f t="shared" si="68"/>
        <v>DS</v>
      </c>
      <c r="Y546" s="459" t="str">
        <f>SUBSTITUTE(Tabla1[[#This Row],[Descripción]],CHAR(10),"    I    ")</f>
        <v>Desarrollo de servicios de para buscar textos en contenido de archivos</v>
      </c>
      <c r="Z546" s="464">
        <f>VLOOKUP(Tabla1[[#This Row],[Perfil]],Catalogos!$B$75:$D$100,3,FALSE)*Tabla1[[#This Row],[Tiempo
(Hrs 00/100)]]*1.16</f>
        <v>4872</v>
      </c>
    </row>
    <row r="547" spans="1:26" ht="30.6" x14ac:dyDescent="0.3">
      <c r="A547" s="373" t="s">
        <v>22</v>
      </c>
      <c r="B547" s="370" t="s">
        <v>23</v>
      </c>
      <c r="C547" s="205" t="s">
        <v>155</v>
      </c>
      <c r="D547" s="179"/>
      <c r="E547" s="373" t="s">
        <v>924</v>
      </c>
      <c r="F547" s="370" t="s">
        <v>23</v>
      </c>
      <c r="G547" s="370"/>
      <c r="H547" s="461" t="s">
        <v>405</v>
      </c>
      <c r="I547" s="408" t="s">
        <v>947</v>
      </c>
      <c r="J547" s="713">
        <v>45040</v>
      </c>
      <c r="K547" s="747">
        <v>0.375</v>
      </c>
      <c r="L547" s="713">
        <v>45040</v>
      </c>
      <c r="M547" s="753">
        <v>0.79166666666666663</v>
      </c>
      <c r="N547" s="373">
        <v>8</v>
      </c>
      <c r="O547" s="184" t="s">
        <v>17</v>
      </c>
      <c r="P547" s="401" t="s">
        <v>923</v>
      </c>
      <c r="Q547" s="746" t="s">
        <v>1120</v>
      </c>
      <c r="R547" s="202" t="s">
        <v>40</v>
      </c>
      <c r="S547" s="31" t="s">
        <v>273</v>
      </c>
      <c r="T547" s="31" t="s">
        <v>273</v>
      </c>
      <c r="U547" s="31">
        <f>IFERROR(VLOOKUP(CONCATENATE(Tabla1[[#This Row],[Severidad]]," ",Tabla1[[#This Row],[Complejidad]]),Catalogos!E$120:G$128,3,FALSE),"")</f>
        <v>64</v>
      </c>
      <c r="V547" s="31" t="str">
        <f>IF(Tabla1[[#This Row],[Tiempo solución max (hrs)]]&lt;&gt;"",IF(Tabla1[[#This Row],[Tiempo solución max (hrs)]]&gt;=Tabla1[[#This Row],[Tiempo
(Hrs 00/100)]],"cumple","no cumple"),"")</f>
        <v>cumple</v>
      </c>
      <c r="W547" s="376" t="s">
        <v>962</v>
      </c>
      <c r="X547" s="463" t="str">
        <f t="shared" ref="X547" si="76">IF(C547&lt;&gt;"",C547,D547)</f>
        <v>DS</v>
      </c>
      <c r="Y547" s="459" t="str">
        <f>SUBSTITUTE(Tabla1[[#This Row],[Descripción]],CHAR(10),"    I    ")</f>
        <v>Desarrollo de servicios de para buscar textos en contenido de archivos</v>
      </c>
      <c r="Z547" s="464">
        <f>VLOOKUP(Tabla1[[#This Row],[Perfil]],Catalogos!$B$75:$D$100,3,FALSE)*Tabla1[[#This Row],[Tiempo
(Hrs 00/100)]]*1.16</f>
        <v>6496</v>
      </c>
    </row>
    <row r="548" spans="1:26" ht="15" customHeight="1" x14ac:dyDescent="0.3">
      <c r="A548" s="373" t="s">
        <v>22</v>
      </c>
      <c r="B548" s="370" t="s">
        <v>23</v>
      </c>
      <c r="C548" s="205" t="s">
        <v>155</v>
      </c>
      <c r="D548" s="179"/>
      <c r="E548" s="373" t="s">
        <v>924</v>
      </c>
      <c r="F548" s="370" t="s">
        <v>23</v>
      </c>
      <c r="G548" s="370"/>
      <c r="H548" s="461" t="s">
        <v>405</v>
      </c>
      <c r="I548" s="467" t="s">
        <v>948</v>
      </c>
      <c r="J548" s="713">
        <v>45041</v>
      </c>
      <c r="K548" s="747">
        <v>0.375</v>
      </c>
      <c r="L548" s="713">
        <v>45041</v>
      </c>
      <c r="M548" s="753">
        <v>0.79166666666666663</v>
      </c>
      <c r="N548" s="373">
        <v>8</v>
      </c>
      <c r="O548" s="184" t="s">
        <v>411</v>
      </c>
      <c r="P548" s="401" t="s">
        <v>923</v>
      </c>
      <c r="Q548" s="746" t="s">
        <v>1120</v>
      </c>
      <c r="R548" s="202" t="s">
        <v>40</v>
      </c>
      <c r="S548" s="31" t="s">
        <v>273</v>
      </c>
      <c r="T548" s="31" t="s">
        <v>273</v>
      </c>
      <c r="U548" s="31">
        <f>IFERROR(VLOOKUP(CONCATENATE(Tabla1[[#This Row],[Severidad]]," ",Tabla1[[#This Row],[Complejidad]]),Catalogos!E$120:G$128,3,FALSE),"")</f>
        <v>64</v>
      </c>
      <c r="V548" s="31" t="str">
        <f>IF(Tabla1[[#This Row],[Tiempo solución max (hrs)]]&lt;&gt;"",IF(Tabla1[[#This Row],[Tiempo solución max (hrs)]]&gt;=Tabla1[[#This Row],[Tiempo
(Hrs 00/100)]],"cumple","no cumple"),"")</f>
        <v>cumple</v>
      </c>
      <c r="W548" s="376" t="s">
        <v>962</v>
      </c>
      <c r="X548" s="463" t="str">
        <f t="shared" si="68"/>
        <v>DS</v>
      </c>
      <c r="Y548" s="459" t="str">
        <f>SUBSTITUTE(Tabla1[[#This Row],[Descripción]],CHAR(10),"    I    ")</f>
        <v>Creación de microservicio para estadístico de SIPOT, SISAI, SICOM</v>
      </c>
      <c r="Z548" s="464">
        <f>VLOOKUP(Tabla1[[#This Row],[Perfil]],Catalogos!$B$75:$D$100,3,FALSE)*Tabla1[[#This Row],[Tiempo
(Hrs 00/100)]]*1.16</f>
        <v>6496</v>
      </c>
    </row>
    <row r="549" spans="1:26" ht="15" customHeight="1" x14ac:dyDescent="0.3">
      <c r="A549" s="373" t="s">
        <v>22</v>
      </c>
      <c r="B549" s="370" t="s">
        <v>23</v>
      </c>
      <c r="C549" s="205" t="s">
        <v>155</v>
      </c>
      <c r="D549" s="179"/>
      <c r="E549" s="373" t="s">
        <v>924</v>
      </c>
      <c r="F549" s="370" t="s">
        <v>23</v>
      </c>
      <c r="G549" s="370"/>
      <c r="H549" s="461" t="s">
        <v>405</v>
      </c>
      <c r="I549" s="467" t="s">
        <v>948</v>
      </c>
      <c r="J549" s="713">
        <v>45042</v>
      </c>
      <c r="K549" s="747">
        <v>0.375</v>
      </c>
      <c r="L549" s="713">
        <v>45042</v>
      </c>
      <c r="M549" s="753">
        <v>0.79166666666666663</v>
      </c>
      <c r="N549" s="373">
        <v>8</v>
      </c>
      <c r="O549" s="184" t="s">
        <v>411</v>
      </c>
      <c r="P549" s="401" t="s">
        <v>923</v>
      </c>
      <c r="Q549" s="746" t="s">
        <v>1120</v>
      </c>
      <c r="R549" s="202" t="s">
        <v>40</v>
      </c>
      <c r="S549" s="31" t="s">
        <v>273</v>
      </c>
      <c r="T549" s="31" t="s">
        <v>273</v>
      </c>
      <c r="U549" s="31">
        <f>IFERROR(VLOOKUP(CONCATENATE(Tabla1[[#This Row],[Severidad]]," ",Tabla1[[#This Row],[Complejidad]]),Catalogos!E$120:G$128,3,FALSE),"")</f>
        <v>64</v>
      </c>
      <c r="V549" s="31" t="str">
        <f>IF(Tabla1[[#This Row],[Tiempo solución max (hrs)]]&lt;&gt;"",IF(Tabla1[[#This Row],[Tiempo solución max (hrs)]]&gt;=Tabla1[[#This Row],[Tiempo
(Hrs 00/100)]],"cumple","no cumple"),"")</f>
        <v>cumple</v>
      </c>
      <c r="W549" s="376" t="s">
        <v>962</v>
      </c>
      <c r="X549" s="463" t="str">
        <f t="shared" ref="X549:X551" si="77">IF(C549&lt;&gt;"",C549,D549)</f>
        <v>DS</v>
      </c>
      <c r="Y549" s="459" t="str">
        <f>SUBSTITUTE(Tabla1[[#This Row],[Descripción]],CHAR(10),"    I    ")</f>
        <v>Creación de microservicio para estadístico de SIPOT, SISAI, SICOM</v>
      </c>
      <c r="Z549" s="464">
        <f>VLOOKUP(Tabla1[[#This Row],[Perfil]],Catalogos!$B$75:$D$100,3,FALSE)*Tabla1[[#This Row],[Tiempo
(Hrs 00/100)]]*1.16</f>
        <v>6496</v>
      </c>
    </row>
    <row r="550" spans="1:26" ht="15" customHeight="1" x14ac:dyDescent="0.3">
      <c r="A550" s="373" t="s">
        <v>22</v>
      </c>
      <c r="B550" s="370" t="s">
        <v>23</v>
      </c>
      <c r="C550" s="205" t="s">
        <v>155</v>
      </c>
      <c r="D550" s="179"/>
      <c r="E550" s="373" t="s">
        <v>924</v>
      </c>
      <c r="F550" s="370" t="s">
        <v>23</v>
      </c>
      <c r="G550" s="370"/>
      <c r="H550" s="461" t="s">
        <v>405</v>
      </c>
      <c r="I550" s="467" t="s">
        <v>948</v>
      </c>
      <c r="J550" s="713">
        <v>45043</v>
      </c>
      <c r="K550" s="747">
        <v>0.375</v>
      </c>
      <c r="L550" s="713">
        <v>45043</v>
      </c>
      <c r="M550" s="753">
        <v>0.79166666666666663</v>
      </c>
      <c r="N550" s="373">
        <v>8</v>
      </c>
      <c r="O550" s="184" t="s">
        <v>411</v>
      </c>
      <c r="P550" s="401" t="s">
        <v>923</v>
      </c>
      <c r="Q550" s="746" t="s">
        <v>1120</v>
      </c>
      <c r="R550" s="202" t="s">
        <v>40</v>
      </c>
      <c r="S550" s="31" t="s">
        <v>273</v>
      </c>
      <c r="T550" s="31" t="s">
        <v>273</v>
      </c>
      <c r="U550" s="31">
        <f>IFERROR(VLOOKUP(CONCATENATE(Tabla1[[#This Row],[Severidad]]," ",Tabla1[[#This Row],[Complejidad]]),Catalogos!E$120:G$128,3,FALSE),"")</f>
        <v>64</v>
      </c>
      <c r="V550" s="31" t="str">
        <f>IF(Tabla1[[#This Row],[Tiempo solución max (hrs)]]&lt;&gt;"",IF(Tabla1[[#This Row],[Tiempo solución max (hrs)]]&gt;=Tabla1[[#This Row],[Tiempo
(Hrs 00/100)]],"cumple","no cumple"),"")</f>
        <v>cumple</v>
      </c>
      <c r="W550" s="376" t="s">
        <v>962</v>
      </c>
      <c r="X550" s="463" t="str">
        <f t="shared" si="77"/>
        <v>DS</v>
      </c>
      <c r="Y550" s="459" t="str">
        <f>SUBSTITUTE(Tabla1[[#This Row],[Descripción]],CHAR(10),"    I    ")</f>
        <v>Creación de microservicio para estadístico de SIPOT, SISAI, SICOM</v>
      </c>
      <c r="Z550" s="464">
        <f>VLOOKUP(Tabla1[[#This Row],[Perfil]],Catalogos!$B$75:$D$100,3,FALSE)*Tabla1[[#This Row],[Tiempo
(Hrs 00/100)]]*1.16</f>
        <v>6496</v>
      </c>
    </row>
    <row r="551" spans="1:26" ht="15" customHeight="1" x14ac:dyDescent="0.3">
      <c r="A551" s="373" t="s">
        <v>22</v>
      </c>
      <c r="B551" s="370" t="s">
        <v>23</v>
      </c>
      <c r="C551" s="205" t="s">
        <v>155</v>
      </c>
      <c r="D551" s="179"/>
      <c r="E551" s="373" t="s">
        <v>924</v>
      </c>
      <c r="F551" s="370" t="s">
        <v>23</v>
      </c>
      <c r="G551" s="370"/>
      <c r="H551" s="461" t="s">
        <v>405</v>
      </c>
      <c r="I551" s="467" t="s">
        <v>948</v>
      </c>
      <c r="J551" s="713">
        <v>45044</v>
      </c>
      <c r="K551" s="747">
        <v>0.375</v>
      </c>
      <c r="L551" s="713">
        <v>45044</v>
      </c>
      <c r="M551" s="753">
        <v>0.625</v>
      </c>
      <c r="N551" s="373">
        <v>6</v>
      </c>
      <c r="O551" s="184" t="s">
        <v>17</v>
      </c>
      <c r="P551" s="401" t="s">
        <v>923</v>
      </c>
      <c r="Q551" s="746" t="s">
        <v>1120</v>
      </c>
      <c r="R551" s="202" t="s">
        <v>40</v>
      </c>
      <c r="S551" s="31" t="s">
        <v>273</v>
      </c>
      <c r="T551" s="31" t="s">
        <v>273</v>
      </c>
      <c r="U551" s="31">
        <f>IFERROR(VLOOKUP(CONCATENATE(Tabla1[[#This Row],[Severidad]]," ",Tabla1[[#This Row],[Complejidad]]),Catalogos!E$120:G$128,3,FALSE),"")</f>
        <v>64</v>
      </c>
      <c r="V551" s="31" t="str">
        <f>IF(Tabla1[[#This Row],[Tiempo solución max (hrs)]]&lt;&gt;"",IF(Tabla1[[#This Row],[Tiempo solución max (hrs)]]&gt;=Tabla1[[#This Row],[Tiempo
(Hrs 00/100)]],"cumple","no cumple"),"")</f>
        <v>cumple</v>
      </c>
      <c r="W551" s="376" t="s">
        <v>962</v>
      </c>
      <c r="X551" s="463" t="str">
        <f t="shared" si="77"/>
        <v>DS</v>
      </c>
      <c r="Y551" s="459" t="str">
        <f>SUBSTITUTE(Tabla1[[#This Row],[Descripción]],CHAR(10),"    I    ")</f>
        <v>Creación de microservicio para estadístico de SIPOT, SISAI, SICOM</v>
      </c>
      <c r="Z551" s="464">
        <f>VLOOKUP(Tabla1[[#This Row],[Perfil]],Catalogos!$B$75:$D$100,3,FALSE)*Tabla1[[#This Row],[Tiempo
(Hrs 00/100)]]*1.16</f>
        <v>4872</v>
      </c>
    </row>
    <row r="552" spans="1:26" ht="15" customHeight="1" x14ac:dyDescent="0.3">
      <c r="A552" s="373" t="s">
        <v>22</v>
      </c>
      <c r="B552" s="370" t="s">
        <v>23</v>
      </c>
      <c r="C552" s="205" t="s">
        <v>155</v>
      </c>
      <c r="D552" s="179"/>
      <c r="E552" s="373" t="s">
        <v>924</v>
      </c>
      <c r="F552" s="370" t="s">
        <v>23</v>
      </c>
      <c r="G552" s="370"/>
      <c r="H552" s="461" t="s">
        <v>405</v>
      </c>
      <c r="I552" s="408" t="s">
        <v>950</v>
      </c>
      <c r="J552" s="713">
        <v>45019</v>
      </c>
      <c r="K552" s="747">
        <v>0.375</v>
      </c>
      <c r="L552" s="713">
        <v>45019</v>
      </c>
      <c r="M552" s="753">
        <v>0.79166666666666663</v>
      </c>
      <c r="N552" s="373">
        <v>8</v>
      </c>
      <c r="O552" s="184" t="s">
        <v>17</v>
      </c>
      <c r="P552" s="401" t="s">
        <v>923</v>
      </c>
      <c r="Q552" s="746" t="s">
        <v>208</v>
      </c>
      <c r="R552" s="202" t="s">
        <v>40</v>
      </c>
      <c r="S552" s="31" t="s">
        <v>273</v>
      </c>
      <c r="T552" s="31" t="s">
        <v>273</v>
      </c>
      <c r="U552" s="31">
        <f>IFERROR(VLOOKUP(CONCATENATE(Tabla1[[#This Row],[Severidad]]," ",Tabla1[[#This Row],[Complejidad]]),Catalogos!E$120:G$128,3,FALSE),"")</f>
        <v>64</v>
      </c>
      <c r="V552" s="31" t="str">
        <f>IF(Tabla1[[#This Row],[Tiempo solución max (hrs)]]&lt;&gt;"",IF(Tabla1[[#This Row],[Tiempo solución max (hrs)]]&gt;=Tabla1[[#This Row],[Tiempo
(Hrs 00/100)]],"cumple","no cumple"),"")</f>
        <v>cumple</v>
      </c>
      <c r="W552" s="376" t="s">
        <v>962</v>
      </c>
      <c r="X552" s="463" t="str">
        <f t="shared" si="68"/>
        <v>DS</v>
      </c>
      <c r="Y552" s="459" t="str">
        <f>SUBSTITUTE(Tabla1[[#This Row],[Descripción]],CHAR(10),"    I    ")</f>
        <v>Mejoras filtro obligaciones de transparencia</v>
      </c>
      <c r="Z552" s="464">
        <f>VLOOKUP(Tabla1[[#This Row],[Perfil]],Catalogos!$B$75:$D$100,3,FALSE)*Tabla1[[#This Row],[Tiempo
(Hrs 00/100)]]*1.16</f>
        <v>6496</v>
      </c>
    </row>
    <row r="553" spans="1:26" ht="15" customHeight="1" x14ac:dyDescent="0.3">
      <c r="A553" s="373" t="s">
        <v>22</v>
      </c>
      <c r="B553" s="370" t="s">
        <v>23</v>
      </c>
      <c r="C553" s="205" t="s">
        <v>155</v>
      </c>
      <c r="D553" s="179"/>
      <c r="E553" s="373" t="s">
        <v>924</v>
      </c>
      <c r="F553" s="370" t="s">
        <v>23</v>
      </c>
      <c r="G553" s="370"/>
      <c r="H553" s="461" t="s">
        <v>405</v>
      </c>
      <c r="I553" s="408" t="s">
        <v>951</v>
      </c>
      <c r="J553" s="713">
        <v>45020</v>
      </c>
      <c r="K553" s="747">
        <v>0.375</v>
      </c>
      <c r="L553" s="713">
        <v>45020</v>
      </c>
      <c r="M553" s="753">
        <v>0.79166666666666663</v>
      </c>
      <c r="N553" s="373">
        <v>8</v>
      </c>
      <c r="O553" s="184" t="s">
        <v>17</v>
      </c>
      <c r="P553" s="401" t="s">
        <v>923</v>
      </c>
      <c r="Q553" s="746" t="s">
        <v>208</v>
      </c>
      <c r="R553" s="202" t="s">
        <v>40</v>
      </c>
      <c r="S553" s="31" t="s">
        <v>273</v>
      </c>
      <c r="T553" s="31" t="s">
        <v>273</v>
      </c>
      <c r="U553" s="31">
        <f>IFERROR(VLOOKUP(CONCATENATE(Tabla1[[#This Row],[Severidad]]," ",Tabla1[[#This Row],[Complejidad]]),Catalogos!E$120:G$128,3,FALSE),"")</f>
        <v>64</v>
      </c>
      <c r="V553" s="31" t="str">
        <f>IF(Tabla1[[#This Row],[Tiempo solución max (hrs)]]&lt;&gt;"",IF(Tabla1[[#This Row],[Tiempo solución max (hrs)]]&gt;=Tabla1[[#This Row],[Tiempo
(Hrs 00/100)]],"cumple","no cumple"),"")</f>
        <v>cumple</v>
      </c>
      <c r="W553" s="376" t="s">
        <v>962</v>
      </c>
      <c r="X553" s="463" t="str">
        <f t="shared" si="68"/>
        <v>DS</v>
      </c>
      <c r="Y553" s="459" t="str">
        <f>SUBSTITUTE(Tabla1[[#This Row],[Descripción]],CHAR(10),"    I    ")</f>
        <v xml:space="preserve">Refactorización tablas en  sección detalle cards información pública </v>
      </c>
      <c r="Z553" s="464">
        <f>VLOOKUP(Tabla1[[#This Row],[Perfil]],Catalogos!$B$75:$D$100,3,FALSE)*Tabla1[[#This Row],[Tiempo
(Hrs 00/100)]]*1.16</f>
        <v>6496</v>
      </c>
    </row>
    <row r="554" spans="1:26" ht="15" customHeight="1" x14ac:dyDescent="0.3">
      <c r="A554" s="373" t="s">
        <v>22</v>
      </c>
      <c r="B554" s="370" t="s">
        <v>23</v>
      </c>
      <c r="C554" s="205" t="s">
        <v>155</v>
      </c>
      <c r="D554" s="179"/>
      <c r="E554" s="373" t="s">
        <v>924</v>
      </c>
      <c r="F554" s="370" t="s">
        <v>23</v>
      </c>
      <c r="G554" s="370"/>
      <c r="H554" s="461" t="s">
        <v>405</v>
      </c>
      <c r="I554" s="408" t="s">
        <v>952</v>
      </c>
      <c r="J554" s="713">
        <v>45021</v>
      </c>
      <c r="K554" s="747">
        <v>0.375</v>
      </c>
      <c r="L554" s="713">
        <v>45021</v>
      </c>
      <c r="M554" s="753">
        <v>0.79166666666666663</v>
      </c>
      <c r="N554" s="373">
        <v>8</v>
      </c>
      <c r="O554" s="184" t="s">
        <v>17</v>
      </c>
      <c r="P554" s="401" t="s">
        <v>923</v>
      </c>
      <c r="Q554" s="746" t="s">
        <v>208</v>
      </c>
      <c r="R554" s="202" t="s">
        <v>40</v>
      </c>
      <c r="S554" s="31" t="s">
        <v>273</v>
      </c>
      <c r="T554" s="31" t="s">
        <v>273</v>
      </c>
      <c r="U554" s="31">
        <f>IFERROR(VLOOKUP(CONCATENATE(Tabla1[[#This Row],[Severidad]]," ",Tabla1[[#This Row],[Complejidad]]),Catalogos!E$120:G$128,3,FALSE),"")</f>
        <v>64</v>
      </c>
      <c r="V554" s="31" t="str">
        <f>IF(Tabla1[[#This Row],[Tiempo solución max (hrs)]]&lt;&gt;"",IF(Tabla1[[#This Row],[Tiempo solución max (hrs)]]&gt;=Tabla1[[#This Row],[Tiempo
(Hrs 00/100)]],"cumple","no cumple"),"")</f>
        <v>cumple</v>
      </c>
      <c r="W554" s="376" t="s">
        <v>962</v>
      </c>
      <c r="X554" s="463" t="str">
        <f t="shared" si="68"/>
        <v>DS</v>
      </c>
      <c r="Y554" s="459" t="str">
        <f>SUBSTITUTE(Tabla1[[#This Row],[Descripción]],CHAR(10),"    I    ")</f>
        <v xml:space="preserve">Tablas responsive en cards y mejoras diseño y responsive a carruseles </v>
      </c>
      <c r="Z554" s="464">
        <f>VLOOKUP(Tabla1[[#This Row],[Perfil]],Catalogos!$B$75:$D$100,3,FALSE)*Tabla1[[#This Row],[Tiempo
(Hrs 00/100)]]*1.16</f>
        <v>6496</v>
      </c>
    </row>
    <row r="555" spans="1:26" ht="15" customHeight="1" x14ac:dyDescent="0.3">
      <c r="A555" s="373" t="s">
        <v>22</v>
      </c>
      <c r="B555" s="370" t="s">
        <v>23</v>
      </c>
      <c r="C555" s="205" t="s">
        <v>155</v>
      </c>
      <c r="D555" s="179"/>
      <c r="E555" s="373" t="s">
        <v>924</v>
      </c>
      <c r="F555" s="370" t="s">
        <v>23</v>
      </c>
      <c r="G555" s="370"/>
      <c r="H555" s="461" t="s">
        <v>405</v>
      </c>
      <c r="I555" s="408" t="s">
        <v>953</v>
      </c>
      <c r="J555" s="713">
        <v>45026</v>
      </c>
      <c r="K555" s="747">
        <v>0.375</v>
      </c>
      <c r="L555" s="713">
        <v>45026</v>
      </c>
      <c r="M555" s="753">
        <v>0.79166666666666663</v>
      </c>
      <c r="N555" s="373">
        <v>8</v>
      </c>
      <c r="O555" s="184" t="s">
        <v>17</v>
      </c>
      <c r="P555" s="401" t="s">
        <v>923</v>
      </c>
      <c r="Q555" s="746" t="s">
        <v>208</v>
      </c>
      <c r="R555" s="202" t="s">
        <v>40</v>
      </c>
      <c r="S555" s="31" t="s">
        <v>273</v>
      </c>
      <c r="T555" s="31" t="s">
        <v>273</v>
      </c>
      <c r="U555" s="31">
        <f>IFERROR(VLOOKUP(CONCATENATE(Tabla1[[#This Row],[Severidad]]," ",Tabla1[[#This Row],[Complejidad]]),Catalogos!E$120:G$128,3,FALSE),"")</f>
        <v>64</v>
      </c>
      <c r="V555" s="31" t="str">
        <f>IF(Tabla1[[#This Row],[Tiempo solución max (hrs)]]&lt;&gt;"",IF(Tabla1[[#This Row],[Tiempo solución max (hrs)]]&gt;=Tabla1[[#This Row],[Tiempo
(Hrs 00/100)]],"cumple","no cumple"),"")</f>
        <v>cumple</v>
      </c>
      <c r="W555" s="376" t="s">
        <v>962</v>
      </c>
      <c r="X555" s="463" t="str">
        <f t="shared" si="68"/>
        <v>DS</v>
      </c>
      <c r="Y555" s="459" t="str">
        <f>SUBSTITUTE(Tabla1[[#This Row],[Descripción]],CHAR(10),"    I    ")</f>
        <v>Validación reset cards al cambiar entre colecciones seleccionadas y filtros seleccionados</v>
      </c>
      <c r="Z555" s="464">
        <f>VLOOKUP(Tabla1[[#This Row],[Perfil]],Catalogos!$B$75:$D$100,3,FALSE)*Tabla1[[#This Row],[Tiempo
(Hrs 00/100)]]*1.16</f>
        <v>6496</v>
      </c>
    </row>
    <row r="556" spans="1:26" ht="15" customHeight="1" x14ac:dyDescent="0.3">
      <c r="A556" s="373" t="s">
        <v>22</v>
      </c>
      <c r="B556" s="370" t="s">
        <v>23</v>
      </c>
      <c r="C556" s="205" t="s">
        <v>155</v>
      </c>
      <c r="D556" s="179"/>
      <c r="E556" s="373" t="s">
        <v>924</v>
      </c>
      <c r="F556" s="370" t="s">
        <v>23</v>
      </c>
      <c r="G556" s="370"/>
      <c r="H556" s="461" t="s">
        <v>405</v>
      </c>
      <c r="I556" s="408" t="s">
        <v>954</v>
      </c>
      <c r="J556" s="713">
        <v>45027</v>
      </c>
      <c r="K556" s="747">
        <v>0.375</v>
      </c>
      <c r="L556" s="713">
        <v>45027</v>
      </c>
      <c r="M556" s="753">
        <v>0.79166666666666663</v>
      </c>
      <c r="N556" s="373">
        <v>8</v>
      </c>
      <c r="O556" s="184" t="s">
        <v>17</v>
      </c>
      <c r="P556" s="401" t="s">
        <v>923</v>
      </c>
      <c r="Q556" s="746" t="s">
        <v>208</v>
      </c>
      <c r="R556" s="202" t="s">
        <v>40</v>
      </c>
      <c r="S556" s="31" t="s">
        <v>273</v>
      </c>
      <c r="T556" s="31" t="s">
        <v>273</v>
      </c>
      <c r="U556" s="31">
        <f>IFERROR(VLOOKUP(CONCATENATE(Tabla1[[#This Row],[Severidad]]," ",Tabla1[[#This Row],[Complejidad]]),Catalogos!E$120:G$128,3,FALSE),"")</f>
        <v>64</v>
      </c>
      <c r="V556" s="31" t="str">
        <f>IF(Tabla1[[#This Row],[Tiempo solución max (hrs)]]&lt;&gt;"",IF(Tabla1[[#This Row],[Tiempo solución max (hrs)]]&gt;=Tabla1[[#This Row],[Tiempo
(Hrs 00/100)]],"cumple","no cumple"),"")</f>
        <v>cumple</v>
      </c>
      <c r="W556" s="376" t="s">
        <v>962</v>
      </c>
      <c r="X556" s="463" t="str">
        <f t="shared" si="68"/>
        <v>DS</v>
      </c>
      <c r="Y556" s="459" t="str">
        <f>SUBSTITUTE(Tabla1[[#This Row],[Descripción]],CHAR(10),"    I    ")</f>
        <v>Implementación skeleton component en filtros y card al estar cargando la información</v>
      </c>
      <c r="Z556" s="464">
        <f>VLOOKUP(Tabla1[[#This Row],[Perfil]],Catalogos!$B$75:$D$100,3,FALSE)*Tabla1[[#This Row],[Tiempo
(Hrs 00/100)]]*1.16</f>
        <v>6496</v>
      </c>
    </row>
    <row r="557" spans="1:26" ht="15" customHeight="1" x14ac:dyDescent="0.3">
      <c r="A557" s="373" t="s">
        <v>22</v>
      </c>
      <c r="B557" s="370" t="s">
        <v>23</v>
      </c>
      <c r="C557" s="205" t="s">
        <v>155</v>
      </c>
      <c r="D557" s="179"/>
      <c r="E557" s="373" t="s">
        <v>924</v>
      </c>
      <c r="F557" s="370" t="s">
        <v>23</v>
      </c>
      <c r="G557" s="370"/>
      <c r="H557" s="461" t="s">
        <v>405</v>
      </c>
      <c r="I557" s="408" t="s">
        <v>955</v>
      </c>
      <c r="J557" s="713">
        <v>45028</v>
      </c>
      <c r="K557" s="747">
        <v>0.375</v>
      </c>
      <c r="L557" s="713">
        <v>45028</v>
      </c>
      <c r="M557" s="753">
        <v>0.79166666666666663</v>
      </c>
      <c r="N557" s="373">
        <v>8</v>
      </c>
      <c r="O557" s="184" t="s">
        <v>17</v>
      </c>
      <c r="P557" s="401" t="s">
        <v>923</v>
      </c>
      <c r="Q557" s="746" t="s">
        <v>208</v>
      </c>
      <c r="R557" s="202" t="s">
        <v>40</v>
      </c>
      <c r="S557" s="31" t="s">
        <v>273</v>
      </c>
      <c r="T557" s="31" t="s">
        <v>273</v>
      </c>
      <c r="U557" s="31">
        <f>IFERROR(VLOOKUP(CONCATENATE(Tabla1[[#This Row],[Severidad]]," ",Tabla1[[#This Row],[Complejidad]]),Catalogos!E$120:G$128,3,FALSE),"")</f>
        <v>64</v>
      </c>
      <c r="V557" s="31" t="str">
        <f>IF(Tabla1[[#This Row],[Tiempo solución max (hrs)]]&lt;&gt;"",IF(Tabla1[[#This Row],[Tiempo solución max (hrs)]]&gt;=Tabla1[[#This Row],[Tiempo
(Hrs 00/100)]],"cumple","no cumple"),"")</f>
        <v>cumple</v>
      </c>
      <c r="W557" s="376" t="s">
        <v>962</v>
      </c>
      <c r="X557" s="463" t="str">
        <f t="shared" si="68"/>
        <v>DS</v>
      </c>
      <c r="Y557" s="459" t="str">
        <f>SUBSTITUTE(Tabla1[[#This Row],[Descripción]],CHAR(10),"    I    ")</f>
        <v>Desarrollo de filtros solicitudes,quejas y obligaciones de transparencia en pagina tendencias.</v>
      </c>
      <c r="Z557" s="464">
        <f>VLOOKUP(Tabla1[[#This Row],[Perfil]],Catalogos!$B$75:$D$100,3,FALSE)*Tabla1[[#This Row],[Tiempo
(Hrs 00/100)]]*1.16</f>
        <v>6496</v>
      </c>
    </row>
    <row r="558" spans="1:26" ht="30.6" x14ac:dyDescent="0.3">
      <c r="A558" s="373" t="s">
        <v>22</v>
      </c>
      <c r="B558" s="370" t="s">
        <v>23</v>
      </c>
      <c r="C558" s="205" t="s">
        <v>155</v>
      </c>
      <c r="D558" s="179"/>
      <c r="E558" s="373" t="s">
        <v>924</v>
      </c>
      <c r="F558" s="370" t="s">
        <v>23</v>
      </c>
      <c r="G558" s="370"/>
      <c r="H558" s="461" t="s">
        <v>405</v>
      </c>
      <c r="I558" s="408" t="s">
        <v>956</v>
      </c>
      <c r="J558" s="713">
        <v>45029</v>
      </c>
      <c r="K558" s="747">
        <v>0.375</v>
      </c>
      <c r="L558" s="713">
        <v>45029</v>
      </c>
      <c r="M558" s="753">
        <v>0.79166666666666663</v>
      </c>
      <c r="N558" s="373">
        <v>8</v>
      </c>
      <c r="O558" s="184" t="s">
        <v>17</v>
      </c>
      <c r="P558" s="401" t="s">
        <v>923</v>
      </c>
      <c r="Q558" s="746" t="s">
        <v>208</v>
      </c>
      <c r="R558" s="202" t="s">
        <v>40</v>
      </c>
      <c r="S558" s="31" t="s">
        <v>273</v>
      </c>
      <c r="T558" s="31" t="s">
        <v>273</v>
      </c>
      <c r="U558" s="31">
        <f>IFERROR(VLOOKUP(CONCATENATE(Tabla1[[#This Row],[Severidad]]," ",Tabla1[[#This Row],[Complejidad]]),Catalogos!E$120:G$128,3,FALSE),"")</f>
        <v>64</v>
      </c>
      <c r="V558" s="31" t="str">
        <f>IF(Tabla1[[#This Row],[Tiempo solución max (hrs)]]&lt;&gt;"",IF(Tabla1[[#This Row],[Tiempo solución max (hrs)]]&gt;=Tabla1[[#This Row],[Tiempo
(Hrs 00/100)]],"cumple","no cumple"),"")</f>
        <v>cumple</v>
      </c>
      <c r="W558" s="376" t="s">
        <v>962</v>
      </c>
      <c r="X558" s="463" t="str">
        <f t="shared" si="68"/>
        <v>DS</v>
      </c>
      <c r="Y558" s="459" t="str">
        <f>SUBSTITUTE(Tabla1[[#This Row],[Descripción]],CHAR(10),"    I    ")</f>
        <v>Implementación función que permite reconocer el dominio actual de la aplicación para acotar la funcionalidad a solo buscador de género</v>
      </c>
      <c r="Z558" s="464">
        <f>VLOOKUP(Tabla1[[#This Row],[Perfil]],Catalogos!$B$75:$D$100,3,FALSE)*Tabla1[[#This Row],[Tiempo
(Hrs 00/100)]]*1.16</f>
        <v>6496</v>
      </c>
    </row>
    <row r="559" spans="1:26" ht="15" customHeight="1" x14ac:dyDescent="0.3">
      <c r="A559" s="373" t="s">
        <v>22</v>
      </c>
      <c r="B559" s="370" t="s">
        <v>23</v>
      </c>
      <c r="C559" s="205" t="s">
        <v>155</v>
      </c>
      <c r="D559" s="179"/>
      <c r="E559" s="373" t="s">
        <v>924</v>
      </c>
      <c r="F559" s="370" t="s">
        <v>23</v>
      </c>
      <c r="G559" s="370"/>
      <c r="H559" s="461" t="s">
        <v>405</v>
      </c>
      <c r="I559" s="408" t="s">
        <v>957</v>
      </c>
      <c r="J559" s="713">
        <v>45030</v>
      </c>
      <c r="K559" s="739">
        <v>0.375</v>
      </c>
      <c r="L559" s="713">
        <v>45030</v>
      </c>
      <c r="M559" s="739">
        <v>0.625</v>
      </c>
      <c r="N559" s="373">
        <v>6</v>
      </c>
      <c r="O559" s="184" t="s">
        <v>17</v>
      </c>
      <c r="P559" s="401" t="s">
        <v>923</v>
      </c>
      <c r="Q559" s="746" t="s">
        <v>208</v>
      </c>
      <c r="R559" s="202" t="s">
        <v>40</v>
      </c>
      <c r="S559" s="31" t="s">
        <v>273</v>
      </c>
      <c r="T559" s="31" t="s">
        <v>273</v>
      </c>
      <c r="U559" s="31">
        <f>IFERROR(VLOOKUP(CONCATENATE(Tabla1[[#This Row],[Severidad]]," ",Tabla1[[#This Row],[Complejidad]]),Catalogos!E$120:G$128,3,FALSE),"")</f>
        <v>64</v>
      </c>
      <c r="V559" s="31" t="str">
        <f>IF(Tabla1[[#This Row],[Tiempo solución max (hrs)]]&lt;&gt;"",IF(Tabla1[[#This Row],[Tiempo solución max (hrs)]]&gt;=Tabla1[[#This Row],[Tiempo
(Hrs 00/100)]],"cumple","no cumple"),"")</f>
        <v>cumple</v>
      </c>
      <c r="W559" s="376" t="s">
        <v>962</v>
      </c>
      <c r="X559" s="463" t="str">
        <f t="shared" si="68"/>
        <v>DS</v>
      </c>
      <c r="Y559" s="459" t="str">
        <f>SUBSTITUTE(Tabla1[[#This Row],[Descripción]],CHAR(10),"    I    ")</f>
        <v>Implementación validaciones en componentes y reducers para buscador de género</v>
      </c>
      <c r="Z559" s="464">
        <f>VLOOKUP(Tabla1[[#This Row],[Perfil]],Catalogos!$B$75:$D$100,3,FALSE)*Tabla1[[#This Row],[Tiempo
(Hrs 00/100)]]*1.16</f>
        <v>4872</v>
      </c>
    </row>
    <row r="560" spans="1:26" ht="15" customHeight="1" x14ac:dyDescent="0.3">
      <c r="A560" s="373" t="s">
        <v>22</v>
      </c>
      <c r="B560" s="370" t="s">
        <v>23</v>
      </c>
      <c r="C560" s="205" t="s">
        <v>155</v>
      </c>
      <c r="D560" s="179"/>
      <c r="E560" s="373" t="s">
        <v>924</v>
      </c>
      <c r="F560" s="370" t="s">
        <v>23</v>
      </c>
      <c r="G560" s="370"/>
      <c r="H560" s="461" t="s">
        <v>405</v>
      </c>
      <c r="I560" s="408" t="s">
        <v>958</v>
      </c>
      <c r="J560" s="713">
        <v>45033</v>
      </c>
      <c r="K560" s="747">
        <v>0.375</v>
      </c>
      <c r="L560" s="713">
        <v>45033</v>
      </c>
      <c r="M560" s="753">
        <v>0.79166666666666663</v>
      </c>
      <c r="N560" s="373">
        <v>8</v>
      </c>
      <c r="O560" s="184" t="s">
        <v>17</v>
      </c>
      <c r="P560" s="401" t="s">
        <v>923</v>
      </c>
      <c r="Q560" s="746" t="s">
        <v>208</v>
      </c>
      <c r="R560" s="202" t="s">
        <v>40</v>
      </c>
      <c r="S560" s="31" t="s">
        <v>273</v>
      </c>
      <c r="T560" s="31" t="s">
        <v>273</v>
      </c>
      <c r="U560" s="31">
        <f>IFERROR(VLOOKUP(CONCATENATE(Tabla1[[#This Row],[Severidad]]," ",Tabla1[[#This Row],[Complejidad]]),Catalogos!E$120:G$128,3,FALSE),"")</f>
        <v>64</v>
      </c>
      <c r="V560" s="31" t="str">
        <f>IF(Tabla1[[#This Row],[Tiempo solución max (hrs)]]&lt;&gt;"",IF(Tabla1[[#This Row],[Tiempo solución max (hrs)]]&gt;=Tabla1[[#This Row],[Tiempo
(Hrs 00/100)]],"cumple","no cumple"),"")</f>
        <v>cumple</v>
      </c>
      <c r="W560" s="376" t="s">
        <v>962</v>
      </c>
      <c r="X560" s="463" t="str">
        <f t="shared" si="68"/>
        <v>DS</v>
      </c>
      <c r="Y560" s="459" t="str">
        <f>SUBSTITUTE(Tabla1[[#This Row],[Descripción]],CHAR(10),"    I    ")</f>
        <v xml:space="preserve">Ajustes estilos en componente buscador de género </v>
      </c>
      <c r="Z560" s="464">
        <f>VLOOKUP(Tabla1[[#This Row],[Perfil]],Catalogos!$B$75:$D$100,3,FALSE)*Tabla1[[#This Row],[Tiempo
(Hrs 00/100)]]*1.16</f>
        <v>6496</v>
      </c>
    </row>
    <row r="561" spans="1:26" ht="15" customHeight="1" x14ac:dyDescent="0.3">
      <c r="A561" s="373" t="s">
        <v>22</v>
      </c>
      <c r="B561" s="370" t="s">
        <v>23</v>
      </c>
      <c r="C561" s="205" t="s">
        <v>155</v>
      </c>
      <c r="D561" s="179"/>
      <c r="E561" s="373" t="s">
        <v>924</v>
      </c>
      <c r="F561" s="370" t="s">
        <v>23</v>
      </c>
      <c r="G561" s="370"/>
      <c r="H561" s="461" t="s">
        <v>405</v>
      </c>
      <c r="I561" s="408" t="s">
        <v>959</v>
      </c>
      <c r="J561" s="713">
        <v>45034</v>
      </c>
      <c r="K561" s="747">
        <v>0.375</v>
      </c>
      <c r="L561" s="713">
        <v>45034</v>
      </c>
      <c r="M561" s="753">
        <v>0.79166666666666663</v>
      </c>
      <c r="N561" s="373">
        <v>8</v>
      </c>
      <c r="O561" s="184" t="s">
        <v>17</v>
      </c>
      <c r="P561" s="401" t="s">
        <v>923</v>
      </c>
      <c r="Q561" s="746" t="s">
        <v>208</v>
      </c>
      <c r="R561" s="202" t="s">
        <v>40</v>
      </c>
      <c r="S561" s="31" t="s">
        <v>273</v>
      </c>
      <c r="T561" s="31" t="s">
        <v>273</v>
      </c>
      <c r="U561" s="31">
        <f>IFERROR(VLOOKUP(CONCATENATE(Tabla1[[#This Row],[Severidad]]," ",Tabla1[[#This Row],[Complejidad]]),Catalogos!E$120:G$128,3,FALSE),"")</f>
        <v>64</v>
      </c>
      <c r="V561" s="31" t="str">
        <f>IF(Tabla1[[#This Row],[Tiempo solución max (hrs)]]&lt;&gt;"",IF(Tabla1[[#This Row],[Tiempo solución max (hrs)]]&gt;=Tabla1[[#This Row],[Tiempo
(Hrs 00/100)]],"cumple","no cumple"),"")</f>
        <v>cumple</v>
      </c>
      <c r="W561" s="376" t="s">
        <v>962</v>
      </c>
      <c r="X561" s="463" t="str">
        <f t="shared" ref="X561:X609" si="78">IF(C561&lt;&gt;"",C561,D561)</f>
        <v>DS</v>
      </c>
      <c r="Y561" s="459" t="str">
        <f>SUBSTITUTE(Tabla1[[#This Row],[Descripción]],CHAR(10),"    I    ")</f>
        <v>Implementación CAVINAI e integra2 en la aplicación</v>
      </c>
      <c r="Z561" s="464">
        <f>VLOOKUP(Tabla1[[#This Row],[Perfil]],Catalogos!$B$75:$D$100,3,FALSE)*Tabla1[[#This Row],[Tiempo
(Hrs 00/100)]]*1.16</f>
        <v>6496</v>
      </c>
    </row>
    <row r="562" spans="1:26" ht="15" customHeight="1" x14ac:dyDescent="0.3">
      <c r="A562" s="373" t="s">
        <v>22</v>
      </c>
      <c r="B562" s="370" t="s">
        <v>23</v>
      </c>
      <c r="C562" s="205" t="s">
        <v>155</v>
      </c>
      <c r="D562" s="179"/>
      <c r="E562" s="373" t="s">
        <v>924</v>
      </c>
      <c r="F562" s="370" t="s">
        <v>23</v>
      </c>
      <c r="G562" s="370"/>
      <c r="H562" s="461" t="s">
        <v>405</v>
      </c>
      <c r="I562" s="408" t="s">
        <v>960</v>
      </c>
      <c r="J562" s="713">
        <v>45035</v>
      </c>
      <c r="K562" s="747">
        <v>0.375</v>
      </c>
      <c r="L562" s="713">
        <v>45035</v>
      </c>
      <c r="M562" s="753">
        <v>0.79166666666666663</v>
      </c>
      <c r="N562" s="468">
        <v>8</v>
      </c>
      <c r="O562" s="184" t="s">
        <v>17</v>
      </c>
      <c r="P562" s="401" t="s">
        <v>923</v>
      </c>
      <c r="Q562" s="746" t="s">
        <v>208</v>
      </c>
      <c r="R562" s="202" t="s">
        <v>40</v>
      </c>
      <c r="S562" s="31" t="s">
        <v>273</v>
      </c>
      <c r="T562" s="31" t="s">
        <v>273</v>
      </c>
      <c r="U562" s="31">
        <f>IFERROR(VLOOKUP(CONCATENATE(Tabla1[[#This Row],[Severidad]]," ",Tabla1[[#This Row],[Complejidad]]),Catalogos!E$120:G$128,3,FALSE),"")</f>
        <v>64</v>
      </c>
      <c r="V562" s="31" t="str">
        <f>IF(Tabla1[[#This Row],[Tiempo solución max (hrs)]]&lt;&gt;"",IF(Tabla1[[#This Row],[Tiempo solución max (hrs)]]&gt;=Tabla1[[#This Row],[Tiempo
(Hrs 00/100)]],"cumple","no cumple"),"")</f>
        <v>cumple</v>
      </c>
      <c r="W562" s="376" t="s">
        <v>962</v>
      </c>
      <c r="X562" s="463" t="str">
        <f t="shared" si="78"/>
        <v>DS</v>
      </c>
      <c r="Y562" s="459" t="str">
        <f>SUBSTITUTE(Tabla1[[#This Row],[Descripción]],CHAR(10),"    I    ")</f>
        <v>Modificación del componente footer y temáticos para la implementación del icono de género</v>
      </c>
      <c r="Z562" s="464">
        <f>VLOOKUP(Tabla1[[#This Row],[Perfil]],Catalogos!$B$75:$D$100,3,FALSE)*Tabla1[[#This Row],[Tiempo
(Hrs 00/100)]]*1.16</f>
        <v>6496</v>
      </c>
    </row>
    <row r="563" spans="1:26" ht="30.6" x14ac:dyDescent="0.3">
      <c r="A563" s="373" t="s">
        <v>22</v>
      </c>
      <c r="B563" s="370" t="s">
        <v>23</v>
      </c>
      <c r="C563" s="205" t="s">
        <v>155</v>
      </c>
      <c r="D563" s="179"/>
      <c r="E563" s="373" t="s">
        <v>924</v>
      </c>
      <c r="F563" s="370" t="s">
        <v>23</v>
      </c>
      <c r="G563" s="370"/>
      <c r="H563" s="461" t="s">
        <v>405</v>
      </c>
      <c r="I563" s="408" t="s">
        <v>961</v>
      </c>
      <c r="J563" s="713">
        <v>45036</v>
      </c>
      <c r="K563" s="747">
        <v>0.375</v>
      </c>
      <c r="L563" s="713">
        <v>45036</v>
      </c>
      <c r="M563" s="753">
        <v>0.79166666666666663</v>
      </c>
      <c r="N563" s="468">
        <v>8</v>
      </c>
      <c r="O563" s="184" t="s">
        <v>17</v>
      </c>
      <c r="P563" s="401" t="s">
        <v>923</v>
      </c>
      <c r="Q563" s="746" t="s">
        <v>208</v>
      </c>
      <c r="R563" s="202" t="s">
        <v>40</v>
      </c>
      <c r="S563" s="31" t="s">
        <v>273</v>
      </c>
      <c r="T563" s="31" t="s">
        <v>273</v>
      </c>
      <c r="U563" s="31">
        <f>IFERROR(VLOOKUP(CONCATENATE(Tabla1[[#This Row],[Severidad]]," ",Tabla1[[#This Row],[Complejidad]]),Catalogos!E$120:G$128,3,FALSE),"")</f>
        <v>64</v>
      </c>
      <c r="V563" s="31" t="str">
        <f>IF(Tabla1[[#This Row],[Tiempo solución max (hrs)]]&lt;&gt;"",IF(Tabla1[[#This Row],[Tiempo solución max (hrs)]]&gt;=Tabla1[[#This Row],[Tiempo
(Hrs 00/100)]],"cumple","no cumple"),"")</f>
        <v>cumple</v>
      </c>
      <c r="W563" s="376" t="s">
        <v>962</v>
      </c>
      <c r="X563" s="463" t="str">
        <f t="shared" si="78"/>
        <v>DS</v>
      </c>
      <c r="Y563" s="459" t="str">
        <f>SUBSTITUTE(Tabla1[[#This Row],[Descripción]],CHAR(10),"    I    ")</f>
        <v>Homologación componente home y pruebas funcionalidad en toda la aplicación con los distintos dominios</v>
      </c>
      <c r="Z563" s="464">
        <f>VLOOKUP(Tabla1[[#This Row],[Perfil]],Catalogos!$B$75:$D$100,3,FALSE)*Tabla1[[#This Row],[Tiempo
(Hrs 00/100)]]*1.16</f>
        <v>6496</v>
      </c>
    </row>
    <row r="564" spans="1:26" ht="30.6" x14ac:dyDescent="0.3">
      <c r="A564" s="373" t="s">
        <v>22</v>
      </c>
      <c r="B564" s="370" t="s">
        <v>23</v>
      </c>
      <c r="C564" s="205" t="s">
        <v>155</v>
      </c>
      <c r="D564" s="179"/>
      <c r="E564" s="373" t="s">
        <v>924</v>
      </c>
      <c r="F564" s="370" t="s">
        <v>23</v>
      </c>
      <c r="G564" s="370"/>
      <c r="H564" s="461" t="s">
        <v>405</v>
      </c>
      <c r="I564" s="408" t="s">
        <v>949</v>
      </c>
      <c r="J564" s="713">
        <v>45037</v>
      </c>
      <c r="K564" s="747">
        <v>0.375</v>
      </c>
      <c r="L564" s="713">
        <v>45037</v>
      </c>
      <c r="M564" s="739">
        <v>0.58333333333333337</v>
      </c>
      <c r="N564" s="468">
        <v>5</v>
      </c>
      <c r="O564" s="184" t="s">
        <v>411</v>
      </c>
      <c r="P564" s="401" t="s">
        <v>923</v>
      </c>
      <c r="Q564" s="746" t="s">
        <v>208</v>
      </c>
      <c r="R564" s="202" t="s">
        <v>40</v>
      </c>
      <c r="S564" s="31" t="s">
        <v>273</v>
      </c>
      <c r="T564" s="31" t="s">
        <v>273</v>
      </c>
      <c r="U564" s="31">
        <f>IFERROR(VLOOKUP(CONCATENATE(Tabla1[[#This Row],[Severidad]]," ",Tabla1[[#This Row],[Complejidad]]),Catalogos!E$120:G$128,3,FALSE),"")</f>
        <v>64</v>
      </c>
      <c r="V564" s="31" t="str">
        <f>IF(Tabla1[[#This Row],[Tiempo solución max (hrs)]]&lt;&gt;"",IF(Tabla1[[#This Row],[Tiempo solución max (hrs)]]&gt;=Tabla1[[#This Row],[Tiempo
(Hrs 00/100)]],"cumple","no cumple"),"")</f>
        <v>cumple</v>
      </c>
      <c r="W564" s="376" t="s">
        <v>962</v>
      </c>
      <c r="X564" s="463" t="str">
        <f t="shared" si="78"/>
        <v>DS</v>
      </c>
      <c r="Y564" s="459" t="str">
        <f>SUBSTITUTE(Tabla1[[#This Row],[Descripción]],CHAR(10),"    I    ")</f>
        <v>Desarrollo de funcionalidad para filtrar subtemas con base a la integridad referencial de BD</v>
      </c>
      <c r="Z564" s="464">
        <f>VLOOKUP(Tabla1[[#This Row],[Perfil]],Catalogos!$B$75:$D$100,3,FALSE)*Tabla1[[#This Row],[Tiempo
(Hrs 00/100)]]*1.16</f>
        <v>4059.9999999999995</v>
      </c>
    </row>
    <row r="565" spans="1:26" ht="30.6" x14ac:dyDescent="0.3">
      <c r="A565" s="373" t="s">
        <v>22</v>
      </c>
      <c r="B565" s="370" t="s">
        <v>23</v>
      </c>
      <c r="C565" s="205" t="s">
        <v>155</v>
      </c>
      <c r="D565" s="179"/>
      <c r="E565" s="373" t="s">
        <v>924</v>
      </c>
      <c r="F565" s="370" t="s">
        <v>23</v>
      </c>
      <c r="G565" s="370"/>
      <c r="H565" s="461" t="s">
        <v>405</v>
      </c>
      <c r="I565" s="408" t="s">
        <v>949</v>
      </c>
      <c r="J565" s="713">
        <v>45040</v>
      </c>
      <c r="K565" s="747">
        <v>0.375</v>
      </c>
      <c r="L565" s="713">
        <v>45040</v>
      </c>
      <c r="M565" s="753">
        <v>0.79166666666666663</v>
      </c>
      <c r="N565" s="468">
        <v>8</v>
      </c>
      <c r="O565" s="184" t="s">
        <v>411</v>
      </c>
      <c r="P565" s="401" t="s">
        <v>923</v>
      </c>
      <c r="Q565" s="746" t="s">
        <v>208</v>
      </c>
      <c r="R565" s="202" t="s">
        <v>40</v>
      </c>
      <c r="S565" s="31" t="s">
        <v>273</v>
      </c>
      <c r="T565" s="31" t="s">
        <v>273</v>
      </c>
      <c r="U565" s="31">
        <f>IFERROR(VLOOKUP(CONCATENATE(Tabla1[[#This Row],[Severidad]]," ",Tabla1[[#This Row],[Complejidad]]),Catalogos!E$120:G$128,3,FALSE),"")</f>
        <v>64</v>
      </c>
      <c r="V565" s="31" t="str">
        <f>IF(Tabla1[[#This Row],[Tiempo solución max (hrs)]]&lt;&gt;"",IF(Tabla1[[#This Row],[Tiempo solución max (hrs)]]&gt;=Tabla1[[#This Row],[Tiempo
(Hrs 00/100)]],"cumple","no cumple"),"")</f>
        <v>cumple</v>
      </c>
      <c r="W565" s="376" t="s">
        <v>962</v>
      </c>
      <c r="X565" s="463" t="str">
        <f t="shared" ref="X565:X568" si="79">IF(C565&lt;&gt;"",C565,D565)</f>
        <v>DS</v>
      </c>
      <c r="Y565" s="459" t="str">
        <f>SUBSTITUTE(Tabla1[[#This Row],[Descripción]],CHAR(10),"    I    ")</f>
        <v>Desarrollo de funcionalidad para filtrar subtemas con base a la integridad referencial de BD</v>
      </c>
      <c r="Z565" s="464">
        <f>VLOOKUP(Tabla1[[#This Row],[Perfil]],Catalogos!$B$75:$D$100,3,FALSE)*Tabla1[[#This Row],[Tiempo
(Hrs 00/100)]]*1.16</f>
        <v>6496</v>
      </c>
    </row>
    <row r="566" spans="1:26" ht="30.6" x14ac:dyDescent="0.3">
      <c r="A566" s="373" t="s">
        <v>22</v>
      </c>
      <c r="B566" s="370" t="s">
        <v>23</v>
      </c>
      <c r="C566" s="205" t="s">
        <v>155</v>
      </c>
      <c r="D566" s="179"/>
      <c r="E566" s="373" t="s">
        <v>924</v>
      </c>
      <c r="F566" s="370" t="s">
        <v>23</v>
      </c>
      <c r="G566" s="370"/>
      <c r="H566" s="461" t="s">
        <v>405</v>
      </c>
      <c r="I566" s="408" t="s">
        <v>949</v>
      </c>
      <c r="J566" s="713">
        <v>45041</v>
      </c>
      <c r="K566" s="747">
        <v>0.375</v>
      </c>
      <c r="L566" s="713">
        <v>45041</v>
      </c>
      <c r="M566" s="753">
        <v>0.79166666666666663</v>
      </c>
      <c r="N566" s="468">
        <v>8</v>
      </c>
      <c r="O566" s="184" t="s">
        <v>411</v>
      </c>
      <c r="P566" s="401" t="s">
        <v>923</v>
      </c>
      <c r="Q566" s="746" t="s">
        <v>208</v>
      </c>
      <c r="R566" s="202" t="s">
        <v>40</v>
      </c>
      <c r="S566" s="31" t="s">
        <v>273</v>
      </c>
      <c r="T566" s="31" t="s">
        <v>273</v>
      </c>
      <c r="U566" s="31">
        <f>IFERROR(VLOOKUP(CONCATENATE(Tabla1[[#This Row],[Severidad]]," ",Tabla1[[#This Row],[Complejidad]]),Catalogos!E$120:G$128,3,FALSE),"")</f>
        <v>64</v>
      </c>
      <c r="V566" s="31" t="str">
        <f>IF(Tabla1[[#This Row],[Tiempo solución max (hrs)]]&lt;&gt;"",IF(Tabla1[[#This Row],[Tiempo solución max (hrs)]]&gt;=Tabla1[[#This Row],[Tiempo
(Hrs 00/100)]],"cumple","no cumple"),"")</f>
        <v>cumple</v>
      </c>
      <c r="W566" s="376" t="s">
        <v>962</v>
      </c>
      <c r="X566" s="463" t="str">
        <f t="shared" si="79"/>
        <v>DS</v>
      </c>
      <c r="Y566" s="459" t="str">
        <f>SUBSTITUTE(Tabla1[[#This Row],[Descripción]],CHAR(10),"    I    ")</f>
        <v>Desarrollo de funcionalidad para filtrar subtemas con base a la integridad referencial de BD</v>
      </c>
      <c r="Z566" s="464">
        <f>VLOOKUP(Tabla1[[#This Row],[Perfil]],Catalogos!$B$75:$D$100,3,FALSE)*Tabla1[[#This Row],[Tiempo
(Hrs 00/100)]]*1.16</f>
        <v>6496</v>
      </c>
    </row>
    <row r="567" spans="1:26" ht="30.6" x14ac:dyDescent="0.3">
      <c r="A567" s="373" t="s">
        <v>22</v>
      </c>
      <c r="B567" s="370" t="s">
        <v>23</v>
      </c>
      <c r="C567" s="205" t="s">
        <v>155</v>
      </c>
      <c r="D567" s="179"/>
      <c r="E567" s="373" t="s">
        <v>924</v>
      </c>
      <c r="F567" s="370" t="s">
        <v>23</v>
      </c>
      <c r="G567" s="370"/>
      <c r="H567" s="461" t="s">
        <v>405</v>
      </c>
      <c r="I567" s="408" t="s">
        <v>949</v>
      </c>
      <c r="J567" s="713">
        <v>45042</v>
      </c>
      <c r="K567" s="747">
        <v>0.375</v>
      </c>
      <c r="L567" s="713">
        <v>45042</v>
      </c>
      <c r="M567" s="753">
        <v>0.79166666666666663</v>
      </c>
      <c r="N567" s="468">
        <v>8</v>
      </c>
      <c r="O567" s="184" t="s">
        <v>411</v>
      </c>
      <c r="P567" s="401" t="s">
        <v>923</v>
      </c>
      <c r="Q567" s="746" t="s">
        <v>208</v>
      </c>
      <c r="R567" s="202" t="s">
        <v>40</v>
      </c>
      <c r="S567" s="31" t="s">
        <v>273</v>
      </c>
      <c r="T567" s="31" t="s">
        <v>273</v>
      </c>
      <c r="U567" s="31">
        <f>IFERROR(VLOOKUP(CONCATENATE(Tabla1[[#This Row],[Severidad]]," ",Tabla1[[#This Row],[Complejidad]]),Catalogos!E$120:G$128,3,FALSE),"")</f>
        <v>64</v>
      </c>
      <c r="V567" s="31" t="str">
        <f>IF(Tabla1[[#This Row],[Tiempo solución max (hrs)]]&lt;&gt;"",IF(Tabla1[[#This Row],[Tiempo solución max (hrs)]]&gt;=Tabla1[[#This Row],[Tiempo
(Hrs 00/100)]],"cumple","no cumple"),"")</f>
        <v>cumple</v>
      </c>
      <c r="W567" s="376" t="s">
        <v>962</v>
      </c>
      <c r="X567" s="463" t="str">
        <f t="shared" si="79"/>
        <v>DS</v>
      </c>
      <c r="Y567" s="459" t="str">
        <f>SUBSTITUTE(Tabla1[[#This Row],[Descripción]],CHAR(10),"    I    ")</f>
        <v>Desarrollo de funcionalidad para filtrar subtemas con base a la integridad referencial de BD</v>
      </c>
      <c r="Z567" s="464">
        <f>VLOOKUP(Tabla1[[#This Row],[Perfil]],Catalogos!$B$75:$D$100,3,FALSE)*Tabla1[[#This Row],[Tiempo
(Hrs 00/100)]]*1.16</f>
        <v>6496</v>
      </c>
    </row>
    <row r="568" spans="1:26" ht="30.6" x14ac:dyDescent="0.3">
      <c r="A568" s="373" t="s">
        <v>22</v>
      </c>
      <c r="B568" s="370" t="s">
        <v>23</v>
      </c>
      <c r="C568" s="205" t="s">
        <v>155</v>
      </c>
      <c r="D568" s="179"/>
      <c r="E568" s="373" t="s">
        <v>924</v>
      </c>
      <c r="F568" s="370" t="s">
        <v>23</v>
      </c>
      <c r="G568" s="370"/>
      <c r="H568" s="461" t="s">
        <v>405</v>
      </c>
      <c r="I568" s="408" t="s">
        <v>949</v>
      </c>
      <c r="J568" s="713">
        <v>45043</v>
      </c>
      <c r="K568" s="747">
        <v>0.375</v>
      </c>
      <c r="L568" s="713">
        <v>45043</v>
      </c>
      <c r="M568" s="753">
        <v>0.79166666666666663</v>
      </c>
      <c r="N568" s="468">
        <v>8</v>
      </c>
      <c r="O568" s="184" t="s">
        <v>17</v>
      </c>
      <c r="P568" s="401" t="s">
        <v>923</v>
      </c>
      <c r="Q568" s="746" t="s">
        <v>208</v>
      </c>
      <c r="R568" s="202" t="s">
        <v>40</v>
      </c>
      <c r="S568" s="31" t="s">
        <v>273</v>
      </c>
      <c r="T568" s="31" t="s">
        <v>273</v>
      </c>
      <c r="U568" s="31">
        <f>IFERROR(VLOOKUP(CONCATENATE(Tabla1[[#This Row],[Severidad]]," ",Tabla1[[#This Row],[Complejidad]]),Catalogos!E$120:G$128,3,FALSE),"")</f>
        <v>64</v>
      </c>
      <c r="V568" s="31" t="str">
        <f>IF(Tabla1[[#This Row],[Tiempo solución max (hrs)]]&lt;&gt;"",IF(Tabla1[[#This Row],[Tiempo solución max (hrs)]]&gt;=Tabla1[[#This Row],[Tiempo
(Hrs 00/100)]],"cumple","no cumple"),"")</f>
        <v>cumple</v>
      </c>
      <c r="W568" s="376" t="s">
        <v>962</v>
      </c>
      <c r="X568" s="463" t="str">
        <f t="shared" si="79"/>
        <v>DS</v>
      </c>
      <c r="Y568" s="459" t="str">
        <f>SUBSTITUTE(Tabla1[[#This Row],[Descripción]],CHAR(10),"    I    ")</f>
        <v>Desarrollo de funcionalidad para filtrar subtemas con base a la integridad referencial de BD</v>
      </c>
      <c r="Z568" s="464">
        <f>VLOOKUP(Tabla1[[#This Row],[Perfil]],Catalogos!$B$75:$D$100,3,FALSE)*Tabla1[[#This Row],[Tiempo
(Hrs 00/100)]]*1.16</f>
        <v>6496</v>
      </c>
    </row>
    <row r="569" spans="1:26" ht="15" customHeight="1" x14ac:dyDescent="0.3">
      <c r="A569" s="370" t="s">
        <v>15</v>
      </c>
      <c r="B569" s="370" t="s">
        <v>60</v>
      </c>
      <c r="C569" s="205" t="s">
        <v>49</v>
      </c>
      <c r="D569" s="370"/>
      <c r="E569" s="370" t="s">
        <v>538</v>
      </c>
      <c r="F569" s="370" t="s">
        <v>72</v>
      </c>
      <c r="G569" s="370"/>
      <c r="H569" s="371" t="s">
        <v>539</v>
      </c>
      <c r="I569" s="371" t="s">
        <v>963</v>
      </c>
      <c r="J569" s="369">
        <v>45019</v>
      </c>
      <c r="K569" s="747">
        <v>0.375</v>
      </c>
      <c r="L569" s="369">
        <v>45019</v>
      </c>
      <c r="M569" s="753">
        <v>0.79166666666666663</v>
      </c>
      <c r="N569" s="373">
        <v>8</v>
      </c>
      <c r="O569" s="374" t="s">
        <v>17</v>
      </c>
      <c r="P569" s="375" t="s">
        <v>814</v>
      </c>
      <c r="Q569" s="744" t="s">
        <v>541</v>
      </c>
      <c r="R569" s="202" t="s">
        <v>40</v>
      </c>
      <c r="S569" s="31" t="s">
        <v>273</v>
      </c>
      <c r="T569" s="31" t="s">
        <v>273</v>
      </c>
      <c r="U569" s="31">
        <f>IFERROR(VLOOKUP(CONCATENATE(Tabla1[[#This Row],[Severidad]]," ",Tabla1[[#This Row],[Complejidad]]),Catalogos!E$120:G$128,3,FALSE),"")</f>
        <v>64</v>
      </c>
      <c r="V569" s="31" t="str">
        <f>IF(Tabla1[[#This Row],[Tiempo solución max (hrs)]]&lt;&gt;"",IF(Tabla1[[#This Row],[Tiempo solución max (hrs)]]&gt;=Tabla1[[#This Row],[Tiempo
(Hrs 00/100)]],"cumple","no cumple"),"")</f>
        <v>cumple</v>
      </c>
      <c r="W569" s="376" t="s">
        <v>962</v>
      </c>
      <c r="X569" s="463" t="str">
        <f t="shared" si="78"/>
        <v>SAI</v>
      </c>
      <c r="Y569" s="459" t="str">
        <f>SUBSTITUTE(Tabla1[[#This Row],[Descripción]],CHAR(10),"    I    ")</f>
        <v>Se atenendieron las remediacións correspondientes con: Poor Style: Confusing Naming</v>
      </c>
      <c r="Z569" s="464">
        <f>VLOOKUP(Tabla1[[#This Row],[Perfil]],Catalogos!$B$75:$D$100,3,FALSE)*Tabla1[[#This Row],[Tiempo
(Hrs 00/100)]]*1.16</f>
        <v>6496</v>
      </c>
    </row>
    <row r="570" spans="1:26" ht="15" customHeight="1" x14ac:dyDescent="0.3">
      <c r="A570" s="370" t="s">
        <v>15</v>
      </c>
      <c r="B570" s="370" t="s">
        <v>60</v>
      </c>
      <c r="C570" s="205" t="s">
        <v>49</v>
      </c>
      <c r="D570" s="370"/>
      <c r="E570" s="370" t="s">
        <v>538</v>
      </c>
      <c r="F570" s="370" t="s">
        <v>72</v>
      </c>
      <c r="G570" s="370"/>
      <c r="H570" s="371" t="s">
        <v>812</v>
      </c>
      <c r="I570" s="371" t="s">
        <v>964</v>
      </c>
      <c r="J570" s="369">
        <v>45020</v>
      </c>
      <c r="K570" s="747">
        <v>0.375</v>
      </c>
      <c r="L570" s="369">
        <v>45020</v>
      </c>
      <c r="M570" s="753">
        <v>0.79166666666666663</v>
      </c>
      <c r="N570" s="373">
        <v>8</v>
      </c>
      <c r="O570" s="374" t="s">
        <v>17</v>
      </c>
      <c r="P570" s="375" t="s">
        <v>814</v>
      </c>
      <c r="Q570" s="744" t="s">
        <v>541</v>
      </c>
      <c r="R570" s="202" t="s">
        <v>40</v>
      </c>
      <c r="S570" s="31" t="s">
        <v>273</v>
      </c>
      <c r="T570" s="31" t="s">
        <v>273</v>
      </c>
      <c r="U570" s="31">
        <f>IFERROR(VLOOKUP(CONCATENATE(Tabla1[[#This Row],[Severidad]]," ",Tabla1[[#This Row],[Complejidad]]),Catalogos!E$120:G$128,3,FALSE),"")</f>
        <v>64</v>
      </c>
      <c r="V570" s="31" t="str">
        <f>IF(Tabla1[[#This Row],[Tiempo solución max (hrs)]]&lt;&gt;"",IF(Tabla1[[#This Row],[Tiempo solución max (hrs)]]&gt;=Tabla1[[#This Row],[Tiempo
(Hrs 00/100)]],"cumple","no cumple"),"")</f>
        <v>cumple</v>
      </c>
      <c r="W570" s="376" t="s">
        <v>962</v>
      </c>
      <c r="X570" s="463" t="str">
        <f t="shared" si="78"/>
        <v>SAI</v>
      </c>
      <c r="Y570" s="459" t="str">
        <f>SUBSTITUTE(Tabla1[[#This Row],[Descripción]],CHAR(10),"    I    ")</f>
        <v>Se atenendieron las remediacións correspondientes con: Poor Style: Non-final Public Static Field</v>
      </c>
      <c r="Z570" s="464">
        <f>VLOOKUP(Tabla1[[#This Row],[Perfil]],Catalogos!$B$75:$D$100,3,FALSE)*Tabla1[[#This Row],[Tiempo
(Hrs 00/100)]]*1.16</f>
        <v>6496</v>
      </c>
    </row>
    <row r="571" spans="1:26" ht="15" customHeight="1" x14ac:dyDescent="0.3">
      <c r="A571" s="370" t="s">
        <v>15</v>
      </c>
      <c r="B571" s="370" t="s">
        <v>60</v>
      </c>
      <c r="C571" s="205" t="s">
        <v>49</v>
      </c>
      <c r="D571" s="370"/>
      <c r="E571" s="370" t="s">
        <v>538</v>
      </c>
      <c r="F571" s="370" t="s">
        <v>72</v>
      </c>
      <c r="G571" s="370"/>
      <c r="H571" s="371" t="s">
        <v>812</v>
      </c>
      <c r="I571" s="371" t="s">
        <v>965</v>
      </c>
      <c r="J571" s="369">
        <v>45021</v>
      </c>
      <c r="K571" s="747">
        <v>0.375</v>
      </c>
      <c r="L571" s="369">
        <v>45021</v>
      </c>
      <c r="M571" s="753">
        <v>0.79166666666666663</v>
      </c>
      <c r="N571" s="373">
        <v>8</v>
      </c>
      <c r="O571" s="374" t="s">
        <v>17</v>
      </c>
      <c r="P571" s="375" t="s">
        <v>966</v>
      </c>
      <c r="Q571" s="744" t="s">
        <v>541</v>
      </c>
      <c r="R571" s="202" t="s">
        <v>40</v>
      </c>
      <c r="S571" s="31" t="s">
        <v>273</v>
      </c>
      <c r="T571" s="31" t="s">
        <v>273</v>
      </c>
      <c r="U571" s="31">
        <f>IFERROR(VLOOKUP(CONCATENATE(Tabla1[[#This Row],[Severidad]]," ",Tabla1[[#This Row],[Complejidad]]),Catalogos!E$120:G$128,3,FALSE),"")</f>
        <v>64</v>
      </c>
      <c r="V571" s="31" t="str">
        <f>IF(Tabla1[[#This Row],[Tiempo solución max (hrs)]]&lt;&gt;"",IF(Tabla1[[#This Row],[Tiempo solución max (hrs)]]&gt;=Tabla1[[#This Row],[Tiempo
(Hrs 00/100)]],"cumple","no cumple"),"")</f>
        <v>cumple</v>
      </c>
      <c r="W571" s="376" t="s">
        <v>962</v>
      </c>
      <c r="X571" s="463" t="str">
        <f t="shared" si="78"/>
        <v>SAI</v>
      </c>
      <c r="Y571" s="459" t="str">
        <f>SUBSTITUTE(Tabla1[[#This Row],[Descripción]],CHAR(10),"    I    ")</f>
        <v>se modificó parte del formato ABC pizarras</v>
      </c>
      <c r="Z571" s="464">
        <f>VLOOKUP(Tabla1[[#This Row],[Perfil]],Catalogos!$B$75:$D$100,3,FALSE)*Tabla1[[#This Row],[Tiempo
(Hrs 00/100)]]*1.16</f>
        <v>6496</v>
      </c>
    </row>
    <row r="572" spans="1:26" ht="15" customHeight="1" x14ac:dyDescent="0.3">
      <c r="A572" s="370" t="s">
        <v>15</v>
      </c>
      <c r="B572" s="370" t="s">
        <v>60</v>
      </c>
      <c r="C572" s="205" t="s">
        <v>49</v>
      </c>
      <c r="D572" s="382"/>
      <c r="E572" s="370" t="s">
        <v>538</v>
      </c>
      <c r="F572" s="370" t="s">
        <v>72</v>
      </c>
      <c r="G572" s="370"/>
      <c r="H572" s="371" t="s">
        <v>812</v>
      </c>
      <c r="I572" s="371" t="s">
        <v>967</v>
      </c>
      <c r="J572" s="369">
        <v>45022</v>
      </c>
      <c r="K572" s="747">
        <v>0.375</v>
      </c>
      <c r="L572" s="369">
        <v>45022</v>
      </c>
      <c r="M572" s="753">
        <v>0.79166666666666663</v>
      </c>
      <c r="N572" s="373">
        <v>8</v>
      </c>
      <c r="O572" s="374" t="s">
        <v>17</v>
      </c>
      <c r="P572" s="375" t="s">
        <v>966</v>
      </c>
      <c r="Q572" s="744" t="s">
        <v>541</v>
      </c>
      <c r="R572" s="202" t="s">
        <v>40</v>
      </c>
      <c r="S572" s="31" t="s">
        <v>273</v>
      </c>
      <c r="T572" s="31" t="s">
        <v>273</v>
      </c>
      <c r="U572" s="31">
        <f>IFERROR(VLOOKUP(CONCATENATE(Tabla1[[#This Row],[Severidad]]," ",Tabla1[[#This Row],[Complejidad]]),Catalogos!E$120:G$128,3,FALSE),"")</f>
        <v>64</v>
      </c>
      <c r="V572" s="31" t="str">
        <f>IF(Tabla1[[#This Row],[Tiempo solución max (hrs)]]&lt;&gt;"",IF(Tabla1[[#This Row],[Tiempo solución max (hrs)]]&gt;=Tabla1[[#This Row],[Tiempo
(Hrs 00/100)]],"cumple","no cumple"),"")</f>
        <v>cumple</v>
      </c>
      <c r="W572" s="376" t="s">
        <v>962</v>
      </c>
      <c r="X572" s="463" t="str">
        <f t="shared" si="78"/>
        <v>SAI</v>
      </c>
      <c r="Y572" s="459" t="str">
        <f>SUBSTITUTE(Tabla1[[#This Row],[Descripción]],CHAR(10),"    I    ")</f>
        <v>Se continuó con la modificación de los servicios de guardado para formato ABC</v>
      </c>
      <c r="Z572" s="464">
        <f>VLOOKUP(Tabla1[[#This Row],[Perfil]],Catalogos!$B$75:$D$100,3,FALSE)*Tabla1[[#This Row],[Tiempo
(Hrs 00/100)]]*1.16</f>
        <v>6496</v>
      </c>
    </row>
    <row r="573" spans="1:26" ht="15" customHeight="1" x14ac:dyDescent="0.3">
      <c r="A573" s="370" t="s">
        <v>15</v>
      </c>
      <c r="B573" s="370" t="s">
        <v>60</v>
      </c>
      <c r="C573" s="205" t="s">
        <v>49</v>
      </c>
      <c r="D573" s="382"/>
      <c r="E573" s="370" t="s">
        <v>538</v>
      </c>
      <c r="F573" s="370" t="s">
        <v>72</v>
      </c>
      <c r="G573" s="370"/>
      <c r="H573" s="371" t="s">
        <v>812</v>
      </c>
      <c r="I573" s="371" t="s">
        <v>968</v>
      </c>
      <c r="J573" s="369">
        <v>45023</v>
      </c>
      <c r="K573" s="747">
        <v>0.375</v>
      </c>
      <c r="L573" s="369">
        <v>45023</v>
      </c>
      <c r="M573" s="753">
        <v>0.79166666666666663</v>
      </c>
      <c r="N573" s="210">
        <v>8</v>
      </c>
      <c r="O573" s="374" t="s">
        <v>17</v>
      </c>
      <c r="P573" s="375" t="s">
        <v>966</v>
      </c>
      <c r="Q573" s="744" t="s">
        <v>541</v>
      </c>
      <c r="R573" s="202" t="s">
        <v>40</v>
      </c>
      <c r="S573" s="31" t="s">
        <v>273</v>
      </c>
      <c r="T573" s="31" t="s">
        <v>273</v>
      </c>
      <c r="U573" s="31">
        <f>IFERROR(VLOOKUP(CONCATENATE(Tabla1[[#This Row],[Severidad]]," ",Tabla1[[#This Row],[Complejidad]]),Catalogos!E$120:G$128,3,FALSE),"")</f>
        <v>64</v>
      </c>
      <c r="V573" s="31" t="str">
        <f>IF(Tabla1[[#This Row],[Tiempo solución max (hrs)]]&lt;&gt;"",IF(Tabla1[[#This Row],[Tiempo solución max (hrs)]]&gt;=Tabla1[[#This Row],[Tiempo
(Hrs 00/100)]],"cumple","no cumple"),"")</f>
        <v>cumple</v>
      </c>
      <c r="W573" s="376" t="s">
        <v>962</v>
      </c>
      <c r="X573" s="463" t="str">
        <f t="shared" si="78"/>
        <v>SAI</v>
      </c>
      <c r="Y573" s="459" t="str">
        <f>SUBSTITUTE(Tabla1[[#This Row],[Descripción]],CHAR(10),"    I    ")</f>
        <v>Se continuó con la modificación de los servicios de edición para formato ABC</v>
      </c>
      <c r="Z573" s="464">
        <f>VLOOKUP(Tabla1[[#This Row],[Perfil]],Catalogos!$B$75:$D$100,3,FALSE)*Tabla1[[#This Row],[Tiempo
(Hrs 00/100)]]*1.16</f>
        <v>6496</v>
      </c>
    </row>
    <row r="574" spans="1:26" ht="15" customHeight="1" x14ac:dyDescent="0.3">
      <c r="A574" s="370" t="s">
        <v>15</v>
      </c>
      <c r="B574" s="370" t="s">
        <v>60</v>
      </c>
      <c r="C574" s="205" t="s">
        <v>49</v>
      </c>
      <c r="D574" s="370"/>
      <c r="E574" s="370" t="s">
        <v>538</v>
      </c>
      <c r="F574" s="370" t="s">
        <v>72</v>
      </c>
      <c r="G574" s="370"/>
      <c r="H574" s="371" t="s">
        <v>812</v>
      </c>
      <c r="I574" s="371" t="s">
        <v>969</v>
      </c>
      <c r="J574" s="369">
        <v>45026</v>
      </c>
      <c r="K574" s="747">
        <v>0.375</v>
      </c>
      <c r="L574" s="369">
        <v>45026</v>
      </c>
      <c r="M574" s="753">
        <v>0.79166666666666663</v>
      </c>
      <c r="N574" s="373">
        <v>8</v>
      </c>
      <c r="O574" s="374" t="s">
        <v>17</v>
      </c>
      <c r="P574" s="375" t="s">
        <v>814</v>
      </c>
      <c r="Q574" s="744" t="s">
        <v>541</v>
      </c>
      <c r="R574" s="202" t="s">
        <v>40</v>
      </c>
      <c r="S574" s="31" t="s">
        <v>273</v>
      </c>
      <c r="T574" s="31" t="s">
        <v>273</v>
      </c>
      <c r="U574" s="31">
        <f>IFERROR(VLOOKUP(CONCATENATE(Tabla1[[#This Row],[Severidad]]," ",Tabla1[[#This Row],[Complejidad]]),Catalogos!E$120:G$128,3,FALSE),"")</f>
        <v>64</v>
      </c>
      <c r="V574" s="31" t="str">
        <f>IF(Tabla1[[#This Row],[Tiempo solución max (hrs)]]&lt;&gt;"",IF(Tabla1[[#This Row],[Tiempo solución max (hrs)]]&gt;=Tabla1[[#This Row],[Tiempo
(Hrs 00/100)]],"cumple","no cumple"),"")</f>
        <v>cumple</v>
      </c>
      <c r="W574" s="376" t="s">
        <v>962</v>
      </c>
      <c r="X574" s="463" t="str">
        <f t="shared" si="78"/>
        <v>SAI</v>
      </c>
      <c r="Y574" s="459" t="str">
        <f>SUBSTITUTE(Tabla1[[#This Row],[Descripción]],CHAR(10),"    I    ")</f>
        <v>Se atenendieron las remediacións correspondientes con: Poor Logging Practice: Multiple Loggers</v>
      </c>
      <c r="Z574" s="464">
        <f>VLOOKUP(Tabla1[[#This Row],[Perfil]],Catalogos!$B$75:$D$100,3,FALSE)*Tabla1[[#This Row],[Tiempo
(Hrs 00/100)]]*1.16</f>
        <v>6496</v>
      </c>
    </row>
    <row r="575" spans="1:26" ht="15" customHeight="1" x14ac:dyDescent="0.3">
      <c r="A575" s="370" t="s">
        <v>15</v>
      </c>
      <c r="B575" s="370" t="s">
        <v>60</v>
      </c>
      <c r="C575" s="205" t="s">
        <v>49</v>
      </c>
      <c r="D575" s="370"/>
      <c r="E575" s="370" t="s">
        <v>538</v>
      </c>
      <c r="F575" s="370" t="s">
        <v>72</v>
      </c>
      <c r="G575" s="370"/>
      <c r="H575" s="371" t="s">
        <v>812</v>
      </c>
      <c r="I575" s="371" t="s">
        <v>970</v>
      </c>
      <c r="J575" s="715">
        <v>45027</v>
      </c>
      <c r="K575" s="747">
        <v>0.375</v>
      </c>
      <c r="L575" s="369">
        <v>45027</v>
      </c>
      <c r="M575" s="753">
        <v>0.79166666666666663</v>
      </c>
      <c r="N575" s="373">
        <v>8</v>
      </c>
      <c r="O575" s="374" t="s">
        <v>17</v>
      </c>
      <c r="P575" s="375" t="s">
        <v>814</v>
      </c>
      <c r="Q575" s="744" t="s">
        <v>541</v>
      </c>
      <c r="R575" s="202" t="s">
        <v>40</v>
      </c>
      <c r="S575" s="31" t="s">
        <v>273</v>
      </c>
      <c r="T575" s="31" t="s">
        <v>273</v>
      </c>
      <c r="U575" s="31">
        <f>IFERROR(VLOOKUP(CONCATENATE(Tabla1[[#This Row],[Severidad]]," ",Tabla1[[#This Row],[Complejidad]]),Catalogos!E$120:G$128,3,FALSE),"")</f>
        <v>64</v>
      </c>
      <c r="V575" s="31" t="str">
        <f>IF(Tabla1[[#This Row],[Tiempo solución max (hrs)]]&lt;&gt;"",IF(Tabla1[[#This Row],[Tiempo solución max (hrs)]]&gt;=Tabla1[[#This Row],[Tiempo
(Hrs 00/100)]],"cumple","no cumple"),"")</f>
        <v>cumple</v>
      </c>
      <c r="W575" s="376" t="s">
        <v>962</v>
      </c>
      <c r="X575" s="463" t="str">
        <f t="shared" si="78"/>
        <v>SAI</v>
      </c>
      <c r="Y575" s="459" t="str">
        <f>SUBSTITUTE(Tabla1[[#This Row],[Descripción]],CHAR(10),"    I    ")</f>
        <v>Se atenendieron las remediacións correspondientes con: Poor Logging Practice: Use of a System Output Stream</v>
      </c>
      <c r="Z575" s="464">
        <f>VLOOKUP(Tabla1[[#This Row],[Perfil]],Catalogos!$B$75:$D$100,3,FALSE)*Tabla1[[#This Row],[Tiempo
(Hrs 00/100)]]*1.16</f>
        <v>6496</v>
      </c>
    </row>
    <row r="576" spans="1:26" ht="15" customHeight="1" x14ac:dyDescent="0.3">
      <c r="A576" s="370" t="s">
        <v>15</v>
      </c>
      <c r="B576" s="370" t="s">
        <v>60</v>
      </c>
      <c r="C576" s="205" t="s">
        <v>49</v>
      </c>
      <c r="D576" s="370"/>
      <c r="E576" s="370" t="s">
        <v>538</v>
      </c>
      <c r="F576" s="370" t="s">
        <v>72</v>
      </c>
      <c r="G576" s="370"/>
      <c r="H576" s="371" t="s">
        <v>812</v>
      </c>
      <c r="I576" s="383" t="s">
        <v>830</v>
      </c>
      <c r="J576" s="369">
        <v>45028</v>
      </c>
      <c r="K576" s="747">
        <v>0.375</v>
      </c>
      <c r="L576" s="369">
        <v>45028</v>
      </c>
      <c r="M576" s="753">
        <v>0.79166666666666663</v>
      </c>
      <c r="N576" s="373">
        <v>8</v>
      </c>
      <c r="O576" s="374" t="s">
        <v>17</v>
      </c>
      <c r="P576" s="375" t="s">
        <v>814</v>
      </c>
      <c r="Q576" s="744" t="s">
        <v>541</v>
      </c>
      <c r="R576" s="202" t="s">
        <v>40</v>
      </c>
      <c r="S576" s="31" t="s">
        <v>273</v>
      </c>
      <c r="T576" s="31" t="s">
        <v>273</v>
      </c>
      <c r="U576" s="31">
        <f>IFERROR(VLOOKUP(CONCATENATE(Tabla1[[#This Row],[Severidad]]," ",Tabla1[[#This Row],[Complejidad]]),Catalogos!E$120:G$128,3,FALSE),"")</f>
        <v>64</v>
      </c>
      <c r="V576" s="31" t="str">
        <f>IF(Tabla1[[#This Row],[Tiempo solución max (hrs)]]&lt;&gt;"",IF(Tabla1[[#This Row],[Tiempo solución max (hrs)]]&gt;=Tabla1[[#This Row],[Tiempo
(Hrs 00/100)]],"cumple","no cumple"),"")</f>
        <v>cumple</v>
      </c>
      <c r="W576" s="376" t="s">
        <v>962</v>
      </c>
      <c r="X576" s="463" t="str">
        <f t="shared" si="78"/>
        <v>SAI</v>
      </c>
      <c r="Y576" s="459" t="str">
        <f>SUBSTITUTE(Tabla1[[#This Row],[Descripción]],CHAR(10),"    I    ")</f>
        <v>Se atenendieron las remediacións correspondientes con: Poor Error Handling: Empty Catch Block</v>
      </c>
      <c r="Z576" s="464">
        <f>VLOOKUP(Tabla1[[#This Row],[Perfil]],Catalogos!$B$75:$D$100,3,FALSE)*Tabla1[[#This Row],[Tiempo
(Hrs 00/100)]]*1.16</f>
        <v>6496</v>
      </c>
    </row>
    <row r="577" spans="1:27" ht="36.75" customHeight="1" x14ac:dyDescent="0.3">
      <c r="A577" s="210" t="s">
        <v>15</v>
      </c>
      <c r="B577" s="374" t="s">
        <v>60</v>
      </c>
      <c r="C577" s="205" t="s">
        <v>49</v>
      </c>
      <c r="D577" s="382"/>
      <c r="E577" s="370" t="s">
        <v>538</v>
      </c>
      <c r="F577" s="210" t="s">
        <v>72</v>
      </c>
      <c r="G577" s="370"/>
      <c r="H577" s="371" t="s">
        <v>812</v>
      </c>
      <c r="I577" s="383" t="s">
        <v>971</v>
      </c>
      <c r="J577" s="369">
        <v>45029</v>
      </c>
      <c r="K577" s="747">
        <v>0.375</v>
      </c>
      <c r="L577" s="369">
        <v>45029</v>
      </c>
      <c r="M577" s="753">
        <v>0.79166666666666663</v>
      </c>
      <c r="N577" s="210">
        <v>8</v>
      </c>
      <c r="O577" s="374" t="s">
        <v>17</v>
      </c>
      <c r="P577" s="375" t="s">
        <v>814</v>
      </c>
      <c r="Q577" s="744" t="s">
        <v>541</v>
      </c>
      <c r="R577" s="202" t="s">
        <v>40</v>
      </c>
      <c r="S577" s="31" t="s">
        <v>273</v>
      </c>
      <c r="T577" s="31" t="s">
        <v>273</v>
      </c>
      <c r="U577" s="31">
        <f>IFERROR(VLOOKUP(CONCATENATE(Tabla1[[#This Row],[Severidad]]," ",Tabla1[[#This Row],[Complejidad]]),Catalogos!E$120:G$128,3,FALSE),"")</f>
        <v>64</v>
      </c>
      <c r="V577" s="31" t="str">
        <f>IF(Tabla1[[#This Row],[Tiempo solución max (hrs)]]&lt;&gt;"",IF(Tabla1[[#This Row],[Tiempo solución max (hrs)]]&gt;=Tabla1[[#This Row],[Tiempo
(Hrs 00/100)]],"cumple","no cumple"),"")</f>
        <v>cumple</v>
      </c>
      <c r="W577" s="376" t="s">
        <v>962</v>
      </c>
      <c r="X577" s="463" t="str">
        <f t="shared" si="78"/>
        <v>SAI</v>
      </c>
      <c r="Y577" s="459" t="str">
        <f>SUBSTITUTE(Tabla1[[#This Row],[Descripción]],CHAR(10),"    I    ")</f>
        <v>Se atenendieron las remediacións correspondientes con: System Information Leak: Overly Broad SQL Logging</v>
      </c>
      <c r="Z577" s="464">
        <f>VLOOKUP(Tabla1[[#This Row],[Perfil]],Catalogos!$B$75:$D$100,3,FALSE)*Tabla1[[#This Row],[Tiempo
(Hrs 00/100)]]*1.16</f>
        <v>6496</v>
      </c>
    </row>
    <row r="578" spans="1:27" ht="15" customHeight="1" x14ac:dyDescent="0.3">
      <c r="A578" s="210" t="s">
        <v>15</v>
      </c>
      <c r="B578" s="374" t="s">
        <v>60</v>
      </c>
      <c r="C578" s="205" t="s">
        <v>49</v>
      </c>
      <c r="D578" s="382"/>
      <c r="E578" s="370" t="s">
        <v>538</v>
      </c>
      <c r="F578" s="210" t="s">
        <v>72</v>
      </c>
      <c r="G578" s="370"/>
      <c r="H578" s="371" t="s">
        <v>812</v>
      </c>
      <c r="I578" s="383" t="s">
        <v>972</v>
      </c>
      <c r="J578" s="369">
        <v>45030</v>
      </c>
      <c r="K578" s="747">
        <v>0.375</v>
      </c>
      <c r="L578" s="369">
        <v>45030</v>
      </c>
      <c r="M578" s="753">
        <v>0.79166666666666663</v>
      </c>
      <c r="N578" s="210">
        <v>8</v>
      </c>
      <c r="O578" s="374" t="s">
        <v>17</v>
      </c>
      <c r="P578" s="375" t="s">
        <v>966</v>
      </c>
      <c r="Q578" s="744" t="s">
        <v>541</v>
      </c>
      <c r="R578" s="202" t="s">
        <v>40</v>
      </c>
      <c r="S578" s="31" t="s">
        <v>273</v>
      </c>
      <c r="T578" s="31" t="s">
        <v>273</v>
      </c>
      <c r="U578" s="31">
        <f>IFERROR(VLOOKUP(CONCATENATE(Tabla1[[#This Row],[Severidad]]," ",Tabla1[[#This Row],[Complejidad]]),Catalogos!E$120:G$128,3,FALSE),"")</f>
        <v>64</v>
      </c>
      <c r="V578" s="31" t="str">
        <f>IF(Tabla1[[#This Row],[Tiempo solución max (hrs)]]&lt;&gt;"",IF(Tabla1[[#This Row],[Tiempo solución max (hrs)]]&gt;=Tabla1[[#This Row],[Tiempo
(Hrs 00/100)]],"cumple","no cumple"),"")</f>
        <v>cumple</v>
      </c>
      <c r="W578" s="376" t="s">
        <v>962</v>
      </c>
      <c r="X578" s="463" t="str">
        <f t="shared" si="78"/>
        <v>SAI</v>
      </c>
      <c r="Y578" s="459" t="str">
        <f>SUBSTITUTE(Tabla1[[#This Row],[Descripción]],CHAR(10),"    I    ")</f>
        <v>atencion de requerimiento abc</v>
      </c>
      <c r="Z578" s="464">
        <f>VLOOKUP(Tabla1[[#This Row],[Perfil]],Catalogos!$B$75:$D$100,3,FALSE)*Tabla1[[#This Row],[Tiempo
(Hrs 00/100)]]*1.16</f>
        <v>6496</v>
      </c>
    </row>
    <row r="579" spans="1:27" ht="15" customHeight="1" x14ac:dyDescent="0.3">
      <c r="A579" s="210" t="s">
        <v>15</v>
      </c>
      <c r="B579" s="374" t="s">
        <v>60</v>
      </c>
      <c r="C579" s="205" t="s">
        <v>49</v>
      </c>
      <c r="D579" s="382"/>
      <c r="E579" s="370" t="s">
        <v>538</v>
      </c>
      <c r="F579" s="210" t="s">
        <v>72</v>
      </c>
      <c r="G579" s="370"/>
      <c r="H579" s="371" t="s">
        <v>812</v>
      </c>
      <c r="I579" s="383" t="s">
        <v>973</v>
      </c>
      <c r="J579" s="369">
        <v>45033</v>
      </c>
      <c r="K579" s="747">
        <v>0.375</v>
      </c>
      <c r="L579" s="369">
        <v>45033</v>
      </c>
      <c r="M579" s="753">
        <v>0.79166666666666663</v>
      </c>
      <c r="N579" s="210">
        <v>8</v>
      </c>
      <c r="O579" s="374" t="s">
        <v>17</v>
      </c>
      <c r="P579" s="375" t="s">
        <v>966</v>
      </c>
      <c r="Q579" s="744" t="s">
        <v>541</v>
      </c>
      <c r="R579" s="202" t="s">
        <v>40</v>
      </c>
      <c r="S579" s="31" t="s">
        <v>273</v>
      </c>
      <c r="T579" s="31" t="s">
        <v>273</v>
      </c>
      <c r="U579" s="31">
        <f>IFERROR(VLOOKUP(CONCATENATE(Tabla1[[#This Row],[Severidad]]," ",Tabla1[[#This Row],[Complejidad]]),Catalogos!E$120:G$128,3,FALSE),"")</f>
        <v>64</v>
      </c>
      <c r="V579" s="31" t="str">
        <f>IF(Tabla1[[#This Row],[Tiempo solución max (hrs)]]&lt;&gt;"",IF(Tabla1[[#This Row],[Tiempo solución max (hrs)]]&gt;=Tabla1[[#This Row],[Tiempo
(Hrs 00/100)]],"cumple","no cumple"),"")</f>
        <v>cumple</v>
      </c>
      <c r="W579" s="376" t="s">
        <v>962</v>
      </c>
      <c r="X579" s="463" t="str">
        <f t="shared" si="78"/>
        <v>SAI</v>
      </c>
      <c r="Y579" s="459" t="str">
        <f>SUBSTITUTE(Tabla1[[#This Row],[Descripción]],CHAR(10),"    I    ")</f>
        <v>se revisó flujo de carga de actividades ABC</v>
      </c>
      <c r="Z579" s="464">
        <f>VLOOKUP(Tabla1[[#This Row],[Perfil]],Catalogos!$B$75:$D$100,3,FALSE)*Tabla1[[#This Row],[Tiempo
(Hrs 00/100)]]*1.16</f>
        <v>6496</v>
      </c>
    </row>
    <row r="580" spans="1:27" ht="15" customHeight="1" x14ac:dyDescent="0.3">
      <c r="A580" s="370" t="s">
        <v>15</v>
      </c>
      <c r="B580" s="370" t="s">
        <v>60</v>
      </c>
      <c r="C580" s="418" t="s">
        <v>49</v>
      </c>
      <c r="D580" s="370"/>
      <c r="E580" s="370" t="s">
        <v>538</v>
      </c>
      <c r="F580" s="370" t="s">
        <v>72</v>
      </c>
      <c r="G580" s="370"/>
      <c r="H580" s="371" t="s">
        <v>812</v>
      </c>
      <c r="I580" s="383" t="s">
        <v>974</v>
      </c>
      <c r="J580" s="369">
        <v>45034</v>
      </c>
      <c r="K580" s="747">
        <v>0.375</v>
      </c>
      <c r="L580" s="369">
        <v>45034</v>
      </c>
      <c r="M580" s="753">
        <v>0.79166666666666663</v>
      </c>
      <c r="N580" s="373">
        <v>8</v>
      </c>
      <c r="O580" s="374" t="s">
        <v>17</v>
      </c>
      <c r="P580" s="375" t="s">
        <v>966</v>
      </c>
      <c r="Q580" s="744" t="s">
        <v>541</v>
      </c>
      <c r="R580" s="202" t="s">
        <v>40</v>
      </c>
      <c r="S580" s="31" t="s">
        <v>273</v>
      </c>
      <c r="T580" s="31" t="s">
        <v>273</v>
      </c>
      <c r="U580" s="31">
        <f>IFERROR(VLOOKUP(CONCATENATE(Tabla1[[#This Row],[Severidad]]," ",Tabla1[[#This Row],[Complejidad]]),Catalogos!E$120:G$128,3,FALSE),"")</f>
        <v>64</v>
      </c>
      <c r="V580" s="31" t="str">
        <f>IF(Tabla1[[#This Row],[Tiempo solución max (hrs)]]&lt;&gt;"",IF(Tabla1[[#This Row],[Tiempo solución max (hrs)]]&gt;=Tabla1[[#This Row],[Tiempo
(Hrs 00/100)]],"cumple","no cumple"),"")</f>
        <v>cumple</v>
      </c>
      <c r="W580" s="376" t="s">
        <v>962</v>
      </c>
      <c r="X580" s="463" t="str">
        <f t="shared" si="78"/>
        <v>SAI</v>
      </c>
      <c r="Y580" s="459" t="str">
        <f>SUBSTITUTE(Tabla1[[#This Row],[Descripción]],CHAR(10),"    I    ")</f>
        <v>Modificar y dar seguimiento a las actividades en pizarras</v>
      </c>
      <c r="Z580" s="464">
        <f>VLOOKUP(Tabla1[[#This Row],[Perfil]],Catalogos!$B$75:$D$100,3,FALSE)*Tabla1[[#This Row],[Tiempo
(Hrs 00/100)]]*1.16</f>
        <v>6496</v>
      </c>
    </row>
    <row r="581" spans="1:27" ht="15" customHeight="1" x14ac:dyDescent="0.3">
      <c r="A581" s="210" t="s">
        <v>15</v>
      </c>
      <c r="B581" s="374" t="s">
        <v>60</v>
      </c>
      <c r="C581" s="205" t="s">
        <v>49</v>
      </c>
      <c r="D581" s="382"/>
      <c r="E581" s="370" t="s">
        <v>538</v>
      </c>
      <c r="F581" s="210" t="s">
        <v>72</v>
      </c>
      <c r="G581" s="370"/>
      <c r="H581" s="371" t="s">
        <v>812</v>
      </c>
      <c r="I581" s="383" t="s">
        <v>975</v>
      </c>
      <c r="J581" s="369">
        <v>45035</v>
      </c>
      <c r="K581" s="747">
        <v>0.375</v>
      </c>
      <c r="L581" s="369">
        <v>45035</v>
      </c>
      <c r="M581" s="753">
        <v>0.79166666666666663</v>
      </c>
      <c r="N581" s="210">
        <v>8</v>
      </c>
      <c r="O581" s="374" t="s">
        <v>17</v>
      </c>
      <c r="P581" s="375" t="s">
        <v>966</v>
      </c>
      <c r="Q581" s="744" t="s">
        <v>541</v>
      </c>
      <c r="R581" s="202" t="s">
        <v>40</v>
      </c>
      <c r="S581" s="31" t="s">
        <v>273</v>
      </c>
      <c r="T581" s="31" t="s">
        <v>273</v>
      </c>
      <c r="U581" s="31">
        <f>IFERROR(VLOOKUP(CONCATENATE(Tabla1[[#This Row],[Severidad]]," ",Tabla1[[#This Row],[Complejidad]]),Catalogos!E$120:G$128,3,FALSE),"")</f>
        <v>64</v>
      </c>
      <c r="V581" s="31" t="str">
        <f>IF(Tabla1[[#This Row],[Tiempo solución max (hrs)]]&lt;&gt;"",IF(Tabla1[[#This Row],[Tiempo solución max (hrs)]]&gt;=Tabla1[[#This Row],[Tiempo
(Hrs 00/100)]],"cumple","no cumple"),"")</f>
        <v>cumple</v>
      </c>
      <c r="W581" s="376" t="s">
        <v>962</v>
      </c>
      <c r="X581" s="463" t="str">
        <f t="shared" si="78"/>
        <v>SAI</v>
      </c>
      <c r="Y581" s="459" t="str">
        <f>SUBSTITUTE(Tabla1[[#This Row],[Descripción]],CHAR(10),"    I    ")</f>
        <v>se modifico parte de la carga de actividades abc</v>
      </c>
      <c r="Z581" s="464">
        <f>VLOOKUP(Tabla1[[#This Row],[Perfil]],Catalogos!$B$75:$D$100,3,FALSE)*Tabla1[[#This Row],[Tiempo
(Hrs 00/100)]]*1.16</f>
        <v>6496</v>
      </c>
    </row>
    <row r="582" spans="1:27" ht="15" customHeight="1" x14ac:dyDescent="0.3">
      <c r="A582" s="370" t="s">
        <v>15</v>
      </c>
      <c r="B582" s="370" t="s">
        <v>60</v>
      </c>
      <c r="C582" s="205" t="s">
        <v>49</v>
      </c>
      <c r="D582" s="370"/>
      <c r="E582" s="370" t="s">
        <v>538</v>
      </c>
      <c r="F582" s="370" t="s">
        <v>72</v>
      </c>
      <c r="G582" s="370"/>
      <c r="H582" s="371" t="s">
        <v>812</v>
      </c>
      <c r="I582" s="383" t="s">
        <v>976</v>
      </c>
      <c r="J582" s="369">
        <v>45036</v>
      </c>
      <c r="K582" s="747">
        <v>0.375</v>
      </c>
      <c r="L582" s="369">
        <v>45036</v>
      </c>
      <c r="M582" s="753">
        <v>0.79166666666666663</v>
      </c>
      <c r="N582" s="373">
        <v>8</v>
      </c>
      <c r="O582" s="374" t="s">
        <v>17</v>
      </c>
      <c r="P582" s="375" t="s">
        <v>966</v>
      </c>
      <c r="Q582" s="744" t="s">
        <v>541</v>
      </c>
      <c r="R582" s="202" t="s">
        <v>40</v>
      </c>
      <c r="S582" s="31" t="s">
        <v>273</v>
      </c>
      <c r="T582" s="31" t="s">
        <v>273</v>
      </c>
      <c r="U582" s="31">
        <f>IFERROR(VLOOKUP(CONCATENATE(Tabla1[[#This Row],[Severidad]]," ",Tabla1[[#This Row],[Complejidad]]),Catalogos!E$120:G$128,3,FALSE),"")</f>
        <v>64</v>
      </c>
      <c r="V582" s="31" t="str">
        <f>IF(Tabla1[[#This Row],[Tiempo solución max (hrs)]]&lt;&gt;"",IF(Tabla1[[#This Row],[Tiempo solución max (hrs)]]&gt;=Tabla1[[#This Row],[Tiempo
(Hrs 00/100)]],"cumple","no cumple"),"")</f>
        <v>cumple</v>
      </c>
      <c r="W582" s="376" t="s">
        <v>962</v>
      </c>
      <c r="X582" s="463" t="str">
        <f t="shared" si="78"/>
        <v>SAI</v>
      </c>
      <c r="Y582" s="459" t="str">
        <f>SUBSTITUTE(Tabla1[[#This Row],[Descripción]],CHAR(10),"    I    ")</f>
        <v>atención de requrimiento descritop para edicion de actividades pizarras</v>
      </c>
      <c r="Z582" s="464">
        <f>VLOOKUP(Tabla1[[#This Row],[Perfil]],Catalogos!$B$75:$D$100,3,FALSE)*Tabla1[[#This Row],[Tiempo
(Hrs 00/100)]]*1.16</f>
        <v>6496</v>
      </c>
    </row>
    <row r="583" spans="1:27" ht="15" customHeight="1" x14ac:dyDescent="0.3">
      <c r="A583" s="210" t="s">
        <v>15</v>
      </c>
      <c r="B583" s="374" t="s">
        <v>60</v>
      </c>
      <c r="C583" s="205" t="s">
        <v>49</v>
      </c>
      <c r="D583" s="382"/>
      <c r="E583" s="370" t="s">
        <v>538</v>
      </c>
      <c r="F583" s="210" t="s">
        <v>72</v>
      </c>
      <c r="G583" s="370"/>
      <c r="H583" s="419" t="s">
        <v>812</v>
      </c>
      <c r="I583" s="420" t="s">
        <v>977</v>
      </c>
      <c r="J583" s="369">
        <v>45037</v>
      </c>
      <c r="K583" s="747">
        <v>0.375</v>
      </c>
      <c r="L583" s="369">
        <v>45037</v>
      </c>
      <c r="M583" s="753">
        <v>0.79166666666666663</v>
      </c>
      <c r="N583" s="210">
        <v>8</v>
      </c>
      <c r="O583" s="374" t="s">
        <v>17</v>
      </c>
      <c r="P583" s="375" t="s">
        <v>966</v>
      </c>
      <c r="Q583" s="744" t="s">
        <v>541</v>
      </c>
      <c r="R583" s="202" t="s">
        <v>40</v>
      </c>
      <c r="S583" s="31" t="s">
        <v>273</v>
      </c>
      <c r="T583" s="31" t="s">
        <v>273</v>
      </c>
      <c r="U583" s="31">
        <f>IFERROR(VLOOKUP(CONCATENATE(Tabla1[[#This Row],[Severidad]]," ",Tabla1[[#This Row],[Complejidad]]),Catalogos!E$120:G$128,3,FALSE),"")</f>
        <v>64</v>
      </c>
      <c r="V583" s="31" t="str">
        <f>IF(Tabla1[[#This Row],[Tiempo solución max (hrs)]]&lt;&gt;"",IF(Tabla1[[#This Row],[Tiempo solución max (hrs)]]&gt;=Tabla1[[#This Row],[Tiempo
(Hrs 00/100)]],"cumple","no cumple"),"")</f>
        <v>cumple</v>
      </c>
      <c r="W583" s="376" t="s">
        <v>962</v>
      </c>
      <c r="X583" s="463" t="str">
        <f t="shared" si="78"/>
        <v>SAI</v>
      </c>
      <c r="Y583" s="459" t="str">
        <f>SUBSTITUTE(Tabla1[[#This Row],[Descripción]],CHAR(10),"    I    ")</f>
        <v>Se atenendieron las remediacións correspondientes con seguimiento de actividades en formatos en pizarras</v>
      </c>
      <c r="Z583" s="464">
        <f>VLOOKUP(Tabla1[[#This Row],[Perfil]],Catalogos!$B$75:$D$100,3,FALSE)*Tabla1[[#This Row],[Tiempo
(Hrs 00/100)]]*1.16</f>
        <v>6496</v>
      </c>
    </row>
    <row r="584" spans="1:27" ht="15" customHeight="1" x14ac:dyDescent="0.3">
      <c r="A584" s="210" t="s">
        <v>15</v>
      </c>
      <c r="B584" s="374" t="s">
        <v>60</v>
      </c>
      <c r="C584" s="205" t="s">
        <v>49</v>
      </c>
      <c r="D584" s="382"/>
      <c r="E584" s="370" t="s">
        <v>538</v>
      </c>
      <c r="F584" s="210" t="s">
        <v>72</v>
      </c>
      <c r="G584" s="370"/>
      <c r="H584" s="371" t="s">
        <v>812</v>
      </c>
      <c r="I584" s="383" t="s">
        <v>978</v>
      </c>
      <c r="J584" s="369">
        <v>45040</v>
      </c>
      <c r="K584" s="747">
        <v>0.375</v>
      </c>
      <c r="L584" s="369">
        <v>45040</v>
      </c>
      <c r="M584" s="753">
        <v>0.79166666666666663</v>
      </c>
      <c r="N584" s="210">
        <v>8</v>
      </c>
      <c r="O584" s="374" t="s">
        <v>17</v>
      </c>
      <c r="P584" s="375" t="s">
        <v>966</v>
      </c>
      <c r="Q584" s="744" t="s">
        <v>541</v>
      </c>
      <c r="R584" s="202" t="s">
        <v>40</v>
      </c>
      <c r="S584" s="31" t="s">
        <v>273</v>
      </c>
      <c r="T584" s="31" t="s">
        <v>273</v>
      </c>
      <c r="U584" s="31">
        <f>IFERROR(VLOOKUP(CONCATENATE(Tabla1[[#This Row],[Severidad]]," ",Tabla1[[#This Row],[Complejidad]]),Catalogos!E$120:G$128,3,FALSE),"")</f>
        <v>64</v>
      </c>
      <c r="V584" s="31" t="str">
        <f>IF(Tabla1[[#This Row],[Tiempo solución max (hrs)]]&lt;&gt;"",IF(Tabla1[[#This Row],[Tiempo solución max (hrs)]]&gt;=Tabla1[[#This Row],[Tiempo
(Hrs 00/100)]],"cumple","no cumple"),"")</f>
        <v>cumple</v>
      </c>
      <c r="W584" s="376" t="s">
        <v>962</v>
      </c>
      <c r="X584" s="463" t="str">
        <f t="shared" si="78"/>
        <v>SAI</v>
      </c>
      <c r="Y584" s="459" t="str">
        <f>SUBSTITUTE(Tabla1[[#This Row],[Descripción]],CHAR(10),"    I    ")</f>
        <v>Se atenendieron las remediacións correspondientes con seguimiento de actividades en pizarras</v>
      </c>
      <c r="Z584" s="464">
        <f>VLOOKUP(Tabla1[[#This Row],[Perfil]],Catalogos!$B$75:$D$100,3,FALSE)*Tabla1[[#This Row],[Tiempo
(Hrs 00/100)]]*1.16</f>
        <v>6496</v>
      </c>
    </row>
    <row r="585" spans="1:27" ht="15" customHeight="1" x14ac:dyDescent="0.3">
      <c r="A585" s="210" t="s">
        <v>15</v>
      </c>
      <c r="B585" s="374" t="s">
        <v>60</v>
      </c>
      <c r="C585" s="205" t="s">
        <v>49</v>
      </c>
      <c r="D585" s="382"/>
      <c r="E585" s="370" t="s">
        <v>538</v>
      </c>
      <c r="F585" s="210" t="s">
        <v>72</v>
      </c>
      <c r="G585" s="370"/>
      <c r="H585" s="371" t="s">
        <v>812</v>
      </c>
      <c r="I585" s="383" t="s">
        <v>964</v>
      </c>
      <c r="J585" s="369">
        <v>45041</v>
      </c>
      <c r="K585" s="747">
        <v>0.375</v>
      </c>
      <c r="L585" s="369">
        <v>45041</v>
      </c>
      <c r="M585" s="753">
        <v>0.79166666666666663</v>
      </c>
      <c r="N585" s="210">
        <v>8</v>
      </c>
      <c r="O585" s="374" t="s">
        <v>17</v>
      </c>
      <c r="P585" s="375" t="s">
        <v>814</v>
      </c>
      <c r="Q585" s="744" t="s">
        <v>541</v>
      </c>
      <c r="R585" s="202" t="s">
        <v>40</v>
      </c>
      <c r="S585" s="31" t="s">
        <v>273</v>
      </c>
      <c r="T585" s="31" t="s">
        <v>273</v>
      </c>
      <c r="U585" s="31">
        <f>IFERROR(VLOOKUP(CONCATENATE(Tabla1[[#This Row],[Severidad]]," ",Tabla1[[#This Row],[Complejidad]]),Catalogos!E$120:G$128,3,FALSE),"")</f>
        <v>64</v>
      </c>
      <c r="V585" s="31" t="str">
        <f>IF(Tabla1[[#This Row],[Tiempo solución max (hrs)]]&lt;&gt;"",IF(Tabla1[[#This Row],[Tiempo solución max (hrs)]]&gt;=Tabla1[[#This Row],[Tiempo
(Hrs 00/100)]],"cumple","no cumple"),"")</f>
        <v>cumple</v>
      </c>
      <c r="W585" s="376" t="s">
        <v>962</v>
      </c>
      <c r="X585" s="463" t="str">
        <f>IF(C585&lt;&gt;"",C585,D585)</f>
        <v>SAI</v>
      </c>
      <c r="Y585" s="459" t="str">
        <f>SUBSTITUTE(Tabla1[[#This Row],[Descripción]],CHAR(10),"    I    ")</f>
        <v>Se atenendieron las remediacións correspondientes con: Poor Style: Non-final Public Static Field</v>
      </c>
      <c r="Z585" s="464">
        <f>VLOOKUP(Tabla1[[#This Row],[Perfil]],Catalogos!$B$75:$D$100,3,FALSE)*Tabla1[[#This Row],[Tiempo
(Hrs 00/100)]]*1.16</f>
        <v>6496</v>
      </c>
    </row>
    <row r="586" spans="1:27" ht="15" customHeight="1" x14ac:dyDescent="0.3">
      <c r="A586" s="210" t="s">
        <v>15</v>
      </c>
      <c r="B586" s="374" t="s">
        <v>60</v>
      </c>
      <c r="C586" s="205" t="s">
        <v>49</v>
      </c>
      <c r="D586" s="382"/>
      <c r="E586" s="370" t="s">
        <v>538</v>
      </c>
      <c r="F586" s="210" t="s">
        <v>72</v>
      </c>
      <c r="G586" s="370"/>
      <c r="H586" s="371" t="s">
        <v>812</v>
      </c>
      <c r="I586" s="383" t="s">
        <v>963</v>
      </c>
      <c r="J586" s="369">
        <v>45042</v>
      </c>
      <c r="K586" s="747">
        <v>0.375</v>
      </c>
      <c r="L586" s="369">
        <v>45042</v>
      </c>
      <c r="M586" s="753">
        <v>0.79166666666666663</v>
      </c>
      <c r="N586" s="210">
        <v>8</v>
      </c>
      <c r="O586" s="374" t="s">
        <v>17</v>
      </c>
      <c r="P586" s="375" t="s">
        <v>814</v>
      </c>
      <c r="Q586" s="744" t="s">
        <v>541</v>
      </c>
      <c r="R586" s="202" t="s">
        <v>40</v>
      </c>
      <c r="S586" s="31" t="s">
        <v>273</v>
      </c>
      <c r="T586" s="31" t="s">
        <v>273</v>
      </c>
      <c r="U586" s="31">
        <f>IFERROR(VLOOKUP(CONCATENATE(Tabla1[[#This Row],[Severidad]]," ",Tabla1[[#This Row],[Complejidad]]),Catalogos!E$120:G$128,3,FALSE),"")</f>
        <v>64</v>
      </c>
      <c r="V586" s="31" t="str">
        <f>IF(Tabla1[[#This Row],[Tiempo solución max (hrs)]]&lt;&gt;"",IF(Tabla1[[#This Row],[Tiempo solución max (hrs)]]&gt;=Tabla1[[#This Row],[Tiempo
(Hrs 00/100)]],"cumple","no cumple"),"")</f>
        <v>cumple</v>
      </c>
      <c r="W586" s="376" t="s">
        <v>962</v>
      </c>
      <c r="X586" s="463" t="str">
        <f>IF(C586&lt;&gt;"",C586,D586)</f>
        <v>SAI</v>
      </c>
      <c r="Y586" s="459" t="str">
        <f>SUBSTITUTE(Tabla1[[#This Row],[Descripción]],CHAR(10),"    I    ")</f>
        <v>Se atenendieron las remediacións correspondientes con: Poor Style: Confusing Naming</v>
      </c>
      <c r="Z586" s="464">
        <f>VLOOKUP(Tabla1[[#This Row],[Perfil]],Catalogos!$B$75:$D$100,3,FALSE)*Tabla1[[#This Row],[Tiempo
(Hrs 00/100)]]*1.16</f>
        <v>6496</v>
      </c>
    </row>
    <row r="587" spans="1:27" ht="15" customHeight="1" x14ac:dyDescent="0.3">
      <c r="A587" s="210" t="s">
        <v>15</v>
      </c>
      <c r="B587" s="374" t="s">
        <v>60</v>
      </c>
      <c r="C587" s="205" t="s">
        <v>49</v>
      </c>
      <c r="D587" s="382"/>
      <c r="E587" s="370" t="s">
        <v>538</v>
      </c>
      <c r="F587" s="210" t="s">
        <v>72</v>
      </c>
      <c r="G587" s="370"/>
      <c r="H587" s="371" t="s">
        <v>812</v>
      </c>
      <c r="I587" s="383" t="s">
        <v>964</v>
      </c>
      <c r="J587" s="369">
        <v>45043</v>
      </c>
      <c r="K587" s="747">
        <v>0.375</v>
      </c>
      <c r="L587" s="369">
        <v>45043</v>
      </c>
      <c r="M587" s="753">
        <v>0.79166666666666663</v>
      </c>
      <c r="N587" s="210">
        <v>8</v>
      </c>
      <c r="O587" s="374" t="s">
        <v>17</v>
      </c>
      <c r="P587" s="375" t="s">
        <v>814</v>
      </c>
      <c r="Q587" s="744" t="s">
        <v>541</v>
      </c>
      <c r="R587" s="202" t="s">
        <v>40</v>
      </c>
      <c r="S587" s="31" t="s">
        <v>273</v>
      </c>
      <c r="T587" s="31" t="s">
        <v>273</v>
      </c>
      <c r="U587" s="31">
        <f>IFERROR(VLOOKUP(CONCATENATE(Tabla1[[#This Row],[Severidad]]," ",Tabla1[[#This Row],[Complejidad]]),Catalogos!E$120:G$128,3,FALSE),"")</f>
        <v>64</v>
      </c>
      <c r="V587" s="31" t="str">
        <f>IF(Tabla1[[#This Row],[Tiempo solución max (hrs)]]&lt;&gt;"",IF(Tabla1[[#This Row],[Tiempo solución max (hrs)]]&gt;=Tabla1[[#This Row],[Tiempo
(Hrs 00/100)]],"cumple","no cumple"),"")</f>
        <v>cumple</v>
      </c>
      <c r="W587" s="376" t="s">
        <v>962</v>
      </c>
      <c r="X587" s="463" t="str">
        <f t="shared" si="78"/>
        <v>SAI</v>
      </c>
      <c r="Y587" s="459" t="str">
        <f>SUBSTITUTE(Tabla1[[#This Row],[Descripción]],CHAR(10),"    I    ")</f>
        <v>Se atenendieron las remediacións correspondientes con: Poor Style: Non-final Public Static Field</v>
      </c>
      <c r="Z587" s="464">
        <f>VLOOKUP(Tabla1[[#This Row],[Perfil]],Catalogos!$B$75:$D$100,3,FALSE)*Tabla1[[#This Row],[Tiempo
(Hrs 00/100)]]*1.16</f>
        <v>6496</v>
      </c>
    </row>
    <row r="588" spans="1:27" ht="15" customHeight="1" x14ac:dyDescent="0.3">
      <c r="A588" s="210" t="s">
        <v>15</v>
      </c>
      <c r="B588" s="374" t="s">
        <v>60</v>
      </c>
      <c r="C588" s="205" t="s">
        <v>49</v>
      </c>
      <c r="D588" s="382"/>
      <c r="E588" s="370" t="s">
        <v>538</v>
      </c>
      <c r="F588" s="210" t="s">
        <v>72</v>
      </c>
      <c r="G588" s="370"/>
      <c r="H588" s="371" t="s">
        <v>812</v>
      </c>
      <c r="I588" s="383" t="s">
        <v>979</v>
      </c>
      <c r="J588" s="369">
        <v>45044</v>
      </c>
      <c r="K588" s="747">
        <v>0.375</v>
      </c>
      <c r="L588" s="369">
        <v>45044</v>
      </c>
      <c r="M588" s="753">
        <v>0.79166666666666663</v>
      </c>
      <c r="N588" s="210">
        <v>8</v>
      </c>
      <c r="O588" s="374" t="s">
        <v>17</v>
      </c>
      <c r="P588" s="375" t="s">
        <v>814</v>
      </c>
      <c r="Q588" s="744" t="s">
        <v>541</v>
      </c>
      <c r="R588" s="202" t="s">
        <v>40</v>
      </c>
      <c r="S588" s="31" t="s">
        <v>273</v>
      </c>
      <c r="T588" s="31" t="s">
        <v>273</v>
      </c>
      <c r="U588" s="31">
        <f>IFERROR(VLOOKUP(CONCATENATE(Tabla1[[#This Row],[Severidad]]," ",Tabla1[[#This Row],[Complejidad]]),Catalogos!E$120:G$128,3,FALSE),"")</f>
        <v>64</v>
      </c>
      <c r="V588" s="31" t="str">
        <f>IF(Tabla1[[#This Row],[Tiempo solución max (hrs)]]&lt;&gt;"",IF(Tabla1[[#This Row],[Tiempo solución max (hrs)]]&gt;=Tabla1[[#This Row],[Tiempo
(Hrs 00/100)]],"cumple","no cumple"),"")</f>
        <v>cumple</v>
      </c>
      <c r="W588" s="376" t="s">
        <v>962</v>
      </c>
      <c r="X588" s="463" t="str">
        <f t="shared" si="78"/>
        <v>SAI</v>
      </c>
      <c r="Y588" s="459" t="str">
        <f>SUBSTITUTE(Tabla1[[#This Row],[Descripción]],CHAR(10),"    I    ")</f>
        <v>Se atenendieron las remediacións correspondientes con: Poor Style: Value Never Read</v>
      </c>
      <c r="Z588" s="464">
        <f>VLOOKUP(Tabla1[[#This Row],[Perfil]],Catalogos!$B$75:$D$100,3,FALSE)*Tabla1[[#This Row],[Tiempo
(Hrs 00/100)]]*1.16</f>
        <v>6496</v>
      </c>
    </row>
    <row r="589" spans="1:27" ht="15" customHeight="1" x14ac:dyDescent="0.3">
      <c r="A589" s="224" t="s">
        <v>22</v>
      </c>
      <c r="B589" s="224" t="s">
        <v>23</v>
      </c>
      <c r="C589" s="224" t="s">
        <v>45</v>
      </c>
      <c r="D589" s="224"/>
      <c r="E589" s="224" t="s">
        <v>554</v>
      </c>
      <c r="F589" s="224" t="s">
        <v>23</v>
      </c>
      <c r="G589" s="224"/>
      <c r="H589" s="431" t="s">
        <v>980</v>
      </c>
      <c r="I589" s="431" t="s">
        <v>981</v>
      </c>
      <c r="J589" s="469">
        <v>45026</v>
      </c>
      <c r="K589" s="747">
        <v>0.375</v>
      </c>
      <c r="L589" s="469">
        <v>45026</v>
      </c>
      <c r="M589" s="470">
        <v>0.54166666666666663</v>
      </c>
      <c r="N589" s="224">
        <v>4</v>
      </c>
      <c r="O589" s="422" t="s">
        <v>17</v>
      </c>
      <c r="P589" s="193" t="s">
        <v>557</v>
      </c>
      <c r="Q589" s="752" t="s">
        <v>558</v>
      </c>
      <c r="R589" s="423" t="s">
        <v>263</v>
      </c>
      <c r="S589" s="31" t="s">
        <v>273</v>
      </c>
      <c r="T589" s="31" t="s">
        <v>273</v>
      </c>
      <c r="U589" s="31">
        <f>IFERROR(VLOOKUP(CONCATENATE(Tabla1[[#This Row],[Severidad]]," ",Tabla1[[#This Row],[Complejidad]]),Catalogos!E$120:G$128,3,FALSE),"")</f>
        <v>64</v>
      </c>
      <c r="V589" s="31" t="str">
        <f>IF(Tabla1[[#This Row],[Tiempo solución max (hrs)]]&lt;&gt;"",IF(Tabla1[[#This Row],[Tiempo solución max (hrs)]]&gt;=Tabla1[[#This Row],[Tiempo
(Hrs 00/100)]],"cumple","no cumple"),"")</f>
        <v>cumple</v>
      </c>
      <c r="W589" s="376" t="s">
        <v>962</v>
      </c>
      <c r="X589" s="463" t="str">
        <f>IF(C589&lt;&gt;"",C589,D589)</f>
        <v>SPD</v>
      </c>
      <c r="Y589" s="459" t="str">
        <f>SUBSTITUTE(Tabla1[[#This Row],[Descripción]],CHAR(10),"    I    ")</f>
        <v>Analisis de la clase preexistente en java para encontrar sus similares en dart</v>
      </c>
      <c r="Z589" s="464">
        <f>VLOOKUP(Tabla1[[#This Row],[Perfil]],Catalogos!$B$75:$D$100,3,FALSE)*Tabla1[[#This Row],[Tiempo
(Hrs 00/100)]]*1.16</f>
        <v>2320</v>
      </c>
    </row>
    <row r="590" spans="1:27" ht="27.75" customHeight="1" x14ac:dyDescent="0.3">
      <c r="A590" s="471" t="s">
        <v>22</v>
      </c>
      <c r="B590" s="471" t="s">
        <v>23</v>
      </c>
      <c r="C590" s="471" t="s">
        <v>45</v>
      </c>
      <c r="D590" s="471"/>
      <c r="E590" s="471" t="s">
        <v>554</v>
      </c>
      <c r="F590" s="471" t="s">
        <v>23</v>
      </c>
      <c r="G590" s="471"/>
      <c r="H590" s="431" t="s">
        <v>980</v>
      </c>
      <c r="I590" s="472" t="s">
        <v>982</v>
      </c>
      <c r="J590" s="469">
        <v>45026</v>
      </c>
      <c r="K590" s="470">
        <v>0.54166666666666663</v>
      </c>
      <c r="L590" s="469">
        <v>45026</v>
      </c>
      <c r="M590" s="473">
        <v>0.79166666666666663</v>
      </c>
      <c r="N590" s="471">
        <v>4</v>
      </c>
      <c r="O590" s="474" t="s">
        <v>17</v>
      </c>
      <c r="P590" s="425" t="s">
        <v>557</v>
      </c>
      <c r="Q590" s="786" t="s">
        <v>558</v>
      </c>
      <c r="R590" s="475" t="s">
        <v>263</v>
      </c>
      <c r="S590" s="31" t="s">
        <v>273</v>
      </c>
      <c r="T590" s="31" t="s">
        <v>273</v>
      </c>
      <c r="U590" s="31">
        <f>IFERROR(VLOOKUP(CONCATENATE(Tabla1[[#This Row],[Severidad]]," ",Tabla1[[#This Row],[Complejidad]]),Catalogos!E$120:G$128,3,FALSE),"")</f>
        <v>64</v>
      </c>
      <c r="V590" s="31" t="str">
        <f>IF(Tabla1[[#This Row],[Tiempo solución max (hrs)]]&lt;&gt;"",IF(Tabla1[[#This Row],[Tiempo solución max (hrs)]]&gt;=Tabla1[[#This Row],[Tiempo
(Hrs 00/100)]],"cumple","no cumple"),"")</f>
        <v>cumple</v>
      </c>
      <c r="W590" s="376" t="s">
        <v>962</v>
      </c>
      <c r="X590" s="476" t="str">
        <f>IF(C590&lt;&gt;"",C590,D590)</f>
        <v>SPD</v>
      </c>
      <c r="Y590" s="477" t="str">
        <f>SUBSTITUTE(Tabla1[[#This Row],[Descripción]],CHAR(10),"    I    ")</f>
        <v>Adaptar logica de cifrado a la logica interna de la app en flutter</v>
      </c>
      <c r="Z590" s="478">
        <f>VLOOKUP(Tabla1[[#This Row],[Perfil]],Catalogos!$B$75:$D$100,3,FALSE)*Tabla1[[#This Row],[Tiempo
(Hrs 00/100)]]*1.16</f>
        <v>2320</v>
      </c>
      <c r="AA590" s="477"/>
    </row>
    <row r="591" spans="1:27" ht="43.5" customHeight="1" x14ac:dyDescent="0.3">
      <c r="A591" s="471" t="s">
        <v>22</v>
      </c>
      <c r="B591" s="471" t="s">
        <v>23</v>
      </c>
      <c r="C591" s="471" t="s">
        <v>45</v>
      </c>
      <c r="D591" s="471"/>
      <c r="E591" s="471" t="s">
        <v>554</v>
      </c>
      <c r="F591" s="471" t="s">
        <v>23</v>
      </c>
      <c r="G591" s="224"/>
      <c r="H591" s="472" t="s">
        <v>983</v>
      </c>
      <c r="I591" s="431" t="s">
        <v>984</v>
      </c>
      <c r="J591" s="469">
        <v>45027</v>
      </c>
      <c r="K591" s="747">
        <v>0.375</v>
      </c>
      <c r="L591" s="469">
        <v>45027</v>
      </c>
      <c r="M591" s="470">
        <v>0.54166666666666663</v>
      </c>
      <c r="N591" s="224">
        <v>4</v>
      </c>
      <c r="O591" s="474" t="s">
        <v>17</v>
      </c>
      <c r="P591" s="425" t="s">
        <v>557</v>
      </c>
      <c r="Q591" s="786" t="s">
        <v>558</v>
      </c>
      <c r="R591" s="475" t="s">
        <v>263</v>
      </c>
      <c r="S591" s="31" t="s">
        <v>273</v>
      </c>
      <c r="T591" s="31" t="s">
        <v>273</v>
      </c>
      <c r="U591" s="31">
        <f>IFERROR(VLOOKUP(CONCATENATE(Tabla1[[#This Row],[Severidad]]," ",Tabla1[[#This Row],[Complejidad]]),Catalogos!E$120:G$128,3,FALSE),"")</f>
        <v>64</v>
      </c>
      <c r="V591" s="31" t="str">
        <f>IF(Tabla1[[#This Row],[Tiempo solución max (hrs)]]&lt;&gt;"",IF(Tabla1[[#This Row],[Tiempo solución max (hrs)]]&gt;=Tabla1[[#This Row],[Tiempo
(Hrs 00/100)]],"cumple","no cumple"),"")</f>
        <v>cumple</v>
      </c>
      <c r="W591" s="376" t="s">
        <v>962</v>
      </c>
      <c r="X591" s="476" t="str">
        <f>IF(C591&lt;&gt;"",C591,D591)</f>
        <v>SPD</v>
      </c>
      <c r="Y591" s="477" t="str">
        <f>SUBSTITUTE(Tabla1[[#This Row],[Descripción]],CHAR(10),"    I    ")</f>
        <v>Se crea metodo para decifrar el texto anterior en base64</v>
      </c>
      <c r="Z591" s="478">
        <f>VLOOKUP(Tabla1[[#This Row],[Perfil]],Catalogos!$B$75:$D$100,3,FALSE)*Tabla1[[#This Row],[Tiempo
(Hrs 00/100)]]*1.16</f>
        <v>2320</v>
      </c>
      <c r="AA591" s="477"/>
    </row>
    <row r="592" spans="1:27" ht="15" customHeight="1" x14ac:dyDescent="0.3">
      <c r="A592" s="471" t="s">
        <v>22</v>
      </c>
      <c r="B592" s="471" t="s">
        <v>23</v>
      </c>
      <c r="C592" s="471" t="s">
        <v>45</v>
      </c>
      <c r="D592" s="471"/>
      <c r="E592" s="471" t="s">
        <v>554</v>
      </c>
      <c r="F592" s="471" t="s">
        <v>23</v>
      </c>
      <c r="G592" s="224"/>
      <c r="H592" s="472" t="s">
        <v>983</v>
      </c>
      <c r="I592" s="431" t="s">
        <v>985</v>
      </c>
      <c r="J592" s="469">
        <v>45027</v>
      </c>
      <c r="K592" s="470">
        <v>0.54166666666666663</v>
      </c>
      <c r="L592" s="469">
        <v>45027</v>
      </c>
      <c r="M592" s="473">
        <v>0.79166666666666663</v>
      </c>
      <c r="N592" s="224">
        <v>4</v>
      </c>
      <c r="O592" s="474" t="s">
        <v>17</v>
      </c>
      <c r="P592" s="425" t="s">
        <v>557</v>
      </c>
      <c r="Q592" s="786" t="s">
        <v>558</v>
      </c>
      <c r="R592" s="475" t="s">
        <v>263</v>
      </c>
      <c r="S592" s="31" t="s">
        <v>273</v>
      </c>
      <c r="T592" s="31" t="s">
        <v>273</v>
      </c>
      <c r="U592" s="31">
        <f>IFERROR(VLOOKUP(CONCATENATE(Tabla1[[#This Row],[Severidad]]," ",Tabla1[[#This Row],[Complejidad]]),Catalogos!E$120:G$128,3,FALSE),"")</f>
        <v>64</v>
      </c>
      <c r="V592" s="31" t="str">
        <f>IF(Tabla1[[#This Row],[Tiempo solución max (hrs)]]&lt;&gt;"",IF(Tabla1[[#This Row],[Tiempo solución max (hrs)]]&gt;=Tabla1[[#This Row],[Tiempo
(Hrs 00/100)]],"cumple","no cumple"),"")</f>
        <v>cumple</v>
      </c>
      <c r="W592" s="376" t="s">
        <v>962</v>
      </c>
      <c r="X592" s="476" t="str">
        <f>IF(C592&lt;&gt;"",C592,D592)</f>
        <v>SPD</v>
      </c>
      <c r="Y592" s="477" t="str">
        <f>SUBSTITUTE(Tabla1[[#This Row],[Descripción]],CHAR(10),"    I    ")</f>
        <v>Correccion en las llaves de cifrado para obtener los mismo resultados en cada decifrado (Investigacion de metodos similares)</v>
      </c>
      <c r="Z592" s="478">
        <f>VLOOKUP(Tabla1[[#This Row],[Perfil]],Catalogos!$B$75:$D$100,3,FALSE)*Tabla1[[#This Row],[Tiempo
(Hrs 00/100)]]*1.16</f>
        <v>2320</v>
      </c>
      <c r="AA592" s="477"/>
    </row>
    <row r="593" spans="1:27" ht="15" customHeight="1" x14ac:dyDescent="0.3">
      <c r="A593" s="471" t="s">
        <v>22</v>
      </c>
      <c r="B593" s="471" t="s">
        <v>23</v>
      </c>
      <c r="C593" s="471" t="s">
        <v>45</v>
      </c>
      <c r="D593" s="471"/>
      <c r="E593" s="471" t="s">
        <v>554</v>
      </c>
      <c r="F593" s="471" t="s">
        <v>23</v>
      </c>
      <c r="G593" s="224"/>
      <c r="H593" s="431" t="s">
        <v>986</v>
      </c>
      <c r="I593" s="431" t="s">
        <v>987</v>
      </c>
      <c r="J593" s="469">
        <v>45028</v>
      </c>
      <c r="K593" s="747">
        <v>0.375</v>
      </c>
      <c r="L593" s="469">
        <v>45028</v>
      </c>
      <c r="M593" s="470">
        <v>0.45833333333333331</v>
      </c>
      <c r="N593" s="224">
        <v>2</v>
      </c>
      <c r="O593" s="474" t="s">
        <v>17</v>
      </c>
      <c r="P593" s="425" t="s">
        <v>557</v>
      </c>
      <c r="Q593" s="786" t="s">
        <v>558</v>
      </c>
      <c r="R593" s="475" t="s">
        <v>263</v>
      </c>
      <c r="S593" s="31" t="s">
        <v>273</v>
      </c>
      <c r="T593" s="31" t="s">
        <v>273</v>
      </c>
      <c r="U593" s="31">
        <f>IFERROR(VLOOKUP(CONCATENATE(Tabla1[[#This Row],[Severidad]]," ",Tabla1[[#This Row],[Complejidad]]),Catalogos!E$120:G$128,3,FALSE),"")</f>
        <v>64</v>
      </c>
      <c r="V593" s="31" t="str">
        <f>IF(Tabla1[[#This Row],[Tiempo solución max (hrs)]]&lt;&gt;"",IF(Tabla1[[#This Row],[Tiempo solución max (hrs)]]&gt;=Tabla1[[#This Row],[Tiempo
(Hrs 00/100)]],"cumple","no cumple"),"")</f>
        <v>cumple</v>
      </c>
      <c r="W593" s="376" t="s">
        <v>962</v>
      </c>
      <c r="X593" s="476" t="str">
        <f>IF(C593&lt;&gt;"",C593,D593)</f>
        <v>SPD</v>
      </c>
      <c r="Y593" s="477" t="str">
        <f>SUBSTITUTE(Tabla1[[#This Row],[Descripción]],CHAR(10),"    I    ")</f>
        <v>Se crea estructura base para el alta de quejas</v>
      </c>
      <c r="Z593" s="478">
        <f>VLOOKUP(Tabla1[[#This Row],[Perfil]],Catalogos!$B$75:$D$100,3,FALSE)*Tabla1[[#This Row],[Tiempo
(Hrs 00/100)]]*1.16</f>
        <v>1160</v>
      </c>
      <c r="AA593" s="477"/>
    </row>
    <row r="594" spans="1:27" ht="15" customHeight="1" x14ac:dyDescent="0.3">
      <c r="A594" s="471" t="s">
        <v>22</v>
      </c>
      <c r="B594" s="471" t="s">
        <v>23</v>
      </c>
      <c r="C594" s="471" t="s">
        <v>45</v>
      </c>
      <c r="D594" s="471"/>
      <c r="E594" s="471" t="s">
        <v>554</v>
      </c>
      <c r="F594" s="471" t="s">
        <v>23</v>
      </c>
      <c r="G594" s="224"/>
      <c r="H594" s="431" t="s">
        <v>986</v>
      </c>
      <c r="I594" s="431" t="s">
        <v>988</v>
      </c>
      <c r="J594" s="469">
        <v>45028</v>
      </c>
      <c r="K594" s="470">
        <v>0.45833333333333331</v>
      </c>
      <c r="L594" s="469">
        <v>45028</v>
      </c>
      <c r="M594" s="473">
        <v>0.79166666666666663</v>
      </c>
      <c r="N594" s="224">
        <v>6</v>
      </c>
      <c r="O594" s="474" t="s">
        <v>17</v>
      </c>
      <c r="P594" s="425" t="s">
        <v>557</v>
      </c>
      <c r="Q594" s="786" t="s">
        <v>558</v>
      </c>
      <c r="R594" s="475" t="s">
        <v>263</v>
      </c>
      <c r="S594" s="31" t="s">
        <v>273</v>
      </c>
      <c r="T594" s="31" t="s">
        <v>273</v>
      </c>
      <c r="U594" s="31">
        <f>IFERROR(VLOOKUP(CONCATENATE(Tabla1[[#This Row],[Severidad]]," ",Tabla1[[#This Row],[Complejidad]]),Catalogos!E$120:G$128,3,FALSE),"")</f>
        <v>64</v>
      </c>
      <c r="V594" s="31" t="str">
        <f>IF(Tabla1[[#This Row],[Tiempo solución max (hrs)]]&lt;&gt;"",IF(Tabla1[[#This Row],[Tiempo solución max (hrs)]]&gt;=Tabla1[[#This Row],[Tiempo
(Hrs 00/100)]],"cumple","no cumple"),"")</f>
        <v>cumple</v>
      </c>
      <c r="W594" s="376" t="s">
        <v>962</v>
      </c>
      <c r="X594" s="463" t="str">
        <f t="shared" si="78"/>
        <v>SPD</v>
      </c>
      <c r="Y594" s="459" t="str">
        <f>SUBSTITUTE(Tabla1[[#This Row],[Descripción]],CHAR(10),"    I    ")</f>
        <v>Se incorporan widgets necesarios para capturar la queja</v>
      </c>
      <c r="Z594" s="464">
        <f>VLOOKUP(Tabla1[[#This Row],[Perfil]],Catalogos!$B$75:$D$100,3,FALSE)*Tabla1[[#This Row],[Tiempo
(Hrs 00/100)]]*1.16</f>
        <v>3479.9999999999995</v>
      </c>
    </row>
    <row r="595" spans="1:27" ht="15" customHeight="1" x14ac:dyDescent="0.3">
      <c r="A595" s="471" t="s">
        <v>22</v>
      </c>
      <c r="B595" s="471" t="s">
        <v>23</v>
      </c>
      <c r="C595" s="471" t="s">
        <v>45</v>
      </c>
      <c r="D595" s="471"/>
      <c r="E595" s="471" t="s">
        <v>554</v>
      </c>
      <c r="F595" s="471" t="s">
        <v>23</v>
      </c>
      <c r="G595" s="224"/>
      <c r="H595" s="431" t="s">
        <v>986</v>
      </c>
      <c r="I595" s="431" t="s">
        <v>989</v>
      </c>
      <c r="J595" s="469">
        <v>45029</v>
      </c>
      <c r="K595" s="747">
        <v>0.375</v>
      </c>
      <c r="L595" s="469">
        <v>45029</v>
      </c>
      <c r="M595" s="470">
        <v>0.54166666666666663</v>
      </c>
      <c r="N595" s="224">
        <v>4</v>
      </c>
      <c r="O595" s="474" t="s">
        <v>17</v>
      </c>
      <c r="P595" s="425" t="s">
        <v>557</v>
      </c>
      <c r="Q595" s="786" t="s">
        <v>558</v>
      </c>
      <c r="R595" s="475" t="s">
        <v>263</v>
      </c>
      <c r="S595" s="31" t="s">
        <v>273</v>
      </c>
      <c r="T595" s="31" t="s">
        <v>273</v>
      </c>
      <c r="U595" s="31">
        <f>IFERROR(VLOOKUP(CONCATENATE(Tabla1[[#This Row],[Severidad]]," ",Tabla1[[#This Row],[Complejidad]]),Catalogos!E$120:G$128,3,FALSE),"")</f>
        <v>64</v>
      </c>
      <c r="V595" s="31" t="str">
        <f>IF(Tabla1[[#This Row],[Tiempo solución max (hrs)]]&lt;&gt;"",IF(Tabla1[[#This Row],[Tiempo solución max (hrs)]]&gt;=Tabla1[[#This Row],[Tiempo
(Hrs 00/100)]],"cumple","no cumple"),"")</f>
        <v>cumple</v>
      </c>
      <c r="W595" s="376" t="s">
        <v>962</v>
      </c>
      <c r="X595" s="463" t="str">
        <f t="shared" si="78"/>
        <v>SPD</v>
      </c>
      <c r="Y595" s="459" t="str">
        <f>SUBSTITUTE(Tabla1[[#This Row],[Descripción]],CHAR(10),"    I    ")</f>
        <v>Se agrega stepper y division de pasos</v>
      </c>
      <c r="Z595" s="464">
        <f>VLOOKUP(Tabla1[[#This Row],[Perfil]],Catalogos!$B$75:$D$100,3,FALSE)*Tabla1[[#This Row],[Tiempo
(Hrs 00/100)]]*1.16</f>
        <v>2320</v>
      </c>
    </row>
    <row r="596" spans="1:27" ht="15" customHeight="1" x14ac:dyDescent="0.3">
      <c r="A596" s="471" t="s">
        <v>22</v>
      </c>
      <c r="B596" s="471" t="s">
        <v>23</v>
      </c>
      <c r="C596" s="471" t="s">
        <v>45</v>
      </c>
      <c r="D596" s="471"/>
      <c r="E596" s="471" t="s">
        <v>554</v>
      </c>
      <c r="F596" s="471" t="s">
        <v>23</v>
      </c>
      <c r="G596" s="224"/>
      <c r="H596" s="431" t="s">
        <v>986</v>
      </c>
      <c r="I596" s="431" t="s">
        <v>990</v>
      </c>
      <c r="J596" s="469">
        <v>45029</v>
      </c>
      <c r="K596" s="470">
        <v>0.54166666666666663</v>
      </c>
      <c r="L596" s="469">
        <v>45029</v>
      </c>
      <c r="M596" s="473">
        <v>0.79166666666666663</v>
      </c>
      <c r="N596" s="224">
        <v>4</v>
      </c>
      <c r="O596" s="474" t="s">
        <v>17</v>
      </c>
      <c r="P596" s="425" t="s">
        <v>557</v>
      </c>
      <c r="Q596" s="786" t="s">
        <v>558</v>
      </c>
      <c r="R596" s="475" t="s">
        <v>263</v>
      </c>
      <c r="S596" s="31" t="s">
        <v>273</v>
      </c>
      <c r="T596" s="31" t="s">
        <v>273</v>
      </c>
      <c r="U596" s="31">
        <f>IFERROR(VLOOKUP(CONCATENATE(Tabla1[[#This Row],[Severidad]]," ",Tabla1[[#This Row],[Complejidad]]),Catalogos!E$120:G$128,3,FALSE),"")</f>
        <v>64</v>
      </c>
      <c r="V596" s="31" t="str">
        <f>IF(Tabla1[[#This Row],[Tiempo solución max (hrs)]]&lt;&gt;"",IF(Tabla1[[#This Row],[Tiempo solución max (hrs)]]&gt;=Tabla1[[#This Row],[Tiempo
(Hrs 00/100)]],"cumple","no cumple"),"")</f>
        <v>cumple</v>
      </c>
      <c r="W596" s="376" t="s">
        <v>962</v>
      </c>
      <c r="X596" s="463" t="str">
        <f t="shared" si="78"/>
        <v>SPD</v>
      </c>
      <c r="Y596" s="459" t="str">
        <f>SUBSTITUTE(Tabla1[[#This Row],[Descripción]],CHAR(10),"    I    ")</f>
        <v>Se agregan validaciones. campos y peticiones</v>
      </c>
      <c r="Z596" s="464">
        <f>VLOOKUP(Tabla1[[#This Row],[Perfil]],Catalogos!$B$75:$D$100,3,FALSE)*Tabla1[[#This Row],[Tiempo
(Hrs 00/100)]]*1.16</f>
        <v>2320</v>
      </c>
    </row>
    <row r="597" spans="1:27" ht="15" customHeight="1" x14ac:dyDescent="0.3">
      <c r="A597" s="471" t="s">
        <v>22</v>
      </c>
      <c r="B597" s="471" t="s">
        <v>23</v>
      </c>
      <c r="C597" s="471" t="s">
        <v>45</v>
      </c>
      <c r="D597" s="471"/>
      <c r="E597" s="471" t="s">
        <v>554</v>
      </c>
      <c r="F597" s="471" t="s">
        <v>23</v>
      </c>
      <c r="G597" s="224"/>
      <c r="H597" s="431" t="s">
        <v>986</v>
      </c>
      <c r="I597" s="431" t="s">
        <v>991</v>
      </c>
      <c r="J597" s="469">
        <v>45030</v>
      </c>
      <c r="K597" s="747">
        <v>0.375</v>
      </c>
      <c r="L597" s="469">
        <v>45030</v>
      </c>
      <c r="M597" s="470">
        <v>0.54166666666666663</v>
      </c>
      <c r="N597" s="224">
        <v>4</v>
      </c>
      <c r="O597" s="474" t="s">
        <v>17</v>
      </c>
      <c r="P597" s="425" t="s">
        <v>557</v>
      </c>
      <c r="Q597" s="786" t="s">
        <v>558</v>
      </c>
      <c r="R597" s="475" t="s">
        <v>263</v>
      </c>
      <c r="S597" s="31" t="s">
        <v>273</v>
      </c>
      <c r="T597" s="31" t="s">
        <v>273</v>
      </c>
      <c r="U597" s="31">
        <f>IFERROR(VLOOKUP(CONCATENATE(Tabla1[[#This Row],[Severidad]]," ",Tabla1[[#This Row],[Complejidad]]),Catalogos!E$120:G$128,3,FALSE),"")</f>
        <v>64</v>
      </c>
      <c r="V597" s="31" t="str">
        <f>IF(Tabla1[[#This Row],[Tiempo solución max (hrs)]]&lt;&gt;"",IF(Tabla1[[#This Row],[Tiempo solución max (hrs)]]&gt;=Tabla1[[#This Row],[Tiempo
(Hrs 00/100)]],"cumple","no cumple"),"")</f>
        <v>cumple</v>
      </c>
      <c r="W597" s="376" t="s">
        <v>962</v>
      </c>
      <c r="X597" s="463" t="str">
        <f t="shared" si="78"/>
        <v>SPD</v>
      </c>
      <c r="Y597" s="459" t="str">
        <f>SUBSTITUTE(Tabla1[[#This Row],[Descripción]],CHAR(10),"    I    ")</f>
        <v>Se incorpora servicio para precarga de datos de la queja</v>
      </c>
      <c r="Z597" s="464">
        <f>VLOOKUP(Tabla1[[#This Row],[Perfil]],Catalogos!$B$75:$D$100,3,FALSE)*Tabla1[[#This Row],[Tiempo
(Hrs 00/100)]]*1.16</f>
        <v>2320</v>
      </c>
    </row>
    <row r="598" spans="1:27" ht="15" customHeight="1" thickBot="1" x14ac:dyDescent="0.35">
      <c r="A598" s="479" t="s">
        <v>22</v>
      </c>
      <c r="B598" s="479" t="s">
        <v>23</v>
      </c>
      <c r="C598" s="479" t="s">
        <v>45</v>
      </c>
      <c r="D598" s="479"/>
      <c r="E598" s="479" t="s">
        <v>554</v>
      </c>
      <c r="F598" s="479" t="s">
        <v>23</v>
      </c>
      <c r="G598" s="479"/>
      <c r="H598" s="480" t="s">
        <v>986</v>
      </c>
      <c r="I598" s="480" t="s">
        <v>992</v>
      </c>
      <c r="J598" s="481">
        <v>45030</v>
      </c>
      <c r="K598" s="470">
        <v>0.54166666666666663</v>
      </c>
      <c r="L598" s="481">
        <v>45030</v>
      </c>
      <c r="M598" s="473">
        <v>0.79166666666666663</v>
      </c>
      <c r="N598" s="479">
        <v>4</v>
      </c>
      <c r="O598" s="482" t="s">
        <v>17</v>
      </c>
      <c r="P598" s="483" t="s">
        <v>557</v>
      </c>
      <c r="Q598" s="787" t="s">
        <v>558</v>
      </c>
      <c r="R598" s="484" t="s">
        <v>263</v>
      </c>
      <c r="S598" s="31" t="s">
        <v>273</v>
      </c>
      <c r="T598" s="31" t="s">
        <v>273</v>
      </c>
      <c r="U598" s="31">
        <f>IFERROR(VLOOKUP(CONCATENATE(Tabla1[[#This Row],[Severidad]]," ",Tabla1[[#This Row],[Complejidad]]),Catalogos!E$120:G$128,3,FALSE),"")</f>
        <v>64</v>
      </c>
      <c r="V598" s="31" t="str">
        <f>IF(Tabla1[[#This Row],[Tiempo solución max (hrs)]]&lt;&gt;"",IF(Tabla1[[#This Row],[Tiempo solución max (hrs)]]&gt;=Tabla1[[#This Row],[Tiempo
(Hrs 00/100)]],"cumple","no cumple"),"")</f>
        <v>cumple</v>
      </c>
      <c r="W598" s="376" t="s">
        <v>962</v>
      </c>
      <c r="X598" s="463" t="str">
        <f t="shared" si="78"/>
        <v>SPD</v>
      </c>
      <c r="Y598" s="459" t="str">
        <f>SUBSTITUTE(Tabla1[[#This Row],[Descripción]],CHAR(10),"    I    ")</f>
        <v>Se incorpora servicio para alta de queja</v>
      </c>
      <c r="Z598" s="464">
        <f>VLOOKUP(Tabla1[[#This Row],[Perfil]],Catalogos!$B$75:$D$100,3,FALSE)*Tabla1[[#This Row],[Tiempo
(Hrs 00/100)]]*1.16</f>
        <v>2320</v>
      </c>
    </row>
    <row r="599" spans="1:27" ht="30.75" customHeight="1" thickTop="1" x14ac:dyDescent="0.3">
      <c r="A599" s="224" t="s">
        <v>22</v>
      </c>
      <c r="B599" s="224" t="s">
        <v>23</v>
      </c>
      <c r="C599" s="224" t="s">
        <v>45</v>
      </c>
      <c r="D599" s="224"/>
      <c r="E599" s="224" t="s">
        <v>554</v>
      </c>
      <c r="F599" s="224" t="s">
        <v>23</v>
      </c>
      <c r="G599" s="485"/>
      <c r="H599" s="486" t="s">
        <v>993</v>
      </c>
      <c r="I599" s="486" t="s">
        <v>994</v>
      </c>
      <c r="J599" s="487">
        <v>45033</v>
      </c>
      <c r="K599" s="747">
        <v>0.375</v>
      </c>
      <c r="L599" s="487">
        <v>45033</v>
      </c>
      <c r="M599" s="470">
        <v>0.54166666666666663</v>
      </c>
      <c r="N599" s="485">
        <v>4</v>
      </c>
      <c r="O599" s="224" t="s">
        <v>17</v>
      </c>
      <c r="P599" s="425" t="s">
        <v>557</v>
      </c>
      <c r="Q599" s="788" t="s">
        <v>558</v>
      </c>
      <c r="R599" s="224" t="s">
        <v>263</v>
      </c>
      <c r="S599" s="31" t="s">
        <v>273</v>
      </c>
      <c r="T599" s="31" t="s">
        <v>273</v>
      </c>
      <c r="U599" s="31">
        <f>IFERROR(VLOOKUP(CONCATENATE(Tabla1[[#This Row],[Severidad]]," ",Tabla1[[#This Row],[Complejidad]]),Catalogos!E$120:G$128,3,FALSE),"")</f>
        <v>64</v>
      </c>
      <c r="V599" s="31" t="str">
        <f>IF(Tabla1[[#This Row],[Tiempo solución max (hrs)]]&lt;&gt;"",IF(Tabla1[[#This Row],[Tiempo solución max (hrs)]]&gt;=Tabla1[[#This Row],[Tiempo
(Hrs 00/100)]],"cumple","no cumple"),"")</f>
        <v>cumple</v>
      </c>
      <c r="W599" s="376" t="s">
        <v>962</v>
      </c>
      <c r="X599" s="463" t="str">
        <f t="shared" si="78"/>
        <v>SPD</v>
      </c>
      <c r="Y599" s="459" t="str">
        <f>SUBSTITUTE(Tabla1[[#This Row],[Descripción]],CHAR(10),"    I    ")</f>
        <v>Pantalla de prouesta para listar los folios generados a partir del registro de solicitudes</v>
      </c>
      <c r="Z599" s="464">
        <f>VLOOKUP(Tabla1[[#This Row],[Perfil]],Catalogos!$B$75:$D$100,3,FALSE)*Tabla1[[#This Row],[Tiempo
(Hrs 00/100)]]*1.16</f>
        <v>2320</v>
      </c>
    </row>
    <row r="600" spans="1:27" ht="30.75" customHeight="1" x14ac:dyDescent="0.3">
      <c r="A600" s="224" t="s">
        <v>22</v>
      </c>
      <c r="B600" s="224" t="s">
        <v>23</v>
      </c>
      <c r="C600" s="224" t="s">
        <v>45</v>
      </c>
      <c r="D600" s="224"/>
      <c r="E600" s="224" t="s">
        <v>554</v>
      </c>
      <c r="F600" s="224" t="s">
        <v>23</v>
      </c>
      <c r="G600" s="224"/>
      <c r="H600" s="486" t="s">
        <v>995</v>
      </c>
      <c r="I600" s="486" t="s">
        <v>996</v>
      </c>
      <c r="J600" s="487">
        <v>45033</v>
      </c>
      <c r="K600" s="470">
        <v>0.54166666666666663</v>
      </c>
      <c r="L600" s="487">
        <v>45033</v>
      </c>
      <c r="M600" s="488">
        <v>0.70833333333333337</v>
      </c>
      <c r="N600" s="224">
        <v>2</v>
      </c>
      <c r="O600" s="224" t="s">
        <v>17</v>
      </c>
      <c r="P600" s="425" t="s">
        <v>557</v>
      </c>
      <c r="Q600" s="788" t="s">
        <v>558</v>
      </c>
      <c r="R600" s="224" t="s">
        <v>263</v>
      </c>
      <c r="S600" s="31" t="s">
        <v>273</v>
      </c>
      <c r="T600" s="31" t="s">
        <v>273</v>
      </c>
      <c r="U600" s="31">
        <f>IFERROR(VLOOKUP(CONCATENATE(Tabla1[[#This Row],[Severidad]]," ",Tabla1[[#This Row],[Complejidad]]),Catalogos!E$120:G$128,3,FALSE),"")</f>
        <v>64</v>
      </c>
      <c r="V600" s="31" t="str">
        <f>IF(Tabla1[[#This Row],[Tiempo solución max (hrs)]]&lt;&gt;"",IF(Tabla1[[#This Row],[Tiempo solución max (hrs)]]&gt;=Tabla1[[#This Row],[Tiempo
(Hrs 00/100)]],"cumple","no cumple"),"")</f>
        <v>cumple</v>
      </c>
      <c r="W600" s="376" t="s">
        <v>962</v>
      </c>
      <c r="X600" s="377" t="str">
        <f>IF(C600&lt;&gt;"",C600,D600)</f>
        <v>SPD</v>
      </c>
      <c r="Y600" t="str">
        <f>SUBSTITUTE(Tabla1[[#This Row],[Descripción]],CHAR(10),"    I    ")</f>
        <v>Se genera clase, peticion y campos para listar los datos personales de perfil</v>
      </c>
      <c r="Z600" s="142">
        <f>VLOOKUP(Tabla1[[#This Row],[Perfil]],Catalogos!$B$75:$D$100,3,FALSE)*Tabla1[[#This Row],[Tiempo
(Hrs 00/100)]]*1.16</f>
        <v>1160</v>
      </c>
    </row>
    <row r="601" spans="1:27" ht="30.75" customHeight="1" x14ac:dyDescent="0.3">
      <c r="A601" s="224" t="s">
        <v>22</v>
      </c>
      <c r="B601" s="224" t="s">
        <v>23</v>
      </c>
      <c r="C601" s="224" t="s">
        <v>45</v>
      </c>
      <c r="D601" s="224"/>
      <c r="E601" s="224" t="s">
        <v>554</v>
      </c>
      <c r="F601" s="224" t="s">
        <v>23</v>
      </c>
      <c r="G601" s="224"/>
      <c r="H601" s="486" t="s">
        <v>995</v>
      </c>
      <c r="I601" s="486" t="s">
        <v>997</v>
      </c>
      <c r="J601" s="487">
        <v>45033</v>
      </c>
      <c r="K601" s="488">
        <v>0.70833333333333337</v>
      </c>
      <c r="L601" s="487">
        <v>45033</v>
      </c>
      <c r="M601" s="488">
        <v>0.79166666666666663</v>
      </c>
      <c r="N601" s="224">
        <v>2</v>
      </c>
      <c r="O601" s="224" t="s">
        <v>17</v>
      </c>
      <c r="P601" s="425" t="s">
        <v>557</v>
      </c>
      <c r="Q601" s="788" t="s">
        <v>558</v>
      </c>
      <c r="R601" s="224" t="s">
        <v>263</v>
      </c>
      <c r="S601" s="31" t="s">
        <v>273</v>
      </c>
      <c r="T601" s="31" t="s">
        <v>273</v>
      </c>
      <c r="U601" s="31">
        <f>IFERROR(VLOOKUP(CONCATENATE(Tabla1[[#This Row],[Severidad]]," ",Tabla1[[#This Row],[Complejidad]]),Catalogos!E$120:G$128,3,FALSE),"")</f>
        <v>64</v>
      </c>
      <c r="V601" s="31" t="str">
        <f>IF(Tabla1[[#This Row],[Tiempo solución max (hrs)]]&lt;&gt;"",IF(Tabla1[[#This Row],[Tiempo solución max (hrs)]]&gt;=Tabla1[[#This Row],[Tiempo
(Hrs 00/100)]],"cumple","no cumple"),"")</f>
        <v>cumple</v>
      </c>
      <c r="W601" s="376" t="s">
        <v>962</v>
      </c>
      <c r="X601" s="377" t="str">
        <f>IF(C601&lt;&gt;"",C601,D601)</f>
        <v>SPD</v>
      </c>
      <c r="Y601" t="str">
        <f>SUBSTITUTE(Tabla1[[#This Row],[Descripción]],CHAR(10),"    I    ")</f>
        <v>Se genera clase, peticion y campos para listar los datos personales de direccion</v>
      </c>
      <c r="Z601" s="142">
        <f>VLOOKUP(Tabla1[[#This Row],[Perfil]],Catalogos!$B$75:$D$100,3,FALSE)*Tabla1[[#This Row],[Tiempo
(Hrs 00/100)]]*1.16</f>
        <v>1160</v>
      </c>
    </row>
    <row r="602" spans="1:27" ht="30.75" customHeight="1" x14ac:dyDescent="0.3">
      <c r="A602" s="224" t="s">
        <v>22</v>
      </c>
      <c r="B602" s="224" t="s">
        <v>23</v>
      </c>
      <c r="C602" s="224" t="s">
        <v>45</v>
      </c>
      <c r="D602" s="224"/>
      <c r="E602" s="224" t="s">
        <v>554</v>
      </c>
      <c r="F602" s="224" t="s">
        <v>23</v>
      </c>
      <c r="G602" s="224"/>
      <c r="H602" s="486" t="s">
        <v>998</v>
      </c>
      <c r="I602" s="486" t="s">
        <v>999</v>
      </c>
      <c r="J602" s="487">
        <v>45034</v>
      </c>
      <c r="K602" s="747">
        <v>0.375</v>
      </c>
      <c r="L602" s="487">
        <v>45034</v>
      </c>
      <c r="M602" s="470">
        <v>0.54166666666666663</v>
      </c>
      <c r="N602" s="224">
        <v>4</v>
      </c>
      <c r="O602" s="224" t="s">
        <v>17</v>
      </c>
      <c r="P602" s="425" t="s">
        <v>557</v>
      </c>
      <c r="Q602" s="788" t="s">
        <v>558</v>
      </c>
      <c r="R602" s="224" t="s">
        <v>263</v>
      </c>
      <c r="S602" s="31" t="s">
        <v>273</v>
      </c>
      <c r="T602" s="31" t="s">
        <v>273</v>
      </c>
      <c r="U602" s="31">
        <f>IFERROR(VLOOKUP(CONCATENATE(Tabla1[[#This Row],[Severidad]]," ",Tabla1[[#This Row],[Complejidad]]),Catalogos!E$120:G$128,3,FALSE),"")</f>
        <v>64</v>
      </c>
      <c r="V602" s="31" t="str">
        <f>IF(Tabla1[[#This Row],[Tiempo solución max (hrs)]]&lt;&gt;"",IF(Tabla1[[#This Row],[Tiempo solución max (hrs)]]&gt;=Tabla1[[#This Row],[Tiempo
(Hrs 00/100)]],"cumple","no cumple"),"")</f>
        <v>cumple</v>
      </c>
      <c r="W602" s="376" t="s">
        <v>962</v>
      </c>
      <c r="X602" s="377" t="str">
        <f>IF(C602&lt;&gt;"",C602,D602)</f>
        <v>SPD</v>
      </c>
      <c r="Y602" t="str">
        <f>SUBSTITUTE(Tabla1[[#This Row],[Descripción]],CHAR(10),"    I    ")</f>
        <v>Se cambian mensajes de alerta cuando no hay conexion y se incorporan excepciones personalizadas de acuerdo al codigo http devuelto</v>
      </c>
      <c r="Z602" s="142">
        <f>VLOOKUP(Tabla1[[#This Row],[Perfil]],Catalogos!$B$75:$D$100,3,FALSE)*Tabla1[[#This Row],[Tiempo
(Hrs 00/100)]]*1.16</f>
        <v>2320</v>
      </c>
    </row>
    <row r="603" spans="1:27" ht="30.75" customHeight="1" x14ac:dyDescent="0.3">
      <c r="A603" s="224" t="s">
        <v>22</v>
      </c>
      <c r="B603" s="224" t="s">
        <v>23</v>
      </c>
      <c r="C603" s="224" t="s">
        <v>45</v>
      </c>
      <c r="D603" s="224"/>
      <c r="E603" s="224" t="s">
        <v>554</v>
      </c>
      <c r="F603" s="224" t="s">
        <v>23</v>
      </c>
      <c r="G603" s="224"/>
      <c r="H603" s="486" t="s">
        <v>995</v>
      </c>
      <c r="I603" s="486" t="s">
        <v>1000</v>
      </c>
      <c r="J603" s="487">
        <v>45034</v>
      </c>
      <c r="K603" s="470">
        <v>0.54166666666666663</v>
      </c>
      <c r="L603" s="487">
        <v>45034</v>
      </c>
      <c r="M603" s="473">
        <v>0.79166666666666663</v>
      </c>
      <c r="N603" s="224">
        <v>4</v>
      </c>
      <c r="O603" s="224" t="s">
        <v>17</v>
      </c>
      <c r="P603" s="425" t="s">
        <v>557</v>
      </c>
      <c r="Q603" s="788" t="s">
        <v>558</v>
      </c>
      <c r="R603" s="224" t="s">
        <v>263</v>
      </c>
      <c r="S603" s="31" t="s">
        <v>273</v>
      </c>
      <c r="T603" s="31" t="s">
        <v>273</v>
      </c>
      <c r="U603" s="31">
        <f>IFERROR(VLOOKUP(CONCATENATE(Tabla1[[#This Row],[Severidad]]," ",Tabla1[[#This Row],[Complejidad]]),Catalogos!E$120:G$128,3,FALSE),"")</f>
        <v>64</v>
      </c>
      <c r="V603" s="31" t="str">
        <f>IF(Tabla1[[#This Row],[Tiempo solución max (hrs)]]&lt;&gt;"",IF(Tabla1[[#This Row],[Tiempo solución max (hrs)]]&gt;=Tabla1[[#This Row],[Tiempo
(Hrs 00/100)]],"cumple","no cumple"),"")</f>
        <v>cumple</v>
      </c>
      <c r="W603" s="376" t="s">
        <v>962</v>
      </c>
      <c r="X603" s="377" t="str">
        <f>IF(C603&lt;&gt;"",C603,D603)</f>
        <v>SPD</v>
      </c>
      <c r="Y603" t="str">
        <f>SUBSTITUTE(Tabla1[[#This Row],[Descripción]],CHAR(10),"    I    ")</f>
        <v>Se genera clase, peticion y campos para listar los datos personales de estadisticos</v>
      </c>
      <c r="Z603" s="142">
        <f>VLOOKUP(Tabla1[[#This Row],[Perfil]],Catalogos!$B$75:$D$100,3,FALSE)*Tabla1[[#This Row],[Tiempo
(Hrs 00/100)]]*1.16</f>
        <v>2320</v>
      </c>
    </row>
    <row r="604" spans="1:27" ht="15" customHeight="1" x14ac:dyDescent="0.3">
      <c r="A604" s="224" t="s">
        <v>22</v>
      </c>
      <c r="B604" s="224" t="s">
        <v>23</v>
      </c>
      <c r="C604" s="224" t="s">
        <v>45</v>
      </c>
      <c r="D604" s="224"/>
      <c r="E604" s="224" t="s">
        <v>554</v>
      </c>
      <c r="F604" s="224" t="s">
        <v>23</v>
      </c>
      <c r="G604" s="224"/>
      <c r="H604" s="486" t="s">
        <v>1001</v>
      </c>
      <c r="I604" s="486" t="s">
        <v>1002</v>
      </c>
      <c r="J604" s="487">
        <v>45035</v>
      </c>
      <c r="K604" s="747">
        <v>0.375</v>
      </c>
      <c r="L604" s="487">
        <v>45035</v>
      </c>
      <c r="M604" s="470">
        <v>0.54166666666666663</v>
      </c>
      <c r="N604" s="224">
        <v>4</v>
      </c>
      <c r="O604" s="224" t="s">
        <v>17</v>
      </c>
      <c r="P604" s="425" t="s">
        <v>557</v>
      </c>
      <c r="Q604" s="788" t="s">
        <v>558</v>
      </c>
      <c r="R604" s="224" t="s">
        <v>263</v>
      </c>
      <c r="S604" s="31" t="s">
        <v>273</v>
      </c>
      <c r="T604" s="31" t="s">
        <v>273</v>
      </c>
      <c r="U604" s="31">
        <f>IFERROR(VLOOKUP(CONCATENATE(Tabla1[[#This Row],[Severidad]]," ",Tabla1[[#This Row],[Complejidad]]),Catalogos!E$120:G$128,3,FALSE),"")</f>
        <v>64</v>
      </c>
      <c r="V604" s="31" t="str">
        <f>IF(Tabla1[[#This Row],[Tiempo solución max (hrs)]]&lt;&gt;"",IF(Tabla1[[#This Row],[Tiempo solución max (hrs)]]&gt;=Tabla1[[#This Row],[Tiempo
(Hrs 00/100)]],"cumple","no cumple"),"")</f>
        <v>cumple</v>
      </c>
      <c r="W604" s="376" t="s">
        <v>962</v>
      </c>
      <c r="X604" s="463" t="str">
        <f t="shared" si="78"/>
        <v>SPD</v>
      </c>
      <c r="Y604" s="459" t="str">
        <f>SUBSTITUTE(Tabla1[[#This Row],[Descripción]],CHAR(10),"    I    ")</f>
        <v>Se realizan pruebas para validar el funcionamiento de la vpn y el cliente forticlient</v>
      </c>
      <c r="Z604" s="464">
        <f>VLOOKUP(Tabla1[[#This Row],[Perfil]],Catalogos!$B$75:$D$100,3,FALSE)*Tabla1[[#This Row],[Tiempo
(Hrs 00/100)]]*1.16</f>
        <v>2320</v>
      </c>
    </row>
    <row r="605" spans="1:27" ht="15" customHeight="1" x14ac:dyDescent="0.3">
      <c r="A605" s="224" t="s">
        <v>22</v>
      </c>
      <c r="B605" s="224" t="s">
        <v>23</v>
      </c>
      <c r="C605" s="224" t="s">
        <v>45</v>
      </c>
      <c r="D605" s="224"/>
      <c r="E605" s="224" t="s">
        <v>554</v>
      </c>
      <c r="F605" s="224" t="s">
        <v>23</v>
      </c>
      <c r="G605" s="224"/>
      <c r="H605" s="486" t="s">
        <v>995</v>
      </c>
      <c r="I605" s="486" t="s">
        <v>1003</v>
      </c>
      <c r="J605" s="487">
        <v>45035</v>
      </c>
      <c r="K605" s="470">
        <v>0.54166666666666663</v>
      </c>
      <c r="L605" s="487">
        <v>45035</v>
      </c>
      <c r="M605" s="488">
        <v>0.70833333333333337</v>
      </c>
      <c r="N605" s="224">
        <v>2</v>
      </c>
      <c r="O605" s="224" t="s">
        <v>17</v>
      </c>
      <c r="P605" s="425" t="s">
        <v>557</v>
      </c>
      <c r="Q605" s="788" t="s">
        <v>558</v>
      </c>
      <c r="R605" s="224" t="s">
        <v>263</v>
      </c>
      <c r="S605" s="31" t="s">
        <v>273</v>
      </c>
      <c r="T605" s="31" t="s">
        <v>273</v>
      </c>
      <c r="U605" s="31">
        <f>IFERROR(VLOOKUP(CONCATENATE(Tabla1[[#This Row],[Severidad]]," ",Tabla1[[#This Row],[Complejidad]]),Catalogos!E$120:G$128,3,FALSE),"")</f>
        <v>64</v>
      </c>
      <c r="V605" s="31" t="str">
        <f>IF(Tabla1[[#This Row],[Tiempo solución max (hrs)]]&lt;&gt;"",IF(Tabla1[[#This Row],[Tiempo solución max (hrs)]]&gt;=Tabla1[[#This Row],[Tiempo
(Hrs 00/100)]],"cumple","no cumple"),"")</f>
        <v>cumple</v>
      </c>
      <c r="W605" s="376" t="s">
        <v>962</v>
      </c>
      <c r="X605" s="463" t="str">
        <f t="shared" si="78"/>
        <v>SPD</v>
      </c>
      <c r="Y605" s="459" t="str">
        <f>SUBSTITUTE(Tabla1[[#This Row],[Descripción]],CHAR(10),"    I    ")</f>
        <v>Se genera clase, peticion y campos para guardar los datos personales de perfil</v>
      </c>
      <c r="Z605" s="464">
        <f>VLOOKUP(Tabla1[[#This Row],[Perfil]],Catalogos!$B$75:$D$100,3,FALSE)*Tabla1[[#This Row],[Tiempo
(Hrs 00/100)]]*1.16</f>
        <v>1160</v>
      </c>
    </row>
    <row r="606" spans="1:27" ht="15" customHeight="1" x14ac:dyDescent="0.3">
      <c r="A606" s="224" t="s">
        <v>22</v>
      </c>
      <c r="B606" s="224" t="s">
        <v>23</v>
      </c>
      <c r="C606" s="224" t="s">
        <v>45</v>
      </c>
      <c r="D606" s="224"/>
      <c r="E606" s="224" t="s">
        <v>554</v>
      </c>
      <c r="F606" s="224" t="s">
        <v>23</v>
      </c>
      <c r="G606" s="224"/>
      <c r="H606" s="486" t="s">
        <v>995</v>
      </c>
      <c r="I606" s="486" t="s">
        <v>1004</v>
      </c>
      <c r="J606" s="487">
        <v>45035</v>
      </c>
      <c r="K606" s="488">
        <v>0.70833333333333337</v>
      </c>
      <c r="L606" s="487">
        <v>45035</v>
      </c>
      <c r="M606" s="488">
        <v>0.79166666666666663</v>
      </c>
      <c r="N606" s="224">
        <v>2</v>
      </c>
      <c r="O606" s="224" t="s">
        <v>17</v>
      </c>
      <c r="P606" s="425" t="s">
        <v>557</v>
      </c>
      <c r="Q606" s="788" t="s">
        <v>558</v>
      </c>
      <c r="R606" s="224" t="s">
        <v>263</v>
      </c>
      <c r="S606" s="31" t="s">
        <v>273</v>
      </c>
      <c r="T606" s="31" t="s">
        <v>273</v>
      </c>
      <c r="U606" s="31">
        <f>IFERROR(VLOOKUP(CONCATENATE(Tabla1[[#This Row],[Severidad]]," ",Tabla1[[#This Row],[Complejidad]]),Catalogos!E$120:G$128,3,FALSE),"")</f>
        <v>64</v>
      </c>
      <c r="V606" s="31" t="str">
        <f>IF(Tabla1[[#This Row],[Tiempo solución max (hrs)]]&lt;&gt;"",IF(Tabla1[[#This Row],[Tiempo solución max (hrs)]]&gt;=Tabla1[[#This Row],[Tiempo
(Hrs 00/100)]],"cumple","no cumple"),"")</f>
        <v>cumple</v>
      </c>
      <c r="W606" s="376" t="s">
        <v>962</v>
      </c>
      <c r="X606" s="463" t="str">
        <f t="shared" si="78"/>
        <v>SPD</v>
      </c>
      <c r="Y606" s="459" t="str">
        <f>SUBSTITUTE(Tabla1[[#This Row],[Descripción]],CHAR(10),"    I    ")</f>
        <v>Se genera clase, peticion y campos para guardar los datos direccion de perfil</v>
      </c>
      <c r="Z606" s="464">
        <f>VLOOKUP(Tabla1[[#This Row],[Perfil]],Catalogos!$B$75:$D$100,3,FALSE)*Tabla1[[#This Row],[Tiempo
(Hrs 00/100)]]*1.16</f>
        <v>1160</v>
      </c>
    </row>
    <row r="607" spans="1:27" ht="15" customHeight="1" x14ac:dyDescent="0.3">
      <c r="A607" s="224" t="s">
        <v>22</v>
      </c>
      <c r="B607" s="224" t="s">
        <v>23</v>
      </c>
      <c r="C607" s="224" t="s">
        <v>45</v>
      </c>
      <c r="D607" s="224"/>
      <c r="E607" s="224" t="s">
        <v>554</v>
      </c>
      <c r="F607" s="224" t="s">
        <v>23</v>
      </c>
      <c r="G607" s="224"/>
      <c r="H607" s="486" t="s">
        <v>1001</v>
      </c>
      <c r="I607" s="486" t="s">
        <v>1005</v>
      </c>
      <c r="J607" s="487">
        <v>45036</v>
      </c>
      <c r="K607" s="747">
        <v>0.375</v>
      </c>
      <c r="L607" s="487">
        <v>45036</v>
      </c>
      <c r="M607" s="488">
        <v>0.58333333333333337</v>
      </c>
      <c r="N607" s="224">
        <v>5</v>
      </c>
      <c r="O607" s="224" t="s">
        <v>17</v>
      </c>
      <c r="P607" s="425" t="s">
        <v>557</v>
      </c>
      <c r="Q607" s="788" t="s">
        <v>558</v>
      </c>
      <c r="R607" s="224" t="s">
        <v>263</v>
      </c>
      <c r="S607" s="31" t="s">
        <v>273</v>
      </c>
      <c r="T607" s="31" t="s">
        <v>273</v>
      </c>
      <c r="U607" s="31">
        <f>IFERROR(VLOOKUP(CONCATENATE(Tabla1[[#This Row],[Severidad]]," ",Tabla1[[#This Row],[Complejidad]]),Catalogos!E$120:G$128,3,FALSE),"")</f>
        <v>64</v>
      </c>
      <c r="V607" s="31" t="str">
        <f>IF(Tabla1[[#This Row],[Tiempo solución max (hrs)]]&lt;&gt;"",IF(Tabla1[[#This Row],[Tiempo solución max (hrs)]]&gt;=Tabla1[[#This Row],[Tiempo
(Hrs 00/100)]],"cumple","no cumple"),"")</f>
        <v>cumple</v>
      </c>
      <c r="W607" s="376" t="s">
        <v>962</v>
      </c>
      <c r="X607" s="463" t="str">
        <f t="shared" si="78"/>
        <v>SPD</v>
      </c>
      <c r="Y607" s="459" t="str">
        <f>SUBSTITUTE(Tabla1[[#This Row],[Descripción]],CHAR(10),"    I    ")</f>
        <v>Se realizan pruebas para validar el funcionamiento de la vpn y el cliente forticlient, las pruebas se realizan en diferentes equipos</v>
      </c>
      <c r="Z607" s="464">
        <f>VLOOKUP(Tabla1[[#This Row],[Perfil]],Catalogos!$B$75:$D$100,3,FALSE)*Tabla1[[#This Row],[Tiempo
(Hrs 00/100)]]*1.16</f>
        <v>2900</v>
      </c>
    </row>
    <row r="608" spans="1:27" ht="15" customHeight="1" x14ac:dyDescent="0.3">
      <c r="A608" s="224" t="s">
        <v>22</v>
      </c>
      <c r="B608" s="224" t="s">
        <v>23</v>
      </c>
      <c r="C608" s="224" t="s">
        <v>45</v>
      </c>
      <c r="D608" s="224"/>
      <c r="E608" s="224" t="s">
        <v>554</v>
      </c>
      <c r="F608" s="224" t="s">
        <v>23</v>
      </c>
      <c r="G608" s="224"/>
      <c r="H608" s="486" t="s">
        <v>1001</v>
      </c>
      <c r="I608" s="486" t="s">
        <v>1006</v>
      </c>
      <c r="J608" s="487">
        <v>45036</v>
      </c>
      <c r="K608" s="488">
        <v>0.66666666666666663</v>
      </c>
      <c r="L608" s="487">
        <v>45036</v>
      </c>
      <c r="M608" s="488">
        <v>0.70833333333333337</v>
      </c>
      <c r="N608" s="224">
        <v>1</v>
      </c>
      <c r="O608" s="224" t="s">
        <v>17</v>
      </c>
      <c r="P608" s="425" t="s">
        <v>557</v>
      </c>
      <c r="Q608" s="788" t="s">
        <v>558</v>
      </c>
      <c r="R608" s="224" t="s">
        <v>263</v>
      </c>
      <c r="S608" s="31" t="s">
        <v>273</v>
      </c>
      <c r="T608" s="31" t="s">
        <v>273</v>
      </c>
      <c r="U608" s="31">
        <f>IFERROR(VLOOKUP(CONCATENATE(Tabla1[[#This Row],[Severidad]]," ",Tabla1[[#This Row],[Complejidad]]),Catalogos!E$120:G$128,3,FALSE),"")</f>
        <v>64</v>
      </c>
      <c r="V608" s="31" t="str">
        <f>IF(Tabla1[[#This Row],[Tiempo solución max (hrs)]]&lt;&gt;"",IF(Tabla1[[#This Row],[Tiempo solución max (hrs)]]&gt;=Tabla1[[#This Row],[Tiempo
(Hrs 00/100)]],"cumple","no cumple"),"")</f>
        <v>cumple</v>
      </c>
      <c r="W608" s="376" t="s">
        <v>962</v>
      </c>
      <c r="X608" s="463" t="str">
        <f t="shared" si="78"/>
        <v>SPD</v>
      </c>
      <c r="Y608" s="459" t="str">
        <f>SUBSTITUTE(Tabla1[[#This Row],[Descripción]],CHAR(10),"    I    ")</f>
        <v>Se realia sesion de apoyo para correccion del problema de conexion del cliente en equipo mac</v>
      </c>
      <c r="Z608" s="464">
        <f>VLOOKUP(Tabla1[[#This Row],[Perfil]],Catalogos!$B$75:$D$100,3,FALSE)*Tabla1[[#This Row],[Tiempo
(Hrs 00/100)]]*1.16</f>
        <v>580</v>
      </c>
    </row>
    <row r="609" spans="1:26" ht="15" customHeight="1" x14ac:dyDescent="0.3">
      <c r="A609" s="224" t="s">
        <v>22</v>
      </c>
      <c r="B609" s="224" t="s">
        <v>23</v>
      </c>
      <c r="C609" s="224" t="s">
        <v>45</v>
      </c>
      <c r="D609" s="224"/>
      <c r="E609" s="224" t="s">
        <v>554</v>
      </c>
      <c r="F609" s="224" t="s">
        <v>23</v>
      </c>
      <c r="G609" s="224"/>
      <c r="H609" s="486" t="s">
        <v>1007</v>
      </c>
      <c r="I609" s="486" t="s">
        <v>1008</v>
      </c>
      <c r="J609" s="487">
        <v>45036</v>
      </c>
      <c r="K609" s="488">
        <v>0.70833333333333337</v>
      </c>
      <c r="L609" s="487">
        <v>45036</v>
      </c>
      <c r="M609" s="488">
        <v>0.79166666666666663</v>
      </c>
      <c r="N609" s="224">
        <v>2</v>
      </c>
      <c r="O609" s="224" t="s">
        <v>17</v>
      </c>
      <c r="P609" s="425" t="s">
        <v>557</v>
      </c>
      <c r="Q609" s="788" t="s">
        <v>558</v>
      </c>
      <c r="R609" s="224" t="s">
        <v>263</v>
      </c>
      <c r="S609" s="31" t="s">
        <v>273</v>
      </c>
      <c r="T609" s="31" t="s">
        <v>273</v>
      </c>
      <c r="U609" s="31">
        <f>IFERROR(VLOOKUP(CONCATENATE(Tabla1[[#This Row],[Severidad]]," ",Tabla1[[#This Row],[Complejidad]]),Catalogos!E$120:G$128,3,FALSE),"")</f>
        <v>64</v>
      </c>
      <c r="V609" s="31" t="str">
        <f>IF(Tabla1[[#This Row],[Tiempo solución max (hrs)]]&lt;&gt;"",IF(Tabla1[[#This Row],[Tiempo solución max (hrs)]]&gt;=Tabla1[[#This Row],[Tiempo
(Hrs 00/100)]],"cumple","no cumple"),"")</f>
        <v>cumple</v>
      </c>
      <c r="W609" s="376" t="s">
        <v>962</v>
      </c>
      <c r="X609" s="463" t="str">
        <f t="shared" si="78"/>
        <v>SPD</v>
      </c>
      <c r="Y609" s="459" t="str">
        <f>SUBSTITUTE(Tabla1[[#This Row],[Descripción]],CHAR(10),"    I    ")</f>
        <v>Revision de servicios registro de solicitante y recuperar contraseña. [Respuestas y peticiones]</v>
      </c>
      <c r="Z609" s="464">
        <f>VLOOKUP(Tabla1[[#This Row],[Perfil]],Catalogos!$B$75:$D$100,3,FALSE)*Tabla1[[#This Row],[Tiempo
(Hrs 00/100)]]*1.16</f>
        <v>1160</v>
      </c>
    </row>
    <row r="610" spans="1:26" ht="15" customHeight="1" x14ac:dyDescent="0.3">
      <c r="A610" s="224" t="s">
        <v>22</v>
      </c>
      <c r="B610" s="224" t="s">
        <v>23</v>
      </c>
      <c r="C610" s="224" t="s">
        <v>45</v>
      </c>
      <c r="D610" s="224"/>
      <c r="E610" s="224" t="s">
        <v>554</v>
      </c>
      <c r="F610" s="224" t="s">
        <v>23</v>
      </c>
      <c r="G610" s="224"/>
      <c r="H610" s="486" t="s">
        <v>1007</v>
      </c>
      <c r="I610" s="486" t="s">
        <v>1009</v>
      </c>
      <c r="J610" s="487">
        <v>45037</v>
      </c>
      <c r="K610" s="747">
        <v>0.375</v>
      </c>
      <c r="L610" s="487">
        <v>45037</v>
      </c>
      <c r="M610" s="470">
        <v>0.54166666666666663</v>
      </c>
      <c r="N610" s="224">
        <v>4</v>
      </c>
      <c r="O610" s="224" t="s">
        <v>17</v>
      </c>
      <c r="P610" s="425" t="s">
        <v>557</v>
      </c>
      <c r="Q610" s="788" t="s">
        <v>558</v>
      </c>
      <c r="R610" s="224" t="s">
        <v>263</v>
      </c>
      <c r="S610" s="31" t="s">
        <v>273</v>
      </c>
      <c r="T610" s="31" t="s">
        <v>273</v>
      </c>
      <c r="U610" s="31">
        <f>IFERROR(VLOOKUP(CONCATENATE(Tabla1[[#This Row],[Severidad]]," ",Tabla1[[#This Row],[Complejidad]]),Catalogos!E$120:G$128,3,FALSE),"")</f>
        <v>64</v>
      </c>
      <c r="V610" s="31" t="str">
        <f>IF(Tabla1[[#This Row],[Tiempo solución max (hrs)]]&lt;&gt;"",IF(Tabla1[[#This Row],[Tiempo solución max (hrs)]]&gt;=Tabla1[[#This Row],[Tiempo
(Hrs 00/100)]],"cumple","no cumple"),"")</f>
        <v>cumple</v>
      </c>
      <c r="W610" s="376" t="s">
        <v>962</v>
      </c>
      <c r="X610" s="463" t="str">
        <f t="shared" ref="X610:X641" si="80">IF(C610&lt;&gt;"",C610,D610)</f>
        <v>SPD</v>
      </c>
      <c r="Y610" s="459" t="str">
        <f>SUBSTITUTE(Tabla1[[#This Row],[Descripción]],CHAR(10),"    I    ")</f>
        <v>Revision de servicios alta de quejas. [Respuestas y peticiones]</v>
      </c>
      <c r="Z610" s="464">
        <f>VLOOKUP(Tabla1[[#This Row],[Perfil]],Catalogos!$B$75:$D$100,3,FALSE)*Tabla1[[#This Row],[Tiempo
(Hrs 00/100)]]*1.16</f>
        <v>2320</v>
      </c>
    </row>
    <row r="611" spans="1:26" ht="15" customHeight="1" thickBot="1" x14ac:dyDescent="0.35">
      <c r="A611" s="479" t="s">
        <v>22</v>
      </c>
      <c r="B611" s="479" t="s">
        <v>23</v>
      </c>
      <c r="C611" s="479" t="s">
        <v>45</v>
      </c>
      <c r="D611" s="479"/>
      <c r="E611" s="479" t="s">
        <v>554</v>
      </c>
      <c r="F611" s="479" t="s">
        <v>23</v>
      </c>
      <c r="G611" s="479"/>
      <c r="H611" s="480" t="s">
        <v>1007</v>
      </c>
      <c r="I611" s="480" t="s">
        <v>1010</v>
      </c>
      <c r="J611" s="481">
        <v>45037</v>
      </c>
      <c r="K611" s="470">
        <v>0.54166666666666663</v>
      </c>
      <c r="L611" s="481">
        <v>45037</v>
      </c>
      <c r="M611" s="473">
        <v>0.79166666666666663</v>
      </c>
      <c r="N611" s="479">
        <v>4</v>
      </c>
      <c r="O611" s="482" t="s">
        <v>17</v>
      </c>
      <c r="P611" s="483" t="s">
        <v>557</v>
      </c>
      <c r="Q611" s="787" t="s">
        <v>558</v>
      </c>
      <c r="R611" s="484" t="s">
        <v>263</v>
      </c>
      <c r="S611" s="31" t="s">
        <v>273</v>
      </c>
      <c r="T611" s="31" t="s">
        <v>273</v>
      </c>
      <c r="U611" s="31">
        <f>IFERROR(VLOOKUP(CONCATENATE(Tabla1[[#This Row],[Severidad]]," ",Tabla1[[#This Row],[Complejidad]]),Catalogos!E$120:G$128,3,FALSE),"")</f>
        <v>64</v>
      </c>
      <c r="V611" s="31" t="str">
        <f>IF(Tabla1[[#This Row],[Tiempo solución max (hrs)]]&lt;&gt;"",IF(Tabla1[[#This Row],[Tiempo solución max (hrs)]]&gt;=Tabla1[[#This Row],[Tiempo
(Hrs 00/100)]],"cumple","no cumple"),"")</f>
        <v>cumple</v>
      </c>
      <c r="W611" s="376" t="s">
        <v>962</v>
      </c>
      <c r="X611" s="463" t="str">
        <f t="shared" si="80"/>
        <v>SPD</v>
      </c>
      <c r="Y611" s="459" t="str">
        <f>SUBSTITUTE(Tabla1[[#This Row],[Descripción]],CHAR(10),"    I    ")</f>
        <v>Revision de servicios configuracion de cuenta. [Respuestas y peticiones]</v>
      </c>
      <c r="Z611" s="464">
        <f>VLOOKUP(Tabla1[[#This Row],[Perfil]],Catalogos!$B$75:$D$100,3,FALSE)*Tabla1[[#This Row],[Tiempo
(Hrs 00/100)]]*1.16</f>
        <v>2320</v>
      </c>
    </row>
    <row r="612" spans="1:26" ht="15" customHeight="1" thickTop="1" x14ac:dyDescent="0.3">
      <c r="A612" s="224" t="s">
        <v>22</v>
      </c>
      <c r="B612" s="224" t="s">
        <v>23</v>
      </c>
      <c r="C612" s="224" t="s">
        <v>45</v>
      </c>
      <c r="D612" s="224"/>
      <c r="E612" s="224" t="s">
        <v>554</v>
      </c>
      <c r="F612" s="224" t="s">
        <v>23</v>
      </c>
      <c r="G612" s="224"/>
      <c r="H612" s="486" t="s">
        <v>995</v>
      </c>
      <c r="I612" s="486" t="s">
        <v>1011</v>
      </c>
      <c r="J612" s="487">
        <v>45040</v>
      </c>
      <c r="K612" s="747">
        <v>0.375</v>
      </c>
      <c r="L612" s="487">
        <v>45040</v>
      </c>
      <c r="M612" s="470">
        <v>0.54166666666666663</v>
      </c>
      <c r="N612" s="224">
        <v>4</v>
      </c>
      <c r="O612" s="224" t="s">
        <v>17</v>
      </c>
      <c r="P612" s="425" t="s">
        <v>557</v>
      </c>
      <c r="Q612" s="788" t="s">
        <v>558</v>
      </c>
      <c r="R612" s="224" t="s">
        <v>263</v>
      </c>
      <c r="S612" s="31" t="s">
        <v>273</v>
      </c>
      <c r="T612" s="31" t="s">
        <v>273</v>
      </c>
      <c r="U612" s="31">
        <f>IFERROR(VLOOKUP(CONCATENATE(Tabla1[[#This Row],[Severidad]]," ",Tabla1[[#This Row],[Complejidad]]),Catalogos!E$120:G$128,3,FALSE),"")</f>
        <v>64</v>
      </c>
      <c r="V612" s="31" t="str">
        <f>IF(Tabla1[[#This Row],[Tiempo solución max (hrs)]]&lt;&gt;"",IF(Tabla1[[#This Row],[Tiempo solución max (hrs)]]&gt;=Tabla1[[#This Row],[Tiempo
(Hrs 00/100)]],"cumple","no cumple"),"")</f>
        <v>cumple</v>
      </c>
      <c r="W612" s="376" t="s">
        <v>962</v>
      </c>
      <c r="X612" s="463" t="str">
        <f t="shared" si="80"/>
        <v>SPD</v>
      </c>
      <c r="Y612" s="459" t="str">
        <f>SUBSTITUTE(Tabla1[[#This Row],[Descripción]],CHAR(10),"    I    ")</f>
        <v>Se integra servicio para registrar estadisticos [modelo, peticion y respuesta]</v>
      </c>
      <c r="Z612" s="464">
        <f>VLOOKUP(Tabla1[[#This Row],[Perfil]],Catalogos!$B$75:$D$100,3,FALSE)*Tabla1[[#This Row],[Tiempo
(Hrs 00/100)]]*1.16</f>
        <v>2320</v>
      </c>
    </row>
    <row r="613" spans="1:26" ht="15" customHeight="1" x14ac:dyDescent="0.3">
      <c r="A613" s="224" t="s">
        <v>22</v>
      </c>
      <c r="B613" s="224" t="s">
        <v>23</v>
      </c>
      <c r="C613" s="224" t="s">
        <v>45</v>
      </c>
      <c r="D613" s="224"/>
      <c r="E613" s="224" t="s">
        <v>554</v>
      </c>
      <c r="F613" s="224" t="s">
        <v>23</v>
      </c>
      <c r="G613" s="224"/>
      <c r="H613" s="486" t="s">
        <v>1007</v>
      </c>
      <c r="I613" s="486" t="s">
        <v>1012</v>
      </c>
      <c r="J613" s="487">
        <v>45040</v>
      </c>
      <c r="K613" s="470">
        <v>0.54166666666666663</v>
      </c>
      <c r="L613" s="487">
        <v>45040</v>
      </c>
      <c r="M613" s="488">
        <v>0.70833333333333337</v>
      </c>
      <c r="N613" s="224">
        <v>2</v>
      </c>
      <c r="O613" s="224" t="s">
        <v>17</v>
      </c>
      <c r="P613" s="425" t="s">
        <v>557</v>
      </c>
      <c r="Q613" s="788" t="s">
        <v>558</v>
      </c>
      <c r="R613" s="224" t="s">
        <v>263</v>
      </c>
      <c r="S613" s="31" t="s">
        <v>273</v>
      </c>
      <c r="T613" s="31" t="s">
        <v>273</v>
      </c>
      <c r="U613" s="31">
        <f>IFERROR(VLOOKUP(CONCATENATE(Tabla1[[#This Row],[Severidad]]," ",Tabla1[[#This Row],[Complejidad]]),Catalogos!E$120:G$128,3,FALSE),"")</f>
        <v>64</v>
      </c>
      <c r="V613" s="31" t="str">
        <f>IF(Tabla1[[#This Row],[Tiempo solución max (hrs)]]&lt;&gt;"",IF(Tabla1[[#This Row],[Tiempo solución max (hrs)]]&gt;=Tabla1[[#This Row],[Tiempo
(Hrs 00/100)]],"cumple","no cumple"),"")</f>
        <v>cumple</v>
      </c>
      <c r="W613" s="376" t="s">
        <v>962</v>
      </c>
      <c r="X613" s="463" t="str">
        <f t="shared" si="80"/>
        <v>SPD</v>
      </c>
      <c r="Y613" s="459" t="str">
        <f>SUBSTITUTE(Tabla1[[#This Row],[Descripción]],CHAR(10),"    I    ")</f>
        <v>Revision de pantalla para listar acuses generados por solicitud</v>
      </c>
      <c r="Z613" s="464">
        <f>VLOOKUP(Tabla1[[#This Row],[Perfil]],Catalogos!$B$75:$D$100,3,FALSE)*Tabla1[[#This Row],[Tiempo
(Hrs 00/100)]]*1.16</f>
        <v>1160</v>
      </c>
    </row>
    <row r="614" spans="1:26" ht="15" customHeight="1" x14ac:dyDescent="0.3">
      <c r="A614" s="224" t="s">
        <v>22</v>
      </c>
      <c r="B614" s="224" t="s">
        <v>23</v>
      </c>
      <c r="C614" s="224" t="s">
        <v>45</v>
      </c>
      <c r="D614" s="224"/>
      <c r="E614" s="224" t="s">
        <v>554</v>
      </c>
      <c r="F614" s="224" t="s">
        <v>23</v>
      </c>
      <c r="G614" s="224"/>
      <c r="H614" s="486" t="s">
        <v>1007</v>
      </c>
      <c r="I614" s="486" t="s">
        <v>1009</v>
      </c>
      <c r="J614" s="487">
        <v>45040</v>
      </c>
      <c r="K614" s="488">
        <v>0.70833333333333337</v>
      </c>
      <c r="L614" s="487">
        <v>45040</v>
      </c>
      <c r="M614" s="488">
        <v>0.79166666666666663</v>
      </c>
      <c r="N614" s="224">
        <v>2</v>
      </c>
      <c r="O614" s="224" t="s">
        <v>17</v>
      </c>
      <c r="P614" s="425" t="s">
        <v>557</v>
      </c>
      <c r="Q614" s="788" t="s">
        <v>558</v>
      </c>
      <c r="R614" s="224" t="s">
        <v>263</v>
      </c>
      <c r="S614" s="31" t="s">
        <v>273</v>
      </c>
      <c r="T614" s="31" t="s">
        <v>273</v>
      </c>
      <c r="U614" s="31">
        <f>IFERROR(VLOOKUP(CONCATENATE(Tabla1[[#This Row],[Severidad]]," ",Tabla1[[#This Row],[Complejidad]]),Catalogos!E$120:G$128,3,FALSE),"")</f>
        <v>64</v>
      </c>
      <c r="V614" s="31" t="str">
        <f>IF(Tabla1[[#This Row],[Tiempo solución max (hrs)]]&lt;&gt;"",IF(Tabla1[[#This Row],[Tiempo solución max (hrs)]]&gt;=Tabla1[[#This Row],[Tiempo
(Hrs 00/100)]],"cumple","no cumple"),"")</f>
        <v>cumple</v>
      </c>
      <c r="W614" s="376" t="s">
        <v>962</v>
      </c>
      <c r="X614" s="463" t="str">
        <f t="shared" si="80"/>
        <v>SPD</v>
      </c>
      <c r="Y614" s="459" t="str">
        <f>SUBSTITUTE(Tabla1[[#This Row],[Descripción]],CHAR(10),"    I    ")</f>
        <v>Revision de servicios alta de quejas. [Respuestas y peticiones]</v>
      </c>
      <c r="Z614" s="464">
        <f>VLOOKUP(Tabla1[[#This Row],[Perfil]],Catalogos!$B$75:$D$100,3,FALSE)*Tabla1[[#This Row],[Tiempo
(Hrs 00/100)]]*1.16</f>
        <v>1160</v>
      </c>
    </row>
    <row r="615" spans="1:26" ht="15" customHeight="1" x14ac:dyDescent="0.3">
      <c r="A615" s="224" t="s">
        <v>22</v>
      </c>
      <c r="B615" s="224" t="s">
        <v>23</v>
      </c>
      <c r="C615" s="224" t="s">
        <v>45</v>
      </c>
      <c r="D615" s="224"/>
      <c r="E615" s="224" t="s">
        <v>554</v>
      </c>
      <c r="F615" s="224" t="s">
        <v>23</v>
      </c>
      <c r="G615" s="224"/>
      <c r="H615" s="486" t="s">
        <v>995</v>
      </c>
      <c r="I615" s="486" t="s">
        <v>1013</v>
      </c>
      <c r="J615" s="487">
        <v>45041</v>
      </c>
      <c r="K615" s="747">
        <v>0.375</v>
      </c>
      <c r="L615" s="487">
        <v>45041</v>
      </c>
      <c r="M615" s="470">
        <v>0.54166666666666663</v>
      </c>
      <c r="N615" s="224">
        <v>4</v>
      </c>
      <c r="O615" s="224" t="s">
        <v>17</v>
      </c>
      <c r="P615" s="425" t="s">
        <v>557</v>
      </c>
      <c r="Q615" s="788" t="s">
        <v>558</v>
      </c>
      <c r="R615" s="224" t="s">
        <v>263</v>
      </c>
      <c r="S615" s="31" t="s">
        <v>273</v>
      </c>
      <c r="T615" s="31" t="s">
        <v>273</v>
      </c>
      <c r="U615" s="31">
        <f>IFERROR(VLOOKUP(CONCATENATE(Tabla1[[#This Row],[Severidad]]," ",Tabla1[[#This Row],[Complejidad]]),Catalogos!E$120:G$128,3,FALSE),"")</f>
        <v>64</v>
      </c>
      <c r="V615" s="31" t="str">
        <f>IF(Tabla1[[#This Row],[Tiempo solución max (hrs)]]&lt;&gt;"",IF(Tabla1[[#This Row],[Tiempo solución max (hrs)]]&gt;=Tabla1[[#This Row],[Tiempo
(Hrs 00/100)]],"cumple","no cumple"),"")</f>
        <v>cumple</v>
      </c>
      <c r="W615" s="376" t="s">
        <v>962</v>
      </c>
      <c r="X615" s="463" t="str">
        <f t="shared" si="80"/>
        <v>SPD</v>
      </c>
      <c r="Y615" s="459" t="str">
        <f>SUBSTITUTE(Tabla1[[#This Row],[Descripción]],CHAR(10),"    I    ")</f>
        <v>Se integra servicio para registrar estadisticos, se recuperan los datos almacenados y se colocan en los exixtentyes en pantalla</v>
      </c>
      <c r="Z615" s="464">
        <f>VLOOKUP(Tabla1[[#This Row],[Perfil]],Catalogos!$B$75:$D$100,3,FALSE)*Tabla1[[#This Row],[Tiempo
(Hrs 00/100)]]*1.16</f>
        <v>2320</v>
      </c>
    </row>
    <row r="616" spans="1:26" ht="15" customHeight="1" x14ac:dyDescent="0.3">
      <c r="A616" s="224" t="s">
        <v>22</v>
      </c>
      <c r="B616" s="224" t="s">
        <v>23</v>
      </c>
      <c r="C616" s="224" t="s">
        <v>45</v>
      </c>
      <c r="D616" s="224"/>
      <c r="E616" s="224" t="s">
        <v>554</v>
      </c>
      <c r="F616" s="224" t="s">
        <v>23</v>
      </c>
      <c r="G616" s="224"/>
      <c r="H616" s="486" t="s">
        <v>995</v>
      </c>
      <c r="I616" s="486" t="s">
        <v>1014</v>
      </c>
      <c r="J616" s="487">
        <v>45041</v>
      </c>
      <c r="K616" s="470">
        <v>0.54166666666666663</v>
      </c>
      <c r="L616" s="487">
        <v>45041</v>
      </c>
      <c r="M616" s="473">
        <v>0.79166666666666663</v>
      </c>
      <c r="N616" s="224">
        <v>4</v>
      </c>
      <c r="O616" s="224" t="s">
        <v>17</v>
      </c>
      <c r="P616" s="425" t="s">
        <v>557</v>
      </c>
      <c r="Q616" s="788" t="s">
        <v>558</v>
      </c>
      <c r="R616" s="224" t="s">
        <v>263</v>
      </c>
      <c r="S616" s="31" t="s">
        <v>273</v>
      </c>
      <c r="T616" s="31" t="s">
        <v>273</v>
      </c>
      <c r="U616" s="31">
        <f>IFERROR(VLOOKUP(CONCATENATE(Tabla1[[#This Row],[Severidad]]," ",Tabla1[[#This Row],[Complejidad]]),Catalogos!E$120:G$128,3,FALSE),"")</f>
        <v>64</v>
      </c>
      <c r="V616" s="31" t="str">
        <f>IF(Tabla1[[#This Row],[Tiempo solución max (hrs)]]&lt;&gt;"",IF(Tabla1[[#This Row],[Tiempo solución max (hrs)]]&gt;=Tabla1[[#This Row],[Tiempo
(Hrs 00/100)]],"cumple","no cumple"),"")</f>
        <v>cumple</v>
      </c>
      <c r="W616" s="376" t="s">
        <v>962</v>
      </c>
      <c r="X616" s="463" t="str">
        <f t="shared" si="80"/>
        <v>SPD</v>
      </c>
      <c r="Y616" s="459" t="str">
        <f>SUBSTITUTE(Tabla1[[#This Row],[Descripción]],CHAR(10),"    I    ")</f>
        <v>Se integra servicio para registrar direecion [modelo, peticion y respuesta]</v>
      </c>
      <c r="Z616" s="464">
        <f>VLOOKUP(Tabla1[[#This Row],[Perfil]],Catalogos!$B$75:$D$100,3,FALSE)*Tabla1[[#This Row],[Tiempo
(Hrs 00/100)]]*1.16</f>
        <v>2320</v>
      </c>
    </row>
    <row r="617" spans="1:26" ht="15" customHeight="1" x14ac:dyDescent="0.3">
      <c r="A617" s="224" t="s">
        <v>22</v>
      </c>
      <c r="B617" s="224" t="s">
        <v>23</v>
      </c>
      <c r="C617" s="224" t="s">
        <v>45</v>
      </c>
      <c r="D617" s="224"/>
      <c r="E617" s="224" t="s">
        <v>554</v>
      </c>
      <c r="F617" s="224" t="s">
        <v>23</v>
      </c>
      <c r="G617" s="224"/>
      <c r="H617" s="486" t="s">
        <v>995</v>
      </c>
      <c r="I617" s="486" t="s">
        <v>1015</v>
      </c>
      <c r="J617" s="487">
        <v>45042</v>
      </c>
      <c r="K617" s="747">
        <v>0.375</v>
      </c>
      <c r="L617" s="487">
        <v>45042</v>
      </c>
      <c r="M617" s="488">
        <v>0.45833333333333331</v>
      </c>
      <c r="N617" s="224">
        <v>2</v>
      </c>
      <c r="O617" s="224" t="s">
        <v>17</v>
      </c>
      <c r="P617" s="425" t="s">
        <v>557</v>
      </c>
      <c r="Q617" s="788" t="s">
        <v>558</v>
      </c>
      <c r="R617" s="224" t="s">
        <v>263</v>
      </c>
      <c r="S617" s="31" t="s">
        <v>273</v>
      </c>
      <c r="T617" s="31" t="s">
        <v>273</v>
      </c>
      <c r="U617" s="31">
        <f>IFERROR(VLOOKUP(CONCATENATE(Tabla1[[#This Row],[Severidad]]," ",Tabla1[[#This Row],[Complejidad]]),Catalogos!E$120:G$128,3,FALSE),"")</f>
        <v>64</v>
      </c>
      <c r="V617" s="31" t="str">
        <f>IF(Tabla1[[#This Row],[Tiempo solución max (hrs)]]&lt;&gt;"",IF(Tabla1[[#This Row],[Tiempo solución max (hrs)]]&gt;=Tabla1[[#This Row],[Tiempo
(Hrs 00/100)]],"cumple","no cumple"),"")</f>
        <v>cumple</v>
      </c>
      <c r="W617" s="376" t="s">
        <v>962</v>
      </c>
      <c r="X617" s="463" t="str">
        <f t="shared" si="80"/>
        <v>SPD</v>
      </c>
      <c r="Y617" s="459" t="str">
        <f>SUBSTITUTE(Tabla1[[#This Row],[Descripción]],CHAR(10),"    I    ")</f>
        <v>Se integra servicio para registrar direccion, se recuperan los datos almacenados y se colocan en los exixtentyes en pantalla</v>
      </c>
      <c r="Z617" s="464">
        <f>VLOOKUP(Tabla1[[#This Row],[Perfil]],Catalogos!$B$75:$D$100,3,FALSE)*Tabla1[[#This Row],[Tiempo
(Hrs 00/100)]]*1.16</f>
        <v>1160</v>
      </c>
    </row>
    <row r="618" spans="1:26" ht="15" customHeight="1" x14ac:dyDescent="0.3">
      <c r="A618" s="224" t="s">
        <v>22</v>
      </c>
      <c r="B618" s="224" t="s">
        <v>23</v>
      </c>
      <c r="C618" s="224" t="s">
        <v>45</v>
      </c>
      <c r="D618" s="224"/>
      <c r="E618" s="224" t="s">
        <v>554</v>
      </c>
      <c r="F618" s="224" t="s">
        <v>23</v>
      </c>
      <c r="G618" s="224"/>
      <c r="H618" s="486" t="s">
        <v>1016</v>
      </c>
      <c r="I618" s="486" t="s">
        <v>1017</v>
      </c>
      <c r="J618" s="487">
        <v>45042</v>
      </c>
      <c r="K618" s="488">
        <v>0.45833333333333331</v>
      </c>
      <c r="L618" s="487">
        <v>45042</v>
      </c>
      <c r="M618" s="488">
        <v>0.58333333333333337</v>
      </c>
      <c r="N618" s="224">
        <v>3</v>
      </c>
      <c r="O618" s="224" t="s">
        <v>17</v>
      </c>
      <c r="P618" s="425" t="s">
        <v>557</v>
      </c>
      <c r="Q618" s="788" t="s">
        <v>558</v>
      </c>
      <c r="R618" s="224" t="s">
        <v>263</v>
      </c>
      <c r="S618" s="31" t="s">
        <v>273</v>
      </c>
      <c r="T618" s="31" t="s">
        <v>273</v>
      </c>
      <c r="U618" s="31">
        <f>IFERROR(VLOOKUP(CONCATENATE(Tabla1[[#This Row],[Severidad]]," ",Tabla1[[#This Row],[Complejidad]]),Catalogos!E$120:G$128,3,FALSE),"")</f>
        <v>64</v>
      </c>
      <c r="V618" s="31" t="str">
        <f>IF(Tabla1[[#This Row],[Tiempo solución max (hrs)]]&lt;&gt;"",IF(Tabla1[[#This Row],[Tiempo solución max (hrs)]]&gt;=Tabla1[[#This Row],[Tiempo
(Hrs 00/100)]],"cumple","no cumple"),"")</f>
        <v>cumple</v>
      </c>
      <c r="W618" s="376" t="s">
        <v>962</v>
      </c>
      <c r="X618" s="463" t="str">
        <f t="shared" si="80"/>
        <v>SPD</v>
      </c>
      <c r="Y618" s="459" t="str">
        <f>SUBSTITUTE(Tabla1[[#This Row],[Descripción]],CHAR(10),"    I    ")</f>
        <v>Se incorporan llamadas de funcion para obtener el cuerpo de peticion cifrada para poder incluirla en las nuevas peticiones</v>
      </c>
      <c r="Z618" s="464">
        <f>VLOOKUP(Tabla1[[#This Row],[Perfil]],Catalogos!$B$75:$D$100,3,FALSE)*Tabla1[[#This Row],[Tiempo
(Hrs 00/100)]]*1.16</f>
        <v>1739.9999999999998</v>
      </c>
    </row>
    <row r="619" spans="1:26" ht="15" customHeight="1" x14ac:dyDescent="0.3">
      <c r="A619" s="224" t="s">
        <v>22</v>
      </c>
      <c r="B619" s="224" t="s">
        <v>23</v>
      </c>
      <c r="C619" s="224" t="s">
        <v>45</v>
      </c>
      <c r="D619" s="224"/>
      <c r="E619" s="224" t="s">
        <v>554</v>
      </c>
      <c r="F619" s="224" t="s">
        <v>23</v>
      </c>
      <c r="G619" s="224"/>
      <c r="H619" s="486" t="s">
        <v>1018</v>
      </c>
      <c r="I619" s="486" t="s">
        <v>1019</v>
      </c>
      <c r="J619" s="487">
        <v>45042</v>
      </c>
      <c r="K619" s="488">
        <v>0.66666666666666663</v>
      </c>
      <c r="L619" s="487">
        <v>45042</v>
      </c>
      <c r="M619" s="473">
        <v>0.79166666666666663</v>
      </c>
      <c r="N619" s="224">
        <v>3</v>
      </c>
      <c r="O619" s="224" t="s">
        <v>17</v>
      </c>
      <c r="P619" s="425" t="s">
        <v>557</v>
      </c>
      <c r="Q619" s="788" t="s">
        <v>558</v>
      </c>
      <c r="R619" s="224" t="s">
        <v>263</v>
      </c>
      <c r="S619" s="31" t="s">
        <v>273</v>
      </c>
      <c r="T619" s="31" t="s">
        <v>273</v>
      </c>
      <c r="U619" s="31">
        <f>IFERROR(VLOOKUP(CONCATENATE(Tabla1[[#This Row],[Severidad]]," ",Tabla1[[#This Row],[Complejidad]]),Catalogos!E$120:G$128,3,FALSE),"")</f>
        <v>64</v>
      </c>
      <c r="V619" s="31" t="str">
        <f>IF(Tabla1[[#This Row],[Tiempo solución max (hrs)]]&lt;&gt;"",IF(Tabla1[[#This Row],[Tiempo solución max (hrs)]]&gt;=Tabla1[[#This Row],[Tiempo
(Hrs 00/100)]],"cumple","no cumple"),"")</f>
        <v>cumple</v>
      </c>
      <c r="W619" s="376" t="s">
        <v>962</v>
      </c>
      <c r="X619" s="463" t="str">
        <f t="shared" si="80"/>
        <v>SPD</v>
      </c>
      <c r="Y619" s="459" t="str">
        <f>SUBSTITUTE(Tabla1[[#This Row],[Descripción]],CHAR(10),"    I    ")</f>
        <v xml:space="preserve">Se modifcan las peticiones http para poder adaptarse a la nueva manera de enviar el cuerpo json cifrado y elarchivo adjunto multipart </v>
      </c>
      <c r="Z619" s="464">
        <f>VLOOKUP(Tabla1[[#This Row],[Perfil]],Catalogos!$B$75:$D$100,3,FALSE)*Tabla1[[#This Row],[Tiempo
(Hrs 00/100)]]*1.16</f>
        <v>1739.9999999999998</v>
      </c>
    </row>
    <row r="620" spans="1:26" ht="15" customHeight="1" x14ac:dyDescent="0.3">
      <c r="A620" s="224" t="s">
        <v>22</v>
      </c>
      <c r="B620" s="224" t="s">
        <v>23</v>
      </c>
      <c r="C620" s="224" t="s">
        <v>45</v>
      </c>
      <c r="D620" s="224"/>
      <c r="E620" s="224" t="s">
        <v>554</v>
      </c>
      <c r="F620" s="224" t="s">
        <v>23</v>
      </c>
      <c r="G620" s="224"/>
      <c r="H620" s="486" t="s">
        <v>1018</v>
      </c>
      <c r="I620" s="486" t="s">
        <v>1019</v>
      </c>
      <c r="J620" s="487">
        <v>45043</v>
      </c>
      <c r="K620" s="747">
        <v>0.375</v>
      </c>
      <c r="L620" s="487">
        <v>45043</v>
      </c>
      <c r="M620" s="488">
        <v>0.45833333333333331</v>
      </c>
      <c r="N620" s="224">
        <v>2</v>
      </c>
      <c r="O620" s="224" t="s">
        <v>17</v>
      </c>
      <c r="P620" s="425" t="s">
        <v>557</v>
      </c>
      <c r="Q620" s="788" t="s">
        <v>558</v>
      </c>
      <c r="R620" s="224" t="s">
        <v>263</v>
      </c>
      <c r="S620" s="31" t="s">
        <v>273</v>
      </c>
      <c r="T620" s="31" t="s">
        <v>273</v>
      </c>
      <c r="U620" s="31">
        <f>IFERROR(VLOOKUP(CONCATENATE(Tabla1[[#This Row],[Severidad]]," ",Tabla1[[#This Row],[Complejidad]]),Catalogos!E$120:G$128,3,FALSE),"")</f>
        <v>64</v>
      </c>
      <c r="V620" s="31" t="str">
        <f>IF(Tabla1[[#This Row],[Tiempo solución max (hrs)]]&lt;&gt;"",IF(Tabla1[[#This Row],[Tiempo solución max (hrs)]]&gt;=Tabla1[[#This Row],[Tiempo
(Hrs 00/100)]],"cumple","no cumple"),"")</f>
        <v>cumple</v>
      </c>
      <c r="W620" s="376" t="s">
        <v>962</v>
      </c>
      <c r="X620" s="463" t="str">
        <f t="shared" si="80"/>
        <v>SPD</v>
      </c>
      <c r="Y620" s="459" t="str">
        <f>SUBSTITUTE(Tabla1[[#This Row],[Descripción]],CHAR(10),"    I    ")</f>
        <v xml:space="preserve">Se modifcan las peticiones http para poder adaptarse a la nueva manera de enviar el cuerpo json cifrado y elarchivo adjunto multipart </v>
      </c>
      <c r="Z620" s="464">
        <f>VLOOKUP(Tabla1[[#This Row],[Perfil]],Catalogos!$B$75:$D$100,3,FALSE)*Tabla1[[#This Row],[Tiempo
(Hrs 00/100)]]*1.16</f>
        <v>1160</v>
      </c>
    </row>
    <row r="621" spans="1:26" ht="15" customHeight="1" x14ac:dyDescent="0.3">
      <c r="A621" s="224" t="s">
        <v>22</v>
      </c>
      <c r="B621" s="224" t="s">
        <v>23</v>
      </c>
      <c r="C621" s="224" t="s">
        <v>45</v>
      </c>
      <c r="D621" s="224"/>
      <c r="E621" s="224" t="s">
        <v>554</v>
      </c>
      <c r="F621" s="224" t="s">
        <v>23</v>
      </c>
      <c r="G621" s="224"/>
      <c r="H621" s="486" t="s">
        <v>1020</v>
      </c>
      <c r="I621" s="486" t="s">
        <v>1021</v>
      </c>
      <c r="J621" s="487">
        <v>45043</v>
      </c>
      <c r="K621" s="488">
        <v>0.45833333333333331</v>
      </c>
      <c r="L621" s="487">
        <v>45043</v>
      </c>
      <c r="M621" s="488">
        <v>0.70833333333333337</v>
      </c>
      <c r="N621" s="224">
        <v>4</v>
      </c>
      <c r="O621" s="224" t="s">
        <v>17</v>
      </c>
      <c r="P621" s="425" t="s">
        <v>557</v>
      </c>
      <c r="Q621" s="788" t="s">
        <v>558</v>
      </c>
      <c r="R621" s="224" t="s">
        <v>263</v>
      </c>
      <c r="S621" s="31" t="s">
        <v>273</v>
      </c>
      <c r="T621" s="31" t="s">
        <v>273</v>
      </c>
      <c r="U621" s="31">
        <f>IFERROR(VLOOKUP(CONCATENATE(Tabla1[[#This Row],[Severidad]]," ",Tabla1[[#This Row],[Complejidad]]),Catalogos!E$120:G$128,3,FALSE),"")</f>
        <v>64</v>
      </c>
      <c r="V621" s="31" t="str">
        <f>IF(Tabla1[[#This Row],[Tiempo solución max (hrs)]]&lt;&gt;"",IF(Tabla1[[#This Row],[Tiempo solución max (hrs)]]&gt;=Tabla1[[#This Row],[Tiempo
(Hrs 00/100)]],"cumple","no cumple"),"")</f>
        <v>cumple</v>
      </c>
      <c r="W621" s="376" t="s">
        <v>962</v>
      </c>
      <c r="X621" s="463" t="str">
        <f t="shared" si="80"/>
        <v>SPD</v>
      </c>
      <c r="Y621" s="459" t="str">
        <f>SUBSTITUTE(Tabla1[[#This Row],[Descripción]],CHAR(10),"    I    ")</f>
        <v>Se agrega servicio para obtener el archivo adjunto alojado externo y se agrega funcionalidad para abrirlo con el navegador nativo del dispositivo [modelo, peticion y respuesta]</v>
      </c>
      <c r="Z621" s="464">
        <f>VLOOKUP(Tabla1[[#This Row],[Perfil]],Catalogos!$B$75:$D$100,3,FALSE)*Tabla1[[#This Row],[Tiempo
(Hrs 00/100)]]*1.16</f>
        <v>2320</v>
      </c>
    </row>
    <row r="622" spans="1:26" ht="15" customHeight="1" x14ac:dyDescent="0.3">
      <c r="A622" s="224" t="s">
        <v>22</v>
      </c>
      <c r="B622" s="224" t="s">
        <v>23</v>
      </c>
      <c r="C622" s="224" t="s">
        <v>45</v>
      </c>
      <c r="D622" s="224"/>
      <c r="E622" s="224" t="s">
        <v>554</v>
      </c>
      <c r="F622" s="224" t="s">
        <v>23</v>
      </c>
      <c r="G622" s="224"/>
      <c r="H622" s="486" t="s">
        <v>1007</v>
      </c>
      <c r="I622" s="486" t="s">
        <v>1022</v>
      </c>
      <c r="J622" s="487">
        <v>45043</v>
      </c>
      <c r="K622" s="488">
        <v>0.70833333333333337</v>
      </c>
      <c r="L622" s="487">
        <v>45043</v>
      </c>
      <c r="M622" s="488">
        <v>0.79166666666666663</v>
      </c>
      <c r="N622" s="224">
        <v>2</v>
      </c>
      <c r="O622" s="224" t="s">
        <v>17</v>
      </c>
      <c r="P622" s="425" t="s">
        <v>557</v>
      </c>
      <c r="Q622" s="788" t="s">
        <v>558</v>
      </c>
      <c r="R622" s="224" t="s">
        <v>263</v>
      </c>
      <c r="S622" s="31" t="s">
        <v>273</v>
      </c>
      <c r="T622" s="31" t="s">
        <v>273</v>
      </c>
      <c r="U622" s="31">
        <f>IFERROR(VLOOKUP(CONCATENATE(Tabla1[[#This Row],[Severidad]]," ",Tabla1[[#This Row],[Complejidad]]),Catalogos!E$120:G$128,3,FALSE),"")</f>
        <v>64</v>
      </c>
      <c r="V622" s="31" t="str">
        <f>IF(Tabla1[[#This Row],[Tiempo solución max (hrs)]]&lt;&gt;"",IF(Tabla1[[#This Row],[Tiempo solución max (hrs)]]&gt;=Tabla1[[#This Row],[Tiempo
(Hrs 00/100)]],"cumple","no cumple"),"")</f>
        <v>cumple</v>
      </c>
      <c r="W622" s="376" t="s">
        <v>962</v>
      </c>
      <c r="X622" s="463" t="str">
        <f t="shared" si="80"/>
        <v>SPD</v>
      </c>
      <c r="Y622" s="459" t="str">
        <f>SUBSTITUTE(Tabla1[[#This Row],[Descripción]],CHAR(10),"    I    ")</f>
        <v>Se verifica funcionalida y existencia de diversos servicios utilizados en la app v3</v>
      </c>
      <c r="Z622" s="464">
        <f>VLOOKUP(Tabla1[[#This Row],[Perfil]],Catalogos!$B$75:$D$100,3,FALSE)*Tabla1[[#This Row],[Tiempo
(Hrs 00/100)]]*1.16</f>
        <v>1160</v>
      </c>
    </row>
    <row r="623" spans="1:26" ht="15" customHeight="1" x14ac:dyDescent="0.3">
      <c r="A623" s="224" t="s">
        <v>22</v>
      </c>
      <c r="B623" s="224" t="s">
        <v>23</v>
      </c>
      <c r="C623" s="224" t="s">
        <v>45</v>
      </c>
      <c r="D623" s="224"/>
      <c r="E623" s="224" t="s">
        <v>554</v>
      </c>
      <c r="F623" s="224" t="s">
        <v>23</v>
      </c>
      <c r="G623" s="224"/>
      <c r="H623" s="486" t="s">
        <v>1023</v>
      </c>
      <c r="I623" s="486" t="s">
        <v>1024</v>
      </c>
      <c r="J623" s="487">
        <v>45044</v>
      </c>
      <c r="K623" s="747">
        <v>0.375</v>
      </c>
      <c r="L623" s="487">
        <v>45044</v>
      </c>
      <c r="M623" s="470">
        <v>0.54166666666666663</v>
      </c>
      <c r="N623" s="224">
        <v>4</v>
      </c>
      <c r="O623" s="224" t="s">
        <v>17</v>
      </c>
      <c r="P623" s="425" t="s">
        <v>557</v>
      </c>
      <c r="Q623" s="788" t="s">
        <v>558</v>
      </c>
      <c r="R623" s="224" t="s">
        <v>263</v>
      </c>
      <c r="S623" s="31" t="s">
        <v>273</v>
      </c>
      <c r="T623" s="31" t="s">
        <v>273</v>
      </c>
      <c r="U623" s="31">
        <f>IFERROR(VLOOKUP(CONCATENATE(Tabla1[[#This Row],[Severidad]]," ",Tabla1[[#This Row],[Complejidad]]),Catalogos!E$120:G$128,3,FALSE),"")</f>
        <v>64</v>
      </c>
      <c r="V623" s="31" t="str">
        <f>IF(Tabla1[[#This Row],[Tiempo solución max (hrs)]]&lt;&gt;"",IF(Tabla1[[#This Row],[Tiempo solución max (hrs)]]&gt;=Tabla1[[#This Row],[Tiempo
(Hrs 00/100)]],"cumple","no cumple"),"")</f>
        <v>cumple</v>
      </c>
      <c r="W623" s="376" t="s">
        <v>962</v>
      </c>
      <c r="X623" s="463" t="str">
        <f t="shared" si="80"/>
        <v>SPD</v>
      </c>
      <c r="Y623" s="459" t="str">
        <f>SUBSTITUTE(Tabla1[[#This Row],[Descripción]],CHAR(10),"    I    ")</f>
        <v>Correccion de las pantallas de resultados de busqueda de mis quejas y detalle de mis quejas, se corrigen los campos visualizados y diseño de pantalla</v>
      </c>
      <c r="Z623" s="464">
        <f>VLOOKUP(Tabla1[[#This Row],[Perfil]],Catalogos!$B$75:$D$100,3,FALSE)*Tabla1[[#This Row],[Tiempo
(Hrs 00/100)]]*1.16</f>
        <v>2320</v>
      </c>
    </row>
    <row r="624" spans="1:26" ht="15" customHeight="1" x14ac:dyDescent="0.3">
      <c r="A624" s="224" t="s">
        <v>22</v>
      </c>
      <c r="B624" s="224" t="s">
        <v>23</v>
      </c>
      <c r="C624" s="224" t="s">
        <v>45</v>
      </c>
      <c r="D624" s="224"/>
      <c r="E624" s="224" t="s">
        <v>554</v>
      </c>
      <c r="F624" s="224" t="s">
        <v>23</v>
      </c>
      <c r="G624" s="224"/>
      <c r="H624" s="486" t="s">
        <v>1023</v>
      </c>
      <c r="I624" s="486" t="s">
        <v>1025</v>
      </c>
      <c r="J624" s="487">
        <v>45044</v>
      </c>
      <c r="K624" s="470">
        <v>0.54166666666666663</v>
      </c>
      <c r="L624" s="487">
        <v>45044</v>
      </c>
      <c r="M624" s="473">
        <v>0.79166666666666663</v>
      </c>
      <c r="N624" s="224">
        <v>4</v>
      </c>
      <c r="O624" s="224" t="s">
        <v>17</v>
      </c>
      <c r="P624" s="425" t="s">
        <v>557</v>
      </c>
      <c r="Q624" s="788" t="s">
        <v>558</v>
      </c>
      <c r="R624" s="224" t="s">
        <v>263</v>
      </c>
      <c r="S624" s="31" t="s">
        <v>273</v>
      </c>
      <c r="T624" s="31" t="s">
        <v>273</v>
      </c>
      <c r="U624" s="31">
        <f>IFERROR(VLOOKUP(CONCATENATE(Tabla1[[#This Row],[Severidad]]," ",Tabla1[[#This Row],[Complejidad]]),Catalogos!E$120:G$128,3,FALSE),"")</f>
        <v>64</v>
      </c>
      <c r="V624" s="31" t="str">
        <f>IF(Tabla1[[#This Row],[Tiempo solución max (hrs)]]&lt;&gt;"",IF(Tabla1[[#This Row],[Tiempo solución max (hrs)]]&gt;=Tabla1[[#This Row],[Tiempo
(Hrs 00/100)]],"cumple","no cumple"),"")</f>
        <v>cumple</v>
      </c>
      <c r="W624" s="376" t="s">
        <v>962</v>
      </c>
      <c r="X624" s="463" t="str">
        <f t="shared" si="80"/>
        <v>SPD</v>
      </c>
      <c r="Y624" s="459" t="str">
        <f>SUBSTITUTE(Tabla1[[#This Row],[Descripción]],CHAR(10),"    I    ")</f>
        <v>Se incorpora servicio para poder listar las notificaciones en el detalle de mis quejas</v>
      </c>
      <c r="Z624" s="464">
        <f>VLOOKUP(Tabla1[[#This Row],[Perfil]],Catalogos!$B$75:$D$100,3,FALSE)*Tabla1[[#This Row],[Tiempo
(Hrs 00/100)]]*1.16</f>
        <v>2320</v>
      </c>
    </row>
    <row r="625" spans="1:26" ht="27.6" x14ac:dyDescent="0.3">
      <c r="A625" s="370" t="s">
        <v>22</v>
      </c>
      <c r="B625" s="370" t="s">
        <v>23</v>
      </c>
      <c r="C625" s="489" t="s">
        <v>49</v>
      </c>
      <c r="D625" s="370"/>
      <c r="E625" s="370" t="s">
        <v>404</v>
      </c>
      <c r="F625" s="370" t="s">
        <v>23</v>
      </c>
      <c r="G625" s="370"/>
      <c r="H625" s="371" t="s">
        <v>1026</v>
      </c>
      <c r="I625" s="371" t="s">
        <v>1027</v>
      </c>
      <c r="J625" s="369">
        <v>45019</v>
      </c>
      <c r="K625" s="747">
        <v>0.375</v>
      </c>
      <c r="L625" s="369">
        <v>45019</v>
      </c>
      <c r="M625" s="753">
        <v>0.79166666666666663</v>
      </c>
      <c r="N625" s="373">
        <v>8</v>
      </c>
      <c r="O625" s="374" t="s">
        <v>411</v>
      </c>
      <c r="P625" s="375" t="s">
        <v>613</v>
      </c>
      <c r="Q625" s="744" t="s">
        <v>294</v>
      </c>
      <c r="R625" s="202" t="s">
        <v>40</v>
      </c>
      <c r="S625" s="31" t="s">
        <v>273</v>
      </c>
      <c r="T625" s="31" t="s">
        <v>273</v>
      </c>
      <c r="U625" s="31">
        <f>IFERROR(VLOOKUP(CONCATENATE(Tabla1[[#This Row],[Severidad]]," ",Tabla1[[#This Row],[Complejidad]]),Catalogos!E$120:G$128,3,FALSE),"")</f>
        <v>64</v>
      </c>
      <c r="V625" s="31" t="str">
        <f>IF(Tabla1[[#This Row],[Tiempo solución max (hrs)]]&lt;&gt;"",IF(Tabla1[[#This Row],[Tiempo solución max (hrs)]]&gt;=Tabla1[[#This Row],[Tiempo
(Hrs 00/100)]],"cumple","no cumple"),"")</f>
        <v>cumple</v>
      </c>
      <c r="W625" s="376" t="s">
        <v>962</v>
      </c>
      <c r="X625" s="463" t="str">
        <f t="shared" si="80"/>
        <v>SAI</v>
      </c>
      <c r="Y625" s="459" t="str">
        <f>SUBSTITUTE(Tabla1[[#This Row],[Descripción]],CHAR(10),"    I    ")</f>
        <v>Se realizan las observaciones del módulo de seguimientos, alta y edición de seguimientos</v>
      </c>
      <c r="Z625" s="464">
        <f>VLOOKUP(Tabla1[[#This Row],[Perfil]],Catalogos!$B$75:$D$100,3,FALSE)*Tabla1[[#This Row],[Tiempo
(Hrs 00/100)]]*1.16</f>
        <v>6496</v>
      </c>
    </row>
    <row r="626" spans="1:26" ht="27.6" x14ac:dyDescent="0.3">
      <c r="A626" s="370" t="s">
        <v>22</v>
      </c>
      <c r="B626" s="370" t="s">
        <v>23</v>
      </c>
      <c r="C626" s="489" t="s">
        <v>49</v>
      </c>
      <c r="D626" s="370"/>
      <c r="E626" s="370" t="s">
        <v>404</v>
      </c>
      <c r="F626" s="370" t="s">
        <v>23</v>
      </c>
      <c r="G626" s="370"/>
      <c r="H626" s="371" t="s">
        <v>1026</v>
      </c>
      <c r="I626" s="371" t="s">
        <v>1027</v>
      </c>
      <c r="J626" s="369">
        <v>45020</v>
      </c>
      <c r="K626" s="709">
        <v>0.375</v>
      </c>
      <c r="L626" s="369">
        <v>45020</v>
      </c>
      <c r="M626" s="739">
        <v>0.79166666666666663</v>
      </c>
      <c r="N626" s="373">
        <v>8</v>
      </c>
      <c r="O626" s="374" t="s">
        <v>411</v>
      </c>
      <c r="P626" s="375" t="s">
        <v>613</v>
      </c>
      <c r="Q626" s="744" t="s">
        <v>294</v>
      </c>
      <c r="R626" s="202" t="s">
        <v>40</v>
      </c>
      <c r="S626" s="31" t="s">
        <v>273</v>
      </c>
      <c r="T626" s="31" t="s">
        <v>273</v>
      </c>
      <c r="U626" s="31">
        <f>IFERROR(VLOOKUP(CONCATENATE(Tabla1[[#This Row],[Severidad]]," ",Tabla1[[#This Row],[Complejidad]]),Catalogos!E$120:G$128,3,FALSE),"")</f>
        <v>64</v>
      </c>
      <c r="V626" s="31" t="str">
        <f>IF(Tabla1[[#This Row],[Tiempo solución max (hrs)]]&lt;&gt;"",IF(Tabla1[[#This Row],[Tiempo solución max (hrs)]]&gt;=Tabla1[[#This Row],[Tiempo
(Hrs 00/100)]],"cumple","no cumple"),"")</f>
        <v>cumple</v>
      </c>
      <c r="W626" s="376" t="s">
        <v>962</v>
      </c>
      <c r="X626" s="463" t="str">
        <f t="shared" si="80"/>
        <v>SAI</v>
      </c>
      <c r="Y626" s="459" t="str">
        <f>SUBSTITUTE(Tabla1[[#This Row],[Descripción]],CHAR(10),"    I    ")</f>
        <v>Se realizan las observaciones del módulo de seguimientos, alta y edición de seguimientos</v>
      </c>
      <c r="Z626" s="464">
        <f>VLOOKUP(Tabla1[[#This Row],[Perfil]],Catalogos!$B$75:$D$100,3,FALSE)*Tabla1[[#This Row],[Tiempo
(Hrs 00/100)]]*1.16</f>
        <v>6496</v>
      </c>
    </row>
    <row r="627" spans="1:26" ht="27.6" x14ac:dyDescent="0.3">
      <c r="A627" s="370" t="s">
        <v>22</v>
      </c>
      <c r="B627" s="370" t="s">
        <v>23</v>
      </c>
      <c r="C627" s="489" t="s">
        <v>49</v>
      </c>
      <c r="D627" s="370"/>
      <c r="E627" s="370" t="s">
        <v>404</v>
      </c>
      <c r="F627" s="370" t="s">
        <v>23</v>
      </c>
      <c r="G627" s="370"/>
      <c r="H627" s="371" t="s">
        <v>1026</v>
      </c>
      <c r="I627" s="371" t="s">
        <v>1027</v>
      </c>
      <c r="J627" s="369">
        <v>45021</v>
      </c>
      <c r="K627" s="709">
        <v>0.375</v>
      </c>
      <c r="L627" s="369">
        <v>45021</v>
      </c>
      <c r="M627" s="739">
        <v>0.79166666666666663</v>
      </c>
      <c r="N627" s="373">
        <v>8</v>
      </c>
      <c r="O627" s="374" t="s">
        <v>17</v>
      </c>
      <c r="P627" s="375" t="s">
        <v>613</v>
      </c>
      <c r="Q627" s="744" t="s">
        <v>294</v>
      </c>
      <c r="R627" s="202" t="s">
        <v>40</v>
      </c>
      <c r="S627" s="31" t="s">
        <v>273</v>
      </c>
      <c r="T627" s="31" t="s">
        <v>273</v>
      </c>
      <c r="U627" s="31">
        <f>IFERROR(VLOOKUP(CONCATENATE(Tabla1[[#This Row],[Severidad]]," ",Tabla1[[#This Row],[Complejidad]]),Catalogos!E$120:G$128,3,FALSE),"")</f>
        <v>64</v>
      </c>
      <c r="V627" s="31" t="str">
        <f>IF(Tabla1[[#This Row],[Tiempo solución max (hrs)]]&lt;&gt;"",IF(Tabla1[[#This Row],[Tiempo solución max (hrs)]]&gt;=Tabla1[[#This Row],[Tiempo
(Hrs 00/100)]],"cumple","no cumple"),"")</f>
        <v>cumple</v>
      </c>
      <c r="W627" s="376" t="s">
        <v>962</v>
      </c>
      <c r="X627" s="463" t="str">
        <f t="shared" si="80"/>
        <v>SAI</v>
      </c>
      <c r="Y627" s="459" t="str">
        <f>SUBSTITUTE(Tabla1[[#This Row],[Descripción]],CHAR(10),"    I    ")</f>
        <v>Se realizan las observaciones del módulo de seguimientos, alta y edición de seguimientos</v>
      </c>
      <c r="Z627" s="464">
        <f>VLOOKUP(Tabla1[[#This Row],[Perfil]],Catalogos!$B$75:$D$100,3,FALSE)*Tabla1[[#This Row],[Tiempo
(Hrs 00/100)]]*1.16</f>
        <v>6496</v>
      </c>
    </row>
    <row r="628" spans="1:26" ht="27.6" x14ac:dyDescent="0.3">
      <c r="A628" s="370" t="s">
        <v>22</v>
      </c>
      <c r="B628" s="370" t="s">
        <v>23</v>
      </c>
      <c r="C628" s="489" t="s">
        <v>49</v>
      </c>
      <c r="D628" s="382"/>
      <c r="E628" s="370" t="s">
        <v>404</v>
      </c>
      <c r="F628" s="370" t="s">
        <v>23</v>
      </c>
      <c r="G628" s="370"/>
      <c r="H628" s="371" t="s">
        <v>1026</v>
      </c>
      <c r="I628" s="371" t="s">
        <v>1028</v>
      </c>
      <c r="J628" s="369">
        <v>45022</v>
      </c>
      <c r="K628" s="747">
        <v>0.375</v>
      </c>
      <c r="L628" s="369">
        <v>45022</v>
      </c>
      <c r="M628" s="753">
        <v>0.79166666666666663</v>
      </c>
      <c r="N628" s="373">
        <v>8</v>
      </c>
      <c r="O628" s="374" t="s">
        <v>17</v>
      </c>
      <c r="P628" s="375" t="s">
        <v>613</v>
      </c>
      <c r="Q628" s="744" t="s">
        <v>294</v>
      </c>
      <c r="R628" s="202" t="s">
        <v>40</v>
      </c>
      <c r="S628" s="31" t="s">
        <v>273</v>
      </c>
      <c r="T628" s="31" t="s">
        <v>273</v>
      </c>
      <c r="U628" s="31">
        <f>IFERROR(VLOOKUP(CONCATENATE(Tabla1[[#This Row],[Severidad]]," ",Tabla1[[#This Row],[Complejidad]]),Catalogos!E$120:G$128,3,FALSE),"")</f>
        <v>64</v>
      </c>
      <c r="V628" s="31" t="str">
        <f>IF(Tabla1[[#This Row],[Tiempo solución max (hrs)]]&lt;&gt;"",IF(Tabla1[[#This Row],[Tiempo solución max (hrs)]]&gt;=Tabla1[[#This Row],[Tiempo
(Hrs 00/100)]],"cumple","no cumple"),"")</f>
        <v>cumple</v>
      </c>
      <c r="W628" s="376" t="s">
        <v>962</v>
      </c>
      <c r="X628" s="463" t="str">
        <f t="shared" si="80"/>
        <v>SAI</v>
      </c>
      <c r="Y628" s="459" t="str">
        <f>SUBSTITUTE(Tabla1[[#This Row],[Descripción]],CHAR(10),"    I    ")</f>
        <v>Se realizan las observaciones del módulo de seguimientos, cambio de estatus y visualización de seguimiento</v>
      </c>
      <c r="Z628" s="464">
        <f>VLOOKUP(Tabla1[[#This Row],[Perfil]],Catalogos!$B$75:$D$100,3,FALSE)*Tabla1[[#This Row],[Tiempo
(Hrs 00/100)]]*1.16</f>
        <v>6496</v>
      </c>
    </row>
    <row r="629" spans="1:26" ht="27.6" x14ac:dyDescent="0.3">
      <c r="A629" s="370" t="s">
        <v>22</v>
      </c>
      <c r="B629" s="370" t="s">
        <v>23</v>
      </c>
      <c r="C629" s="489" t="s">
        <v>49</v>
      </c>
      <c r="D629" s="382"/>
      <c r="E629" s="370" t="s">
        <v>404</v>
      </c>
      <c r="F629" s="370" t="s">
        <v>23</v>
      </c>
      <c r="G629" s="370"/>
      <c r="H629" s="371" t="s">
        <v>1026</v>
      </c>
      <c r="I629" s="371" t="s">
        <v>1029</v>
      </c>
      <c r="J629" s="369">
        <v>45023</v>
      </c>
      <c r="K629" s="747">
        <v>0.375</v>
      </c>
      <c r="L629" s="369">
        <v>45023</v>
      </c>
      <c r="M629" s="753">
        <v>0.79166666666666663</v>
      </c>
      <c r="N629" s="210">
        <v>8</v>
      </c>
      <c r="O629" s="374" t="s">
        <v>17</v>
      </c>
      <c r="P629" s="375" t="s">
        <v>613</v>
      </c>
      <c r="Q629" s="744" t="s">
        <v>294</v>
      </c>
      <c r="R629" s="202" t="s">
        <v>40</v>
      </c>
      <c r="S629" s="31" t="s">
        <v>273</v>
      </c>
      <c r="T629" s="31" t="s">
        <v>273</v>
      </c>
      <c r="U629" s="31">
        <f>IFERROR(VLOOKUP(CONCATENATE(Tabla1[[#This Row],[Severidad]]," ",Tabla1[[#This Row],[Complejidad]]),Catalogos!E$120:G$128,3,FALSE),"")</f>
        <v>64</v>
      </c>
      <c r="V629" s="31" t="str">
        <f>IF(Tabla1[[#This Row],[Tiempo solución max (hrs)]]&lt;&gt;"",IF(Tabla1[[#This Row],[Tiempo solución max (hrs)]]&gt;=Tabla1[[#This Row],[Tiempo
(Hrs 00/100)]],"cumple","no cumple"),"")</f>
        <v>cumple</v>
      </c>
      <c r="W629" s="376" t="s">
        <v>962</v>
      </c>
      <c r="X629" s="463" t="str">
        <f t="shared" si="80"/>
        <v>SAI</v>
      </c>
      <c r="Y629" s="459" t="str">
        <f>SUBSTITUTE(Tabla1[[#This Row],[Descripción]],CHAR(10),"    I    ")</f>
        <v>Se realizan las observaciones del módulo de seguimientos,busqueda y tabla de resultados</v>
      </c>
      <c r="Z629" s="464">
        <f>VLOOKUP(Tabla1[[#This Row],[Perfil]],Catalogos!$B$75:$D$100,3,FALSE)*Tabla1[[#This Row],[Tiempo
(Hrs 00/100)]]*1.16</f>
        <v>6496</v>
      </c>
    </row>
    <row r="630" spans="1:26" ht="15" customHeight="1" x14ac:dyDescent="0.3">
      <c r="A630" s="489" t="s">
        <v>22</v>
      </c>
      <c r="B630" s="489" t="s">
        <v>23</v>
      </c>
      <c r="C630" s="489" t="s">
        <v>45</v>
      </c>
      <c r="D630" s="489"/>
      <c r="E630" s="489" t="s">
        <v>375</v>
      </c>
      <c r="F630" s="489" t="s">
        <v>23</v>
      </c>
      <c r="G630" s="243"/>
      <c r="H630" s="243" t="s">
        <v>1030</v>
      </c>
      <c r="I630" s="243" t="s">
        <v>657</v>
      </c>
      <c r="J630" s="369">
        <v>45026</v>
      </c>
      <c r="K630" s="709">
        <v>0.375</v>
      </c>
      <c r="L630" s="369">
        <v>45026</v>
      </c>
      <c r="M630" s="739">
        <v>0.79166666666666663</v>
      </c>
      <c r="N630" s="373">
        <v>8</v>
      </c>
      <c r="O630" s="374" t="s">
        <v>411</v>
      </c>
      <c r="P630" s="375" t="s">
        <v>647</v>
      </c>
      <c r="Q630" s="744" t="s">
        <v>294</v>
      </c>
      <c r="R630" s="202" t="s">
        <v>40</v>
      </c>
      <c r="S630" s="31" t="s">
        <v>273</v>
      </c>
      <c r="T630" s="31" t="s">
        <v>273</v>
      </c>
      <c r="U630" s="31">
        <f>IFERROR(VLOOKUP(CONCATENATE(Tabla1[[#This Row],[Severidad]]," ",Tabla1[[#This Row],[Complejidad]]),Catalogos!E$120:G$128,3,FALSE),"")</f>
        <v>64</v>
      </c>
      <c r="V630" s="31" t="str">
        <f>IF(Tabla1[[#This Row],[Tiempo solución max (hrs)]]&lt;&gt;"",IF(Tabla1[[#This Row],[Tiempo solución max (hrs)]]&gt;=Tabla1[[#This Row],[Tiempo
(Hrs 00/100)]],"cumple","no cumple"),"")</f>
        <v>cumple</v>
      </c>
      <c r="W630" s="376" t="s">
        <v>962</v>
      </c>
      <c r="X630" s="463" t="str">
        <f t="shared" si="80"/>
        <v>SPD</v>
      </c>
      <c r="Y630" s="459" t="str">
        <f>SUBSTITUTE(Tabla1[[#This Row],[Descripción]],CHAR(10),"    I    ")</f>
        <v>Se trabaja en el servicio de guardado de quejas</v>
      </c>
      <c r="Z630" s="464">
        <f>VLOOKUP(Tabla1[[#This Row],[Perfil]],Catalogos!$B$75:$D$100,3,FALSE)*Tabla1[[#This Row],[Tiempo
(Hrs 00/100)]]*1.16</f>
        <v>6496</v>
      </c>
    </row>
    <row r="631" spans="1:26" ht="15" customHeight="1" x14ac:dyDescent="0.3">
      <c r="A631" s="489" t="s">
        <v>22</v>
      </c>
      <c r="B631" s="489" t="s">
        <v>23</v>
      </c>
      <c r="C631" s="489" t="s">
        <v>45</v>
      </c>
      <c r="D631" s="489"/>
      <c r="E631" s="489" t="s">
        <v>375</v>
      </c>
      <c r="F631" s="489" t="s">
        <v>23</v>
      </c>
      <c r="G631" s="243"/>
      <c r="H631" s="243" t="s">
        <v>1030</v>
      </c>
      <c r="I631" s="243" t="s">
        <v>657</v>
      </c>
      <c r="J631" s="369">
        <v>45027</v>
      </c>
      <c r="K631" s="709">
        <v>0.375</v>
      </c>
      <c r="L631" s="369">
        <v>45027</v>
      </c>
      <c r="M631" s="739">
        <v>0.79166666666666663</v>
      </c>
      <c r="N631" s="210">
        <v>8</v>
      </c>
      <c r="O631" s="374" t="s">
        <v>411</v>
      </c>
      <c r="P631" s="375" t="s">
        <v>647</v>
      </c>
      <c r="Q631" s="744" t="s">
        <v>294</v>
      </c>
      <c r="R631" s="202" t="s">
        <v>40</v>
      </c>
      <c r="S631" s="31" t="s">
        <v>273</v>
      </c>
      <c r="T631" s="31" t="s">
        <v>273</v>
      </c>
      <c r="U631" s="31">
        <f>IFERROR(VLOOKUP(CONCATENATE(Tabla1[[#This Row],[Severidad]]," ",Tabla1[[#This Row],[Complejidad]]),Catalogos!E$120:G$128,3,FALSE),"")</f>
        <v>64</v>
      </c>
      <c r="V631" s="31" t="str">
        <f>IF(Tabla1[[#This Row],[Tiempo solución max (hrs)]]&lt;&gt;"",IF(Tabla1[[#This Row],[Tiempo solución max (hrs)]]&gt;=Tabla1[[#This Row],[Tiempo
(Hrs 00/100)]],"cumple","no cumple"),"")</f>
        <v>cumple</v>
      </c>
      <c r="W631" s="376" t="s">
        <v>962</v>
      </c>
      <c r="X631" s="463" t="str">
        <f t="shared" si="80"/>
        <v>SPD</v>
      </c>
      <c r="Y631" s="459" t="str">
        <f>SUBSTITUTE(Tabla1[[#This Row],[Descripción]],CHAR(10),"    I    ")</f>
        <v>Se trabaja en el servicio de guardado de quejas</v>
      </c>
      <c r="Z631" s="464">
        <f>VLOOKUP(Tabla1[[#This Row],[Perfil]],Catalogos!$B$75:$D$100,3,FALSE)*Tabla1[[#This Row],[Tiempo
(Hrs 00/100)]]*1.16</f>
        <v>6496</v>
      </c>
    </row>
    <row r="632" spans="1:26" ht="15" customHeight="1" x14ac:dyDescent="0.3">
      <c r="A632" s="489" t="s">
        <v>22</v>
      </c>
      <c r="B632" s="489" t="s">
        <v>23</v>
      </c>
      <c r="C632" s="489" t="s">
        <v>45</v>
      </c>
      <c r="D632" s="489"/>
      <c r="E632" s="489" t="s">
        <v>375</v>
      </c>
      <c r="F632" s="489" t="s">
        <v>23</v>
      </c>
      <c r="G632" s="243"/>
      <c r="H632" s="243" t="s">
        <v>1030</v>
      </c>
      <c r="I632" s="243" t="s">
        <v>657</v>
      </c>
      <c r="J632" s="369">
        <v>45028</v>
      </c>
      <c r="K632" s="709">
        <v>0.375</v>
      </c>
      <c r="L632" s="369">
        <v>45028</v>
      </c>
      <c r="M632" s="739">
        <v>0.79166666666666663</v>
      </c>
      <c r="N632" s="210">
        <v>8</v>
      </c>
      <c r="O632" s="374" t="s">
        <v>411</v>
      </c>
      <c r="P632" s="375" t="s">
        <v>647</v>
      </c>
      <c r="Q632" s="744" t="s">
        <v>294</v>
      </c>
      <c r="R632" s="202" t="s">
        <v>40</v>
      </c>
      <c r="S632" s="31" t="s">
        <v>273</v>
      </c>
      <c r="T632" s="31" t="s">
        <v>273</v>
      </c>
      <c r="U632" s="31">
        <f>IFERROR(VLOOKUP(CONCATENATE(Tabla1[[#This Row],[Severidad]]," ",Tabla1[[#This Row],[Complejidad]]),Catalogos!E$120:G$128,3,FALSE),"")</f>
        <v>64</v>
      </c>
      <c r="V632" s="31" t="str">
        <f>IF(Tabla1[[#This Row],[Tiempo solución max (hrs)]]&lt;&gt;"",IF(Tabla1[[#This Row],[Tiempo solución max (hrs)]]&gt;=Tabla1[[#This Row],[Tiempo
(Hrs 00/100)]],"cumple","no cumple"),"")</f>
        <v>cumple</v>
      </c>
      <c r="W632" s="376" t="s">
        <v>962</v>
      </c>
      <c r="X632" s="463" t="str">
        <f t="shared" si="80"/>
        <v>SPD</v>
      </c>
      <c r="Y632" s="459" t="str">
        <f>SUBSTITUTE(Tabla1[[#This Row],[Descripción]],CHAR(10),"    I    ")</f>
        <v>Se trabaja en el servicio de guardado de quejas</v>
      </c>
      <c r="Z632" s="464">
        <f>VLOOKUP(Tabla1[[#This Row],[Perfil]],Catalogos!$B$75:$D$100,3,FALSE)*Tabla1[[#This Row],[Tiempo
(Hrs 00/100)]]*1.16</f>
        <v>6496</v>
      </c>
    </row>
    <row r="633" spans="1:26" ht="15" customHeight="1" x14ac:dyDescent="0.3">
      <c r="A633" s="489" t="s">
        <v>22</v>
      </c>
      <c r="B633" s="489" t="s">
        <v>23</v>
      </c>
      <c r="C633" s="489" t="s">
        <v>45</v>
      </c>
      <c r="D633" s="489"/>
      <c r="E633" s="489" t="s">
        <v>375</v>
      </c>
      <c r="F633" s="489" t="s">
        <v>23</v>
      </c>
      <c r="G633" s="243"/>
      <c r="H633" s="243" t="s">
        <v>1030</v>
      </c>
      <c r="I633" s="243" t="s">
        <v>657</v>
      </c>
      <c r="J633" s="369">
        <v>45029</v>
      </c>
      <c r="K633" s="709">
        <v>0.375</v>
      </c>
      <c r="L633" s="369">
        <v>45029</v>
      </c>
      <c r="M633" s="739">
        <v>0.79166666666666663</v>
      </c>
      <c r="N633" s="210">
        <v>8</v>
      </c>
      <c r="O633" s="374" t="s">
        <v>411</v>
      </c>
      <c r="P633" s="375" t="s">
        <v>647</v>
      </c>
      <c r="Q633" s="744" t="s">
        <v>294</v>
      </c>
      <c r="R633" s="202" t="s">
        <v>40</v>
      </c>
      <c r="S633" s="31" t="s">
        <v>273</v>
      </c>
      <c r="T633" s="31" t="s">
        <v>273</v>
      </c>
      <c r="U633" s="31">
        <f>IFERROR(VLOOKUP(CONCATENATE(Tabla1[[#This Row],[Severidad]]," ",Tabla1[[#This Row],[Complejidad]]),Catalogos!E$120:G$128,3,FALSE),"")</f>
        <v>64</v>
      </c>
      <c r="V633" s="31" t="str">
        <f>IF(Tabla1[[#This Row],[Tiempo solución max (hrs)]]&lt;&gt;"",IF(Tabla1[[#This Row],[Tiempo solución max (hrs)]]&gt;=Tabla1[[#This Row],[Tiempo
(Hrs 00/100)]],"cumple","no cumple"),"")</f>
        <v>cumple</v>
      </c>
      <c r="W633" s="376" t="s">
        <v>962</v>
      </c>
      <c r="X633" s="463" t="str">
        <f t="shared" si="80"/>
        <v>SPD</v>
      </c>
      <c r="Y633" s="459" t="str">
        <f>SUBSTITUTE(Tabla1[[#This Row],[Descripción]],CHAR(10),"    I    ")</f>
        <v>Se trabaja en el servicio de guardado de quejas</v>
      </c>
      <c r="Z633" s="464">
        <f>VLOOKUP(Tabla1[[#This Row],[Perfil]],Catalogos!$B$75:$D$100,3,FALSE)*Tabla1[[#This Row],[Tiempo
(Hrs 00/100)]]*1.16</f>
        <v>6496</v>
      </c>
    </row>
    <row r="634" spans="1:26" ht="15" customHeight="1" x14ac:dyDescent="0.3">
      <c r="A634" s="370" t="s">
        <v>22</v>
      </c>
      <c r="B634" s="370" t="s">
        <v>23</v>
      </c>
      <c r="C634" s="489" t="s">
        <v>45</v>
      </c>
      <c r="D634" s="370"/>
      <c r="E634" s="489" t="s">
        <v>375</v>
      </c>
      <c r="F634" s="370" t="s">
        <v>23</v>
      </c>
      <c r="G634" s="370"/>
      <c r="H634" s="371" t="s">
        <v>1030</v>
      </c>
      <c r="I634" s="383" t="s">
        <v>657</v>
      </c>
      <c r="J634" s="369">
        <v>45030</v>
      </c>
      <c r="K634" s="709">
        <v>0.375</v>
      </c>
      <c r="L634" s="369">
        <v>45030</v>
      </c>
      <c r="M634" s="739">
        <v>0.79166666666666663</v>
      </c>
      <c r="N634" s="373">
        <v>8</v>
      </c>
      <c r="O634" s="374" t="s">
        <v>411</v>
      </c>
      <c r="P634" s="375" t="s">
        <v>647</v>
      </c>
      <c r="Q634" s="744" t="s">
        <v>294</v>
      </c>
      <c r="R634" s="202" t="s">
        <v>40</v>
      </c>
      <c r="S634" s="31" t="s">
        <v>273</v>
      </c>
      <c r="T634" s="31" t="s">
        <v>273</v>
      </c>
      <c r="U634" s="31">
        <f>IFERROR(VLOOKUP(CONCATENATE(Tabla1[[#This Row],[Severidad]]," ",Tabla1[[#This Row],[Complejidad]]),Catalogos!E$120:G$128,3,FALSE),"")</f>
        <v>64</v>
      </c>
      <c r="V634" s="31" t="str">
        <f>IF(Tabla1[[#This Row],[Tiempo solución max (hrs)]]&lt;&gt;"",IF(Tabla1[[#This Row],[Tiempo solución max (hrs)]]&gt;=Tabla1[[#This Row],[Tiempo
(Hrs 00/100)]],"cumple","no cumple"),"")</f>
        <v>cumple</v>
      </c>
      <c r="W634" s="376" t="s">
        <v>962</v>
      </c>
      <c r="X634" s="463" t="str">
        <f t="shared" si="80"/>
        <v>SPD</v>
      </c>
      <c r="Y634" s="459" t="str">
        <f>SUBSTITUTE(Tabla1[[#This Row],[Descripción]],CHAR(10),"    I    ")</f>
        <v>Se trabaja en el servicio de guardado de quejas</v>
      </c>
      <c r="Z634" s="464">
        <f>VLOOKUP(Tabla1[[#This Row],[Perfil]],Catalogos!$B$75:$D$100,3,FALSE)*Tabla1[[#This Row],[Tiempo
(Hrs 00/100)]]*1.16</f>
        <v>6496</v>
      </c>
    </row>
    <row r="635" spans="1:26" ht="15" customHeight="1" x14ac:dyDescent="0.3">
      <c r="A635" s="210" t="s">
        <v>22</v>
      </c>
      <c r="B635" s="374" t="s">
        <v>23</v>
      </c>
      <c r="C635" s="489" t="s">
        <v>45</v>
      </c>
      <c r="D635" s="382"/>
      <c r="E635" s="489" t="s">
        <v>375</v>
      </c>
      <c r="F635" s="210" t="s">
        <v>23</v>
      </c>
      <c r="G635" s="370"/>
      <c r="H635" s="371" t="s">
        <v>1030</v>
      </c>
      <c r="I635" s="383" t="s">
        <v>657</v>
      </c>
      <c r="J635" s="369">
        <v>45033</v>
      </c>
      <c r="K635" s="709">
        <v>0.375</v>
      </c>
      <c r="L635" s="369">
        <v>45033</v>
      </c>
      <c r="M635" s="739">
        <v>0.79166666666666663</v>
      </c>
      <c r="N635" s="210">
        <v>8</v>
      </c>
      <c r="O635" s="374" t="s">
        <v>411</v>
      </c>
      <c r="P635" s="375" t="s">
        <v>647</v>
      </c>
      <c r="Q635" s="744" t="s">
        <v>294</v>
      </c>
      <c r="R635" s="202" t="s">
        <v>40</v>
      </c>
      <c r="S635" s="31" t="s">
        <v>273</v>
      </c>
      <c r="T635" s="31" t="s">
        <v>273</v>
      </c>
      <c r="U635" s="31">
        <f>IFERROR(VLOOKUP(CONCATENATE(Tabla1[[#This Row],[Severidad]]," ",Tabla1[[#This Row],[Complejidad]]),Catalogos!E$120:G$128,3,FALSE),"")</f>
        <v>64</v>
      </c>
      <c r="V635" s="31" t="str">
        <f>IF(Tabla1[[#This Row],[Tiempo solución max (hrs)]]&lt;&gt;"",IF(Tabla1[[#This Row],[Tiempo solución max (hrs)]]&gt;=Tabla1[[#This Row],[Tiempo
(Hrs 00/100)]],"cumple","no cumple"),"")</f>
        <v>cumple</v>
      </c>
      <c r="W635" s="376" t="s">
        <v>962</v>
      </c>
      <c r="X635" s="463" t="str">
        <f t="shared" si="80"/>
        <v>SPD</v>
      </c>
      <c r="Y635" s="459" t="str">
        <f>SUBSTITUTE(Tabla1[[#This Row],[Descripción]],CHAR(10),"    I    ")</f>
        <v>Se trabaja en el servicio de guardado de quejas</v>
      </c>
      <c r="Z635" s="464">
        <f>VLOOKUP(Tabla1[[#This Row],[Perfil]],Catalogos!$B$75:$D$100,3,FALSE)*Tabla1[[#This Row],[Tiempo
(Hrs 00/100)]]*1.16</f>
        <v>6496</v>
      </c>
    </row>
    <row r="636" spans="1:26" ht="15" customHeight="1" x14ac:dyDescent="0.3">
      <c r="A636" s="210" t="s">
        <v>22</v>
      </c>
      <c r="B636" s="374" t="s">
        <v>23</v>
      </c>
      <c r="C636" s="489" t="s">
        <v>45</v>
      </c>
      <c r="D636" s="382"/>
      <c r="E636" s="489" t="s">
        <v>375</v>
      </c>
      <c r="F636" s="210" t="s">
        <v>23</v>
      </c>
      <c r="G636" s="370"/>
      <c r="H636" s="371" t="s">
        <v>1031</v>
      </c>
      <c r="I636" s="383" t="s">
        <v>657</v>
      </c>
      <c r="J636" s="369">
        <v>45034</v>
      </c>
      <c r="K636" s="709">
        <v>0.375</v>
      </c>
      <c r="L636" s="369">
        <v>45034</v>
      </c>
      <c r="M636" s="739">
        <v>0.79166666666666663</v>
      </c>
      <c r="N636" s="373">
        <v>8</v>
      </c>
      <c r="O636" s="374" t="s">
        <v>411</v>
      </c>
      <c r="P636" s="375" t="s">
        <v>647</v>
      </c>
      <c r="Q636" s="744" t="s">
        <v>294</v>
      </c>
      <c r="R636" s="202" t="s">
        <v>40</v>
      </c>
      <c r="S636" s="31" t="s">
        <v>273</v>
      </c>
      <c r="T636" s="31" t="s">
        <v>273</v>
      </c>
      <c r="U636" s="31">
        <f>IFERROR(VLOOKUP(CONCATENATE(Tabla1[[#This Row],[Severidad]]," ",Tabla1[[#This Row],[Complejidad]]),Catalogos!E$120:G$128,3,FALSE),"")</f>
        <v>64</v>
      </c>
      <c r="V636" s="31" t="str">
        <f>IF(Tabla1[[#This Row],[Tiempo solución max (hrs)]]&lt;&gt;"",IF(Tabla1[[#This Row],[Tiempo solución max (hrs)]]&gt;=Tabla1[[#This Row],[Tiempo
(Hrs 00/100)]],"cumple","no cumple"),"")</f>
        <v>cumple</v>
      </c>
      <c r="W636" s="376" t="s">
        <v>962</v>
      </c>
      <c r="X636" s="463" t="str">
        <f t="shared" si="80"/>
        <v>SPD</v>
      </c>
      <c r="Y636" s="459" t="str">
        <f>SUBSTITUTE(Tabla1[[#This Row],[Descripción]],CHAR(10),"    I    ")</f>
        <v>Se trabaja en el servicio de guardado de quejas</v>
      </c>
      <c r="Z636" s="464">
        <f>VLOOKUP(Tabla1[[#This Row],[Perfil]],Catalogos!$B$75:$D$100,3,FALSE)*Tabla1[[#This Row],[Tiempo
(Hrs 00/100)]]*1.16</f>
        <v>6496</v>
      </c>
    </row>
    <row r="637" spans="1:26" ht="15" customHeight="1" x14ac:dyDescent="0.3">
      <c r="A637" s="210" t="s">
        <v>22</v>
      </c>
      <c r="B637" s="374" t="s">
        <v>23</v>
      </c>
      <c r="C637" s="489" t="s">
        <v>45</v>
      </c>
      <c r="D637" s="382"/>
      <c r="E637" s="489" t="s">
        <v>375</v>
      </c>
      <c r="F637" s="210" t="s">
        <v>23</v>
      </c>
      <c r="G637" s="370"/>
      <c r="H637" s="371" t="s">
        <v>1031</v>
      </c>
      <c r="I637" s="383" t="s">
        <v>657</v>
      </c>
      <c r="J637" s="369">
        <v>45035</v>
      </c>
      <c r="K637" s="747">
        <v>0.375</v>
      </c>
      <c r="L637" s="369">
        <v>45035</v>
      </c>
      <c r="M637" s="753">
        <v>0.79166666666666663</v>
      </c>
      <c r="N637" s="210">
        <v>8</v>
      </c>
      <c r="O637" s="374" t="s">
        <v>17</v>
      </c>
      <c r="P637" s="375" t="s">
        <v>647</v>
      </c>
      <c r="Q637" s="744" t="s">
        <v>294</v>
      </c>
      <c r="R637" s="202" t="s">
        <v>40</v>
      </c>
      <c r="S637" s="31" t="s">
        <v>273</v>
      </c>
      <c r="T637" s="31" t="s">
        <v>273</v>
      </c>
      <c r="U637" s="31">
        <f>IFERROR(VLOOKUP(CONCATENATE(Tabla1[[#This Row],[Severidad]]," ",Tabla1[[#This Row],[Complejidad]]),Catalogos!E$120:G$128,3,FALSE),"")</f>
        <v>64</v>
      </c>
      <c r="V637" s="31" t="str">
        <f>IF(Tabla1[[#This Row],[Tiempo solución max (hrs)]]&lt;&gt;"",IF(Tabla1[[#This Row],[Tiempo solución max (hrs)]]&gt;=Tabla1[[#This Row],[Tiempo
(Hrs 00/100)]],"cumple","no cumple"),"")</f>
        <v>cumple</v>
      </c>
      <c r="W637" s="376" t="s">
        <v>962</v>
      </c>
      <c r="X637" s="463" t="str">
        <f t="shared" si="80"/>
        <v>SPD</v>
      </c>
      <c r="Y637" s="459" t="str">
        <f>SUBSTITUTE(Tabla1[[#This Row],[Descripción]],CHAR(10),"    I    ")</f>
        <v>Se trabaja en el servicio de guardado de quejas</v>
      </c>
      <c r="Z637" s="464">
        <f>VLOOKUP(Tabla1[[#This Row],[Perfil]],Catalogos!$B$75:$D$100,3,FALSE)*Tabla1[[#This Row],[Tiempo
(Hrs 00/100)]]*1.16</f>
        <v>6496</v>
      </c>
    </row>
    <row r="638" spans="1:26" ht="15" customHeight="1" x14ac:dyDescent="0.3">
      <c r="A638" s="370" t="s">
        <v>22</v>
      </c>
      <c r="B638" s="370" t="s">
        <v>23</v>
      </c>
      <c r="C638" s="489" t="s">
        <v>45</v>
      </c>
      <c r="D638" s="370"/>
      <c r="E638" s="489" t="s">
        <v>375</v>
      </c>
      <c r="F638" s="370" t="s">
        <v>23</v>
      </c>
      <c r="G638" s="370"/>
      <c r="H638" s="371" t="s">
        <v>1032</v>
      </c>
      <c r="I638" s="383" t="s">
        <v>1033</v>
      </c>
      <c r="J638" s="369">
        <v>45036</v>
      </c>
      <c r="K638" s="709">
        <v>0.375</v>
      </c>
      <c r="L638" s="369">
        <v>45036</v>
      </c>
      <c r="M638" s="739">
        <v>0.79166666666666663</v>
      </c>
      <c r="N638" s="210">
        <v>8</v>
      </c>
      <c r="O638" s="374" t="s">
        <v>411</v>
      </c>
      <c r="P638" s="375" t="s">
        <v>647</v>
      </c>
      <c r="Q638" s="744" t="s">
        <v>294</v>
      </c>
      <c r="R638" s="202" t="s">
        <v>40</v>
      </c>
      <c r="S638" s="31" t="s">
        <v>273</v>
      </c>
      <c r="T638" s="31" t="s">
        <v>273</v>
      </c>
      <c r="U638" s="31">
        <f>IFERROR(VLOOKUP(CONCATENATE(Tabla1[[#This Row],[Severidad]]," ",Tabla1[[#This Row],[Complejidad]]),Catalogos!E$120:G$128,3,FALSE),"")</f>
        <v>64</v>
      </c>
      <c r="V638" s="31" t="str">
        <f>IF(Tabla1[[#This Row],[Tiempo solución max (hrs)]]&lt;&gt;"",IF(Tabla1[[#This Row],[Tiempo solución max (hrs)]]&gt;=Tabla1[[#This Row],[Tiempo
(Hrs 00/100)]],"cumple","no cumple"),"")</f>
        <v>cumple</v>
      </c>
      <c r="W638" s="376" t="s">
        <v>962</v>
      </c>
      <c r="X638" s="463" t="str">
        <f t="shared" si="80"/>
        <v>SPD</v>
      </c>
      <c r="Y638" s="459" t="str">
        <f>SUBSTITUTE(Tabla1[[#This Row],[Descripción]],CHAR(10),"    I    ")</f>
        <v>Servicio para consultar a detalle una queja guardada, se obtiene información y archivos</v>
      </c>
      <c r="Z638" s="464">
        <f>VLOOKUP(Tabla1[[#This Row],[Perfil]],Catalogos!$B$75:$D$100,3,FALSE)*Tabla1[[#This Row],[Tiempo
(Hrs 00/100)]]*1.16</f>
        <v>6496</v>
      </c>
    </row>
    <row r="639" spans="1:26" ht="15" customHeight="1" x14ac:dyDescent="0.3">
      <c r="A639" s="210" t="s">
        <v>22</v>
      </c>
      <c r="B639" s="374" t="s">
        <v>23</v>
      </c>
      <c r="C639" s="489" t="s">
        <v>45</v>
      </c>
      <c r="D639" s="382"/>
      <c r="E639" s="489" t="s">
        <v>375</v>
      </c>
      <c r="F639" s="210" t="s">
        <v>23</v>
      </c>
      <c r="G639" s="370"/>
      <c r="H639" s="371" t="s">
        <v>1032</v>
      </c>
      <c r="I639" s="383" t="s">
        <v>1033</v>
      </c>
      <c r="J639" s="369">
        <v>45037</v>
      </c>
      <c r="K639" s="709">
        <v>0.375</v>
      </c>
      <c r="L639" s="369">
        <v>45037</v>
      </c>
      <c r="M639" s="739">
        <v>0.79166666666666663</v>
      </c>
      <c r="N639" s="210">
        <v>8</v>
      </c>
      <c r="O639" s="374" t="s">
        <v>411</v>
      </c>
      <c r="P639" s="375" t="s">
        <v>647</v>
      </c>
      <c r="Q639" s="744" t="s">
        <v>294</v>
      </c>
      <c r="R639" s="202" t="s">
        <v>40</v>
      </c>
      <c r="S639" s="31" t="s">
        <v>273</v>
      </c>
      <c r="T639" s="31" t="s">
        <v>273</v>
      </c>
      <c r="U639" s="31">
        <f>IFERROR(VLOOKUP(CONCATENATE(Tabla1[[#This Row],[Severidad]]," ",Tabla1[[#This Row],[Complejidad]]),Catalogos!E$120:G$128,3,FALSE),"")</f>
        <v>64</v>
      </c>
      <c r="V639" s="31" t="str">
        <f>IF(Tabla1[[#This Row],[Tiempo solución max (hrs)]]&lt;&gt;"",IF(Tabla1[[#This Row],[Tiempo solución max (hrs)]]&gt;=Tabla1[[#This Row],[Tiempo
(Hrs 00/100)]],"cumple","no cumple"),"")</f>
        <v>cumple</v>
      </c>
      <c r="W639" s="376" t="s">
        <v>962</v>
      </c>
      <c r="X639" s="463" t="str">
        <f t="shared" si="80"/>
        <v>SPD</v>
      </c>
      <c r="Y639" s="459" t="str">
        <f>SUBSTITUTE(Tabla1[[#This Row],[Descripción]],CHAR(10),"    I    ")</f>
        <v>Servicio para consultar a detalle una queja guardada, se obtiene información y archivos</v>
      </c>
      <c r="Z639" s="464">
        <f>VLOOKUP(Tabla1[[#This Row],[Perfil]],Catalogos!$B$75:$D$100,3,FALSE)*Tabla1[[#This Row],[Tiempo
(Hrs 00/100)]]*1.16</f>
        <v>6496</v>
      </c>
    </row>
    <row r="640" spans="1:26" ht="15" customHeight="1" x14ac:dyDescent="0.3">
      <c r="A640" s="370" t="s">
        <v>22</v>
      </c>
      <c r="B640" s="370" t="s">
        <v>23</v>
      </c>
      <c r="C640" s="489" t="s">
        <v>45</v>
      </c>
      <c r="D640" s="370"/>
      <c r="E640" s="489" t="s">
        <v>375</v>
      </c>
      <c r="F640" s="370" t="s">
        <v>23</v>
      </c>
      <c r="G640" s="370"/>
      <c r="H640" s="371" t="s">
        <v>1032</v>
      </c>
      <c r="I640" s="383" t="s">
        <v>1033</v>
      </c>
      <c r="J640" s="369">
        <v>45040</v>
      </c>
      <c r="K640" s="709">
        <v>0.375</v>
      </c>
      <c r="L640" s="369">
        <v>45040</v>
      </c>
      <c r="M640" s="739">
        <v>0.79166666666666663</v>
      </c>
      <c r="N640" s="210">
        <v>8</v>
      </c>
      <c r="O640" s="374" t="s">
        <v>17</v>
      </c>
      <c r="P640" s="375" t="s">
        <v>647</v>
      </c>
      <c r="Q640" s="744" t="s">
        <v>294</v>
      </c>
      <c r="R640" s="202" t="s">
        <v>40</v>
      </c>
      <c r="S640" s="31" t="s">
        <v>273</v>
      </c>
      <c r="T640" s="31" t="s">
        <v>273</v>
      </c>
      <c r="U640" s="31">
        <f>IFERROR(VLOOKUP(CONCATENATE(Tabla1[[#This Row],[Severidad]]," ",Tabla1[[#This Row],[Complejidad]]),Catalogos!E$120:G$128,3,FALSE),"")</f>
        <v>64</v>
      </c>
      <c r="V640" s="31" t="str">
        <f>IF(Tabla1[[#This Row],[Tiempo solución max (hrs)]]&lt;&gt;"",IF(Tabla1[[#This Row],[Tiempo solución max (hrs)]]&gt;=Tabla1[[#This Row],[Tiempo
(Hrs 00/100)]],"cumple","no cumple"),"")</f>
        <v>cumple</v>
      </c>
      <c r="W640" s="376" t="s">
        <v>962</v>
      </c>
      <c r="X640" s="463" t="str">
        <f t="shared" si="80"/>
        <v>SPD</v>
      </c>
      <c r="Y640" s="459" t="str">
        <f>SUBSTITUTE(Tabla1[[#This Row],[Descripción]],CHAR(10),"    I    ")</f>
        <v>Servicio para consultar a detalle una queja guardada, se obtiene información y archivos</v>
      </c>
      <c r="Z640" s="464">
        <f>VLOOKUP(Tabla1[[#This Row],[Perfil]],Catalogos!$B$75:$D$100,3,FALSE)*Tabla1[[#This Row],[Tiempo
(Hrs 00/100)]]*1.16</f>
        <v>6496</v>
      </c>
    </row>
    <row r="641" spans="1:26" ht="15" customHeight="1" x14ac:dyDescent="0.3">
      <c r="A641" s="210" t="s">
        <v>22</v>
      </c>
      <c r="B641" s="374" t="s">
        <v>23</v>
      </c>
      <c r="C641" s="489" t="s">
        <v>45</v>
      </c>
      <c r="D641" s="382"/>
      <c r="E641" s="489" t="s">
        <v>375</v>
      </c>
      <c r="F641" s="210" t="s">
        <v>23</v>
      </c>
      <c r="G641" s="370"/>
      <c r="H641" s="419" t="s">
        <v>1034</v>
      </c>
      <c r="I641" s="420" t="s">
        <v>1035</v>
      </c>
      <c r="J641" s="369">
        <v>45041</v>
      </c>
      <c r="K641" s="709">
        <v>0.375</v>
      </c>
      <c r="L641" s="369">
        <v>45041</v>
      </c>
      <c r="M641" s="739">
        <v>0.79166666666666663</v>
      </c>
      <c r="N641" s="210">
        <v>8</v>
      </c>
      <c r="O641" s="374" t="s">
        <v>411</v>
      </c>
      <c r="P641" s="375" t="s">
        <v>647</v>
      </c>
      <c r="Q641" s="744" t="s">
        <v>294</v>
      </c>
      <c r="R641" s="202" t="s">
        <v>40</v>
      </c>
      <c r="S641" s="31" t="s">
        <v>273</v>
      </c>
      <c r="T641" s="31" t="s">
        <v>273</v>
      </c>
      <c r="U641" s="31">
        <f>IFERROR(VLOOKUP(CONCATENATE(Tabla1[[#This Row],[Severidad]]," ",Tabla1[[#This Row],[Complejidad]]),Catalogos!E$120:G$128,3,FALSE),"")</f>
        <v>64</v>
      </c>
      <c r="V641" s="31" t="str">
        <f>IF(Tabla1[[#This Row],[Tiempo solución max (hrs)]]&lt;&gt;"",IF(Tabla1[[#This Row],[Tiempo solución max (hrs)]]&gt;=Tabla1[[#This Row],[Tiempo
(Hrs 00/100)]],"cumple","no cumple"),"")</f>
        <v>cumple</v>
      </c>
      <c r="W641" s="376" t="s">
        <v>962</v>
      </c>
      <c r="X641" s="463" t="str">
        <f t="shared" si="80"/>
        <v>SPD</v>
      </c>
      <c r="Y641" s="459" t="str">
        <f>SUBSTITUTE(Tabla1[[#This Row],[Descripción]],CHAR(10),"    I    ")</f>
        <v>Servicio para consultar las notificaciones relacionadas a una queja</v>
      </c>
      <c r="Z641" s="464">
        <f>VLOOKUP(Tabla1[[#This Row],[Perfil]],Catalogos!$B$75:$D$100,3,FALSE)*Tabla1[[#This Row],[Tiempo
(Hrs 00/100)]]*1.16</f>
        <v>6496</v>
      </c>
    </row>
    <row r="642" spans="1:26" ht="15" customHeight="1" x14ac:dyDescent="0.3">
      <c r="A642" s="210" t="s">
        <v>22</v>
      </c>
      <c r="B642" s="374" t="s">
        <v>23</v>
      </c>
      <c r="C642" s="489" t="s">
        <v>45</v>
      </c>
      <c r="D642" s="382"/>
      <c r="E642" s="489" t="s">
        <v>375</v>
      </c>
      <c r="F642" s="210" t="s">
        <v>23</v>
      </c>
      <c r="G642" s="370"/>
      <c r="H642" s="371" t="s">
        <v>1034</v>
      </c>
      <c r="I642" s="383" t="s">
        <v>1036</v>
      </c>
      <c r="J642" s="369">
        <v>45042</v>
      </c>
      <c r="K642" s="747">
        <v>0.375</v>
      </c>
      <c r="L642" s="369">
        <v>45042</v>
      </c>
      <c r="M642" s="753">
        <v>0.79166666666666663</v>
      </c>
      <c r="N642" s="210">
        <v>8</v>
      </c>
      <c r="O642" s="374" t="s">
        <v>17</v>
      </c>
      <c r="P642" s="375" t="s">
        <v>647</v>
      </c>
      <c r="Q642" s="744" t="s">
        <v>294</v>
      </c>
      <c r="R642" s="202" t="s">
        <v>40</v>
      </c>
      <c r="S642" s="31" t="s">
        <v>273</v>
      </c>
      <c r="T642" s="31" t="s">
        <v>273</v>
      </c>
      <c r="U642" s="31">
        <f>IFERROR(VLOOKUP(CONCATENATE(Tabla1[[#This Row],[Severidad]]," ",Tabla1[[#This Row],[Complejidad]]),Catalogos!E$120:G$128,3,FALSE),"")</f>
        <v>64</v>
      </c>
      <c r="V642" s="31" t="str">
        <f>IF(Tabla1[[#This Row],[Tiempo solución max (hrs)]]&lt;&gt;"",IF(Tabla1[[#This Row],[Tiempo solución max (hrs)]]&gt;=Tabla1[[#This Row],[Tiempo
(Hrs 00/100)]],"cumple","no cumple"),"")</f>
        <v>cumple</v>
      </c>
      <c r="W642" s="376" t="s">
        <v>962</v>
      </c>
      <c r="X642" s="463" t="str">
        <f t="shared" ref="X642:X670" si="81">IF(C642&lt;&gt;"",C642,D642)</f>
        <v>SPD</v>
      </c>
      <c r="Y642" s="459" t="str">
        <f>SUBSTITUTE(Tabla1[[#This Row],[Descripción]],CHAR(10),"    I    ")</f>
        <v>Servicio para consultar las notificaciones relacionadas a una queja.</v>
      </c>
      <c r="Z642" s="464">
        <f>VLOOKUP(Tabla1[[#This Row],[Perfil]],Catalogos!$B$75:$D$100,3,FALSE)*Tabla1[[#This Row],[Tiempo
(Hrs 00/100)]]*1.16</f>
        <v>6496</v>
      </c>
    </row>
    <row r="643" spans="1:26" ht="15" customHeight="1" x14ac:dyDescent="0.3">
      <c r="A643" s="210" t="s">
        <v>22</v>
      </c>
      <c r="B643" s="374" t="s">
        <v>23</v>
      </c>
      <c r="C643" s="489" t="s">
        <v>45</v>
      </c>
      <c r="D643" s="382"/>
      <c r="E643" s="489" t="s">
        <v>375</v>
      </c>
      <c r="F643" s="210" t="s">
        <v>23</v>
      </c>
      <c r="G643" s="370"/>
      <c r="H643" s="371" t="s">
        <v>1037</v>
      </c>
      <c r="I643" s="383" t="s">
        <v>1038</v>
      </c>
      <c r="J643" s="369">
        <v>45043</v>
      </c>
      <c r="K643" s="709">
        <v>0.375</v>
      </c>
      <c r="L643" s="369">
        <v>45043</v>
      </c>
      <c r="M643" s="739">
        <v>0.79166666666666663</v>
      </c>
      <c r="N643" s="210">
        <v>8</v>
      </c>
      <c r="O643" s="374" t="s">
        <v>411</v>
      </c>
      <c r="P643" s="375" t="s">
        <v>647</v>
      </c>
      <c r="Q643" s="744" t="s">
        <v>294</v>
      </c>
      <c r="R643" s="202" t="s">
        <v>40</v>
      </c>
      <c r="S643" s="31" t="s">
        <v>273</v>
      </c>
      <c r="T643" s="31" t="s">
        <v>273</v>
      </c>
      <c r="U643" s="31">
        <f>IFERROR(VLOOKUP(CONCATENATE(Tabla1[[#This Row],[Severidad]]," ",Tabla1[[#This Row],[Complejidad]]),Catalogos!E$120:G$128,3,FALSE),"")</f>
        <v>64</v>
      </c>
      <c r="V643" s="31" t="str">
        <f>IF(Tabla1[[#This Row],[Tiempo solución max (hrs)]]&lt;&gt;"",IF(Tabla1[[#This Row],[Tiempo solución max (hrs)]]&gt;=Tabla1[[#This Row],[Tiempo
(Hrs 00/100)]],"cumple","no cumple"),"")</f>
        <v>cumple</v>
      </c>
      <c r="W643" s="376" t="s">
        <v>962</v>
      </c>
      <c r="X643" s="463" t="str">
        <f t="shared" si="81"/>
        <v>SPD</v>
      </c>
      <c r="Y643" s="459" t="str">
        <f>SUBSTITUTE(Tabla1[[#This Row],[Descripción]],CHAR(10),"    I    ")</f>
        <v>Servicio para la consulta de documentos y archivos. Se cambia tipo base64 a multipart</v>
      </c>
      <c r="Z643" s="464">
        <f>VLOOKUP(Tabla1[[#This Row],[Perfil]],Catalogos!$B$75:$D$100,3,FALSE)*Tabla1[[#This Row],[Tiempo
(Hrs 00/100)]]*1.16</f>
        <v>6496</v>
      </c>
    </row>
    <row r="644" spans="1:26" ht="15" customHeight="1" x14ac:dyDescent="0.3">
      <c r="A644" s="210" t="s">
        <v>22</v>
      </c>
      <c r="B644" s="374" t="s">
        <v>23</v>
      </c>
      <c r="C644" s="489" t="s">
        <v>45</v>
      </c>
      <c r="D644" s="382"/>
      <c r="E644" s="489" t="s">
        <v>375</v>
      </c>
      <c r="F644" s="210" t="s">
        <v>23</v>
      </c>
      <c r="G644" s="370"/>
      <c r="H644" s="371" t="s">
        <v>1037</v>
      </c>
      <c r="I644" s="383" t="s">
        <v>1038</v>
      </c>
      <c r="J644" s="369">
        <v>45044</v>
      </c>
      <c r="K644" s="747">
        <v>0.375</v>
      </c>
      <c r="L644" s="369">
        <v>45044</v>
      </c>
      <c r="M644" s="753">
        <v>0.79166666666666663</v>
      </c>
      <c r="N644" s="210">
        <v>8</v>
      </c>
      <c r="O644" s="374" t="s">
        <v>17</v>
      </c>
      <c r="P644" s="375" t="s">
        <v>647</v>
      </c>
      <c r="Q644" s="744" t="s">
        <v>294</v>
      </c>
      <c r="R644" s="202" t="s">
        <v>40</v>
      </c>
      <c r="S644" s="31" t="s">
        <v>273</v>
      </c>
      <c r="T644" s="31" t="s">
        <v>273</v>
      </c>
      <c r="U644" s="31">
        <f>IFERROR(VLOOKUP(CONCATENATE(Tabla1[[#This Row],[Severidad]]," ",Tabla1[[#This Row],[Complejidad]]),Catalogos!E$120:G$128,3,FALSE),"")</f>
        <v>64</v>
      </c>
      <c r="V644" s="31" t="str">
        <f>IF(Tabla1[[#This Row],[Tiempo solución max (hrs)]]&lt;&gt;"",IF(Tabla1[[#This Row],[Tiempo solución max (hrs)]]&gt;=Tabla1[[#This Row],[Tiempo
(Hrs 00/100)]],"cumple","no cumple"),"")</f>
        <v>cumple</v>
      </c>
      <c r="W644" s="376" t="s">
        <v>962</v>
      </c>
      <c r="X644" s="463" t="str">
        <f t="shared" si="81"/>
        <v>SPD</v>
      </c>
      <c r="Y644" s="459" t="str">
        <f>SUBSTITUTE(Tabla1[[#This Row],[Descripción]],CHAR(10),"    I    ")</f>
        <v>Servicio para la consulta de documentos y archivos. Se cambia tipo base64 a multipart</v>
      </c>
      <c r="Z644" s="464">
        <f>VLOOKUP(Tabla1[[#This Row],[Perfil]],Catalogos!$B$75:$D$100,3,FALSE)*Tabla1[[#This Row],[Tiempo
(Hrs 00/100)]]*1.16</f>
        <v>6496</v>
      </c>
    </row>
    <row r="645" spans="1:26" ht="15" customHeight="1" x14ac:dyDescent="0.3">
      <c r="A645" s="370" t="s">
        <v>58</v>
      </c>
      <c r="B645" s="370" t="s">
        <v>305</v>
      </c>
      <c r="C645" s="205" t="s">
        <v>45</v>
      </c>
      <c r="D645" s="370"/>
      <c r="E645" s="370" t="s">
        <v>689</v>
      </c>
      <c r="F645" s="370" t="s">
        <v>67</v>
      </c>
      <c r="G645" s="370"/>
      <c r="H645" s="371" t="s">
        <v>1039</v>
      </c>
      <c r="I645" s="371" t="s">
        <v>1040</v>
      </c>
      <c r="J645" s="369">
        <v>45019</v>
      </c>
      <c r="K645" s="747">
        <v>0.375</v>
      </c>
      <c r="L645" s="369">
        <v>45019</v>
      </c>
      <c r="M645" s="753">
        <v>0.41666666666666669</v>
      </c>
      <c r="N645" s="373">
        <v>1</v>
      </c>
      <c r="O645" s="374" t="s">
        <v>17</v>
      </c>
      <c r="P645" s="375" t="s">
        <v>708</v>
      </c>
      <c r="Q645" s="744" t="s">
        <v>295</v>
      </c>
      <c r="R645" s="202" t="s">
        <v>40</v>
      </c>
      <c r="S645" s="31" t="s">
        <v>273</v>
      </c>
      <c r="T645" s="31" t="s">
        <v>273</v>
      </c>
      <c r="U645" s="31">
        <f>IFERROR(VLOOKUP(CONCATENATE(Tabla1[[#This Row],[Severidad]]," ",Tabla1[[#This Row],[Complejidad]]),Catalogos!E$120:G$128,3,FALSE),"")</f>
        <v>64</v>
      </c>
      <c r="V645" s="31" t="str">
        <f>IF(Tabla1[[#This Row],[Tiempo solución max (hrs)]]&lt;&gt;"",IF(Tabla1[[#This Row],[Tiempo solución max (hrs)]]&gt;=Tabla1[[#This Row],[Tiempo
(Hrs 00/100)]],"cumple","no cumple"),"")</f>
        <v>cumple</v>
      </c>
      <c r="W645" s="376" t="s">
        <v>962</v>
      </c>
      <c r="X645" s="463" t="str">
        <f t="shared" si="81"/>
        <v>SPD</v>
      </c>
      <c r="Y645" s="459" t="str">
        <f>SUBSTITUTE(Tabla1[[#This Row],[Descripción]],CHAR(10),"    I    ")</f>
        <v>Daily de avances</v>
      </c>
      <c r="Z645" s="464">
        <f>VLOOKUP(Tabla1[[#This Row],[Perfil]],Catalogos!$B$75:$D$100,3,FALSE)*Tabla1[[#This Row],[Tiempo
(Hrs 00/100)]]*1.16</f>
        <v>812</v>
      </c>
    </row>
    <row r="646" spans="1:26" ht="15" customHeight="1" x14ac:dyDescent="0.3">
      <c r="A646" s="370" t="s">
        <v>59</v>
      </c>
      <c r="B646" s="370" t="s">
        <v>21</v>
      </c>
      <c r="C646" s="205" t="s">
        <v>45</v>
      </c>
      <c r="D646" s="370"/>
      <c r="E646" s="370" t="s">
        <v>689</v>
      </c>
      <c r="F646" s="370" t="s">
        <v>75</v>
      </c>
      <c r="G646" s="370"/>
      <c r="H646" s="371" t="s">
        <v>1041</v>
      </c>
      <c r="I646" s="371" t="s">
        <v>1042</v>
      </c>
      <c r="J646" s="369">
        <v>45019</v>
      </c>
      <c r="K646" s="753">
        <v>0.41666666666666669</v>
      </c>
      <c r="L646" s="369">
        <v>45019</v>
      </c>
      <c r="M646" s="753">
        <v>0.58333333333333337</v>
      </c>
      <c r="N646" s="373">
        <v>4</v>
      </c>
      <c r="O646" s="374" t="s">
        <v>17</v>
      </c>
      <c r="P646" s="375" t="s">
        <v>708</v>
      </c>
      <c r="Q646" s="744" t="s">
        <v>295</v>
      </c>
      <c r="R646" s="202" t="s">
        <v>40</v>
      </c>
      <c r="S646" s="31" t="s">
        <v>273</v>
      </c>
      <c r="T646" s="31" t="s">
        <v>273</v>
      </c>
      <c r="U646" s="31">
        <f>IFERROR(VLOOKUP(CONCATENATE(Tabla1[[#This Row],[Severidad]]," ",Tabla1[[#This Row],[Complejidad]]),Catalogos!E$120:G$128,3,FALSE),"")</f>
        <v>64</v>
      </c>
      <c r="V646" s="31" t="str">
        <f>IF(Tabla1[[#This Row],[Tiempo solución max (hrs)]]&lt;&gt;"",IF(Tabla1[[#This Row],[Tiempo solución max (hrs)]]&gt;=Tabla1[[#This Row],[Tiempo
(Hrs 00/100)]],"cumple","no cumple"),"")</f>
        <v>cumple</v>
      </c>
      <c r="W646" s="376" t="s">
        <v>962</v>
      </c>
      <c r="X646" s="463" t="str">
        <f t="shared" si="81"/>
        <v>SPD</v>
      </c>
      <c r="Y646" s="459" t="str">
        <f>SUBSTITUTE(Tabla1[[#This Row],[Descripción]],CHAR(10),"    I    ")</f>
        <v>Corrección boton respuesta SISAI, Corrección carrusel principal busqueda, datos adicionales e info adicional e Sisai</v>
      </c>
      <c r="Z646" s="464">
        <f>VLOOKUP(Tabla1[[#This Row],[Perfil]],Catalogos!$B$75:$D$100,3,FALSE)*Tabla1[[#This Row],[Tiempo
(Hrs 00/100)]]*1.16</f>
        <v>3248</v>
      </c>
    </row>
    <row r="647" spans="1:26" ht="15" customHeight="1" x14ac:dyDescent="0.3">
      <c r="A647" s="370" t="s">
        <v>22</v>
      </c>
      <c r="B647" s="370" t="s">
        <v>62</v>
      </c>
      <c r="C647" s="205" t="s">
        <v>45</v>
      </c>
      <c r="D647" s="370"/>
      <c r="E647" s="370" t="s">
        <v>689</v>
      </c>
      <c r="F647" s="370" t="s">
        <v>73</v>
      </c>
      <c r="G647" s="370"/>
      <c r="H647" s="371" t="s">
        <v>1043</v>
      </c>
      <c r="I647" s="371" t="s">
        <v>1044</v>
      </c>
      <c r="J647" s="369">
        <v>45019</v>
      </c>
      <c r="K647" s="747">
        <v>0.58333333333333337</v>
      </c>
      <c r="L647" s="369">
        <v>45019</v>
      </c>
      <c r="M647" s="753">
        <v>0.79166666666666663</v>
      </c>
      <c r="N647" s="373">
        <v>4</v>
      </c>
      <c r="O647" s="374" t="s">
        <v>17</v>
      </c>
      <c r="P647" s="375" t="s">
        <v>708</v>
      </c>
      <c r="Q647" s="744" t="s">
        <v>295</v>
      </c>
      <c r="R647" s="202" t="s">
        <v>40</v>
      </c>
      <c r="S647" s="31" t="s">
        <v>273</v>
      </c>
      <c r="T647" s="31" t="s">
        <v>273</v>
      </c>
      <c r="U647" s="31">
        <f>IFERROR(VLOOKUP(CONCATENATE(Tabla1[[#This Row],[Severidad]]," ",Tabla1[[#This Row],[Complejidad]]),Catalogos!E$120:G$128,3,FALSE),"")</f>
        <v>64</v>
      </c>
      <c r="V647" s="31" t="str">
        <f>IF(Tabla1[[#This Row],[Tiempo solución max (hrs)]]&lt;&gt;"",IF(Tabla1[[#This Row],[Tiempo solución max (hrs)]]&gt;=Tabla1[[#This Row],[Tiempo
(Hrs 00/100)]],"cumple","no cumple"),"")</f>
        <v>cumple</v>
      </c>
      <c r="W647" s="376" t="s">
        <v>962</v>
      </c>
      <c r="X647" s="463" t="str">
        <f t="shared" si="81"/>
        <v>SPD</v>
      </c>
      <c r="Y647" s="459" t="str">
        <f>SUBSTITUTE(Tabla1[[#This Row],[Descripción]],CHAR(10),"    I    ")</f>
        <v>Desarrollo de componentes especiales para la card SIPOT</v>
      </c>
      <c r="Z647" s="464">
        <f>VLOOKUP(Tabla1[[#This Row],[Perfil]],Catalogos!$B$75:$D$100,3,FALSE)*Tabla1[[#This Row],[Tiempo
(Hrs 00/100)]]*1.16</f>
        <v>3248</v>
      </c>
    </row>
    <row r="648" spans="1:26" ht="15" customHeight="1" x14ac:dyDescent="0.3">
      <c r="A648" s="370" t="s">
        <v>58</v>
      </c>
      <c r="B648" s="370" t="s">
        <v>305</v>
      </c>
      <c r="C648" s="205" t="s">
        <v>45</v>
      </c>
      <c r="D648" s="382"/>
      <c r="E648" s="370" t="s">
        <v>689</v>
      </c>
      <c r="F648" s="370" t="s">
        <v>72</v>
      </c>
      <c r="G648" s="370"/>
      <c r="H648" s="371" t="s">
        <v>1045</v>
      </c>
      <c r="I648" s="371" t="s">
        <v>1046</v>
      </c>
      <c r="J648" s="369">
        <v>45020</v>
      </c>
      <c r="K648" s="747">
        <v>0.375</v>
      </c>
      <c r="L648" s="369">
        <v>45020</v>
      </c>
      <c r="M648" s="753">
        <v>0.70833333333333337</v>
      </c>
      <c r="N648" s="373">
        <v>6</v>
      </c>
      <c r="O648" s="374" t="s">
        <v>17</v>
      </c>
      <c r="P648" s="375" t="s">
        <v>708</v>
      </c>
      <c r="Q648" s="744" t="s">
        <v>295</v>
      </c>
      <c r="R648" s="202" t="s">
        <v>40</v>
      </c>
      <c r="S648" s="31" t="s">
        <v>273</v>
      </c>
      <c r="T648" s="31" t="s">
        <v>273</v>
      </c>
      <c r="U648" s="31">
        <f>IFERROR(VLOOKUP(CONCATENATE(Tabla1[[#This Row],[Severidad]]," ",Tabla1[[#This Row],[Complejidad]]),Catalogos!E$120:G$128,3,FALSE),"")</f>
        <v>64</v>
      </c>
      <c r="V648" s="31" t="str">
        <f>IF(Tabla1[[#This Row],[Tiempo solución max (hrs)]]&lt;&gt;"",IF(Tabla1[[#This Row],[Tiempo solución max (hrs)]]&gt;=Tabla1[[#This Row],[Tiempo
(Hrs 00/100)]],"cumple","no cumple"),"")</f>
        <v>cumple</v>
      </c>
      <c r="W648" s="376" t="s">
        <v>962</v>
      </c>
      <c r="X648" s="463" t="str">
        <f t="shared" si="81"/>
        <v>SPD</v>
      </c>
      <c r="Y648" s="459" t="str">
        <f>SUBSTITUTE(Tabla1[[#This Row],[Descripción]],CHAR(10),"    I    ")</f>
        <v>Estudio y pruebas para graficas de burbuja, con librerias externas o en su caso canvas</v>
      </c>
      <c r="Z648" s="464">
        <f>VLOOKUP(Tabla1[[#This Row],[Perfil]],Catalogos!$B$75:$D$100,3,FALSE)*Tabla1[[#This Row],[Tiempo
(Hrs 00/100)]]*1.16</f>
        <v>4872</v>
      </c>
    </row>
    <row r="649" spans="1:26" ht="15" customHeight="1" x14ac:dyDescent="0.3">
      <c r="A649" s="370" t="s">
        <v>22</v>
      </c>
      <c r="B649" s="370" t="s">
        <v>63</v>
      </c>
      <c r="C649" s="205" t="s">
        <v>45</v>
      </c>
      <c r="D649" s="382"/>
      <c r="E649" s="370" t="s">
        <v>689</v>
      </c>
      <c r="F649" s="370" t="s">
        <v>74</v>
      </c>
      <c r="G649" s="370"/>
      <c r="H649" s="371" t="s">
        <v>1047</v>
      </c>
      <c r="I649" s="371" t="s">
        <v>1048</v>
      </c>
      <c r="J649" s="369">
        <v>45020</v>
      </c>
      <c r="K649" s="753">
        <v>0.70833333333333337</v>
      </c>
      <c r="L649" s="369">
        <v>45020</v>
      </c>
      <c r="M649" s="753">
        <v>0.79166666666666663</v>
      </c>
      <c r="N649" s="210">
        <v>2</v>
      </c>
      <c r="O649" s="374" t="s">
        <v>17</v>
      </c>
      <c r="P649" s="375" t="s">
        <v>708</v>
      </c>
      <c r="Q649" s="744" t="s">
        <v>295</v>
      </c>
      <c r="R649" s="202" t="s">
        <v>40</v>
      </c>
      <c r="S649" s="31" t="s">
        <v>273</v>
      </c>
      <c r="T649" s="31" t="s">
        <v>273</v>
      </c>
      <c r="U649" s="31">
        <f>IFERROR(VLOOKUP(CONCATENATE(Tabla1[[#This Row],[Severidad]]," ",Tabla1[[#This Row],[Complejidad]]),Catalogos!E$120:G$128,3,FALSE),"")</f>
        <v>64</v>
      </c>
      <c r="V649" s="31" t="str">
        <f>IF(Tabla1[[#This Row],[Tiempo solución max (hrs)]]&lt;&gt;"",IF(Tabla1[[#This Row],[Tiempo solución max (hrs)]]&gt;=Tabla1[[#This Row],[Tiempo
(Hrs 00/100)]],"cumple","no cumple"),"")</f>
        <v>cumple</v>
      </c>
      <c r="W649" s="376" t="s">
        <v>962</v>
      </c>
      <c r="X649" s="463" t="str">
        <f t="shared" si="81"/>
        <v>SPD</v>
      </c>
      <c r="Y649" s="459" t="str">
        <f>SUBSTITUTE(Tabla1[[#This Row],[Descripción]],CHAR(10),"    I    ")</f>
        <v>Cambio para las descargas desde sisai y sicom</v>
      </c>
      <c r="Z649" s="464">
        <f>VLOOKUP(Tabla1[[#This Row],[Perfil]],Catalogos!$B$75:$D$100,3,FALSE)*Tabla1[[#This Row],[Tiempo
(Hrs 00/100)]]*1.16</f>
        <v>1624</v>
      </c>
    </row>
    <row r="650" spans="1:26" ht="15" customHeight="1" x14ac:dyDescent="0.3">
      <c r="A650" s="370" t="s">
        <v>22</v>
      </c>
      <c r="B650" s="370" t="s">
        <v>65</v>
      </c>
      <c r="C650" s="205" t="s">
        <v>45</v>
      </c>
      <c r="D650" s="370"/>
      <c r="E650" s="370" t="s">
        <v>689</v>
      </c>
      <c r="F650" s="370" t="s">
        <v>73</v>
      </c>
      <c r="G650" s="370"/>
      <c r="H650" s="371" t="s">
        <v>1049</v>
      </c>
      <c r="I650" s="371" t="s">
        <v>1050</v>
      </c>
      <c r="J650" s="369">
        <v>45021</v>
      </c>
      <c r="K650" s="747">
        <v>0.375</v>
      </c>
      <c r="L650" s="369">
        <v>45021</v>
      </c>
      <c r="M650" s="753">
        <v>0.79166666666666663</v>
      </c>
      <c r="N650" s="373">
        <v>9</v>
      </c>
      <c r="O650" s="374" t="s">
        <v>17</v>
      </c>
      <c r="P650" s="375" t="s">
        <v>708</v>
      </c>
      <c r="Q650" s="744" t="s">
        <v>295</v>
      </c>
      <c r="R650" s="202" t="s">
        <v>40</v>
      </c>
      <c r="S650" s="31" t="s">
        <v>273</v>
      </c>
      <c r="T650" s="31" t="s">
        <v>273</v>
      </c>
      <c r="U650" s="31">
        <f>IFERROR(VLOOKUP(CONCATENATE(Tabla1[[#This Row],[Severidad]]," ",Tabla1[[#This Row],[Complejidad]]),Catalogos!E$120:G$128,3,FALSE),"")</f>
        <v>64</v>
      </c>
      <c r="V650" s="31" t="str">
        <f>IF(Tabla1[[#This Row],[Tiempo solución max (hrs)]]&lt;&gt;"",IF(Tabla1[[#This Row],[Tiempo solución max (hrs)]]&gt;=Tabla1[[#This Row],[Tiempo
(Hrs 00/100)]],"cumple","no cumple"),"")</f>
        <v>cumple</v>
      </c>
      <c r="W650" s="376" t="s">
        <v>962</v>
      </c>
      <c r="X650" s="463" t="str">
        <f t="shared" si="81"/>
        <v>SPD</v>
      </c>
      <c r="Y650" s="459" t="str">
        <f>SUBSTITUTE(Tabla1[[#This Row],[Descripción]],CHAR(10),"    I    ")</f>
        <v>Creación de componente especial de tabla con paginador que se puede o no cargar en las cards de información, reestructuración de datos para lograr comportamiento</v>
      </c>
      <c r="Z650" s="464">
        <f>VLOOKUP(Tabla1[[#This Row],[Perfil]],Catalogos!$B$75:$D$100,3,FALSE)*Tabla1[[#This Row],[Tiempo
(Hrs 00/100)]]*1.16</f>
        <v>7307.9999999999991</v>
      </c>
    </row>
    <row r="651" spans="1:26" ht="15" customHeight="1" x14ac:dyDescent="0.3">
      <c r="A651" s="370" t="s">
        <v>58</v>
      </c>
      <c r="B651" s="370" t="s">
        <v>305</v>
      </c>
      <c r="C651" s="205" t="s">
        <v>45</v>
      </c>
      <c r="D651" s="370"/>
      <c r="E651" s="370" t="s">
        <v>689</v>
      </c>
      <c r="F651" s="370" t="s">
        <v>75</v>
      </c>
      <c r="G651" s="370"/>
      <c r="H651" s="371" t="s">
        <v>1051</v>
      </c>
      <c r="I651" s="371" t="s">
        <v>1052</v>
      </c>
      <c r="J651" s="369">
        <v>45026</v>
      </c>
      <c r="K651" s="747">
        <v>0.375</v>
      </c>
      <c r="L651" s="369">
        <v>45026</v>
      </c>
      <c r="M651" s="753">
        <v>0.79166666666666663</v>
      </c>
      <c r="N651" s="373">
        <v>9</v>
      </c>
      <c r="O651" s="374" t="s">
        <v>17</v>
      </c>
      <c r="P651" s="375" t="s">
        <v>708</v>
      </c>
      <c r="Q651" s="744" t="s">
        <v>295</v>
      </c>
      <c r="R651" s="202" t="s">
        <v>40</v>
      </c>
      <c r="S651" s="31" t="s">
        <v>273</v>
      </c>
      <c r="T651" s="31" t="s">
        <v>273</v>
      </c>
      <c r="U651" s="31">
        <f>IFERROR(VLOOKUP(CONCATENATE(Tabla1[[#This Row],[Severidad]]," ",Tabla1[[#This Row],[Complejidad]]),Catalogos!E$120:G$128,3,FALSE),"")</f>
        <v>64</v>
      </c>
      <c r="V651" s="31" t="str">
        <f>IF(Tabla1[[#This Row],[Tiempo solución max (hrs)]]&lt;&gt;"",IF(Tabla1[[#This Row],[Tiempo solución max (hrs)]]&gt;=Tabla1[[#This Row],[Tiempo
(Hrs 00/100)]],"cumple","no cumple"),"")</f>
        <v>cumple</v>
      </c>
      <c r="W651" s="376" t="s">
        <v>962</v>
      </c>
      <c r="X651" s="463" t="str">
        <f t="shared" si="81"/>
        <v>SPD</v>
      </c>
      <c r="Y651" s="459" t="str">
        <f>SUBSTITUTE(Tabla1[[#This Row],[Descripción]],CHAR(10),"    I    ")</f>
        <v>Pruebas con componentes existenetes para el desarrollo de las graficas de tendencia</v>
      </c>
      <c r="Z651" s="464">
        <f>VLOOKUP(Tabla1[[#This Row],[Perfil]],Catalogos!$B$75:$D$100,3,FALSE)*Tabla1[[#This Row],[Tiempo
(Hrs 00/100)]]*1.16</f>
        <v>7307.9999999999991</v>
      </c>
    </row>
    <row r="652" spans="1:26" ht="15" customHeight="1" x14ac:dyDescent="0.3">
      <c r="A652" s="370" t="s">
        <v>58</v>
      </c>
      <c r="B652" s="370" t="s">
        <v>305</v>
      </c>
      <c r="C652" s="205" t="s">
        <v>45</v>
      </c>
      <c r="D652" s="370"/>
      <c r="E652" s="370" t="s">
        <v>689</v>
      </c>
      <c r="F652" s="370" t="s">
        <v>67</v>
      </c>
      <c r="G652" s="370"/>
      <c r="H652" s="371" t="s">
        <v>1051</v>
      </c>
      <c r="I652" s="383" t="s">
        <v>1053</v>
      </c>
      <c r="J652" s="369">
        <v>45027</v>
      </c>
      <c r="K652" s="747">
        <v>0.375</v>
      </c>
      <c r="L652" s="369">
        <v>45027</v>
      </c>
      <c r="M652" s="753">
        <v>0.45833333333333331</v>
      </c>
      <c r="N652" s="373">
        <v>2</v>
      </c>
      <c r="O652" s="374" t="s">
        <v>17</v>
      </c>
      <c r="P652" s="375" t="s">
        <v>708</v>
      </c>
      <c r="Q652" s="744" t="s">
        <v>295</v>
      </c>
      <c r="R652" s="202" t="s">
        <v>40</v>
      </c>
      <c r="S652" s="31" t="s">
        <v>273</v>
      </c>
      <c r="T652" s="31" t="s">
        <v>273</v>
      </c>
      <c r="U652" s="31">
        <f>IFERROR(VLOOKUP(CONCATENATE(Tabla1[[#This Row],[Severidad]]," ",Tabla1[[#This Row],[Complejidad]]),Catalogos!E$120:G$128,3,FALSE),"")</f>
        <v>64</v>
      </c>
      <c r="V652" s="31" t="str">
        <f>IF(Tabla1[[#This Row],[Tiempo solución max (hrs)]]&lt;&gt;"",IF(Tabla1[[#This Row],[Tiempo solución max (hrs)]]&gt;=Tabla1[[#This Row],[Tiempo
(Hrs 00/100)]],"cumple","no cumple"),"")</f>
        <v>cumple</v>
      </c>
      <c r="W652" s="376" t="s">
        <v>962</v>
      </c>
      <c r="X652" s="463" t="str">
        <f t="shared" si="81"/>
        <v>SPD</v>
      </c>
      <c r="Y652" s="459" t="str">
        <f>SUBSTITUTE(Tabla1[[#This Row],[Descripción]],CHAR(10),"    I    ")</f>
        <v>El equipo concluyo que no se ajustan a las nececidades los componentes existentes y que el desarrollo de los mismos tiene que ser con CANVAS</v>
      </c>
      <c r="Z652" s="464">
        <f>VLOOKUP(Tabla1[[#This Row],[Perfil]],Catalogos!$B$75:$D$100,3,FALSE)*Tabla1[[#This Row],[Tiempo
(Hrs 00/100)]]*1.16</f>
        <v>1624</v>
      </c>
    </row>
    <row r="653" spans="1:26" ht="15" customHeight="1" x14ac:dyDescent="0.3">
      <c r="A653" s="210" t="s">
        <v>58</v>
      </c>
      <c r="B653" s="374" t="s">
        <v>305</v>
      </c>
      <c r="C653" s="205" t="s">
        <v>45</v>
      </c>
      <c r="D653" s="382"/>
      <c r="E653" s="370" t="s">
        <v>689</v>
      </c>
      <c r="F653" s="210" t="s">
        <v>72</v>
      </c>
      <c r="G653" s="370"/>
      <c r="H653" s="371" t="s">
        <v>1051</v>
      </c>
      <c r="I653" s="383" t="s">
        <v>1054</v>
      </c>
      <c r="J653" s="369">
        <v>45027</v>
      </c>
      <c r="K653" s="753">
        <v>0.45833333333333331</v>
      </c>
      <c r="L653" s="369">
        <v>45027</v>
      </c>
      <c r="M653" s="739">
        <v>0.79166666666666663</v>
      </c>
      <c r="N653" s="210">
        <v>6</v>
      </c>
      <c r="O653" s="374" t="s">
        <v>17</v>
      </c>
      <c r="P653" s="375" t="s">
        <v>708</v>
      </c>
      <c r="Q653" s="744" t="s">
        <v>295</v>
      </c>
      <c r="R653" s="202" t="s">
        <v>40</v>
      </c>
      <c r="S653" s="31" t="s">
        <v>273</v>
      </c>
      <c r="T653" s="31" t="s">
        <v>273</v>
      </c>
      <c r="U653" s="31">
        <f>IFERROR(VLOOKUP(CONCATENATE(Tabla1[[#This Row],[Severidad]]," ",Tabla1[[#This Row],[Complejidad]]),Catalogos!E$120:G$128,3,FALSE),"")</f>
        <v>64</v>
      </c>
      <c r="V653" s="31" t="str">
        <f>IF(Tabla1[[#This Row],[Tiempo solución max (hrs)]]&lt;&gt;"",IF(Tabla1[[#This Row],[Tiempo solución max (hrs)]]&gt;=Tabla1[[#This Row],[Tiempo
(Hrs 00/100)]],"cumple","no cumple"),"")</f>
        <v>cumple</v>
      </c>
      <c r="W653" s="376" t="s">
        <v>962</v>
      </c>
      <c r="X653" s="463" t="str">
        <f t="shared" si="81"/>
        <v>SPD</v>
      </c>
      <c r="Y653" s="459" t="str">
        <f>SUBSTITUTE(Tabla1[[#This Row],[Descripción]],CHAR(10),"    I    ")</f>
        <v>Análisis y estudio para la creación con Canvas de componentes de graficas estadisticas</v>
      </c>
      <c r="Z653" s="464">
        <f>VLOOKUP(Tabla1[[#This Row],[Perfil]],Catalogos!$B$75:$D$100,3,FALSE)*Tabla1[[#This Row],[Tiempo
(Hrs 00/100)]]*1.16</f>
        <v>4872</v>
      </c>
    </row>
    <row r="654" spans="1:26" ht="15" customHeight="1" x14ac:dyDescent="0.3">
      <c r="A654" s="210" t="s">
        <v>22</v>
      </c>
      <c r="B654" s="374" t="s">
        <v>65</v>
      </c>
      <c r="C654" s="205" t="s">
        <v>45</v>
      </c>
      <c r="D654" s="382"/>
      <c r="E654" s="370" t="s">
        <v>689</v>
      </c>
      <c r="F654" s="210" t="s">
        <v>23</v>
      </c>
      <c r="G654" s="370"/>
      <c r="H654" s="371" t="s">
        <v>1051</v>
      </c>
      <c r="I654" s="383" t="s">
        <v>1055</v>
      </c>
      <c r="J654" s="369">
        <v>45028</v>
      </c>
      <c r="K654" s="709">
        <v>0.375</v>
      </c>
      <c r="L654" s="369">
        <v>45028</v>
      </c>
      <c r="M654" s="739">
        <v>0.79166666666666663</v>
      </c>
      <c r="N654" s="210">
        <v>8</v>
      </c>
      <c r="O654" s="374" t="s">
        <v>17</v>
      </c>
      <c r="P654" s="375" t="s">
        <v>708</v>
      </c>
      <c r="Q654" s="744" t="s">
        <v>295</v>
      </c>
      <c r="R654" s="202" t="s">
        <v>40</v>
      </c>
      <c r="S654" s="31" t="s">
        <v>273</v>
      </c>
      <c r="T654" s="31" t="s">
        <v>273</v>
      </c>
      <c r="U654" s="31">
        <f>IFERROR(VLOOKUP(CONCATENATE(Tabla1[[#This Row],[Severidad]]," ",Tabla1[[#This Row],[Complejidad]]),Catalogos!E$120:G$128,3,FALSE),"")</f>
        <v>64</v>
      </c>
      <c r="V654" s="31" t="str">
        <f>IF(Tabla1[[#This Row],[Tiempo solución max (hrs)]]&lt;&gt;"",IF(Tabla1[[#This Row],[Tiempo solución max (hrs)]]&gt;=Tabla1[[#This Row],[Tiempo
(Hrs 00/100)]],"cumple","no cumple"),"")</f>
        <v>cumple</v>
      </c>
      <c r="W654" s="376" t="s">
        <v>962</v>
      </c>
      <c r="X654" s="463" t="str">
        <f t="shared" si="81"/>
        <v>SPD</v>
      </c>
      <c r="Y654" s="459" t="str">
        <f>SUBSTITUTE(Tabla1[[#This Row],[Descripción]],CHAR(10),"    I    ")</f>
        <v xml:space="preserve">Desarrollo de grafica circular con Canvas </v>
      </c>
      <c r="Z654" s="464">
        <f>VLOOKUP(Tabla1[[#This Row],[Perfil]],Catalogos!$B$75:$D$100,3,FALSE)*Tabla1[[#This Row],[Tiempo
(Hrs 00/100)]]*1.16</f>
        <v>6496</v>
      </c>
    </row>
    <row r="655" spans="1:26" ht="15" customHeight="1" x14ac:dyDescent="0.3">
      <c r="A655" s="210" t="s">
        <v>22</v>
      </c>
      <c r="B655" s="374" t="s">
        <v>65</v>
      </c>
      <c r="C655" s="205" t="s">
        <v>45</v>
      </c>
      <c r="D655" s="382"/>
      <c r="E655" s="370" t="s">
        <v>689</v>
      </c>
      <c r="F655" s="210" t="s">
        <v>23</v>
      </c>
      <c r="G655" s="370"/>
      <c r="H655" s="371" t="s">
        <v>1051</v>
      </c>
      <c r="I655" s="383" t="s">
        <v>1056</v>
      </c>
      <c r="J655" s="369">
        <v>45029</v>
      </c>
      <c r="K655" s="709">
        <v>0.375</v>
      </c>
      <c r="L655" s="369">
        <v>45029</v>
      </c>
      <c r="M655" s="739">
        <v>0.79166666666666663</v>
      </c>
      <c r="N655" s="210">
        <v>8</v>
      </c>
      <c r="O655" s="374" t="s">
        <v>17</v>
      </c>
      <c r="P655" s="375" t="s">
        <v>708</v>
      </c>
      <c r="Q655" s="744" t="s">
        <v>295</v>
      </c>
      <c r="R655" s="202" t="s">
        <v>40</v>
      </c>
      <c r="S655" s="31" t="s">
        <v>273</v>
      </c>
      <c r="T655" s="31" t="s">
        <v>273</v>
      </c>
      <c r="U655" s="31">
        <f>IFERROR(VLOOKUP(CONCATENATE(Tabla1[[#This Row],[Severidad]]," ",Tabla1[[#This Row],[Complejidad]]),Catalogos!E$120:G$128,3,FALSE),"")</f>
        <v>64</v>
      </c>
      <c r="V655" s="31" t="str">
        <f>IF(Tabla1[[#This Row],[Tiempo solución max (hrs)]]&lt;&gt;"",IF(Tabla1[[#This Row],[Tiempo solución max (hrs)]]&gt;=Tabla1[[#This Row],[Tiempo
(Hrs 00/100)]],"cumple","no cumple"),"")</f>
        <v>cumple</v>
      </c>
      <c r="W655" s="376" t="s">
        <v>962</v>
      </c>
      <c r="X655" s="463" t="str">
        <f t="shared" si="81"/>
        <v>SPD</v>
      </c>
      <c r="Y655" s="459" t="str">
        <f>SUBSTITUTE(Tabla1[[#This Row],[Descripción]],CHAR(10),"    I    ")</f>
        <v>Desarrollo de grafica piramidal con Canvas</v>
      </c>
      <c r="Z655" s="464">
        <f>VLOOKUP(Tabla1[[#This Row],[Perfil]],Catalogos!$B$75:$D$100,3,FALSE)*Tabla1[[#This Row],[Tiempo
(Hrs 00/100)]]*1.16</f>
        <v>6496</v>
      </c>
    </row>
    <row r="656" spans="1:26" ht="15" customHeight="1" x14ac:dyDescent="0.3">
      <c r="A656" s="370" t="s">
        <v>22</v>
      </c>
      <c r="B656" s="370" t="s">
        <v>65</v>
      </c>
      <c r="C656" s="418" t="s">
        <v>45</v>
      </c>
      <c r="D656" s="370"/>
      <c r="E656" s="370" t="s">
        <v>689</v>
      </c>
      <c r="F656" s="370" t="s">
        <v>23</v>
      </c>
      <c r="G656" s="370"/>
      <c r="H656" s="371" t="s">
        <v>1051</v>
      </c>
      <c r="I656" s="383" t="s">
        <v>1057</v>
      </c>
      <c r="J656" s="369">
        <v>45030</v>
      </c>
      <c r="K656" s="709">
        <v>0.375</v>
      </c>
      <c r="L656" s="369">
        <v>45030</v>
      </c>
      <c r="M656" s="753">
        <v>0.625</v>
      </c>
      <c r="N656" s="373">
        <v>6</v>
      </c>
      <c r="O656" s="374" t="s">
        <v>17</v>
      </c>
      <c r="P656" s="375" t="s">
        <v>708</v>
      </c>
      <c r="Q656" s="744" t="s">
        <v>295</v>
      </c>
      <c r="R656" s="202" t="s">
        <v>40</v>
      </c>
      <c r="S656" s="31" t="s">
        <v>273</v>
      </c>
      <c r="T656" s="31" t="s">
        <v>273</v>
      </c>
      <c r="U656" s="31">
        <f>IFERROR(VLOOKUP(CONCATENATE(Tabla1[[#This Row],[Severidad]]," ",Tabla1[[#This Row],[Complejidad]]),Catalogos!E$120:G$128,3,FALSE),"")</f>
        <v>64</v>
      </c>
      <c r="V656" s="31" t="str">
        <f>IF(Tabla1[[#This Row],[Tiempo solución max (hrs)]]&lt;&gt;"",IF(Tabla1[[#This Row],[Tiempo solución max (hrs)]]&gt;=Tabla1[[#This Row],[Tiempo
(Hrs 00/100)]],"cumple","no cumple"),"")</f>
        <v>cumple</v>
      </c>
      <c r="W656" s="376" t="s">
        <v>962</v>
      </c>
      <c r="X656" s="463" t="str">
        <f t="shared" si="81"/>
        <v>SPD</v>
      </c>
      <c r="Y656" s="459" t="str">
        <f>SUBSTITUTE(Tabla1[[#This Row],[Descripción]],CHAR(10),"    I    ")</f>
        <v>Desarrollo de grafica de tendencias con Canvas</v>
      </c>
      <c r="Z656" s="464">
        <f>VLOOKUP(Tabla1[[#This Row],[Perfil]],Catalogos!$B$75:$D$100,3,FALSE)*Tabla1[[#This Row],[Tiempo
(Hrs 00/100)]]*1.16</f>
        <v>4872</v>
      </c>
    </row>
    <row r="657" spans="1:26" ht="15" customHeight="1" x14ac:dyDescent="0.3">
      <c r="A657" s="210" t="s">
        <v>22</v>
      </c>
      <c r="B657" s="374" t="s">
        <v>65</v>
      </c>
      <c r="C657" s="205" t="s">
        <v>45</v>
      </c>
      <c r="D657" s="382"/>
      <c r="E657" s="370" t="s">
        <v>689</v>
      </c>
      <c r="F657" s="210" t="s">
        <v>73</v>
      </c>
      <c r="G657" s="370"/>
      <c r="H657" s="371" t="s">
        <v>1051</v>
      </c>
      <c r="I657" s="383" t="s">
        <v>1058</v>
      </c>
      <c r="J657" s="369">
        <v>45033</v>
      </c>
      <c r="K657" s="709">
        <v>0.375</v>
      </c>
      <c r="L657" s="369">
        <v>45033</v>
      </c>
      <c r="M657" s="753">
        <v>0.5</v>
      </c>
      <c r="N657" s="210">
        <v>3</v>
      </c>
      <c r="O657" s="374" t="s">
        <v>17</v>
      </c>
      <c r="P657" s="375" t="s">
        <v>708</v>
      </c>
      <c r="Q657" s="744" t="s">
        <v>295</v>
      </c>
      <c r="R657" s="202" t="s">
        <v>40</v>
      </c>
      <c r="S657" s="31" t="s">
        <v>273</v>
      </c>
      <c r="T657" s="31" t="s">
        <v>273</v>
      </c>
      <c r="U657" s="31">
        <f>IFERROR(VLOOKUP(CONCATENATE(Tabla1[[#This Row],[Severidad]]," ",Tabla1[[#This Row],[Complejidad]]),Catalogos!E$120:G$128,3,FALSE),"")</f>
        <v>64</v>
      </c>
      <c r="V657" s="31" t="str">
        <f>IF(Tabla1[[#This Row],[Tiempo solución max (hrs)]]&lt;&gt;"",IF(Tabla1[[#This Row],[Tiempo solución max (hrs)]]&gt;=Tabla1[[#This Row],[Tiempo
(Hrs 00/100)]],"cumple","no cumple"),"")</f>
        <v>cumple</v>
      </c>
      <c r="W657" s="376" t="s">
        <v>962</v>
      </c>
      <c r="X657" s="463" t="str">
        <f t="shared" si="81"/>
        <v>SPD</v>
      </c>
      <c r="Y657" s="459" t="str">
        <f>SUBSTITUTE(Tabla1[[#This Row],[Descripción]],CHAR(10),"    I    ")</f>
        <v>realizar las correcciones necesarias para la gráfica circular, también implementé algunas mejoras adicionales para mejorar su visualización y usabilidad. Por ejemplo, añadí interactividad a la gráfica mediante la inclusión de efectos de animación al pasar el cursor sobre las diferentes secciones de la misma.</v>
      </c>
      <c r="Z657" s="464">
        <f>VLOOKUP(Tabla1[[#This Row],[Perfil]],Catalogos!$B$75:$D$100,3,FALSE)*Tabla1[[#This Row],[Tiempo
(Hrs 00/100)]]*1.16</f>
        <v>2436</v>
      </c>
    </row>
    <row r="658" spans="1:26" ht="15" customHeight="1" x14ac:dyDescent="0.3">
      <c r="A658" s="370" t="s">
        <v>22</v>
      </c>
      <c r="B658" s="370" t="s">
        <v>65</v>
      </c>
      <c r="C658" s="205" t="s">
        <v>45</v>
      </c>
      <c r="D658" s="370"/>
      <c r="E658" s="370" t="s">
        <v>689</v>
      </c>
      <c r="F658" s="370" t="s">
        <v>73</v>
      </c>
      <c r="G658" s="370"/>
      <c r="H658" s="371" t="s">
        <v>1051</v>
      </c>
      <c r="I658" s="383" t="s">
        <v>1059</v>
      </c>
      <c r="J658" s="369">
        <v>45033</v>
      </c>
      <c r="K658" s="753">
        <v>0.5</v>
      </c>
      <c r="L658" s="369">
        <v>45033</v>
      </c>
      <c r="M658" s="753">
        <v>0.58333333333333337</v>
      </c>
      <c r="N658" s="373">
        <v>2</v>
      </c>
      <c r="O658" s="374" t="s">
        <v>17</v>
      </c>
      <c r="P658" s="375" t="s">
        <v>708</v>
      </c>
      <c r="Q658" s="744" t="s">
        <v>295</v>
      </c>
      <c r="R658" s="202" t="s">
        <v>40</v>
      </c>
      <c r="S658" s="31" t="s">
        <v>273</v>
      </c>
      <c r="T658" s="31" t="s">
        <v>273</v>
      </c>
      <c r="U658" s="31">
        <f>IFERROR(VLOOKUP(CONCATENATE(Tabla1[[#This Row],[Severidad]]," ",Tabla1[[#This Row],[Complejidad]]),Catalogos!E$120:G$128,3,FALSE),"")</f>
        <v>64</v>
      </c>
      <c r="V658" s="31" t="str">
        <f>IF(Tabla1[[#This Row],[Tiempo solución max (hrs)]]&lt;&gt;"",IF(Tabla1[[#This Row],[Tiempo solución max (hrs)]]&gt;=Tabla1[[#This Row],[Tiempo
(Hrs 00/100)]],"cumple","no cumple"),"")</f>
        <v>cumple</v>
      </c>
      <c r="W658" s="376" t="s">
        <v>962</v>
      </c>
      <c r="X658" s="463" t="str">
        <f t="shared" si="81"/>
        <v>SPD</v>
      </c>
      <c r="Y658" s="459" t="str">
        <f>SUBSTITUTE(Tabla1[[#This Row],[Descripción]],CHAR(10),"    I    ")</f>
        <v>realizar las correcciones necesarias para la gráfica piramidal, también implementé algunas mejoras adicionales para mejorar su visualización y usabilidad. Por ejemplo, añadí interactividad a la gráfica mediante la inclusión de efectos de animación al pasar el cursor sobre las diferentes secciones de la misma.</v>
      </c>
      <c r="Z658" s="464">
        <f>VLOOKUP(Tabla1[[#This Row],[Perfil]],Catalogos!$B$75:$D$100,3,FALSE)*Tabla1[[#This Row],[Tiempo
(Hrs 00/100)]]*1.16</f>
        <v>1624</v>
      </c>
    </row>
    <row r="659" spans="1:26" ht="15" customHeight="1" x14ac:dyDescent="0.3">
      <c r="A659" s="210" t="s">
        <v>22</v>
      </c>
      <c r="B659" s="374" t="s">
        <v>65</v>
      </c>
      <c r="C659" s="205" t="s">
        <v>45</v>
      </c>
      <c r="D659" s="382"/>
      <c r="E659" s="370" t="s">
        <v>689</v>
      </c>
      <c r="F659" s="210" t="s">
        <v>73</v>
      </c>
      <c r="G659" s="370"/>
      <c r="H659" s="419" t="s">
        <v>1051</v>
      </c>
      <c r="I659" s="420" t="s">
        <v>1060</v>
      </c>
      <c r="J659" s="369">
        <v>45033</v>
      </c>
      <c r="K659" s="747">
        <v>0.66666666666666663</v>
      </c>
      <c r="L659" s="369">
        <v>45033</v>
      </c>
      <c r="M659" s="753">
        <v>0.79166666666666663</v>
      </c>
      <c r="N659" s="210">
        <v>3</v>
      </c>
      <c r="O659" s="374" t="s">
        <v>17</v>
      </c>
      <c r="P659" s="375" t="s">
        <v>708</v>
      </c>
      <c r="Q659" s="744" t="s">
        <v>295</v>
      </c>
      <c r="R659" s="202" t="s">
        <v>40</v>
      </c>
      <c r="S659" s="31" t="s">
        <v>273</v>
      </c>
      <c r="T659" s="31" t="s">
        <v>273</v>
      </c>
      <c r="U659" s="31">
        <f>IFERROR(VLOOKUP(CONCATENATE(Tabla1[[#This Row],[Severidad]]," ",Tabla1[[#This Row],[Complejidad]]),Catalogos!E$120:G$128,3,FALSE),"")</f>
        <v>64</v>
      </c>
      <c r="V659" s="31" t="str">
        <f>IF(Tabla1[[#This Row],[Tiempo solución max (hrs)]]&lt;&gt;"",IF(Tabla1[[#This Row],[Tiempo solución max (hrs)]]&gt;=Tabla1[[#This Row],[Tiempo
(Hrs 00/100)]],"cumple","no cumple"),"")</f>
        <v>cumple</v>
      </c>
      <c r="W659" s="376" t="s">
        <v>962</v>
      </c>
      <c r="X659" s="463" t="str">
        <f t="shared" si="81"/>
        <v>SPD</v>
      </c>
      <c r="Y659" s="459" t="str">
        <f>SUBSTITUTE(Tabla1[[#This Row],[Descripción]],CHAR(10),"    I    ")</f>
        <v>realizar las correcciones necesarias para la gráfica tendencias, también implementé algunas mejoras adicionales para mejorar su visualización y usabilidad. Por ejemplo, añadí interactividad a la gráfica mediante la inclusión de efectos de animación al pasar el cursor sobre las diferentes secciones de la misma.</v>
      </c>
      <c r="Z659" s="464">
        <f>VLOOKUP(Tabla1[[#This Row],[Perfil]],Catalogos!$B$75:$D$100,3,FALSE)*Tabla1[[#This Row],[Tiempo
(Hrs 00/100)]]*1.16</f>
        <v>2436</v>
      </c>
    </row>
    <row r="660" spans="1:26" ht="15" customHeight="1" x14ac:dyDescent="0.3">
      <c r="A660" s="210" t="s">
        <v>22</v>
      </c>
      <c r="B660" s="374" t="s">
        <v>65</v>
      </c>
      <c r="C660" s="205" t="s">
        <v>45</v>
      </c>
      <c r="D660" s="382"/>
      <c r="E660" s="370" t="s">
        <v>689</v>
      </c>
      <c r="F660" s="210" t="s">
        <v>73</v>
      </c>
      <c r="G660" s="370"/>
      <c r="H660" s="371" t="s">
        <v>1061</v>
      </c>
      <c r="I660" s="383" t="s">
        <v>1062</v>
      </c>
      <c r="J660" s="369">
        <v>45034</v>
      </c>
      <c r="K660" s="747">
        <v>0.375</v>
      </c>
      <c r="L660" s="369">
        <v>45034</v>
      </c>
      <c r="M660" s="753">
        <v>0.79166666666666663</v>
      </c>
      <c r="N660" s="210">
        <v>9</v>
      </c>
      <c r="O660" s="374" t="s">
        <v>17</v>
      </c>
      <c r="P660" s="375" t="s">
        <v>708</v>
      </c>
      <c r="Q660" s="744" t="s">
        <v>295</v>
      </c>
      <c r="R660" s="202" t="s">
        <v>40</v>
      </c>
      <c r="S660" s="31" t="s">
        <v>273</v>
      </c>
      <c r="T660" s="31" t="s">
        <v>273</v>
      </c>
      <c r="U660" s="31">
        <f>IFERROR(VLOOKUP(CONCATENATE(Tabla1[[#This Row],[Severidad]]," ",Tabla1[[#This Row],[Complejidad]]),Catalogos!E$120:G$128,3,FALSE),"")</f>
        <v>64</v>
      </c>
      <c r="V660" s="31" t="str">
        <f>IF(Tabla1[[#This Row],[Tiempo solución max (hrs)]]&lt;&gt;"",IF(Tabla1[[#This Row],[Tiempo solución max (hrs)]]&gt;=Tabla1[[#This Row],[Tiempo
(Hrs 00/100)]],"cumple","no cumple"),"")</f>
        <v>cumple</v>
      </c>
      <c r="W660" s="376" t="s">
        <v>962</v>
      </c>
      <c r="X660" s="463" t="str">
        <f t="shared" si="81"/>
        <v>SPD</v>
      </c>
      <c r="Y660" s="459" t="str">
        <f>SUBSTITUTE(Tabla1[[#This Row],[Descripción]],CHAR(10),"    I    ")</f>
        <v>ajustes a los diseños de las cards, quejas, solicitudes e informacion, carruseles asi como la implementacion de diversas funcionalidades solicitadas por el usuario.</v>
      </c>
      <c r="Z660" s="464">
        <f>VLOOKUP(Tabla1[[#This Row],[Perfil]],Catalogos!$B$75:$D$100,3,FALSE)*Tabla1[[#This Row],[Tiempo
(Hrs 00/100)]]*1.16</f>
        <v>7307.9999999999991</v>
      </c>
    </row>
    <row r="661" spans="1:26" ht="15" customHeight="1" x14ac:dyDescent="0.3">
      <c r="A661" s="210" t="s">
        <v>22</v>
      </c>
      <c r="B661" s="374" t="s">
        <v>65</v>
      </c>
      <c r="C661" s="205" t="s">
        <v>45</v>
      </c>
      <c r="D661" s="382"/>
      <c r="E661" s="370" t="s">
        <v>689</v>
      </c>
      <c r="F661" s="210" t="s">
        <v>73</v>
      </c>
      <c r="G661" s="370"/>
      <c r="H661" s="371" t="s">
        <v>1061</v>
      </c>
      <c r="I661" s="383" t="s">
        <v>1062</v>
      </c>
      <c r="J661" s="369">
        <v>45035</v>
      </c>
      <c r="K661" s="747">
        <v>0.375</v>
      </c>
      <c r="L661" s="369">
        <v>45035</v>
      </c>
      <c r="M661" s="753">
        <v>0.70833333333333337</v>
      </c>
      <c r="N661" s="210">
        <v>6</v>
      </c>
      <c r="O661" s="374" t="s">
        <v>17</v>
      </c>
      <c r="P661" s="375" t="s">
        <v>708</v>
      </c>
      <c r="Q661" s="744" t="s">
        <v>295</v>
      </c>
      <c r="R661" s="202" t="s">
        <v>40</v>
      </c>
      <c r="S661" s="31" t="s">
        <v>273</v>
      </c>
      <c r="T661" s="31" t="s">
        <v>273</v>
      </c>
      <c r="U661" s="31">
        <f>IFERROR(VLOOKUP(CONCATENATE(Tabla1[[#This Row],[Severidad]]," ",Tabla1[[#This Row],[Complejidad]]),Catalogos!E$120:G$128,3,FALSE),"")</f>
        <v>64</v>
      </c>
      <c r="V661" s="31" t="str">
        <f>IF(Tabla1[[#This Row],[Tiempo solución max (hrs)]]&lt;&gt;"",IF(Tabla1[[#This Row],[Tiempo solución max (hrs)]]&gt;=Tabla1[[#This Row],[Tiempo
(Hrs 00/100)]],"cumple","no cumple"),"")</f>
        <v>cumple</v>
      </c>
      <c r="W661" s="376" t="s">
        <v>962</v>
      </c>
      <c r="X661" s="463" t="str">
        <f t="shared" si="81"/>
        <v>SPD</v>
      </c>
      <c r="Y661" s="459" t="str">
        <f>SUBSTITUTE(Tabla1[[#This Row],[Descripción]],CHAR(10),"    I    ")</f>
        <v>ajustes a los diseños de las cards, quejas, solicitudes e informacion, carruseles asi como la implementacion de diversas funcionalidades solicitadas por el usuario.</v>
      </c>
      <c r="Z661" s="464">
        <f>VLOOKUP(Tabla1[[#This Row],[Perfil]],Catalogos!$B$75:$D$100,3,FALSE)*Tabla1[[#This Row],[Tiempo
(Hrs 00/100)]]*1.16</f>
        <v>4872</v>
      </c>
    </row>
    <row r="662" spans="1:26" ht="15" customHeight="1" x14ac:dyDescent="0.3">
      <c r="A662" s="210" t="s">
        <v>22</v>
      </c>
      <c r="B662" s="374" t="s">
        <v>65</v>
      </c>
      <c r="C662" s="205" t="s">
        <v>45</v>
      </c>
      <c r="D662" s="382"/>
      <c r="E662" s="370" t="s">
        <v>689</v>
      </c>
      <c r="F662" s="210" t="s">
        <v>73</v>
      </c>
      <c r="G662" s="370"/>
      <c r="H662" s="371" t="s">
        <v>1063</v>
      </c>
      <c r="I662" s="383" t="s">
        <v>1064</v>
      </c>
      <c r="J662" s="369">
        <v>45035</v>
      </c>
      <c r="K662" s="753">
        <v>0.70833333333333337</v>
      </c>
      <c r="L662" s="369">
        <v>45035</v>
      </c>
      <c r="M662" s="739">
        <v>0.79166666666666663</v>
      </c>
      <c r="N662" s="210">
        <v>2</v>
      </c>
      <c r="O662" s="374" t="s">
        <v>17</v>
      </c>
      <c r="P662" s="375" t="s">
        <v>708</v>
      </c>
      <c r="Q662" s="744" t="s">
        <v>295</v>
      </c>
      <c r="R662" s="202" t="s">
        <v>40</v>
      </c>
      <c r="S662" s="31" t="s">
        <v>273</v>
      </c>
      <c r="T662" s="31" t="s">
        <v>273</v>
      </c>
      <c r="U662" s="31">
        <f>IFERROR(VLOOKUP(CONCATENATE(Tabla1[[#This Row],[Severidad]]," ",Tabla1[[#This Row],[Complejidad]]),Catalogos!E$120:G$128,3,FALSE),"")</f>
        <v>64</v>
      </c>
      <c r="V662" s="31" t="str">
        <f>IF(Tabla1[[#This Row],[Tiempo solución max (hrs)]]&lt;&gt;"",IF(Tabla1[[#This Row],[Tiempo solución max (hrs)]]&gt;=Tabla1[[#This Row],[Tiempo
(Hrs 00/100)]],"cumple","no cumple"),"")</f>
        <v>cumple</v>
      </c>
      <c r="W662" s="376" t="s">
        <v>962</v>
      </c>
      <c r="X662" s="463" t="str">
        <f t="shared" si="81"/>
        <v>SPD</v>
      </c>
      <c r="Y662" s="459" t="str">
        <f>SUBSTITUTE(Tabla1[[#This Row],[Descripción]],CHAR(10),"    I    ")</f>
        <v>Creacion de funcionalidad de div 60% a 40% para las coindcidencias en archivos, en todas las cards</v>
      </c>
      <c r="Z662" s="464">
        <f>VLOOKUP(Tabla1[[#This Row],[Perfil]],Catalogos!$B$75:$D$100,3,FALSE)*Tabla1[[#This Row],[Tiempo
(Hrs 00/100)]]*1.16</f>
        <v>1624</v>
      </c>
    </row>
    <row r="663" spans="1:26" ht="15" customHeight="1" x14ac:dyDescent="0.3">
      <c r="A663" s="210" t="s">
        <v>22</v>
      </c>
      <c r="B663" s="374" t="s">
        <v>21</v>
      </c>
      <c r="C663" s="205" t="s">
        <v>45</v>
      </c>
      <c r="D663" s="382"/>
      <c r="E663" s="370" t="s">
        <v>689</v>
      </c>
      <c r="F663" s="210" t="s">
        <v>74</v>
      </c>
      <c r="G663" s="370"/>
      <c r="H663" s="371" t="s">
        <v>1065</v>
      </c>
      <c r="I663" s="383" t="s">
        <v>1066</v>
      </c>
      <c r="J663" s="369">
        <v>45036</v>
      </c>
      <c r="K663" s="709">
        <v>0.375</v>
      </c>
      <c r="L663" s="369">
        <v>45036</v>
      </c>
      <c r="M663" s="739">
        <v>0.79166666666666663</v>
      </c>
      <c r="N663" s="210">
        <v>8</v>
      </c>
      <c r="O663" s="374" t="s">
        <v>17</v>
      </c>
      <c r="P663" s="375" t="s">
        <v>708</v>
      </c>
      <c r="Q663" s="744" t="s">
        <v>295</v>
      </c>
      <c r="R663" s="202" t="s">
        <v>40</v>
      </c>
      <c r="S663" s="31" t="s">
        <v>273</v>
      </c>
      <c r="T663" s="31" t="s">
        <v>273</v>
      </c>
      <c r="U663" s="31">
        <f>IFERROR(VLOOKUP(CONCATENATE(Tabla1[[#This Row],[Severidad]]," ",Tabla1[[#This Row],[Complejidad]]),Catalogos!E$120:G$128,3,FALSE),"")</f>
        <v>64</v>
      </c>
      <c r="V663" s="31" t="str">
        <f>IF(Tabla1[[#This Row],[Tiempo solución max (hrs)]]&lt;&gt;"",IF(Tabla1[[#This Row],[Tiempo solución max (hrs)]]&gt;=Tabla1[[#This Row],[Tiempo
(Hrs 00/100)]],"cumple","no cumple"),"")</f>
        <v>cumple</v>
      </c>
      <c r="W663" s="376" t="s">
        <v>962</v>
      </c>
      <c r="X663" s="463" t="str">
        <f t="shared" si="81"/>
        <v>SPD</v>
      </c>
      <c r="Y663" s="459" t="str">
        <f>SUBSTITUTE(Tabla1[[#This Row],[Descripción]],CHAR(10),"    I    ")</f>
        <v>Optimización de código, eliminación de logs, y repeticiones en solicitudes de información al servidor</v>
      </c>
      <c r="Z663" s="464">
        <f>VLOOKUP(Tabla1[[#This Row],[Perfil]],Catalogos!$B$75:$D$100,3,FALSE)*Tabla1[[#This Row],[Tiempo
(Hrs 00/100)]]*1.16</f>
        <v>6496</v>
      </c>
    </row>
    <row r="664" spans="1:26" ht="15" customHeight="1" x14ac:dyDescent="0.3">
      <c r="A664" s="210" t="s">
        <v>58</v>
      </c>
      <c r="B664" s="374" t="s">
        <v>305</v>
      </c>
      <c r="C664" s="205" t="s">
        <v>45</v>
      </c>
      <c r="D664" s="382"/>
      <c r="E664" s="370" t="s">
        <v>689</v>
      </c>
      <c r="F664" s="210" t="s">
        <v>74</v>
      </c>
      <c r="G664" s="370"/>
      <c r="H664" s="371" t="s">
        <v>1067</v>
      </c>
      <c r="I664" s="383" t="s">
        <v>1068</v>
      </c>
      <c r="J664" s="369">
        <v>45037</v>
      </c>
      <c r="K664" s="709">
        <v>0.375</v>
      </c>
      <c r="L664" s="369">
        <v>45037</v>
      </c>
      <c r="M664" s="753">
        <v>0.625</v>
      </c>
      <c r="N664" s="210">
        <v>6</v>
      </c>
      <c r="O664" s="374" t="s">
        <v>17</v>
      </c>
      <c r="P664" s="375" t="s">
        <v>708</v>
      </c>
      <c r="Q664" s="744" t="s">
        <v>295</v>
      </c>
      <c r="R664" s="202" t="s">
        <v>40</v>
      </c>
      <c r="S664" s="31" t="s">
        <v>273</v>
      </c>
      <c r="T664" s="31" t="s">
        <v>273</v>
      </c>
      <c r="U664" s="31">
        <f>IFERROR(VLOOKUP(CONCATENATE(Tabla1[[#This Row],[Severidad]]," ",Tabla1[[#This Row],[Complejidad]]),Catalogos!E$120:G$128,3,FALSE),"")</f>
        <v>64</v>
      </c>
      <c r="V664" s="31" t="str">
        <f>IF(Tabla1[[#This Row],[Tiempo solución max (hrs)]]&lt;&gt;"",IF(Tabla1[[#This Row],[Tiempo solución max (hrs)]]&gt;=Tabla1[[#This Row],[Tiempo
(Hrs 00/100)]],"cumple","no cumple"),"")</f>
        <v>cumple</v>
      </c>
      <c r="W664" s="376" t="s">
        <v>962</v>
      </c>
      <c r="X664" s="463" t="str">
        <f t="shared" si="81"/>
        <v>SPD</v>
      </c>
      <c r="Y664" s="459" t="str">
        <f>SUBSTITUTE(Tabla1[[#This Row],[Descripción]],CHAR(10),"    I    ")</f>
        <v>Pruebas del código propuesto para la optimización y la mejor maera de solicitar información al servidor, se evita las multiples consultas al servidor, mejorando el performance de la aplicación</v>
      </c>
      <c r="Z664" s="464">
        <f>VLOOKUP(Tabla1[[#This Row],[Perfil]],Catalogos!$B$75:$D$100,3,FALSE)*Tabla1[[#This Row],[Tiempo
(Hrs 00/100)]]*1.16</f>
        <v>4872</v>
      </c>
    </row>
    <row r="665" spans="1:26" ht="15" customHeight="1" x14ac:dyDescent="0.3">
      <c r="A665" s="210" t="s">
        <v>58</v>
      </c>
      <c r="B665" s="374" t="s">
        <v>61</v>
      </c>
      <c r="C665" s="205" t="s">
        <v>45</v>
      </c>
      <c r="D665" s="382"/>
      <c r="E665" s="370" t="s">
        <v>689</v>
      </c>
      <c r="F665" s="210" t="s">
        <v>72</v>
      </c>
      <c r="G665" s="370"/>
      <c r="H665" s="371" t="s">
        <v>1069</v>
      </c>
      <c r="I665" s="383" t="s">
        <v>1070</v>
      </c>
      <c r="J665" s="369">
        <v>45040</v>
      </c>
      <c r="K665" s="747">
        <v>0.375</v>
      </c>
      <c r="L665" s="369">
        <v>45040</v>
      </c>
      <c r="M665" s="753">
        <v>0.79166666666666663</v>
      </c>
      <c r="N665" s="210">
        <v>8</v>
      </c>
      <c r="O665" s="374" t="s">
        <v>17</v>
      </c>
      <c r="P665" s="375" t="s">
        <v>708</v>
      </c>
      <c r="Q665" s="744" t="s">
        <v>295</v>
      </c>
      <c r="R665" s="202" t="s">
        <v>40</v>
      </c>
      <c r="S665" s="31" t="s">
        <v>273</v>
      </c>
      <c r="T665" s="31" t="s">
        <v>273</v>
      </c>
      <c r="U665" s="31">
        <f>IFERROR(VLOOKUP(CONCATENATE(Tabla1[[#This Row],[Severidad]]," ",Tabla1[[#This Row],[Complejidad]]),Catalogos!E$120:G$128,3,FALSE),"")</f>
        <v>64</v>
      </c>
      <c r="V665" s="31" t="str">
        <f>IF(Tabla1[[#This Row],[Tiempo solución max (hrs)]]&lt;&gt;"",IF(Tabla1[[#This Row],[Tiempo solución max (hrs)]]&gt;=Tabla1[[#This Row],[Tiempo
(Hrs 00/100)]],"cumple","no cumple"),"")</f>
        <v>cumple</v>
      </c>
      <c r="W665" s="376" t="s">
        <v>962</v>
      </c>
      <c r="X665" s="463" t="str">
        <f t="shared" si="81"/>
        <v>SPD</v>
      </c>
      <c r="Y665" s="459" t="str">
        <f>SUBSTITUTE(Tabla1[[#This Row],[Descripción]],CHAR(10),"    I    ")</f>
        <v>Revisión y pruebas finales de todos los cambios solicitados por el cliente</v>
      </c>
      <c r="Z665" s="464">
        <f>VLOOKUP(Tabla1[[#This Row],[Perfil]],Catalogos!$B$75:$D$100,3,FALSE)*Tabla1[[#This Row],[Tiempo
(Hrs 00/100)]]*1.16</f>
        <v>6496</v>
      </c>
    </row>
    <row r="666" spans="1:26" ht="15" customHeight="1" x14ac:dyDescent="0.3">
      <c r="A666" s="210" t="s">
        <v>58</v>
      </c>
      <c r="B666" s="374" t="s">
        <v>305</v>
      </c>
      <c r="C666" s="205" t="s">
        <v>45</v>
      </c>
      <c r="D666" s="382"/>
      <c r="E666" s="370" t="s">
        <v>689</v>
      </c>
      <c r="F666" s="210" t="s">
        <v>72</v>
      </c>
      <c r="G666" s="370"/>
      <c r="H666" s="371" t="s">
        <v>1071</v>
      </c>
      <c r="I666" s="789" t="s">
        <v>5399</v>
      </c>
      <c r="J666" s="369">
        <v>45041</v>
      </c>
      <c r="K666" s="747">
        <v>0.375</v>
      </c>
      <c r="L666" s="369">
        <v>45041</v>
      </c>
      <c r="M666" s="753">
        <v>0.45833333333333331</v>
      </c>
      <c r="N666" s="210">
        <v>2</v>
      </c>
      <c r="O666" s="374" t="s">
        <v>17</v>
      </c>
      <c r="P666" s="375" t="s">
        <v>708</v>
      </c>
      <c r="Q666" s="744" t="s">
        <v>295</v>
      </c>
      <c r="R666" s="202" t="s">
        <v>40</v>
      </c>
      <c r="S666" s="31" t="s">
        <v>273</v>
      </c>
      <c r="T666" s="31" t="s">
        <v>273</v>
      </c>
      <c r="U666" s="31">
        <f>IFERROR(VLOOKUP(CONCATENATE(Tabla1[[#This Row],[Severidad]]," ",Tabla1[[#This Row],[Complejidad]]),Catalogos!E$120:G$128,3,FALSE),"")</f>
        <v>64</v>
      </c>
      <c r="V666" s="31" t="str">
        <f>IF(Tabla1[[#This Row],[Tiempo solución max (hrs)]]&lt;&gt;"",IF(Tabla1[[#This Row],[Tiempo solución max (hrs)]]&gt;=Tabla1[[#This Row],[Tiempo
(Hrs 00/100)]],"cumple","no cumple"),"")</f>
        <v>cumple</v>
      </c>
      <c r="W666" s="376" t="s">
        <v>962</v>
      </c>
      <c r="X666" s="463" t="str">
        <f t="shared" si="81"/>
        <v>SPD</v>
      </c>
      <c r="Y666" s="459" t="str">
        <f>SUBSTITUTE(Tabla1[[#This Row],[Descripción]],CHAR(10),"    I    ")</f>
        <v>Requerimientos de los id de reportes estadísticos</v>
      </c>
      <c r="Z666" s="464">
        <f>VLOOKUP(Tabla1[[#This Row],[Perfil]],Catalogos!$B$75:$D$100,3,FALSE)*Tabla1[[#This Row],[Tiempo
(Hrs 00/100)]]*1.16</f>
        <v>1624</v>
      </c>
    </row>
    <row r="667" spans="1:26" ht="15" customHeight="1" x14ac:dyDescent="0.3">
      <c r="A667" s="210" t="s">
        <v>59</v>
      </c>
      <c r="B667" s="374" t="s">
        <v>63</v>
      </c>
      <c r="C667" s="205" t="s">
        <v>45</v>
      </c>
      <c r="D667" s="382"/>
      <c r="E667" s="370" t="s">
        <v>689</v>
      </c>
      <c r="F667" s="210" t="s">
        <v>73</v>
      </c>
      <c r="G667" s="370"/>
      <c r="H667" s="371" t="s">
        <v>1071</v>
      </c>
      <c r="I667" s="383" t="s">
        <v>1072</v>
      </c>
      <c r="J667" s="369">
        <v>45041</v>
      </c>
      <c r="K667" s="753">
        <v>0.45833333333333331</v>
      </c>
      <c r="L667" s="369">
        <v>45041</v>
      </c>
      <c r="M667" s="739">
        <v>0.79166666666666663</v>
      </c>
      <c r="N667" s="210">
        <v>6</v>
      </c>
      <c r="O667" s="374" t="s">
        <v>411</v>
      </c>
      <c r="P667" s="375" t="s">
        <v>708</v>
      </c>
      <c r="Q667" s="744" t="s">
        <v>295</v>
      </c>
      <c r="R667" s="202" t="s">
        <v>40</v>
      </c>
      <c r="S667" s="31" t="s">
        <v>273</v>
      </c>
      <c r="T667" s="31" t="s">
        <v>273</v>
      </c>
      <c r="U667" s="31">
        <f>IFERROR(VLOOKUP(CONCATENATE(Tabla1[[#This Row],[Severidad]]," ",Tabla1[[#This Row],[Complejidad]]),Catalogos!E$120:G$128,3,FALSE),"")</f>
        <v>64</v>
      </c>
      <c r="V667" s="31" t="str">
        <f>IF(Tabla1[[#This Row],[Tiempo solución max (hrs)]]&lt;&gt;"",IF(Tabla1[[#This Row],[Tiempo solución max (hrs)]]&gt;=Tabla1[[#This Row],[Tiempo
(Hrs 00/100)]],"cumple","no cumple"),"")</f>
        <v>cumple</v>
      </c>
      <c r="W667" s="376" t="s">
        <v>962</v>
      </c>
      <c r="X667" s="463" t="str">
        <f t="shared" si="81"/>
        <v>SPD</v>
      </c>
      <c r="Y667" s="459" t="str">
        <f>SUBSTITUTE(Tabla1[[#This Row],[Descripción]],CHAR(10),"    I    ")</f>
        <v>Pruebas de diseño para la solucion de envíos de reportes estadísticos, creación de servicios e imlementación 1/30</v>
      </c>
      <c r="Z667" s="464">
        <f>VLOOKUP(Tabla1[[#This Row],[Perfil]],Catalogos!$B$75:$D$100,3,FALSE)*Tabla1[[#This Row],[Tiempo
(Hrs 00/100)]]*1.16</f>
        <v>4872</v>
      </c>
    </row>
    <row r="668" spans="1:26" ht="15" customHeight="1" x14ac:dyDescent="0.3">
      <c r="A668" s="210" t="s">
        <v>59</v>
      </c>
      <c r="B668" s="374" t="s">
        <v>63</v>
      </c>
      <c r="C668" s="205" t="s">
        <v>45</v>
      </c>
      <c r="D668" s="382"/>
      <c r="E668" s="370" t="s">
        <v>689</v>
      </c>
      <c r="F668" s="210" t="s">
        <v>73</v>
      </c>
      <c r="G668" s="370"/>
      <c r="H668" s="371" t="s">
        <v>1071</v>
      </c>
      <c r="I668" s="383" t="s">
        <v>1073</v>
      </c>
      <c r="J668" s="369">
        <v>45042</v>
      </c>
      <c r="K668" s="709">
        <v>0.375</v>
      </c>
      <c r="L668" s="369">
        <v>45042</v>
      </c>
      <c r="M668" s="739">
        <v>0.79166666666666663</v>
      </c>
      <c r="N668" s="210">
        <v>8</v>
      </c>
      <c r="O668" s="374" t="s">
        <v>411</v>
      </c>
      <c r="P668" s="375" t="s">
        <v>708</v>
      </c>
      <c r="Q668" s="744" t="s">
        <v>295</v>
      </c>
      <c r="R668" s="202" t="s">
        <v>40</v>
      </c>
      <c r="S668" s="31" t="s">
        <v>273</v>
      </c>
      <c r="T668" s="31" t="s">
        <v>273</v>
      </c>
      <c r="U668" s="31">
        <f>IFERROR(VLOOKUP(CONCATENATE(Tabla1[[#This Row],[Severidad]]," ",Tabla1[[#This Row],[Complejidad]]),Catalogos!E$120:G$128,3,FALSE),"")</f>
        <v>64</v>
      </c>
      <c r="V668" s="31" t="str">
        <f>IF(Tabla1[[#This Row],[Tiempo solución max (hrs)]]&lt;&gt;"",IF(Tabla1[[#This Row],[Tiempo solución max (hrs)]]&gt;=Tabla1[[#This Row],[Tiempo
(Hrs 00/100)]],"cumple","no cumple"),"")</f>
        <v>cumple</v>
      </c>
      <c r="W668" s="376" t="s">
        <v>962</v>
      </c>
      <c r="X668" s="463" t="str">
        <f t="shared" si="81"/>
        <v>SPD</v>
      </c>
      <c r="Y668" s="459" t="str">
        <f>SUBSTITUTE(Tabla1[[#This Row],[Descripción]],CHAR(10),"    I    ")</f>
        <v>Pruebas de diseño para la solucion de envíos de reportes estadísticos, creación de servicios e imlementación 9/30</v>
      </c>
      <c r="Z668" s="464">
        <f>VLOOKUP(Tabla1[[#This Row],[Perfil]],Catalogos!$B$75:$D$100,3,FALSE)*Tabla1[[#This Row],[Tiempo
(Hrs 00/100)]]*1.16</f>
        <v>6496</v>
      </c>
    </row>
    <row r="669" spans="1:26" ht="15" customHeight="1" x14ac:dyDescent="0.3">
      <c r="A669" s="370" t="s">
        <v>59</v>
      </c>
      <c r="B669" s="370" t="s">
        <v>63</v>
      </c>
      <c r="C669" s="418" t="s">
        <v>45</v>
      </c>
      <c r="D669" s="370"/>
      <c r="E669" s="370" t="s">
        <v>689</v>
      </c>
      <c r="F669" s="370" t="s">
        <v>73</v>
      </c>
      <c r="G669" s="370"/>
      <c r="H669" s="371" t="s">
        <v>1071</v>
      </c>
      <c r="I669" s="383" t="s">
        <v>1074</v>
      </c>
      <c r="J669" s="369">
        <v>45043</v>
      </c>
      <c r="K669" s="709">
        <v>0.375</v>
      </c>
      <c r="L669" s="369">
        <v>45043</v>
      </c>
      <c r="M669" s="739">
        <v>0.79166666666666663</v>
      </c>
      <c r="N669" s="373">
        <v>8</v>
      </c>
      <c r="O669" s="374" t="s">
        <v>17</v>
      </c>
      <c r="P669" s="375" t="s">
        <v>708</v>
      </c>
      <c r="Q669" s="744" t="s">
        <v>295</v>
      </c>
      <c r="R669" s="202" t="s">
        <v>40</v>
      </c>
      <c r="S669" s="31" t="s">
        <v>273</v>
      </c>
      <c r="T669" s="31" t="s">
        <v>273</v>
      </c>
      <c r="U669" s="31">
        <f>IFERROR(VLOOKUP(CONCATENATE(Tabla1[[#This Row],[Severidad]]," ",Tabla1[[#This Row],[Complejidad]]),Catalogos!E$120:G$128,3,FALSE),"")</f>
        <v>64</v>
      </c>
      <c r="V669" s="31" t="str">
        <f>IF(Tabla1[[#This Row],[Tiempo solución max (hrs)]]&lt;&gt;"",IF(Tabla1[[#This Row],[Tiempo solución max (hrs)]]&gt;=Tabla1[[#This Row],[Tiempo
(Hrs 00/100)]],"cumple","no cumple"),"")</f>
        <v>cumple</v>
      </c>
      <c r="W669" s="376" t="s">
        <v>962</v>
      </c>
      <c r="X669" s="463" t="str">
        <f t="shared" si="81"/>
        <v>SPD</v>
      </c>
      <c r="Y669" s="459" t="str">
        <f>SUBSTITUTE(Tabla1[[#This Row],[Descripción]],CHAR(10),"    I    ")</f>
        <v>Pruebas de diseño para la solucion de envíos de reportes estadísticos, creación de servicios e imlementación 20/30</v>
      </c>
      <c r="Z669" s="464">
        <f>VLOOKUP(Tabla1[[#This Row],[Perfil]],Catalogos!$B$75:$D$100,3,FALSE)*Tabla1[[#This Row],[Tiempo
(Hrs 00/100)]]*1.16</f>
        <v>6496</v>
      </c>
    </row>
    <row r="670" spans="1:26" ht="15" customHeight="1" x14ac:dyDescent="0.3">
      <c r="A670" s="373" t="s">
        <v>22</v>
      </c>
      <c r="B670" s="184" t="s">
        <v>305</v>
      </c>
      <c r="C670" s="183" t="s">
        <v>16</v>
      </c>
      <c r="D670" s="179"/>
      <c r="E670" s="386" t="s">
        <v>503</v>
      </c>
      <c r="F670" s="373" t="s">
        <v>75</v>
      </c>
      <c r="G670" s="370"/>
      <c r="H670" s="387" t="s">
        <v>436</v>
      </c>
      <c r="I670" s="393" t="s">
        <v>835</v>
      </c>
      <c r="J670" s="712">
        <v>45019</v>
      </c>
      <c r="K670" s="709">
        <v>0.375</v>
      </c>
      <c r="L670" s="712">
        <v>45019</v>
      </c>
      <c r="M670" s="739">
        <v>0.54166666666666663</v>
      </c>
      <c r="N670" s="179">
        <v>4</v>
      </c>
      <c r="O670" s="184" t="s">
        <v>17</v>
      </c>
      <c r="P670" s="185" t="s">
        <v>1075</v>
      </c>
      <c r="Q670" s="746" t="s">
        <v>258</v>
      </c>
      <c r="R670" s="171" t="s">
        <v>81</v>
      </c>
      <c r="S670" s="31" t="s">
        <v>273</v>
      </c>
      <c r="T670" s="31" t="s">
        <v>273</v>
      </c>
      <c r="U670" s="31">
        <f>IFERROR(VLOOKUP(CONCATENATE(Tabla1[[#This Row],[Severidad]]," ",Tabla1[[#This Row],[Complejidad]]),Catalogos!E$120:G$128,3,FALSE),"")</f>
        <v>64</v>
      </c>
      <c r="V670" s="31" t="str">
        <f>IF(Tabla1[[#This Row],[Tiempo solución max (hrs)]]&lt;&gt;"",IF(Tabla1[[#This Row],[Tiempo solución max (hrs)]]&gt;=Tabla1[[#This Row],[Tiempo
(Hrs 00/100)]],"cumple","no cumple"),"")</f>
        <v>cumple</v>
      </c>
      <c r="W670" s="376" t="s">
        <v>962</v>
      </c>
      <c r="X670" s="463" t="str">
        <f t="shared" si="81"/>
        <v>SAW</v>
      </c>
      <c r="Y670" s="459" t="str">
        <f>SUBSTITUTE(Tabla1[[#This Row],[Descripción]],CHAR(10),"    I    ")</f>
        <v xml:space="preserve">Modificacion servicio profecional </v>
      </c>
      <c r="Z670" s="464">
        <f>VLOOKUP(Tabla1[[#This Row],[Perfil]],Catalogos!$B$75:$D$100,3,FALSE)*Tabla1[[#This Row],[Tiempo
(Hrs 00/100)]]*1.16</f>
        <v>2320</v>
      </c>
    </row>
    <row r="671" spans="1:26" ht="15" customHeight="1" x14ac:dyDescent="0.3">
      <c r="A671" s="373" t="s">
        <v>22</v>
      </c>
      <c r="B671" s="184" t="s">
        <v>305</v>
      </c>
      <c r="C671" s="183" t="s">
        <v>16</v>
      </c>
      <c r="D671" s="179"/>
      <c r="E671" s="386" t="s">
        <v>503</v>
      </c>
      <c r="F671" s="373" t="s">
        <v>75</v>
      </c>
      <c r="G671" s="370"/>
      <c r="H671" s="387" t="s">
        <v>436</v>
      </c>
      <c r="I671" s="178" t="s">
        <v>914</v>
      </c>
      <c r="J671" s="712">
        <v>45019</v>
      </c>
      <c r="K671" s="739">
        <v>0.54166666666666663</v>
      </c>
      <c r="L671" s="712">
        <v>45019</v>
      </c>
      <c r="M671" s="739">
        <v>0.72916666666666663</v>
      </c>
      <c r="N671" s="179">
        <v>3</v>
      </c>
      <c r="O671" s="184" t="s">
        <v>17</v>
      </c>
      <c r="P671" s="185" t="s">
        <v>1075</v>
      </c>
      <c r="Q671" s="746" t="s">
        <v>258</v>
      </c>
      <c r="R671" s="171" t="s">
        <v>81</v>
      </c>
      <c r="S671" s="31" t="s">
        <v>273</v>
      </c>
      <c r="T671" s="31" t="s">
        <v>273</v>
      </c>
      <c r="U671" s="31">
        <f>IFERROR(VLOOKUP(CONCATENATE(Tabla1[[#This Row],[Severidad]]," ",Tabla1[[#This Row],[Complejidad]]),Catalogos!E$120:G$128,3,FALSE),"")</f>
        <v>64</v>
      </c>
      <c r="V671" s="31" t="str">
        <f>IF(Tabla1[[#This Row],[Tiempo solución max (hrs)]]&lt;&gt;"",IF(Tabla1[[#This Row],[Tiempo solución max (hrs)]]&gt;=Tabla1[[#This Row],[Tiempo
(Hrs 00/100)]],"cumple","no cumple"),"")</f>
        <v>cumple</v>
      </c>
      <c r="W671" s="376" t="s">
        <v>962</v>
      </c>
      <c r="X671" s="463" t="str">
        <f t="shared" ref="X671:X702" si="82">IF(C671&lt;&gt;"",C671,D671)</f>
        <v>SAW</v>
      </c>
      <c r="Y671" s="459" t="str">
        <f>SUBSTITUTE(Tabla1[[#This Row],[Descripción]],CHAR(10),"    I    ")</f>
        <v xml:space="preserve">Actualizacion concurso nacional de periodismo </v>
      </c>
      <c r="Z671" s="464">
        <f>VLOOKUP(Tabla1[[#This Row],[Perfil]],Catalogos!$B$75:$D$100,3,FALSE)*Tabla1[[#This Row],[Tiempo
(Hrs 00/100)]]*1.16</f>
        <v>1739.9999999999998</v>
      </c>
    </row>
    <row r="672" spans="1:26" ht="15" customHeight="1" x14ac:dyDescent="0.3">
      <c r="A672" s="373" t="s">
        <v>22</v>
      </c>
      <c r="B672" s="184" t="s">
        <v>305</v>
      </c>
      <c r="C672" s="183" t="s">
        <v>16</v>
      </c>
      <c r="D672" s="179"/>
      <c r="E672" s="386" t="s">
        <v>503</v>
      </c>
      <c r="F672" s="373" t="s">
        <v>75</v>
      </c>
      <c r="G672" s="370"/>
      <c r="H672" s="387" t="s">
        <v>436</v>
      </c>
      <c r="I672" s="395" t="s">
        <v>1076</v>
      </c>
      <c r="J672" s="712">
        <v>45019</v>
      </c>
      <c r="K672" s="739">
        <v>0.72916666666666663</v>
      </c>
      <c r="L672" s="712">
        <v>45019</v>
      </c>
      <c r="M672" s="739">
        <v>0.79166666666666663</v>
      </c>
      <c r="N672" s="179">
        <v>1.5</v>
      </c>
      <c r="O672" s="184" t="s">
        <v>17</v>
      </c>
      <c r="P672" s="185" t="s">
        <v>1075</v>
      </c>
      <c r="Q672" s="746" t="s">
        <v>258</v>
      </c>
      <c r="R672" s="171" t="s">
        <v>81</v>
      </c>
      <c r="S672" s="31" t="s">
        <v>273</v>
      </c>
      <c r="T672" s="31" t="s">
        <v>273</v>
      </c>
      <c r="U672" s="31">
        <f>IFERROR(VLOOKUP(CONCATENATE(Tabla1[[#This Row],[Severidad]]," ",Tabla1[[#This Row],[Complejidad]]),Catalogos!E$120:G$128,3,FALSE),"")</f>
        <v>64</v>
      </c>
      <c r="V672" s="31" t="str">
        <f>IF(Tabla1[[#This Row],[Tiempo solución max (hrs)]]&lt;&gt;"",IF(Tabla1[[#This Row],[Tiempo solución max (hrs)]]&gt;=Tabla1[[#This Row],[Tiempo
(Hrs 00/100)]],"cumple","no cumple"),"")</f>
        <v>cumple</v>
      </c>
      <c r="W672" s="376" t="s">
        <v>962</v>
      </c>
      <c r="X672" s="463" t="str">
        <f t="shared" si="82"/>
        <v>SAW</v>
      </c>
      <c r="Y672" s="459" t="str">
        <f>SUBSTITUTE(Tabla1[[#This Row],[Descripción]],CHAR(10),"    I    ")</f>
        <v xml:space="preserve">Campos de Perfil </v>
      </c>
      <c r="Z672" s="464">
        <f>VLOOKUP(Tabla1[[#This Row],[Perfil]],Catalogos!$B$75:$D$100,3,FALSE)*Tabla1[[#This Row],[Tiempo
(Hrs 00/100)]]*1.16</f>
        <v>869.99999999999989</v>
      </c>
    </row>
    <row r="673" spans="1:26" ht="15" customHeight="1" x14ac:dyDescent="0.3">
      <c r="A673" s="373" t="s">
        <v>22</v>
      </c>
      <c r="B673" s="184" t="s">
        <v>305</v>
      </c>
      <c r="C673" s="183" t="s">
        <v>16</v>
      </c>
      <c r="D673" s="179"/>
      <c r="E673" s="386" t="s">
        <v>503</v>
      </c>
      <c r="F673" s="373" t="s">
        <v>75</v>
      </c>
      <c r="G673" s="370"/>
      <c r="H673" s="387" t="s">
        <v>436</v>
      </c>
      <c r="I673" s="393" t="s">
        <v>837</v>
      </c>
      <c r="J673" s="712">
        <v>45020</v>
      </c>
      <c r="K673" s="709">
        <v>0.375</v>
      </c>
      <c r="L673" s="712">
        <v>45020</v>
      </c>
      <c r="M673" s="739">
        <v>0.54166666666666663</v>
      </c>
      <c r="N673" s="179">
        <v>4</v>
      </c>
      <c r="O673" s="184" t="s">
        <v>17</v>
      </c>
      <c r="P673" s="185" t="s">
        <v>1075</v>
      </c>
      <c r="Q673" s="746" t="s">
        <v>258</v>
      </c>
      <c r="R673" s="171" t="s">
        <v>81</v>
      </c>
      <c r="S673" s="31" t="s">
        <v>273</v>
      </c>
      <c r="T673" s="31" t="s">
        <v>273</v>
      </c>
      <c r="U673" s="31">
        <f>IFERROR(VLOOKUP(CONCATENATE(Tabla1[[#This Row],[Severidad]]," ",Tabla1[[#This Row],[Complejidad]]),Catalogos!E$120:G$128,3,FALSE),"")</f>
        <v>64</v>
      </c>
      <c r="V673" s="31" t="str">
        <f>IF(Tabla1[[#This Row],[Tiempo solución max (hrs)]]&lt;&gt;"",IF(Tabla1[[#This Row],[Tiempo solución max (hrs)]]&gt;=Tabla1[[#This Row],[Tiempo
(Hrs 00/100)]],"cumple","no cumple"),"")</f>
        <v>cumple</v>
      </c>
      <c r="W673" s="376" t="s">
        <v>962</v>
      </c>
      <c r="X673" s="463" t="str">
        <f t="shared" si="82"/>
        <v>SAW</v>
      </c>
      <c r="Y673" s="459" t="str">
        <f>SUBSTITUTE(Tabla1[[#This Row],[Descripción]],CHAR(10),"    I    ")</f>
        <v xml:space="preserve">Actualizacion Reportes </v>
      </c>
      <c r="Z673" s="464">
        <f>VLOOKUP(Tabla1[[#This Row],[Perfil]],Catalogos!$B$75:$D$100,3,FALSE)*Tabla1[[#This Row],[Tiempo
(Hrs 00/100)]]*1.16</f>
        <v>2320</v>
      </c>
    </row>
    <row r="674" spans="1:26" ht="15" customHeight="1" x14ac:dyDescent="0.3">
      <c r="A674" s="373" t="s">
        <v>22</v>
      </c>
      <c r="B674" s="184" t="s">
        <v>305</v>
      </c>
      <c r="C674" s="183" t="s">
        <v>16</v>
      </c>
      <c r="D674" s="179"/>
      <c r="E674" s="386" t="s">
        <v>503</v>
      </c>
      <c r="F674" s="373" t="s">
        <v>75</v>
      </c>
      <c r="G674" s="370"/>
      <c r="H674" s="387" t="s">
        <v>436</v>
      </c>
      <c r="I674" s="393" t="s">
        <v>835</v>
      </c>
      <c r="J674" s="712">
        <v>45020</v>
      </c>
      <c r="K674" s="739">
        <v>0.54166666666666663</v>
      </c>
      <c r="L674" s="712">
        <v>45020</v>
      </c>
      <c r="M674" s="739">
        <v>0.75</v>
      </c>
      <c r="N674" s="179">
        <v>3.5</v>
      </c>
      <c r="O674" s="184" t="s">
        <v>17</v>
      </c>
      <c r="P674" s="185" t="s">
        <v>1075</v>
      </c>
      <c r="Q674" s="746" t="s">
        <v>258</v>
      </c>
      <c r="R674" s="171" t="s">
        <v>81</v>
      </c>
      <c r="S674" s="31" t="s">
        <v>273</v>
      </c>
      <c r="T674" s="31" t="s">
        <v>273</v>
      </c>
      <c r="U674" s="31">
        <f>IFERROR(VLOOKUP(CONCATENATE(Tabla1[[#This Row],[Severidad]]," ",Tabla1[[#This Row],[Complejidad]]),Catalogos!E$120:G$128,3,FALSE),"")</f>
        <v>64</v>
      </c>
      <c r="V674" s="31" t="str">
        <f>IF(Tabla1[[#This Row],[Tiempo solución max (hrs)]]&lt;&gt;"",IF(Tabla1[[#This Row],[Tiempo solución max (hrs)]]&gt;=Tabla1[[#This Row],[Tiempo
(Hrs 00/100)]],"cumple","no cumple"),"")</f>
        <v>cumple</v>
      </c>
      <c r="W674" s="376" t="s">
        <v>962</v>
      </c>
      <c r="X674" s="463" t="str">
        <f t="shared" si="82"/>
        <v>SAW</v>
      </c>
      <c r="Y674" s="459" t="str">
        <f>SUBSTITUTE(Tabla1[[#This Row],[Descripción]],CHAR(10),"    I    ")</f>
        <v xml:space="preserve">Modificacion servicio profecional </v>
      </c>
      <c r="Z674" s="464">
        <f>VLOOKUP(Tabla1[[#This Row],[Perfil]],Catalogos!$B$75:$D$100,3,FALSE)*Tabla1[[#This Row],[Tiempo
(Hrs 00/100)]]*1.16</f>
        <v>2029.9999999999998</v>
      </c>
    </row>
    <row r="675" spans="1:26" ht="15" customHeight="1" x14ac:dyDescent="0.3">
      <c r="A675" s="373" t="s">
        <v>22</v>
      </c>
      <c r="B675" s="184" t="s">
        <v>305</v>
      </c>
      <c r="C675" s="183" t="s">
        <v>16</v>
      </c>
      <c r="D675" s="179"/>
      <c r="E675" s="386" t="s">
        <v>503</v>
      </c>
      <c r="F675" s="373" t="s">
        <v>75</v>
      </c>
      <c r="G675" s="370"/>
      <c r="H675" s="387" t="s">
        <v>436</v>
      </c>
      <c r="I675" s="395" t="s">
        <v>872</v>
      </c>
      <c r="J675" s="712">
        <v>45020</v>
      </c>
      <c r="K675" s="739">
        <v>0.75</v>
      </c>
      <c r="L675" s="712">
        <v>45020</v>
      </c>
      <c r="M675" s="739">
        <v>0.79166666666666663</v>
      </c>
      <c r="N675" s="179">
        <v>1</v>
      </c>
      <c r="O675" s="184" t="s">
        <v>17</v>
      </c>
      <c r="P675" s="185" t="s">
        <v>1075</v>
      </c>
      <c r="Q675" s="746" t="s">
        <v>258</v>
      </c>
      <c r="R675" s="171" t="s">
        <v>81</v>
      </c>
      <c r="S675" s="31" t="s">
        <v>273</v>
      </c>
      <c r="T675" s="31" t="s">
        <v>273</v>
      </c>
      <c r="U675" s="31">
        <f>IFERROR(VLOOKUP(CONCATENATE(Tabla1[[#This Row],[Severidad]]," ",Tabla1[[#This Row],[Complejidad]]),Catalogos!E$120:G$128,3,FALSE),"")</f>
        <v>64</v>
      </c>
      <c r="V675" s="31" t="str">
        <f>IF(Tabla1[[#This Row],[Tiempo solución max (hrs)]]&lt;&gt;"",IF(Tabla1[[#This Row],[Tiempo solución max (hrs)]]&gt;=Tabla1[[#This Row],[Tiempo
(Hrs 00/100)]],"cumple","no cumple"),"")</f>
        <v>cumple</v>
      </c>
      <c r="W675" s="376" t="s">
        <v>962</v>
      </c>
      <c r="X675" s="463" t="str">
        <f t="shared" si="82"/>
        <v>SAW</v>
      </c>
      <c r="Y675" s="459" t="str">
        <f>SUBSTITUTE(Tabla1[[#This Row],[Descripción]],CHAR(10),"    I    ")</f>
        <v xml:space="preserve">Modificacion PROSEDE </v>
      </c>
      <c r="Z675" s="464">
        <f>VLOOKUP(Tabla1[[#This Row],[Perfil]],Catalogos!$B$75:$D$100,3,FALSE)*Tabla1[[#This Row],[Tiempo
(Hrs 00/100)]]*1.16</f>
        <v>580</v>
      </c>
    </row>
    <row r="676" spans="1:26" ht="15" customHeight="1" x14ac:dyDescent="0.3">
      <c r="A676" s="373" t="s">
        <v>22</v>
      </c>
      <c r="B676" s="184" t="s">
        <v>68</v>
      </c>
      <c r="C676" s="183" t="s">
        <v>16</v>
      </c>
      <c r="D676" s="370"/>
      <c r="E676" s="386" t="s">
        <v>503</v>
      </c>
      <c r="F676" s="373" t="s">
        <v>75</v>
      </c>
      <c r="G676" s="370"/>
      <c r="H676" s="387" t="s">
        <v>436</v>
      </c>
      <c r="I676" s="395" t="s">
        <v>1077</v>
      </c>
      <c r="J676" s="712">
        <v>45021</v>
      </c>
      <c r="K676" s="709">
        <v>0.375</v>
      </c>
      <c r="L676" s="712">
        <v>45021</v>
      </c>
      <c r="M676" s="739">
        <v>0.54166666666666663</v>
      </c>
      <c r="N676" s="179">
        <v>4</v>
      </c>
      <c r="O676" s="184" t="s">
        <v>17</v>
      </c>
      <c r="P676" s="185" t="s">
        <v>1075</v>
      </c>
      <c r="Q676" s="746" t="s">
        <v>258</v>
      </c>
      <c r="R676" s="171" t="s">
        <v>81</v>
      </c>
      <c r="S676" s="31" t="s">
        <v>273</v>
      </c>
      <c r="T676" s="31" t="s">
        <v>273</v>
      </c>
      <c r="U676" s="31">
        <f>IFERROR(VLOOKUP(CONCATENATE(Tabla1[[#This Row],[Severidad]]," ",Tabla1[[#This Row],[Complejidad]]),Catalogos!E$120:G$128,3,FALSE),"")</f>
        <v>64</v>
      </c>
      <c r="V676" s="31" t="str">
        <f>IF(Tabla1[[#This Row],[Tiempo solución max (hrs)]]&lt;&gt;"",IF(Tabla1[[#This Row],[Tiempo solución max (hrs)]]&gt;=Tabla1[[#This Row],[Tiempo
(Hrs 00/100)]],"cumple","no cumple"),"")</f>
        <v>cumple</v>
      </c>
      <c r="W676" s="376" t="s">
        <v>962</v>
      </c>
      <c r="X676" s="463" t="str">
        <f t="shared" si="82"/>
        <v>SAW</v>
      </c>
      <c r="Y676" s="459" t="str">
        <f>SUBSTITUTE(Tabla1[[#This Row],[Descripción]],CHAR(10),"    I    ")</f>
        <v>actualizacin Concurso Nacional Universitario 2023</v>
      </c>
      <c r="Z676" s="464">
        <f>VLOOKUP(Tabla1[[#This Row],[Perfil]],Catalogos!$B$75:$D$100,3,FALSE)*Tabla1[[#This Row],[Tiempo
(Hrs 00/100)]]*1.16</f>
        <v>2320</v>
      </c>
    </row>
    <row r="677" spans="1:26" ht="15" customHeight="1" x14ac:dyDescent="0.3">
      <c r="A677" s="373" t="s">
        <v>22</v>
      </c>
      <c r="B677" s="184" t="s">
        <v>68</v>
      </c>
      <c r="C677" s="183" t="s">
        <v>16</v>
      </c>
      <c r="D677" s="370"/>
      <c r="E677" s="386" t="s">
        <v>503</v>
      </c>
      <c r="F677" s="373" t="s">
        <v>75</v>
      </c>
      <c r="G677" s="370"/>
      <c r="H677" s="387" t="s">
        <v>436</v>
      </c>
      <c r="I677" s="395" t="s">
        <v>1078</v>
      </c>
      <c r="J677" s="712">
        <v>45021</v>
      </c>
      <c r="K677" s="739">
        <v>0.54166666666666663</v>
      </c>
      <c r="L677" s="712">
        <v>45021</v>
      </c>
      <c r="M677" s="739">
        <v>0.79166666666666663</v>
      </c>
      <c r="N677" s="179">
        <v>4.5</v>
      </c>
      <c r="O677" s="184" t="s">
        <v>17</v>
      </c>
      <c r="P677" s="185" t="s">
        <v>1075</v>
      </c>
      <c r="Q677" s="746" t="s">
        <v>258</v>
      </c>
      <c r="R677" s="171" t="s">
        <v>81</v>
      </c>
      <c r="S677" s="31" t="s">
        <v>273</v>
      </c>
      <c r="T677" s="31" t="s">
        <v>273</v>
      </c>
      <c r="U677" s="31">
        <f>IFERROR(VLOOKUP(CONCATENATE(Tabla1[[#This Row],[Severidad]]," ",Tabla1[[#This Row],[Complejidad]]),Catalogos!E$120:G$128,3,FALSE),"")</f>
        <v>64</v>
      </c>
      <c r="V677" s="31" t="str">
        <f>IF(Tabla1[[#This Row],[Tiempo solución max (hrs)]]&lt;&gt;"",IF(Tabla1[[#This Row],[Tiempo solución max (hrs)]]&gt;=Tabla1[[#This Row],[Tiempo
(Hrs 00/100)]],"cumple","no cumple"),"")</f>
        <v>cumple</v>
      </c>
      <c r="W677" s="376" t="s">
        <v>962</v>
      </c>
      <c r="X677" s="463" t="str">
        <f t="shared" si="82"/>
        <v>SAW</v>
      </c>
      <c r="Y677" s="459" t="str">
        <f>SUBSTITUTE(Tabla1[[#This Row],[Descripción]],CHAR(10),"    I    ")</f>
        <v xml:space="preserve">modificacion Identidad segura </v>
      </c>
      <c r="Z677" s="464">
        <f>VLOOKUP(Tabla1[[#This Row],[Perfil]],Catalogos!$B$75:$D$100,3,FALSE)*Tabla1[[#This Row],[Tiempo
(Hrs 00/100)]]*1.16</f>
        <v>2610</v>
      </c>
    </row>
    <row r="678" spans="1:26" ht="15" customHeight="1" x14ac:dyDescent="0.3">
      <c r="A678" s="373" t="s">
        <v>22</v>
      </c>
      <c r="B678" s="184" t="s">
        <v>68</v>
      </c>
      <c r="C678" s="183" t="s">
        <v>16</v>
      </c>
      <c r="D678" s="179"/>
      <c r="E678" s="386" t="s">
        <v>503</v>
      </c>
      <c r="F678" s="373" t="s">
        <v>75</v>
      </c>
      <c r="G678" s="370"/>
      <c r="H678" s="387" t="s">
        <v>436</v>
      </c>
      <c r="I678" s="394" t="s">
        <v>866</v>
      </c>
      <c r="J678" s="712">
        <v>45022</v>
      </c>
      <c r="K678" s="709">
        <v>0.375</v>
      </c>
      <c r="L678" s="712">
        <v>45022</v>
      </c>
      <c r="M678" s="739">
        <v>0.54166666666666663</v>
      </c>
      <c r="N678" s="179">
        <v>4</v>
      </c>
      <c r="O678" s="184" t="s">
        <v>17</v>
      </c>
      <c r="P678" s="185" t="s">
        <v>1075</v>
      </c>
      <c r="Q678" s="746" t="s">
        <v>258</v>
      </c>
      <c r="R678" s="171" t="s">
        <v>81</v>
      </c>
      <c r="S678" s="31" t="s">
        <v>273</v>
      </c>
      <c r="T678" s="31" t="s">
        <v>273</v>
      </c>
      <c r="U678" s="31">
        <f>IFERROR(VLOOKUP(CONCATENATE(Tabla1[[#This Row],[Severidad]]," ",Tabla1[[#This Row],[Complejidad]]),Catalogos!E$120:G$128,3,FALSE),"")</f>
        <v>64</v>
      </c>
      <c r="V678" s="31" t="str">
        <f>IF(Tabla1[[#This Row],[Tiempo solución max (hrs)]]&lt;&gt;"",IF(Tabla1[[#This Row],[Tiempo solución max (hrs)]]&gt;=Tabla1[[#This Row],[Tiempo
(Hrs 00/100)]],"cumple","no cumple"),"")</f>
        <v>cumple</v>
      </c>
      <c r="W678" s="376" t="s">
        <v>962</v>
      </c>
      <c r="X678" s="463" t="str">
        <f t="shared" si="82"/>
        <v>SAW</v>
      </c>
      <c r="Y678" s="459" t="str">
        <f>SUBSTITUTE(Tabla1[[#This Row],[Descripción]],CHAR(10),"    I    ")</f>
        <v xml:space="preserve">Actualizacion de avance de proyectos </v>
      </c>
      <c r="Z678" s="464">
        <f>VLOOKUP(Tabla1[[#This Row],[Perfil]],Catalogos!$B$75:$D$100,3,FALSE)*Tabla1[[#This Row],[Tiempo
(Hrs 00/100)]]*1.16</f>
        <v>2320</v>
      </c>
    </row>
    <row r="679" spans="1:26" ht="15" customHeight="1" x14ac:dyDescent="0.3">
      <c r="A679" s="373" t="s">
        <v>22</v>
      </c>
      <c r="B679" s="184" t="s">
        <v>68</v>
      </c>
      <c r="C679" s="183" t="s">
        <v>16</v>
      </c>
      <c r="D679" s="179"/>
      <c r="E679" s="386" t="s">
        <v>503</v>
      </c>
      <c r="F679" s="373" t="s">
        <v>75</v>
      </c>
      <c r="G679" s="370"/>
      <c r="H679" s="387" t="s">
        <v>436</v>
      </c>
      <c r="I679" s="395" t="s">
        <v>892</v>
      </c>
      <c r="J679" s="712">
        <v>45022</v>
      </c>
      <c r="K679" s="739">
        <v>0.54166666666666663</v>
      </c>
      <c r="L679" s="712">
        <v>45022</v>
      </c>
      <c r="M679" s="739">
        <v>0.79166666666666663</v>
      </c>
      <c r="N679" s="179">
        <v>4.5</v>
      </c>
      <c r="O679" s="184" t="s">
        <v>17</v>
      </c>
      <c r="P679" s="185" t="s">
        <v>1075</v>
      </c>
      <c r="Q679" s="746" t="s">
        <v>258</v>
      </c>
      <c r="R679" s="171" t="s">
        <v>81</v>
      </c>
      <c r="S679" s="31" t="s">
        <v>273</v>
      </c>
      <c r="T679" s="31" t="s">
        <v>273</v>
      </c>
      <c r="U679" s="31">
        <f>IFERROR(VLOOKUP(CONCATENATE(Tabla1[[#This Row],[Severidad]]," ",Tabla1[[#This Row],[Complejidad]]),Catalogos!E$120:G$128,3,FALSE),"")</f>
        <v>64</v>
      </c>
      <c r="V679" s="31" t="str">
        <f>IF(Tabla1[[#This Row],[Tiempo solución max (hrs)]]&lt;&gt;"",IF(Tabla1[[#This Row],[Tiempo solución max (hrs)]]&gt;=Tabla1[[#This Row],[Tiempo
(Hrs 00/100)]],"cumple","no cumple"),"")</f>
        <v>cumple</v>
      </c>
      <c r="W679" s="376" t="s">
        <v>962</v>
      </c>
      <c r="X679" s="463" t="str">
        <f t="shared" si="82"/>
        <v>SAW</v>
      </c>
      <c r="Y679" s="459" t="str">
        <f>SUBSTITUTE(Tabla1[[#This Row],[Descripción]],CHAR(10),"    I    ")</f>
        <v xml:space="preserve">Solicitudes de Usuarios Pleno niños </v>
      </c>
      <c r="Z679" s="464">
        <f>VLOOKUP(Tabla1[[#This Row],[Perfil]],Catalogos!$B$75:$D$100,3,FALSE)*Tabla1[[#This Row],[Tiempo
(Hrs 00/100)]]*1.16</f>
        <v>2610</v>
      </c>
    </row>
    <row r="680" spans="1:26" ht="15" customHeight="1" x14ac:dyDescent="0.3">
      <c r="A680" s="373" t="s">
        <v>22</v>
      </c>
      <c r="B680" s="184" t="s">
        <v>68</v>
      </c>
      <c r="C680" s="183" t="s">
        <v>16</v>
      </c>
      <c r="D680" s="179"/>
      <c r="E680" s="386" t="s">
        <v>503</v>
      </c>
      <c r="F680" s="373" t="s">
        <v>75</v>
      </c>
      <c r="G680" s="370"/>
      <c r="H680" s="387" t="s">
        <v>436</v>
      </c>
      <c r="I680" s="388" t="s">
        <v>1079</v>
      </c>
      <c r="J680" s="712">
        <v>45023</v>
      </c>
      <c r="K680" s="709">
        <v>0.375</v>
      </c>
      <c r="L680" s="712">
        <v>45023</v>
      </c>
      <c r="M680" s="739">
        <v>0.5</v>
      </c>
      <c r="N680" s="179">
        <v>3</v>
      </c>
      <c r="O680" s="184" t="s">
        <v>17</v>
      </c>
      <c r="P680" s="185" t="s">
        <v>1075</v>
      </c>
      <c r="Q680" s="746" t="s">
        <v>258</v>
      </c>
      <c r="R680" s="171" t="s">
        <v>81</v>
      </c>
      <c r="S680" s="31" t="s">
        <v>273</v>
      </c>
      <c r="T680" s="31" t="s">
        <v>273</v>
      </c>
      <c r="U680" s="31">
        <f>IFERROR(VLOOKUP(CONCATENATE(Tabla1[[#This Row],[Severidad]]," ",Tabla1[[#This Row],[Complejidad]]),Catalogos!E$120:G$128,3,FALSE),"")</f>
        <v>64</v>
      </c>
      <c r="V680" s="31" t="str">
        <f>IF(Tabla1[[#This Row],[Tiempo solución max (hrs)]]&lt;&gt;"",IF(Tabla1[[#This Row],[Tiempo solución max (hrs)]]&gt;=Tabla1[[#This Row],[Tiempo
(Hrs 00/100)]],"cumple","no cumple"),"")</f>
        <v>cumple</v>
      </c>
      <c r="W680" s="376" t="s">
        <v>962</v>
      </c>
      <c r="X680" s="463" t="str">
        <f t="shared" si="82"/>
        <v>SAW</v>
      </c>
      <c r="Y680" s="459" t="str">
        <f>SUBSTITUTE(Tabla1[[#This Row],[Descripción]],CHAR(10),"    I    ")</f>
        <v xml:space="preserve">Guia de apoyo envios </v>
      </c>
      <c r="Z680" s="464">
        <f>VLOOKUP(Tabla1[[#This Row],[Perfil]],Catalogos!$B$75:$D$100,3,FALSE)*Tabla1[[#This Row],[Tiempo
(Hrs 00/100)]]*1.16</f>
        <v>1739.9999999999998</v>
      </c>
    </row>
    <row r="681" spans="1:26" ht="15" customHeight="1" x14ac:dyDescent="0.3">
      <c r="A681" s="373" t="s">
        <v>22</v>
      </c>
      <c r="B681" s="184" t="s">
        <v>68</v>
      </c>
      <c r="C681" s="183" t="s">
        <v>16</v>
      </c>
      <c r="D681" s="179"/>
      <c r="E681" s="386" t="s">
        <v>503</v>
      </c>
      <c r="F681" s="373" t="s">
        <v>75</v>
      </c>
      <c r="G681" s="370"/>
      <c r="H681" s="387" t="s">
        <v>436</v>
      </c>
      <c r="I681" s="395" t="s">
        <v>1080</v>
      </c>
      <c r="J681" s="712">
        <v>45023</v>
      </c>
      <c r="K681" s="739">
        <v>0.5</v>
      </c>
      <c r="L681" s="712">
        <v>45023</v>
      </c>
      <c r="M681" s="739">
        <v>0.625</v>
      </c>
      <c r="N681" s="179">
        <v>3</v>
      </c>
      <c r="O681" s="184" t="s">
        <v>17</v>
      </c>
      <c r="P681" s="185" t="s">
        <v>1075</v>
      </c>
      <c r="Q681" s="746" t="s">
        <v>258</v>
      </c>
      <c r="R681" s="171" t="s">
        <v>81</v>
      </c>
      <c r="S681" s="31" t="s">
        <v>273</v>
      </c>
      <c r="T681" s="31" t="s">
        <v>273</v>
      </c>
      <c r="U681" s="31">
        <f>IFERROR(VLOOKUP(CONCATENATE(Tabla1[[#This Row],[Severidad]]," ",Tabla1[[#This Row],[Complejidad]]),Catalogos!E$120:G$128,3,FALSE),"")</f>
        <v>64</v>
      </c>
      <c r="V681" s="31" t="str">
        <f>IF(Tabla1[[#This Row],[Tiempo solución max (hrs)]]&lt;&gt;"",IF(Tabla1[[#This Row],[Tiempo solución max (hrs)]]&gt;=Tabla1[[#This Row],[Tiempo
(Hrs 00/100)]],"cumple","no cumple"),"")</f>
        <v>cumple</v>
      </c>
      <c r="W681" s="376" t="s">
        <v>962</v>
      </c>
      <c r="X681" s="463" t="str">
        <f t="shared" si="82"/>
        <v>SAW</v>
      </c>
      <c r="Y681" s="459" t="str">
        <f>SUBSTITUTE(Tabla1[[#This Row],[Descripción]],CHAR(10),"    I    ")</f>
        <v xml:space="preserve">alta usuarios banco de practicas </v>
      </c>
      <c r="Z681" s="464">
        <f>VLOOKUP(Tabla1[[#This Row],[Perfil]],Catalogos!$B$75:$D$100,3,FALSE)*Tabla1[[#This Row],[Tiempo
(Hrs 00/100)]]*1.16</f>
        <v>1739.9999999999998</v>
      </c>
    </row>
    <row r="682" spans="1:26" ht="15" customHeight="1" x14ac:dyDescent="0.3">
      <c r="A682" s="373" t="s">
        <v>22</v>
      </c>
      <c r="B682" s="184" t="s">
        <v>68</v>
      </c>
      <c r="C682" s="183" t="s">
        <v>16</v>
      </c>
      <c r="D682" s="179"/>
      <c r="E682" s="386" t="s">
        <v>503</v>
      </c>
      <c r="F682" s="373" t="s">
        <v>75</v>
      </c>
      <c r="G682" s="370"/>
      <c r="H682" s="387" t="s">
        <v>436</v>
      </c>
      <c r="I682" s="395" t="s">
        <v>1081</v>
      </c>
      <c r="J682" s="712">
        <v>45026</v>
      </c>
      <c r="K682" s="709">
        <v>0.375</v>
      </c>
      <c r="L682" s="712">
        <v>45026</v>
      </c>
      <c r="M682" s="739">
        <v>0.54166666666666663</v>
      </c>
      <c r="N682" s="179">
        <v>4</v>
      </c>
      <c r="O682" s="184" t="s">
        <v>17</v>
      </c>
      <c r="P682" s="185" t="s">
        <v>1075</v>
      </c>
      <c r="Q682" s="746" t="s">
        <v>258</v>
      </c>
      <c r="R682" s="171" t="s">
        <v>81</v>
      </c>
      <c r="S682" s="31" t="s">
        <v>273</v>
      </c>
      <c r="T682" s="31" t="s">
        <v>273</v>
      </c>
      <c r="U682" s="31">
        <f>IFERROR(VLOOKUP(CONCATENATE(Tabla1[[#This Row],[Severidad]]," ",Tabla1[[#This Row],[Complejidad]]),Catalogos!E$120:G$128,3,FALSE),"")</f>
        <v>64</v>
      </c>
      <c r="V682" s="31" t="str">
        <f>IF(Tabla1[[#This Row],[Tiempo solución max (hrs)]]&lt;&gt;"",IF(Tabla1[[#This Row],[Tiempo solución max (hrs)]]&gt;=Tabla1[[#This Row],[Tiempo
(Hrs 00/100)]],"cumple","no cumple"),"")</f>
        <v>cumple</v>
      </c>
      <c r="W682" s="376" t="s">
        <v>962</v>
      </c>
      <c r="X682" s="463" t="str">
        <f t="shared" si="82"/>
        <v>SAW</v>
      </c>
      <c r="Y682" s="459" t="str">
        <f>SUBSTITUTE(Tabla1[[#This Row],[Descripción]],CHAR(10),"    I    ")</f>
        <v xml:space="preserve">Prosede actualizacion </v>
      </c>
      <c r="Z682" s="464">
        <f>VLOOKUP(Tabla1[[#This Row],[Perfil]],Catalogos!$B$75:$D$100,3,FALSE)*Tabla1[[#This Row],[Tiempo
(Hrs 00/100)]]*1.16</f>
        <v>2320</v>
      </c>
    </row>
    <row r="683" spans="1:26" ht="15" customHeight="1" x14ac:dyDescent="0.3">
      <c r="A683" s="373" t="s">
        <v>22</v>
      </c>
      <c r="B683" s="184" t="s">
        <v>68</v>
      </c>
      <c r="C683" s="183" t="s">
        <v>16</v>
      </c>
      <c r="D683" s="179"/>
      <c r="E683" s="386" t="s">
        <v>503</v>
      </c>
      <c r="F683" s="373" t="s">
        <v>75</v>
      </c>
      <c r="G683" s="370"/>
      <c r="H683" s="387" t="s">
        <v>436</v>
      </c>
      <c r="I683" s="393" t="s">
        <v>1082</v>
      </c>
      <c r="J683" s="712">
        <v>45026</v>
      </c>
      <c r="K683" s="739">
        <v>0.54166666666666663</v>
      </c>
      <c r="L683" s="712">
        <v>45026</v>
      </c>
      <c r="M683" s="739">
        <v>0.72916666666666663</v>
      </c>
      <c r="N683" s="179">
        <v>3</v>
      </c>
      <c r="O683" s="184" t="s">
        <v>17</v>
      </c>
      <c r="P683" s="185" t="s">
        <v>1075</v>
      </c>
      <c r="Q683" s="746" t="s">
        <v>258</v>
      </c>
      <c r="R683" s="171" t="s">
        <v>81</v>
      </c>
      <c r="S683" s="31" t="s">
        <v>273</v>
      </c>
      <c r="T683" s="31" t="s">
        <v>273</v>
      </c>
      <c r="U683" s="31">
        <f>IFERROR(VLOOKUP(CONCATENATE(Tabla1[[#This Row],[Severidad]]," ",Tabla1[[#This Row],[Complejidad]]),Catalogos!E$120:G$128,3,FALSE),"")</f>
        <v>64</v>
      </c>
      <c r="V683" s="31" t="str">
        <f>IF(Tabla1[[#This Row],[Tiempo solución max (hrs)]]&lt;&gt;"",IF(Tabla1[[#This Row],[Tiempo solución max (hrs)]]&gt;=Tabla1[[#This Row],[Tiempo
(Hrs 00/100)]],"cumple","no cumple"),"")</f>
        <v>cumple</v>
      </c>
      <c r="W683" s="376" t="s">
        <v>962</v>
      </c>
      <c r="X683" s="463" t="str">
        <f t="shared" si="82"/>
        <v>SAW</v>
      </c>
      <c r="Y683" s="459" t="str">
        <f>SUBSTITUTE(Tabla1[[#This Row],[Descripción]],CHAR(10),"    I    ")</f>
        <v xml:space="preserve">Arcualizacion de archivos </v>
      </c>
      <c r="Z683" s="464">
        <f>VLOOKUP(Tabla1[[#This Row],[Perfil]],Catalogos!$B$75:$D$100,3,FALSE)*Tabla1[[#This Row],[Tiempo
(Hrs 00/100)]]*1.16</f>
        <v>1739.9999999999998</v>
      </c>
    </row>
    <row r="684" spans="1:26" ht="15" customHeight="1" x14ac:dyDescent="0.3">
      <c r="A684" s="373" t="s">
        <v>22</v>
      </c>
      <c r="B684" s="184" t="s">
        <v>68</v>
      </c>
      <c r="C684" s="183" t="s">
        <v>16</v>
      </c>
      <c r="D684" s="179"/>
      <c r="E684" s="386" t="s">
        <v>503</v>
      </c>
      <c r="F684" s="373" t="s">
        <v>75</v>
      </c>
      <c r="G684" s="370"/>
      <c r="H684" s="387" t="s">
        <v>436</v>
      </c>
      <c r="I684" s="393" t="s">
        <v>1083</v>
      </c>
      <c r="J684" s="712">
        <v>45026</v>
      </c>
      <c r="K684" s="739">
        <v>0.72916666666666663</v>
      </c>
      <c r="L684" s="712">
        <v>45026</v>
      </c>
      <c r="M684" s="739">
        <v>0.79166666666666663</v>
      </c>
      <c r="N684" s="179">
        <v>1.5</v>
      </c>
      <c r="O684" s="184" t="s">
        <v>17</v>
      </c>
      <c r="P684" s="185" t="s">
        <v>1075</v>
      </c>
      <c r="Q684" s="746" t="s">
        <v>258</v>
      </c>
      <c r="R684" s="171" t="s">
        <v>81</v>
      </c>
      <c r="S684" s="31" t="s">
        <v>273</v>
      </c>
      <c r="T684" s="31" t="s">
        <v>273</v>
      </c>
      <c r="U684" s="31">
        <f>IFERROR(VLOOKUP(CONCATENATE(Tabla1[[#This Row],[Severidad]]," ",Tabla1[[#This Row],[Complejidad]]),Catalogos!E$120:G$128,3,FALSE),"")</f>
        <v>64</v>
      </c>
      <c r="V684" s="31" t="str">
        <f>IF(Tabla1[[#This Row],[Tiempo solución max (hrs)]]&lt;&gt;"",IF(Tabla1[[#This Row],[Tiempo solución max (hrs)]]&gt;=Tabla1[[#This Row],[Tiempo
(Hrs 00/100)]],"cumple","no cumple"),"")</f>
        <v>cumple</v>
      </c>
      <c r="W684" s="376" t="s">
        <v>962</v>
      </c>
      <c r="X684" s="463" t="str">
        <f t="shared" si="82"/>
        <v>SAW</v>
      </c>
      <c r="Y684" s="459" t="str">
        <f>SUBSTITUTE(Tabla1[[#This Row],[Descripción]],CHAR(10),"    I    ")</f>
        <v xml:space="preserve">modificacion calendario </v>
      </c>
      <c r="Z684" s="464">
        <f>VLOOKUP(Tabla1[[#This Row],[Perfil]],Catalogos!$B$75:$D$100,3,FALSE)*Tabla1[[#This Row],[Tiempo
(Hrs 00/100)]]*1.16</f>
        <v>869.99999999999989</v>
      </c>
    </row>
    <row r="685" spans="1:26" ht="15" customHeight="1" x14ac:dyDescent="0.3">
      <c r="A685" s="373" t="s">
        <v>22</v>
      </c>
      <c r="B685" s="184" t="s">
        <v>68</v>
      </c>
      <c r="C685" s="183" t="s">
        <v>16</v>
      </c>
      <c r="D685" s="179"/>
      <c r="E685" s="386" t="s">
        <v>503</v>
      </c>
      <c r="F685" s="373" t="s">
        <v>75</v>
      </c>
      <c r="G685" s="370"/>
      <c r="H685" s="387" t="s">
        <v>436</v>
      </c>
      <c r="I685" s="395" t="s">
        <v>895</v>
      </c>
      <c r="J685" s="712">
        <v>45027</v>
      </c>
      <c r="K685" s="709">
        <v>0.375</v>
      </c>
      <c r="L685" s="712">
        <v>45027</v>
      </c>
      <c r="M685" s="739">
        <v>0.45833333333333331</v>
      </c>
      <c r="N685" s="179">
        <v>2</v>
      </c>
      <c r="O685" s="184" t="s">
        <v>17</v>
      </c>
      <c r="P685" s="185" t="s">
        <v>1075</v>
      </c>
      <c r="Q685" s="746" t="s">
        <v>258</v>
      </c>
      <c r="R685" s="171" t="s">
        <v>81</v>
      </c>
      <c r="S685" s="31" t="s">
        <v>273</v>
      </c>
      <c r="T685" s="31" t="s">
        <v>273</v>
      </c>
      <c r="U685" s="31">
        <f>IFERROR(VLOOKUP(CONCATENATE(Tabla1[[#This Row],[Severidad]]," ",Tabla1[[#This Row],[Complejidad]]),Catalogos!E$120:G$128,3,FALSE),"")</f>
        <v>64</v>
      </c>
      <c r="V685" s="31" t="str">
        <f>IF(Tabla1[[#This Row],[Tiempo solución max (hrs)]]&lt;&gt;"",IF(Tabla1[[#This Row],[Tiempo solución max (hrs)]]&gt;=Tabla1[[#This Row],[Tiempo
(Hrs 00/100)]],"cumple","no cumple"),"")</f>
        <v>cumple</v>
      </c>
      <c r="W685" s="376" t="s">
        <v>962</v>
      </c>
      <c r="X685" s="463" t="str">
        <f t="shared" si="82"/>
        <v>SAW</v>
      </c>
      <c r="Y685" s="459" t="str">
        <f>SUBSTITUTE(Tabla1[[#This Row],[Descripción]],CHAR(10),"    I    ")</f>
        <v xml:space="preserve">Seguimuento de proyecto CEVINAI </v>
      </c>
      <c r="Z685" s="464">
        <f>VLOOKUP(Tabla1[[#This Row],[Perfil]],Catalogos!$B$75:$D$100,3,FALSE)*Tabla1[[#This Row],[Tiempo
(Hrs 00/100)]]*1.16</f>
        <v>1160</v>
      </c>
    </row>
    <row r="686" spans="1:26" ht="15" customHeight="1" x14ac:dyDescent="0.3">
      <c r="A686" s="373" t="s">
        <v>22</v>
      </c>
      <c r="B686" s="184" t="s">
        <v>68</v>
      </c>
      <c r="C686" s="183" t="s">
        <v>16</v>
      </c>
      <c r="D686" s="179"/>
      <c r="E686" s="386" t="s">
        <v>503</v>
      </c>
      <c r="F686" s="373" t="s">
        <v>75</v>
      </c>
      <c r="G686" s="370"/>
      <c r="H686" s="387" t="s">
        <v>436</v>
      </c>
      <c r="I686" s="393" t="s">
        <v>1084</v>
      </c>
      <c r="J686" s="712">
        <v>45027</v>
      </c>
      <c r="K686" s="739">
        <v>0.45833333333333331</v>
      </c>
      <c r="L686" s="712">
        <v>45027</v>
      </c>
      <c r="M686" s="739">
        <v>0.79166666666666663</v>
      </c>
      <c r="N686" s="179">
        <v>6.5</v>
      </c>
      <c r="O686" s="184" t="s">
        <v>17</v>
      </c>
      <c r="P686" s="185" t="s">
        <v>1075</v>
      </c>
      <c r="Q686" s="746" t="s">
        <v>258</v>
      </c>
      <c r="R686" s="171" t="s">
        <v>81</v>
      </c>
      <c r="S686" s="31" t="s">
        <v>273</v>
      </c>
      <c r="T686" s="31" t="s">
        <v>273</v>
      </c>
      <c r="U686" s="31">
        <f>IFERROR(VLOOKUP(CONCATENATE(Tabla1[[#This Row],[Severidad]]," ",Tabla1[[#This Row],[Complejidad]]),Catalogos!E$120:G$128,3,FALSE),"")</f>
        <v>64</v>
      </c>
      <c r="V686" s="31" t="str">
        <f>IF(Tabla1[[#This Row],[Tiempo solución max (hrs)]]&lt;&gt;"",IF(Tabla1[[#This Row],[Tiempo solución max (hrs)]]&gt;=Tabla1[[#This Row],[Tiempo
(Hrs 00/100)]],"cumple","no cumple"),"")</f>
        <v>cumple</v>
      </c>
      <c r="W686" s="376" t="s">
        <v>962</v>
      </c>
      <c r="X686" s="463" t="str">
        <f t="shared" si="82"/>
        <v>SAW</v>
      </c>
      <c r="Y686" s="459" t="str">
        <f>SUBSTITUTE(Tabla1[[#This Row],[Descripción]],CHAR(10),"    I    ")</f>
        <v xml:space="preserve">Visualizacion del sitio Guia de apoyo </v>
      </c>
      <c r="Z686" s="464">
        <f>VLOOKUP(Tabla1[[#This Row],[Perfil]],Catalogos!$B$75:$D$100,3,FALSE)*Tabla1[[#This Row],[Tiempo
(Hrs 00/100)]]*1.16</f>
        <v>3769.9999999999995</v>
      </c>
    </row>
    <row r="687" spans="1:26" ht="15" customHeight="1" x14ac:dyDescent="0.3">
      <c r="A687" s="373" t="s">
        <v>22</v>
      </c>
      <c r="B687" s="184" t="s">
        <v>68</v>
      </c>
      <c r="C687" s="183" t="s">
        <v>16</v>
      </c>
      <c r="D687" s="370"/>
      <c r="E687" s="386" t="s">
        <v>503</v>
      </c>
      <c r="F687" s="373" t="s">
        <v>75</v>
      </c>
      <c r="G687" s="370"/>
      <c r="H687" s="387" t="s">
        <v>436</v>
      </c>
      <c r="I687" s="393" t="s">
        <v>1085</v>
      </c>
      <c r="J687" s="712">
        <v>45028</v>
      </c>
      <c r="K687" s="709">
        <v>0.375</v>
      </c>
      <c r="L687" s="712">
        <v>45028</v>
      </c>
      <c r="M687" s="739">
        <v>0.54166666666666663</v>
      </c>
      <c r="N687" s="179">
        <v>4</v>
      </c>
      <c r="O687" s="184" t="s">
        <v>17</v>
      </c>
      <c r="P687" s="185" t="s">
        <v>1075</v>
      </c>
      <c r="Q687" s="746" t="s">
        <v>258</v>
      </c>
      <c r="R687" s="171" t="s">
        <v>81</v>
      </c>
      <c r="S687" s="31" t="s">
        <v>273</v>
      </c>
      <c r="T687" s="31" t="s">
        <v>273</v>
      </c>
      <c r="U687" s="31">
        <f>IFERROR(VLOOKUP(CONCATENATE(Tabla1[[#This Row],[Severidad]]," ",Tabla1[[#This Row],[Complejidad]]),Catalogos!E$120:G$128,3,FALSE),"")</f>
        <v>64</v>
      </c>
      <c r="V687" s="31" t="str">
        <f>IF(Tabla1[[#This Row],[Tiempo solución max (hrs)]]&lt;&gt;"",IF(Tabla1[[#This Row],[Tiempo solución max (hrs)]]&gt;=Tabla1[[#This Row],[Tiempo
(Hrs 00/100)]],"cumple","no cumple"),"")</f>
        <v>cumple</v>
      </c>
      <c r="W687" s="376" t="s">
        <v>962</v>
      </c>
      <c r="X687" s="463" t="str">
        <f t="shared" si="82"/>
        <v>SAW</v>
      </c>
      <c r="Y687" s="459" t="str">
        <f>SUBSTITUTE(Tabla1[[#This Row],[Descripción]],CHAR(10),"    I    ")</f>
        <v xml:space="preserve">Solicitud de integracion Procede </v>
      </c>
      <c r="Z687" s="464">
        <f>VLOOKUP(Tabla1[[#This Row],[Perfil]],Catalogos!$B$75:$D$100,3,FALSE)*Tabla1[[#This Row],[Tiempo
(Hrs 00/100)]]*1.16</f>
        <v>2320</v>
      </c>
    </row>
    <row r="688" spans="1:26" ht="15" customHeight="1" x14ac:dyDescent="0.3">
      <c r="A688" s="373" t="s">
        <v>22</v>
      </c>
      <c r="B688" s="184" t="s">
        <v>68</v>
      </c>
      <c r="C688" s="183" t="s">
        <v>16</v>
      </c>
      <c r="D688" s="370"/>
      <c r="E688" s="386" t="s">
        <v>503</v>
      </c>
      <c r="F688" s="373" t="s">
        <v>75</v>
      </c>
      <c r="G688" s="370"/>
      <c r="H688" s="387" t="s">
        <v>436</v>
      </c>
      <c r="I688" s="395" t="s">
        <v>1086</v>
      </c>
      <c r="J688" s="712">
        <v>45028</v>
      </c>
      <c r="K688" s="739">
        <v>0.54166666666666663</v>
      </c>
      <c r="L688" s="712">
        <v>45028</v>
      </c>
      <c r="M688" s="739">
        <v>0.79166666666666663</v>
      </c>
      <c r="N688" s="179">
        <v>4.5</v>
      </c>
      <c r="O688" s="184" t="s">
        <v>17</v>
      </c>
      <c r="P688" s="185" t="s">
        <v>1075</v>
      </c>
      <c r="Q688" s="746" t="s">
        <v>258</v>
      </c>
      <c r="R688" s="171" t="s">
        <v>81</v>
      </c>
      <c r="S688" s="31" t="s">
        <v>273</v>
      </c>
      <c r="T688" s="31" t="s">
        <v>273</v>
      </c>
      <c r="U688" s="31">
        <f>IFERROR(VLOOKUP(CONCATENATE(Tabla1[[#This Row],[Severidad]]," ",Tabla1[[#This Row],[Complejidad]]),Catalogos!E$120:G$128,3,FALSE),"")</f>
        <v>64</v>
      </c>
      <c r="V688" s="31" t="str">
        <f>IF(Tabla1[[#This Row],[Tiempo solución max (hrs)]]&lt;&gt;"",IF(Tabla1[[#This Row],[Tiempo solución max (hrs)]]&gt;=Tabla1[[#This Row],[Tiempo
(Hrs 00/100)]],"cumple","no cumple"),"")</f>
        <v>cumple</v>
      </c>
      <c r="W688" s="376" t="s">
        <v>962</v>
      </c>
      <c r="X688" s="463" t="str">
        <f t="shared" si="82"/>
        <v>SAW</v>
      </c>
      <c r="Y688" s="459" t="str">
        <f>SUBSTITUTE(Tabla1[[#This Row],[Descripción]],CHAR(10),"    I    ")</f>
        <v xml:space="preserve">actualizacion PROCEDE </v>
      </c>
      <c r="Z688" s="464">
        <f>VLOOKUP(Tabla1[[#This Row],[Perfil]],Catalogos!$B$75:$D$100,3,FALSE)*Tabla1[[#This Row],[Tiempo
(Hrs 00/100)]]*1.16</f>
        <v>2610</v>
      </c>
    </row>
    <row r="689" spans="1:26" ht="15" customHeight="1" x14ac:dyDescent="0.3">
      <c r="A689" s="373" t="s">
        <v>22</v>
      </c>
      <c r="B689" s="184" t="s">
        <v>68</v>
      </c>
      <c r="C689" s="183" t="s">
        <v>16</v>
      </c>
      <c r="D689" s="179"/>
      <c r="E689" s="386" t="s">
        <v>503</v>
      </c>
      <c r="F689" s="373" t="s">
        <v>75</v>
      </c>
      <c r="G689" s="370"/>
      <c r="H689" s="387" t="s">
        <v>436</v>
      </c>
      <c r="I689" s="393" t="s">
        <v>1087</v>
      </c>
      <c r="J689" s="712">
        <v>45029</v>
      </c>
      <c r="K689" s="709">
        <v>0.375</v>
      </c>
      <c r="L689" s="712">
        <v>45029</v>
      </c>
      <c r="M689" s="739">
        <v>0.5</v>
      </c>
      <c r="N689" s="179">
        <v>3</v>
      </c>
      <c r="O689" s="184" t="s">
        <v>17</v>
      </c>
      <c r="P689" s="185" t="s">
        <v>1075</v>
      </c>
      <c r="Q689" s="746" t="s">
        <v>258</v>
      </c>
      <c r="R689" s="171" t="s">
        <v>81</v>
      </c>
      <c r="S689" s="31" t="s">
        <v>273</v>
      </c>
      <c r="T689" s="31" t="s">
        <v>273</v>
      </c>
      <c r="U689" s="31">
        <f>IFERROR(VLOOKUP(CONCATENATE(Tabla1[[#This Row],[Severidad]]," ",Tabla1[[#This Row],[Complejidad]]),Catalogos!E$120:G$128,3,FALSE),"")</f>
        <v>64</v>
      </c>
      <c r="V689" s="31" t="str">
        <f>IF(Tabla1[[#This Row],[Tiempo solución max (hrs)]]&lt;&gt;"",IF(Tabla1[[#This Row],[Tiempo solución max (hrs)]]&gt;=Tabla1[[#This Row],[Tiempo
(Hrs 00/100)]],"cumple","no cumple"),"")</f>
        <v>cumple</v>
      </c>
      <c r="W689" s="376" t="s">
        <v>962</v>
      </c>
      <c r="X689" s="463" t="str">
        <f t="shared" si="82"/>
        <v>SAW</v>
      </c>
      <c r="Y689" s="459" t="str">
        <f>SUBSTITUTE(Tabla1[[#This Row],[Descripción]],CHAR(10),"    I    ")</f>
        <v xml:space="preserve">Retiro de ventana emergente </v>
      </c>
      <c r="Z689" s="464">
        <f>VLOOKUP(Tabla1[[#This Row],[Perfil]],Catalogos!$B$75:$D$100,3,FALSE)*Tabla1[[#This Row],[Tiempo
(Hrs 00/100)]]*1.16</f>
        <v>1739.9999999999998</v>
      </c>
    </row>
    <row r="690" spans="1:26" ht="15" customHeight="1" x14ac:dyDescent="0.3">
      <c r="A690" s="373" t="s">
        <v>22</v>
      </c>
      <c r="B690" s="184" t="s">
        <v>68</v>
      </c>
      <c r="C690" s="183" t="s">
        <v>16</v>
      </c>
      <c r="D690" s="179"/>
      <c r="E690" s="386" t="s">
        <v>503</v>
      </c>
      <c r="F690" s="373" t="s">
        <v>75</v>
      </c>
      <c r="G690" s="370"/>
      <c r="H690" s="387" t="s">
        <v>436</v>
      </c>
      <c r="I690" s="395" t="s">
        <v>1088</v>
      </c>
      <c r="J690" s="712">
        <v>45029</v>
      </c>
      <c r="K690" s="739">
        <v>0.5</v>
      </c>
      <c r="L690" s="712">
        <v>45029</v>
      </c>
      <c r="M690" s="739">
        <v>0.60416666666666663</v>
      </c>
      <c r="N690" s="179">
        <v>2.5</v>
      </c>
      <c r="O690" s="184" t="s">
        <v>17</v>
      </c>
      <c r="P690" s="185" t="s">
        <v>1075</v>
      </c>
      <c r="Q690" s="746" t="s">
        <v>258</v>
      </c>
      <c r="R690" s="171" t="s">
        <v>81</v>
      </c>
      <c r="S690" s="31" t="s">
        <v>273</v>
      </c>
      <c r="T690" s="31" t="s">
        <v>273</v>
      </c>
      <c r="U690" s="31">
        <f>IFERROR(VLOOKUP(CONCATENATE(Tabla1[[#This Row],[Severidad]]," ",Tabla1[[#This Row],[Complejidad]]),Catalogos!E$120:G$128,3,FALSE),"")</f>
        <v>64</v>
      </c>
      <c r="V690" s="31" t="str">
        <f>IF(Tabla1[[#This Row],[Tiempo solución max (hrs)]]&lt;&gt;"",IF(Tabla1[[#This Row],[Tiempo solución max (hrs)]]&gt;=Tabla1[[#This Row],[Tiempo
(Hrs 00/100)]],"cumple","no cumple"),"")</f>
        <v>cumple</v>
      </c>
      <c r="W690" s="376" t="s">
        <v>962</v>
      </c>
      <c r="X690" s="463" t="str">
        <f t="shared" si="82"/>
        <v>SAW</v>
      </c>
      <c r="Y690" s="459" t="str">
        <f>SUBSTITUTE(Tabla1[[#This Row],[Descripción]],CHAR(10),"    I    ")</f>
        <v xml:space="preserve">actualizacion de reportes </v>
      </c>
      <c r="Z690" s="464">
        <f>VLOOKUP(Tabla1[[#This Row],[Perfil]],Catalogos!$B$75:$D$100,3,FALSE)*Tabla1[[#This Row],[Tiempo
(Hrs 00/100)]]*1.16</f>
        <v>1450</v>
      </c>
    </row>
    <row r="691" spans="1:26" ht="15" customHeight="1" x14ac:dyDescent="0.3">
      <c r="A691" s="373" t="s">
        <v>22</v>
      </c>
      <c r="B691" s="184" t="s">
        <v>68</v>
      </c>
      <c r="C691" s="183" t="s">
        <v>16</v>
      </c>
      <c r="D691" s="179"/>
      <c r="E691" s="386" t="s">
        <v>503</v>
      </c>
      <c r="F691" s="373" t="s">
        <v>75</v>
      </c>
      <c r="G691" s="370"/>
      <c r="H691" s="387" t="s">
        <v>436</v>
      </c>
      <c r="I691" s="393" t="s">
        <v>1089</v>
      </c>
      <c r="J691" s="712">
        <v>45029</v>
      </c>
      <c r="K691" s="709">
        <v>0.66666666666666663</v>
      </c>
      <c r="L691" s="712">
        <v>45029</v>
      </c>
      <c r="M691" s="739">
        <v>0.79166666666666663</v>
      </c>
      <c r="N691" s="179">
        <v>3</v>
      </c>
      <c r="O691" s="184" t="s">
        <v>17</v>
      </c>
      <c r="P691" s="185" t="s">
        <v>1075</v>
      </c>
      <c r="Q691" s="746" t="s">
        <v>258</v>
      </c>
      <c r="R691" s="171" t="s">
        <v>81</v>
      </c>
      <c r="S691" s="31" t="s">
        <v>273</v>
      </c>
      <c r="T691" s="31" t="s">
        <v>273</v>
      </c>
      <c r="U691" s="31">
        <f>IFERROR(VLOOKUP(CONCATENATE(Tabla1[[#This Row],[Severidad]]," ",Tabla1[[#This Row],[Complejidad]]),Catalogos!E$120:G$128,3,FALSE),"")</f>
        <v>64</v>
      </c>
      <c r="V691" s="31" t="str">
        <f>IF(Tabla1[[#This Row],[Tiempo solución max (hrs)]]&lt;&gt;"",IF(Tabla1[[#This Row],[Tiempo solución max (hrs)]]&gt;=Tabla1[[#This Row],[Tiempo
(Hrs 00/100)]],"cumple","no cumple"),"")</f>
        <v>cumple</v>
      </c>
      <c r="W691" s="376" t="s">
        <v>962</v>
      </c>
      <c r="X691" s="463" t="str">
        <f t="shared" si="82"/>
        <v>SAW</v>
      </c>
      <c r="Y691" s="459" t="str">
        <f>SUBSTITUTE(Tabla1[[#This Row],[Descripción]],CHAR(10),"    I    ")</f>
        <v xml:space="preserve">Recuperacin de usuarios </v>
      </c>
      <c r="Z691" s="464">
        <f>VLOOKUP(Tabla1[[#This Row],[Perfil]],Catalogos!$B$75:$D$100,3,FALSE)*Tabla1[[#This Row],[Tiempo
(Hrs 00/100)]]*1.16</f>
        <v>1739.9999999999998</v>
      </c>
    </row>
    <row r="692" spans="1:26" ht="15" customHeight="1" x14ac:dyDescent="0.3">
      <c r="A692" s="373" t="s">
        <v>22</v>
      </c>
      <c r="B692" s="184" t="s">
        <v>68</v>
      </c>
      <c r="C692" s="183" t="s">
        <v>16</v>
      </c>
      <c r="D692" s="179"/>
      <c r="E692" s="386" t="s">
        <v>503</v>
      </c>
      <c r="F692" s="373" t="s">
        <v>75</v>
      </c>
      <c r="G692" s="370"/>
      <c r="H692" s="387" t="s">
        <v>436</v>
      </c>
      <c r="I692" s="395" t="s">
        <v>1090</v>
      </c>
      <c r="J692" s="712">
        <v>45030</v>
      </c>
      <c r="K692" s="709">
        <v>0.375</v>
      </c>
      <c r="L692" s="712">
        <v>45030</v>
      </c>
      <c r="M692" s="739">
        <v>0.45833333333333331</v>
      </c>
      <c r="N692" s="179">
        <v>2</v>
      </c>
      <c r="O692" s="184" t="s">
        <v>17</v>
      </c>
      <c r="P692" s="185" t="s">
        <v>1075</v>
      </c>
      <c r="Q692" s="746" t="s">
        <v>258</v>
      </c>
      <c r="R692" s="171" t="s">
        <v>81</v>
      </c>
      <c r="S692" s="31" t="s">
        <v>273</v>
      </c>
      <c r="T692" s="31" t="s">
        <v>273</v>
      </c>
      <c r="U692" s="31">
        <f>IFERROR(VLOOKUP(CONCATENATE(Tabla1[[#This Row],[Severidad]]," ",Tabla1[[#This Row],[Complejidad]]),Catalogos!E$120:G$128,3,FALSE),"")</f>
        <v>64</v>
      </c>
      <c r="V692" s="31" t="str">
        <f>IF(Tabla1[[#This Row],[Tiempo solución max (hrs)]]&lt;&gt;"",IF(Tabla1[[#This Row],[Tiempo solución max (hrs)]]&gt;=Tabla1[[#This Row],[Tiempo
(Hrs 00/100)]],"cumple","no cumple"),"")</f>
        <v>cumple</v>
      </c>
      <c r="W692" s="376" t="s">
        <v>962</v>
      </c>
      <c r="X692" s="463" t="str">
        <f t="shared" si="82"/>
        <v>SAW</v>
      </c>
      <c r="Y692" s="459" t="str">
        <f>SUBSTITUTE(Tabla1[[#This Row],[Descripción]],CHAR(10),"    I    ")</f>
        <v xml:space="preserve">Pagina web carga de documentacion </v>
      </c>
      <c r="Z692" s="464">
        <f>VLOOKUP(Tabla1[[#This Row],[Perfil]],Catalogos!$B$75:$D$100,3,FALSE)*Tabla1[[#This Row],[Tiempo
(Hrs 00/100)]]*1.16</f>
        <v>1160</v>
      </c>
    </row>
    <row r="693" spans="1:26" ht="15" customHeight="1" x14ac:dyDescent="0.3">
      <c r="A693" s="373" t="s">
        <v>22</v>
      </c>
      <c r="B693" s="184" t="s">
        <v>68</v>
      </c>
      <c r="C693" s="183" t="s">
        <v>16</v>
      </c>
      <c r="D693" s="370"/>
      <c r="E693" s="386" t="s">
        <v>503</v>
      </c>
      <c r="F693" s="373" t="s">
        <v>75</v>
      </c>
      <c r="G693" s="370"/>
      <c r="H693" s="387" t="s">
        <v>436</v>
      </c>
      <c r="I693" s="393" t="s">
        <v>1091</v>
      </c>
      <c r="J693" s="712">
        <v>45030</v>
      </c>
      <c r="K693" s="739">
        <v>0.45833333333333331</v>
      </c>
      <c r="L693" s="712">
        <v>45030</v>
      </c>
      <c r="M693" s="739">
        <v>0.58333333333333337</v>
      </c>
      <c r="N693" s="179">
        <v>3</v>
      </c>
      <c r="O693" s="184" t="s">
        <v>17</v>
      </c>
      <c r="P693" s="185" t="s">
        <v>1075</v>
      </c>
      <c r="Q693" s="746" t="s">
        <v>258</v>
      </c>
      <c r="R693" s="171" t="s">
        <v>81</v>
      </c>
      <c r="S693" s="31" t="s">
        <v>273</v>
      </c>
      <c r="T693" s="31" t="s">
        <v>273</v>
      </c>
      <c r="U693" s="31">
        <f>IFERROR(VLOOKUP(CONCATENATE(Tabla1[[#This Row],[Severidad]]," ",Tabla1[[#This Row],[Complejidad]]),Catalogos!E$120:G$128,3,FALSE),"")</f>
        <v>64</v>
      </c>
      <c r="V693" s="31" t="str">
        <f>IF(Tabla1[[#This Row],[Tiempo solución max (hrs)]]&lt;&gt;"",IF(Tabla1[[#This Row],[Tiempo solución max (hrs)]]&gt;=Tabla1[[#This Row],[Tiempo
(Hrs 00/100)]],"cumple","no cumple"),"")</f>
        <v>cumple</v>
      </c>
      <c r="W693" s="376" t="s">
        <v>962</v>
      </c>
      <c r="X693" s="463" t="str">
        <f t="shared" si="82"/>
        <v>SAW</v>
      </c>
      <c r="Y693" s="459" t="str">
        <f>SUBSTITUTE(Tabla1[[#This Row],[Descripción]],CHAR(10),"    I    ")</f>
        <v xml:space="preserve">Alta  de usuarios Ensayo Reportaje </v>
      </c>
      <c r="Z693" s="464">
        <f>VLOOKUP(Tabla1[[#This Row],[Perfil]],Catalogos!$B$75:$D$100,3,FALSE)*Tabla1[[#This Row],[Tiempo
(Hrs 00/100)]]*1.16</f>
        <v>1739.9999999999998</v>
      </c>
    </row>
    <row r="694" spans="1:26" ht="15" customHeight="1" x14ac:dyDescent="0.3">
      <c r="A694" s="373" t="s">
        <v>22</v>
      </c>
      <c r="B694" s="184" t="s">
        <v>68</v>
      </c>
      <c r="C694" s="183" t="s">
        <v>16</v>
      </c>
      <c r="D694" s="179"/>
      <c r="E694" s="386" t="s">
        <v>503</v>
      </c>
      <c r="F694" s="373" t="s">
        <v>75</v>
      </c>
      <c r="G694" s="370"/>
      <c r="H694" s="387" t="s">
        <v>436</v>
      </c>
      <c r="I694" s="393" t="s">
        <v>1092</v>
      </c>
      <c r="J694" s="712">
        <v>45030</v>
      </c>
      <c r="K694" s="739">
        <v>0.58333333333333337</v>
      </c>
      <c r="L694" s="712">
        <v>45030</v>
      </c>
      <c r="M694" s="739">
        <v>0.625</v>
      </c>
      <c r="N694" s="179">
        <v>1</v>
      </c>
      <c r="O694" s="184" t="s">
        <v>17</v>
      </c>
      <c r="P694" s="185" t="s">
        <v>1093</v>
      </c>
      <c r="Q694" s="746" t="s">
        <v>258</v>
      </c>
      <c r="R694" s="171" t="s">
        <v>81</v>
      </c>
      <c r="S694" s="31" t="s">
        <v>273</v>
      </c>
      <c r="T694" s="31" t="s">
        <v>273</v>
      </c>
      <c r="U694" s="31">
        <f>IFERROR(VLOOKUP(CONCATENATE(Tabla1[[#This Row],[Severidad]]," ",Tabla1[[#This Row],[Complejidad]]),Catalogos!E$120:G$128,3,FALSE),"")</f>
        <v>64</v>
      </c>
      <c r="V694" s="31" t="str">
        <f>IF(Tabla1[[#This Row],[Tiempo solución max (hrs)]]&lt;&gt;"",IF(Tabla1[[#This Row],[Tiempo solución max (hrs)]]&gt;=Tabla1[[#This Row],[Tiempo
(Hrs 00/100)]],"cumple","no cumple"),"")</f>
        <v>cumple</v>
      </c>
      <c r="W694" s="376" t="s">
        <v>962</v>
      </c>
      <c r="X694" s="463" t="str">
        <f t="shared" si="82"/>
        <v>SAW</v>
      </c>
      <c r="Y694" s="459" t="str">
        <f>SUBSTITUTE(Tabla1[[#This Row],[Descripción]],CHAR(10),"    I    ")</f>
        <v xml:space="preserve">Reunion semanal de avances </v>
      </c>
      <c r="Z694" s="464">
        <f>VLOOKUP(Tabla1[[#This Row],[Perfil]],Catalogos!$B$75:$D$100,3,FALSE)*Tabla1[[#This Row],[Tiempo
(Hrs 00/100)]]*1.16</f>
        <v>580</v>
      </c>
    </row>
    <row r="695" spans="1:26" ht="15" customHeight="1" x14ac:dyDescent="0.3">
      <c r="A695" s="373" t="s">
        <v>22</v>
      </c>
      <c r="B695" s="184" t="s">
        <v>68</v>
      </c>
      <c r="C695" s="183" t="s">
        <v>16</v>
      </c>
      <c r="D695" s="179"/>
      <c r="E695" s="386" t="s">
        <v>503</v>
      </c>
      <c r="F695" s="373" t="s">
        <v>75</v>
      </c>
      <c r="G695" s="370"/>
      <c r="H695" s="387" t="s">
        <v>436</v>
      </c>
      <c r="I695" s="395" t="s">
        <v>1094</v>
      </c>
      <c r="J695" s="712">
        <v>45033</v>
      </c>
      <c r="K695" s="709">
        <v>0.375</v>
      </c>
      <c r="L695" s="712">
        <v>45033</v>
      </c>
      <c r="M695" s="739">
        <v>0.54166666666666663</v>
      </c>
      <c r="N695" s="179">
        <v>4</v>
      </c>
      <c r="O695" s="184" t="s">
        <v>17</v>
      </c>
      <c r="P695" s="185" t="s">
        <v>1075</v>
      </c>
      <c r="Q695" s="746" t="s">
        <v>258</v>
      </c>
      <c r="R695" s="171" t="s">
        <v>81</v>
      </c>
      <c r="S695" s="31" t="s">
        <v>273</v>
      </c>
      <c r="T695" s="31" t="s">
        <v>273</v>
      </c>
      <c r="U695" s="31">
        <f>IFERROR(VLOOKUP(CONCATENATE(Tabla1[[#This Row],[Severidad]]," ",Tabla1[[#This Row],[Complejidad]]),Catalogos!E$120:G$128,3,FALSE),"")</f>
        <v>64</v>
      </c>
      <c r="V695" s="31" t="str">
        <f>IF(Tabla1[[#This Row],[Tiempo solución max (hrs)]]&lt;&gt;"",IF(Tabla1[[#This Row],[Tiempo solución max (hrs)]]&gt;=Tabla1[[#This Row],[Tiempo
(Hrs 00/100)]],"cumple","no cumple"),"")</f>
        <v>cumple</v>
      </c>
      <c r="W695" s="376" t="s">
        <v>962</v>
      </c>
      <c r="X695" s="463" t="str">
        <f t="shared" si="82"/>
        <v>SAW</v>
      </c>
      <c r="Y695" s="459" t="str">
        <f>SUBSTITUTE(Tabla1[[#This Row],[Descripción]],CHAR(10),"    I    ")</f>
        <v xml:space="preserve">Presentacion Odoo </v>
      </c>
      <c r="Z695" s="464">
        <f>VLOOKUP(Tabla1[[#This Row],[Perfil]],Catalogos!$B$75:$D$100,3,FALSE)*Tabla1[[#This Row],[Tiempo
(Hrs 00/100)]]*1.16</f>
        <v>2320</v>
      </c>
    </row>
    <row r="696" spans="1:26" ht="15" customHeight="1" x14ac:dyDescent="0.3">
      <c r="A696" s="373" t="s">
        <v>22</v>
      </c>
      <c r="B696" s="184" t="s">
        <v>68</v>
      </c>
      <c r="C696" s="183" t="s">
        <v>16</v>
      </c>
      <c r="D696" s="179"/>
      <c r="E696" s="386" t="s">
        <v>503</v>
      </c>
      <c r="F696" s="373" t="s">
        <v>75</v>
      </c>
      <c r="G696" s="370"/>
      <c r="H696" s="387" t="s">
        <v>436</v>
      </c>
      <c r="I696" s="395" t="s">
        <v>1095</v>
      </c>
      <c r="J696" s="712">
        <v>45033</v>
      </c>
      <c r="K696" s="739">
        <v>0.54166666666666663</v>
      </c>
      <c r="L696" s="712">
        <v>45033</v>
      </c>
      <c r="M696" s="739">
        <v>0.72916666666666663</v>
      </c>
      <c r="N696" s="179">
        <v>3</v>
      </c>
      <c r="O696" s="184" t="s">
        <v>17</v>
      </c>
      <c r="P696" s="185" t="s">
        <v>1075</v>
      </c>
      <c r="Q696" s="746" t="s">
        <v>258</v>
      </c>
      <c r="R696" s="171" t="s">
        <v>81</v>
      </c>
      <c r="S696" s="31" t="s">
        <v>273</v>
      </c>
      <c r="T696" s="31" t="s">
        <v>273</v>
      </c>
      <c r="U696" s="31">
        <f>IFERROR(VLOOKUP(CONCATENATE(Tabla1[[#This Row],[Severidad]]," ",Tabla1[[#This Row],[Complejidad]]),Catalogos!E$120:G$128,3,FALSE),"")</f>
        <v>64</v>
      </c>
      <c r="V696" s="31" t="str">
        <f>IF(Tabla1[[#This Row],[Tiempo solución max (hrs)]]&lt;&gt;"",IF(Tabla1[[#This Row],[Tiempo solución max (hrs)]]&gt;=Tabla1[[#This Row],[Tiempo
(Hrs 00/100)]],"cumple","no cumple"),"")</f>
        <v>cumple</v>
      </c>
      <c r="W696" s="376" t="s">
        <v>962</v>
      </c>
      <c r="X696" s="463" t="str">
        <f t="shared" si="82"/>
        <v>SAW</v>
      </c>
      <c r="Y696" s="459" t="str">
        <f>SUBSTITUTE(Tabla1[[#This Row],[Descripción]],CHAR(10),"    I    ")</f>
        <v xml:space="preserve">revision de minutas </v>
      </c>
      <c r="Z696" s="464">
        <f>VLOOKUP(Tabla1[[#This Row],[Perfil]],Catalogos!$B$75:$D$100,3,FALSE)*Tabla1[[#This Row],[Tiempo
(Hrs 00/100)]]*1.16</f>
        <v>1739.9999999999998</v>
      </c>
    </row>
    <row r="697" spans="1:26" ht="15" customHeight="1" x14ac:dyDescent="0.3">
      <c r="A697" s="373" t="s">
        <v>22</v>
      </c>
      <c r="B697" s="184" t="s">
        <v>68</v>
      </c>
      <c r="C697" s="183" t="s">
        <v>16</v>
      </c>
      <c r="D697" s="179"/>
      <c r="E697" s="386" t="s">
        <v>503</v>
      </c>
      <c r="F697" s="373" t="s">
        <v>75</v>
      </c>
      <c r="G697" s="370"/>
      <c r="H697" s="387" t="s">
        <v>436</v>
      </c>
      <c r="I697" s="393" t="s">
        <v>835</v>
      </c>
      <c r="J697" s="712">
        <v>45033</v>
      </c>
      <c r="K697" s="739">
        <v>0.72916666666666663</v>
      </c>
      <c r="L697" s="712">
        <v>45033</v>
      </c>
      <c r="M697" s="739">
        <v>0.79166666666666663</v>
      </c>
      <c r="N697" s="179">
        <v>1.5</v>
      </c>
      <c r="O697" s="184" t="s">
        <v>17</v>
      </c>
      <c r="P697" s="185" t="s">
        <v>1075</v>
      </c>
      <c r="Q697" s="746" t="s">
        <v>258</v>
      </c>
      <c r="R697" s="171" t="s">
        <v>81</v>
      </c>
      <c r="S697" s="31" t="s">
        <v>273</v>
      </c>
      <c r="T697" s="31" t="s">
        <v>273</v>
      </c>
      <c r="U697" s="31">
        <f>IFERROR(VLOOKUP(CONCATENATE(Tabla1[[#This Row],[Severidad]]," ",Tabla1[[#This Row],[Complejidad]]),Catalogos!E$120:G$128,3,FALSE),"")</f>
        <v>64</v>
      </c>
      <c r="V697" s="31" t="str">
        <f>IF(Tabla1[[#This Row],[Tiempo solución max (hrs)]]&lt;&gt;"",IF(Tabla1[[#This Row],[Tiempo solución max (hrs)]]&gt;=Tabla1[[#This Row],[Tiempo
(Hrs 00/100)]],"cumple","no cumple"),"")</f>
        <v>cumple</v>
      </c>
      <c r="W697" s="376" t="s">
        <v>962</v>
      </c>
      <c r="X697" s="463" t="str">
        <f t="shared" si="82"/>
        <v>SAW</v>
      </c>
      <c r="Y697" s="459" t="str">
        <f>SUBSTITUTE(Tabla1[[#This Row],[Descripción]],CHAR(10),"    I    ")</f>
        <v xml:space="preserve">Modificacion servicio profecional </v>
      </c>
      <c r="Z697" s="464">
        <f>VLOOKUP(Tabla1[[#This Row],[Perfil]],Catalogos!$B$75:$D$100,3,FALSE)*Tabla1[[#This Row],[Tiempo
(Hrs 00/100)]]*1.16</f>
        <v>869.99999999999989</v>
      </c>
    </row>
    <row r="698" spans="1:26" ht="15" customHeight="1" x14ac:dyDescent="0.3">
      <c r="A698" s="373" t="s">
        <v>22</v>
      </c>
      <c r="B698" s="184" t="s">
        <v>68</v>
      </c>
      <c r="C698" s="183" t="s">
        <v>16</v>
      </c>
      <c r="D698" s="179"/>
      <c r="E698" s="386" t="s">
        <v>503</v>
      </c>
      <c r="F698" s="373" t="s">
        <v>75</v>
      </c>
      <c r="G698" s="370"/>
      <c r="H698" s="387" t="s">
        <v>436</v>
      </c>
      <c r="I698" s="395" t="s">
        <v>1096</v>
      </c>
      <c r="J698" s="712">
        <v>45034</v>
      </c>
      <c r="K698" s="709">
        <v>0.375</v>
      </c>
      <c r="L698" s="712">
        <v>45034</v>
      </c>
      <c r="M698" s="739">
        <v>0.54166666666666663</v>
      </c>
      <c r="N698" s="179">
        <v>4</v>
      </c>
      <c r="O698" s="184" t="s">
        <v>17</v>
      </c>
      <c r="P698" s="185" t="s">
        <v>1075</v>
      </c>
      <c r="Q698" s="746" t="s">
        <v>258</v>
      </c>
      <c r="R698" s="171" t="s">
        <v>81</v>
      </c>
      <c r="S698" s="31" t="s">
        <v>273</v>
      </c>
      <c r="T698" s="31" t="s">
        <v>273</v>
      </c>
      <c r="U698" s="31">
        <f>IFERROR(VLOOKUP(CONCATENATE(Tabla1[[#This Row],[Severidad]]," ",Tabla1[[#This Row],[Complejidad]]),Catalogos!E$120:G$128,3,FALSE),"")</f>
        <v>64</v>
      </c>
      <c r="V698" s="31" t="str">
        <f>IF(Tabla1[[#This Row],[Tiempo solución max (hrs)]]&lt;&gt;"",IF(Tabla1[[#This Row],[Tiempo solución max (hrs)]]&gt;=Tabla1[[#This Row],[Tiempo
(Hrs 00/100)]],"cumple","no cumple"),"")</f>
        <v>cumple</v>
      </c>
      <c r="W698" s="376" t="s">
        <v>962</v>
      </c>
      <c r="X698" s="463" t="str">
        <f t="shared" si="82"/>
        <v>SAW</v>
      </c>
      <c r="Y698" s="459" t="str">
        <f>SUBSTITUTE(Tabla1[[#This Row],[Descripción]],CHAR(10),"    I    ")</f>
        <v xml:space="preserve">Mdificacion micrositio Planeacion </v>
      </c>
      <c r="Z698" s="464">
        <f>VLOOKUP(Tabla1[[#This Row],[Perfil]],Catalogos!$B$75:$D$100,3,FALSE)*Tabla1[[#This Row],[Tiempo
(Hrs 00/100)]]*1.16</f>
        <v>2320</v>
      </c>
    </row>
    <row r="699" spans="1:26" ht="15" customHeight="1" x14ac:dyDescent="0.3">
      <c r="A699" s="373" t="s">
        <v>22</v>
      </c>
      <c r="B699" s="184" t="s">
        <v>68</v>
      </c>
      <c r="C699" s="183" t="s">
        <v>16</v>
      </c>
      <c r="D699" s="179"/>
      <c r="E699" s="386" t="s">
        <v>503</v>
      </c>
      <c r="F699" s="373" t="s">
        <v>75</v>
      </c>
      <c r="G699" s="370"/>
      <c r="H699" s="387" t="s">
        <v>436</v>
      </c>
      <c r="I699" s="395" t="s">
        <v>1097</v>
      </c>
      <c r="J699" s="712">
        <v>45034</v>
      </c>
      <c r="K699" s="739">
        <v>0.54166666666666663</v>
      </c>
      <c r="L699" s="712">
        <v>45034</v>
      </c>
      <c r="M699" s="739">
        <v>0.72916666666666663</v>
      </c>
      <c r="N699" s="179">
        <v>3</v>
      </c>
      <c r="O699" s="184" t="s">
        <v>17</v>
      </c>
      <c r="P699" s="185" t="s">
        <v>1075</v>
      </c>
      <c r="Q699" s="746" t="s">
        <v>258</v>
      </c>
      <c r="R699" s="171" t="s">
        <v>81</v>
      </c>
      <c r="S699" s="31" t="s">
        <v>273</v>
      </c>
      <c r="T699" s="31" t="s">
        <v>273</v>
      </c>
      <c r="U699" s="31">
        <f>IFERROR(VLOOKUP(CONCATENATE(Tabla1[[#This Row],[Severidad]]," ",Tabla1[[#This Row],[Complejidad]]),Catalogos!E$120:G$128,3,FALSE),"")</f>
        <v>64</v>
      </c>
      <c r="V699" s="31" t="str">
        <f>IF(Tabla1[[#This Row],[Tiempo solución max (hrs)]]&lt;&gt;"",IF(Tabla1[[#This Row],[Tiempo solución max (hrs)]]&gt;=Tabla1[[#This Row],[Tiempo
(Hrs 00/100)]],"cumple","no cumple"),"")</f>
        <v>cumple</v>
      </c>
      <c r="W699" s="376" t="s">
        <v>962</v>
      </c>
      <c r="X699" s="463" t="str">
        <f t="shared" si="82"/>
        <v>SAW</v>
      </c>
      <c r="Y699" s="459" t="str">
        <f>SUBSTITUTE(Tabla1[[#This Row],[Descripción]],CHAR(10),"    I    ")</f>
        <v xml:space="preserve">Modificacion micrositio Identidad segura </v>
      </c>
      <c r="Z699" s="464">
        <f>VLOOKUP(Tabla1[[#This Row],[Perfil]],Catalogos!$B$75:$D$100,3,FALSE)*Tabla1[[#This Row],[Tiempo
(Hrs 00/100)]]*1.16</f>
        <v>1739.9999999999998</v>
      </c>
    </row>
    <row r="700" spans="1:26" ht="15" customHeight="1" x14ac:dyDescent="0.3">
      <c r="A700" s="373" t="s">
        <v>22</v>
      </c>
      <c r="B700" s="184" t="s">
        <v>68</v>
      </c>
      <c r="C700" s="183" t="s">
        <v>16</v>
      </c>
      <c r="D700" s="179"/>
      <c r="E700" s="386" t="s">
        <v>503</v>
      </c>
      <c r="F700" s="373" t="s">
        <v>75</v>
      </c>
      <c r="G700" s="370"/>
      <c r="H700" s="387" t="s">
        <v>436</v>
      </c>
      <c r="I700" s="395" t="s">
        <v>1098</v>
      </c>
      <c r="J700" s="712">
        <v>45034</v>
      </c>
      <c r="K700" s="739">
        <v>0.72916666666666663</v>
      </c>
      <c r="L700" s="712">
        <v>45034</v>
      </c>
      <c r="M700" s="739">
        <v>0.79166666666666663</v>
      </c>
      <c r="N700" s="179">
        <v>1.5</v>
      </c>
      <c r="O700" s="184" t="s">
        <v>17</v>
      </c>
      <c r="P700" s="185" t="s">
        <v>1075</v>
      </c>
      <c r="Q700" s="746" t="s">
        <v>258</v>
      </c>
      <c r="R700" s="171" t="s">
        <v>81</v>
      </c>
      <c r="S700" s="31" t="s">
        <v>273</v>
      </c>
      <c r="T700" s="31" t="s">
        <v>273</v>
      </c>
      <c r="U700" s="31">
        <f>IFERROR(VLOOKUP(CONCATENATE(Tabla1[[#This Row],[Severidad]]," ",Tabla1[[#This Row],[Complejidad]]),Catalogos!E$120:G$128,3,FALSE),"")</f>
        <v>64</v>
      </c>
      <c r="V700" s="31" t="str">
        <f>IF(Tabla1[[#This Row],[Tiempo solución max (hrs)]]&lt;&gt;"",IF(Tabla1[[#This Row],[Tiempo solución max (hrs)]]&gt;=Tabla1[[#This Row],[Tiempo
(Hrs 00/100)]],"cumple","no cumple"),"")</f>
        <v>cumple</v>
      </c>
      <c r="W700" s="376" t="s">
        <v>962</v>
      </c>
      <c r="X700" s="463" t="str">
        <f t="shared" si="82"/>
        <v>SAW</v>
      </c>
      <c r="Y700" s="459" t="str">
        <f>SUBSTITUTE(Tabla1[[#This Row],[Descripción]],CHAR(10),"    I    ")</f>
        <v xml:space="preserve">Pruebas Osticket </v>
      </c>
      <c r="Z700" s="464">
        <f>VLOOKUP(Tabla1[[#This Row],[Perfil]],Catalogos!$B$75:$D$100,3,FALSE)*Tabla1[[#This Row],[Tiempo
(Hrs 00/100)]]*1.16</f>
        <v>869.99999999999989</v>
      </c>
    </row>
    <row r="701" spans="1:26" ht="15" customHeight="1" x14ac:dyDescent="0.3">
      <c r="A701" s="373" t="s">
        <v>22</v>
      </c>
      <c r="B701" s="184" t="s">
        <v>68</v>
      </c>
      <c r="C701" s="183" t="s">
        <v>16</v>
      </c>
      <c r="D701" s="179"/>
      <c r="E701" s="386" t="s">
        <v>503</v>
      </c>
      <c r="F701" s="373" t="s">
        <v>75</v>
      </c>
      <c r="G701" s="370"/>
      <c r="H701" s="387" t="s">
        <v>436</v>
      </c>
      <c r="I701" s="393" t="s">
        <v>1099</v>
      </c>
      <c r="J701" s="712">
        <v>45035</v>
      </c>
      <c r="K701" s="709">
        <v>0.375</v>
      </c>
      <c r="L701" s="712">
        <v>45035</v>
      </c>
      <c r="M701" s="739">
        <v>0.41666666666666669</v>
      </c>
      <c r="N701" s="179">
        <v>1</v>
      </c>
      <c r="O701" s="184" t="s">
        <v>17</v>
      </c>
      <c r="P701" s="185" t="s">
        <v>1075</v>
      </c>
      <c r="Q701" s="746" t="s">
        <v>258</v>
      </c>
      <c r="R701" s="171" t="s">
        <v>81</v>
      </c>
      <c r="S701" s="31" t="s">
        <v>273</v>
      </c>
      <c r="T701" s="31" t="s">
        <v>273</v>
      </c>
      <c r="U701" s="31">
        <f>IFERROR(VLOOKUP(CONCATENATE(Tabla1[[#This Row],[Severidad]]," ",Tabla1[[#This Row],[Complejidad]]),Catalogos!E$120:G$128,3,FALSE),"")</f>
        <v>64</v>
      </c>
      <c r="V701" s="31" t="str">
        <f>IF(Tabla1[[#This Row],[Tiempo solución max (hrs)]]&lt;&gt;"",IF(Tabla1[[#This Row],[Tiempo solución max (hrs)]]&gt;=Tabla1[[#This Row],[Tiempo
(Hrs 00/100)]],"cumple","no cumple"),"")</f>
        <v>cumple</v>
      </c>
      <c r="W701" s="376" t="s">
        <v>962</v>
      </c>
      <c r="X701" s="463" t="str">
        <f t="shared" si="82"/>
        <v>SAW</v>
      </c>
      <c r="Y701" s="459" t="str">
        <f>SUBSTITUTE(Tabla1[[#This Row],[Descripción]],CHAR(10),"    I    ")</f>
        <v xml:space="preserve">Error ligas </v>
      </c>
      <c r="Z701" s="464">
        <f>VLOOKUP(Tabla1[[#This Row],[Perfil]],Catalogos!$B$75:$D$100,3,FALSE)*Tabla1[[#This Row],[Tiempo
(Hrs 00/100)]]*1.16</f>
        <v>580</v>
      </c>
    </row>
    <row r="702" spans="1:26" ht="15" customHeight="1" x14ac:dyDescent="0.3">
      <c r="A702" s="373" t="s">
        <v>22</v>
      </c>
      <c r="B702" s="184" t="s">
        <v>68</v>
      </c>
      <c r="C702" s="183" t="s">
        <v>16</v>
      </c>
      <c r="D702" s="179"/>
      <c r="E702" s="386" t="s">
        <v>503</v>
      </c>
      <c r="F702" s="373" t="s">
        <v>75</v>
      </c>
      <c r="G702" s="370"/>
      <c r="H702" s="387" t="s">
        <v>436</v>
      </c>
      <c r="I702" s="394" t="s">
        <v>1100</v>
      </c>
      <c r="J702" s="712">
        <v>45035</v>
      </c>
      <c r="K702" s="739">
        <v>0.41666666666666669</v>
      </c>
      <c r="L702" s="712">
        <v>45035</v>
      </c>
      <c r="M702" s="739">
        <v>0.54166666666666663</v>
      </c>
      <c r="N702" s="179">
        <v>3</v>
      </c>
      <c r="O702" s="184" t="s">
        <v>17</v>
      </c>
      <c r="P702" s="185" t="s">
        <v>1075</v>
      </c>
      <c r="Q702" s="746" t="s">
        <v>258</v>
      </c>
      <c r="R702" s="171" t="s">
        <v>81</v>
      </c>
      <c r="S702" s="31" t="s">
        <v>273</v>
      </c>
      <c r="T702" s="31" t="s">
        <v>273</v>
      </c>
      <c r="U702" s="31">
        <f>IFERROR(VLOOKUP(CONCATENATE(Tabla1[[#This Row],[Severidad]]," ",Tabla1[[#This Row],[Complejidad]]),Catalogos!E$120:G$128,3,FALSE),"")</f>
        <v>64</v>
      </c>
      <c r="V702" s="31" t="str">
        <f>IF(Tabla1[[#This Row],[Tiempo solución max (hrs)]]&lt;&gt;"",IF(Tabla1[[#This Row],[Tiempo solución max (hrs)]]&gt;=Tabla1[[#This Row],[Tiempo
(Hrs 00/100)]],"cumple","no cumple"),"")</f>
        <v>cumple</v>
      </c>
      <c r="W702" s="376" t="s">
        <v>962</v>
      </c>
      <c r="X702" s="463" t="str">
        <f t="shared" si="82"/>
        <v>SAW</v>
      </c>
      <c r="Y702" s="459" t="str">
        <f>SUBSTITUTE(Tabla1[[#This Row],[Descripción]],CHAR(10),"    I    ")</f>
        <v xml:space="preserve">Mofimicacion Pleno niños </v>
      </c>
      <c r="Z702" s="464">
        <f>VLOOKUP(Tabla1[[#This Row],[Perfil]],Catalogos!$B$75:$D$100,3,FALSE)*Tabla1[[#This Row],[Tiempo
(Hrs 00/100)]]*1.16</f>
        <v>1739.9999999999998</v>
      </c>
    </row>
    <row r="703" spans="1:26" ht="15" customHeight="1" x14ac:dyDescent="0.3">
      <c r="A703" s="373" t="s">
        <v>22</v>
      </c>
      <c r="B703" s="184" t="s">
        <v>68</v>
      </c>
      <c r="C703" s="183" t="s">
        <v>16</v>
      </c>
      <c r="D703" s="179"/>
      <c r="E703" s="386" t="s">
        <v>503</v>
      </c>
      <c r="F703" s="373" t="s">
        <v>75</v>
      </c>
      <c r="G703" s="370"/>
      <c r="H703" s="387" t="s">
        <v>436</v>
      </c>
      <c r="I703" s="388" t="s">
        <v>872</v>
      </c>
      <c r="J703" s="712">
        <v>45035</v>
      </c>
      <c r="K703" s="739">
        <v>0.54166666666666663</v>
      </c>
      <c r="L703" s="712">
        <v>45035</v>
      </c>
      <c r="M703" s="739">
        <v>0.79166666666666663</v>
      </c>
      <c r="N703" s="179">
        <v>4.5</v>
      </c>
      <c r="O703" s="184" t="s">
        <v>17</v>
      </c>
      <c r="P703" s="185" t="s">
        <v>1075</v>
      </c>
      <c r="Q703" s="746" t="s">
        <v>258</v>
      </c>
      <c r="R703" s="171" t="s">
        <v>81</v>
      </c>
      <c r="S703" s="31" t="s">
        <v>273</v>
      </c>
      <c r="T703" s="31" t="s">
        <v>273</v>
      </c>
      <c r="U703" s="31">
        <f>IFERROR(VLOOKUP(CONCATENATE(Tabla1[[#This Row],[Severidad]]," ",Tabla1[[#This Row],[Complejidad]]),Catalogos!E$120:G$128,3,FALSE),"")</f>
        <v>64</v>
      </c>
      <c r="V703" s="31" t="str">
        <f>IF(Tabla1[[#This Row],[Tiempo solución max (hrs)]]&lt;&gt;"",IF(Tabla1[[#This Row],[Tiempo solución max (hrs)]]&gt;=Tabla1[[#This Row],[Tiempo
(Hrs 00/100)]],"cumple","no cumple"),"")</f>
        <v>cumple</v>
      </c>
      <c r="W703" s="376" t="s">
        <v>962</v>
      </c>
      <c r="X703" s="463" t="str">
        <f t="shared" ref="X703:X750" si="83">IF(C703&lt;&gt;"",C703,D703)</f>
        <v>SAW</v>
      </c>
      <c r="Y703" s="459" t="str">
        <f>SUBSTITUTE(Tabla1[[#This Row],[Descripción]],CHAR(10),"    I    ")</f>
        <v xml:space="preserve">Modificacion PROSEDE </v>
      </c>
      <c r="Z703" s="464">
        <f>VLOOKUP(Tabla1[[#This Row],[Perfil]],Catalogos!$B$75:$D$100,3,FALSE)*Tabla1[[#This Row],[Tiempo
(Hrs 00/100)]]*1.16</f>
        <v>2610</v>
      </c>
    </row>
    <row r="704" spans="1:26" ht="15" customHeight="1" x14ac:dyDescent="0.3">
      <c r="A704" s="373" t="s">
        <v>22</v>
      </c>
      <c r="B704" s="184" t="s">
        <v>68</v>
      </c>
      <c r="C704" s="183" t="s">
        <v>16</v>
      </c>
      <c r="D704" s="179"/>
      <c r="E704" s="386" t="s">
        <v>503</v>
      </c>
      <c r="F704" s="373" t="s">
        <v>75</v>
      </c>
      <c r="G704" s="370"/>
      <c r="H704" s="387" t="s">
        <v>436</v>
      </c>
      <c r="I704" s="395" t="s">
        <v>1101</v>
      </c>
      <c r="J704" s="712">
        <v>45036</v>
      </c>
      <c r="K704" s="709">
        <v>0.375</v>
      </c>
      <c r="L704" s="712">
        <v>45036</v>
      </c>
      <c r="M704" s="739">
        <v>0.54166666666666663</v>
      </c>
      <c r="N704" s="179">
        <v>4</v>
      </c>
      <c r="O704" s="184" t="s">
        <v>17</v>
      </c>
      <c r="P704" s="185" t="s">
        <v>1075</v>
      </c>
      <c r="Q704" s="746" t="s">
        <v>258</v>
      </c>
      <c r="R704" s="171" t="s">
        <v>81</v>
      </c>
      <c r="S704" s="31" t="s">
        <v>273</v>
      </c>
      <c r="T704" s="31" t="s">
        <v>273</v>
      </c>
      <c r="U704" s="31">
        <f>IFERROR(VLOOKUP(CONCATENATE(Tabla1[[#This Row],[Severidad]]," ",Tabla1[[#This Row],[Complejidad]]),Catalogos!E$120:G$128,3,FALSE),"")</f>
        <v>64</v>
      </c>
      <c r="V704" s="31" t="str">
        <f>IF(Tabla1[[#This Row],[Tiempo solución max (hrs)]]&lt;&gt;"",IF(Tabla1[[#This Row],[Tiempo solución max (hrs)]]&gt;=Tabla1[[#This Row],[Tiempo
(Hrs 00/100)]],"cumple","no cumple"),"")</f>
        <v>cumple</v>
      </c>
      <c r="W704" s="376" t="s">
        <v>962</v>
      </c>
      <c r="X704" s="463" t="str">
        <f t="shared" si="83"/>
        <v>SAW</v>
      </c>
      <c r="Y704" s="459" t="str">
        <f>SUBSTITUTE(Tabla1[[#This Row],[Descripción]],CHAR(10),"    I    ")</f>
        <v xml:space="preserve">Actualizacion Revista </v>
      </c>
      <c r="Z704" s="464">
        <f>VLOOKUP(Tabla1[[#This Row],[Perfil]],Catalogos!$B$75:$D$100,3,FALSE)*Tabla1[[#This Row],[Tiempo
(Hrs 00/100)]]*1.16</f>
        <v>2320</v>
      </c>
    </row>
    <row r="705" spans="1:26" ht="15" customHeight="1" x14ac:dyDescent="0.3">
      <c r="A705" s="373" t="s">
        <v>22</v>
      </c>
      <c r="B705" s="184" t="s">
        <v>68</v>
      </c>
      <c r="C705" s="183" t="s">
        <v>16</v>
      </c>
      <c r="D705" s="179"/>
      <c r="E705" s="386" t="s">
        <v>503</v>
      </c>
      <c r="F705" s="373" t="s">
        <v>75</v>
      </c>
      <c r="G705" s="370"/>
      <c r="H705" s="387" t="s">
        <v>436</v>
      </c>
      <c r="I705" s="395" t="s">
        <v>1102</v>
      </c>
      <c r="J705" s="712">
        <v>45036</v>
      </c>
      <c r="K705" s="739">
        <v>0.54166666666666663</v>
      </c>
      <c r="L705" s="712">
        <v>45036</v>
      </c>
      <c r="M705" s="739">
        <v>0.79166666666666663</v>
      </c>
      <c r="N705" s="179">
        <v>4.5</v>
      </c>
      <c r="O705" s="184" t="s">
        <v>17</v>
      </c>
      <c r="P705" s="185" t="s">
        <v>1075</v>
      </c>
      <c r="Q705" s="746" t="s">
        <v>258</v>
      </c>
      <c r="R705" s="171" t="s">
        <v>81</v>
      </c>
      <c r="S705" s="31" t="s">
        <v>273</v>
      </c>
      <c r="T705" s="31" t="s">
        <v>273</v>
      </c>
      <c r="U705" s="31">
        <f>IFERROR(VLOOKUP(CONCATENATE(Tabla1[[#This Row],[Severidad]]," ",Tabla1[[#This Row],[Complejidad]]),Catalogos!E$120:G$128,3,FALSE),"")</f>
        <v>64</v>
      </c>
      <c r="V705" s="31" t="str">
        <f>IF(Tabla1[[#This Row],[Tiempo solución max (hrs)]]&lt;&gt;"",IF(Tabla1[[#This Row],[Tiempo solución max (hrs)]]&gt;=Tabla1[[#This Row],[Tiempo
(Hrs 00/100)]],"cumple","no cumple"),"")</f>
        <v>cumple</v>
      </c>
      <c r="W705" s="376" t="s">
        <v>962</v>
      </c>
      <c r="X705" s="463" t="str">
        <f t="shared" si="83"/>
        <v>SAW</v>
      </c>
      <c r="Y705" s="459" t="str">
        <f>SUBSTITUTE(Tabla1[[#This Row],[Descripción]],CHAR(10),"    I    ")</f>
        <v xml:space="preserve">Actualizacion Gobierno abierto </v>
      </c>
      <c r="Z705" s="464">
        <f>VLOOKUP(Tabla1[[#This Row],[Perfil]],Catalogos!$B$75:$D$100,3,FALSE)*Tabla1[[#This Row],[Tiempo
(Hrs 00/100)]]*1.16</f>
        <v>2610</v>
      </c>
    </row>
    <row r="706" spans="1:26" ht="15" customHeight="1" x14ac:dyDescent="0.3">
      <c r="A706" s="373" t="s">
        <v>22</v>
      </c>
      <c r="B706" s="184" t="s">
        <v>68</v>
      </c>
      <c r="C706" s="183" t="s">
        <v>16</v>
      </c>
      <c r="D706" s="179"/>
      <c r="E706" s="386" t="s">
        <v>503</v>
      </c>
      <c r="F706" s="373" t="s">
        <v>75</v>
      </c>
      <c r="G706" s="370"/>
      <c r="H706" s="387" t="s">
        <v>436</v>
      </c>
      <c r="I706" s="393" t="s">
        <v>1103</v>
      </c>
      <c r="J706" s="712">
        <v>45037</v>
      </c>
      <c r="K706" s="709">
        <v>0.375</v>
      </c>
      <c r="L706" s="712">
        <v>45037</v>
      </c>
      <c r="M706" s="739">
        <v>0.41666666666666669</v>
      </c>
      <c r="N706" s="179">
        <v>1</v>
      </c>
      <c r="O706" s="184" t="s">
        <v>17</v>
      </c>
      <c r="P706" s="185" t="s">
        <v>1104</v>
      </c>
      <c r="Q706" s="746" t="s">
        <v>258</v>
      </c>
      <c r="R706" s="171" t="s">
        <v>81</v>
      </c>
      <c r="S706" s="31" t="s">
        <v>273</v>
      </c>
      <c r="T706" s="31" t="s">
        <v>273</v>
      </c>
      <c r="U706" s="31">
        <f>IFERROR(VLOOKUP(CONCATENATE(Tabla1[[#This Row],[Severidad]]," ",Tabla1[[#This Row],[Complejidad]]),Catalogos!E$120:G$128,3,FALSE),"")</f>
        <v>64</v>
      </c>
      <c r="V706" s="31" t="str">
        <f>IF(Tabla1[[#This Row],[Tiempo solución max (hrs)]]&lt;&gt;"",IF(Tabla1[[#This Row],[Tiempo solución max (hrs)]]&gt;=Tabla1[[#This Row],[Tiempo
(Hrs 00/100)]],"cumple","no cumple"),"")</f>
        <v>cumple</v>
      </c>
      <c r="W706" s="376" t="s">
        <v>962</v>
      </c>
      <c r="X706" s="463" t="str">
        <f t="shared" si="83"/>
        <v>SAW</v>
      </c>
      <c r="Y706" s="459" t="str">
        <f>SUBSTITUTE(Tabla1[[#This Row],[Descripción]],CHAR(10),"    I    ")</f>
        <v xml:space="preserve">reunion de avances </v>
      </c>
      <c r="Z706" s="464">
        <f>VLOOKUP(Tabla1[[#This Row],[Perfil]],Catalogos!$B$75:$D$100,3,FALSE)*Tabla1[[#This Row],[Tiempo
(Hrs 00/100)]]*1.16</f>
        <v>580</v>
      </c>
    </row>
    <row r="707" spans="1:26" ht="15" customHeight="1" x14ac:dyDescent="0.3">
      <c r="A707" s="373" t="s">
        <v>22</v>
      </c>
      <c r="B707" s="184" t="s">
        <v>68</v>
      </c>
      <c r="C707" s="183" t="s">
        <v>16</v>
      </c>
      <c r="D707" s="179"/>
      <c r="E707" s="386" t="s">
        <v>503</v>
      </c>
      <c r="F707" s="373" t="s">
        <v>75</v>
      </c>
      <c r="G707" s="370"/>
      <c r="H707" s="387" t="s">
        <v>436</v>
      </c>
      <c r="I707" s="393" t="s">
        <v>1105</v>
      </c>
      <c r="J707" s="712">
        <v>45037</v>
      </c>
      <c r="K707" s="739">
        <v>0.41666666666666669</v>
      </c>
      <c r="L707" s="712">
        <v>45037</v>
      </c>
      <c r="M707" s="739">
        <v>0.5</v>
      </c>
      <c r="N707" s="179">
        <v>2</v>
      </c>
      <c r="O707" s="184" t="s">
        <v>17</v>
      </c>
      <c r="P707" s="185" t="s">
        <v>1104</v>
      </c>
      <c r="Q707" s="746" t="s">
        <v>258</v>
      </c>
      <c r="R707" s="171" t="s">
        <v>81</v>
      </c>
      <c r="S707" s="31" t="s">
        <v>273</v>
      </c>
      <c r="T707" s="31" t="s">
        <v>273</v>
      </c>
      <c r="U707" s="31">
        <f>IFERROR(VLOOKUP(CONCATENATE(Tabla1[[#This Row],[Severidad]]," ",Tabla1[[#This Row],[Complejidad]]),Catalogos!E$120:G$128,3,FALSE),"")</f>
        <v>64</v>
      </c>
      <c r="V707" s="31" t="str">
        <f>IF(Tabla1[[#This Row],[Tiempo solución max (hrs)]]&lt;&gt;"",IF(Tabla1[[#This Row],[Tiempo solución max (hrs)]]&gt;=Tabla1[[#This Row],[Tiempo
(Hrs 00/100)]],"cumple","no cumple"),"")</f>
        <v>cumple</v>
      </c>
      <c r="W707" s="376" t="s">
        <v>962</v>
      </c>
      <c r="X707" s="463" t="str">
        <f t="shared" si="83"/>
        <v>SAW</v>
      </c>
      <c r="Y707" s="459" t="str">
        <f>SUBSTITUTE(Tabla1[[#This Row],[Descripción]],CHAR(10),"    I    ")</f>
        <v xml:space="preserve">actualizacion Planeacion </v>
      </c>
      <c r="Z707" s="464">
        <f>VLOOKUP(Tabla1[[#This Row],[Perfil]],Catalogos!$B$75:$D$100,3,FALSE)*Tabla1[[#This Row],[Tiempo
(Hrs 00/100)]]*1.16</f>
        <v>1160</v>
      </c>
    </row>
    <row r="708" spans="1:26" ht="15" customHeight="1" x14ac:dyDescent="0.3">
      <c r="A708" s="373" t="s">
        <v>22</v>
      </c>
      <c r="B708" s="184" t="s">
        <v>68</v>
      </c>
      <c r="C708" s="183" t="s">
        <v>16</v>
      </c>
      <c r="D708" s="179"/>
      <c r="E708" s="386" t="s">
        <v>503</v>
      </c>
      <c r="F708" s="373" t="s">
        <v>75</v>
      </c>
      <c r="G708" s="370"/>
      <c r="H708" s="387" t="s">
        <v>436</v>
      </c>
      <c r="I708" s="393" t="s">
        <v>1106</v>
      </c>
      <c r="J708" s="712">
        <v>45037</v>
      </c>
      <c r="K708" s="739">
        <v>0.5</v>
      </c>
      <c r="L708" s="712">
        <v>45037</v>
      </c>
      <c r="M708" s="739">
        <v>0.625</v>
      </c>
      <c r="N708" s="179">
        <v>3</v>
      </c>
      <c r="O708" s="184" t="s">
        <v>17</v>
      </c>
      <c r="P708" s="185" t="s">
        <v>1075</v>
      </c>
      <c r="Q708" s="746" t="s">
        <v>258</v>
      </c>
      <c r="R708" s="171" t="s">
        <v>81</v>
      </c>
      <c r="S708" s="31" t="s">
        <v>273</v>
      </c>
      <c r="T708" s="31" t="s">
        <v>273</v>
      </c>
      <c r="U708" s="31">
        <f>IFERROR(VLOOKUP(CONCATENATE(Tabla1[[#This Row],[Severidad]]," ",Tabla1[[#This Row],[Complejidad]]),Catalogos!E$120:G$128,3,FALSE),"")</f>
        <v>64</v>
      </c>
      <c r="V708" s="31" t="str">
        <f>IF(Tabla1[[#This Row],[Tiempo solución max (hrs)]]&lt;&gt;"",IF(Tabla1[[#This Row],[Tiempo solución max (hrs)]]&gt;=Tabla1[[#This Row],[Tiempo
(Hrs 00/100)]],"cumple","no cumple"),"")</f>
        <v>cumple</v>
      </c>
      <c r="W708" s="376" t="s">
        <v>962</v>
      </c>
      <c r="X708" s="463" t="str">
        <f t="shared" si="83"/>
        <v>SAW</v>
      </c>
      <c r="Y708" s="459" t="str">
        <f>SUBSTITUTE(Tabla1[[#This Row],[Descripción]],CHAR(10),"    I    ")</f>
        <v xml:space="preserve">Actualizacion Pagina Web </v>
      </c>
      <c r="Z708" s="464">
        <f>VLOOKUP(Tabla1[[#This Row],[Perfil]],Catalogos!$B$75:$D$100,3,FALSE)*Tabla1[[#This Row],[Tiempo
(Hrs 00/100)]]*1.16</f>
        <v>1739.9999999999998</v>
      </c>
    </row>
    <row r="709" spans="1:26" ht="15" customHeight="1" x14ac:dyDescent="0.3">
      <c r="A709" s="373" t="s">
        <v>22</v>
      </c>
      <c r="B709" s="184" t="s">
        <v>68</v>
      </c>
      <c r="C709" s="183" t="s">
        <v>16</v>
      </c>
      <c r="D709" s="179"/>
      <c r="E709" s="386" t="s">
        <v>503</v>
      </c>
      <c r="F709" s="373" t="s">
        <v>75</v>
      </c>
      <c r="G709" s="370"/>
      <c r="H709" s="387" t="s">
        <v>436</v>
      </c>
      <c r="I709" s="395" t="s">
        <v>1107</v>
      </c>
      <c r="J709" s="712">
        <v>45040</v>
      </c>
      <c r="K709" s="709">
        <v>0.375</v>
      </c>
      <c r="L709" s="712">
        <v>45040</v>
      </c>
      <c r="M709" s="739">
        <v>0.52083333333333337</v>
      </c>
      <c r="N709" s="179">
        <v>3.5</v>
      </c>
      <c r="O709" s="184" t="s">
        <v>17</v>
      </c>
      <c r="P709" s="185" t="s">
        <v>1075</v>
      </c>
      <c r="Q709" s="746" t="s">
        <v>258</v>
      </c>
      <c r="R709" s="171" t="s">
        <v>81</v>
      </c>
      <c r="S709" s="31" t="s">
        <v>273</v>
      </c>
      <c r="T709" s="31" t="s">
        <v>273</v>
      </c>
      <c r="U709" s="31">
        <f>IFERROR(VLOOKUP(CONCATENATE(Tabla1[[#This Row],[Severidad]]," ",Tabla1[[#This Row],[Complejidad]]),Catalogos!E$120:G$128,3,FALSE),"")</f>
        <v>64</v>
      </c>
      <c r="V709" s="31" t="str">
        <f>IF(Tabla1[[#This Row],[Tiempo solución max (hrs)]]&lt;&gt;"",IF(Tabla1[[#This Row],[Tiempo solución max (hrs)]]&gt;=Tabla1[[#This Row],[Tiempo
(Hrs 00/100)]],"cumple","no cumple"),"")</f>
        <v>cumple</v>
      </c>
      <c r="W709" s="376" t="s">
        <v>962</v>
      </c>
      <c r="X709" s="463" t="str">
        <f t="shared" si="83"/>
        <v>SAW</v>
      </c>
      <c r="Y709" s="459" t="str">
        <f>SUBSTITUTE(Tabla1[[#This Row],[Descripción]],CHAR(10),"    I    ")</f>
        <v xml:space="preserve">Actualizacion Informes 2023 </v>
      </c>
      <c r="Z709" s="464">
        <f>VLOOKUP(Tabla1[[#This Row],[Perfil]],Catalogos!$B$75:$D$100,3,FALSE)*Tabla1[[#This Row],[Tiempo
(Hrs 00/100)]]*1.16</f>
        <v>2029.9999999999998</v>
      </c>
    </row>
    <row r="710" spans="1:26" ht="15" customHeight="1" x14ac:dyDescent="0.3">
      <c r="A710" s="373" t="s">
        <v>22</v>
      </c>
      <c r="B710" s="184" t="s">
        <v>68</v>
      </c>
      <c r="C710" s="183" t="s">
        <v>16</v>
      </c>
      <c r="D710" s="179"/>
      <c r="E710" s="386" t="s">
        <v>503</v>
      </c>
      <c r="F710" s="373" t="s">
        <v>75</v>
      </c>
      <c r="G710" s="370"/>
      <c r="H710" s="387" t="s">
        <v>436</v>
      </c>
      <c r="I710" s="395" t="s">
        <v>1108</v>
      </c>
      <c r="J710" s="712">
        <v>45040</v>
      </c>
      <c r="K710" s="739">
        <v>0.52083333333333337</v>
      </c>
      <c r="L710" s="712">
        <v>45040</v>
      </c>
      <c r="M710" s="739">
        <v>0.60416666666666663</v>
      </c>
      <c r="N710" s="179">
        <v>2</v>
      </c>
      <c r="O710" s="184" t="s">
        <v>17</v>
      </c>
      <c r="P710" s="185" t="s">
        <v>1075</v>
      </c>
      <c r="Q710" s="746" t="s">
        <v>258</v>
      </c>
      <c r="R710" s="171" t="s">
        <v>81</v>
      </c>
      <c r="S710" s="31" t="s">
        <v>273</v>
      </c>
      <c r="T710" s="31" t="s">
        <v>273</v>
      </c>
      <c r="U710" s="31">
        <f>IFERROR(VLOOKUP(CONCATENATE(Tabla1[[#This Row],[Severidad]]," ",Tabla1[[#This Row],[Complejidad]]),Catalogos!E$120:G$128,3,FALSE),"")</f>
        <v>64</v>
      </c>
      <c r="V710" s="31" t="str">
        <f>IF(Tabla1[[#This Row],[Tiempo solución max (hrs)]]&lt;&gt;"",IF(Tabla1[[#This Row],[Tiempo solución max (hrs)]]&gt;=Tabla1[[#This Row],[Tiempo
(Hrs 00/100)]],"cumple","no cumple"),"")</f>
        <v>cumple</v>
      </c>
      <c r="W710" s="376" t="s">
        <v>962</v>
      </c>
      <c r="X710" s="463" t="str">
        <f t="shared" si="83"/>
        <v>SAW</v>
      </c>
      <c r="Y710" s="459" t="str">
        <f>SUBSTITUTE(Tabla1[[#This Row],[Descripción]],CHAR(10),"    I    ")</f>
        <v xml:space="preserve">actualizacioin Revista </v>
      </c>
      <c r="Z710" s="464">
        <f>VLOOKUP(Tabla1[[#This Row],[Perfil]],Catalogos!$B$75:$D$100,3,FALSE)*Tabla1[[#This Row],[Tiempo
(Hrs 00/100)]]*1.16</f>
        <v>1160</v>
      </c>
    </row>
    <row r="711" spans="1:26" ht="15" customHeight="1" x14ac:dyDescent="0.3">
      <c r="A711" s="373" t="s">
        <v>22</v>
      </c>
      <c r="B711" s="184" t="s">
        <v>68</v>
      </c>
      <c r="C711" s="183" t="s">
        <v>16</v>
      </c>
      <c r="D711" s="179"/>
      <c r="E711" s="386" t="s">
        <v>503</v>
      </c>
      <c r="F711" s="373" t="s">
        <v>75</v>
      </c>
      <c r="G711" s="370"/>
      <c r="H711" s="387" t="s">
        <v>436</v>
      </c>
      <c r="I711" s="395" t="s">
        <v>1109</v>
      </c>
      <c r="J711" s="712">
        <v>45040</v>
      </c>
      <c r="K711" s="709">
        <v>0.66666666666666663</v>
      </c>
      <c r="L711" s="712">
        <v>45040</v>
      </c>
      <c r="M711" s="739">
        <v>0.79166666666666663</v>
      </c>
      <c r="N711" s="179">
        <v>3</v>
      </c>
      <c r="O711" s="184" t="s">
        <v>17</v>
      </c>
      <c r="P711" s="185" t="s">
        <v>1075</v>
      </c>
      <c r="Q711" s="746" t="s">
        <v>258</v>
      </c>
      <c r="R711" s="171" t="s">
        <v>81</v>
      </c>
      <c r="S711" s="31" t="s">
        <v>273</v>
      </c>
      <c r="T711" s="31" t="s">
        <v>273</v>
      </c>
      <c r="U711" s="31">
        <f>IFERROR(VLOOKUP(CONCATENATE(Tabla1[[#This Row],[Severidad]]," ",Tabla1[[#This Row],[Complejidad]]),Catalogos!E$120:G$128,3,FALSE),"")</f>
        <v>64</v>
      </c>
      <c r="V711" s="31" t="str">
        <f>IF(Tabla1[[#This Row],[Tiempo solución max (hrs)]]&lt;&gt;"",IF(Tabla1[[#This Row],[Tiempo solución max (hrs)]]&gt;=Tabla1[[#This Row],[Tiempo
(Hrs 00/100)]],"cumple","no cumple"),"")</f>
        <v>cumple</v>
      </c>
      <c r="W711" s="376" t="s">
        <v>962</v>
      </c>
      <c r="X711" s="463" t="str">
        <f t="shared" si="83"/>
        <v>SAW</v>
      </c>
      <c r="Y711" s="459" t="str">
        <f>SUBSTITUTE(Tabla1[[#This Row],[Descripción]],CHAR(10),"    I    ")</f>
        <v xml:space="preserve">modificaion usuarios Pagina Web </v>
      </c>
      <c r="Z711" s="464">
        <f>VLOOKUP(Tabla1[[#This Row],[Perfil]],Catalogos!$B$75:$D$100,3,FALSE)*Tabla1[[#This Row],[Tiempo
(Hrs 00/100)]]*1.16</f>
        <v>1739.9999999999998</v>
      </c>
    </row>
    <row r="712" spans="1:26" ht="15" customHeight="1" x14ac:dyDescent="0.3">
      <c r="A712" s="373" t="s">
        <v>22</v>
      </c>
      <c r="B712" s="184" t="s">
        <v>68</v>
      </c>
      <c r="C712" s="183" t="s">
        <v>16</v>
      </c>
      <c r="D712" s="179"/>
      <c r="E712" s="386" t="s">
        <v>503</v>
      </c>
      <c r="F712" s="373" t="s">
        <v>75</v>
      </c>
      <c r="G712" s="370"/>
      <c r="H712" s="387" t="s">
        <v>436</v>
      </c>
      <c r="I712" s="395" t="s">
        <v>1110</v>
      </c>
      <c r="J712" s="712">
        <v>45041</v>
      </c>
      <c r="K712" s="709">
        <v>0.375</v>
      </c>
      <c r="L712" s="712">
        <v>45041</v>
      </c>
      <c r="M712" s="739">
        <v>0.54166666666666663</v>
      </c>
      <c r="N712" s="179">
        <v>4</v>
      </c>
      <c r="O712" s="184" t="s">
        <v>17</v>
      </c>
      <c r="P712" s="185" t="s">
        <v>1075</v>
      </c>
      <c r="Q712" s="746" t="s">
        <v>258</v>
      </c>
      <c r="R712" s="171" t="s">
        <v>81</v>
      </c>
      <c r="S712" s="31" t="s">
        <v>273</v>
      </c>
      <c r="T712" s="31" t="s">
        <v>273</v>
      </c>
      <c r="U712" s="31">
        <f>IFERROR(VLOOKUP(CONCATENATE(Tabla1[[#This Row],[Severidad]]," ",Tabla1[[#This Row],[Complejidad]]),Catalogos!E$120:G$128,3,FALSE),"")</f>
        <v>64</v>
      </c>
      <c r="V712" s="31" t="str">
        <f>IF(Tabla1[[#This Row],[Tiempo solución max (hrs)]]&lt;&gt;"",IF(Tabla1[[#This Row],[Tiempo solución max (hrs)]]&gt;=Tabla1[[#This Row],[Tiempo
(Hrs 00/100)]],"cumple","no cumple"),"")</f>
        <v>cumple</v>
      </c>
      <c r="W712" s="376" t="s">
        <v>962</v>
      </c>
      <c r="X712" s="463" t="str">
        <f t="shared" si="83"/>
        <v>SAW</v>
      </c>
      <c r="Y712" s="459" t="str">
        <f>SUBSTITUTE(Tabla1[[#This Row],[Descripción]],CHAR(10),"    I    ")</f>
        <v xml:space="preserve">Actualizacion directorio RTA </v>
      </c>
      <c r="Z712" s="464">
        <f>VLOOKUP(Tabla1[[#This Row],[Perfil]],Catalogos!$B$75:$D$100,3,FALSE)*Tabla1[[#This Row],[Tiempo
(Hrs 00/100)]]*1.16</f>
        <v>2320</v>
      </c>
    </row>
    <row r="713" spans="1:26" ht="15" customHeight="1" x14ac:dyDescent="0.3">
      <c r="A713" s="373" t="s">
        <v>22</v>
      </c>
      <c r="B713" s="184" t="s">
        <v>68</v>
      </c>
      <c r="C713" s="183" t="s">
        <v>16</v>
      </c>
      <c r="D713" s="179"/>
      <c r="E713" s="386" t="s">
        <v>503</v>
      </c>
      <c r="F713" s="373" t="s">
        <v>75</v>
      </c>
      <c r="G713" s="370"/>
      <c r="H713" s="387" t="s">
        <v>436</v>
      </c>
      <c r="I713" s="395" t="s">
        <v>1111</v>
      </c>
      <c r="J713" s="712">
        <v>45041</v>
      </c>
      <c r="K713" s="739">
        <v>0.54166666666666663</v>
      </c>
      <c r="L713" s="712">
        <v>45041</v>
      </c>
      <c r="M713" s="739">
        <v>0.79166666666666663</v>
      </c>
      <c r="N713" s="179">
        <v>4.5</v>
      </c>
      <c r="O713" s="184" t="s">
        <v>17</v>
      </c>
      <c r="P713" s="185" t="s">
        <v>1075</v>
      </c>
      <c r="Q713" s="746" t="s">
        <v>258</v>
      </c>
      <c r="R713" s="171" t="s">
        <v>81</v>
      </c>
      <c r="S713" s="31" t="s">
        <v>273</v>
      </c>
      <c r="T713" s="31" t="s">
        <v>273</v>
      </c>
      <c r="U713" s="31">
        <f>IFERROR(VLOOKUP(CONCATENATE(Tabla1[[#This Row],[Severidad]]," ",Tabla1[[#This Row],[Complejidad]]),Catalogos!E$120:G$128,3,FALSE),"")</f>
        <v>64</v>
      </c>
      <c r="V713" s="31" t="str">
        <f>IF(Tabla1[[#This Row],[Tiempo solución max (hrs)]]&lt;&gt;"",IF(Tabla1[[#This Row],[Tiempo solución max (hrs)]]&gt;=Tabla1[[#This Row],[Tiempo
(Hrs 00/100)]],"cumple","no cumple"),"")</f>
        <v>cumple</v>
      </c>
      <c r="W713" s="376" t="s">
        <v>962</v>
      </c>
      <c r="X713" s="463" t="str">
        <f t="shared" si="83"/>
        <v>SAW</v>
      </c>
      <c r="Y713" s="459" t="str">
        <f>SUBSTITUTE(Tabla1[[#This Row],[Descripción]],CHAR(10),"    I    ")</f>
        <v xml:space="preserve">Modificacion Identidad Segura </v>
      </c>
      <c r="Z713" s="464">
        <f>VLOOKUP(Tabla1[[#This Row],[Perfil]],Catalogos!$B$75:$D$100,3,FALSE)*Tabla1[[#This Row],[Tiempo
(Hrs 00/100)]]*1.16</f>
        <v>2610</v>
      </c>
    </row>
    <row r="714" spans="1:26" ht="15" customHeight="1" x14ac:dyDescent="0.3">
      <c r="A714" s="373" t="s">
        <v>22</v>
      </c>
      <c r="B714" s="184" t="s">
        <v>68</v>
      </c>
      <c r="C714" s="183" t="s">
        <v>16</v>
      </c>
      <c r="D714" s="179"/>
      <c r="E714" s="386" t="s">
        <v>503</v>
      </c>
      <c r="F714" s="373" t="s">
        <v>75</v>
      </c>
      <c r="G714" s="370"/>
      <c r="H714" s="387" t="s">
        <v>436</v>
      </c>
      <c r="I714" s="393" t="s">
        <v>1112</v>
      </c>
      <c r="J714" s="712">
        <v>45042</v>
      </c>
      <c r="K714" s="709">
        <v>0.375</v>
      </c>
      <c r="L714" s="712">
        <v>45042</v>
      </c>
      <c r="M714" s="739">
        <v>0.47916666666666669</v>
      </c>
      <c r="N714" s="179">
        <v>2.5</v>
      </c>
      <c r="O714" s="184" t="s">
        <v>17</v>
      </c>
      <c r="P714" s="185" t="s">
        <v>1075</v>
      </c>
      <c r="Q714" s="746" t="s">
        <v>258</v>
      </c>
      <c r="R714" s="171" t="s">
        <v>81</v>
      </c>
      <c r="S714" s="31" t="s">
        <v>273</v>
      </c>
      <c r="T714" s="31" t="s">
        <v>273</v>
      </c>
      <c r="U714" s="31">
        <f>IFERROR(VLOOKUP(CONCATENATE(Tabla1[[#This Row],[Severidad]]," ",Tabla1[[#This Row],[Complejidad]]),Catalogos!E$120:G$128,3,FALSE),"")</f>
        <v>64</v>
      </c>
      <c r="V714" s="31" t="str">
        <f>IF(Tabla1[[#This Row],[Tiempo solución max (hrs)]]&lt;&gt;"",IF(Tabla1[[#This Row],[Tiempo solución max (hrs)]]&gt;=Tabla1[[#This Row],[Tiempo
(Hrs 00/100)]],"cumple","no cumple"),"")</f>
        <v>cumple</v>
      </c>
      <c r="W714" s="376" t="s">
        <v>962</v>
      </c>
      <c r="X714" s="463" t="str">
        <f t="shared" si="83"/>
        <v>SAW</v>
      </c>
      <c r="Y714" s="459" t="str">
        <f>SUBSTITUTE(Tabla1[[#This Row],[Descripción]],CHAR(10),"    I    ")</f>
        <v xml:space="preserve">acatualizacion de padron de SO </v>
      </c>
      <c r="Z714" s="464">
        <f>VLOOKUP(Tabla1[[#This Row],[Perfil]],Catalogos!$B$75:$D$100,3,FALSE)*Tabla1[[#This Row],[Tiempo
(Hrs 00/100)]]*1.16</f>
        <v>1450</v>
      </c>
    </row>
    <row r="715" spans="1:26" ht="15" customHeight="1" x14ac:dyDescent="0.3">
      <c r="A715" s="373" t="s">
        <v>22</v>
      </c>
      <c r="B715" s="184" t="s">
        <v>68</v>
      </c>
      <c r="C715" s="183" t="s">
        <v>16</v>
      </c>
      <c r="D715" s="179"/>
      <c r="E715" s="386" t="s">
        <v>503</v>
      </c>
      <c r="F715" s="373" t="s">
        <v>75</v>
      </c>
      <c r="G715" s="370"/>
      <c r="H715" s="387" t="s">
        <v>436</v>
      </c>
      <c r="I715" s="395" t="s">
        <v>1113</v>
      </c>
      <c r="J715" s="712">
        <v>45042</v>
      </c>
      <c r="K715" s="739">
        <v>0.47916666666666669</v>
      </c>
      <c r="L715" s="712">
        <v>45042</v>
      </c>
      <c r="M715" s="739">
        <v>0.60416666666666663</v>
      </c>
      <c r="N715" s="179">
        <v>3</v>
      </c>
      <c r="O715" s="184" t="s">
        <v>17</v>
      </c>
      <c r="P715" s="185" t="s">
        <v>1075</v>
      </c>
      <c r="Q715" s="746" t="s">
        <v>258</v>
      </c>
      <c r="R715" s="171" t="s">
        <v>81</v>
      </c>
      <c r="S715" s="31" t="s">
        <v>273</v>
      </c>
      <c r="T715" s="31" t="s">
        <v>273</v>
      </c>
      <c r="U715" s="31">
        <f>IFERROR(VLOOKUP(CONCATENATE(Tabla1[[#This Row],[Severidad]]," ",Tabla1[[#This Row],[Complejidad]]),Catalogos!E$120:G$128,3,FALSE),"")</f>
        <v>64</v>
      </c>
      <c r="V715" s="31" t="str">
        <f>IF(Tabla1[[#This Row],[Tiempo solución max (hrs)]]&lt;&gt;"",IF(Tabla1[[#This Row],[Tiempo solución max (hrs)]]&gt;=Tabla1[[#This Row],[Tiempo
(Hrs 00/100)]],"cumple","no cumple"),"")</f>
        <v>cumple</v>
      </c>
      <c r="W715" s="376" t="s">
        <v>962</v>
      </c>
      <c r="X715" s="463" t="str">
        <f t="shared" si="83"/>
        <v>SAW</v>
      </c>
      <c r="Y715" s="459" t="str">
        <f>SUBSTITUTE(Tabla1[[#This Row],[Descripción]],CHAR(10),"    I    ")</f>
        <v xml:space="preserve">Actualizacion comité de etica </v>
      </c>
      <c r="Z715" s="464">
        <f>VLOOKUP(Tabla1[[#This Row],[Perfil]],Catalogos!$B$75:$D$100,3,FALSE)*Tabla1[[#This Row],[Tiempo
(Hrs 00/100)]]*1.16</f>
        <v>1739.9999999999998</v>
      </c>
    </row>
    <row r="716" spans="1:26" ht="15" customHeight="1" x14ac:dyDescent="0.3">
      <c r="A716" s="373" t="s">
        <v>22</v>
      </c>
      <c r="B716" s="184" t="s">
        <v>68</v>
      </c>
      <c r="C716" s="183" t="s">
        <v>16</v>
      </c>
      <c r="D716" s="179"/>
      <c r="E716" s="386" t="s">
        <v>503</v>
      </c>
      <c r="F716" s="373" t="s">
        <v>75</v>
      </c>
      <c r="G716" s="370"/>
      <c r="H716" s="387" t="s">
        <v>436</v>
      </c>
      <c r="I716" s="395" t="s">
        <v>1114</v>
      </c>
      <c r="J716" s="712">
        <v>45042</v>
      </c>
      <c r="K716" s="709">
        <v>0.66666666666666663</v>
      </c>
      <c r="L716" s="712">
        <v>45042</v>
      </c>
      <c r="M716" s="739">
        <v>0.79166666666666663</v>
      </c>
      <c r="N716" s="179">
        <v>3</v>
      </c>
      <c r="O716" s="184" t="s">
        <v>17</v>
      </c>
      <c r="P716" s="185" t="s">
        <v>1075</v>
      </c>
      <c r="Q716" s="746" t="s">
        <v>258</v>
      </c>
      <c r="R716" s="171" t="s">
        <v>81</v>
      </c>
      <c r="S716" s="31" t="s">
        <v>273</v>
      </c>
      <c r="T716" s="31" t="s">
        <v>273</v>
      </c>
      <c r="U716" s="31">
        <f>IFERROR(VLOOKUP(CONCATENATE(Tabla1[[#This Row],[Severidad]]," ",Tabla1[[#This Row],[Complejidad]]),Catalogos!E$120:G$128,3,FALSE),"")</f>
        <v>64</v>
      </c>
      <c r="V716" s="31" t="str">
        <f>IF(Tabla1[[#This Row],[Tiempo solución max (hrs)]]&lt;&gt;"",IF(Tabla1[[#This Row],[Tiempo solución max (hrs)]]&gt;=Tabla1[[#This Row],[Tiempo
(Hrs 00/100)]],"cumple","no cumple"),"")</f>
        <v>cumple</v>
      </c>
      <c r="W716" s="376" t="s">
        <v>962</v>
      </c>
      <c r="X716" s="463" t="str">
        <f t="shared" si="83"/>
        <v>SAW</v>
      </c>
      <c r="Y716" s="459" t="str">
        <f>SUBSTITUTE(Tabla1[[#This Row],[Descripción]],CHAR(10),"    I    ")</f>
        <v xml:space="preserve">Actualizacion del sitio SEDE </v>
      </c>
      <c r="Z716" s="464">
        <f>VLOOKUP(Tabla1[[#This Row],[Perfil]],Catalogos!$B$75:$D$100,3,FALSE)*Tabla1[[#This Row],[Tiempo
(Hrs 00/100)]]*1.16</f>
        <v>1739.9999999999998</v>
      </c>
    </row>
    <row r="717" spans="1:26" ht="15" customHeight="1" x14ac:dyDescent="0.3">
      <c r="A717" s="373" t="s">
        <v>22</v>
      </c>
      <c r="B717" s="184" t="s">
        <v>68</v>
      </c>
      <c r="C717" s="183" t="s">
        <v>16</v>
      </c>
      <c r="D717" s="179"/>
      <c r="E717" s="386" t="s">
        <v>503</v>
      </c>
      <c r="F717" s="373" t="s">
        <v>75</v>
      </c>
      <c r="G717" s="370"/>
      <c r="H717" s="387" t="s">
        <v>436</v>
      </c>
      <c r="I717" s="394" t="s">
        <v>1115</v>
      </c>
      <c r="J717" s="712">
        <v>45043</v>
      </c>
      <c r="K717" s="709">
        <v>0.375</v>
      </c>
      <c r="L717" s="712">
        <v>45043</v>
      </c>
      <c r="M717" s="739">
        <v>0.5</v>
      </c>
      <c r="N717" s="179">
        <v>3</v>
      </c>
      <c r="O717" s="184" t="s">
        <v>17</v>
      </c>
      <c r="P717" s="185" t="s">
        <v>1075</v>
      </c>
      <c r="Q717" s="746" t="s">
        <v>258</v>
      </c>
      <c r="R717" s="171" t="s">
        <v>81</v>
      </c>
      <c r="S717" s="31" t="s">
        <v>273</v>
      </c>
      <c r="T717" s="31" t="s">
        <v>273</v>
      </c>
      <c r="U717" s="31">
        <f>IFERROR(VLOOKUP(CONCATENATE(Tabla1[[#This Row],[Severidad]]," ",Tabla1[[#This Row],[Complejidad]]),Catalogos!E$120:G$128,3,FALSE),"")</f>
        <v>64</v>
      </c>
      <c r="V717" s="31" t="str">
        <f>IF(Tabla1[[#This Row],[Tiempo solución max (hrs)]]&lt;&gt;"",IF(Tabla1[[#This Row],[Tiempo solución max (hrs)]]&gt;=Tabla1[[#This Row],[Tiempo
(Hrs 00/100)]],"cumple","no cumple"),"")</f>
        <v>cumple</v>
      </c>
      <c r="W717" s="376" t="s">
        <v>962</v>
      </c>
      <c r="X717" s="463" t="str">
        <f t="shared" si="83"/>
        <v>SAW</v>
      </c>
      <c r="Y717" s="459" t="str">
        <f>SUBSTITUTE(Tabla1[[#This Row],[Descripción]],CHAR(10),"    I    ")</f>
        <v xml:space="preserve">carga de archivos pagina web </v>
      </c>
      <c r="Z717" s="464">
        <f>VLOOKUP(Tabla1[[#This Row],[Perfil]],Catalogos!$B$75:$D$100,3,FALSE)*Tabla1[[#This Row],[Tiempo
(Hrs 00/100)]]*1.16</f>
        <v>1739.9999999999998</v>
      </c>
    </row>
    <row r="718" spans="1:26" ht="15" customHeight="1" x14ac:dyDescent="0.3">
      <c r="A718" s="373" t="s">
        <v>22</v>
      </c>
      <c r="B718" s="184" t="s">
        <v>68</v>
      </c>
      <c r="C718" s="183" t="s">
        <v>16</v>
      </c>
      <c r="D718" s="179"/>
      <c r="E718" s="386" t="s">
        <v>503</v>
      </c>
      <c r="F718" s="373" t="s">
        <v>75</v>
      </c>
      <c r="G718" s="370"/>
      <c r="H718" s="387" t="s">
        <v>436</v>
      </c>
      <c r="I718" s="388" t="s">
        <v>1116</v>
      </c>
      <c r="J718" s="712">
        <v>45043</v>
      </c>
      <c r="K718" s="739">
        <v>0.5</v>
      </c>
      <c r="L718" s="712">
        <v>45043</v>
      </c>
      <c r="M718" s="739">
        <v>0.6875</v>
      </c>
      <c r="N718" s="179">
        <v>3</v>
      </c>
      <c r="O718" s="184" t="s">
        <v>17</v>
      </c>
      <c r="P718" s="185" t="s">
        <v>1075</v>
      </c>
      <c r="Q718" s="746" t="s">
        <v>258</v>
      </c>
      <c r="R718" s="171" t="s">
        <v>81</v>
      </c>
      <c r="S718" s="31" t="s">
        <v>273</v>
      </c>
      <c r="T718" s="31" t="s">
        <v>273</v>
      </c>
      <c r="U718" s="31">
        <f>IFERROR(VLOOKUP(CONCATENATE(Tabla1[[#This Row],[Severidad]]," ",Tabla1[[#This Row],[Complejidad]]),Catalogos!E$120:G$128,3,FALSE),"")</f>
        <v>64</v>
      </c>
      <c r="V718" s="31" t="str">
        <f>IF(Tabla1[[#This Row],[Tiempo solución max (hrs)]]&lt;&gt;"",IF(Tabla1[[#This Row],[Tiempo solución max (hrs)]]&gt;=Tabla1[[#This Row],[Tiempo
(Hrs 00/100)]],"cumple","no cumple"),"")</f>
        <v>cumple</v>
      </c>
      <c r="W718" s="376" t="s">
        <v>962</v>
      </c>
      <c r="X718" s="463" t="str">
        <f t="shared" si="83"/>
        <v>SAW</v>
      </c>
      <c r="Y718" s="459" t="str">
        <f>SUBSTITUTE(Tabla1[[#This Row],[Descripción]],CHAR(10),"    I    ")</f>
        <v xml:space="preserve">carga de imágenes PROMOCION Y VINCULACION </v>
      </c>
      <c r="Z718" s="464">
        <f>VLOOKUP(Tabla1[[#This Row],[Perfil]],Catalogos!$B$75:$D$100,3,FALSE)*Tabla1[[#This Row],[Tiempo
(Hrs 00/100)]]*1.16</f>
        <v>1739.9999999999998</v>
      </c>
    </row>
    <row r="719" spans="1:26" ht="15" customHeight="1" x14ac:dyDescent="0.3">
      <c r="A719" s="373" t="s">
        <v>22</v>
      </c>
      <c r="B719" s="184" t="s">
        <v>68</v>
      </c>
      <c r="C719" s="183" t="s">
        <v>16</v>
      </c>
      <c r="D719" s="179"/>
      <c r="E719" s="386" t="s">
        <v>503</v>
      </c>
      <c r="F719" s="373" t="s">
        <v>75</v>
      </c>
      <c r="G719" s="370"/>
      <c r="H719" s="387" t="s">
        <v>436</v>
      </c>
      <c r="I719" s="395" t="s">
        <v>1117</v>
      </c>
      <c r="J719" s="712">
        <v>45043</v>
      </c>
      <c r="K719" s="739">
        <v>0.6875</v>
      </c>
      <c r="L719" s="712">
        <v>45043</v>
      </c>
      <c r="M719" s="739">
        <v>0.79166666666666663</v>
      </c>
      <c r="N719" s="179">
        <v>2.5</v>
      </c>
      <c r="O719" s="184" t="s">
        <v>17</v>
      </c>
      <c r="P719" s="185" t="s">
        <v>1075</v>
      </c>
      <c r="Q719" s="746" t="s">
        <v>258</v>
      </c>
      <c r="R719" s="171" t="s">
        <v>81</v>
      </c>
      <c r="S719" s="31" t="s">
        <v>273</v>
      </c>
      <c r="T719" s="31" t="s">
        <v>273</v>
      </c>
      <c r="U719" s="31">
        <f>IFERROR(VLOOKUP(CONCATENATE(Tabla1[[#This Row],[Severidad]]," ",Tabla1[[#This Row],[Complejidad]]),Catalogos!E$120:G$128,3,FALSE),"")</f>
        <v>64</v>
      </c>
      <c r="V719" s="31" t="str">
        <f>IF(Tabla1[[#This Row],[Tiempo solución max (hrs)]]&lt;&gt;"",IF(Tabla1[[#This Row],[Tiempo solución max (hrs)]]&gt;=Tabla1[[#This Row],[Tiempo
(Hrs 00/100)]],"cumple","no cumple"),"")</f>
        <v>cumple</v>
      </c>
      <c r="W719" s="376" t="s">
        <v>962</v>
      </c>
      <c r="X719" s="463" t="str">
        <f t="shared" si="83"/>
        <v>SAW</v>
      </c>
      <c r="Y719" s="459" t="str">
        <f>SUBSTITUTE(Tabla1[[#This Row],[Descripción]],CHAR(10),"    I    ")</f>
        <v xml:space="preserve">Recuperacion de usuarios </v>
      </c>
      <c r="Z719" s="464">
        <f>VLOOKUP(Tabla1[[#This Row],[Perfil]],Catalogos!$B$75:$D$100,3,FALSE)*Tabla1[[#This Row],[Tiempo
(Hrs 00/100)]]*1.16</f>
        <v>1450</v>
      </c>
    </row>
    <row r="720" spans="1:26" ht="15" customHeight="1" x14ac:dyDescent="0.3">
      <c r="A720" s="373" t="s">
        <v>22</v>
      </c>
      <c r="B720" s="184" t="s">
        <v>68</v>
      </c>
      <c r="C720" s="183" t="s">
        <v>16</v>
      </c>
      <c r="D720" s="179"/>
      <c r="E720" s="386" t="s">
        <v>503</v>
      </c>
      <c r="F720" s="373" t="s">
        <v>75</v>
      </c>
      <c r="G720" s="370"/>
      <c r="H720" s="387" t="s">
        <v>436</v>
      </c>
      <c r="I720" s="395" t="s">
        <v>1115</v>
      </c>
      <c r="J720" s="712">
        <v>45044</v>
      </c>
      <c r="K720" s="709">
        <v>0.375</v>
      </c>
      <c r="L720" s="712">
        <v>45044</v>
      </c>
      <c r="M720" s="739">
        <v>0.45833333333333331</v>
      </c>
      <c r="N720" s="179">
        <v>2</v>
      </c>
      <c r="O720" s="184" t="s">
        <v>17</v>
      </c>
      <c r="P720" s="185" t="s">
        <v>1075</v>
      </c>
      <c r="Q720" s="746" t="s">
        <v>258</v>
      </c>
      <c r="R720" s="171" t="s">
        <v>81</v>
      </c>
      <c r="S720" s="31" t="s">
        <v>273</v>
      </c>
      <c r="T720" s="31" t="s">
        <v>273</v>
      </c>
      <c r="U720" s="31">
        <f>IFERROR(VLOOKUP(CONCATENATE(Tabla1[[#This Row],[Severidad]]," ",Tabla1[[#This Row],[Complejidad]]),Catalogos!E$120:G$128,3,FALSE),"")</f>
        <v>64</v>
      </c>
      <c r="V720" s="31" t="str">
        <f>IF(Tabla1[[#This Row],[Tiempo solución max (hrs)]]&lt;&gt;"",IF(Tabla1[[#This Row],[Tiempo solución max (hrs)]]&gt;=Tabla1[[#This Row],[Tiempo
(Hrs 00/100)]],"cumple","no cumple"),"")</f>
        <v>cumple</v>
      </c>
      <c r="W720" s="376" t="s">
        <v>962</v>
      </c>
      <c r="X720" s="463" t="str">
        <f t="shared" si="83"/>
        <v>SAW</v>
      </c>
      <c r="Y720" s="459" t="str">
        <f>SUBSTITUTE(Tabla1[[#This Row],[Descripción]],CHAR(10),"    I    ")</f>
        <v xml:space="preserve">carga de archivos pagina web </v>
      </c>
      <c r="Z720" s="464">
        <f>VLOOKUP(Tabla1[[#This Row],[Perfil]],Catalogos!$B$75:$D$100,3,FALSE)*Tabla1[[#This Row],[Tiempo
(Hrs 00/100)]]*1.16</f>
        <v>1160</v>
      </c>
    </row>
    <row r="721" spans="1:26" ht="15" customHeight="1" x14ac:dyDescent="0.3">
      <c r="A721" s="373" t="s">
        <v>22</v>
      </c>
      <c r="B721" s="184" t="s">
        <v>68</v>
      </c>
      <c r="C721" s="183" t="s">
        <v>16</v>
      </c>
      <c r="D721" s="179"/>
      <c r="E721" s="386" t="s">
        <v>503</v>
      </c>
      <c r="F721" s="373" t="s">
        <v>75</v>
      </c>
      <c r="G721" s="370"/>
      <c r="H721" s="387" t="s">
        <v>436</v>
      </c>
      <c r="I721" s="393" t="s">
        <v>1118</v>
      </c>
      <c r="J721" s="712">
        <v>45044</v>
      </c>
      <c r="K721" s="739">
        <v>0.45833333333333331</v>
      </c>
      <c r="L721" s="712">
        <v>45044</v>
      </c>
      <c r="M721" s="739">
        <v>0.54166666666666663</v>
      </c>
      <c r="N721" s="179">
        <v>2</v>
      </c>
      <c r="O721" s="184" t="s">
        <v>17</v>
      </c>
      <c r="P721" s="185" t="s">
        <v>1075</v>
      </c>
      <c r="Q721" s="746" t="s">
        <v>258</v>
      </c>
      <c r="R721" s="171" t="s">
        <v>81</v>
      </c>
      <c r="S721" s="31" t="s">
        <v>273</v>
      </c>
      <c r="T721" s="31" t="s">
        <v>273</v>
      </c>
      <c r="U721" s="31">
        <f>IFERROR(VLOOKUP(CONCATENATE(Tabla1[[#This Row],[Severidad]]," ",Tabla1[[#This Row],[Complejidad]]),Catalogos!E$120:G$128,3,FALSE),"")</f>
        <v>64</v>
      </c>
      <c r="V721" s="31" t="str">
        <f>IF(Tabla1[[#This Row],[Tiempo solución max (hrs)]]&lt;&gt;"",IF(Tabla1[[#This Row],[Tiempo solución max (hrs)]]&gt;=Tabla1[[#This Row],[Tiempo
(Hrs 00/100)]],"cumple","no cumple"),"")</f>
        <v>cumple</v>
      </c>
      <c r="W721" s="376" t="s">
        <v>962</v>
      </c>
      <c r="X721" s="463" t="str">
        <f t="shared" si="83"/>
        <v>SAW</v>
      </c>
      <c r="Y721" s="459" t="str">
        <f>SUBSTITUTE(Tabla1[[#This Row],[Descripción]],CHAR(10),"    I    ")</f>
        <v xml:space="preserve">actualizacion PROSEDE </v>
      </c>
      <c r="Z721" s="464">
        <f>VLOOKUP(Tabla1[[#This Row],[Perfil]],Catalogos!$B$75:$D$100,3,FALSE)*Tabla1[[#This Row],[Tiempo
(Hrs 00/100)]]*1.16</f>
        <v>1160</v>
      </c>
    </row>
    <row r="722" spans="1:26" ht="15" customHeight="1" x14ac:dyDescent="0.3">
      <c r="A722" s="373" t="s">
        <v>22</v>
      </c>
      <c r="B722" s="184" t="s">
        <v>68</v>
      </c>
      <c r="C722" s="183" t="s">
        <v>16</v>
      </c>
      <c r="D722" s="179"/>
      <c r="E722" s="386" t="s">
        <v>503</v>
      </c>
      <c r="F722" s="373" t="s">
        <v>75</v>
      </c>
      <c r="G722" s="370"/>
      <c r="H722" s="387" t="s">
        <v>436</v>
      </c>
      <c r="I722" s="395" t="s">
        <v>1119</v>
      </c>
      <c r="J722" s="712">
        <v>45044</v>
      </c>
      <c r="K722" s="739">
        <v>0.54166666666666663</v>
      </c>
      <c r="L722" s="712">
        <v>45044</v>
      </c>
      <c r="M722" s="753">
        <v>0.625</v>
      </c>
      <c r="N722" s="179">
        <v>2</v>
      </c>
      <c r="O722" s="184" t="s">
        <v>17</v>
      </c>
      <c r="P722" s="185" t="s">
        <v>1075</v>
      </c>
      <c r="Q722" s="746" t="s">
        <v>258</v>
      </c>
      <c r="R722" s="171" t="s">
        <v>81</v>
      </c>
      <c r="S722" s="31" t="s">
        <v>273</v>
      </c>
      <c r="T722" s="31" t="s">
        <v>273</v>
      </c>
      <c r="U722" s="31">
        <f>IFERROR(VLOOKUP(CONCATENATE(Tabla1[[#This Row],[Severidad]]," ",Tabla1[[#This Row],[Complejidad]]),Catalogos!E$120:G$128,3,FALSE),"")</f>
        <v>64</v>
      </c>
      <c r="V722" s="31" t="str">
        <f>IF(Tabla1[[#This Row],[Tiempo solución max (hrs)]]&lt;&gt;"",IF(Tabla1[[#This Row],[Tiempo solución max (hrs)]]&gt;=Tabla1[[#This Row],[Tiempo
(Hrs 00/100)]],"cumple","no cumple"),"")</f>
        <v>cumple</v>
      </c>
      <c r="W722" s="376" t="s">
        <v>962</v>
      </c>
      <c r="X722" s="463" t="str">
        <f t="shared" si="83"/>
        <v>SAW</v>
      </c>
      <c r="Y722" s="459" t="str">
        <f>SUBSTITUTE(Tabla1[[#This Row],[Descripción]],CHAR(10),"    I    ")</f>
        <v xml:space="preserve">Actualizacion Pleno niños </v>
      </c>
      <c r="Z722" s="464">
        <f>VLOOKUP(Tabla1[[#This Row],[Perfil]],Catalogos!$B$75:$D$100,3,FALSE)*Tabla1[[#This Row],[Tiempo
(Hrs 00/100)]]*1.16</f>
        <v>1160</v>
      </c>
    </row>
    <row r="723" spans="1:26" ht="15" customHeight="1" x14ac:dyDescent="0.3">
      <c r="A723" s="370" t="s">
        <v>15</v>
      </c>
      <c r="B723" s="370" t="s">
        <v>67</v>
      </c>
      <c r="C723" s="205" t="s">
        <v>49</v>
      </c>
      <c r="D723" s="370"/>
      <c r="E723" s="370" t="s">
        <v>404</v>
      </c>
      <c r="F723" s="370" t="s">
        <v>23</v>
      </c>
      <c r="G723" s="370" t="s">
        <v>604</v>
      </c>
      <c r="H723" s="371" t="s">
        <v>605</v>
      </c>
      <c r="I723" s="383" t="s">
        <v>1121</v>
      </c>
      <c r="J723" s="369">
        <v>45026</v>
      </c>
      <c r="K723" s="747">
        <v>0.375</v>
      </c>
      <c r="L723" s="369">
        <v>45026</v>
      </c>
      <c r="M723" s="739">
        <v>0.54166666666666663</v>
      </c>
      <c r="N723" s="373">
        <v>4</v>
      </c>
      <c r="O723" s="374" t="s">
        <v>411</v>
      </c>
      <c r="P723" s="375" t="s">
        <v>1214</v>
      </c>
      <c r="Q723" s="751" t="s">
        <v>629</v>
      </c>
      <c r="R723" s="53" t="s">
        <v>302</v>
      </c>
      <c r="S723" s="31" t="s">
        <v>273</v>
      </c>
      <c r="T723" s="31" t="s">
        <v>273</v>
      </c>
      <c r="U723" s="31">
        <f>IFERROR(VLOOKUP(CONCATENATE(Tabla1[[#This Row],[Severidad]]," ",Tabla1[[#This Row],[Complejidad]]),Catalogos!E$120:G$128,3,FALSE),"")</f>
        <v>64</v>
      </c>
      <c r="V723" s="31" t="str">
        <f>IF(Tabla1[[#This Row],[Tiempo solución max (hrs)]]&lt;&gt;"",IF(Tabla1[[#This Row],[Tiempo solución max (hrs)]]&gt;=Tabla1[[#This Row],[Tiempo
(Hrs 00/100)]],"cumple","no cumple"),"")</f>
        <v>cumple</v>
      </c>
      <c r="W723" s="376" t="s">
        <v>962</v>
      </c>
      <c r="X723" s="463" t="str">
        <f t="shared" si="83"/>
        <v>SAI</v>
      </c>
      <c r="Y723" s="459" t="str">
        <f>SUBSTITUTE(Tabla1[[#This Row],[Descripción]],CHAR(10),"    I    ")</f>
        <v>Se tuvieron sesiones para validar las observaciones de los usuarios sobre los reportes. También se estuvieron realizando algunos de los ajustes solicitados.</v>
      </c>
      <c r="Z723" s="464">
        <f>VLOOKUP(Tabla1[[#This Row],[Perfil]],Catalogos!$B$75:$D$100,3,FALSE)*Tabla1[[#This Row],[Tiempo
(Hrs 00/100)]]*1.16</f>
        <v>3711.9999999999995</v>
      </c>
    </row>
    <row r="724" spans="1:26" ht="15" customHeight="1" x14ac:dyDescent="0.3">
      <c r="A724" s="370" t="s">
        <v>15</v>
      </c>
      <c r="B724" s="370" t="s">
        <v>67</v>
      </c>
      <c r="C724" s="205" t="s">
        <v>49</v>
      </c>
      <c r="D724" s="370"/>
      <c r="E724" s="370" t="s">
        <v>404</v>
      </c>
      <c r="F724" s="370" t="s">
        <v>23</v>
      </c>
      <c r="G724" s="370" t="s">
        <v>604</v>
      </c>
      <c r="H724" s="371" t="s">
        <v>605</v>
      </c>
      <c r="I724" s="383" t="s">
        <v>1121</v>
      </c>
      <c r="J724" s="369">
        <v>45027</v>
      </c>
      <c r="K724" s="747">
        <v>0.375</v>
      </c>
      <c r="L724" s="369">
        <v>45027</v>
      </c>
      <c r="M724" s="739">
        <v>0.54166666666666663</v>
      </c>
      <c r="N724" s="373">
        <v>4</v>
      </c>
      <c r="O724" s="374" t="s">
        <v>411</v>
      </c>
      <c r="P724" s="375" t="s">
        <v>1214</v>
      </c>
      <c r="Q724" s="751" t="s">
        <v>629</v>
      </c>
      <c r="R724" s="53" t="s">
        <v>302</v>
      </c>
      <c r="S724" s="31" t="s">
        <v>273</v>
      </c>
      <c r="T724" s="31" t="s">
        <v>273</v>
      </c>
      <c r="U724" s="31">
        <f>IFERROR(VLOOKUP(CONCATENATE(Tabla1[[#This Row],[Severidad]]," ",Tabla1[[#This Row],[Complejidad]]),Catalogos!E$120:G$128,3,FALSE),"")</f>
        <v>64</v>
      </c>
      <c r="V724" s="31" t="str">
        <f>IF(Tabla1[[#This Row],[Tiempo solución max (hrs)]]&lt;&gt;"",IF(Tabla1[[#This Row],[Tiempo solución max (hrs)]]&gt;=Tabla1[[#This Row],[Tiempo
(Hrs 00/100)]],"cumple","no cumple"),"")</f>
        <v>cumple</v>
      </c>
      <c r="W724" s="376" t="s">
        <v>962</v>
      </c>
      <c r="X724" s="463" t="str">
        <f t="shared" ref="X724:X727" si="84">IF(C724&lt;&gt;"",C724,D724)</f>
        <v>SAI</v>
      </c>
      <c r="Y724" s="459" t="str">
        <f>SUBSTITUTE(Tabla1[[#This Row],[Descripción]],CHAR(10),"    I    ")</f>
        <v>Se tuvieron sesiones para validar las observaciones de los usuarios sobre los reportes. También se estuvieron realizando algunos de los ajustes solicitados.</v>
      </c>
      <c r="Z724" s="464">
        <f>VLOOKUP(Tabla1[[#This Row],[Perfil]],Catalogos!$B$75:$D$100,3,FALSE)*Tabla1[[#This Row],[Tiempo
(Hrs 00/100)]]*1.16</f>
        <v>3711.9999999999995</v>
      </c>
    </row>
    <row r="725" spans="1:26" ht="15" customHeight="1" x14ac:dyDescent="0.3">
      <c r="A725" s="370" t="s">
        <v>15</v>
      </c>
      <c r="B725" s="370" t="s">
        <v>67</v>
      </c>
      <c r="C725" s="205" t="s">
        <v>49</v>
      </c>
      <c r="D725" s="370"/>
      <c r="E725" s="370" t="s">
        <v>404</v>
      </c>
      <c r="F725" s="370" t="s">
        <v>23</v>
      </c>
      <c r="G725" s="370" t="s">
        <v>604</v>
      </c>
      <c r="H725" s="371" t="s">
        <v>605</v>
      </c>
      <c r="I725" s="383" t="s">
        <v>1121</v>
      </c>
      <c r="J725" s="369">
        <v>45028</v>
      </c>
      <c r="K725" s="747">
        <v>0.375</v>
      </c>
      <c r="L725" s="369">
        <v>45028</v>
      </c>
      <c r="M725" s="739">
        <v>0.54166666666666663</v>
      </c>
      <c r="N725" s="373">
        <v>4</v>
      </c>
      <c r="O725" s="374" t="s">
        <v>411</v>
      </c>
      <c r="P725" s="375" t="s">
        <v>1214</v>
      </c>
      <c r="Q725" s="751" t="s">
        <v>629</v>
      </c>
      <c r="R725" s="53" t="s">
        <v>302</v>
      </c>
      <c r="S725" s="31" t="s">
        <v>273</v>
      </c>
      <c r="T725" s="31" t="s">
        <v>273</v>
      </c>
      <c r="U725" s="31">
        <f>IFERROR(VLOOKUP(CONCATENATE(Tabla1[[#This Row],[Severidad]]," ",Tabla1[[#This Row],[Complejidad]]),Catalogos!E$120:G$128,3,FALSE),"")</f>
        <v>64</v>
      </c>
      <c r="V725" s="31" t="str">
        <f>IF(Tabla1[[#This Row],[Tiempo solución max (hrs)]]&lt;&gt;"",IF(Tabla1[[#This Row],[Tiempo solución max (hrs)]]&gt;=Tabla1[[#This Row],[Tiempo
(Hrs 00/100)]],"cumple","no cumple"),"")</f>
        <v>cumple</v>
      </c>
      <c r="W725" s="376" t="s">
        <v>962</v>
      </c>
      <c r="X725" s="463" t="str">
        <f t="shared" si="84"/>
        <v>SAI</v>
      </c>
      <c r="Y725" s="459" t="str">
        <f>SUBSTITUTE(Tabla1[[#This Row],[Descripción]],CHAR(10),"    I    ")</f>
        <v>Se tuvieron sesiones para validar las observaciones de los usuarios sobre los reportes. También se estuvieron realizando algunos de los ajustes solicitados.</v>
      </c>
      <c r="Z725" s="464">
        <f>VLOOKUP(Tabla1[[#This Row],[Perfil]],Catalogos!$B$75:$D$100,3,FALSE)*Tabla1[[#This Row],[Tiempo
(Hrs 00/100)]]*1.16</f>
        <v>3711.9999999999995</v>
      </c>
    </row>
    <row r="726" spans="1:26" ht="15" customHeight="1" x14ac:dyDescent="0.3">
      <c r="A726" s="370" t="s">
        <v>15</v>
      </c>
      <c r="B726" s="370" t="s">
        <v>67</v>
      </c>
      <c r="C726" s="205" t="s">
        <v>49</v>
      </c>
      <c r="D726" s="370"/>
      <c r="E726" s="370" t="s">
        <v>404</v>
      </c>
      <c r="F726" s="370" t="s">
        <v>23</v>
      </c>
      <c r="G726" s="370" t="s">
        <v>604</v>
      </c>
      <c r="H726" s="371" t="s">
        <v>605</v>
      </c>
      <c r="I726" s="383" t="s">
        <v>1121</v>
      </c>
      <c r="J726" s="369">
        <v>45029</v>
      </c>
      <c r="K726" s="747">
        <v>0.375</v>
      </c>
      <c r="L726" s="369">
        <v>45029</v>
      </c>
      <c r="M726" s="739">
        <v>0.54166666666666663</v>
      </c>
      <c r="N726" s="373">
        <v>4</v>
      </c>
      <c r="O726" s="374" t="s">
        <v>411</v>
      </c>
      <c r="P726" s="375" t="s">
        <v>1214</v>
      </c>
      <c r="Q726" s="751" t="s">
        <v>629</v>
      </c>
      <c r="R726" s="53" t="s">
        <v>302</v>
      </c>
      <c r="S726" s="31" t="s">
        <v>273</v>
      </c>
      <c r="T726" s="31" t="s">
        <v>273</v>
      </c>
      <c r="U726" s="31">
        <f>IFERROR(VLOOKUP(CONCATENATE(Tabla1[[#This Row],[Severidad]]," ",Tabla1[[#This Row],[Complejidad]]),Catalogos!E$120:G$128,3,FALSE),"")</f>
        <v>64</v>
      </c>
      <c r="V726" s="31" t="str">
        <f>IF(Tabla1[[#This Row],[Tiempo solución max (hrs)]]&lt;&gt;"",IF(Tabla1[[#This Row],[Tiempo solución max (hrs)]]&gt;=Tabla1[[#This Row],[Tiempo
(Hrs 00/100)]],"cumple","no cumple"),"")</f>
        <v>cumple</v>
      </c>
      <c r="W726" s="376" t="s">
        <v>962</v>
      </c>
      <c r="X726" s="463" t="str">
        <f t="shared" si="84"/>
        <v>SAI</v>
      </c>
      <c r="Y726" s="459" t="str">
        <f>SUBSTITUTE(Tabla1[[#This Row],[Descripción]],CHAR(10),"    I    ")</f>
        <v>Se tuvieron sesiones para validar las observaciones de los usuarios sobre los reportes. También se estuvieron realizando algunos de los ajustes solicitados.</v>
      </c>
      <c r="Z726" s="464">
        <f>VLOOKUP(Tabla1[[#This Row],[Perfil]],Catalogos!$B$75:$D$100,3,FALSE)*Tabla1[[#This Row],[Tiempo
(Hrs 00/100)]]*1.16</f>
        <v>3711.9999999999995</v>
      </c>
    </row>
    <row r="727" spans="1:26" ht="15" customHeight="1" x14ac:dyDescent="0.3">
      <c r="A727" s="370" t="s">
        <v>15</v>
      </c>
      <c r="B727" s="370" t="s">
        <v>67</v>
      </c>
      <c r="C727" s="205" t="s">
        <v>49</v>
      </c>
      <c r="D727" s="370"/>
      <c r="E727" s="370" t="s">
        <v>404</v>
      </c>
      <c r="F727" s="370" t="s">
        <v>23</v>
      </c>
      <c r="G727" s="370" t="s">
        <v>604</v>
      </c>
      <c r="H727" s="371" t="s">
        <v>605</v>
      </c>
      <c r="I727" s="383" t="s">
        <v>1121</v>
      </c>
      <c r="J727" s="369">
        <v>45030</v>
      </c>
      <c r="K727" s="747">
        <v>0.375</v>
      </c>
      <c r="L727" s="369">
        <v>45030</v>
      </c>
      <c r="M727" s="739">
        <v>0.54166666666666663</v>
      </c>
      <c r="N727" s="373">
        <v>4</v>
      </c>
      <c r="O727" s="374" t="s">
        <v>17</v>
      </c>
      <c r="P727" s="375" t="s">
        <v>1214</v>
      </c>
      <c r="Q727" s="751" t="s">
        <v>629</v>
      </c>
      <c r="R727" s="53" t="s">
        <v>302</v>
      </c>
      <c r="S727" s="31" t="s">
        <v>273</v>
      </c>
      <c r="T727" s="31" t="s">
        <v>273</v>
      </c>
      <c r="U727" s="31">
        <f>IFERROR(VLOOKUP(CONCATENATE(Tabla1[[#This Row],[Severidad]]," ",Tabla1[[#This Row],[Complejidad]]),Catalogos!E$120:G$128,3,FALSE),"")</f>
        <v>64</v>
      </c>
      <c r="V727" s="31" t="str">
        <f>IF(Tabla1[[#This Row],[Tiempo solución max (hrs)]]&lt;&gt;"",IF(Tabla1[[#This Row],[Tiempo solución max (hrs)]]&gt;=Tabla1[[#This Row],[Tiempo
(Hrs 00/100)]],"cumple","no cumple"),"")</f>
        <v>cumple</v>
      </c>
      <c r="W727" s="376" t="s">
        <v>962</v>
      </c>
      <c r="X727" s="463" t="str">
        <f t="shared" si="84"/>
        <v>SAI</v>
      </c>
      <c r="Y727" s="459" t="str">
        <f>SUBSTITUTE(Tabla1[[#This Row],[Descripción]],CHAR(10),"    I    ")</f>
        <v>Se tuvieron sesiones para validar las observaciones de los usuarios sobre los reportes. También se estuvieron realizando algunos de los ajustes solicitados.</v>
      </c>
      <c r="Z727" s="464">
        <f>VLOOKUP(Tabla1[[#This Row],[Perfil]],Catalogos!$B$75:$D$100,3,FALSE)*Tabla1[[#This Row],[Tiempo
(Hrs 00/100)]]*1.16</f>
        <v>3711.9999999999995</v>
      </c>
    </row>
    <row r="728" spans="1:26" ht="15" customHeight="1" x14ac:dyDescent="0.3">
      <c r="A728" s="370" t="s">
        <v>15</v>
      </c>
      <c r="B728" s="370" t="s">
        <v>67</v>
      </c>
      <c r="C728" s="205" t="s">
        <v>49</v>
      </c>
      <c r="D728" s="370"/>
      <c r="E728" s="370" t="s">
        <v>404</v>
      </c>
      <c r="F728" s="370" t="s">
        <v>23</v>
      </c>
      <c r="G728" s="370" t="s">
        <v>604</v>
      </c>
      <c r="H728" s="371" t="s">
        <v>605</v>
      </c>
      <c r="I728" s="383" t="s">
        <v>1122</v>
      </c>
      <c r="J728" s="369">
        <v>45033</v>
      </c>
      <c r="K728" s="747">
        <v>0.375</v>
      </c>
      <c r="L728" s="369">
        <v>45033</v>
      </c>
      <c r="M728" s="753">
        <v>0.79166666666666663</v>
      </c>
      <c r="N728" s="373">
        <v>8</v>
      </c>
      <c r="O728" s="374" t="s">
        <v>411</v>
      </c>
      <c r="P728" s="375" t="s">
        <v>1214</v>
      </c>
      <c r="Q728" s="751" t="s">
        <v>629</v>
      </c>
      <c r="R728" s="53" t="s">
        <v>302</v>
      </c>
      <c r="S728" s="31" t="s">
        <v>273</v>
      </c>
      <c r="T728" s="31" t="s">
        <v>273</v>
      </c>
      <c r="U728" s="31">
        <f>IFERROR(VLOOKUP(CONCATENATE(Tabla1[[#This Row],[Severidad]]," ",Tabla1[[#This Row],[Complejidad]]),Catalogos!E$120:G$128,3,FALSE),"")</f>
        <v>64</v>
      </c>
      <c r="V728" s="31" t="str">
        <f>IF(Tabla1[[#This Row],[Tiempo solución max (hrs)]]&lt;&gt;"",IF(Tabla1[[#This Row],[Tiempo solución max (hrs)]]&gt;=Tabla1[[#This Row],[Tiempo
(Hrs 00/100)]],"cumple","no cumple"),"")</f>
        <v>cumple</v>
      </c>
      <c r="W728" s="376" t="s">
        <v>962</v>
      </c>
      <c r="X728" s="463" t="str">
        <f t="shared" si="83"/>
        <v>SAI</v>
      </c>
      <c r="Y728" s="459" t="str">
        <f>SUBSTITUTE(Tabla1[[#This Row],[Descripción]],CHAR(10),"    I    ")</f>
        <v>Se mantuvieron sesiones para revisar los cambios realizados. De igual forma se estuvieron validando las diferentes formas de mostrar las gráficas.</v>
      </c>
      <c r="Z728" s="464">
        <f>VLOOKUP(Tabla1[[#This Row],[Perfil]],Catalogos!$B$75:$D$100,3,FALSE)*Tabla1[[#This Row],[Tiempo
(Hrs 00/100)]]*1.16</f>
        <v>7423.9999999999991</v>
      </c>
    </row>
    <row r="729" spans="1:26" ht="15" customHeight="1" x14ac:dyDescent="0.3">
      <c r="A729" s="370" t="s">
        <v>15</v>
      </c>
      <c r="B729" s="370" t="s">
        <v>67</v>
      </c>
      <c r="C729" s="205" t="s">
        <v>49</v>
      </c>
      <c r="D729" s="370"/>
      <c r="E729" s="370" t="s">
        <v>404</v>
      </c>
      <c r="F729" s="370" t="s">
        <v>23</v>
      </c>
      <c r="G729" s="370" t="s">
        <v>604</v>
      </c>
      <c r="H729" s="371" t="s">
        <v>605</v>
      </c>
      <c r="I729" s="383" t="s">
        <v>1122</v>
      </c>
      <c r="J729" s="369">
        <v>45034</v>
      </c>
      <c r="K729" s="747">
        <v>0.375</v>
      </c>
      <c r="L729" s="369">
        <v>45034</v>
      </c>
      <c r="M729" s="753">
        <v>0.79166666666666663</v>
      </c>
      <c r="N729" s="373">
        <v>8</v>
      </c>
      <c r="O729" s="374" t="s">
        <v>411</v>
      </c>
      <c r="P729" s="375" t="s">
        <v>1214</v>
      </c>
      <c r="Q729" s="751" t="s">
        <v>629</v>
      </c>
      <c r="R729" s="53" t="s">
        <v>302</v>
      </c>
      <c r="S729" s="31" t="s">
        <v>273</v>
      </c>
      <c r="T729" s="31" t="s">
        <v>273</v>
      </c>
      <c r="U729" s="31">
        <f>IFERROR(VLOOKUP(CONCATENATE(Tabla1[[#This Row],[Severidad]]," ",Tabla1[[#This Row],[Complejidad]]),Catalogos!E$120:G$128,3,FALSE),"")</f>
        <v>64</v>
      </c>
      <c r="V729" s="31" t="str">
        <f>IF(Tabla1[[#This Row],[Tiempo solución max (hrs)]]&lt;&gt;"",IF(Tabla1[[#This Row],[Tiempo solución max (hrs)]]&gt;=Tabla1[[#This Row],[Tiempo
(Hrs 00/100)]],"cumple","no cumple"),"")</f>
        <v>cumple</v>
      </c>
      <c r="W729" s="376" t="s">
        <v>962</v>
      </c>
      <c r="X729" s="463" t="str">
        <f t="shared" ref="X729:X732" si="85">IF(C729&lt;&gt;"",C729,D729)</f>
        <v>SAI</v>
      </c>
      <c r="Y729" s="459" t="str">
        <f>SUBSTITUTE(Tabla1[[#This Row],[Descripción]],CHAR(10),"    I    ")</f>
        <v>Se mantuvieron sesiones para revisar los cambios realizados. De igual forma se estuvieron validando las diferentes formas de mostrar las gráficas.</v>
      </c>
      <c r="Z729" s="464">
        <f>VLOOKUP(Tabla1[[#This Row],[Perfil]],Catalogos!$B$75:$D$100,3,FALSE)*Tabla1[[#This Row],[Tiempo
(Hrs 00/100)]]*1.16</f>
        <v>7423.9999999999991</v>
      </c>
    </row>
    <row r="730" spans="1:26" ht="15" customHeight="1" x14ac:dyDescent="0.3">
      <c r="A730" s="370" t="s">
        <v>15</v>
      </c>
      <c r="B730" s="370" t="s">
        <v>67</v>
      </c>
      <c r="C730" s="205" t="s">
        <v>49</v>
      </c>
      <c r="D730" s="370"/>
      <c r="E730" s="370" t="s">
        <v>404</v>
      </c>
      <c r="F730" s="370" t="s">
        <v>23</v>
      </c>
      <c r="G730" s="370" t="s">
        <v>604</v>
      </c>
      <c r="H730" s="371" t="s">
        <v>605</v>
      </c>
      <c r="I730" s="383" t="s">
        <v>1122</v>
      </c>
      <c r="J730" s="369">
        <v>45035</v>
      </c>
      <c r="K730" s="747">
        <v>0.375</v>
      </c>
      <c r="L730" s="369">
        <v>45035</v>
      </c>
      <c r="M730" s="753">
        <v>0.79166666666666663</v>
      </c>
      <c r="N730" s="373">
        <v>8</v>
      </c>
      <c r="O730" s="374" t="s">
        <v>411</v>
      </c>
      <c r="P730" s="375" t="s">
        <v>1214</v>
      </c>
      <c r="Q730" s="751" t="s">
        <v>629</v>
      </c>
      <c r="R730" s="53" t="s">
        <v>302</v>
      </c>
      <c r="S730" s="31" t="s">
        <v>273</v>
      </c>
      <c r="T730" s="31" t="s">
        <v>273</v>
      </c>
      <c r="U730" s="31">
        <f>IFERROR(VLOOKUP(CONCATENATE(Tabla1[[#This Row],[Severidad]]," ",Tabla1[[#This Row],[Complejidad]]),Catalogos!E$120:G$128,3,FALSE),"")</f>
        <v>64</v>
      </c>
      <c r="V730" s="31" t="str">
        <f>IF(Tabla1[[#This Row],[Tiempo solución max (hrs)]]&lt;&gt;"",IF(Tabla1[[#This Row],[Tiempo solución max (hrs)]]&gt;=Tabla1[[#This Row],[Tiempo
(Hrs 00/100)]],"cumple","no cumple"),"")</f>
        <v>cumple</v>
      </c>
      <c r="W730" s="376" t="s">
        <v>962</v>
      </c>
      <c r="X730" s="463" t="str">
        <f t="shared" si="85"/>
        <v>SAI</v>
      </c>
      <c r="Y730" s="459" t="str">
        <f>SUBSTITUTE(Tabla1[[#This Row],[Descripción]],CHAR(10),"    I    ")</f>
        <v>Se mantuvieron sesiones para revisar los cambios realizados. De igual forma se estuvieron validando las diferentes formas de mostrar las gráficas.</v>
      </c>
      <c r="Z730" s="464">
        <f>VLOOKUP(Tabla1[[#This Row],[Perfil]],Catalogos!$B$75:$D$100,3,FALSE)*Tabla1[[#This Row],[Tiempo
(Hrs 00/100)]]*1.16</f>
        <v>7423.9999999999991</v>
      </c>
    </row>
    <row r="731" spans="1:26" ht="15" customHeight="1" x14ac:dyDescent="0.3">
      <c r="A731" s="370" t="s">
        <v>15</v>
      </c>
      <c r="B731" s="370" t="s">
        <v>67</v>
      </c>
      <c r="C731" s="205" t="s">
        <v>49</v>
      </c>
      <c r="D731" s="370"/>
      <c r="E731" s="370" t="s">
        <v>404</v>
      </c>
      <c r="F731" s="370" t="s">
        <v>23</v>
      </c>
      <c r="G731" s="370" t="s">
        <v>604</v>
      </c>
      <c r="H731" s="371" t="s">
        <v>605</v>
      </c>
      <c r="I731" s="383" t="s">
        <v>1122</v>
      </c>
      <c r="J731" s="369">
        <v>45036</v>
      </c>
      <c r="K731" s="747">
        <v>0.375</v>
      </c>
      <c r="L731" s="369">
        <v>45036</v>
      </c>
      <c r="M731" s="753">
        <v>0.79166666666666663</v>
      </c>
      <c r="N731" s="373">
        <v>8</v>
      </c>
      <c r="O731" s="374" t="s">
        <v>411</v>
      </c>
      <c r="P731" s="375" t="s">
        <v>1214</v>
      </c>
      <c r="Q731" s="751" t="s">
        <v>629</v>
      </c>
      <c r="R731" s="53" t="s">
        <v>302</v>
      </c>
      <c r="S731" s="31" t="s">
        <v>273</v>
      </c>
      <c r="T731" s="31" t="s">
        <v>273</v>
      </c>
      <c r="U731" s="31">
        <f>IFERROR(VLOOKUP(CONCATENATE(Tabla1[[#This Row],[Severidad]]," ",Tabla1[[#This Row],[Complejidad]]),Catalogos!E$120:G$128,3,FALSE),"")</f>
        <v>64</v>
      </c>
      <c r="V731" s="31" t="str">
        <f>IF(Tabla1[[#This Row],[Tiempo solución max (hrs)]]&lt;&gt;"",IF(Tabla1[[#This Row],[Tiempo solución max (hrs)]]&gt;=Tabla1[[#This Row],[Tiempo
(Hrs 00/100)]],"cumple","no cumple"),"")</f>
        <v>cumple</v>
      </c>
      <c r="W731" s="376" t="s">
        <v>962</v>
      </c>
      <c r="X731" s="463" t="str">
        <f t="shared" si="85"/>
        <v>SAI</v>
      </c>
      <c r="Y731" s="459" t="str">
        <f>SUBSTITUTE(Tabla1[[#This Row],[Descripción]],CHAR(10),"    I    ")</f>
        <v>Se mantuvieron sesiones para revisar los cambios realizados. De igual forma se estuvieron validando las diferentes formas de mostrar las gráficas.</v>
      </c>
      <c r="Z731" s="464">
        <f>VLOOKUP(Tabla1[[#This Row],[Perfil]],Catalogos!$B$75:$D$100,3,FALSE)*Tabla1[[#This Row],[Tiempo
(Hrs 00/100)]]*1.16</f>
        <v>7423.9999999999991</v>
      </c>
    </row>
    <row r="732" spans="1:26" ht="15" customHeight="1" x14ac:dyDescent="0.3">
      <c r="A732" s="370" t="s">
        <v>15</v>
      </c>
      <c r="B732" s="370" t="s">
        <v>67</v>
      </c>
      <c r="C732" s="205" t="s">
        <v>49</v>
      </c>
      <c r="D732" s="370"/>
      <c r="E732" s="370" t="s">
        <v>404</v>
      </c>
      <c r="F732" s="370" t="s">
        <v>23</v>
      </c>
      <c r="G732" s="370" t="s">
        <v>604</v>
      </c>
      <c r="H732" s="371" t="s">
        <v>605</v>
      </c>
      <c r="I732" s="383" t="s">
        <v>1122</v>
      </c>
      <c r="J732" s="369">
        <v>45037</v>
      </c>
      <c r="K732" s="747">
        <v>0.375</v>
      </c>
      <c r="L732" s="369">
        <v>45037</v>
      </c>
      <c r="M732" s="753">
        <v>0.79166666666666663</v>
      </c>
      <c r="N732" s="373">
        <v>8</v>
      </c>
      <c r="O732" s="374" t="s">
        <v>17</v>
      </c>
      <c r="P732" s="375" t="s">
        <v>1214</v>
      </c>
      <c r="Q732" s="751" t="s">
        <v>629</v>
      </c>
      <c r="R732" s="53" t="s">
        <v>302</v>
      </c>
      <c r="S732" s="31" t="s">
        <v>273</v>
      </c>
      <c r="T732" s="31" t="s">
        <v>273</v>
      </c>
      <c r="U732" s="31">
        <f>IFERROR(VLOOKUP(CONCATENATE(Tabla1[[#This Row],[Severidad]]," ",Tabla1[[#This Row],[Complejidad]]),Catalogos!E$120:G$128,3,FALSE),"")</f>
        <v>64</v>
      </c>
      <c r="V732" s="31" t="str">
        <f>IF(Tabla1[[#This Row],[Tiempo solución max (hrs)]]&lt;&gt;"",IF(Tabla1[[#This Row],[Tiempo solución max (hrs)]]&gt;=Tabla1[[#This Row],[Tiempo
(Hrs 00/100)]],"cumple","no cumple"),"")</f>
        <v>cumple</v>
      </c>
      <c r="W732" s="376" t="s">
        <v>962</v>
      </c>
      <c r="X732" s="463" t="str">
        <f t="shared" si="85"/>
        <v>SAI</v>
      </c>
      <c r="Y732" s="459" t="str">
        <f>SUBSTITUTE(Tabla1[[#This Row],[Descripción]],CHAR(10),"    I    ")</f>
        <v>Se mantuvieron sesiones para revisar los cambios realizados. De igual forma se estuvieron validando las diferentes formas de mostrar las gráficas.</v>
      </c>
      <c r="Z732" s="464">
        <f>VLOOKUP(Tabla1[[#This Row],[Perfil]],Catalogos!$B$75:$D$100,3,FALSE)*Tabla1[[#This Row],[Tiempo
(Hrs 00/100)]]*1.16</f>
        <v>7423.9999999999991</v>
      </c>
    </row>
    <row r="733" spans="1:26" ht="15" customHeight="1" x14ac:dyDescent="0.3">
      <c r="A733" s="370" t="s">
        <v>15</v>
      </c>
      <c r="B733" s="370" t="s">
        <v>67</v>
      </c>
      <c r="C733" s="205" t="s">
        <v>49</v>
      </c>
      <c r="D733" s="370"/>
      <c r="E733" s="370" t="s">
        <v>404</v>
      </c>
      <c r="F733" s="370" t="s">
        <v>23</v>
      </c>
      <c r="G733" s="370" t="s">
        <v>604</v>
      </c>
      <c r="H733" s="371" t="s">
        <v>605</v>
      </c>
      <c r="I733" s="383" t="s">
        <v>1123</v>
      </c>
      <c r="J733" s="369">
        <v>45040</v>
      </c>
      <c r="K733" s="747">
        <v>0.375</v>
      </c>
      <c r="L733" s="369">
        <v>45040</v>
      </c>
      <c r="M733" s="739">
        <v>0.54166666666666663</v>
      </c>
      <c r="N733" s="373">
        <v>4</v>
      </c>
      <c r="O733" s="374" t="s">
        <v>411</v>
      </c>
      <c r="P733" s="375" t="s">
        <v>1214</v>
      </c>
      <c r="Q733" s="751" t="s">
        <v>629</v>
      </c>
      <c r="R733" s="53" t="s">
        <v>302</v>
      </c>
      <c r="S733" s="31" t="s">
        <v>273</v>
      </c>
      <c r="T733" s="31" t="s">
        <v>273</v>
      </c>
      <c r="U733" s="31">
        <f>IFERROR(VLOOKUP(CONCATENATE(Tabla1[[#This Row],[Severidad]]," ",Tabla1[[#This Row],[Complejidad]]),Catalogos!E$120:G$128,3,FALSE),"")</f>
        <v>64</v>
      </c>
      <c r="V733" s="31" t="str">
        <f>IF(Tabla1[[#This Row],[Tiempo solución max (hrs)]]&lt;&gt;"",IF(Tabla1[[#This Row],[Tiempo solución max (hrs)]]&gt;=Tabla1[[#This Row],[Tiempo
(Hrs 00/100)]],"cumple","no cumple"),"")</f>
        <v>cumple</v>
      </c>
      <c r="W733" s="376" t="s">
        <v>962</v>
      </c>
      <c r="X733" s="463" t="str">
        <f t="shared" si="83"/>
        <v>SAI</v>
      </c>
      <c r="Y733" s="459" t="str">
        <f>SUBSTITUTE(Tabla1[[#This Row],[Descripción]],CHAR(10),"    I    ")</f>
        <v>Se realizaron lkos cambios faltantes y se agregaron los diferentes filtros en un menú para facilitar su acceso a los usuarios.</v>
      </c>
      <c r="Z733" s="464">
        <f>VLOOKUP(Tabla1[[#This Row],[Perfil]],Catalogos!$B$75:$D$100,3,FALSE)*Tabla1[[#This Row],[Tiempo
(Hrs 00/100)]]*1.16</f>
        <v>3711.9999999999995</v>
      </c>
    </row>
    <row r="734" spans="1:26" ht="15" customHeight="1" x14ac:dyDescent="0.3">
      <c r="A734" s="370" t="s">
        <v>15</v>
      </c>
      <c r="B734" s="370" t="s">
        <v>67</v>
      </c>
      <c r="C734" s="205" t="s">
        <v>49</v>
      </c>
      <c r="D734" s="370"/>
      <c r="E734" s="370" t="s">
        <v>404</v>
      </c>
      <c r="F734" s="370" t="s">
        <v>23</v>
      </c>
      <c r="G734" s="370" t="s">
        <v>604</v>
      </c>
      <c r="H734" s="371" t="s">
        <v>605</v>
      </c>
      <c r="I734" s="383" t="s">
        <v>1123</v>
      </c>
      <c r="J734" s="369">
        <v>45041</v>
      </c>
      <c r="K734" s="747">
        <v>0.375</v>
      </c>
      <c r="L734" s="369">
        <v>45041</v>
      </c>
      <c r="M734" s="739">
        <v>0.54166666666666663</v>
      </c>
      <c r="N734" s="373">
        <v>4</v>
      </c>
      <c r="O734" s="374" t="s">
        <v>411</v>
      </c>
      <c r="P734" s="375" t="s">
        <v>1214</v>
      </c>
      <c r="Q734" s="751" t="s">
        <v>629</v>
      </c>
      <c r="R734" s="53" t="s">
        <v>302</v>
      </c>
      <c r="S734" s="31" t="s">
        <v>273</v>
      </c>
      <c r="T734" s="31" t="s">
        <v>273</v>
      </c>
      <c r="U734" s="31">
        <f>IFERROR(VLOOKUP(CONCATENATE(Tabla1[[#This Row],[Severidad]]," ",Tabla1[[#This Row],[Complejidad]]),Catalogos!E$120:G$128,3,FALSE),"")</f>
        <v>64</v>
      </c>
      <c r="V734" s="31" t="str">
        <f>IF(Tabla1[[#This Row],[Tiempo solución max (hrs)]]&lt;&gt;"",IF(Tabla1[[#This Row],[Tiempo solución max (hrs)]]&gt;=Tabla1[[#This Row],[Tiempo
(Hrs 00/100)]],"cumple","no cumple"),"")</f>
        <v>cumple</v>
      </c>
      <c r="W734" s="376" t="s">
        <v>962</v>
      </c>
      <c r="X734" s="463" t="str">
        <f t="shared" ref="X734:X737" si="86">IF(C734&lt;&gt;"",C734,D734)</f>
        <v>SAI</v>
      </c>
      <c r="Y734" s="459" t="str">
        <f>SUBSTITUTE(Tabla1[[#This Row],[Descripción]],CHAR(10),"    I    ")</f>
        <v>Se realizaron lkos cambios faltantes y se agregaron los diferentes filtros en un menú para facilitar su acceso a los usuarios.</v>
      </c>
      <c r="Z734" s="464">
        <f>VLOOKUP(Tabla1[[#This Row],[Perfil]],Catalogos!$B$75:$D$100,3,FALSE)*Tabla1[[#This Row],[Tiempo
(Hrs 00/100)]]*1.16</f>
        <v>3711.9999999999995</v>
      </c>
    </row>
    <row r="735" spans="1:26" ht="15" customHeight="1" x14ac:dyDescent="0.3">
      <c r="A735" s="370" t="s">
        <v>15</v>
      </c>
      <c r="B735" s="370" t="s">
        <v>67</v>
      </c>
      <c r="C735" s="205" t="s">
        <v>49</v>
      </c>
      <c r="D735" s="370"/>
      <c r="E735" s="370" t="s">
        <v>404</v>
      </c>
      <c r="F735" s="370" t="s">
        <v>23</v>
      </c>
      <c r="G735" s="370" t="s">
        <v>604</v>
      </c>
      <c r="H735" s="371" t="s">
        <v>605</v>
      </c>
      <c r="I735" s="383" t="s">
        <v>1123</v>
      </c>
      <c r="J735" s="369">
        <v>45042</v>
      </c>
      <c r="K735" s="747">
        <v>0.375</v>
      </c>
      <c r="L735" s="369">
        <v>45042</v>
      </c>
      <c r="M735" s="739">
        <v>0.54166666666666663</v>
      </c>
      <c r="N735" s="373">
        <v>4</v>
      </c>
      <c r="O735" s="374" t="s">
        <v>411</v>
      </c>
      <c r="P735" s="375" t="s">
        <v>1214</v>
      </c>
      <c r="Q735" s="751" t="s">
        <v>629</v>
      </c>
      <c r="R735" s="53" t="s">
        <v>302</v>
      </c>
      <c r="S735" s="31" t="s">
        <v>273</v>
      </c>
      <c r="T735" s="31" t="s">
        <v>273</v>
      </c>
      <c r="U735" s="31">
        <f>IFERROR(VLOOKUP(CONCATENATE(Tabla1[[#This Row],[Severidad]]," ",Tabla1[[#This Row],[Complejidad]]),Catalogos!E$120:G$128,3,FALSE),"")</f>
        <v>64</v>
      </c>
      <c r="V735" s="31" t="str">
        <f>IF(Tabla1[[#This Row],[Tiempo solución max (hrs)]]&lt;&gt;"",IF(Tabla1[[#This Row],[Tiempo solución max (hrs)]]&gt;=Tabla1[[#This Row],[Tiempo
(Hrs 00/100)]],"cumple","no cumple"),"")</f>
        <v>cumple</v>
      </c>
      <c r="W735" s="376" t="s">
        <v>962</v>
      </c>
      <c r="X735" s="463" t="str">
        <f t="shared" si="86"/>
        <v>SAI</v>
      </c>
      <c r="Y735" s="459" t="str">
        <f>SUBSTITUTE(Tabla1[[#This Row],[Descripción]],CHAR(10),"    I    ")</f>
        <v>Se realizaron lkos cambios faltantes y se agregaron los diferentes filtros en un menú para facilitar su acceso a los usuarios.</v>
      </c>
      <c r="Z735" s="464">
        <f>VLOOKUP(Tabla1[[#This Row],[Perfil]],Catalogos!$B$75:$D$100,3,FALSE)*Tabla1[[#This Row],[Tiempo
(Hrs 00/100)]]*1.16</f>
        <v>3711.9999999999995</v>
      </c>
    </row>
    <row r="736" spans="1:26" ht="15" customHeight="1" x14ac:dyDescent="0.3">
      <c r="A736" s="370" t="s">
        <v>15</v>
      </c>
      <c r="B736" s="370" t="s">
        <v>67</v>
      </c>
      <c r="C736" s="205" t="s">
        <v>49</v>
      </c>
      <c r="D736" s="370"/>
      <c r="E736" s="370" t="s">
        <v>404</v>
      </c>
      <c r="F736" s="370" t="s">
        <v>23</v>
      </c>
      <c r="G736" s="370" t="s">
        <v>604</v>
      </c>
      <c r="H736" s="371" t="s">
        <v>605</v>
      </c>
      <c r="I736" s="383" t="s">
        <v>1123</v>
      </c>
      <c r="J736" s="369">
        <v>45043</v>
      </c>
      <c r="K736" s="747">
        <v>0.375</v>
      </c>
      <c r="L736" s="369">
        <v>45043</v>
      </c>
      <c r="M736" s="739">
        <v>0.54166666666666663</v>
      </c>
      <c r="N736" s="373">
        <v>4</v>
      </c>
      <c r="O736" s="374" t="s">
        <v>411</v>
      </c>
      <c r="P736" s="375" t="s">
        <v>1214</v>
      </c>
      <c r="Q736" s="751" t="s">
        <v>629</v>
      </c>
      <c r="R736" s="53" t="s">
        <v>302</v>
      </c>
      <c r="S736" s="31" t="s">
        <v>273</v>
      </c>
      <c r="T736" s="31" t="s">
        <v>273</v>
      </c>
      <c r="U736" s="31">
        <f>IFERROR(VLOOKUP(CONCATENATE(Tabla1[[#This Row],[Severidad]]," ",Tabla1[[#This Row],[Complejidad]]),Catalogos!E$120:G$128,3,FALSE),"")</f>
        <v>64</v>
      </c>
      <c r="V736" s="31" t="str">
        <f>IF(Tabla1[[#This Row],[Tiempo solución max (hrs)]]&lt;&gt;"",IF(Tabla1[[#This Row],[Tiempo solución max (hrs)]]&gt;=Tabla1[[#This Row],[Tiempo
(Hrs 00/100)]],"cumple","no cumple"),"")</f>
        <v>cumple</v>
      </c>
      <c r="W736" s="376" t="s">
        <v>962</v>
      </c>
      <c r="X736" s="463" t="str">
        <f t="shared" si="86"/>
        <v>SAI</v>
      </c>
      <c r="Y736" s="459" t="str">
        <f>SUBSTITUTE(Tabla1[[#This Row],[Descripción]],CHAR(10),"    I    ")</f>
        <v>Se realizaron lkos cambios faltantes y se agregaron los diferentes filtros en un menú para facilitar su acceso a los usuarios.</v>
      </c>
      <c r="Z736" s="464">
        <f>VLOOKUP(Tabla1[[#This Row],[Perfil]],Catalogos!$B$75:$D$100,3,FALSE)*Tabla1[[#This Row],[Tiempo
(Hrs 00/100)]]*1.16</f>
        <v>3711.9999999999995</v>
      </c>
    </row>
    <row r="737" spans="1:26" ht="15" customHeight="1" x14ac:dyDescent="0.3">
      <c r="A737" s="370" t="s">
        <v>15</v>
      </c>
      <c r="B737" s="370" t="s">
        <v>67</v>
      </c>
      <c r="C737" s="205" t="s">
        <v>49</v>
      </c>
      <c r="D737" s="370"/>
      <c r="E737" s="370" t="s">
        <v>404</v>
      </c>
      <c r="F737" s="370" t="s">
        <v>23</v>
      </c>
      <c r="G737" s="370" t="s">
        <v>604</v>
      </c>
      <c r="H737" s="371" t="s">
        <v>605</v>
      </c>
      <c r="I737" s="383" t="s">
        <v>1123</v>
      </c>
      <c r="J737" s="369">
        <v>45044</v>
      </c>
      <c r="K737" s="747">
        <v>0.375</v>
      </c>
      <c r="L737" s="369">
        <v>45044</v>
      </c>
      <c r="M737" s="739">
        <v>0.5</v>
      </c>
      <c r="N737" s="373">
        <v>3</v>
      </c>
      <c r="O737" s="374" t="s">
        <v>17</v>
      </c>
      <c r="P737" s="375" t="s">
        <v>1214</v>
      </c>
      <c r="Q737" s="751" t="s">
        <v>629</v>
      </c>
      <c r="R737" s="53" t="s">
        <v>302</v>
      </c>
      <c r="S737" s="31" t="s">
        <v>273</v>
      </c>
      <c r="T737" s="31" t="s">
        <v>273</v>
      </c>
      <c r="U737" s="31">
        <f>IFERROR(VLOOKUP(CONCATENATE(Tabla1[[#This Row],[Severidad]]," ",Tabla1[[#This Row],[Complejidad]]),Catalogos!E$120:G$128,3,FALSE),"")</f>
        <v>64</v>
      </c>
      <c r="V737" s="31" t="str">
        <f>IF(Tabla1[[#This Row],[Tiempo solución max (hrs)]]&lt;&gt;"",IF(Tabla1[[#This Row],[Tiempo solución max (hrs)]]&gt;=Tabla1[[#This Row],[Tiempo
(Hrs 00/100)]],"cumple","no cumple"),"")</f>
        <v>cumple</v>
      </c>
      <c r="W737" s="376" t="s">
        <v>962</v>
      </c>
      <c r="X737" s="463" t="str">
        <f t="shared" si="86"/>
        <v>SAI</v>
      </c>
      <c r="Y737" s="459" t="str">
        <f>SUBSTITUTE(Tabla1[[#This Row],[Descripción]],CHAR(10),"    I    ")</f>
        <v>Se realizaron lkos cambios faltantes y se agregaron los diferentes filtros en un menú para facilitar su acceso a los usuarios.</v>
      </c>
      <c r="Z737" s="464">
        <f>VLOOKUP(Tabla1[[#This Row],[Perfil]],Catalogos!$B$75:$D$100,3,FALSE)*Tabla1[[#This Row],[Tiempo
(Hrs 00/100)]]*1.16</f>
        <v>2784</v>
      </c>
    </row>
    <row r="738" spans="1:26" ht="57.6" x14ac:dyDescent="0.3">
      <c r="A738" s="373" t="s">
        <v>22</v>
      </c>
      <c r="B738" s="370" t="s">
        <v>23</v>
      </c>
      <c r="C738" s="205" t="s">
        <v>155</v>
      </c>
      <c r="D738" s="179"/>
      <c r="E738" s="373" t="s">
        <v>924</v>
      </c>
      <c r="F738" s="370" t="s">
        <v>23</v>
      </c>
      <c r="G738" s="370"/>
      <c r="H738" s="461" t="s">
        <v>405</v>
      </c>
      <c r="I738" s="490" t="s">
        <v>1124</v>
      </c>
      <c r="J738" s="713">
        <v>45048</v>
      </c>
      <c r="K738" s="747">
        <v>0.375</v>
      </c>
      <c r="L738" s="713">
        <v>45048</v>
      </c>
      <c r="M738" s="753">
        <v>0.79166666666666663</v>
      </c>
      <c r="N738" s="373">
        <v>8</v>
      </c>
      <c r="O738" s="374" t="s">
        <v>17</v>
      </c>
      <c r="P738" s="221" t="s">
        <v>923</v>
      </c>
      <c r="Q738" s="790" t="s">
        <v>1120</v>
      </c>
      <c r="R738" s="202" t="s">
        <v>40</v>
      </c>
      <c r="S738" s="31" t="s">
        <v>273</v>
      </c>
      <c r="T738" s="31" t="s">
        <v>273</v>
      </c>
      <c r="U738" s="31">
        <f>IFERROR(VLOOKUP(CONCATENATE(Tabla1[[#This Row],[Severidad]]," ",Tabla1[[#This Row],[Complejidad]]),Catalogos!E$120:G$128,3,FALSE),"")</f>
        <v>64</v>
      </c>
      <c r="V738" s="31" t="str">
        <f>IF(Tabla1[[#This Row],[Tiempo solución max (hrs)]]&lt;&gt;"",IF(Tabla1[[#This Row],[Tiempo solución max (hrs)]]&gt;=Tabla1[[#This Row],[Tiempo
(Hrs 00/100)]],"cumple","no cumple"),"")</f>
        <v>cumple</v>
      </c>
      <c r="W738" s="376" t="s">
        <v>1149</v>
      </c>
      <c r="X738" s="463" t="str">
        <f t="shared" si="83"/>
        <v>DS</v>
      </c>
      <c r="Y738" s="459" t="str">
        <f>SUBSTITUTE(Tabla1[[#This Row],[Descripción]],CHAR(10),"    I    ")</f>
        <v>Se crea componente manteniendo el diseño actual de los temáticos para el buscador de género</v>
      </c>
      <c r="Z738" s="464">
        <f>VLOOKUP(Tabla1[[#This Row],[Perfil]],Catalogos!$B$75:$D$100,3,FALSE)*Tabla1[[#This Row],[Tiempo
(Hrs 00/100)]]*1.16</f>
        <v>6496</v>
      </c>
    </row>
    <row r="739" spans="1:26" ht="57.6" x14ac:dyDescent="0.3">
      <c r="A739" s="373" t="s">
        <v>22</v>
      </c>
      <c r="B739" s="370" t="s">
        <v>23</v>
      </c>
      <c r="C739" s="205" t="s">
        <v>155</v>
      </c>
      <c r="D739" s="179"/>
      <c r="E739" s="373" t="s">
        <v>924</v>
      </c>
      <c r="F739" s="370" t="s">
        <v>23</v>
      </c>
      <c r="G739" s="370"/>
      <c r="H739" s="461" t="s">
        <v>405</v>
      </c>
      <c r="I739" s="490" t="s">
        <v>1125</v>
      </c>
      <c r="J739" s="713">
        <v>45049</v>
      </c>
      <c r="K739" s="747">
        <v>0.375</v>
      </c>
      <c r="L739" s="713">
        <v>45049</v>
      </c>
      <c r="M739" s="758">
        <v>0.54166666666666663</v>
      </c>
      <c r="N739" s="373">
        <v>4</v>
      </c>
      <c r="O739" s="374" t="s">
        <v>17</v>
      </c>
      <c r="P739" s="221" t="s">
        <v>923</v>
      </c>
      <c r="Q739" s="790" t="s">
        <v>1120</v>
      </c>
      <c r="R739" s="202" t="s">
        <v>40</v>
      </c>
      <c r="S739" s="31" t="s">
        <v>273</v>
      </c>
      <c r="T739" s="31" t="s">
        <v>273</v>
      </c>
      <c r="U739" s="31">
        <f>IFERROR(VLOOKUP(CONCATENATE(Tabla1[[#This Row],[Severidad]]," ",Tabla1[[#This Row],[Complejidad]]),Catalogos!E$120:G$128,3,FALSE),"")</f>
        <v>64</v>
      </c>
      <c r="V739" s="31" t="str">
        <f>IF(Tabla1[[#This Row],[Tiempo solución max (hrs)]]&lt;&gt;"",IF(Tabla1[[#This Row],[Tiempo solución max (hrs)]]&gt;=Tabla1[[#This Row],[Tiempo
(Hrs 00/100)]],"cumple","no cumple"),"")</f>
        <v>cumple</v>
      </c>
      <c r="W739" s="376" t="s">
        <v>1149</v>
      </c>
      <c r="X739" s="463" t="str">
        <f t="shared" si="83"/>
        <v>DS</v>
      </c>
      <c r="Y739" s="459" t="str">
        <f>SUBSTITUTE(Tabla1[[#This Row],[Descripción]],CHAR(10),"    I    ")</f>
        <v>Mejoras a componente descripción en cards</v>
      </c>
      <c r="Z739" s="464">
        <f>VLOOKUP(Tabla1[[#This Row],[Perfil]],Catalogos!$B$75:$D$100,3,FALSE)*Tabla1[[#This Row],[Tiempo
(Hrs 00/100)]]*1.16</f>
        <v>3248</v>
      </c>
    </row>
    <row r="740" spans="1:26" ht="57.6" x14ac:dyDescent="0.3">
      <c r="A740" s="373" t="s">
        <v>22</v>
      </c>
      <c r="B740" s="370" t="s">
        <v>23</v>
      </c>
      <c r="C740" s="205" t="s">
        <v>155</v>
      </c>
      <c r="D740" s="179"/>
      <c r="E740" s="373" t="s">
        <v>924</v>
      </c>
      <c r="F740" s="370" t="s">
        <v>23</v>
      </c>
      <c r="G740" s="370"/>
      <c r="H740" s="461" t="s">
        <v>405</v>
      </c>
      <c r="I740" s="490" t="s">
        <v>1126</v>
      </c>
      <c r="J740" s="713">
        <v>45049</v>
      </c>
      <c r="K740" s="758">
        <v>0.54166666666666663</v>
      </c>
      <c r="L740" s="713">
        <v>45049</v>
      </c>
      <c r="M740" s="758">
        <v>0.79166666666666663</v>
      </c>
      <c r="N740" s="373">
        <v>4</v>
      </c>
      <c r="O740" s="374" t="s">
        <v>17</v>
      </c>
      <c r="P740" s="221" t="s">
        <v>923</v>
      </c>
      <c r="Q740" s="790" t="s">
        <v>1120</v>
      </c>
      <c r="R740" s="202" t="s">
        <v>40</v>
      </c>
      <c r="S740" s="31" t="s">
        <v>273</v>
      </c>
      <c r="T740" s="31" t="s">
        <v>273</v>
      </c>
      <c r="U740" s="31">
        <f>IFERROR(VLOOKUP(CONCATENATE(Tabla1[[#This Row],[Severidad]]," ",Tabla1[[#This Row],[Complejidad]]),Catalogos!E$120:G$128,3,FALSE),"")</f>
        <v>64</v>
      </c>
      <c r="V740" s="31" t="str">
        <f>IF(Tabla1[[#This Row],[Tiempo solución max (hrs)]]&lt;&gt;"",IF(Tabla1[[#This Row],[Tiempo solución max (hrs)]]&gt;=Tabla1[[#This Row],[Tiempo
(Hrs 00/100)]],"cumple","no cumple"),"")</f>
        <v>cumple</v>
      </c>
      <c r="W740" s="376" t="s">
        <v>1149</v>
      </c>
      <c r="X740" s="463" t="str">
        <f t="shared" si="83"/>
        <v>DS</v>
      </c>
      <c r="Y740" s="459" t="str">
        <f>SUBSTITUTE(Tabla1[[#This Row],[Descripción]],CHAR(10),"    I    ")</f>
        <v>Mejoras cards y sección archivos de la respuesta</v>
      </c>
      <c r="Z740" s="464">
        <f>VLOOKUP(Tabla1[[#This Row],[Perfil]],Catalogos!$B$75:$D$100,3,FALSE)*Tabla1[[#This Row],[Tiempo
(Hrs 00/100)]]*1.16</f>
        <v>3248</v>
      </c>
    </row>
    <row r="741" spans="1:26" ht="57.6" x14ac:dyDescent="0.3">
      <c r="A741" s="373" t="s">
        <v>22</v>
      </c>
      <c r="B741" s="370" t="s">
        <v>23</v>
      </c>
      <c r="C741" s="205" t="s">
        <v>155</v>
      </c>
      <c r="D741" s="179"/>
      <c r="E741" s="373" t="s">
        <v>924</v>
      </c>
      <c r="F741" s="370" t="s">
        <v>23</v>
      </c>
      <c r="G741" s="370"/>
      <c r="H741" s="461" t="s">
        <v>405</v>
      </c>
      <c r="I741" s="490" t="s">
        <v>1127</v>
      </c>
      <c r="J741" s="713">
        <v>45050</v>
      </c>
      <c r="K741" s="747">
        <v>0.375</v>
      </c>
      <c r="L741" s="713">
        <v>45050</v>
      </c>
      <c r="M741" s="758">
        <v>0.79166666666666663</v>
      </c>
      <c r="N741" s="373">
        <v>8</v>
      </c>
      <c r="O741" s="374" t="s">
        <v>411</v>
      </c>
      <c r="P741" s="221" t="s">
        <v>923</v>
      </c>
      <c r="Q741" s="790" t="s">
        <v>1120</v>
      </c>
      <c r="R741" s="202" t="s">
        <v>40</v>
      </c>
      <c r="S741" s="31" t="s">
        <v>273</v>
      </c>
      <c r="T741" s="31" t="s">
        <v>273</v>
      </c>
      <c r="U741" s="31">
        <f>IFERROR(VLOOKUP(CONCATENATE(Tabla1[[#This Row],[Severidad]]," ",Tabla1[[#This Row],[Complejidad]]),Catalogos!E$120:G$128,3,FALSE),"")</f>
        <v>64</v>
      </c>
      <c r="V741" s="31" t="str">
        <f>IF(Tabla1[[#This Row],[Tiempo solución max (hrs)]]&lt;&gt;"",IF(Tabla1[[#This Row],[Tiempo solución max (hrs)]]&gt;=Tabla1[[#This Row],[Tiempo
(Hrs 00/100)]],"cumple","no cumple"),"")</f>
        <v>cumple</v>
      </c>
      <c r="W741" s="376" t="s">
        <v>1149</v>
      </c>
      <c r="X741" s="463" t="str">
        <f t="shared" si="83"/>
        <v>DS</v>
      </c>
      <c r="Y741" s="459" t="str">
        <f>SUBSTITUTE(Tabla1[[#This Row],[Descripción]],CHAR(10),"    I    ")</f>
        <v xml:space="preserve">Se agrega funcionalidad para poder descargar y mostrar correctamente los archivos de la respuesta y la solicitud </v>
      </c>
      <c r="Z741" s="464">
        <f>VLOOKUP(Tabla1[[#This Row],[Perfil]],Catalogos!$B$75:$D$100,3,FALSE)*Tabla1[[#This Row],[Tiempo
(Hrs 00/100)]]*1.16</f>
        <v>6496</v>
      </c>
    </row>
    <row r="742" spans="1:26" ht="57.6" x14ac:dyDescent="0.3">
      <c r="A742" s="373" t="s">
        <v>22</v>
      </c>
      <c r="B742" s="370" t="s">
        <v>23</v>
      </c>
      <c r="C742" s="205" t="s">
        <v>155</v>
      </c>
      <c r="D742" s="179"/>
      <c r="E742" s="373" t="s">
        <v>924</v>
      </c>
      <c r="F742" s="370" t="s">
        <v>23</v>
      </c>
      <c r="G742" s="370"/>
      <c r="H742" s="461" t="s">
        <v>405</v>
      </c>
      <c r="I742" s="490" t="s">
        <v>1127</v>
      </c>
      <c r="J742" s="713">
        <v>45054</v>
      </c>
      <c r="K742" s="747">
        <v>0.375</v>
      </c>
      <c r="L742" s="713">
        <v>45054</v>
      </c>
      <c r="M742" s="758">
        <v>0.79166666666666663</v>
      </c>
      <c r="N742" s="373">
        <v>8</v>
      </c>
      <c r="O742" s="374" t="s">
        <v>17</v>
      </c>
      <c r="P742" s="221" t="s">
        <v>923</v>
      </c>
      <c r="Q742" s="790" t="s">
        <v>1120</v>
      </c>
      <c r="R742" s="202" t="s">
        <v>40</v>
      </c>
      <c r="S742" s="31" t="s">
        <v>273</v>
      </c>
      <c r="T742" s="31" t="s">
        <v>273</v>
      </c>
      <c r="U742" s="31">
        <f>IFERROR(VLOOKUP(CONCATENATE(Tabla1[[#This Row],[Severidad]]," ",Tabla1[[#This Row],[Complejidad]]),Catalogos!E$120:G$128,3,FALSE),"")</f>
        <v>64</v>
      </c>
      <c r="V742" s="31" t="str">
        <f>IF(Tabla1[[#This Row],[Tiempo solución max (hrs)]]&lt;&gt;"",IF(Tabla1[[#This Row],[Tiempo solución max (hrs)]]&gt;=Tabla1[[#This Row],[Tiempo
(Hrs 00/100)]],"cumple","no cumple"),"")</f>
        <v>cumple</v>
      </c>
      <c r="W742" s="376" t="s">
        <v>1149</v>
      </c>
      <c r="X742" s="463" t="str">
        <f t="shared" ref="X742" si="87">IF(C742&lt;&gt;"",C742,D742)</f>
        <v>DS</v>
      </c>
      <c r="Y742" s="459" t="str">
        <f>SUBSTITUTE(Tabla1[[#This Row],[Descripción]],CHAR(10),"    I    ")</f>
        <v xml:space="preserve">Se agrega funcionalidad para poder descargar y mostrar correctamente los archivos de la respuesta y la solicitud </v>
      </c>
      <c r="Z742" s="464">
        <f>VLOOKUP(Tabla1[[#This Row],[Perfil]],Catalogos!$B$75:$D$100,3,FALSE)*Tabla1[[#This Row],[Tiempo
(Hrs 00/100)]]*1.16</f>
        <v>6496</v>
      </c>
    </row>
    <row r="743" spans="1:26" ht="57.6" x14ac:dyDescent="0.3">
      <c r="A743" s="373" t="s">
        <v>22</v>
      </c>
      <c r="B743" s="370" t="s">
        <v>23</v>
      </c>
      <c r="C743" s="205" t="s">
        <v>155</v>
      </c>
      <c r="D743" s="179"/>
      <c r="E743" s="373" t="s">
        <v>924</v>
      </c>
      <c r="F743" s="370" t="s">
        <v>23</v>
      </c>
      <c r="G743" s="370"/>
      <c r="H743" s="461" t="s">
        <v>405</v>
      </c>
      <c r="I743" s="490" t="s">
        <v>1128</v>
      </c>
      <c r="J743" s="713">
        <v>45055</v>
      </c>
      <c r="K743" s="747">
        <v>0.375</v>
      </c>
      <c r="L743" s="713">
        <v>45055</v>
      </c>
      <c r="M743" s="758">
        <v>0.79166666666666663</v>
      </c>
      <c r="N743" s="373">
        <v>8</v>
      </c>
      <c r="O743" s="374" t="s">
        <v>411</v>
      </c>
      <c r="P743" s="491" t="s">
        <v>923</v>
      </c>
      <c r="Q743" s="790" t="s">
        <v>1120</v>
      </c>
      <c r="R743" s="202" t="s">
        <v>40</v>
      </c>
      <c r="S743" s="31" t="s">
        <v>273</v>
      </c>
      <c r="T743" s="31" t="s">
        <v>273</v>
      </c>
      <c r="U743" s="31">
        <f>IFERROR(VLOOKUP(CONCATENATE(Tabla1[[#This Row],[Severidad]]," ",Tabla1[[#This Row],[Complejidad]]),Catalogos!E$120:G$128,3,FALSE),"")</f>
        <v>64</v>
      </c>
      <c r="V743" s="31" t="str">
        <f>IF(Tabla1[[#This Row],[Tiempo solución max (hrs)]]&lt;&gt;"",IF(Tabla1[[#This Row],[Tiempo solución max (hrs)]]&gt;=Tabla1[[#This Row],[Tiempo
(Hrs 00/100)]],"cumple","no cumple"),"")</f>
        <v>cumple</v>
      </c>
      <c r="W743" s="376" t="s">
        <v>1149</v>
      </c>
      <c r="X743" s="463" t="str">
        <f t="shared" si="83"/>
        <v>DS</v>
      </c>
      <c r="Y743" s="459" t="str">
        <f>SUBSTITUTE(Tabla1[[#This Row],[Descripción]],CHAR(10),"    I    ")</f>
        <v>Mejoras para que el input de búsqueda principal sea responsive en móviles</v>
      </c>
      <c r="Z743" s="464">
        <f>VLOOKUP(Tabla1[[#This Row],[Perfil]],Catalogos!$B$75:$D$100,3,FALSE)*Tabla1[[#This Row],[Tiempo
(Hrs 00/100)]]*1.16</f>
        <v>6496</v>
      </c>
    </row>
    <row r="744" spans="1:26" ht="57.6" x14ac:dyDescent="0.3">
      <c r="A744" s="373" t="s">
        <v>22</v>
      </c>
      <c r="B744" s="370" t="s">
        <v>23</v>
      </c>
      <c r="C744" s="205" t="s">
        <v>155</v>
      </c>
      <c r="D744" s="179"/>
      <c r="E744" s="373" t="s">
        <v>924</v>
      </c>
      <c r="F744" s="370" t="s">
        <v>23</v>
      </c>
      <c r="G744" s="370"/>
      <c r="H744" s="461" t="s">
        <v>405</v>
      </c>
      <c r="I744" s="490" t="s">
        <v>1128</v>
      </c>
      <c r="J744" s="713">
        <v>45056</v>
      </c>
      <c r="K744" s="747">
        <v>0.375</v>
      </c>
      <c r="L744" s="713">
        <v>45056</v>
      </c>
      <c r="M744" s="758">
        <v>0.79166666666666663</v>
      </c>
      <c r="N744" s="373">
        <v>8</v>
      </c>
      <c r="O744" s="374" t="s">
        <v>17</v>
      </c>
      <c r="P744" s="491" t="s">
        <v>923</v>
      </c>
      <c r="Q744" s="790" t="s">
        <v>1120</v>
      </c>
      <c r="R744" s="202" t="s">
        <v>40</v>
      </c>
      <c r="S744" s="31" t="s">
        <v>273</v>
      </c>
      <c r="T744" s="31" t="s">
        <v>273</v>
      </c>
      <c r="U744" s="31">
        <f>IFERROR(VLOOKUP(CONCATENATE(Tabla1[[#This Row],[Severidad]]," ",Tabla1[[#This Row],[Complejidad]]),Catalogos!E$120:G$128,3,FALSE),"")</f>
        <v>64</v>
      </c>
      <c r="V744" s="31" t="str">
        <f>IF(Tabla1[[#This Row],[Tiempo solución max (hrs)]]&lt;&gt;"",IF(Tabla1[[#This Row],[Tiempo solución max (hrs)]]&gt;=Tabla1[[#This Row],[Tiempo
(Hrs 00/100)]],"cumple","no cumple"),"")</f>
        <v>cumple</v>
      </c>
      <c r="W744" s="376" t="s">
        <v>1149</v>
      </c>
      <c r="X744" s="463" t="str">
        <f t="shared" ref="X744" si="88">IF(C744&lt;&gt;"",C744,D744)</f>
        <v>DS</v>
      </c>
      <c r="Y744" s="459" t="str">
        <f>SUBSTITUTE(Tabla1[[#This Row],[Descripción]],CHAR(10),"    I    ")</f>
        <v>Mejoras para que el input de búsqueda principal sea responsive en móviles</v>
      </c>
      <c r="Z744" s="464">
        <f>VLOOKUP(Tabla1[[#This Row],[Perfil]],Catalogos!$B$75:$D$100,3,FALSE)*Tabla1[[#This Row],[Tiempo
(Hrs 00/100)]]*1.16</f>
        <v>6496</v>
      </c>
    </row>
    <row r="745" spans="1:26" ht="57.6" x14ac:dyDescent="0.3">
      <c r="A745" s="373" t="s">
        <v>22</v>
      </c>
      <c r="B745" s="370" t="s">
        <v>23</v>
      </c>
      <c r="C745" s="205" t="s">
        <v>155</v>
      </c>
      <c r="D745" s="179"/>
      <c r="E745" s="373" t="s">
        <v>924</v>
      </c>
      <c r="F745" s="370" t="s">
        <v>23</v>
      </c>
      <c r="G745" s="370"/>
      <c r="H745" s="461" t="s">
        <v>405</v>
      </c>
      <c r="I745" s="490" t="s">
        <v>1129</v>
      </c>
      <c r="J745" s="713">
        <v>45057</v>
      </c>
      <c r="K745" s="747">
        <v>0.375</v>
      </c>
      <c r="L745" s="713">
        <v>45057</v>
      </c>
      <c r="M745" s="758">
        <v>0.79166666666666663</v>
      </c>
      <c r="N745" s="373">
        <v>8</v>
      </c>
      <c r="O745" s="374" t="s">
        <v>411</v>
      </c>
      <c r="P745" s="221" t="s">
        <v>923</v>
      </c>
      <c r="Q745" s="790" t="s">
        <v>1120</v>
      </c>
      <c r="R745" s="202" t="s">
        <v>40</v>
      </c>
      <c r="S745" s="31" t="s">
        <v>273</v>
      </c>
      <c r="T745" s="31" t="s">
        <v>273</v>
      </c>
      <c r="U745" s="31">
        <f>IFERROR(VLOOKUP(CONCATENATE(Tabla1[[#This Row],[Severidad]]," ",Tabla1[[#This Row],[Complejidad]]),Catalogos!E$120:G$128,3,FALSE),"")</f>
        <v>64</v>
      </c>
      <c r="V745" s="31" t="str">
        <f>IF(Tabla1[[#This Row],[Tiempo solución max (hrs)]]&lt;&gt;"",IF(Tabla1[[#This Row],[Tiempo solución max (hrs)]]&gt;=Tabla1[[#This Row],[Tiempo
(Hrs 00/100)]],"cumple","no cumple"),"")</f>
        <v>cumple</v>
      </c>
      <c r="W745" s="376" t="s">
        <v>1149</v>
      </c>
      <c r="X745" s="463" t="str">
        <f t="shared" si="83"/>
        <v>DS</v>
      </c>
      <c r="Y745" s="459" t="str">
        <f>SUBSTITUTE(Tabla1[[#This Row],[Descripción]],CHAR(10),"    I    ")</f>
        <v>Se agrega funcionalidad para sombrear palabras que coinciden con la busque del usuario</v>
      </c>
      <c r="Z745" s="464">
        <f>VLOOKUP(Tabla1[[#This Row],[Perfil]],Catalogos!$B$75:$D$100,3,FALSE)*Tabla1[[#This Row],[Tiempo
(Hrs 00/100)]]*1.16</f>
        <v>6496</v>
      </c>
    </row>
    <row r="746" spans="1:26" ht="57.6" x14ac:dyDescent="0.3">
      <c r="A746" s="373" t="s">
        <v>22</v>
      </c>
      <c r="B746" s="370" t="s">
        <v>23</v>
      </c>
      <c r="C746" s="205" t="s">
        <v>155</v>
      </c>
      <c r="D746" s="179"/>
      <c r="E746" s="373" t="s">
        <v>924</v>
      </c>
      <c r="F746" s="370" t="s">
        <v>23</v>
      </c>
      <c r="G746" s="370"/>
      <c r="H746" s="461" t="s">
        <v>405</v>
      </c>
      <c r="I746" s="490" t="s">
        <v>1129</v>
      </c>
      <c r="J746" s="713">
        <v>45058</v>
      </c>
      <c r="K746" s="747">
        <v>0.375</v>
      </c>
      <c r="L746" s="713">
        <v>45058</v>
      </c>
      <c r="M746" s="758">
        <v>0.54166666666666663</v>
      </c>
      <c r="N746" s="373">
        <v>4</v>
      </c>
      <c r="O746" s="374" t="s">
        <v>17</v>
      </c>
      <c r="P746" s="221" t="s">
        <v>923</v>
      </c>
      <c r="Q746" s="790" t="s">
        <v>1120</v>
      </c>
      <c r="R746" s="202" t="s">
        <v>40</v>
      </c>
      <c r="S746" s="31" t="s">
        <v>273</v>
      </c>
      <c r="T746" s="31" t="s">
        <v>273</v>
      </c>
      <c r="U746" s="31">
        <f>IFERROR(VLOOKUP(CONCATENATE(Tabla1[[#This Row],[Severidad]]," ",Tabla1[[#This Row],[Complejidad]]),Catalogos!E$120:G$128,3,FALSE),"")</f>
        <v>64</v>
      </c>
      <c r="V746" s="31" t="str">
        <f>IF(Tabla1[[#This Row],[Tiempo solución max (hrs)]]&lt;&gt;"",IF(Tabla1[[#This Row],[Tiempo solución max (hrs)]]&gt;=Tabla1[[#This Row],[Tiempo
(Hrs 00/100)]],"cumple","no cumple"),"")</f>
        <v>cumple</v>
      </c>
      <c r="W746" s="376" t="s">
        <v>1149</v>
      </c>
      <c r="X746" s="463" t="str">
        <f t="shared" ref="X746" si="89">IF(C746&lt;&gt;"",C746,D746)</f>
        <v>DS</v>
      </c>
      <c r="Y746" s="459" t="str">
        <f>SUBSTITUTE(Tabla1[[#This Row],[Descripción]],CHAR(10),"    I    ")</f>
        <v>Se agrega funcionalidad para sombrear palabras que coinciden con la busque del usuario</v>
      </c>
      <c r="Z746" s="464">
        <f>VLOOKUP(Tabla1[[#This Row],[Perfil]],Catalogos!$B$75:$D$100,3,FALSE)*Tabla1[[#This Row],[Tiempo
(Hrs 00/100)]]*1.16</f>
        <v>3248</v>
      </c>
    </row>
    <row r="747" spans="1:26" ht="57.6" x14ac:dyDescent="0.3">
      <c r="A747" s="373" t="s">
        <v>22</v>
      </c>
      <c r="B747" s="370" t="s">
        <v>23</v>
      </c>
      <c r="C747" s="205" t="s">
        <v>155</v>
      </c>
      <c r="D747" s="179"/>
      <c r="E747" s="373" t="s">
        <v>924</v>
      </c>
      <c r="F747" s="370" t="s">
        <v>23</v>
      </c>
      <c r="G747" s="370"/>
      <c r="H747" s="461" t="s">
        <v>405</v>
      </c>
      <c r="I747" s="490" t="s">
        <v>1130</v>
      </c>
      <c r="J747" s="713">
        <v>45058</v>
      </c>
      <c r="K747" s="758">
        <v>0.54166666666666663</v>
      </c>
      <c r="L747" s="713">
        <v>45058</v>
      </c>
      <c r="M747" s="758">
        <v>0.79166666666666663</v>
      </c>
      <c r="N747" s="373">
        <v>4</v>
      </c>
      <c r="O747" s="374" t="s">
        <v>411</v>
      </c>
      <c r="P747" s="221" t="s">
        <v>923</v>
      </c>
      <c r="Q747" s="790" t="s">
        <v>1120</v>
      </c>
      <c r="R747" s="202" t="s">
        <v>40</v>
      </c>
      <c r="S747" s="31" t="s">
        <v>273</v>
      </c>
      <c r="T747" s="31" t="s">
        <v>273</v>
      </c>
      <c r="U747" s="31">
        <f>IFERROR(VLOOKUP(CONCATENATE(Tabla1[[#This Row],[Severidad]]," ",Tabla1[[#This Row],[Complejidad]]),Catalogos!E$120:G$128,3,FALSE),"")</f>
        <v>64</v>
      </c>
      <c r="V747" s="31" t="str">
        <f>IF(Tabla1[[#This Row],[Tiempo solución max (hrs)]]&lt;&gt;"",IF(Tabla1[[#This Row],[Tiempo solución max (hrs)]]&gt;=Tabla1[[#This Row],[Tiempo
(Hrs 00/100)]],"cumple","no cumple"),"")</f>
        <v>cumple</v>
      </c>
      <c r="W747" s="376" t="s">
        <v>1149</v>
      </c>
      <c r="X747" s="463" t="str">
        <f t="shared" si="83"/>
        <v>DS</v>
      </c>
      <c r="Y747" s="459" t="str">
        <f>SUBSTITUTE(Tabla1[[#This Row],[Descripción]],CHAR(10),"    I    ")</f>
        <v>Implementación de palabras (clave) en el resaltado de las coincidencias</v>
      </c>
      <c r="Z747" s="464">
        <f>VLOOKUP(Tabla1[[#This Row],[Perfil]],Catalogos!$B$75:$D$100,3,FALSE)*Tabla1[[#This Row],[Tiempo
(Hrs 00/100)]]*1.16</f>
        <v>3248</v>
      </c>
    </row>
    <row r="748" spans="1:26" ht="57.6" x14ac:dyDescent="0.3">
      <c r="A748" s="373" t="s">
        <v>22</v>
      </c>
      <c r="B748" s="370" t="s">
        <v>23</v>
      </c>
      <c r="C748" s="205" t="s">
        <v>155</v>
      </c>
      <c r="D748" s="179"/>
      <c r="E748" s="373" t="s">
        <v>924</v>
      </c>
      <c r="F748" s="370" t="s">
        <v>23</v>
      </c>
      <c r="G748" s="370"/>
      <c r="H748" s="461" t="s">
        <v>405</v>
      </c>
      <c r="I748" s="490" t="s">
        <v>1130</v>
      </c>
      <c r="J748" s="713">
        <v>45061</v>
      </c>
      <c r="K748" s="758">
        <v>0.375</v>
      </c>
      <c r="L748" s="713">
        <v>45061</v>
      </c>
      <c r="M748" s="758">
        <v>0.45833333333333331</v>
      </c>
      <c r="N748" s="373">
        <v>2</v>
      </c>
      <c r="O748" s="374" t="s">
        <v>17</v>
      </c>
      <c r="P748" s="221" t="s">
        <v>923</v>
      </c>
      <c r="Q748" s="790" t="s">
        <v>1120</v>
      </c>
      <c r="R748" s="202" t="s">
        <v>40</v>
      </c>
      <c r="S748" s="31" t="s">
        <v>273</v>
      </c>
      <c r="T748" s="31" t="s">
        <v>273</v>
      </c>
      <c r="U748" s="31">
        <f>IFERROR(VLOOKUP(CONCATENATE(Tabla1[[#This Row],[Severidad]]," ",Tabla1[[#This Row],[Complejidad]]),Catalogos!E$120:G$128,3,FALSE),"")</f>
        <v>64</v>
      </c>
      <c r="V748" s="31" t="str">
        <f>IF(Tabla1[[#This Row],[Tiempo solución max (hrs)]]&lt;&gt;"",IF(Tabla1[[#This Row],[Tiempo solución max (hrs)]]&gt;=Tabla1[[#This Row],[Tiempo
(Hrs 00/100)]],"cumple","no cumple"),"")</f>
        <v>cumple</v>
      </c>
      <c r="W748" s="376" t="s">
        <v>1149</v>
      </c>
      <c r="X748" s="463" t="str">
        <f t="shared" ref="X748" si="90">IF(C748&lt;&gt;"",C748,D748)</f>
        <v>DS</v>
      </c>
      <c r="Y748" s="459" t="str">
        <f>SUBSTITUTE(Tabla1[[#This Row],[Descripción]],CHAR(10),"    I    ")</f>
        <v>Implementación de palabras (clave) en el resaltado de las coincidencias</v>
      </c>
      <c r="Z748" s="464">
        <f>VLOOKUP(Tabla1[[#This Row],[Perfil]],Catalogos!$B$75:$D$100,3,FALSE)*Tabla1[[#This Row],[Tiempo
(Hrs 00/100)]]*1.16</f>
        <v>1624</v>
      </c>
    </row>
    <row r="749" spans="1:26" ht="57.6" x14ac:dyDescent="0.3">
      <c r="A749" s="373" t="s">
        <v>22</v>
      </c>
      <c r="B749" s="370" t="s">
        <v>23</v>
      </c>
      <c r="C749" s="205" t="s">
        <v>155</v>
      </c>
      <c r="D749" s="179"/>
      <c r="E749" s="373" t="s">
        <v>924</v>
      </c>
      <c r="F749" s="370" t="s">
        <v>23</v>
      </c>
      <c r="G749" s="370"/>
      <c r="H749" s="461" t="s">
        <v>405</v>
      </c>
      <c r="I749" s="490" t="s">
        <v>1131</v>
      </c>
      <c r="J749" s="713">
        <v>45061</v>
      </c>
      <c r="K749" s="758">
        <v>0.45833333333333331</v>
      </c>
      <c r="L749" s="713">
        <v>45061</v>
      </c>
      <c r="M749" s="758">
        <v>0.79166666666666663</v>
      </c>
      <c r="N749" s="373">
        <v>6</v>
      </c>
      <c r="O749" s="374" t="s">
        <v>17</v>
      </c>
      <c r="P749" s="221" t="s">
        <v>923</v>
      </c>
      <c r="Q749" s="790" t="s">
        <v>1120</v>
      </c>
      <c r="R749" s="202" t="s">
        <v>40</v>
      </c>
      <c r="S749" s="31" t="s">
        <v>273</v>
      </c>
      <c r="T749" s="31" t="s">
        <v>273</v>
      </c>
      <c r="U749" s="31">
        <f>IFERROR(VLOOKUP(CONCATENATE(Tabla1[[#This Row],[Severidad]]," ",Tabla1[[#This Row],[Complejidad]]),Catalogos!E$120:G$128,3,FALSE),"")</f>
        <v>64</v>
      </c>
      <c r="V749" s="31" t="str">
        <f>IF(Tabla1[[#This Row],[Tiempo solución max (hrs)]]&lt;&gt;"",IF(Tabla1[[#This Row],[Tiempo solución max (hrs)]]&gt;=Tabla1[[#This Row],[Tiempo
(Hrs 00/100)]],"cumple","no cumple"),"")</f>
        <v>cumple</v>
      </c>
      <c r="W749" s="376" t="s">
        <v>1149</v>
      </c>
      <c r="X749" s="463" t="str">
        <f t="shared" si="83"/>
        <v>DS</v>
      </c>
      <c r="Y749" s="459" t="str">
        <f>SUBSTITUTE(Tabla1[[#This Row],[Descripción]],CHAR(10),"    I    ")</f>
        <v xml:space="preserve">Mejoras en responsive Input de búsqueda </v>
      </c>
      <c r="Z749" s="464">
        <f>VLOOKUP(Tabla1[[#This Row],[Perfil]],Catalogos!$B$75:$D$100,3,FALSE)*Tabla1[[#This Row],[Tiempo
(Hrs 00/100)]]*1.16</f>
        <v>4872</v>
      </c>
    </row>
    <row r="750" spans="1:26" ht="57.6" x14ac:dyDescent="0.3">
      <c r="A750" s="373" t="s">
        <v>22</v>
      </c>
      <c r="B750" s="370" t="s">
        <v>23</v>
      </c>
      <c r="C750" s="205" t="s">
        <v>155</v>
      </c>
      <c r="D750" s="179"/>
      <c r="E750" s="373" t="s">
        <v>924</v>
      </c>
      <c r="F750" s="370" t="s">
        <v>23</v>
      </c>
      <c r="G750" s="370"/>
      <c r="H750" s="461" t="s">
        <v>405</v>
      </c>
      <c r="I750" s="490" t="s">
        <v>1132</v>
      </c>
      <c r="J750" s="713">
        <v>45062</v>
      </c>
      <c r="K750" s="747">
        <v>0.375</v>
      </c>
      <c r="L750" s="713">
        <v>45062</v>
      </c>
      <c r="M750" s="758">
        <v>0.79166666666666663</v>
      </c>
      <c r="N750" s="373">
        <v>8</v>
      </c>
      <c r="O750" s="374" t="s">
        <v>411</v>
      </c>
      <c r="P750" s="221" t="s">
        <v>923</v>
      </c>
      <c r="Q750" s="790" t="s">
        <v>1120</v>
      </c>
      <c r="R750" s="202" t="s">
        <v>40</v>
      </c>
      <c r="S750" s="31" t="s">
        <v>273</v>
      </c>
      <c r="T750" s="31" t="s">
        <v>273</v>
      </c>
      <c r="U750" s="31">
        <f>IFERROR(VLOOKUP(CONCATENATE(Tabla1[[#This Row],[Severidad]]," ",Tabla1[[#This Row],[Complejidad]]),Catalogos!E$120:G$128,3,FALSE),"")</f>
        <v>64</v>
      </c>
      <c r="V750" s="31" t="str">
        <f>IF(Tabla1[[#This Row],[Tiempo solución max (hrs)]]&lt;&gt;"",IF(Tabla1[[#This Row],[Tiempo solución max (hrs)]]&gt;=Tabla1[[#This Row],[Tiempo
(Hrs 00/100)]],"cumple","no cumple"),"")</f>
        <v>cumple</v>
      </c>
      <c r="W750" s="376" t="s">
        <v>1149</v>
      </c>
      <c r="X750" s="463" t="str">
        <f t="shared" si="83"/>
        <v>DS</v>
      </c>
      <c r="Y750" s="459" t="str">
        <f>SUBSTITUTE(Tabla1[[#This Row],[Descripción]],CHAR(10),"    I    ")</f>
        <v>Agrupación de temas y subtemas repetidos en los carousel, así como mejoras en iconos next y prev</v>
      </c>
      <c r="Z750" s="464">
        <f>VLOOKUP(Tabla1[[#This Row],[Perfil]],Catalogos!$B$75:$D$100,3,FALSE)*Tabla1[[#This Row],[Tiempo
(Hrs 00/100)]]*1.16</f>
        <v>6496</v>
      </c>
    </row>
    <row r="751" spans="1:26" ht="57.6" x14ac:dyDescent="0.3">
      <c r="A751" s="373" t="s">
        <v>22</v>
      </c>
      <c r="B751" s="370" t="s">
        <v>23</v>
      </c>
      <c r="C751" s="205" t="s">
        <v>155</v>
      </c>
      <c r="D751" s="179"/>
      <c r="E751" s="373" t="s">
        <v>924</v>
      </c>
      <c r="F751" s="370" t="s">
        <v>23</v>
      </c>
      <c r="G751" s="370"/>
      <c r="H751" s="461" t="s">
        <v>405</v>
      </c>
      <c r="I751" s="490" t="s">
        <v>1132</v>
      </c>
      <c r="J751" s="713">
        <v>45063</v>
      </c>
      <c r="K751" s="747">
        <v>0.375</v>
      </c>
      <c r="L751" s="713">
        <v>45063</v>
      </c>
      <c r="M751" s="758">
        <v>0.79166666666666663</v>
      </c>
      <c r="N751" s="373">
        <v>8</v>
      </c>
      <c r="O751" s="374" t="s">
        <v>17</v>
      </c>
      <c r="P751" s="221" t="s">
        <v>923</v>
      </c>
      <c r="Q751" s="790" t="s">
        <v>1120</v>
      </c>
      <c r="R751" s="202" t="s">
        <v>40</v>
      </c>
      <c r="S751" s="31" t="s">
        <v>273</v>
      </c>
      <c r="T751" s="31" t="s">
        <v>273</v>
      </c>
      <c r="U751" s="31">
        <f>IFERROR(VLOOKUP(CONCATENATE(Tabla1[[#This Row],[Severidad]]," ",Tabla1[[#This Row],[Complejidad]]),Catalogos!E$120:G$128,3,FALSE),"")</f>
        <v>64</v>
      </c>
      <c r="V751" s="31" t="str">
        <f>IF(Tabla1[[#This Row],[Tiempo solución max (hrs)]]&lt;&gt;"",IF(Tabla1[[#This Row],[Tiempo solución max (hrs)]]&gt;=Tabla1[[#This Row],[Tiempo
(Hrs 00/100)]],"cumple","no cumple"),"")</f>
        <v>cumple</v>
      </c>
      <c r="W751" s="376" t="s">
        <v>1149</v>
      </c>
      <c r="X751" s="463" t="str">
        <f t="shared" ref="X751" si="91">IF(C751&lt;&gt;"",C751,D751)</f>
        <v>DS</v>
      </c>
      <c r="Y751" s="459" t="str">
        <f>SUBSTITUTE(Tabla1[[#This Row],[Descripción]],CHAR(10),"    I    ")</f>
        <v>Agrupación de temas y subtemas repetidos en los carousel, así como mejoras en iconos next y prev</v>
      </c>
      <c r="Z751" s="464">
        <f>VLOOKUP(Tabla1[[#This Row],[Perfil]],Catalogos!$B$75:$D$100,3,FALSE)*Tabla1[[#This Row],[Tiempo
(Hrs 00/100)]]*1.16</f>
        <v>6496</v>
      </c>
    </row>
    <row r="752" spans="1:26" ht="57.6" x14ac:dyDescent="0.3">
      <c r="A752" s="373" t="s">
        <v>22</v>
      </c>
      <c r="B752" s="370" t="s">
        <v>23</v>
      </c>
      <c r="C752" s="205" t="s">
        <v>155</v>
      </c>
      <c r="D752" s="179"/>
      <c r="E752" s="373" t="s">
        <v>924</v>
      </c>
      <c r="F752" s="370" t="s">
        <v>23</v>
      </c>
      <c r="G752" s="370"/>
      <c r="H752" s="461" t="s">
        <v>405</v>
      </c>
      <c r="I752" s="490" t="s">
        <v>1133</v>
      </c>
      <c r="J752" s="713">
        <v>45064</v>
      </c>
      <c r="K752" s="747">
        <v>0.375</v>
      </c>
      <c r="L752" s="713">
        <v>45064</v>
      </c>
      <c r="M752" s="758">
        <v>0.79166666666666663</v>
      </c>
      <c r="N752" s="373">
        <v>8</v>
      </c>
      <c r="O752" s="374" t="s">
        <v>411</v>
      </c>
      <c r="P752" s="221" t="s">
        <v>923</v>
      </c>
      <c r="Q752" s="790" t="s">
        <v>1120</v>
      </c>
      <c r="R752" s="202" t="s">
        <v>40</v>
      </c>
      <c r="S752" s="31" t="s">
        <v>273</v>
      </c>
      <c r="T752" s="31" t="s">
        <v>273</v>
      </c>
      <c r="U752" s="31">
        <f>IFERROR(VLOOKUP(CONCATENATE(Tabla1[[#This Row],[Severidad]]," ",Tabla1[[#This Row],[Complejidad]]),Catalogos!E$120:G$128,3,FALSE),"")</f>
        <v>64</v>
      </c>
      <c r="V752" s="31" t="str">
        <f>IF(Tabla1[[#This Row],[Tiempo solución max (hrs)]]&lt;&gt;"",IF(Tabla1[[#This Row],[Tiempo solución max (hrs)]]&gt;=Tabla1[[#This Row],[Tiempo
(Hrs 00/100)]],"cumple","no cumple"),"")</f>
        <v>cumple</v>
      </c>
      <c r="W752" s="376" t="s">
        <v>1149</v>
      </c>
      <c r="X752" s="463" t="str">
        <f t="shared" ref="X752:X786" si="92">IF(C752&lt;&gt;"",C752,D752)</f>
        <v>DS</v>
      </c>
      <c r="Y752" s="459" t="str">
        <f>SUBSTITUTE(Tabla1[[#This Row],[Descripción]],CHAR(10),"    I    ")</f>
        <v>Mejoras en responsive sección archivos</v>
      </c>
      <c r="Z752" s="464">
        <f>VLOOKUP(Tabla1[[#This Row],[Perfil]],Catalogos!$B$75:$D$100,3,FALSE)*Tabla1[[#This Row],[Tiempo
(Hrs 00/100)]]*1.16</f>
        <v>6496</v>
      </c>
    </row>
    <row r="753" spans="1:26" ht="57.6" x14ac:dyDescent="0.3">
      <c r="A753" s="373" t="s">
        <v>22</v>
      </c>
      <c r="B753" s="370" t="s">
        <v>23</v>
      </c>
      <c r="C753" s="205" t="s">
        <v>155</v>
      </c>
      <c r="D753" s="179"/>
      <c r="E753" s="373" t="s">
        <v>924</v>
      </c>
      <c r="F753" s="370" t="s">
        <v>23</v>
      </c>
      <c r="G753" s="370"/>
      <c r="H753" s="461" t="s">
        <v>405</v>
      </c>
      <c r="I753" s="490" t="s">
        <v>1133</v>
      </c>
      <c r="J753" s="713">
        <v>45065</v>
      </c>
      <c r="K753" s="747">
        <v>0.375</v>
      </c>
      <c r="L753" s="713">
        <v>45065</v>
      </c>
      <c r="M753" s="758">
        <v>0.79166666666666663</v>
      </c>
      <c r="N753" s="373">
        <v>8</v>
      </c>
      <c r="O753" s="374" t="s">
        <v>17</v>
      </c>
      <c r="P753" s="221" t="s">
        <v>923</v>
      </c>
      <c r="Q753" s="790" t="s">
        <v>1120</v>
      </c>
      <c r="R753" s="202" t="s">
        <v>40</v>
      </c>
      <c r="S753" s="31" t="s">
        <v>273</v>
      </c>
      <c r="T753" s="31" t="s">
        <v>273</v>
      </c>
      <c r="U753" s="31">
        <f>IFERROR(VLOOKUP(CONCATENATE(Tabla1[[#This Row],[Severidad]]," ",Tabla1[[#This Row],[Complejidad]]),Catalogos!E$120:G$128,3,FALSE),"")</f>
        <v>64</v>
      </c>
      <c r="V753" s="31" t="str">
        <f>IF(Tabla1[[#This Row],[Tiempo solución max (hrs)]]&lt;&gt;"",IF(Tabla1[[#This Row],[Tiempo solución max (hrs)]]&gt;=Tabla1[[#This Row],[Tiempo
(Hrs 00/100)]],"cumple","no cumple"),"")</f>
        <v>cumple</v>
      </c>
      <c r="W753" s="376" t="s">
        <v>1149</v>
      </c>
      <c r="X753" s="463" t="str">
        <f t="shared" ref="X753" si="93">IF(C753&lt;&gt;"",C753,D753)</f>
        <v>DS</v>
      </c>
      <c r="Y753" s="459" t="str">
        <f>SUBSTITUTE(Tabla1[[#This Row],[Descripción]],CHAR(10),"    I    ")</f>
        <v>Mejoras en responsive sección archivos</v>
      </c>
      <c r="Z753" s="464">
        <f>VLOOKUP(Tabla1[[#This Row],[Perfil]],Catalogos!$B$75:$D$100,3,FALSE)*Tabla1[[#This Row],[Tiempo
(Hrs 00/100)]]*1.16</f>
        <v>6496</v>
      </c>
    </row>
    <row r="754" spans="1:26" ht="57.6" x14ac:dyDescent="0.3">
      <c r="A754" s="373" t="s">
        <v>22</v>
      </c>
      <c r="B754" s="370" t="s">
        <v>23</v>
      </c>
      <c r="C754" s="205" t="s">
        <v>155</v>
      </c>
      <c r="D754" s="179"/>
      <c r="E754" s="373" t="s">
        <v>924</v>
      </c>
      <c r="F754" s="370" t="s">
        <v>23</v>
      </c>
      <c r="G754" s="370"/>
      <c r="H754" s="461" t="s">
        <v>405</v>
      </c>
      <c r="I754" s="490" t="s">
        <v>1134</v>
      </c>
      <c r="J754" s="713">
        <v>45068</v>
      </c>
      <c r="K754" s="747">
        <v>0.375</v>
      </c>
      <c r="L754" s="713">
        <v>45068</v>
      </c>
      <c r="M754" s="758">
        <v>0.79166666666666663</v>
      </c>
      <c r="N754" s="373">
        <v>8</v>
      </c>
      <c r="O754" s="374" t="s">
        <v>411</v>
      </c>
      <c r="P754" s="221" t="s">
        <v>923</v>
      </c>
      <c r="Q754" s="790" t="s">
        <v>1120</v>
      </c>
      <c r="R754" s="202" t="s">
        <v>40</v>
      </c>
      <c r="S754" s="31" t="s">
        <v>273</v>
      </c>
      <c r="T754" s="31" t="s">
        <v>273</v>
      </c>
      <c r="U754" s="31">
        <f>IFERROR(VLOOKUP(CONCATENATE(Tabla1[[#This Row],[Severidad]]," ",Tabla1[[#This Row],[Complejidad]]),Catalogos!E$120:G$128,3,FALSE),"")</f>
        <v>64</v>
      </c>
      <c r="V754" s="31" t="str">
        <f>IF(Tabla1[[#This Row],[Tiempo solución max (hrs)]]&lt;&gt;"",IF(Tabla1[[#This Row],[Tiempo solución max (hrs)]]&gt;=Tabla1[[#This Row],[Tiempo
(Hrs 00/100)]],"cumple","no cumple"),"")</f>
        <v>cumple</v>
      </c>
      <c r="W754" s="376" t="s">
        <v>1149</v>
      </c>
      <c r="X754" s="463" t="str">
        <f t="shared" si="92"/>
        <v>DS</v>
      </c>
      <c r="Y754" s="459" t="str">
        <f>SUBSTITUTE(Tabla1[[#This Row],[Descripción]],CHAR(10),"    I    ")</f>
        <v>Se quita el id de género para que la búsqueda sea sobre todo el universo de información, y se quita funcionalidad infinito al carousel de temas</v>
      </c>
      <c r="Z754" s="464">
        <f>VLOOKUP(Tabla1[[#This Row],[Perfil]],Catalogos!$B$75:$D$100,3,FALSE)*Tabla1[[#This Row],[Tiempo
(Hrs 00/100)]]*1.16</f>
        <v>6496</v>
      </c>
    </row>
    <row r="755" spans="1:26" ht="57.6" x14ac:dyDescent="0.3">
      <c r="A755" s="373" t="s">
        <v>22</v>
      </c>
      <c r="B755" s="370" t="s">
        <v>23</v>
      </c>
      <c r="C755" s="205" t="s">
        <v>155</v>
      </c>
      <c r="D755" s="179"/>
      <c r="E755" s="373" t="s">
        <v>924</v>
      </c>
      <c r="F755" s="370" t="s">
        <v>23</v>
      </c>
      <c r="G755" s="370"/>
      <c r="H755" s="461" t="s">
        <v>405</v>
      </c>
      <c r="I755" s="490" t="s">
        <v>1134</v>
      </c>
      <c r="J755" s="713">
        <v>45069</v>
      </c>
      <c r="K755" s="747">
        <v>0.375</v>
      </c>
      <c r="L755" s="713">
        <v>45069</v>
      </c>
      <c r="M755" s="758">
        <v>0.79166666666666663</v>
      </c>
      <c r="N755" s="373">
        <v>8</v>
      </c>
      <c r="O755" s="374" t="s">
        <v>17</v>
      </c>
      <c r="P755" s="221" t="s">
        <v>923</v>
      </c>
      <c r="Q755" s="790" t="s">
        <v>1120</v>
      </c>
      <c r="R755" s="202" t="s">
        <v>40</v>
      </c>
      <c r="S755" s="31" t="s">
        <v>273</v>
      </c>
      <c r="T755" s="31" t="s">
        <v>273</v>
      </c>
      <c r="U755" s="31">
        <f>IFERROR(VLOOKUP(CONCATENATE(Tabla1[[#This Row],[Severidad]]," ",Tabla1[[#This Row],[Complejidad]]),Catalogos!E$120:G$128,3,FALSE),"")</f>
        <v>64</v>
      </c>
      <c r="V755" s="31" t="str">
        <f>IF(Tabla1[[#This Row],[Tiempo solución max (hrs)]]&lt;&gt;"",IF(Tabla1[[#This Row],[Tiempo solución max (hrs)]]&gt;=Tabla1[[#This Row],[Tiempo
(Hrs 00/100)]],"cumple","no cumple"),"")</f>
        <v>cumple</v>
      </c>
      <c r="W755" s="376" t="s">
        <v>1149</v>
      </c>
      <c r="X755" s="463" t="str">
        <f t="shared" ref="X755" si="94">IF(C755&lt;&gt;"",C755,D755)</f>
        <v>DS</v>
      </c>
      <c r="Y755" s="459" t="str">
        <f>SUBSTITUTE(Tabla1[[#This Row],[Descripción]],CHAR(10),"    I    ")</f>
        <v>Se quita el id de género para que la búsqueda sea sobre todo el universo de información, y se quita funcionalidad infinito al carousel de temas</v>
      </c>
      <c r="Z755" s="464">
        <f>VLOOKUP(Tabla1[[#This Row],[Perfil]],Catalogos!$B$75:$D$100,3,FALSE)*Tabla1[[#This Row],[Tiempo
(Hrs 00/100)]]*1.16</f>
        <v>6496</v>
      </c>
    </row>
    <row r="756" spans="1:26" ht="57.6" x14ac:dyDescent="0.3">
      <c r="A756" s="373" t="s">
        <v>22</v>
      </c>
      <c r="B756" s="370" t="s">
        <v>23</v>
      </c>
      <c r="C756" s="205" t="s">
        <v>155</v>
      </c>
      <c r="D756" s="179"/>
      <c r="E756" s="373" t="s">
        <v>924</v>
      </c>
      <c r="F756" s="370" t="s">
        <v>23</v>
      </c>
      <c r="G756" s="370"/>
      <c r="H756" s="461" t="s">
        <v>405</v>
      </c>
      <c r="I756" s="490" t="s">
        <v>1135</v>
      </c>
      <c r="J756" s="713">
        <v>45070</v>
      </c>
      <c r="K756" s="747">
        <v>0.375</v>
      </c>
      <c r="L756" s="713">
        <v>45070</v>
      </c>
      <c r="M756" s="753">
        <v>0.79166666666666663</v>
      </c>
      <c r="N756" s="373">
        <v>8</v>
      </c>
      <c r="O756" s="374" t="s">
        <v>17</v>
      </c>
      <c r="P756" s="491" t="s">
        <v>923</v>
      </c>
      <c r="Q756" s="790" t="s">
        <v>1120</v>
      </c>
      <c r="R756" s="202" t="s">
        <v>40</v>
      </c>
      <c r="S756" s="31" t="s">
        <v>273</v>
      </c>
      <c r="T756" s="31" t="s">
        <v>273</v>
      </c>
      <c r="U756" s="31">
        <f>IFERROR(VLOOKUP(CONCATENATE(Tabla1[[#This Row],[Severidad]]," ",Tabla1[[#This Row],[Complejidad]]),Catalogos!E$120:G$128,3,FALSE),"")</f>
        <v>64</v>
      </c>
      <c r="V756" s="31" t="str">
        <f>IF(Tabla1[[#This Row],[Tiempo solución max (hrs)]]&lt;&gt;"",IF(Tabla1[[#This Row],[Tiempo solución max (hrs)]]&gt;=Tabla1[[#This Row],[Tiempo
(Hrs 00/100)]],"cumple","no cumple"),"")</f>
        <v>cumple</v>
      </c>
      <c r="W756" s="376" t="s">
        <v>1149</v>
      </c>
      <c r="X756" s="463" t="str">
        <f t="shared" si="92"/>
        <v>DS</v>
      </c>
      <c r="Y756" s="459" t="str">
        <f>SUBSTITUTE(Tabla1[[#This Row],[Descripción]],CHAR(10),"    I    ")</f>
        <v>Se quita el loading para la inserción de estadísticos y se hace la implementación de estadísticos usando ngrx</v>
      </c>
      <c r="Z756" s="464">
        <f>VLOOKUP(Tabla1[[#This Row],[Perfil]],Catalogos!$B$75:$D$100,3,FALSE)*Tabla1[[#This Row],[Tiempo
(Hrs 00/100)]]*1.16</f>
        <v>6496</v>
      </c>
    </row>
    <row r="757" spans="1:26" ht="57.6" x14ac:dyDescent="0.3">
      <c r="A757" s="373" t="s">
        <v>22</v>
      </c>
      <c r="B757" s="370" t="s">
        <v>23</v>
      </c>
      <c r="C757" s="205" t="s">
        <v>155</v>
      </c>
      <c r="D757" s="179"/>
      <c r="E757" s="373" t="s">
        <v>924</v>
      </c>
      <c r="F757" s="370" t="s">
        <v>23</v>
      </c>
      <c r="G757" s="370"/>
      <c r="H757" s="461" t="s">
        <v>405</v>
      </c>
      <c r="I757" s="490" t="s">
        <v>1136</v>
      </c>
      <c r="J757" s="713">
        <v>45071</v>
      </c>
      <c r="K757" s="747">
        <v>0.375</v>
      </c>
      <c r="L757" s="713">
        <v>45071</v>
      </c>
      <c r="M757" s="758">
        <v>0.54166666666666663</v>
      </c>
      <c r="N757" s="373">
        <v>4</v>
      </c>
      <c r="O757" s="374" t="s">
        <v>17</v>
      </c>
      <c r="P757" s="221" t="s">
        <v>923</v>
      </c>
      <c r="Q757" s="790" t="s">
        <v>1120</v>
      </c>
      <c r="R757" s="202" t="s">
        <v>40</v>
      </c>
      <c r="S757" s="31" t="s">
        <v>273</v>
      </c>
      <c r="T757" s="31" t="s">
        <v>273</v>
      </c>
      <c r="U757" s="31">
        <f>IFERROR(VLOOKUP(CONCATENATE(Tabla1[[#This Row],[Severidad]]," ",Tabla1[[#This Row],[Complejidad]]),Catalogos!E$120:G$128,3,FALSE),"")</f>
        <v>64</v>
      </c>
      <c r="V757" s="31" t="str">
        <f>IF(Tabla1[[#This Row],[Tiempo solución max (hrs)]]&lt;&gt;"",IF(Tabla1[[#This Row],[Tiempo solución max (hrs)]]&gt;=Tabla1[[#This Row],[Tiempo
(Hrs 00/100)]],"cumple","no cumple"),"")</f>
        <v>cumple</v>
      </c>
      <c r="W757" s="376" t="s">
        <v>1149</v>
      </c>
      <c r="X757" s="463" t="str">
        <f t="shared" si="92"/>
        <v>DS</v>
      </c>
      <c r="Y757" s="459" t="str">
        <f>SUBSTITUTE(Tabla1[[#This Row],[Descripción]],CHAR(10),"    I    ")</f>
        <v>Mejoras función filtro tipo respuesta</v>
      </c>
      <c r="Z757" s="464">
        <f>VLOOKUP(Tabla1[[#This Row],[Perfil]],Catalogos!$B$75:$D$100,3,FALSE)*Tabla1[[#This Row],[Tiempo
(Hrs 00/100)]]*1.16</f>
        <v>3248</v>
      </c>
    </row>
    <row r="758" spans="1:26" ht="14.4" x14ac:dyDescent="0.3">
      <c r="A758" s="373" t="s">
        <v>22</v>
      </c>
      <c r="B758" s="370" t="s">
        <v>23</v>
      </c>
      <c r="C758" s="205" t="s">
        <v>155</v>
      </c>
      <c r="D758" s="179"/>
      <c r="E758" s="373" t="s">
        <v>924</v>
      </c>
      <c r="F758" s="370" t="s">
        <v>23</v>
      </c>
      <c r="G758" s="370"/>
      <c r="H758" s="461" t="s">
        <v>405</v>
      </c>
      <c r="I758" s="490" t="s">
        <v>1137</v>
      </c>
      <c r="J758" s="713">
        <v>45071</v>
      </c>
      <c r="K758" s="758">
        <v>0.54166666666666663</v>
      </c>
      <c r="L758" s="713">
        <v>45071</v>
      </c>
      <c r="M758" s="753">
        <v>0.79166666666666663</v>
      </c>
      <c r="N758" s="373">
        <v>4</v>
      </c>
      <c r="O758" s="374" t="s">
        <v>17</v>
      </c>
      <c r="P758" s="492" t="s">
        <v>923</v>
      </c>
      <c r="Q758" s="790" t="s">
        <v>1120</v>
      </c>
      <c r="R758" s="202" t="s">
        <v>40</v>
      </c>
      <c r="S758" s="31" t="s">
        <v>273</v>
      </c>
      <c r="T758" s="31" t="s">
        <v>273</v>
      </c>
      <c r="U758" s="31">
        <f>IFERROR(VLOOKUP(CONCATENATE(Tabla1[[#This Row],[Severidad]]," ",Tabla1[[#This Row],[Complejidad]]),Catalogos!E$120:G$128,3,FALSE),"")</f>
        <v>64</v>
      </c>
      <c r="V758" s="31" t="str">
        <f>IF(Tabla1[[#This Row],[Tiempo solución max (hrs)]]&lt;&gt;"",IF(Tabla1[[#This Row],[Tiempo solución max (hrs)]]&gt;=Tabla1[[#This Row],[Tiempo
(Hrs 00/100)]],"cumple","no cumple"),"")</f>
        <v>cumple</v>
      </c>
      <c r="W758" s="376" t="s">
        <v>1149</v>
      </c>
      <c r="X758" s="463" t="str">
        <f t="shared" si="92"/>
        <v>DS</v>
      </c>
      <c r="Y758" s="459" t="str">
        <f>SUBSTITUTE(Tabla1[[#This Row],[Descripción]],CHAR(10),"    I    ")</f>
        <v xml:space="preserve">Mejoras componente loading </v>
      </c>
      <c r="Z758" s="464">
        <f>VLOOKUP(Tabla1[[#This Row],[Perfil]],Catalogos!$B$75:$D$100,3,FALSE)*Tabla1[[#This Row],[Tiempo
(Hrs 00/100)]]*1.16</f>
        <v>3248</v>
      </c>
    </row>
    <row r="759" spans="1:26" ht="14.4" x14ac:dyDescent="0.3">
      <c r="A759" s="373" t="s">
        <v>22</v>
      </c>
      <c r="B759" s="370" t="s">
        <v>23</v>
      </c>
      <c r="C759" s="205" t="s">
        <v>155</v>
      </c>
      <c r="D759" s="179"/>
      <c r="E759" s="373" t="s">
        <v>924</v>
      </c>
      <c r="F759" s="370" t="s">
        <v>23</v>
      </c>
      <c r="G759" s="370"/>
      <c r="H759" s="461" t="s">
        <v>405</v>
      </c>
      <c r="I759" s="490" t="s">
        <v>1138</v>
      </c>
      <c r="J759" s="713">
        <v>45072</v>
      </c>
      <c r="K759" s="747">
        <v>0.375</v>
      </c>
      <c r="L759" s="713">
        <v>45072</v>
      </c>
      <c r="M759" s="753">
        <v>0.79166666666666663</v>
      </c>
      <c r="N759" s="373">
        <v>8</v>
      </c>
      <c r="O759" s="374" t="s">
        <v>17</v>
      </c>
      <c r="P759" s="492" t="s">
        <v>923</v>
      </c>
      <c r="Q759" s="790" t="s">
        <v>1120</v>
      </c>
      <c r="R759" s="202" t="s">
        <v>40</v>
      </c>
      <c r="S759" s="31" t="s">
        <v>273</v>
      </c>
      <c r="T759" s="31" t="s">
        <v>273</v>
      </c>
      <c r="U759" s="31">
        <f>IFERROR(VLOOKUP(CONCATENATE(Tabla1[[#This Row],[Severidad]]," ",Tabla1[[#This Row],[Complejidad]]),Catalogos!E$120:G$128,3,FALSE),"")</f>
        <v>64</v>
      </c>
      <c r="V759" s="31" t="str">
        <f>IF(Tabla1[[#This Row],[Tiempo solución max (hrs)]]&lt;&gt;"",IF(Tabla1[[#This Row],[Tiempo solución max (hrs)]]&gt;=Tabla1[[#This Row],[Tiempo
(Hrs 00/100)]],"cumple","no cumple"),"")</f>
        <v>cumple</v>
      </c>
      <c r="W759" s="376" t="s">
        <v>1149</v>
      </c>
      <c r="X759" s="463" t="str">
        <f t="shared" si="92"/>
        <v>DS</v>
      </c>
      <c r="Y759" s="459" t="str">
        <f>SUBSTITUTE(Tabla1[[#This Row],[Descripción]],CHAR(10),"    I    ")</f>
        <v xml:space="preserve">Mejoras generales buscador de género y pruebas </v>
      </c>
      <c r="Z759" s="464">
        <f>VLOOKUP(Tabla1[[#This Row],[Perfil]],Catalogos!$B$75:$D$100,3,FALSE)*Tabla1[[#This Row],[Tiempo
(Hrs 00/100)]]*1.16</f>
        <v>6496</v>
      </c>
    </row>
    <row r="760" spans="1:26" ht="28.8" x14ac:dyDescent="0.3">
      <c r="A760" s="373" t="s">
        <v>22</v>
      </c>
      <c r="B760" s="370" t="s">
        <v>23</v>
      </c>
      <c r="C760" s="205" t="s">
        <v>155</v>
      </c>
      <c r="D760" s="179"/>
      <c r="E760" s="373" t="s">
        <v>924</v>
      </c>
      <c r="F760" s="370" t="s">
        <v>23</v>
      </c>
      <c r="G760" s="370"/>
      <c r="H760" s="461" t="s">
        <v>405</v>
      </c>
      <c r="I760" s="490" t="s">
        <v>1139</v>
      </c>
      <c r="J760" s="713">
        <v>45075</v>
      </c>
      <c r="K760" s="747">
        <v>0.375</v>
      </c>
      <c r="L760" s="713">
        <v>45075</v>
      </c>
      <c r="M760" s="753">
        <v>0.79166666666666663</v>
      </c>
      <c r="N760" s="373">
        <v>8</v>
      </c>
      <c r="O760" s="374" t="s">
        <v>17</v>
      </c>
      <c r="P760" s="493" t="s">
        <v>923</v>
      </c>
      <c r="Q760" s="790" t="s">
        <v>1120</v>
      </c>
      <c r="R760" s="202" t="s">
        <v>40</v>
      </c>
      <c r="S760" s="31" t="s">
        <v>273</v>
      </c>
      <c r="T760" s="31" t="s">
        <v>273</v>
      </c>
      <c r="U760" s="31">
        <f>IFERROR(VLOOKUP(CONCATENATE(Tabla1[[#This Row],[Severidad]]," ",Tabla1[[#This Row],[Complejidad]]),Catalogos!E$120:G$128,3,FALSE),"")</f>
        <v>64</v>
      </c>
      <c r="V760" s="31" t="str">
        <f>IF(Tabla1[[#This Row],[Tiempo solución max (hrs)]]&lt;&gt;"",IF(Tabla1[[#This Row],[Tiempo solución max (hrs)]]&gt;=Tabla1[[#This Row],[Tiempo
(Hrs 00/100)]],"cumple","no cumple"),"")</f>
        <v>cumple</v>
      </c>
      <c r="W760" s="376" t="s">
        <v>1149</v>
      </c>
      <c r="X760" s="463" t="str">
        <f t="shared" si="92"/>
        <v>DS</v>
      </c>
      <c r="Y760" s="459" t="str">
        <f>SUBSTITUTE(Tabla1[[#This Row],[Descripción]],CHAR(10),"    I    ")</f>
        <v>Mejoras servicio que actualiza y obtiene los sujetos obligados, para recuperar e insertar la fecha actualización</v>
      </c>
      <c r="Z760" s="464">
        <f>VLOOKUP(Tabla1[[#This Row],[Perfil]],Catalogos!$B$75:$D$100,3,FALSE)*Tabla1[[#This Row],[Tiempo
(Hrs 00/100)]]*1.16</f>
        <v>6496</v>
      </c>
    </row>
    <row r="761" spans="1:26" ht="28.8" x14ac:dyDescent="0.3">
      <c r="A761" s="373" t="s">
        <v>22</v>
      </c>
      <c r="B761" s="370" t="s">
        <v>23</v>
      </c>
      <c r="C761" s="205" t="s">
        <v>155</v>
      </c>
      <c r="D761" s="179"/>
      <c r="E761" s="373" t="s">
        <v>924</v>
      </c>
      <c r="F761" s="370" t="s">
        <v>23</v>
      </c>
      <c r="G761" s="370"/>
      <c r="H761" s="461" t="s">
        <v>405</v>
      </c>
      <c r="I761" s="490" t="s">
        <v>1140</v>
      </c>
      <c r="J761" s="713">
        <v>45076</v>
      </c>
      <c r="K761" s="747">
        <v>0.375</v>
      </c>
      <c r="L761" s="713">
        <v>45076</v>
      </c>
      <c r="M761" s="753">
        <v>0.79166666666666663</v>
      </c>
      <c r="N761" s="373">
        <v>8</v>
      </c>
      <c r="O761" s="374" t="s">
        <v>17</v>
      </c>
      <c r="P761" s="494" t="s">
        <v>923</v>
      </c>
      <c r="Q761" s="790" t="s">
        <v>1120</v>
      </c>
      <c r="R761" s="202" t="s">
        <v>40</v>
      </c>
      <c r="S761" s="31" t="s">
        <v>273</v>
      </c>
      <c r="T761" s="31" t="s">
        <v>273</v>
      </c>
      <c r="U761" s="31">
        <f>IFERROR(VLOOKUP(CONCATENATE(Tabla1[[#This Row],[Severidad]]," ",Tabla1[[#This Row],[Complejidad]]),Catalogos!E$120:G$128,3,FALSE),"")</f>
        <v>64</v>
      </c>
      <c r="V761" s="31" t="str">
        <f>IF(Tabla1[[#This Row],[Tiempo solución max (hrs)]]&lt;&gt;"",IF(Tabla1[[#This Row],[Tiempo solución max (hrs)]]&gt;=Tabla1[[#This Row],[Tiempo
(Hrs 00/100)]],"cumple","no cumple"),"")</f>
        <v>cumple</v>
      </c>
      <c r="W761" s="376" t="s">
        <v>1149</v>
      </c>
      <c r="X761" s="463" t="str">
        <f t="shared" si="92"/>
        <v>DS</v>
      </c>
      <c r="Y761" s="459" t="str">
        <f>SUBSTITUTE(Tabla1[[#This Row],[Descripción]],CHAR(10),"    I    ")</f>
        <v>Implementación campos fecha registro y fecha actualización en vistas sujetos obligados (módulos federado)</v>
      </c>
      <c r="Z761" s="464">
        <f>VLOOKUP(Tabla1[[#This Row],[Perfil]],Catalogos!$B$75:$D$100,3,FALSE)*Tabla1[[#This Row],[Tiempo
(Hrs 00/100)]]*1.16</f>
        <v>6496</v>
      </c>
    </row>
    <row r="762" spans="1:26" ht="28.8" x14ac:dyDescent="0.3">
      <c r="A762" s="373" t="s">
        <v>22</v>
      </c>
      <c r="B762" s="370" t="s">
        <v>23</v>
      </c>
      <c r="C762" s="205" t="s">
        <v>155</v>
      </c>
      <c r="D762" s="179"/>
      <c r="E762" s="373" t="s">
        <v>924</v>
      </c>
      <c r="F762" s="370" t="s">
        <v>23</v>
      </c>
      <c r="G762" s="370"/>
      <c r="H762" s="461" t="s">
        <v>405</v>
      </c>
      <c r="I762" s="490" t="s">
        <v>1141</v>
      </c>
      <c r="J762" s="713">
        <v>45077</v>
      </c>
      <c r="K762" s="747">
        <v>0.375</v>
      </c>
      <c r="L762" s="713">
        <v>45077</v>
      </c>
      <c r="M762" s="753">
        <v>0.79166666666666663</v>
      </c>
      <c r="N762" s="373">
        <v>8</v>
      </c>
      <c r="O762" s="374" t="s">
        <v>17</v>
      </c>
      <c r="P762" s="492" t="s">
        <v>923</v>
      </c>
      <c r="Q762" s="790" t="s">
        <v>1120</v>
      </c>
      <c r="R762" s="202" t="s">
        <v>40</v>
      </c>
      <c r="S762" s="31" t="s">
        <v>273</v>
      </c>
      <c r="T762" s="31" t="s">
        <v>273</v>
      </c>
      <c r="U762" s="31">
        <f>IFERROR(VLOOKUP(CONCATENATE(Tabla1[[#This Row],[Severidad]]," ",Tabla1[[#This Row],[Complejidad]]),Catalogos!E$120:G$128,3,FALSE),"")</f>
        <v>64</v>
      </c>
      <c r="V762" s="31" t="str">
        <f>IF(Tabla1[[#This Row],[Tiempo solución max (hrs)]]&lt;&gt;"",IF(Tabla1[[#This Row],[Tiempo solución max (hrs)]]&gt;=Tabla1[[#This Row],[Tiempo
(Hrs 00/100)]],"cumple","no cumple"),"")</f>
        <v>cumple</v>
      </c>
      <c r="W762" s="376" t="s">
        <v>1149</v>
      </c>
      <c r="X762" s="463" t="str">
        <f t="shared" si="92"/>
        <v>DS</v>
      </c>
      <c r="Y762" s="459" t="str">
        <f>SUBSTITUTE(Tabla1[[#This Row],[Descripción]],CHAR(10),"    I    ")</f>
        <v>Implementación servicio para el llenado de las gráficas de acuerdo a la colección seleccionada y mejoras de código</v>
      </c>
      <c r="Z762" s="464">
        <f>VLOOKUP(Tabla1[[#This Row],[Perfil]],Catalogos!$B$75:$D$100,3,FALSE)*Tabla1[[#This Row],[Tiempo
(Hrs 00/100)]]*1.16</f>
        <v>6496</v>
      </c>
    </row>
    <row r="763" spans="1:26" ht="28.8" x14ac:dyDescent="0.3">
      <c r="A763" s="373" t="s">
        <v>22</v>
      </c>
      <c r="B763" s="370" t="s">
        <v>23</v>
      </c>
      <c r="C763" s="205" t="s">
        <v>155</v>
      </c>
      <c r="D763" s="179"/>
      <c r="E763" s="373" t="s">
        <v>408</v>
      </c>
      <c r="F763" s="370" t="s">
        <v>23</v>
      </c>
      <c r="G763" s="370"/>
      <c r="H763" s="461" t="s">
        <v>405</v>
      </c>
      <c r="I763" s="490" t="s">
        <v>1142</v>
      </c>
      <c r="J763" s="713">
        <v>45061</v>
      </c>
      <c r="K763" s="747">
        <v>0.375</v>
      </c>
      <c r="L763" s="713">
        <v>45061</v>
      </c>
      <c r="M763" s="758">
        <v>0.54166666666666663</v>
      </c>
      <c r="N763" s="373">
        <v>4</v>
      </c>
      <c r="O763" s="374" t="s">
        <v>17</v>
      </c>
      <c r="P763" s="495" t="s">
        <v>1148</v>
      </c>
      <c r="Q763" s="791" t="s">
        <v>208</v>
      </c>
      <c r="R763" s="202" t="s">
        <v>40</v>
      </c>
      <c r="S763" s="31" t="s">
        <v>273</v>
      </c>
      <c r="T763" s="31" t="s">
        <v>273</v>
      </c>
      <c r="U763" s="31">
        <f>IFERROR(VLOOKUP(CONCATENATE(Tabla1[[#This Row],[Severidad]]," ",Tabla1[[#This Row],[Complejidad]]),Catalogos!E$120:G$128,3,FALSE),"")</f>
        <v>64</v>
      </c>
      <c r="V763" s="31" t="str">
        <f>IF(Tabla1[[#This Row],[Tiempo solución max (hrs)]]&lt;&gt;"",IF(Tabla1[[#This Row],[Tiempo solución max (hrs)]]&gt;=Tabla1[[#This Row],[Tiempo
(Hrs 00/100)]],"cumple","no cumple"),"")</f>
        <v>cumple</v>
      </c>
      <c r="W763" s="376" t="s">
        <v>1149</v>
      </c>
      <c r="X763" s="463" t="str">
        <f t="shared" si="92"/>
        <v>DS</v>
      </c>
      <c r="Y763" s="459" t="str">
        <f>SUBSTITUTE(Tabla1[[#This Row],[Descripción]],CHAR(10),"    I    ")</f>
        <v>Implementación campo dtFechaLimiteRegistroMi a query del servicio actualizar datos solicitud (modulo soportes)</v>
      </c>
      <c r="Z763" s="464">
        <f>VLOOKUP(Tabla1[[#This Row],[Perfil]],Catalogos!$B$75:$D$100,3,FALSE)*Tabla1[[#This Row],[Tiempo
(Hrs 00/100)]]*1.16</f>
        <v>3248</v>
      </c>
    </row>
    <row r="764" spans="1:26" ht="14.4" x14ac:dyDescent="0.3">
      <c r="A764" s="373" t="s">
        <v>22</v>
      </c>
      <c r="B764" s="370" t="s">
        <v>23</v>
      </c>
      <c r="C764" s="205" t="s">
        <v>155</v>
      </c>
      <c r="D764" s="179"/>
      <c r="E764" s="373" t="s">
        <v>408</v>
      </c>
      <c r="F764" s="370" t="s">
        <v>23</v>
      </c>
      <c r="G764" s="370"/>
      <c r="H764" s="461" t="s">
        <v>405</v>
      </c>
      <c r="I764" s="490" t="s">
        <v>1143</v>
      </c>
      <c r="J764" s="713">
        <v>45061</v>
      </c>
      <c r="K764" s="758">
        <v>0.54166666666666663</v>
      </c>
      <c r="L764" s="713">
        <v>45061</v>
      </c>
      <c r="M764" s="758">
        <v>0.79166666666666663</v>
      </c>
      <c r="N764" s="373">
        <v>4</v>
      </c>
      <c r="O764" s="374" t="s">
        <v>17</v>
      </c>
      <c r="P764" s="495" t="s">
        <v>1148</v>
      </c>
      <c r="Q764" s="791" t="s">
        <v>208</v>
      </c>
      <c r="R764" s="202" t="s">
        <v>40</v>
      </c>
      <c r="S764" s="31" t="s">
        <v>273</v>
      </c>
      <c r="T764" s="31" t="s">
        <v>273</v>
      </c>
      <c r="U764" s="31">
        <f>IFERROR(VLOOKUP(CONCATENATE(Tabla1[[#This Row],[Severidad]]," ",Tabla1[[#This Row],[Complejidad]]),Catalogos!E$120:G$128,3,FALSE),"")</f>
        <v>64</v>
      </c>
      <c r="V764" s="31" t="str">
        <f>IF(Tabla1[[#This Row],[Tiempo solución max (hrs)]]&lt;&gt;"",IF(Tabla1[[#This Row],[Tiempo solución max (hrs)]]&gt;=Tabla1[[#This Row],[Tiempo
(Hrs 00/100)]],"cumple","no cumple"),"")</f>
        <v>cumple</v>
      </c>
      <c r="W764" s="376" t="s">
        <v>1149</v>
      </c>
      <c r="X764" s="463" t="str">
        <f t="shared" si="92"/>
        <v>DS</v>
      </c>
      <c r="Y764" s="459" t="str">
        <f>SUBSTITUTE(Tabla1[[#This Row],[Descripción]],CHAR(10),"    I    ")</f>
        <v>Pruebas e implementación campo en la vista jsp</v>
      </c>
      <c r="Z764" s="464">
        <f>VLOOKUP(Tabla1[[#This Row],[Perfil]],Catalogos!$B$75:$D$100,3,FALSE)*Tabla1[[#This Row],[Tiempo
(Hrs 00/100)]]*1.16</f>
        <v>3248</v>
      </c>
    </row>
    <row r="765" spans="1:26" ht="43.2" x14ac:dyDescent="0.3">
      <c r="A765" s="373" t="s">
        <v>22</v>
      </c>
      <c r="B765" s="370" t="s">
        <v>23</v>
      </c>
      <c r="C765" s="205" t="s">
        <v>155</v>
      </c>
      <c r="D765" s="179"/>
      <c r="E765" s="373" t="s">
        <v>408</v>
      </c>
      <c r="F765" s="370" t="s">
        <v>23</v>
      </c>
      <c r="G765" s="370"/>
      <c r="H765" s="461" t="s">
        <v>405</v>
      </c>
      <c r="I765" s="490" t="s">
        <v>1144</v>
      </c>
      <c r="J765" s="713">
        <v>45064</v>
      </c>
      <c r="K765" s="747">
        <v>0.375</v>
      </c>
      <c r="L765" s="713">
        <v>45064</v>
      </c>
      <c r="M765" s="758">
        <v>0.79166666666666663</v>
      </c>
      <c r="N765" s="373">
        <v>8</v>
      </c>
      <c r="O765" s="374" t="s">
        <v>411</v>
      </c>
      <c r="P765" s="493" t="s">
        <v>1148</v>
      </c>
      <c r="Q765" s="791" t="s">
        <v>208</v>
      </c>
      <c r="R765" s="202" t="s">
        <v>40</v>
      </c>
      <c r="S765" s="31" t="s">
        <v>273</v>
      </c>
      <c r="T765" s="31" t="s">
        <v>273</v>
      </c>
      <c r="U765" s="31">
        <f>IFERROR(VLOOKUP(CONCATENATE(Tabla1[[#This Row],[Severidad]]," ",Tabla1[[#This Row],[Complejidad]]),Catalogos!E$120:G$128,3,FALSE),"")</f>
        <v>64</v>
      </c>
      <c r="V765" s="31" t="str">
        <f>IF(Tabla1[[#This Row],[Tiempo solución max (hrs)]]&lt;&gt;"",IF(Tabla1[[#This Row],[Tiempo solución max (hrs)]]&gt;=Tabla1[[#This Row],[Tiempo
(Hrs 00/100)]],"cumple","no cumple"),"")</f>
        <v>cumple</v>
      </c>
      <c r="W765" s="376" t="s">
        <v>1149</v>
      </c>
      <c r="X765" s="463" t="str">
        <f t="shared" si="92"/>
        <v>DS</v>
      </c>
      <c r="Y765" s="459" t="str">
        <f>SUBSTITUTE(Tabla1[[#This Row],[Descripción]],CHAR(10),"    I    ")</f>
        <v>Se hacen ajustes, validaciones y pruebas para integrar dos nuevos roles al portlet de soportes y que estos puedan ver el soporte de modificar datos solicitud</v>
      </c>
      <c r="Z765" s="464">
        <f>VLOOKUP(Tabla1[[#This Row],[Perfil]],Catalogos!$B$75:$D$100,3,FALSE)*Tabla1[[#This Row],[Tiempo
(Hrs 00/100)]]*1.16</f>
        <v>6496</v>
      </c>
    </row>
    <row r="766" spans="1:26" ht="43.2" x14ac:dyDescent="0.3">
      <c r="A766" s="373" t="s">
        <v>22</v>
      </c>
      <c r="B766" s="370" t="s">
        <v>23</v>
      </c>
      <c r="C766" s="205" t="s">
        <v>155</v>
      </c>
      <c r="D766" s="179"/>
      <c r="E766" s="373" t="s">
        <v>408</v>
      </c>
      <c r="F766" s="370" t="s">
        <v>23</v>
      </c>
      <c r="G766" s="370"/>
      <c r="H766" s="461" t="s">
        <v>405</v>
      </c>
      <c r="I766" s="490" t="s">
        <v>1144</v>
      </c>
      <c r="J766" s="713">
        <v>45065</v>
      </c>
      <c r="K766" s="747">
        <v>0.375</v>
      </c>
      <c r="L766" s="713">
        <v>45065</v>
      </c>
      <c r="M766" s="758">
        <v>0.79166666666666663</v>
      </c>
      <c r="N766" s="373">
        <v>8</v>
      </c>
      <c r="O766" s="374" t="s">
        <v>17</v>
      </c>
      <c r="P766" s="493" t="s">
        <v>1148</v>
      </c>
      <c r="Q766" s="791" t="s">
        <v>208</v>
      </c>
      <c r="R766" s="202" t="s">
        <v>40</v>
      </c>
      <c r="S766" s="31" t="s">
        <v>273</v>
      </c>
      <c r="T766" s="31" t="s">
        <v>273</v>
      </c>
      <c r="U766" s="31">
        <f>IFERROR(VLOOKUP(CONCATENATE(Tabla1[[#This Row],[Severidad]]," ",Tabla1[[#This Row],[Complejidad]]),Catalogos!E$120:G$128,3,FALSE),"")</f>
        <v>64</v>
      </c>
      <c r="V766" s="31" t="str">
        <f>IF(Tabla1[[#This Row],[Tiempo solución max (hrs)]]&lt;&gt;"",IF(Tabla1[[#This Row],[Tiempo solución max (hrs)]]&gt;=Tabla1[[#This Row],[Tiempo
(Hrs 00/100)]],"cumple","no cumple"),"")</f>
        <v>cumple</v>
      </c>
      <c r="W766" s="376" t="s">
        <v>1149</v>
      </c>
      <c r="X766" s="463" t="str">
        <f t="shared" ref="X766" si="95">IF(C766&lt;&gt;"",C766,D766)</f>
        <v>DS</v>
      </c>
      <c r="Y766" s="459" t="str">
        <f>SUBSTITUTE(Tabla1[[#This Row],[Descripción]],CHAR(10),"    I    ")</f>
        <v>Se hacen ajustes, validaciones y pruebas para integrar dos nuevos roles al portlet de soportes y que estos puedan ver el soporte de modificar datos solicitud</v>
      </c>
      <c r="Z766" s="464">
        <f>VLOOKUP(Tabla1[[#This Row],[Perfil]],Catalogos!$B$75:$D$100,3,FALSE)*Tabla1[[#This Row],[Tiempo
(Hrs 00/100)]]*1.16</f>
        <v>6496</v>
      </c>
    </row>
    <row r="767" spans="1:26" ht="28.8" x14ac:dyDescent="0.3">
      <c r="A767" s="373" t="s">
        <v>22</v>
      </c>
      <c r="B767" s="370" t="s">
        <v>23</v>
      </c>
      <c r="C767" s="205" t="s">
        <v>155</v>
      </c>
      <c r="D767" s="179"/>
      <c r="E767" s="373" t="s">
        <v>408</v>
      </c>
      <c r="F767" s="370" t="s">
        <v>23</v>
      </c>
      <c r="G767" s="370"/>
      <c r="H767" s="461" t="s">
        <v>405</v>
      </c>
      <c r="I767" s="490" t="s">
        <v>1145</v>
      </c>
      <c r="J767" s="713">
        <v>45068</v>
      </c>
      <c r="K767" s="747">
        <v>0.375</v>
      </c>
      <c r="L767" s="713">
        <v>45068</v>
      </c>
      <c r="M767" s="758">
        <v>0.79166666666666663</v>
      </c>
      <c r="N767" s="373">
        <v>8</v>
      </c>
      <c r="O767" s="374" t="s">
        <v>411</v>
      </c>
      <c r="P767" s="492" t="s">
        <v>1148</v>
      </c>
      <c r="Q767" s="791" t="s">
        <v>208</v>
      </c>
      <c r="R767" s="202" t="s">
        <v>40</v>
      </c>
      <c r="S767" s="31" t="s">
        <v>273</v>
      </c>
      <c r="T767" s="31" t="s">
        <v>273</v>
      </c>
      <c r="U767" s="31">
        <f>IFERROR(VLOOKUP(CONCATENATE(Tabla1[[#This Row],[Severidad]]," ",Tabla1[[#This Row],[Complejidad]]),Catalogos!E$120:G$128,3,FALSE),"")</f>
        <v>64</v>
      </c>
      <c r="V767" s="31" t="str">
        <f>IF(Tabla1[[#This Row],[Tiempo solución max (hrs)]]&lt;&gt;"",IF(Tabla1[[#This Row],[Tiempo solución max (hrs)]]&gt;=Tabla1[[#This Row],[Tiempo
(Hrs 00/100)]],"cumple","no cumple"),"")</f>
        <v>cumple</v>
      </c>
      <c r="W767" s="376" t="s">
        <v>1149</v>
      </c>
      <c r="X767" s="463" t="str">
        <f t="shared" si="92"/>
        <v>DS</v>
      </c>
      <c r="Y767" s="459" t="str">
        <f>SUBSTITUTE(Tabla1[[#This Row],[Descripción]],CHAR(10),"    I    ")</f>
        <v>Implementación columna folio parent y correo electrónico en soporte modificar fechas solicitud</v>
      </c>
      <c r="Z767" s="464">
        <f>VLOOKUP(Tabla1[[#This Row],[Perfil]],Catalogos!$B$75:$D$100,3,FALSE)*Tabla1[[#This Row],[Tiempo
(Hrs 00/100)]]*1.16</f>
        <v>6496</v>
      </c>
    </row>
    <row r="768" spans="1:26" ht="28.8" x14ac:dyDescent="0.3">
      <c r="A768" s="373" t="s">
        <v>22</v>
      </c>
      <c r="B768" s="370" t="s">
        <v>23</v>
      </c>
      <c r="C768" s="205" t="s">
        <v>155</v>
      </c>
      <c r="D768" s="179"/>
      <c r="E768" s="373" t="s">
        <v>408</v>
      </c>
      <c r="F768" s="370" t="s">
        <v>23</v>
      </c>
      <c r="G768" s="370"/>
      <c r="H768" s="461" t="s">
        <v>405</v>
      </c>
      <c r="I768" s="490" t="s">
        <v>1145</v>
      </c>
      <c r="J768" s="713">
        <v>45069</v>
      </c>
      <c r="K768" s="747">
        <v>0.375</v>
      </c>
      <c r="L768" s="713">
        <v>45069</v>
      </c>
      <c r="M768" s="758">
        <v>0.79166666666666663</v>
      </c>
      <c r="N768" s="373">
        <v>8</v>
      </c>
      <c r="O768" s="374" t="s">
        <v>17</v>
      </c>
      <c r="P768" s="492" t="s">
        <v>1148</v>
      </c>
      <c r="Q768" s="791" t="s">
        <v>208</v>
      </c>
      <c r="R768" s="202" t="s">
        <v>40</v>
      </c>
      <c r="S768" s="31" t="s">
        <v>273</v>
      </c>
      <c r="T768" s="31" t="s">
        <v>273</v>
      </c>
      <c r="U768" s="31">
        <f>IFERROR(VLOOKUP(CONCATENATE(Tabla1[[#This Row],[Severidad]]," ",Tabla1[[#This Row],[Complejidad]]),Catalogos!E$120:G$128,3,FALSE),"")</f>
        <v>64</v>
      </c>
      <c r="V768" s="31" t="str">
        <f>IF(Tabla1[[#This Row],[Tiempo solución max (hrs)]]&lt;&gt;"",IF(Tabla1[[#This Row],[Tiempo solución max (hrs)]]&gt;=Tabla1[[#This Row],[Tiempo
(Hrs 00/100)]],"cumple","no cumple"),"")</f>
        <v>cumple</v>
      </c>
      <c r="W768" s="376" t="s">
        <v>1149</v>
      </c>
      <c r="X768" s="463" t="str">
        <f t="shared" ref="X768" si="96">IF(C768&lt;&gt;"",C768,D768)</f>
        <v>DS</v>
      </c>
      <c r="Y768" s="459" t="str">
        <f>SUBSTITUTE(Tabla1[[#This Row],[Descripción]],CHAR(10),"    I    ")</f>
        <v>Implementación columna folio parent y correo electrónico en soporte modificar fechas solicitud</v>
      </c>
      <c r="Z768" s="464">
        <f>VLOOKUP(Tabla1[[#This Row],[Perfil]],Catalogos!$B$75:$D$100,3,FALSE)*Tabla1[[#This Row],[Tiempo
(Hrs 00/100)]]*1.16</f>
        <v>6496</v>
      </c>
    </row>
    <row r="769" spans="1:26" ht="28.8" x14ac:dyDescent="0.3">
      <c r="A769" s="373" t="s">
        <v>22</v>
      </c>
      <c r="B769" s="370" t="s">
        <v>23</v>
      </c>
      <c r="C769" s="205" t="s">
        <v>155</v>
      </c>
      <c r="D769" s="179"/>
      <c r="E769" s="373" t="s">
        <v>408</v>
      </c>
      <c r="F769" s="370" t="s">
        <v>23</v>
      </c>
      <c r="G769" s="370"/>
      <c r="H769" s="461" t="s">
        <v>405</v>
      </c>
      <c r="I769" s="490" t="s">
        <v>1146</v>
      </c>
      <c r="J769" s="713">
        <v>45070</v>
      </c>
      <c r="K769" s="747">
        <v>0.375</v>
      </c>
      <c r="L769" s="713">
        <v>45070</v>
      </c>
      <c r="M769" s="758">
        <v>0.79166666666666663</v>
      </c>
      <c r="N769" s="373">
        <v>8</v>
      </c>
      <c r="O769" s="374" t="s">
        <v>411</v>
      </c>
      <c r="P769" s="493" t="s">
        <v>1148</v>
      </c>
      <c r="Q769" s="791" t="s">
        <v>208</v>
      </c>
      <c r="R769" s="202" t="s">
        <v>40</v>
      </c>
      <c r="S769" s="31" t="s">
        <v>273</v>
      </c>
      <c r="T769" s="31" t="s">
        <v>273</v>
      </c>
      <c r="U769" s="31">
        <f>IFERROR(VLOOKUP(CONCATENATE(Tabla1[[#This Row],[Severidad]]," ",Tabla1[[#This Row],[Complejidad]]),Catalogos!E$120:G$128,3,FALSE),"")</f>
        <v>64</v>
      </c>
      <c r="V769" s="31" t="str">
        <f>IF(Tabla1[[#This Row],[Tiempo solución max (hrs)]]&lt;&gt;"",IF(Tabla1[[#This Row],[Tiempo solución max (hrs)]]&gt;=Tabla1[[#This Row],[Tiempo
(Hrs 00/100)]],"cumple","no cumple"),"")</f>
        <v>cumple</v>
      </c>
      <c r="W769" s="376" t="s">
        <v>1149</v>
      </c>
      <c r="X769" s="463" t="str">
        <f t="shared" si="92"/>
        <v>DS</v>
      </c>
      <c r="Y769" s="459" t="str">
        <f>SUBSTITUTE(Tabla1[[#This Row],[Descripción]],CHAR(10),"    I    ")</f>
        <v>Pruebas y despliegue en desarrollo con todas las modificaciones para validar el correcto funcionamiento</v>
      </c>
      <c r="Z769" s="464">
        <f>VLOOKUP(Tabla1[[#This Row],[Perfil]],Catalogos!$B$75:$D$100,3,FALSE)*Tabla1[[#This Row],[Tiempo
(Hrs 00/100)]]*1.16</f>
        <v>6496</v>
      </c>
    </row>
    <row r="770" spans="1:26" ht="28.8" x14ac:dyDescent="0.3">
      <c r="A770" s="373" t="s">
        <v>22</v>
      </c>
      <c r="B770" s="370" t="s">
        <v>23</v>
      </c>
      <c r="C770" s="205" t="s">
        <v>155</v>
      </c>
      <c r="D770" s="179"/>
      <c r="E770" s="373" t="s">
        <v>408</v>
      </c>
      <c r="F770" s="370" t="s">
        <v>23</v>
      </c>
      <c r="G770" s="370"/>
      <c r="H770" s="461" t="s">
        <v>405</v>
      </c>
      <c r="I770" s="490" t="s">
        <v>1146</v>
      </c>
      <c r="J770" s="713">
        <v>45071</v>
      </c>
      <c r="K770" s="747">
        <v>0.375</v>
      </c>
      <c r="L770" s="713">
        <v>45071</v>
      </c>
      <c r="M770" s="758">
        <v>0.79166666666666663</v>
      </c>
      <c r="N770" s="373">
        <v>8</v>
      </c>
      <c r="O770" s="374" t="s">
        <v>17</v>
      </c>
      <c r="P770" s="493" t="s">
        <v>1148</v>
      </c>
      <c r="Q770" s="791" t="s">
        <v>208</v>
      </c>
      <c r="R770" s="202" t="s">
        <v>40</v>
      </c>
      <c r="S770" s="31" t="s">
        <v>273</v>
      </c>
      <c r="T770" s="31" t="s">
        <v>273</v>
      </c>
      <c r="U770" s="31">
        <f>IFERROR(VLOOKUP(CONCATENATE(Tabla1[[#This Row],[Severidad]]," ",Tabla1[[#This Row],[Complejidad]]),Catalogos!E$120:G$128,3,FALSE),"")</f>
        <v>64</v>
      </c>
      <c r="V770" s="31" t="str">
        <f>IF(Tabla1[[#This Row],[Tiempo solución max (hrs)]]&lt;&gt;"",IF(Tabla1[[#This Row],[Tiempo solución max (hrs)]]&gt;=Tabla1[[#This Row],[Tiempo
(Hrs 00/100)]],"cumple","no cumple"),"")</f>
        <v>cumple</v>
      </c>
      <c r="W770" s="376" t="s">
        <v>1149</v>
      </c>
      <c r="X770" s="463" t="str">
        <f t="shared" ref="X770" si="97">IF(C770&lt;&gt;"",C770,D770)</f>
        <v>DS</v>
      </c>
      <c r="Y770" s="459" t="str">
        <f>SUBSTITUTE(Tabla1[[#This Row],[Descripción]],CHAR(10),"    I    ")</f>
        <v>Pruebas y despliegue en desarrollo con todas las modificaciones para validar el correcto funcionamiento</v>
      </c>
      <c r="Z770" s="464">
        <f>VLOOKUP(Tabla1[[#This Row],[Perfil]],Catalogos!$B$75:$D$100,3,FALSE)*Tabla1[[#This Row],[Tiempo
(Hrs 00/100)]]*1.16</f>
        <v>6496</v>
      </c>
    </row>
    <row r="771" spans="1:26" ht="28.8" x14ac:dyDescent="0.3">
      <c r="A771" s="373" t="s">
        <v>22</v>
      </c>
      <c r="B771" s="370" t="s">
        <v>23</v>
      </c>
      <c r="C771" s="205" t="s">
        <v>155</v>
      </c>
      <c r="D771" s="179"/>
      <c r="E771" s="373" t="s">
        <v>408</v>
      </c>
      <c r="F771" s="370" t="s">
        <v>23</v>
      </c>
      <c r="G771" s="370"/>
      <c r="H771" s="461" t="s">
        <v>405</v>
      </c>
      <c r="I771" s="496" t="s">
        <v>1147</v>
      </c>
      <c r="J771" s="713">
        <v>45072</v>
      </c>
      <c r="K771" s="747">
        <v>0.375</v>
      </c>
      <c r="L771" s="713">
        <v>45072</v>
      </c>
      <c r="M771" s="758">
        <v>0.79166666666666663</v>
      </c>
      <c r="N771" s="373">
        <v>8</v>
      </c>
      <c r="O771" s="374" t="s">
        <v>411</v>
      </c>
      <c r="P771" s="221" t="s">
        <v>1148</v>
      </c>
      <c r="Q771" s="791" t="s">
        <v>208</v>
      </c>
      <c r="R771" s="202" t="s">
        <v>40</v>
      </c>
      <c r="S771" s="31" t="s">
        <v>273</v>
      </c>
      <c r="T771" s="31" t="s">
        <v>273</v>
      </c>
      <c r="U771" s="31">
        <f>IFERROR(VLOOKUP(CONCATENATE(Tabla1[[#This Row],[Severidad]]," ",Tabla1[[#This Row],[Complejidad]]),Catalogos!E$120:G$128,3,FALSE),"")</f>
        <v>64</v>
      </c>
      <c r="V771" s="31" t="str">
        <f>IF(Tabla1[[#This Row],[Tiempo solución max (hrs)]]&lt;&gt;"",IF(Tabla1[[#This Row],[Tiempo solución max (hrs)]]&gt;=Tabla1[[#This Row],[Tiempo
(Hrs 00/100)]],"cumple","no cumple"),"")</f>
        <v>cumple</v>
      </c>
      <c r="W771" s="376" t="s">
        <v>1149</v>
      </c>
      <c r="X771" s="463" t="str">
        <f t="shared" si="92"/>
        <v>DS</v>
      </c>
      <c r="Y771" s="459" t="str">
        <f>SUBSTITUTE(Tabla1[[#This Row],[Descripción]],CHAR(10),"    I    ")</f>
        <v>Mejoras servicio actualizar y modificar datos solicitud</v>
      </c>
      <c r="Z771" s="464">
        <f>VLOOKUP(Tabla1[[#This Row],[Perfil]],Catalogos!$B$75:$D$100,3,FALSE)*Tabla1[[#This Row],[Tiempo
(Hrs 00/100)]]*1.16</f>
        <v>6496</v>
      </c>
    </row>
    <row r="772" spans="1:26" ht="28.8" x14ac:dyDescent="0.3">
      <c r="A772" s="373" t="s">
        <v>22</v>
      </c>
      <c r="B772" s="370" t="s">
        <v>23</v>
      </c>
      <c r="C772" s="205" t="s">
        <v>155</v>
      </c>
      <c r="D772" s="179"/>
      <c r="E772" s="373" t="s">
        <v>408</v>
      </c>
      <c r="F772" s="370" t="s">
        <v>23</v>
      </c>
      <c r="G772" s="370"/>
      <c r="H772" s="461" t="s">
        <v>405</v>
      </c>
      <c r="I772" s="496" t="s">
        <v>1147</v>
      </c>
      <c r="J772" s="713">
        <v>45075</v>
      </c>
      <c r="K772" s="747">
        <v>0.375</v>
      </c>
      <c r="L772" s="713">
        <v>45075</v>
      </c>
      <c r="M772" s="758">
        <v>0.58333333333333337</v>
      </c>
      <c r="N772" s="373">
        <v>5</v>
      </c>
      <c r="O772" s="374" t="s">
        <v>17</v>
      </c>
      <c r="P772" s="221" t="s">
        <v>1148</v>
      </c>
      <c r="Q772" s="791" t="s">
        <v>208</v>
      </c>
      <c r="R772" s="202" t="s">
        <v>40</v>
      </c>
      <c r="S772" s="31" t="s">
        <v>273</v>
      </c>
      <c r="T772" s="31" t="s">
        <v>273</v>
      </c>
      <c r="U772" s="31">
        <f>IFERROR(VLOOKUP(CONCATENATE(Tabla1[[#This Row],[Severidad]]," ",Tabla1[[#This Row],[Complejidad]]),Catalogos!E$120:G$128,3,FALSE),"")</f>
        <v>64</v>
      </c>
      <c r="V772" s="31" t="str">
        <f>IF(Tabla1[[#This Row],[Tiempo solución max (hrs)]]&lt;&gt;"",IF(Tabla1[[#This Row],[Tiempo solución max (hrs)]]&gt;=Tabla1[[#This Row],[Tiempo
(Hrs 00/100)]],"cumple","no cumple"),"")</f>
        <v>cumple</v>
      </c>
      <c r="W772" s="376" t="s">
        <v>1149</v>
      </c>
      <c r="X772" s="463" t="str">
        <f t="shared" ref="X772" si="98">IF(C772&lt;&gt;"",C772,D772)</f>
        <v>DS</v>
      </c>
      <c r="Y772" s="459" t="str">
        <f>SUBSTITUTE(Tabla1[[#This Row],[Descripción]],CHAR(10),"    I    ")</f>
        <v>Mejoras servicio actualizar y modificar datos solicitud</v>
      </c>
      <c r="Z772" s="464">
        <f>VLOOKUP(Tabla1[[#This Row],[Perfil]],Catalogos!$B$75:$D$100,3,FALSE)*Tabla1[[#This Row],[Tiempo
(Hrs 00/100)]]*1.16</f>
        <v>4059.9999999999995</v>
      </c>
    </row>
    <row r="773" spans="1:26" ht="28.8" x14ac:dyDescent="0.3">
      <c r="A773" s="373" t="s">
        <v>22</v>
      </c>
      <c r="B773" s="370" t="s">
        <v>23</v>
      </c>
      <c r="C773" s="205" t="s">
        <v>155</v>
      </c>
      <c r="D773" s="179"/>
      <c r="E773" s="373" t="s">
        <v>408</v>
      </c>
      <c r="F773" s="370" t="s">
        <v>23</v>
      </c>
      <c r="G773" s="370"/>
      <c r="H773" s="461" t="s">
        <v>405</v>
      </c>
      <c r="I773" s="497" t="s">
        <v>1150</v>
      </c>
      <c r="J773" s="713">
        <v>45076</v>
      </c>
      <c r="K773" s="747">
        <v>0.375</v>
      </c>
      <c r="L773" s="713">
        <v>45076</v>
      </c>
      <c r="M773" s="753">
        <v>0.79166666666666663</v>
      </c>
      <c r="N773" s="373">
        <v>8</v>
      </c>
      <c r="O773" s="374" t="s">
        <v>17</v>
      </c>
      <c r="P773" s="221" t="s">
        <v>1148</v>
      </c>
      <c r="Q773" s="791" t="s">
        <v>208</v>
      </c>
      <c r="R773" s="202" t="s">
        <v>40</v>
      </c>
      <c r="S773" s="31" t="s">
        <v>273</v>
      </c>
      <c r="T773" s="31" t="s">
        <v>273</v>
      </c>
      <c r="U773" s="31">
        <f>IFERROR(VLOOKUP(CONCATENATE(Tabla1[[#This Row],[Severidad]]," ",Tabla1[[#This Row],[Complejidad]]),Catalogos!E$120:G$128,3,FALSE),"")</f>
        <v>64</v>
      </c>
      <c r="V773" s="31" t="str">
        <f>IF(Tabla1[[#This Row],[Tiempo solución max (hrs)]]&lt;&gt;"",IF(Tabla1[[#This Row],[Tiempo solución max (hrs)]]&gt;=Tabla1[[#This Row],[Tiempo
(Hrs 00/100)]],"cumple","no cumple"),"")</f>
        <v>cumple</v>
      </c>
      <c r="W773" s="376" t="s">
        <v>1149</v>
      </c>
      <c r="X773" s="463" t="str">
        <f t="shared" si="92"/>
        <v>DS</v>
      </c>
      <c r="Y773" s="459" t="str">
        <f>SUBSTITUTE(Tabla1[[#This Row],[Descripción]],CHAR(10),"    I    ")</f>
        <v>Revisión y ajustes de los componentes de Federados</v>
      </c>
      <c r="Z773" s="464">
        <f>VLOOKUP(Tabla1[[#This Row],[Perfil]],Catalogos!$B$75:$D$100,3,FALSE)*Tabla1[[#This Row],[Tiempo
(Hrs 00/100)]]*1.16</f>
        <v>6496</v>
      </c>
    </row>
    <row r="774" spans="1:26" ht="15" customHeight="1" x14ac:dyDescent="0.3">
      <c r="A774" s="373" t="s">
        <v>22</v>
      </c>
      <c r="B774" s="184" t="s">
        <v>23</v>
      </c>
      <c r="C774" s="183" t="s">
        <v>45</v>
      </c>
      <c r="D774" s="179"/>
      <c r="E774" s="386" t="s">
        <v>641</v>
      </c>
      <c r="F774" s="373" t="s">
        <v>23</v>
      </c>
      <c r="G774" s="370"/>
      <c r="H774" s="386" t="s">
        <v>1037</v>
      </c>
      <c r="I774" s="497" t="s">
        <v>1151</v>
      </c>
      <c r="J774" s="713">
        <v>45048</v>
      </c>
      <c r="K774" s="747">
        <v>0.375</v>
      </c>
      <c r="L774" s="713">
        <v>45048</v>
      </c>
      <c r="M774" s="753">
        <v>0.79166666666666663</v>
      </c>
      <c r="N774" s="373">
        <v>8</v>
      </c>
      <c r="O774" s="184" t="s">
        <v>17</v>
      </c>
      <c r="P774" s="185" t="s">
        <v>647</v>
      </c>
      <c r="Q774" s="746" t="s">
        <v>294</v>
      </c>
      <c r="R774" s="202" t="s">
        <v>40</v>
      </c>
      <c r="S774" s="31" t="s">
        <v>273</v>
      </c>
      <c r="T774" s="31" t="s">
        <v>273</v>
      </c>
      <c r="U774" s="31">
        <f>IFERROR(VLOOKUP(CONCATENATE(Tabla1[[#This Row],[Severidad]]," ",Tabla1[[#This Row],[Complejidad]]),Catalogos!E$120:G$128,3,FALSE),"")</f>
        <v>64</v>
      </c>
      <c r="V774" s="31" t="str">
        <f>IF(Tabla1[[#This Row],[Tiempo solución max (hrs)]]&lt;&gt;"",IF(Tabla1[[#This Row],[Tiempo solución max (hrs)]]&gt;=Tabla1[[#This Row],[Tiempo
(Hrs 00/100)]],"cumple","no cumple"),"")</f>
        <v>cumple</v>
      </c>
      <c r="W774" s="376" t="s">
        <v>1149</v>
      </c>
      <c r="X774" s="463" t="str">
        <f t="shared" si="92"/>
        <v>SPD</v>
      </c>
      <c r="Y774" s="459" t="str">
        <f>SUBSTITUTE(Tabla1[[#This Row],[Descripción]],CHAR(10),"    I    ")</f>
        <v xml:space="preserve">Se realiza servicio de consulta de archivos para la descarga de acuses de impugnaciones </v>
      </c>
      <c r="Z774" s="464">
        <f>VLOOKUP(Tabla1[[#This Row],[Perfil]],Catalogos!$B$75:$D$100,3,FALSE)*Tabla1[[#This Row],[Tiempo
(Hrs 00/100)]]*1.16</f>
        <v>6496</v>
      </c>
    </row>
    <row r="775" spans="1:26" ht="15" customHeight="1" x14ac:dyDescent="0.3">
      <c r="A775" s="373" t="s">
        <v>22</v>
      </c>
      <c r="B775" s="184" t="s">
        <v>23</v>
      </c>
      <c r="C775" s="183" t="s">
        <v>49</v>
      </c>
      <c r="D775" s="179"/>
      <c r="E775" s="386" t="s">
        <v>404</v>
      </c>
      <c r="F775" s="373" t="s">
        <v>23</v>
      </c>
      <c r="G775" s="370"/>
      <c r="H775" s="386" t="s">
        <v>1152</v>
      </c>
      <c r="I775" s="497" t="s">
        <v>1153</v>
      </c>
      <c r="J775" s="713">
        <v>45049</v>
      </c>
      <c r="K775" s="709">
        <v>0.375</v>
      </c>
      <c r="L775" s="713">
        <v>45049</v>
      </c>
      <c r="M775" s="739">
        <v>0.79166666666666663</v>
      </c>
      <c r="N775" s="373">
        <v>8</v>
      </c>
      <c r="O775" s="184" t="s">
        <v>17</v>
      </c>
      <c r="P775" s="185" t="s">
        <v>613</v>
      </c>
      <c r="Q775" s="746" t="s">
        <v>294</v>
      </c>
      <c r="R775" s="202" t="s">
        <v>40</v>
      </c>
      <c r="S775" s="31" t="s">
        <v>273</v>
      </c>
      <c r="T775" s="31" t="s">
        <v>273</v>
      </c>
      <c r="U775" s="31">
        <f>IFERROR(VLOOKUP(CONCATENATE(Tabla1[[#This Row],[Severidad]]," ",Tabla1[[#This Row],[Complejidad]]),Catalogos!E$120:G$128,3,FALSE),"")</f>
        <v>64</v>
      </c>
      <c r="V775" s="31" t="str">
        <f>IF(Tabla1[[#This Row],[Tiempo solución max (hrs)]]&lt;&gt;"",IF(Tabla1[[#This Row],[Tiempo solución max (hrs)]]&gt;=Tabla1[[#This Row],[Tiempo
(Hrs 00/100)]],"cumple","no cumple"),"")</f>
        <v>cumple</v>
      </c>
      <c r="W775" s="376" t="s">
        <v>1149</v>
      </c>
      <c r="X775" s="463" t="str">
        <f t="shared" si="92"/>
        <v>SAI</v>
      </c>
      <c r="Y775" s="459" t="str">
        <f>SUBSTITUTE(Tabla1[[#This Row],[Descripción]],CHAR(10),"    I    ")</f>
        <v>Se realiza revisión y corrección de incidencia productiva. Carga de rutas de implementación a  Actividades ABC</v>
      </c>
      <c r="Z775" s="464">
        <f>VLOOKUP(Tabla1[[#This Row],[Perfil]],Catalogos!$B$75:$D$100,3,FALSE)*Tabla1[[#This Row],[Tiempo
(Hrs 00/100)]]*1.16</f>
        <v>6496</v>
      </c>
    </row>
    <row r="776" spans="1:26" ht="15" customHeight="1" x14ac:dyDescent="0.3">
      <c r="A776" s="373" t="s">
        <v>22</v>
      </c>
      <c r="B776" s="184" t="s">
        <v>23</v>
      </c>
      <c r="C776" s="183" t="s">
        <v>45</v>
      </c>
      <c r="D776" s="179"/>
      <c r="E776" s="386" t="s">
        <v>641</v>
      </c>
      <c r="F776" s="373" t="s">
        <v>23</v>
      </c>
      <c r="G776" s="370"/>
      <c r="H776" s="386" t="s">
        <v>1154</v>
      </c>
      <c r="I776" s="497" t="s">
        <v>1155</v>
      </c>
      <c r="J776" s="713">
        <v>45050</v>
      </c>
      <c r="K776" s="709">
        <v>0.375</v>
      </c>
      <c r="L776" s="713">
        <v>45050</v>
      </c>
      <c r="M776" s="739">
        <v>0.79166666666666663</v>
      </c>
      <c r="N776" s="373">
        <v>8</v>
      </c>
      <c r="O776" s="184" t="s">
        <v>411</v>
      </c>
      <c r="P776" s="389" t="s">
        <v>647</v>
      </c>
      <c r="Q776" s="746" t="s">
        <v>294</v>
      </c>
      <c r="R776" s="202" t="s">
        <v>40</v>
      </c>
      <c r="S776" s="31" t="s">
        <v>273</v>
      </c>
      <c r="T776" s="31" t="s">
        <v>273</v>
      </c>
      <c r="U776" s="31">
        <f>IFERROR(VLOOKUP(CONCATENATE(Tabla1[[#This Row],[Severidad]]," ",Tabla1[[#This Row],[Complejidad]]),Catalogos!E$120:G$128,3,FALSE),"")</f>
        <v>64</v>
      </c>
      <c r="V776" s="31" t="str">
        <f>IF(Tabla1[[#This Row],[Tiempo solución max (hrs)]]&lt;&gt;"",IF(Tabla1[[#This Row],[Tiempo solución max (hrs)]]&gt;=Tabla1[[#This Row],[Tiempo
(Hrs 00/100)]],"cumple","no cumple"),"")</f>
        <v>cumple</v>
      </c>
      <c r="W776" s="376" t="s">
        <v>1149</v>
      </c>
      <c r="X776" s="463" t="str">
        <f t="shared" si="92"/>
        <v>SPD</v>
      </c>
      <c r="Y776" s="459" t="str">
        <f>SUBSTITUTE(Tabla1[[#This Row],[Descripción]],CHAR(10),"    I    ")</f>
        <v xml:space="preserve">Se realiza el servicio de actualización de estatus para las notificaciones </v>
      </c>
      <c r="Z776" s="464">
        <f>VLOOKUP(Tabla1[[#This Row],[Perfil]],Catalogos!$B$75:$D$100,3,FALSE)*Tabla1[[#This Row],[Tiempo
(Hrs 00/100)]]*1.16</f>
        <v>6496</v>
      </c>
    </row>
    <row r="777" spans="1:26" ht="15" customHeight="1" x14ac:dyDescent="0.3">
      <c r="A777" s="373" t="s">
        <v>22</v>
      </c>
      <c r="B777" s="184" t="s">
        <v>23</v>
      </c>
      <c r="C777" s="183" t="s">
        <v>45</v>
      </c>
      <c r="D777" s="370"/>
      <c r="E777" s="386" t="s">
        <v>641</v>
      </c>
      <c r="F777" s="373" t="s">
        <v>23</v>
      </c>
      <c r="G777" s="370"/>
      <c r="H777" s="386" t="s">
        <v>1154</v>
      </c>
      <c r="I777" s="497" t="s">
        <v>1155</v>
      </c>
      <c r="J777" s="713">
        <v>45054</v>
      </c>
      <c r="K777" s="747">
        <v>0.375</v>
      </c>
      <c r="L777" s="713">
        <v>45054</v>
      </c>
      <c r="M777" s="753">
        <v>0.79166666666666663</v>
      </c>
      <c r="N777" s="373">
        <v>8</v>
      </c>
      <c r="O777" s="184" t="s">
        <v>17</v>
      </c>
      <c r="P777" s="185" t="s">
        <v>647</v>
      </c>
      <c r="Q777" s="746" t="s">
        <v>294</v>
      </c>
      <c r="R777" s="202" t="s">
        <v>40</v>
      </c>
      <c r="S777" s="31" t="s">
        <v>273</v>
      </c>
      <c r="T777" s="31" t="s">
        <v>273</v>
      </c>
      <c r="U777" s="31">
        <f>IFERROR(VLOOKUP(CONCATENATE(Tabla1[[#This Row],[Severidad]]," ",Tabla1[[#This Row],[Complejidad]]),Catalogos!E$120:G$128,3,FALSE),"")</f>
        <v>64</v>
      </c>
      <c r="V777" s="31" t="str">
        <f>IF(Tabla1[[#This Row],[Tiempo solución max (hrs)]]&lt;&gt;"",IF(Tabla1[[#This Row],[Tiempo solución max (hrs)]]&gt;=Tabla1[[#This Row],[Tiempo
(Hrs 00/100)]],"cumple","no cumple"),"")</f>
        <v>cumple</v>
      </c>
      <c r="W777" s="376" t="s">
        <v>1149</v>
      </c>
      <c r="X777" s="463" t="str">
        <f t="shared" si="92"/>
        <v>SPD</v>
      </c>
      <c r="Y777" s="459" t="str">
        <f>SUBSTITUTE(Tabla1[[#This Row],[Descripción]],CHAR(10),"    I    ")</f>
        <v xml:space="preserve">Se realiza el servicio de actualización de estatus para las notificaciones </v>
      </c>
      <c r="Z777" s="464">
        <f>VLOOKUP(Tabla1[[#This Row],[Perfil]],Catalogos!$B$75:$D$100,3,FALSE)*Tabla1[[#This Row],[Tiempo
(Hrs 00/100)]]*1.16</f>
        <v>6496</v>
      </c>
    </row>
    <row r="778" spans="1:26" ht="15" customHeight="1" x14ac:dyDescent="0.3">
      <c r="A778" s="373" t="s">
        <v>22</v>
      </c>
      <c r="B778" s="184" t="s">
        <v>23</v>
      </c>
      <c r="C778" s="183" t="s">
        <v>45</v>
      </c>
      <c r="D778" s="370"/>
      <c r="E778" s="386" t="s">
        <v>641</v>
      </c>
      <c r="F778" s="373" t="s">
        <v>23</v>
      </c>
      <c r="G778" s="370"/>
      <c r="H778" s="386" t="s">
        <v>1156</v>
      </c>
      <c r="I778" s="497" t="s">
        <v>1157</v>
      </c>
      <c r="J778" s="713">
        <v>45055</v>
      </c>
      <c r="K778" s="747">
        <v>0.375</v>
      </c>
      <c r="L778" s="713">
        <v>45055</v>
      </c>
      <c r="M778" s="753">
        <v>0.79166666666666663</v>
      </c>
      <c r="N778" s="373">
        <v>8</v>
      </c>
      <c r="O778" s="184" t="s">
        <v>411</v>
      </c>
      <c r="P778" s="185" t="s">
        <v>647</v>
      </c>
      <c r="Q778" s="746" t="s">
        <v>294</v>
      </c>
      <c r="R778" s="202" t="s">
        <v>40</v>
      </c>
      <c r="S778" s="31" t="s">
        <v>273</v>
      </c>
      <c r="T778" s="31" t="s">
        <v>273</v>
      </c>
      <c r="U778" s="31">
        <f>IFERROR(VLOOKUP(CONCATENATE(Tabla1[[#This Row],[Severidad]]," ",Tabla1[[#This Row],[Complejidad]]),Catalogos!E$120:G$128,3,FALSE),"")</f>
        <v>64</v>
      </c>
      <c r="V778" s="31" t="str">
        <f>IF(Tabla1[[#This Row],[Tiempo solución max (hrs)]]&lt;&gt;"",IF(Tabla1[[#This Row],[Tiempo solución max (hrs)]]&gt;=Tabla1[[#This Row],[Tiempo
(Hrs 00/100)]],"cumple","no cumple"),"")</f>
        <v>cumple</v>
      </c>
      <c r="W778" s="376" t="s">
        <v>1149</v>
      </c>
      <c r="X778" s="463" t="str">
        <f t="shared" si="92"/>
        <v>SPD</v>
      </c>
      <c r="Y778" s="459" t="str">
        <f>SUBSTITUTE(Tabla1[[#This Row],[Descripción]],CHAR(10),"    I    ")</f>
        <v xml:space="preserve">Se realiza el servicio interno de guardado de documentos para el módulo de notificaciones </v>
      </c>
      <c r="Z778" s="464">
        <f>VLOOKUP(Tabla1[[#This Row],[Perfil]],Catalogos!$B$75:$D$100,3,FALSE)*Tabla1[[#This Row],[Tiempo
(Hrs 00/100)]]*1.16</f>
        <v>6496</v>
      </c>
    </row>
    <row r="779" spans="1:26" ht="15" customHeight="1" x14ac:dyDescent="0.3">
      <c r="A779" s="373" t="s">
        <v>22</v>
      </c>
      <c r="B779" s="184" t="s">
        <v>23</v>
      </c>
      <c r="C779" s="183" t="s">
        <v>45</v>
      </c>
      <c r="D779" s="179"/>
      <c r="E779" s="386" t="s">
        <v>641</v>
      </c>
      <c r="F779" s="373" t="s">
        <v>23</v>
      </c>
      <c r="G779" s="370"/>
      <c r="H779" s="386" t="s">
        <v>1156</v>
      </c>
      <c r="I779" s="498" t="s">
        <v>1157</v>
      </c>
      <c r="J779" s="713">
        <v>45056</v>
      </c>
      <c r="K779" s="709">
        <v>0.375</v>
      </c>
      <c r="L779" s="713">
        <v>45056</v>
      </c>
      <c r="M779" s="739">
        <v>0.79166666666666663</v>
      </c>
      <c r="N779" s="373">
        <v>8</v>
      </c>
      <c r="O779" s="184" t="s">
        <v>17</v>
      </c>
      <c r="P779" s="185" t="s">
        <v>647</v>
      </c>
      <c r="Q779" s="746" t="s">
        <v>294</v>
      </c>
      <c r="R779" s="202" t="s">
        <v>40</v>
      </c>
      <c r="S779" s="31" t="s">
        <v>273</v>
      </c>
      <c r="T779" s="31" t="s">
        <v>273</v>
      </c>
      <c r="U779" s="31">
        <f>IFERROR(VLOOKUP(CONCATENATE(Tabla1[[#This Row],[Severidad]]," ",Tabla1[[#This Row],[Complejidad]]),Catalogos!E$120:G$128,3,FALSE),"")</f>
        <v>64</v>
      </c>
      <c r="V779" s="31" t="str">
        <f>IF(Tabla1[[#This Row],[Tiempo solución max (hrs)]]&lt;&gt;"",IF(Tabla1[[#This Row],[Tiempo solución max (hrs)]]&gt;=Tabla1[[#This Row],[Tiempo
(Hrs 00/100)]],"cumple","no cumple"),"")</f>
        <v>cumple</v>
      </c>
      <c r="W779" s="376" t="s">
        <v>1149</v>
      </c>
      <c r="X779" s="463" t="str">
        <f t="shared" si="92"/>
        <v>SPD</v>
      </c>
      <c r="Y779" s="459" t="str">
        <f>SUBSTITUTE(Tabla1[[#This Row],[Descripción]],CHAR(10),"    I    ")</f>
        <v xml:space="preserve">Se realiza el servicio interno de guardado de documentos para el módulo de notificaciones </v>
      </c>
      <c r="Z779" s="464">
        <f>VLOOKUP(Tabla1[[#This Row],[Perfil]],Catalogos!$B$75:$D$100,3,FALSE)*Tabla1[[#This Row],[Tiempo
(Hrs 00/100)]]*1.16</f>
        <v>6496</v>
      </c>
    </row>
    <row r="780" spans="1:26" ht="15" customHeight="1" x14ac:dyDescent="0.3">
      <c r="A780" s="373" t="s">
        <v>22</v>
      </c>
      <c r="B780" s="184" t="s">
        <v>23</v>
      </c>
      <c r="C780" s="183" t="s">
        <v>45</v>
      </c>
      <c r="D780" s="179"/>
      <c r="E780" s="386" t="s">
        <v>641</v>
      </c>
      <c r="F780" s="373" t="s">
        <v>23</v>
      </c>
      <c r="G780" s="370"/>
      <c r="H780" s="386" t="s">
        <v>1158</v>
      </c>
      <c r="I780" s="498" t="s">
        <v>1159</v>
      </c>
      <c r="J780" s="713">
        <v>45057</v>
      </c>
      <c r="K780" s="709">
        <v>0.375</v>
      </c>
      <c r="L780" s="713">
        <v>45057</v>
      </c>
      <c r="M780" s="739">
        <v>0.79166666666666663</v>
      </c>
      <c r="N780" s="373">
        <v>8</v>
      </c>
      <c r="O780" s="184" t="s">
        <v>411</v>
      </c>
      <c r="P780" s="185" t="s">
        <v>647</v>
      </c>
      <c r="Q780" s="746" t="s">
        <v>294</v>
      </c>
      <c r="R780" s="202" t="s">
        <v>40</v>
      </c>
      <c r="S780" s="31" t="s">
        <v>273</v>
      </c>
      <c r="T780" s="31" t="s">
        <v>273</v>
      </c>
      <c r="U780" s="31">
        <f>IFERROR(VLOOKUP(CONCATENATE(Tabla1[[#This Row],[Severidad]]," ",Tabla1[[#This Row],[Complejidad]]),Catalogos!E$120:G$128,3,FALSE),"")</f>
        <v>64</v>
      </c>
      <c r="V780" s="31" t="str">
        <f>IF(Tabla1[[#This Row],[Tiempo solución max (hrs)]]&lt;&gt;"",IF(Tabla1[[#This Row],[Tiempo solución max (hrs)]]&gt;=Tabla1[[#This Row],[Tiempo
(Hrs 00/100)]],"cumple","no cumple"),"")</f>
        <v>cumple</v>
      </c>
      <c r="W780" s="376" t="s">
        <v>1149</v>
      </c>
      <c r="X780" s="463" t="str">
        <f t="shared" si="92"/>
        <v>SPD</v>
      </c>
      <c r="Y780" s="459" t="str">
        <f>SUBSTITUTE(Tabla1[[#This Row],[Descripción]],CHAR(10),"    I    ")</f>
        <v xml:space="preserve">Se realiza servicio de respuesta de notificacion de recurrentes </v>
      </c>
      <c r="Z780" s="464">
        <f>VLOOKUP(Tabla1[[#This Row],[Perfil]],Catalogos!$B$75:$D$100,3,FALSE)*Tabla1[[#This Row],[Tiempo
(Hrs 00/100)]]*1.16</f>
        <v>6496</v>
      </c>
    </row>
    <row r="781" spans="1:26" ht="15" customHeight="1" x14ac:dyDescent="0.3">
      <c r="A781" s="373" t="s">
        <v>22</v>
      </c>
      <c r="B781" s="184" t="s">
        <v>23</v>
      </c>
      <c r="C781" s="183" t="s">
        <v>45</v>
      </c>
      <c r="D781" s="179"/>
      <c r="E781" s="386" t="s">
        <v>641</v>
      </c>
      <c r="F781" s="373" t="s">
        <v>23</v>
      </c>
      <c r="G781" s="370"/>
      <c r="H781" s="386" t="s">
        <v>1158</v>
      </c>
      <c r="I781" s="497" t="s">
        <v>1159</v>
      </c>
      <c r="J781" s="713">
        <v>45058</v>
      </c>
      <c r="K781" s="709">
        <v>0.375</v>
      </c>
      <c r="L781" s="713">
        <v>45058</v>
      </c>
      <c r="M781" s="739">
        <v>0.79166666666666663</v>
      </c>
      <c r="N781" s="373">
        <v>8</v>
      </c>
      <c r="O781" s="184" t="s">
        <v>17</v>
      </c>
      <c r="P781" s="185" t="s">
        <v>647</v>
      </c>
      <c r="Q781" s="746" t="s">
        <v>294</v>
      </c>
      <c r="R781" s="202" t="s">
        <v>40</v>
      </c>
      <c r="S781" s="31" t="s">
        <v>273</v>
      </c>
      <c r="T781" s="31" t="s">
        <v>273</v>
      </c>
      <c r="U781" s="31">
        <f>IFERROR(VLOOKUP(CONCATENATE(Tabla1[[#This Row],[Severidad]]," ",Tabla1[[#This Row],[Complejidad]]),Catalogos!E$120:G$128,3,FALSE),"")</f>
        <v>64</v>
      </c>
      <c r="V781" s="31" t="str">
        <f>IF(Tabla1[[#This Row],[Tiempo solución max (hrs)]]&lt;&gt;"",IF(Tabla1[[#This Row],[Tiempo solución max (hrs)]]&gt;=Tabla1[[#This Row],[Tiempo
(Hrs 00/100)]],"cumple","no cumple"),"")</f>
        <v>cumple</v>
      </c>
      <c r="W781" s="376" t="s">
        <v>1149</v>
      </c>
      <c r="X781" s="463" t="str">
        <f t="shared" si="92"/>
        <v>SPD</v>
      </c>
      <c r="Y781" s="459" t="str">
        <f>SUBSTITUTE(Tabla1[[#This Row],[Descripción]],CHAR(10),"    I    ")</f>
        <v xml:space="preserve">Se realiza servicio de respuesta de notificacion de recurrentes </v>
      </c>
      <c r="Z781" s="464">
        <f>VLOOKUP(Tabla1[[#This Row],[Perfil]],Catalogos!$B$75:$D$100,3,FALSE)*Tabla1[[#This Row],[Tiempo
(Hrs 00/100)]]*1.16</f>
        <v>6496</v>
      </c>
    </row>
    <row r="782" spans="1:26" ht="15" customHeight="1" x14ac:dyDescent="0.3">
      <c r="A782" s="373" t="s">
        <v>22</v>
      </c>
      <c r="B782" s="184" t="s">
        <v>23</v>
      </c>
      <c r="C782" s="183" t="s">
        <v>45</v>
      </c>
      <c r="D782" s="179"/>
      <c r="E782" s="386" t="s">
        <v>641</v>
      </c>
      <c r="F782" s="373" t="s">
        <v>23</v>
      </c>
      <c r="G782" s="370"/>
      <c r="H782" s="386" t="s">
        <v>1160</v>
      </c>
      <c r="I782" s="497" t="s">
        <v>1161</v>
      </c>
      <c r="J782" s="713">
        <v>45061</v>
      </c>
      <c r="K782" s="709">
        <v>0.375</v>
      </c>
      <c r="L782" s="713">
        <v>45061</v>
      </c>
      <c r="M782" s="739">
        <v>0.79166666666666663</v>
      </c>
      <c r="N782" s="373">
        <v>8</v>
      </c>
      <c r="O782" s="184" t="s">
        <v>411</v>
      </c>
      <c r="P782" s="185" t="s">
        <v>647</v>
      </c>
      <c r="Q782" s="746" t="s">
        <v>294</v>
      </c>
      <c r="R782" s="202" t="s">
        <v>40</v>
      </c>
      <c r="S782" s="31" t="s">
        <v>273</v>
      </c>
      <c r="T782" s="31" t="s">
        <v>273</v>
      </c>
      <c r="U782" s="31">
        <f>IFERROR(VLOOKUP(CONCATENATE(Tabla1[[#This Row],[Severidad]]," ",Tabla1[[#This Row],[Complejidad]]),Catalogos!E$120:G$128,3,FALSE),"")</f>
        <v>64</v>
      </c>
      <c r="V782" s="31" t="str">
        <f>IF(Tabla1[[#This Row],[Tiempo solución max (hrs)]]&lt;&gt;"",IF(Tabla1[[#This Row],[Tiempo solución max (hrs)]]&gt;=Tabla1[[#This Row],[Tiempo
(Hrs 00/100)]],"cumple","no cumple"),"")</f>
        <v>cumple</v>
      </c>
      <c r="W782" s="376" t="s">
        <v>1149</v>
      </c>
      <c r="X782" s="463" t="str">
        <f t="shared" si="92"/>
        <v>SPD</v>
      </c>
      <c r="Y782" s="459" t="str">
        <f>SUBSTITUTE(Tabla1[[#This Row],[Descripción]],CHAR(10),"    I    ")</f>
        <v xml:space="preserve">Se prueban campos de envío a sp de guardado de quejas </v>
      </c>
      <c r="Z782" s="464">
        <f>VLOOKUP(Tabla1[[#This Row],[Perfil]],Catalogos!$B$75:$D$100,3,FALSE)*Tabla1[[#This Row],[Tiempo
(Hrs 00/100)]]*1.16</f>
        <v>6496</v>
      </c>
    </row>
    <row r="783" spans="1:26" ht="15" customHeight="1" x14ac:dyDescent="0.3">
      <c r="A783" s="373" t="s">
        <v>22</v>
      </c>
      <c r="B783" s="184" t="s">
        <v>23</v>
      </c>
      <c r="C783" s="183" t="s">
        <v>45</v>
      </c>
      <c r="D783" s="179"/>
      <c r="E783" s="386" t="s">
        <v>641</v>
      </c>
      <c r="F783" s="373" t="s">
        <v>23</v>
      </c>
      <c r="G783" s="370"/>
      <c r="H783" s="386" t="s">
        <v>1160</v>
      </c>
      <c r="I783" s="497" t="s">
        <v>1161</v>
      </c>
      <c r="J783" s="713">
        <v>45062</v>
      </c>
      <c r="K783" s="709">
        <v>0.375</v>
      </c>
      <c r="L783" s="713">
        <v>45062</v>
      </c>
      <c r="M783" s="739">
        <v>0.79166666666666663</v>
      </c>
      <c r="N783" s="373">
        <v>8</v>
      </c>
      <c r="O783" s="184" t="s">
        <v>17</v>
      </c>
      <c r="P783" s="389" t="s">
        <v>647</v>
      </c>
      <c r="Q783" s="746" t="s">
        <v>294</v>
      </c>
      <c r="R783" s="202" t="s">
        <v>40</v>
      </c>
      <c r="S783" s="31" t="s">
        <v>273</v>
      </c>
      <c r="T783" s="31" t="s">
        <v>273</v>
      </c>
      <c r="U783" s="31">
        <f>IFERROR(VLOOKUP(CONCATENATE(Tabla1[[#This Row],[Severidad]]," ",Tabla1[[#This Row],[Complejidad]]),Catalogos!E$120:G$128,3,FALSE),"")</f>
        <v>64</v>
      </c>
      <c r="V783" s="31" t="str">
        <f>IF(Tabla1[[#This Row],[Tiempo solución max (hrs)]]&lt;&gt;"",IF(Tabla1[[#This Row],[Tiempo solución max (hrs)]]&gt;=Tabla1[[#This Row],[Tiempo
(Hrs 00/100)]],"cumple","no cumple"),"")</f>
        <v>cumple</v>
      </c>
      <c r="W783" s="376" t="s">
        <v>1149</v>
      </c>
      <c r="X783" s="463" t="str">
        <f t="shared" si="92"/>
        <v>SPD</v>
      </c>
      <c r="Y783" s="459" t="str">
        <f>SUBSTITUTE(Tabla1[[#This Row],[Descripción]],CHAR(10),"    I    ")</f>
        <v xml:space="preserve">Se prueban campos de envío a sp de guardado de quejas </v>
      </c>
      <c r="Z783" s="464">
        <f>VLOOKUP(Tabla1[[#This Row],[Perfil]],Catalogos!$B$75:$D$100,3,FALSE)*Tabla1[[#This Row],[Tiempo
(Hrs 00/100)]]*1.16</f>
        <v>6496</v>
      </c>
    </row>
    <row r="784" spans="1:26" ht="15" customHeight="1" x14ac:dyDescent="0.3">
      <c r="A784" s="373" t="s">
        <v>22</v>
      </c>
      <c r="B784" s="184" t="s">
        <v>23</v>
      </c>
      <c r="C784" s="183" t="s">
        <v>45</v>
      </c>
      <c r="D784" s="179"/>
      <c r="E784" s="386" t="s">
        <v>641</v>
      </c>
      <c r="F784" s="373" t="s">
        <v>23</v>
      </c>
      <c r="G784" s="370"/>
      <c r="H784" s="386" t="s">
        <v>1162</v>
      </c>
      <c r="I784" s="497" t="s">
        <v>1163</v>
      </c>
      <c r="J784" s="713">
        <v>45063</v>
      </c>
      <c r="K784" s="709">
        <v>0.375</v>
      </c>
      <c r="L784" s="713">
        <v>45063</v>
      </c>
      <c r="M784" s="739">
        <v>0.79166666666666663</v>
      </c>
      <c r="N784" s="373">
        <v>8</v>
      </c>
      <c r="O784" s="184" t="s">
        <v>17</v>
      </c>
      <c r="P784" s="185" t="s">
        <v>647</v>
      </c>
      <c r="Q784" s="746" t="s">
        <v>294</v>
      </c>
      <c r="R784" s="202" t="s">
        <v>40</v>
      </c>
      <c r="S784" s="31" t="s">
        <v>273</v>
      </c>
      <c r="T784" s="31" t="s">
        <v>273</v>
      </c>
      <c r="U784" s="31">
        <f>IFERROR(VLOOKUP(CONCATENATE(Tabla1[[#This Row],[Severidad]]," ",Tabla1[[#This Row],[Complejidad]]),Catalogos!E$120:G$128,3,FALSE),"")</f>
        <v>64</v>
      </c>
      <c r="V784" s="31" t="str">
        <f>IF(Tabla1[[#This Row],[Tiempo solución max (hrs)]]&lt;&gt;"",IF(Tabla1[[#This Row],[Tiempo solución max (hrs)]]&gt;=Tabla1[[#This Row],[Tiempo
(Hrs 00/100)]],"cumple","no cumple"),"")</f>
        <v>cumple</v>
      </c>
      <c r="W784" s="376" t="s">
        <v>1149</v>
      </c>
      <c r="X784" s="463" t="str">
        <f t="shared" si="92"/>
        <v>SPD</v>
      </c>
      <c r="Y784" s="459" t="str">
        <f>SUBSTITUTE(Tabla1[[#This Row],[Descripción]],CHAR(10),"    I    ")</f>
        <v xml:space="preserve">Se realiza el servicio de respuesta de solicitud </v>
      </c>
      <c r="Z784" s="464">
        <f>VLOOKUP(Tabla1[[#This Row],[Perfil]],Catalogos!$B$75:$D$100,3,FALSE)*Tabla1[[#This Row],[Tiempo
(Hrs 00/100)]]*1.16</f>
        <v>6496</v>
      </c>
    </row>
    <row r="785" spans="1:26" ht="15" customHeight="1" x14ac:dyDescent="0.3">
      <c r="A785" s="373" t="s">
        <v>22</v>
      </c>
      <c r="B785" s="184" t="s">
        <v>23</v>
      </c>
      <c r="C785" s="183" t="s">
        <v>49</v>
      </c>
      <c r="D785" s="179"/>
      <c r="E785" s="386" t="s">
        <v>404</v>
      </c>
      <c r="F785" s="373" t="s">
        <v>23</v>
      </c>
      <c r="G785" s="370"/>
      <c r="H785" s="386" t="s">
        <v>1152</v>
      </c>
      <c r="I785" s="498" t="s">
        <v>1164</v>
      </c>
      <c r="J785" s="713">
        <v>45065</v>
      </c>
      <c r="K785" s="747">
        <v>0.375</v>
      </c>
      <c r="L785" s="713">
        <v>45065</v>
      </c>
      <c r="M785" s="753">
        <v>0.79166666666666663</v>
      </c>
      <c r="N785" s="373">
        <v>8</v>
      </c>
      <c r="O785" s="184" t="s">
        <v>17</v>
      </c>
      <c r="P785" s="375" t="s">
        <v>613</v>
      </c>
      <c r="Q785" s="746" t="s">
        <v>294</v>
      </c>
      <c r="R785" s="202" t="s">
        <v>40</v>
      </c>
      <c r="S785" s="31" t="s">
        <v>273</v>
      </c>
      <c r="T785" s="31" t="s">
        <v>273</v>
      </c>
      <c r="U785" s="31">
        <f>IFERROR(VLOOKUP(CONCATENATE(Tabla1[[#This Row],[Severidad]]," ",Tabla1[[#This Row],[Complejidad]]),Catalogos!E$120:G$128,3,FALSE),"")</f>
        <v>64</v>
      </c>
      <c r="V785" s="31" t="str">
        <f>IF(Tabla1[[#This Row],[Tiempo solución max (hrs)]]&lt;&gt;"",IF(Tabla1[[#This Row],[Tiempo solución max (hrs)]]&gt;=Tabla1[[#This Row],[Tiempo
(Hrs 00/100)]],"cumple","no cumple"),"")</f>
        <v>cumple</v>
      </c>
      <c r="W785" s="376" t="s">
        <v>1149</v>
      </c>
      <c r="X785" s="463" t="str">
        <f t="shared" si="92"/>
        <v>SAI</v>
      </c>
      <c r="Y785" s="459" t="str">
        <f>SUBSTITUTE(Tabla1[[#This Row],[Descripción]],CHAR(10),"    I    ")</f>
        <v xml:space="preserve">Se trabaja en el agregado de campos en la comparativa de actividades de ruta de implementación y actividades abc </v>
      </c>
      <c r="Z785" s="464">
        <f>VLOOKUP(Tabla1[[#This Row],[Perfil]],Catalogos!$B$75:$D$100,3,FALSE)*Tabla1[[#This Row],[Tiempo
(Hrs 00/100)]]*1.16</f>
        <v>6496</v>
      </c>
    </row>
    <row r="786" spans="1:26" ht="15" customHeight="1" x14ac:dyDescent="0.3">
      <c r="A786" s="373" t="s">
        <v>22</v>
      </c>
      <c r="B786" s="184" t="s">
        <v>23</v>
      </c>
      <c r="C786" s="183" t="s">
        <v>49</v>
      </c>
      <c r="D786" s="370"/>
      <c r="E786" s="386" t="s">
        <v>404</v>
      </c>
      <c r="F786" s="373" t="s">
        <v>23</v>
      </c>
      <c r="G786" s="370"/>
      <c r="H786" s="386" t="s">
        <v>1165</v>
      </c>
      <c r="I786" s="498" t="s">
        <v>1166</v>
      </c>
      <c r="J786" s="713">
        <v>45070</v>
      </c>
      <c r="K786" s="709">
        <v>0.375</v>
      </c>
      <c r="L786" s="713">
        <v>45070</v>
      </c>
      <c r="M786" s="739">
        <v>0.79166666666666663</v>
      </c>
      <c r="N786" s="373">
        <v>8</v>
      </c>
      <c r="O786" s="184" t="s">
        <v>17</v>
      </c>
      <c r="P786" s="375" t="s">
        <v>613</v>
      </c>
      <c r="Q786" s="746" t="s">
        <v>294</v>
      </c>
      <c r="R786" s="202" t="s">
        <v>40</v>
      </c>
      <c r="S786" s="31" t="s">
        <v>273</v>
      </c>
      <c r="T786" s="31" t="s">
        <v>273</v>
      </c>
      <c r="U786" s="31">
        <f>IFERROR(VLOOKUP(CONCATENATE(Tabla1[[#This Row],[Severidad]]," ",Tabla1[[#This Row],[Complejidad]]),Catalogos!E$120:G$128,3,FALSE),"")</f>
        <v>64</v>
      </c>
      <c r="V786" s="31" t="str">
        <f>IF(Tabla1[[#This Row],[Tiempo solución max (hrs)]]&lt;&gt;"",IF(Tabla1[[#This Row],[Tiempo solución max (hrs)]]&gt;=Tabla1[[#This Row],[Tiempo
(Hrs 00/100)]],"cumple","no cumple"),"")</f>
        <v>cumple</v>
      </c>
      <c r="W786" s="376" t="s">
        <v>1149</v>
      </c>
      <c r="X786" s="463" t="str">
        <f t="shared" si="92"/>
        <v>SAI</v>
      </c>
      <c r="Y786" s="459" t="str">
        <f>SUBSTITUTE(Tabla1[[#This Row],[Descripción]],CHAR(10),"    I    ")</f>
        <v xml:space="preserve">Corrección de reglas de negocio para carga de actividades abc y agregado. </v>
      </c>
      <c r="Z786" s="464">
        <f>VLOOKUP(Tabla1[[#This Row],[Perfil]],Catalogos!$B$75:$D$100,3,FALSE)*Tabla1[[#This Row],[Tiempo
(Hrs 00/100)]]*1.16</f>
        <v>6496</v>
      </c>
    </row>
    <row r="787" spans="1:26" ht="15" customHeight="1" x14ac:dyDescent="0.3">
      <c r="A787" s="370" t="s">
        <v>22</v>
      </c>
      <c r="B787" s="370" t="s">
        <v>305</v>
      </c>
      <c r="C787" s="205" t="s">
        <v>16</v>
      </c>
      <c r="D787" s="370"/>
      <c r="E787" s="370" t="s">
        <v>503</v>
      </c>
      <c r="F787" s="370" t="s">
        <v>75</v>
      </c>
      <c r="G787" s="370" t="s">
        <v>435</v>
      </c>
      <c r="H787" s="499" t="s">
        <v>436</v>
      </c>
      <c r="I787" s="500" t="s">
        <v>1167</v>
      </c>
      <c r="J787" s="716">
        <v>45048</v>
      </c>
      <c r="K787" s="709">
        <v>0.375</v>
      </c>
      <c r="L787" s="716">
        <v>45048</v>
      </c>
      <c r="M787" s="759">
        <v>0.5</v>
      </c>
      <c r="N787" s="501">
        <v>3</v>
      </c>
      <c r="O787" s="374" t="s">
        <v>17</v>
      </c>
      <c r="P787" s="375" t="s">
        <v>1168</v>
      </c>
      <c r="Q787" s="785" t="s">
        <v>258</v>
      </c>
      <c r="R787" s="202" t="s">
        <v>81</v>
      </c>
      <c r="S787" s="31" t="s">
        <v>273</v>
      </c>
      <c r="T787" s="31" t="s">
        <v>273</v>
      </c>
      <c r="U787" s="31">
        <f>IFERROR(VLOOKUP(CONCATENATE(Tabla1[[#This Row],[Severidad]]," ",Tabla1[[#This Row],[Complejidad]]),Catalogos!E$120:G$128,3,FALSE),"")</f>
        <v>64</v>
      </c>
      <c r="V787" s="31" t="str">
        <f>IF(Tabla1[[#This Row],[Tiempo solución max (hrs)]]&lt;&gt;"",IF(Tabla1[[#This Row],[Tiempo solución max (hrs)]]&gt;=Tabla1[[#This Row],[Tiempo
(Hrs 00/100)]],"cumple","no cumple"),"")</f>
        <v>cumple</v>
      </c>
      <c r="W787" s="376" t="s">
        <v>1149</v>
      </c>
      <c r="X787" s="463" t="str">
        <f t="shared" ref="X787:X806" si="99">IF(C787&lt;&gt;"",C787,D787)</f>
        <v>SAW</v>
      </c>
      <c r="Y787" s="459" t="str">
        <f>SUBSTITUTE(Tabla1[[#This Row],[Descripción]],CHAR(10),"    I    ")</f>
        <v xml:space="preserve">Actualizacion de micrositio DDHIG </v>
      </c>
      <c r="Z787" s="464">
        <f>VLOOKUP(Tabla1[[#This Row],[Perfil]],Catalogos!$B$75:$D$100,3,FALSE)*Tabla1[[#This Row],[Tiempo
(Hrs 00/100)]]*1.16</f>
        <v>1739.9999999999998</v>
      </c>
    </row>
    <row r="788" spans="1:26" ht="15" customHeight="1" x14ac:dyDescent="0.3">
      <c r="A788" s="370" t="s">
        <v>22</v>
      </c>
      <c r="B788" s="370" t="s">
        <v>305</v>
      </c>
      <c r="C788" s="205" t="s">
        <v>16</v>
      </c>
      <c r="D788" s="370"/>
      <c r="E788" s="370" t="s">
        <v>503</v>
      </c>
      <c r="F788" s="370" t="s">
        <v>75</v>
      </c>
      <c r="G788" s="370" t="s">
        <v>435</v>
      </c>
      <c r="H788" s="499" t="s">
        <v>436</v>
      </c>
      <c r="I788" s="500" t="s">
        <v>1169</v>
      </c>
      <c r="J788" s="716">
        <v>45048</v>
      </c>
      <c r="K788" s="759">
        <v>0.5</v>
      </c>
      <c r="L788" s="716">
        <v>45048</v>
      </c>
      <c r="M788" s="759">
        <v>0.70833333333333337</v>
      </c>
      <c r="N788" s="501">
        <v>3</v>
      </c>
      <c r="O788" s="374" t="s">
        <v>17</v>
      </c>
      <c r="P788" s="375" t="s">
        <v>1170</v>
      </c>
      <c r="Q788" s="785" t="s">
        <v>258</v>
      </c>
      <c r="R788" s="202" t="s">
        <v>81</v>
      </c>
      <c r="S788" s="31" t="s">
        <v>273</v>
      </c>
      <c r="T788" s="31" t="s">
        <v>273</v>
      </c>
      <c r="U788" s="31">
        <f>IFERROR(VLOOKUP(CONCATENATE(Tabla1[[#This Row],[Severidad]]," ",Tabla1[[#This Row],[Complejidad]]),Catalogos!E$120:G$128,3,FALSE),"")</f>
        <v>64</v>
      </c>
      <c r="V788" s="31" t="str">
        <f>IF(Tabla1[[#This Row],[Tiempo solución max (hrs)]]&lt;&gt;"",IF(Tabla1[[#This Row],[Tiempo solución max (hrs)]]&gt;=Tabla1[[#This Row],[Tiempo
(Hrs 00/100)]],"cumple","no cumple"),"")</f>
        <v>cumple</v>
      </c>
      <c r="W788" s="376" t="s">
        <v>1149</v>
      </c>
      <c r="X788" s="463" t="str">
        <f t="shared" si="99"/>
        <v>SAW</v>
      </c>
      <c r="Y788" s="459" t="str">
        <f>SUBSTITUTE(Tabla1[[#This Row],[Descripción]],CHAR(10),"    I    ")</f>
        <v xml:space="preserve">Actualizacion del micrositio Comité de Etica </v>
      </c>
      <c r="Z788" s="464">
        <f>VLOOKUP(Tabla1[[#This Row],[Perfil]],Catalogos!$B$75:$D$100,3,FALSE)*Tabla1[[#This Row],[Tiempo
(Hrs 00/100)]]*1.16</f>
        <v>1739.9999999999998</v>
      </c>
    </row>
    <row r="789" spans="1:26" ht="15" customHeight="1" x14ac:dyDescent="0.3">
      <c r="A789" s="370" t="s">
        <v>22</v>
      </c>
      <c r="B789" s="370" t="s">
        <v>305</v>
      </c>
      <c r="C789" s="205" t="s">
        <v>16</v>
      </c>
      <c r="D789" s="370"/>
      <c r="E789" s="370" t="s">
        <v>503</v>
      </c>
      <c r="F789" s="370" t="s">
        <v>75</v>
      </c>
      <c r="G789" s="370" t="s">
        <v>435</v>
      </c>
      <c r="H789" s="499" t="s">
        <v>436</v>
      </c>
      <c r="I789" s="500" t="s">
        <v>1171</v>
      </c>
      <c r="J789" s="716">
        <v>45048</v>
      </c>
      <c r="K789" s="759">
        <v>0.70833333333333337</v>
      </c>
      <c r="L789" s="716">
        <v>45048</v>
      </c>
      <c r="M789" s="759">
        <v>0.79166666666666663</v>
      </c>
      <c r="N789" s="501">
        <v>2</v>
      </c>
      <c r="O789" s="374" t="s">
        <v>17</v>
      </c>
      <c r="P789" s="375" t="s">
        <v>1172</v>
      </c>
      <c r="Q789" s="785" t="s">
        <v>258</v>
      </c>
      <c r="R789" s="202" t="s">
        <v>81</v>
      </c>
      <c r="S789" s="31" t="s">
        <v>273</v>
      </c>
      <c r="T789" s="31" t="s">
        <v>273</v>
      </c>
      <c r="U789" s="31">
        <f>IFERROR(VLOOKUP(CONCATENATE(Tabla1[[#This Row],[Severidad]]," ",Tabla1[[#This Row],[Complejidad]]),Catalogos!E$120:G$128,3,FALSE),"")</f>
        <v>64</v>
      </c>
      <c r="V789" s="31" t="str">
        <f>IF(Tabla1[[#This Row],[Tiempo solución max (hrs)]]&lt;&gt;"",IF(Tabla1[[#This Row],[Tiempo solución max (hrs)]]&gt;=Tabla1[[#This Row],[Tiempo
(Hrs 00/100)]],"cumple","no cumple"),"")</f>
        <v>cumple</v>
      </c>
      <c r="W789" s="376" t="s">
        <v>1149</v>
      </c>
      <c r="X789" s="463" t="str">
        <f t="shared" si="99"/>
        <v>SAW</v>
      </c>
      <c r="Y789" s="459" t="str">
        <f>SUBSTITUTE(Tabla1[[#This Row],[Descripción]],CHAR(10),"    I    ")</f>
        <v>Modificacion de estilos</v>
      </c>
      <c r="Z789" s="464">
        <f>VLOOKUP(Tabla1[[#This Row],[Perfil]],Catalogos!$B$75:$D$100,3,FALSE)*Tabla1[[#This Row],[Tiempo
(Hrs 00/100)]]*1.16</f>
        <v>1160</v>
      </c>
    </row>
    <row r="790" spans="1:26" ht="15" customHeight="1" x14ac:dyDescent="0.3">
      <c r="A790" s="370" t="s">
        <v>22</v>
      </c>
      <c r="B790" s="370" t="s">
        <v>305</v>
      </c>
      <c r="C790" s="205" t="s">
        <v>16</v>
      </c>
      <c r="D790" s="382"/>
      <c r="E790" s="370" t="s">
        <v>503</v>
      </c>
      <c r="F790" s="210" t="s">
        <v>75</v>
      </c>
      <c r="G790" s="370" t="s">
        <v>435</v>
      </c>
      <c r="H790" s="499" t="s">
        <v>436</v>
      </c>
      <c r="I790" s="500" t="s">
        <v>1173</v>
      </c>
      <c r="J790" s="716">
        <v>45049</v>
      </c>
      <c r="K790" s="709">
        <v>0.375</v>
      </c>
      <c r="L790" s="716">
        <v>45049</v>
      </c>
      <c r="M790" s="759">
        <v>0.45833333333333331</v>
      </c>
      <c r="N790" s="501">
        <v>2</v>
      </c>
      <c r="O790" s="374" t="s">
        <v>17</v>
      </c>
      <c r="P790" s="375" t="s">
        <v>1174</v>
      </c>
      <c r="Q790" s="785" t="s">
        <v>258</v>
      </c>
      <c r="R790" s="202" t="s">
        <v>81</v>
      </c>
      <c r="S790" s="31" t="s">
        <v>273</v>
      </c>
      <c r="T790" s="31" t="s">
        <v>273</v>
      </c>
      <c r="U790" s="31">
        <f>IFERROR(VLOOKUP(CONCATENATE(Tabla1[[#This Row],[Severidad]]," ",Tabla1[[#This Row],[Complejidad]]),Catalogos!E$120:G$128,3,FALSE),"")</f>
        <v>64</v>
      </c>
      <c r="V790" s="31" t="str">
        <f>IF(Tabla1[[#This Row],[Tiempo solución max (hrs)]]&lt;&gt;"",IF(Tabla1[[#This Row],[Tiempo solución max (hrs)]]&gt;=Tabla1[[#This Row],[Tiempo
(Hrs 00/100)]],"cumple","no cumple"),"")</f>
        <v>cumple</v>
      </c>
      <c r="W790" s="376" t="s">
        <v>1149</v>
      </c>
      <c r="X790" s="463" t="str">
        <f t="shared" si="99"/>
        <v>SAW</v>
      </c>
      <c r="Y790" s="459" t="str">
        <f>SUBSTITUTE(Tabla1[[#This Row],[Descripción]],CHAR(10),"    I    ")</f>
        <v xml:space="preserve">Actualizacioion micrositio Innovacion y buena practica </v>
      </c>
      <c r="Z790" s="464">
        <f>VLOOKUP(Tabla1[[#This Row],[Perfil]],Catalogos!$B$75:$D$100,3,FALSE)*Tabla1[[#This Row],[Tiempo
(Hrs 00/100)]]*1.16</f>
        <v>1160</v>
      </c>
    </row>
    <row r="791" spans="1:26" ht="15" customHeight="1" x14ac:dyDescent="0.3">
      <c r="A791" s="370" t="s">
        <v>22</v>
      </c>
      <c r="B791" s="370" t="s">
        <v>305</v>
      </c>
      <c r="C791" s="205" t="s">
        <v>16</v>
      </c>
      <c r="D791" s="382"/>
      <c r="E791" s="370" t="s">
        <v>503</v>
      </c>
      <c r="F791" s="210" t="s">
        <v>75</v>
      </c>
      <c r="G791" s="370" t="s">
        <v>435</v>
      </c>
      <c r="H791" s="499" t="s">
        <v>436</v>
      </c>
      <c r="I791" s="500" t="s">
        <v>1175</v>
      </c>
      <c r="J791" s="716">
        <v>45049</v>
      </c>
      <c r="K791" s="759">
        <v>0.45833333333333331</v>
      </c>
      <c r="L791" s="716">
        <v>45049</v>
      </c>
      <c r="M791" s="759">
        <v>0.58333333333333337</v>
      </c>
      <c r="N791" s="501">
        <v>3</v>
      </c>
      <c r="O791" s="374" t="s">
        <v>17</v>
      </c>
      <c r="P791" s="375" t="s">
        <v>1176</v>
      </c>
      <c r="Q791" s="785" t="s">
        <v>258</v>
      </c>
      <c r="R791" s="202" t="s">
        <v>81</v>
      </c>
      <c r="S791" s="31" t="s">
        <v>273</v>
      </c>
      <c r="T791" s="31" t="s">
        <v>273</v>
      </c>
      <c r="U791" s="31">
        <f>IFERROR(VLOOKUP(CONCATENATE(Tabla1[[#This Row],[Severidad]]," ",Tabla1[[#This Row],[Complejidad]]),Catalogos!E$120:G$128,3,FALSE),"")</f>
        <v>64</v>
      </c>
      <c r="V791" s="31" t="str">
        <f>IF(Tabla1[[#This Row],[Tiempo solución max (hrs)]]&lt;&gt;"",IF(Tabla1[[#This Row],[Tiempo solución max (hrs)]]&gt;=Tabla1[[#This Row],[Tiempo
(Hrs 00/100)]],"cumple","no cumple"),"")</f>
        <v>cumple</v>
      </c>
      <c r="W791" s="376" t="s">
        <v>1149</v>
      </c>
      <c r="X791" s="463" t="str">
        <f t="shared" si="99"/>
        <v>SAW</v>
      </c>
      <c r="Y791" s="459" t="str">
        <f>SUBSTITUTE(Tabla1[[#This Row],[Descripción]],CHAR(10),"    I    ")</f>
        <v xml:space="preserve">Planeacion carga de metodologia </v>
      </c>
      <c r="Z791" s="464">
        <f>VLOOKUP(Tabla1[[#This Row],[Perfil]],Catalogos!$B$75:$D$100,3,FALSE)*Tabla1[[#This Row],[Tiempo
(Hrs 00/100)]]*1.16</f>
        <v>1739.9999999999998</v>
      </c>
    </row>
    <row r="792" spans="1:26" ht="15" customHeight="1" x14ac:dyDescent="0.3">
      <c r="A792" s="370" t="s">
        <v>22</v>
      </c>
      <c r="B792" s="370" t="s">
        <v>305</v>
      </c>
      <c r="C792" s="205" t="s">
        <v>16</v>
      </c>
      <c r="D792" s="382"/>
      <c r="E792" s="370" t="s">
        <v>503</v>
      </c>
      <c r="F792" s="210" t="s">
        <v>75</v>
      </c>
      <c r="G792" s="370" t="s">
        <v>435</v>
      </c>
      <c r="H792" s="499" t="s">
        <v>436</v>
      </c>
      <c r="I792" s="500" t="s">
        <v>1177</v>
      </c>
      <c r="J792" s="716">
        <v>45049</v>
      </c>
      <c r="K792" s="759">
        <v>0.58333333333333337</v>
      </c>
      <c r="L792" s="716">
        <v>45049</v>
      </c>
      <c r="M792" s="759">
        <v>0.79166666666666663</v>
      </c>
      <c r="N792" s="501">
        <v>4</v>
      </c>
      <c r="O792" s="374" t="s">
        <v>17</v>
      </c>
      <c r="P792" s="375" t="s">
        <v>1176</v>
      </c>
      <c r="Q792" s="785" t="s">
        <v>258</v>
      </c>
      <c r="R792" s="202" t="s">
        <v>81</v>
      </c>
      <c r="S792" s="31" t="s">
        <v>273</v>
      </c>
      <c r="T792" s="31" t="s">
        <v>273</v>
      </c>
      <c r="U792" s="31">
        <f>IFERROR(VLOOKUP(CONCATENATE(Tabla1[[#This Row],[Severidad]]," ",Tabla1[[#This Row],[Complejidad]]),Catalogos!E$120:G$128,3,FALSE),"")</f>
        <v>64</v>
      </c>
      <c r="V792" s="31" t="str">
        <f>IF(Tabla1[[#This Row],[Tiempo solución max (hrs)]]&lt;&gt;"",IF(Tabla1[[#This Row],[Tiempo solución max (hrs)]]&gt;=Tabla1[[#This Row],[Tiempo
(Hrs 00/100)]],"cumple","no cumple"),"")</f>
        <v>cumple</v>
      </c>
      <c r="W792" s="376" t="s">
        <v>1149</v>
      </c>
      <c r="X792" s="463" t="str">
        <f t="shared" si="99"/>
        <v>SAW</v>
      </c>
      <c r="Y792" s="459" t="str">
        <f>SUBSTITUTE(Tabla1[[#This Row],[Descripción]],CHAR(10),"    I    ")</f>
        <v xml:space="preserve">Actualizacion sitio Derechos humanos </v>
      </c>
      <c r="Z792" s="464">
        <f>VLOOKUP(Tabla1[[#This Row],[Perfil]],Catalogos!$B$75:$D$100,3,FALSE)*Tabla1[[#This Row],[Tiempo
(Hrs 00/100)]]*1.16</f>
        <v>2320</v>
      </c>
    </row>
    <row r="793" spans="1:26" ht="15" customHeight="1" x14ac:dyDescent="0.3">
      <c r="A793" s="370" t="s">
        <v>22</v>
      </c>
      <c r="B793" s="370" t="s">
        <v>68</v>
      </c>
      <c r="C793" s="205" t="s">
        <v>16</v>
      </c>
      <c r="D793" s="370"/>
      <c r="E793" s="370" t="s">
        <v>503</v>
      </c>
      <c r="F793" s="370" t="s">
        <v>75</v>
      </c>
      <c r="G793" s="370" t="s">
        <v>435</v>
      </c>
      <c r="H793" s="499" t="s">
        <v>436</v>
      </c>
      <c r="I793" s="500" t="s">
        <v>1178</v>
      </c>
      <c r="J793" s="716">
        <v>45050</v>
      </c>
      <c r="K793" s="759">
        <v>0.375</v>
      </c>
      <c r="L793" s="716">
        <v>45050</v>
      </c>
      <c r="M793" s="759">
        <v>0.41666666666666669</v>
      </c>
      <c r="N793" s="501">
        <v>1</v>
      </c>
      <c r="O793" s="374" t="s">
        <v>17</v>
      </c>
      <c r="P793" s="375" t="s">
        <v>1176</v>
      </c>
      <c r="Q793" s="785" t="s">
        <v>258</v>
      </c>
      <c r="R793" s="202" t="s">
        <v>81</v>
      </c>
      <c r="S793" s="31" t="s">
        <v>273</v>
      </c>
      <c r="T793" s="31" t="s">
        <v>273</v>
      </c>
      <c r="U793" s="31">
        <f>IFERROR(VLOOKUP(CONCATENATE(Tabla1[[#This Row],[Severidad]]," ",Tabla1[[#This Row],[Complejidad]]),Catalogos!E$120:G$128,3,FALSE),"")</f>
        <v>64</v>
      </c>
      <c r="V793" s="31" t="str">
        <f>IF(Tabla1[[#This Row],[Tiempo solución max (hrs)]]&lt;&gt;"",IF(Tabla1[[#This Row],[Tiempo solución max (hrs)]]&gt;=Tabla1[[#This Row],[Tiempo
(Hrs 00/100)]],"cumple","no cumple"),"")</f>
        <v>cumple</v>
      </c>
      <c r="W793" s="376" t="s">
        <v>1149</v>
      </c>
      <c r="X793" s="463" t="str">
        <f t="shared" si="99"/>
        <v>SAW</v>
      </c>
      <c r="Y793" s="459" t="str">
        <f>SUBSTITUTE(Tabla1[[#This Row],[Descripción]],CHAR(10),"    I    ")</f>
        <v xml:space="preserve">Cambio de estilos promocion </v>
      </c>
      <c r="Z793" s="464">
        <f>VLOOKUP(Tabla1[[#This Row],[Perfil]],Catalogos!$B$75:$D$100,3,FALSE)*Tabla1[[#This Row],[Tiempo
(Hrs 00/100)]]*1.16</f>
        <v>580</v>
      </c>
    </row>
    <row r="794" spans="1:26" ht="15" customHeight="1" x14ac:dyDescent="0.3">
      <c r="A794" s="370" t="s">
        <v>22</v>
      </c>
      <c r="B794" s="370" t="s">
        <v>68</v>
      </c>
      <c r="C794" s="205" t="s">
        <v>16</v>
      </c>
      <c r="D794" s="382"/>
      <c r="E794" s="370" t="s">
        <v>503</v>
      </c>
      <c r="F794" s="210" t="s">
        <v>75</v>
      </c>
      <c r="G794" s="370" t="s">
        <v>435</v>
      </c>
      <c r="H794" s="499" t="s">
        <v>436</v>
      </c>
      <c r="I794" s="500" t="s">
        <v>1179</v>
      </c>
      <c r="J794" s="716">
        <v>45050</v>
      </c>
      <c r="K794" s="759">
        <v>0.41666666666666669</v>
      </c>
      <c r="L794" s="716">
        <v>45050</v>
      </c>
      <c r="M794" s="759">
        <v>0.60416666666666663</v>
      </c>
      <c r="N794" s="501">
        <v>4.5</v>
      </c>
      <c r="O794" s="374" t="s">
        <v>17</v>
      </c>
      <c r="P794" s="375" t="s">
        <v>1176</v>
      </c>
      <c r="Q794" s="785" t="s">
        <v>258</v>
      </c>
      <c r="R794" s="202" t="s">
        <v>81</v>
      </c>
      <c r="S794" s="31" t="s">
        <v>273</v>
      </c>
      <c r="T794" s="31" t="s">
        <v>273</v>
      </c>
      <c r="U794" s="31">
        <f>IFERROR(VLOOKUP(CONCATENATE(Tabla1[[#This Row],[Severidad]]," ",Tabla1[[#This Row],[Complejidad]]),Catalogos!E$120:G$128,3,FALSE),"")</f>
        <v>64</v>
      </c>
      <c r="V794" s="31" t="str">
        <f>IF(Tabla1[[#This Row],[Tiempo solución max (hrs)]]&lt;&gt;"",IF(Tabla1[[#This Row],[Tiempo solución max (hrs)]]&gt;=Tabla1[[#This Row],[Tiempo
(Hrs 00/100)]],"cumple","no cumple"),"")</f>
        <v>cumple</v>
      </c>
      <c r="W794" s="376" t="s">
        <v>1149</v>
      </c>
      <c r="X794" s="463" t="str">
        <f t="shared" si="99"/>
        <v>SAW</v>
      </c>
      <c r="Y794" s="459" t="str">
        <f>SUBSTITUTE(Tabla1[[#This Row],[Descripción]],CHAR(10),"    I    ")</f>
        <v xml:space="preserve">Recuperacion de contraseñas </v>
      </c>
      <c r="Z794" s="464">
        <f>VLOOKUP(Tabla1[[#This Row],[Perfil]],Catalogos!$B$75:$D$100,3,FALSE)*Tabla1[[#This Row],[Tiempo
(Hrs 00/100)]]*1.16</f>
        <v>2610</v>
      </c>
    </row>
    <row r="795" spans="1:26" ht="15" customHeight="1" x14ac:dyDescent="0.3">
      <c r="A795" s="370" t="s">
        <v>22</v>
      </c>
      <c r="B795" s="370" t="s">
        <v>68</v>
      </c>
      <c r="C795" s="205" t="s">
        <v>16</v>
      </c>
      <c r="D795" s="370"/>
      <c r="E795" s="370" t="s">
        <v>503</v>
      </c>
      <c r="F795" s="210" t="s">
        <v>75</v>
      </c>
      <c r="G795" s="370" t="s">
        <v>435</v>
      </c>
      <c r="H795" s="499" t="s">
        <v>436</v>
      </c>
      <c r="I795" s="500" t="s">
        <v>1180</v>
      </c>
      <c r="J795" s="716">
        <v>45054</v>
      </c>
      <c r="K795" s="759">
        <v>0.375</v>
      </c>
      <c r="L795" s="716">
        <v>45054</v>
      </c>
      <c r="M795" s="759">
        <v>0.54166666666666663</v>
      </c>
      <c r="N795" s="501">
        <v>4</v>
      </c>
      <c r="O795" s="374" t="s">
        <v>17</v>
      </c>
      <c r="P795" s="375" t="s">
        <v>1176</v>
      </c>
      <c r="Q795" s="785" t="s">
        <v>258</v>
      </c>
      <c r="R795" s="202" t="s">
        <v>81</v>
      </c>
      <c r="S795" s="31" t="s">
        <v>273</v>
      </c>
      <c r="T795" s="31" t="s">
        <v>273</v>
      </c>
      <c r="U795" s="31">
        <f>IFERROR(VLOOKUP(CONCATENATE(Tabla1[[#This Row],[Severidad]]," ",Tabla1[[#This Row],[Complejidad]]),Catalogos!E$120:G$128,3,FALSE),"")</f>
        <v>64</v>
      </c>
      <c r="V795" s="31" t="str">
        <f>IF(Tabla1[[#This Row],[Tiempo solución max (hrs)]]&lt;&gt;"",IF(Tabla1[[#This Row],[Tiempo solución max (hrs)]]&gt;=Tabla1[[#This Row],[Tiempo
(Hrs 00/100)]],"cumple","no cumple"),"")</f>
        <v>cumple</v>
      </c>
      <c r="W795" s="376" t="s">
        <v>1149</v>
      </c>
      <c r="X795" s="463" t="str">
        <f t="shared" si="99"/>
        <v>SAW</v>
      </c>
      <c r="Y795" s="459" t="str">
        <f>SUBSTITUTE(Tabla1[[#This Row],[Descripción]],CHAR(10),"    I    ")</f>
        <v xml:space="preserve">actualizacion avance de proyecto </v>
      </c>
      <c r="Z795" s="464">
        <f>VLOOKUP(Tabla1[[#This Row],[Perfil]],Catalogos!$B$75:$D$100,3,FALSE)*Tabla1[[#This Row],[Tiempo
(Hrs 00/100)]]*1.16</f>
        <v>2320</v>
      </c>
    </row>
    <row r="796" spans="1:26" ht="15" customHeight="1" x14ac:dyDescent="0.3">
      <c r="A796" s="370" t="s">
        <v>22</v>
      </c>
      <c r="B796" s="370" t="s">
        <v>68</v>
      </c>
      <c r="C796" s="205" t="s">
        <v>16</v>
      </c>
      <c r="D796" s="382"/>
      <c r="E796" s="370" t="s">
        <v>503</v>
      </c>
      <c r="F796" s="210" t="s">
        <v>75</v>
      </c>
      <c r="G796" s="370" t="s">
        <v>435</v>
      </c>
      <c r="H796" s="499" t="s">
        <v>436</v>
      </c>
      <c r="I796" s="500" t="s">
        <v>1181</v>
      </c>
      <c r="J796" s="716">
        <v>45054</v>
      </c>
      <c r="K796" s="759">
        <v>0.54166666666666663</v>
      </c>
      <c r="L796" s="716">
        <v>45054</v>
      </c>
      <c r="M796" s="759">
        <v>0.79166666666666663</v>
      </c>
      <c r="N796" s="501">
        <v>4.5</v>
      </c>
      <c r="O796" s="374" t="s">
        <v>17</v>
      </c>
      <c r="P796" s="375" t="s">
        <v>1174</v>
      </c>
      <c r="Q796" s="785" t="s">
        <v>258</v>
      </c>
      <c r="R796" s="202" t="s">
        <v>81</v>
      </c>
      <c r="S796" s="31" t="s">
        <v>273</v>
      </c>
      <c r="T796" s="31" t="s">
        <v>273</v>
      </c>
      <c r="U796" s="31">
        <f>IFERROR(VLOOKUP(CONCATENATE(Tabla1[[#This Row],[Severidad]]," ",Tabla1[[#This Row],[Complejidad]]),Catalogos!E$120:G$128,3,FALSE),"")</f>
        <v>64</v>
      </c>
      <c r="V796" s="31" t="str">
        <f>IF(Tabla1[[#This Row],[Tiempo solución max (hrs)]]&lt;&gt;"",IF(Tabla1[[#This Row],[Tiempo solución max (hrs)]]&gt;=Tabla1[[#This Row],[Tiempo
(Hrs 00/100)]],"cumple","no cumple"),"")</f>
        <v>cumple</v>
      </c>
      <c r="W796" s="376" t="s">
        <v>1149</v>
      </c>
      <c r="X796" s="463" t="str">
        <f t="shared" si="99"/>
        <v>SAW</v>
      </c>
      <c r="Y796" s="459" t="str">
        <f>SUBSTITUTE(Tabla1[[#This Row],[Descripción]],CHAR(10),"    I    ")</f>
        <v xml:space="preserve">actualizacion micrositio Innovacion y buena practica </v>
      </c>
      <c r="Z796" s="464">
        <f>VLOOKUP(Tabla1[[#This Row],[Perfil]],Catalogos!$B$75:$D$100,3,FALSE)*Tabla1[[#This Row],[Tiempo
(Hrs 00/100)]]*1.16</f>
        <v>2610</v>
      </c>
    </row>
    <row r="797" spans="1:26" ht="15" customHeight="1" x14ac:dyDescent="0.3">
      <c r="A797" s="370" t="s">
        <v>22</v>
      </c>
      <c r="B797" s="370" t="s">
        <v>68</v>
      </c>
      <c r="C797" s="205" t="s">
        <v>16</v>
      </c>
      <c r="D797" s="382"/>
      <c r="E797" s="370" t="s">
        <v>503</v>
      </c>
      <c r="F797" s="210" t="s">
        <v>75</v>
      </c>
      <c r="G797" s="370" t="s">
        <v>435</v>
      </c>
      <c r="H797" s="499" t="s">
        <v>436</v>
      </c>
      <c r="I797" s="502" t="s">
        <v>1182</v>
      </c>
      <c r="J797" s="716">
        <v>45055</v>
      </c>
      <c r="K797" s="759">
        <v>0.375</v>
      </c>
      <c r="L797" s="716">
        <v>45055</v>
      </c>
      <c r="M797" s="759">
        <v>0.5</v>
      </c>
      <c r="N797" s="501">
        <v>3</v>
      </c>
      <c r="O797" s="374" t="s">
        <v>17</v>
      </c>
      <c r="P797" s="375" t="s">
        <v>1183</v>
      </c>
      <c r="Q797" s="785" t="s">
        <v>258</v>
      </c>
      <c r="R797" s="202" t="s">
        <v>81</v>
      </c>
      <c r="S797" s="31" t="s">
        <v>273</v>
      </c>
      <c r="T797" s="31" t="s">
        <v>273</v>
      </c>
      <c r="U797" s="31">
        <f>IFERROR(VLOOKUP(CONCATENATE(Tabla1[[#This Row],[Severidad]]," ",Tabla1[[#This Row],[Complejidad]]),Catalogos!E$120:G$128,3,FALSE),"")</f>
        <v>64</v>
      </c>
      <c r="V797" s="31" t="str">
        <f>IF(Tabla1[[#This Row],[Tiempo solución max (hrs)]]&lt;&gt;"",IF(Tabla1[[#This Row],[Tiempo solución max (hrs)]]&gt;=Tabla1[[#This Row],[Tiempo
(Hrs 00/100)]],"cumple","no cumple"),"")</f>
        <v>cumple</v>
      </c>
      <c r="W797" s="376" t="s">
        <v>1149</v>
      </c>
      <c r="X797" s="463" t="str">
        <f t="shared" si="99"/>
        <v>SAW</v>
      </c>
      <c r="Y797" s="459" t="str">
        <f>SUBSTITUTE(Tabla1[[#This Row],[Descripción]],CHAR(10),"    I    ")</f>
        <v xml:space="preserve">revision micrositio </v>
      </c>
      <c r="Z797" s="464">
        <f>VLOOKUP(Tabla1[[#This Row],[Perfil]],Catalogos!$B$75:$D$100,3,FALSE)*Tabla1[[#This Row],[Tiempo
(Hrs 00/100)]]*1.16</f>
        <v>1739.9999999999998</v>
      </c>
    </row>
    <row r="798" spans="1:26" ht="15" customHeight="1" x14ac:dyDescent="0.3">
      <c r="A798" s="370" t="s">
        <v>22</v>
      </c>
      <c r="B798" s="370" t="s">
        <v>68</v>
      </c>
      <c r="C798" s="205" t="s">
        <v>16</v>
      </c>
      <c r="D798" s="382"/>
      <c r="E798" s="370" t="s">
        <v>503</v>
      </c>
      <c r="F798" s="210" t="s">
        <v>75</v>
      </c>
      <c r="G798" s="370" t="s">
        <v>435</v>
      </c>
      <c r="H798" s="499" t="s">
        <v>436</v>
      </c>
      <c r="I798" s="500" t="s">
        <v>1184</v>
      </c>
      <c r="J798" s="716">
        <v>45055</v>
      </c>
      <c r="K798" s="759">
        <v>0.5</v>
      </c>
      <c r="L798" s="716">
        <v>45055</v>
      </c>
      <c r="M798" s="759">
        <v>0.6875</v>
      </c>
      <c r="N798" s="501">
        <v>3</v>
      </c>
      <c r="O798" s="374" t="s">
        <v>17</v>
      </c>
      <c r="P798" s="375" t="s">
        <v>1185</v>
      </c>
      <c r="Q798" s="785" t="s">
        <v>258</v>
      </c>
      <c r="R798" s="202" t="s">
        <v>81</v>
      </c>
      <c r="S798" s="31" t="s">
        <v>273</v>
      </c>
      <c r="T798" s="31" t="s">
        <v>273</v>
      </c>
      <c r="U798" s="31">
        <f>IFERROR(VLOOKUP(CONCATENATE(Tabla1[[#This Row],[Severidad]]," ",Tabla1[[#This Row],[Complejidad]]),Catalogos!E$120:G$128,3,FALSE),"")</f>
        <v>64</v>
      </c>
      <c r="V798" s="31" t="str">
        <f>IF(Tabla1[[#This Row],[Tiempo solución max (hrs)]]&lt;&gt;"",IF(Tabla1[[#This Row],[Tiempo solución max (hrs)]]&gt;=Tabla1[[#This Row],[Tiempo
(Hrs 00/100)]],"cumple","no cumple"),"")</f>
        <v>cumple</v>
      </c>
      <c r="W798" s="376" t="s">
        <v>1149</v>
      </c>
      <c r="X798" s="463" t="str">
        <f t="shared" si="99"/>
        <v>SAW</v>
      </c>
      <c r="Y798" s="459" t="str">
        <f>SUBSTITUTE(Tabla1[[#This Row],[Descripción]],CHAR(10),"    I    ")</f>
        <v xml:space="preserve">actualizacion micrositio oficina de control </v>
      </c>
      <c r="Z798" s="464">
        <f>VLOOKUP(Tabla1[[#This Row],[Perfil]],Catalogos!$B$75:$D$100,3,FALSE)*Tabla1[[#This Row],[Tiempo
(Hrs 00/100)]]*1.16</f>
        <v>1739.9999999999998</v>
      </c>
    </row>
    <row r="799" spans="1:26" ht="15" customHeight="1" x14ac:dyDescent="0.3">
      <c r="A799" s="370" t="s">
        <v>22</v>
      </c>
      <c r="B799" s="370" t="s">
        <v>68</v>
      </c>
      <c r="C799" s="205" t="s">
        <v>16</v>
      </c>
      <c r="D799" s="382"/>
      <c r="E799" s="370" t="s">
        <v>503</v>
      </c>
      <c r="F799" s="210" t="s">
        <v>75</v>
      </c>
      <c r="G799" s="370" t="s">
        <v>435</v>
      </c>
      <c r="H799" s="499" t="s">
        <v>436</v>
      </c>
      <c r="I799" s="500" t="s">
        <v>1167</v>
      </c>
      <c r="J799" s="716">
        <v>45055</v>
      </c>
      <c r="K799" s="759">
        <v>0.6875</v>
      </c>
      <c r="L799" s="716">
        <v>45055</v>
      </c>
      <c r="M799" s="759">
        <v>0.79166666666666663</v>
      </c>
      <c r="N799" s="501">
        <v>2.5</v>
      </c>
      <c r="O799" s="374" t="s">
        <v>17</v>
      </c>
      <c r="P799" s="375" t="s">
        <v>1176</v>
      </c>
      <c r="Q799" s="785" t="s">
        <v>258</v>
      </c>
      <c r="R799" s="202" t="s">
        <v>81</v>
      </c>
      <c r="S799" s="31" t="s">
        <v>273</v>
      </c>
      <c r="T799" s="31" t="s">
        <v>273</v>
      </c>
      <c r="U799" s="31">
        <f>IFERROR(VLOOKUP(CONCATENATE(Tabla1[[#This Row],[Severidad]]," ",Tabla1[[#This Row],[Complejidad]]),Catalogos!E$120:G$128,3,FALSE),"")</f>
        <v>64</v>
      </c>
      <c r="V799" s="31" t="str">
        <f>IF(Tabla1[[#This Row],[Tiempo solución max (hrs)]]&lt;&gt;"",IF(Tabla1[[#This Row],[Tiempo solución max (hrs)]]&gt;=Tabla1[[#This Row],[Tiempo
(Hrs 00/100)]],"cumple","no cumple"),"")</f>
        <v>cumple</v>
      </c>
      <c r="W799" s="376" t="s">
        <v>1149</v>
      </c>
      <c r="X799" s="463" t="str">
        <f t="shared" si="99"/>
        <v>SAW</v>
      </c>
      <c r="Y799" s="459" t="str">
        <f>SUBSTITUTE(Tabla1[[#This Row],[Descripción]],CHAR(10),"    I    ")</f>
        <v xml:space="preserve">Actualizacion de micrositio DDHIG </v>
      </c>
      <c r="Z799" s="464">
        <f>VLOOKUP(Tabla1[[#This Row],[Perfil]],Catalogos!$B$75:$D$100,3,FALSE)*Tabla1[[#This Row],[Tiempo
(Hrs 00/100)]]*1.16</f>
        <v>1450</v>
      </c>
    </row>
    <row r="800" spans="1:26" ht="15" customHeight="1" x14ac:dyDescent="0.3">
      <c r="A800" s="370" t="s">
        <v>22</v>
      </c>
      <c r="B800" s="370" t="s">
        <v>68</v>
      </c>
      <c r="C800" s="205" t="s">
        <v>16</v>
      </c>
      <c r="D800" s="382"/>
      <c r="E800" s="370" t="s">
        <v>503</v>
      </c>
      <c r="F800" s="210" t="s">
        <v>75</v>
      </c>
      <c r="G800" s="370" t="s">
        <v>435</v>
      </c>
      <c r="H800" s="499" t="s">
        <v>436</v>
      </c>
      <c r="I800" s="500" t="s">
        <v>1171</v>
      </c>
      <c r="J800" s="716">
        <v>45056</v>
      </c>
      <c r="K800" s="759">
        <v>0.375</v>
      </c>
      <c r="L800" s="716">
        <v>45056</v>
      </c>
      <c r="M800" s="759">
        <v>0.5625</v>
      </c>
      <c r="N800" s="501">
        <v>4.5</v>
      </c>
      <c r="O800" s="374" t="s">
        <v>17</v>
      </c>
      <c r="P800" s="375" t="s">
        <v>1176</v>
      </c>
      <c r="Q800" s="785" t="s">
        <v>258</v>
      </c>
      <c r="R800" s="202" t="s">
        <v>81</v>
      </c>
      <c r="S800" s="31" t="s">
        <v>273</v>
      </c>
      <c r="T800" s="31" t="s">
        <v>273</v>
      </c>
      <c r="U800" s="31">
        <f>IFERROR(VLOOKUP(CONCATENATE(Tabla1[[#This Row],[Severidad]]," ",Tabla1[[#This Row],[Complejidad]]),Catalogos!E$120:G$128,3,FALSE),"")</f>
        <v>64</v>
      </c>
      <c r="V800" s="31" t="str">
        <f>IF(Tabla1[[#This Row],[Tiempo solución max (hrs)]]&lt;&gt;"",IF(Tabla1[[#This Row],[Tiempo solución max (hrs)]]&gt;=Tabla1[[#This Row],[Tiempo
(Hrs 00/100)]],"cumple","no cumple"),"")</f>
        <v>cumple</v>
      </c>
      <c r="W800" s="376" t="s">
        <v>1149</v>
      </c>
      <c r="X800" s="463" t="str">
        <f t="shared" si="99"/>
        <v>SAW</v>
      </c>
      <c r="Y800" s="459" t="str">
        <f>SUBSTITUTE(Tabla1[[#This Row],[Descripción]],CHAR(10),"    I    ")</f>
        <v>Modificacion de estilos</v>
      </c>
      <c r="Z800" s="464">
        <f>VLOOKUP(Tabla1[[#This Row],[Perfil]],Catalogos!$B$75:$D$100,3,FALSE)*Tabla1[[#This Row],[Tiempo
(Hrs 00/100)]]*1.16</f>
        <v>2610</v>
      </c>
    </row>
    <row r="801" spans="1:26" ht="15" customHeight="1" x14ac:dyDescent="0.3">
      <c r="A801" s="370" t="s">
        <v>22</v>
      </c>
      <c r="B801" s="370" t="s">
        <v>68</v>
      </c>
      <c r="C801" s="205" t="s">
        <v>16</v>
      </c>
      <c r="D801" s="382"/>
      <c r="E801" s="370" t="s">
        <v>503</v>
      </c>
      <c r="F801" s="210" t="s">
        <v>75</v>
      </c>
      <c r="G801" s="370" t="s">
        <v>435</v>
      </c>
      <c r="H801" s="499" t="s">
        <v>436</v>
      </c>
      <c r="I801" s="500" t="s">
        <v>1178</v>
      </c>
      <c r="J801" s="716">
        <v>45056</v>
      </c>
      <c r="K801" s="759">
        <v>0.5625</v>
      </c>
      <c r="L801" s="716">
        <v>45056</v>
      </c>
      <c r="M801" s="759">
        <v>0.79166666666666663</v>
      </c>
      <c r="N801" s="501">
        <v>4</v>
      </c>
      <c r="O801" s="374" t="s">
        <v>17</v>
      </c>
      <c r="P801" s="375" t="s">
        <v>1176</v>
      </c>
      <c r="Q801" s="785" t="s">
        <v>258</v>
      </c>
      <c r="R801" s="202" t="s">
        <v>81</v>
      </c>
      <c r="S801" s="31" t="s">
        <v>273</v>
      </c>
      <c r="T801" s="31" t="s">
        <v>273</v>
      </c>
      <c r="U801" s="31">
        <f>IFERROR(VLOOKUP(CONCATENATE(Tabla1[[#This Row],[Severidad]]," ",Tabla1[[#This Row],[Complejidad]]),Catalogos!E$120:G$128,3,FALSE),"")</f>
        <v>64</v>
      </c>
      <c r="V801" s="31" t="str">
        <f>IF(Tabla1[[#This Row],[Tiempo solución max (hrs)]]&lt;&gt;"",IF(Tabla1[[#This Row],[Tiempo solución max (hrs)]]&gt;=Tabla1[[#This Row],[Tiempo
(Hrs 00/100)]],"cumple","no cumple"),"")</f>
        <v>cumple</v>
      </c>
      <c r="W801" s="376" t="s">
        <v>1149</v>
      </c>
      <c r="X801" s="463" t="str">
        <f t="shared" si="99"/>
        <v>SAW</v>
      </c>
      <c r="Y801" s="459" t="str">
        <f>SUBSTITUTE(Tabla1[[#This Row],[Descripción]],CHAR(10),"    I    ")</f>
        <v xml:space="preserve">Cambio de estilos promocion </v>
      </c>
      <c r="Z801" s="464">
        <f>VLOOKUP(Tabla1[[#This Row],[Perfil]],Catalogos!$B$75:$D$100,3,FALSE)*Tabla1[[#This Row],[Tiempo
(Hrs 00/100)]]*1.16</f>
        <v>2320</v>
      </c>
    </row>
    <row r="802" spans="1:26" ht="15" customHeight="1" x14ac:dyDescent="0.3">
      <c r="A802" s="370" t="s">
        <v>22</v>
      </c>
      <c r="B802" s="370" t="s">
        <v>68</v>
      </c>
      <c r="C802" s="205" t="s">
        <v>16</v>
      </c>
      <c r="D802" s="382"/>
      <c r="E802" s="370" t="s">
        <v>503</v>
      </c>
      <c r="F802" s="210" t="s">
        <v>75</v>
      </c>
      <c r="G802" s="370" t="s">
        <v>435</v>
      </c>
      <c r="H802" s="499" t="s">
        <v>436</v>
      </c>
      <c r="I802" s="500" t="s">
        <v>1180</v>
      </c>
      <c r="J802" s="716">
        <v>45057</v>
      </c>
      <c r="K802" s="759">
        <v>0.375</v>
      </c>
      <c r="L802" s="716">
        <v>45057</v>
      </c>
      <c r="M802" s="759">
        <v>0.5</v>
      </c>
      <c r="N802" s="501">
        <v>3</v>
      </c>
      <c r="O802" s="374" t="s">
        <v>17</v>
      </c>
      <c r="P802" s="375" t="s">
        <v>1186</v>
      </c>
      <c r="Q802" s="785" t="s">
        <v>258</v>
      </c>
      <c r="R802" s="202" t="s">
        <v>81</v>
      </c>
      <c r="S802" s="31" t="s">
        <v>273</v>
      </c>
      <c r="T802" s="31" t="s">
        <v>273</v>
      </c>
      <c r="U802" s="31">
        <f>IFERROR(VLOOKUP(CONCATENATE(Tabla1[[#This Row],[Severidad]]," ",Tabla1[[#This Row],[Complejidad]]),Catalogos!E$120:G$128,3,FALSE),"")</f>
        <v>64</v>
      </c>
      <c r="V802" s="31" t="str">
        <f>IF(Tabla1[[#This Row],[Tiempo solución max (hrs)]]&lt;&gt;"",IF(Tabla1[[#This Row],[Tiempo solución max (hrs)]]&gt;=Tabla1[[#This Row],[Tiempo
(Hrs 00/100)]],"cumple","no cumple"),"")</f>
        <v>cumple</v>
      </c>
      <c r="W802" s="376" t="s">
        <v>1149</v>
      </c>
      <c r="X802" s="463" t="str">
        <f t="shared" si="99"/>
        <v>SAW</v>
      </c>
      <c r="Y802" s="459" t="str">
        <f>SUBSTITUTE(Tabla1[[#This Row],[Descripción]],CHAR(10),"    I    ")</f>
        <v xml:space="preserve">actualizacion avance de proyecto </v>
      </c>
      <c r="Z802" s="464">
        <f>VLOOKUP(Tabla1[[#This Row],[Perfil]],Catalogos!$B$75:$D$100,3,FALSE)*Tabla1[[#This Row],[Tiempo
(Hrs 00/100)]]*1.16</f>
        <v>1739.9999999999998</v>
      </c>
    </row>
    <row r="803" spans="1:26" ht="15" customHeight="1" x14ac:dyDescent="0.3">
      <c r="A803" s="370" t="s">
        <v>22</v>
      </c>
      <c r="B803" s="370" t="s">
        <v>68</v>
      </c>
      <c r="C803" s="205" t="s">
        <v>16</v>
      </c>
      <c r="D803" s="382"/>
      <c r="E803" s="370" t="s">
        <v>503</v>
      </c>
      <c r="F803" s="210" t="s">
        <v>75</v>
      </c>
      <c r="G803" s="370" t="s">
        <v>435</v>
      </c>
      <c r="H803" s="499" t="s">
        <v>436</v>
      </c>
      <c r="I803" s="500" t="s">
        <v>1187</v>
      </c>
      <c r="J803" s="716">
        <v>45057</v>
      </c>
      <c r="K803" s="759">
        <v>0.5</v>
      </c>
      <c r="L803" s="716">
        <v>45057</v>
      </c>
      <c r="M803" s="759">
        <v>0.60416666666666663</v>
      </c>
      <c r="N803" s="501">
        <v>2.5</v>
      </c>
      <c r="O803" s="374" t="s">
        <v>17</v>
      </c>
      <c r="P803" s="375" t="s">
        <v>1176</v>
      </c>
      <c r="Q803" s="785" t="s">
        <v>258</v>
      </c>
      <c r="R803" s="202" t="s">
        <v>81</v>
      </c>
      <c r="S803" s="31" t="s">
        <v>273</v>
      </c>
      <c r="T803" s="31" t="s">
        <v>273</v>
      </c>
      <c r="U803" s="31">
        <f>IFERROR(VLOOKUP(CONCATENATE(Tabla1[[#This Row],[Severidad]]," ",Tabla1[[#This Row],[Complejidad]]),Catalogos!E$120:G$128,3,FALSE),"")</f>
        <v>64</v>
      </c>
      <c r="V803" s="31" t="str">
        <f>IF(Tabla1[[#This Row],[Tiempo solución max (hrs)]]&lt;&gt;"",IF(Tabla1[[#This Row],[Tiempo solución max (hrs)]]&gt;=Tabla1[[#This Row],[Tiempo
(Hrs 00/100)]],"cumple","no cumple"),"")</f>
        <v>cumple</v>
      </c>
      <c r="W803" s="376" t="s">
        <v>1149</v>
      </c>
      <c r="X803" s="463" t="str">
        <f t="shared" si="99"/>
        <v>SAW</v>
      </c>
      <c r="Y803" s="459" t="str">
        <f>SUBSTITUTE(Tabla1[[#This Row],[Descripción]],CHAR(10),"    I    ")</f>
        <v xml:space="preserve">carga de documentacion </v>
      </c>
      <c r="Z803" s="464">
        <f>VLOOKUP(Tabla1[[#This Row],[Perfil]],Catalogos!$B$75:$D$100,3,FALSE)*Tabla1[[#This Row],[Tiempo
(Hrs 00/100)]]*1.16</f>
        <v>1450</v>
      </c>
    </row>
    <row r="804" spans="1:26" ht="15" customHeight="1" x14ac:dyDescent="0.3">
      <c r="A804" s="370" t="s">
        <v>22</v>
      </c>
      <c r="B804" s="370" t="s">
        <v>68</v>
      </c>
      <c r="C804" s="205" t="s">
        <v>16</v>
      </c>
      <c r="D804" s="382"/>
      <c r="E804" s="370" t="s">
        <v>503</v>
      </c>
      <c r="F804" s="210" t="s">
        <v>75</v>
      </c>
      <c r="G804" s="370" t="s">
        <v>435</v>
      </c>
      <c r="H804" s="499" t="s">
        <v>436</v>
      </c>
      <c r="I804" s="500" t="s">
        <v>1173</v>
      </c>
      <c r="J804" s="716">
        <v>45057</v>
      </c>
      <c r="K804" s="759">
        <v>0.66666666666666663</v>
      </c>
      <c r="L804" s="716">
        <v>45057</v>
      </c>
      <c r="M804" s="759">
        <v>0.79166666666666663</v>
      </c>
      <c r="N804" s="501">
        <v>3</v>
      </c>
      <c r="O804" s="374" t="s">
        <v>17</v>
      </c>
      <c r="P804" s="375" t="s">
        <v>1176</v>
      </c>
      <c r="Q804" s="785" t="s">
        <v>258</v>
      </c>
      <c r="R804" s="202" t="s">
        <v>81</v>
      </c>
      <c r="S804" s="31" t="s">
        <v>273</v>
      </c>
      <c r="T804" s="31" t="s">
        <v>273</v>
      </c>
      <c r="U804" s="31">
        <f>IFERROR(VLOOKUP(CONCATENATE(Tabla1[[#This Row],[Severidad]]," ",Tabla1[[#This Row],[Complejidad]]),Catalogos!E$120:G$128,3,FALSE),"")</f>
        <v>64</v>
      </c>
      <c r="V804" s="31" t="str">
        <f>IF(Tabla1[[#This Row],[Tiempo solución max (hrs)]]&lt;&gt;"",IF(Tabla1[[#This Row],[Tiempo solución max (hrs)]]&gt;=Tabla1[[#This Row],[Tiempo
(Hrs 00/100)]],"cumple","no cumple"),"")</f>
        <v>cumple</v>
      </c>
      <c r="W804" s="376" t="s">
        <v>1149</v>
      </c>
      <c r="X804" s="463" t="str">
        <f t="shared" si="99"/>
        <v>SAW</v>
      </c>
      <c r="Y804" s="459" t="str">
        <f>SUBSTITUTE(Tabla1[[#This Row],[Descripción]],CHAR(10),"    I    ")</f>
        <v xml:space="preserve">Actualizacioion micrositio Innovacion y buena practica </v>
      </c>
      <c r="Z804" s="464">
        <f>VLOOKUP(Tabla1[[#This Row],[Perfil]],Catalogos!$B$75:$D$100,3,FALSE)*Tabla1[[#This Row],[Tiempo
(Hrs 00/100)]]*1.16</f>
        <v>1739.9999999999998</v>
      </c>
    </row>
    <row r="805" spans="1:26" ht="15" customHeight="1" x14ac:dyDescent="0.3">
      <c r="A805" s="370" t="s">
        <v>22</v>
      </c>
      <c r="B805" s="370" t="s">
        <v>68</v>
      </c>
      <c r="C805" s="205" t="s">
        <v>16</v>
      </c>
      <c r="D805" s="382"/>
      <c r="E805" s="370" t="s">
        <v>503</v>
      </c>
      <c r="F805" s="210" t="s">
        <v>75</v>
      </c>
      <c r="G805" s="370" t="s">
        <v>435</v>
      </c>
      <c r="H805" s="499" t="s">
        <v>436</v>
      </c>
      <c r="I805" s="500" t="s">
        <v>1188</v>
      </c>
      <c r="J805" s="716">
        <v>45058</v>
      </c>
      <c r="K805" s="759">
        <v>0.375</v>
      </c>
      <c r="L805" s="716">
        <v>45058</v>
      </c>
      <c r="M805" s="759">
        <v>0.5</v>
      </c>
      <c r="N805" s="501">
        <v>3</v>
      </c>
      <c r="O805" s="374" t="s">
        <v>17</v>
      </c>
      <c r="P805" s="375" t="s">
        <v>1189</v>
      </c>
      <c r="Q805" s="785" t="s">
        <v>258</v>
      </c>
      <c r="R805" s="202" t="s">
        <v>81</v>
      </c>
      <c r="S805" s="31" t="s">
        <v>273</v>
      </c>
      <c r="T805" s="31" t="s">
        <v>273</v>
      </c>
      <c r="U805" s="31">
        <f>IFERROR(VLOOKUP(CONCATENATE(Tabla1[[#This Row],[Severidad]]," ",Tabla1[[#This Row],[Complejidad]]),Catalogos!E$120:G$128,3,FALSE),"")</f>
        <v>64</v>
      </c>
      <c r="V805" s="31" t="str">
        <f>IF(Tabla1[[#This Row],[Tiempo solución max (hrs)]]&lt;&gt;"",IF(Tabla1[[#This Row],[Tiempo solución max (hrs)]]&gt;=Tabla1[[#This Row],[Tiempo
(Hrs 00/100)]],"cumple","no cumple"),"")</f>
        <v>cumple</v>
      </c>
      <c r="W805" s="376" t="s">
        <v>1149</v>
      </c>
      <c r="X805" s="463" t="str">
        <f t="shared" si="99"/>
        <v>SAW</v>
      </c>
      <c r="Y805" s="459" t="str">
        <f>SUBSTITUTE(Tabla1[[#This Row],[Descripción]],CHAR(10),"    I    ")</f>
        <v xml:space="preserve">reporte prosede </v>
      </c>
      <c r="Z805" s="464">
        <f>VLOOKUP(Tabla1[[#This Row],[Perfil]],Catalogos!$B$75:$D$100,3,FALSE)*Tabla1[[#This Row],[Tiempo
(Hrs 00/100)]]*1.16</f>
        <v>1739.9999999999998</v>
      </c>
    </row>
    <row r="806" spans="1:26" ht="15" customHeight="1" x14ac:dyDescent="0.3">
      <c r="A806" s="370" t="s">
        <v>22</v>
      </c>
      <c r="B806" s="370" t="s">
        <v>68</v>
      </c>
      <c r="C806" s="205" t="s">
        <v>16</v>
      </c>
      <c r="D806" s="370"/>
      <c r="E806" s="370" t="s">
        <v>503</v>
      </c>
      <c r="F806" s="370" t="s">
        <v>75</v>
      </c>
      <c r="G806" s="370" t="s">
        <v>435</v>
      </c>
      <c r="H806" s="499" t="s">
        <v>436</v>
      </c>
      <c r="I806" s="500" t="s">
        <v>1190</v>
      </c>
      <c r="J806" s="716">
        <v>45058</v>
      </c>
      <c r="K806" s="759">
        <v>0.5</v>
      </c>
      <c r="L806" s="716">
        <v>45058</v>
      </c>
      <c r="M806" s="759">
        <v>0.625</v>
      </c>
      <c r="N806" s="501">
        <v>3</v>
      </c>
      <c r="O806" s="374" t="s">
        <v>17</v>
      </c>
      <c r="P806" s="375" t="s">
        <v>1176</v>
      </c>
      <c r="Q806" s="785" t="s">
        <v>258</v>
      </c>
      <c r="R806" s="202" t="s">
        <v>81</v>
      </c>
      <c r="S806" s="31" t="s">
        <v>273</v>
      </c>
      <c r="T806" s="31" t="s">
        <v>273</v>
      </c>
      <c r="U806" s="31">
        <f>IFERROR(VLOOKUP(CONCATENATE(Tabla1[[#This Row],[Severidad]]," ",Tabla1[[#This Row],[Complejidad]]),Catalogos!E$120:G$128,3,FALSE),"")</f>
        <v>64</v>
      </c>
      <c r="V806" s="31" t="str">
        <f>IF(Tabla1[[#This Row],[Tiempo solución max (hrs)]]&lt;&gt;"",IF(Tabla1[[#This Row],[Tiempo solución max (hrs)]]&gt;=Tabla1[[#This Row],[Tiempo
(Hrs 00/100)]],"cumple","no cumple"),"")</f>
        <v>cumple</v>
      </c>
      <c r="W806" s="376" t="s">
        <v>1149</v>
      </c>
      <c r="X806" s="463" t="str">
        <f t="shared" si="99"/>
        <v>SAW</v>
      </c>
      <c r="Y806" s="459" t="str">
        <f>SUBSTITUTE(Tabla1[[#This Row],[Descripción]],CHAR(10),"    I    ")</f>
        <v xml:space="preserve">Carga de Documentacion </v>
      </c>
      <c r="Z806" s="464">
        <f>VLOOKUP(Tabla1[[#This Row],[Perfil]],Catalogos!$B$75:$D$100,3,FALSE)*Tabla1[[#This Row],[Tiempo
(Hrs 00/100)]]*1.16</f>
        <v>1739.9999999999998</v>
      </c>
    </row>
    <row r="807" spans="1:26" s="95" customFormat="1" ht="14.4" x14ac:dyDescent="0.3">
      <c r="A807" s="370" t="s">
        <v>22</v>
      </c>
      <c r="B807" s="370" t="s">
        <v>68</v>
      </c>
      <c r="C807" s="205" t="s">
        <v>16</v>
      </c>
      <c r="D807" s="370"/>
      <c r="E807" s="370" t="s">
        <v>503</v>
      </c>
      <c r="F807" s="210" t="s">
        <v>75</v>
      </c>
      <c r="G807" s="370" t="s">
        <v>435</v>
      </c>
      <c r="H807" s="499" t="s">
        <v>436</v>
      </c>
      <c r="I807" s="500" t="s">
        <v>1191</v>
      </c>
      <c r="J807" s="716">
        <v>45061</v>
      </c>
      <c r="K807" s="759">
        <v>0.375</v>
      </c>
      <c r="L807" s="716">
        <v>45061</v>
      </c>
      <c r="M807" s="759">
        <v>0.47916666666666669</v>
      </c>
      <c r="N807" s="501">
        <v>2.5</v>
      </c>
      <c r="O807" s="374" t="s">
        <v>17</v>
      </c>
      <c r="P807" s="375" t="s">
        <v>1192</v>
      </c>
      <c r="Q807" s="785" t="s">
        <v>258</v>
      </c>
      <c r="R807" s="202" t="s">
        <v>81</v>
      </c>
      <c r="S807" s="31" t="s">
        <v>273</v>
      </c>
      <c r="T807" s="31" t="s">
        <v>273</v>
      </c>
      <c r="U807" s="31">
        <f>IFERROR(VLOOKUP(CONCATENATE(Tabla1[[#This Row],[Severidad]]," ",Tabla1[[#This Row],[Complejidad]]),Catalogos!E$120:G$128,3,FALSE),"")</f>
        <v>64</v>
      </c>
      <c r="V807" s="31" t="str">
        <f>IF(Tabla1[[#This Row],[Tiempo solución max (hrs)]]&lt;&gt;"",IF(Tabla1[[#This Row],[Tiempo solución max (hrs)]]&gt;=Tabla1[[#This Row],[Tiempo
(Hrs 00/100)]],"cumple","no cumple"),"")</f>
        <v>cumple</v>
      </c>
      <c r="W807" s="376" t="s">
        <v>1149</v>
      </c>
      <c r="X807" s="463" t="str">
        <f t="shared" ref="X807:X825" si="100">IF(C807&lt;&gt;"",C807,D807)</f>
        <v>SAW</v>
      </c>
      <c r="Y807" s="503" t="str">
        <f>SUBSTITUTE(Tabla1[[#This Row],[Descripción]],CHAR(10),"    I    ")</f>
        <v xml:space="preserve">Liga de registros </v>
      </c>
      <c r="Z807" s="504">
        <f>VLOOKUP(Tabla1[[#This Row],[Perfil]],Catalogos!$B$75:$D$100,3,FALSE)*Tabla1[[#This Row],[Tiempo
(Hrs 00/100)]]*1.16</f>
        <v>1450</v>
      </c>
    </row>
    <row r="808" spans="1:26" s="95" customFormat="1" ht="14.4" x14ac:dyDescent="0.3">
      <c r="A808" s="370" t="s">
        <v>22</v>
      </c>
      <c r="B808" s="370" t="s">
        <v>68</v>
      </c>
      <c r="C808" s="205" t="s">
        <v>16</v>
      </c>
      <c r="D808" s="370"/>
      <c r="E808" s="370" t="s">
        <v>503</v>
      </c>
      <c r="F808" s="210" t="s">
        <v>75</v>
      </c>
      <c r="G808" s="370" t="s">
        <v>435</v>
      </c>
      <c r="H808" s="499" t="s">
        <v>436</v>
      </c>
      <c r="I808" s="500" t="s">
        <v>1193</v>
      </c>
      <c r="J808" s="716">
        <v>45061</v>
      </c>
      <c r="K808" s="759">
        <v>0.47916666666666669</v>
      </c>
      <c r="L808" s="716">
        <v>45061</v>
      </c>
      <c r="M808" s="759">
        <v>0.60416666666666663</v>
      </c>
      <c r="N808" s="501">
        <v>3</v>
      </c>
      <c r="O808" s="374" t="s">
        <v>17</v>
      </c>
      <c r="P808" s="375" t="s">
        <v>1170</v>
      </c>
      <c r="Q808" s="785" t="s">
        <v>258</v>
      </c>
      <c r="R808" s="202" t="s">
        <v>81</v>
      </c>
      <c r="S808" s="31" t="s">
        <v>273</v>
      </c>
      <c r="T808" s="31" t="s">
        <v>273</v>
      </c>
      <c r="U808" s="31">
        <f>IFERROR(VLOOKUP(CONCATENATE(Tabla1[[#This Row],[Severidad]]," ",Tabla1[[#This Row],[Complejidad]]),Catalogos!E$120:G$128,3,FALSE),"")</f>
        <v>64</v>
      </c>
      <c r="V808" s="31" t="str">
        <f>IF(Tabla1[[#This Row],[Tiempo solución max (hrs)]]&lt;&gt;"",IF(Tabla1[[#This Row],[Tiempo solución max (hrs)]]&gt;=Tabla1[[#This Row],[Tiempo
(Hrs 00/100)]],"cumple","no cumple"),"")</f>
        <v>cumple</v>
      </c>
      <c r="W808" s="376" t="s">
        <v>1149</v>
      </c>
      <c r="X808" s="463" t="str">
        <f t="shared" si="100"/>
        <v>SAW</v>
      </c>
      <c r="Y808" s="503" t="str">
        <f>SUBSTITUTE(Tabla1[[#This Row],[Descripción]],CHAR(10),"    I    ")</f>
        <v xml:space="preserve">actualizacion comité de etica </v>
      </c>
      <c r="Z808" s="504">
        <f>VLOOKUP(Tabla1[[#This Row],[Perfil]],Catalogos!$B$75:$D$100,3,FALSE)*Tabla1[[#This Row],[Tiempo
(Hrs 00/100)]]*1.16</f>
        <v>1739.9999999999998</v>
      </c>
    </row>
    <row r="809" spans="1:26" s="95" customFormat="1" ht="14.4" x14ac:dyDescent="0.3">
      <c r="A809" s="370" t="s">
        <v>22</v>
      </c>
      <c r="B809" s="370" t="s">
        <v>68</v>
      </c>
      <c r="C809" s="205" t="s">
        <v>16</v>
      </c>
      <c r="D809" s="382"/>
      <c r="E809" s="370" t="s">
        <v>503</v>
      </c>
      <c r="F809" s="210" t="s">
        <v>75</v>
      </c>
      <c r="G809" s="370" t="s">
        <v>435</v>
      </c>
      <c r="H809" s="499" t="s">
        <v>436</v>
      </c>
      <c r="I809" s="500" t="s">
        <v>1194</v>
      </c>
      <c r="J809" s="716">
        <v>45061</v>
      </c>
      <c r="K809" s="759">
        <v>0.66666666666666663</v>
      </c>
      <c r="L809" s="716">
        <v>45061</v>
      </c>
      <c r="M809" s="759">
        <v>0.79166666666666663</v>
      </c>
      <c r="N809" s="501">
        <v>3</v>
      </c>
      <c r="O809" s="374" t="s">
        <v>17</v>
      </c>
      <c r="P809" s="375" t="s">
        <v>1195</v>
      </c>
      <c r="Q809" s="785" t="s">
        <v>258</v>
      </c>
      <c r="R809" s="202" t="s">
        <v>81</v>
      </c>
      <c r="S809" s="31" t="s">
        <v>273</v>
      </c>
      <c r="T809" s="31" t="s">
        <v>273</v>
      </c>
      <c r="U809" s="31">
        <f>IFERROR(VLOOKUP(CONCATENATE(Tabla1[[#This Row],[Severidad]]," ",Tabla1[[#This Row],[Complejidad]]),Catalogos!E$120:G$128,3,FALSE),"")</f>
        <v>64</v>
      </c>
      <c r="V809" s="31" t="str">
        <f>IF(Tabla1[[#This Row],[Tiempo solución max (hrs)]]&lt;&gt;"",IF(Tabla1[[#This Row],[Tiempo solución max (hrs)]]&gt;=Tabla1[[#This Row],[Tiempo
(Hrs 00/100)]],"cumple","no cumple"),"")</f>
        <v>cumple</v>
      </c>
      <c r="W809" s="376" t="s">
        <v>1149</v>
      </c>
      <c r="X809" s="463" t="str">
        <f t="shared" si="100"/>
        <v>SAW</v>
      </c>
      <c r="Y809" s="503" t="str">
        <f>SUBSTITUTE(Tabla1[[#This Row],[Descripción]],CHAR(10),"    I    ")</f>
        <v xml:space="preserve">platica informativa certamen </v>
      </c>
      <c r="Z809" s="504">
        <f>VLOOKUP(Tabla1[[#This Row],[Perfil]],Catalogos!$B$75:$D$100,3,FALSE)*Tabla1[[#This Row],[Tiempo
(Hrs 00/100)]]*1.16</f>
        <v>1739.9999999999998</v>
      </c>
    </row>
    <row r="810" spans="1:26" s="95" customFormat="1" ht="14.4" x14ac:dyDescent="0.3">
      <c r="A810" s="370" t="s">
        <v>22</v>
      </c>
      <c r="B810" s="370" t="s">
        <v>68</v>
      </c>
      <c r="C810" s="205" t="s">
        <v>16</v>
      </c>
      <c r="D810" s="370"/>
      <c r="E810" s="370" t="s">
        <v>503</v>
      </c>
      <c r="F810" s="210" t="s">
        <v>75</v>
      </c>
      <c r="G810" s="370" t="s">
        <v>435</v>
      </c>
      <c r="H810" s="499" t="s">
        <v>436</v>
      </c>
      <c r="I810" s="500" t="s">
        <v>1196</v>
      </c>
      <c r="J810" s="716">
        <v>45062</v>
      </c>
      <c r="K810" s="759">
        <v>0.375</v>
      </c>
      <c r="L810" s="716">
        <v>45062</v>
      </c>
      <c r="M810" s="759">
        <v>0.5625</v>
      </c>
      <c r="N810" s="501">
        <v>4.5</v>
      </c>
      <c r="O810" s="374" t="s">
        <v>17</v>
      </c>
      <c r="P810" s="375" t="s">
        <v>1176</v>
      </c>
      <c r="Q810" s="785" t="s">
        <v>258</v>
      </c>
      <c r="R810" s="202" t="s">
        <v>81</v>
      </c>
      <c r="S810" s="31" t="s">
        <v>273</v>
      </c>
      <c r="T810" s="31" t="s">
        <v>273</v>
      </c>
      <c r="U810" s="31">
        <f>IFERROR(VLOOKUP(CONCATENATE(Tabla1[[#This Row],[Severidad]]," ",Tabla1[[#This Row],[Complejidad]]),Catalogos!E$120:G$128,3,FALSE),"")</f>
        <v>64</v>
      </c>
      <c r="V810" s="31" t="str">
        <f>IF(Tabla1[[#This Row],[Tiempo solución max (hrs)]]&lt;&gt;"",IF(Tabla1[[#This Row],[Tiempo solución max (hrs)]]&gt;=Tabla1[[#This Row],[Tiempo
(Hrs 00/100)]],"cumple","no cumple"),"")</f>
        <v>cumple</v>
      </c>
      <c r="W810" s="376" t="s">
        <v>1149</v>
      </c>
      <c r="X810" s="463" t="str">
        <f t="shared" si="100"/>
        <v>SAW</v>
      </c>
      <c r="Y810" s="503" t="str">
        <f>SUBSTITUTE(Tabla1[[#This Row],[Descripción]],CHAR(10),"    I    ")</f>
        <v xml:space="preserve">actualizacion prosede </v>
      </c>
      <c r="Z810" s="504">
        <f>VLOOKUP(Tabla1[[#This Row],[Perfil]],Catalogos!$B$75:$D$100,3,FALSE)*Tabla1[[#This Row],[Tiempo
(Hrs 00/100)]]*1.16</f>
        <v>2610</v>
      </c>
    </row>
    <row r="811" spans="1:26" s="95" customFormat="1" ht="14.4" x14ac:dyDescent="0.3">
      <c r="A811" s="370" t="s">
        <v>22</v>
      </c>
      <c r="B811" s="370" t="s">
        <v>68</v>
      </c>
      <c r="C811" s="205" t="s">
        <v>16</v>
      </c>
      <c r="D811" s="382"/>
      <c r="E811" s="370" t="s">
        <v>503</v>
      </c>
      <c r="F811" s="210" t="s">
        <v>75</v>
      </c>
      <c r="G811" s="370" t="s">
        <v>435</v>
      </c>
      <c r="H811" s="499" t="s">
        <v>436</v>
      </c>
      <c r="I811" s="500" t="s">
        <v>1197</v>
      </c>
      <c r="J811" s="716">
        <v>45062</v>
      </c>
      <c r="K811" s="759">
        <v>0.5625</v>
      </c>
      <c r="L811" s="716">
        <v>45062</v>
      </c>
      <c r="M811" s="759">
        <v>0.79166666666666663</v>
      </c>
      <c r="N811" s="501">
        <v>4</v>
      </c>
      <c r="O811" s="374" t="s">
        <v>17</v>
      </c>
      <c r="P811" s="375" t="s">
        <v>1176</v>
      </c>
      <c r="Q811" s="785" t="s">
        <v>258</v>
      </c>
      <c r="R811" s="202" t="s">
        <v>81</v>
      </c>
      <c r="S811" s="31" t="s">
        <v>273</v>
      </c>
      <c r="T811" s="31" t="s">
        <v>273</v>
      </c>
      <c r="U811" s="31">
        <f>IFERROR(VLOOKUP(CONCATENATE(Tabla1[[#This Row],[Severidad]]," ",Tabla1[[#This Row],[Complejidad]]),Catalogos!E$120:G$128,3,FALSE),"")</f>
        <v>64</v>
      </c>
      <c r="V811" s="31" t="str">
        <f>IF(Tabla1[[#This Row],[Tiempo solución max (hrs)]]&lt;&gt;"",IF(Tabla1[[#This Row],[Tiempo solución max (hrs)]]&gt;=Tabla1[[#This Row],[Tiempo
(Hrs 00/100)]],"cumple","no cumple"),"")</f>
        <v>cumple</v>
      </c>
      <c r="W811" s="376" t="s">
        <v>1149</v>
      </c>
      <c r="X811" s="463" t="str">
        <f t="shared" si="100"/>
        <v>SAW</v>
      </c>
      <c r="Y811" s="503" t="str">
        <f>SUBSTITUTE(Tabla1[[#This Row],[Descripción]],CHAR(10),"    I    ")</f>
        <v xml:space="preserve">actualizacion servisio profecional </v>
      </c>
      <c r="Z811" s="504">
        <f>VLOOKUP(Tabla1[[#This Row],[Perfil]],Catalogos!$B$75:$D$100,3,FALSE)*Tabla1[[#This Row],[Tiempo
(Hrs 00/100)]]*1.16</f>
        <v>2320</v>
      </c>
    </row>
    <row r="812" spans="1:26" s="95" customFormat="1" ht="14.4" x14ac:dyDescent="0.3">
      <c r="A812" s="370" t="s">
        <v>22</v>
      </c>
      <c r="B812" s="370" t="s">
        <v>68</v>
      </c>
      <c r="C812" s="205" t="s">
        <v>16</v>
      </c>
      <c r="D812" s="370"/>
      <c r="E812" s="370" t="s">
        <v>503</v>
      </c>
      <c r="F812" s="210" t="s">
        <v>75</v>
      </c>
      <c r="G812" s="370" t="s">
        <v>435</v>
      </c>
      <c r="H812" s="499" t="s">
        <v>436</v>
      </c>
      <c r="I812" s="500" t="s">
        <v>1198</v>
      </c>
      <c r="J812" s="716">
        <v>45063</v>
      </c>
      <c r="K812" s="759">
        <v>0.375</v>
      </c>
      <c r="L812" s="716">
        <v>45063</v>
      </c>
      <c r="M812" s="759">
        <v>0.47916666666666669</v>
      </c>
      <c r="N812" s="501">
        <v>2.5</v>
      </c>
      <c r="O812" s="374" t="s">
        <v>17</v>
      </c>
      <c r="P812" s="375" t="s">
        <v>1176</v>
      </c>
      <c r="Q812" s="785" t="s">
        <v>258</v>
      </c>
      <c r="R812" s="202" t="s">
        <v>81</v>
      </c>
      <c r="S812" s="31" t="s">
        <v>273</v>
      </c>
      <c r="T812" s="31" t="s">
        <v>273</v>
      </c>
      <c r="U812" s="31">
        <f>IFERROR(VLOOKUP(CONCATENATE(Tabla1[[#This Row],[Severidad]]," ",Tabla1[[#This Row],[Complejidad]]),Catalogos!E$120:G$128,3,FALSE),"")</f>
        <v>64</v>
      </c>
      <c r="V812" s="31" t="str">
        <f>IF(Tabla1[[#This Row],[Tiempo solución max (hrs)]]&lt;&gt;"",IF(Tabla1[[#This Row],[Tiempo solución max (hrs)]]&gt;=Tabla1[[#This Row],[Tiempo
(Hrs 00/100)]],"cumple","no cumple"),"")</f>
        <v>cumple</v>
      </c>
      <c r="W812" s="376" t="s">
        <v>1149</v>
      </c>
      <c r="X812" s="463" t="str">
        <f t="shared" si="100"/>
        <v>SAW</v>
      </c>
      <c r="Y812" s="503" t="str">
        <f>SUBSTITUTE(Tabla1[[#This Row],[Descripción]],CHAR(10),"    I    ")</f>
        <v xml:space="preserve">actualizacion sistemas de citas </v>
      </c>
      <c r="Z812" s="504">
        <f>VLOOKUP(Tabla1[[#This Row],[Perfil]],Catalogos!$B$75:$D$100,3,FALSE)*Tabla1[[#This Row],[Tiempo
(Hrs 00/100)]]*1.16</f>
        <v>1450</v>
      </c>
    </row>
    <row r="813" spans="1:26" s="95" customFormat="1" ht="14.4" x14ac:dyDescent="0.3">
      <c r="A813" s="370" t="s">
        <v>22</v>
      </c>
      <c r="B813" s="370" t="s">
        <v>68</v>
      </c>
      <c r="C813" s="205" t="s">
        <v>16</v>
      </c>
      <c r="D813" s="382"/>
      <c r="E813" s="370" t="s">
        <v>503</v>
      </c>
      <c r="F813" s="210" t="s">
        <v>75</v>
      </c>
      <c r="G813" s="370" t="s">
        <v>435</v>
      </c>
      <c r="H813" s="499" t="s">
        <v>436</v>
      </c>
      <c r="I813" s="500" t="s">
        <v>1190</v>
      </c>
      <c r="J813" s="716">
        <v>45063</v>
      </c>
      <c r="K813" s="759">
        <v>0.47916666666666669</v>
      </c>
      <c r="L813" s="716">
        <v>45063</v>
      </c>
      <c r="M813" s="759">
        <v>0.60416666666666663</v>
      </c>
      <c r="N813" s="501">
        <v>3</v>
      </c>
      <c r="O813" s="374" t="s">
        <v>17</v>
      </c>
      <c r="P813" s="375" t="s">
        <v>1176</v>
      </c>
      <c r="Q813" s="785" t="s">
        <v>258</v>
      </c>
      <c r="R813" s="202" t="s">
        <v>81</v>
      </c>
      <c r="S813" s="31" t="s">
        <v>273</v>
      </c>
      <c r="T813" s="31" t="s">
        <v>273</v>
      </c>
      <c r="U813" s="31">
        <f>IFERROR(VLOOKUP(CONCATENATE(Tabla1[[#This Row],[Severidad]]," ",Tabla1[[#This Row],[Complejidad]]),Catalogos!E$120:G$128,3,FALSE),"")</f>
        <v>64</v>
      </c>
      <c r="V813" s="31" t="str">
        <f>IF(Tabla1[[#This Row],[Tiempo solución max (hrs)]]&lt;&gt;"",IF(Tabla1[[#This Row],[Tiempo solución max (hrs)]]&gt;=Tabla1[[#This Row],[Tiempo
(Hrs 00/100)]],"cumple","no cumple"),"")</f>
        <v>cumple</v>
      </c>
      <c r="W813" s="376" t="s">
        <v>1149</v>
      </c>
      <c r="X813" s="463" t="str">
        <f t="shared" si="100"/>
        <v>SAW</v>
      </c>
      <c r="Y813" s="503" t="str">
        <f>SUBSTITUTE(Tabla1[[#This Row],[Descripción]],CHAR(10),"    I    ")</f>
        <v xml:space="preserve">Carga de Documentacion </v>
      </c>
      <c r="Z813" s="504">
        <f>VLOOKUP(Tabla1[[#This Row],[Perfil]],Catalogos!$B$75:$D$100,3,FALSE)*Tabla1[[#This Row],[Tiempo
(Hrs 00/100)]]*1.16</f>
        <v>1739.9999999999998</v>
      </c>
    </row>
    <row r="814" spans="1:26" s="95" customFormat="1" ht="14.4" x14ac:dyDescent="0.3">
      <c r="A814" s="370" t="s">
        <v>22</v>
      </c>
      <c r="B814" s="370" t="s">
        <v>68</v>
      </c>
      <c r="C814" s="205" t="s">
        <v>16</v>
      </c>
      <c r="D814" s="370"/>
      <c r="E814" s="370" t="s">
        <v>503</v>
      </c>
      <c r="F814" s="210" t="s">
        <v>75</v>
      </c>
      <c r="G814" s="370" t="s">
        <v>435</v>
      </c>
      <c r="H814" s="499" t="s">
        <v>436</v>
      </c>
      <c r="I814" s="500" t="s">
        <v>1199</v>
      </c>
      <c r="J814" s="716">
        <v>45063</v>
      </c>
      <c r="K814" s="759">
        <v>0.66666666666666663</v>
      </c>
      <c r="L814" s="716">
        <v>45063</v>
      </c>
      <c r="M814" s="759">
        <v>0.79166666666666663</v>
      </c>
      <c r="N814" s="501">
        <v>3</v>
      </c>
      <c r="O814" s="374" t="s">
        <v>17</v>
      </c>
      <c r="P814" s="375" t="s">
        <v>1176</v>
      </c>
      <c r="Q814" s="785" t="s">
        <v>258</v>
      </c>
      <c r="R814" s="202" t="s">
        <v>81</v>
      </c>
      <c r="S814" s="31" t="s">
        <v>273</v>
      </c>
      <c r="T814" s="31" t="s">
        <v>273</v>
      </c>
      <c r="U814" s="31">
        <f>IFERROR(VLOOKUP(CONCATENATE(Tabla1[[#This Row],[Severidad]]," ",Tabla1[[#This Row],[Complejidad]]),Catalogos!E$120:G$128,3,FALSE),"")</f>
        <v>64</v>
      </c>
      <c r="V814" s="31" t="str">
        <f>IF(Tabla1[[#This Row],[Tiempo solución max (hrs)]]&lt;&gt;"",IF(Tabla1[[#This Row],[Tiempo solución max (hrs)]]&gt;=Tabla1[[#This Row],[Tiempo
(Hrs 00/100)]],"cumple","no cumple"),"")</f>
        <v>cumple</v>
      </c>
      <c r="W814" s="376" t="s">
        <v>1149</v>
      </c>
      <c r="X814" s="463" t="str">
        <f t="shared" si="100"/>
        <v>SAW</v>
      </c>
      <c r="Y814" s="503" t="str">
        <f>SUBSTITUTE(Tabla1[[#This Row],[Descripción]],CHAR(10),"    I    ")</f>
        <v>actualizacion pleno infantil 2023</v>
      </c>
      <c r="Z814" s="504">
        <f>VLOOKUP(Tabla1[[#This Row],[Perfil]],Catalogos!$B$75:$D$100,3,FALSE)*Tabla1[[#This Row],[Tiempo
(Hrs 00/100)]]*1.16</f>
        <v>1739.9999999999998</v>
      </c>
    </row>
    <row r="815" spans="1:26" s="95" customFormat="1" ht="14.4" x14ac:dyDescent="0.3">
      <c r="A815" s="370" t="s">
        <v>22</v>
      </c>
      <c r="B815" s="370" t="s">
        <v>68</v>
      </c>
      <c r="C815" s="205" t="s">
        <v>16</v>
      </c>
      <c r="D815" s="382"/>
      <c r="E815" s="370" t="s">
        <v>503</v>
      </c>
      <c r="F815" s="210" t="s">
        <v>75</v>
      </c>
      <c r="G815" s="370" t="s">
        <v>435</v>
      </c>
      <c r="H815" s="499" t="s">
        <v>436</v>
      </c>
      <c r="I815" s="500" t="s">
        <v>1200</v>
      </c>
      <c r="J815" s="716">
        <v>45064</v>
      </c>
      <c r="K815" s="759">
        <v>0.375</v>
      </c>
      <c r="L815" s="716">
        <v>45064</v>
      </c>
      <c r="M815" s="759">
        <v>0.47916666666666669</v>
      </c>
      <c r="N815" s="501">
        <v>2.5</v>
      </c>
      <c r="O815" s="374" t="s">
        <v>17</v>
      </c>
      <c r="P815" s="375" t="s">
        <v>1176</v>
      </c>
      <c r="Q815" s="785" t="s">
        <v>258</v>
      </c>
      <c r="R815" s="202" t="s">
        <v>81</v>
      </c>
      <c r="S815" s="31" t="s">
        <v>273</v>
      </c>
      <c r="T815" s="31" t="s">
        <v>273</v>
      </c>
      <c r="U815" s="31">
        <f>IFERROR(VLOOKUP(CONCATENATE(Tabla1[[#This Row],[Severidad]]," ",Tabla1[[#This Row],[Complejidad]]),Catalogos!E$120:G$128,3,FALSE),"")</f>
        <v>64</v>
      </c>
      <c r="V815" s="31" t="str">
        <f>IF(Tabla1[[#This Row],[Tiempo solución max (hrs)]]&lt;&gt;"",IF(Tabla1[[#This Row],[Tiempo solución max (hrs)]]&gt;=Tabla1[[#This Row],[Tiempo
(Hrs 00/100)]],"cumple","no cumple"),"")</f>
        <v>cumple</v>
      </c>
      <c r="W815" s="376" t="s">
        <v>1149</v>
      </c>
      <c r="X815" s="463" t="str">
        <f t="shared" si="100"/>
        <v>SAW</v>
      </c>
      <c r="Y815" s="503" t="str">
        <f>SUBSTITUTE(Tabla1[[#This Row],[Descripción]],CHAR(10),"    I    ")</f>
        <v xml:space="preserve">modificacion procede inai </v>
      </c>
      <c r="Z815" s="504">
        <f>VLOOKUP(Tabla1[[#This Row],[Perfil]],Catalogos!$B$75:$D$100,3,FALSE)*Tabla1[[#This Row],[Tiempo
(Hrs 00/100)]]*1.16</f>
        <v>1450</v>
      </c>
    </row>
    <row r="816" spans="1:26" s="95" customFormat="1" ht="14.4" x14ac:dyDescent="0.3">
      <c r="A816" s="370" t="s">
        <v>22</v>
      </c>
      <c r="B816" s="370" t="s">
        <v>68</v>
      </c>
      <c r="C816" s="205" t="s">
        <v>16</v>
      </c>
      <c r="D816" s="370"/>
      <c r="E816" s="370" t="s">
        <v>503</v>
      </c>
      <c r="F816" s="210" t="s">
        <v>75</v>
      </c>
      <c r="G816" s="370" t="s">
        <v>435</v>
      </c>
      <c r="H816" s="499" t="s">
        <v>436</v>
      </c>
      <c r="I816" s="500" t="s">
        <v>1194</v>
      </c>
      <c r="J816" s="716">
        <v>45064</v>
      </c>
      <c r="K816" s="759">
        <v>0.47916666666666669</v>
      </c>
      <c r="L816" s="716">
        <v>45064</v>
      </c>
      <c r="M816" s="759">
        <v>0.60416666666666663</v>
      </c>
      <c r="N816" s="501">
        <v>3</v>
      </c>
      <c r="O816" s="374" t="s">
        <v>17</v>
      </c>
      <c r="P816" s="375" t="s">
        <v>1176</v>
      </c>
      <c r="Q816" s="785" t="s">
        <v>258</v>
      </c>
      <c r="R816" s="202" t="s">
        <v>81</v>
      </c>
      <c r="S816" s="31" t="s">
        <v>273</v>
      </c>
      <c r="T816" s="31" t="s">
        <v>273</v>
      </c>
      <c r="U816" s="31">
        <f>IFERROR(VLOOKUP(CONCATENATE(Tabla1[[#This Row],[Severidad]]," ",Tabla1[[#This Row],[Complejidad]]),Catalogos!E$120:G$128,3,FALSE),"")</f>
        <v>64</v>
      </c>
      <c r="V816" s="31" t="str">
        <f>IF(Tabla1[[#This Row],[Tiempo solución max (hrs)]]&lt;&gt;"",IF(Tabla1[[#This Row],[Tiempo solución max (hrs)]]&gt;=Tabla1[[#This Row],[Tiempo
(Hrs 00/100)]],"cumple","no cumple"),"")</f>
        <v>cumple</v>
      </c>
      <c r="W816" s="376" t="s">
        <v>1149</v>
      </c>
      <c r="X816" s="463" t="str">
        <f t="shared" si="100"/>
        <v>SAW</v>
      </c>
      <c r="Y816" s="503" t="str">
        <f>SUBSTITUTE(Tabla1[[#This Row],[Descripción]],CHAR(10),"    I    ")</f>
        <v xml:space="preserve">platica informativa certamen </v>
      </c>
      <c r="Z816" s="504">
        <f>VLOOKUP(Tabla1[[#This Row],[Perfil]],Catalogos!$B$75:$D$100,3,FALSE)*Tabla1[[#This Row],[Tiempo
(Hrs 00/100)]]*1.16</f>
        <v>1739.9999999999998</v>
      </c>
    </row>
    <row r="817" spans="1:26" s="95" customFormat="1" ht="14.4" x14ac:dyDescent="0.3">
      <c r="A817" s="370" t="s">
        <v>22</v>
      </c>
      <c r="B817" s="370" t="s">
        <v>68</v>
      </c>
      <c r="C817" s="205" t="s">
        <v>16</v>
      </c>
      <c r="D817" s="382"/>
      <c r="E817" s="370" t="s">
        <v>503</v>
      </c>
      <c r="F817" s="210" t="s">
        <v>75</v>
      </c>
      <c r="G817" s="370" t="s">
        <v>435</v>
      </c>
      <c r="H817" s="499" t="s">
        <v>436</v>
      </c>
      <c r="I817" s="500" t="s">
        <v>1201</v>
      </c>
      <c r="J817" s="716">
        <v>45064</v>
      </c>
      <c r="K817" s="759">
        <v>0.66666666666666663</v>
      </c>
      <c r="L817" s="716">
        <v>45064</v>
      </c>
      <c r="M817" s="759">
        <v>0.79166666666666663</v>
      </c>
      <c r="N817" s="501">
        <v>3</v>
      </c>
      <c r="O817" s="374" t="s">
        <v>17</v>
      </c>
      <c r="P817" s="375" t="s">
        <v>1176</v>
      </c>
      <c r="Q817" s="785" t="s">
        <v>258</v>
      </c>
      <c r="R817" s="202" t="s">
        <v>81</v>
      </c>
      <c r="S817" s="31" t="s">
        <v>273</v>
      </c>
      <c r="T817" s="31" t="s">
        <v>273</v>
      </c>
      <c r="U817" s="31">
        <f>IFERROR(VLOOKUP(CONCATENATE(Tabla1[[#This Row],[Severidad]]," ",Tabla1[[#This Row],[Complejidad]]),Catalogos!E$120:G$128,3,FALSE),"")</f>
        <v>64</v>
      </c>
      <c r="V817" s="31" t="str">
        <f>IF(Tabla1[[#This Row],[Tiempo solución max (hrs)]]&lt;&gt;"",IF(Tabla1[[#This Row],[Tiempo solución max (hrs)]]&gt;=Tabla1[[#This Row],[Tiempo
(Hrs 00/100)]],"cumple","no cumple"),"")</f>
        <v>cumple</v>
      </c>
      <c r="W817" s="376" t="s">
        <v>1149</v>
      </c>
      <c r="X817" s="463" t="str">
        <f t="shared" si="100"/>
        <v>SAW</v>
      </c>
      <c r="Y817" s="503" t="str">
        <f>SUBSTITUTE(Tabla1[[#This Row],[Descripción]],CHAR(10),"    I    ")</f>
        <v xml:space="preserve">actualizacion servicio profecional </v>
      </c>
      <c r="Z817" s="504">
        <f>VLOOKUP(Tabla1[[#This Row],[Perfil]],Catalogos!$B$75:$D$100,3,FALSE)*Tabla1[[#This Row],[Tiempo
(Hrs 00/100)]]*1.16</f>
        <v>1739.9999999999998</v>
      </c>
    </row>
    <row r="818" spans="1:26" s="95" customFormat="1" ht="14.4" x14ac:dyDescent="0.3">
      <c r="A818" s="370" t="s">
        <v>22</v>
      </c>
      <c r="B818" s="370" t="s">
        <v>68</v>
      </c>
      <c r="C818" s="205" t="s">
        <v>16</v>
      </c>
      <c r="D818" s="370"/>
      <c r="E818" s="370" t="s">
        <v>503</v>
      </c>
      <c r="F818" s="210" t="s">
        <v>75</v>
      </c>
      <c r="G818" s="370" t="s">
        <v>435</v>
      </c>
      <c r="H818" s="499" t="s">
        <v>436</v>
      </c>
      <c r="I818" s="500" t="s">
        <v>1202</v>
      </c>
      <c r="J818" s="716">
        <v>45065</v>
      </c>
      <c r="K818" s="759">
        <v>0.375</v>
      </c>
      <c r="L818" s="716">
        <v>45065</v>
      </c>
      <c r="M818" s="759">
        <v>0.5</v>
      </c>
      <c r="N818" s="501">
        <v>3</v>
      </c>
      <c r="O818" s="374" t="s">
        <v>17</v>
      </c>
      <c r="P818" s="375" t="s">
        <v>1176</v>
      </c>
      <c r="Q818" s="785" t="s">
        <v>258</v>
      </c>
      <c r="R818" s="202" t="s">
        <v>81</v>
      </c>
      <c r="S818" s="31" t="s">
        <v>273</v>
      </c>
      <c r="T818" s="31" t="s">
        <v>273</v>
      </c>
      <c r="U818" s="31">
        <f>IFERROR(VLOOKUP(CONCATENATE(Tabla1[[#This Row],[Severidad]]," ",Tabla1[[#This Row],[Complejidad]]),Catalogos!E$120:G$128,3,FALSE),"")</f>
        <v>64</v>
      </c>
      <c r="V818" s="31" t="str">
        <f>IF(Tabla1[[#This Row],[Tiempo solución max (hrs)]]&lt;&gt;"",IF(Tabla1[[#This Row],[Tiempo solución max (hrs)]]&gt;=Tabla1[[#This Row],[Tiempo
(Hrs 00/100)]],"cumple","no cumple"),"")</f>
        <v>cumple</v>
      </c>
      <c r="W818" s="376" t="s">
        <v>1149</v>
      </c>
      <c r="X818" s="463" t="str">
        <f t="shared" si="100"/>
        <v>SAW</v>
      </c>
      <c r="Y818" s="503" t="str">
        <f>SUBSTITUTE(Tabla1[[#This Row],[Descripción]],CHAR(10),"    I    ")</f>
        <v xml:space="preserve">actualizacion de avance de proyectos </v>
      </c>
      <c r="Z818" s="504">
        <f>VLOOKUP(Tabla1[[#This Row],[Perfil]],Catalogos!$B$75:$D$100,3,FALSE)*Tabla1[[#This Row],[Tiempo
(Hrs 00/100)]]*1.16</f>
        <v>1739.9999999999998</v>
      </c>
    </row>
    <row r="819" spans="1:26" ht="15" customHeight="1" x14ac:dyDescent="0.3">
      <c r="A819" s="370" t="s">
        <v>22</v>
      </c>
      <c r="B819" s="370" t="s">
        <v>68</v>
      </c>
      <c r="C819" s="205" t="s">
        <v>16</v>
      </c>
      <c r="D819" s="382"/>
      <c r="E819" s="370" t="s">
        <v>503</v>
      </c>
      <c r="F819" s="210" t="s">
        <v>75</v>
      </c>
      <c r="G819" s="370" t="s">
        <v>435</v>
      </c>
      <c r="H819" s="499" t="s">
        <v>436</v>
      </c>
      <c r="I819" s="500" t="s">
        <v>1203</v>
      </c>
      <c r="J819" s="716">
        <v>45065</v>
      </c>
      <c r="K819" s="759">
        <v>0.5</v>
      </c>
      <c r="L819" s="716">
        <v>45065</v>
      </c>
      <c r="M819" s="759">
        <v>0.625</v>
      </c>
      <c r="N819" s="501">
        <v>3</v>
      </c>
      <c r="O819" s="374" t="s">
        <v>17</v>
      </c>
      <c r="P819" s="375" t="s">
        <v>1176</v>
      </c>
      <c r="Q819" s="785" t="s">
        <v>258</v>
      </c>
      <c r="R819" s="202" t="s">
        <v>81</v>
      </c>
      <c r="S819" s="31" t="s">
        <v>273</v>
      </c>
      <c r="T819" s="31" t="s">
        <v>273</v>
      </c>
      <c r="U819" s="31">
        <f>IFERROR(VLOOKUP(CONCATENATE(Tabla1[[#This Row],[Severidad]]," ",Tabla1[[#This Row],[Complejidad]]),Catalogos!E$120:G$128,3,FALSE),"")</f>
        <v>64</v>
      </c>
      <c r="V819" s="31" t="str">
        <f>IF(Tabla1[[#This Row],[Tiempo solución max (hrs)]]&lt;&gt;"",IF(Tabla1[[#This Row],[Tiempo solución max (hrs)]]&gt;=Tabla1[[#This Row],[Tiempo
(Hrs 00/100)]],"cumple","no cumple"),"")</f>
        <v>cumple</v>
      </c>
      <c r="W819" s="376" t="s">
        <v>1149</v>
      </c>
      <c r="X819" s="463" t="str">
        <f t="shared" si="100"/>
        <v>SAW</v>
      </c>
      <c r="Y819" s="459" t="str">
        <f>SUBSTITUTE(Tabla1[[#This Row],[Descripción]],CHAR(10),"    I    ")</f>
        <v xml:space="preserve">apollo a falla de concurso de periodismo </v>
      </c>
      <c r="Z819" s="464">
        <f>VLOOKUP(Tabla1[[#This Row],[Perfil]],Catalogos!$B$75:$D$100,3,FALSE)*Tabla1[[#This Row],[Tiempo
(Hrs 00/100)]]*1.16</f>
        <v>1739.9999999999998</v>
      </c>
    </row>
    <row r="820" spans="1:26" ht="15" customHeight="1" x14ac:dyDescent="0.3">
      <c r="A820" s="370" t="s">
        <v>22</v>
      </c>
      <c r="B820" s="370" t="s">
        <v>68</v>
      </c>
      <c r="C820" s="205" t="s">
        <v>16</v>
      </c>
      <c r="D820" s="370"/>
      <c r="E820" s="370" t="s">
        <v>503</v>
      </c>
      <c r="F820" s="210" t="s">
        <v>75</v>
      </c>
      <c r="G820" s="370" t="s">
        <v>435</v>
      </c>
      <c r="H820" s="499" t="s">
        <v>436</v>
      </c>
      <c r="I820" s="502" t="s">
        <v>1198</v>
      </c>
      <c r="J820" s="716">
        <v>45068</v>
      </c>
      <c r="K820" s="759">
        <v>0.375</v>
      </c>
      <c r="L820" s="716">
        <v>45068</v>
      </c>
      <c r="M820" s="759">
        <v>0.5625</v>
      </c>
      <c r="N820" s="501">
        <v>4.5</v>
      </c>
      <c r="O820" s="374" t="s">
        <v>17</v>
      </c>
      <c r="P820" s="375" t="s">
        <v>1176</v>
      </c>
      <c r="Q820" s="785" t="s">
        <v>258</v>
      </c>
      <c r="R820" s="202" t="s">
        <v>81</v>
      </c>
      <c r="S820" s="31" t="s">
        <v>273</v>
      </c>
      <c r="T820" s="31" t="s">
        <v>273</v>
      </c>
      <c r="U820" s="31">
        <f>IFERROR(VLOOKUP(CONCATENATE(Tabla1[[#This Row],[Severidad]]," ",Tabla1[[#This Row],[Complejidad]]),Catalogos!E$120:G$128,3,FALSE),"")</f>
        <v>64</v>
      </c>
      <c r="V820" s="31" t="str">
        <f>IF(Tabla1[[#This Row],[Tiempo solución max (hrs)]]&lt;&gt;"",IF(Tabla1[[#This Row],[Tiempo solución max (hrs)]]&gt;=Tabla1[[#This Row],[Tiempo
(Hrs 00/100)]],"cumple","no cumple"),"")</f>
        <v>cumple</v>
      </c>
      <c r="W820" s="376" t="s">
        <v>1149</v>
      </c>
      <c r="X820" s="463" t="str">
        <f t="shared" si="100"/>
        <v>SAW</v>
      </c>
      <c r="Y820" s="459" t="str">
        <f>SUBSTITUTE(Tabla1[[#This Row],[Descripción]],CHAR(10),"    I    ")</f>
        <v xml:space="preserve">actualizacion sistemas de citas </v>
      </c>
      <c r="Z820" s="464">
        <f>VLOOKUP(Tabla1[[#This Row],[Perfil]],Catalogos!$B$75:$D$100,3,FALSE)*Tabla1[[#This Row],[Tiempo
(Hrs 00/100)]]*1.16</f>
        <v>2610</v>
      </c>
    </row>
    <row r="821" spans="1:26" ht="15" customHeight="1" x14ac:dyDescent="0.3">
      <c r="A821" s="370" t="s">
        <v>22</v>
      </c>
      <c r="B821" s="370" t="s">
        <v>68</v>
      </c>
      <c r="C821" s="205" t="s">
        <v>16</v>
      </c>
      <c r="D821" s="382"/>
      <c r="E821" s="370" t="s">
        <v>503</v>
      </c>
      <c r="F821" s="210" t="s">
        <v>75</v>
      </c>
      <c r="G821" s="370" t="s">
        <v>435</v>
      </c>
      <c r="H821" s="499" t="s">
        <v>436</v>
      </c>
      <c r="I821" s="500" t="s">
        <v>1204</v>
      </c>
      <c r="J821" s="716">
        <v>45068</v>
      </c>
      <c r="K821" s="759">
        <v>0.5625</v>
      </c>
      <c r="L821" s="716">
        <v>45068</v>
      </c>
      <c r="M821" s="759">
        <v>0.79166666666666663</v>
      </c>
      <c r="N821" s="501">
        <v>4</v>
      </c>
      <c r="O821" s="374" t="s">
        <v>17</v>
      </c>
      <c r="P821" s="375" t="s">
        <v>1176</v>
      </c>
      <c r="Q821" s="785" t="s">
        <v>258</v>
      </c>
      <c r="R821" s="202" t="s">
        <v>81</v>
      </c>
      <c r="S821" s="31" t="s">
        <v>273</v>
      </c>
      <c r="T821" s="31" t="s">
        <v>273</v>
      </c>
      <c r="U821" s="31">
        <f>IFERROR(VLOOKUP(CONCATENATE(Tabla1[[#This Row],[Severidad]]," ",Tabla1[[#This Row],[Complejidad]]),Catalogos!E$120:G$128,3,FALSE),"")</f>
        <v>64</v>
      </c>
      <c r="V821" s="31" t="str">
        <f>IF(Tabla1[[#This Row],[Tiempo solución max (hrs)]]&lt;&gt;"",IF(Tabla1[[#This Row],[Tiempo solución max (hrs)]]&gt;=Tabla1[[#This Row],[Tiempo
(Hrs 00/100)]],"cumple","no cumple"),"")</f>
        <v>cumple</v>
      </c>
      <c r="W821" s="376" t="s">
        <v>1149</v>
      </c>
      <c r="X821" s="463" t="str">
        <f t="shared" si="100"/>
        <v>SAW</v>
      </c>
      <c r="Y821" s="459" t="str">
        <f>SUBSTITUTE(Tabla1[[#This Row],[Descripción]],CHAR(10),"    I    ")</f>
        <v xml:space="preserve">actualizacion apartado unidad de transparencia </v>
      </c>
      <c r="Z821" s="464">
        <f>VLOOKUP(Tabla1[[#This Row],[Perfil]],Catalogos!$B$75:$D$100,3,FALSE)*Tabla1[[#This Row],[Tiempo
(Hrs 00/100)]]*1.16</f>
        <v>2320</v>
      </c>
    </row>
    <row r="822" spans="1:26" ht="15" customHeight="1" x14ac:dyDescent="0.3">
      <c r="A822" s="370" t="s">
        <v>22</v>
      </c>
      <c r="B822" s="370" t="s">
        <v>68</v>
      </c>
      <c r="C822" s="205" t="s">
        <v>16</v>
      </c>
      <c r="D822" s="370"/>
      <c r="E822" s="370" t="s">
        <v>503</v>
      </c>
      <c r="F822" s="210" t="s">
        <v>75</v>
      </c>
      <c r="G822" s="370" t="s">
        <v>435</v>
      </c>
      <c r="H822" s="499" t="s">
        <v>436</v>
      </c>
      <c r="I822" s="500" t="s">
        <v>1205</v>
      </c>
      <c r="J822" s="716">
        <v>45069</v>
      </c>
      <c r="K822" s="759">
        <v>0.375</v>
      </c>
      <c r="L822" s="716">
        <v>45069</v>
      </c>
      <c r="M822" s="759">
        <v>0.5</v>
      </c>
      <c r="N822" s="501">
        <v>3</v>
      </c>
      <c r="O822" s="374" t="s">
        <v>17</v>
      </c>
      <c r="P822" s="375" t="s">
        <v>1176</v>
      </c>
      <c r="Q822" s="785" t="s">
        <v>258</v>
      </c>
      <c r="R822" s="202" t="s">
        <v>81</v>
      </c>
      <c r="S822" s="31" t="s">
        <v>273</v>
      </c>
      <c r="T822" s="31" t="s">
        <v>273</v>
      </c>
      <c r="U822" s="31">
        <f>IFERROR(VLOOKUP(CONCATENATE(Tabla1[[#This Row],[Severidad]]," ",Tabla1[[#This Row],[Complejidad]]),Catalogos!E$120:G$128,3,FALSE),"")</f>
        <v>64</v>
      </c>
      <c r="V822" s="31" t="str">
        <f>IF(Tabla1[[#This Row],[Tiempo solución max (hrs)]]&lt;&gt;"",IF(Tabla1[[#This Row],[Tiempo solución max (hrs)]]&gt;=Tabla1[[#This Row],[Tiempo
(Hrs 00/100)]],"cumple","no cumple"),"")</f>
        <v>cumple</v>
      </c>
      <c r="W822" s="376" t="s">
        <v>1149</v>
      </c>
      <c r="X822" s="463" t="str">
        <f t="shared" si="100"/>
        <v>SAW</v>
      </c>
      <c r="Y822" s="459" t="str">
        <f>SUBSTITUTE(Tabla1[[#This Row],[Descripción]],CHAR(10),"    I    ")</f>
        <v xml:space="preserve">actualizacion micrositio comité de etica </v>
      </c>
      <c r="Z822" s="464">
        <f>VLOOKUP(Tabla1[[#This Row],[Perfil]],Catalogos!$B$75:$D$100,3,FALSE)*Tabla1[[#This Row],[Tiempo
(Hrs 00/100)]]*1.16</f>
        <v>1739.9999999999998</v>
      </c>
    </row>
    <row r="823" spans="1:26" ht="15" customHeight="1" x14ac:dyDescent="0.3">
      <c r="A823" s="370" t="s">
        <v>22</v>
      </c>
      <c r="B823" s="370" t="s">
        <v>68</v>
      </c>
      <c r="C823" s="205" t="s">
        <v>16</v>
      </c>
      <c r="D823" s="370"/>
      <c r="E823" s="370" t="s">
        <v>503</v>
      </c>
      <c r="F823" s="370" t="s">
        <v>75</v>
      </c>
      <c r="G823" s="370" t="s">
        <v>435</v>
      </c>
      <c r="H823" s="499" t="s">
        <v>436</v>
      </c>
      <c r="I823" s="500" t="s">
        <v>1201</v>
      </c>
      <c r="J823" s="716">
        <v>45069</v>
      </c>
      <c r="K823" s="759">
        <v>0.5</v>
      </c>
      <c r="L823" s="716">
        <v>45069</v>
      </c>
      <c r="M823" s="759">
        <v>0.60416666666666663</v>
      </c>
      <c r="N823" s="501">
        <v>2.5</v>
      </c>
      <c r="O823" s="374" t="s">
        <v>17</v>
      </c>
      <c r="P823" s="375" t="s">
        <v>1176</v>
      </c>
      <c r="Q823" s="785" t="s">
        <v>258</v>
      </c>
      <c r="R823" s="202" t="s">
        <v>81</v>
      </c>
      <c r="S823" s="31" t="s">
        <v>273</v>
      </c>
      <c r="T823" s="31" t="s">
        <v>273</v>
      </c>
      <c r="U823" s="31">
        <f>IFERROR(VLOOKUP(CONCATENATE(Tabla1[[#This Row],[Severidad]]," ",Tabla1[[#This Row],[Complejidad]]),Catalogos!E$120:G$128,3,FALSE),"")</f>
        <v>64</v>
      </c>
      <c r="V823" s="31" t="str">
        <f>IF(Tabla1[[#This Row],[Tiempo solución max (hrs)]]&lt;&gt;"",IF(Tabla1[[#This Row],[Tiempo solución max (hrs)]]&gt;=Tabla1[[#This Row],[Tiempo
(Hrs 00/100)]],"cumple","no cumple"),"")</f>
        <v>cumple</v>
      </c>
      <c r="W823" s="376" t="s">
        <v>1149</v>
      </c>
      <c r="X823" s="463" t="str">
        <f t="shared" si="100"/>
        <v>SAW</v>
      </c>
      <c r="Y823" s="459" t="str">
        <f>SUBSTITUTE(Tabla1[[#This Row],[Descripción]],CHAR(10),"    I    ")</f>
        <v xml:space="preserve">actualizacion servicio profecional </v>
      </c>
      <c r="Z823" s="464">
        <f>VLOOKUP(Tabla1[[#This Row],[Perfil]],Catalogos!$B$75:$D$100,3,FALSE)*Tabla1[[#This Row],[Tiempo
(Hrs 00/100)]]*1.16</f>
        <v>1450</v>
      </c>
    </row>
    <row r="824" spans="1:26" ht="15" customHeight="1" x14ac:dyDescent="0.3">
      <c r="A824" s="370" t="s">
        <v>22</v>
      </c>
      <c r="B824" s="370" t="s">
        <v>68</v>
      </c>
      <c r="C824" s="205" t="s">
        <v>16</v>
      </c>
      <c r="D824" s="382"/>
      <c r="E824" s="370" t="s">
        <v>503</v>
      </c>
      <c r="F824" s="210" t="s">
        <v>75</v>
      </c>
      <c r="G824" s="370" t="s">
        <v>435</v>
      </c>
      <c r="H824" s="499" t="s">
        <v>436</v>
      </c>
      <c r="I824" s="500" t="s">
        <v>1199</v>
      </c>
      <c r="J824" s="716">
        <v>45069</v>
      </c>
      <c r="K824" s="759">
        <v>0.66666666666666663</v>
      </c>
      <c r="L824" s="716">
        <v>45069</v>
      </c>
      <c r="M824" s="759">
        <v>0.79166666666666663</v>
      </c>
      <c r="N824" s="501">
        <v>3</v>
      </c>
      <c r="O824" s="374" t="s">
        <v>17</v>
      </c>
      <c r="P824" s="375" t="s">
        <v>1176</v>
      </c>
      <c r="Q824" s="785" t="s">
        <v>258</v>
      </c>
      <c r="R824" s="202" t="s">
        <v>81</v>
      </c>
      <c r="S824" s="31" t="s">
        <v>273</v>
      </c>
      <c r="T824" s="31" t="s">
        <v>273</v>
      </c>
      <c r="U824" s="31">
        <f>IFERROR(VLOOKUP(CONCATENATE(Tabla1[[#This Row],[Severidad]]," ",Tabla1[[#This Row],[Complejidad]]),Catalogos!E$120:G$128,3,FALSE),"")</f>
        <v>64</v>
      </c>
      <c r="V824" s="31" t="str">
        <f>IF(Tabla1[[#This Row],[Tiempo solución max (hrs)]]&lt;&gt;"",IF(Tabla1[[#This Row],[Tiempo solución max (hrs)]]&gt;=Tabla1[[#This Row],[Tiempo
(Hrs 00/100)]],"cumple","no cumple"),"")</f>
        <v>cumple</v>
      </c>
      <c r="W824" s="376" t="s">
        <v>1149</v>
      </c>
      <c r="X824" s="463" t="str">
        <f t="shared" si="100"/>
        <v>SAW</v>
      </c>
      <c r="Y824" s="459" t="str">
        <f>SUBSTITUTE(Tabla1[[#This Row],[Descripción]],CHAR(10),"    I    ")</f>
        <v>actualizacion pleno infantil 2023</v>
      </c>
      <c r="Z824" s="464">
        <f>VLOOKUP(Tabla1[[#This Row],[Perfil]],Catalogos!$B$75:$D$100,3,FALSE)*Tabla1[[#This Row],[Tiempo
(Hrs 00/100)]]*1.16</f>
        <v>1739.9999999999998</v>
      </c>
    </row>
    <row r="825" spans="1:26" ht="15" customHeight="1" x14ac:dyDescent="0.3">
      <c r="A825" s="370" t="s">
        <v>22</v>
      </c>
      <c r="B825" s="370" t="s">
        <v>68</v>
      </c>
      <c r="C825" s="205" t="s">
        <v>16</v>
      </c>
      <c r="D825" s="382"/>
      <c r="E825" s="370" t="s">
        <v>503</v>
      </c>
      <c r="F825" s="210" t="s">
        <v>75</v>
      </c>
      <c r="G825" s="370" t="s">
        <v>435</v>
      </c>
      <c r="H825" s="499" t="s">
        <v>436</v>
      </c>
      <c r="I825" s="500" t="s">
        <v>1206</v>
      </c>
      <c r="J825" s="716">
        <v>45070</v>
      </c>
      <c r="K825" s="759">
        <v>0.375</v>
      </c>
      <c r="L825" s="716">
        <v>45070</v>
      </c>
      <c r="M825" s="759">
        <v>0.54166666666666663</v>
      </c>
      <c r="N825" s="501">
        <v>4</v>
      </c>
      <c r="O825" s="374" t="s">
        <v>17</v>
      </c>
      <c r="P825" s="375" t="s">
        <v>1176</v>
      </c>
      <c r="Q825" s="785" t="s">
        <v>258</v>
      </c>
      <c r="R825" s="202" t="s">
        <v>81</v>
      </c>
      <c r="S825" s="31" t="s">
        <v>273</v>
      </c>
      <c r="T825" s="31" t="s">
        <v>273</v>
      </c>
      <c r="U825" s="31">
        <f>IFERROR(VLOOKUP(CONCATENATE(Tabla1[[#This Row],[Severidad]]," ",Tabla1[[#This Row],[Complejidad]]),Catalogos!E$120:G$128,3,FALSE),"")</f>
        <v>64</v>
      </c>
      <c r="V825" s="31" t="str">
        <f>IF(Tabla1[[#This Row],[Tiempo solución max (hrs)]]&lt;&gt;"",IF(Tabla1[[#This Row],[Tiempo solución max (hrs)]]&gt;=Tabla1[[#This Row],[Tiempo
(Hrs 00/100)]],"cumple","no cumple"),"")</f>
        <v>cumple</v>
      </c>
      <c r="W825" s="376" t="s">
        <v>1149</v>
      </c>
      <c r="X825" s="463" t="str">
        <f t="shared" si="100"/>
        <v>SAW</v>
      </c>
      <c r="Y825" s="459" t="str">
        <f>SUBSTITUTE(Tabla1[[#This Row],[Descripción]],CHAR(10),"    I    ")</f>
        <v xml:space="preserve">actualizacion banco de practicas </v>
      </c>
      <c r="Z825" s="464">
        <f>VLOOKUP(Tabla1[[#This Row],[Perfil]],Catalogos!$B$75:$D$100,3,FALSE)*Tabla1[[#This Row],[Tiempo
(Hrs 00/100)]]*1.16</f>
        <v>2320</v>
      </c>
    </row>
    <row r="826" spans="1:26" ht="15" customHeight="1" x14ac:dyDescent="0.3">
      <c r="A826" s="370" t="s">
        <v>22</v>
      </c>
      <c r="B826" s="370" t="s">
        <v>68</v>
      </c>
      <c r="C826" s="205" t="s">
        <v>16</v>
      </c>
      <c r="D826" s="370"/>
      <c r="E826" s="370" t="s">
        <v>503</v>
      </c>
      <c r="F826" s="370" t="s">
        <v>75</v>
      </c>
      <c r="G826" s="370" t="s">
        <v>435</v>
      </c>
      <c r="H826" s="499" t="s">
        <v>436</v>
      </c>
      <c r="I826" s="500" t="s">
        <v>1207</v>
      </c>
      <c r="J826" s="716">
        <v>45070</v>
      </c>
      <c r="K826" s="759">
        <v>0.54166666666666663</v>
      </c>
      <c r="L826" s="716">
        <v>45070</v>
      </c>
      <c r="M826" s="759">
        <v>0.79166666666666663</v>
      </c>
      <c r="N826" s="501">
        <v>4.5</v>
      </c>
      <c r="O826" s="374" t="s">
        <v>17</v>
      </c>
      <c r="P826" s="375" t="s">
        <v>1176</v>
      </c>
      <c r="Q826" s="785" t="s">
        <v>258</v>
      </c>
      <c r="R826" s="202" t="s">
        <v>81</v>
      </c>
      <c r="S826" s="31" t="s">
        <v>273</v>
      </c>
      <c r="T826" s="31" t="s">
        <v>273</v>
      </c>
      <c r="U826" s="31">
        <f>IFERROR(VLOOKUP(CONCATENATE(Tabla1[[#This Row],[Severidad]]," ",Tabla1[[#This Row],[Complejidad]]),Catalogos!E$120:G$128,3,FALSE),"")</f>
        <v>64</v>
      </c>
      <c r="V826" s="31" t="str">
        <f>IF(Tabla1[[#This Row],[Tiempo solución max (hrs)]]&lt;&gt;"",IF(Tabla1[[#This Row],[Tiempo solución max (hrs)]]&gt;=Tabla1[[#This Row],[Tiempo
(Hrs 00/100)]],"cumple","no cumple"),"")</f>
        <v>cumple</v>
      </c>
      <c r="W826" s="376" t="s">
        <v>1149</v>
      </c>
      <c r="X826" s="463" t="str">
        <f t="shared" ref="X826:X863" si="101">IF(C826&lt;&gt;"",C826,D826)</f>
        <v>SAW</v>
      </c>
      <c r="Y826" s="459" t="str">
        <f>SUBSTITUTE(Tabla1[[#This Row],[Descripción]],CHAR(10),"    I    ")</f>
        <v xml:space="preserve">actualizacion micrositio SEDE- INAI </v>
      </c>
      <c r="Z826" s="464">
        <f>VLOOKUP(Tabla1[[#This Row],[Perfil]],Catalogos!$B$75:$D$100,3,FALSE)*Tabla1[[#This Row],[Tiempo
(Hrs 00/100)]]*1.16</f>
        <v>2610</v>
      </c>
    </row>
    <row r="827" spans="1:26" ht="15" customHeight="1" x14ac:dyDescent="0.3">
      <c r="A827" s="370" t="s">
        <v>22</v>
      </c>
      <c r="B827" s="370" t="s">
        <v>68</v>
      </c>
      <c r="C827" s="205" t="s">
        <v>16</v>
      </c>
      <c r="D827" s="370"/>
      <c r="E827" s="370" t="s">
        <v>503</v>
      </c>
      <c r="F827" s="370" t="s">
        <v>75</v>
      </c>
      <c r="G827" s="370" t="s">
        <v>435</v>
      </c>
      <c r="H827" s="499" t="s">
        <v>436</v>
      </c>
      <c r="I827" s="500" t="s">
        <v>1200</v>
      </c>
      <c r="J827" s="716">
        <v>45071</v>
      </c>
      <c r="K827" s="759">
        <v>0.375</v>
      </c>
      <c r="L827" s="716">
        <v>45071</v>
      </c>
      <c r="M827" s="759">
        <v>0.54166666666666663</v>
      </c>
      <c r="N827" s="501">
        <v>4</v>
      </c>
      <c r="O827" s="374" t="s">
        <v>17</v>
      </c>
      <c r="P827" s="375" t="s">
        <v>1176</v>
      </c>
      <c r="Q827" s="785" t="s">
        <v>258</v>
      </c>
      <c r="R827" s="202" t="s">
        <v>81</v>
      </c>
      <c r="S827" s="31" t="s">
        <v>273</v>
      </c>
      <c r="T827" s="31" t="s">
        <v>273</v>
      </c>
      <c r="U827" s="31">
        <f>IFERROR(VLOOKUP(CONCATENATE(Tabla1[[#This Row],[Severidad]]," ",Tabla1[[#This Row],[Complejidad]]),Catalogos!E$120:G$128,3,FALSE),"")</f>
        <v>64</v>
      </c>
      <c r="V827" s="31" t="str">
        <f>IF(Tabla1[[#This Row],[Tiempo solución max (hrs)]]&lt;&gt;"",IF(Tabla1[[#This Row],[Tiempo solución max (hrs)]]&gt;=Tabla1[[#This Row],[Tiempo
(Hrs 00/100)]],"cumple","no cumple"),"")</f>
        <v>cumple</v>
      </c>
      <c r="W827" s="376" t="s">
        <v>1149</v>
      </c>
      <c r="X827" s="463" t="str">
        <f t="shared" si="101"/>
        <v>SAW</v>
      </c>
      <c r="Y827" s="459" t="str">
        <f>SUBSTITUTE(Tabla1[[#This Row],[Descripción]],CHAR(10),"    I    ")</f>
        <v xml:space="preserve">modificacion procede inai </v>
      </c>
      <c r="Z827" s="464">
        <f>VLOOKUP(Tabla1[[#This Row],[Perfil]],Catalogos!$B$75:$D$100,3,FALSE)*Tabla1[[#This Row],[Tiempo
(Hrs 00/100)]]*1.16</f>
        <v>2320</v>
      </c>
    </row>
    <row r="828" spans="1:26" ht="15" customHeight="1" x14ac:dyDescent="0.3">
      <c r="A828" s="370" t="s">
        <v>22</v>
      </c>
      <c r="B828" s="370" t="s">
        <v>68</v>
      </c>
      <c r="C828" s="205" t="s">
        <v>16</v>
      </c>
      <c r="D828" s="370"/>
      <c r="E828" s="370" t="s">
        <v>503</v>
      </c>
      <c r="F828" s="370" t="s">
        <v>75</v>
      </c>
      <c r="G828" s="370" t="s">
        <v>435</v>
      </c>
      <c r="H828" s="499" t="s">
        <v>436</v>
      </c>
      <c r="I828" s="500" t="s">
        <v>1208</v>
      </c>
      <c r="J828" s="716">
        <v>45071</v>
      </c>
      <c r="K828" s="759">
        <v>0.54166666666666663</v>
      </c>
      <c r="L828" s="716">
        <v>45071</v>
      </c>
      <c r="M828" s="759">
        <v>0.79166666666666663</v>
      </c>
      <c r="N828" s="501">
        <v>4.5</v>
      </c>
      <c r="O828" s="374" t="s">
        <v>17</v>
      </c>
      <c r="P828" s="375" t="s">
        <v>1176</v>
      </c>
      <c r="Q828" s="785" t="s">
        <v>258</v>
      </c>
      <c r="R828" s="202" t="s">
        <v>81</v>
      </c>
      <c r="S828" s="31" t="s">
        <v>273</v>
      </c>
      <c r="T828" s="31" t="s">
        <v>273</v>
      </c>
      <c r="U828" s="31">
        <f>IFERROR(VLOOKUP(CONCATENATE(Tabla1[[#This Row],[Severidad]]," ",Tabla1[[#This Row],[Complejidad]]),Catalogos!E$120:G$128,3,FALSE),"")</f>
        <v>64</v>
      </c>
      <c r="V828" s="31" t="str">
        <f>IF(Tabla1[[#This Row],[Tiempo solución max (hrs)]]&lt;&gt;"",IF(Tabla1[[#This Row],[Tiempo solución max (hrs)]]&gt;=Tabla1[[#This Row],[Tiempo
(Hrs 00/100)]],"cumple","no cumple"),"")</f>
        <v>cumple</v>
      </c>
      <c r="W828" s="376" t="s">
        <v>1149</v>
      </c>
      <c r="X828" s="463" t="str">
        <f t="shared" si="101"/>
        <v>SAW</v>
      </c>
      <c r="Y828" s="459" t="str">
        <f>SUBSTITUTE(Tabla1[[#This Row],[Descripción]],CHAR(10),"    I    ")</f>
        <v xml:space="preserve">actualizacin avance de proyectos </v>
      </c>
      <c r="Z828" s="464">
        <f>VLOOKUP(Tabla1[[#This Row],[Perfil]],Catalogos!$B$75:$D$100,3,FALSE)*Tabla1[[#This Row],[Tiempo
(Hrs 00/100)]]*1.16</f>
        <v>2610</v>
      </c>
    </row>
    <row r="829" spans="1:26" ht="15" customHeight="1" x14ac:dyDescent="0.3">
      <c r="A829" s="370" t="s">
        <v>22</v>
      </c>
      <c r="B829" s="370" t="s">
        <v>68</v>
      </c>
      <c r="C829" s="205" t="s">
        <v>16</v>
      </c>
      <c r="D829" s="382"/>
      <c r="E829" s="370" t="s">
        <v>503</v>
      </c>
      <c r="F829" s="210" t="s">
        <v>75</v>
      </c>
      <c r="G829" s="370" t="s">
        <v>435</v>
      </c>
      <c r="H829" s="499" t="s">
        <v>436</v>
      </c>
      <c r="I829" s="500" t="s">
        <v>1209</v>
      </c>
      <c r="J829" s="716">
        <v>45072</v>
      </c>
      <c r="K829" s="759">
        <v>0.375</v>
      </c>
      <c r="L829" s="716">
        <v>45072</v>
      </c>
      <c r="M829" s="759">
        <v>0.5</v>
      </c>
      <c r="N829" s="501">
        <v>3</v>
      </c>
      <c r="O829" s="374" t="s">
        <v>17</v>
      </c>
      <c r="P829" s="375" t="s">
        <v>1176</v>
      </c>
      <c r="Q829" s="785" t="s">
        <v>258</v>
      </c>
      <c r="R829" s="202" t="s">
        <v>81</v>
      </c>
      <c r="S829" s="31" t="s">
        <v>273</v>
      </c>
      <c r="T829" s="31" t="s">
        <v>273</v>
      </c>
      <c r="U829" s="31">
        <f>IFERROR(VLOOKUP(CONCATENATE(Tabla1[[#This Row],[Severidad]]," ",Tabla1[[#This Row],[Complejidad]]),Catalogos!E$120:G$128,3,FALSE),"")</f>
        <v>64</v>
      </c>
      <c r="V829" s="31" t="str">
        <f>IF(Tabla1[[#This Row],[Tiempo solución max (hrs)]]&lt;&gt;"",IF(Tabla1[[#This Row],[Tiempo solución max (hrs)]]&gt;=Tabla1[[#This Row],[Tiempo
(Hrs 00/100)]],"cumple","no cumple"),"")</f>
        <v>cumple</v>
      </c>
      <c r="W829" s="376" t="s">
        <v>1149</v>
      </c>
      <c r="X829" s="463" t="str">
        <f t="shared" si="101"/>
        <v>SAW</v>
      </c>
      <c r="Y829" s="459" t="str">
        <f>SUBSTITUTE(Tabla1[[#This Row],[Descripción]],CHAR(10),"    I    ")</f>
        <v xml:space="preserve">actualizacion servicio profesional </v>
      </c>
      <c r="Z829" s="464">
        <f>VLOOKUP(Tabla1[[#This Row],[Perfil]],Catalogos!$B$75:$D$100,3,FALSE)*Tabla1[[#This Row],[Tiempo
(Hrs 00/100)]]*1.16</f>
        <v>1739.9999999999998</v>
      </c>
    </row>
    <row r="830" spans="1:26" ht="15" customHeight="1" x14ac:dyDescent="0.3">
      <c r="A830" s="370" t="s">
        <v>22</v>
      </c>
      <c r="B830" s="370" t="s">
        <v>68</v>
      </c>
      <c r="C830" s="205" t="s">
        <v>16</v>
      </c>
      <c r="D830" s="382"/>
      <c r="E830" s="370" t="s">
        <v>503</v>
      </c>
      <c r="F830" s="210" t="s">
        <v>75</v>
      </c>
      <c r="G830" s="370" t="s">
        <v>435</v>
      </c>
      <c r="H830" s="499" t="s">
        <v>436</v>
      </c>
      <c r="I830" s="500" t="s">
        <v>1203</v>
      </c>
      <c r="J830" s="716">
        <v>45072</v>
      </c>
      <c r="K830" s="759">
        <v>0.5</v>
      </c>
      <c r="L830" s="716">
        <v>45072</v>
      </c>
      <c r="M830" s="759">
        <v>0.625</v>
      </c>
      <c r="N830" s="501">
        <v>3</v>
      </c>
      <c r="O830" s="374" t="s">
        <v>17</v>
      </c>
      <c r="P830" s="375" t="s">
        <v>1176</v>
      </c>
      <c r="Q830" s="785" t="s">
        <v>258</v>
      </c>
      <c r="R830" s="202" t="s">
        <v>81</v>
      </c>
      <c r="S830" s="31" t="s">
        <v>273</v>
      </c>
      <c r="T830" s="31" t="s">
        <v>273</v>
      </c>
      <c r="U830" s="31">
        <f>IFERROR(VLOOKUP(CONCATENATE(Tabla1[[#This Row],[Severidad]]," ",Tabla1[[#This Row],[Complejidad]]),Catalogos!E$120:G$128,3,FALSE),"")</f>
        <v>64</v>
      </c>
      <c r="V830" s="31" t="str">
        <f>IF(Tabla1[[#This Row],[Tiempo solución max (hrs)]]&lt;&gt;"",IF(Tabla1[[#This Row],[Tiempo solución max (hrs)]]&gt;=Tabla1[[#This Row],[Tiempo
(Hrs 00/100)]],"cumple","no cumple"),"")</f>
        <v>cumple</v>
      </c>
      <c r="W830" s="376" t="s">
        <v>1149</v>
      </c>
      <c r="X830" s="463" t="str">
        <f t="shared" si="101"/>
        <v>SAW</v>
      </c>
      <c r="Y830" s="459" t="str">
        <f>SUBSTITUTE(Tabla1[[#This Row],[Descripción]],CHAR(10),"    I    ")</f>
        <v xml:space="preserve">apollo a falla de concurso de periodismo </v>
      </c>
      <c r="Z830" s="464">
        <f>VLOOKUP(Tabla1[[#This Row],[Perfil]],Catalogos!$B$75:$D$100,3,FALSE)*Tabla1[[#This Row],[Tiempo
(Hrs 00/100)]]*1.16</f>
        <v>1739.9999999999998</v>
      </c>
    </row>
    <row r="831" spans="1:26" ht="15" customHeight="1" x14ac:dyDescent="0.3">
      <c r="A831" s="370" t="s">
        <v>22</v>
      </c>
      <c r="B831" s="370" t="s">
        <v>68</v>
      </c>
      <c r="C831" s="205" t="s">
        <v>16</v>
      </c>
      <c r="D831" s="382"/>
      <c r="E831" s="370" t="s">
        <v>503</v>
      </c>
      <c r="F831" s="210" t="s">
        <v>75</v>
      </c>
      <c r="G831" s="370" t="s">
        <v>435</v>
      </c>
      <c r="H831" s="499" t="s">
        <v>436</v>
      </c>
      <c r="I831" s="500" t="s">
        <v>1193</v>
      </c>
      <c r="J831" s="716">
        <v>45075</v>
      </c>
      <c r="K831" s="759">
        <v>0.375</v>
      </c>
      <c r="L831" s="716">
        <v>45075</v>
      </c>
      <c r="M831" s="759">
        <v>0.5625</v>
      </c>
      <c r="N831" s="501">
        <v>4.5</v>
      </c>
      <c r="O831" s="374" t="s">
        <v>17</v>
      </c>
      <c r="P831" s="375" t="s">
        <v>1176</v>
      </c>
      <c r="Q831" s="785" t="s">
        <v>258</v>
      </c>
      <c r="R831" s="202" t="s">
        <v>81</v>
      </c>
      <c r="S831" s="31" t="s">
        <v>273</v>
      </c>
      <c r="T831" s="31" t="s">
        <v>273</v>
      </c>
      <c r="U831" s="31">
        <f>IFERROR(VLOOKUP(CONCATENATE(Tabla1[[#This Row],[Severidad]]," ",Tabla1[[#This Row],[Complejidad]]),Catalogos!E$120:G$128,3,FALSE),"")</f>
        <v>64</v>
      </c>
      <c r="V831" s="31" t="str">
        <f>IF(Tabla1[[#This Row],[Tiempo solución max (hrs)]]&lt;&gt;"",IF(Tabla1[[#This Row],[Tiempo solución max (hrs)]]&gt;=Tabla1[[#This Row],[Tiempo
(Hrs 00/100)]],"cumple","no cumple"),"")</f>
        <v>cumple</v>
      </c>
      <c r="W831" s="376" t="s">
        <v>1149</v>
      </c>
      <c r="X831" s="463" t="str">
        <f t="shared" si="101"/>
        <v>SAW</v>
      </c>
      <c r="Y831" s="459" t="str">
        <f>SUBSTITUTE(Tabla1[[#This Row],[Descripción]],CHAR(10),"    I    ")</f>
        <v xml:space="preserve">actualizacion comité de etica </v>
      </c>
      <c r="Z831" s="464">
        <f>VLOOKUP(Tabla1[[#This Row],[Perfil]],Catalogos!$B$75:$D$100,3,FALSE)*Tabla1[[#This Row],[Tiempo
(Hrs 00/100)]]*1.16</f>
        <v>2610</v>
      </c>
    </row>
    <row r="832" spans="1:26" ht="15" customHeight="1" x14ac:dyDescent="0.3">
      <c r="A832" s="370" t="s">
        <v>22</v>
      </c>
      <c r="B832" s="370" t="s">
        <v>68</v>
      </c>
      <c r="C832" s="205" t="s">
        <v>16</v>
      </c>
      <c r="D832" s="370"/>
      <c r="E832" s="370" t="s">
        <v>503</v>
      </c>
      <c r="F832" s="370" t="s">
        <v>75</v>
      </c>
      <c r="G832" s="370" t="s">
        <v>435</v>
      </c>
      <c r="H832" s="499" t="s">
        <v>436</v>
      </c>
      <c r="I832" s="500" t="s">
        <v>1210</v>
      </c>
      <c r="J832" s="716">
        <v>45075</v>
      </c>
      <c r="K832" s="759">
        <v>0.5625</v>
      </c>
      <c r="L832" s="716">
        <v>45075</v>
      </c>
      <c r="M832" s="759">
        <v>0.79166666666666663</v>
      </c>
      <c r="N832" s="501">
        <v>4</v>
      </c>
      <c r="O832" s="374" t="s">
        <v>17</v>
      </c>
      <c r="P832" s="375" t="s">
        <v>1176</v>
      </c>
      <c r="Q832" s="785" t="s">
        <v>258</v>
      </c>
      <c r="R832" s="202" t="s">
        <v>81</v>
      </c>
      <c r="S832" s="31" t="s">
        <v>273</v>
      </c>
      <c r="T832" s="31" t="s">
        <v>273</v>
      </c>
      <c r="U832" s="31">
        <f>IFERROR(VLOOKUP(CONCATENATE(Tabla1[[#This Row],[Severidad]]," ",Tabla1[[#This Row],[Complejidad]]),Catalogos!E$120:G$128,3,FALSE),"")</f>
        <v>64</v>
      </c>
      <c r="V832" s="31" t="str">
        <f>IF(Tabla1[[#This Row],[Tiempo solución max (hrs)]]&lt;&gt;"",IF(Tabla1[[#This Row],[Tiempo solución max (hrs)]]&gt;=Tabla1[[#This Row],[Tiempo
(Hrs 00/100)]],"cumple","no cumple"),"")</f>
        <v>cumple</v>
      </c>
      <c r="W832" s="376" t="s">
        <v>1149</v>
      </c>
      <c r="X832" s="463" t="str">
        <f t="shared" si="101"/>
        <v>SAW</v>
      </c>
      <c r="Y832" s="459" t="str">
        <f>SUBSTITUTE(Tabla1[[#This Row],[Descripción]],CHAR(10),"    I    ")</f>
        <v xml:space="preserve">actualizacion formato de comisiones </v>
      </c>
      <c r="Z832" s="464">
        <f>VLOOKUP(Tabla1[[#This Row],[Perfil]],Catalogos!$B$75:$D$100,3,FALSE)*Tabla1[[#This Row],[Tiempo
(Hrs 00/100)]]*1.16</f>
        <v>2320</v>
      </c>
    </row>
    <row r="833" spans="1:26" ht="15" customHeight="1" x14ac:dyDescent="0.3">
      <c r="A833" s="370" t="s">
        <v>22</v>
      </c>
      <c r="B833" s="370" t="s">
        <v>68</v>
      </c>
      <c r="C833" s="205" t="s">
        <v>16</v>
      </c>
      <c r="D833" s="382"/>
      <c r="E833" s="370" t="s">
        <v>503</v>
      </c>
      <c r="F833" s="210" t="s">
        <v>75</v>
      </c>
      <c r="G833" s="370" t="s">
        <v>435</v>
      </c>
      <c r="H833" s="499" t="s">
        <v>436</v>
      </c>
      <c r="I833" s="500" t="s">
        <v>1211</v>
      </c>
      <c r="J833" s="716">
        <v>45076</v>
      </c>
      <c r="K833" s="759">
        <v>0.375</v>
      </c>
      <c r="L833" s="716">
        <v>45076</v>
      </c>
      <c r="M833" s="759">
        <v>0.54166666666666663</v>
      </c>
      <c r="N833" s="501">
        <v>4</v>
      </c>
      <c r="O833" s="374" t="s">
        <v>17</v>
      </c>
      <c r="P833" s="375" t="s">
        <v>1176</v>
      </c>
      <c r="Q833" s="785" t="s">
        <v>258</v>
      </c>
      <c r="R833" s="202" t="s">
        <v>81</v>
      </c>
      <c r="S833" s="31" t="s">
        <v>273</v>
      </c>
      <c r="T833" s="31" t="s">
        <v>273</v>
      </c>
      <c r="U833" s="31">
        <f>IFERROR(VLOOKUP(CONCATENATE(Tabla1[[#This Row],[Severidad]]," ",Tabla1[[#This Row],[Complejidad]]),Catalogos!E$120:G$128,3,FALSE),"")</f>
        <v>64</v>
      </c>
      <c r="V833" s="31" t="str">
        <f>IF(Tabla1[[#This Row],[Tiempo solución max (hrs)]]&lt;&gt;"",IF(Tabla1[[#This Row],[Tiempo solución max (hrs)]]&gt;=Tabla1[[#This Row],[Tiempo
(Hrs 00/100)]],"cumple","no cumple"),"")</f>
        <v>cumple</v>
      </c>
      <c r="W833" s="376" t="s">
        <v>1149</v>
      </c>
      <c r="X833" s="463" t="str">
        <f t="shared" si="101"/>
        <v>SAW</v>
      </c>
      <c r="Y833" s="459" t="str">
        <f>SUBSTITUTE(Tabla1[[#This Row],[Descripción]],CHAR(10),"    I    ")</f>
        <v xml:space="preserve">actualizacion certamen </v>
      </c>
      <c r="Z833" s="464">
        <f>VLOOKUP(Tabla1[[#This Row],[Perfil]],Catalogos!$B$75:$D$100,3,FALSE)*Tabla1[[#This Row],[Tiempo
(Hrs 00/100)]]*1.16</f>
        <v>2320</v>
      </c>
    </row>
    <row r="834" spans="1:26" ht="15" customHeight="1" x14ac:dyDescent="0.3">
      <c r="A834" s="370" t="s">
        <v>22</v>
      </c>
      <c r="B834" s="370" t="s">
        <v>68</v>
      </c>
      <c r="C834" s="205" t="s">
        <v>16</v>
      </c>
      <c r="D834" s="370"/>
      <c r="E834" s="370" t="s">
        <v>503</v>
      </c>
      <c r="F834" s="210" t="s">
        <v>75</v>
      </c>
      <c r="G834" s="370" t="s">
        <v>435</v>
      </c>
      <c r="H834" s="499" t="s">
        <v>436</v>
      </c>
      <c r="I834" s="500" t="s">
        <v>1212</v>
      </c>
      <c r="J834" s="716">
        <v>45076</v>
      </c>
      <c r="K834" s="759">
        <v>0.54166666666666663</v>
      </c>
      <c r="L834" s="716">
        <v>45076</v>
      </c>
      <c r="M834" s="759">
        <v>0.79166666666666663</v>
      </c>
      <c r="N834" s="501">
        <v>4.5</v>
      </c>
      <c r="O834" s="374" t="s">
        <v>17</v>
      </c>
      <c r="P834" s="375" t="s">
        <v>1176</v>
      </c>
      <c r="Q834" s="785" t="s">
        <v>258</v>
      </c>
      <c r="R834" s="202" t="s">
        <v>81</v>
      </c>
      <c r="S834" s="31" t="s">
        <v>273</v>
      </c>
      <c r="T834" s="31" t="s">
        <v>273</v>
      </c>
      <c r="U834" s="31">
        <f>IFERROR(VLOOKUP(CONCATENATE(Tabla1[[#This Row],[Severidad]]," ",Tabla1[[#This Row],[Complejidad]]),Catalogos!E$120:G$128,3,FALSE),"")</f>
        <v>64</v>
      </c>
      <c r="V834" s="31" t="str">
        <f>IF(Tabla1[[#This Row],[Tiempo solución max (hrs)]]&lt;&gt;"",IF(Tabla1[[#This Row],[Tiempo solución max (hrs)]]&gt;=Tabla1[[#This Row],[Tiempo
(Hrs 00/100)]],"cumple","no cumple"),"")</f>
        <v>cumple</v>
      </c>
      <c r="W834" s="376" t="s">
        <v>1149</v>
      </c>
      <c r="X834" s="463" t="str">
        <f t="shared" si="101"/>
        <v>SAW</v>
      </c>
      <c r="Y834" s="459" t="str">
        <f>SUBSTITUTE(Tabla1[[#This Row],[Descripción]],CHAR(10),"    I    ")</f>
        <v xml:space="preserve">revision pleno niños </v>
      </c>
      <c r="Z834" s="464">
        <f>VLOOKUP(Tabla1[[#This Row],[Perfil]],Catalogos!$B$75:$D$100,3,FALSE)*Tabla1[[#This Row],[Tiempo
(Hrs 00/100)]]*1.16</f>
        <v>2610</v>
      </c>
    </row>
    <row r="835" spans="1:26" ht="15" customHeight="1" x14ac:dyDescent="0.3">
      <c r="A835" s="370" t="s">
        <v>22</v>
      </c>
      <c r="B835" s="370" t="s">
        <v>68</v>
      </c>
      <c r="C835" s="205" t="s">
        <v>16</v>
      </c>
      <c r="D835" s="382"/>
      <c r="E835" s="370" t="s">
        <v>503</v>
      </c>
      <c r="F835" s="210" t="s">
        <v>75</v>
      </c>
      <c r="G835" s="370" t="s">
        <v>435</v>
      </c>
      <c r="H835" s="499" t="s">
        <v>436</v>
      </c>
      <c r="I835" s="500" t="s">
        <v>1191</v>
      </c>
      <c r="J835" s="716">
        <v>45077</v>
      </c>
      <c r="K835" s="759">
        <v>0.375</v>
      </c>
      <c r="L835" s="716">
        <v>45077</v>
      </c>
      <c r="M835" s="759">
        <v>0.54166666666666663</v>
      </c>
      <c r="N835" s="501">
        <v>4</v>
      </c>
      <c r="O835" s="374" t="s">
        <v>17</v>
      </c>
      <c r="P835" s="375" t="s">
        <v>1176</v>
      </c>
      <c r="Q835" s="785" t="s">
        <v>258</v>
      </c>
      <c r="R835" s="202" t="s">
        <v>81</v>
      </c>
      <c r="S835" s="31" t="s">
        <v>273</v>
      </c>
      <c r="T835" s="31" t="s">
        <v>273</v>
      </c>
      <c r="U835" s="31">
        <f>IFERROR(VLOOKUP(CONCATENATE(Tabla1[[#This Row],[Severidad]]," ",Tabla1[[#This Row],[Complejidad]]),Catalogos!E$120:G$128,3,FALSE),"")</f>
        <v>64</v>
      </c>
      <c r="V835" s="31" t="str">
        <f>IF(Tabla1[[#This Row],[Tiempo solución max (hrs)]]&lt;&gt;"",IF(Tabla1[[#This Row],[Tiempo solución max (hrs)]]&gt;=Tabla1[[#This Row],[Tiempo
(Hrs 00/100)]],"cumple","no cumple"),"")</f>
        <v>cumple</v>
      </c>
      <c r="W835" s="376" t="s">
        <v>1149</v>
      </c>
      <c r="X835" s="463" t="str">
        <f t="shared" si="101"/>
        <v>SAW</v>
      </c>
      <c r="Y835" s="459" t="str">
        <f>SUBSTITUTE(Tabla1[[#This Row],[Descripción]],CHAR(10),"    I    ")</f>
        <v xml:space="preserve">Liga de registros </v>
      </c>
      <c r="Z835" s="464">
        <f>VLOOKUP(Tabla1[[#This Row],[Perfil]],Catalogos!$B$75:$D$100,3,FALSE)*Tabla1[[#This Row],[Tiempo
(Hrs 00/100)]]*1.16</f>
        <v>2320</v>
      </c>
    </row>
    <row r="836" spans="1:26" ht="15" customHeight="1" x14ac:dyDescent="0.3">
      <c r="A836" s="370" t="s">
        <v>22</v>
      </c>
      <c r="B836" s="370" t="s">
        <v>68</v>
      </c>
      <c r="C836" s="205" t="s">
        <v>16</v>
      </c>
      <c r="D836" s="382"/>
      <c r="E836" s="370" t="s">
        <v>503</v>
      </c>
      <c r="F836" s="210" t="s">
        <v>75</v>
      </c>
      <c r="G836" s="370" t="s">
        <v>435</v>
      </c>
      <c r="H836" s="499" t="s">
        <v>436</v>
      </c>
      <c r="I836" s="502" t="s">
        <v>1179</v>
      </c>
      <c r="J836" s="716">
        <v>45077</v>
      </c>
      <c r="K836" s="759">
        <v>0.54166666666666663</v>
      </c>
      <c r="L836" s="716">
        <v>45077</v>
      </c>
      <c r="M836" s="759">
        <v>0.79166666666666663</v>
      </c>
      <c r="N836" s="501">
        <v>4.5</v>
      </c>
      <c r="O836" s="374" t="s">
        <v>17</v>
      </c>
      <c r="P836" s="375" t="s">
        <v>1176</v>
      </c>
      <c r="Q836" s="785" t="s">
        <v>258</v>
      </c>
      <c r="R836" s="202" t="s">
        <v>81</v>
      </c>
      <c r="S836" s="31" t="s">
        <v>273</v>
      </c>
      <c r="T836" s="31" t="s">
        <v>273</v>
      </c>
      <c r="U836" s="31">
        <f>IFERROR(VLOOKUP(CONCATENATE(Tabla1[[#This Row],[Severidad]]," ",Tabla1[[#This Row],[Complejidad]]),Catalogos!E$120:G$128,3,FALSE),"")</f>
        <v>64</v>
      </c>
      <c r="V836" s="31" t="str">
        <f>IF(Tabla1[[#This Row],[Tiempo solución max (hrs)]]&lt;&gt;"",IF(Tabla1[[#This Row],[Tiempo solución max (hrs)]]&gt;=Tabla1[[#This Row],[Tiempo
(Hrs 00/100)]],"cumple","no cumple"),"")</f>
        <v>cumple</v>
      </c>
      <c r="W836" s="376" t="s">
        <v>1149</v>
      </c>
      <c r="X836" s="463" t="str">
        <f t="shared" si="101"/>
        <v>SAW</v>
      </c>
      <c r="Y836" s="459" t="str">
        <f>SUBSTITUTE(Tabla1[[#This Row],[Descripción]],CHAR(10),"    I    ")</f>
        <v xml:space="preserve">Recuperacion de contraseñas </v>
      </c>
      <c r="Z836" s="464">
        <f>VLOOKUP(Tabla1[[#This Row],[Perfil]],Catalogos!$B$75:$D$100,3,FALSE)*Tabla1[[#This Row],[Tiempo
(Hrs 00/100)]]*1.16</f>
        <v>2610</v>
      </c>
    </row>
    <row r="837" spans="1:26" ht="15" customHeight="1" x14ac:dyDescent="0.3">
      <c r="A837" s="370" t="s">
        <v>15</v>
      </c>
      <c r="B837" s="370" t="s">
        <v>67</v>
      </c>
      <c r="C837" s="505" t="s">
        <v>49</v>
      </c>
      <c r="D837" s="370"/>
      <c r="E837" s="370" t="s">
        <v>404</v>
      </c>
      <c r="F837" s="370" t="s">
        <v>23</v>
      </c>
      <c r="G837" s="370" t="s">
        <v>604</v>
      </c>
      <c r="H837" s="371" t="s">
        <v>605</v>
      </c>
      <c r="I837" s="383" t="s">
        <v>1213</v>
      </c>
      <c r="J837" s="369">
        <v>45048</v>
      </c>
      <c r="K837" s="747">
        <v>0.375</v>
      </c>
      <c r="L837" s="369">
        <v>45048</v>
      </c>
      <c r="M837" s="762">
        <v>0.58333333333333337</v>
      </c>
      <c r="N837" s="373">
        <v>5</v>
      </c>
      <c r="O837" s="374" t="s">
        <v>411</v>
      </c>
      <c r="P837" s="375" t="s">
        <v>1214</v>
      </c>
      <c r="Q837" s="785" t="s">
        <v>629</v>
      </c>
      <c r="R837" s="53" t="s">
        <v>302</v>
      </c>
      <c r="S837" s="31" t="s">
        <v>273</v>
      </c>
      <c r="T837" s="31" t="s">
        <v>273</v>
      </c>
      <c r="U837" s="31">
        <f>IFERROR(VLOOKUP(CONCATENATE(Tabla1[[#This Row],[Severidad]]," ",Tabla1[[#This Row],[Complejidad]]),Catalogos!E$120:G$128,3,FALSE),"")</f>
        <v>64</v>
      </c>
      <c r="V837" s="31" t="str">
        <f>IF(Tabla1[[#This Row],[Tiempo solución max (hrs)]]&lt;&gt;"",IF(Tabla1[[#This Row],[Tiempo solución max (hrs)]]&gt;=Tabla1[[#This Row],[Tiempo
(Hrs 00/100)]],"cumple","no cumple"),"")</f>
        <v>cumple</v>
      </c>
      <c r="W837" s="376" t="s">
        <v>1149</v>
      </c>
      <c r="X837" s="463" t="str">
        <f t="shared" si="101"/>
        <v>SAI</v>
      </c>
      <c r="Y837" s="459" t="str">
        <f>SUBSTITUTE(Tabla1[[#This Row],[Descripción]],CHAR(10),"    I    ")</f>
        <v>Se estuvieron realizando los cambios solicitados en el informe- Asimismo se estuvieron realizando pruebas para validar la funcionalidad del reporte.</v>
      </c>
      <c r="Z837" s="464">
        <f>VLOOKUP(Tabla1[[#This Row],[Perfil]],Catalogos!$B$75:$D$100,3,FALSE)*Tabla1[[#This Row],[Tiempo
(Hrs 00/100)]]*1.16</f>
        <v>4640</v>
      </c>
    </row>
    <row r="838" spans="1:26" ht="15" customHeight="1" x14ac:dyDescent="0.3">
      <c r="A838" s="370" t="s">
        <v>15</v>
      </c>
      <c r="B838" s="370" t="s">
        <v>67</v>
      </c>
      <c r="C838" s="505" t="s">
        <v>49</v>
      </c>
      <c r="D838" s="370"/>
      <c r="E838" s="370" t="s">
        <v>404</v>
      </c>
      <c r="F838" s="370" t="s">
        <v>23</v>
      </c>
      <c r="G838" s="370" t="s">
        <v>604</v>
      </c>
      <c r="H838" s="371" t="s">
        <v>605</v>
      </c>
      <c r="I838" s="383" t="s">
        <v>1213</v>
      </c>
      <c r="J838" s="369">
        <v>45049</v>
      </c>
      <c r="K838" s="747">
        <v>0.375</v>
      </c>
      <c r="L838" s="369">
        <v>45049</v>
      </c>
      <c r="M838" s="762">
        <v>0.58333333333333337</v>
      </c>
      <c r="N838" s="373">
        <v>5</v>
      </c>
      <c r="O838" s="374" t="s">
        <v>411</v>
      </c>
      <c r="P838" s="375" t="s">
        <v>1214</v>
      </c>
      <c r="Q838" s="785" t="s">
        <v>629</v>
      </c>
      <c r="R838" s="53" t="s">
        <v>302</v>
      </c>
      <c r="S838" s="31" t="s">
        <v>273</v>
      </c>
      <c r="T838" s="31" t="s">
        <v>273</v>
      </c>
      <c r="U838" s="31">
        <f>IFERROR(VLOOKUP(CONCATENATE(Tabla1[[#This Row],[Severidad]]," ",Tabla1[[#This Row],[Complejidad]]),Catalogos!E$120:G$128,3,FALSE),"")</f>
        <v>64</v>
      </c>
      <c r="V838" s="31" t="str">
        <f>IF(Tabla1[[#This Row],[Tiempo solución max (hrs)]]&lt;&gt;"",IF(Tabla1[[#This Row],[Tiempo solución max (hrs)]]&gt;=Tabla1[[#This Row],[Tiempo
(Hrs 00/100)]],"cumple","no cumple"),"")</f>
        <v>cumple</v>
      </c>
      <c r="W838" s="376" t="s">
        <v>1149</v>
      </c>
      <c r="X838" s="463" t="str">
        <f t="shared" ref="X838:X839" si="102">IF(C838&lt;&gt;"",C838,D838)</f>
        <v>SAI</v>
      </c>
      <c r="Y838" s="459" t="str">
        <f>SUBSTITUTE(Tabla1[[#This Row],[Descripción]],CHAR(10),"    I    ")</f>
        <v>Se estuvieron realizando los cambios solicitados en el informe- Asimismo se estuvieron realizando pruebas para validar la funcionalidad del reporte.</v>
      </c>
      <c r="Z838" s="464">
        <f>VLOOKUP(Tabla1[[#This Row],[Perfil]],Catalogos!$B$75:$D$100,3,FALSE)*Tabla1[[#This Row],[Tiempo
(Hrs 00/100)]]*1.16</f>
        <v>4640</v>
      </c>
    </row>
    <row r="839" spans="1:26" ht="15" customHeight="1" x14ac:dyDescent="0.3">
      <c r="A839" s="370" t="s">
        <v>15</v>
      </c>
      <c r="B839" s="370" t="s">
        <v>67</v>
      </c>
      <c r="C839" s="505" t="s">
        <v>49</v>
      </c>
      <c r="D839" s="370"/>
      <c r="E839" s="370" t="s">
        <v>404</v>
      </c>
      <c r="F839" s="370" t="s">
        <v>23</v>
      </c>
      <c r="G839" s="370" t="s">
        <v>604</v>
      </c>
      <c r="H839" s="371" t="s">
        <v>605</v>
      </c>
      <c r="I839" s="383" t="s">
        <v>1213</v>
      </c>
      <c r="J839" s="369">
        <v>45050</v>
      </c>
      <c r="K839" s="747">
        <v>0.375</v>
      </c>
      <c r="L839" s="369">
        <v>45050</v>
      </c>
      <c r="M839" s="762">
        <v>0.58333333333333337</v>
      </c>
      <c r="N839" s="373">
        <v>5</v>
      </c>
      <c r="O839" s="374" t="s">
        <v>17</v>
      </c>
      <c r="P839" s="375" t="s">
        <v>1214</v>
      </c>
      <c r="Q839" s="785" t="s">
        <v>629</v>
      </c>
      <c r="R839" s="53" t="s">
        <v>302</v>
      </c>
      <c r="S839" s="31" t="s">
        <v>273</v>
      </c>
      <c r="T839" s="31" t="s">
        <v>273</v>
      </c>
      <c r="U839" s="31">
        <f>IFERROR(VLOOKUP(CONCATENATE(Tabla1[[#This Row],[Severidad]]," ",Tabla1[[#This Row],[Complejidad]]),Catalogos!E$120:G$128,3,FALSE),"")</f>
        <v>64</v>
      </c>
      <c r="V839" s="31" t="str">
        <f>IF(Tabla1[[#This Row],[Tiempo solución max (hrs)]]&lt;&gt;"",IF(Tabla1[[#This Row],[Tiempo solución max (hrs)]]&gt;=Tabla1[[#This Row],[Tiempo
(Hrs 00/100)]],"cumple","no cumple"),"")</f>
        <v>cumple</v>
      </c>
      <c r="W839" s="376" t="s">
        <v>1149</v>
      </c>
      <c r="X839" s="463" t="str">
        <f t="shared" si="102"/>
        <v>SAI</v>
      </c>
      <c r="Y839" s="459" t="str">
        <f>SUBSTITUTE(Tabla1[[#This Row],[Descripción]],CHAR(10),"    I    ")</f>
        <v>Se estuvieron realizando los cambios solicitados en el informe- Asimismo se estuvieron realizando pruebas para validar la funcionalidad del reporte.</v>
      </c>
      <c r="Z839" s="464">
        <f>VLOOKUP(Tabla1[[#This Row],[Perfil]],Catalogos!$B$75:$D$100,3,FALSE)*Tabla1[[#This Row],[Tiempo
(Hrs 00/100)]]*1.16</f>
        <v>4640</v>
      </c>
    </row>
    <row r="840" spans="1:26" ht="15" customHeight="1" x14ac:dyDescent="0.3">
      <c r="A840" s="370" t="s">
        <v>15</v>
      </c>
      <c r="B840" s="370" t="s">
        <v>67</v>
      </c>
      <c r="C840" s="505" t="s">
        <v>49</v>
      </c>
      <c r="D840" s="370"/>
      <c r="E840" s="370" t="s">
        <v>404</v>
      </c>
      <c r="F840" s="370" t="s">
        <v>23</v>
      </c>
      <c r="G840" s="370" t="s">
        <v>604</v>
      </c>
      <c r="H840" s="371" t="s">
        <v>605</v>
      </c>
      <c r="I840" s="383" t="s">
        <v>1215</v>
      </c>
      <c r="J840" s="369">
        <v>45054</v>
      </c>
      <c r="K840" s="747">
        <v>0.375</v>
      </c>
      <c r="L840" s="369">
        <v>45054</v>
      </c>
      <c r="M840" s="753">
        <v>0.58333333333333337</v>
      </c>
      <c r="N840" s="373">
        <v>5</v>
      </c>
      <c r="O840" s="374" t="s">
        <v>411</v>
      </c>
      <c r="P840" s="375" t="s">
        <v>1214</v>
      </c>
      <c r="Q840" s="785" t="s">
        <v>629</v>
      </c>
      <c r="R840" s="53" t="s">
        <v>302</v>
      </c>
      <c r="S840" s="31" t="s">
        <v>273</v>
      </c>
      <c r="T840" s="31" t="s">
        <v>273</v>
      </c>
      <c r="U840" s="31">
        <f>IFERROR(VLOOKUP(CONCATENATE(Tabla1[[#This Row],[Severidad]]," ",Tabla1[[#This Row],[Complejidad]]),Catalogos!E$120:G$128,3,FALSE),"")</f>
        <v>64</v>
      </c>
      <c r="V840" s="31" t="str">
        <f>IF(Tabla1[[#This Row],[Tiempo solución max (hrs)]]&lt;&gt;"",IF(Tabla1[[#This Row],[Tiempo solución max (hrs)]]&gt;=Tabla1[[#This Row],[Tiempo
(Hrs 00/100)]],"cumple","no cumple"),"")</f>
        <v>cumple</v>
      </c>
      <c r="W840" s="376" t="s">
        <v>1149</v>
      </c>
      <c r="X840" s="463" t="str">
        <f t="shared" si="101"/>
        <v>SAI</v>
      </c>
      <c r="Y840" s="459" t="str">
        <f>SUBSTITUTE(Tabla1[[#This Row],[Descripción]],CHAR(10),"    I    ")</f>
        <v>Se continuaron realizando los cambios, se crearon escenarios de pruebas y automatización de la publicación de reportes. Además, se estuvieron haciendo cambios de conectividad de la base de datos.</v>
      </c>
      <c r="Z840" s="464">
        <f>VLOOKUP(Tabla1[[#This Row],[Perfil]],Catalogos!$B$75:$D$100,3,FALSE)*Tabla1[[#This Row],[Tiempo
(Hrs 00/100)]]*1.16</f>
        <v>4640</v>
      </c>
    </row>
    <row r="841" spans="1:26" ht="15" customHeight="1" x14ac:dyDescent="0.3">
      <c r="A841" s="370" t="s">
        <v>15</v>
      </c>
      <c r="B841" s="370" t="s">
        <v>67</v>
      </c>
      <c r="C841" s="505" t="s">
        <v>49</v>
      </c>
      <c r="D841" s="370"/>
      <c r="E841" s="370" t="s">
        <v>404</v>
      </c>
      <c r="F841" s="370" t="s">
        <v>23</v>
      </c>
      <c r="G841" s="370" t="s">
        <v>604</v>
      </c>
      <c r="H841" s="371" t="s">
        <v>605</v>
      </c>
      <c r="I841" s="383" t="s">
        <v>1215</v>
      </c>
      <c r="J841" s="369">
        <v>45055</v>
      </c>
      <c r="K841" s="747">
        <v>0.375</v>
      </c>
      <c r="L841" s="369">
        <v>45055</v>
      </c>
      <c r="M841" s="753">
        <v>0.58333333333333337</v>
      </c>
      <c r="N841" s="373">
        <v>5</v>
      </c>
      <c r="O841" s="374" t="s">
        <v>411</v>
      </c>
      <c r="P841" s="375" t="s">
        <v>1214</v>
      </c>
      <c r="Q841" s="785" t="s">
        <v>629</v>
      </c>
      <c r="R841" s="53" t="s">
        <v>302</v>
      </c>
      <c r="S841" s="31" t="s">
        <v>273</v>
      </c>
      <c r="T841" s="31" t="s">
        <v>273</v>
      </c>
      <c r="U841" s="31">
        <f>IFERROR(VLOOKUP(CONCATENATE(Tabla1[[#This Row],[Severidad]]," ",Tabla1[[#This Row],[Complejidad]]),Catalogos!E$120:G$128,3,FALSE),"")</f>
        <v>64</v>
      </c>
      <c r="V841" s="31" t="str">
        <f>IF(Tabla1[[#This Row],[Tiempo solución max (hrs)]]&lt;&gt;"",IF(Tabla1[[#This Row],[Tiempo solución max (hrs)]]&gt;=Tabla1[[#This Row],[Tiempo
(Hrs 00/100)]],"cumple","no cumple"),"")</f>
        <v>cumple</v>
      </c>
      <c r="W841" s="376" t="s">
        <v>1149</v>
      </c>
      <c r="X841" s="463" t="str">
        <f t="shared" ref="X841:X844" si="103">IF(C841&lt;&gt;"",C841,D841)</f>
        <v>SAI</v>
      </c>
      <c r="Y841" s="459" t="str">
        <f>SUBSTITUTE(Tabla1[[#This Row],[Descripción]],CHAR(10),"    I    ")</f>
        <v>Se continuaron realizando los cambios, se crearon escenarios de pruebas y automatización de la publicación de reportes. Además, se estuvieron haciendo cambios de conectividad de la base de datos.</v>
      </c>
      <c r="Z841" s="464">
        <f>VLOOKUP(Tabla1[[#This Row],[Perfil]],Catalogos!$B$75:$D$100,3,FALSE)*Tabla1[[#This Row],[Tiempo
(Hrs 00/100)]]*1.16</f>
        <v>4640</v>
      </c>
    </row>
    <row r="842" spans="1:26" ht="15" customHeight="1" x14ac:dyDescent="0.3">
      <c r="A842" s="370" t="s">
        <v>15</v>
      </c>
      <c r="B842" s="370" t="s">
        <v>67</v>
      </c>
      <c r="C842" s="505" t="s">
        <v>49</v>
      </c>
      <c r="D842" s="370"/>
      <c r="E842" s="370" t="s">
        <v>404</v>
      </c>
      <c r="F842" s="370" t="s">
        <v>23</v>
      </c>
      <c r="G842" s="370" t="s">
        <v>604</v>
      </c>
      <c r="H842" s="371" t="s">
        <v>605</v>
      </c>
      <c r="I842" s="383" t="s">
        <v>1215</v>
      </c>
      <c r="J842" s="369">
        <v>45056</v>
      </c>
      <c r="K842" s="747">
        <v>0.375</v>
      </c>
      <c r="L842" s="369">
        <v>45056</v>
      </c>
      <c r="M842" s="753">
        <v>0.58333333333333337</v>
      </c>
      <c r="N842" s="373">
        <v>5</v>
      </c>
      <c r="O842" s="374" t="s">
        <v>411</v>
      </c>
      <c r="P842" s="375" t="s">
        <v>1214</v>
      </c>
      <c r="Q842" s="785" t="s">
        <v>629</v>
      </c>
      <c r="R842" s="53" t="s">
        <v>302</v>
      </c>
      <c r="S842" s="31" t="s">
        <v>273</v>
      </c>
      <c r="T842" s="31" t="s">
        <v>273</v>
      </c>
      <c r="U842" s="31">
        <f>IFERROR(VLOOKUP(CONCATENATE(Tabla1[[#This Row],[Severidad]]," ",Tabla1[[#This Row],[Complejidad]]),Catalogos!E$120:G$128,3,FALSE),"")</f>
        <v>64</v>
      </c>
      <c r="V842" s="31" t="str">
        <f>IF(Tabla1[[#This Row],[Tiempo solución max (hrs)]]&lt;&gt;"",IF(Tabla1[[#This Row],[Tiempo solución max (hrs)]]&gt;=Tabla1[[#This Row],[Tiempo
(Hrs 00/100)]],"cumple","no cumple"),"")</f>
        <v>cumple</v>
      </c>
      <c r="W842" s="376" t="s">
        <v>1149</v>
      </c>
      <c r="X842" s="463" t="str">
        <f t="shared" si="103"/>
        <v>SAI</v>
      </c>
      <c r="Y842" s="459" t="str">
        <f>SUBSTITUTE(Tabla1[[#This Row],[Descripción]],CHAR(10),"    I    ")</f>
        <v>Se continuaron realizando los cambios, se crearon escenarios de pruebas y automatización de la publicación de reportes. Además, se estuvieron haciendo cambios de conectividad de la base de datos.</v>
      </c>
      <c r="Z842" s="464">
        <f>VLOOKUP(Tabla1[[#This Row],[Perfil]],Catalogos!$B$75:$D$100,3,FALSE)*Tabla1[[#This Row],[Tiempo
(Hrs 00/100)]]*1.16</f>
        <v>4640</v>
      </c>
    </row>
    <row r="843" spans="1:26" ht="15" customHeight="1" x14ac:dyDescent="0.3">
      <c r="A843" s="370" t="s">
        <v>15</v>
      </c>
      <c r="B843" s="370" t="s">
        <v>67</v>
      </c>
      <c r="C843" s="505" t="s">
        <v>49</v>
      </c>
      <c r="D843" s="370"/>
      <c r="E843" s="370" t="s">
        <v>404</v>
      </c>
      <c r="F843" s="370" t="s">
        <v>23</v>
      </c>
      <c r="G843" s="370" t="s">
        <v>604</v>
      </c>
      <c r="H843" s="371" t="s">
        <v>605</v>
      </c>
      <c r="I843" s="383" t="s">
        <v>1215</v>
      </c>
      <c r="J843" s="369">
        <v>45057</v>
      </c>
      <c r="K843" s="747">
        <v>0.375</v>
      </c>
      <c r="L843" s="369">
        <v>45057</v>
      </c>
      <c r="M843" s="753">
        <v>0.58333333333333337</v>
      </c>
      <c r="N843" s="373">
        <v>5</v>
      </c>
      <c r="O843" s="374" t="s">
        <v>411</v>
      </c>
      <c r="P843" s="375" t="s">
        <v>1214</v>
      </c>
      <c r="Q843" s="785" t="s">
        <v>629</v>
      </c>
      <c r="R843" s="53" t="s">
        <v>302</v>
      </c>
      <c r="S843" s="31" t="s">
        <v>273</v>
      </c>
      <c r="T843" s="31" t="s">
        <v>273</v>
      </c>
      <c r="U843" s="31">
        <f>IFERROR(VLOOKUP(CONCATENATE(Tabla1[[#This Row],[Severidad]]," ",Tabla1[[#This Row],[Complejidad]]),Catalogos!E$120:G$128,3,FALSE),"")</f>
        <v>64</v>
      </c>
      <c r="V843" s="31" t="str">
        <f>IF(Tabla1[[#This Row],[Tiempo solución max (hrs)]]&lt;&gt;"",IF(Tabla1[[#This Row],[Tiempo solución max (hrs)]]&gt;=Tabla1[[#This Row],[Tiempo
(Hrs 00/100)]],"cumple","no cumple"),"")</f>
        <v>cumple</v>
      </c>
      <c r="W843" s="376" t="s">
        <v>1149</v>
      </c>
      <c r="X843" s="463" t="str">
        <f t="shared" si="103"/>
        <v>SAI</v>
      </c>
      <c r="Y843" s="459" t="str">
        <f>SUBSTITUTE(Tabla1[[#This Row],[Descripción]],CHAR(10),"    I    ")</f>
        <v>Se continuaron realizando los cambios, se crearon escenarios de pruebas y automatización de la publicación de reportes. Además, se estuvieron haciendo cambios de conectividad de la base de datos.</v>
      </c>
      <c r="Z843" s="464">
        <f>VLOOKUP(Tabla1[[#This Row],[Perfil]],Catalogos!$B$75:$D$100,3,FALSE)*Tabla1[[#This Row],[Tiempo
(Hrs 00/100)]]*1.16</f>
        <v>4640</v>
      </c>
    </row>
    <row r="844" spans="1:26" ht="15" customHeight="1" x14ac:dyDescent="0.3">
      <c r="A844" s="370" t="s">
        <v>15</v>
      </c>
      <c r="B844" s="370" t="s">
        <v>67</v>
      </c>
      <c r="C844" s="505" t="s">
        <v>49</v>
      </c>
      <c r="D844" s="370"/>
      <c r="E844" s="370" t="s">
        <v>404</v>
      </c>
      <c r="F844" s="370" t="s">
        <v>23</v>
      </c>
      <c r="G844" s="370" t="s">
        <v>604</v>
      </c>
      <c r="H844" s="371" t="s">
        <v>605</v>
      </c>
      <c r="I844" s="383" t="s">
        <v>1215</v>
      </c>
      <c r="J844" s="369">
        <v>45058</v>
      </c>
      <c r="K844" s="747">
        <v>0.375</v>
      </c>
      <c r="L844" s="369">
        <v>45058</v>
      </c>
      <c r="M844" s="753">
        <v>0.58333333333333337</v>
      </c>
      <c r="N844" s="373">
        <v>5</v>
      </c>
      <c r="O844" s="374" t="s">
        <v>17</v>
      </c>
      <c r="P844" s="375" t="s">
        <v>1214</v>
      </c>
      <c r="Q844" s="785" t="s">
        <v>629</v>
      </c>
      <c r="R844" s="53" t="s">
        <v>302</v>
      </c>
      <c r="S844" s="31" t="s">
        <v>273</v>
      </c>
      <c r="T844" s="31" t="s">
        <v>273</v>
      </c>
      <c r="U844" s="31">
        <f>IFERROR(VLOOKUP(CONCATENATE(Tabla1[[#This Row],[Severidad]]," ",Tabla1[[#This Row],[Complejidad]]),Catalogos!E$120:G$128,3,FALSE),"")</f>
        <v>64</v>
      </c>
      <c r="V844" s="31" t="str">
        <f>IF(Tabla1[[#This Row],[Tiempo solución max (hrs)]]&lt;&gt;"",IF(Tabla1[[#This Row],[Tiempo solución max (hrs)]]&gt;=Tabla1[[#This Row],[Tiempo
(Hrs 00/100)]],"cumple","no cumple"),"")</f>
        <v>cumple</v>
      </c>
      <c r="W844" s="376" t="s">
        <v>1149</v>
      </c>
      <c r="X844" s="463" t="str">
        <f t="shared" si="103"/>
        <v>SAI</v>
      </c>
      <c r="Y844" s="459" t="str">
        <f>SUBSTITUTE(Tabla1[[#This Row],[Descripción]],CHAR(10),"    I    ")</f>
        <v>Se continuaron realizando los cambios, se crearon escenarios de pruebas y automatización de la publicación de reportes. Además, se estuvieron haciendo cambios de conectividad de la base de datos.</v>
      </c>
      <c r="Z844" s="464">
        <f>VLOOKUP(Tabla1[[#This Row],[Perfil]],Catalogos!$B$75:$D$100,3,FALSE)*Tabla1[[#This Row],[Tiempo
(Hrs 00/100)]]*1.16</f>
        <v>4640</v>
      </c>
    </row>
    <row r="845" spans="1:26" ht="15" customHeight="1" x14ac:dyDescent="0.3">
      <c r="A845" s="370" t="s">
        <v>15</v>
      </c>
      <c r="B845" s="370" t="s">
        <v>67</v>
      </c>
      <c r="C845" s="505" t="s">
        <v>49</v>
      </c>
      <c r="D845" s="370"/>
      <c r="E845" s="370" t="s">
        <v>404</v>
      </c>
      <c r="F845" s="370" t="s">
        <v>23</v>
      </c>
      <c r="G845" s="370" t="s">
        <v>604</v>
      </c>
      <c r="H845" s="371" t="s">
        <v>605</v>
      </c>
      <c r="I845" s="383" t="s">
        <v>1216</v>
      </c>
      <c r="J845" s="369">
        <v>45061</v>
      </c>
      <c r="K845" s="747">
        <v>0.375</v>
      </c>
      <c r="L845" s="369">
        <v>45061</v>
      </c>
      <c r="M845" s="753">
        <v>0.58333333333333337</v>
      </c>
      <c r="N845" s="373">
        <v>5</v>
      </c>
      <c r="O845" s="374" t="s">
        <v>17</v>
      </c>
      <c r="P845" s="375" t="s">
        <v>1214</v>
      </c>
      <c r="Q845" s="785" t="s">
        <v>629</v>
      </c>
      <c r="R845" s="53" t="s">
        <v>302</v>
      </c>
      <c r="S845" s="31" t="s">
        <v>273</v>
      </c>
      <c r="T845" s="31" t="s">
        <v>273</v>
      </c>
      <c r="U845" s="31">
        <f>IFERROR(VLOOKUP(CONCATENATE(Tabla1[[#This Row],[Severidad]]," ",Tabla1[[#This Row],[Complejidad]]),Catalogos!E$120:G$128,3,FALSE),"")</f>
        <v>64</v>
      </c>
      <c r="V845" s="31" t="str">
        <f>IF(Tabla1[[#This Row],[Tiempo solución max (hrs)]]&lt;&gt;"",IF(Tabla1[[#This Row],[Tiempo solución max (hrs)]]&gt;=Tabla1[[#This Row],[Tiempo
(Hrs 00/100)]],"cumple","no cumple"),"")</f>
        <v>cumple</v>
      </c>
      <c r="W845" s="376" t="s">
        <v>1149</v>
      </c>
      <c r="X845" s="463" t="str">
        <f t="shared" si="101"/>
        <v>SAI</v>
      </c>
      <c r="Y845" s="459" t="str">
        <f>SUBSTITUTE(Tabla1[[#This Row],[Descripción]],CHAR(10),"    I    ")</f>
        <v>Se mostraron los reportes publicados además de concluir pruebas de mostrar la ultima fecha de actualización de los reportes.</v>
      </c>
      <c r="Z845" s="464">
        <f>VLOOKUP(Tabla1[[#This Row],[Perfil]],Catalogos!$B$75:$D$100,3,FALSE)*Tabla1[[#This Row],[Tiempo
(Hrs 00/100)]]*1.16</f>
        <v>4640</v>
      </c>
    </row>
    <row r="846" spans="1:26" ht="15" customHeight="1" x14ac:dyDescent="0.3">
      <c r="A846" s="370" t="s">
        <v>22</v>
      </c>
      <c r="B846" s="370" t="s">
        <v>21</v>
      </c>
      <c r="C846" s="506" t="s">
        <v>45</v>
      </c>
      <c r="D846" s="370"/>
      <c r="E846" s="370" t="s">
        <v>1217</v>
      </c>
      <c r="F846" s="370" t="s">
        <v>23</v>
      </c>
      <c r="G846" s="370"/>
      <c r="H846" s="371" t="s">
        <v>1218</v>
      </c>
      <c r="I846" s="371" t="s">
        <v>1218</v>
      </c>
      <c r="J846" s="369">
        <v>45048</v>
      </c>
      <c r="K846" s="709">
        <v>0.375</v>
      </c>
      <c r="L846" s="369">
        <v>45048</v>
      </c>
      <c r="M846" s="739">
        <v>0.79166666666666663</v>
      </c>
      <c r="N846" s="507">
        <v>8</v>
      </c>
      <c r="O846" s="374" t="s">
        <v>411</v>
      </c>
      <c r="P846" s="375" t="s">
        <v>708</v>
      </c>
      <c r="Q846" s="792" t="s">
        <v>295</v>
      </c>
      <c r="R846" s="508" t="s">
        <v>40</v>
      </c>
      <c r="S846" s="31" t="s">
        <v>273</v>
      </c>
      <c r="T846" s="31" t="s">
        <v>273</v>
      </c>
      <c r="U846" s="31">
        <f>IFERROR(VLOOKUP(CONCATENATE(Tabla1[[#This Row],[Severidad]]," ",Tabla1[[#This Row],[Complejidad]]),Catalogos!E$120:G$128,3,FALSE),"")</f>
        <v>64</v>
      </c>
      <c r="V846" s="31" t="str">
        <f>IF(Tabla1[[#This Row],[Tiempo solución max (hrs)]]&lt;&gt;"",IF(Tabla1[[#This Row],[Tiempo solución max (hrs)]]&gt;=Tabla1[[#This Row],[Tiempo
(Hrs 00/100)]],"cumple","no cumple"),"")</f>
        <v>cumple</v>
      </c>
      <c r="W846" s="376" t="s">
        <v>1149</v>
      </c>
      <c r="X846" s="463" t="str">
        <f t="shared" si="101"/>
        <v>SPD</v>
      </c>
      <c r="Y846" s="459" t="str">
        <f>SUBSTITUTE(Tabla1[[#This Row],[Descripción]],CHAR(10),"    I    ")</f>
        <v>Implementar servicio del registro de estadístico en todo el buscador</v>
      </c>
      <c r="Z846" s="464">
        <f>VLOOKUP(Tabla1[[#This Row],[Perfil]],Catalogos!$B$75:$D$100,3,FALSE)*Tabla1[[#This Row],[Tiempo
(Hrs 00/100)]]*1.16</f>
        <v>6496</v>
      </c>
    </row>
    <row r="847" spans="1:26" ht="15" customHeight="1" x14ac:dyDescent="0.3">
      <c r="A847" s="370" t="s">
        <v>22</v>
      </c>
      <c r="B847" s="370" t="s">
        <v>21</v>
      </c>
      <c r="C847" s="506" t="s">
        <v>45</v>
      </c>
      <c r="D847" s="370"/>
      <c r="E847" s="370" t="s">
        <v>1217</v>
      </c>
      <c r="F847" s="370" t="s">
        <v>23</v>
      </c>
      <c r="G847" s="370"/>
      <c r="H847" s="371" t="s">
        <v>1218</v>
      </c>
      <c r="I847" s="371" t="s">
        <v>1218</v>
      </c>
      <c r="J847" s="369">
        <v>45049</v>
      </c>
      <c r="K847" s="709">
        <v>0.375</v>
      </c>
      <c r="L847" s="369">
        <v>45049</v>
      </c>
      <c r="M847" s="739">
        <v>0.79166666666666663</v>
      </c>
      <c r="N847" s="507">
        <v>8</v>
      </c>
      <c r="O847" s="374" t="s">
        <v>411</v>
      </c>
      <c r="P847" s="375" t="s">
        <v>708</v>
      </c>
      <c r="Q847" s="792" t="s">
        <v>295</v>
      </c>
      <c r="R847" s="508" t="s">
        <v>40</v>
      </c>
      <c r="S847" s="31" t="s">
        <v>273</v>
      </c>
      <c r="T847" s="31" t="s">
        <v>273</v>
      </c>
      <c r="U847" s="31">
        <f>IFERROR(VLOOKUP(CONCATENATE(Tabla1[[#This Row],[Severidad]]," ",Tabla1[[#This Row],[Complejidad]]),Catalogos!E$120:G$128,3,FALSE),"")</f>
        <v>64</v>
      </c>
      <c r="V847" s="31" t="str">
        <f>IF(Tabla1[[#This Row],[Tiempo solución max (hrs)]]&lt;&gt;"",IF(Tabla1[[#This Row],[Tiempo solución max (hrs)]]&gt;=Tabla1[[#This Row],[Tiempo
(Hrs 00/100)]],"cumple","no cumple"),"")</f>
        <v>cumple</v>
      </c>
      <c r="W847" s="376" t="s">
        <v>1149</v>
      </c>
      <c r="X847" s="463" t="str">
        <f t="shared" si="101"/>
        <v>SPD</v>
      </c>
      <c r="Y847" s="459" t="str">
        <f>SUBSTITUTE(Tabla1[[#This Row],[Descripción]],CHAR(10),"    I    ")</f>
        <v>Implementar servicio del registro de estadístico en todo el buscador</v>
      </c>
      <c r="Z847" s="464">
        <f>VLOOKUP(Tabla1[[#This Row],[Perfil]],Catalogos!$B$75:$D$100,3,FALSE)*Tabla1[[#This Row],[Tiempo
(Hrs 00/100)]]*1.16</f>
        <v>6496</v>
      </c>
    </row>
    <row r="848" spans="1:26" ht="15" customHeight="1" x14ac:dyDescent="0.3">
      <c r="A848" s="370" t="s">
        <v>22</v>
      </c>
      <c r="B848" s="370" t="s">
        <v>21</v>
      </c>
      <c r="C848" s="506" t="s">
        <v>45</v>
      </c>
      <c r="D848" s="382"/>
      <c r="E848" s="370" t="s">
        <v>1217</v>
      </c>
      <c r="F848" s="370" t="s">
        <v>23</v>
      </c>
      <c r="G848" s="370"/>
      <c r="H848" s="371" t="s">
        <v>1218</v>
      </c>
      <c r="I848" s="371" t="s">
        <v>1218</v>
      </c>
      <c r="J848" s="369">
        <v>45050</v>
      </c>
      <c r="K848" s="747">
        <v>0.375</v>
      </c>
      <c r="L848" s="369">
        <v>45050</v>
      </c>
      <c r="M848" s="753">
        <v>0.79166666666666663</v>
      </c>
      <c r="N848" s="507">
        <v>8</v>
      </c>
      <c r="O848" s="374" t="s">
        <v>17</v>
      </c>
      <c r="P848" s="375" t="s">
        <v>708</v>
      </c>
      <c r="Q848" s="792" t="s">
        <v>295</v>
      </c>
      <c r="R848" s="508" t="s">
        <v>40</v>
      </c>
      <c r="S848" s="31" t="s">
        <v>273</v>
      </c>
      <c r="T848" s="31" t="s">
        <v>273</v>
      </c>
      <c r="U848" s="31">
        <f>IFERROR(VLOOKUP(CONCATENATE(Tabla1[[#This Row],[Severidad]]," ",Tabla1[[#This Row],[Complejidad]]),Catalogos!E$120:G$128,3,FALSE),"")</f>
        <v>64</v>
      </c>
      <c r="V848" s="31" t="str">
        <f>IF(Tabla1[[#This Row],[Tiempo solución max (hrs)]]&lt;&gt;"",IF(Tabla1[[#This Row],[Tiempo solución max (hrs)]]&gt;=Tabla1[[#This Row],[Tiempo
(Hrs 00/100)]],"cumple","no cumple"),"")</f>
        <v>cumple</v>
      </c>
      <c r="W848" s="376" t="s">
        <v>1149</v>
      </c>
      <c r="X848" s="463" t="str">
        <f t="shared" si="101"/>
        <v>SPD</v>
      </c>
      <c r="Y848" s="459" t="str">
        <f>SUBSTITUTE(Tabla1[[#This Row],[Descripción]],CHAR(10),"    I    ")</f>
        <v>Implementar servicio del registro de estadístico en todo el buscador</v>
      </c>
      <c r="Z848" s="464">
        <f>VLOOKUP(Tabla1[[#This Row],[Perfil]],Catalogos!$B$75:$D$100,3,FALSE)*Tabla1[[#This Row],[Tiempo
(Hrs 00/100)]]*1.16</f>
        <v>6496</v>
      </c>
    </row>
    <row r="849" spans="1:26" ht="15" customHeight="1" x14ac:dyDescent="0.3">
      <c r="A849" s="370" t="s">
        <v>22</v>
      </c>
      <c r="B849" s="370" t="s">
        <v>21</v>
      </c>
      <c r="C849" s="506" t="s">
        <v>45</v>
      </c>
      <c r="D849" s="382"/>
      <c r="E849" s="370" t="s">
        <v>375</v>
      </c>
      <c r="F849" s="370" t="s">
        <v>23</v>
      </c>
      <c r="G849" s="370"/>
      <c r="H849" s="371" t="s">
        <v>1219</v>
      </c>
      <c r="I849" s="509" t="s">
        <v>1220</v>
      </c>
      <c r="J849" s="369">
        <v>45054</v>
      </c>
      <c r="K849" s="709">
        <v>0.375</v>
      </c>
      <c r="L849" s="369">
        <v>45054</v>
      </c>
      <c r="M849" s="739">
        <v>0.79166666666666663</v>
      </c>
      <c r="N849" s="210">
        <v>8</v>
      </c>
      <c r="O849" s="374" t="s">
        <v>411</v>
      </c>
      <c r="P849" s="221" t="s">
        <v>462</v>
      </c>
      <c r="Q849" s="792" t="s">
        <v>295</v>
      </c>
      <c r="R849" s="508" t="s">
        <v>40</v>
      </c>
      <c r="S849" s="31" t="s">
        <v>273</v>
      </c>
      <c r="T849" s="31" t="s">
        <v>273</v>
      </c>
      <c r="U849" s="31">
        <f>IFERROR(VLOOKUP(CONCATENATE(Tabla1[[#This Row],[Severidad]]," ",Tabla1[[#This Row],[Complejidad]]),Catalogos!E$120:G$128,3,FALSE),"")</f>
        <v>64</v>
      </c>
      <c r="V849" s="31" t="str">
        <f>IF(Tabla1[[#This Row],[Tiempo solución max (hrs)]]&lt;&gt;"",IF(Tabla1[[#This Row],[Tiempo solución max (hrs)]]&gt;=Tabla1[[#This Row],[Tiempo
(Hrs 00/100)]],"cumple","no cumple"),"")</f>
        <v>cumple</v>
      </c>
      <c r="W849" s="376" t="s">
        <v>1149</v>
      </c>
      <c r="X849" s="463" t="str">
        <f t="shared" si="101"/>
        <v>SPD</v>
      </c>
      <c r="Y849" s="459" t="str">
        <f>SUBSTITUTE(Tabla1[[#This Row],[Descripción]],CHAR(10),"    I    ")</f>
        <v xml:space="preserve"> Maquetado de formulario de búsqueda de "Mis quejas"</v>
      </c>
      <c r="Z849" s="464">
        <f>VLOOKUP(Tabla1[[#This Row],[Perfil]],Catalogos!$B$75:$D$100,3,FALSE)*Tabla1[[#This Row],[Tiempo
(Hrs 00/100)]]*1.16</f>
        <v>6496</v>
      </c>
    </row>
    <row r="850" spans="1:26" ht="15" customHeight="1" x14ac:dyDescent="0.3">
      <c r="A850" s="370" t="s">
        <v>22</v>
      </c>
      <c r="B850" s="370" t="s">
        <v>21</v>
      </c>
      <c r="C850" s="506" t="s">
        <v>45</v>
      </c>
      <c r="D850" s="370"/>
      <c r="E850" s="370" t="s">
        <v>375</v>
      </c>
      <c r="F850" s="370" t="s">
        <v>23</v>
      </c>
      <c r="G850" s="370"/>
      <c r="H850" s="371" t="s">
        <v>1219</v>
      </c>
      <c r="I850" s="509" t="s">
        <v>1220</v>
      </c>
      <c r="J850" s="369">
        <v>45055</v>
      </c>
      <c r="K850" s="747">
        <v>0.375</v>
      </c>
      <c r="L850" s="369">
        <v>45055</v>
      </c>
      <c r="M850" s="753">
        <v>0.79166666666666663</v>
      </c>
      <c r="N850" s="507">
        <v>8</v>
      </c>
      <c r="O850" s="374" t="s">
        <v>17</v>
      </c>
      <c r="P850" s="221" t="s">
        <v>462</v>
      </c>
      <c r="Q850" s="792" t="s">
        <v>295</v>
      </c>
      <c r="R850" s="508" t="s">
        <v>40</v>
      </c>
      <c r="S850" s="31" t="s">
        <v>273</v>
      </c>
      <c r="T850" s="31" t="s">
        <v>273</v>
      </c>
      <c r="U850" s="31">
        <f>IFERROR(VLOOKUP(CONCATENATE(Tabla1[[#This Row],[Severidad]]," ",Tabla1[[#This Row],[Complejidad]]),Catalogos!E$120:G$128,3,FALSE),"")</f>
        <v>64</v>
      </c>
      <c r="V850" s="31" t="str">
        <f>IF(Tabla1[[#This Row],[Tiempo solución max (hrs)]]&lt;&gt;"",IF(Tabla1[[#This Row],[Tiempo solución max (hrs)]]&gt;=Tabla1[[#This Row],[Tiempo
(Hrs 00/100)]],"cumple","no cumple"),"")</f>
        <v>cumple</v>
      </c>
      <c r="W850" s="376" t="s">
        <v>1149</v>
      </c>
      <c r="X850" s="463" t="str">
        <f t="shared" si="101"/>
        <v>SPD</v>
      </c>
      <c r="Y850" s="459" t="str">
        <f>SUBSTITUTE(Tabla1[[#This Row],[Descripción]],CHAR(10),"    I    ")</f>
        <v xml:space="preserve"> Maquetado de formulario de búsqueda de "Mis quejas"</v>
      </c>
      <c r="Z850" s="464">
        <f>VLOOKUP(Tabla1[[#This Row],[Perfil]],Catalogos!$B$75:$D$100,3,FALSE)*Tabla1[[#This Row],[Tiempo
(Hrs 00/100)]]*1.16</f>
        <v>6496</v>
      </c>
    </row>
    <row r="851" spans="1:26" ht="15" customHeight="1" x14ac:dyDescent="0.3">
      <c r="A851" s="370" t="s">
        <v>22</v>
      </c>
      <c r="B851" s="370" t="s">
        <v>21</v>
      </c>
      <c r="C851" s="506" t="s">
        <v>45</v>
      </c>
      <c r="D851" s="370"/>
      <c r="E851" s="370" t="s">
        <v>375</v>
      </c>
      <c r="F851" s="370" t="s">
        <v>23</v>
      </c>
      <c r="G851" s="370"/>
      <c r="H851" s="371" t="s">
        <v>1221</v>
      </c>
      <c r="I851" s="509" t="s">
        <v>1222</v>
      </c>
      <c r="J851" s="369">
        <v>45056</v>
      </c>
      <c r="K851" s="747">
        <v>0.375</v>
      </c>
      <c r="L851" s="369">
        <v>45056</v>
      </c>
      <c r="M851" s="753">
        <v>0.79166666666666663</v>
      </c>
      <c r="N851" s="507">
        <v>8</v>
      </c>
      <c r="O851" s="374" t="s">
        <v>17</v>
      </c>
      <c r="P851" s="221" t="s">
        <v>462</v>
      </c>
      <c r="Q851" s="792" t="s">
        <v>295</v>
      </c>
      <c r="R851" s="508" t="s">
        <v>40</v>
      </c>
      <c r="S851" s="31" t="s">
        <v>273</v>
      </c>
      <c r="T851" s="31" t="s">
        <v>273</v>
      </c>
      <c r="U851" s="31">
        <f>IFERROR(VLOOKUP(CONCATENATE(Tabla1[[#This Row],[Severidad]]," ",Tabla1[[#This Row],[Complejidad]]),Catalogos!E$120:G$128,3,FALSE),"")</f>
        <v>64</v>
      </c>
      <c r="V851" s="31" t="str">
        <f>IF(Tabla1[[#This Row],[Tiempo solución max (hrs)]]&lt;&gt;"",IF(Tabla1[[#This Row],[Tiempo solución max (hrs)]]&gt;=Tabla1[[#This Row],[Tiempo
(Hrs 00/100)]],"cumple","no cumple"),"")</f>
        <v>cumple</v>
      </c>
      <c r="W851" s="376" t="s">
        <v>1149</v>
      </c>
      <c r="X851" s="463" t="str">
        <f t="shared" si="101"/>
        <v>SPD</v>
      </c>
      <c r="Y851" s="459" t="str">
        <f>SUBSTITUTE(Tabla1[[#This Row],[Descripción]],CHAR(10),"    I    ")</f>
        <v>Maquetado de grid de listado de quejas</v>
      </c>
      <c r="Z851" s="464">
        <f>VLOOKUP(Tabla1[[#This Row],[Perfil]],Catalogos!$B$75:$D$100,3,FALSE)*Tabla1[[#This Row],[Tiempo
(Hrs 00/100)]]*1.16</f>
        <v>6496</v>
      </c>
    </row>
    <row r="852" spans="1:26" ht="15" customHeight="1" x14ac:dyDescent="0.3">
      <c r="A852" s="370" t="s">
        <v>22</v>
      </c>
      <c r="B852" s="370" t="s">
        <v>21</v>
      </c>
      <c r="C852" s="506" t="s">
        <v>45</v>
      </c>
      <c r="D852" s="370"/>
      <c r="E852" s="370" t="s">
        <v>375</v>
      </c>
      <c r="F852" s="370" t="s">
        <v>23</v>
      </c>
      <c r="G852" s="370"/>
      <c r="H852" s="371" t="s">
        <v>1223</v>
      </c>
      <c r="I852" s="509" t="s">
        <v>1224</v>
      </c>
      <c r="J852" s="369">
        <v>45057</v>
      </c>
      <c r="K852" s="747">
        <v>0.375</v>
      </c>
      <c r="L852" s="369">
        <v>45057</v>
      </c>
      <c r="M852" s="753">
        <v>0.79166666666666663</v>
      </c>
      <c r="N852" s="507">
        <v>8</v>
      </c>
      <c r="O852" s="374" t="s">
        <v>17</v>
      </c>
      <c r="P852" s="221" t="s">
        <v>462</v>
      </c>
      <c r="Q852" s="792" t="s">
        <v>295</v>
      </c>
      <c r="R852" s="508" t="s">
        <v>40</v>
      </c>
      <c r="S852" s="31" t="s">
        <v>273</v>
      </c>
      <c r="T852" s="31" t="s">
        <v>273</v>
      </c>
      <c r="U852" s="31">
        <f>IFERROR(VLOOKUP(CONCATENATE(Tabla1[[#This Row],[Severidad]]," ",Tabla1[[#This Row],[Complejidad]]),Catalogos!E$120:G$128,3,FALSE),"")</f>
        <v>64</v>
      </c>
      <c r="V852" s="31" t="str">
        <f>IF(Tabla1[[#This Row],[Tiempo solución max (hrs)]]&lt;&gt;"",IF(Tabla1[[#This Row],[Tiempo solución max (hrs)]]&gt;=Tabla1[[#This Row],[Tiempo
(Hrs 00/100)]],"cumple","no cumple"),"")</f>
        <v>cumple</v>
      </c>
      <c r="W852" s="376" t="s">
        <v>1149</v>
      </c>
      <c r="X852" s="463" t="str">
        <f t="shared" si="101"/>
        <v>SPD</v>
      </c>
      <c r="Y852" s="459" t="str">
        <f>SUBSTITUTE(Tabla1[[#This Row],[Descripción]],CHAR(10),"    I    ")</f>
        <v>Maquetado de funcionalidad de "expando row" para el detalle de quejas</v>
      </c>
      <c r="Z852" s="464">
        <f>VLOOKUP(Tabla1[[#This Row],[Perfil]],Catalogos!$B$75:$D$100,3,FALSE)*Tabla1[[#This Row],[Tiempo
(Hrs 00/100)]]*1.16</f>
        <v>6496</v>
      </c>
    </row>
    <row r="853" spans="1:26" ht="15" customHeight="1" x14ac:dyDescent="0.3">
      <c r="A853" s="210" t="s">
        <v>22</v>
      </c>
      <c r="B853" s="374" t="s">
        <v>21</v>
      </c>
      <c r="C853" s="506" t="s">
        <v>45</v>
      </c>
      <c r="D853" s="382"/>
      <c r="E853" s="370" t="s">
        <v>375</v>
      </c>
      <c r="F853" s="210" t="s">
        <v>23</v>
      </c>
      <c r="G853" s="370"/>
      <c r="H853" s="371" t="s">
        <v>1225</v>
      </c>
      <c r="I853" s="509" t="s">
        <v>1226</v>
      </c>
      <c r="J853" s="369">
        <v>45058</v>
      </c>
      <c r="K853" s="747">
        <v>0.375</v>
      </c>
      <c r="L853" s="369">
        <v>45058</v>
      </c>
      <c r="M853" s="753">
        <v>0.79166666666666663</v>
      </c>
      <c r="N853" s="210">
        <v>8</v>
      </c>
      <c r="O853" s="374" t="s">
        <v>17</v>
      </c>
      <c r="P853" s="221" t="s">
        <v>462</v>
      </c>
      <c r="Q853" s="792" t="s">
        <v>295</v>
      </c>
      <c r="R853" s="508" t="s">
        <v>40</v>
      </c>
      <c r="S853" s="31" t="s">
        <v>273</v>
      </c>
      <c r="T853" s="31" t="s">
        <v>273</v>
      </c>
      <c r="U853" s="31">
        <f>IFERROR(VLOOKUP(CONCATENATE(Tabla1[[#This Row],[Severidad]]," ",Tabla1[[#This Row],[Complejidad]]),Catalogos!E$120:G$128,3,FALSE),"")</f>
        <v>64</v>
      </c>
      <c r="V853" s="31" t="str">
        <f>IF(Tabla1[[#This Row],[Tiempo solución max (hrs)]]&lt;&gt;"",IF(Tabla1[[#This Row],[Tiempo solución max (hrs)]]&gt;=Tabla1[[#This Row],[Tiempo
(Hrs 00/100)]],"cumple","no cumple"),"")</f>
        <v>cumple</v>
      </c>
      <c r="W853" s="376" t="s">
        <v>1149</v>
      </c>
      <c r="X853" s="463" t="str">
        <f t="shared" si="101"/>
        <v>SPD</v>
      </c>
      <c r="Y853" s="459" t="str">
        <f>SUBSTITUTE(Tabla1[[#This Row],[Descripción]],CHAR(10),"    I    ")</f>
        <v>Maquetado de la pantalla de seguimiento de la queja</v>
      </c>
      <c r="Z853" s="464">
        <f>VLOOKUP(Tabla1[[#This Row],[Perfil]],Catalogos!$B$75:$D$100,3,FALSE)*Tabla1[[#This Row],[Tiempo
(Hrs 00/100)]]*1.16</f>
        <v>6496</v>
      </c>
    </row>
    <row r="854" spans="1:26" ht="15" customHeight="1" x14ac:dyDescent="0.3">
      <c r="A854" s="210" t="s">
        <v>22</v>
      </c>
      <c r="B854" s="374" t="s">
        <v>21</v>
      </c>
      <c r="C854" s="506" t="s">
        <v>45</v>
      </c>
      <c r="D854" s="382"/>
      <c r="E854" s="370" t="s">
        <v>375</v>
      </c>
      <c r="F854" s="210" t="s">
        <v>23</v>
      </c>
      <c r="G854" s="370"/>
      <c r="H854" s="371" t="s">
        <v>1225</v>
      </c>
      <c r="I854" s="509" t="s">
        <v>1227</v>
      </c>
      <c r="J854" s="369">
        <v>45061</v>
      </c>
      <c r="K854" s="747">
        <v>0.375</v>
      </c>
      <c r="L854" s="369">
        <v>45061</v>
      </c>
      <c r="M854" s="753">
        <v>0.79166666666666663</v>
      </c>
      <c r="N854" s="210">
        <v>8</v>
      </c>
      <c r="O854" s="374" t="s">
        <v>17</v>
      </c>
      <c r="P854" s="221" t="s">
        <v>462</v>
      </c>
      <c r="Q854" s="792" t="s">
        <v>295</v>
      </c>
      <c r="R854" s="508" t="s">
        <v>40</v>
      </c>
      <c r="S854" s="31" t="s">
        <v>273</v>
      </c>
      <c r="T854" s="31" t="s">
        <v>273</v>
      </c>
      <c r="U854" s="31">
        <f>IFERROR(VLOOKUP(CONCATENATE(Tabla1[[#This Row],[Severidad]]," ",Tabla1[[#This Row],[Complejidad]]),Catalogos!E$120:G$128,3,FALSE),"")</f>
        <v>64</v>
      </c>
      <c r="V854" s="31" t="str">
        <f>IF(Tabla1[[#This Row],[Tiempo solución max (hrs)]]&lt;&gt;"",IF(Tabla1[[#This Row],[Tiempo solución max (hrs)]]&gt;=Tabla1[[#This Row],[Tiempo
(Hrs 00/100)]],"cumple","no cumple"),"")</f>
        <v>cumple</v>
      </c>
      <c r="W854" s="376" t="s">
        <v>1149</v>
      </c>
      <c r="X854" s="463" t="str">
        <f t="shared" si="101"/>
        <v>SPD</v>
      </c>
      <c r="Y854" s="459" t="str">
        <f>SUBSTITUTE(Tabla1[[#This Row],[Descripción]],CHAR(10),"    I    ")</f>
        <v>Maquetado de la pantalla para prevenir una queja</v>
      </c>
      <c r="Z854" s="464">
        <f>VLOOKUP(Tabla1[[#This Row],[Perfil]],Catalogos!$B$75:$D$100,3,FALSE)*Tabla1[[#This Row],[Tiempo
(Hrs 00/100)]]*1.16</f>
        <v>6496</v>
      </c>
    </row>
    <row r="855" spans="1:26" ht="15" customHeight="1" x14ac:dyDescent="0.3">
      <c r="A855" s="210" t="s">
        <v>22</v>
      </c>
      <c r="B855" s="374" t="s">
        <v>21</v>
      </c>
      <c r="C855" s="506" t="s">
        <v>45</v>
      </c>
      <c r="D855" s="382"/>
      <c r="E855" s="370" t="s">
        <v>375</v>
      </c>
      <c r="F855" s="210" t="s">
        <v>23</v>
      </c>
      <c r="G855" s="370"/>
      <c r="H855" s="371" t="s">
        <v>1225</v>
      </c>
      <c r="I855" s="509" t="s">
        <v>1228</v>
      </c>
      <c r="J855" s="369">
        <v>45062</v>
      </c>
      <c r="K855" s="747">
        <v>0.375</v>
      </c>
      <c r="L855" s="369">
        <v>45062</v>
      </c>
      <c r="M855" s="753">
        <v>0.79166666666666663</v>
      </c>
      <c r="N855" s="210">
        <v>8</v>
      </c>
      <c r="O855" s="374" t="s">
        <v>17</v>
      </c>
      <c r="P855" s="221" t="s">
        <v>462</v>
      </c>
      <c r="Q855" s="792" t="s">
        <v>295</v>
      </c>
      <c r="R855" s="508" t="s">
        <v>40</v>
      </c>
      <c r="S855" s="31" t="s">
        <v>273</v>
      </c>
      <c r="T855" s="31" t="s">
        <v>273</v>
      </c>
      <c r="U855" s="31">
        <f>IFERROR(VLOOKUP(CONCATENATE(Tabla1[[#This Row],[Severidad]]," ",Tabla1[[#This Row],[Complejidad]]),Catalogos!E$120:G$128,3,FALSE),"")</f>
        <v>64</v>
      </c>
      <c r="V855" s="31" t="str">
        <f>IF(Tabla1[[#This Row],[Tiempo solución max (hrs)]]&lt;&gt;"",IF(Tabla1[[#This Row],[Tiempo solución max (hrs)]]&gt;=Tabla1[[#This Row],[Tiempo
(Hrs 00/100)]],"cumple","no cumple"),"")</f>
        <v>cumple</v>
      </c>
      <c r="W855" s="376" t="s">
        <v>1149</v>
      </c>
      <c r="X855" s="463" t="str">
        <f t="shared" si="101"/>
        <v>SPD</v>
      </c>
      <c r="Y855" s="459" t="str">
        <f>SUBSTITUTE(Tabla1[[#This Row],[Descripción]],CHAR(10),"    I    ")</f>
        <v>Maquetado de la pantalla para admitir una queja</v>
      </c>
      <c r="Z855" s="464">
        <f>VLOOKUP(Tabla1[[#This Row],[Perfil]],Catalogos!$B$75:$D$100,3,FALSE)*Tabla1[[#This Row],[Tiempo
(Hrs 00/100)]]*1.16</f>
        <v>6496</v>
      </c>
    </row>
    <row r="856" spans="1:26" ht="15" customHeight="1" x14ac:dyDescent="0.3">
      <c r="A856" s="370" t="s">
        <v>22</v>
      </c>
      <c r="B856" s="370" t="s">
        <v>21</v>
      </c>
      <c r="C856" s="418" t="s">
        <v>45</v>
      </c>
      <c r="D856" s="370"/>
      <c r="E856" s="370" t="s">
        <v>375</v>
      </c>
      <c r="F856" s="370" t="s">
        <v>23</v>
      </c>
      <c r="G856" s="370"/>
      <c r="H856" s="371" t="s">
        <v>1225</v>
      </c>
      <c r="I856" s="383" t="s">
        <v>1229</v>
      </c>
      <c r="J856" s="369">
        <v>45063</v>
      </c>
      <c r="K856" s="709">
        <v>0.375</v>
      </c>
      <c r="L856" s="369">
        <v>45063</v>
      </c>
      <c r="M856" s="739">
        <v>0.79166666666666663</v>
      </c>
      <c r="N856" s="507">
        <v>8</v>
      </c>
      <c r="O856" s="374" t="s">
        <v>411</v>
      </c>
      <c r="P856" s="221" t="s">
        <v>462</v>
      </c>
      <c r="Q856" s="792" t="s">
        <v>295</v>
      </c>
      <c r="R856" s="508" t="s">
        <v>40</v>
      </c>
      <c r="S856" s="31" t="s">
        <v>273</v>
      </c>
      <c r="T856" s="31" t="s">
        <v>273</v>
      </c>
      <c r="U856" s="31">
        <f>IFERROR(VLOOKUP(CONCATENATE(Tabla1[[#This Row],[Severidad]]," ",Tabla1[[#This Row],[Complejidad]]),Catalogos!E$120:G$128,3,FALSE),"")</f>
        <v>64</v>
      </c>
      <c r="V856" s="31" t="str">
        <f>IF(Tabla1[[#This Row],[Tiempo solución max (hrs)]]&lt;&gt;"",IF(Tabla1[[#This Row],[Tiempo solución max (hrs)]]&gt;=Tabla1[[#This Row],[Tiempo
(Hrs 00/100)]],"cumple","no cumple"),"")</f>
        <v>cumple</v>
      </c>
      <c r="W856" s="376" t="s">
        <v>1149</v>
      </c>
      <c r="X856" s="463" t="str">
        <f t="shared" si="101"/>
        <v>SPD</v>
      </c>
      <c r="Y856" s="459" t="str">
        <f>SUBSTITUTE(Tabla1[[#This Row],[Descripción]],CHAR(10),"    I    ")</f>
        <v>Maquetado de la pantalla para admitir y cerrar una queja</v>
      </c>
      <c r="Z856" s="464">
        <f>VLOOKUP(Tabla1[[#This Row],[Perfil]],Catalogos!$B$75:$D$100,3,FALSE)*Tabla1[[#This Row],[Tiempo
(Hrs 00/100)]]*1.16</f>
        <v>6496</v>
      </c>
    </row>
    <row r="857" spans="1:26" ht="15" customHeight="1" x14ac:dyDescent="0.3">
      <c r="A857" s="210" t="s">
        <v>22</v>
      </c>
      <c r="B857" s="374" t="s">
        <v>21</v>
      </c>
      <c r="C857" s="506" t="s">
        <v>45</v>
      </c>
      <c r="D857" s="382"/>
      <c r="E857" s="370" t="s">
        <v>375</v>
      </c>
      <c r="F857" s="210" t="s">
        <v>23</v>
      </c>
      <c r="G857" s="370"/>
      <c r="H857" s="371" t="s">
        <v>1225</v>
      </c>
      <c r="I857" s="383" t="s">
        <v>1229</v>
      </c>
      <c r="J857" s="369">
        <v>45064</v>
      </c>
      <c r="K857" s="747">
        <v>0.375</v>
      </c>
      <c r="L857" s="369">
        <v>45064</v>
      </c>
      <c r="M857" s="753">
        <v>0.79166666666666663</v>
      </c>
      <c r="N857" s="210">
        <v>8</v>
      </c>
      <c r="O857" s="374" t="s">
        <v>17</v>
      </c>
      <c r="P857" s="221" t="s">
        <v>462</v>
      </c>
      <c r="Q857" s="792" t="s">
        <v>295</v>
      </c>
      <c r="R857" s="508" t="s">
        <v>40</v>
      </c>
      <c r="S857" s="31" t="s">
        <v>273</v>
      </c>
      <c r="T857" s="31" t="s">
        <v>273</v>
      </c>
      <c r="U857" s="31">
        <f>IFERROR(VLOOKUP(CONCATENATE(Tabla1[[#This Row],[Severidad]]," ",Tabla1[[#This Row],[Complejidad]]),Catalogos!E$120:G$128,3,FALSE),"")</f>
        <v>64</v>
      </c>
      <c r="V857" s="31" t="str">
        <f>IF(Tabla1[[#This Row],[Tiempo solución max (hrs)]]&lt;&gt;"",IF(Tabla1[[#This Row],[Tiempo solución max (hrs)]]&gt;=Tabla1[[#This Row],[Tiempo
(Hrs 00/100)]],"cumple","no cumple"),"")</f>
        <v>cumple</v>
      </c>
      <c r="W857" s="376" t="s">
        <v>1149</v>
      </c>
      <c r="X857" s="463" t="str">
        <f t="shared" si="101"/>
        <v>SPD</v>
      </c>
      <c r="Y857" s="459" t="str">
        <f>SUBSTITUTE(Tabla1[[#This Row],[Descripción]],CHAR(10),"    I    ")</f>
        <v>Maquetado de la pantalla para admitir y cerrar una queja</v>
      </c>
      <c r="Z857" s="464">
        <f>VLOOKUP(Tabla1[[#This Row],[Perfil]],Catalogos!$B$75:$D$100,3,FALSE)*Tabla1[[#This Row],[Tiempo
(Hrs 00/100)]]*1.16</f>
        <v>6496</v>
      </c>
    </row>
    <row r="858" spans="1:26" ht="15" customHeight="1" x14ac:dyDescent="0.3">
      <c r="A858" s="510" t="s">
        <v>22</v>
      </c>
      <c r="B858" s="510" t="s">
        <v>23</v>
      </c>
      <c r="C858" s="510" t="s">
        <v>45</v>
      </c>
      <c r="D858" s="510"/>
      <c r="E858" s="510" t="s">
        <v>554</v>
      </c>
      <c r="F858" s="510" t="s">
        <v>23</v>
      </c>
      <c r="G858" s="510"/>
      <c r="H858" s="511" t="s">
        <v>1230</v>
      </c>
      <c r="I858" s="511" t="s">
        <v>1231</v>
      </c>
      <c r="J858" s="369">
        <v>45048</v>
      </c>
      <c r="K858" s="747">
        <v>0.375</v>
      </c>
      <c r="L858" s="369">
        <v>45048</v>
      </c>
      <c r="M858" s="753">
        <v>0.54166666666666663</v>
      </c>
      <c r="N858" s="510">
        <v>4</v>
      </c>
      <c r="O858" s="512" t="s">
        <v>17</v>
      </c>
      <c r="P858" s="513" t="s">
        <v>557</v>
      </c>
      <c r="Q858" s="793" t="s">
        <v>558</v>
      </c>
      <c r="R858" s="514" t="s">
        <v>263</v>
      </c>
      <c r="S858" s="31" t="s">
        <v>273</v>
      </c>
      <c r="T858" s="31" t="s">
        <v>273</v>
      </c>
      <c r="U858" s="31">
        <f>IFERROR(VLOOKUP(CONCATENATE(Tabla1[[#This Row],[Severidad]]," ",Tabla1[[#This Row],[Complejidad]]),Catalogos!E$120:G$128,3,FALSE),"")</f>
        <v>64</v>
      </c>
      <c r="V858" s="31" t="str">
        <f>IF(Tabla1[[#This Row],[Tiempo solución max (hrs)]]&lt;&gt;"",IF(Tabla1[[#This Row],[Tiempo solución max (hrs)]]&gt;=Tabla1[[#This Row],[Tiempo
(Hrs 00/100)]],"cumple","no cumple"),"")</f>
        <v>cumple</v>
      </c>
      <c r="W858" s="376" t="s">
        <v>1149</v>
      </c>
      <c r="X858" s="463" t="str">
        <f t="shared" si="101"/>
        <v>SPD</v>
      </c>
      <c r="Y858" s="459" t="str">
        <f>SUBSTITUTE(Tabla1[[#This Row],[Descripción]],CHAR(10),"    I    ")</f>
        <v>Se integra servicio para registrar quejas [modelo, peticion y respuesta]</v>
      </c>
      <c r="Z858" s="464">
        <f>VLOOKUP(Tabla1[[#This Row],[Perfil]],Catalogos!$B$75:$D$100,3,FALSE)*Tabla1[[#This Row],[Tiempo
(Hrs 00/100)]]*1.16</f>
        <v>2320</v>
      </c>
    </row>
    <row r="859" spans="1:26" ht="15" customHeight="1" x14ac:dyDescent="0.3">
      <c r="A859" s="510" t="s">
        <v>22</v>
      </c>
      <c r="B859" s="510" t="s">
        <v>23</v>
      </c>
      <c r="C859" s="510" t="s">
        <v>45</v>
      </c>
      <c r="D859" s="510"/>
      <c r="E859" s="510" t="s">
        <v>554</v>
      </c>
      <c r="F859" s="510" t="s">
        <v>23</v>
      </c>
      <c r="G859" s="510"/>
      <c r="H859" s="511" t="s">
        <v>1230</v>
      </c>
      <c r="I859" s="511" t="s">
        <v>1232</v>
      </c>
      <c r="J859" s="369">
        <v>45048</v>
      </c>
      <c r="K859" s="753">
        <v>0.54166666666666663</v>
      </c>
      <c r="L859" s="369">
        <v>45048</v>
      </c>
      <c r="M859" s="753">
        <v>0.79166666666666663</v>
      </c>
      <c r="N859" s="510">
        <v>4</v>
      </c>
      <c r="O859" s="512" t="s">
        <v>17</v>
      </c>
      <c r="P859" s="513" t="s">
        <v>557</v>
      </c>
      <c r="Q859" s="793" t="s">
        <v>558</v>
      </c>
      <c r="R859" s="514" t="s">
        <v>263</v>
      </c>
      <c r="S859" s="31" t="s">
        <v>273</v>
      </c>
      <c r="T859" s="31" t="s">
        <v>273</v>
      </c>
      <c r="U859" s="31">
        <f>IFERROR(VLOOKUP(CONCATENATE(Tabla1[[#This Row],[Severidad]]," ",Tabla1[[#This Row],[Complejidad]]),Catalogos!E$120:G$128,3,FALSE),"")</f>
        <v>64</v>
      </c>
      <c r="V859" s="31" t="str">
        <f>IF(Tabla1[[#This Row],[Tiempo solución max (hrs)]]&lt;&gt;"",IF(Tabla1[[#This Row],[Tiempo solución max (hrs)]]&gt;=Tabla1[[#This Row],[Tiempo
(Hrs 00/100)]],"cumple","no cumple"),"")</f>
        <v>cumple</v>
      </c>
      <c r="W859" s="376" t="s">
        <v>1149</v>
      </c>
      <c r="X859" s="463" t="str">
        <f t="shared" si="101"/>
        <v>SPD</v>
      </c>
      <c r="Y859" s="459" t="str">
        <f>SUBSTITUTE(Tabla1[[#This Row],[Descripción]],CHAR(10),"    I    ")</f>
        <v>Se da seguimiento y pruebas al error presentado al generar una nueva queja de una solicitud valida</v>
      </c>
      <c r="Z859" s="464">
        <f>VLOOKUP(Tabla1[[#This Row],[Perfil]],Catalogos!$B$75:$D$100,3,FALSE)*Tabla1[[#This Row],[Tiempo
(Hrs 00/100)]]*1.16</f>
        <v>2320</v>
      </c>
    </row>
    <row r="860" spans="1:26" ht="15" customHeight="1" x14ac:dyDescent="0.3">
      <c r="A860" s="515" t="s">
        <v>22</v>
      </c>
      <c r="B860" s="515" t="s">
        <v>23</v>
      </c>
      <c r="C860" s="515" t="s">
        <v>45</v>
      </c>
      <c r="D860" s="515"/>
      <c r="E860" s="515" t="s">
        <v>554</v>
      </c>
      <c r="F860" s="515" t="s">
        <v>23</v>
      </c>
      <c r="G860" s="510"/>
      <c r="H860" s="511" t="s">
        <v>1233</v>
      </c>
      <c r="I860" s="511" t="s">
        <v>1234</v>
      </c>
      <c r="J860" s="369">
        <v>45049</v>
      </c>
      <c r="K860" s="747">
        <v>0.375</v>
      </c>
      <c r="L860" s="369">
        <v>45049</v>
      </c>
      <c r="M860" s="753">
        <v>0.54166666666666663</v>
      </c>
      <c r="N860" s="510">
        <v>4</v>
      </c>
      <c r="O860" s="516" t="s">
        <v>17</v>
      </c>
      <c r="P860" s="517" t="s">
        <v>557</v>
      </c>
      <c r="Q860" s="794" t="s">
        <v>558</v>
      </c>
      <c r="R860" s="518" t="s">
        <v>263</v>
      </c>
      <c r="S860" s="31" t="s">
        <v>273</v>
      </c>
      <c r="T860" s="31" t="s">
        <v>273</v>
      </c>
      <c r="U860" s="31">
        <f>IFERROR(VLOOKUP(CONCATENATE(Tabla1[[#This Row],[Severidad]]," ",Tabla1[[#This Row],[Complejidad]]),Catalogos!E$120:G$128,3,FALSE),"")</f>
        <v>64</v>
      </c>
      <c r="V860" s="31" t="str">
        <f>IF(Tabla1[[#This Row],[Tiempo solución max (hrs)]]&lt;&gt;"",IF(Tabla1[[#This Row],[Tiempo solución max (hrs)]]&gt;=Tabla1[[#This Row],[Tiempo
(Hrs 00/100)]],"cumple","no cumple"),"")</f>
        <v>cumple</v>
      </c>
      <c r="W860" s="376" t="s">
        <v>1149</v>
      </c>
      <c r="X860" s="463" t="str">
        <f t="shared" si="101"/>
        <v>SPD</v>
      </c>
      <c r="Y860" s="459" t="str">
        <f>SUBSTITUTE(Tabla1[[#This Row],[Descripción]],CHAR(10),"    I    ")</f>
        <v>Se incorpora servicio para seguimiento de mis quejas (listado, detalle e historial)</v>
      </c>
      <c r="Z860" s="464">
        <f>VLOOKUP(Tabla1[[#This Row],[Perfil]],Catalogos!$B$75:$D$100,3,FALSE)*Tabla1[[#This Row],[Tiempo
(Hrs 00/100)]]*1.16</f>
        <v>2320</v>
      </c>
    </row>
    <row r="861" spans="1:26" ht="15" customHeight="1" x14ac:dyDescent="0.3">
      <c r="A861" s="515" t="s">
        <v>22</v>
      </c>
      <c r="B861" s="515" t="s">
        <v>23</v>
      </c>
      <c r="C861" s="515" t="s">
        <v>45</v>
      </c>
      <c r="D861" s="515"/>
      <c r="E861" s="515" t="s">
        <v>554</v>
      </c>
      <c r="F861" s="515" t="s">
        <v>23</v>
      </c>
      <c r="G861" s="510"/>
      <c r="H861" s="511" t="s">
        <v>1235</v>
      </c>
      <c r="I861" s="511" t="s">
        <v>1236</v>
      </c>
      <c r="J861" s="369">
        <v>45049</v>
      </c>
      <c r="K861" s="753">
        <v>0.54166666666666663</v>
      </c>
      <c r="L861" s="369">
        <v>45049</v>
      </c>
      <c r="M861" s="753">
        <v>0.70833333333333337</v>
      </c>
      <c r="N861" s="510">
        <v>2</v>
      </c>
      <c r="O861" s="516" t="s">
        <v>17</v>
      </c>
      <c r="P861" s="517" t="s">
        <v>557</v>
      </c>
      <c r="Q861" s="794" t="s">
        <v>558</v>
      </c>
      <c r="R861" s="518" t="s">
        <v>263</v>
      </c>
      <c r="S861" s="31" t="s">
        <v>273</v>
      </c>
      <c r="T861" s="31" t="s">
        <v>273</v>
      </c>
      <c r="U861" s="31">
        <f>IFERROR(VLOOKUP(CONCATENATE(Tabla1[[#This Row],[Severidad]]," ",Tabla1[[#This Row],[Complejidad]]),Catalogos!E$120:G$128,3,FALSE),"")</f>
        <v>64</v>
      </c>
      <c r="V861" s="31" t="str">
        <f>IF(Tabla1[[#This Row],[Tiempo solución max (hrs)]]&lt;&gt;"",IF(Tabla1[[#This Row],[Tiempo solución max (hrs)]]&gt;=Tabla1[[#This Row],[Tiempo
(Hrs 00/100)]],"cumple","no cumple"),"")</f>
        <v>cumple</v>
      </c>
      <c r="W861" s="376" t="s">
        <v>1149</v>
      </c>
      <c r="X861" s="463" t="str">
        <f t="shared" si="101"/>
        <v>SPD</v>
      </c>
      <c r="Y861" s="459" t="str">
        <f>SUBSTITUTE(Tabla1[[#This Row],[Descripción]],CHAR(10),"    I    ")</f>
        <v>Se inica el cambio de servicios para pantallas del sisai, tambien se verifican peticiones y respuestas de los servicios</v>
      </c>
      <c r="Z861" s="464">
        <f>VLOOKUP(Tabla1[[#This Row],[Perfil]],Catalogos!$B$75:$D$100,3,FALSE)*Tabla1[[#This Row],[Tiempo
(Hrs 00/100)]]*1.16</f>
        <v>1160</v>
      </c>
    </row>
    <row r="862" spans="1:26" ht="15" customHeight="1" x14ac:dyDescent="0.3">
      <c r="A862" s="515" t="s">
        <v>22</v>
      </c>
      <c r="B862" s="515" t="s">
        <v>23</v>
      </c>
      <c r="C862" s="515" t="s">
        <v>45</v>
      </c>
      <c r="D862" s="515"/>
      <c r="E862" s="515" t="s">
        <v>554</v>
      </c>
      <c r="F862" s="515" t="s">
        <v>23</v>
      </c>
      <c r="G862" s="510"/>
      <c r="H862" s="511" t="s">
        <v>1237</v>
      </c>
      <c r="I862" s="511" t="s">
        <v>1232</v>
      </c>
      <c r="J862" s="369">
        <v>45049</v>
      </c>
      <c r="K862" s="753">
        <v>0.70833333333333337</v>
      </c>
      <c r="L862" s="369">
        <v>45049</v>
      </c>
      <c r="M862" s="753">
        <v>0.79166666666666663</v>
      </c>
      <c r="N862" s="510">
        <v>2</v>
      </c>
      <c r="O862" s="516" t="s">
        <v>17</v>
      </c>
      <c r="P862" s="517" t="s">
        <v>557</v>
      </c>
      <c r="Q862" s="794" t="s">
        <v>558</v>
      </c>
      <c r="R862" s="518" t="s">
        <v>263</v>
      </c>
      <c r="S862" s="31" t="s">
        <v>273</v>
      </c>
      <c r="T862" s="31" t="s">
        <v>273</v>
      </c>
      <c r="U862" s="31">
        <f>IFERROR(VLOOKUP(CONCATENATE(Tabla1[[#This Row],[Severidad]]," ",Tabla1[[#This Row],[Complejidad]]),Catalogos!E$120:G$128,3,FALSE),"")</f>
        <v>64</v>
      </c>
      <c r="V862" s="31" t="str">
        <f>IF(Tabla1[[#This Row],[Tiempo solución max (hrs)]]&lt;&gt;"",IF(Tabla1[[#This Row],[Tiempo solución max (hrs)]]&gt;=Tabla1[[#This Row],[Tiempo
(Hrs 00/100)]],"cumple","no cumple"),"")</f>
        <v>cumple</v>
      </c>
      <c r="W862" s="376" t="s">
        <v>1149</v>
      </c>
      <c r="X862" s="463" t="str">
        <f t="shared" si="101"/>
        <v>SPD</v>
      </c>
      <c r="Y862" s="459" t="str">
        <f>SUBSTITUTE(Tabla1[[#This Row],[Descripción]],CHAR(10),"    I    ")</f>
        <v>Se da seguimiento y pruebas al error presentado al generar una nueva queja de una solicitud valida</v>
      </c>
      <c r="Z862" s="464">
        <f>VLOOKUP(Tabla1[[#This Row],[Perfil]],Catalogos!$B$75:$D$100,3,FALSE)*Tabla1[[#This Row],[Tiempo
(Hrs 00/100)]]*1.16</f>
        <v>1160</v>
      </c>
    </row>
    <row r="863" spans="1:26" ht="15" customHeight="1" x14ac:dyDescent="0.3">
      <c r="A863" s="515" t="s">
        <v>22</v>
      </c>
      <c r="B863" s="515" t="s">
        <v>23</v>
      </c>
      <c r="C863" s="515" t="s">
        <v>45</v>
      </c>
      <c r="D863" s="515"/>
      <c r="E863" s="515" t="s">
        <v>554</v>
      </c>
      <c r="F863" s="515" t="s">
        <v>23</v>
      </c>
      <c r="G863" s="515"/>
      <c r="H863" s="511" t="s">
        <v>1235</v>
      </c>
      <c r="I863" s="511" t="s">
        <v>1236</v>
      </c>
      <c r="J863" s="369">
        <v>45050</v>
      </c>
      <c r="K863" s="747">
        <v>0.375</v>
      </c>
      <c r="L863" s="369">
        <v>45050</v>
      </c>
      <c r="M863" s="753">
        <v>0.54166666666666663</v>
      </c>
      <c r="N863" s="510">
        <v>4</v>
      </c>
      <c r="O863" s="516" t="s">
        <v>17</v>
      </c>
      <c r="P863" s="517" t="s">
        <v>557</v>
      </c>
      <c r="Q863" s="794" t="s">
        <v>558</v>
      </c>
      <c r="R863" s="518" t="s">
        <v>263</v>
      </c>
      <c r="S863" s="31" t="s">
        <v>273</v>
      </c>
      <c r="T863" s="31" t="s">
        <v>273</v>
      </c>
      <c r="U863" s="31">
        <f>IFERROR(VLOOKUP(CONCATENATE(Tabla1[[#This Row],[Severidad]]," ",Tabla1[[#This Row],[Complejidad]]),Catalogos!E$120:G$128,3,FALSE),"")</f>
        <v>64</v>
      </c>
      <c r="V863" s="31" t="str">
        <f>IF(Tabla1[[#This Row],[Tiempo solución max (hrs)]]&lt;&gt;"",IF(Tabla1[[#This Row],[Tiempo solución max (hrs)]]&gt;=Tabla1[[#This Row],[Tiempo
(Hrs 00/100)]],"cumple","no cumple"),"")</f>
        <v>cumple</v>
      </c>
      <c r="W863" s="376" t="s">
        <v>1149</v>
      </c>
      <c r="X863" s="463" t="str">
        <f t="shared" si="101"/>
        <v>SPD</v>
      </c>
      <c r="Y863" s="459" t="str">
        <f>SUBSTITUTE(Tabla1[[#This Row],[Descripción]],CHAR(10),"    I    ")</f>
        <v>Se inica el cambio de servicios para pantallas del sisai, tambien se verifican peticiones y respuestas de los servicios</v>
      </c>
      <c r="Z863" s="464">
        <f>VLOOKUP(Tabla1[[#This Row],[Perfil]],Catalogos!$B$75:$D$100,3,FALSE)*Tabla1[[#This Row],[Tiempo
(Hrs 00/100)]]*1.16</f>
        <v>2320</v>
      </c>
    </row>
    <row r="864" spans="1:26" ht="15" customHeight="1" thickBot="1" x14ac:dyDescent="0.35">
      <c r="A864" s="519" t="s">
        <v>22</v>
      </c>
      <c r="B864" s="519" t="s">
        <v>23</v>
      </c>
      <c r="C864" s="519" t="s">
        <v>45</v>
      </c>
      <c r="D864" s="519"/>
      <c r="E864" s="519" t="s">
        <v>554</v>
      </c>
      <c r="F864" s="519" t="s">
        <v>23</v>
      </c>
      <c r="G864" s="519"/>
      <c r="H864" s="520" t="s">
        <v>1235</v>
      </c>
      <c r="I864" s="520" t="s">
        <v>1238</v>
      </c>
      <c r="J864" s="369">
        <v>45050</v>
      </c>
      <c r="K864" s="753">
        <v>0.54166666666666663</v>
      </c>
      <c r="L864" s="369">
        <v>45050</v>
      </c>
      <c r="M864" s="753">
        <v>0.79166666666666663</v>
      </c>
      <c r="N864" s="519">
        <v>4</v>
      </c>
      <c r="O864" s="521" t="s">
        <v>17</v>
      </c>
      <c r="P864" s="522" t="s">
        <v>557</v>
      </c>
      <c r="Q864" s="795" t="s">
        <v>558</v>
      </c>
      <c r="R864" s="523" t="s">
        <v>263</v>
      </c>
      <c r="S864" s="31" t="s">
        <v>273</v>
      </c>
      <c r="T864" s="31" t="s">
        <v>273</v>
      </c>
      <c r="U864" s="31">
        <f>IFERROR(VLOOKUP(CONCATENATE(Tabla1[[#This Row],[Severidad]]," ",Tabla1[[#This Row],[Complejidad]]),Catalogos!E$120:G$128,3,FALSE),"")</f>
        <v>64</v>
      </c>
      <c r="V864" s="31" t="str">
        <f>IF(Tabla1[[#This Row],[Tiempo solución max (hrs)]]&lt;&gt;"",IF(Tabla1[[#This Row],[Tiempo solución max (hrs)]]&gt;=Tabla1[[#This Row],[Tiempo
(Hrs 00/100)]],"cumple","no cumple"),"")</f>
        <v>cumple</v>
      </c>
      <c r="W864" s="376" t="s">
        <v>1149</v>
      </c>
      <c r="X864" s="463" t="str">
        <f t="shared" ref="X864:X883" si="104">IF(C864&lt;&gt;"",C864,D864)</f>
        <v>SPD</v>
      </c>
      <c r="Y864" s="459" t="str">
        <f>SUBSTITUTE(Tabla1[[#This Row],[Descripción]],CHAR(10),"    I    ")</f>
        <v>Cambio de servicios para pantallas de quejas y buscadores nacionales, tambien se verifican peticiones y respuestas de los servicios</v>
      </c>
      <c r="Z864" s="464">
        <f>VLOOKUP(Tabla1[[#This Row],[Perfil]],Catalogos!$B$75:$D$100,3,FALSE)*Tabla1[[#This Row],[Tiempo
(Hrs 00/100)]]*1.16</f>
        <v>2320</v>
      </c>
    </row>
    <row r="865" spans="1:26" ht="15" customHeight="1" thickTop="1" x14ac:dyDescent="0.3">
      <c r="A865" s="510" t="s">
        <v>22</v>
      </c>
      <c r="B865" s="510" t="s">
        <v>23</v>
      </c>
      <c r="C865" s="510" t="s">
        <v>45</v>
      </c>
      <c r="D865" s="510"/>
      <c r="E865" s="510" t="s">
        <v>554</v>
      </c>
      <c r="F865" s="510" t="s">
        <v>23</v>
      </c>
      <c r="G865" s="524"/>
      <c r="H865" s="511" t="s">
        <v>1235</v>
      </c>
      <c r="I865" s="511" t="s">
        <v>1239</v>
      </c>
      <c r="J865" s="369">
        <v>45054</v>
      </c>
      <c r="K865" s="747">
        <v>0.375</v>
      </c>
      <c r="L865" s="369">
        <v>45054</v>
      </c>
      <c r="M865" s="753">
        <v>0.5</v>
      </c>
      <c r="N865" s="524">
        <v>3</v>
      </c>
      <c r="O865" s="510" t="s">
        <v>17</v>
      </c>
      <c r="P865" s="517" t="s">
        <v>557</v>
      </c>
      <c r="Q865" s="796" t="s">
        <v>558</v>
      </c>
      <c r="R865" s="510" t="s">
        <v>263</v>
      </c>
      <c r="S865" s="31" t="s">
        <v>273</v>
      </c>
      <c r="T865" s="31" t="s">
        <v>273</v>
      </c>
      <c r="U865" s="31">
        <f>IFERROR(VLOOKUP(CONCATENATE(Tabla1[[#This Row],[Severidad]]," ",Tabla1[[#This Row],[Complejidad]]),Catalogos!E$120:G$128,3,FALSE),"")</f>
        <v>64</v>
      </c>
      <c r="V865" s="31" t="str">
        <f>IF(Tabla1[[#This Row],[Tiempo solución max (hrs)]]&lt;&gt;"",IF(Tabla1[[#This Row],[Tiempo solución max (hrs)]]&gt;=Tabla1[[#This Row],[Tiempo
(Hrs 00/100)]],"cumple","no cumple"),"")</f>
        <v>cumple</v>
      </c>
      <c r="W865" s="376" t="s">
        <v>1149</v>
      </c>
      <c r="X865" s="463" t="str">
        <f t="shared" si="104"/>
        <v>SPD</v>
      </c>
      <c r="Y865" s="459" t="str">
        <f>SUBSTITUTE(Tabla1[[#This Row],[Descripción]],CHAR(10),"    I    ")</f>
        <v>Cambio de servicios para pantallas de buscador obligaciones</v>
      </c>
      <c r="Z865" s="464">
        <f>VLOOKUP(Tabla1[[#This Row],[Perfil]],Catalogos!$B$75:$D$100,3,FALSE)*Tabla1[[#This Row],[Tiempo
(Hrs 00/100)]]*1.16</f>
        <v>1739.9999999999998</v>
      </c>
    </row>
    <row r="866" spans="1:26" ht="15" customHeight="1" x14ac:dyDescent="0.3">
      <c r="A866" s="510" t="s">
        <v>22</v>
      </c>
      <c r="B866" s="510" t="s">
        <v>23</v>
      </c>
      <c r="C866" s="510" t="s">
        <v>45</v>
      </c>
      <c r="D866" s="510"/>
      <c r="E866" s="510" t="s">
        <v>554</v>
      </c>
      <c r="F866" s="510" t="s">
        <v>23</v>
      </c>
      <c r="G866" s="524"/>
      <c r="H866" s="511" t="s">
        <v>1235</v>
      </c>
      <c r="I866" s="511" t="s">
        <v>1240</v>
      </c>
      <c r="J866" s="369">
        <v>45054</v>
      </c>
      <c r="K866" s="753">
        <v>0.5</v>
      </c>
      <c r="L866" s="369">
        <v>45054</v>
      </c>
      <c r="M866" s="753">
        <v>0.70833333333333337</v>
      </c>
      <c r="N866" s="524">
        <v>3</v>
      </c>
      <c r="O866" s="510" t="s">
        <v>17</v>
      </c>
      <c r="P866" s="517" t="s">
        <v>557</v>
      </c>
      <c r="Q866" s="796" t="s">
        <v>558</v>
      </c>
      <c r="R866" s="510" t="s">
        <v>263</v>
      </c>
      <c r="S866" s="31" t="s">
        <v>273</v>
      </c>
      <c r="T866" s="31" t="s">
        <v>273</v>
      </c>
      <c r="U866" s="31">
        <f>IFERROR(VLOOKUP(CONCATENATE(Tabla1[[#This Row],[Severidad]]," ",Tabla1[[#This Row],[Complejidad]]),Catalogos!E$120:G$128,3,FALSE),"")</f>
        <v>64</v>
      </c>
      <c r="V866" s="31" t="str">
        <f>IF(Tabla1[[#This Row],[Tiempo solución max (hrs)]]&lt;&gt;"",IF(Tabla1[[#This Row],[Tiempo solución max (hrs)]]&gt;=Tabla1[[#This Row],[Tiempo
(Hrs 00/100)]],"cumple","no cumple"),"")</f>
        <v>cumple</v>
      </c>
      <c r="W866" s="376" t="s">
        <v>1149</v>
      </c>
      <c r="X866" s="463" t="str">
        <f t="shared" si="104"/>
        <v>SPD</v>
      </c>
      <c r="Y866" s="459" t="str">
        <f>SUBSTITUTE(Tabla1[[#This Row],[Descripción]],CHAR(10),"    I    ")</f>
        <v>Cambio de servicios para pantallas de buscador quejas</v>
      </c>
      <c r="Z866" s="464">
        <f>VLOOKUP(Tabla1[[#This Row],[Perfil]],Catalogos!$B$75:$D$100,3,FALSE)*Tabla1[[#This Row],[Tiempo
(Hrs 00/100)]]*1.16</f>
        <v>1739.9999999999998</v>
      </c>
    </row>
    <row r="867" spans="1:26" ht="15" customHeight="1" x14ac:dyDescent="0.3">
      <c r="A867" s="510" t="s">
        <v>22</v>
      </c>
      <c r="B867" s="510" t="s">
        <v>23</v>
      </c>
      <c r="C867" s="510" t="s">
        <v>45</v>
      </c>
      <c r="D867" s="510"/>
      <c r="E867" s="510" t="s">
        <v>554</v>
      </c>
      <c r="F867" s="510" t="s">
        <v>23</v>
      </c>
      <c r="G867" s="524"/>
      <c r="H867" s="511" t="s">
        <v>1235</v>
      </c>
      <c r="I867" s="511" t="s">
        <v>1241</v>
      </c>
      <c r="J867" s="369">
        <v>45054</v>
      </c>
      <c r="K867" s="753">
        <v>0.70833333333333337</v>
      </c>
      <c r="L867" s="369">
        <v>45054</v>
      </c>
      <c r="M867" s="753">
        <v>0.79166666666666663</v>
      </c>
      <c r="N867" s="524">
        <v>2</v>
      </c>
      <c r="O867" s="510" t="s">
        <v>17</v>
      </c>
      <c r="P867" s="517" t="s">
        <v>557</v>
      </c>
      <c r="Q867" s="796" t="s">
        <v>558</v>
      </c>
      <c r="R867" s="510" t="s">
        <v>263</v>
      </c>
      <c r="S867" s="31" t="s">
        <v>273</v>
      </c>
      <c r="T867" s="31" t="s">
        <v>273</v>
      </c>
      <c r="U867" s="31">
        <f>IFERROR(VLOOKUP(CONCATENATE(Tabla1[[#This Row],[Severidad]]," ",Tabla1[[#This Row],[Complejidad]]),Catalogos!E$120:G$128,3,FALSE),"")</f>
        <v>64</v>
      </c>
      <c r="V867" s="31" t="str">
        <f>IF(Tabla1[[#This Row],[Tiempo solución max (hrs)]]&lt;&gt;"",IF(Tabla1[[#This Row],[Tiempo solución max (hrs)]]&gt;=Tabla1[[#This Row],[Tiempo
(Hrs 00/100)]],"cumple","no cumple"),"")</f>
        <v>cumple</v>
      </c>
      <c r="W867" s="376" t="s">
        <v>1149</v>
      </c>
      <c r="X867" s="463" t="str">
        <f t="shared" si="104"/>
        <v>SPD</v>
      </c>
      <c r="Y867" s="459" t="str">
        <f>SUBSTITUTE(Tabla1[[#This Row],[Descripción]],CHAR(10),"    I    ")</f>
        <v>Cambio de servicios para pantallas de buscador solicitudes</v>
      </c>
      <c r="Z867" s="464">
        <f>VLOOKUP(Tabla1[[#This Row],[Perfil]],Catalogos!$B$75:$D$100,3,FALSE)*Tabla1[[#This Row],[Tiempo
(Hrs 00/100)]]*1.16</f>
        <v>1160</v>
      </c>
    </row>
    <row r="868" spans="1:26" ht="15" customHeight="1" x14ac:dyDescent="0.3">
      <c r="A868" s="510" t="s">
        <v>22</v>
      </c>
      <c r="B868" s="510" t="s">
        <v>23</v>
      </c>
      <c r="C868" s="510" t="s">
        <v>45</v>
      </c>
      <c r="D868" s="510"/>
      <c r="E868" s="510" t="s">
        <v>554</v>
      </c>
      <c r="F868" s="510" t="s">
        <v>23</v>
      </c>
      <c r="G868" s="524"/>
      <c r="H868" s="511" t="s">
        <v>1242</v>
      </c>
      <c r="I868" s="511" t="s">
        <v>1243</v>
      </c>
      <c r="J868" s="369">
        <v>45055</v>
      </c>
      <c r="K868" s="747">
        <v>0.375</v>
      </c>
      <c r="L868" s="369">
        <v>45055</v>
      </c>
      <c r="M868" s="753">
        <v>0.45833333333333331</v>
      </c>
      <c r="N868" s="524">
        <v>2</v>
      </c>
      <c r="O868" s="510" t="s">
        <v>17</v>
      </c>
      <c r="P868" s="517" t="s">
        <v>557</v>
      </c>
      <c r="Q868" s="796" t="s">
        <v>558</v>
      </c>
      <c r="R868" s="510" t="s">
        <v>263</v>
      </c>
      <c r="S868" s="31" t="s">
        <v>273</v>
      </c>
      <c r="T868" s="31" t="s">
        <v>273</v>
      </c>
      <c r="U868" s="31">
        <f>IFERROR(VLOOKUP(CONCATENATE(Tabla1[[#This Row],[Severidad]]," ",Tabla1[[#This Row],[Complejidad]]),Catalogos!E$120:G$128,3,FALSE),"")</f>
        <v>64</v>
      </c>
      <c r="V868" s="31" t="str">
        <f>IF(Tabla1[[#This Row],[Tiempo solución max (hrs)]]&lt;&gt;"",IF(Tabla1[[#This Row],[Tiempo solución max (hrs)]]&gt;=Tabla1[[#This Row],[Tiempo
(Hrs 00/100)]],"cumple","no cumple"),"")</f>
        <v>cumple</v>
      </c>
      <c r="W868" s="376" t="s">
        <v>1149</v>
      </c>
      <c r="X868" s="463" t="str">
        <f t="shared" si="104"/>
        <v>SPD</v>
      </c>
      <c r="Y868" s="459" t="str">
        <f>SUBSTITUTE(Tabla1[[#This Row],[Descripción]],CHAR(10),"    I    ")</f>
        <v>Se ocultan servicios nuevos de usuarios y se reemplazan por sus similares de liferay</v>
      </c>
      <c r="Z868" s="464">
        <f>VLOOKUP(Tabla1[[#This Row],[Perfil]],Catalogos!$B$75:$D$100,3,FALSE)*Tabla1[[#This Row],[Tiempo
(Hrs 00/100)]]*1.16</f>
        <v>1160</v>
      </c>
    </row>
    <row r="869" spans="1:26" ht="15" customHeight="1" x14ac:dyDescent="0.3">
      <c r="A869" s="510" t="s">
        <v>22</v>
      </c>
      <c r="B869" s="510" t="s">
        <v>23</v>
      </c>
      <c r="C869" s="510" t="s">
        <v>45</v>
      </c>
      <c r="D869" s="510"/>
      <c r="E869" s="510" t="s">
        <v>554</v>
      </c>
      <c r="F869" s="510" t="s">
        <v>23</v>
      </c>
      <c r="G869" s="510"/>
      <c r="H869" s="511" t="s">
        <v>1242</v>
      </c>
      <c r="I869" s="525" t="s">
        <v>1244</v>
      </c>
      <c r="J869" s="369">
        <v>45055</v>
      </c>
      <c r="K869" s="753">
        <v>0.45833333333333331</v>
      </c>
      <c r="L869" s="369">
        <v>45055</v>
      </c>
      <c r="M869" s="753">
        <v>0.70833333333333337</v>
      </c>
      <c r="N869" s="510">
        <v>4</v>
      </c>
      <c r="O869" s="510" t="s">
        <v>17</v>
      </c>
      <c r="P869" s="517" t="s">
        <v>557</v>
      </c>
      <c r="Q869" s="796" t="s">
        <v>558</v>
      </c>
      <c r="R869" s="510" t="s">
        <v>263</v>
      </c>
      <c r="S869" s="31" t="s">
        <v>273</v>
      </c>
      <c r="T869" s="31" t="s">
        <v>273</v>
      </c>
      <c r="U869" s="31">
        <f>IFERROR(VLOOKUP(CONCATENATE(Tabla1[[#This Row],[Severidad]]," ",Tabla1[[#This Row],[Complejidad]]),Catalogos!E$120:G$128,3,FALSE),"")</f>
        <v>64</v>
      </c>
      <c r="V869" s="31" t="str">
        <f>IF(Tabla1[[#This Row],[Tiempo solución max (hrs)]]&lt;&gt;"",IF(Tabla1[[#This Row],[Tiempo solución max (hrs)]]&gt;=Tabla1[[#This Row],[Tiempo
(Hrs 00/100)]],"cumple","no cumple"),"")</f>
        <v>cumple</v>
      </c>
      <c r="W869" s="376" t="s">
        <v>1149</v>
      </c>
      <c r="X869" s="463" t="str">
        <f t="shared" si="104"/>
        <v>SPD</v>
      </c>
      <c r="Y869" s="459" t="str">
        <f>SUBSTITUTE(Tabla1[[#This Row],[Descripción]],CHAR(10),"    I    ")</f>
        <v>Correcciones visuales como cambios de colores, conteos de caracteres y presentacion de widgets</v>
      </c>
      <c r="Z869" s="464">
        <f>VLOOKUP(Tabla1[[#This Row],[Perfil]],Catalogos!$B$75:$D$100,3,FALSE)*Tabla1[[#This Row],[Tiempo
(Hrs 00/100)]]*1.16</f>
        <v>2320</v>
      </c>
    </row>
    <row r="870" spans="1:26" ht="15" customHeight="1" x14ac:dyDescent="0.3">
      <c r="A870" s="510" t="s">
        <v>22</v>
      </c>
      <c r="B870" s="510" t="s">
        <v>23</v>
      </c>
      <c r="C870" s="510" t="s">
        <v>45</v>
      </c>
      <c r="D870" s="510"/>
      <c r="E870" s="510" t="s">
        <v>554</v>
      </c>
      <c r="F870" s="510" t="s">
        <v>23</v>
      </c>
      <c r="G870" s="510"/>
      <c r="H870" s="511" t="s">
        <v>1242</v>
      </c>
      <c r="I870" s="525" t="s">
        <v>1245</v>
      </c>
      <c r="J870" s="369">
        <v>45055</v>
      </c>
      <c r="K870" s="753">
        <v>0.70833333333333337</v>
      </c>
      <c r="L870" s="369">
        <v>45055</v>
      </c>
      <c r="M870" s="753">
        <v>0.79166666666666663</v>
      </c>
      <c r="N870" s="510">
        <v>2</v>
      </c>
      <c r="O870" s="510" t="s">
        <v>17</v>
      </c>
      <c r="P870" s="517" t="s">
        <v>557</v>
      </c>
      <c r="Q870" s="796" t="s">
        <v>558</v>
      </c>
      <c r="R870" s="510" t="s">
        <v>263</v>
      </c>
      <c r="S870" s="31" t="s">
        <v>273</v>
      </c>
      <c r="T870" s="31" t="s">
        <v>273</v>
      </c>
      <c r="U870" s="31">
        <f>IFERROR(VLOOKUP(CONCATENATE(Tabla1[[#This Row],[Severidad]]," ",Tabla1[[#This Row],[Complejidad]]),Catalogos!E$120:G$128,3,FALSE),"")</f>
        <v>64</v>
      </c>
      <c r="V870" s="31" t="str">
        <f>IF(Tabla1[[#This Row],[Tiempo solución max (hrs)]]&lt;&gt;"",IF(Tabla1[[#This Row],[Tiempo solución max (hrs)]]&gt;=Tabla1[[#This Row],[Tiempo
(Hrs 00/100)]],"cumple","no cumple"),"")</f>
        <v>cumple</v>
      </c>
      <c r="W870" s="376" t="s">
        <v>1149</v>
      </c>
      <c r="X870" s="463" t="str">
        <f t="shared" si="104"/>
        <v>SPD</v>
      </c>
      <c r="Y870" s="459" t="str">
        <f>SUBSTITUTE(Tabla1[[#This Row],[Descripción]],CHAR(10),"    I    ")</f>
        <v>Se agrega a peticon de solicitud de informacion publica segmento para el medio de notificacion</v>
      </c>
      <c r="Z870" s="464">
        <f>VLOOKUP(Tabla1[[#This Row],[Perfil]],Catalogos!$B$75:$D$100,3,FALSE)*Tabla1[[#This Row],[Tiempo
(Hrs 00/100)]]*1.16</f>
        <v>1160</v>
      </c>
    </row>
    <row r="871" spans="1:26" ht="15" customHeight="1" x14ac:dyDescent="0.3">
      <c r="A871" s="510" t="s">
        <v>22</v>
      </c>
      <c r="B871" s="510" t="s">
        <v>23</v>
      </c>
      <c r="C871" s="510" t="s">
        <v>45</v>
      </c>
      <c r="D871" s="510"/>
      <c r="E871" s="510" t="s">
        <v>554</v>
      </c>
      <c r="F871" s="510" t="s">
        <v>23</v>
      </c>
      <c r="G871" s="510"/>
      <c r="H871" s="511" t="s">
        <v>1242</v>
      </c>
      <c r="I871" s="525" t="s">
        <v>1246</v>
      </c>
      <c r="J871" s="369">
        <v>45056</v>
      </c>
      <c r="K871" s="747">
        <v>0.375</v>
      </c>
      <c r="L871" s="369">
        <v>45056</v>
      </c>
      <c r="M871" s="753">
        <v>0.5</v>
      </c>
      <c r="N871" s="510">
        <v>3</v>
      </c>
      <c r="O871" s="510" t="s">
        <v>17</v>
      </c>
      <c r="P871" s="517" t="s">
        <v>557</v>
      </c>
      <c r="Q871" s="796" t="s">
        <v>558</v>
      </c>
      <c r="R871" s="510" t="s">
        <v>263</v>
      </c>
      <c r="S871" s="31" t="s">
        <v>273</v>
      </c>
      <c r="T871" s="31" t="s">
        <v>273</v>
      </c>
      <c r="U871" s="31">
        <f>IFERROR(VLOOKUP(CONCATENATE(Tabla1[[#This Row],[Severidad]]," ",Tabla1[[#This Row],[Complejidad]]),Catalogos!E$120:G$128,3,FALSE),"")</f>
        <v>64</v>
      </c>
      <c r="V871" s="31" t="str">
        <f>IF(Tabla1[[#This Row],[Tiempo solución max (hrs)]]&lt;&gt;"",IF(Tabla1[[#This Row],[Tiempo solución max (hrs)]]&gt;=Tabla1[[#This Row],[Tiempo
(Hrs 00/100)]],"cumple","no cumple"),"")</f>
        <v>cumple</v>
      </c>
      <c r="W871" s="376" t="s">
        <v>1149</v>
      </c>
      <c r="X871" s="463" t="str">
        <f t="shared" si="104"/>
        <v>SPD</v>
      </c>
      <c r="Y871" s="459" t="str">
        <f>SUBSTITUTE(Tabla1[[#This Row],[Descripción]],CHAR(10),"    I    ")</f>
        <v>Correcciones visuales como cambios de colores y listado de acuses y SO, correccion al modelo de responder recurrentes</v>
      </c>
      <c r="Z871" s="464">
        <f>VLOOKUP(Tabla1[[#This Row],[Perfil]],Catalogos!$B$75:$D$100,3,FALSE)*Tabla1[[#This Row],[Tiempo
(Hrs 00/100)]]*1.16</f>
        <v>1739.9999999999998</v>
      </c>
    </row>
    <row r="872" spans="1:26" ht="15" customHeight="1" x14ac:dyDescent="0.3">
      <c r="A872" s="510" t="s">
        <v>22</v>
      </c>
      <c r="B872" s="510" t="s">
        <v>23</v>
      </c>
      <c r="C872" s="510" t="s">
        <v>45</v>
      </c>
      <c r="D872" s="510"/>
      <c r="E872" s="510" t="s">
        <v>554</v>
      </c>
      <c r="F872" s="510" t="s">
        <v>23</v>
      </c>
      <c r="G872" s="510"/>
      <c r="H872" s="511" t="s">
        <v>1242</v>
      </c>
      <c r="I872" s="525" t="s">
        <v>1247</v>
      </c>
      <c r="J872" s="369">
        <v>45056</v>
      </c>
      <c r="K872" s="753">
        <v>0.5</v>
      </c>
      <c r="L872" s="369">
        <v>45056</v>
      </c>
      <c r="M872" s="753">
        <v>0.70833333333333337</v>
      </c>
      <c r="N872" s="510">
        <v>3</v>
      </c>
      <c r="O872" s="510" t="s">
        <v>17</v>
      </c>
      <c r="P872" s="517" t="s">
        <v>557</v>
      </c>
      <c r="Q872" s="796" t="s">
        <v>558</v>
      </c>
      <c r="R872" s="510" t="s">
        <v>263</v>
      </c>
      <c r="S872" s="31" t="s">
        <v>273</v>
      </c>
      <c r="T872" s="31" t="s">
        <v>273</v>
      </c>
      <c r="U872" s="31">
        <f>IFERROR(VLOOKUP(CONCATENATE(Tabla1[[#This Row],[Severidad]]," ",Tabla1[[#This Row],[Complejidad]]),Catalogos!E$120:G$128,3,FALSE),"")</f>
        <v>64</v>
      </c>
      <c r="V872" s="31" t="str">
        <f>IF(Tabla1[[#This Row],[Tiempo solución max (hrs)]]&lt;&gt;"",IF(Tabla1[[#This Row],[Tiempo solución max (hrs)]]&gt;=Tabla1[[#This Row],[Tiempo
(Hrs 00/100)]],"cumple","no cumple"),"")</f>
        <v>cumple</v>
      </c>
      <c r="W872" s="376" t="s">
        <v>1149</v>
      </c>
      <c r="X872" s="463" t="str">
        <f t="shared" si="104"/>
        <v>SPD</v>
      </c>
      <c r="Y872" s="459" t="str">
        <f>SUBSTITUTE(Tabla1[[#This Row],[Descripción]],CHAR(10),"    I    ")</f>
        <v>Se realiza un cambio al selector multiple de instutuciones, se seleccionan SO de diversos OG</v>
      </c>
      <c r="Z872" s="464">
        <f>VLOOKUP(Tabla1[[#This Row],[Perfil]],Catalogos!$B$75:$D$100,3,FALSE)*Tabla1[[#This Row],[Tiempo
(Hrs 00/100)]]*1.16</f>
        <v>1739.9999999999998</v>
      </c>
    </row>
    <row r="873" spans="1:26" ht="15" customHeight="1" x14ac:dyDescent="0.3">
      <c r="A873" s="510" t="s">
        <v>22</v>
      </c>
      <c r="B873" s="510" t="s">
        <v>23</v>
      </c>
      <c r="C873" s="510" t="s">
        <v>45</v>
      </c>
      <c r="D873" s="510"/>
      <c r="E873" s="510" t="s">
        <v>554</v>
      </c>
      <c r="F873" s="510" t="s">
        <v>23</v>
      </c>
      <c r="G873" s="510"/>
      <c r="H873" s="525" t="s">
        <v>1248</v>
      </c>
      <c r="I873" s="525" t="s">
        <v>1249</v>
      </c>
      <c r="J873" s="369">
        <v>45056</v>
      </c>
      <c r="K873" s="753">
        <v>0.70833333333333337</v>
      </c>
      <c r="L873" s="369">
        <v>45056</v>
      </c>
      <c r="M873" s="753">
        <v>0.79166666666666663</v>
      </c>
      <c r="N873" s="510">
        <v>2</v>
      </c>
      <c r="O873" s="510" t="s">
        <v>17</v>
      </c>
      <c r="P873" s="517" t="s">
        <v>557</v>
      </c>
      <c r="Q873" s="796" t="s">
        <v>558</v>
      </c>
      <c r="R873" s="510" t="s">
        <v>263</v>
      </c>
      <c r="S873" s="31" t="s">
        <v>273</v>
      </c>
      <c r="T873" s="31" t="s">
        <v>273</v>
      </c>
      <c r="U873" s="31">
        <f>IFERROR(VLOOKUP(CONCATENATE(Tabla1[[#This Row],[Severidad]]," ",Tabla1[[#This Row],[Complejidad]]),Catalogos!E$120:G$128,3,FALSE),"")</f>
        <v>64</v>
      </c>
      <c r="V873" s="31" t="str">
        <f>IF(Tabla1[[#This Row],[Tiempo solución max (hrs)]]&lt;&gt;"",IF(Tabla1[[#This Row],[Tiempo solución max (hrs)]]&gt;=Tabla1[[#This Row],[Tiempo
(Hrs 00/100)]],"cumple","no cumple"),"")</f>
        <v>cumple</v>
      </c>
      <c r="W873" s="376" t="s">
        <v>1149</v>
      </c>
      <c r="X873" s="463" t="str">
        <f t="shared" si="104"/>
        <v>SPD</v>
      </c>
      <c r="Y873" s="459" t="str">
        <f>SUBSTITUTE(Tabla1[[#This Row],[Descripción]],CHAR(10),"    I    ")</f>
        <v>Se agregan peticiones faltantes para descargar archivos adjuntos</v>
      </c>
      <c r="Z873" s="464">
        <f>VLOOKUP(Tabla1[[#This Row],[Perfil]],Catalogos!$B$75:$D$100,3,FALSE)*Tabla1[[#This Row],[Tiempo
(Hrs 00/100)]]*1.16</f>
        <v>1160</v>
      </c>
    </row>
    <row r="874" spans="1:26" ht="15" customHeight="1" x14ac:dyDescent="0.3">
      <c r="A874" s="510" t="s">
        <v>22</v>
      </c>
      <c r="B874" s="510" t="s">
        <v>23</v>
      </c>
      <c r="C874" s="510" t="s">
        <v>45</v>
      </c>
      <c r="D874" s="510"/>
      <c r="E874" s="510" t="s">
        <v>554</v>
      </c>
      <c r="F874" s="510" t="s">
        <v>23</v>
      </c>
      <c r="G874" s="510"/>
      <c r="H874" s="511" t="s">
        <v>1242</v>
      </c>
      <c r="I874" s="525" t="s">
        <v>1250</v>
      </c>
      <c r="J874" s="369">
        <v>45057</v>
      </c>
      <c r="K874" s="747">
        <v>0.375</v>
      </c>
      <c r="L874" s="369">
        <v>45057</v>
      </c>
      <c r="M874" s="753">
        <v>0.54166666666666663</v>
      </c>
      <c r="N874" s="510">
        <v>4</v>
      </c>
      <c r="O874" s="510" t="s">
        <v>17</v>
      </c>
      <c r="P874" s="517" t="s">
        <v>557</v>
      </c>
      <c r="Q874" s="796" t="s">
        <v>558</v>
      </c>
      <c r="R874" s="510" t="s">
        <v>263</v>
      </c>
      <c r="S874" s="31" t="s">
        <v>273</v>
      </c>
      <c r="T874" s="31" t="s">
        <v>273</v>
      </c>
      <c r="U874" s="31">
        <f>IFERROR(VLOOKUP(CONCATENATE(Tabla1[[#This Row],[Severidad]]," ",Tabla1[[#This Row],[Complejidad]]),Catalogos!E$120:G$128,3,FALSE),"")</f>
        <v>64</v>
      </c>
      <c r="V874" s="31" t="str">
        <f>IF(Tabla1[[#This Row],[Tiempo solución max (hrs)]]&lt;&gt;"",IF(Tabla1[[#This Row],[Tiempo solución max (hrs)]]&gt;=Tabla1[[#This Row],[Tiempo
(Hrs 00/100)]],"cumple","no cumple"),"")</f>
        <v>cumple</v>
      </c>
      <c r="W874" s="376" t="s">
        <v>1149</v>
      </c>
      <c r="X874" s="463" t="str">
        <f t="shared" si="104"/>
        <v>SPD</v>
      </c>
      <c r="Y874" s="459" t="str">
        <f>SUBSTITUTE(Tabla1[[#This Row],[Descripción]],CHAR(10),"    I    ")</f>
        <v>Correcciones visuales como cambios de diseño en cards de acuses, se agrega boton para regresar a inicio en acuses, se agregan campos faltantes al servicio de registrar estadisticos y cambios de formato en detalles de resultados de solicitud e historial</v>
      </c>
      <c r="Z874" s="464">
        <f>VLOOKUP(Tabla1[[#This Row],[Perfil]],Catalogos!$B$75:$D$100,3,FALSE)*Tabla1[[#This Row],[Tiempo
(Hrs 00/100)]]*1.16</f>
        <v>2320</v>
      </c>
    </row>
    <row r="875" spans="1:26" ht="15" customHeight="1" x14ac:dyDescent="0.3">
      <c r="A875" s="510" t="s">
        <v>22</v>
      </c>
      <c r="B875" s="510" t="s">
        <v>23</v>
      </c>
      <c r="C875" s="510" t="s">
        <v>45</v>
      </c>
      <c r="D875" s="510"/>
      <c r="E875" s="510" t="s">
        <v>554</v>
      </c>
      <c r="F875" s="510" t="s">
        <v>23</v>
      </c>
      <c r="G875" s="510"/>
      <c r="H875" s="511" t="s">
        <v>1242</v>
      </c>
      <c r="I875" s="525" t="s">
        <v>1251</v>
      </c>
      <c r="J875" s="369">
        <v>45057</v>
      </c>
      <c r="K875" s="753">
        <v>0.54166666666666663</v>
      </c>
      <c r="L875" s="369">
        <v>45057</v>
      </c>
      <c r="M875" s="753">
        <v>0.58333333333333337</v>
      </c>
      <c r="N875" s="510">
        <v>1</v>
      </c>
      <c r="O875" s="510" t="s">
        <v>17</v>
      </c>
      <c r="P875" s="517" t="s">
        <v>557</v>
      </c>
      <c r="Q875" s="796" t="s">
        <v>558</v>
      </c>
      <c r="R875" s="510" t="s">
        <v>263</v>
      </c>
      <c r="S875" s="31" t="s">
        <v>273</v>
      </c>
      <c r="T875" s="31" t="s">
        <v>273</v>
      </c>
      <c r="U875" s="31">
        <f>IFERROR(VLOOKUP(CONCATENATE(Tabla1[[#This Row],[Severidad]]," ",Tabla1[[#This Row],[Complejidad]]),Catalogos!E$120:G$128,3,FALSE),"")</f>
        <v>64</v>
      </c>
      <c r="V875" s="31" t="str">
        <f>IF(Tabla1[[#This Row],[Tiempo solución max (hrs)]]&lt;&gt;"",IF(Tabla1[[#This Row],[Tiempo solución max (hrs)]]&gt;=Tabla1[[#This Row],[Tiempo
(Hrs 00/100)]],"cumple","no cumple"),"")</f>
        <v>cumple</v>
      </c>
      <c r="W875" s="376" t="s">
        <v>1149</v>
      </c>
      <c r="X875" s="463" t="str">
        <f t="shared" si="104"/>
        <v>SPD</v>
      </c>
      <c r="Y875" s="459" t="str">
        <f>SUBSTITUTE(Tabla1[[#This Row],[Descripción]],CHAR(10),"    I    ")</f>
        <v>Se cambia servicio para mostrar en selector de estados cuando se trate de una direccion</v>
      </c>
      <c r="Z875" s="464">
        <f>VLOOKUP(Tabla1[[#This Row],[Perfil]],Catalogos!$B$75:$D$100,3,FALSE)*Tabla1[[#This Row],[Tiempo
(Hrs 00/100)]]*1.16</f>
        <v>580</v>
      </c>
    </row>
    <row r="876" spans="1:26" ht="15" customHeight="1" x14ac:dyDescent="0.3">
      <c r="A876" s="510" t="s">
        <v>22</v>
      </c>
      <c r="B876" s="510" t="s">
        <v>23</v>
      </c>
      <c r="C876" s="510" t="s">
        <v>45</v>
      </c>
      <c r="D876" s="510"/>
      <c r="E876" s="510" t="s">
        <v>554</v>
      </c>
      <c r="F876" s="510" t="s">
        <v>23</v>
      </c>
      <c r="G876" s="510"/>
      <c r="H876" s="511" t="s">
        <v>1242</v>
      </c>
      <c r="I876" s="525" t="s">
        <v>1252</v>
      </c>
      <c r="J876" s="369">
        <v>45057</v>
      </c>
      <c r="K876" s="747">
        <v>0.66666666666666663</v>
      </c>
      <c r="L876" s="369">
        <v>45057</v>
      </c>
      <c r="M876" s="753">
        <v>0.79166666666666663</v>
      </c>
      <c r="N876" s="510">
        <v>3</v>
      </c>
      <c r="O876" s="510" t="s">
        <v>17</v>
      </c>
      <c r="P876" s="517" t="s">
        <v>557</v>
      </c>
      <c r="Q876" s="796" t="s">
        <v>558</v>
      </c>
      <c r="R876" s="510" t="s">
        <v>263</v>
      </c>
      <c r="S876" s="31" t="s">
        <v>273</v>
      </c>
      <c r="T876" s="31" t="s">
        <v>273</v>
      </c>
      <c r="U876" s="31">
        <f>IFERROR(VLOOKUP(CONCATENATE(Tabla1[[#This Row],[Severidad]]," ",Tabla1[[#This Row],[Complejidad]]),Catalogos!E$120:G$128,3,FALSE),"")</f>
        <v>64</v>
      </c>
      <c r="V876" s="31" t="str">
        <f>IF(Tabla1[[#This Row],[Tiempo solución max (hrs)]]&lt;&gt;"",IF(Tabla1[[#This Row],[Tiempo solución max (hrs)]]&gt;=Tabla1[[#This Row],[Tiempo
(Hrs 00/100)]],"cumple","no cumple"),"")</f>
        <v>cumple</v>
      </c>
      <c r="W876" s="376" t="s">
        <v>1149</v>
      </c>
      <c r="X876" s="463" t="str">
        <f t="shared" si="104"/>
        <v>SPD</v>
      </c>
      <c r="Y876" s="459" t="str">
        <f>SUBSTITUTE(Tabla1[[#This Row],[Descripción]],CHAR(10),"    I    ")</f>
        <v>Cambios en el servicio de registrar y elimiinar token movil, cambios visuales en la app y se realiza research para problema con falsos resultados de busqueda en mis solicitudes</v>
      </c>
      <c r="Z876" s="464">
        <f>VLOOKUP(Tabla1[[#This Row],[Perfil]],Catalogos!$B$75:$D$100,3,FALSE)*Tabla1[[#This Row],[Tiempo
(Hrs 00/100)]]*1.16</f>
        <v>1739.9999999999998</v>
      </c>
    </row>
    <row r="877" spans="1:26" ht="15" customHeight="1" x14ac:dyDescent="0.3">
      <c r="A877" s="510" t="s">
        <v>22</v>
      </c>
      <c r="B877" s="510" t="s">
        <v>23</v>
      </c>
      <c r="C877" s="510" t="s">
        <v>45</v>
      </c>
      <c r="D877" s="510"/>
      <c r="E877" s="510" t="s">
        <v>554</v>
      </c>
      <c r="F877" s="510" t="s">
        <v>23</v>
      </c>
      <c r="G877" s="510"/>
      <c r="H877" s="511" t="s">
        <v>1237</v>
      </c>
      <c r="I877" s="525" t="s">
        <v>1253</v>
      </c>
      <c r="J877" s="369">
        <v>45058</v>
      </c>
      <c r="K877" s="747">
        <v>0.375</v>
      </c>
      <c r="L877" s="369">
        <v>45058</v>
      </c>
      <c r="M877" s="753">
        <v>0.54166666666666663</v>
      </c>
      <c r="N877" s="510">
        <v>4</v>
      </c>
      <c r="O877" s="510" t="s">
        <v>17</v>
      </c>
      <c r="P877" s="517" t="s">
        <v>557</v>
      </c>
      <c r="Q877" s="796" t="s">
        <v>558</v>
      </c>
      <c r="R877" s="510" t="s">
        <v>263</v>
      </c>
      <c r="S877" s="31" t="s">
        <v>273</v>
      </c>
      <c r="T877" s="31" t="s">
        <v>273</v>
      </c>
      <c r="U877" s="31">
        <f>IFERROR(VLOOKUP(CONCATENATE(Tabla1[[#This Row],[Severidad]]," ",Tabla1[[#This Row],[Complejidad]]),Catalogos!E$120:G$128,3,FALSE),"")</f>
        <v>64</v>
      </c>
      <c r="V877" s="31" t="str">
        <f>IF(Tabla1[[#This Row],[Tiempo solución max (hrs)]]&lt;&gt;"",IF(Tabla1[[#This Row],[Tiempo solución max (hrs)]]&gt;=Tabla1[[#This Row],[Tiempo
(Hrs 00/100)]],"cumple","no cumple"),"")</f>
        <v>cumple</v>
      </c>
      <c r="W877" s="376" t="s">
        <v>1149</v>
      </c>
      <c r="X877" s="463" t="str">
        <f t="shared" si="104"/>
        <v>SPD</v>
      </c>
      <c r="Y877" s="459" t="str">
        <f>SUBSTITUTE(Tabla1[[#This Row],[Descripción]],CHAR(10),"    I    ")</f>
        <v>Se realizan ajustes para detalle de quejas, como la incorporacion de notificaciones e historial de quejas</v>
      </c>
      <c r="Z877" s="464">
        <f>VLOOKUP(Tabla1[[#This Row],[Perfil]],Catalogos!$B$75:$D$100,3,FALSE)*Tabla1[[#This Row],[Tiempo
(Hrs 00/100)]]*1.16</f>
        <v>2320</v>
      </c>
    </row>
    <row r="878" spans="1:26" ht="15" customHeight="1" x14ac:dyDescent="0.3">
      <c r="A878" s="510" t="s">
        <v>22</v>
      </c>
      <c r="B878" s="510" t="s">
        <v>23</v>
      </c>
      <c r="C878" s="510" t="s">
        <v>45</v>
      </c>
      <c r="D878" s="510"/>
      <c r="E878" s="510" t="s">
        <v>554</v>
      </c>
      <c r="F878" s="510" t="s">
        <v>23</v>
      </c>
      <c r="G878" s="515"/>
      <c r="H878" s="511" t="s">
        <v>1254</v>
      </c>
      <c r="I878" s="526" t="s">
        <v>1255</v>
      </c>
      <c r="J878" s="369">
        <v>45058</v>
      </c>
      <c r="K878" s="753">
        <v>0.54166666666666663</v>
      </c>
      <c r="L878" s="369">
        <v>45058</v>
      </c>
      <c r="M878" s="753">
        <v>0.58333333333333337</v>
      </c>
      <c r="N878" s="515">
        <v>1</v>
      </c>
      <c r="O878" s="510" t="s">
        <v>17</v>
      </c>
      <c r="P878" s="517" t="s">
        <v>557</v>
      </c>
      <c r="Q878" s="796" t="s">
        <v>558</v>
      </c>
      <c r="R878" s="510" t="s">
        <v>263</v>
      </c>
      <c r="S878" s="31" t="s">
        <v>273</v>
      </c>
      <c r="T878" s="31" t="s">
        <v>273</v>
      </c>
      <c r="U878" s="31">
        <f>IFERROR(VLOOKUP(CONCATENATE(Tabla1[[#This Row],[Severidad]]," ",Tabla1[[#This Row],[Complejidad]]),Catalogos!E$120:G$128,3,FALSE),"")</f>
        <v>64</v>
      </c>
      <c r="V878" s="31" t="str">
        <f>IF(Tabla1[[#This Row],[Tiempo solución max (hrs)]]&lt;&gt;"",IF(Tabla1[[#This Row],[Tiempo solución max (hrs)]]&gt;=Tabla1[[#This Row],[Tiempo
(Hrs 00/100)]],"cumple","no cumple"),"")</f>
        <v>cumple</v>
      </c>
      <c r="W878" s="376" t="s">
        <v>1149</v>
      </c>
      <c r="X878" s="463" t="str">
        <f t="shared" si="104"/>
        <v>SPD</v>
      </c>
      <c r="Y878" s="459" t="str">
        <f>SUBSTITUTE(Tabla1[[#This Row],[Descripción]],CHAR(10),"    I    ")</f>
        <v>Se realiza research para corregir error con las peticiones internas y actualizar el token en posible expiracion</v>
      </c>
      <c r="Z878" s="464">
        <f>VLOOKUP(Tabla1[[#This Row],[Perfil]],Catalogos!$B$75:$D$100,3,FALSE)*Tabla1[[#This Row],[Tiempo
(Hrs 00/100)]]*1.16</f>
        <v>580</v>
      </c>
    </row>
    <row r="879" spans="1:26" ht="15" customHeight="1" thickBot="1" x14ac:dyDescent="0.35">
      <c r="A879" s="519" t="s">
        <v>22</v>
      </c>
      <c r="B879" s="519" t="s">
        <v>23</v>
      </c>
      <c r="C879" s="519" t="s">
        <v>45</v>
      </c>
      <c r="D879" s="519"/>
      <c r="E879" s="519" t="s">
        <v>554</v>
      </c>
      <c r="F879" s="519" t="s">
        <v>23</v>
      </c>
      <c r="G879" s="519"/>
      <c r="H879" s="520" t="s">
        <v>1237</v>
      </c>
      <c r="I879" s="520" t="s">
        <v>1256</v>
      </c>
      <c r="J879" s="369">
        <v>45058</v>
      </c>
      <c r="K879" s="747">
        <v>0.66666666666666663</v>
      </c>
      <c r="L879" s="369">
        <v>45058</v>
      </c>
      <c r="M879" s="753">
        <v>0.79166666666666663</v>
      </c>
      <c r="N879" s="519">
        <v>3</v>
      </c>
      <c r="O879" s="521" t="s">
        <v>17</v>
      </c>
      <c r="P879" s="522" t="s">
        <v>557</v>
      </c>
      <c r="Q879" s="795" t="s">
        <v>558</v>
      </c>
      <c r="R879" s="523" t="s">
        <v>263</v>
      </c>
      <c r="S879" s="31" t="s">
        <v>273</v>
      </c>
      <c r="T879" s="31" t="s">
        <v>273</v>
      </c>
      <c r="U879" s="31">
        <f>IFERROR(VLOOKUP(CONCATENATE(Tabla1[[#This Row],[Severidad]]," ",Tabla1[[#This Row],[Complejidad]]),Catalogos!E$120:G$128,3,FALSE),"")</f>
        <v>64</v>
      </c>
      <c r="V879" s="31" t="str">
        <f>IF(Tabla1[[#This Row],[Tiempo solución max (hrs)]]&lt;&gt;"",IF(Tabla1[[#This Row],[Tiempo solución max (hrs)]]&gt;=Tabla1[[#This Row],[Tiempo
(Hrs 00/100)]],"cumple","no cumple"),"")</f>
        <v>cumple</v>
      </c>
      <c r="W879" s="376" t="s">
        <v>1149</v>
      </c>
      <c r="X879" s="463" t="str">
        <f t="shared" si="104"/>
        <v>SPD</v>
      </c>
      <c r="Y879" s="459" t="str">
        <f>SUBSTITUTE(Tabla1[[#This Row],[Descripción]],CHAR(10),"    I    ")</f>
        <v>Se integra servicio para descarga de adjuntos de queja</v>
      </c>
      <c r="Z879" s="464">
        <f>VLOOKUP(Tabla1[[#This Row],[Perfil]],Catalogos!$B$75:$D$100,3,FALSE)*Tabla1[[#This Row],[Tiempo
(Hrs 00/100)]]*1.16</f>
        <v>1739.9999999999998</v>
      </c>
    </row>
    <row r="880" spans="1:26" ht="15" customHeight="1" thickTop="1" x14ac:dyDescent="0.3">
      <c r="A880" s="510" t="s">
        <v>22</v>
      </c>
      <c r="B880" s="510" t="s">
        <v>23</v>
      </c>
      <c r="C880" s="510" t="s">
        <v>45</v>
      </c>
      <c r="D880" s="510"/>
      <c r="E880" s="510" t="s">
        <v>554</v>
      </c>
      <c r="F880" s="510" t="s">
        <v>23</v>
      </c>
      <c r="G880" s="515"/>
      <c r="H880" s="511" t="s">
        <v>1257</v>
      </c>
      <c r="I880" s="525" t="s">
        <v>1258</v>
      </c>
      <c r="J880" s="369">
        <v>45061</v>
      </c>
      <c r="K880" s="747">
        <v>0.375</v>
      </c>
      <c r="L880" s="369">
        <v>45061</v>
      </c>
      <c r="M880" s="753">
        <v>0.54166666666666663</v>
      </c>
      <c r="N880" s="515">
        <v>4</v>
      </c>
      <c r="O880" s="510" t="s">
        <v>17</v>
      </c>
      <c r="P880" s="517" t="s">
        <v>557</v>
      </c>
      <c r="Q880" s="796" t="s">
        <v>558</v>
      </c>
      <c r="R880" s="510" t="s">
        <v>263</v>
      </c>
      <c r="S880" s="31" t="s">
        <v>273</v>
      </c>
      <c r="T880" s="31" t="s">
        <v>273</v>
      </c>
      <c r="U880" s="31">
        <f>IFERROR(VLOOKUP(CONCATENATE(Tabla1[[#This Row],[Severidad]]," ",Tabla1[[#This Row],[Complejidad]]),Catalogos!E$120:G$128,3,FALSE),"")</f>
        <v>64</v>
      </c>
      <c r="V880" s="31" t="str">
        <f>IF(Tabla1[[#This Row],[Tiempo solución max (hrs)]]&lt;&gt;"",IF(Tabla1[[#This Row],[Tiempo solución max (hrs)]]&gt;=Tabla1[[#This Row],[Tiempo
(Hrs 00/100)]],"cumple","no cumple"),"")</f>
        <v>cumple</v>
      </c>
      <c r="W880" s="376" t="s">
        <v>1149</v>
      </c>
      <c r="X880" s="463" t="str">
        <f t="shared" si="104"/>
        <v>SPD</v>
      </c>
      <c r="Y880" s="459" t="str">
        <f>SUBSTITUTE(Tabla1[[#This Row],[Descripción]],CHAR(10),"    I    ")</f>
        <v>Se integra servicio para adjuntar archivo a la respuesta de "Prevenciosn" en quejas</v>
      </c>
      <c r="Z880" s="464">
        <f>VLOOKUP(Tabla1[[#This Row],[Perfil]],Catalogos!$B$75:$D$100,3,FALSE)*Tabla1[[#This Row],[Tiempo
(Hrs 00/100)]]*1.16</f>
        <v>2320</v>
      </c>
    </row>
    <row r="881" spans="1:26" ht="15" customHeight="1" x14ac:dyDescent="0.3">
      <c r="A881" s="510" t="s">
        <v>22</v>
      </c>
      <c r="B881" s="510" t="s">
        <v>23</v>
      </c>
      <c r="C881" s="510" t="s">
        <v>45</v>
      </c>
      <c r="D881" s="510"/>
      <c r="E881" s="510" t="s">
        <v>554</v>
      </c>
      <c r="F881" s="510" t="s">
        <v>23</v>
      </c>
      <c r="G881" s="510"/>
      <c r="H881" s="511" t="s">
        <v>1257</v>
      </c>
      <c r="I881" s="525" t="s">
        <v>1259</v>
      </c>
      <c r="J881" s="369">
        <v>45061</v>
      </c>
      <c r="K881" s="753">
        <v>0.54166666666666663</v>
      </c>
      <c r="L881" s="369">
        <v>45061</v>
      </c>
      <c r="M881" s="753">
        <v>0.79166666666666663</v>
      </c>
      <c r="N881" s="510">
        <v>4</v>
      </c>
      <c r="O881" s="510" t="s">
        <v>17</v>
      </c>
      <c r="P881" s="517" t="s">
        <v>557</v>
      </c>
      <c r="Q881" s="796" t="s">
        <v>558</v>
      </c>
      <c r="R881" s="510" t="s">
        <v>263</v>
      </c>
      <c r="S881" s="31" t="s">
        <v>273</v>
      </c>
      <c r="T881" s="31" t="s">
        <v>273</v>
      </c>
      <c r="U881" s="31">
        <f>IFERROR(VLOOKUP(CONCATENATE(Tabla1[[#This Row],[Severidad]]," ",Tabla1[[#This Row],[Complejidad]]),Catalogos!E$120:G$128,3,FALSE),"")</f>
        <v>64</v>
      </c>
      <c r="V881" s="31" t="str">
        <f>IF(Tabla1[[#This Row],[Tiempo solución max (hrs)]]&lt;&gt;"",IF(Tabla1[[#This Row],[Tiempo solución max (hrs)]]&gt;=Tabla1[[#This Row],[Tiempo
(Hrs 00/100)]],"cumple","no cumple"),"")</f>
        <v>cumple</v>
      </c>
      <c r="W881" s="376" t="s">
        <v>1149</v>
      </c>
      <c r="X881" s="463" t="str">
        <f t="shared" si="104"/>
        <v>SPD</v>
      </c>
      <c r="Y881" s="459" t="str">
        <f>SUBSTITUTE(Tabla1[[#This Row],[Descripción]],CHAR(10),"    I    ")</f>
        <v>Se integra servicio para responder la notificcacion de mis quejas</v>
      </c>
      <c r="Z881" s="464">
        <f>VLOOKUP(Tabla1[[#This Row],[Perfil]],Catalogos!$B$75:$D$100,3,FALSE)*Tabla1[[#This Row],[Tiempo
(Hrs 00/100)]]*1.16</f>
        <v>2320</v>
      </c>
    </row>
    <row r="882" spans="1:26" ht="15" customHeight="1" x14ac:dyDescent="0.3">
      <c r="A882" s="510" t="s">
        <v>22</v>
      </c>
      <c r="B882" s="510" t="s">
        <v>23</v>
      </c>
      <c r="C882" s="510" t="s">
        <v>45</v>
      </c>
      <c r="D882" s="510"/>
      <c r="E882" s="510" t="s">
        <v>554</v>
      </c>
      <c r="F882" s="510" t="s">
        <v>23</v>
      </c>
      <c r="G882" s="510"/>
      <c r="H882" s="511" t="s">
        <v>1260</v>
      </c>
      <c r="I882" s="525" t="s">
        <v>1261</v>
      </c>
      <c r="J882" s="369">
        <v>45062</v>
      </c>
      <c r="K882" s="747">
        <v>0.375</v>
      </c>
      <c r="L882" s="369">
        <v>45062</v>
      </c>
      <c r="M882" s="753">
        <v>0.54166666666666663</v>
      </c>
      <c r="N882" s="510">
        <v>4</v>
      </c>
      <c r="O882" s="510" t="s">
        <v>17</v>
      </c>
      <c r="P882" s="517" t="s">
        <v>557</v>
      </c>
      <c r="Q882" s="796" t="s">
        <v>558</v>
      </c>
      <c r="R882" s="510" t="s">
        <v>263</v>
      </c>
      <c r="S882" s="31" t="s">
        <v>273</v>
      </c>
      <c r="T882" s="31" t="s">
        <v>273</v>
      </c>
      <c r="U882" s="31">
        <f>IFERROR(VLOOKUP(CONCATENATE(Tabla1[[#This Row],[Severidad]]," ",Tabla1[[#This Row],[Complejidad]]),Catalogos!E$120:G$128,3,FALSE),"")</f>
        <v>64</v>
      </c>
      <c r="V882" s="31" t="str">
        <f>IF(Tabla1[[#This Row],[Tiempo solución max (hrs)]]&lt;&gt;"",IF(Tabla1[[#This Row],[Tiempo solución max (hrs)]]&gt;=Tabla1[[#This Row],[Tiempo
(Hrs 00/100)]],"cumple","no cumple"),"")</f>
        <v>cumple</v>
      </c>
      <c r="W882" s="376" t="s">
        <v>1149</v>
      </c>
      <c r="X882" s="463" t="str">
        <f t="shared" si="104"/>
        <v>SPD</v>
      </c>
      <c r="Y882" s="459" t="str">
        <f>SUBSTITUTE(Tabla1[[#This Row],[Descripción]],CHAR(10),"    I    ")</f>
        <v xml:space="preserve">Se integra servicio para adjuntar archivo a la respuesta de "Comunicacion" RIA en quejas </v>
      </c>
      <c r="Z882" s="464">
        <f>VLOOKUP(Tabla1[[#This Row],[Perfil]],Catalogos!$B$75:$D$100,3,FALSE)*Tabla1[[#This Row],[Tiempo
(Hrs 00/100)]]*1.16</f>
        <v>2320</v>
      </c>
    </row>
    <row r="883" spans="1:26" ht="15" customHeight="1" x14ac:dyDescent="0.3">
      <c r="A883" s="510" t="s">
        <v>22</v>
      </c>
      <c r="B883" s="510" t="s">
        <v>23</v>
      </c>
      <c r="C883" s="510" t="s">
        <v>45</v>
      </c>
      <c r="D883" s="510"/>
      <c r="E883" s="510" t="s">
        <v>554</v>
      </c>
      <c r="F883" s="510" t="s">
        <v>23</v>
      </c>
      <c r="G883" s="510"/>
      <c r="H883" s="511" t="s">
        <v>1260</v>
      </c>
      <c r="I883" s="525" t="s">
        <v>1262</v>
      </c>
      <c r="J883" s="369">
        <v>45062</v>
      </c>
      <c r="K883" s="753">
        <v>0.54166666666666663</v>
      </c>
      <c r="L883" s="369">
        <v>45062</v>
      </c>
      <c r="M883" s="753">
        <v>0.79166666666666663</v>
      </c>
      <c r="N883" s="510">
        <v>4</v>
      </c>
      <c r="O883" s="510" t="s">
        <v>17</v>
      </c>
      <c r="P883" s="517" t="s">
        <v>557</v>
      </c>
      <c r="Q883" s="796" t="s">
        <v>558</v>
      </c>
      <c r="R883" s="510" t="s">
        <v>263</v>
      </c>
      <c r="S883" s="31" t="s">
        <v>273</v>
      </c>
      <c r="T883" s="31" t="s">
        <v>273</v>
      </c>
      <c r="U883" s="31">
        <f>IFERROR(VLOOKUP(CONCATENATE(Tabla1[[#This Row],[Severidad]]," ",Tabla1[[#This Row],[Complejidad]]),Catalogos!E$120:G$128,3,FALSE),"")</f>
        <v>64</v>
      </c>
      <c r="V883" s="31" t="str">
        <f>IF(Tabla1[[#This Row],[Tiempo solución max (hrs)]]&lt;&gt;"",IF(Tabla1[[#This Row],[Tiempo solución max (hrs)]]&gt;=Tabla1[[#This Row],[Tiempo
(Hrs 00/100)]],"cumple","no cumple"),"")</f>
        <v>cumple</v>
      </c>
      <c r="W883" s="376" t="s">
        <v>1149</v>
      </c>
      <c r="X883" s="463" t="str">
        <f t="shared" si="104"/>
        <v>SPD</v>
      </c>
      <c r="Y883" s="459" t="str">
        <f>SUBSTITUTE(Tabla1[[#This Row],[Descripción]],CHAR(10),"    I    ")</f>
        <v>Se integra servicio para responder la Comunicacion RIA de mis quejas</v>
      </c>
      <c r="Z883" s="464">
        <f>VLOOKUP(Tabla1[[#This Row],[Perfil]],Catalogos!$B$75:$D$100,3,FALSE)*Tabla1[[#This Row],[Tiempo
(Hrs 00/100)]]*1.16</f>
        <v>2320</v>
      </c>
    </row>
    <row r="884" spans="1:26" ht="15" customHeight="1" x14ac:dyDescent="0.3">
      <c r="A884" s="510" t="s">
        <v>22</v>
      </c>
      <c r="B884" s="510" t="s">
        <v>23</v>
      </c>
      <c r="C884" s="510" t="s">
        <v>45</v>
      </c>
      <c r="D884" s="510"/>
      <c r="E884" s="510" t="s">
        <v>554</v>
      </c>
      <c r="F884" s="510" t="s">
        <v>23</v>
      </c>
      <c r="G884" s="510"/>
      <c r="H884" s="511" t="s">
        <v>1260</v>
      </c>
      <c r="I884" s="525" t="s">
        <v>1263</v>
      </c>
      <c r="J884" s="369">
        <v>45063</v>
      </c>
      <c r="K884" s="747">
        <v>0.375</v>
      </c>
      <c r="L884" s="369">
        <v>45063</v>
      </c>
      <c r="M884" s="753">
        <v>0.41666666666666669</v>
      </c>
      <c r="N884" s="510">
        <v>1</v>
      </c>
      <c r="O884" s="510" t="s">
        <v>17</v>
      </c>
      <c r="P884" s="517" t="s">
        <v>557</v>
      </c>
      <c r="Q884" s="796" t="s">
        <v>558</v>
      </c>
      <c r="R884" s="510" t="s">
        <v>263</v>
      </c>
      <c r="S884" s="31" t="s">
        <v>273</v>
      </c>
      <c r="T884" s="31" t="s">
        <v>273</v>
      </c>
      <c r="U884" s="31">
        <f>IFERROR(VLOOKUP(CONCATENATE(Tabla1[[#This Row],[Severidad]]," ",Tabla1[[#This Row],[Complejidad]]),Catalogos!E$120:G$128,3,FALSE),"")</f>
        <v>64</v>
      </c>
      <c r="V884" s="31" t="str">
        <f>IF(Tabla1[[#This Row],[Tiempo solución max (hrs)]]&lt;&gt;"",IF(Tabla1[[#This Row],[Tiempo solución max (hrs)]]&gt;=Tabla1[[#This Row],[Tiempo
(Hrs 00/100)]],"cumple","no cumple"),"")</f>
        <v>cumple</v>
      </c>
      <c r="W884" s="376" t="s">
        <v>1149</v>
      </c>
      <c r="X884" s="463" t="str">
        <f t="shared" ref="X884:X915" si="105">IF(C884&lt;&gt;"",C884,D884)</f>
        <v>SPD</v>
      </c>
      <c r="Y884" s="459" t="str">
        <f>SUBSTITUTE(Tabla1[[#This Row],[Descripción]],CHAR(10),"    I    ")</f>
        <v>Se realizan pruebas para responder RIA</v>
      </c>
      <c r="Z884" s="464">
        <f>VLOOKUP(Tabla1[[#This Row],[Perfil]],Catalogos!$B$75:$D$100,3,FALSE)*Tabla1[[#This Row],[Tiempo
(Hrs 00/100)]]*1.16</f>
        <v>580</v>
      </c>
    </row>
    <row r="885" spans="1:26" ht="15" customHeight="1" x14ac:dyDescent="0.3">
      <c r="A885" s="510" t="s">
        <v>22</v>
      </c>
      <c r="B885" s="510" t="s">
        <v>23</v>
      </c>
      <c r="C885" s="510" t="s">
        <v>45</v>
      </c>
      <c r="D885" s="510"/>
      <c r="E885" s="510" t="s">
        <v>554</v>
      </c>
      <c r="F885" s="510" t="s">
        <v>23</v>
      </c>
      <c r="G885" s="510"/>
      <c r="H885" s="511" t="s">
        <v>1257</v>
      </c>
      <c r="I885" s="525" t="s">
        <v>1264</v>
      </c>
      <c r="J885" s="369">
        <v>45063</v>
      </c>
      <c r="K885" s="753">
        <v>0.41666666666666669</v>
      </c>
      <c r="L885" s="369">
        <v>45063</v>
      </c>
      <c r="M885" s="753">
        <v>0.45833333333333331</v>
      </c>
      <c r="N885" s="510">
        <v>1</v>
      </c>
      <c r="O885" s="510" t="s">
        <v>17</v>
      </c>
      <c r="P885" s="517" t="s">
        <v>557</v>
      </c>
      <c r="Q885" s="796" t="s">
        <v>558</v>
      </c>
      <c r="R885" s="510" t="s">
        <v>263</v>
      </c>
      <c r="S885" s="31" t="s">
        <v>273</v>
      </c>
      <c r="T885" s="31" t="s">
        <v>273</v>
      </c>
      <c r="U885" s="31">
        <f>IFERROR(VLOOKUP(CONCATENATE(Tabla1[[#This Row],[Severidad]]," ",Tabla1[[#This Row],[Complejidad]]),Catalogos!E$120:G$128,3,FALSE),"")</f>
        <v>64</v>
      </c>
      <c r="V885" s="31" t="str">
        <f>IF(Tabla1[[#This Row],[Tiempo solución max (hrs)]]&lt;&gt;"",IF(Tabla1[[#This Row],[Tiempo solución max (hrs)]]&gt;=Tabla1[[#This Row],[Tiempo
(Hrs 00/100)]],"cumple","no cumple"),"")</f>
        <v>cumple</v>
      </c>
      <c r="W885" s="376" t="s">
        <v>1149</v>
      </c>
      <c r="X885" s="463" t="str">
        <f t="shared" si="105"/>
        <v>SPD</v>
      </c>
      <c r="Y885" s="459" t="str">
        <f>SUBSTITUTE(Tabla1[[#This Row],[Descripción]],CHAR(10),"    I    ")</f>
        <v>Se realizan pruebas para responder notificaciones</v>
      </c>
      <c r="Z885" s="464">
        <f>VLOOKUP(Tabla1[[#This Row],[Perfil]],Catalogos!$B$75:$D$100,3,FALSE)*Tabla1[[#This Row],[Tiempo
(Hrs 00/100)]]*1.16</f>
        <v>580</v>
      </c>
    </row>
    <row r="886" spans="1:26" ht="15" customHeight="1" x14ac:dyDescent="0.3">
      <c r="A886" s="510" t="s">
        <v>22</v>
      </c>
      <c r="B886" s="510" t="s">
        <v>23</v>
      </c>
      <c r="C886" s="510" t="s">
        <v>45</v>
      </c>
      <c r="D886" s="510"/>
      <c r="E886" s="510" t="s">
        <v>554</v>
      </c>
      <c r="F886" s="510" t="s">
        <v>23</v>
      </c>
      <c r="G886" s="510"/>
      <c r="H886" s="511" t="s">
        <v>1242</v>
      </c>
      <c r="I886" s="525" t="s">
        <v>1265</v>
      </c>
      <c r="J886" s="369">
        <v>45063</v>
      </c>
      <c r="K886" s="753">
        <v>0.45833333333333331</v>
      </c>
      <c r="L886" s="369">
        <v>45063</v>
      </c>
      <c r="M886" s="753">
        <v>0.5</v>
      </c>
      <c r="N886" s="510">
        <v>1</v>
      </c>
      <c r="O886" s="510" t="s">
        <v>17</v>
      </c>
      <c r="P886" s="517" t="s">
        <v>557</v>
      </c>
      <c r="Q886" s="796" t="s">
        <v>558</v>
      </c>
      <c r="R886" s="510" t="s">
        <v>263</v>
      </c>
      <c r="S886" s="31" t="s">
        <v>273</v>
      </c>
      <c r="T886" s="31" t="s">
        <v>273</v>
      </c>
      <c r="U886" s="31">
        <f>IFERROR(VLOOKUP(CONCATENATE(Tabla1[[#This Row],[Severidad]]," ",Tabla1[[#This Row],[Complejidad]]),Catalogos!E$120:G$128,3,FALSE),"")</f>
        <v>64</v>
      </c>
      <c r="V886" s="31" t="str">
        <f>IF(Tabla1[[#This Row],[Tiempo solución max (hrs)]]&lt;&gt;"",IF(Tabla1[[#This Row],[Tiempo solución max (hrs)]]&gt;=Tabla1[[#This Row],[Tiempo
(Hrs 00/100)]],"cumple","no cumple"),"")</f>
        <v>cumple</v>
      </c>
      <c r="W886" s="376" t="s">
        <v>1149</v>
      </c>
      <c r="X886" s="463" t="str">
        <f t="shared" si="105"/>
        <v>SPD</v>
      </c>
      <c r="Y886" s="459" t="str">
        <f>SUBSTITUTE(Tabla1[[#This Row],[Descripción]],CHAR(10),"    I    ")</f>
        <v>Se actualizan url para servicios que apunten a liferay para reemplazarlos por nuevos</v>
      </c>
      <c r="Z886" s="464">
        <f>VLOOKUP(Tabla1[[#This Row],[Perfil]],Catalogos!$B$75:$D$100,3,FALSE)*Tabla1[[#This Row],[Tiempo
(Hrs 00/100)]]*1.16</f>
        <v>580</v>
      </c>
    </row>
    <row r="887" spans="1:26" ht="15" customHeight="1" x14ac:dyDescent="0.3">
      <c r="A887" s="510" t="s">
        <v>22</v>
      </c>
      <c r="B887" s="510" t="s">
        <v>23</v>
      </c>
      <c r="C887" s="510" t="s">
        <v>45</v>
      </c>
      <c r="D887" s="510"/>
      <c r="E887" s="510" t="s">
        <v>554</v>
      </c>
      <c r="F887" s="510" t="s">
        <v>23</v>
      </c>
      <c r="G887" s="510"/>
      <c r="H887" s="511" t="s">
        <v>1237</v>
      </c>
      <c r="I887" s="525" t="s">
        <v>1266</v>
      </c>
      <c r="J887" s="369">
        <v>45063</v>
      </c>
      <c r="K887" s="753">
        <v>0.5</v>
      </c>
      <c r="L887" s="369">
        <v>45063</v>
      </c>
      <c r="M887" s="753">
        <v>0.54166666666666663</v>
      </c>
      <c r="N887" s="510">
        <v>1</v>
      </c>
      <c r="O887" s="510" t="s">
        <v>17</v>
      </c>
      <c r="P887" s="517" t="s">
        <v>557</v>
      </c>
      <c r="Q887" s="796" t="s">
        <v>558</v>
      </c>
      <c r="R887" s="510" t="s">
        <v>263</v>
      </c>
      <c r="S887" s="31" t="s">
        <v>273</v>
      </c>
      <c r="T887" s="31" t="s">
        <v>273</v>
      </c>
      <c r="U887" s="31">
        <f>IFERROR(VLOOKUP(CONCATENATE(Tabla1[[#This Row],[Severidad]]," ",Tabla1[[#This Row],[Complejidad]]),Catalogos!E$120:G$128,3,FALSE),"")</f>
        <v>64</v>
      </c>
      <c r="V887" s="31" t="str">
        <f>IF(Tabla1[[#This Row],[Tiempo solución max (hrs)]]&lt;&gt;"",IF(Tabla1[[#This Row],[Tiempo solución max (hrs)]]&gt;=Tabla1[[#This Row],[Tiempo
(Hrs 00/100)]],"cumple","no cumple"),"")</f>
        <v>cumple</v>
      </c>
      <c r="W887" s="376" t="s">
        <v>1149</v>
      </c>
      <c r="X887" s="463" t="str">
        <f t="shared" si="105"/>
        <v>SPD</v>
      </c>
      <c r="Y887" s="459" t="str">
        <f>SUBSTITUTE(Tabla1[[#This Row],[Descripción]],CHAR(10),"    I    ")</f>
        <v>Se incorpora abrir acuse de registro de la queja en navegador externo</v>
      </c>
      <c r="Z887" s="464">
        <f>VLOOKUP(Tabla1[[#This Row],[Perfil]],Catalogos!$B$75:$D$100,3,FALSE)*Tabla1[[#This Row],[Tiempo
(Hrs 00/100)]]*1.16</f>
        <v>580</v>
      </c>
    </row>
    <row r="888" spans="1:26" ht="15" customHeight="1" x14ac:dyDescent="0.3">
      <c r="A888" s="510" t="s">
        <v>22</v>
      </c>
      <c r="B888" s="510" t="s">
        <v>23</v>
      </c>
      <c r="C888" s="510" t="s">
        <v>45</v>
      </c>
      <c r="D888" s="510"/>
      <c r="E888" s="510" t="s">
        <v>554</v>
      </c>
      <c r="F888" s="510" t="s">
        <v>23</v>
      </c>
      <c r="G888" s="510"/>
      <c r="H888" s="511" t="s">
        <v>1237</v>
      </c>
      <c r="I888" s="525" t="s">
        <v>1267</v>
      </c>
      <c r="J888" s="369">
        <v>45063</v>
      </c>
      <c r="K888" s="753">
        <v>0.54166666666666663</v>
      </c>
      <c r="L888" s="369">
        <v>45063</v>
      </c>
      <c r="M888" s="753">
        <v>0.75</v>
      </c>
      <c r="N888" s="510">
        <v>3</v>
      </c>
      <c r="O888" s="510" t="s">
        <v>17</v>
      </c>
      <c r="P888" s="517" t="s">
        <v>557</v>
      </c>
      <c r="Q888" s="796" t="s">
        <v>558</v>
      </c>
      <c r="R888" s="510" t="s">
        <v>263</v>
      </c>
      <c r="S888" s="31" t="s">
        <v>273</v>
      </c>
      <c r="T888" s="31" t="s">
        <v>273</v>
      </c>
      <c r="U888" s="31">
        <f>IFERROR(VLOOKUP(CONCATENATE(Tabla1[[#This Row],[Severidad]]," ",Tabla1[[#This Row],[Complejidad]]),Catalogos!E$120:G$128,3,FALSE),"")</f>
        <v>64</v>
      </c>
      <c r="V888" s="31" t="str">
        <f>IF(Tabla1[[#This Row],[Tiempo solución max (hrs)]]&lt;&gt;"",IF(Tabla1[[#This Row],[Tiempo solución max (hrs)]]&gt;=Tabla1[[#This Row],[Tiempo
(Hrs 00/100)]],"cumple","no cumple"),"")</f>
        <v>cumple</v>
      </c>
      <c r="W888" s="376" t="s">
        <v>1149</v>
      </c>
      <c r="X888" s="463" t="str">
        <f t="shared" si="105"/>
        <v>SPD</v>
      </c>
      <c r="Y888" s="459" t="str">
        <f>SUBSTITUTE(Tabla1[[#This Row],[Descripción]],CHAR(10),"    I    ")</f>
        <v>Se cambia widget para renderizar html en notificacion de quejas</v>
      </c>
      <c r="Z888" s="464">
        <f>VLOOKUP(Tabla1[[#This Row],[Perfil]],Catalogos!$B$75:$D$100,3,FALSE)*Tabla1[[#This Row],[Tiempo
(Hrs 00/100)]]*1.16</f>
        <v>1739.9999999999998</v>
      </c>
    </row>
    <row r="889" spans="1:26" ht="15" customHeight="1" x14ac:dyDescent="0.3">
      <c r="A889" s="510" t="s">
        <v>22</v>
      </c>
      <c r="B889" s="510" t="s">
        <v>23</v>
      </c>
      <c r="C889" s="510" t="s">
        <v>45</v>
      </c>
      <c r="D889" s="510"/>
      <c r="E889" s="510" t="s">
        <v>554</v>
      </c>
      <c r="F889" s="510" t="s">
        <v>23</v>
      </c>
      <c r="G889" s="510"/>
      <c r="H889" s="511" t="s">
        <v>1242</v>
      </c>
      <c r="I889" s="525" t="s">
        <v>1268</v>
      </c>
      <c r="J889" s="369">
        <v>45063</v>
      </c>
      <c r="K889" s="753">
        <v>0.75</v>
      </c>
      <c r="L889" s="369">
        <v>45063</v>
      </c>
      <c r="M889" s="753">
        <v>0.79166666666666663</v>
      </c>
      <c r="N889" s="510">
        <v>1</v>
      </c>
      <c r="O889" s="510" t="s">
        <v>17</v>
      </c>
      <c r="P889" s="517" t="s">
        <v>557</v>
      </c>
      <c r="Q889" s="796" t="s">
        <v>558</v>
      </c>
      <c r="R889" s="510" t="s">
        <v>263</v>
      </c>
      <c r="S889" s="31" t="s">
        <v>273</v>
      </c>
      <c r="T889" s="31" t="s">
        <v>273</v>
      </c>
      <c r="U889" s="31">
        <f>IFERROR(VLOOKUP(CONCATENATE(Tabla1[[#This Row],[Severidad]]," ",Tabla1[[#This Row],[Complejidad]]),Catalogos!E$120:G$128,3,FALSE),"")</f>
        <v>64</v>
      </c>
      <c r="V889" s="31" t="str">
        <f>IF(Tabla1[[#This Row],[Tiempo solución max (hrs)]]&lt;&gt;"",IF(Tabla1[[#This Row],[Tiempo solución max (hrs)]]&gt;=Tabla1[[#This Row],[Tiempo
(Hrs 00/100)]],"cumple","no cumple"),"")</f>
        <v>cumple</v>
      </c>
      <c r="W889" s="376" t="s">
        <v>1149</v>
      </c>
      <c r="X889" s="463" t="str">
        <f t="shared" si="105"/>
        <v>SPD</v>
      </c>
      <c r="Y889" s="459" t="str">
        <f>SUBSTITUTE(Tabla1[[#This Row],[Descripción]],CHAR(10),"    I    ")</f>
        <v>Se corrige problema al crear solicitud de datos personales con una cuenta recien creada</v>
      </c>
      <c r="Z889" s="464">
        <f>VLOOKUP(Tabla1[[#This Row],[Perfil]],Catalogos!$B$75:$D$100,3,FALSE)*Tabla1[[#This Row],[Tiempo
(Hrs 00/100)]]*1.16</f>
        <v>580</v>
      </c>
    </row>
    <row r="890" spans="1:26" ht="15" customHeight="1" x14ac:dyDescent="0.3">
      <c r="A890" s="510" t="s">
        <v>22</v>
      </c>
      <c r="B890" s="510" t="s">
        <v>23</v>
      </c>
      <c r="C890" s="510" t="s">
        <v>45</v>
      </c>
      <c r="D890" s="510"/>
      <c r="E890" s="510" t="s">
        <v>554</v>
      </c>
      <c r="F890" s="510" t="s">
        <v>23</v>
      </c>
      <c r="G890" s="510"/>
      <c r="H890" s="511" t="s">
        <v>1242</v>
      </c>
      <c r="I890" s="525" t="s">
        <v>1269</v>
      </c>
      <c r="J890" s="369">
        <v>45064</v>
      </c>
      <c r="K890" s="747">
        <v>0.375</v>
      </c>
      <c r="L890" s="369">
        <v>45064</v>
      </c>
      <c r="M890" s="753">
        <v>0.5</v>
      </c>
      <c r="N890" s="510">
        <v>3</v>
      </c>
      <c r="O890" s="510" t="s">
        <v>17</v>
      </c>
      <c r="P890" s="517" t="s">
        <v>557</v>
      </c>
      <c r="Q890" s="796" t="s">
        <v>558</v>
      </c>
      <c r="R890" s="510" t="s">
        <v>263</v>
      </c>
      <c r="S890" s="31" t="s">
        <v>273</v>
      </c>
      <c r="T890" s="31" t="s">
        <v>273</v>
      </c>
      <c r="U890" s="31">
        <f>IFERROR(VLOOKUP(CONCATENATE(Tabla1[[#This Row],[Severidad]]," ",Tabla1[[#This Row],[Complejidad]]),Catalogos!E$120:G$128,3,FALSE),"")</f>
        <v>64</v>
      </c>
      <c r="V890" s="31" t="str">
        <f>IF(Tabla1[[#This Row],[Tiempo solución max (hrs)]]&lt;&gt;"",IF(Tabla1[[#This Row],[Tiempo solución max (hrs)]]&gt;=Tabla1[[#This Row],[Tiempo
(Hrs 00/100)]],"cumple","no cumple"),"")</f>
        <v>cumple</v>
      </c>
      <c r="W890" s="376" t="s">
        <v>1149</v>
      </c>
      <c r="X890" s="463" t="str">
        <f t="shared" si="105"/>
        <v>SPD</v>
      </c>
      <c r="Y890" s="459" t="str">
        <f>SUBSTITUTE(Tabla1[[#This Row],[Descripción]],CHAR(10),"    I    ")</f>
        <v>Se corrige problema al crear solicitud de datos personales al crear una portabilidad de datos</v>
      </c>
      <c r="Z890" s="464">
        <f>VLOOKUP(Tabla1[[#This Row],[Perfil]],Catalogos!$B$75:$D$100,3,FALSE)*Tabla1[[#This Row],[Tiempo
(Hrs 00/100)]]*1.16</f>
        <v>1739.9999999999998</v>
      </c>
    </row>
    <row r="891" spans="1:26" ht="15" customHeight="1" x14ac:dyDescent="0.3">
      <c r="A891" s="510" t="s">
        <v>22</v>
      </c>
      <c r="B891" s="510" t="s">
        <v>23</v>
      </c>
      <c r="C891" s="510" t="s">
        <v>45</v>
      </c>
      <c r="D891" s="510"/>
      <c r="E891" s="510" t="s">
        <v>554</v>
      </c>
      <c r="F891" s="510" t="s">
        <v>23</v>
      </c>
      <c r="G891" s="510"/>
      <c r="H891" s="511" t="s">
        <v>1270</v>
      </c>
      <c r="I891" s="525" t="s">
        <v>1271</v>
      </c>
      <c r="J891" s="369">
        <v>45064</v>
      </c>
      <c r="K891" s="753">
        <v>0.5</v>
      </c>
      <c r="L891" s="369">
        <v>45064</v>
      </c>
      <c r="M891" s="753">
        <v>0.70833333333333337</v>
      </c>
      <c r="N891" s="510">
        <v>3</v>
      </c>
      <c r="O891" s="510" t="s">
        <v>17</v>
      </c>
      <c r="P891" s="517" t="s">
        <v>557</v>
      </c>
      <c r="Q891" s="796" t="s">
        <v>558</v>
      </c>
      <c r="R891" s="510" t="s">
        <v>263</v>
      </c>
      <c r="S891" s="31" t="s">
        <v>273</v>
      </c>
      <c r="T891" s="31" t="s">
        <v>273</v>
      </c>
      <c r="U891" s="31">
        <f>IFERROR(VLOOKUP(CONCATENATE(Tabla1[[#This Row],[Severidad]]," ",Tabla1[[#This Row],[Complejidad]]),Catalogos!E$120:G$128,3,FALSE),"")</f>
        <v>64</v>
      </c>
      <c r="V891" s="31" t="str">
        <f>IF(Tabla1[[#This Row],[Tiempo solución max (hrs)]]&lt;&gt;"",IF(Tabla1[[#This Row],[Tiempo solución max (hrs)]]&gt;=Tabla1[[#This Row],[Tiempo
(Hrs 00/100)]],"cumple","no cumple"),"")</f>
        <v>cumple</v>
      </c>
      <c r="W891" s="376" t="s">
        <v>1149</v>
      </c>
      <c r="X891" s="463" t="str">
        <f t="shared" si="105"/>
        <v>SPD</v>
      </c>
      <c r="Y891" s="459" t="str">
        <f>SUBSTITUTE(Tabla1[[#This Row],[Descripción]],CHAR(10),"    I    ")</f>
        <v>Se incorporan servicios de saimex para alta de quejas, repuesta de quejas y adjuntos</v>
      </c>
      <c r="Z891" s="464">
        <f>VLOOKUP(Tabla1[[#This Row],[Perfil]],Catalogos!$B$75:$D$100,3,FALSE)*Tabla1[[#This Row],[Tiempo
(Hrs 00/100)]]*1.16</f>
        <v>1739.9999999999998</v>
      </c>
    </row>
    <row r="892" spans="1:26" ht="15" customHeight="1" x14ac:dyDescent="0.3">
      <c r="A892" s="510" t="s">
        <v>22</v>
      </c>
      <c r="B892" s="510" t="s">
        <v>23</v>
      </c>
      <c r="C892" s="510" t="s">
        <v>45</v>
      </c>
      <c r="D892" s="510"/>
      <c r="E892" s="510" t="s">
        <v>554</v>
      </c>
      <c r="F892" s="510" t="s">
        <v>23</v>
      </c>
      <c r="G892" s="510"/>
      <c r="H892" s="511" t="s">
        <v>1272</v>
      </c>
      <c r="I892" s="525" t="s">
        <v>1273</v>
      </c>
      <c r="J892" s="369">
        <v>45064</v>
      </c>
      <c r="K892" s="753">
        <v>0.70833333333333337</v>
      </c>
      <c r="L892" s="369">
        <v>45064</v>
      </c>
      <c r="M892" s="753">
        <v>0.79166666666666663</v>
      </c>
      <c r="N892" s="510">
        <v>2</v>
      </c>
      <c r="O892" s="510" t="s">
        <v>17</v>
      </c>
      <c r="P892" s="517" t="s">
        <v>557</v>
      </c>
      <c r="Q892" s="796" t="s">
        <v>558</v>
      </c>
      <c r="R892" s="510" t="s">
        <v>263</v>
      </c>
      <c r="S892" s="31" t="s">
        <v>273</v>
      </c>
      <c r="T892" s="31" t="s">
        <v>273</v>
      </c>
      <c r="U892" s="31">
        <f>IFERROR(VLOOKUP(CONCATENATE(Tabla1[[#This Row],[Severidad]]," ",Tabla1[[#This Row],[Complejidad]]),Catalogos!E$120:G$128,3,FALSE),"")</f>
        <v>64</v>
      </c>
      <c r="V892" s="31" t="str">
        <f>IF(Tabla1[[#This Row],[Tiempo solución max (hrs)]]&lt;&gt;"",IF(Tabla1[[#This Row],[Tiempo solución max (hrs)]]&gt;=Tabla1[[#This Row],[Tiempo
(Hrs 00/100)]],"cumple","no cumple"),"")</f>
        <v>cumple</v>
      </c>
      <c r="W892" s="376" t="s">
        <v>1149</v>
      </c>
      <c r="X892" s="463" t="str">
        <f t="shared" si="105"/>
        <v>SPD</v>
      </c>
      <c r="Y892" s="459" t="str">
        <f>SUBSTITUTE(Tabla1[[#This Row],[Descripción]],CHAR(10),"    I    ")</f>
        <v>Se realzian ajustes visuales a la app, cambiar orden de botones de menu, cambios de texto y cambio de botones</v>
      </c>
      <c r="Z892" s="464">
        <f>VLOOKUP(Tabla1[[#This Row],[Perfil]],Catalogos!$B$75:$D$100,3,FALSE)*Tabla1[[#This Row],[Tiempo
(Hrs 00/100)]]*1.16</f>
        <v>1160</v>
      </c>
    </row>
    <row r="893" spans="1:26" ht="15" customHeight="1" x14ac:dyDescent="0.3">
      <c r="A893" s="510" t="s">
        <v>22</v>
      </c>
      <c r="B893" s="510" t="s">
        <v>23</v>
      </c>
      <c r="C893" s="510" t="s">
        <v>45</v>
      </c>
      <c r="D893" s="510"/>
      <c r="E893" s="510" t="s">
        <v>554</v>
      </c>
      <c r="F893" s="510" t="s">
        <v>23</v>
      </c>
      <c r="G893" s="510"/>
      <c r="H893" s="511" t="s">
        <v>1272</v>
      </c>
      <c r="I893" s="525" t="s">
        <v>1274</v>
      </c>
      <c r="J893" s="369">
        <v>45065</v>
      </c>
      <c r="K893" s="747">
        <v>0.375</v>
      </c>
      <c r="L893" s="369">
        <v>45065</v>
      </c>
      <c r="M893" s="753">
        <v>0.54166666666666663</v>
      </c>
      <c r="N893" s="510">
        <v>4</v>
      </c>
      <c r="O893" s="510" t="s">
        <v>17</v>
      </c>
      <c r="P893" s="517" t="s">
        <v>557</v>
      </c>
      <c r="Q893" s="796" t="s">
        <v>558</v>
      </c>
      <c r="R893" s="510" t="s">
        <v>263</v>
      </c>
      <c r="S893" s="31" t="s">
        <v>273</v>
      </c>
      <c r="T893" s="31" t="s">
        <v>273</v>
      </c>
      <c r="U893" s="31">
        <f>IFERROR(VLOOKUP(CONCATENATE(Tabla1[[#This Row],[Severidad]]," ",Tabla1[[#This Row],[Complejidad]]),Catalogos!E$120:G$128,3,FALSE),"")</f>
        <v>64</v>
      </c>
      <c r="V893" s="31" t="str">
        <f>IF(Tabla1[[#This Row],[Tiempo solución max (hrs)]]&lt;&gt;"",IF(Tabla1[[#This Row],[Tiempo solución max (hrs)]]&gt;=Tabla1[[#This Row],[Tiempo
(Hrs 00/100)]],"cumple","no cumple"),"")</f>
        <v>cumple</v>
      </c>
      <c r="W893" s="376" t="s">
        <v>1149</v>
      </c>
      <c r="X893" s="463" t="str">
        <f t="shared" si="105"/>
        <v>SPD</v>
      </c>
      <c r="Y893" s="459" t="str">
        <f>SUBSTITUTE(Tabla1[[#This Row],[Descripción]],CHAR(10),"    I    ")</f>
        <v>Se realzian ajustes visuales a la app, agregar funcionalidad para retroceder en stepper, agregado texto de ayuda en card de mis quejas</v>
      </c>
      <c r="Z893" s="464">
        <f>VLOOKUP(Tabla1[[#This Row],[Perfil]],Catalogos!$B$75:$D$100,3,FALSE)*Tabla1[[#This Row],[Tiempo
(Hrs 00/100)]]*1.16</f>
        <v>2320</v>
      </c>
    </row>
    <row r="894" spans="1:26" ht="15" customHeight="1" thickBot="1" x14ac:dyDescent="0.35">
      <c r="A894" s="519" t="s">
        <v>22</v>
      </c>
      <c r="B894" s="519" t="s">
        <v>23</v>
      </c>
      <c r="C894" s="519" t="s">
        <v>45</v>
      </c>
      <c r="D894" s="519"/>
      <c r="E894" s="519" t="s">
        <v>554</v>
      </c>
      <c r="F894" s="519" t="s">
        <v>23</v>
      </c>
      <c r="G894" s="519"/>
      <c r="H894" s="520" t="s">
        <v>1272</v>
      </c>
      <c r="I894" s="520" t="s">
        <v>1275</v>
      </c>
      <c r="J894" s="369">
        <v>45065</v>
      </c>
      <c r="K894" s="753">
        <v>0.54166666666666663</v>
      </c>
      <c r="L894" s="369">
        <v>45065</v>
      </c>
      <c r="M894" s="753">
        <v>0.79166666666666663</v>
      </c>
      <c r="N894" s="519">
        <v>4</v>
      </c>
      <c r="O894" s="521" t="s">
        <v>17</v>
      </c>
      <c r="P894" s="522" t="s">
        <v>557</v>
      </c>
      <c r="Q894" s="795" t="s">
        <v>558</v>
      </c>
      <c r="R894" s="523" t="s">
        <v>263</v>
      </c>
      <c r="S894" s="31" t="s">
        <v>273</v>
      </c>
      <c r="T894" s="31" t="s">
        <v>273</v>
      </c>
      <c r="U894" s="31">
        <f>IFERROR(VLOOKUP(CONCATENATE(Tabla1[[#This Row],[Severidad]]," ",Tabla1[[#This Row],[Complejidad]]),Catalogos!E$120:G$128,3,FALSE),"")</f>
        <v>64</v>
      </c>
      <c r="V894" s="31" t="str">
        <f>IF(Tabla1[[#This Row],[Tiempo solución max (hrs)]]&lt;&gt;"",IF(Tabla1[[#This Row],[Tiempo solución max (hrs)]]&gt;=Tabla1[[#This Row],[Tiempo
(Hrs 00/100)]],"cumple","no cumple"),"")</f>
        <v>cumple</v>
      </c>
      <c r="W894" s="376" t="s">
        <v>1149</v>
      </c>
      <c r="X894" s="463" t="str">
        <f t="shared" si="105"/>
        <v>SPD</v>
      </c>
      <c r="Y894" s="459" t="str">
        <f>SUBSTITUTE(Tabla1[[#This Row],[Descripción]],CHAR(10),"    I    ")</f>
        <v>Se realzian ajustes visuales a la app y se verifica funcionamiento de estadisticos</v>
      </c>
      <c r="Z894" s="464">
        <f>VLOOKUP(Tabla1[[#This Row],[Perfil]],Catalogos!$B$75:$D$100,3,FALSE)*Tabla1[[#This Row],[Tiempo
(Hrs 00/100)]]*1.16</f>
        <v>2320</v>
      </c>
    </row>
    <row r="895" spans="1:26" ht="15" customHeight="1" thickTop="1" x14ac:dyDescent="0.3">
      <c r="A895" s="510" t="s">
        <v>22</v>
      </c>
      <c r="B895" s="510" t="s">
        <v>23</v>
      </c>
      <c r="C895" s="510" t="s">
        <v>45</v>
      </c>
      <c r="D895" s="510"/>
      <c r="E895" s="510" t="s">
        <v>554</v>
      </c>
      <c r="F895" s="510" t="s">
        <v>23</v>
      </c>
      <c r="G895" s="510"/>
      <c r="H895" s="511" t="s">
        <v>1272</v>
      </c>
      <c r="I895" s="525" t="s">
        <v>1276</v>
      </c>
      <c r="J895" s="369">
        <v>45068</v>
      </c>
      <c r="K895" s="747">
        <v>0.375</v>
      </c>
      <c r="L895" s="369">
        <v>45068</v>
      </c>
      <c r="M895" s="753">
        <v>0.54166666666666663</v>
      </c>
      <c r="N895" s="510">
        <v>4</v>
      </c>
      <c r="O895" s="510" t="s">
        <v>17</v>
      </c>
      <c r="P895" s="517" t="s">
        <v>557</v>
      </c>
      <c r="Q895" s="796" t="s">
        <v>558</v>
      </c>
      <c r="R895" s="510" t="s">
        <v>263</v>
      </c>
      <c r="S895" s="31" t="s">
        <v>273</v>
      </c>
      <c r="T895" s="31" t="s">
        <v>273</v>
      </c>
      <c r="U895" s="31">
        <f>IFERROR(VLOOKUP(CONCATENATE(Tabla1[[#This Row],[Severidad]]," ",Tabla1[[#This Row],[Complejidad]]),Catalogos!E$120:G$128,3,FALSE),"")</f>
        <v>64</v>
      </c>
      <c r="V895" s="31" t="str">
        <f>IF(Tabla1[[#This Row],[Tiempo solución max (hrs)]]&lt;&gt;"",IF(Tabla1[[#This Row],[Tiempo solución max (hrs)]]&gt;=Tabla1[[#This Row],[Tiempo
(Hrs 00/100)]],"cumple","no cumple"),"")</f>
        <v>cumple</v>
      </c>
      <c r="W895" s="376" t="s">
        <v>1149</v>
      </c>
      <c r="X895" s="463" t="str">
        <f t="shared" si="105"/>
        <v>SPD</v>
      </c>
      <c r="Y895" s="459" t="str">
        <f>SUBSTITUTE(Tabla1[[#This Row],[Descripción]],CHAR(10),"    I    ")</f>
        <v>Se realzian ajustes visuales a la app, se cambian colores en snackbar y elementos de app</v>
      </c>
      <c r="Z895" s="464">
        <f>VLOOKUP(Tabla1[[#This Row],[Perfil]],Catalogos!$B$75:$D$100,3,FALSE)*Tabla1[[#This Row],[Tiempo
(Hrs 00/100)]]*1.16</f>
        <v>2320</v>
      </c>
    </row>
    <row r="896" spans="1:26" ht="15" customHeight="1" x14ac:dyDescent="0.3">
      <c r="A896" s="510" t="s">
        <v>22</v>
      </c>
      <c r="B896" s="510" t="s">
        <v>23</v>
      </c>
      <c r="C896" s="510" t="s">
        <v>45</v>
      </c>
      <c r="D896" s="510"/>
      <c r="E896" s="510" t="s">
        <v>554</v>
      </c>
      <c r="F896" s="510" t="s">
        <v>23</v>
      </c>
      <c r="G896" s="510"/>
      <c r="H896" s="511" t="s">
        <v>1272</v>
      </c>
      <c r="I896" s="525" t="s">
        <v>1277</v>
      </c>
      <c r="J896" s="369">
        <v>45068</v>
      </c>
      <c r="K896" s="753">
        <v>0.54166666666666663</v>
      </c>
      <c r="L896" s="369">
        <v>45068</v>
      </c>
      <c r="M896" s="753">
        <v>0.79166666666666663</v>
      </c>
      <c r="N896" s="510">
        <v>4</v>
      </c>
      <c r="O896" s="510" t="s">
        <v>17</v>
      </c>
      <c r="P896" s="517" t="s">
        <v>557</v>
      </c>
      <c r="Q896" s="796" t="s">
        <v>558</v>
      </c>
      <c r="R896" s="510" t="s">
        <v>263</v>
      </c>
      <c r="S896" s="31" t="s">
        <v>273</v>
      </c>
      <c r="T896" s="31" t="s">
        <v>273</v>
      </c>
      <c r="U896" s="31">
        <f>IFERROR(VLOOKUP(CONCATENATE(Tabla1[[#This Row],[Severidad]]," ",Tabla1[[#This Row],[Complejidad]]),Catalogos!E$120:G$128,3,FALSE),"")</f>
        <v>64</v>
      </c>
      <c r="V896" s="31" t="str">
        <f>IF(Tabla1[[#This Row],[Tiempo solución max (hrs)]]&lt;&gt;"",IF(Tabla1[[#This Row],[Tiempo solución max (hrs)]]&gt;=Tabla1[[#This Row],[Tiempo
(Hrs 00/100)]],"cumple","no cumple"),"")</f>
        <v>cumple</v>
      </c>
      <c r="W896" s="376" t="s">
        <v>1149</v>
      </c>
      <c r="X896" s="463" t="str">
        <f t="shared" si="105"/>
        <v>SPD</v>
      </c>
      <c r="Y896" s="459" t="str">
        <f>SUBSTITUTE(Tabla1[[#This Row],[Descripción]],CHAR(10),"    I    ")</f>
        <v>Se realzian ajustes visuales a la app, se agrega snackbar de validaciones en wizard y se agregan validaciones faltantes a forms</v>
      </c>
      <c r="Z896" s="464">
        <f>VLOOKUP(Tabla1[[#This Row],[Perfil]],Catalogos!$B$75:$D$100,3,FALSE)*Tabla1[[#This Row],[Tiempo
(Hrs 00/100)]]*1.16</f>
        <v>2320</v>
      </c>
    </row>
    <row r="897" spans="1:26" ht="15" customHeight="1" x14ac:dyDescent="0.3">
      <c r="A897" s="510" t="s">
        <v>22</v>
      </c>
      <c r="B897" s="510" t="s">
        <v>23</v>
      </c>
      <c r="C897" s="510" t="s">
        <v>45</v>
      </c>
      <c r="D897" s="510"/>
      <c r="E897" s="510" t="s">
        <v>554</v>
      </c>
      <c r="F897" s="510" t="s">
        <v>23</v>
      </c>
      <c r="G897" s="510"/>
      <c r="H897" s="511" t="s">
        <v>1272</v>
      </c>
      <c r="I897" s="525" t="s">
        <v>1278</v>
      </c>
      <c r="J897" s="369">
        <v>45069</v>
      </c>
      <c r="K897" s="747">
        <v>0.375</v>
      </c>
      <c r="L897" s="369">
        <v>45069</v>
      </c>
      <c r="M897" s="753">
        <v>0.54166666666666663</v>
      </c>
      <c r="N897" s="510">
        <v>4</v>
      </c>
      <c r="O897" s="510" t="s">
        <v>17</v>
      </c>
      <c r="P897" s="517" t="s">
        <v>557</v>
      </c>
      <c r="Q897" s="796" t="s">
        <v>558</v>
      </c>
      <c r="R897" s="510" t="s">
        <v>263</v>
      </c>
      <c r="S897" s="31" t="s">
        <v>273</v>
      </c>
      <c r="T897" s="31" t="s">
        <v>273</v>
      </c>
      <c r="U897" s="31">
        <f>IFERROR(VLOOKUP(CONCATENATE(Tabla1[[#This Row],[Severidad]]," ",Tabla1[[#This Row],[Complejidad]]),Catalogos!E$120:G$128,3,FALSE),"")</f>
        <v>64</v>
      </c>
      <c r="V897" s="31" t="str">
        <f>IF(Tabla1[[#This Row],[Tiempo solución max (hrs)]]&lt;&gt;"",IF(Tabla1[[#This Row],[Tiempo solución max (hrs)]]&gt;=Tabla1[[#This Row],[Tiempo
(Hrs 00/100)]],"cumple","no cumple"),"")</f>
        <v>cumple</v>
      </c>
      <c r="W897" s="376" t="s">
        <v>1149</v>
      </c>
      <c r="X897" s="463" t="str">
        <f t="shared" si="105"/>
        <v>SPD</v>
      </c>
      <c r="Y897" s="459" t="str">
        <f>SUBSTITUTE(Tabla1[[#This Row],[Descripción]],CHAR(10),"    I    ")</f>
        <v>Se realzian ajustes visuales a la app, se cambian url de redes sociales</v>
      </c>
      <c r="Z897" s="464">
        <f>VLOOKUP(Tabla1[[#This Row],[Perfil]],Catalogos!$B$75:$D$100,3,FALSE)*Tabla1[[#This Row],[Tiempo
(Hrs 00/100)]]*1.16</f>
        <v>2320</v>
      </c>
    </row>
    <row r="898" spans="1:26" ht="15" customHeight="1" x14ac:dyDescent="0.3">
      <c r="A898" s="510" t="s">
        <v>22</v>
      </c>
      <c r="B898" s="510" t="s">
        <v>23</v>
      </c>
      <c r="C898" s="510" t="s">
        <v>45</v>
      </c>
      <c r="D898" s="510"/>
      <c r="E898" s="510" t="s">
        <v>554</v>
      </c>
      <c r="F898" s="510" t="s">
        <v>23</v>
      </c>
      <c r="G898" s="510"/>
      <c r="H898" s="511" t="s">
        <v>1272</v>
      </c>
      <c r="I898" s="525" t="s">
        <v>1279</v>
      </c>
      <c r="J898" s="369">
        <v>45069</v>
      </c>
      <c r="K898" s="753">
        <v>0.54166666666666663</v>
      </c>
      <c r="L898" s="369">
        <v>45069</v>
      </c>
      <c r="M898" s="753">
        <v>0.79166666666666663</v>
      </c>
      <c r="N898" s="510">
        <v>4</v>
      </c>
      <c r="O898" s="510" t="s">
        <v>17</v>
      </c>
      <c r="P898" s="517" t="s">
        <v>557</v>
      </c>
      <c r="Q898" s="796" t="s">
        <v>558</v>
      </c>
      <c r="R898" s="510" t="s">
        <v>263</v>
      </c>
      <c r="S898" s="31" t="s">
        <v>273</v>
      </c>
      <c r="T898" s="31" t="s">
        <v>273</v>
      </c>
      <c r="U898" s="31">
        <f>IFERROR(VLOOKUP(CONCATENATE(Tabla1[[#This Row],[Severidad]]," ",Tabla1[[#This Row],[Complejidad]]),Catalogos!E$120:G$128,3,FALSE),"")</f>
        <v>64</v>
      </c>
      <c r="V898" s="31" t="str">
        <f>IF(Tabla1[[#This Row],[Tiempo solución max (hrs)]]&lt;&gt;"",IF(Tabla1[[#This Row],[Tiempo solución max (hrs)]]&gt;=Tabla1[[#This Row],[Tiempo
(Hrs 00/100)]],"cumple","no cumple"),"")</f>
        <v>cumple</v>
      </c>
      <c r="W898" s="376" t="s">
        <v>1149</v>
      </c>
      <c r="X898" s="463" t="str">
        <f t="shared" si="105"/>
        <v>SPD</v>
      </c>
      <c r="Y898" s="459" t="str">
        <f>SUBSTITUTE(Tabla1[[#This Row],[Descripción]],CHAR(10),"    I    ")</f>
        <v>Se hace revision de plugins de redes sociales pra el registro y autentificacion</v>
      </c>
      <c r="Z898" s="464">
        <f>VLOOKUP(Tabla1[[#This Row],[Perfil]],Catalogos!$B$75:$D$100,3,FALSE)*Tabla1[[#This Row],[Tiempo
(Hrs 00/100)]]*1.16</f>
        <v>2320</v>
      </c>
    </row>
    <row r="899" spans="1:26" ht="15" customHeight="1" x14ac:dyDescent="0.3">
      <c r="A899" s="373" t="s">
        <v>22</v>
      </c>
      <c r="B899" s="184" t="s">
        <v>173</v>
      </c>
      <c r="C899" s="183" t="s">
        <v>16</v>
      </c>
      <c r="D899" s="179"/>
      <c r="E899" s="386" t="s">
        <v>503</v>
      </c>
      <c r="F899" s="373" t="s">
        <v>75</v>
      </c>
      <c r="G899" s="370" t="s">
        <v>435</v>
      </c>
      <c r="H899" s="387" t="s">
        <v>436</v>
      </c>
      <c r="I899" s="393" t="s">
        <v>1332</v>
      </c>
      <c r="J899" s="712">
        <v>45078</v>
      </c>
      <c r="K899" s="747">
        <v>0.375</v>
      </c>
      <c r="L899" s="712">
        <v>45078</v>
      </c>
      <c r="M899" s="739">
        <v>0.47916666666666669</v>
      </c>
      <c r="N899" s="179">
        <v>2.5</v>
      </c>
      <c r="O899" s="184" t="s">
        <v>17</v>
      </c>
      <c r="P899" s="185" t="s">
        <v>1280</v>
      </c>
      <c r="Q899" s="746" t="s">
        <v>258</v>
      </c>
      <c r="R899" s="171" t="s">
        <v>81</v>
      </c>
      <c r="S899" s="31" t="s">
        <v>273</v>
      </c>
      <c r="T899" s="31" t="s">
        <v>273</v>
      </c>
      <c r="U899" s="31">
        <f>IFERROR(VLOOKUP(CONCATENATE(Tabla1[[#This Row],[Severidad]]," ",Tabla1[[#This Row],[Complejidad]]),Catalogos!E$120:G$128,3,FALSE),"")</f>
        <v>64</v>
      </c>
      <c r="V899" s="31" t="str">
        <f>IF(Tabla1[[#This Row],[Tiempo solución max (hrs)]]&lt;&gt;"",IF(Tabla1[[#This Row],[Tiempo solución max (hrs)]]&gt;=Tabla1[[#This Row],[Tiempo
(Hrs 00/100)]],"cumple","no cumple"),"")</f>
        <v>cumple</v>
      </c>
      <c r="W899" s="376" t="s">
        <v>1312</v>
      </c>
      <c r="X899" s="463" t="str">
        <f t="shared" si="105"/>
        <v>SAW</v>
      </c>
      <c r="Y899" s="459" t="str">
        <f>SUBSTITUTE(Tabla1[[#This Row],[Descripción]],CHAR(10),"    I    ")</f>
        <v xml:space="preserve">actualización gobierno abierto </v>
      </c>
      <c r="Z899" s="464">
        <f>VLOOKUP(Tabla1[[#This Row],[Perfil]],Catalogos!$B$75:$D$100,3,FALSE)*Tabla1[[#This Row],[Tiempo
(Hrs 00/100)]]*1.16</f>
        <v>1450</v>
      </c>
    </row>
    <row r="900" spans="1:26" ht="15" customHeight="1" x14ac:dyDescent="0.3">
      <c r="A900" s="373" t="s">
        <v>22</v>
      </c>
      <c r="B900" s="184" t="s">
        <v>173</v>
      </c>
      <c r="C900" s="183" t="s">
        <v>16</v>
      </c>
      <c r="D900" s="179"/>
      <c r="E900" s="386" t="s">
        <v>503</v>
      </c>
      <c r="F900" s="373" t="s">
        <v>75</v>
      </c>
      <c r="G900" s="370" t="s">
        <v>435</v>
      </c>
      <c r="H900" s="387" t="s">
        <v>436</v>
      </c>
      <c r="I900" s="393" t="s">
        <v>1333</v>
      </c>
      <c r="J900" s="712">
        <v>45078</v>
      </c>
      <c r="K900" s="739">
        <v>0.47916666666666669</v>
      </c>
      <c r="L900" s="712">
        <v>45078</v>
      </c>
      <c r="M900" s="739">
        <v>0.60416666666666663</v>
      </c>
      <c r="N900" s="179">
        <v>3</v>
      </c>
      <c r="O900" s="184" t="s">
        <v>17</v>
      </c>
      <c r="P900" s="185" t="s">
        <v>1281</v>
      </c>
      <c r="Q900" s="746" t="s">
        <v>258</v>
      </c>
      <c r="R900" s="171" t="s">
        <v>81</v>
      </c>
      <c r="S900" s="31" t="s">
        <v>273</v>
      </c>
      <c r="T900" s="31" t="s">
        <v>273</v>
      </c>
      <c r="U900" s="31">
        <f>IFERROR(VLOOKUP(CONCATENATE(Tabla1[[#This Row],[Severidad]]," ",Tabla1[[#This Row],[Complejidad]]),Catalogos!E$120:G$128,3,FALSE),"")</f>
        <v>64</v>
      </c>
      <c r="V900" s="31" t="str">
        <f>IF(Tabla1[[#This Row],[Tiempo solución max (hrs)]]&lt;&gt;"",IF(Tabla1[[#This Row],[Tiempo solución max (hrs)]]&gt;=Tabla1[[#This Row],[Tiempo
(Hrs 00/100)]],"cumple","no cumple"),"")</f>
        <v>cumple</v>
      </c>
      <c r="W900" s="376" t="s">
        <v>1312</v>
      </c>
      <c r="X900" s="463" t="str">
        <f t="shared" si="105"/>
        <v>SAW</v>
      </c>
      <c r="Y900" s="459" t="str">
        <f>SUBSTITUTE(Tabla1[[#This Row],[Descripción]],CHAR(10),"    I    ")</f>
        <v xml:space="preserve">Actualización enlace pleno infantil 2023 </v>
      </c>
      <c r="Z900" s="464">
        <f>VLOOKUP(Tabla1[[#This Row],[Perfil]],Catalogos!$B$75:$D$100,3,FALSE)*Tabla1[[#This Row],[Tiempo
(Hrs 00/100)]]*1.16</f>
        <v>1739.9999999999998</v>
      </c>
    </row>
    <row r="901" spans="1:26" ht="15" customHeight="1" x14ac:dyDescent="0.3">
      <c r="A901" s="373" t="s">
        <v>22</v>
      </c>
      <c r="B901" s="184" t="s">
        <v>173</v>
      </c>
      <c r="C901" s="183" t="s">
        <v>16</v>
      </c>
      <c r="D901" s="179"/>
      <c r="E901" s="386" t="s">
        <v>503</v>
      </c>
      <c r="F901" s="373" t="s">
        <v>75</v>
      </c>
      <c r="G901" s="370" t="s">
        <v>435</v>
      </c>
      <c r="H901" s="387" t="s">
        <v>436</v>
      </c>
      <c r="I901" s="395" t="s">
        <v>1334</v>
      </c>
      <c r="J901" s="712">
        <v>45078</v>
      </c>
      <c r="K901" s="709">
        <v>0.66666666666666663</v>
      </c>
      <c r="L901" s="712">
        <v>45078</v>
      </c>
      <c r="M901" s="739">
        <v>0.79166666666666663</v>
      </c>
      <c r="N901" s="179">
        <v>3</v>
      </c>
      <c r="O901" s="184" t="s">
        <v>17</v>
      </c>
      <c r="P901" s="185" t="s">
        <v>1282</v>
      </c>
      <c r="Q901" s="746" t="s">
        <v>258</v>
      </c>
      <c r="R901" s="171" t="s">
        <v>81</v>
      </c>
      <c r="S901" s="31" t="s">
        <v>273</v>
      </c>
      <c r="T901" s="31" t="s">
        <v>273</v>
      </c>
      <c r="U901" s="31">
        <f>IFERROR(VLOOKUP(CONCATENATE(Tabla1[[#This Row],[Severidad]]," ",Tabla1[[#This Row],[Complejidad]]),Catalogos!E$120:G$128,3,FALSE),"")</f>
        <v>64</v>
      </c>
      <c r="V901" s="31" t="str">
        <f>IF(Tabla1[[#This Row],[Tiempo solución max (hrs)]]&lt;&gt;"",IF(Tabla1[[#This Row],[Tiempo solución max (hrs)]]&gt;=Tabla1[[#This Row],[Tiempo
(Hrs 00/100)]],"cumple","no cumple"),"")</f>
        <v>cumple</v>
      </c>
      <c r="W901" s="376" t="s">
        <v>1312</v>
      </c>
      <c r="X901" s="463" t="str">
        <f t="shared" si="105"/>
        <v>SAW</v>
      </c>
      <c r="Y901" s="459" t="str">
        <f>SUBSTITUTE(Tabla1[[#This Row],[Descripción]],CHAR(10),"    I    ")</f>
        <v xml:space="preserve">Actualización de avance de proyectos </v>
      </c>
      <c r="Z901" s="464">
        <f>VLOOKUP(Tabla1[[#This Row],[Perfil]],Catalogos!$B$75:$D$100,3,FALSE)*Tabla1[[#This Row],[Tiempo
(Hrs 00/100)]]*1.16</f>
        <v>1739.9999999999998</v>
      </c>
    </row>
    <row r="902" spans="1:26" ht="15" customHeight="1" x14ac:dyDescent="0.3">
      <c r="A902" s="373" t="s">
        <v>22</v>
      </c>
      <c r="B902" s="184" t="s">
        <v>173</v>
      </c>
      <c r="C902" s="183" t="s">
        <v>16</v>
      </c>
      <c r="D902" s="179"/>
      <c r="E902" s="386" t="s">
        <v>503</v>
      </c>
      <c r="F902" s="373" t="s">
        <v>75</v>
      </c>
      <c r="G902" s="370" t="s">
        <v>435</v>
      </c>
      <c r="H902" s="387" t="s">
        <v>436</v>
      </c>
      <c r="I902" s="394" t="s">
        <v>1283</v>
      </c>
      <c r="J902" s="712">
        <v>45079</v>
      </c>
      <c r="K902" s="747">
        <v>0.375</v>
      </c>
      <c r="L902" s="712">
        <v>45079</v>
      </c>
      <c r="M902" s="739">
        <v>0.5</v>
      </c>
      <c r="N902" s="179">
        <v>3</v>
      </c>
      <c r="O902" s="184" t="s">
        <v>17</v>
      </c>
      <c r="P902" s="185" t="s">
        <v>1284</v>
      </c>
      <c r="Q902" s="746" t="s">
        <v>258</v>
      </c>
      <c r="R902" s="171" t="s">
        <v>81</v>
      </c>
      <c r="S902" s="31" t="s">
        <v>273</v>
      </c>
      <c r="T902" s="31" t="s">
        <v>273</v>
      </c>
      <c r="U902" s="31">
        <f>IFERROR(VLOOKUP(CONCATENATE(Tabla1[[#This Row],[Severidad]]," ",Tabla1[[#This Row],[Complejidad]]),Catalogos!E$120:G$128,3,FALSE),"")</f>
        <v>64</v>
      </c>
      <c r="V902" s="31" t="str">
        <f>IF(Tabla1[[#This Row],[Tiempo solución max (hrs)]]&lt;&gt;"",IF(Tabla1[[#This Row],[Tiempo solución max (hrs)]]&gt;=Tabla1[[#This Row],[Tiempo
(Hrs 00/100)]],"cumple","no cumple"),"")</f>
        <v>cumple</v>
      </c>
      <c r="W902" s="376" t="s">
        <v>1312</v>
      </c>
      <c r="X902" s="463" t="str">
        <f t="shared" si="105"/>
        <v>SAW</v>
      </c>
      <c r="Y902" s="459" t="str">
        <f>SUBSTITUTE(Tabla1[[#This Row],[Descripción]],CHAR(10),"    I    ")</f>
        <v xml:space="preserve">Alta usuarios premio PDP </v>
      </c>
      <c r="Z902" s="464">
        <f>VLOOKUP(Tabla1[[#This Row],[Perfil]],Catalogos!$B$75:$D$100,3,FALSE)*Tabla1[[#This Row],[Tiempo
(Hrs 00/100)]]*1.16</f>
        <v>1739.9999999999998</v>
      </c>
    </row>
    <row r="903" spans="1:26" ht="15" customHeight="1" x14ac:dyDescent="0.3">
      <c r="A903" s="373" t="s">
        <v>22</v>
      </c>
      <c r="B903" s="184" t="s">
        <v>173</v>
      </c>
      <c r="C903" s="183" t="s">
        <v>16</v>
      </c>
      <c r="D903" s="179"/>
      <c r="E903" s="386" t="s">
        <v>503</v>
      </c>
      <c r="F903" s="373" t="s">
        <v>75</v>
      </c>
      <c r="G903" s="370" t="s">
        <v>435</v>
      </c>
      <c r="H903" s="387" t="s">
        <v>436</v>
      </c>
      <c r="I903" s="395" t="s">
        <v>1335</v>
      </c>
      <c r="J903" s="712">
        <v>45079</v>
      </c>
      <c r="K903" s="739">
        <v>0.5</v>
      </c>
      <c r="L903" s="712">
        <v>45079</v>
      </c>
      <c r="M903" s="739">
        <v>0.625</v>
      </c>
      <c r="N903" s="179">
        <v>3</v>
      </c>
      <c r="O903" s="184" t="s">
        <v>17</v>
      </c>
      <c r="P903" s="185" t="s">
        <v>1281</v>
      </c>
      <c r="Q903" s="746" t="s">
        <v>258</v>
      </c>
      <c r="R903" s="171" t="s">
        <v>81</v>
      </c>
      <c r="S903" s="31" t="s">
        <v>273</v>
      </c>
      <c r="T903" s="31" t="s">
        <v>273</v>
      </c>
      <c r="U903" s="31">
        <f>IFERROR(VLOOKUP(CONCATENATE(Tabla1[[#This Row],[Severidad]]," ",Tabla1[[#This Row],[Complejidad]]),Catalogos!E$120:G$128,3,FALSE),"")</f>
        <v>64</v>
      </c>
      <c r="V903" s="31" t="str">
        <f>IF(Tabla1[[#This Row],[Tiempo solución max (hrs)]]&lt;&gt;"",IF(Tabla1[[#This Row],[Tiempo solución max (hrs)]]&gt;=Tabla1[[#This Row],[Tiempo
(Hrs 00/100)]],"cumple","no cumple"),"")</f>
        <v>cumple</v>
      </c>
      <c r="W903" s="376" t="s">
        <v>1312</v>
      </c>
      <c r="X903" s="463" t="str">
        <f t="shared" si="105"/>
        <v>SAW</v>
      </c>
      <c r="Y903" s="459" t="str">
        <f>SUBSTITUTE(Tabla1[[#This Row],[Descripción]],CHAR(10),"    I    ")</f>
        <v xml:space="preserve">actualización pleno niños </v>
      </c>
      <c r="Z903" s="464">
        <f>VLOOKUP(Tabla1[[#This Row],[Perfil]],Catalogos!$B$75:$D$100,3,FALSE)*Tabla1[[#This Row],[Tiempo
(Hrs 00/100)]]*1.16</f>
        <v>1739.9999999999998</v>
      </c>
    </row>
    <row r="904" spans="1:26" ht="15" customHeight="1" x14ac:dyDescent="0.3">
      <c r="A904" s="373" t="s">
        <v>22</v>
      </c>
      <c r="B904" s="184" t="s">
        <v>173</v>
      </c>
      <c r="C904" s="183" t="s">
        <v>16</v>
      </c>
      <c r="D904" s="179"/>
      <c r="E904" s="386" t="s">
        <v>503</v>
      </c>
      <c r="F904" s="373" t="s">
        <v>75</v>
      </c>
      <c r="G904" s="370" t="s">
        <v>435</v>
      </c>
      <c r="H904" s="387" t="s">
        <v>436</v>
      </c>
      <c r="I904" s="395" t="s">
        <v>1336</v>
      </c>
      <c r="J904" s="712">
        <v>45082</v>
      </c>
      <c r="K904" s="747">
        <v>0.375</v>
      </c>
      <c r="L904" s="712">
        <v>45082</v>
      </c>
      <c r="M904" s="739">
        <v>0.5</v>
      </c>
      <c r="N904" s="179">
        <v>3</v>
      </c>
      <c r="O904" s="184" t="s">
        <v>17</v>
      </c>
      <c r="P904" s="454" t="s">
        <v>1285</v>
      </c>
      <c r="Q904" s="746" t="s">
        <v>258</v>
      </c>
      <c r="R904" s="171" t="s">
        <v>81</v>
      </c>
      <c r="S904" s="31" t="s">
        <v>273</v>
      </c>
      <c r="T904" s="31" t="s">
        <v>273</v>
      </c>
      <c r="U904" s="31">
        <f>IFERROR(VLOOKUP(CONCATENATE(Tabla1[[#This Row],[Severidad]]," ",Tabla1[[#This Row],[Complejidad]]),Catalogos!E$120:G$128,3,FALSE),"")</f>
        <v>64</v>
      </c>
      <c r="V904" s="31" t="str">
        <f>IF(Tabla1[[#This Row],[Tiempo solución max (hrs)]]&lt;&gt;"",IF(Tabla1[[#This Row],[Tiempo solución max (hrs)]]&gt;=Tabla1[[#This Row],[Tiempo
(Hrs 00/100)]],"cumple","no cumple"),"")</f>
        <v>cumple</v>
      </c>
      <c r="W904" s="376" t="s">
        <v>1312</v>
      </c>
      <c r="X904" s="463" t="str">
        <f t="shared" si="105"/>
        <v>SAW</v>
      </c>
      <c r="Y904" s="459" t="str">
        <f>SUBSTITUTE(Tabla1[[#This Row],[Descripción]],CHAR(10),"    I    ")</f>
        <v xml:space="preserve">actualización micrositio planeación </v>
      </c>
      <c r="Z904" s="464">
        <f>VLOOKUP(Tabla1[[#This Row],[Perfil]],Catalogos!$B$75:$D$100,3,FALSE)*Tabla1[[#This Row],[Tiempo
(Hrs 00/100)]]*1.16</f>
        <v>1739.9999999999998</v>
      </c>
    </row>
    <row r="905" spans="1:26" ht="15" customHeight="1" x14ac:dyDescent="0.3">
      <c r="A905" s="373" t="s">
        <v>22</v>
      </c>
      <c r="B905" s="184" t="s">
        <v>68</v>
      </c>
      <c r="C905" s="183" t="s">
        <v>16</v>
      </c>
      <c r="D905" s="370"/>
      <c r="E905" s="386" t="s">
        <v>503</v>
      </c>
      <c r="F905" s="373" t="s">
        <v>75</v>
      </c>
      <c r="G905" s="370" t="s">
        <v>435</v>
      </c>
      <c r="H905" s="387" t="s">
        <v>436</v>
      </c>
      <c r="I905" s="395" t="s">
        <v>1286</v>
      </c>
      <c r="J905" s="712">
        <v>45082</v>
      </c>
      <c r="K905" s="739">
        <v>0.5</v>
      </c>
      <c r="L905" s="712">
        <v>45082</v>
      </c>
      <c r="M905" s="739">
        <v>0.58333333333333337</v>
      </c>
      <c r="N905" s="179">
        <v>2</v>
      </c>
      <c r="O905" s="184" t="s">
        <v>17</v>
      </c>
      <c r="P905" s="185" t="s">
        <v>1287</v>
      </c>
      <c r="Q905" s="746" t="s">
        <v>258</v>
      </c>
      <c r="R905" s="171" t="s">
        <v>81</v>
      </c>
      <c r="S905" s="31" t="s">
        <v>273</v>
      </c>
      <c r="T905" s="31" t="s">
        <v>273</v>
      </c>
      <c r="U905" s="31">
        <f>IFERROR(VLOOKUP(CONCATENATE(Tabla1[[#This Row],[Severidad]]," ",Tabla1[[#This Row],[Complejidad]]),Catalogos!E$120:G$128,3,FALSE),"")</f>
        <v>64</v>
      </c>
      <c r="V905" s="31" t="str">
        <f>IF(Tabla1[[#This Row],[Tiempo solución max (hrs)]]&lt;&gt;"",IF(Tabla1[[#This Row],[Tiempo solución max (hrs)]]&gt;=Tabla1[[#This Row],[Tiempo
(Hrs 00/100)]],"cumple","no cumple"),"")</f>
        <v>cumple</v>
      </c>
      <c r="W905" s="376" t="s">
        <v>1312</v>
      </c>
      <c r="X905" s="463" t="str">
        <f t="shared" si="105"/>
        <v>SAW</v>
      </c>
      <c r="Y905" s="459" t="str">
        <f>SUBSTITUTE(Tabla1[[#This Row],[Descripción]],CHAR(10),"    I    ")</f>
        <v xml:space="preserve">carga publica </v>
      </c>
      <c r="Z905" s="464">
        <f>VLOOKUP(Tabla1[[#This Row],[Perfil]],Catalogos!$B$75:$D$100,3,FALSE)*Tabla1[[#This Row],[Tiempo
(Hrs 00/100)]]*1.16</f>
        <v>1160</v>
      </c>
    </row>
    <row r="906" spans="1:26" ht="15" customHeight="1" x14ac:dyDescent="0.3">
      <c r="A906" s="373" t="s">
        <v>22</v>
      </c>
      <c r="B906" s="184" t="s">
        <v>68</v>
      </c>
      <c r="C906" s="183" t="s">
        <v>16</v>
      </c>
      <c r="D906" s="370"/>
      <c r="E906" s="386" t="s">
        <v>503</v>
      </c>
      <c r="F906" s="373" t="s">
        <v>75</v>
      </c>
      <c r="G906" s="370" t="s">
        <v>435</v>
      </c>
      <c r="H906" s="387" t="s">
        <v>436</v>
      </c>
      <c r="I906" s="393" t="s">
        <v>1337</v>
      </c>
      <c r="J906" s="712">
        <v>45082</v>
      </c>
      <c r="K906" s="739">
        <v>0.58333333333333337</v>
      </c>
      <c r="L906" s="712">
        <v>45082</v>
      </c>
      <c r="M906" s="739">
        <v>0.79166666666666663</v>
      </c>
      <c r="N906" s="179">
        <v>3.5</v>
      </c>
      <c r="O906" s="184" t="s">
        <v>17</v>
      </c>
      <c r="P906" s="454" t="s">
        <v>1285</v>
      </c>
      <c r="Q906" s="746" t="s">
        <v>258</v>
      </c>
      <c r="R906" s="171" t="s">
        <v>81</v>
      </c>
      <c r="S906" s="31" t="s">
        <v>273</v>
      </c>
      <c r="T906" s="31" t="s">
        <v>273</v>
      </c>
      <c r="U906" s="31">
        <f>IFERROR(VLOOKUP(CONCATENATE(Tabla1[[#This Row],[Severidad]]," ",Tabla1[[#This Row],[Complejidad]]),Catalogos!E$120:G$128,3,FALSE),"")</f>
        <v>64</v>
      </c>
      <c r="V906" s="31" t="str">
        <f>IF(Tabla1[[#This Row],[Tiempo solución max (hrs)]]&lt;&gt;"",IF(Tabla1[[#This Row],[Tiempo solución max (hrs)]]&gt;=Tabla1[[#This Row],[Tiempo
(Hrs 00/100)]],"cumple","no cumple"),"")</f>
        <v>cumple</v>
      </c>
      <c r="W906" s="376" t="s">
        <v>1312</v>
      </c>
      <c r="X906" s="463" t="str">
        <f t="shared" si="105"/>
        <v>SAW</v>
      </c>
      <c r="Y906" s="459" t="str">
        <f>SUBSTITUTE(Tabla1[[#This Row],[Descripción]],CHAR(10),"    I    ")</f>
        <v xml:space="preserve">Revisión de accesos </v>
      </c>
      <c r="Z906" s="464">
        <f>VLOOKUP(Tabla1[[#This Row],[Perfil]],Catalogos!$B$75:$D$100,3,FALSE)*Tabla1[[#This Row],[Tiempo
(Hrs 00/100)]]*1.16</f>
        <v>2029.9999999999998</v>
      </c>
    </row>
    <row r="907" spans="1:26" ht="15" customHeight="1" x14ac:dyDescent="0.3">
      <c r="A907" s="373" t="s">
        <v>22</v>
      </c>
      <c r="B907" s="184" t="s">
        <v>68</v>
      </c>
      <c r="C907" s="183" t="s">
        <v>16</v>
      </c>
      <c r="D907" s="370"/>
      <c r="E907" s="386" t="s">
        <v>503</v>
      </c>
      <c r="F907" s="373" t="s">
        <v>75</v>
      </c>
      <c r="G907" s="370" t="s">
        <v>435</v>
      </c>
      <c r="H907" s="387" t="s">
        <v>436</v>
      </c>
      <c r="I907" s="393" t="s">
        <v>1338</v>
      </c>
      <c r="J907" s="712">
        <v>45083</v>
      </c>
      <c r="K907" s="747">
        <v>0.375</v>
      </c>
      <c r="L907" s="712">
        <v>45083</v>
      </c>
      <c r="M907" s="739">
        <v>0.4375</v>
      </c>
      <c r="N907" s="179">
        <v>1.5</v>
      </c>
      <c r="O907" s="184" t="s">
        <v>17</v>
      </c>
      <c r="P907" s="375" t="s">
        <v>1288</v>
      </c>
      <c r="Q907" s="746" t="s">
        <v>258</v>
      </c>
      <c r="R907" s="171" t="s">
        <v>81</v>
      </c>
      <c r="S907" s="31" t="s">
        <v>273</v>
      </c>
      <c r="T907" s="31" t="s">
        <v>273</v>
      </c>
      <c r="U907" s="31">
        <f>IFERROR(VLOOKUP(CONCATENATE(Tabla1[[#This Row],[Severidad]]," ",Tabla1[[#This Row],[Complejidad]]),Catalogos!E$120:G$128,3,FALSE),"")</f>
        <v>64</v>
      </c>
      <c r="V907" s="31" t="str">
        <f>IF(Tabla1[[#This Row],[Tiempo solución max (hrs)]]&lt;&gt;"",IF(Tabla1[[#This Row],[Tiempo solución max (hrs)]]&gt;=Tabla1[[#This Row],[Tiempo
(Hrs 00/100)]],"cumple","no cumple"),"")</f>
        <v>cumple</v>
      </c>
      <c r="W907" s="376" t="s">
        <v>1312</v>
      </c>
      <c r="X907" s="463" t="str">
        <f t="shared" si="105"/>
        <v>SAW</v>
      </c>
      <c r="Y907" s="459" t="str">
        <f>SUBSTITUTE(Tabla1[[#This Row],[Descripción]],CHAR(10),"    I    ")</f>
        <v>Modificación sitio DGPVS</v>
      </c>
      <c r="Z907" s="464">
        <f>VLOOKUP(Tabla1[[#This Row],[Perfil]],Catalogos!$B$75:$D$100,3,FALSE)*Tabla1[[#This Row],[Tiempo
(Hrs 00/100)]]*1.16</f>
        <v>869.99999999999989</v>
      </c>
    </row>
    <row r="908" spans="1:26" ht="15" customHeight="1" x14ac:dyDescent="0.3">
      <c r="A908" s="373" t="s">
        <v>22</v>
      </c>
      <c r="B908" s="184" t="s">
        <v>68</v>
      </c>
      <c r="C908" s="183" t="s">
        <v>16</v>
      </c>
      <c r="D908" s="179"/>
      <c r="E908" s="386" t="s">
        <v>503</v>
      </c>
      <c r="F908" s="373" t="s">
        <v>75</v>
      </c>
      <c r="G908" s="370" t="s">
        <v>435</v>
      </c>
      <c r="H908" s="387" t="s">
        <v>436</v>
      </c>
      <c r="I908" s="395" t="s">
        <v>1339</v>
      </c>
      <c r="J908" s="712">
        <v>45083</v>
      </c>
      <c r="K908" s="739">
        <v>0.4375</v>
      </c>
      <c r="L908" s="712">
        <v>45083</v>
      </c>
      <c r="M908" s="739">
        <v>0.60416666666666663</v>
      </c>
      <c r="N908" s="179">
        <v>4</v>
      </c>
      <c r="O908" s="184" t="s">
        <v>17</v>
      </c>
      <c r="P908" s="185" t="s">
        <v>1289</v>
      </c>
      <c r="Q908" s="746" t="s">
        <v>258</v>
      </c>
      <c r="R908" s="171" t="s">
        <v>81</v>
      </c>
      <c r="S908" s="31" t="s">
        <v>273</v>
      </c>
      <c r="T908" s="31" t="s">
        <v>273</v>
      </c>
      <c r="U908" s="31">
        <f>IFERROR(VLOOKUP(CONCATENATE(Tabla1[[#This Row],[Severidad]]," ",Tabla1[[#This Row],[Complejidad]]),Catalogos!E$120:G$128,3,FALSE),"")</f>
        <v>64</v>
      </c>
      <c r="V908" s="31" t="str">
        <f>IF(Tabla1[[#This Row],[Tiempo solución max (hrs)]]&lt;&gt;"",IF(Tabla1[[#This Row],[Tiempo solución max (hrs)]]&gt;=Tabla1[[#This Row],[Tiempo
(Hrs 00/100)]],"cumple","no cumple"),"")</f>
        <v>cumple</v>
      </c>
      <c r="W908" s="376" t="s">
        <v>1312</v>
      </c>
      <c r="X908" s="463" t="str">
        <f t="shared" si="105"/>
        <v>SAW</v>
      </c>
      <c r="Y908" s="459" t="str">
        <f>SUBSTITUTE(Tabla1[[#This Row],[Descripción]],CHAR(10),"    I    ")</f>
        <v xml:space="preserve">actualización pagina web </v>
      </c>
      <c r="Z908" s="464">
        <f>VLOOKUP(Tabla1[[#This Row],[Perfil]],Catalogos!$B$75:$D$100,3,FALSE)*Tabla1[[#This Row],[Tiempo
(Hrs 00/100)]]*1.16</f>
        <v>2320</v>
      </c>
    </row>
    <row r="909" spans="1:26" ht="15" customHeight="1" x14ac:dyDescent="0.3">
      <c r="A909" s="373" t="s">
        <v>22</v>
      </c>
      <c r="B909" s="184" t="s">
        <v>68</v>
      </c>
      <c r="C909" s="183" t="s">
        <v>16</v>
      </c>
      <c r="D909" s="179"/>
      <c r="E909" s="386" t="s">
        <v>503</v>
      </c>
      <c r="F909" s="373" t="s">
        <v>75</v>
      </c>
      <c r="G909" s="370" t="s">
        <v>435</v>
      </c>
      <c r="H909" s="387" t="s">
        <v>436</v>
      </c>
      <c r="I909" s="394" t="s">
        <v>1283</v>
      </c>
      <c r="J909" s="712">
        <v>45083</v>
      </c>
      <c r="K909" s="709">
        <v>0.66666666666666663</v>
      </c>
      <c r="L909" s="712">
        <v>45083</v>
      </c>
      <c r="M909" s="739">
        <v>0.79166666666666663</v>
      </c>
      <c r="N909" s="179">
        <v>3</v>
      </c>
      <c r="O909" s="184" t="s">
        <v>17</v>
      </c>
      <c r="P909" s="185" t="s">
        <v>1284</v>
      </c>
      <c r="Q909" s="746" t="s">
        <v>258</v>
      </c>
      <c r="R909" s="171" t="s">
        <v>81</v>
      </c>
      <c r="S909" s="31" t="s">
        <v>273</v>
      </c>
      <c r="T909" s="31" t="s">
        <v>273</v>
      </c>
      <c r="U909" s="31">
        <f>IFERROR(VLOOKUP(CONCATENATE(Tabla1[[#This Row],[Severidad]]," ",Tabla1[[#This Row],[Complejidad]]),Catalogos!E$120:G$128,3,FALSE),"")</f>
        <v>64</v>
      </c>
      <c r="V909" s="31" t="str">
        <f>IF(Tabla1[[#This Row],[Tiempo solución max (hrs)]]&lt;&gt;"",IF(Tabla1[[#This Row],[Tiempo solución max (hrs)]]&gt;=Tabla1[[#This Row],[Tiempo
(Hrs 00/100)]],"cumple","no cumple"),"")</f>
        <v>cumple</v>
      </c>
      <c r="W909" s="376" t="s">
        <v>1312</v>
      </c>
      <c r="X909" s="463" t="str">
        <f t="shared" si="105"/>
        <v>SAW</v>
      </c>
      <c r="Y909" s="459" t="str">
        <f>SUBSTITUTE(Tabla1[[#This Row],[Descripción]],CHAR(10),"    I    ")</f>
        <v xml:space="preserve">Alta usuarios premio PDP </v>
      </c>
      <c r="Z909" s="464">
        <f>VLOOKUP(Tabla1[[#This Row],[Perfil]],Catalogos!$B$75:$D$100,3,FALSE)*Tabla1[[#This Row],[Tiempo
(Hrs 00/100)]]*1.16</f>
        <v>1739.9999999999998</v>
      </c>
    </row>
    <row r="910" spans="1:26" ht="15" customHeight="1" x14ac:dyDescent="0.3">
      <c r="A910" s="373" t="s">
        <v>22</v>
      </c>
      <c r="B910" s="184" t="s">
        <v>68</v>
      </c>
      <c r="C910" s="183" t="s">
        <v>16</v>
      </c>
      <c r="D910" s="179"/>
      <c r="E910" s="386" t="s">
        <v>503</v>
      </c>
      <c r="F910" s="373" t="s">
        <v>75</v>
      </c>
      <c r="G910" s="370" t="s">
        <v>435</v>
      </c>
      <c r="H910" s="387" t="s">
        <v>436</v>
      </c>
      <c r="I910" s="388" t="s">
        <v>1340</v>
      </c>
      <c r="J910" s="712">
        <v>45084</v>
      </c>
      <c r="K910" s="747">
        <v>0.375</v>
      </c>
      <c r="L910" s="712">
        <v>45084</v>
      </c>
      <c r="M910" s="739">
        <v>0.52083333333333337</v>
      </c>
      <c r="N910" s="179">
        <v>3.5</v>
      </c>
      <c r="O910" s="184" t="s">
        <v>17</v>
      </c>
      <c r="P910" s="185" t="s">
        <v>1290</v>
      </c>
      <c r="Q910" s="746" t="s">
        <v>258</v>
      </c>
      <c r="R910" s="171" t="s">
        <v>81</v>
      </c>
      <c r="S910" s="31" t="s">
        <v>273</v>
      </c>
      <c r="T910" s="31" t="s">
        <v>273</v>
      </c>
      <c r="U910" s="31">
        <f>IFERROR(VLOOKUP(CONCATENATE(Tabla1[[#This Row],[Severidad]]," ",Tabla1[[#This Row],[Complejidad]]),Catalogos!E$120:G$128,3,FALSE),"")</f>
        <v>64</v>
      </c>
      <c r="V910" s="31" t="str">
        <f>IF(Tabla1[[#This Row],[Tiempo solución max (hrs)]]&lt;&gt;"",IF(Tabla1[[#This Row],[Tiempo solución max (hrs)]]&gt;=Tabla1[[#This Row],[Tiempo
(Hrs 00/100)]],"cumple","no cumple"),"")</f>
        <v>cumple</v>
      </c>
      <c r="W910" s="376" t="s">
        <v>1312</v>
      </c>
      <c r="X910" s="463" t="str">
        <f t="shared" si="105"/>
        <v>SAW</v>
      </c>
      <c r="Y910" s="459" t="str">
        <f>SUBSTITUTE(Tabla1[[#This Row],[Descripción]],CHAR(10),"    I    ")</f>
        <v>actualización micrositio comité de ética</v>
      </c>
      <c r="Z910" s="464">
        <f>VLOOKUP(Tabla1[[#This Row],[Perfil]],Catalogos!$B$75:$D$100,3,FALSE)*Tabla1[[#This Row],[Tiempo
(Hrs 00/100)]]*1.16</f>
        <v>2029.9999999999998</v>
      </c>
    </row>
    <row r="911" spans="1:26" ht="15" customHeight="1" x14ac:dyDescent="0.3">
      <c r="A911" s="373" t="s">
        <v>22</v>
      </c>
      <c r="B911" s="184" t="s">
        <v>68</v>
      </c>
      <c r="C911" s="183" t="s">
        <v>16</v>
      </c>
      <c r="D911" s="179"/>
      <c r="E911" s="386" t="s">
        <v>503</v>
      </c>
      <c r="F911" s="373" t="s">
        <v>75</v>
      </c>
      <c r="G911" s="370" t="s">
        <v>435</v>
      </c>
      <c r="H911" s="387" t="s">
        <v>436</v>
      </c>
      <c r="I911" s="395" t="s">
        <v>1341</v>
      </c>
      <c r="J911" s="712">
        <v>45084</v>
      </c>
      <c r="K911" s="739">
        <v>0.52083333333333337</v>
      </c>
      <c r="L911" s="712">
        <v>45084</v>
      </c>
      <c r="M911" s="739">
        <v>0.79166666666666663</v>
      </c>
      <c r="N911" s="179">
        <v>5</v>
      </c>
      <c r="O911" s="184" t="s">
        <v>17</v>
      </c>
      <c r="P911" s="185" t="s">
        <v>1291</v>
      </c>
      <c r="Q911" s="746" t="s">
        <v>258</v>
      </c>
      <c r="R911" s="171" t="s">
        <v>81</v>
      </c>
      <c r="S911" s="31" t="s">
        <v>273</v>
      </c>
      <c r="T911" s="31" t="s">
        <v>273</v>
      </c>
      <c r="U911" s="31">
        <f>IFERROR(VLOOKUP(CONCATENATE(Tabla1[[#This Row],[Severidad]]," ",Tabla1[[#This Row],[Complejidad]]),Catalogos!E$120:G$128,3,FALSE),"")</f>
        <v>64</v>
      </c>
      <c r="V911" s="31" t="str">
        <f>IF(Tabla1[[#This Row],[Tiempo solución max (hrs)]]&lt;&gt;"",IF(Tabla1[[#This Row],[Tiempo solución max (hrs)]]&gt;=Tabla1[[#This Row],[Tiempo
(Hrs 00/100)]],"cumple","no cumple"),"")</f>
        <v>cumple</v>
      </c>
      <c r="W911" s="376" t="s">
        <v>1312</v>
      </c>
      <c r="X911" s="463" t="str">
        <f t="shared" si="105"/>
        <v>SAW</v>
      </c>
      <c r="Y911" s="459" t="str">
        <f>SUBSTITUTE(Tabla1[[#This Row],[Descripción]],CHAR(10),"    I    ")</f>
        <v>actualización micrositio del CIT23</v>
      </c>
      <c r="Z911" s="464">
        <f>VLOOKUP(Tabla1[[#This Row],[Perfil]],Catalogos!$B$75:$D$100,3,FALSE)*Tabla1[[#This Row],[Tiempo
(Hrs 00/100)]]*1.16</f>
        <v>2900</v>
      </c>
    </row>
    <row r="912" spans="1:26" ht="15" customHeight="1" x14ac:dyDescent="0.3">
      <c r="A912" s="373" t="s">
        <v>22</v>
      </c>
      <c r="B912" s="184" t="s">
        <v>68</v>
      </c>
      <c r="C912" s="183" t="s">
        <v>16</v>
      </c>
      <c r="D912" s="179"/>
      <c r="E912" s="386" t="s">
        <v>503</v>
      </c>
      <c r="F912" s="373" t="s">
        <v>75</v>
      </c>
      <c r="G912" s="370" t="s">
        <v>435</v>
      </c>
      <c r="H912" s="387" t="s">
        <v>436</v>
      </c>
      <c r="I912" s="395" t="s">
        <v>1342</v>
      </c>
      <c r="J912" s="712">
        <v>45085</v>
      </c>
      <c r="K912" s="747">
        <v>0.375</v>
      </c>
      <c r="L912" s="712">
        <v>45085</v>
      </c>
      <c r="M912" s="739">
        <v>0.47916666666666669</v>
      </c>
      <c r="N912" s="179">
        <v>2.5</v>
      </c>
      <c r="O912" s="184" t="s">
        <v>17</v>
      </c>
      <c r="P912" s="185" t="s">
        <v>1281</v>
      </c>
      <c r="Q912" s="746" t="s">
        <v>258</v>
      </c>
      <c r="R912" s="171" t="s">
        <v>81</v>
      </c>
      <c r="S912" s="31" t="s">
        <v>273</v>
      </c>
      <c r="T912" s="31" t="s">
        <v>273</v>
      </c>
      <c r="U912" s="31">
        <f>IFERROR(VLOOKUP(CONCATENATE(Tabla1[[#This Row],[Severidad]]," ",Tabla1[[#This Row],[Complejidad]]),Catalogos!E$120:G$128,3,FALSE),"")</f>
        <v>64</v>
      </c>
      <c r="V912" s="31" t="str">
        <f>IF(Tabla1[[#This Row],[Tiempo solución max (hrs)]]&lt;&gt;"",IF(Tabla1[[#This Row],[Tiempo solución max (hrs)]]&gt;=Tabla1[[#This Row],[Tiempo
(Hrs 00/100)]],"cumple","no cumple"),"")</f>
        <v>cumple</v>
      </c>
      <c r="W912" s="376" t="s">
        <v>1312</v>
      </c>
      <c r="X912" s="463" t="str">
        <f t="shared" si="105"/>
        <v>SAW</v>
      </c>
      <c r="Y912" s="459" t="str">
        <f>SUBSTITUTE(Tabla1[[#This Row],[Descripción]],CHAR(10),"    I    ")</f>
        <v xml:space="preserve"> actualización fechas pleno niños </v>
      </c>
      <c r="Z912" s="464">
        <f>VLOOKUP(Tabla1[[#This Row],[Perfil]],Catalogos!$B$75:$D$100,3,FALSE)*Tabla1[[#This Row],[Tiempo
(Hrs 00/100)]]*1.16</f>
        <v>1450</v>
      </c>
    </row>
    <row r="913" spans="1:26" ht="15" customHeight="1" x14ac:dyDescent="0.3">
      <c r="A913" s="373" t="s">
        <v>22</v>
      </c>
      <c r="B913" s="184" t="s">
        <v>68</v>
      </c>
      <c r="C913" s="183" t="s">
        <v>16</v>
      </c>
      <c r="D913" s="179"/>
      <c r="E913" s="386" t="s">
        <v>503</v>
      </c>
      <c r="F913" s="373" t="s">
        <v>75</v>
      </c>
      <c r="G913" s="370" t="s">
        <v>435</v>
      </c>
      <c r="H913" s="387" t="s">
        <v>436</v>
      </c>
      <c r="I913" s="393" t="s">
        <v>1332</v>
      </c>
      <c r="J913" s="712">
        <v>45085</v>
      </c>
      <c r="K913" s="739">
        <v>0.47916666666666669</v>
      </c>
      <c r="L913" s="712">
        <v>45085</v>
      </c>
      <c r="M913" s="739">
        <v>0.60416666666666663</v>
      </c>
      <c r="N913" s="179">
        <v>3</v>
      </c>
      <c r="O913" s="184" t="s">
        <v>17</v>
      </c>
      <c r="P913" s="185" t="s">
        <v>1280</v>
      </c>
      <c r="Q913" s="746" t="s">
        <v>258</v>
      </c>
      <c r="R913" s="171" t="s">
        <v>81</v>
      </c>
      <c r="S913" s="31" t="s">
        <v>273</v>
      </c>
      <c r="T913" s="31" t="s">
        <v>273</v>
      </c>
      <c r="U913" s="31">
        <f>IFERROR(VLOOKUP(CONCATENATE(Tabla1[[#This Row],[Severidad]]," ",Tabla1[[#This Row],[Complejidad]]),Catalogos!E$120:G$128,3,FALSE),"")</f>
        <v>64</v>
      </c>
      <c r="V913" s="31" t="str">
        <f>IF(Tabla1[[#This Row],[Tiempo solución max (hrs)]]&lt;&gt;"",IF(Tabla1[[#This Row],[Tiempo solución max (hrs)]]&gt;=Tabla1[[#This Row],[Tiempo
(Hrs 00/100)]],"cumple","no cumple"),"")</f>
        <v>cumple</v>
      </c>
      <c r="W913" s="376" t="s">
        <v>1312</v>
      </c>
      <c r="X913" s="463" t="str">
        <f t="shared" si="105"/>
        <v>SAW</v>
      </c>
      <c r="Y913" s="459" t="str">
        <f>SUBSTITUTE(Tabla1[[#This Row],[Descripción]],CHAR(10),"    I    ")</f>
        <v xml:space="preserve">actualización gobierno abierto </v>
      </c>
      <c r="Z913" s="464">
        <f>VLOOKUP(Tabla1[[#This Row],[Perfil]],Catalogos!$B$75:$D$100,3,FALSE)*Tabla1[[#This Row],[Tiempo
(Hrs 00/100)]]*1.16</f>
        <v>1739.9999999999998</v>
      </c>
    </row>
    <row r="914" spans="1:26" ht="15" customHeight="1" x14ac:dyDescent="0.3">
      <c r="A914" s="373" t="s">
        <v>22</v>
      </c>
      <c r="B914" s="184" t="s">
        <v>68</v>
      </c>
      <c r="C914" s="183" t="s">
        <v>16</v>
      </c>
      <c r="D914" s="179"/>
      <c r="E914" s="386" t="s">
        <v>503</v>
      </c>
      <c r="F914" s="373" t="s">
        <v>75</v>
      </c>
      <c r="G914" s="370" t="s">
        <v>435</v>
      </c>
      <c r="H914" s="387" t="s">
        <v>436</v>
      </c>
      <c r="I914" s="395" t="s">
        <v>1343</v>
      </c>
      <c r="J914" s="712">
        <v>45085</v>
      </c>
      <c r="K914" s="709">
        <v>0.66666666666666663</v>
      </c>
      <c r="L914" s="712">
        <v>45085</v>
      </c>
      <c r="M914" s="739">
        <v>0.79166666666666663</v>
      </c>
      <c r="N914" s="179">
        <v>3</v>
      </c>
      <c r="O914" s="184" t="s">
        <v>17</v>
      </c>
      <c r="P914" s="375" t="s">
        <v>1292</v>
      </c>
      <c r="Q914" s="746" t="s">
        <v>258</v>
      </c>
      <c r="R914" s="171" t="s">
        <v>81</v>
      </c>
      <c r="S914" s="31" t="s">
        <v>273</v>
      </c>
      <c r="T914" s="31" t="s">
        <v>273</v>
      </c>
      <c r="U914" s="31">
        <f>IFERROR(VLOOKUP(CONCATENATE(Tabla1[[#This Row],[Severidad]]," ",Tabla1[[#This Row],[Complejidad]]),Catalogos!E$120:G$128,3,FALSE),"")</f>
        <v>64</v>
      </c>
      <c r="V914" s="31" t="str">
        <f>IF(Tabla1[[#This Row],[Tiempo solución max (hrs)]]&lt;&gt;"",IF(Tabla1[[#This Row],[Tiempo solución max (hrs)]]&gt;=Tabla1[[#This Row],[Tiempo
(Hrs 00/100)]],"cumple","no cumple"),"")</f>
        <v>cumple</v>
      </c>
      <c r="W914" s="376" t="s">
        <v>1312</v>
      </c>
      <c r="X914" s="463" t="str">
        <f t="shared" si="105"/>
        <v>SAW</v>
      </c>
      <c r="Y914" s="459" t="str">
        <f>SUBSTITUTE(Tabla1[[#This Row],[Descripción]],CHAR(10),"    I    ")</f>
        <v xml:space="preserve">actualización avance de proyecto </v>
      </c>
      <c r="Z914" s="464">
        <f>VLOOKUP(Tabla1[[#This Row],[Perfil]],Catalogos!$B$75:$D$100,3,FALSE)*Tabla1[[#This Row],[Tiempo
(Hrs 00/100)]]*1.16</f>
        <v>1739.9999999999998</v>
      </c>
    </row>
    <row r="915" spans="1:26" ht="15" customHeight="1" x14ac:dyDescent="0.3">
      <c r="A915" s="373" t="s">
        <v>22</v>
      </c>
      <c r="B915" s="184" t="s">
        <v>68</v>
      </c>
      <c r="C915" s="183" t="s">
        <v>16</v>
      </c>
      <c r="D915" s="179"/>
      <c r="E915" s="386" t="s">
        <v>503</v>
      </c>
      <c r="F915" s="373" t="s">
        <v>75</v>
      </c>
      <c r="G915" s="370" t="s">
        <v>435</v>
      </c>
      <c r="H915" s="387" t="s">
        <v>436</v>
      </c>
      <c r="I915" s="393" t="s">
        <v>1338</v>
      </c>
      <c r="J915" s="712">
        <v>45086</v>
      </c>
      <c r="K915" s="747">
        <v>0.375</v>
      </c>
      <c r="L915" s="712">
        <v>45086</v>
      </c>
      <c r="M915" s="739">
        <v>0.5</v>
      </c>
      <c r="N915" s="179">
        <v>3</v>
      </c>
      <c r="O915" s="184" t="s">
        <v>17</v>
      </c>
      <c r="P915" s="375" t="s">
        <v>1288</v>
      </c>
      <c r="Q915" s="746" t="s">
        <v>258</v>
      </c>
      <c r="R915" s="171" t="s">
        <v>81</v>
      </c>
      <c r="S915" s="31" t="s">
        <v>273</v>
      </c>
      <c r="T915" s="31" t="s">
        <v>273</v>
      </c>
      <c r="U915" s="31">
        <f>IFERROR(VLOOKUP(CONCATENATE(Tabla1[[#This Row],[Severidad]]," ",Tabla1[[#This Row],[Complejidad]]),Catalogos!E$120:G$128,3,FALSE),"")</f>
        <v>64</v>
      </c>
      <c r="V915" s="31" t="str">
        <f>IF(Tabla1[[#This Row],[Tiempo solución max (hrs)]]&lt;&gt;"",IF(Tabla1[[#This Row],[Tiempo solución max (hrs)]]&gt;=Tabla1[[#This Row],[Tiempo
(Hrs 00/100)]],"cumple","no cumple"),"")</f>
        <v>cumple</v>
      </c>
      <c r="W915" s="376" t="s">
        <v>1312</v>
      </c>
      <c r="X915" s="463" t="str">
        <f t="shared" si="105"/>
        <v>SAW</v>
      </c>
      <c r="Y915" s="459" t="str">
        <f>SUBSTITUTE(Tabla1[[#This Row],[Descripción]],CHAR(10),"    I    ")</f>
        <v>Modificación sitio DGPVS</v>
      </c>
      <c r="Z915" s="464">
        <f>VLOOKUP(Tabla1[[#This Row],[Perfil]],Catalogos!$B$75:$D$100,3,FALSE)*Tabla1[[#This Row],[Tiempo
(Hrs 00/100)]]*1.16</f>
        <v>1739.9999999999998</v>
      </c>
    </row>
    <row r="916" spans="1:26" ht="15" customHeight="1" x14ac:dyDescent="0.3">
      <c r="A916" s="373" t="s">
        <v>22</v>
      </c>
      <c r="B916" s="184" t="s">
        <v>68</v>
      </c>
      <c r="C916" s="183" t="s">
        <v>16</v>
      </c>
      <c r="D916" s="179"/>
      <c r="E916" s="386" t="s">
        <v>503</v>
      </c>
      <c r="F916" s="373" t="s">
        <v>75</v>
      </c>
      <c r="G916" s="370" t="s">
        <v>435</v>
      </c>
      <c r="H916" s="387" t="s">
        <v>436</v>
      </c>
      <c r="I916" s="395" t="s">
        <v>1344</v>
      </c>
      <c r="J916" s="712">
        <v>45086</v>
      </c>
      <c r="K916" s="739">
        <v>0.5</v>
      </c>
      <c r="L916" s="712">
        <v>45086</v>
      </c>
      <c r="M916" s="739">
        <v>0.625</v>
      </c>
      <c r="N916" s="179">
        <v>3</v>
      </c>
      <c r="O916" s="184" t="s">
        <v>17</v>
      </c>
      <c r="P916" s="185" t="s">
        <v>1287</v>
      </c>
      <c r="Q916" s="746" t="s">
        <v>258</v>
      </c>
      <c r="R916" s="171" t="s">
        <v>81</v>
      </c>
      <c r="S916" s="31" t="s">
        <v>273</v>
      </c>
      <c r="T916" s="31" t="s">
        <v>273</v>
      </c>
      <c r="U916" s="31">
        <f>IFERROR(VLOOKUP(CONCATENATE(Tabla1[[#This Row],[Severidad]]," ",Tabla1[[#This Row],[Complejidad]]),Catalogos!E$120:G$128,3,FALSE),"")</f>
        <v>64</v>
      </c>
      <c r="V916" s="31" t="str">
        <f>IF(Tabla1[[#This Row],[Tiempo solución max (hrs)]]&lt;&gt;"",IF(Tabla1[[#This Row],[Tiempo solución max (hrs)]]&gt;=Tabla1[[#This Row],[Tiempo
(Hrs 00/100)]],"cumple","no cumple"),"")</f>
        <v>cumple</v>
      </c>
      <c r="W916" s="376" t="s">
        <v>1312</v>
      </c>
      <c r="X916" s="463" t="str">
        <f t="shared" ref="X916:X947" si="106">IF(C916&lt;&gt;"",C916,D916)</f>
        <v>SAW</v>
      </c>
      <c r="Y916" s="459" t="str">
        <f>SUBSTITUTE(Tabla1[[#This Row],[Descripción]],CHAR(10),"    I    ")</f>
        <v xml:space="preserve">actualización carga publica </v>
      </c>
      <c r="Z916" s="464">
        <f>VLOOKUP(Tabla1[[#This Row],[Perfil]],Catalogos!$B$75:$D$100,3,FALSE)*Tabla1[[#This Row],[Tiempo
(Hrs 00/100)]]*1.16</f>
        <v>1739.9999999999998</v>
      </c>
    </row>
    <row r="917" spans="1:26" ht="15" customHeight="1" x14ac:dyDescent="0.3">
      <c r="A917" s="373" t="s">
        <v>22</v>
      </c>
      <c r="B917" s="184" t="s">
        <v>68</v>
      </c>
      <c r="C917" s="183" t="s">
        <v>16</v>
      </c>
      <c r="D917" s="370"/>
      <c r="E917" s="386" t="s">
        <v>503</v>
      </c>
      <c r="F917" s="373" t="s">
        <v>75</v>
      </c>
      <c r="G917" s="370" t="s">
        <v>435</v>
      </c>
      <c r="H917" s="387" t="s">
        <v>436</v>
      </c>
      <c r="I917" s="395" t="s">
        <v>1342</v>
      </c>
      <c r="J917" s="712">
        <v>45089</v>
      </c>
      <c r="K917" s="709">
        <v>0.375</v>
      </c>
      <c r="L917" s="712">
        <v>45089</v>
      </c>
      <c r="M917" s="739">
        <v>0.4375</v>
      </c>
      <c r="N917" s="179">
        <v>1.5</v>
      </c>
      <c r="O917" s="184" t="s">
        <v>17</v>
      </c>
      <c r="P917" s="389" t="s">
        <v>1281</v>
      </c>
      <c r="Q917" s="746" t="s">
        <v>258</v>
      </c>
      <c r="R917" s="171" t="s">
        <v>81</v>
      </c>
      <c r="S917" s="31" t="s">
        <v>273</v>
      </c>
      <c r="T917" s="31" t="s">
        <v>273</v>
      </c>
      <c r="U917" s="31">
        <f>IFERROR(VLOOKUP(CONCATENATE(Tabla1[[#This Row],[Severidad]]," ",Tabla1[[#This Row],[Complejidad]]),Catalogos!E$120:G$128,3,FALSE),"")</f>
        <v>64</v>
      </c>
      <c r="V917" s="31" t="str">
        <f>IF(Tabla1[[#This Row],[Tiempo solución max (hrs)]]&lt;&gt;"",IF(Tabla1[[#This Row],[Tiempo solución max (hrs)]]&gt;=Tabla1[[#This Row],[Tiempo
(Hrs 00/100)]],"cumple","no cumple"),"")</f>
        <v>cumple</v>
      </c>
      <c r="W917" s="376" t="s">
        <v>1312</v>
      </c>
      <c r="X917" s="463" t="str">
        <f t="shared" si="106"/>
        <v>SAW</v>
      </c>
      <c r="Y917" s="459" t="str">
        <f>SUBSTITUTE(Tabla1[[#This Row],[Descripción]],CHAR(10),"    I    ")</f>
        <v xml:space="preserve"> actualización fechas pleno niños </v>
      </c>
      <c r="Z917" s="464">
        <f>VLOOKUP(Tabla1[[#This Row],[Perfil]],Catalogos!$B$75:$D$100,3,FALSE)*Tabla1[[#This Row],[Tiempo
(Hrs 00/100)]]*1.16</f>
        <v>869.99999999999989</v>
      </c>
    </row>
    <row r="918" spans="1:26" ht="15" customHeight="1" x14ac:dyDescent="0.3">
      <c r="A918" s="373" t="s">
        <v>22</v>
      </c>
      <c r="B918" s="184" t="s">
        <v>68</v>
      </c>
      <c r="C918" s="183" t="s">
        <v>16</v>
      </c>
      <c r="D918" s="370"/>
      <c r="E918" s="386" t="s">
        <v>503</v>
      </c>
      <c r="F918" s="373" t="s">
        <v>75</v>
      </c>
      <c r="G918" s="370" t="s">
        <v>435</v>
      </c>
      <c r="H918" s="387" t="s">
        <v>436</v>
      </c>
      <c r="I918" s="393" t="s">
        <v>1345</v>
      </c>
      <c r="J918" s="712">
        <v>45089</v>
      </c>
      <c r="K918" s="739">
        <v>0.4375</v>
      </c>
      <c r="L918" s="712">
        <v>45089</v>
      </c>
      <c r="M918" s="739">
        <v>0.60416666666666663</v>
      </c>
      <c r="N918" s="179">
        <v>4</v>
      </c>
      <c r="O918" s="184" t="s">
        <v>17</v>
      </c>
      <c r="P918" s="367" t="s">
        <v>1289</v>
      </c>
      <c r="Q918" s="746" t="s">
        <v>258</v>
      </c>
      <c r="R918" s="171" t="s">
        <v>81</v>
      </c>
      <c r="S918" s="31" t="s">
        <v>273</v>
      </c>
      <c r="T918" s="31" t="s">
        <v>273</v>
      </c>
      <c r="U918" s="31">
        <f>IFERROR(VLOOKUP(CONCATENATE(Tabla1[[#This Row],[Severidad]]," ",Tabla1[[#This Row],[Complejidad]]),Catalogos!E$120:G$128,3,FALSE),"")</f>
        <v>64</v>
      </c>
      <c r="V918" s="31" t="str">
        <f>IF(Tabla1[[#This Row],[Tiempo solución max (hrs)]]&lt;&gt;"",IF(Tabla1[[#This Row],[Tiempo solución max (hrs)]]&gt;=Tabla1[[#This Row],[Tiempo
(Hrs 00/100)]],"cumple","no cumple"),"")</f>
        <v>cumple</v>
      </c>
      <c r="W918" s="376" t="s">
        <v>1312</v>
      </c>
      <c r="X918" s="463" t="str">
        <f t="shared" si="106"/>
        <v>SAW</v>
      </c>
      <c r="Y918" s="459" t="str">
        <f>SUBSTITUTE(Tabla1[[#This Row],[Descripción]],CHAR(10),"    I    ")</f>
        <v xml:space="preserve">actualización consultivo </v>
      </c>
      <c r="Z918" s="464">
        <f>VLOOKUP(Tabla1[[#This Row],[Perfil]],Catalogos!$B$75:$D$100,3,FALSE)*Tabla1[[#This Row],[Tiempo
(Hrs 00/100)]]*1.16</f>
        <v>2320</v>
      </c>
    </row>
    <row r="919" spans="1:26" ht="15" customHeight="1" x14ac:dyDescent="0.3">
      <c r="A919" s="373" t="s">
        <v>22</v>
      </c>
      <c r="B919" s="184" t="s">
        <v>68</v>
      </c>
      <c r="C919" s="183" t="s">
        <v>16</v>
      </c>
      <c r="D919" s="179"/>
      <c r="E919" s="386" t="s">
        <v>503</v>
      </c>
      <c r="F919" s="373" t="s">
        <v>75</v>
      </c>
      <c r="G919" s="370" t="s">
        <v>435</v>
      </c>
      <c r="H919" s="387" t="s">
        <v>436</v>
      </c>
      <c r="I919" s="393" t="s">
        <v>1339</v>
      </c>
      <c r="J919" s="712">
        <v>45089</v>
      </c>
      <c r="K919" s="709">
        <v>0.66666666666666663</v>
      </c>
      <c r="L919" s="712">
        <v>45089</v>
      </c>
      <c r="M919" s="739">
        <v>0.79166666666666663</v>
      </c>
      <c r="N919" s="179">
        <v>3</v>
      </c>
      <c r="O919" s="184" t="s">
        <v>17</v>
      </c>
      <c r="P919" s="398" t="s">
        <v>1289</v>
      </c>
      <c r="Q919" s="746" t="s">
        <v>258</v>
      </c>
      <c r="R919" s="171" t="s">
        <v>81</v>
      </c>
      <c r="S919" s="31" t="s">
        <v>273</v>
      </c>
      <c r="T919" s="31" t="s">
        <v>273</v>
      </c>
      <c r="U919" s="31">
        <f>IFERROR(VLOOKUP(CONCATENATE(Tabla1[[#This Row],[Severidad]]," ",Tabla1[[#This Row],[Complejidad]]),Catalogos!E$120:G$128,3,FALSE),"")</f>
        <v>64</v>
      </c>
      <c r="V919" s="31" t="str">
        <f>IF(Tabla1[[#This Row],[Tiempo solución max (hrs)]]&lt;&gt;"",IF(Tabla1[[#This Row],[Tiempo solución max (hrs)]]&gt;=Tabla1[[#This Row],[Tiempo
(Hrs 00/100)]],"cumple","no cumple"),"")</f>
        <v>cumple</v>
      </c>
      <c r="W919" s="376" t="s">
        <v>1312</v>
      </c>
      <c r="X919" s="463" t="str">
        <f t="shared" si="106"/>
        <v>SAW</v>
      </c>
      <c r="Y919" s="459" t="str">
        <f>SUBSTITUTE(Tabla1[[#This Row],[Descripción]],CHAR(10),"    I    ")</f>
        <v xml:space="preserve">actualización pagina web </v>
      </c>
      <c r="Z919" s="464">
        <f>VLOOKUP(Tabla1[[#This Row],[Perfil]],Catalogos!$B$75:$D$100,3,FALSE)*Tabla1[[#This Row],[Tiempo
(Hrs 00/100)]]*1.16</f>
        <v>1739.9999999999998</v>
      </c>
    </row>
    <row r="920" spans="1:26" ht="15" customHeight="1" x14ac:dyDescent="0.3">
      <c r="A920" s="373" t="s">
        <v>22</v>
      </c>
      <c r="B920" s="184" t="s">
        <v>68</v>
      </c>
      <c r="C920" s="183" t="s">
        <v>16</v>
      </c>
      <c r="D920" s="179"/>
      <c r="E920" s="386" t="s">
        <v>503</v>
      </c>
      <c r="F920" s="373" t="s">
        <v>75</v>
      </c>
      <c r="G920" s="370" t="s">
        <v>435</v>
      </c>
      <c r="H920" s="387" t="s">
        <v>436</v>
      </c>
      <c r="I920" s="393" t="s">
        <v>1333</v>
      </c>
      <c r="J920" s="712">
        <v>45090</v>
      </c>
      <c r="K920" s="709">
        <v>0.375</v>
      </c>
      <c r="L920" s="712">
        <v>45090</v>
      </c>
      <c r="M920" s="739">
        <v>0.5</v>
      </c>
      <c r="N920" s="179">
        <v>3</v>
      </c>
      <c r="O920" s="184" t="s">
        <v>17</v>
      </c>
      <c r="P920" s="185" t="s">
        <v>1281</v>
      </c>
      <c r="Q920" s="746" t="s">
        <v>258</v>
      </c>
      <c r="R920" s="171" t="s">
        <v>81</v>
      </c>
      <c r="S920" s="31" t="s">
        <v>273</v>
      </c>
      <c r="T920" s="31" t="s">
        <v>273</v>
      </c>
      <c r="U920" s="31">
        <f>IFERROR(VLOOKUP(CONCATENATE(Tabla1[[#This Row],[Severidad]]," ",Tabla1[[#This Row],[Complejidad]]),Catalogos!E$120:G$128,3,FALSE),"")</f>
        <v>64</v>
      </c>
      <c r="V920" s="31" t="str">
        <f>IF(Tabla1[[#This Row],[Tiempo solución max (hrs)]]&lt;&gt;"",IF(Tabla1[[#This Row],[Tiempo solución max (hrs)]]&gt;=Tabla1[[#This Row],[Tiempo
(Hrs 00/100)]],"cumple","no cumple"),"")</f>
        <v>cumple</v>
      </c>
      <c r="W920" s="376" t="s">
        <v>1312</v>
      </c>
      <c r="X920" s="463" t="str">
        <f t="shared" si="106"/>
        <v>SAW</v>
      </c>
      <c r="Y920" s="459" t="str">
        <f>SUBSTITUTE(Tabla1[[#This Row],[Descripción]],CHAR(10),"    I    ")</f>
        <v xml:space="preserve">Actualización enlace pleno infantil 2023 </v>
      </c>
      <c r="Z920" s="464">
        <f>VLOOKUP(Tabla1[[#This Row],[Perfil]],Catalogos!$B$75:$D$100,3,FALSE)*Tabla1[[#This Row],[Tiempo
(Hrs 00/100)]]*1.16</f>
        <v>1739.9999999999998</v>
      </c>
    </row>
    <row r="921" spans="1:26" ht="15" customHeight="1" x14ac:dyDescent="0.3">
      <c r="A921" s="373" t="s">
        <v>22</v>
      </c>
      <c r="B921" s="184" t="s">
        <v>68</v>
      </c>
      <c r="C921" s="183" t="s">
        <v>16</v>
      </c>
      <c r="D921" s="179"/>
      <c r="E921" s="386" t="s">
        <v>503</v>
      </c>
      <c r="F921" s="373" t="s">
        <v>75</v>
      </c>
      <c r="G921" s="370" t="s">
        <v>435</v>
      </c>
      <c r="H921" s="387" t="s">
        <v>436</v>
      </c>
      <c r="I921" s="400" t="s">
        <v>1346</v>
      </c>
      <c r="J921" s="712">
        <v>45090</v>
      </c>
      <c r="K921" s="739">
        <v>0.5</v>
      </c>
      <c r="L921" s="712">
        <v>45090</v>
      </c>
      <c r="M921" s="739">
        <v>0.79166666666666663</v>
      </c>
      <c r="N921" s="179">
        <v>5.5</v>
      </c>
      <c r="O921" s="184" t="s">
        <v>17</v>
      </c>
      <c r="P921" s="399" t="s">
        <v>1293</v>
      </c>
      <c r="Q921" s="746" t="s">
        <v>258</v>
      </c>
      <c r="R921" s="171" t="s">
        <v>81</v>
      </c>
      <c r="S921" s="31" t="s">
        <v>273</v>
      </c>
      <c r="T921" s="31" t="s">
        <v>273</v>
      </c>
      <c r="U921" s="31">
        <f>IFERROR(VLOOKUP(CONCATENATE(Tabla1[[#This Row],[Severidad]]," ",Tabla1[[#This Row],[Complejidad]]),Catalogos!E$120:G$128,3,FALSE),"")</f>
        <v>64</v>
      </c>
      <c r="V921" s="31" t="str">
        <f>IF(Tabla1[[#This Row],[Tiempo solución max (hrs)]]&lt;&gt;"",IF(Tabla1[[#This Row],[Tiempo solución max (hrs)]]&gt;=Tabla1[[#This Row],[Tiempo
(Hrs 00/100)]],"cumple","no cumple"),"")</f>
        <v>cumple</v>
      </c>
      <c r="W921" s="376" t="s">
        <v>1312</v>
      </c>
      <c r="X921" s="463" t="str">
        <f t="shared" si="106"/>
        <v>SAW</v>
      </c>
      <c r="Y921" s="459" t="str">
        <f>SUBSTITUTE(Tabla1[[#This Row],[Descripción]],CHAR(10),"    I    ")</f>
        <v xml:space="preserve">actualización eventos </v>
      </c>
      <c r="Z921" s="464">
        <f>VLOOKUP(Tabla1[[#This Row],[Perfil]],Catalogos!$B$75:$D$100,3,FALSE)*Tabla1[[#This Row],[Tiempo
(Hrs 00/100)]]*1.16</f>
        <v>3190</v>
      </c>
    </row>
    <row r="922" spans="1:26" ht="15" customHeight="1" x14ac:dyDescent="0.3">
      <c r="A922" s="373" t="s">
        <v>22</v>
      </c>
      <c r="B922" s="184" t="s">
        <v>68</v>
      </c>
      <c r="C922" s="183" t="s">
        <v>16</v>
      </c>
      <c r="D922" s="179"/>
      <c r="E922" s="386" t="s">
        <v>503</v>
      </c>
      <c r="F922" s="373" t="s">
        <v>75</v>
      </c>
      <c r="G922" s="370" t="s">
        <v>435</v>
      </c>
      <c r="H922" s="387" t="s">
        <v>436</v>
      </c>
      <c r="I922" s="388" t="s">
        <v>1340</v>
      </c>
      <c r="J922" s="712">
        <v>45091</v>
      </c>
      <c r="K922" s="709">
        <v>0.375</v>
      </c>
      <c r="L922" s="712">
        <v>45091</v>
      </c>
      <c r="M922" s="739">
        <v>0.45833333333333331</v>
      </c>
      <c r="N922" s="179">
        <v>2</v>
      </c>
      <c r="O922" s="184" t="s">
        <v>17</v>
      </c>
      <c r="P922" s="389" t="s">
        <v>1290</v>
      </c>
      <c r="Q922" s="746" t="s">
        <v>258</v>
      </c>
      <c r="R922" s="171" t="s">
        <v>81</v>
      </c>
      <c r="S922" s="31" t="s">
        <v>273</v>
      </c>
      <c r="T922" s="31" t="s">
        <v>273</v>
      </c>
      <c r="U922" s="31">
        <f>IFERROR(VLOOKUP(CONCATENATE(Tabla1[[#This Row],[Severidad]]," ",Tabla1[[#This Row],[Complejidad]]),Catalogos!E$120:G$128,3,FALSE),"")</f>
        <v>64</v>
      </c>
      <c r="V922" s="31" t="str">
        <f>IF(Tabla1[[#This Row],[Tiempo solución max (hrs)]]&lt;&gt;"",IF(Tabla1[[#This Row],[Tiempo solución max (hrs)]]&gt;=Tabla1[[#This Row],[Tiempo
(Hrs 00/100)]],"cumple","no cumple"),"")</f>
        <v>cumple</v>
      </c>
      <c r="W922" s="376" t="s">
        <v>1312</v>
      </c>
      <c r="X922" s="463" t="str">
        <f t="shared" si="106"/>
        <v>SAW</v>
      </c>
      <c r="Y922" s="459" t="str">
        <f>SUBSTITUTE(Tabla1[[#This Row],[Descripción]],CHAR(10),"    I    ")</f>
        <v>actualización micrositio comité de ética</v>
      </c>
      <c r="Z922" s="464">
        <f>VLOOKUP(Tabla1[[#This Row],[Perfil]],Catalogos!$B$75:$D$100,3,FALSE)*Tabla1[[#This Row],[Tiempo
(Hrs 00/100)]]*1.16</f>
        <v>1160</v>
      </c>
    </row>
    <row r="923" spans="1:26" ht="15" customHeight="1" x14ac:dyDescent="0.3">
      <c r="A923" s="373" t="s">
        <v>22</v>
      </c>
      <c r="B923" s="184" t="s">
        <v>68</v>
      </c>
      <c r="C923" s="183" t="s">
        <v>16</v>
      </c>
      <c r="D923" s="179"/>
      <c r="E923" s="386" t="s">
        <v>503</v>
      </c>
      <c r="F923" s="373" t="s">
        <v>75</v>
      </c>
      <c r="G923" s="370" t="s">
        <v>435</v>
      </c>
      <c r="H923" s="387" t="s">
        <v>436</v>
      </c>
      <c r="I923" s="395" t="s">
        <v>1336</v>
      </c>
      <c r="J923" s="712">
        <v>45091</v>
      </c>
      <c r="K923" s="739">
        <v>0.45833333333333331</v>
      </c>
      <c r="L923" s="712">
        <v>45091</v>
      </c>
      <c r="M923" s="739">
        <v>0.6875</v>
      </c>
      <c r="N923" s="179">
        <v>4</v>
      </c>
      <c r="O923" s="184" t="s">
        <v>17</v>
      </c>
      <c r="P923" s="454" t="s">
        <v>1285</v>
      </c>
      <c r="Q923" s="746" t="s">
        <v>258</v>
      </c>
      <c r="R923" s="171" t="s">
        <v>81</v>
      </c>
      <c r="S923" s="31" t="s">
        <v>273</v>
      </c>
      <c r="T923" s="31" t="s">
        <v>273</v>
      </c>
      <c r="U923" s="31">
        <f>IFERROR(VLOOKUP(CONCATENATE(Tabla1[[#This Row],[Severidad]]," ",Tabla1[[#This Row],[Complejidad]]),Catalogos!E$120:G$128,3,FALSE),"")</f>
        <v>64</v>
      </c>
      <c r="V923" s="31" t="str">
        <f>IF(Tabla1[[#This Row],[Tiempo solución max (hrs)]]&lt;&gt;"",IF(Tabla1[[#This Row],[Tiempo solución max (hrs)]]&gt;=Tabla1[[#This Row],[Tiempo
(Hrs 00/100)]],"cumple","no cumple"),"")</f>
        <v>cumple</v>
      </c>
      <c r="W923" s="376" t="s">
        <v>1312</v>
      </c>
      <c r="X923" s="463" t="str">
        <f t="shared" si="106"/>
        <v>SAW</v>
      </c>
      <c r="Y923" s="459" t="str">
        <f>SUBSTITUTE(Tabla1[[#This Row],[Descripción]],CHAR(10),"    I    ")</f>
        <v xml:space="preserve">actualización micrositio planeación </v>
      </c>
      <c r="Z923" s="464">
        <f>VLOOKUP(Tabla1[[#This Row],[Perfil]],Catalogos!$B$75:$D$100,3,FALSE)*Tabla1[[#This Row],[Tiempo
(Hrs 00/100)]]*1.16</f>
        <v>2320</v>
      </c>
    </row>
    <row r="924" spans="1:26" ht="15" customHeight="1" x14ac:dyDescent="0.3">
      <c r="A924" s="373" t="s">
        <v>22</v>
      </c>
      <c r="B924" s="184" t="s">
        <v>68</v>
      </c>
      <c r="C924" s="183" t="s">
        <v>16</v>
      </c>
      <c r="D924" s="370"/>
      <c r="E924" s="386" t="s">
        <v>503</v>
      </c>
      <c r="F924" s="373" t="s">
        <v>75</v>
      </c>
      <c r="G924" s="370" t="s">
        <v>435</v>
      </c>
      <c r="H924" s="387" t="s">
        <v>436</v>
      </c>
      <c r="I924" s="393" t="s">
        <v>1332</v>
      </c>
      <c r="J924" s="712">
        <v>45091</v>
      </c>
      <c r="K924" s="739">
        <v>0.6875</v>
      </c>
      <c r="L924" s="712">
        <v>45091</v>
      </c>
      <c r="M924" s="739">
        <v>0.79166666666666663</v>
      </c>
      <c r="N924" s="179">
        <v>2.5</v>
      </c>
      <c r="O924" s="184" t="s">
        <v>17</v>
      </c>
      <c r="P924" s="185" t="s">
        <v>1280</v>
      </c>
      <c r="Q924" s="746" t="s">
        <v>258</v>
      </c>
      <c r="R924" s="171" t="s">
        <v>81</v>
      </c>
      <c r="S924" s="31" t="s">
        <v>273</v>
      </c>
      <c r="T924" s="31" t="s">
        <v>273</v>
      </c>
      <c r="U924" s="31">
        <f>IFERROR(VLOOKUP(CONCATENATE(Tabla1[[#This Row],[Severidad]]," ",Tabla1[[#This Row],[Complejidad]]),Catalogos!E$120:G$128,3,FALSE),"")</f>
        <v>64</v>
      </c>
      <c r="V924" s="31" t="str">
        <f>IF(Tabla1[[#This Row],[Tiempo solución max (hrs)]]&lt;&gt;"",IF(Tabla1[[#This Row],[Tiempo solución max (hrs)]]&gt;=Tabla1[[#This Row],[Tiempo
(Hrs 00/100)]],"cumple","no cumple"),"")</f>
        <v>cumple</v>
      </c>
      <c r="W924" s="376" t="s">
        <v>1312</v>
      </c>
      <c r="X924" s="463" t="str">
        <f t="shared" si="106"/>
        <v>SAW</v>
      </c>
      <c r="Y924" s="459" t="str">
        <f>SUBSTITUTE(Tabla1[[#This Row],[Descripción]],CHAR(10),"    I    ")</f>
        <v xml:space="preserve">actualización gobierno abierto </v>
      </c>
      <c r="Z924" s="464">
        <f>VLOOKUP(Tabla1[[#This Row],[Perfil]],Catalogos!$B$75:$D$100,3,FALSE)*Tabla1[[#This Row],[Tiempo
(Hrs 00/100)]]*1.16</f>
        <v>1450</v>
      </c>
    </row>
    <row r="925" spans="1:26" ht="15" customHeight="1" x14ac:dyDescent="0.3">
      <c r="A925" s="373" t="s">
        <v>22</v>
      </c>
      <c r="B925" s="184" t="s">
        <v>68</v>
      </c>
      <c r="C925" s="183" t="s">
        <v>16</v>
      </c>
      <c r="D925" s="179"/>
      <c r="E925" s="386" t="s">
        <v>503</v>
      </c>
      <c r="F925" s="373" t="s">
        <v>75</v>
      </c>
      <c r="G925" s="370" t="s">
        <v>435</v>
      </c>
      <c r="H925" s="387" t="s">
        <v>436</v>
      </c>
      <c r="I925" s="178" t="s">
        <v>1339</v>
      </c>
      <c r="J925" s="712">
        <v>45092</v>
      </c>
      <c r="K925" s="709">
        <v>0.375</v>
      </c>
      <c r="L925" s="712">
        <v>45092</v>
      </c>
      <c r="M925" s="739">
        <v>0.4375</v>
      </c>
      <c r="N925" s="179">
        <v>1.5</v>
      </c>
      <c r="O925" s="184" t="s">
        <v>17</v>
      </c>
      <c r="P925" s="402" t="s">
        <v>1289</v>
      </c>
      <c r="Q925" s="746" t="s">
        <v>258</v>
      </c>
      <c r="R925" s="171" t="s">
        <v>81</v>
      </c>
      <c r="S925" s="31" t="s">
        <v>273</v>
      </c>
      <c r="T925" s="31" t="s">
        <v>273</v>
      </c>
      <c r="U925" s="31">
        <f>IFERROR(VLOOKUP(CONCATENATE(Tabla1[[#This Row],[Severidad]]," ",Tabla1[[#This Row],[Complejidad]]),Catalogos!E$120:G$128,3,FALSE),"")</f>
        <v>64</v>
      </c>
      <c r="V925" s="31" t="str">
        <f>IF(Tabla1[[#This Row],[Tiempo solución max (hrs)]]&lt;&gt;"",IF(Tabla1[[#This Row],[Tiempo solución max (hrs)]]&gt;=Tabla1[[#This Row],[Tiempo
(Hrs 00/100)]],"cumple","no cumple"),"")</f>
        <v>cumple</v>
      </c>
      <c r="W925" s="376" t="s">
        <v>1312</v>
      </c>
      <c r="X925" s="463" t="str">
        <f t="shared" si="106"/>
        <v>SAW</v>
      </c>
      <c r="Y925" s="459" t="str">
        <f>SUBSTITUTE(Tabla1[[#This Row],[Descripción]],CHAR(10),"    I    ")</f>
        <v xml:space="preserve">actualización pagina web </v>
      </c>
      <c r="Z925" s="464">
        <f>VLOOKUP(Tabla1[[#This Row],[Perfil]],Catalogos!$B$75:$D$100,3,FALSE)*Tabla1[[#This Row],[Tiempo
(Hrs 00/100)]]*1.16</f>
        <v>869.99999999999989</v>
      </c>
    </row>
    <row r="926" spans="1:26" ht="15" customHeight="1" x14ac:dyDescent="0.3">
      <c r="A926" s="373" t="s">
        <v>22</v>
      </c>
      <c r="B926" s="184" t="s">
        <v>68</v>
      </c>
      <c r="C926" s="183" t="s">
        <v>16</v>
      </c>
      <c r="D926" s="179"/>
      <c r="E926" s="386" t="s">
        <v>503</v>
      </c>
      <c r="F926" s="373" t="s">
        <v>75</v>
      </c>
      <c r="G926" s="370" t="s">
        <v>435</v>
      </c>
      <c r="H926" s="387" t="s">
        <v>436</v>
      </c>
      <c r="I926" s="178" t="s">
        <v>1294</v>
      </c>
      <c r="J926" s="712">
        <v>45092</v>
      </c>
      <c r="K926" s="739">
        <v>0.4375</v>
      </c>
      <c r="L926" s="712">
        <v>45092</v>
      </c>
      <c r="M926" s="739">
        <v>0.60416666666666663</v>
      </c>
      <c r="N926" s="179">
        <v>4</v>
      </c>
      <c r="O926" s="184" t="s">
        <v>17</v>
      </c>
      <c r="P926" s="375" t="s">
        <v>1295</v>
      </c>
      <c r="Q926" s="746" t="s">
        <v>258</v>
      </c>
      <c r="R926" s="171" t="s">
        <v>81</v>
      </c>
      <c r="S926" s="31" t="s">
        <v>273</v>
      </c>
      <c r="T926" s="31" t="s">
        <v>273</v>
      </c>
      <c r="U926" s="31">
        <f>IFERROR(VLOOKUP(CONCATENATE(Tabla1[[#This Row],[Severidad]]," ",Tabla1[[#This Row],[Complejidad]]),Catalogos!E$120:G$128,3,FALSE),"")</f>
        <v>64</v>
      </c>
      <c r="V926" s="31" t="str">
        <f>IF(Tabla1[[#This Row],[Tiempo solución max (hrs)]]&lt;&gt;"",IF(Tabla1[[#This Row],[Tiempo solución max (hrs)]]&gt;=Tabla1[[#This Row],[Tiempo
(Hrs 00/100)]],"cumple","no cumple"),"")</f>
        <v>cumple</v>
      </c>
      <c r="W926" s="376" t="s">
        <v>1312</v>
      </c>
      <c r="X926" s="463" t="str">
        <f t="shared" si="106"/>
        <v>SAW</v>
      </c>
      <c r="Y926" s="459" t="str">
        <f>SUBSTITUTE(Tabla1[[#This Row],[Descripción]],CHAR(10),"    I    ")</f>
        <v xml:space="preserve">Carga ECOS ICIC </v>
      </c>
      <c r="Z926" s="464">
        <f>VLOOKUP(Tabla1[[#This Row],[Perfil]],Catalogos!$B$75:$D$100,3,FALSE)*Tabla1[[#This Row],[Tiempo
(Hrs 00/100)]]*1.16</f>
        <v>2320</v>
      </c>
    </row>
    <row r="927" spans="1:26" ht="15" customHeight="1" x14ac:dyDescent="0.3">
      <c r="A927" s="373" t="s">
        <v>22</v>
      </c>
      <c r="B927" s="184" t="s">
        <v>68</v>
      </c>
      <c r="C927" s="183" t="s">
        <v>16</v>
      </c>
      <c r="D927" s="179"/>
      <c r="E927" s="386" t="s">
        <v>503</v>
      </c>
      <c r="F927" s="373" t="s">
        <v>75</v>
      </c>
      <c r="G927" s="370" t="s">
        <v>435</v>
      </c>
      <c r="H927" s="387" t="s">
        <v>436</v>
      </c>
      <c r="I927" s="395" t="s">
        <v>1343</v>
      </c>
      <c r="J927" s="712">
        <v>45092</v>
      </c>
      <c r="K927" s="709">
        <v>0.66666666666666663</v>
      </c>
      <c r="L927" s="712">
        <v>45092</v>
      </c>
      <c r="M927" s="739">
        <v>0.79166666666666663</v>
      </c>
      <c r="N927" s="179">
        <v>3</v>
      </c>
      <c r="O927" s="184" t="s">
        <v>17</v>
      </c>
      <c r="P927" s="375" t="s">
        <v>1296</v>
      </c>
      <c r="Q927" s="746" t="s">
        <v>258</v>
      </c>
      <c r="R927" s="171" t="s">
        <v>81</v>
      </c>
      <c r="S927" s="31" t="s">
        <v>273</v>
      </c>
      <c r="T927" s="31" t="s">
        <v>273</v>
      </c>
      <c r="U927" s="31">
        <f>IFERROR(VLOOKUP(CONCATENATE(Tabla1[[#This Row],[Severidad]]," ",Tabla1[[#This Row],[Complejidad]]),Catalogos!E$120:G$128,3,FALSE),"")</f>
        <v>64</v>
      </c>
      <c r="V927" s="31" t="str">
        <f>IF(Tabla1[[#This Row],[Tiempo solución max (hrs)]]&lt;&gt;"",IF(Tabla1[[#This Row],[Tiempo solución max (hrs)]]&gt;=Tabla1[[#This Row],[Tiempo
(Hrs 00/100)]],"cumple","no cumple"),"")</f>
        <v>cumple</v>
      </c>
      <c r="W927" s="376" t="s">
        <v>1312</v>
      </c>
      <c r="X927" s="463" t="str">
        <f t="shared" si="106"/>
        <v>SAW</v>
      </c>
      <c r="Y927" s="459" t="str">
        <f>SUBSTITUTE(Tabla1[[#This Row],[Descripción]],CHAR(10),"    I    ")</f>
        <v xml:space="preserve">actualización avance de proyecto </v>
      </c>
      <c r="Z927" s="464">
        <f>VLOOKUP(Tabla1[[#This Row],[Perfil]],Catalogos!$B$75:$D$100,3,FALSE)*Tabla1[[#This Row],[Tiempo
(Hrs 00/100)]]*1.16</f>
        <v>1739.9999999999998</v>
      </c>
    </row>
    <row r="928" spans="1:26" ht="15" customHeight="1" x14ac:dyDescent="0.3">
      <c r="A928" s="373" t="s">
        <v>22</v>
      </c>
      <c r="B928" s="184" t="s">
        <v>68</v>
      </c>
      <c r="C928" s="183" t="s">
        <v>16</v>
      </c>
      <c r="D928" s="179"/>
      <c r="E928" s="386" t="s">
        <v>503</v>
      </c>
      <c r="F928" s="373" t="s">
        <v>75</v>
      </c>
      <c r="G928" s="370" t="s">
        <v>435</v>
      </c>
      <c r="H928" s="387" t="s">
        <v>436</v>
      </c>
      <c r="I928" s="393" t="s">
        <v>1297</v>
      </c>
      <c r="J928" s="712">
        <v>45093</v>
      </c>
      <c r="K928" s="747">
        <v>0.375</v>
      </c>
      <c r="L928" s="712">
        <v>45093</v>
      </c>
      <c r="M928" s="739">
        <v>0.5</v>
      </c>
      <c r="N928" s="179">
        <v>3</v>
      </c>
      <c r="O928" s="184" t="s">
        <v>17</v>
      </c>
      <c r="P928" s="185" t="s">
        <v>1298</v>
      </c>
      <c r="Q928" s="746" t="s">
        <v>258</v>
      </c>
      <c r="R928" s="171" t="s">
        <v>81</v>
      </c>
      <c r="S928" s="31" t="s">
        <v>273</v>
      </c>
      <c r="T928" s="31" t="s">
        <v>273</v>
      </c>
      <c r="U928" s="31">
        <f>IFERROR(VLOOKUP(CONCATENATE(Tabla1[[#This Row],[Severidad]]," ",Tabla1[[#This Row],[Complejidad]]),Catalogos!E$120:G$128,3,FALSE),"")</f>
        <v>64</v>
      </c>
      <c r="V928" s="31" t="str">
        <f>IF(Tabla1[[#This Row],[Tiempo solución max (hrs)]]&lt;&gt;"",IF(Tabla1[[#This Row],[Tiempo solución max (hrs)]]&gt;=Tabla1[[#This Row],[Tiempo
(Hrs 00/100)]],"cumple","no cumple"),"")</f>
        <v>cumple</v>
      </c>
      <c r="W928" s="376" t="s">
        <v>1312</v>
      </c>
      <c r="X928" s="463" t="str">
        <f t="shared" si="106"/>
        <v>SAW</v>
      </c>
      <c r="Y928" s="459" t="str">
        <f>SUBSTITUTE(Tabla1[[#This Row],[Descripción]],CHAR(10),"    I    ")</f>
        <v xml:space="preserve">carga de archivo ICIC </v>
      </c>
      <c r="Z928" s="464">
        <f>VLOOKUP(Tabla1[[#This Row],[Perfil]],Catalogos!$B$75:$D$100,3,FALSE)*Tabla1[[#This Row],[Tiempo
(Hrs 00/100)]]*1.16</f>
        <v>1739.9999999999998</v>
      </c>
    </row>
    <row r="929" spans="1:26" ht="15" customHeight="1" x14ac:dyDescent="0.3">
      <c r="A929" s="373" t="s">
        <v>22</v>
      </c>
      <c r="B929" s="184" t="s">
        <v>68</v>
      </c>
      <c r="C929" s="183" t="s">
        <v>16</v>
      </c>
      <c r="D929" s="179"/>
      <c r="E929" s="386" t="s">
        <v>503</v>
      </c>
      <c r="F929" s="373" t="s">
        <v>75</v>
      </c>
      <c r="G929" s="370" t="s">
        <v>435</v>
      </c>
      <c r="H929" s="387" t="s">
        <v>436</v>
      </c>
      <c r="I929" s="393" t="s">
        <v>1347</v>
      </c>
      <c r="J929" s="712">
        <v>45093</v>
      </c>
      <c r="K929" s="739">
        <v>0.5</v>
      </c>
      <c r="L929" s="712">
        <v>45093</v>
      </c>
      <c r="M929" s="739">
        <v>0.625</v>
      </c>
      <c r="N929" s="179">
        <v>3</v>
      </c>
      <c r="O929" s="184" t="s">
        <v>17</v>
      </c>
      <c r="P929" s="185" t="s">
        <v>1299</v>
      </c>
      <c r="Q929" s="746" t="s">
        <v>258</v>
      </c>
      <c r="R929" s="171" t="s">
        <v>81</v>
      </c>
      <c r="S929" s="31" t="s">
        <v>273</v>
      </c>
      <c r="T929" s="31" t="s">
        <v>273</v>
      </c>
      <c r="U929" s="31">
        <f>IFERROR(VLOOKUP(CONCATENATE(Tabla1[[#This Row],[Severidad]]," ",Tabla1[[#This Row],[Complejidad]]),Catalogos!E$120:G$128,3,FALSE),"")</f>
        <v>64</v>
      </c>
      <c r="V929" s="31" t="str">
        <f>IF(Tabla1[[#This Row],[Tiempo solución max (hrs)]]&lt;&gt;"",IF(Tabla1[[#This Row],[Tiempo solución max (hrs)]]&gt;=Tabla1[[#This Row],[Tiempo
(Hrs 00/100)]],"cumple","no cumple"),"")</f>
        <v>cumple</v>
      </c>
      <c r="W929" s="376" t="s">
        <v>1312</v>
      </c>
      <c r="X929" s="463" t="str">
        <f t="shared" si="106"/>
        <v>SAW</v>
      </c>
      <c r="Y929" s="459" t="str">
        <f>SUBSTITUTE(Tabla1[[#This Row],[Descripción]],CHAR(10),"    I    ")</f>
        <v xml:space="preserve">Actualización consultas </v>
      </c>
      <c r="Z929" s="464">
        <f>VLOOKUP(Tabla1[[#This Row],[Perfil]],Catalogos!$B$75:$D$100,3,FALSE)*Tabla1[[#This Row],[Tiempo
(Hrs 00/100)]]*1.16</f>
        <v>1739.9999999999998</v>
      </c>
    </row>
    <row r="930" spans="1:26" ht="15" customHeight="1" x14ac:dyDescent="0.3">
      <c r="A930" s="373" t="s">
        <v>22</v>
      </c>
      <c r="B930" s="184" t="s">
        <v>68</v>
      </c>
      <c r="C930" s="183" t="s">
        <v>16</v>
      </c>
      <c r="D930" s="179"/>
      <c r="E930" s="386" t="s">
        <v>503</v>
      </c>
      <c r="F930" s="373" t="s">
        <v>75</v>
      </c>
      <c r="G930" s="370" t="s">
        <v>435</v>
      </c>
      <c r="H930" s="387" t="s">
        <v>436</v>
      </c>
      <c r="I930" s="395" t="s">
        <v>1348</v>
      </c>
      <c r="J930" s="712">
        <v>45096</v>
      </c>
      <c r="K930" s="747">
        <v>0.375</v>
      </c>
      <c r="L930" s="712">
        <v>45096</v>
      </c>
      <c r="M930" s="739">
        <v>0.54166666666666663</v>
      </c>
      <c r="N930" s="179">
        <v>4</v>
      </c>
      <c r="O930" s="184" t="s">
        <v>17</v>
      </c>
      <c r="P930" s="185" t="s">
        <v>1300</v>
      </c>
      <c r="Q930" s="746" t="s">
        <v>258</v>
      </c>
      <c r="R930" s="171" t="s">
        <v>81</v>
      </c>
      <c r="S930" s="31" t="s">
        <v>273</v>
      </c>
      <c r="T930" s="31" t="s">
        <v>273</v>
      </c>
      <c r="U930" s="31">
        <f>IFERROR(VLOOKUP(CONCATENATE(Tabla1[[#This Row],[Severidad]]," ",Tabla1[[#This Row],[Complejidad]]),Catalogos!E$120:G$128,3,FALSE),"")</f>
        <v>64</v>
      </c>
      <c r="V930" s="31" t="str">
        <f>IF(Tabla1[[#This Row],[Tiempo solución max (hrs)]]&lt;&gt;"",IF(Tabla1[[#This Row],[Tiempo solución max (hrs)]]&gt;=Tabla1[[#This Row],[Tiempo
(Hrs 00/100)]],"cumple","no cumple"),"")</f>
        <v>cumple</v>
      </c>
      <c r="W930" s="376" t="s">
        <v>1312</v>
      </c>
      <c r="X930" s="463" t="str">
        <f t="shared" si="106"/>
        <v>SAW</v>
      </c>
      <c r="Y930" s="459" t="str">
        <f>SUBSTITUTE(Tabla1[[#This Row],[Descripción]],CHAR(10),"    I    ")</f>
        <v>Actualización micrositio certamen</v>
      </c>
      <c r="Z930" s="464">
        <f>VLOOKUP(Tabla1[[#This Row],[Perfil]],Catalogos!$B$75:$D$100,3,FALSE)*Tabla1[[#This Row],[Tiempo
(Hrs 00/100)]]*1.16</f>
        <v>2320</v>
      </c>
    </row>
    <row r="931" spans="1:26" ht="15" customHeight="1" x14ac:dyDescent="0.3">
      <c r="A931" s="373" t="s">
        <v>22</v>
      </c>
      <c r="B931" s="184" t="s">
        <v>68</v>
      </c>
      <c r="C931" s="183" t="s">
        <v>16</v>
      </c>
      <c r="D931" s="179"/>
      <c r="E931" s="386" t="s">
        <v>503</v>
      </c>
      <c r="F931" s="373" t="s">
        <v>75</v>
      </c>
      <c r="G931" s="370" t="s">
        <v>435</v>
      </c>
      <c r="H931" s="387" t="s">
        <v>436</v>
      </c>
      <c r="I931" s="394" t="s">
        <v>1349</v>
      </c>
      <c r="J931" s="712">
        <v>45096</v>
      </c>
      <c r="K931" s="739">
        <v>0.54166666666666663</v>
      </c>
      <c r="L931" s="712">
        <v>45096</v>
      </c>
      <c r="M931" s="739">
        <v>0.70833333333333337</v>
      </c>
      <c r="N931" s="179">
        <v>2.5</v>
      </c>
      <c r="O931" s="184" t="s">
        <v>17</v>
      </c>
      <c r="P931" s="185" t="s">
        <v>1301</v>
      </c>
      <c r="Q931" s="746" t="s">
        <v>258</v>
      </c>
      <c r="R931" s="171" t="s">
        <v>81</v>
      </c>
      <c r="S931" s="31" t="s">
        <v>273</v>
      </c>
      <c r="T931" s="31" t="s">
        <v>273</v>
      </c>
      <c r="U931" s="31">
        <f>IFERROR(VLOOKUP(CONCATENATE(Tabla1[[#This Row],[Severidad]]," ",Tabla1[[#This Row],[Complejidad]]),Catalogos!E$120:G$128,3,FALSE),"")</f>
        <v>64</v>
      </c>
      <c r="V931" s="31" t="str">
        <f>IF(Tabla1[[#This Row],[Tiempo solución max (hrs)]]&lt;&gt;"",IF(Tabla1[[#This Row],[Tiempo solución max (hrs)]]&gt;=Tabla1[[#This Row],[Tiempo
(Hrs 00/100)]],"cumple","no cumple"),"")</f>
        <v>cumple</v>
      </c>
      <c r="W931" s="376" t="s">
        <v>1312</v>
      </c>
      <c r="X931" s="463" t="str">
        <f t="shared" si="106"/>
        <v>SAW</v>
      </c>
      <c r="Y931" s="459" t="str">
        <f>SUBSTITUTE(Tabla1[[#This Row],[Descripción]],CHAR(10),"    I    ")</f>
        <v xml:space="preserve">Actualización micrositio </v>
      </c>
      <c r="Z931" s="464">
        <f>VLOOKUP(Tabla1[[#This Row],[Perfil]],Catalogos!$B$75:$D$100,3,FALSE)*Tabla1[[#This Row],[Tiempo
(Hrs 00/100)]]*1.16</f>
        <v>1450</v>
      </c>
    </row>
    <row r="932" spans="1:26" ht="15" customHeight="1" x14ac:dyDescent="0.3">
      <c r="A932" s="373" t="s">
        <v>22</v>
      </c>
      <c r="B932" s="184" t="s">
        <v>68</v>
      </c>
      <c r="C932" s="183" t="s">
        <v>16</v>
      </c>
      <c r="D932" s="179"/>
      <c r="E932" s="386" t="s">
        <v>503</v>
      </c>
      <c r="F932" s="373" t="s">
        <v>75</v>
      </c>
      <c r="G932" s="370" t="s">
        <v>435</v>
      </c>
      <c r="H932" s="387" t="s">
        <v>436</v>
      </c>
      <c r="I932" s="395" t="s">
        <v>1302</v>
      </c>
      <c r="J932" s="712">
        <v>45096</v>
      </c>
      <c r="K932" s="739">
        <v>0.70833333333333337</v>
      </c>
      <c r="L932" s="712">
        <v>45096</v>
      </c>
      <c r="M932" s="739">
        <v>0.79166666666666663</v>
      </c>
      <c r="N932" s="179">
        <v>2</v>
      </c>
      <c r="O932" s="184" t="s">
        <v>17</v>
      </c>
      <c r="P932" s="185" t="s">
        <v>1303</v>
      </c>
      <c r="Q932" s="746" t="s">
        <v>258</v>
      </c>
      <c r="R932" s="171" t="s">
        <v>81</v>
      </c>
      <c r="S932" s="31" t="s">
        <v>273</v>
      </c>
      <c r="T932" s="31" t="s">
        <v>273</v>
      </c>
      <c r="U932" s="31">
        <f>IFERROR(VLOOKUP(CONCATENATE(Tabla1[[#This Row],[Severidad]]," ",Tabla1[[#This Row],[Complejidad]]),Catalogos!E$120:G$128,3,FALSE),"")</f>
        <v>64</v>
      </c>
      <c r="V932" s="31" t="str">
        <f>IF(Tabla1[[#This Row],[Tiempo solución max (hrs)]]&lt;&gt;"",IF(Tabla1[[#This Row],[Tiempo solución max (hrs)]]&gt;=Tabla1[[#This Row],[Tiempo
(Hrs 00/100)]],"cumple","no cumple"),"")</f>
        <v>cumple</v>
      </c>
      <c r="W932" s="376" t="s">
        <v>1312</v>
      </c>
      <c r="X932" s="463" t="str">
        <f t="shared" si="106"/>
        <v>SAW</v>
      </c>
      <c r="Y932" s="459" t="str">
        <f>SUBSTITUTE(Tabla1[[#This Row],[Descripción]],CHAR(10),"    I    ")</f>
        <v xml:space="preserve">Actividades ODOO </v>
      </c>
      <c r="Z932" s="464">
        <f>VLOOKUP(Tabla1[[#This Row],[Perfil]],Catalogos!$B$75:$D$100,3,FALSE)*Tabla1[[#This Row],[Tiempo
(Hrs 00/100)]]*1.16</f>
        <v>1160</v>
      </c>
    </row>
    <row r="933" spans="1:26" ht="15" customHeight="1" x14ac:dyDescent="0.3">
      <c r="A933" s="373" t="s">
        <v>22</v>
      </c>
      <c r="B933" s="184" t="s">
        <v>68</v>
      </c>
      <c r="C933" s="183" t="s">
        <v>16</v>
      </c>
      <c r="D933" s="179"/>
      <c r="E933" s="386" t="s">
        <v>503</v>
      </c>
      <c r="F933" s="373" t="s">
        <v>75</v>
      </c>
      <c r="G933" s="370" t="s">
        <v>435</v>
      </c>
      <c r="H933" s="387" t="s">
        <v>436</v>
      </c>
      <c r="I933" s="395" t="s">
        <v>1350</v>
      </c>
      <c r="J933" s="712">
        <v>45097</v>
      </c>
      <c r="K933" s="747">
        <v>0.375</v>
      </c>
      <c r="L933" s="712">
        <v>45097</v>
      </c>
      <c r="M933" s="739">
        <v>0.5</v>
      </c>
      <c r="N933" s="179">
        <v>3</v>
      </c>
      <c r="O933" s="184" t="s">
        <v>17</v>
      </c>
      <c r="P933" s="454" t="s">
        <v>1298</v>
      </c>
      <c r="Q933" s="746" t="s">
        <v>258</v>
      </c>
      <c r="R933" s="171" t="s">
        <v>81</v>
      </c>
      <c r="S933" s="31" t="s">
        <v>273</v>
      </c>
      <c r="T933" s="31" t="s">
        <v>273</v>
      </c>
      <c r="U933" s="31">
        <f>IFERROR(VLOOKUP(CONCATENATE(Tabla1[[#This Row],[Severidad]]," ",Tabla1[[#This Row],[Complejidad]]),Catalogos!E$120:G$128,3,FALSE),"")</f>
        <v>64</v>
      </c>
      <c r="V933" s="31" t="str">
        <f>IF(Tabla1[[#This Row],[Tiempo solución max (hrs)]]&lt;&gt;"",IF(Tabla1[[#This Row],[Tiempo solución max (hrs)]]&gt;=Tabla1[[#This Row],[Tiempo
(Hrs 00/100)]],"cumple","no cumple"),"")</f>
        <v>cumple</v>
      </c>
      <c r="W933" s="376" t="s">
        <v>1312</v>
      </c>
      <c r="X933" s="463" t="str">
        <f t="shared" si="106"/>
        <v>SAW</v>
      </c>
      <c r="Y933" s="459" t="str">
        <f>SUBSTITUTE(Tabla1[[#This Row],[Descripción]],CHAR(10),"    I    ")</f>
        <v xml:space="preserve">Actualización ICIC </v>
      </c>
      <c r="Z933" s="464">
        <f>VLOOKUP(Tabla1[[#This Row],[Perfil]],Catalogos!$B$75:$D$100,3,FALSE)*Tabla1[[#This Row],[Tiempo
(Hrs 00/100)]]*1.16</f>
        <v>1739.9999999999998</v>
      </c>
    </row>
    <row r="934" spans="1:26" ht="15" customHeight="1" x14ac:dyDescent="0.3">
      <c r="A934" s="373" t="s">
        <v>22</v>
      </c>
      <c r="B934" s="184" t="s">
        <v>68</v>
      </c>
      <c r="C934" s="183" t="s">
        <v>16</v>
      </c>
      <c r="D934" s="179"/>
      <c r="E934" s="386" t="s">
        <v>503</v>
      </c>
      <c r="F934" s="373" t="s">
        <v>75</v>
      </c>
      <c r="G934" s="370" t="s">
        <v>435</v>
      </c>
      <c r="H934" s="387" t="s">
        <v>436</v>
      </c>
      <c r="I934" s="395" t="s">
        <v>1351</v>
      </c>
      <c r="J934" s="712">
        <v>45097</v>
      </c>
      <c r="K934" s="739">
        <v>0.5</v>
      </c>
      <c r="L934" s="712">
        <v>45097</v>
      </c>
      <c r="M934" s="739">
        <v>0.6875</v>
      </c>
      <c r="N934" s="179">
        <v>3</v>
      </c>
      <c r="O934" s="184" t="s">
        <v>17</v>
      </c>
      <c r="P934" s="185" t="s">
        <v>1304</v>
      </c>
      <c r="Q934" s="746" t="s">
        <v>258</v>
      </c>
      <c r="R934" s="171" t="s">
        <v>81</v>
      </c>
      <c r="S934" s="31" t="s">
        <v>273</v>
      </c>
      <c r="T934" s="31" t="s">
        <v>273</v>
      </c>
      <c r="U934" s="31">
        <f>IFERROR(VLOOKUP(CONCATENATE(Tabla1[[#This Row],[Severidad]]," ",Tabla1[[#This Row],[Complejidad]]),Catalogos!E$120:G$128,3,FALSE),"")</f>
        <v>64</v>
      </c>
      <c r="V934" s="31" t="str">
        <f>IF(Tabla1[[#This Row],[Tiempo solución max (hrs)]]&lt;&gt;"",IF(Tabla1[[#This Row],[Tiempo solución max (hrs)]]&gt;=Tabla1[[#This Row],[Tiempo
(Hrs 00/100)]],"cumple","no cumple"),"")</f>
        <v>cumple</v>
      </c>
      <c r="W934" s="376" t="s">
        <v>1312</v>
      </c>
      <c r="X934" s="463" t="str">
        <f t="shared" si="106"/>
        <v>SAW</v>
      </c>
      <c r="Y934" s="459" t="str">
        <f>SUBSTITUTE(Tabla1[[#This Row],[Descripción]],CHAR(10),"    I    ")</f>
        <v>Actualización micrositio consejo consultivo.</v>
      </c>
      <c r="Z934" s="464">
        <f>VLOOKUP(Tabla1[[#This Row],[Perfil]],Catalogos!$B$75:$D$100,3,FALSE)*Tabla1[[#This Row],[Tiempo
(Hrs 00/100)]]*1.16</f>
        <v>1739.9999999999998</v>
      </c>
    </row>
    <row r="935" spans="1:26" ht="15" customHeight="1" x14ac:dyDescent="0.3">
      <c r="A935" s="373" t="s">
        <v>22</v>
      </c>
      <c r="B935" s="184" t="s">
        <v>68</v>
      </c>
      <c r="C935" s="183" t="s">
        <v>16</v>
      </c>
      <c r="D935" s="179"/>
      <c r="E935" s="386" t="s">
        <v>503</v>
      </c>
      <c r="F935" s="373" t="s">
        <v>75</v>
      </c>
      <c r="G935" s="370" t="s">
        <v>435</v>
      </c>
      <c r="H935" s="387" t="s">
        <v>436</v>
      </c>
      <c r="I935" s="393" t="s">
        <v>1337</v>
      </c>
      <c r="J935" s="712">
        <v>45097</v>
      </c>
      <c r="K935" s="739">
        <v>0.6875</v>
      </c>
      <c r="L935" s="712">
        <v>45097</v>
      </c>
      <c r="M935" s="739">
        <v>0.79166666666666663</v>
      </c>
      <c r="N935" s="179">
        <v>2.5</v>
      </c>
      <c r="O935" s="184" t="s">
        <v>17</v>
      </c>
      <c r="P935" s="454" t="s">
        <v>1305</v>
      </c>
      <c r="Q935" s="746" t="s">
        <v>258</v>
      </c>
      <c r="R935" s="171" t="s">
        <v>81</v>
      </c>
      <c r="S935" s="31" t="s">
        <v>273</v>
      </c>
      <c r="T935" s="31" t="s">
        <v>273</v>
      </c>
      <c r="U935" s="31">
        <f>IFERROR(VLOOKUP(CONCATENATE(Tabla1[[#This Row],[Severidad]]," ",Tabla1[[#This Row],[Complejidad]]),Catalogos!E$120:G$128,3,FALSE),"")</f>
        <v>64</v>
      </c>
      <c r="V935" s="31" t="str">
        <f>IF(Tabla1[[#This Row],[Tiempo solución max (hrs)]]&lt;&gt;"",IF(Tabla1[[#This Row],[Tiempo solución max (hrs)]]&gt;=Tabla1[[#This Row],[Tiempo
(Hrs 00/100)]],"cumple","no cumple"),"")</f>
        <v>cumple</v>
      </c>
      <c r="W935" s="376" t="s">
        <v>1312</v>
      </c>
      <c r="X935" s="463" t="str">
        <f t="shared" si="106"/>
        <v>SAW</v>
      </c>
      <c r="Y935" s="459" t="str">
        <f>SUBSTITUTE(Tabla1[[#This Row],[Descripción]],CHAR(10),"    I    ")</f>
        <v xml:space="preserve">Revisión de accesos </v>
      </c>
      <c r="Z935" s="464">
        <f>VLOOKUP(Tabla1[[#This Row],[Perfil]],Catalogos!$B$75:$D$100,3,FALSE)*Tabla1[[#This Row],[Tiempo
(Hrs 00/100)]]*1.16</f>
        <v>1450</v>
      </c>
    </row>
    <row r="936" spans="1:26" ht="15" customHeight="1" x14ac:dyDescent="0.3">
      <c r="A936" s="373" t="s">
        <v>22</v>
      </c>
      <c r="B936" s="184" t="s">
        <v>68</v>
      </c>
      <c r="C936" s="183" t="s">
        <v>16</v>
      </c>
      <c r="D936" s="179"/>
      <c r="E936" s="386" t="s">
        <v>503</v>
      </c>
      <c r="F936" s="373" t="s">
        <v>75</v>
      </c>
      <c r="G936" s="370" t="s">
        <v>435</v>
      </c>
      <c r="H936" s="387" t="s">
        <v>436</v>
      </c>
      <c r="I936" s="393" t="s">
        <v>1352</v>
      </c>
      <c r="J936" s="712">
        <v>45098</v>
      </c>
      <c r="K936" s="747">
        <v>0.375</v>
      </c>
      <c r="L936" s="712">
        <v>45098</v>
      </c>
      <c r="M936" s="739">
        <v>0.54166666666666663</v>
      </c>
      <c r="N936" s="179">
        <v>4</v>
      </c>
      <c r="O936" s="184" t="s">
        <v>17</v>
      </c>
      <c r="P936" s="375" t="s">
        <v>1299</v>
      </c>
      <c r="Q936" s="746" t="s">
        <v>258</v>
      </c>
      <c r="R936" s="171" t="s">
        <v>81</v>
      </c>
      <c r="S936" s="31" t="s">
        <v>273</v>
      </c>
      <c r="T936" s="31" t="s">
        <v>273</v>
      </c>
      <c r="U936" s="31">
        <f>IFERROR(VLOOKUP(CONCATENATE(Tabla1[[#This Row],[Severidad]]," ",Tabla1[[#This Row],[Complejidad]]),Catalogos!E$120:G$128,3,FALSE),"")</f>
        <v>64</v>
      </c>
      <c r="V936" s="31" t="str">
        <f>IF(Tabla1[[#This Row],[Tiempo solución max (hrs)]]&lt;&gt;"",IF(Tabla1[[#This Row],[Tiempo solución max (hrs)]]&gt;=Tabla1[[#This Row],[Tiempo
(Hrs 00/100)]],"cumple","no cumple"),"")</f>
        <v>cumple</v>
      </c>
      <c r="W936" s="376" t="s">
        <v>1312</v>
      </c>
      <c r="X936" s="463" t="str">
        <f t="shared" si="106"/>
        <v>SAW</v>
      </c>
      <c r="Y936" s="459" t="str">
        <f>SUBSTITUTE(Tabla1[[#This Row],[Descripción]],CHAR(10),"    I    ")</f>
        <v xml:space="preserve">Actualización micrositio consultas </v>
      </c>
      <c r="Z936" s="464">
        <f>VLOOKUP(Tabla1[[#This Row],[Perfil]],Catalogos!$B$75:$D$100,3,FALSE)*Tabla1[[#This Row],[Tiempo
(Hrs 00/100)]]*1.16</f>
        <v>2320</v>
      </c>
    </row>
    <row r="937" spans="1:26" ht="15" customHeight="1" x14ac:dyDescent="0.3">
      <c r="A937" s="373" t="s">
        <v>22</v>
      </c>
      <c r="B937" s="184" t="s">
        <v>68</v>
      </c>
      <c r="C937" s="183" t="s">
        <v>16</v>
      </c>
      <c r="D937" s="179"/>
      <c r="E937" s="386" t="s">
        <v>503</v>
      </c>
      <c r="F937" s="373" t="s">
        <v>75</v>
      </c>
      <c r="G937" s="370" t="s">
        <v>435</v>
      </c>
      <c r="H937" s="387" t="s">
        <v>436</v>
      </c>
      <c r="I937" s="395" t="s">
        <v>1353</v>
      </c>
      <c r="J937" s="712">
        <v>45098</v>
      </c>
      <c r="K937" s="739">
        <v>0.54166666666666663</v>
      </c>
      <c r="L937" s="712">
        <v>45098</v>
      </c>
      <c r="M937" s="739">
        <v>0.79166666666666663</v>
      </c>
      <c r="N937" s="179">
        <v>4.5</v>
      </c>
      <c r="O937" s="184" t="s">
        <v>17</v>
      </c>
      <c r="P937" s="185" t="s">
        <v>1284</v>
      </c>
      <c r="Q937" s="746" t="s">
        <v>258</v>
      </c>
      <c r="R937" s="171" t="s">
        <v>81</v>
      </c>
      <c r="S937" s="31" t="s">
        <v>273</v>
      </c>
      <c r="T937" s="31" t="s">
        <v>273</v>
      </c>
      <c r="U937" s="31">
        <f>IFERROR(VLOOKUP(CONCATENATE(Tabla1[[#This Row],[Severidad]]," ",Tabla1[[#This Row],[Complejidad]]),Catalogos!E$120:G$128,3,FALSE),"")</f>
        <v>64</v>
      </c>
      <c r="V937" s="31" t="str">
        <f>IF(Tabla1[[#This Row],[Tiempo solución max (hrs)]]&lt;&gt;"",IF(Tabla1[[#This Row],[Tiempo solución max (hrs)]]&gt;=Tabla1[[#This Row],[Tiempo
(Hrs 00/100)]],"cumple","no cumple"),"")</f>
        <v>cumple</v>
      </c>
      <c r="W937" s="376" t="s">
        <v>1312</v>
      </c>
      <c r="X937" s="463" t="str">
        <f t="shared" si="106"/>
        <v>SAW</v>
      </c>
      <c r="Y937" s="459" t="str">
        <f>SUBSTITUTE(Tabla1[[#This Row],[Descripción]],CHAR(10),"    I    ")</f>
        <v xml:space="preserve">actualización EIPDP </v>
      </c>
      <c r="Z937" s="464">
        <f>VLOOKUP(Tabla1[[#This Row],[Perfil]],Catalogos!$B$75:$D$100,3,FALSE)*Tabla1[[#This Row],[Tiempo
(Hrs 00/100)]]*1.16</f>
        <v>2610</v>
      </c>
    </row>
    <row r="938" spans="1:26" ht="15" customHeight="1" x14ac:dyDescent="0.3">
      <c r="A938" s="373" t="s">
        <v>22</v>
      </c>
      <c r="B938" s="184" t="s">
        <v>68</v>
      </c>
      <c r="C938" s="183" t="s">
        <v>16</v>
      </c>
      <c r="D938" s="179"/>
      <c r="E938" s="386" t="s">
        <v>503</v>
      </c>
      <c r="F938" s="373" t="s">
        <v>75</v>
      </c>
      <c r="G938" s="370" t="s">
        <v>435</v>
      </c>
      <c r="H938" s="387" t="s">
        <v>436</v>
      </c>
      <c r="I938" s="395" t="s">
        <v>1334</v>
      </c>
      <c r="J938" s="712">
        <v>45099</v>
      </c>
      <c r="K938" s="747">
        <v>0.375</v>
      </c>
      <c r="L938" s="712">
        <v>45099</v>
      </c>
      <c r="M938" s="739">
        <v>0.52083333333333337</v>
      </c>
      <c r="N938" s="179">
        <v>3.5</v>
      </c>
      <c r="O938" s="184" t="s">
        <v>17</v>
      </c>
      <c r="P938" s="185" t="s">
        <v>1306</v>
      </c>
      <c r="Q938" s="746" t="s">
        <v>258</v>
      </c>
      <c r="R938" s="171" t="s">
        <v>81</v>
      </c>
      <c r="S938" s="31" t="s">
        <v>273</v>
      </c>
      <c r="T938" s="31" t="s">
        <v>273</v>
      </c>
      <c r="U938" s="31">
        <f>IFERROR(VLOOKUP(CONCATENATE(Tabla1[[#This Row],[Severidad]]," ",Tabla1[[#This Row],[Complejidad]]),Catalogos!E$120:G$128,3,FALSE),"")</f>
        <v>64</v>
      </c>
      <c r="V938" s="31" t="str">
        <f>IF(Tabla1[[#This Row],[Tiempo solución max (hrs)]]&lt;&gt;"",IF(Tabla1[[#This Row],[Tiempo solución max (hrs)]]&gt;=Tabla1[[#This Row],[Tiempo
(Hrs 00/100)]],"cumple","no cumple"),"")</f>
        <v>cumple</v>
      </c>
      <c r="W938" s="376" t="s">
        <v>1312</v>
      </c>
      <c r="X938" s="463" t="str">
        <f t="shared" si="106"/>
        <v>SAW</v>
      </c>
      <c r="Y938" s="459" t="str">
        <f>SUBSTITUTE(Tabla1[[#This Row],[Descripción]],CHAR(10),"    I    ")</f>
        <v xml:space="preserve">Actualización de avance de proyectos </v>
      </c>
      <c r="Z938" s="464">
        <f>VLOOKUP(Tabla1[[#This Row],[Perfil]],Catalogos!$B$75:$D$100,3,FALSE)*Tabla1[[#This Row],[Tiempo
(Hrs 00/100)]]*1.16</f>
        <v>2029.9999999999998</v>
      </c>
    </row>
    <row r="939" spans="1:26" ht="15" customHeight="1" x14ac:dyDescent="0.3">
      <c r="A939" s="373" t="s">
        <v>22</v>
      </c>
      <c r="B939" s="184" t="s">
        <v>68</v>
      </c>
      <c r="C939" s="183" t="s">
        <v>16</v>
      </c>
      <c r="D939" s="179"/>
      <c r="E939" s="386" t="s">
        <v>503</v>
      </c>
      <c r="F939" s="373" t="s">
        <v>75</v>
      </c>
      <c r="G939" s="370" t="s">
        <v>435</v>
      </c>
      <c r="H939" s="387" t="s">
        <v>436</v>
      </c>
      <c r="I939" s="388" t="s">
        <v>1354</v>
      </c>
      <c r="J939" s="712">
        <v>45099</v>
      </c>
      <c r="K939" s="739">
        <v>0.52083333333333337</v>
      </c>
      <c r="L939" s="712">
        <v>45099</v>
      </c>
      <c r="M939" s="739">
        <v>0.60416666666666663</v>
      </c>
      <c r="N939" s="179">
        <v>2</v>
      </c>
      <c r="O939" s="184" t="s">
        <v>17</v>
      </c>
      <c r="P939" s="375" t="s">
        <v>1299</v>
      </c>
      <c r="Q939" s="746" t="s">
        <v>258</v>
      </c>
      <c r="R939" s="171" t="s">
        <v>81</v>
      </c>
      <c r="S939" s="31" t="s">
        <v>273</v>
      </c>
      <c r="T939" s="31" t="s">
        <v>273</v>
      </c>
      <c r="U939" s="31">
        <f>IFERROR(VLOOKUP(CONCATENATE(Tabla1[[#This Row],[Severidad]]," ",Tabla1[[#This Row],[Complejidad]]),Catalogos!E$120:G$128,3,FALSE),"")</f>
        <v>64</v>
      </c>
      <c r="V939" s="31" t="str">
        <f>IF(Tabla1[[#This Row],[Tiempo solución max (hrs)]]&lt;&gt;"",IF(Tabla1[[#This Row],[Tiempo solución max (hrs)]]&gt;=Tabla1[[#This Row],[Tiempo
(Hrs 00/100)]],"cumple","no cumple"),"")</f>
        <v>cumple</v>
      </c>
      <c r="W939" s="376" t="s">
        <v>1312</v>
      </c>
      <c r="X939" s="463" t="str">
        <f t="shared" si="106"/>
        <v>SAW</v>
      </c>
      <c r="Y939" s="459" t="str">
        <f>SUBSTITUTE(Tabla1[[#This Row],[Descripción]],CHAR(10),"    I    ")</f>
        <v xml:space="preserve">Actualización sitio consultas </v>
      </c>
      <c r="Z939" s="464">
        <f>VLOOKUP(Tabla1[[#This Row],[Perfil]],Catalogos!$B$75:$D$100,3,FALSE)*Tabla1[[#This Row],[Tiempo
(Hrs 00/100)]]*1.16</f>
        <v>1160</v>
      </c>
    </row>
    <row r="940" spans="1:26" ht="15" customHeight="1" x14ac:dyDescent="0.3">
      <c r="A940" s="373" t="s">
        <v>22</v>
      </c>
      <c r="B940" s="184" t="s">
        <v>68</v>
      </c>
      <c r="C940" s="183" t="s">
        <v>16</v>
      </c>
      <c r="D940" s="179"/>
      <c r="E940" s="386" t="s">
        <v>503</v>
      </c>
      <c r="F940" s="373" t="s">
        <v>75</v>
      </c>
      <c r="G940" s="370" t="s">
        <v>435</v>
      </c>
      <c r="H940" s="387" t="s">
        <v>436</v>
      </c>
      <c r="I940" s="395" t="s">
        <v>1353</v>
      </c>
      <c r="J940" s="712">
        <v>45099</v>
      </c>
      <c r="K940" s="709">
        <v>0.66666666666666663</v>
      </c>
      <c r="L940" s="712">
        <v>45099</v>
      </c>
      <c r="M940" s="739">
        <v>0.79166666666666663</v>
      </c>
      <c r="N940" s="179">
        <v>3</v>
      </c>
      <c r="O940" s="184" t="s">
        <v>17</v>
      </c>
      <c r="P940" s="185" t="s">
        <v>1284</v>
      </c>
      <c r="Q940" s="746" t="s">
        <v>258</v>
      </c>
      <c r="R940" s="171" t="s">
        <v>81</v>
      </c>
      <c r="S940" s="31" t="s">
        <v>273</v>
      </c>
      <c r="T940" s="31" t="s">
        <v>273</v>
      </c>
      <c r="U940" s="31">
        <f>IFERROR(VLOOKUP(CONCATENATE(Tabla1[[#This Row],[Severidad]]," ",Tabla1[[#This Row],[Complejidad]]),Catalogos!E$120:G$128,3,FALSE),"")</f>
        <v>64</v>
      </c>
      <c r="V940" s="31" t="str">
        <f>IF(Tabla1[[#This Row],[Tiempo solución max (hrs)]]&lt;&gt;"",IF(Tabla1[[#This Row],[Tiempo solución max (hrs)]]&gt;=Tabla1[[#This Row],[Tiempo
(Hrs 00/100)]],"cumple","no cumple"),"")</f>
        <v>cumple</v>
      </c>
      <c r="W940" s="376" t="s">
        <v>1312</v>
      </c>
      <c r="X940" s="463" t="str">
        <f t="shared" si="106"/>
        <v>SAW</v>
      </c>
      <c r="Y940" s="459" t="str">
        <f>SUBSTITUTE(Tabla1[[#This Row],[Descripción]],CHAR(10),"    I    ")</f>
        <v xml:space="preserve">actualización EIPDP </v>
      </c>
      <c r="Z940" s="464">
        <f>VLOOKUP(Tabla1[[#This Row],[Perfil]],Catalogos!$B$75:$D$100,3,FALSE)*Tabla1[[#This Row],[Tiempo
(Hrs 00/100)]]*1.16</f>
        <v>1739.9999999999998</v>
      </c>
    </row>
    <row r="941" spans="1:26" ht="15" customHeight="1" x14ac:dyDescent="0.3">
      <c r="A941" s="373" t="s">
        <v>22</v>
      </c>
      <c r="B941" s="184" t="s">
        <v>68</v>
      </c>
      <c r="C941" s="183" t="s">
        <v>16</v>
      </c>
      <c r="D941" s="179"/>
      <c r="E941" s="386" t="s">
        <v>503</v>
      </c>
      <c r="F941" s="373" t="s">
        <v>75</v>
      </c>
      <c r="G941" s="370" t="s">
        <v>435</v>
      </c>
      <c r="H941" s="387" t="s">
        <v>436</v>
      </c>
      <c r="I941" s="395" t="s">
        <v>1355</v>
      </c>
      <c r="J941" s="712">
        <v>45100</v>
      </c>
      <c r="K941" s="739">
        <v>0.375</v>
      </c>
      <c r="L941" s="712">
        <v>45100</v>
      </c>
      <c r="M941" s="739">
        <v>0.625</v>
      </c>
      <c r="N941" s="179">
        <v>6</v>
      </c>
      <c r="O941" s="184" t="s">
        <v>17</v>
      </c>
      <c r="P941" s="185" t="s">
        <v>1307</v>
      </c>
      <c r="Q941" s="746" t="s">
        <v>258</v>
      </c>
      <c r="R941" s="171" t="s">
        <v>81</v>
      </c>
      <c r="S941" s="31" t="s">
        <v>273</v>
      </c>
      <c r="T941" s="31" t="s">
        <v>273</v>
      </c>
      <c r="U941" s="31">
        <f>IFERROR(VLOOKUP(CONCATENATE(Tabla1[[#This Row],[Severidad]]," ",Tabla1[[#This Row],[Complejidad]]),Catalogos!E$120:G$128,3,FALSE),"")</f>
        <v>64</v>
      </c>
      <c r="V941" s="31" t="str">
        <f>IF(Tabla1[[#This Row],[Tiempo solución max (hrs)]]&lt;&gt;"",IF(Tabla1[[#This Row],[Tiempo solución max (hrs)]]&gt;=Tabla1[[#This Row],[Tiempo
(Hrs 00/100)]],"cumple","no cumple"),"")</f>
        <v>cumple</v>
      </c>
      <c r="W941" s="376" t="s">
        <v>1312</v>
      </c>
      <c r="X941" s="463" t="str">
        <f t="shared" si="106"/>
        <v>SAW</v>
      </c>
      <c r="Y941" s="459" t="str">
        <f>SUBSTITUTE(Tabla1[[#This Row],[Descripción]],CHAR(10),"    I    ")</f>
        <v xml:space="preserve">actualización servicio profesional </v>
      </c>
      <c r="Z941" s="464">
        <f>VLOOKUP(Tabla1[[#This Row],[Perfil]],Catalogos!$B$75:$D$100,3,FALSE)*Tabla1[[#This Row],[Tiempo
(Hrs 00/100)]]*1.16</f>
        <v>3479.9999999999995</v>
      </c>
    </row>
    <row r="942" spans="1:26" ht="15" customHeight="1" x14ac:dyDescent="0.3">
      <c r="A942" s="373" t="s">
        <v>22</v>
      </c>
      <c r="B942" s="184" t="s">
        <v>68</v>
      </c>
      <c r="C942" s="183" t="s">
        <v>16</v>
      </c>
      <c r="D942" s="179"/>
      <c r="E942" s="386" t="s">
        <v>503</v>
      </c>
      <c r="F942" s="373" t="s">
        <v>75</v>
      </c>
      <c r="G942" s="370" t="s">
        <v>435</v>
      </c>
      <c r="H942" s="387" t="s">
        <v>436</v>
      </c>
      <c r="I942" s="393" t="s">
        <v>1356</v>
      </c>
      <c r="J942" s="712">
        <v>45103</v>
      </c>
      <c r="K942" s="739">
        <v>0.375</v>
      </c>
      <c r="L942" s="712">
        <v>45103</v>
      </c>
      <c r="M942" s="739">
        <v>0.5625</v>
      </c>
      <c r="N942" s="179">
        <v>4.5</v>
      </c>
      <c r="O942" s="184" t="s">
        <v>17</v>
      </c>
      <c r="P942" s="185" t="s">
        <v>1300</v>
      </c>
      <c r="Q942" s="746" t="s">
        <v>258</v>
      </c>
      <c r="R942" s="171" t="s">
        <v>81</v>
      </c>
      <c r="S942" s="31" t="s">
        <v>273</v>
      </c>
      <c r="T942" s="31" t="s">
        <v>273</v>
      </c>
      <c r="U942" s="31">
        <f>IFERROR(VLOOKUP(CONCATENATE(Tabla1[[#This Row],[Severidad]]," ",Tabla1[[#This Row],[Complejidad]]),Catalogos!E$120:G$128,3,FALSE),"")</f>
        <v>64</v>
      </c>
      <c r="V942" s="31" t="str">
        <f>IF(Tabla1[[#This Row],[Tiempo solución max (hrs)]]&lt;&gt;"",IF(Tabla1[[#This Row],[Tiempo solución max (hrs)]]&gt;=Tabla1[[#This Row],[Tiempo
(Hrs 00/100)]],"cumple","no cumple"),"")</f>
        <v>cumple</v>
      </c>
      <c r="W942" s="376" t="s">
        <v>1312</v>
      </c>
      <c r="X942" s="463" t="str">
        <f t="shared" si="106"/>
        <v>SAW</v>
      </c>
      <c r="Y942" s="459" t="str">
        <f>SUBSTITUTE(Tabla1[[#This Row],[Descripción]],CHAR(10),"    I    ")</f>
        <v xml:space="preserve">Actualización micrositio certamen </v>
      </c>
      <c r="Z942" s="464">
        <f>VLOOKUP(Tabla1[[#This Row],[Perfil]],Catalogos!$B$75:$D$100,3,FALSE)*Tabla1[[#This Row],[Tiempo
(Hrs 00/100)]]*1.16</f>
        <v>2610</v>
      </c>
    </row>
    <row r="943" spans="1:26" ht="15" customHeight="1" x14ac:dyDescent="0.3">
      <c r="A943" s="373" t="s">
        <v>22</v>
      </c>
      <c r="B943" s="184" t="s">
        <v>68</v>
      </c>
      <c r="C943" s="183" t="s">
        <v>16</v>
      </c>
      <c r="D943" s="179"/>
      <c r="E943" s="386" t="s">
        <v>503</v>
      </c>
      <c r="F943" s="373" t="s">
        <v>75</v>
      </c>
      <c r="G943" s="370" t="s">
        <v>435</v>
      </c>
      <c r="H943" s="387" t="s">
        <v>436</v>
      </c>
      <c r="I943" s="395" t="s">
        <v>1308</v>
      </c>
      <c r="J943" s="712">
        <v>45103</v>
      </c>
      <c r="K943" s="739">
        <v>0.5625</v>
      </c>
      <c r="L943" s="712">
        <v>45103</v>
      </c>
      <c r="M943" s="739">
        <v>0.79166666666666663</v>
      </c>
      <c r="N943" s="179">
        <v>4</v>
      </c>
      <c r="O943" s="184" t="s">
        <v>17</v>
      </c>
      <c r="P943" s="375" t="s">
        <v>1289</v>
      </c>
      <c r="Q943" s="746" t="s">
        <v>258</v>
      </c>
      <c r="R943" s="171" t="s">
        <v>81</v>
      </c>
      <c r="S943" s="31" t="s">
        <v>273</v>
      </c>
      <c r="T943" s="31" t="s">
        <v>273</v>
      </c>
      <c r="U943" s="31">
        <f>IFERROR(VLOOKUP(CONCATENATE(Tabla1[[#This Row],[Severidad]]," ",Tabla1[[#This Row],[Complejidad]]),Catalogos!E$120:G$128,3,FALSE),"")</f>
        <v>64</v>
      </c>
      <c r="V943" s="31" t="str">
        <f>IF(Tabla1[[#This Row],[Tiempo solución max (hrs)]]&lt;&gt;"",IF(Tabla1[[#This Row],[Tiempo solución max (hrs)]]&gt;=Tabla1[[#This Row],[Tiempo
(Hrs 00/100)]],"cumple","no cumple"),"")</f>
        <v>cumple</v>
      </c>
      <c r="W943" s="376" t="s">
        <v>1312</v>
      </c>
      <c r="X943" s="463" t="str">
        <f t="shared" si="106"/>
        <v>SAW</v>
      </c>
      <c r="Y943" s="459" t="str">
        <f>SUBSTITUTE(Tabla1[[#This Row],[Descripción]],CHAR(10),"    I    ")</f>
        <v xml:space="preserve">apoyo en pagina web </v>
      </c>
      <c r="Z943" s="464">
        <f>VLOOKUP(Tabla1[[#This Row],[Perfil]],Catalogos!$B$75:$D$100,3,FALSE)*Tabla1[[#This Row],[Tiempo
(Hrs 00/100)]]*1.16</f>
        <v>2320</v>
      </c>
    </row>
    <row r="944" spans="1:26" ht="15" customHeight="1" x14ac:dyDescent="0.3">
      <c r="A944" s="373" t="s">
        <v>22</v>
      </c>
      <c r="B944" s="184" t="s">
        <v>68</v>
      </c>
      <c r="C944" s="183" t="s">
        <v>16</v>
      </c>
      <c r="D944" s="179"/>
      <c r="E944" s="386" t="s">
        <v>503</v>
      </c>
      <c r="F944" s="373" t="s">
        <v>75</v>
      </c>
      <c r="G944" s="370" t="s">
        <v>435</v>
      </c>
      <c r="H944" s="387" t="s">
        <v>436</v>
      </c>
      <c r="I944" s="393" t="s">
        <v>1357</v>
      </c>
      <c r="J944" s="712">
        <v>45104</v>
      </c>
      <c r="K944" s="739">
        <v>0.375</v>
      </c>
      <c r="L944" s="712">
        <v>45104</v>
      </c>
      <c r="M944" s="739">
        <v>0.52083333333333337</v>
      </c>
      <c r="N944" s="179">
        <v>3.5</v>
      </c>
      <c r="O944" s="184" t="s">
        <v>17</v>
      </c>
      <c r="P944" s="375" t="s">
        <v>1309</v>
      </c>
      <c r="Q944" s="746" t="s">
        <v>258</v>
      </c>
      <c r="R944" s="171" t="s">
        <v>81</v>
      </c>
      <c r="S944" s="31" t="s">
        <v>273</v>
      </c>
      <c r="T944" s="31" t="s">
        <v>273</v>
      </c>
      <c r="U944" s="31">
        <f>IFERROR(VLOOKUP(CONCATENATE(Tabla1[[#This Row],[Severidad]]," ",Tabla1[[#This Row],[Complejidad]]),Catalogos!E$120:G$128,3,FALSE),"")</f>
        <v>64</v>
      </c>
      <c r="V944" s="31" t="str">
        <f>IF(Tabla1[[#This Row],[Tiempo solución max (hrs)]]&lt;&gt;"",IF(Tabla1[[#This Row],[Tiempo solución max (hrs)]]&gt;=Tabla1[[#This Row],[Tiempo
(Hrs 00/100)]],"cumple","no cumple"),"")</f>
        <v>cumple</v>
      </c>
      <c r="W944" s="376" t="s">
        <v>1312</v>
      </c>
      <c r="X944" s="463" t="str">
        <f t="shared" si="106"/>
        <v>SAW</v>
      </c>
      <c r="Y944" s="459" t="str">
        <f>SUBSTITUTE(Tabla1[[#This Row],[Descripción]],CHAR(10),"    I    ")</f>
        <v xml:space="preserve">actualización micrositio gobierno abierto </v>
      </c>
      <c r="Z944" s="464">
        <f>VLOOKUP(Tabla1[[#This Row],[Perfil]],Catalogos!$B$75:$D$100,3,FALSE)*Tabla1[[#This Row],[Tiempo
(Hrs 00/100)]]*1.16</f>
        <v>2029.9999999999998</v>
      </c>
    </row>
    <row r="945" spans="1:26" ht="15" customHeight="1" x14ac:dyDescent="0.3">
      <c r="A945" s="373" t="s">
        <v>22</v>
      </c>
      <c r="B945" s="184" t="s">
        <v>68</v>
      </c>
      <c r="C945" s="183" t="s">
        <v>16</v>
      </c>
      <c r="D945" s="179"/>
      <c r="E945" s="386" t="s">
        <v>503</v>
      </c>
      <c r="F945" s="373" t="s">
        <v>75</v>
      </c>
      <c r="G945" s="370" t="s">
        <v>435</v>
      </c>
      <c r="H945" s="387" t="s">
        <v>436</v>
      </c>
      <c r="I945" s="395" t="s">
        <v>1358</v>
      </c>
      <c r="J945" s="712">
        <v>45104</v>
      </c>
      <c r="K945" s="739">
        <v>0.52083333333333337</v>
      </c>
      <c r="L945" s="712">
        <v>45104</v>
      </c>
      <c r="M945" s="739">
        <v>0.79166666666666663</v>
      </c>
      <c r="N945" s="179">
        <v>5</v>
      </c>
      <c r="O945" s="184" t="s">
        <v>17</v>
      </c>
      <c r="P945" s="185" t="s">
        <v>1310</v>
      </c>
      <c r="Q945" s="746" t="s">
        <v>258</v>
      </c>
      <c r="R945" s="171" t="s">
        <v>81</v>
      </c>
      <c r="S945" s="31" t="s">
        <v>273</v>
      </c>
      <c r="T945" s="31" t="s">
        <v>273</v>
      </c>
      <c r="U945" s="31">
        <f>IFERROR(VLOOKUP(CONCATENATE(Tabla1[[#This Row],[Severidad]]," ",Tabla1[[#This Row],[Complejidad]]),Catalogos!E$120:G$128,3,FALSE),"")</f>
        <v>64</v>
      </c>
      <c r="V945" s="31" t="str">
        <f>IF(Tabla1[[#This Row],[Tiempo solución max (hrs)]]&lt;&gt;"",IF(Tabla1[[#This Row],[Tiempo solución max (hrs)]]&gt;=Tabla1[[#This Row],[Tiempo
(Hrs 00/100)]],"cumple","no cumple"),"")</f>
        <v>cumple</v>
      </c>
      <c r="W945" s="376" t="s">
        <v>1312</v>
      </c>
      <c r="X945" s="463" t="str">
        <f t="shared" si="106"/>
        <v>SAW</v>
      </c>
      <c r="Y945" s="459" t="str">
        <f>SUBSTITUTE(Tabla1[[#This Row],[Descripción]],CHAR(10),"    I    ")</f>
        <v xml:space="preserve">Actualización sitio Resoluciones </v>
      </c>
      <c r="Z945" s="464">
        <f>VLOOKUP(Tabla1[[#This Row],[Perfil]],Catalogos!$B$75:$D$100,3,FALSE)*Tabla1[[#This Row],[Tiempo
(Hrs 00/100)]]*1.16</f>
        <v>2900</v>
      </c>
    </row>
    <row r="946" spans="1:26" ht="15" customHeight="1" x14ac:dyDescent="0.3">
      <c r="A946" s="373" t="s">
        <v>22</v>
      </c>
      <c r="B946" s="184" t="s">
        <v>68</v>
      </c>
      <c r="C946" s="183" t="s">
        <v>16</v>
      </c>
      <c r="D946" s="179"/>
      <c r="E946" s="386" t="s">
        <v>503</v>
      </c>
      <c r="F946" s="373" t="s">
        <v>75</v>
      </c>
      <c r="G946" s="370" t="s">
        <v>435</v>
      </c>
      <c r="H946" s="387" t="s">
        <v>436</v>
      </c>
      <c r="I946" s="178" t="s">
        <v>1358</v>
      </c>
      <c r="J946" s="712">
        <v>45105</v>
      </c>
      <c r="K946" s="747">
        <v>0.375</v>
      </c>
      <c r="L946" s="712">
        <v>45105</v>
      </c>
      <c r="M946" s="753">
        <v>0.79166666666666663</v>
      </c>
      <c r="N946" s="179">
        <v>8.5</v>
      </c>
      <c r="O946" s="184" t="s">
        <v>411</v>
      </c>
      <c r="P946" s="185" t="s">
        <v>1310</v>
      </c>
      <c r="Q946" s="746" t="s">
        <v>258</v>
      </c>
      <c r="R946" s="171" t="s">
        <v>81</v>
      </c>
      <c r="S946" s="31" t="s">
        <v>273</v>
      </c>
      <c r="T946" s="31" t="s">
        <v>273</v>
      </c>
      <c r="U946" s="31">
        <f>IFERROR(VLOOKUP(CONCATENATE(Tabla1[[#This Row],[Severidad]]," ",Tabla1[[#This Row],[Complejidad]]),Catalogos!E$120:G$128,3,FALSE),"")</f>
        <v>64</v>
      </c>
      <c r="V946" s="31" t="str">
        <f>IF(Tabla1[[#This Row],[Tiempo solución max (hrs)]]&lt;&gt;"",IF(Tabla1[[#This Row],[Tiempo solución max (hrs)]]&gt;=Tabla1[[#This Row],[Tiempo
(Hrs 00/100)]],"cumple","no cumple"),"")</f>
        <v>cumple</v>
      </c>
      <c r="W946" s="376" t="s">
        <v>1312</v>
      </c>
      <c r="X946" s="463" t="str">
        <f t="shared" si="106"/>
        <v>SAW</v>
      </c>
      <c r="Y946" s="459" t="str">
        <f>SUBSTITUTE(Tabla1[[#This Row],[Descripción]],CHAR(10),"    I    ")</f>
        <v xml:space="preserve">Actualización sitio Resoluciones </v>
      </c>
      <c r="Z946" s="464">
        <f>VLOOKUP(Tabla1[[#This Row],[Perfil]],Catalogos!$B$75:$D$100,3,FALSE)*Tabla1[[#This Row],[Tiempo
(Hrs 00/100)]]*1.16</f>
        <v>4930</v>
      </c>
    </row>
    <row r="947" spans="1:26" ht="15" customHeight="1" x14ac:dyDescent="0.3">
      <c r="A947" s="373" t="s">
        <v>22</v>
      </c>
      <c r="B947" s="184" t="s">
        <v>68</v>
      </c>
      <c r="C947" s="183" t="s">
        <v>16</v>
      </c>
      <c r="D947" s="179"/>
      <c r="E947" s="386" t="s">
        <v>503</v>
      </c>
      <c r="F947" s="373" t="s">
        <v>75</v>
      </c>
      <c r="G947" s="370" t="s">
        <v>435</v>
      </c>
      <c r="H947" s="387" t="s">
        <v>436</v>
      </c>
      <c r="I947" s="178" t="s">
        <v>1358</v>
      </c>
      <c r="J947" s="712">
        <v>45106</v>
      </c>
      <c r="K947" s="747">
        <v>0.375</v>
      </c>
      <c r="L947" s="712">
        <v>45106</v>
      </c>
      <c r="M947" s="753">
        <v>0.79166666666666663</v>
      </c>
      <c r="N947" s="179">
        <v>8.5</v>
      </c>
      <c r="O947" s="184" t="s">
        <v>411</v>
      </c>
      <c r="P947" s="375" t="s">
        <v>1310</v>
      </c>
      <c r="Q947" s="746" t="s">
        <v>258</v>
      </c>
      <c r="R947" s="171" t="s">
        <v>81</v>
      </c>
      <c r="S947" s="31" t="s">
        <v>273</v>
      </c>
      <c r="T947" s="31" t="s">
        <v>273</v>
      </c>
      <c r="U947" s="31">
        <f>IFERROR(VLOOKUP(CONCATENATE(Tabla1[[#This Row],[Severidad]]," ",Tabla1[[#This Row],[Complejidad]]),Catalogos!E$120:G$128,3,FALSE),"")</f>
        <v>64</v>
      </c>
      <c r="V947" s="31" t="str">
        <f>IF(Tabla1[[#This Row],[Tiempo solución max (hrs)]]&lt;&gt;"",IF(Tabla1[[#This Row],[Tiempo solución max (hrs)]]&gt;=Tabla1[[#This Row],[Tiempo
(Hrs 00/100)]],"cumple","no cumple"),"")</f>
        <v>cumple</v>
      </c>
      <c r="W947" s="376" t="s">
        <v>1312</v>
      </c>
      <c r="X947" s="463" t="str">
        <f t="shared" si="106"/>
        <v>SAW</v>
      </c>
      <c r="Y947" s="459" t="str">
        <f>SUBSTITUTE(Tabla1[[#This Row],[Descripción]],CHAR(10),"    I    ")</f>
        <v xml:space="preserve">Actualización sitio Resoluciones </v>
      </c>
      <c r="Z947" s="464">
        <f>VLOOKUP(Tabla1[[#This Row],[Perfil]],Catalogos!$B$75:$D$100,3,FALSE)*Tabla1[[#This Row],[Tiempo
(Hrs 00/100)]]*1.16</f>
        <v>4930</v>
      </c>
    </row>
    <row r="948" spans="1:26" ht="15" customHeight="1" x14ac:dyDescent="0.3">
      <c r="A948" s="373" t="s">
        <v>22</v>
      </c>
      <c r="B948" s="184" t="s">
        <v>68</v>
      </c>
      <c r="C948" s="183" t="s">
        <v>16</v>
      </c>
      <c r="D948" s="179"/>
      <c r="E948" s="386" t="s">
        <v>503</v>
      </c>
      <c r="F948" s="373" t="s">
        <v>75</v>
      </c>
      <c r="G948" s="370" t="s">
        <v>435</v>
      </c>
      <c r="H948" s="387" t="s">
        <v>436</v>
      </c>
      <c r="I948" s="178" t="s">
        <v>1358</v>
      </c>
      <c r="J948" s="712">
        <v>45107</v>
      </c>
      <c r="K948" s="739">
        <v>0.375</v>
      </c>
      <c r="L948" s="712">
        <v>45107</v>
      </c>
      <c r="M948" s="739">
        <v>0.625</v>
      </c>
      <c r="N948" s="179">
        <v>6</v>
      </c>
      <c r="O948" s="184" t="s">
        <v>17</v>
      </c>
      <c r="P948" s="375" t="s">
        <v>1311</v>
      </c>
      <c r="Q948" s="746" t="s">
        <v>258</v>
      </c>
      <c r="R948" s="171" t="s">
        <v>81</v>
      </c>
      <c r="S948" s="31" t="s">
        <v>273</v>
      </c>
      <c r="T948" s="31" t="s">
        <v>273</v>
      </c>
      <c r="U948" s="31">
        <f>IFERROR(VLOOKUP(CONCATENATE(Tabla1[[#This Row],[Severidad]]," ",Tabla1[[#This Row],[Complejidad]]),Catalogos!E$120:G$128,3,FALSE),"")</f>
        <v>64</v>
      </c>
      <c r="V948" s="31" t="str">
        <f>IF(Tabla1[[#This Row],[Tiempo solución max (hrs)]]&lt;&gt;"",IF(Tabla1[[#This Row],[Tiempo solución max (hrs)]]&gt;=Tabla1[[#This Row],[Tiempo
(Hrs 00/100)]],"cumple","no cumple"),"")</f>
        <v>cumple</v>
      </c>
      <c r="W948" s="376" t="s">
        <v>1312</v>
      </c>
      <c r="X948" s="463" t="str">
        <f t="shared" ref="X948:X988" si="107">IF(C948&lt;&gt;"",C948,D948)</f>
        <v>SAW</v>
      </c>
      <c r="Y948" s="459" t="str">
        <f>SUBSTITUTE(Tabla1[[#This Row],[Descripción]],CHAR(10),"    I    ")</f>
        <v xml:space="preserve">Actualización sitio Resoluciones </v>
      </c>
      <c r="Z948" s="464">
        <f>VLOOKUP(Tabla1[[#This Row],[Perfil]],Catalogos!$B$75:$D$100,3,FALSE)*Tabla1[[#This Row],[Tiempo
(Hrs 00/100)]]*1.16</f>
        <v>3479.9999999999995</v>
      </c>
    </row>
    <row r="949" spans="1:26" ht="15" customHeight="1" x14ac:dyDescent="0.3">
      <c r="A949" s="370" t="s">
        <v>58</v>
      </c>
      <c r="B949" s="370" t="s">
        <v>173</v>
      </c>
      <c r="C949" s="205" t="s">
        <v>155</v>
      </c>
      <c r="D949" s="370"/>
      <c r="E949" s="386" t="s">
        <v>408</v>
      </c>
      <c r="F949" s="373" t="s">
        <v>74</v>
      </c>
      <c r="G949" s="370" t="s">
        <v>604</v>
      </c>
      <c r="H949" s="371" t="s">
        <v>1359</v>
      </c>
      <c r="I949" s="371" t="s">
        <v>1360</v>
      </c>
      <c r="J949" s="527">
        <v>45103</v>
      </c>
      <c r="K949" s="739">
        <v>0.375</v>
      </c>
      <c r="L949" s="527">
        <v>45103</v>
      </c>
      <c r="M949" s="528">
        <v>0.45833333333333331</v>
      </c>
      <c r="N949" s="373">
        <v>2</v>
      </c>
      <c r="O949" s="374" t="s">
        <v>17</v>
      </c>
      <c r="P949" s="375"/>
      <c r="Q949" s="797" t="s">
        <v>1441</v>
      </c>
      <c r="R949" s="202" t="s">
        <v>95</v>
      </c>
      <c r="S949" s="31" t="s">
        <v>273</v>
      </c>
      <c r="T949" s="31" t="s">
        <v>273</v>
      </c>
      <c r="U949" s="31">
        <f>IFERROR(VLOOKUP(CONCATENATE(Tabla1[[#This Row],[Severidad]]," ",Tabla1[[#This Row],[Complejidad]]),Catalogos!E$120:G$128,3,FALSE),"")</f>
        <v>64</v>
      </c>
      <c r="V949" s="31" t="str">
        <f>IF(Tabla1[[#This Row],[Tiempo solución max (hrs)]]&lt;&gt;"",IF(Tabla1[[#This Row],[Tiempo solución max (hrs)]]&gt;=Tabla1[[#This Row],[Tiempo
(Hrs 00/100)]],"cumple","no cumple"),"")</f>
        <v>cumple</v>
      </c>
      <c r="W949" s="376" t="s">
        <v>1312</v>
      </c>
      <c r="X949" s="463" t="str">
        <f t="shared" si="107"/>
        <v>DS</v>
      </c>
      <c r="Y949" s="459" t="str">
        <f>SUBSTITUTE(Tabla1[[#This Row],[Descripción]],CHAR(10),"    I    ")</f>
        <v>Se instalo el software Forticlient para poder configurar la VPN para conectarme a la red del INAI</v>
      </c>
      <c r="Z949" s="464">
        <f>VLOOKUP(Tabla1[[#This Row],[Perfil]],Catalogos!$B$75:$D$100,3,FALSE)*Tabla1[[#This Row],[Tiempo
(Hrs 00/100)]]*1.16</f>
        <v>1392</v>
      </c>
    </row>
    <row r="950" spans="1:26" ht="15" customHeight="1" x14ac:dyDescent="0.3">
      <c r="A950" s="370" t="s">
        <v>58</v>
      </c>
      <c r="B950" s="370" t="s">
        <v>173</v>
      </c>
      <c r="C950" s="205" t="s">
        <v>155</v>
      </c>
      <c r="D950" s="370"/>
      <c r="E950" s="386" t="s">
        <v>408</v>
      </c>
      <c r="F950" s="373" t="s">
        <v>74</v>
      </c>
      <c r="G950" s="370" t="s">
        <v>604</v>
      </c>
      <c r="H950" s="371" t="s">
        <v>1313</v>
      </c>
      <c r="I950" s="371" t="s">
        <v>1361</v>
      </c>
      <c r="J950" s="527">
        <v>45103</v>
      </c>
      <c r="K950" s="528">
        <v>0.45833333333333331</v>
      </c>
      <c r="L950" s="527">
        <v>45103</v>
      </c>
      <c r="M950" s="528">
        <v>0.54166666666666663</v>
      </c>
      <c r="N950" s="373">
        <v>2</v>
      </c>
      <c r="O950" s="374" t="s">
        <v>17</v>
      </c>
      <c r="P950" s="375"/>
      <c r="Q950" s="797" t="s">
        <v>1441</v>
      </c>
      <c r="R950" s="202" t="s">
        <v>95</v>
      </c>
      <c r="S950" s="31" t="s">
        <v>273</v>
      </c>
      <c r="T950" s="31" t="s">
        <v>273</v>
      </c>
      <c r="U950" s="31">
        <f>IFERROR(VLOOKUP(CONCATENATE(Tabla1[[#This Row],[Severidad]]," ",Tabla1[[#This Row],[Complejidad]]),Catalogos!E$120:G$128,3,FALSE),"")</f>
        <v>64</v>
      </c>
      <c r="V950" s="31" t="str">
        <f>IF(Tabla1[[#This Row],[Tiempo solución max (hrs)]]&lt;&gt;"",IF(Tabla1[[#This Row],[Tiempo solución max (hrs)]]&gt;=Tabla1[[#This Row],[Tiempo
(Hrs 00/100)]],"cumple","no cumple"),"")</f>
        <v>cumple</v>
      </c>
      <c r="W950" s="376" t="s">
        <v>1312</v>
      </c>
      <c r="X950" s="463" t="str">
        <f t="shared" si="107"/>
        <v>DS</v>
      </c>
      <c r="Y950" s="459" t="str">
        <f>SUBSTITUTE(Tabla1[[#This Row],[Descripción]],CHAR(10),"    I    ")</f>
        <v>Se configura la VPN para conectarse a los servidores del INAI, de acuerdo a la información proporcionada el subdirector y se valida la conexión</v>
      </c>
      <c r="Z950" s="464">
        <f>VLOOKUP(Tabla1[[#This Row],[Perfil]],Catalogos!$B$75:$D$100,3,FALSE)*Tabla1[[#This Row],[Tiempo
(Hrs 00/100)]]*1.16</f>
        <v>1392</v>
      </c>
    </row>
    <row r="951" spans="1:26" ht="15" customHeight="1" x14ac:dyDescent="0.3">
      <c r="A951" s="370" t="s">
        <v>58</v>
      </c>
      <c r="B951" s="370" t="s">
        <v>173</v>
      </c>
      <c r="C951" s="205" t="s">
        <v>155</v>
      </c>
      <c r="D951" s="370"/>
      <c r="E951" s="386" t="s">
        <v>408</v>
      </c>
      <c r="F951" s="373" t="s">
        <v>72</v>
      </c>
      <c r="G951" s="370" t="s">
        <v>604</v>
      </c>
      <c r="H951" s="371" t="s">
        <v>1314</v>
      </c>
      <c r="I951" s="371" t="s">
        <v>1315</v>
      </c>
      <c r="J951" s="717">
        <v>45103</v>
      </c>
      <c r="K951" s="528">
        <v>0.54166666666666663</v>
      </c>
      <c r="L951" s="717">
        <v>45104</v>
      </c>
      <c r="M951" s="760">
        <v>0.83333333333333337</v>
      </c>
      <c r="N951" s="373">
        <v>6</v>
      </c>
      <c r="O951" s="374" t="s">
        <v>17</v>
      </c>
      <c r="P951" s="375"/>
      <c r="Q951" s="797" t="s">
        <v>1441</v>
      </c>
      <c r="R951" s="202" t="s">
        <v>95</v>
      </c>
      <c r="S951" s="31" t="s">
        <v>273</v>
      </c>
      <c r="T951" s="31" t="s">
        <v>273</v>
      </c>
      <c r="U951" s="31">
        <f>IFERROR(VLOOKUP(CONCATENATE(Tabla1[[#This Row],[Severidad]]," ",Tabla1[[#This Row],[Complejidad]]),Catalogos!E$120:G$128,3,FALSE),"")</f>
        <v>64</v>
      </c>
      <c r="V951" s="31" t="str">
        <f>IF(Tabla1[[#This Row],[Tiempo solución max (hrs)]]&lt;&gt;"",IF(Tabla1[[#This Row],[Tiempo solución max (hrs)]]&gt;=Tabla1[[#This Row],[Tiempo
(Hrs 00/100)]],"cumple","no cumple"),"")</f>
        <v>cumple</v>
      </c>
      <c r="W951" s="376" t="s">
        <v>1312</v>
      </c>
      <c r="X951" s="463" t="str">
        <f t="shared" si="107"/>
        <v>DS</v>
      </c>
      <c r="Y951" s="459" t="str">
        <f>SUBSTITUTE(Tabla1[[#This Row],[Descripción]],CHAR(10),"    I    ")</f>
        <v>Se revisa el Diccionario de Datos del SISAI con todas las tablas que se manejan</v>
      </c>
      <c r="Z951" s="464">
        <f>VLOOKUP(Tabla1[[#This Row],[Perfil]],Catalogos!$B$75:$D$100,3,FALSE)*Tabla1[[#This Row],[Tiempo
(Hrs 00/100)]]*1.16</f>
        <v>4176</v>
      </c>
    </row>
    <row r="952" spans="1:26" ht="15" customHeight="1" x14ac:dyDescent="0.3">
      <c r="A952" s="370" t="s">
        <v>58</v>
      </c>
      <c r="B952" s="370" t="s">
        <v>173</v>
      </c>
      <c r="C952" s="205" t="s">
        <v>155</v>
      </c>
      <c r="D952" s="382"/>
      <c r="E952" s="386" t="s">
        <v>408</v>
      </c>
      <c r="F952" s="373" t="s">
        <v>72</v>
      </c>
      <c r="G952" s="370" t="s">
        <v>604</v>
      </c>
      <c r="H952" s="371" t="s">
        <v>1316</v>
      </c>
      <c r="I952" s="371" t="s">
        <v>1317</v>
      </c>
      <c r="J952" s="527">
        <v>45104</v>
      </c>
      <c r="K952" s="739">
        <v>0.375</v>
      </c>
      <c r="L952" s="527">
        <v>45105</v>
      </c>
      <c r="M952" s="760">
        <v>0.79166666666666663</v>
      </c>
      <c r="N952" s="373">
        <v>8</v>
      </c>
      <c r="O952" s="374" t="s">
        <v>17</v>
      </c>
      <c r="P952" s="375"/>
      <c r="Q952" s="797" t="s">
        <v>1441</v>
      </c>
      <c r="R952" s="202" t="s">
        <v>95</v>
      </c>
      <c r="S952" s="31" t="s">
        <v>273</v>
      </c>
      <c r="T952" s="31" t="s">
        <v>273</v>
      </c>
      <c r="U952" s="31">
        <f>IFERROR(VLOOKUP(CONCATENATE(Tabla1[[#This Row],[Severidad]]," ",Tabla1[[#This Row],[Complejidad]]),Catalogos!E$120:G$128,3,FALSE),"")</f>
        <v>64</v>
      </c>
      <c r="V952" s="31" t="str">
        <f>IF(Tabla1[[#This Row],[Tiempo solución max (hrs)]]&lt;&gt;"",IF(Tabla1[[#This Row],[Tiempo solución max (hrs)]]&gt;=Tabla1[[#This Row],[Tiempo
(Hrs 00/100)]],"cumple","no cumple"),"")</f>
        <v>cumple</v>
      </c>
      <c r="W952" s="376" t="s">
        <v>1312</v>
      </c>
      <c r="X952" s="463" t="str">
        <f t="shared" si="107"/>
        <v>DS</v>
      </c>
      <c r="Y952" s="459" t="str">
        <f>SUBSTITUTE(Tabla1[[#This Row],[Descripción]],CHAR(10),"    I    ")</f>
        <v>Se revisa el Diagrama Entidad-Relación de las tablas del SISAI, para entender la relación de las tablas del sistema</v>
      </c>
      <c r="Z952" s="464">
        <f>VLOOKUP(Tabla1[[#This Row],[Perfil]],Catalogos!$B$75:$D$100,3,FALSE)*Tabla1[[#This Row],[Tiempo
(Hrs 00/100)]]*1.16</f>
        <v>5568</v>
      </c>
    </row>
    <row r="953" spans="1:26" ht="15" customHeight="1" x14ac:dyDescent="0.3">
      <c r="A953" s="370" t="s">
        <v>58</v>
      </c>
      <c r="B953" s="370" t="s">
        <v>173</v>
      </c>
      <c r="C953" s="205" t="s">
        <v>155</v>
      </c>
      <c r="D953" s="382"/>
      <c r="E953" s="386" t="s">
        <v>408</v>
      </c>
      <c r="F953" s="373" t="s">
        <v>74</v>
      </c>
      <c r="G953" s="370" t="s">
        <v>604</v>
      </c>
      <c r="H953" s="371" t="s">
        <v>1318</v>
      </c>
      <c r="I953" s="371" t="s">
        <v>1319</v>
      </c>
      <c r="J953" s="527">
        <v>45105</v>
      </c>
      <c r="K953" s="739">
        <v>0.375</v>
      </c>
      <c r="L953" s="527">
        <v>45105</v>
      </c>
      <c r="M953" s="528">
        <v>0.54166666666666663</v>
      </c>
      <c r="N953" s="210">
        <v>4</v>
      </c>
      <c r="O953" s="374" t="s">
        <v>17</v>
      </c>
      <c r="P953" s="375"/>
      <c r="Q953" s="797" t="s">
        <v>1441</v>
      </c>
      <c r="R953" s="202" t="s">
        <v>95</v>
      </c>
      <c r="S953" s="31" t="s">
        <v>273</v>
      </c>
      <c r="T953" s="31" t="s">
        <v>273</v>
      </c>
      <c r="U953" s="31">
        <f>IFERROR(VLOOKUP(CONCATENATE(Tabla1[[#This Row],[Severidad]]," ",Tabla1[[#This Row],[Complejidad]]),Catalogos!E$120:G$128,3,FALSE),"")</f>
        <v>64</v>
      </c>
      <c r="V953" s="31" t="str">
        <f>IF(Tabla1[[#This Row],[Tiempo solución max (hrs)]]&lt;&gt;"",IF(Tabla1[[#This Row],[Tiempo solución max (hrs)]]&gt;=Tabla1[[#This Row],[Tiempo
(Hrs 00/100)]],"cumple","no cumple"),"")</f>
        <v>cumple</v>
      </c>
      <c r="W953" s="376" t="s">
        <v>1312</v>
      </c>
      <c r="X953" s="463" t="str">
        <f t="shared" si="107"/>
        <v>DS</v>
      </c>
      <c r="Y953" s="459" t="str">
        <f>SUBSTITUTE(Tabla1[[#This Row],[Descripción]],CHAR(10),"    I    ")</f>
        <v>Se instala el software Toad for Oracle para poder conectarnos a la base de datos</v>
      </c>
      <c r="Z953" s="464">
        <f>VLOOKUP(Tabla1[[#This Row],[Perfil]],Catalogos!$B$75:$D$100,3,FALSE)*Tabla1[[#This Row],[Tiempo
(Hrs 00/100)]]*1.16</f>
        <v>2784</v>
      </c>
    </row>
    <row r="954" spans="1:26" ht="15" customHeight="1" x14ac:dyDescent="0.3">
      <c r="A954" s="243" t="s">
        <v>58</v>
      </c>
      <c r="B954" s="243" t="s">
        <v>173</v>
      </c>
      <c r="C954" s="205" t="s">
        <v>155</v>
      </c>
      <c r="D954" s="243"/>
      <c r="E954" s="386" t="s">
        <v>408</v>
      </c>
      <c r="F954" s="373" t="s">
        <v>74</v>
      </c>
      <c r="G954" s="370" t="s">
        <v>604</v>
      </c>
      <c r="H954" s="243" t="s">
        <v>1320</v>
      </c>
      <c r="I954" s="243" t="s">
        <v>1321</v>
      </c>
      <c r="J954" s="527">
        <v>45105</v>
      </c>
      <c r="K954" s="528">
        <v>0.66666666666666663</v>
      </c>
      <c r="L954" s="527">
        <v>45105</v>
      </c>
      <c r="M954" s="528">
        <v>0.625</v>
      </c>
      <c r="N954" s="373">
        <v>2</v>
      </c>
      <c r="O954" s="374" t="s">
        <v>17</v>
      </c>
      <c r="P954" s="375"/>
      <c r="Q954" s="797" t="s">
        <v>1441</v>
      </c>
      <c r="R954" s="202" t="s">
        <v>95</v>
      </c>
      <c r="S954" s="31" t="s">
        <v>273</v>
      </c>
      <c r="T954" s="31" t="s">
        <v>273</v>
      </c>
      <c r="U954" s="31">
        <f>IFERROR(VLOOKUP(CONCATENATE(Tabla1[[#This Row],[Severidad]]," ",Tabla1[[#This Row],[Complejidad]]),Catalogos!E$120:G$128,3,FALSE),"")</f>
        <v>64</v>
      </c>
      <c r="V954" s="31" t="str">
        <f>IF(Tabla1[[#This Row],[Tiempo solución max (hrs)]]&lt;&gt;"",IF(Tabla1[[#This Row],[Tiempo solución max (hrs)]]&gt;=Tabla1[[#This Row],[Tiempo
(Hrs 00/100)]],"cumple","no cumple"),"")</f>
        <v>cumple</v>
      </c>
      <c r="W954" s="376" t="s">
        <v>1312</v>
      </c>
      <c r="X954" s="463" t="str">
        <f t="shared" si="107"/>
        <v>DS</v>
      </c>
      <c r="Y954" s="459" t="str">
        <f>SUBSTITUTE(Tabla1[[#This Row],[Descripción]],CHAR(10),"    I    ")</f>
        <v>Se configura la conexión para la base de datos de producción para el servidor 172.20.36.91 y se valida la conexión</v>
      </c>
      <c r="Z954" s="464">
        <f>VLOOKUP(Tabla1[[#This Row],[Perfil]],Catalogos!$B$75:$D$100,3,FALSE)*Tabla1[[#This Row],[Tiempo
(Hrs 00/100)]]*1.16</f>
        <v>1392</v>
      </c>
    </row>
    <row r="955" spans="1:26" ht="15" customHeight="1" x14ac:dyDescent="0.3">
      <c r="A955" s="243" t="s">
        <v>58</v>
      </c>
      <c r="B955" s="243" t="s">
        <v>173</v>
      </c>
      <c r="C955" s="205" t="s">
        <v>155</v>
      </c>
      <c r="D955" s="243"/>
      <c r="E955" s="386" t="s">
        <v>408</v>
      </c>
      <c r="F955" s="373" t="s">
        <v>72</v>
      </c>
      <c r="G955" s="370" t="s">
        <v>604</v>
      </c>
      <c r="H955" s="243" t="s">
        <v>1362</v>
      </c>
      <c r="I955" s="243" t="s">
        <v>1363</v>
      </c>
      <c r="J955" s="527">
        <v>45105</v>
      </c>
      <c r="K955" s="528">
        <v>0.70833333333333337</v>
      </c>
      <c r="L955" s="527">
        <v>45105</v>
      </c>
      <c r="M955" s="528">
        <v>0.83333333333333337</v>
      </c>
      <c r="N955" s="210">
        <v>4</v>
      </c>
      <c r="O955" s="374" t="s">
        <v>17</v>
      </c>
      <c r="P955" s="375"/>
      <c r="Q955" s="797" t="s">
        <v>1441</v>
      </c>
      <c r="R955" s="202" t="s">
        <v>95</v>
      </c>
      <c r="S955" s="31" t="s">
        <v>273</v>
      </c>
      <c r="T955" s="31" t="s">
        <v>273</v>
      </c>
      <c r="U955" s="31">
        <f>IFERROR(VLOOKUP(CONCATENATE(Tabla1[[#This Row],[Severidad]]," ",Tabla1[[#This Row],[Complejidad]]),Catalogos!E$120:G$128,3,FALSE),"")</f>
        <v>64</v>
      </c>
      <c r="V955" s="31" t="str">
        <f>IF(Tabla1[[#This Row],[Tiempo solución max (hrs)]]&lt;&gt;"",IF(Tabla1[[#This Row],[Tiempo solución max (hrs)]]&gt;=Tabla1[[#This Row],[Tiempo
(Hrs 00/100)]],"cumple","no cumple"),"")</f>
        <v>cumple</v>
      </c>
      <c r="W955" s="376" t="s">
        <v>1312</v>
      </c>
      <c r="X955" s="463" t="str">
        <f t="shared" si="107"/>
        <v>DS</v>
      </c>
      <c r="Y955" s="459" t="str">
        <f>SUBSTITUTE(Tabla1[[#This Row],[Descripción]],CHAR(10),"    I    ")</f>
        <v>Se valida acceso a carpeta de SharePoint que contienen algunos queris del SISAI y se descargan los documentos</v>
      </c>
      <c r="Z955" s="464">
        <f>VLOOKUP(Tabla1[[#This Row],[Perfil]],Catalogos!$B$75:$D$100,3,FALSE)*Tabla1[[#This Row],[Tiempo
(Hrs 00/100)]]*1.16</f>
        <v>2784</v>
      </c>
    </row>
    <row r="956" spans="1:26" ht="15" customHeight="1" x14ac:dyDescent="0.3">
      <c r="A956" s="243" t="s">
        <v>58</v>
      </c>
      <c r="B956" s="243" t="s">
        <v>173</v>
      </c>
      <c r="C956" s="205" t="s">
        <v>155</v>
      </c>
      <c r="D956" s="243"/>
      <c r="E956" s="386" t="s">
        <v>408</v>
      </c>
      <c r="F956" s="373" t="s">
        <v>72</v>
      </c>
      <c r="G956" s="370" t="s">
        <v>604</v>
      </c>
      <c r="H956" s="243" t="s">
        <v>1322</v>
      </c>
      <c r="I956" s="243" t="s">
        <v>1323</v>
      </c>
      <c r="J956" s="527">
        <v>45106</v>
      </c>
      <c r="K956" s="528">
        <v>0.375</v>
      </c>
      <c r="L956" s="527">
        <v>45106</v>
      </c>
      <c r="M956" s="528">
        <v>0.625</v>
      </c>
      <c r="N956" s="210">
        <v>6</v>
      </c>
      <c r="O956" s="374" t="s">
        <v>17</v>
      </c>
      <c r="P956" s="375"/>
      <c r="Q956" s="797" t="s">
        <v>1441</v>
      </c>
      <c r="R956" s="202" t="s">
        <v>95</v>
      </c>
      <c r="S956" s="31" t="s">
        <v>273</v>
      </c>
      <c r="T956" s="31" t="s">
        <v>273</v>
      </c>
      <c r="U956" s="31">
        <f>IFERROR(VLOOKUP(CONCATENATE(Tabla1[[#This Row],[Severidad]]," ",Tabla1[[#This Row],[Complejidad]]),Catalogos!E$120:G$128,3,FALSE),"")</f>
        <v>64</v>
      </c>
      <c r="V956" s="31" t="str">
        <f>IF(Tabla1[[#This Row],[Tiempo solución max (hrs)]]&lt;&gt;"",IF(Tabla1[[#This Row],[Tiempo solución max (hrs)]]&gt;=Tabla1[[#This Row],[Tiempo
(Hrs 00/100)]],"cumple","no cumple"),"")</f>
        <v>cumple</v>
      </c>
      <c r="W956" s="376" t="s">
        <v>1312</v>
      </c>
      <c r="X956" s="463" t="str">
        <f t="shared" si="107"/>
        <v>DS</v>
      </c>
      <c r="Y956" s="459" t="str">
        <f>SUBSTITUTE(Tabla1[[#This Row],[Descripción]],CHAR(10),"    I    ")</f>
        <v>Se revisa el archivo 'Querys SISAI' para conocer las 16 consultas que se podrían mejorar u optimizar</v>
      </c>
      <c r="Z956" s="464">
        <f>VLOOKUP(Tabla1[[#This Row],[Perfil]],Catalogos!$B$75:$D$100,3,FALSE)*Tabla1[[#This Row],[Tiempo
(Hrs 00/100)]]*1.16</f>
        <v>4176</v>
      </c>
    </row>
    <row r="957" spans="1:26" ht="15" customHeight="1" x14ac:dyDescent="0.3">
      <c r="A957" s="243" t="s">
        <v>58</v>
      </c>
      <c r="B957" s="243" t="s">
        <v>173</v>
      </c>
      <c r="C957" s="205" t="s">
        <v>155</v>
      </c>
      <c r="D957" s="243"/>
      <c r="E957" s="386" t="s">
        <v>408</v>
      </c>
      <c r="F957" s="373" t="s">
        <v>72</v>
      </c>
      <c r="G957" s="370" t="s">
        <v>604</v>
      </c>
      <c r="H957" s="243" t="s">
        <v>1324</v>
      </c>
      <c r="I957" s="243" t="s">
        <v>1325</v>
      </c>
      <c r="J957" s="527">
        <v>45106</v>
      </c>
      <c r="K957" s="528">
        <v>0.66666666666666663</v>
      </c>
      <c r="L957" s="527">
        <v>45106</v>
      </c>
      <c r="M957" s="528">
        <v>0.75</v>
      </c>
      <c r="N957" s="210">
        <v>2</v>
      </c>
      <c r="O957" s="374" t="s">
        <v>17</v>
      </c>
      <c r="P957" s="375"/>
      <c r="Q957" s="797" t="s">
        <v>1441</v>
      </c>
      <c r="R957" s="202" t="s">
        <v>95</v>
      </c>
      <c r="S957" s="31" t="s">
        <v>273</v>
      </c>
      <c r="T957" s="31" t="s">
        <v>273</v>
      </c>
      <c r="U957" s="31">
        <f>IFERROR(VLOOKUP(CONCATENATE(Tabla1[[#This Row],[Severidad]]," ",Tabla1[[#This Row],[Complejidad]]),Catalogos!E$120:G$128,3,FALSE),"")</f>
        <v>64</v>
      </c>
      <c r="V957" s="31" t="str">
        <f>IF(Tabla1[[#This Row],[Tiempo solución max (hrs)]]&lt;&gt;"",IF(Tabla1[[#This Row],[Tiempo solución max (hrs)]]&gt;=Tabla1[[#This Row],[Tiempo
(Hrs 00/100)]],"cumple","no cumple"),"")</f>
        <v>cumple</v>
      </c>
      <c r="W957" s="376" t="s">
        <v>1312</v>
      </c>
      <c r="X957" s="463" t="str">
        <f t="shared" si="107"/>
        <v>DS</v>
      </c>
      <c r="Y957" s="459" t="str">
        <f>SUBSTITUTE(Tabla1[[#This Row],[Descripción]],CHAR(10),"    I    ")</f>
        <v>Se revisa el archivo 'Relación de querys de la PNT a mejorar' con la relación de los querys del SISAI que son prioritarios</v>
      </c>
      <c r="Z957" s="464">
        <f>VLOOKUP(Tabla1[[#This Row],[Perfil]],Catalogos!$B$75:$D$100,3,FALSE)*Tabla1[[#This Row],[Tiempo
(Hrs 00/100)]]*1.16</f>
        <v>1392</v>
      </c>
    </row>
    <row r="958" spans="1:26" ht="15" customHeight="1" x14ac:dyDescent="0.3">
      <c r="A958" s="370" t="s">
        <v>58</v>
      </c>
      <c r="B958" s="370" t="s">
        <v>173</v>
      </c>
      <c r="C958" s="205" t="s">
        <v>155</v>
      </c>
      <c r="D958" s="370"/>
      <c r="E958" s="370" t="s">
        <v>408</v>
      </c>
      <c r="F958" s="370" t="s">
        <v>74</v>
      </c>
      <c r="G958" s="370" t="s">
        <v>604</v>
      </c>
      <c r="H958" s="371" t="s">
        <v>1326</v>
      </c>
      <c r="I958" s="383" t="s">
        <v>1327</v>
      </c>
      <c r="J958" s="527">
        <v>45106</v>
      </c>
      <c r="K958" s="528">
        <v>0.75</v>
      </c>
      <c r="L958" s="527">
        <v>45106</v>
      </c>
      <c r="M958" s="528">
        <v>0.83333333333333337</v>
      </c>
      <c r="N958" s="373">
        <v>2</v>
      </c>
      <c r="O958" s="374" t="s">
        <v>17</v>
      </c>
      <c r="P958" s="375"/>
      <c r="Q958" s="797" t="s">
        <v>1441</v>
      </c>
      <c r="R958" s="202" t="s">
        <v>95</v>
      </c>
      <c r="S958" s="31" t="s">
        <v>273</v>
      </c>
      <c r="T958" s="31" t="s">
        <v>273</v>
      </c>
      <c r="U958" s="31">
        <f>IFERROR(VLOOKUP(CONCATENATE(Tabla1[[#This Row],[Severidad]]," ",Tabla1[[#This Row],[Complejidad]]),Catalogos!E$120:G$128,3,FALSE),"")</f>
        <v>64</v>
      </c>
      <c r="V958" s="31" t="str">
        <f>IF(Tabla1[[#This Row],[Tiempo solución max (hrs)]]&lt;&gt;"",IF(Tabla1[[#This Row],[Tiempo solución max (hrs)]]&gt;=Tabla1[[#This Row],[Tiempo
(Hrs 00/100)]],"cumple","no cumple"),"")</f>
        <v>cumple</v>
      </c>
      <c r="W958" s="376" t="s">
        <v>1312</v>
      </c>
      <c r="X958" s="463" t="str">
        <f t="shared" si="107"/>
        <v>DS</v>
      </c>
      <c r="Y958" s="459" t="str">
        <f>SUBSTITUTE(Tabla1[[#This Row],[Descripción]],CHAR(10),"    I    ")</f>
        <v>Se solicito el acceso y el usuario para conectarnos a la base de datos para el ambiente de desarrollo, para lectura y escritura</v>
      </c>
      <c r="Z958" s="464">
        <f>VLOOKUP(Tabla1[[#This Row],[Perfil]],Catalogos!$B$75:$D$100,3,FALSE)*Tabla1[[#This Row],[Tiempo
(Hrs 00/100)]]*1.16</f>
        <v>1392</v>
      </c>
    </row>
    <row r="959" spans="1:26" ht="15" customHeight="1" x14ac:dyDescent="0.3">
      <c r="A959" s="210" t="s">
        <v>58</v>
      </c>
      <c r="B959" s="374" t="s">
        <v>173</v>
      </c>
      <c r="C959" s="205" t="s">
        <v>155</v>
      </c>
      <c r="D959" s="382"/>
      <c r="E959" s="370" t="s">
        <v>408</v>
      </c>
      <c r="F959" s="210" t="s">
        <v>74</v>
      </c>
      <c r="G959" s="370" t="s">
        <v>604</v>
      </c>
      <c r="H959" s="371" t="s">
        <v>1328</v>
      </c>
      <c r="I959" s="383" t="s">
        <v>1329</v>
      </c>
      <c r="J959" s="527">
        <v>45107</v>
      </c>
      <c r="K959" s="747">
        <v>0.375</v>
      </c>
      <c r="L959" s="527">
        <v>45107</v>
      </c>
      <c r="M959" s="528">
        <v>0.45833333333333331</v>
      </c>
      <c r="N959" s="210">
        <v>2</v>
      </c>
      <c r="O959" s="374" t="s">
        <v>17</v>
      </c>
      <c r="P959" s="375"/>
      <c r="Q959" s="797" t="s">
        <v>1441</v>
      </c>
      <c r="R959" s="202" t="s">
        <v>95</v>
      </c>
      <c r="S959" s="31" t="s">
        <v>273</v>
      </c>
      <c r="T959" s="31" t="s">
        <v>273</v>
      </c>
      <c r="U959" s="31">
        <f>IFERROR(VLOOKUP(CONCATENATE(Tabla1[[#This Row],[Severidad]]," ",Tabla1[[#This Row],[Complejidad]]),Catalogos!E$120:G$128,3,FALSE),"")</f>
        <v>64</v>
      </c>
      <c r="V959" s="31" t="str">
        <f>IF(Tabla1[[#This Row],[Tiempo solución max (hrs)]]&lt;&gt;"",IF(Tabla1[[#This Row],[Tiempo solución max (hrs)]]&gt;=Tabla1[[#This Row],[Tiempo
(Hrs 00/100)]],"cumple","no cumple"),"")</f>
        <v>cumple</v>
      </c>
      <c r="W959" s="376" t="s">
        <v>1312</v>
      </c>
      <c r="X959" s="463" t="str">
        <f t="shared" si="107"/>
        <v>DS</v>
      </c>
      <c r="Y959" s="459" t="str">
        <f>SUBSTITUTE(Tabla1[[#This Row],[Descripción]],CHAR(10),"    I    ")</f>
        <v>Se valida conexión a basa de datos de desarrollo desde el Toad</v>
      </c>
      <c r="Z959" s="464">
        <f>VLOOKUP(Tabla1[[#This Row],[Perfil]],Catalogos!$B$75:$D$100,3,FALSE)*Tabla1[[#This Row],[Tiempo
(Hrs 00/100)]]*1.16</f>
        <v>1392</v>
      </c>
    </row>
    <row r="960" spans="1:26" ht="15" customHeight="1" x14ac:dyDescent="0.3">
      <c r="A960" s="210" t="s">
        <v>58</v>
      </c>
      <c r="B960" s="374" t="s">
        <v>173</v>
      </c>
      <c r="C960" s="205" t="s">
        <v>155</v>
      </c>
      <c r="D960" s="382"/>
      <c r="E960" s="370" t="s">
        <v>408</v>
      </c>
      <c r="F960" s="210" t="s">
        <v>72</v>
      </c>
      <c r="G960" s="370" t="s">
        <v>604</v>
      </c>
      <c r="H960" s="371" t="s">
        <v>1330</v>
      </c>
      <c r="I960" s="383" t="s">
        <v>1331</v>
      </c>
      <c r="J960" s="527">
        <v>45107</v>
      </c>
      <c r="K960" s="528">
        <v>0.45833333333333331</v>
      </c>
      <c r="L960" s="527">
        <v>45107</v>
      </c>
      <c r="M960" s="753">
        <v>0.83333333333333337</v>
      </c>
      <c r="N960" s="373">
        <v>8</v>
      </c>
      <c r="O960" s="374" t="s">
        <v>17</v>
      </c>
      <c r="P960" s="292"/>
      <c r="Q960" s="797" t="s">
        <v>1441</v>
      </c>
      <c r="R960" s="202" t="s">
        <v>95</v>
      </c>
      <c r="S960" s="31" t="s">
        <v>273</v>
      </c>
      <c r="T960" s="31" t="s">
        <v>273</v>
      </c>
      <c r="U960" s="31">
        <f>IFERROR(VLOOKUP(CONCATENATE(Tabla1[[#This Row],[Severidad]]," ",Tabla1[[#This Row],[Complejidad]]),Catalogos!E$120:G$128,3,FALSE),"")</f>
        <v>64</v>
      </c>
      <c r="V960" s="31" t="str">
        <f>IF(Tabla1[[#This Row],[Tiempo solución max (hrs)]]&lt;&gt;"",IF(Tabla1[[#This Row],[Tiempo solución max (hrs)]]&gt;=Tabla1[[#This Row],[Tiempo
(Hrs 00/100)]],"cumple","no cumple"),"")</f>
        <v>cumple</v>
      </c>
      <c r="W960" s="376" t="s">
        <v>1312</v>
      </c>
      <c r="X960" s="463" t="str">
        <f t="shared" si="107"/>
        <v>DS</v>
      </c>
      <c r="Y960" s="459" t="str">
        <f>SUBSTITUTE(Tabla1[[#This Row],[Descripción]],CHAR(10),"    I    ")</f>
        <v>Se revisa documento 'Querys Ponencia Sisai' para ir comprobando el tipo de consultas que se pueden ir mejorando y para irse familiarizando con las tablas</v>
      </c>
      <c r="Z960" s="464">
        <f>VLOOKUP(Tabla1[[#This Row],[Perfil]],Catalogos!$B$75:$D$100,3,FALSE)*Tabla1[[#This Row],[Tiempo
(Hrs 00/100)]]*1.16</f>
        <v>5568</v>
      </c>
    </row>
    <row r="961" spans="1:26" ht="15" customHeight="1" x14ac:dyDescent="0.3">
      <c r="A961" s="373" t="s">
        <v>22</v>
      </c>
      <c r="B961" s="370" t="s">
        <v>23</v>
      </c>
      <c r="C961" s="205" t="s">
        <v>155</v>
      </c>
      <c r="D961" s="179"/>
      <c r="E961" s="373" t="s">
        <v>408</v>
      </c>
      <c r="F961" s="370" t="s">
        <v>23</v>
      </c>
      <c r="G961" s="370"/>
      <c r="H961" s="461" t="s">
        <v>405</v>
      </c>
      <c r="I961" s="383" t="s">
        <v>1364</v>
      </c>
      <c r="J961" s="712">
        <v>45078</v>
      </c>
      <c r="K961" s="739">
        <v>0.375</v>
      </c>
      <c r="L961" s="712">
        <v>45078</v>
      </c>
      <c r="M961" s="739">
        <v>0.625</v>
      </c>
      <c r="N961" s="529">
        <v>6</v>
      </c>
      <c r="O961" s="374" t="s">
        <v>17</v>
      </c>
      <c r="P961" s="305" t="s">
        <v>462</v>
      </c>
      <c r="Q961" s="790" t="s">
        <v>1120</v>
      </c>
      <c r="R961" s="508" t="s">
        <v>40</v>
      </c>
      <c r="S961" s="31" t="s">
        <v>273</v>
      </c>
      <c r="T961" s="31" t="s">
        <v>273</v>
      </c>
      <c r="U961" s="31">
        <f>IFERROR(VLOOKUP(CONCATENATE(Tabla1[[#This Row],[Severidad]]," ",Tabla1[[#This Row],[Complejidad]]),Catalogos!E$120:G$128,3,FALSE),"")</f>
        <v>64</v>
      </c>
      <c r="V961" s="31" t="str">
        <f>IF(Tabla1[[#This Row],[Tiempo solución max (hrs)]]&lt;&gt;"",IF(Tabla1[[#This Row],[Tiempo solución max (hrs)]]&gt;=Tabla1[[#This Row],[Tiempo
(Hrs 00/100)]],"cumple","no cumple"),"")</f>
        <v>cumple</v>
      </c>
      <c r="W961" s="376" t="s">
        <v>1312</v>
      </c>
      <c r="X961" s="463" t="str">
        <f t="shared" ref="X961:X981" si="108">IF(C961&lt;&gt;"",C961,D961)</f>
        <v>DS</v>
      </c>
      <c r="Y961" s="459" t="str">
        <f>SUBSTITUTE(Tabla1[[#This Row],[Descripción]],CHAR(10),"    I    ")</f>
        <v>Implementación servicio consulta roles</v>
      </c>
      <c r="Z961" s="464">
        <f>VLOOKUP(Tabla1[[#This Row],[Perfil]],Catalogos!$B$75:$D$100,3,FALSE)*Tabla1[[#This Row],[Tiempo
(Hrs 00/100)]]*1.16</f>
        <v>4872</v>
      </c>
    </row>
    <row r="962" spans="1:26" ht="15" customHeight="1" x14ac:dyDescent="0.3">
      <c r="A962" s="373" t="s">
        <v>22</v>
      </c>
      <c r="B962" s="370" t="s">
        <v>23</v>
      </c>
      <c r="C962" s="205" t="s">
        <v>155</v>
      </c>
      <c r="D962" s="179"/>
      <c r="E962" s="373" t="s">
        <v>408</v>
      </c>
      <c r="F962" s="370" t="s">
        <v>23</v>
      </c>
      <c r="G962" s="370"/>
      <c r="H962" s="461" t="s">
        <v>405</v>
      </c>
      <c r="I962" s="383" t="s">
        <v>1366</v>
      </c>
      <c r="J962" s="712">
        <v>45079</v>
      </c>
      <c r="K962" s="739">
        <v>0.375</v>
      </c>
      <c r="L962" s="712">
        <v>45079</v>
      </c>
      <c r="M962" s="739">
        <v>0.625</v>
      </c>
      <c r="N962" s="529">
        <v>6</v>
      </c>
      <c r="O962" s="374" t="s">
        <v>17</v>
      </c>
      <c r="P962" s="305" t="s">
        <v>462</v>
      </c>
      <c r="Q962" s="790" t="s">
        <v>1120</v>
      </c>
      <c r="R962" s="508" t="s">
        <v>40</v>
      </c>
      <c r="S962" s="31" t="s">
        <v>273</v>
      </c>
      <c r="T962" s="31" t="s">
        <v>273</v>
      </c>
      <c r="U962" s="31">
        <f>IFERROR(VLOOKUP(CONCATENATE(Tabla1[[#This Row],[Severidad]]," ",Tabla1[[#This Row],[Complejidad]]),Catalogos!E$120:G$128,3,FALSE),"")</f>
        <v>64</v>
      </c>
      <c r="V962" s="31" t="str">
        <f>IF(Tabla1[[#This Row],[Tiempo solución max (hrs)]]&lt;&gt;"",IF(Tabla1[[#This Row],[Tiempo solución max (hrs)]]&gt;=Tabla1[[#This Row],[Tiempo
(Hrs 00/100)]],"cumple","no cumple"),"")</f>
        <v>cumple</v>
      </c>
      <c r="W962" s="376" t="s">
        <v>1312</v>
      </c>
      <c r="X962" s="463" t="str">
        <f t="shared" si="108"/>
        <v>DS</v>
      </c>
      <c r="Y962" s="459" t="str">
        <f>SUBSTITUTE(Tabla1[[#This Row],[Descripción]],CHAR(10),"    I    ")</f>
        <v>Desarrollo agregar, actualizar y eliminar rol</v>
      </c>
      <c r="Z962" s="464">
        <f>VLOOKUP(Tabla1[[#This Row],[Perfil]],Catalogos!$B$75:$D$100,3,FALSE)*Tabla1[[#This Row],[Tiempo
(Hrs 00/100)]]*1.16</f>
        <v>4872</v>
      </c>
    </row>
    <row r="963" spans="1:26" ht="15" customHeight="1" x14ac:dyDescent="0.3">
      <c r="A963" s="373" t="s">
        <v>22</v>
      </c>
      <c r="B963" s="370" t="s">
        <v>23</v>
      </c>
      <c r="C963" s="205" t="s">
        <v>155</v>
      </c>
      <c r="D963" s="179"/>
      <c r="E963" s="373" t="s">
        <v>408</v>
      </c>
      <c r="F963" s="370" t="s">
        <v>23</v>
      </c>
      <c r="G963" s="370"/>
      <c r="H963" s="461" t="s">
        <v>405</v>
      </c>
      <c r="I963" s="383" t="s">
        <v>1368</v>
      </c>
      <c r="J963" s="712">
        <v>45082</v>
      </c>
      <c r="K963" s="747">
        <v>0.375</v>
      </c>
      <c r="L963" s="712">
        <v>45082</v>
      </c>
      <c r="M963" s="753">
        <v>0.79166666666666663</v>
      </c>
      <c r="N963" s="529">
        <v>8</v>
      </c>
      <c r="O963" s="374" t="s">
        <v>17</v>
      </c>
      <c r="P963" s="305" t="s">
        <v>462</v>
      </c>
      <c r="Q963" s="790" t="s">
        <v>1120</v>
      </c>
      <c r="R963" s="508" t="s">
        <v>40</v>
      </c>
      <c r="S963" s="31" t="s">
        <v>273</v>
      </c>
      <c r="T963" s="31" t="s">
        <v>273</v>
      </c>
      <c r="U963" s="31">
        <f>IFERROR(VLOOKUP(CONCATENATE(Tabla1[[#This Row],[Severidad]]," ",Tabla1[[#This Row],[Complejidad]]),Catalogos!E$120:G$128,3,FALSE),"")</f>
        <v>64</v>
      </c>
      <c r="V963" s="31" t="str">
        <f>IF(Tabla1[[#This Row],[Tiempo solución max (hrs)]]&lt;&gt;"",IF(Tabla1[[#This Row],[Tiempo solución max (hrs)]]&gt;=Tabla1[[#This Row],[Tiempo
(Hrs 00/100)]],"cumple","no cumple"),"")</f>
        <v>cumple</v>
      </c>
      <c r="W963" s="376" t="s">
        <v>1312</v>
      </c>
      <c r="X963" s="463" t="str">
        <f t="shared" si="108"/>
        <v>DS</v>
      </c>
      <c r="Y963" s="459" t="str">
        <f>SUBSTITUTE(Tabla1[[#This Row],[Descripción]],CHAR(10),"    I    ")</f>
        <v>Implementación validación extensiones instaladas en el navegador</v>
      </c>
      <c r="Z963" s="464">
        <f>VLOOKUP(Tabla1[[#This Row],[Perfil]],Catalogos!$B$75:$D$100,3,FALSE)*Tabla1[[#This Row],[Tiempo
(Hrs 00/100)]]*1.16</f>
        <v>6496</v>
      </c>
    </row>
    <row r="964" spans="1:26" ht="15" customHeight="1" x14ac:dyDescent="0.3">
      <c r="A964" s="373" t="s">
        <v>22</v>
      </c>
      <c r="B964" s="370" t="s">
        <v>23</v>
      </c>
      <c r="C964" s="205" t="s">
        <v>155</v>
      </c>
      <c r="D964" s="179"/>
      <c r="E964" s="373" t="s">
        <v>408</v>
      </c>
      <c r="F964" s="370" t="s">
        <v>23</v>
      </c>
      <c r="G964" s="370"/>
      <c r="H964" s="461" t="s">
        <v>405</v>
      </c>
      <c r="I964" s="383" t="s">
        <v>1370</v>
      </c>
      <c r="J964" s="712">
        <v>45083</v>
      </c>
      <c r="K964" s="747">
        <v>0.375</v>
      </c>
      <c r="L964" s="712">
        <v>45083</v>
      </c>
      <c r="M964" s="753">
        <v>0.79166666666666663</v>
      </c>
      <c r="N964" s="529">
        <v>8</v>
      </c>
      <c r="O964" s="374" t="s">
        <v>17</v>
      </c>
      <c r="P964" s="305" t="s">
        <v>462</v>
      </c>
      <c r="Q964" s="790" t="s">
        <v>1120</v>
      </c>
      <c r="R964" s="508" t="s">
        <v>40</v>
      </c>
      <c r="S964" s="31" t="s">
        <v>273</v>
      </c>
      <c r="T964" s="31" t="s">
        <v>273</v>
      </c>
      <c r="U964" s="31">
        <f>IFERROR(VLOOKUP(CONCATENATE(Tabla1[[#This Row],[Severidad]]," ",Tabla1[[#This Row],[Complejidad]]),Catalogos!E$120:G$128,3,FALSE),"")</f>
        <v>64</v>
      </c>
      <c r="V964" s="31" t="str">
        <f>IF(Tabla1[[#This Row],[Tiempo solución max (hrs)]]&lt;&gt;"",IF(Tabla1[[#This Row],[Tiempo solución max (hrs)]]&gt;=Tabla1[[#This Row],[Tiempo
(Hrs 00/100)]],"cumple","no cumple"),"")</f>
        <v>cumple</v>
      </c>
      <c r="W964" s="376" t="s">
        <v>1312</v>
      </c>
      <c r="X964" s="463" t="str">
        <f t="shared" si="108"/>
        <v>DS</v>
      </c>
      <c r="Y964" s="459" t="str">
        <f>SUBSTITUTE(Tabla1[[#This Row],[Descripción]],CHAR(10),"    I    ")</f>
        <v>Implementación y desarrollo para validar extensiones instaladas y agregar header a las peticiones http</v>
      </c>
      <c r="Z964" s="464">
        <f>VLOOKUP(Tabla1[[#This Row],[Perfil]],Catalogos!$B$75:$D$100,3,FALSE)*Tabla1[[#This Row],[Tiempo
(Hrs 00/100)]]*1.16</f>
        <v>6496</v>
      </c>
    </row>
    <row r="965" spans="1:26" ht="15" customHeight="1" x14ac:dyDescent="0.3">
      <c r="A965" s="373" t="s">
        <v>22</v>
      </c>
      <c r="B965" s="370" t="s">
        <v>23</v>
      </c>
      <c r="C965" s="205" t="s">
        <v>155</v>
      </c>
      <c r="D965" s="179"/>
      <c r="E965" s="373" t="s">
        <v>408</v>
      </c>
      <c r="F965" s="370" t="s">
        <v>23</v>
      </c>
      <c r="G965" s="370"/>
      <c r="H965" s="461" t="s">
        <v>405</v>
      </c>
      <c r="I965" s="383" t="s">
        <v>1372</v>
      </c>
      <c r="J965" s="712">
        <v>45084</v>
      </c>
      <c r="K965" s="747">
        <v>0.375</v>
      </c>
      <c r="L965" s="712">
        <v>45084</v>
      </c>
      <c r="M965" s="753">
        <v>0.79166666666666663</v>
      </c>
      <c r="N965" s="529">
        <v>8</v>
      </c>
      <c r="O965" s="374" t="s">
        <v>17</v>
      </c>
      <c r="P965" s="305" t="s">
        <v>462</v>
      </c>
      <c r="Q965" s="790" t="s">
        <v>1120</v>
      </c>
      <c r="R965" s="508" t="s">
        <v>40</v>
      </c>
      <c r="S965" s="31" t="s">
        <v>273</v>
      </c>
      <c r="T965" s="31" t="s">
        <v>273</v>
      </c>
      <c r="U965" s="31">
        <f>IFERROR(VLOOKUP(CONCATENATE(Tabla1[[#This Row],[Severidad]]," ",Tabla1[[#This Row],[Complejidad]]),Catalogos!E$120:G$128,3,FALSE),"")</f>
        <v>64</v>
      </c>
      <c r="V965" s="31" t="str">
        <f>IF(Tabla1[[#This Row],[Tiempo solución max (hrs)]]&lt;&gt;"",IF(Tabla1[[#This Row],[Tiempo solución max (hrs)]]&gt;=Tabla1[[#This Row],[Tiempo
(Hrs 00/100)]],"cumple","no cumple"),"")</f>
        <v>cumple</v>
      </c>
      <c r="W965" s="376" t="s">
        <v>1312</v>
      </c>
      <c r="X965" s="463" t="str">
        <f t="shared" si="108"/>
        <v>DS</v>
      </c>
      <c r="Y965" s="459" t="str">
        <f>SUBSTITUTE(Tabla1[[#This Row],[Descripción]],CHAR(10),"    I    ")</f>
        <v xml:space="preserve">Implementación servicio consulta usuarios </v>
      </c>
      <c r="Z965" s="464">
        <f>VLOOKUP(Tabla1[[#This Row],[Perfil]],Catalogos!$B$75:$D$100,3,FALSE)*Tabla1[[#This Row],[Tiempo
(Hrs 00/100)]]*1.16</f>
        <v>6496</v>
      </c>
    </row>
    <row r="966" spans="1:26" ht="15" customHeight="1" x14ac:dyDescent="0.3">
      <c r="A966" s="373" t="s">
        <v>22</v>
      </c>
      <c r="B966" s="370" t="s">
        <v>23</v>
      </c>
      <c r="C966" s="205" t="s">
        <v>155</v>
      </c>
      <c r="D966" s="179"/>
      <c r="E966" s="373" t="s">
        <v>408</v>
      </c>
      <c r="F966" s="370" t="s">
        <v>23</v>
      </c>
      <c r="G966" s="370"/>
      <c r="H966" s="461" t="s">
        <v>405</v>
      </c>
      <c r="I966" s="383" t="s">
        <v>1373</v>
      </c>
      <c r="J966" s="712">
        <v>45085</v>
      </c>
      <c r="K966" s="747">
        <v>0.375</v>
      </c>
      <c r="L966" s="712">
        <v>45085</v>
      </c>
      <c r="M966" s="753">
        <v>0.79166666666666663</v>
      </c>
      <c r="N966" s="529">
        <v>8</v>
      </c>
      <c r="O966" s="374" t="s">
        <v>17</v>
      </c>
      <c r="P966" s="305" t="s">
        <v>462</v>
      </c>
      <c r="Q966" s="790" t="s">
        <v>1120</v>
      </c>
      <c r="R966" s="508" t="s">
        <v>40</v>
      </c>
      <c r="S966" s="31" t="s">
        <v>273</v>
      </c>
      <c r="T966" s="31" t="s">
        <v>273</v>
      </c>
      <c r="U966" s="31">
        <f>IFERROR(VLOOKUP(CONCATENATE(Tabla1[[#This Row],[Severidad]]," ",Tabla1[[#This Row],[Complejidad]]),Catalogos!E$120:G$128,3,FALSE),"")</f>
        <v>64</v>
      </c>
      <c r="V966" s="31" t="str">
        <f>IF(Tabla1[[#This Row],[Tiempo solución max (hrs)]]&lt;&gt;"",IF(Tabla1[[#This Row],[Tiempo solución max (hrs)]]&gt;=Tabla1[[#This Row],[Tiempo
(Hrs 00/100)]],"cumple","no cumple"),"")</f>
        <v>cumple</v>
      </c>
      <c r="W966" s="376" t="s">
        <v>1312</v>
      </c>
      <c r="X966" s="463" t="str">
        <f t="shared" si="108"/>
        <v>DS</v>
      </c>
      <c r="Y966" s="459" t="str">
        <f>SUBSTITUTE(Tabla1[[#This Row],[Descripción]],CHAR(10),"    I    ")</f>
        <v>Se agrega funcionalidad para cargar catálogos de acuerdo al usuario logeado</v>
      </c>
      <c r="Z966" s="464">
        <f>VLOOKUP(Tabla1[[#This Row],[Perfil]],Catalogos!$B$75:$D$100,3,FALSE)*Tabla1[[#This Row],[Tiempo
(Hrs 00/100)]]*1.16</f>
        <v>6496</v>
      </c>
    </row>
    <row r="967" spans="1:26" ht="15" customHeight="1" x14ac:dyDescent="0.3">
      <c r="A967" s="373" t="s">
        <v>22</v>
      </c>
      <c r="B967" s="370" t="s">
        <v>23</v>
      </c>
      <c r="C967" s="205" t="s">
        <v>155</v>
      </c>
      <c r="D967" s="179"/>
      <c r="E967" s="373" t="s">
        <v>408</v>
      </c>
      <c r="F967" s="370" t="s">
        <v>23</v>
      </c>
      <c r="G967" s="370"/>
      <c r="H967" s="461" t="s">
        <v>405</v>
      </c>
      <c r="I967" s="383" t="s">
        <v>1375</v>
      </c>
      <c r="J967" s="712">
        <v>45086</v>
      </c>
      <c r="K967" s="739">
        <v>0.375</v>
      </c>
      <c r="L967" s="712">
        <v>45086</v>
      </c>
      <c r="M967" s="739">
        <v>0.625</v>
      </c>
      <c r="N967" s="529">
        <v>6</v>
      </c>
      <c r="O967" s="374" t="s">
        <v>17</v>
      </c>
      <c r="P967" s="305" t="s">
        <v>462</v>
      </c>
      <c r="Q967" s="790" t="s">
        <v>1120</v>
      </c>
      <c r="R967" s="508" t="s">
        <v>40</v>
      </c>
      <c r="S967" s="31" t="s">
        <v>273</v>
      </c>
      <c r="T967" s="31" t="s">
        <v>273</v>
      </c>
      <c r="U967" s="31">
        <f>IFERROR(VLOOKUP(CONCATENATE(Tabla1[[#This Row],[Severidad]]," ",Tabla1[[#This Row],[Complejidad]]),Catalogos!E$120:G$128,3,FALSE),"")</f>
        <v>64</v>
      </c>
      <c r="V967" s="31" t="str">
        <f>IF(Tabla1[[#This Row],[Tiempo solución max (hrs)]]&lt;&gt;"",IF(Tabla1[[#This Row],[Tiempo solución max (hrs)]]&gt;=Tabla1[[#This Row],[Tiempo
(Hrs 00/100)]],"cumple","no cumple"),"")</f>
        <v>cumple</v>
      </c>
      <c r="W967" s="376" t="s">
        <v>1312</v>
      </c>
      <c r="X967" s="463" t="str">
        <f t="shared" si="108"/>
        <v>DS</v>
      </c>
      <c r="Y967" s="459" t="str">
        <f>SUBSTITUTE(Tabla1[[#This Row],[Descripción]],CHAR(10),"    I    ")</f>
        <v>Se crea pantalla editar usuario</v>
      </c>
      <c r="Z967" s="464">
        <f>VLOOKUP(Tabla1[[#This Row],[Perfil]],Catalogos!$B$75:$D$100,3,FALSE)*Tabla1[[#This Row],[Tiempo
(Hrs 00/100)]]*1.16</f>
        <v>4872</v>
      </c>
    </row>
    <row r="968" spans="1:26" ht="15" customHeight="1" x14ac:dyDescent="0.3">
      <c r="A968" s="373" t="s">
        <v>22</v>
      </c>
      <c r="B968" s="370" t="s">
        <v>23</v>
      </c>
      <c r="C968" s="205" t="s">
        <v>155</v>
      </c>
      <c r="D968" s="179"/>
      <c r="E968" s="373" t="s">
        <v>408</v>
      </c>
      <c r="F968" s="370" t="s">
        <v>23</v>
      </c>
      <c r="G968" s="370"/>
      <c r="H968" s="461" t="s">
        <v>405</v>
      </c>
      <c r="I968" s="383" t="s">
        <v>1377</v>
      </c>
      <c r="J968" s="712">
        <v>45089</v>
      </c>
      <c r="K968" s="747">
        <v>0.375</v>
      </c>
      <c r="L968" s="712">
        <v>45089</v>
      </c>
      <c r="M968" s="753">
        <v>0.79166666666666663</v>
      </c>
      <c r="N968" s="529">
        <v>8</v>
      </c>
      <c r="O968" s="374" t="s">
        <v>17</v>
      </c>
      <c r="P968" s="305" t="s">
        <v>462</v>
      </c>
      <c r="Q968" s="790" t="s">
        <v>1120</v>
      </c>
      <c r="R968" s="508" t="s">
        <v>40</v>
      </c>
      <c r="S968" s="31" t="s">
        <v>273</v>
      </c>
      <c r="T968" s="31" t="s">
        <v>273</v>
      </c>
      <c r="U968" s="31">
        <f>IFERROR(VLOOKUP(CONCATENATE(Tabla1[[#This Row],[Severidad]]," ",Tabla1[[#This Row],[Complejidad]]),Catalogos!E$120:G$128,3,FALSE),"")</f>
        <v>64</v>
      </c>
      <c r="V968" s="31" t="str">
        <f>IF(Tabla1[[#This Row],[Tiempo solución max (hrs)]]&lt;&gt;"",IF(Tabla1[[#This Row],[Tiempo solución max (hrs)]]&gt;=Tabla1[[#This Row],[Tiempo
(Hrs 00/100)]],"cumple","no cumple"),"")</f>
        <v>cumple</v>
      </c>
      <c r="W968" s="376" t="s">
        <v>1312</v>
      </c>
      <c r="X968" s="463" t="str">
        <f t="shared" si="108"/>
        <v>DS</v>
      </c>
      <c r="Y968" s="459" t="str">
        <f>SUBSTITUTE(Tabla1[[#This Row],[Descripción]],CHAR(10),"    I    ")</f>
        <v>Desarrollo función para convertir archivo tipo application/octet-stream a Excel</v>
      </c>
      <c r="Z968" s="464">
        <f>VLOOKUP(Tabla1[[#This Row],[Perfil]],Catalogos!$B$75:$D$100,3,FALSE)*Tabla1[[#This Row],[Tiempo
(Hrs 00/100)]]*1.16</f>
        <v>6496</v>
      </c>
    </row>
    <row r="969" spans="1:26" ht="15" customHeight="1" x14ac:dyDescent="0.3">
      <c r="A969" s="373" t="s">
        <v>22</v>
      </c>
      <c r="B969" s="370" t="s">
        <v>23</v>
      </c>
      <c r="C969" s="205" t="s">
        <v>155</v>
      </c>
      <c r="D969" s="179"/>
      <c r="E969" s="373" t="s">
        <v>408</v>
      </c>
      <c r="F969" s="370" t="s">
        <v>23</v>
      </c>
      <c r="G969" s="370"/>
      <c r="H969" s="461" t="s">
        <v>405</v>
      </c>
      <c r="I969" s="383" t="s">
        <v>1379</v>
      </c>
      <c r="J969" s="712">
        <v>45090</v>
      </c>
      <c r="K969" s="747">
        <v>0.375</v>
      </c>
      <c r="L969" s="712">
        <v>45090</v>
      </c>
      <c r="M969" s="753">
        <v>0.79166666666666663</v>
      </c>
      <c r="N969" s="529">
        <v>8</v>
      </c>
      <c r="O969" s="374" t="s">
        <v>17</v>
      </c>
      <c r="P969" s="305" t="s">
        <v>462</v>
      </c>
      <c r="Q969" s="790" t="s">
        <v>1120</v>
      </c>
      <c r="R969" s="508" t="s">
        <v>40</v>
      </c>
      <c r="S969" s="31" t="s">
        <v>273</v>
      </c>
      <c r="T969" s="31" t="s">
        <v>273</v>
      </c>
      <c r="U969" s="31">
        <f>IFERROR(VLOOKUP(CONCATENATE(Tabla1[[#This Row],[Severidad]]," ",Tabla1[[#This Row],[Complejidad]]),Catalogos!E$120:G$128,3,FALSE),"")</f>
        <v>64</v>
      </c>
      <c r="V969" s="31" t="str">
        <f>IF(Tabla1[[#This Row],[Tiempo solución max (hrs)]]&lt;&gt;"",IF(Tabla1[[#This Row],[Tiempo solución max (hrs)]]&gt;=Tabla1[[#This Row],[Tiempo
(Hrs 00/100)]],"cumple","no cumple"),"")</f>
        <v>cumple</v>
      </c>
      <c r="W969" s="376" t="s">
        <v>1312</v>
      </c>
      <c r="X969" s="463" t="str">
        <f t="shared" si="108"/>
        <v>DS</v>
      </c>
      <c r="Y969" s="459" t="str">
        <f>SUBSTITUTE(Tabla1[[#This Row],[Descripción]],CHAR(10),"    I    ")</f>
        <v>Implementación servicio y funcionalidad botones agregar y editar</v>
      </c>
      <c r="Z969" s="464">
        <f>VLOOKUP(Tabla1[[#This Row],[Perfil]],Catalogos!$B$75:$D$100,3,FALSE)*Tabla1[[#This Row],[Tiempo
(Hrs 00/100)]]*1.16</f>
        <v>6496</v>
      </c>
    </row>
    <row r="970" spans="1:26" ht="15" customHeight="1" x14ac:dyDescent="0.3">
      <c r="A970" s="373" t="s">
        <v>22</v>
      </c>
      <c r="B970" s="370" t="s">
        <v>23</v>
      </c>
      <c r="C970" s="205" t="s">
        <v>155</v>
      </c>
      <c r="D970" s="179"/>
      <c r="E970" s="373" t="s">
        <v>408</v>
      </c>
      <c r="F970" s="370" t="s">
        <v>23</v>
      </c>
      <c r="G970" s="370"/>
      <c r="H970" s="461" t="s">
        <v>405</v>
      </c>
      <c r="I970" s="383" t="s">
        <v>1381</v>
      </c>
      <c r="J970" s="712">
        <v>45091</v>
      </c>
      <c r="K970" s="747">
        <v>0.375</v>
      </c>
      <c r="L970" s="712">
        <v>45091</v>
      </c>
      <c r="M970" s="753">
        <v>0.79166666666666663</v>
      </c>
      <c r="N970" s="529">
        <v>8</v>
      </c>
      <c r="O970" s="374" t="s">
        <v>17</v>
      </c>
      <c r="P970" s="305" t="s">
        <v>462</v>
      </c>
      <c r="Q970" s="790" t="s">
        <v>1120</v>
      </c>
      <c r="R970" s="508" t="s">
        <v>40</v>
      </c>
      <c r="S970" s="31" t="s">
        <v>273</v>
      </c>
      <c r="T970" s="31" t="s">
        <v>273</v>
      </c>
      <c r="U970" s="31">
        <f>IFERROR(VLOOKUP(CONCATENATE(Tabla1[[#This Row],[Severidad]]," ",Tabla1[[#This Row],[Complejidad]]),Catalogos!E$120:G$128,3,FALSE),"")</f>
        <v>64</v>
      </c>
      <c r="V970" s="31" t="str">
        <f>IF(Tabla1[[#This Row],[Tiempo solución max (hrs)]]&lt;&gt;"",IF(Tabla1[[#This Row],[Tiempo solución max (hrs)]]&gt;=Tabla1[[#This Row],[Tiempo
(Hrs 00/100)]],"cumple","no cumple"),"")</f>
        <v>cumple</v>
      </c>
      <c r="W970" s="376" t="s">
        <v>1312</v>
      </c>
      <c r="X970" s="463" t="str">
        <f t="shared" si="108"/>
        <v>DS</v>
      </c>
      <c r="Y970" s="459" t="str">
        <f>SUBSTITUTE(Tabla1[[#This Row],[Descripción]],CHAR(10),"    I    ")</f>
        <v>Maquetación pantalla registro usuarios internos</v>
      </c>
      <c r="Z970" s="464">
        <f>VLOOKUP(Tabla1[[#This Row],[Perfil]],Catalogos!$B$75:$D$100,3,FALSE)*Tabla1[[#This Row],[Tiempo
(Hrs 00/100)]]*1.16</f>
        <v>6496</v>
      </c>
    </row>
    <row r="971" spans="1:26" ht="15" customHeight="1" x14ac:dyDescent="0.3">
      <c r="A971" s="373" t="s">
        <v>22</v>
      </c>
      <c r="B971" s="370" t="s">
        <v>23</v>
      </c>
      <c r="C971" s="205" t="s">
        <v>155</v>
      </c>
      <c r="D971" s="179"/>
      <c r="E971" s="373" t="s">
        <v>408</v>
      </c>
      <c r="F971" s="370" t="s">
        <v>23</v>
      </c>
      <c r="G971" s="370"/>
      <c r="H971" s="461" t="s">
        <v>405</v>
      </c>
      <c r="I971" s="383" t="s">
        <v>1383</v>
      </c>
      <c r="J971" s="712">
        <v>45092</v>
      </c>
      <c r="K971" s="747">
        <v>0.375</v>
      </c>
      <c r="L971" s="712">
        <v>45092</v>
      </c>
      <c r="M971" s="753">
        <v>0.79166666666666663</v>
      </c>
      <c r="N971" s="529">
        <v>8</v>
      </c>
      <c r="O971" s="374" t="s">
        <v>17</v>
      </c>
      <c r="P971" s="305" t="s">
        <v>462</v>
      </c>
      <c r="Q971" s="790" t="s">
        <v>1120</v>
      </c>
      <c r="R971" s="508" t="s">
        <v>40</v>
      </c>
      <c r="S971" s="31" t="s">
        <v>273</v>
      </c>
      <c r="T971" s="31" t="s">
        <v>273</v>
      </c>
      <c r="U971" s="31">
        <f>IFERROR(VLOOKUP(CONCATENATE(Tabla1[[#This Row],[Severidad]]," ",Tabla1[[#This Row],[Complejidad]]),Catalogos!E$120:G$128,3,FALSE),"")</f>
        <v>64</v>
      </c>
      <c r="V971" s="31" t="str">
        <f>IF(Tabla1[[#This Row],[Tiempo solución max (hrs)]]&lt;&gt;"",IF(Tabla1[[#This Row],[Tiempo solución max (hrs)]]&gt;=Tabla1[[#This Row],[Tiempo
(Hrs 00/100)]],"cumple","no cumple"),"")</f>
        <v>cumple</v>
      </c>
      <c r="W971" s="376" t="s">
        <v>1312</v>
      </c>
      <c r="X971" s="463" t="str">
        <f t="shared" si="108"/>
        <v>DS</v>
      </c>
      <c r="Y971" s="459" t="str">
        <f>SUBSTITUTE(Tabla1[[#This Row],[Descripción]],CHAR(10),"    I    ")</f>
        <v>Maquetación pantalla editar contraseña usuarios internos y columnas dinámicas tabla</v>
      </c>
      <c r="Z971" s="464">
        <f>VLOOKUP(Tabla1[[#This Row],[Perfil]],Catalogos!$B$75:$D$100,3,FALSE)*Tabla1[[#This Row],[Tiempo
(Hrs 00/100)]]*1.16</f>
        <v>6496</v>
      </c>
    </row>
    <row r="972" spans="1:26" ht="15" customHeight="1" x14ac:dyDescent="0.3">
      <c r="A972" s="373" t="s">
        <v>22</v>
      </c>
      <c r="B972" s="370" t="s">
        <v>23</v>
      </c>
      <c r="C972" s="205" t="s">
        <v>155</v>
      </c>
      <c r="D972" s="179"/>
      <c r="E972" s="373" t="s">
        <v>408</v>
      </c>
      <c r="F972" s="370" t="s">
        <v>23</v>
      </c>
      <c r="G972" s="370"/>
      <c r="H972" s="461" t="s">
        <v>405</v>
      </c>
      <c r="I972" s="383" t="s">
        <v>1385</v>
      </c>
      <c r="J972" s="712">
        <v>45093</v>
      </c>
      <c r="K972" s="739">
        <v>0.375</v>
      </c>
      <c r="L972" s="712">
        <v>45093</v>
      </c>
      <c r="M972" s="739">
        <v>0.625</v>
      </c>
      <c r="N972" s="529">
        <v>6</v>
      </c>
      <c r="O972" s="374" t="s">
        <v>17</v>
      </c>
      <c r="P972" s="305" t="s">
        <v>462</v>
      </c>
      <c r="Q972" s="790" t="s">
        <v>1120</v>
      </c>
      <c r="R972" s="508" t="s">
        <v>40</v>
      </c>
      <c r="S972" s="31" t="s">
        <v>273</v>
      </c>
      <c r="T972" s="31" t="s">
        <v>273</v>
      </c>
      <c r="U972" s="31">
        <f>IFERROR(VLOOKUP(CONCATENATE(Tabla1[[#This Row],[Severidad]]," ",Tabla1[[#This Row],[Complejidad]]),Catalogos!E$120:G$128,3,FALSE),"")</f>
        <v>64</v>
      </c>
      <c r="V972" s="31" t="str">
        <f>IF(Tabla1[[#This Row],[Tiempo solución max (hrs)]]&lt;&gt;"",IF(Tabla1[[#This Row],[Tiempo solución max (hrs)]]&gt;=Tabla1[[#This Row],[Tiempo
(Hrs 00/100)]],"cumple","no cumple"),"")</f>
        <v>cumple</v>
      </c>
      <c r="W972" s="376" t="s">
        <v>1312</v>
      </c>
      <c r="X972" s="463" t="str">
        <f t="shared" si="108"/>
        <v>DS</v>
      </c>
      <c r="Y972" s="459" t="str">
        <f>SUBSTITUTE(Tabla1[[#This Row],[Descripción]],CHAR(10),"    I    ")</f>
        <v>Implementación servicio master módulo usuarios</v>
      </c>
      <c r="Z972" s="464">
        <f>VLOOKUP(Tabla1[[#This Row],[Perfil]],Catalogos!$B$75:$D$100,3,FALSE)*Tabla1[[#This Row],[Tiempo
(Hrs 00/100)]]*1.16</f>
        <v>4872</v>
      </c>
    </row>
    <row r="973" spans="1:26" ht="15" customHeight="1" x14ac:dyDescent="0.3">
      <c r="A973" s="373" t="s">
        <v>22</v>
      </c>
      <c r="B973" s="370" t="s">
        <v>23</v>
      </c>
      <c r="C973" s="205" t="s">
        <v>155</v>
      </c>
      <c r="D973" s="179"/>
      <c r="E973" s="373" t="s">
        <v>408</v>
      </c>
      <c r="F973" s="370" t="s">
        <v>23</v>
      </c>
      <c r="G973" s="370"/>
      <c r="H973" s="461" t="s">
        <v>405</v>
      </c>
      <c r="I973" s="383" t="s">
        <v>1387</v>
      </c>
      <c r="J973" s="712">
        <v>45096</v>
      </c>
      <c r="K973" s="747">
        <v>0.375</v>
      </c>
      <c r="L973" s="712">
        <v>45096</v>
      </c>
      <c r="M973" s="753">
        <v>0.79166666666666663</v>
      </c>
      <c r="N973" s="529">
        <v>8</v>
      </c>
      <c r="O973" s="374" t="s">
        <v>17</v>
      </c>
      <c r="P973" s="305" t="s">
        <v>462</v>
      </c>
      <c r="Q973" s="790" t="s">
        <v>1120</v>
      </c>
      <c r="R973" s="508" t="s">
        <v>40</v>
      </c>
      <c r="S973" s="31" t="s">
        <v>273</v>
      </c>
      <c r="T973" s="31" t="s">
        <v>273</v>
      </c>
      <c r="U973" s="31">
        <f>IFERROR(VLOOKUP(CONCATENATE(Tabla1[[#This Row],[Severidad]]," ",Tabla1[[#This Row],[Complejidad]]),Catalogos!E$120:G$128,3,FALSE),"")</f>
        <v>64</v>
      </c>
      <c r="V973" s="31" t="str">
        <f>IF(Tabla1[[#This Row],[Tiempo solución max (hrs)]]&lt;&gt;"",IF(Tabla1[[#This Row],[Tiempo solución max (hrs)]]&gt;=Tabla1[[#This Row],[Tiempo
(Hrs 00/100)]],"cumple","no cumple"),"")</f>
        <v>cumple</v>
      </c>
      <c r="W973" s="376" t="s">
        <v>1312</v>
      </c>
      <c r="X973" s="463" t="str">
        <f t="shared" si="108"/>
        <v>DS</v>
      </c>
      <c r="Y973" s="459" t="str">
        <f>SUBSTITUTE(Tabla1[[#This Row],[Descripción]],CHAR(10),"    I    ")</f>
        <v>Implementación servicio registro usuario y actualizar contraseña</v>
      </c>
      <c r="Z973" s="464">
        <f>VLOOKUP(Tabla1[[#This Row],[Perfil]],Catalogos!$B$75:$D$100,3,FALSE)*Tabla1[[#This Row],[Tiempo
(Hrs 00/100)]]*1.16</f>
        <v>6496</v>
      </c>
    </row>
    <row r="974" spans="1:26" ht="15" customHeight="1" x14ac:dyDescent="0.3">
      <c r="A974" s="373" t="s">
        <v>22</v>
      </c>
      <c r="B974" s="370" t="s">
        <v>23</v>
      </c>
      <c r="C974" s="205" t="s">
        <v>155</v>
      </c>
      <c r="D974" s="179"/>
      <c r="E974" s="373" t="s">
        <v>408</v>
      </c>
      <c r="F974" s="370" t="s">
        <v>23</v>
      </c>
      <c r="G974" s="370"/>
      <c r="H974" s="461" t="s">
        <v>405</v>
      </c>
      <c r="I974" s="383" t="s">
        <v>1389</v>
      </c>
      <c r="J974" s="712">
        <v>45097</v>
      </c>
      <c r="K974" s="747">
        <v>0.375</v>
      </c>
      <c r="L974" s="712">
        <v>45097</v>
      </c>
      <c r="M974" s="753">
        <v>0.79166666666666663</v>
      </c>
      <c r="N974" s="529">
        <v>8</v>
      </c>
      <c r="O974" s="374" t="s">
        <v>17</v>
      </c>
      <c r="P974" s="305" t="s">
        <v>462</v>
      </c>
      <c r="Q974" s="790" t="s">
        <v>1120</v>
      </c>
      <c r="R974" s="508" t="s">
        <v>40</v>
      </c>
      <c r="S974" s="31" t="s">
        <v>273</v>
      </c>
      <c r="T974" s="31" t="s">
        <v>273</v>
      </c>
      <c r="U974" s="31">
        <f>IFERROR(VLOOKUP(CONCATENATE(Tabla1[[#This Row],[Severidad]]," ",Tabla1[[#This Row],[Complejidad]]),Catalogos!E$120:G$128,3,FALSE),"")</f>
        <v>64</v>
      </c>
      <c r="V974" s="31" t="str">
        <f>IF(Tabla1[[#This Row],[Tiempo solución max (hrs)]]&lt;&gt;"",IF(Tabla1[[#This Row],[Tiempo solución max (hrs)]]&gt;=Tabla1[[#This Row],[Tiempo
(Hrs 00/100)]],"cumple","no cumple"),"")</f>
        <v>cumple</v>
      </c>
      <c r="W974" s="376" t="s">
        <v>1312</v>
      </c>
      <c r="X974" s="463" t="str">
        <f t="shared" si="108"/>
        <v>DS</v>
      </c>
      <c r="Y974" s="459" t="str">
        <f>SUBSTITUTE(Tabla1[[#This Row],[Descripción]],CHAR(10),"    I    ")</f>
        <v>Implementación lógica catálogos de acuerdo al rol seleccionado y pruebas flujos desarrollados</v>
      </c>
      <c r="Z974" s="464">
        <f>VLOOKUP(Tabla1[[#This Row],[Perfil]],Catalogos!$B$75:$D$100,3,FALSE)*Tabla1[[#This Row],[Tiempo
(Hrs 00/100)]]*1.16</f>
        <v>6496</v>
      </c>
    </row>
    <row r="975" spans="1:26" ht="15" customHeight="1" x14ac:dyDescent="0.3">
      <c r="A975" s="373" t="s">
        <v>22</v>
      </c>
      <c r="B975" s="370" t="s">
        <v>23</v>
      </c>
      <c r="C975" s="205" t="s">
        <v>155</v>
      </c>
      <c r="D975" s="179"/>
      <c r="E975" s="373" t="s">
        <v>408</v>
      </c>
      <c r="F975" s="370" t="s">
        <v>23</v>
      </c>
      <c r="G975" s="370"/>
      <c r="H975" s="461" t="s">
        <v>405</v>
      </c>
      <c r="I975" s="383" t="s">
        <v>1391</v>
      </c>
      <c r="J975" s="712">
        <v>45098</v>
      </c>
      <c r="K975" s="747">
        <v>0.375</v>
      </c>
      <c r="L975" s="712">
        <v>45098</v>
      </c>
      <c r="M975" s="753">
        <v>0.79166666666666663</v>
      </c>
      <c r="N975" s="529">
        <v>8</v>
      </c>
      <c r="O975" s="374" t="s">
        <v>17</v>
      </c>
      <c r="P975" s="305" t="s">
        <v>462</v>
      </c>
      <c r="Q975" s="790" t="s">
        <v>1120</v>
      </c>
      <c r="R975" s="508" t="s">
        <v>40</v>
      </c>
      <c r="S975" s="31" t="s">
        <v>273</v>
      </c>
      <c r="T975" s="31" t="s">
        <v>273</v>
      </c>
      <c r="U975" s="31">
        <f>IFERROR(VLOOKUP(CONCATENATE(Tabla1[[#This Row],[Severidad]]," ",Tabla1[[#This Row],[Complejidad]]),Catalogos!E$120:G$128,3,FALSE),"")</f>
        <v>64</v>
      </c>
      <c r="V975" s="31" t="str">
        <f>IF(Tabla1[[#This Row],[Tiempo solución max (hrs)]]&lt;&gt;"",IF(Tabla1[[#This Row],[Tiempo solución max (hrs)]]&gt;=Tabla1[[#This Row],[Tiempo
(Hrs 00/100)]],"cumple","no cumple"),"")</f>
        <v>cumple</v>
      </c>
      <c r="W975" s="376" t="s">
        <v>1312</v>
      </c>
      <c r="X975" s="463" t="str">
        <f t="shared" si="108"/>
        <v>DS</v>
      </c>
      <c r="Y975" s="459" t="str">
        <f>SUBSTITUTE(Tabla1[[#This Row],[Descripción]],CHAR(10),"    I    ")</f>
        <v>Validación flujos registro y consulta usuario, versionado en SVN</v>
      </c>
      <c r="Z975" s="464">
        <f>VLOOKUP(Tabla1[[#This Row],[Perfil]],Catalogos!$B$75:$D$100,3,FALSE)*Tabla1[[#This Row],[Tiempo
(Hrs 00/100)]]*1.16</f>
        <v>6496</v>
      </c>
    </row>
    <row r="976" spans="1:26" ht="15" customHeight="1" x14ac:dyDescent="0.3">
      <c r="A976" s="373" t="s">
        <v>22</v>
      </c>
      <c r="B976" s="370" t="s">
        <v>23</v>
      </c>
      <c r="C976" s="205" t="s">
        <v>155</v>
      </c>
      <c r="D976" s="179"/>
      <c r="E976" s="373" t="s">
        <v>408</v>
      </c>
      <c r="F976" s="370" t="s">
        <v>23</v>
      </c>
      <c r="G976" s="370"/>
      <c r="H976" s="461" t="s">
        <v>405</v>
      </c>
      <c r="I976" s="383" t="s">
        <v>1393</v>
      </c>
      <c r="J976" s="712">
        <v>45099</v>
      </c>
      <c r="K976" s="747">
        <v>0.375</v>
      </c>
      <c r="L976" s="712">
        <v>45099</v>
      </c>
      <c r="M976" s="709">
        <v>0.625</v>
      </c>
      <c r="N976" s="529">
        <v>6</v>
      </c>
      <c r="O976" s="374" t="s">
        <v>411</v>
      </c>
      <c r="P976" s="305" t="s">
        <v>462</v>
      </c>
      <c r="Q976" s="790" t="s">
        <v>1120</v>
      </c>
      <c r="R976" s="508" t="s">
        <v>40</v>
      </c>
      <c r="S976" s="31" t="s">
        <v>273</v>
      </c>
      <c r="T976" s="31" t="s">
        <v>273</v>
      </c>
      <c r="U976" s="31">
        <f>IFERROR(VLOOKUP(CONCATENATE(Tabla1[[#This Row],[Severidad]]," ",Tabla1[[#This Row],[Complejidad]]),Catalogos!E$120:G$128,3,FALSE),"")</f>
        <v>64</v>
      </c>
      <c r="V976" s="31" t="str">
        <f>IF(Tabla1[[#This Row],[Tiempo solución max (hrs)]]&lt;&gt;"",IF(Tabla1[[#This Row],[Tiempo solución max (hrs)]]&gt;=Tabla1[[#This Row],[Tiempo
(Hrs 00/100)]],"cumple","no cumple"),"")</f>
        <v>cumple</v>
      </c>
      <c r="W976" s="376" t="s">
        <v>1312</v>
      </c>
      <c r="X976" s="463" t="str">
        <f t="shared" si="108"/>
        <v>DS</v>
      </c>
      <c r="Y976" s="459" t="str">
        <f>SUBSTITUTE(Tabla1[[#This Row],[Descripción]],CHAR(10),"    I    ")</f>
        <v>Desarrollo pantalla Editar Sujeto Obligado</v>
      </c>
      <c r="Z976" s="464">
        <f>VLOOKUP(Tabla1[[#This Row],[Perfil]],Catalogos!$B$75:$D$100,3,FALSE)*Tabla1[[#This Row],[Tiempo
(Hrs 00/100)]]*1.16</f>
        <v>4872</v>
      </c>
    </row>
    <row r="977" spans="1:26" ht="15" customHeight="1" x14ac:dyDescent="0.3">
      <c r="A977" s="373" t="s">
        <v>22</v>
      </c>
      <c r="B977" s="370" t="s">
        <v>23</v>
      </c>
      <c r="C977" s="205" t="s">
        <v>155</v>
      </c>
      <c r="D977" s="179"/>
      <c r="E977" s="373" t="s">
        <v>408</v>
      </c>
      <c r="F977" s="370" t="s">
        <v>23</v>
      </c>
      <c r="G977" s="370"/>
      <c r="H977" s="461" t="s">
        <v>405</v>
      </c>
      <c r="I977" s="383" t="s">
        <v>1393</v>
      </c>
      <c r="J977" s="712">
        <v>45100</v>
      </c>
      <c r="K977" s="747">
        <v>0.375</v>
      </c>
      <c r="L977" s="712">
        <v>45100</v>
      </c>
      <c r="M977" s="709">
        <v>0.625</v>
      </c>
      <c r="N977" s="529">
        <v>6</v>
      </c>
      <c r="O977" s="374" t="s">
        <v>17</v>
      </c>
      <c r="P977" s="305" t="s">
        <v>462</v>
      </c>
      <c r="Q977" s="790" t="s">
        <v>1120</v>
      </c>
      <c r="R977" s="508" t="s">
        <v>40</v>
      </c>
      <c r="S977" s="31" t="s">
        <v>273</v>
      </c>
      <c r="T977" s="31" t="s">
        <v>273</v>
      </c>
      <c r="U977" s="31">
        <f>IFERROR(VLOOKUP(CONCATENATE(Tabla1[[#This Row],[Severidad]]," ",Tabla1[[#This Row],[Complejidad]]),Catalogos!E$120:G$128,3,FALSE),"")</f>
        <v>64</v>
      </c>
      <c r="V977" s="31" t="str">
        <f>IF(Tabla1[[#This Row],[Tiempo solución max (hrs)]]&lt;&gt;"",IF(Tabla1[[#This Row],[Tiempo solución max (hrs)]]&gt;=Tabla1[[#This Row],[Tiempo
(Hrs 00/100)]],"cumple","no cumple"),"")</f>
        <v>cumple</v>
      </c>
      <c r="W977" s="376" t="s">
        <v>1312</v>
      </c>
      <c r="X977" s="463" t="str">
        <f t="shared" si="108"/>
        <v>DS</v>
      </c>
      <c r="Y977" s="459" t="str">
        <f>SUBSTITUTE(Tabla1[[#This Row],[Descripción]],CHAR(10),"    I    ")</f>
        <v>Desarrollo pantalla Editar Sujeto Obligado</v>
      </c>
      <c r="Z977" s="464">
        <f>VLOOKUP(Tabla1[[#This Row],[Perfil]],Catalogos!$B$75:$D$100,3,FALSE)*Tabla1[[#This Row],[Tiempo
(Hrs 00/100)]]*1.16</f>
        <v>4872</v>
      </c>
    </row>
    <row r="978" spans="1:26" ht="15" customHeight="1" x14ac:dyDescent="0.3">
      <c r="A978" s="373" t="s">
        <v>22</v>
      </c>
      <c r="B978" s="370" t="s">
        <v>23</v>
      </c>
      <c r="C978" s="205" t="s">
        <v>155</v>
      </c>
      <c r="D978" s="179"/>
      <c r="E978" s="373" t="s">
        <v>408</v>
      </c>
      <c r="F978" s="370" t="s">
        <v>23</v>
      </c>
      <c r="G978" s="370"/>
      <c r="H978" s="461" t="s">
        <v>405</v>
      </c>
      <c r="I978" s="383" t="s">
        <v>1395</v>
      </c>
      <c r="J978" s="712">
        <v>45105</v>
      </c>
      <c r="K978" s="747">
        <v>0.375</v>
      </c>
      <c r="L978" s="712">
        <v>45105</v>
      </c>
      <c r="M978" s="709">
        <v>0.625</v>
      </c>
      <c r="N978" s="529">
        <v>6</v>
      </c>
      <c r="O978" s="374" t="s">
        <v>17</v>
      </c>
      <c r="P978" s="305" t="s">
        <v>462</v>
      </c>
      <c r="Q978" s="790" t="s">
        <v>1120</v>
      </c>
      <c r="R978" s="508" t="s">
        <v>40</v>
      </c>
      <c r="S978" s="31" t="s">
        <v>273</v>
      </c>
      <c r="T978" s="31" t="s">
        <v>273</v>
      </c>
      <c r="U978" s="31">
        <f>IFERROR(VLOOKUP(CONCATENATE(Tabla1[[#This Row],[Severidad]]," ",Tabla1[[#This Row],[Complejidad]]),Catalogos!E$120:G$128,3,FALSE),"")</f>
        <v>64</v>
      </c>
      <c r="V978" s="31" t="str">
        <f>IF(Tabla1[[#This Row],[Tiempo solución max (hrs)]]&lt;&gt;"",IF(Tabla1[[#This Row],[Tiempo solución max (hrs)]]&gt;=Tabla1[[#This Row],[Tiempo
(Hrs 00/100)]],"cumple","no cumple"),"")</f>
        <v>cumple</v>
      </c>
      <c r="W978" s="376" t="s">
        <v>1312</v>
      </c>
      <c r="X978" s="463" t="str">
        <f t="shared" si="108"/>
        <v>DS</v>
      </c>
      <c r="Y978" s="459" t="str">
        <f>SUBSTITUTE(Tabla1[[#This Row],[Descripción]],CHAR(10),"    I    ")</f>
        <v>Implementación tabla para el listado de sujetos obligados</v>
      </c>
      <c r="Z978" s="464">
        <f>VLOOKUP(Tabla1[[#This Row],[Perfil]],Catalogos!$B$75:$D$100,3,FALSE)*Tabla1[[#This Row],[Tiempo
(Hrs 00/100)]]*1.16</f>
        <v>4872</v>
      </c>
    </row>
    <row r="979" spans="1:26" ht="15" customHeight="1" x14ac:dyDescent="0.3">
      <c r="A979" s="373" t="s">
        <v>22</v>
      </c>
      <c r="B979" s="370" t="s">
        <v>23</v>
      </c>
      <c r="C979" s="205" t="s">
        <v>155</v>
      </c>
      <c r="D979" s="179"/>
      <c r="E979" s="373" t="s">
        <v>408</v>
      </c>
      <c r="F979" s="370" t="s">
        <v>23</v>
      </c>
      <c r="G979" s="370"/>
      <c r="H979" s="461" t="s">
        <v>405</v>
      </c>
      <c r="I979" s="383" t="s">
        <v>1397</v>
      </c>
      <c r="J979" s="712">
        <v>45106</v>
      </c>
      <c r="K979" s="747">
        <v>0.375</v>
      </c>
      <c r="L979" s="712">
        <v>45106</v>
      </c>
      <c r="M979" s="709">
        <v>0.66666666666666663</v>
      </c>
      <c r="N979" s="529">
        <v>7</v>
      </c>
      <c r="O979" s="374" t="s">
        <v>17</v>
      </c>
      <c r="P979" s="305" t="s">
        <v>462</v>
      </c>
      <c r="Q979" s="790" t="s">
        <v>1120</v>
      </c>
      <c r="R979" s="508" t="s">
        <v>40</v>
      </c>
      <c r="S979" s="31" t="s">
        <v>273</v>
      </c>
      <c r="T979" s="31" t="s">
        <v>273</v>
      </c>
      <c r="U979" s="31">
        <f>IFERROR(VLOOKUP(CONCATENATE(Tabla1[[#This Row],[Severidad]]," ",Tabla1[[#This Row],[Complejidad]]),Catalogos!E$120:G$128,3,FALSE),"")</f>
        <v>64</v>
      </c>
      <c r="V979" s="31" t="str">
        <f>IF(Tabla1[[#This Row],[Tiempo solución max (hrs)]]&lt;&gt;"",IF(Tabla1[[#This Row],[Tiempo solución max (hrs)]]&gt;=Tabla1[[#This Row],[Tiempo
(Hrs 00/100)]],"cumple","no cumple"),"")</f>
        <v>cumple</v>
      </c>
      <c r="W979" s="376" t="s">
        <v>1312</v>
      </c>
      <c r="X979" s="463" t="str">
        <f t="shared" si="108"/>
        <v>DS</v>
      </c>
      <c r="Y979" s="459" t="str">
        <f>SUBSTITUTE(Tabla1[[#This Row],[Descripción]],CHAR(10),"    I    ")</f>
        <v>Implementación botón eliminar múltiples sujetos obligados</v>
      </c>
      <c r="Z979" s="464">
        <f>VLOOKUP(Tabla1[[#This Row],[Perfil]],Catalogos!$B$75:$D$100,3,FALSE)*Tabla1[[#This Row],[Tiempo
(Hrs 00/100)]]*1.16</f>
        <v>5684</v>
      </c>
    </row>
    <row r="980" spans="1:26" ht="15" customHeight="1" x14ac:dyDescent="0.3">
      <c r="A980" s="373" t="s">
        <v>22</v>
      </c>
      <c r="B980" s="370" t="s">
        <v>23</v>
      </c>
      <c r="C980" s="205" t="s">
        <v>155</v>
      </c>
      <c r="D980" s="179"/>
      <c r="E980" s="373" t="s">
        <v>408</v>
      </c>
      <c r="F980" s="370" t="s">
        <v>23</v>
      </c>
      <c r="G980" s="370"/>
      <c r="H980" s="461" t="s">
        <v>405</v>
      </c>
      <c r="I980" s="383" t="s">
        <v>1365</v>
      </c>
      <c r="J980" s="712">
        <v>45078</v>
      </c>
      <c r="K980" s="739">
        <v>0.375</v>
      </c>
      <c r="L980" s="712">
        <v>45078</v>
      </c>
      <c r="M980" s="739">
        <v>0.625</v>
      </c>
      <c r="N980" s="529">
        <v>6</v>
      </c>
      <c r="O980" s="374" t="s">
        <v>17</v>
      </c>
      <c r="P980" s="305" t="s">
        <v>462</v>
      </c>
      <c r="Q980" s="791" t="s">
        <v>208</v>
      </c>
      <c r="R980" s="508" t="s">
        <v>40</v>
      </c>
      <c r="S980" s="31" t="s">
        <v>273</v>
      </c>
      <c r="T980" s="31" t="s">
        <v>273</v>
      </c>
      <c r="U980" s="31">
        <f>IFERROR(VLOOKUP(CONCATENATE(Tabla1[[#This Row],[Severidad]]," ",Tabla1[[#This Row],[Complejidad]]),Catalogos!E$120:G$128,3,FALSE),"")</f>
        <v>64</v>
      </c>
      <c r="V980" s="31" t="str">
        <f>IF(Tabla1[[#This Row],[Tiempo solución max (hrs)]]&lt;&gt;"",IF(Tabla1[[#This Row],[Tiempo solución max (hrs)]]&gt;=Tabla1[[#This Row],[Tiempo
(Hrs 00/100)]],"cumple","no cumple"),"")</f>
        <v>cumple</v>
      </c>
      <c r="W980" s="376" t="s">
        <v>1312</v>
      </c>
      <c r="X980" s="463" t="str">
        <f t="shared" si="108"/>
        <v>DS</v>
      </c>
      <c r="Y980" s="459" t="str">
        <f>SUBSTITUTE(Tabla1[[#This Row],[Descripción]],CHAR(10),"    I    ")</f>
        <v>Implementación carga catálogos por rol</v>
      </c>
      <c r="Z980" s="464">
        <f>VLOOKUP(Tabla1[[#This Row],[Perfil]],Catalogos!$B$75:$D$100,3,FALSE)*Tabla1[[#This Row],[Tiempo
(Hrs 00/100)]]*1.16</f>
        <v>4872</v>
      </c>
    </row>
    <row r="981" spans="1:26" ht="15" customHeight="1" x14ac:dyDescent="0.3">
      <c r="A981" s="373" t="s">
        <v>22</v>
      </c>
      <c r="B981" s="370" t="s">
        <v>23</v>
      </c>
      <c r="C981" s="205" t="s">
        <v>155</v>
      </c>
      <c r="D981" s="179"/>
      <c r="E981" s="373" t="s">
        <v>408</v>
      </c>
      <c r="F981" s="370" t="s">
        <v>23</v>
      </c>
      <c r="G981" s="370"/>
      <c r="H981" s="461" t="s">
        <v>405</v>
      </c>
      <c r="I981" s="383" t="s">
        <v>1367</v>
      </c>
      <c r="J981" s="712">
        <v>45079</v>
      </c>
      <c r="K981" s="739">
        <v>0.375</v>
      </c>
      <c r="L981" s="712">
        <v>45079</v>
      </c>
      <c r="M981" s="739">
        <v>0.625</v>
      </c>
      <c r="N981" s="529">
        <v>6</v>
      </c>
      <c r="O981" s="374" t="s">
        <v>17</v>
      </c>
      <c r="P981" s="305" t="s">
        <v>462</v>
      </c>
      <c r="Q981" s="791" t="s">
        <v>208</v>
      </c>
      <c r="R981" s="508" t="s">
        <v>40</v>
      </c>
      <c r="S981" s="31" t="s">
        <v>273</v>
      </c>
      <c r="T981" s="31" t="s">
        <v>273</v>
      </c>
      <c r="U981" s="31">
        <f>IFERROR(VLOOKUP(CONCATENATE(Tabla1[[#This Row],[Severidad]]," ",Tabla1[[#This Row],[Complejidad]]),Catalogos!E$120:G$128,3,FALSE),"")</f>
        <v>64</v>
      </c>
      <c r="V981" s="31" t="str">
        <f>IF(Tabla1[[#This Row],[Tiempo solución max (hrs)]]&lt;&gt;"",IF(Tabla1[[#This Row],[Tiempo solución max (hrs)]]&gt;=Tabla1[[#This Row],[Tiempo
(Hrs 00/100)]],"cumple","no cumple"),"")</f>
        <v>cumple</v>
      </c>
      <c r="W981" s="376" t="s">
        <v>1312</v>
      </c>
      <c r="X981" s="463" t="str">
        <f t="shared" si="108"/>
        <v>DS</v>
      </c>
      <c r="Y981" s="459" t="str">
        <f>SUBSTITUTE(Tabla1[[#This Row],[Descripción]],CHAR(10),"    I    ")</f>
        <v>Desarrollo pantalla consulta usuarios</v>
      </c>
      <c r="Z981" s="464">
        <f>VLOOKUP(Tabla1[[#This Row],[Perfil]],Catalogos!$B$75:$D$100,3,FALSE)*Tabla1[[#This Row],[Tiempo
(Hrs 00/100)]]*1.16</f>
        <v>4872</v>
      </c>
    </row>
    <row r="982" spans="1:26" ht="15" customHeight="1" x14ac:dyDescent="0.3">
      <c r="A982" s="373" t="s">
        <v>22</v>
      </c>
      <c r="B982" s="370" t="s">
        <v>23</v>
      </c>
      <c r="C982" s="205" t="s">
        <v>155</v>
      </c>
      <c r="D982" s="179"/>
      <c r="E982" s="373" t="s">
        <v>408</v>
      </c>
      <c r="F982" s="370" t="s">
        <v>23</v>
      </c>
      <c r="G982" s="370"/>
      <c r="H982" s="461" t="s">
        <v>405</v>
      </c>
      <c r="I982" s="383" t="s">
        <v>1369</v>
      </c>
      <c r="J982" s="712">
        <v>45082</v>
      </c>
      <c r="K982" s="739">
        <v>0.375</v>
      </c>
      <c r="L982" s="712">
        <v>45082</v>
      </c>
      <c r="M982" s="739">
        <v>0.625</v>
      </c>
      <c r="N982" s="529">
        <v>6</v>
      </c>
      <c r="O982" s="374" t="s">
        <v>17</v>
      </c>
      <c r="P982" s="305" t="s">
        <v>462</v>
      </c>
      <c r="Q982" s="791" t="s">
        <v>208</v>
      </c>
      <c r="R982" s="508" t="s">
        <v>40</v>
      </c>
      <c r="S982" s="31" t="s">
        <v>273</v>
      </c>
      <c r="T982" s="31" t="s">
        <v>273</v>
      </c>
      <c r="U982" s="31">
        <f>IFERROR(VLOOKUP(CONCATENATE(Tabla1[[#This Row],[Severidad]]," ",Tabla1[[#This Row],[Complejidad]]),Catalogos!E$120:G$128,3,FALSE),"")</f>
        <v>64</v>
      </c>
      <c r="V982" s="31" t="str">
        <f>IF(Tabla1[[#This Row],[Tiempo solución max (hrs)]]&lt;&gt;"",IF(Tabla1[[#This Row],[Tiempo solución max (hrs)]]&gt;=Tabla1[[#This Row],[Tiempo
(Hrs 00/100)]],"cumple","no cumple"),"")</f>
        <v>cumple</v>
      </c>
      <c r="W982" s="376" t="s">
        <v>1312</v>
      </c>
      <c r="X982" s="463" t="str">
        <f t="shared" si="107"/>
        <v>DS</v>
      </c>
      <c r="Y982" s="459" t="str">
        <f>SUBSTITUTE(Tabla1[[#This Row],[Descripción]],CHAR(10),"    I    ")</f>
        <v>Pruebas y mejoras para validar las extensiones instaladas en el navegador</v>
      </c>
      <c r="Z982" s="464">
        <f>VLOOKUP(Tabla1[[#This Row],[Perfil]],Catalogos!$B$75:$D$100,3,FALSE)*Tabla1[[#This Row],[Tiempo
(Hrs 00/100)]]*1.16</f>
        <v>4872</v>
      </c>
    </row>
    <row r="983" spans="1:26" ht="15" customHeight="1" x14ac:dyDescent="0.3">
      <c r="A983" s="373" t="s">
        <v>22</v>
      </c>
      <c r="B983" s="370" t="s">
        <v>23</v>
      </c>
      <c r="C983" s="205" t="s">
        <v>155</v>
      </c>
      <c r="D983" s="179"/>
      <c r="E983" s="373" t="s">
        <v>408</v>
      </c>
      <c r="F983" s="370" t="s">
        <v>23</v>
      </c>
      <c r="G983" s="370"/>
      <c r="H983" s="461" t="s">
        <v>405</v>
      </c>
      <c r="I983" s="383" t="s">
        <v>1371</v>
      </c>
      <c r="J983" s="712">
        <v>45083</v>
      </c>
      <c r="K983" s="739">
        <v>0.375</v>
      </c>
      <c r="L983" s="712">
        <v>45083</v>
      </c>
      <c r="M983" s="739">
        <v>0.625</v>
      </c>
      <c r="N983" s="529">
        <v>6</v>
      </c>
      <c r="O983" s="374" t="s">
        <v>17</v>
      </c>
      <c r="P983" s="305" t="s">
        <v>462</v>
      </c>
      <c r="Q983" s="791" t="s">
        <v>208</v>
      </c>
      <c r="R983" s="508" t="s">
        <v>40</v>
      </c>
      <c r="S983" s="31" t="s">
        <v>273</v>
      </c>
      <c r="T983" s="31" t="s">
        <v>273</v>
      </c>
      <c r="U983" s="31">
        <f>IFERROR(VLOOKUP(CONCATENATE(Tabla1[[#This Row],[Severidad]]," ",Tabla1[[#This Row],[Complejidad]]),Catalogos!E$120:G$128,3,FALSE),"")</f>
        <v>64</v>
      </c>
      <c r="V983" s="31" t="str">
        <f>IF(Tabla1[[#This Row],[Tiempo solución max (hrs)]]&lt;&gt;"",IF(Tabla1[[#This Row],[Tiempo solución max (hrs)]]&gt;=Tabla1[[#This Row],[Tiempo
(Hrs 00/100)]],"cumple","no cumple"),"")</f>
        <v>cumple</v>
      </c>
      <c r="W983" s="376" t="s">
        <v>1312</v>
      </c>
      <c r="X983" s="463" t="str">
        <f t="shared" si="107"/>
        <v>DS</v>
      </c>
      <c r="Y983" s="459" t="str">
        <f>SUBSTITUTE(Tabla1[[#This Row],[Descripción]],CHAR(10),"    I    ")</f>
        <v xml:space="preserve">Investigación ofuscado y minificado de código </v>
      </c>
      <c r="Z983" s="464">
        <f>VLOOKUP(Tabla1[[#This Row],[Perfil]],Catalogos!$B$75:$D$100,3,FALSE)*Tabla1[[#This Row],[Tiempo
(Hrs 00/100)]]*1.16</f>
        <v>4872</v>
      </c>
    </row>
    <row r="984" spans="1:26" ht="15" customHeight="1" x14ac:dyDescent="0.3">
      <c r="A984" s="373" t="s">
        <v>22</v>
      </c>
      <c r="B984" s="370" t="s">
        <v>23</v>
      </c>
      <c r="C984" s="205" t="s">
        <v>155</v>
      </c>
      <c r="D984" s="179"/>
      <c r="E984" s="373" t="s">
        <v>408</v>
      </c>
      <c r="F984" s="370" t="s">
        <v>23</v>
      </c>
      <c r="G984" s="370"/>
      <c r="H984" s="461" t="s">
        <v>405</v>
      </c>
      <c r="I984" s="383" t="s">
        <v>790</v>
      </c>
      <c r="J984" s="712">
        <v>45084</v>
      </c>
      <c r="K984" s="739">
        <v>0.375</v>
      </c>
      <c r="L984" s="712">
        <v>45084</v>
      </c>
      <c r="M984" s="739">
        <v>0.625</v>
      </c>
      <c r="N984" s="529">
        <v>6</v>
      </c>
      <c r="O984" s="374" t="s">
        <v>17</v>
      </c>
      <c r="P984" s="305" t="s">
        <v>462</v>
      </c>
      <c r="Q984" s="791" t="s">
        <v>208</v>
      </c>
      <c r="R984" s="508" t="s">
        <v>40</v>
      </c>
      <c r="S984" s="31" t="s">
        <v>273</v>
      </c>
      <c r="T984" s="31" t="s">
        <v>273</v>
      </c>
      <c r="U984" s="31">
        <f>IFERROR(VLOOKUP(CONCATENATE(Tabla1[[#This Row],[Severidad]]," ",Tabla1[[#This Row],[Complejidad]]),Catalogos!E$120:G$128,3,FALSE),"")</f>
        <v>64</v>
      </c>
      <c r="V984" s="31" t="str">
        <f>IF(Tabla1[[#This Row],[Tiempo solución max (hrs)]]&lt;&gt;"",IF(Tabla1[[#This Row],[Tiempo solución max (hrs)]]&gt;=Tabla1[[#This Row],[Tiempo
(Hrs 00/100)]],"cumple","no cumple"),"")</f>
        <v>cumple</v>
      </c>
      <c r="W984" s="376" t="s">
        <v>1312</v>
      </c>
      <c r="X984" s="463" t="str">
        <f t="shared" si="107"/>
        <v>DS</v>
      </c>
      <c r="Y984" s="459" t="str">
        <f>SUBSTITUTE(Tabla1[[#This Row],[Descripción]],CHAR(10),"    I    ")</f>
        <v>Pruebas de servicios</v>
      </c>
      <c r="Z984" s="464">
        <f>VLOOKUP(Tabla1[[#This Row],[Perfil]],Catalogos!$B$75:$D$100,3,FALSE)*Tabla1[[#This Row],[Tiempo
(Hrs 00/100)]]*1.16</f>
        <v>4872</v>
      </c>
    </row>
    <row r="985" spans="1:26" ht="15" customHeight="1" x14ac:dyDescent="0.3">
      <c r="A985" s="373" t="s">
        <v>22</v>
      </c>
      <c r="B985" s="370" t="s">
        <v>23</v>
      </c>
      <c r="C985" s="205" t="s">
        <v>155</v>
      </c>
      <c r="D985" s="179"/>
      <c r="E985" s="373" t="s">
        <v>408</v>
      </c>
      <c r="F985" s="370" t="s">
        <v>23</v>
      </c>
      <c r="G985" s="370"/>
      <c r="H985" s="461" t="s">
        <v>405</v>
      </c>
      <c r="I985" s="383" t="s">
        <v>1374</v>
      </c>
      <c r="J985" s="712">
        <v>45085</v>
      </c>
      <c r="K985" s="739">
        <v>0.375</v>
      </c>
      <c r="L985" s="712">
        <v>45085</v>
      </c>
      <c r="M985" s="739">
        <v>0.625</v>
      </c>
      <c r="N985" s="529">
        <v>6</v>
      </c>
      <c r="O985" s="374" t="s">
        <v>17</v>
      </c>
      <c r="P985" s="305" t="s">
        <v>462</v>
      </c>
      <c r="Q985" s="791" t="s">
        <v>208</v>
      </c>
      <c r="R985" s="508" t="s">
        <v>40</v>
      </c>
      <c r="S985" s="31" t="s">
        <v>273</v>
      </c>
      <c r="T985" s="31" t="s">
        <v>273</v>
      </c>
      <c r="U985" s="31">
        <f>IFERROR(VLOOKUP(CONCATENATE(Tabla1[[#This Row],[Severidad]]," ",Tabla1[[#This Row],[Complejidad]]),Catalogos!E$120:G$128,3,FALSE),"")</f>
        <v>64</v>
      </c>
      <c r="V985" s="31" t="str">
        <f>IF(Tabla1[[#This Row],[Tiempo solución max (hrs)]]&lt;&gt;"",IF(Tabla1[[#This Row],[Tiempo solución max (hrs)]]&gt;=Tabla1[[#This Row],[Tiempo
(Hrs 00/100)]],"cumple","no cumple"),"")</f>
        <v>cumple</v>
      </c>
      <c r="W985" s="376" t="s">
        <v>1312</v>
      </c>
      <c r="X985" s="463" t="str">
        <f t="shared" si="107"/>
        <v>DS</v>
      </c>
      <c r="Y985" s="459" t="str">
        <f>SUBSTITUTE(Tabla1[[#This Row],[Descripción]],CHAR(10),"    I    ")</f>
        <v>Implementación modal roles del usuario</v>
      </c>
      <c r="Z985" s="464">
        <f>VLOOKUP(Tabla1[[#This Row],[Perfil]],Catalogos!$B$75:$D$100,3,FALSE)*Tabla1[[#This Row],[Tiempo
(Hrs 00/100)]]*1.16</f>
        <v>4872</v>
      </c>
    </row>
    <row r="986" spans="1:26" ht="15" customHeight="1" x14ac:dyDescent="0.3">
      <c r="A986" s="373" t="s">
        <v>22</v>
      </c>
      <c r="B986" s="370" t="s">
        <v>23</v>
      </c>
      <c r="C986" s="205" t="s">
        <v>155</v>
      </c>
      <c r="D986" s="179"/>
      <c r="E986" s="373" t="s">
        <v>408</v>
      </c>
      <c r="F986" s="370" t="s">
        <v>23</v>
      </c>
      <c r="G986" s="370"/>
      <c r="H986" s="461" t="s">
        <v>405</v>
      </c>
      <c r="I986" s="383" t="s">
        <v>1376</v>
      </c>
      <c r="J986" s="712">
        <v>45086</v>
      </c>
      <c r="K986" s="739">
        <v>0.375</v>
      </c>
      <c r="L986" s="712">
        <v>45086</v>
      </c>
      <c r="M986" s="739">
        <v>0.625</v>
      </c>
      <c r="N986" s="529">
        <v>6</v>
      </c>
      <c r="O986" s="374" t="s">
        <v>17</v>
      </c>
      <c r="P986" s="305" t="s">
        <v>462</v>
      </c>
      <c r="Q986" s="791" t="s">
        <v>208</v>
      </c>
      <c r="R986" s="508" t="s">
        <v>40</v>
      </c>
      <c r="S986" s="31" t="s">
        <v>273</v>
      </c>
      <c r="T986" s="31" t="s">
        <v>273</v>
      </c>
      <c r="U986" s="31">
        <f>IFERROR(VLOOKUP(CONCATENATE(Tabla1[[#This Row],[Severidad]]," ",Tabla1[[#This Row],[Complejidad]]),Catalogos!E$120:G$128,3,FALSE),"")</f>
        <v>64</v>
      </c>
      <c r="V986" s="31" t="str">
        <f>IF(Tabla1[[#This Row],[Tiempo solución max (hrs)]]&lt;&gt;"",IF(Tabla1[[#This Row],[Tiempo solución max (hrs)]]&gt;=Tabla1[[#This Row],[Tiempo
(Hrs 00/100)]],"cumple","no cumple"),"")</f>
        <v>cumple</v>
      </c>
      <c r="W986" s="376" t="s">
        <v>1312</v>
      </c>
      <c r="X986" s="463" t="str">
        <f t="shared" si="107"/>
        <v>DS</v>
      </c>
      <c r="Y986" s="459" t="str">
        <f>SUBSTITUTE(Tabla1[[#This Row],[Descripción]],CHAR(10),"    I    ")</f>
        <v xml:space="preserve"> Implementación servicio descarga de usuarios</v>
      </c>
      <c r="Z986" s="464">
        <f>VLOOKUP(Tabla1[[#This Row],[Perfil]],Catalogos!$B$75:$D$100,3,FALSE)*Tabla1[[#This Row],[Tiempo
(Hrs 00/100)]]*1.16</f>
        <v>4872</v>
      </c>
    </row>
    <row r="987" spans="1:26" ht="15" customHeight="1" x14ac:dyDescent="0.3">
      <c r="A987" s="373" t="s">
        <v>22</v>
      </c>
      <c r="B987" s="370" t="s">
        <v>23</v>
      </c>
      <c r="C987" s="205" t="s">
        <v>155</v>
      </c>
      <c r="D987" s="179"/>
      <c r="E987" s="373" t="s">
        <v>408</v>
      </c>
      <c r="F987" s="370" t="s">
        <v>23</v>
      </c>
      <c r="G987" s="370"/>
      <c r="H987" s="461" t="s">
        <v>405</v>
      </c>
      <c r="I987" s="383" t="s">
        <v>1378</v>
      </c>
      <c r="J987" s="712">
        <v>45089</v>
      </c>
      <c r="K987" s="739">
        <v>0.375</v>
      </c>
      <c r="L987" s="712">
        <v>45089</v>
      </c>
      <c r="M987" s="739">
        <v>0.625</v>
      </c>
      <c r="N987" s="529">
        <v>6</v>
      </c>
      <c r="O987" s="374" t="s">
        <v>17</v>
      </c>
      <c r="P987" s="305" t="s">
        <v>462</v>
      </c>
      <c r="Q987" s="791" t="s">
        <v>208</v>
      </c>
      <c r="R987" s="508" t="s">
        <v>40</v>
      </c>
      <c r="S987" s="31" t="s">
        <v>273</v>
      </c>
      <c r="T987" s="31" t="s">
        <v>273</v>
      </c>
      <c r="U987" s="31">
        <f>IFERROR(VLOOKUP(CONCATENATE(Tabla1[[#This Row],[Severidad]]," ",Tabla1[[#This Row],[Complejidad]]),Catalogos!E$120:G$128,3,FALSE),"")</f>
        <v>64</v>
      </c>
      <c r="V987" s="31" t="str">
        <f>IF(Tabla1[[#This Row],[Tiempo solución max (hrs)]]&lt;&gt;"",IF(Tabla1[[#This Row],[Tiempo solución max (hrs)]]&gt;=Tabla1[[#This Row],[Tiempo
(Hrs 00/100)]],"cumple","no cumple"),"")</f>
        <v>cumple</v>
      </c>
      <c r="W987" s="376" t="s">
        <v>1312</v>
      </c>
      <c r="X987" s="463" t="str">
        <f t="shared" si="107"/>
        <v>DS</v>
      </c>
      <c r="Y987" s="459" t="str">
        <f>SUBSTITUTE(Tabla1[[#This Row],[Descripción]],CHAR(10),"    I    ")</f>
        <v>Implementación servicio consultar sujetos obligados</v>
      </c>
      <c r="Z987" s="464">
        <f>VLOOKUP(Tabla1[[#This Row],[Perfil]],Catalogos!$B$75:$D$100,3,FALSE)*Tabla1[[#This Row],[Tiempo
(Hrs 00/100)]]*1.16</f>
        <v>4872</v>
      </c>
    </row>
    <row r="988" spans="1:26" ht="15" customHeight="1" x14ac:dyDescent="0.3">
      <c r="A988" s="373" t="s">
        <v>22</v>
      </c>
      <c r="B988" s="370" t="s">
        <v>23</v>
      </c>
      <c r="C988" s="205" t="s">
        <v>155</v>
      </c>
      <c r="D988" s="179"/>
      <c r="E988" s="373" t="s">
        <v>408</v>
      </c>
      <c r="F988" s="370" t="s">
        <v>23</v>
      </c>
      <c r="G988" s="370"/>
      <c r="H988" s="461" t="s">
        <v>405</v>
      </c>
      <c r="I988" s="383" t="s">
        <v>1380</v>
      </c>
      <c r="J988" s="712">
        <v>45090</v>
      </c>
      <c r="K988" s="739">
        <v>0.375</v>
      </c>
      <c r="L988" s="712">
        <v>45090</v>
      </c>
      <c r="M988" s="739">
        <v>0.625</v>
      </c>
      <c r="N988" s="529">
        <v>6</v>
      </c>
      <c r="O988" s="374" t="s">
        <v>17</v>
      </c>
      <c r="P988" s="305" t="s">
        <v>462</v>
      </c>
      <c r="Q988" s="791" t="s">
        <v>208</v>
      </c>
      <c r="R988" s="508" t="s">
        <v>40</v>
      </c>
      <c r="S988" s="31" t="s">
        <v>273</v>
      </c>
      <c r="T988" s="31" t="s">
        <v>273</v>
      </c>
      <c r="U988" s="31">
        <f>IFERROR(VLOOKUP(CONCATENATE(Tabla1[[#This Row],[Severidad]]," ",Tabla1[[#This Row],[Complejidad]]),Catalogos!E$120:G$128,3,FALSE),"")</f>
        <v>64</v>
      </c>
      <c r="V988" s="31" t="str">
        <f>IF(Tabla1[[#This Row],[Tiempo solución max (hrs)]]&lt;&gt;"",IF(Tabla1[[#This Row],[Tiempo solución max (hrs)]]&gt;=Tabla1[[#This Row],[Tiempo
(Hrs 00/100)]],"cumple","no cumple"),"")</f>
        <v>cumple</v>
      </c>
      <c r="W988" s="376" t="s">
        <v>1312</v>
      </c>
      <c r="X988" s="463" t="str">
        <f t="shared" si="107"/>
        <v>DS</v>
      </c>
      <c r="Y988" s="459" t="str">
        <f>SUBSTITUTE(Tabla1[[#This Row],[Descripción]],CHAR(10),"    I    ")</f>
        <v>Pruebas redirect home PNT,mejoras servicio inicio sesión de la app</v>
      </c>
      <c r="Z988" s="464">
        <f>VLOOKUP(Tabla1[[#This Row],[Perfil]],Catalogos!$B$75:$D$100,3,FALSE)*Tabla1[[#This Row],[Tiempo
(Hrs 00/100)]]*1.16</f>
        <v>4872</v>
      </c>
    </row>
    <row r="989" spans="1:26" ht="15" customHeight="1" x14ac:dyDescent="0.3">
      <c r="A989" s="373" t="s">
        <v>22</v>
      </c>
      <c r="B989" s="370" t="s">
        <v>23</v>
      </c>
      <c r="C989" s="205" t="s">
        <v>155</v>
      </c>
      <c r="D989" s="179"/>
      <c r="E989" s="373" t="s">
        <v>408</v>
      </c>
      <c r="F989" s="370" t="s">
        <v>23</v>
      </c>
      <c r="G989" s="370"/>
      <c r="H989" s="461" t="s">
        <v>405</v>
      </c>
      <c r="I989" s="383" t="s">
        <v>1382</v>
      </c>
      <c r="J989" s="712">
        <v>45091</v>
      </c>
      <c r="K989" s="739">
        <v>0.375</v>
      </c>
      <c r="L989" s="712">
        <v>45091</v>
      </c>
      <c r="M989" s="739">
        <v>0.625</v>
      </c>
      <c r="N989" s="529">
        <v>6</v>
      </c>
      <c r="O989" s="374" t="s">
        <v>17</v>
      </c>
      <c r="P989" s="305" t="s">
        <v>462</v>
      </c>
      <c r="Q989" s="791" t="s">
        <v>208</v>
      </c>
      <c r="R989" s="508" t="s">
        <v>40</v>
      </c>
      <c r="S989" s="31" t="s">
        <v>273</v>
      </c>
      <c r="T989" s="31" t="s">
        <v>273</v>
      </c>
      <c r="U989" s="31">
        <f>IFERROR(VLOOKUP(CONCATENATE(Tabla1[[#This Row],[Severidad]]," ",Tabla1[[#This Row],[Complejidad]]),Catalogos!E$120:G$128,3,FALSE),"")</f>
        <v>64</v>
      </c>
      <c r="V989" s="31" t="str">
        <f>IF(Tabla1[[#This Row],[Tiempo solución max (hrs)]]&lt;&gt;"",IF(Tabla1[[#This Row],[Tiempo solución max (hrs)]]&gt;=Tabla1[[#This Row],[Tiempo
(Hrs 00/100)]],"cumple","no cumple"),"")</f>
        <v>cumple</v>
      </c>
      <c r="W989" s="376" t="s">
        <v>1312</v>
      </c>
      <c r="X989" s="463" t="str">
        <f t="shared" ref="X989:X1014" si="109">IF(C989&lt;&gt;"",C989,D989)</f>
        <v>DS</v>
      </c>
      <c r="Y989" s="459" t="str">
        <f>SUBSTITUTE(Tabla1[[#This Row],[Descripción]],CHAR(10),"    I    ")</f>
        <v>Maquetación pantalla editar usuarios internos</v>
      </c>
      <c r="Z989" s="464">
        <f>VLOOKUP(Tabla1[[#This Row],[Perfil]],Catalogos!$B$75:$D$100,3,FALSE)*Tabla1[[#This Row],[Tiempo
(Hrs 00/100)]]*1.16</f>
        <v>4872</v>
      </c>
    </row>
    <row r="990" spans="1:26" ht="15" customHeight="1" x14ac:dyDescent="0.3">
      <c r="A990" s="373" t="s">
        <v>22</v>
      </c>
      <c r="B990" s="370" t="s">
        <v>23</v>
      </c>
      <c r="C990" s="205" t="s">
        <v>155</v>
      </c>
      <c r="D990" s="179"/>
      <c r="E990" s="373" t="s">
        <v>408</v>
      </c>
      <c r="F990" s="370" t="s">
        <v>23</v>
      </c>
      <c r="G990" s="370"/>
      <c r="H990" s="461" t="s">
        <v>405</v>
      </c>
      <c r="I990" s="383" t="s">
        <v>1384</v>
      </c>
      <c r="J990" s="712">
        <v>45092</v>
      </c>
      <c r="K990" s="739">
        <v>0.375</v>
      </c>
      <c r="L990" s="712">
        <v>45092</v>
      </c>
      <c r="M990" s="739">
        <v>0.625</v>
      </c>
      <c r="N990" s="529">
        <v>6</v>
      </c>
      <c r="O990" s="374" t="s">
        <v>17</v>
      </c>
      <c r="P990" s="305" t="s">
        <v>462</v>
      </c>
      <c r="Q990" s="791" t="s">
        <v>208</v>
      </c>
      <c r="R990" s="508" t="s">
        <v>40</v>
      </c>
      <c r="S990" s="31" t="s">
        <v>273</v>
      </c>
      <c r="T990" s="31" t="s">
        <v>273</v>
      </c>
      <c r="U990" s="31">
        <f>IFERROR(VLOOKUP(CONCATENATE(Tabla1[[#This Row],[Severidad]]," ",Tabla1[[#This Row],[Complejidad]]),Catalogos!E$120:G$128,3,FALSE),"")</f>
        <v>64</v>
      </c>
      <c r="V990" s="31" t="str">
        <f>IF(Tabla1[[#This Row],[Tiempo solución max (hrs)]]&lt;&gt;"",IF(Tabla1[[#This Row],[Tiempo solución max (hrs)]]&gt;=Tabla1[[#This Row],[Tiempo
(Hrs 00/100)]],"cumple","no cumple"),"")</f>
        <v>cumple</v>
      </c>
      <c r="W990" s="376" t="s">
        <v>1312</v>
      </c>
      <c r="X990" s="463" t="str">
        <f t="shared" si="109"/>
        <v>DS</v>
      </c>
      <c r="Y990" s="459" t="str">
        <f>SUBSTITUTE(Tabla1[[#This Row],[Descripción]],CHAR(10),"    I    ")</f>
        <v>Implementación servicio consulta usuarios internos</v>
      </c>
      <c r="Z990" s="464">
        <f>VLOOKUP(Tabla1[[#This Row],[Perfil]],Catalogos!$B$75:$D$100,3,FALSE)*Tabla1[[#This Row],[Tiempo
(Hrs 00/100)]]*1.16</f>
        <v>4872</v>
      </c>
    </row>
    <row r="991" spans="1:26" ht="15" customHeight="1" x14ac:dyDescent="0.3">
      <c r="A991" s="373" t="s">
        <v>22</v>
      </c>
      <c r="B991" s="370" t="s">
        <v>23</v>
      </c>
      <c r="C991" s="205" t="s">
        <v>155</v>
      </c>
      <c r="D991" s="179"/>
      <c r="E991" s="373" t="s">
        <v>408</v>
      </c>
      <c r="F991" s="370" t="s">
        <v>23</v>
      </c>
      <c r="G991" s="370"/>
      <c r="H991" s="461" t="s">
        <v>405</v>
      </c>
      <c r="I991" s="383" t="s">
        <v>1386</v>
      </c>
      <c r="J991" s="712">
        <v>45093</v>
      </c>
      <c r="K991" s="739">
        <v>0.375</v>
      </c>
      <c r="L991" s="712">
        <v>45093</v>
      </c>
      <c r="M991" s="739">
        <v>0.625</v>
      </c>
      <c r="N991" s="529">
        <v>6</v>
      </c>
      <c r="O991" s="374" t="s">
        <v>17</v>
      </c>
      <c r="P991" s="305" t="s">
        <v>462</v>
      </c>
      <c r="Q991" s="791" t="s">
        <v>208</v>
      </c>
      <c r="R991" s="508" t="s">
        <v>40</v>
      </c>
      <c r="S991" s="31" t="s">
        <v>273</v>
      </c>
      <c r="T991" s="31" t="s">
        <v>273</v>
      </c>
      <c r="U991" s="31">
        <f>IFERROR(VLOOKUP(CONCATENATE(Tabla1[[#This Row],[Severidad]]," ",Tabla1[[#This Row],[Complejidad]]),Catalogos!E$120:G$128,3,FALSE),"")</f>
        <v>64</v>
      </c>
      <c r="V991" s="31" t="str">
        <f>IF(Tabla1[[#This Row],[Tiempo solución max (hrs)]]&lt;&gt;"",IF(Tabla1[[#This Row],[Tiempo solución max (hrs)]]&gt;=Tabla1[[#This Row],[Tiempo
(Hrs 00/100)]],"cumple","no cumple"),"")</f>
        <v>cumple</v>
      </c>
      <c r="W991" s="376" t="s">
        <v>1312</v>
      </c>
      <c r="X991" s="463" t="str">
        <f t="shared" si="109"/>
        <v>DS</v>
      </c>
      <c r="Y991" s="459" t="str">
        <f>SUBSTITUTE(Tabla1[[#This Row],[Descripción]],CHAR(10),"    I    ")</f>
        <v>Implementación validaciones formulario</v>
      </c>
      <c r="Z991" s="464">
        <f>VLOOKUP(Tabla1[[#This Row],[Perfil]],Catalogos!$B$75:$D$100,3,FALSE)*Tabla1[[#This Row],[Tiempo
(Hrs 00/100)]]*1.16</f>
        <v>4872</v>
      </c>
    </row>
    <row r="992" spans="1:26" ht="15" customHeight="1" x14ac:dyDescent="0.3">
      <c r="A992" s="373" t="s">
        <v>22</v>
      </c>
      <c r="B992" s="370" t="s">
        <v>23</v>
      </c>
      <c r="C992" s="205" t="s">
        <v>155</v>
      </c>
      <c r="D992" s="179"/>
      <c r="E992" s="373" t="s">
        <v>408</v>
      </c>
      <c r="F992" s="370" t="s">
        <v>23</v>
      </c>
      <c r="G992" s="370"/>
      <c r="H992" s="461" t="s">
        <v>405</v>
      </c>
      <c r="I992" s="383" t="s">
        <v>1388</v>
      </c>
      <c r="J992" s="712">
        <v>45096</v>
      </c>
      <c r="K992" s="739">
        <v>0.375</v>
      </c>
      <c r="L992" s="712">
        <v>45096</v>
      </c>
      <c r="M992" s="739">
        <v>0.625</v>
      </c>
      <c r="N992" s="529">
        <v>6</v>
      </c>
      <c r="O992" s="374" t="s">
        <v>17</v>
      </c>
      <c r="P992" s="305" t="s">
        <v>462</v>
      </c>
      <c r="Q992" s="791" t="s">
        <v>208</v>
      </c>
      <c r="R992" s="508" t="s">
        <v>40</v>
      </c>
      <c r="S992" s="31" t="s">
        <v>273</v>
      </c>
      <c r="T992" s="31" t="s">
        <v>273</v>
      </c>
      <c r="U992" s="31">
        <f>IFERROR(VLOOKUP(CONCATENATE(Tabla1[[#This Row],[Severidad]]," ",Tabla1[[#This Row],[Complejidad]]),Catalogos!E$120:G$128,3,FALSE),"")</f>
        <v>64</v>
      </c>
      <c r="V992" s="31" t="str">
        <f>IF(Tabla1[[#This Row],[Tiempo solución max (hrs)]]&lt;&gt;"",IF(Tabla1[[#This Row],[Tiempo solución max (hrs)]]&gt;=Tabla1[[#This Row],[Tiempo
(Hrs 00/100)]],"cumple","no cumple"),"")</f>
        <v>cumple</v>
      </c>
      <c r="W992" s="376" t="s">
        <v>1312</v>
      </c>
      <c r="X992" s="463" t="str">
        <f t="shared" si="109"/>
        <v>DS</v>
      </c>
      <c r="Y992" s="459" t="str">
        <f>SUBSTITUTE(Tabla1[[#This Row],[Descripción]],CHAR(10),"    I    ")</f>
        <v>Implementación lógica catálogos de acuerdo al rol seleccionado</v>
      </c>
      <c r="Z992" s="464">
        <f>VLOOKUP(Tabla1[[#This Row],[Perfil]],Catalogos!$B$75:$D$100,3,FALSE)*Tabla1[[#This Row],[Tiempo
(Hrs 00/100)]]*1.16</f>
        <v>4872</v>
      </c>
    </row>
    <row r="993" spans="1:26" ht="15" customHeight="1" x14ac:dyDescent="0.3">
      <c r="A993" s="373" t="s">
        <v>22</v>
      </c>
      <c r="B993" s="370" t="s">
        <v>23</v>
      </c>
      <c r="C993" s="205" t="s">
        <v>155</v>
      </c>
      <c r="D993" s="179"/>
      <c r="E993" s="373" t="s">
        <v>408</v>
      </c>
      <c r="F993" s="370" t="s">
        <v>23</v>
      </c>
      <c r="G993" s="370"/>
      <c r="H993" s="461" t="s">
        <v>405</v>
      </c>
      <c r="I993" s="383" t="s">
        <v>1390</v>
      </c>
      <c r="J993" s="712">
        <v>45097</v>
      </c>
      <c r="K993" s="739">
        <v>0.375</v>
      </c>
      <c r="L993" s="712">
        <v>45097</v>
      </c>
      <c r="M993" s="739">
        <v>0.625</v>
      </c>
      <c r="N993" s="529">
        <v>6</v>
      </c>
      <c r="O993" s="374" t="s">
        <v>17</v>
      </c>
      <c r="P993" s="305" t="s">
        <v>462</v>
      </c>
      <c r="Q993" s="791" t="s">
        <v>208</v>
      </c>
      <c r="R993" s="508" t="s">
        <v>40</v>
      </c>
      <c r="S993" s="31" t="s">
        <v>273</v>
      </c>
      <c r="T993" s="31" t="s">
        <v>273</v>
      </c>
      <c r="U993" s="31">
        <f>IFERROR(VLOOKUP(CONCATENATE(Tabla1[[#This Row],[Severidad]]," ",Tabla1[[#This Row],[Complejidad]]),Catalogos!E$120:G$128,3,FALSE),"")</f>
        <v>64</v>
      </c>
      <c r="V993" s="31" t="str">
        <f>IF(Tabla1[[#This Row],[Tiempo solución max (hrs)]]&lt;&gt;"",IF(Tabla1[[#This Row],[Tiempo solución max (hrs)]]&gt;=Tabla1[[#This Row],[Tiempo
(Hrs 00/100)]],"cumple","no cumple"),"")</f>
        <v>cumple</v>
      </c>
      <c r="W993" s="376" t="s">
        <v>1312</v>
      </c>
      <c r="X993" s="463" t="str">
        <f t="shared" si="109"/>
        <v>DS</v>
      </c>
      <c r="Y993" s="459" t="str">
        <f>SUBSTITUTE(Tabla1[[#This Row],[Descripción]],CHAR(10),"    I    ")</f>
        <v>Validaciones catálogos registro usuario</v>
      </c>
      <c r="Z993" s="464">
        <f>VLOOKUP(Tabla1[[#This Row],[Perfil]],Catalogos!$B$75:$D$100,3,FALSE)*Tabla1[[#This Row],[Tiempo
(Hrs 00/100)]]*1.16</f>
        <v>4872</v>
      </c>
    </row>
    <row r="994" spans="1:26" ht="15" customHeight="1" x14ac:dyDescent="0.3">
      <c r="A994" s="373" t="s">
        <v>22</v>
      </c>
      <c r="B994" s="370" t="s">
        <v>23</v>
      </c>
      <c r="C994" s="205" t="s">
        <v>155</v>
      </c>
      <c r="D994" s="179"/>
      <c r="E994" s="373" t="s">
        <v>408</v>
      </c>
      <c r="F994" s="370" t="s">
        <v>23</v>
      </c>
      <c r="G994" s="370"/>
      <c r="H994" s="461" t="s">
        <v>405</v>
      </c>
      <c r="I994" s="383" t="s">
        <v>1392</v>
      </c>
      <c r="J994" s="712">
        <v>45098</v>
      </c>
      <c r="K994" s="739">
        <v>0.375</v>
      </c>
      <c r="L994" s="712">
        <v>45098</v>
      </c>
      <c r="M994" s="739">
        <v>0.625</v>
      </c>
      <c r="N994" s="529">
        <v>6</v>
      </c>
      <c r="O994" s="374" t="s">
        <v>17</v>
      </c>
      <c r="P994" s="305" t="s">
        <v>462</v>
      </c>
      <c r="Q994" s="791" t="s">
        <v>208</v>
      </c>
      <c r="R994" s="508" t="s">
        <v>40</v>
      </c>
      <c r="S994" s="31" t="s">
        <v>273</v>
      </c>
      <c r="T994" s="31" t="s">
        <v>273</v>
      </c>
      <c r="U994" s="31">
        <f>IFERROR(VLOOKUP(CONCATENATE(Tabla1[[#This Row],[Severidad]]," ",Tabla1[[#This Row],[Complejidad]]),Catalogos!E$120:G$128,3,FALSE),"")</f>
        <v>64</v>
      </c>
      <c r="V994" s="31" t="str">
        <f>IF(Tabla1[[#This Row],[Tiempo solución max (hrs)]]&lt;&gt;"",IF(Tabla1[[#This Row],[Tiempo solución max (hrs)]]&gt;=Tabla1[[#This Row],[Tiempo
(Hrs 00/100)]],"cumple","no cumple"),"")</f>
        <v>cumple</v>
      </c>
      <c r="W994" s="376" t="s">
        <v>1312</v>
      </c>
      <c r="X994" s="463" t="str">
        <f t="shared" si="109"/>
        <v>DS</v>
      </c>
      <c r="Y994" s="459" t="str">
        <f>SUBSTITUTE(Tabla1[[#This Row],[Descripción]],CHAR(10),"    I    ")</f>
        <v>Desarrollo pantalla Agregar Sujeto Obligado</v>
      </c>
      <c r="Z994" s="464">
        <f>VLOOKUP(Tabla1[[#This Row],[Perfil]],Catalogos!$B$75:$D$100,3,FALSE)*Tabla1[[#This Row],[Tiempo
(Hrs 00/100)]]*1.16</f>
        <v>4872</v>
      </c>
    </row>
    <row r="995" spans="1:26" ht="15" customHeight="1" x14ac:dyDescent="0.3">
      <c r="A995" s="373" t="s">
        <v>22</v>
      </c>
      <c r="B995" s="370" t="s">
        <v>23</v>
      </c>
      <c r="C995" s="205" t="s">
        <v>155</v>
      </c>
      <c r="D995" s="179"/>
      <c r="E995" s="373" t="s">
        <v>408</v>
      </c>
      <c r="F995" s="370" t="s">
        <v>23</v>
      </c>
      <c r="G995" s="370"/>
      <c r="H995" s="461" t="s">
        <v>405</v>
      </c>
      <c r="I995" s="383" t="s">
        <v>1394</v>
      </c>
      <c r="J995" s="712">
        <v>45099</v>
      </c>
      <c r="K995" s="739">
        <v>0.375</v>
      </c>
      <c r="L995" s="712">
        <v>45099</v>
      </c>
      <c r="M995" s="739">
        <v>0.625</v>
      </c>
      <c r="N995" s="529">
        <v>6</v>
      </c>
      <c r="O995" s="374" t="s">
        <v>17</v>
      </c>
      <c r="P995" s="305" t="s">
        <v>462</v>
      </c>
      <c r="Q995" s="791" t="s">
        <v>208</v>
      </c>
      <c r="R995" s="508" t="s">
        <v>40</v>
      </c>
      <c r="S995" s="31" t="s">
        <v>273</v>
      </c>
      <c r="T995" s="31" t="s">
        <v>273</v>
      </c>
      <c r="U995" s="31">
        <f>IFERROR(VLOOKUP(CONCATENATE(Tabla1[[#This Row],[Severidad]]," ",Tabla1[[#This Row],[Complejidad]]),Catalogos!E$120:G$128,3,FALSE),"")</f>
        <v>64</v>
      </c>
      <c r="V995" s="31" t="str">
        <f>IF(Tabla1[[#This Row],[Tiempo solución max (hrs)]]&lt;&gt;"",IF(Tabla1[[#This Row],[Tiempo solución max (hrs)]]&gt;=Tabla1[[#This Row],[Tiempo
(Hrs 00/100)]],"cumple","no cumple"),"")</f>
        <v>cumple</v>
      </c>
      <c r="W995" s="376" t="s">
        <v>1312</v>
      </c>
      <c r="X995" s="463" t="str">
        <f t="shared" si="109"/>
        <v>DS</v>
      </c>
      <c r="Y995" s="459" t="str">
        <f>SUBSTITUTE(Tabla1[[#This Row],[Descripción]],CHAR(10),"    I    ")</f>
        <v>Implementación servicios agregar y editar sujeto obligado</v>
      </c>
      <c r="Z995" s="464">
        <f>VLOOKUP(Tabla1[[#This Row],[Perfil]],Catalogos!$B$75:$D$100,3,FALSE)*Tabla1[[#This Row],[Tiempo
(Hrs 00/100)]]*1.16</f>
        <v>4872</v>
      </c>
    </row>
    <row r="996" spans="1:26" ht="15" customHeight="1" x14ac:dyDescent="0.3">
      <c r="A996" s="373" t="s">
        <v>22</v>
      </c>
      <c r="B996" s="370" t="s">
        <v>23</v>
      </c>
      <c r="C996" s="205" t="s">
        <v>155</v>
      </c>
      <c r="D996" s="179"/>
      <c r="E996" s="373" t="s">
        <v>408</v>
      </c>
      <c r="F996" s="370" t="s">
        <v>23</v>
      </c>
      <c r="G996" s="370"/>
      <c r="H996" s="461" t="s">
        <v>405</v>
      </c>
      <c r="I996" s="383" t="s">
        <v>1396</v>
      </c>
      <c r="J996" s="712">
        <v>45100</v>
      </c>
      <c r="K996" s="739">
        <v>0.375</v>
      </c>
      <c r="L996" s="712">
        <v>45100</v>
      </c>
      <c r="M996" s="739">
        <v>0.625</v>
      </c>
      <c r="N996" s="529">
        <v>6</v>
      </c>
      <c r="O996" s="374" t="s">
        <v>17</v>
      </c>
      <c r="P996" s="305" t="s">
        <v>462</v>
      </c>
      <c r="Q996" s="791" t="s">
        <v>208</v>
      </c>
      <c r="R996" s="508" t="s">
        <v>40</v>
      </c>
      <c r="S996" s="31" t="s">
        <v>273</v>
      </c>
      <c r="T996" s="31" t="s">
        <v>273</v>
      </c>
      <c r="U996" s="31">
        <f>IFERROR(VLOOKUP(CONCATENATE(Tabla1[[#This Row],[Severidad]]," ",Tabla1[[#This Row],[Complejidad]]),Catalogos!E$120:G$128,3,FALSE),"")</f>
        <v>64</v>
      </c>
      <c r="V996" s="31" t="str">
        <f>IF(Tabla1[[#This Row],[Tiempo solución max (hrs)]]&lt;&gt;"",IF(Tabla1[[#This Row],[Tiempo solución max (hrs)]]&gt;=Tabla1[[#This Row],[Tiempo
(Hrs 00/100)]],"cumple","no cumple"),"")</f>
        <v>cumple</v>
      </c>
      <c r="W996" s="376" t="s">
        <v>1312</v>
      </c>
      <c r="X996" s="463" t="str">
        <f t="shared" si="109"/>
        <v>DS</v>
      </c>
      <c r="Y996" s="459" t="str">
        <f>SUBSTITUTE(Tabla1[[#This Row],[Descripción]],CHAR(10),"    I    ")</f>
        <v>Implementación servicio listar sujetos obligados y limpiar formularios</v>
      </c>
      <c r="Z996" s="464">
        <f>VLOOKUP(Tabla1[[#This Row],[Perfil]],Catalogos!$B$75:$D$100,3,FALSE)*Tabla1[[#This Row],[Tiempo
(Hrs 00/100)]]*1.16</f>
        <v>4872</v>
      </c>
    </row>
    <row r="997" spans="1:26" ht="15" customHeight="1" x14ac:dyDescent="0.3">
      <c r="A997" s="373" t="s">
        <v>22</v>
      </c>
      <c r="B997" s="370" t="s">
        <v>23</v>
      </c>
      <c r="C997" s="205" t="s">
        <v>155</v>
      </c>
      <c r="D997" s="179"/>
      <c r="E997" s="373" t="s">
        <v>408</v>
      </c>
      <c r="F997" s="370" t="s">
        <v>23</v>
      </c>
      <c r="G997" s="370"/>
      <c r="H997" s="461" t="s">
        <v>405</v>
      </c>
      <c r="I997" s="383" t="s">
        <v>1398</v>
      </c>
      <c r="J997" s="712">
        <v>45103</v>
      </c>
      <c r="K997" s="739">
        <v>0.375</v>
      </c>
      <c r="L997" s="712">
        <v>45103</v>
      </c>
      <c r="M997" s="739">
        <v>0.625</v>
      </c>
      <c r="N997" s="529">
        <v>6</v>
      </c>
      <c r="O997" s="374" t="s">
        <v>17</v>
      </c>
      <c r="P997" s="305" t="s">
        <v>462</v>
      </c>
      <c r="Q997" s="791" t="s">
        <v>208</v>
      </c>
      <c r="R997" s="508" t="s">
        <v>40</v>
      </c>
      <c r="S997" s="31" t="s">
        <v>273</v>
      </c>
      <c r="T997" s="31" t="s">
        <v>273</v>
      </c>
      <c r="U997" s="31">
        <f>IFERROR(VLOOKUP(CONCATENATE(Tabla1[[#This Row],[Severidad]]," ",Tabla1[[#This Row],[Complejidad]]),Catalogos!E$120:G$128,3,FALSE),"")</f>
        <v>64</v>
      </c>
      <c r="V997" s="31" t="str">
        <f>IF(Tabla1[[#This Row],[Tiempo solución max (hrs)]]&lt;&gt;"",IF(Tabla1[[#This Row],[Tiempo solución max (hrs)]]&gt;=Tabla1[[#This Row],[Tiempo
(Hrs 00/100)]],"cumple","no cumple"),"")</f>
        <v>cumple</v>
      </c>
      <c r="W997" s="376" t="s">
        <v>1312</v>
      </c>
      <c r="X997" s="463" t="str">
        <f t="shared" si="109"/>
        <v>DS</v>
      </c>
      <c r="Y997" s="459" t="str">
        <f>SUBSTITUTE(Tabla1[[#This Row],[Descripción]],CHAR(10),"    I    ")</f>
        <v>Pruebas y validación (maxlength,minlength,email,pattern teléfono,campos requeridos, implementación alertas, modales de confirmación y acción correcta o fallida en pantallas)</v>
      </c>
      <c r="Z997" s="464">
        <f>VLOOKUP(Tabla1[[#This Row],[Perfil]],Catalogos!$B$75:$D$100,3,FALSE)*Tabla1[[#This Row],[Tiempo
(Hrs 00/100)]]*1.16</f>
        <v>4872</v>
      </c>
    </row>
    <row r="998" spans="1:26" ht="15" customHeight="1" x14ac:dyDescent="0.3">
      <c r="A998" s="370" t="s">
        <v>58</v>
      </c>
      <c r="B998" s="370" t="s">
        <v>305</v>
      </c>
      <c r="C998" s="205" t="s">
        <v>45</v>
      </c>
      <c r="D998" s="370"/>
      <c r="E998" s="370" t="s">
        <v>1399</v>
      </c>
      <c r="F998" s="370" t="s">
        <v>74</v>
      </c>
      <c r="G998" s="370" t="s">
        <v>604</v>
      </c>
      <c r="H998" s="371" t="s">
        <v>1400</v>
      </c>
      <c r="I998" s="371" t="s">
        <v>1401</v>
      </c>
      <c r="J998" s="527">
        <v>45093</v>
      </c>
      <c r="K998" s="709">
        <v>0.375</v>
      </c>
      <c r="L998" s="527">
        <v>45093</v>
      </c>
      <c r="M998" s="739">
        <v>0.79166666666666663</v>
      </c>
      <c r="N998" s="373">
        <v>8</v>
      </c>
      <c r="O998" s="374" t="s">
        <v>411</v>
      </c>
      <c r="P998" s="375"/>
      <c r="Q998" s="797" t="s">
        <v>1442</v>
      </c>
      <c r="R998" s="202" t="s">
        <v>79</v>
      </c>
      <c r="S998" s="31" t="s">
        <v>273</v>
      </c>
      <c r="T998" s="31" t="s">
        <v>273</v>
      </c>
      <c r="U998" s="31">
        <f>IFERROR(VLOOKUP(CONCATENATE(Tabla1[[#This Row],[Severidad]]," ",Tabla1[[#This Row],[Complejidad]]),Catalogos!E$120:G$128,3,FALSE),"")</f>
        <v>64</v>
      </c>
      <c r="V998" s="31" t="str">
        <f>IF(Tabla1[[#This Row],[Tiempo solución max (hrs)]]&lt;&gt;"",IF(Tabla1[[#This Row],[Tiempo solución max (hrs)]]&gt;=Tabla1[[#This Row],[Tiempo
(Hrs 00/100)]],"cumple","no cumple"),"")</f>
        <v>cumple</v>
      </c>
      <c r="W998" s="376" t="s">
        <v>1312</v>
      </c>
      <c r="X998" s="463" t="str">
        <f t="shared" si="109"/>
        <v>SPD</v>
      </c>
      <c r="Y998" s="459" t="str">
        <f>SUBSTITUTE(Tabla1[[#This Row],[Descripción]],CHAR(10),"    I    ")</f>
        <v>Analisis de los diferetes componentes del cluster</v>
      </c>
      <c r="Z998" s="464">
        <f>VLOOKUP(Tabla1[[#This Row],[Perfil]],Catalogos!$B$75:$D$100,3,FALSE)*Tabla1[[#This Row],[Tiempo
(Hrs 00/100)]]*1.16</f>
        <v>5568</v>
      </c>
    </row>
    <row r="999" spans="1:26" ht="15" customHeight="1" x14ac:dyDescent="0.3">
      <c r="A999" s="370" t="s">
        <v>58</v>
      </c>
      <c r="B999" s="370" t="s">
        <v>305</v>
      </c>
      <c r="C999" s="205" t="s">
        <v>45</v>
      </c>
      <c r="D999" s="370"/>
      <c r="E999" s="370" t="s">
        <v>1399</v>
      </c>
      <c r="F999" s="370" t="s">
        <v>74</v>
      </c>
      <c r="G999" s="370" t="s">
        <v>604</v>
      </c>
      <c r="H999" s="371" t="s">
        <v>1400</v>
      </c>
      <c r="I999" s="371" t="s">
        <v>1401</v>
      </c>
      <c r="J999" s="527">
        <v>45096</v>
      </c>
      <c r="K999" s="709">
        <v>0.375</v>
      </c>
      <c r="L999" s="527">
        <v>45096</v>
      </c>
      <c r="M999" s="739">
        <v>0.79166666666666663</v>
      </c>
      <c r="N999" s="373">
        <v>8</v>
      </c>
      <c r="O999" s="374" t="s">
        <v>17</v>
      </c>
      <c r="P999" s="375"/>
      <c r="Q999" s="797" t="s">
        <v>1442</v>
      </c>
      <c r="R999" s="202" t="s">
        <v>79</v>
      </c>
      <c r="S999" s="31" t="s">
        <v>273</v>
      </c>
      <c r="T999" s="31" t="s">
        <v>273</v>
      </c>
      <c r="U999" s="31">
        <f>IFERROR(VLOOKUP(CONCATENATE(Tabla1[[#This Row],[Severidad]]," ",Tabla1[[#This Row],[Complejidad]]),Catalogos!E$120:G$128,3,FALSE),"")</f>
        <v>64</v>
      </c>
      <c r="V999" s="31" t="str">
        <f>IF(Tabla1[[#This Row],[Tiempo solución max (hrs)]]&lt;&gt;"",IF(Tabla1[[#This Row],[Tiempo solución max (hrs)]]&gt;=Tabla1[[#This Row],[Tiempo
(Hrs 00/100)]],"cumple","no cumple"),"")</f>
        <v>cumple</v>
      </c>
      <c r="W999" s="376" t="s">
        <v>1312</v>
      </c>
      <c r="X999" s="463" t="str">
        <f t="shared" si="109"/>
        <v>SPD</v>
      </c>
      <c r="Y999" s="459" t="str">
        <f>SUBSTITUTE(Tabla1[[#This Row],[Descripción]],CHAR(10),"    I    ")</f>
        <v>Analisis de los diferetes componentes del cluster</v>
      </c>
      <c r="Z999" s="464">
        <f>VLOOKUP(Tabla1[[#This Row],[Perfil]],Catalogos!$B$75:$D$100,3,FALSE)*Tabla1[[#This Row],[Tiempo
(Hrs 00/100)]]*1.16</f>
        <v>5568</v>
      </c>
    </row>
    <row r="1000" spans="1:26" ht="15" customHeight="1" x14ac:dyDescent="0.3">
      <c r="A1000" s="370" t="s">
        <v>58</v>
      </c>
      <c r="B1000" s="370" t="s">
        <v>305</v>
      </c>
      <c r="C1000" s="205" t="s">
        <v>45</v>
      </c>
      <c r="D1000" s="370"/>
      <c r="E1000" s="370" t="s">
        <v>1399</v>
      </c>
      <c r="F1000" s="370" t="s">
        <v>74</v>
      </c>
      <c r="G1000" s="370" t="s">
        <v>604</v>
      </c>
      <c r="H1000" s="371" t="s">
        <v>1402</v>
      </c>
      <c r="I1000" s="371" t="s">
        <v>1403</v>
      </c>
      <c r="J1000" s="717">
        <v>45097</v>
      </c>
      <c r="K1000" s="709">
        <v>0.375</v>
      </c>
      <c r="L1000" s="717">
        <v>45097</v>
      </c>
      <c r="M1000" s="739">
        <v>0.79166666666666663</v>
      </c>
      <c r="N1000" s="373">
        <v>8</v>
      </c>
      <c r="O1000" s="374" t="s">
        <v>17</v>
      </c>
      <c r="P1000" s="375"/>
      <c r="Q1000" s="797" t="s">
        <v>1442</v>
      </c>
      <c r="R1000" s="202" t="s">
        <v>79</v>
      </c>
      <c r="S1000" s="31" t="s">
        <v>273</v>
      </c>
      <c r="T1000" s="31" t="s">
        <v>273</v>
      </c>
      <c r="U1000" s="31">
        <f>IFERROR(VLOOKUP(CONCATENATE(Tabla1[[#This Row],[Severidad]]," ",Tabla1[[#This Row],[Complejidad]]),Catalogos!E$120:G$128,3,FALSE),"")</f>
        <v>64</v>
      </c>
      <c r="V1000" s="31" t="str">
        <f>IF(Tabla1[[#This Row],[Tiempo solución max (hrs)]]&lt;&gt;"",IF(Tabla1[[#This Row],[Tiempo solución max (hrs)]]&gt;=Tabla1[[#This Row],[Tiempo
(Hrs 00/100)]],"cumple","no cumple"),"")</f>
        <v>cumple</v>
      </c>
      <c r="W1000" s="376" t="s">
        <v>1312</v>
      </c>
      <c r="X1000" s="463" t="str">
        <f t="shared" si="109"/>
        <v>SPD</v>
      </c>
      <c r="Y1000" s="459" t="str">
        <f>SUBSTITUTE(Tabla1[[#This Row],[Descripción]],CHAR(10),"    I    ")</f>
        <v>Se configura la VPN para conectarse a los servidores del INAI, de acuardo a la información proporcionada el subdirector, se valida la conexión con cada uno</v>
      </c>
      <c r="Z1000" s="464">
        <f>VLOOKUP(Tabla1[[#This Row],[Perfil]],Catalogos!$B$75:$D$100,3,FALSE)*Tabla1[[#This Row],[Tiempo
(Hrs 00/100)]]*1.16</f>
        <v>5568</v>
      </c>
    </row>
    <row r="1001" spans="1:26" ht="15" customHeight="1" x14ac:dyDescent="0.3">
      <c r="A1001" s="370" t="s">
        <v>58</v>
      </c>
      <c r="B1001" s="370" t="s">
        <v>305</v>
      </c>
      <c r="C1001" s="205" t="s">
        <v>45</v>
      </c>
      <c r="D1001" s="382"/>
      <c r="E1001" s="370" t="s">
        <v>1399</v>
      </c>
      <c r="F1001" s="370" t="s">
        <v>72</v>
      </c>
      <c r="G1001" s="370" t="s">
        <v>604</v>
      </c>
      <c r="H1001" s="371" t="s">
        <v>1404</v>
      </c>
      <c r="I1001" s="371" t="s">
        <v>1405</v>
      </c>
      <c r="J1001" s="527">
        <v>45098</v>
      </c>
      <c r="K1001" s="709">
        <v>0.375</v>
      </c>
      <c r="L1001" s="527">
        <v>45098</v>
      </c>
      <c r="M1001" s="739">
        <v>0.79166666666666663</v>
      </c>
      <c r="N1001" s="373">
        <v>8</v>
      </c>
      <c r="O1001" s="374" t="s">
        <v>17</v>
      </c>
      <c r="P1001" s="375"/>
      <c r="Q1001" s="797" t="s">
        <v>1442</v>
      </c>
      <c r="R1001" s="202" t="s">
        <v>79</v>
      </c>
      <c r="S1001" s="31" t="s">
        <v>273</v>
      </c>
      <c r="T1001" s="31" t="s">
        <v>273</v>
      </c>
      <c r="U1001" s="31">
        <f>IFERROR(VLOOKUP(CONCATENATE(Tabla1[[#This Row],[Severidad]]," ",Tabla1[[#This Row],[Complejidad]]),Catalogos!E$120:G$128,3,FALSE),"")</f>
        <v>64</v>
      </c>
      <c r="V1001" s="31" t="str">
        <f>IF(Tabla1[[#This Row],[Tiempo solución max (hrs)]]&lt;&gt;"",IF(Tabla1[[#This Row],[Tiempo solución max (hrs)]]&gt;=Tabla1[[#This Row],[Tiempo
(Hrs 00/100)]],"cumple","no cumple"),"")</f>
        <v>cumple</v>
      </c>
      <c r="W1001" s="376" t="s">
        <v>1312</v>
      </c>
      <c r="X1001" s="463" t="str">
        <f t="shared" si="109"/>
        <v>SPD</v>
      </c>
      <c r="Y1001" s="459" t="str">
        <f>SUBSTITUTE(Tabla1[[#This Row],[Descripción]],CHAR(10),"    I    ")</f>
        <v>Se reviso que se tenga acceso y salida de internet de los diferentes servidores</v>
      </c>
      <c r="Z1001" s="464">
        <f>VLOOKUP(Tabla1[[#This Row],[Perfil]],Catalogos!$B$75:$D$100,3,FALSE)*Tabla1[[#This Row],[Tiempo
(Hrs 00/100)]]*1.16</f>
        <v>5568</v>
      </c>
    </row>
    <row r="1002" spans="1:26" ht="15" customHeight="1" x14ac:dyDescent="0.3">
      <c r="A1002" s="370" t="s">
        <v>58</v>
      </c>
      <c r="B1002" s="370" t="s">
        <v>305</v>
      </c>
      <c r="C1002" s="205" t="s">
        <v>45</v>
      </c>
      <c r="D1002" s="382"/>
      <c r="E1002" s="370" t="s">
        <v>1399</v>
      </c>
      <c r="F1002" s="370" t="s">
        <v>72</v>
      </c>
      <c r="G1002" s="370" t="s">
        <v>604</v>
      </c>
      <c r="H1002" s="371" t="s">
        <v>1406</v>
      </c>
      <c r="I1002" s="371" t="s">
        <v>1407</v>
      </c>
      <c r="J1002" s="527">
        <v>45099</v>
      </c>
      <c r="K1002" s="709">
        <v>0.375</v>
      </c>
      <c r="L1002" s="527">
        <v>45099</v>
      </c>
      <c r="M1002" s="739">
        <v>0.79166666666666663</v>
      </c>
      <c r="N1002" s="210">
        <v>8</v>
      </c>
      <c r="O1002" s="374" t="s">
        <v>17</v>
      </c>
      <c r="P1002" s="375"/>
      <c r="Q1002" s="797" t="s">
        <v>1442</v>
      </c>
      <c r="R1002" s="202" t="s">
        <v>79</v>
      </c>
      <c r="S1002" s="31" t="s">
        <v>273</v>
      </c>
      <c r="T1002" s="31" t="s">
        <v>273</v>
      </c>
      <c r="U1002" s="31">
        <f>IFERROR(VLOOKUP(CONCATENATE(Tabla1[[#This Row],[Severidad]]," ",Tabla1[[#This Row],[Complejidad]]),Catalogos!E$120:G$128,3,FALSE),"")</f>
        <v>64</v>
      </c>
      <c r="V1002" s="31" t="str">
        <f>IF(Tabla1[[#This Row],[Tiempo solución max (hrs)]]&lt;&gt;"",IF(Tabla1[[#This Row],[Tiempo solución max (hrs)]]&gt;=Tabla1[[#This Row],[Tiempo
(Hrs 00/100)]],"cumple","no cumple"),"")</f>
        <v>cumple</v>
      </c>
      <c r="W1002" s="376" t="s">
        <v>1312</v>
      </c>
      <c r="X1002" s="463" t="str">
        <f t="shared" si="109"/>
        <v>SPD</v>
      </c>
      <c r="Y1002" s="459" t="str">
        <f>SUBSTITUTE(Tabla1[[#This Row],[Descripción]],CHAR(10),"    I    ")</f>
        <v>Ya con los accesos, se actualizo el SO, ultimo nivel de actualizaciones</v>
      </c>
      <c r="Z1002" s="464">
        <f>VLOOKUP(Tabla1[[#This Row],[Perfil]],Catalogos!$B$75:$D$100,3,FALSE)*Tabla1[[#This Row],[Tiempo
(Hrs 00/100)]]*1.16</f>
        <v>5568</v>
      </c>
    </row>
    <row r="1003" spans="1:26" ht="15" customHeight="1" x14ac:dyDescent="0.3">
      <c r="A1003" s="243" t="s">
        <v>58</v>
      </c>
      <c r="B1003" s="243" t="s">
        <v>305</v>
      </c>
      <c r="C1003" s="243" t="s">
        <v>45</v>
      </c>
      <c r="D1003" s="243"/>
      <c r="E1003" s="243" t="s">
        <v>1399</v>
      </c>
      <c r="F1003" s="243" t="s">
        <v>74</v>
      </c>
      <c r="G1003" s="243" t="s">
        <v>604</v>
      </c>
      <c r="H1003" s="243" t="s">
        <v>1408</v>
      </c>
      <c r="I1003" s="243" t="s">
        <v>1409</v>
      </c>
      <c r="J1003" s="527">
        <v>45100</v>
      </c>
      <c r="K1003" s="709">
        <v>0.375</v>
      </c>
      <c r="L1003" s="527">
        <v>45100</v>
      </c>
      <c r="M1003" s="739">
        <v>0.79166666666666663</v>
      </c>
      <c r="N1003" s="373">
        <v>8</v>
      </c>
      <c r="O1003" s="374" t="s">
        <v>17</v>
      </c>
      <c r="P1003" s="375"/>
      <c r="Q1003" s="797" t="s">
        <v>1442</v>
      </c>
      <c r="R1003" s="202" t="s">
        <v>79</v>
      </c>
      <c r="S1003" s="31" t="s">
        <v>273</v>
      </c>
      <c r="T1003" s="31" t="s">
        <v>273</v>
      </c>
      <c r="U1003" s="31">
        <f>IFERROR(VLOOKUP(CONCATENATE(Tabla1[[#This Row],[Severidad]]," ",Tabla1[[#This Row],[Complejidad]]),Catalogos!E$120:G$128,3,FALSE),"")</f>
        <v>64</v>
      </c>
      <c r="V1003" s="31" t="str">
        <f>IF(Tabla1[[#This Row],[Tiempo solución max (hrs)]]&lt;&gt;"",IF(Tabla1[[#This Row],[Tiempo solución max (hrs)]]&gt;=Tabla1[[#This Row],[Tiempo
(Hrs 00/100)]],"cumple","no cumple"),"")</f>
        <v>cumple</v>
      </c>
      <c r="W1003" s="376" t="s">
        <v>1312</v>
      </c>
      <c r="X1003" s="463" t="str">
        <f t="shared" si="109"/>
        <v>SPD</v>
      </c>
      <c r="Y1003" s="459" t="str">
        <f>SUBSTITUTE(Tabla1[[#This Row],[Descripción]],CHAR(10),"    I    ")</f>
        <v>Se instaló algunas herraientas a utilizar</v>
      </c>
      <c r="Z1003" s="464">
        <f>VLOOKUP(Tabla1[[#This Row],[Perfil]],Catalogos!$B$75:$D$100,3,FALSE)*Tabla1[[#This Row],[Tiempo
(Hrs 00/100)]]*1.16</f>
        <v>5568</v>
      </c>
    </row>
    <row r="1004" spans="1:26" ht="15" customHeight="1" x14ac:dyDescent="0.3">
      <c r="A1004" s="243" t="s">
        <v>58</v>
      </c>
      <c r="B1004" s="243" t="s">
        <v>305</v>
      </c>
      <c r="C1004" s="243" t="s">
        <v>45</v>
      </c>
      <c r="D1004" s="243"/>
      <c r="E1004" s="243" t="s">
        <v>1399</v>
      </c>
      <c r="F1004" s="243" t="s">
        <v>74</v>
      </c>
      <c r="G1004" s="243" t="s">
        <v>604</v>
      </c>
      <c r="H1004" s="243" t="s">
        <v>1410</v>
      </c>
      <c r="I1004" s="243" t="s">
        <v>1411</v>
      </c>
      <c r="J1004" s="527">
        <v>45101</v>
      </c>
      <c r="K1004" s="709">
        <v>0.375</v>
      </c>
      <c r="L1004" s="527">
        <v>45101</v>
      </c>
      <c r="M1004" s="528">
        <v>0.76041666666666663</v>
      </c>
      <c r="N1004" s="210">
        <v>7.25</v>
      </c>
      <c r="O1004" s="374" t="s">
        <v>411</v>
      </c>
      <c r="P1004" s="375"/>
      <c r="Q1004" s="797" t="s">
        <v>1442</v>
      </c>
      <c r="R1004" s="202" t="s">
        <v>79</v>
      </c>
      <c r="S1004" s="31" t="s">
        <v>273</v>
      </c>
      <c r="T1004" s="31" t="s">
        <v>273</v>
      </c>
      <c r="U1004" s="31">
        <f>IFERROR(VLOOKUP(CONCATENATE(Tabla1[[#This Row],[Severidad]]," ",Tabla1[[#This Row],[Complejidad]]),Catalogos!E$120:G$128,3,FALSE),"")</f>
        <v>64</v>
      </c>
      <c r="V1004" s="31" t="str">
        <f>IF(Tabla1[[#This Row],[Tiempo solución max (hrs)]]&lt;&gt;"",IF(Tabla1[[#This Row],[Tiempo solución max (hrs)]]&gt;=Tabla1[[#This Row],[Tiempo
(Hrs 00/100)]],"cumple","no cumple"),"")</f>
        <v>cumple</v>
      </c>
      <c r="W1004" s="376" t="s">
        <v>1312</v>
      </c>
      <c r="X1004" s="463" t="str">
        <f t="shared" si="109"/>
        <v>SPD</v>
      </c>
      <c r="Y1004" s="459" t="str">
        <f>SUBSTITUTE(Tabla1[[#This Row],[Descripción]],CHAR(10),"    I    ")</f>
        <v>Se quito swap y otras configuraciones necesarias</v>
      </c>
      <c r="Z1004" s="464">
        <f>VLOOKUP(Tabla1[[#This Row],[Perfil]],Catalogos!$B$75:$D$100,3,FALSE)*Tabla1[[#This Row],[Tiempo
(Hrs 00/100)]]*1.16</f>
        <v>5046</v>
      </c>
    </row>
    <row r="1005" spans="1:26" ht="15" customHeight="1" x14ac:dyDescent="0.3">
      <c r="A1005" s="243" t="s">
        <v>58</v>
      </c>
      <c r="B1005" s="243" t="s">
        <v>305</v>
      </c>
      <c r="C1005" s="243" t="s">
        <v>45</v>
      </c>
      <c r="D1005" s="243"/>
      <c r="E1005" s="243" t="s">
        <v>1399</v>
      </c>
      <c r="F1005" s="243" t="s">
        <v>74</v>
      </c>
      <c r="G1005" s="243" t="s">
        <v>604</v>
      </c>
      <c r="H1005" s="243" t="s">
        <v>1410</v>
      </c>
      <c r="I1005" s="243" t="s">
        <v>1411</v>
      </c>
      <c r="J1005" s="527">
        <v>45103</v>
      </c>
      <c r="K1005" s="709">
        <v>0.375</v>
      </c>
      <c r="L1005" s="527">
        <v>45103</v>
      </c>
      <c r="M1005" s="739">
        <v>0.79166666666666663</v>
      </c>
      <c r="N1005" s="210">
        <v>8</v>
      </c>
      <c r="O1005" s="374" t="s">
        <v>17</v>
      </c>
      <c r="P1005" s="375"/>
      <c r="Q1005" s="797" t="s">
        <v>1442</v>
      </c>
      <c r="R1005" s="202" t="s">
        <v>79</v>
      </c>
      <c r="S1005" s="31" t="s">
        <v>273</v>
      </c>
      <c r="T1005" s="31" t="s">
        <v>273</v>
      </c>
      <c r="U1005" s="31">
        <f>IFERROR(VLOOKUP(CONCATENATE(Tabla1[[#This Row],[Severidad]]," ",Tabla1[[#This Row],[Complejidad]]),Catalogos!E$120:G$128,3,FALSE),"")</f>
        <v>64</v>
      </c>
      <c r="V1005" s="31" t="str">
        <f>IF(Tabla1[[#This Row],[Tiempo solución max (hrs)]]&lt;&gt;"",IF(Tabla1[[#This Row],[Tiempo solución max (hrs)]]&gt;=Tabla1[[#This Row],[Tiempo
(Hrs 00/100)]],"cumple","no cumple"),"")</f>
        <v>cumple</v>
      </c>
      <c r="W1005" s="376" t="s">
        <v>1312</v>
      </c>
      <c r="X1005" s="463" t="str">
        <f t="shared" si="109"/>
        <v>SPD</v>
      </c>
      <c r="Y1005" s="459" t="str">
        <f>SUBSTITUTE(Tabla1[[#This Row],[Descripción]],CHAR(10),"    I    ")</f>
        <v>Se quito swap y otras configuraciones necesarias</v>
      </c>
      <c r="Z1005" s="464">
        <f>VLOOKUP(Tabla1[[#This Row],[Perfil]],Catalogos!$B$75:$D$100,3,FALSE)*Tabla1[[#This Row],[Tiempo
(Hrs 00/100)]]*1.16</f>
        <v>5568</v>
      </c>
    </row>
    <row r="1006" spans="1:26" ht="15" customHeight="1" x14ac:dyDescent="0.3">
      <c r="A1006" s="243" t="s">
        <v>58</v>
      </c>
      <c r="B1006" s="243" t="s">
        <v>305</v>
      </c>
      <c r="C1006" s="243" t="s">
        <v>45</v>
      </c>
      <c r="D1006" s="243"/>
      <c r="E1006" s="243" t="s">
        <v>1399</v>
      </c>
      <c r="F1006" s="243" t="s">
        <v>72</v>
      </c>
      <c r="G1006" s="243" t="s">
        <v>604</v>
      </c>
      <c r="H1006" s="243" t="s">
        <v>1412</v>
      </c>
      <c r="I1006" s="243" t="s">
        <v>1413</v>
      </c>
      <c r="J1006" s="527">
        <v>45104</v>
      </c>
      <c r="K1006" s="709">
        <v>0.375</v>
      </c>
      <c r="L1006" s="527">
        <v>45104</v>
      </c>
      <c r="M1006" s="739">
        <v>0.79166666666666663</v>
      </c>
      <c r="N1006" s="210">
        <v>8</v>
      </c>
      <c r="O1006" s="374" t="s">
        <v>17</v>
      </c>
      <c r="P1006" s="375"/>
      <c r="Q1006" s="797" t="s">
        <v>1442</v>
      </c>
      <c r="R1006" s="202" t="s">
        <v>79</v>
      </c>
      <c r="S1006" s="31" t="s">
        <v>273</v>
      </c>
      <c r="T1006" s="31" t="s">
        <v>273</v>
      </c>
      <c r="U1006" s="31">
        <f>IFERROR(VLOOKUP(CONCATENATE(Tabla1[[#This Row],[Severidad]]," ",Tabla1[[#This Row],[Complejidad]]),Catalogos!E$120:G$128,3,FALSE),"")</f>
        <v>64</v>
      </c>
      <c r="V1006" s="31" t="str">
        <f>IF(Tabla1[[#This Row],[Tiempo solución max (hrs)]]&lt;&gt;"",IF(Tabla1[[#This Row],[Tiempo solución max (hrs)]]&gt;=Tabla1[[#This Row],[Tiempo
(Hrs 00/100)]],"cumple","no cumple"),"")</f>
        <v>cumple</v>
      </c>
      <c r="W1006" s="376" t="s">
        <v>1312</v>
      </c>
      <c r="X1006" s="463" t="str">
        <f t="shared" si="109"/>
        <v>SPD</v>
      </c>
      <c r="Y1006" s="459" t="str">
        <f>SUBSTITUTE(Tabla1[[#This Row],[Descripción]],CHAR(10),"    I    ")</f>
        <v>Se dejo a puesto el operator node, es donde todo se va configurar</v>
      </c>
      <c r="Z1006" s="464">
        <f>VLOOKUP(Tabla1[[#This Row],[Perfil]],Catalogos!$B$75:$D$100,3,FALSE)*Tabla1[[#This Row],[Tiempo
(Hrs 00/100)]]*1.16</f>
        <v>5568</v>
      </c>
    </row>
    <row r="1007" spans="1:26" ht="15" customHeight="1" x14ac:dyDescent="0.3">
      <c r="A1007" s="370" t="s">
        <v>58</v>
      </c>
      <c r="B1007" s="370" t="s">
        <v>305</v>
      </c>
      <c r="C1007" s="205" t="s">
        <v>45</v>
      </c>
      <c r="D1007" s="370"/>
      <c r="E1007" s="370" t="s">
        <v>1399</v>
      </c>
      <c r="F1007" s="370" t="s">
        <v>72</v>
      </c>
      <c r="G1007" s="370" t="s">
        <v>604</v>
      </c>
      <c r="H1007" s="371" t="s">
        <v>1414</v>
      </c>
      <c r="I1007" s="383" t="s">
        <v>1415</v>
      </c>
      <c r="J1007" s="527">
        <v>45105</v>
      </c>
      <c r="K1007" s="709">
        <v>0.375</v>
      </c>
      <c r="L1007" s="527">
        <v>45105</v>
      </c>
      <c r="M1007" s="739">
        <v>0.79166666666666663</v>
      </c>
      <c r="N1007" s="373">
        <v>8</v>
      </c>
      <c r="O1007" s="374" t="s">
        <v>411</v>
      </c>
      <c r="P1007" s="375"/>
      <c r="Q1007" s="797" t="s">
        <v>1442</v>
      </c>
      <c r="R1007" s="202" t="s">
        <v>79</v>
      </c>
      <c r="S1007" s="31" t="s">
        <v>273</v>
      </c>
      <c r="T1007" s="31" t="s">
        <v>273</v>
      </c>
      <c r="U1007" s="31">
        <f>IFERROR(VLOOKUP(CONCATENATE(Tabla1[[#This Row],[Severidad]]," ",Tabla1[[#This Row],[Complejidad]]),Catalogos!E$120:G$128,3,FALSE),"")</f>
        <v>64</v>
      </c>
      <c r="V1007" s="31" t="str">
        <f>IF(Tabla1[[#This Row],[Tiempo solución max (hrs)]]&lt;&gt;"",IF(Tabla1[[#This Row],[Tiempo solución max (hrs)]]&gt;=Tabla1[[#This Row],[Tiempo
(Hrs 00/100)]],"cumple","no cumple"),"")</f>
        <v>cumple</v>
      </c>
      <c r="W1007" s="376" t="s">
        <v>1312</v>
      </c>
      <c r="X1007" s="463" t="str">
        <f t="shared" si="109"/>
        <v>SPD</v>
      </c>
      <c r="Y1007" s="459" t="str">
        <f>SUBSTITUTE(Tabla1[[#This Row],[Descripción]],CHAR(10),"    I    ")</f>
        <v>Se agrego el usuario de Oracle en los 7 servidores</v>
      </c>
      <c r="Z1007" s="464">
        <f>VLOOKUP(Tabla1[[#This Row],[Perfil]],Catalogos!$B$75:$D$100,3,FALSE)*Tabla1[[#This Row],[Tiempo
(Hrs 00/100)]]*1.16</f>
        <v>5568</v>
      </c>
    </row>
    <row r="1008" spans="1:26" ht="15" customHeight="1" x14ac:dyDescent="0.3">
      <c r="A1008" s="210" t="s">
        <v>58</v>
      </c>
      <c r="B1008" s="374" t="s">
        <v>305</v>
      </c>
      <c r="C1008" s="205" t="s">
        <v>45</v>
      </c>
      <c r="D1008" s="382"/>
      <c r="E1008" s="370" t="s">
        <v>1399</v>
      </c>
      <c r="F1008" s="210" t="s">
        <v>72</v>
      </c>
      <c r="G1008" s="370" t="s">
        <v>604</v>
      </c>
      <c r="H1008" s="371" t="s">
        <v>1414</v>
      </c>
      <c r="I1008" s="383" t="s">
        <v>1415</v>
      </c>
      <c r="J1008" s="527">
        <v>45106</v>
      </c>
      <c r="K1008" s="709">
        <v>0.375</v>
      </c>
      <c r="L1008" s="527">
        <v>45106</v>
      </c>
      <c r="M1008" s="739">
        <v>0.79166666666666663</v>
      </c>
      <c r="N1008" s="210">
        <v>8</v>
      </c>
      <c r="O1008" s="374" t="s">
        <v>17</v>
      </c>
      <c r="P1008" s="375"/>
      <c r="Q1008" s="797" t="s">
        <v>1442</v>
      </c>
      <c r="R1008" s="202" t="s">
        <v>79</v>
      </c>
      <c r="S1008" s="31" t="s">
        <v>273</v>
      </c>
      <c r="T1008" s="31" t="s">
        <v>273</v>
      </c>
      <c r="U1008" s="31">
        <f>IFERROR(VLOOKUP(CONCATENATE(Tabla1[[#This Row],[Severidad]]," ",Tabla1[[#This Row],[Complejidad]]),Catalogos!E$120:G$128,3,FALSE),"")</f>
        <v>64</v>
      </c>
      <c r="V1008" s="31" t="str">
        <f>IF(Tabla1[[#This Row],[Tiempo solución max (hrs)]]&lt;&gt;"",IF(Tabla1[[#This Row],[Tiempo solución max (hrs)]]&gt;=Tabla1[[#This Row],[Tiempo
(Hrs 00/100)]],"cumple","no cumple"),"")</f>
        <v>cumple</v>
      </c>
      <c r="W1008" s="376" t="s">
        <v>1312</v>
      </c>
      <c r="X1008" s="463" t="str">
        <f t="shared" si="109"/>
        <v>SPD</v>
      </c>
      <c r="Y1008" s="459" t="str">
        <f>SUBSTITUTE(Tabla1[[#This Row],[Descripción]],CHAR(10),"    I    ")</f>
        <v>Se agrego el usuario de Oracle en los 7 servidores</v>
      </c>
      <c r="Z1008" s="464">
        <f>VLOOKUP(Tabla1[[#This Row],[Perfil]],Catalogos!$B$75:$D$100,3,FALSE)*Tabla1[[#This Row],[Tiempo
(Hrs 00/100)]]*1.16</f>
        <v>5568</v>
      </c>
    </row>
    <row r="1009" spans="1:26" ht="15" customHeight="1" x14ac:dyDescent="0.3">
      <c r="A1009" s="210" t="s">
        <v>58</v>
      </c>
      <c r="B1009" s="374" t="s">
        <v>305</v>
      </c>
      <c r="C1009" s="205" t="s">
        <v>45</v>
      </c>
      <c r="D1009" s="382"/>
      <c r="E1009" s="370" t="s">
        <v>1399</v>
      </c>
      <c r="F1009" s="210" t="s">
        <v>72</v>
      </c>
      <c r="G1009" s="370" t="s">
        <v>604</v>
      </c>
      <c r="H1009" s="371" t="s">
        <v>1416</v>
      </c>
      <c r="I1009" s="383" t="s">
        <v>1417</v>
      </c>
      <c r="J1009" s="527">
        <v>45107</v>
      </c>
      <c r="K1009" s="709">
        <v>0.375</v>
      </c>
      <c r="L1009" s="527">
        <v>45107</v>
      </c>
      <c r="M1009" s="739">
        <v>0.79166666666666663</v>
      </c>
      <c r="N1009" s="373">
        <v>8</v>
      </c>
      <c r="O1009" s="374" t="s">
        <v>17</v>
      </c>
      <c r="P1009" s="375"/>
      <c r="Q1009" s="797" t="s">
        <v>1442</v>
      </c>
      <c r="R1009" s="202" t="s">
        <v>79</v>
      </c>
      <c r="S1009" s="31" t="s">
        <v>273</v>
      </c>
      <c r="T1009" s="31" t="s">
        <v>273</v>
      </c>
      <c r="U1009" s="31">
        <f>IFERROR(VLOOKUP(CONCATENATE(Tabla1[[#This Row],[Severidad]]," ",Tabla1[[#This Row],[Complejidad]]),Catalogos!E$120:G$128,3,FALSE),"")</f>
        <v>64</v>
      </c>
      <c r="V1009" s="31" t="str">
        <f>IF(Tabla1[[#This Row],[Tiempo solución max (hrs)]]&lt;&gt;"",IF(Tabla1[[#This Row],[Tiempo solución max (hrs)]]&gt;=Tabla1[[#This Row],[Tiempo
(Hrs 00/100)]],"cumple","no cumple"),"")</f>
        <v>cumple</v>
      </c>
      <c r="W1009" s="376" t="s">
        <v>1312</v>
      </c>
      <c r="X1009" s="463" t="str">
        <f t="shared" si="109"/>
        <v>SPD</v>
      </c>
      <c r="Y1009" s="459" t="str">
        <f>SUBSTITUTE(Tabla1[[#This Row],[Descripción]],CHAR(10),"    I    ")</f>
        <v>passwordless login del operator node a todos los demas servidores</v>
      </c>
      <c r="Z1009" s="464">
        <f>VLOOKUP(Tabla1[[#This Row],[Perfil]],Catalogos!$B$75:$D$100,3,FALSE)*Tabla1[[#This Row],[Tiempo
(Hrs 00/100)]]*1.16</f>
        <v>5568</v>
      </c>
    </row>
    <row r="1010" spans="1:26" ht="15" customHeight="1" x14ac:dyDescent="0.3">
      <c r="A1010" s="370" t="s">
        <v>22</v>
      </c>
      <c r="B1010" s="370" t="s">
        <v>23</v>
      </c>
      <c r="C1010" s="506" t="s">
        <v>45</v>
      </c>
      <c r="D1010" s="370"/>
      <c r="E1010" s="370" t="s">
        <v>641</v>
      </c>
      <c r="F1010" s="370" t="s">
        <v>23</v>
      </c>
      <c r="G1010" s="370"/>
      <c r="H1010" s="371" t="s">
        <v>22</v>
      </c>
      <c r="I1010" s="371" t="s">
        <v>1418</v>
      </c>
      <c r="J1010" s="527">
        <v>45078</v>
      </c>
      <c r="K1010" s="709">
        <v>0.375</v>
      </c>
      <c r="L1010" s="527">
        <v>45078</v>
      </c>
      <c r="M1010" s="739">
        <v>0.79166666666666663</v>
      </c>
      <c r="N1010" s="507">
        <v>8</v>
      </c>
      <c r="O1010" s="374" t="s">
        <v>411</v>
      </c>
      <c r="P1010" s="375" t="s">
        <v>647</v>
      </c>
      <c r="Q1010" s="792" t="s">
        <v>294</v>
      </c>
      <c r="R1010" s="508" t="s">
        <v>40</v>
      </c>
      <c r="S1010" s="31" t="s">
        <v>273</v>
      </c>
      <c r="T1010" s="31" t="s">
        <v>273</v>
      </c>
      <c r="U1010" s="31">
        <f>IFERROR(VLOOKUP(CONCATENATE(Tabla1[[#This Row],[Severidad]]," ",Tabla1[[#This Row],[Complejidad]]),Catalogos!E$120:G$128,3,FALSE),"")</f>
        <v>64</v>
      </c>
      <c r="V1010" s="31" t="str">
        <f>IF(Tabla1[[#This Row],[Tiempo solución max (hrs)]]&lt;&gt;"",IF(Tabla1[[#This Row],[Tiempo solución max (hrs)]]&gt;=Tabla1[[#This Row],[Tiempo
(Hrs 00/100)]],"cumple","no cumple"),"")</f>
        <v>cumple</v>
      </c>
      <c r="W1010" s="376" t="s">
        <v>1312</v>
      </c>
      <c r="X1010" s="463" t="str">
        <f t="shared" si="109"/>
        <v>SPD</v>
      </c>
      <c r="Y1010" s="459" t="str">
        <f>SUBSTITUTE(Tabla1[[#This Row],[Descripción]],CHAR(10),"    I    ")</f>
        <v>Se trabaja en el servicio interno de consulta de detalle de queja por idMedioImpugnacion</v>
      </c>
      <c r="Z1010" s="464">
        <f>VLOOKUP(Tabla1[[#This Row],[Perfil]],Catalogos!$B$75:$D$100,3,FALSE)*Tabla1[[#This Row],[Tiempo
(Hrs 00/100)]]*1.16</f>
        <v>6496</v>
      </c>
    </row>
    <row r="1011" spans="1:26" ht="15" customHeight="1" x14ac:dyDescent="0.3">
      <c r="A1011" s="370" t="s">
        <v>22</v>
      </c>
      <c r="B1011" s="370" t="s">
        <v>23</v>
      </c>
      <c r="C1011" s="506" t="s">
        <v>45</v>
      </c>
      <c r="D1011" s="370"/>
      <c r="E1011" s="370" t="s">
        <v>641</v>
      </c>
      <c r="F1011" s="370" t="s">
        <v>23</v>
      </c>
      <c r="G1011" s="370"/>
      <c r="H1011" s="371" t="s">
        <v>22</v>
      </c>
      <c r="I1011" s="371" t="s">
        <v>1418</v>
      </c>
      <c r="J1011" s="527">
        <v>45079</v>
      </c>
      <c r="K1011" s="709">
        <v>0.375</v>
      </c>
      <c r="L1011" s="527">
        <v>45079</v>
      </c>
      <c r="M1011" s="739">
        <v>0.79166666666666663</v>
      </c>
      <c r="N1011" s="507">
        <v>8</v>
      </c>
      <c r="O1011" s="374" t="s">
        <v>411</v>
      </c>
      <c r="P1011" s="375" t="s">
        <v>647</v>
      </c>
      <c r="Q1011" s="792" t="s">
        <v>294</v>
      </c>
      <c r="R1011" s="508" t="s">
        <v>40</v>
      </c>
      <c r="S1011" s="31" t="s">
        <v>273</v>
      </c>
      <c r="T1011" s="31" t="s">
        <v>273</v>
      </c>
      <c r="U1011" s="31">
        <f>IFERROR(VLOOKUP(CONCATENATE(Tabla1[[#This Row],[Severidad]]," ",Tabla1[[#This Row],[Complejidad]]),Catalogos!E$120:G$128,3,FALSE),"")</f>
        <v>64</v>
      </c>
      <c r="V1011" s="31" t="str">
        <f>IF(Tabla1[[#This Row],[Tiempo solución max (hrs)]]&lt;&gt;"",IF(Tabla1[[#This Row],[Tiempo solución max (hrs)]]&gt;=Tabla1[[#This Row],[Tiempo
(Hrs 00/100)]],"cumple","no cumple"),"")</f>
        <v>cumple</v>
      </c>
      <c r="W1011" s="376" t="s">
        <v>1312</v>
      </c>
      <c r="X1011" s="463" t="str">
        <f t="shared" si="109"/>
        <v>SPD</v>
      </c>
      <c r="Y1011" s="459" t="str">
        <f>SUBSTITUTE(Tabla1[[#This Row],[Descripción]],CHAR(10),"    I    ")</f>
        <v>Se trabaja en el servicio interno de consulta de detalle de queja por idMedioImpugnacion</v>
      </c>
      <c r="Z1011" s="464">
        <f>VLOOKUP(Tabla1[[#This Row],[Perfil]],Catalogos!$B$75:$D$100,3,FALSE)*Tabla1[[#This Row],[Tiempo
(Hrs 00/100)]]*1.16</f>
        <v>6496</v>
      </c>
    </row>
    <row r="1012" spans="1:26" ht="15" customHeight="1" x14ac:dyDescent="0.3">
      <c r="A1012" s="370" t="s">
        <v>22</v>
      </c>
      <c r="B1012" s="370" t="s">
        <v>23</v>
      </c>
      <c r="C1012" s="506" t="s">
        <v>45</v>
      </c>
      <c r="D1012" s="370"/>
      <c r="E1012" s="370" t="s">
        <v>641</v>
      </c>
      <c r="F1012" s="370" t="s">
        <v>23</v>
      </c>
      <c r="G1012" s="370"/>
      <c r="H1012" s="371" t="s">
        <v>22</v>
      </c>
      <c r="I1012" s="371" t="s">
        <v>1418</v>
      </c>
      <c r="J1012" s="707">
        <v>45082</v>
      </c>
      <c r="K1012" s="709">
        <v>0.375</v>
      </c>
      <c r="L1012" s="707">
        <v>45082</v>
      </c>
      <c r="M1012" s="739">
        <v>0.79166666666666663</v>
      </c>
      <c r="N1012" s="507">
        <v>8</v>
      </c>
      <c r="O1012" s="374" t="s">
        <v>411</v>
      </c>
      <c r="P1012" s="375" t="s">
        <v>647</v>
      </c>
      <c r="Q1012" s="792" t="s">
        <v>294</v>
      </c>
      <c r="R1012" s="508" t="s">
        <v>40</v>
      </c>
      <c r="S1012" s="31" t="s">
        <v>273</v>
      </c>
      <c r="T1012" s="31" t="s">
        <v>273</v>
      </c>
      <c r="U1012" s="31">
        <f>IFERROR(VLOOKUP(CONCATENATE(Tabla1[[#This Row],[Severidad]]," ",Tabla1[[#This Row],[Complejidad]]),Catalogos!E$120:G$128,3,FALSE),"")</f>
        <v>64</v>
      </c>
      <c r="V1012" s="31" t="str">
        <f>IF(Tabla1[[#This Row],[Tiempo solución max (hrs)]]&lt;&gt;"",IF(Tabla1[[#This Row],[Tiempo solución max (hrs)]]&gt;=Tabla1[[#This Row],[Tiempo
(Hrs 00/100)]],"cumple","no cumple"),"")</f>
        <v>cumple</v>
      </c>
      <c r="W1012" s="376" t="s">
        <v>1312</v>
      </c>
      <c r="X1012" s="463" t="str">
        <f t="shared" si="109"/>
        <v>SPD</v>
      </c>
      <c r="Y1012" s="459" t="str">
        <f>SUBSTITUTE(Tabla1[[#This Row],[Descripción]],CHAR(10),"    I    ")</f>
        <v>Se trabaja en el servicio interno de consulta de detalle de queja por idMedioImpugnacion</v>
      </c>
      <c r="Z1012" s="464">
        <f>VLOOKUP(Tabla1[[#This Row],[Perfil]],Catalogos!$B$75:$D$100,3,FALSE)*Tabla1[[#This Row],[Tiempo
(Hrs 00/100)]]*1.16</f>
        <v>6496</v>
      </c>
    </row>
    <row r="1013" spans="1:26" ht="15" customHeight="1" x14ac:dyDescent="0.3">
      <c r="A1013" s="370" t="s">
        <v>22</v>
      </c>
      <c r="B1013" s="370" t="s">
        <v>23</v>
      </c>
      <c r="C1013" s="506" t="s">
        <v>45</v>
      </c>
      <c r="D1013" s="382"/>
      <c r="E1013" s="370" t="s">
        <v>641</v>
      </c>
      <c r="F1013" s="370" t="s">
        <v>23</v>
      </c>
      <c r="G1013" s="370"/>
      <c r="H1013" s="371" t="s">
        <v>22</v>
      </c>
      <c r="I1013" s="371" t="s">
        <v>1418</v>
      </c>
      <c r="J1013" s="527">
        <v>45083</v>
      </c>
      <c r="K1013" s="709">
        <v>0.375</v>
      </c>
      <c r="L1013" s="527">
        <v>45083</v>
      </c>
      <c r="M1013" s="739">
        <v>0.79166666666666663</v>
      </c>
      <c r="N1013" s="507">
        <v>8</v>
      </c>
      <c r="O1013" s="374" t="s">
        <v>17</v>
      </c>
      <c r="P1013" s="375" t="s">
        <v>647</v>
      </c>
      <c r="Q1013" s="792" t="s">
        <v>294</v>
      </c>
      <c r="R1013" s="508" t="s">
        <v>40</v>
      </c>
      <c r="S1013" s="31" t="s">
        <v>273</v>
      </c>
      <c r="T1013" s="31" t="s">
        <v>273</v>
      </c>
      <c r="U1013" s="31">
        <f>IFERROR(VLOOKUP(CONCATENATE(Tabla1[[#This Row],[Severidad]]," ",Tabla1[[#This Row],[Complejidad]]),Catalogos!E$120:G$128,3,FALSE),"")</f>
        <v>64</v>
      </c>
      <c r="V1013" s="31" t="str">
        <f>IF(Tabla1[[#This Row],[Tiempo solución max (hrs)]]&lt;&gt;"",IF(Tabla1[[#This Row],[Tiempo solución max (hrs)]]&gt;=Tabla1[[#This Row],[Tiempo
(Hrs 00/100)]],"cumple","no cumple"),"")</f>
        <v>cumple</v>
      </c>
      <c r="W1013" s="376" t="s">
        <v>1312</v>
      </c>
      <c r="X1013" s="463" t="str">
        <f t="shared" si="109"/>
        <v>SPD</v>
      </c>
      <c r="Y1013" s="459" t="str">
        <f>SUBSTITUTE(Tabla1[[#This Row],[Descripción]],CHAR(10),"    I    ")</f>
        <v>Se trabaja en el servicio interno de consulta de detalle de queja por idMedioImpugnacion</v>
      </c>
      <c r="Z1013" s="464">
        <f>VLOOKUP(Tabla1[[#This Row],[Perfil]],Catalogos!$B$75:$D$100,3,FALSE)*Tabla1[[#This Row],[Tiempo
(Hrs 00/100)]]*1.16</f>
        <v>6496</v>
      </c>
    </row>
    <row r="1014" spans="1:26" ht="15" customHeight="1" x14ac:dyDescent="0.3">
      <c r="A1014" s="370" t="s">
        <v>22</v>
      </c>
      <c r="B1014" s="370" t="s">
        <v>23</v>
      </c>
      <c r="C1014" s="506" t="s">
        <v>45</v>
      </c>
      <c r="D1014" s="382"/>
      <c r="E1014" s="370" t="s">
        <v>641</v>
      </c>
      <c r="F1014" s="370" t="s">
        <v>23</v>
      </c>
      <c r="G1014" s="370"/>
      <c r="H1014" s="371" t="s">
        <v>22</v>
      </c>
      <c r="I1014" s="371" t="s">
        <v>1419</v>
      </c>
      <c r="J1014" s="527">
        <v>45084</v>
      </c>
      <c r="K1014" s="747">
        <v>0.375</v>
      </c>
      <c r="L1014" s="527">
        <v>45084</v>
      </c>
      <c r="M1014" s="753">
        <v>0.79166666666666663</v>
      </c>
      <c r="N1014" s="210">
        <v>8</v>
      </c>
      <c r="O1014" s="374" t="s">
        <v>17</v>
      </c>
      <c r="P1014" s="375" t="s">
        <v>647</v>
      </c>
      <c r="Q1014" s="792" t="s">
        <v>294</v>
      </c>
      <c r="R1014" s="508" t="s">
        <v>40</v>
      </c>
      <c r="S1014" s="31" t="s">
        <v>273</v>
      </c>
      <c r="T1014" s="31" t="s">
        <v>273</v>
      </c>
      <c r="U1014" s="31">
        <f>IFERROR(VLOOKUP(CONCATENATE(Tabla1[[#This Row],[Severidad]]," ",Tabla1[[#This Row],[Complejidad]]),Catalogos!E$120:G$128,3,FALSE),"")</f>
        <v>64</v>
      </c>
      <c r="V1014" s="31" t="str">
        <f>IF(Tabla1[[#This Row],[Tiempo solución max (hrs)]]&lt;&gt;"",IF(Tabla1[[#This Row],[Tiempo solución max (hrs)]]&gt;=Tabla1[[#This Row],[Tiempo
(Hrs 00/100)]],"cumple","no cumple"),"")</f>
        <v>cumple</v>
      </c>
      <c r="W1014" s="376" t="s">
        <v>1312</v>
      </c>
      <c r="X1014" s="463" t="str">
        <f t="shared" si="109"/>
        <v>SPD</v>
      </c>
      <c r="Y1014" s="459" t="str">
        <f>SUBSTITUTE(Tabla1[[#This Row],[Descripción]],CHAR(10),"    I    ")</f>
        <v>Se trabaja en el servicio interno de obtener notificaciones por idMedio impugnacion</v>
      </c>
      <c r="Z1014" s="464">
        <f>VLOOKUP(Tabla1[[#This Row],[Perfil]],Catalogos!$B$75:$D$100,3,FALSE)*Tabla1[[#This Row],[Tiempo
(Hrs 00/100)]]*1.16</f>
        <v>6496</v>
      </c>
    </row>
    <row r="1015" spans="1:26" ht="31.5" customHeight="1" x14ac:dyDescent="0.3">
      <c r="A1015" s="530" t="s">
        <v>22</v>
      </c>
      <c r="B1015" s="530" t="s">
        <v>23</v>
      </c>
      <c r="C1015" s="530" t="s">
        <v>45</v>
      </c>
      <c r="D1015" s="531"/>
      <c r="E1015" s="530" t="s">
        <v>641</v>
      </c>
      <c r="F1015" s="530" t="s">
        <v>23</v>
      </c>
      <c r="G1015" s="531"/>
      <c r="H1015" s="371" t="s">
        <v>22</v>
      </c>
      <c r="I1015" s="530" t="s">
        <v>1420</v>
      </c>
      <c r="J1015" s="527">
        <v>45085</v>
      </c>
      <c r="K1015" s="747">
        <v>0.375</v>
      </c>
      <c r="L1015" s="527">
        <v>45085</v>
      </c>
      <c r="M1015" s="753">
        <v>0.79166666666666663</v>
      </c>
      <c r="N1015" s="507">
        <v>8</v>
      </c>
      <c r="O1015" s="374" t="s">
        <v>17</v>
      </c>
      <c r="P1015" s="375" t="s">
        <v>647</v>
      </c>
      <c r="Q1015" s="792" t="s">
        <v>294</v>
      </c>
      <c r="R1015" s="508" t="s">
        <v>40</v>
      </c>
      <c r="S1015" s="31" t="s">
        <v>273</v>
      </c>
      <c r="T1015" s="31" t="s">
        <v>273</v>
      </c>
      <c r="U1015" s="31">
        <f>IFERROR(VLOOKUP(CONCATENATE(Tabla1[[#This Row],[Severidad]]," ",Tabla1[[#This Row],[Complejidad]]),Catalogos!E$120:G$128,3,FALSE),"")</f>
        <v>64</v>
      </c>
      <c r="V1015" s="31" t="str">
        <f>IF(Tabla1[[#This Row],[Tiempo solución max (hrs)]]&lt;&gt;"",IF(Tabla1[[#This Row],[Tiempo solución max (hrs)]]&gt;=Tabla1[[#This Row],[Tiempo
(Hrs 00/100)]],"cumple","no cumple"),"")</f>
        <v>cumple</v>
      </c>
      <c r="W1015" s="376" t="s">
        <v>1312</v>
      </c>
      <c r="X1015" s="377" t="str">
        <f>IF(C1015&lt;&gt;"",C1015,D1015)</f>
        <v>SPD</v>
      </c>
      <c r="Y1015" t="str">
        <f>SUBSTITUTE(Tabla1[[#This Row],[Descripción]],CHAR(10),"    I    ")</f>
        <v>Se trabaja en el servicio interno de acutalizacion de estatus de notificacion</v>
      </c>
      <c r="Z1015" s="142">
        <f>VLOOKUP(Tabla1[[#This Row],[Perfil]],Catalogos!$B$75:$D$100,3,FALSE)*Tabla1[[#This Row],[Tiempo
(Hrs 00/100)]]*1.16</f>
        <v>6496</v>
      </c>
    </row>
    <row r="1016" spans="1:26" ht="31.5" customHeight="1" x14ac:dyDescent="0.3">
      <c r="A1016" s="530" t="s">
        <v>22</v>
      </c>
      <c r="B1016" s="530" t="s">
        <v>23</v>
      </c>
      <c r="C1016" s="530" t="s">
        <v>45</v>
      </c>
      <c r="D1016" s="531"/>
      <c r="E1016" s="530" t="s">
        <v>641</v>
      </c>
      <c r="F1016" s="530" t="s">
        <v>23</v>
      </c>
      <c r="G1016" s="531"/>
      <c r="H1016" s="371" t="s">
        <v>22</v>
      </c>
      <c r="I1016" s="530" t="s">
        <v>1421</v>
      </c>
      <c r="J1016" s="527">
        <v>45086</v>
      </c>
      <c r="K1016" s="747">
        <v>0.375</v>
      </c>
      <c r="L1016" s="527">
        <v>45086</v>
      </c>
      <c r="M1016" s="753">
        <v>0.79166666666666663</v>
      </c>
      <c r="N1016" s="210">
        <v>8</v>
      </c>
      <c r="O1016" s="374" t="s">
        <v>17</v>
      </c>
      <c r="P1016" s="375" t="s">
        <v>647</v>
      </c>
      <c r="Q1016" s="792" t="s">
        <v>294</v>
      </c>
      <c r="R1016" s="508" t="s">
        <v>40</v>
      </c>
      <c r="S1016" s="31" t="s">
        <v>273</v>
      </c>
      <c r="T1016" s="31" t="s">
        <v>273</v>
      </c>
      <c r="U1016" s="31">
        <f>IFERROR(VLOOKUP(CONCATENATE(Tabla1[[#This Row],[Severidad]]," ",Tabla1[[#This Row],[Complejidad]]),Catalogos!E$120:G$128,3,FALSE),"")</f>
        <v>64</v>
      </c>
      <c r="V1016" s="31" t="str">
        <f>IF(Tabla1[[#This Row],[Tiempo solución max (hrs)]]&lt;&gt;"",IF(Tabla1[[#This Row],[Tiempo solución max (hrs)]]&gt;=Tabla1[[#This Row],[Tiempo
(Hrs 00/100)]],"cumple","no cumple"),"")</f>
        <v>cumple</v>
      </c>
      <c r="W1016" s="376" t="s">
        <v>1312</v>
      </c>
      <c r="X1016" s="377" t="str">
        <f>IF(C1016&lt;&gt;"",C1016,D1016)</f>
        <v>SPD</v>
      </c>
      <c r="Y1016" t="str">
        <f>SUBSTITUTE(Tabla1[[#This Row],[Descripción]],CHAR(10),"    I    ")</f>
        <v>Se trabaja en el servicio interno de respuesta de solicitud RIA</v>
      </c>
      <c r="Z1016" s="142">
        <f>VLOOKUP(Tabla1[[#This Row],[Perfil]],Catalogos!$B$75:$D$100,3,FALSE)*Tabla1[[#This Row],[Tiempo
(Hrs 00/100)]]*1.16</f>
        <v>6496</v>
      </c>
    </row>
    <row r="1017" spans="1:26" ht="31.5" customHeight="1" x14ac:dyDescent="0.3">
      <c r="A1017" s="530" t="s">
        <v>22</v>
      </c>
      <c r="B1017" s="530" t="s">
        <v>23</v>
      </c>
      <c r="C1017" s="530" t="s">
        <v>45</v>
      </c>
      <c r="D1017" s="531"/>
      <c r="E1017" s="530" t="s">
        <v>641</v>
      </c>
      <c r="F1017" s="530" t="s">
        <v>23</v>
      </c>
      <c r="G1017" s="531"/>
      <c r="H1017" s="371" t="s">
        <v>22</v>
      </c>
      <c r="I1017" s="530" t="s">
        <v>1422</v>
      </c>
      <c r="J1017" s="527">
        <v>45089</v>
      </c>
      <c r="K1017" s="747">
        <v>0.375</v>
      </c>
      <c r="L1017" s="527">
        <v>45089</v>
      </c>
      <c r="M1017" s="753">
        <v>0.79166666666666663</v>
      </c>
      <c r="N1017" s="210">
        <v>8</v>
      </c>
      <c r="O1017" s="374" t="s">
        <v>17</v>
      </c>
      <c r="P1017" s="375" t="s">
        <v>647</v>
      </c>
      <c r="Q1017" s="792" t="s">
        <v>294</v>
      </c>
      <c r="R1017" s="508" t="s">
        <v>40</v>
      </c>
      <c r="S1017" s="31" t="s">
        <v>273</v>
      </c>
      <c r="T1017" s="31" t="s">
        <v>273</v>
      </c>
      <c r="U1017" s="31">
        <f>IFERROR(VLOOKUP(CONCATENATE(Tabla1[[#This Row],[Severidad]]," ",Tabla1[[#This Row],[Complejidad]]),Catalogos!E$120:G$128,3,FALSE),"")</f>
        <v>64</v>
      </c>
      <c r="V1017" s="31" t="str">
        <f>IF(Tabla1[[#This Row],[Tiempo solución max (hrs)]]&lt;&gt;"",IF(Tabla1[[#This Row],[Tiempo solución max (hrs)]]&gt;=Tabla1[[#This Row],[Tiempo
(Hrs 00/100)]],"cumple","no cumple"),"")</f>
        <v>cumple</v>
      </c>
      <c r="W1017" s="376" t="s">
        <v>1312</v>
      </c>
      <c r="X1017" s="377" t="str">
        <f>IF(C1017&lt;&gt;"",C1017,D1017)</f>
        <v>SPD</v>
      </c>
      <c r="Y1017" t="str">
        <f>SUBSTITUTE(Tabla1[[#This Row],[Descripción]],CHAR(10),"    I    ")</f>
        <v>Se trabaja en el servicio interno de consulta de historico</v>
      </c>
      <c r="Z1017" s="142">
        <f>VLOOKUP(Tabla1[[#This Row],[Perfil]],Catalogos!$B$75:$D$100,3,FALSE)*Tabla1[[#This Row],[Tiempo
(Hrs 00/100)]]*1.16</f>
        <v>6496</v>
      </c>
    </row>
    <row r="1018" spans="1:26" ht="31.5" customHeight="1" x14ac:dyDescent="0.3">
      <c r="A1018" s="530" t="s">
        <v>22</v>
      </c>
      <c r="B1018" s="530" t="s">
        <v>23</v>
      </c>
      <c r="C1018" s="530" t="s">
        <v>45</v>
      </c>
      <c r="D1018" s="531"/>
      <c r="E1018" s="530" t="s">
        <v>641</v>
      </c>
      <c r="F1018" s="530" t="s">
        <v>23</v>
      </c>
      <c r="G1018" s="531"/>
      <c r="H1018" s="371" t="s">
        <v>22</v>
      </c>
      <c r="I1018" s="530" t="s">
        <v>1423</v>
      </c>
      <c r="J1018" s="527">
        <v>45090</v>
      </c>
      <c r="K1018" s="747">
        <v>0.375</v>
      </c>
      <c r="L1018" s="527">
        <v>45090</v>
      </c>
      <c r="M1018" s="753">
        <v>0.79166666666666663</v>
      </c>
      <c r="N1018" s="210">
        <v>8</v>
      </c>
      <c r="O1018" s="374" t="s">
        <v>411</v>
      </c>
      <c r="P1018" s="375" t="s">
        <v>647</v>
      </c>
      <c r="Q1018" s="792" t="s">
        <v>294</v>
      </c>
      <c r="R1018" s="508" t="s">
        <v>40</v>
      </c>
      <c r="S1018" s="31" t="s">
        <v>273</v>
      </c>
      <c r="T1018" s="31" t="s">
        <v>273</v>
      </c>
      <c r="U1018" s="31">
        <f>IFERROR(VLOOKUP(CONCATENATE(Tabla1[[#This Row],[Severidad]]," ",Tabla1[[#This Row],[Complejidad]]),Catalogos!E$120:G$128,3,FALSE),"")</f>
        <v>64</v>
      </c>
      <c r="V1018" s="31" t="str">
        <f>IF(Tabla1[[#This Row],[Tiempo solución max (hrs)]]&lt;&gt;"",IF(Tabla1[[#This Row],[Tiempo solución max (hrs)]]&gt;=Tabla1[[#This Row],[Tiempo
(Hrs 00/100)]],"cumple","no cumple"),"")</f>
        <v>cumple</v>
      </c>
      <c r="W1018" s="376" t="s">
        <v>1312</v>
      </c>
      <c r="X1018" s="377" t="str">
        <f>IF(C1018&lt;&gt;"",C1018,D1018)</f>
        <v>SPD</v>
      </c>
      <c r="Y1018" t="str">
        <f>SUBSTITUTE(Tabla1[[#This Row],[Descripción]],CHAR(10),"    I    ")</f>
        <v>Se trabaja en el servicio interno de notificacion recurrente</v>
      </c>
      <c r="Z1018" s="142">
        <f>VLOOKUP(Tabla1[[#This Row],[Perfil]],Catalogos!$B$75:$D$100,3,FALSE)*Tabla1[[#This Row],[Tiempo
(Hrs 00/100)]]*1.16</f>
        <v>6496</v>
      </c>
    </row>
    <row r="1019" spans="1:26" ht="31.5" customHeight="1" x14ac:dyDescent="0.3">
      <c r="A1019" s="370" t="s">
        <v>22</v>
      </c>
      <c r="B1019" s="370" t="s">
        <v>23</v>
      </c>
      <c r="C1019" s="506" t="s">
        <v>45</v>
      </c>
      <c r="D1019" s="370"/>
      <c r="E1019" s="370" t="s">
        <v>641</v>
      </c>
      <c r="F1019" s="370" t="s">
        <v>23</v>
      </c>
      <c r="G1019" s="370"/>
      <c r="H1019" s="371" t="s">
        <v>22</v>
      </c>
      <c r="I1019" s="383" t="s">
        <v>1423</v>
      </c>
      <c r="J1019" s="527">
        <v>45091</v>
      </c>
      <c r="K1019" s="747">
        <v>0.375</v>
      </c>
      <c r="L1019" s="527">
        <v>45091</v>
      </c>
      <c r="M1019" s="753">
        <v>0.79166666666666663</v>
      </c>
      <c r="N1019" s="507">
        <v>8</v>
      </c>
      <c r="O1019" s="374" t="s">
        <v>17</v>
      </c>
      <c r="P1019" s="375" t="s">
        <v>647</v>
      </c>
      <c r="Q1019" s="792" t="s">
        <v>294</v>
      </c>
      <c r="R1019" s="508" t="s">
        <v>40</v>
      </c>
      <c r="S1019" s="31" t="s">
        <v>273</v>
      </c>
      <c r="T1019" s="31" t="s">
        <v>273</v>
      </c>
      <c r="U1019" s="31">
        <f>IFERROR(VLOOKUP(CONCATENATE(Tabla1[[#This Row],[Severidad]]," ",Tabla1[[#This Row],[Complejidad]]),Catalogos!E$120:G$128,3,FALSE),"")</f>
        <v>64</v>
      </c>
      <c r="V1019" s="31" t="str">
        <f>IF(Tabla1[[#This Row],[Tiempo solución max (hrs)]]&lt;&gt;"",IF(Tabla1[[#This Row],[Tiempo solución max (hrs)]]&gt;=Tabla1[[#This Row],[Tiempo
(Hrs 00/100)]],"cumple","no cumple"),"")</f>
        <v>cumple</v>
      </c>
      <c r="W1019" s="376" t="s">
        <v>1312</v>
      </c>
      <c r="X1019" s="463" t="str">
        <f>IF(C1019&lt;&gt;"",C1019,D1019)</f>
        <v>SPD</v>
      </c>
      <c r="Y1019" s="459" t="str">
        <f>SUBSTITUTE(Tabla1[[#This Row],[Descripción]],CHAR(10),"    I    ")</f>
        <v>Se trabaja en el servicio interno de notificacion recurrente</v>
      </c>
      <c r="Z1019" s="464">
        <f>VLOOKUP(Tabla1[[#This Row],[Perfil]],Catalogos!$B$75:$D$100,3,FALSE)*Tabla1[[#This Row],[Tiempo
(Hrs 00/100)]]*1.16</f>
        <v>6496</v>
      </c>
    </row>
    <row r="1020" spans="1:26" ht="31.5" customHeight="1" x14ac:dyDescent="0.3">
      <c r="A1020" s="210" t="s">
        <v>22</v>
      </c>
      <c r="B1020" s="374" t="s">
        <v>23</v>
      </c>
      <c r="C1020" s="506" t="s">
        <v>45</v>
      </c>
      <c r="D1020" s="382"/>
      <c r="E1020" s="370" t="s">
        <v>641</v>
      </c>
      <c r="F1020" s="210" t="s">
        <v>23</v>
      </c>
      <c r="G1020" s="370"/>
      <c r="H1020" s="371" t="s">
        <v>1424</v>
      </c>
      <c r="I1020" s="383" t="s">
        <v>1425</v>
      </c>
      <c r="J1020" s="527">
        <v>45092</v>
      </c>
      <c r="K1020" s="747">
        <v>0.375</v>
      </c>
      <c r="L1020" s="527">
        <v>45092</v>
      </c>
      <c r="M1020" s="753">
        <v>0.79166666666666663</v>
      </c>
      <c r="N1020" s="210">
        <v>8</v>
      </c>
      <c r="O1020" s="374" t="s">
        <v>17</v>
      </c>
      <c r="P1020" s="375" t="s">
        <v>647</v>
      </c>
      <c r="Q1020" s="792" t="s">
        <v>294</v>
      </c>
      <c r="R1020" s="508" t="s">
        <v>40</v>
      </c>
      <c r="S1020" s="31" t="s">
        <v>273</v>
      </c>
      <c r="T1020" s="31" t="s">
        <v>273</v>
      </c>
      <c r="U1020" s="31">
        <f>IFERROR(VLOOKUP(CONCATENATE(Tabla1[[#This Row],[Severidad]]," ",Tabla1[[#This Row],[Complejidad]]),Catalogos!E$120:G$128,3,FALSE),"")</f>
        <v>64</v>
      </c>
      <c r="V1020" s="31" t="str">
        <f>IF(Tabla1[[#This Row],[Tiempo solución max (hrs)]]&lt;&gt;"",IF(Tabla1[[#This Row],[Tiempo solución max (hrs)]]&gt;=Tabla1[[#This Row],[Tiempo
(Hrs 00/100)]],"cumple","no cumple"),"")</f>
        <v>cumple</v>
      </c>
      <c r="W1020" s="376" t="s">
        <v>1312</v>
      </c>
      <c r="X1020" s="377" t="str">
        <f t="shared" ref="X1020:X1039" si="110">IF(C1020&lt;&gt;"",C1020,D1020)</f>
        <v>SPD</v>
      </c>
      <c r="Y1020" t="str">
        <f>SUBSTITUTE(Tabla1[[#This Row],[Descripción]],CHAR(10),"    I    ")</f>
        <v>Se realizan pruebas y correcciones para los serivicios internos de guardado de queja</v>
      </c>
      <c r="Z1020" s="142">
        <f>VLOOKUP(Tabla1[[#This Row],[Perfil]],Catalogos!$B$75:$D$100,3,FALSE)*Tabla1[[#This Row],[Tiempo
(Hrs 00/100)]]*1.16</f>
        <v>6496</v>
      </c>
    </row>
    <row r="1021" spans="1:26" ht="15" customHeight="1" x14ac:dyDescent="0.3">
      <c r="A1021" s="210" t="s">
        <v>22</v>
      </c>
      <c r="B1021" s="374" t="s">
        <v>23</v>
      </c>
      <c r="C1021" s="506" t="s">
        <v>45</v>
      </c>
      <c r="D1021" s="382"/>
      <c r="E1021" s="370" t="s">
        <v>641</v>
      </c>
      <c r="F1021" s="210" t="s">
        <v>23</v>
      </c>
      <c r="G1021" s="370"/>
      <c r="H1021" s="371" t="s">
        <v>1424</v>
      </c>
      <c r="I1021" s="383" t="s">
        <v>1426</v>
      </c>
      <c r="J1021" s="527">
        <v>45093</v>
      </c>
      <c r="K1021" s="747">
        <v>0.375</v>
      </c>
      <c r="L1021" s="527">
        <v>45093</v>
      </c>
      <c r="M1021" s="753">
        <v>0.79166666666666663</v>
      </c>
      <c r="N1021" s="507">
        <v>8</v>
      </c>
      <c r="O1021" s="374" t="s">
        <v>17</v>
      </c>
      <c r="P1021" s="375" t="s">
        <v>647</v>
      </c>
      <c r="Q1021" s="792" t="s">
        <v>294</v>
      </c>
      <c r="R1021" s="508" t="s">
        <v>40</v>
      </c>
      <c r="S1021" s="31" t="s">
        <v>273</v>
      </c>
      <c r="T1021" s="31" t="s">
        <v>273</v>
      </c>
      <c r="U1021" s="31">
        <f>IFERROR(VLOOKUP(CONCATENATE(Tabla1[[#This Row],[Severidad]]," ",Tabla1[[#This Row],[Complejidad]]),Catalogos!E$120:G$128,3,FALSE),"")</f>
        <v>64</v>
      </c>
      <c r="V1021" s="31" t="str">
        <f>IF(Tabla1[[#This Row],[Tiempo solución max (hrs)]]&lt;&gt;"",IF(Tabla1[[#This Row],[Tiempo solución max (hrs)]]&gt;=Tabla1[[#This Row],[Tiempo
(Hrs 00/100)]],"cumple","no cumple"),"")</f>
        <v>cumple</v>
      </c>
      <c r="W1021" s="376" t="s">
        <v>1312</v>
      </c>
      <c r="X1021" s="377" t="str">
        <f t="shared" si="110"/>
        <v>SPD</v>
      </c>
      <c r="Y1021" t="str">
        <f>SUBSTITUTE(Tabla1[[#This Row],[Descripción]],CHAR(10),"    I    ")</f>
        <v>Se realizan pruebas y correcciones para los serivicios internos guardado de queja y consultar mis quejas</v>
      </c>
      <c r="Z1021" s="142">
        <f>VLOOKUP(Tabla1[[#This Row],[Perfil]],Catalogos!$B$75:$D$100,3,FALSE)*Tabla1[[#This Row],[Tiempo
(Hrs 00/100)]]*1.16</f>
        <v>6496</v>
      </c>
    </row>
    <row r="1022" spans="1:26" ht="15" customHeight="1" x14ac:dyDescent="0.3">
      <c r="A1022" s="210" t="s">
        <v>22</v>
      </c>
      <c r="B1022" s="374" t="s">
        <v>23</v>
      </c>
      <c r="C1022" s="506" t="s">
        <v>45</v>
      </c>
      <c r="D1022" s="382"/>
      <c r="E1022" s="370" t="s">
        <v>641</v>
      </c>
      <c r="F1022" s="210" t="s">
        <v>23</v>
      </c>
      <c r="G1022" s="370"/>
      <c r="H1022" s="371" t="s">
        <v>1427</v>
      </c>
      <c r="I1022" s="383" t="s">
        <v>1428</v>
      </c>
      <c r="J1022" s="527">
        <v>45096</v>
      </c>
      <c r="K1022" s="747">
        <v>0.375</v>
      </c>
      <c r="L1022" s="527">
        <v>45096</v>
      </c>
      <c r="M1022" s="753">
        <v>0.79166666666666663</v>
      </c>
      <c r="N1022" s="210">
        <v>8</v>
      </c>
      <c r="O1022" s="374" t="s">
        <v>17</v>
      </c>
      <c r="P1022" s="375" t="s">
        <v>647</v>
      </c>
      <c r="Q1022" s="792" t="s">
        <v>294</v>
      </c>
      <c r="R1022" s="508" t="s">
        <v>40</v>
      </c>
      <c r="S1022" s="31" t="s">
        <v>273</v>
      </c>
      <c r="T1022" s="31" t="s">
        <v>273</v>
      </c>
      <c r="U1022" s="31">
        <f>IFERROR(VLOOKUP(CONCATENATE(Tabla1[[#This Row],[Severidad]]," ",Tabla1[[#This Row],[Complejidad]]),Catalogos!E$120:G$128,3,FALSE),"")</f>
        <v>64</v>
      </c>
      <c r="V1022" s="31" t="str">
        <f>IF(Tabla1[[#This Row],[Tiempo solución max (hrs)]]&lt;&gt;"",IF(Tabla1[[#This Row],[Tiempo solución max (hrs)]]&gt;=Tabla1[[#This Row],[Tiempo
(Hrs 00/100)]],"cumple","no cumple"),"")</f>
        <v>cumple</v>
      </c>
      <c r="W1022" s="376" t="s">
        <v>1312</v>
      </c>
      <c r="X1022" s="377" t="str">
        <f t="shared" si="110"/>
        <v>SPD</v>
      </c>
      <c r="Y1022" t="str">
        <f>SUBSTITUTE(Tabla1[[#This Row],[Descripción]],CHAR(10),"    I    ")</f>
        <v>Se realizan los servicios externos para listar quejas y obtener el detalle de la queja.</v>
      </c>
      <c r="Z1022" s="142">
        <f>VLOOKUP(Tabla1[[#This Row],[Perfil]],Catalogos!$B$75:$D$100,3,FALSE)*Tabla1[[#This Row],[Tiempo
(Hrs 00/100)]]*1.16</f>
        <v>6496</v>
      </c>
    </row>
    <row r="1023" spans="1:26" ht="15" customHeight="1" x14ac:dyDescent="0.3">
      <c r="A1023" s="370" t="s">
        <v>22</v>
      </c>
      <c r="B1023" s="370" t="s">
        <v>23</v>
      </c>
      <c r="C1023" s="418" t="s">
        <v>45</v>
      </c>
      <c r="D1023" s="370"/>
      <c r="E1023" s="370" t="s">
        <v>641</v>
      </c>
      <c r="F1023" s="370" t="s">
        <v>23</v>
      </c>
      <c r="G1023" s="370"/>
      <c r="H1023" s="371" t="s">
        <v>1429</v>
      </c>
      <c r="I1023" s="383" t="s">
        <v>1430</v>
      </c>
      <c r="J1023" s="527">
        <v>45097</v>
      </c>
      <c r="K1023" s="747">
        <v>0.375</v>
      </c>
      <c r="L1023" s="527">
        <v>45097</v>
      </c>
      <c r="M1023" s="753">
        <v>0.79166666666666663</v>
      </c>
      <c r="N1023" s="210">
        <v>8</v>
      </c>
      <c r="O1023" s="374" t="s">
        <v>17</v>
      </c>
      <c r="P1023" s="375" t="s">
        <v>647</v>
      </c>
      <c r="Q1023" s="792" t="s">
        <v>294</v>
      </c>
      <c r="R1023" s="508" t="s">
        <v>40</v>
      </c>
      <c r="S1023" s="31" t="s">
        <v>273</v>
      </c>
      <c r="T1023" s="31" t="s">
        <v>273</v>
      </c>
      <c r="U1023" s="31">
        <f>IFERROR(VLOOKUP(CONCATENATE(Tabla1[[#This Row],[Severidad]]," ",Tabla1[[#This Row],[Complejidad]]),Catalogos!E$120:G$128,3,FALSE),"")</f>
        <v>64</v>
      </c>
      <c r="V1023" s="31" t="str">
        <f>IF(Tabla1[[#This Row],[Tiempo solución max (hrs)]]&lt;&gt;"",IF(Tabla1[[#This Row],[Tiempo solución max (hrs)]]&gt;=Tabla1[[#This Row],[Tiempo
(Hrs 00/100)]],"cumple","no cumple"),"")</f>
        <v>cumple</v>
      </c>
      <c r="W1023" s="376" t="s">
        <v>1312</v>
      </c>
      <c r="X1023" s="377" t="str">
        <f t="shared" si="110"/>
        <v>SPD</v>
      </c>
      <c r="Y1023" t="str">
        <f>SUBSTITUTE(Tabla1[[#This Row],[Descripción]],CHAR(10),"    I    ")</f>
        <v>Se realiza servicio externo para la consulta de detalle medio impugnacion y listado de notificaciones</v>
      </c>
      <c r="Z1023" s="142">
        <f>VLOOKUP(Tabla1[[#This Row],[Perfil]],Catalogos!$B$75:$D$100,3,FALSE)*Tabla1[[#This Row],[Tiempo
(Hrs 00/100)]]*1.16</f>
        <v>6496</v>
      </c>
    </row>
    <row r="1024" spans="1:26" ht="15" customHeight="1" x14ac:dyDescent="0.3">
      <c r="A1024" s="210" t="s">
        <v>22</v>
      </c>
      <c r="B1024" s="374" t="s">
        <v>23</v>
      </c>
      <c r="C1024" s="506" t="s">
        <v>45</v>
      </c>
      <c r="D1024" s="382"/>
      <c r="E1024" s="370" t="s">
        <v>641</v>
      </c>
      <c r="F1024" s="210" t="s">
        <v>23</v>
      </c>
      <c r="G1024" s="370"/>
      <c r="H1024" s="371" t="s">
        <v>1429</v>
      </c>
      <c r="I1024" s="383" t="s">
        <v>1431</v>
      </c>
      <c r="J1024" s="527">
        <v>45098</v>
      </c>
      <c r="K1024" s="747">
        <v>0.375</v>
      </c>
      <c r="L1024" s="527">
        <v>45098</v>
      </c>
      <c r="M1024" s="753">
        <v>0.79166666666666663</v>
      </c>
      <c r="N1024" s="210">
        <v>8</v>
      </c>
      <c r="O1024" s="374" t="s">
        <v>17</v>
      </c>
      <c r="P1024" s="375" t="s">
        <v>647</v>
      </c>
      <c r="Q1024" s="792" t="s">
        <v>294</v>
      </c>
      <c r="R1024" s="508" t="s">
        <v>40</v>
      </c>
      <c r="S1024" s="31" t="s">
        <v>273</v>
      </c>
      <c r="T1024" s="31" t="s">
        <v>273</v>
      </c>
      <c r="U1024" s="31">
        <f>IFERROR(VLOOKUP(CONCATENATE(Tabla1[[#This Row],[Severidad]]," ",Tabla1[[#This Row],[Complejidad]]),Catalogos!E$120:G$128,3,FALSE),"")</f>
        <v>64</v>
      </c>
      <c r="V1024" s="31" t="str">
        <f>IF(Tabla1[[#This Row],[Tiempo solución max (hrs)]]&lt;&gt;"",IF(Tabla1[[#This Row],[Tiempo solución max (hrs)]]&gt;=Tabla1[[#This Row],[Tiempo
(Hrs 00/100)]],"cumple","no cumple"),"")</f>
        <v>cumple</v>
      </c>
      <c r="W1024" s="376" t="s">
        <v>1312</v>
      </c>
      <c r="X1024" s="377" t="str">
        <f t="shared" si="110"/>
        <v>SPD</v>
      </c>
      <c r="Y1024" t="str">
        <f>SUBSTITUTE(Tabla1[[#This Row],[Descripción]],CHAR(10),"    I    ")</f>
        <v>Se realiza servicio externo para actualizar estatus y response notificacion recurrent. Se realizan prueba sy correcciones a servicios internos</v>
      </c>
      <c r="Z1024" s="142">
        <f>VLOOKUP(Tabla1[[#This Row],[Perfil]],Catalogos!$B$75:$D$100,3,FALSE)*Tabla1[[#This Row],[Tiempo
(Hrs 00/100)]]*1.16</f>
        <v>6496</v>
      </c>
    </row>
    <row r="1025" spans="1:26" ht="15" customHeight="1" x14ac:dyDescent="0.3">
      <c r="A1025" s="370" t="s">
        <v>22</v>
      </c>
      <c r="B1025" s="370" t="s">
        <v>23</v>
      </c>
      <c r="C1025" s="506" t="s">
        <v>45</v>
      </c>
      <c r="D1025" s="370"/>
      <c r="E1025" s="370" t="s">
        <v>641</v>
      </c>
      <c r="F1025" s="370" t="s">
        <v>23</v>
      </c>
      <c r="G1025" s="370"/>
      <c r="H1025" s="371" t="s">
        <v>1429</v>
      </c>
      <c r="I1025" s="383" t="s">
        <v>1432</v>
      </c>
      <c r="J1025" s="527">
        <v>45099</v>
      </c>
      <c r="K1025" s="747">
        <v>0.375</v>
      </c>
      <c r="L1025" s="527">
        <v>45099</v>
      </c>
      <c r="M1025" s="753">
        <v>0.79166666666666663</v>
      </c>
      <c r="N1025" s="210">
        <v>8</v>
      </c>
      <c r="O1025" s="374" t="s">
        <v>17</v>
      </c>
      <c r="P1025" s="375" t="s">
        <v>647</v>
      </c>
      <c r="Q1025" s="792" t="s">
        <v>294</v>
      </c>
      <c r="R1025" s="508" t="s">
        <v>40</v>
      </c>
      <c r="S1025" s="31" t="s">
        <v>273</v>
      </c>
      <c r="T1025" s="31" t="s">
        <v>273</v>
      </c>
      <c r="U1025" s="31">
        <f>IFERROR(VLOOKUP(CONCATENATE(Tabla1[[#This Row],[Severidad]]," ",Tabla1[[#This Row],[Complejidad]]),Catalogos!E$120:G$128,3,FALSE),"")</f>
        <v>64</v>
      </c>
      <c r="V1025" s="31" t="str">
        <f>IF(Tabla1[[#This Row],[Tiempo solución max (hrs)]]&lt;&gt;"",IF(Tabla1[[#This Row],[Tiempo solución max (hrs)]]&gt;=Tabla1[[#This Row],[Tiempo
(Hrs 00/100)]],"cumple","no cumple"),"")</f>
        <v>cumple</v>
      </c>
      <c r="W1025" s="376" t="s">
        <v>1312</v>
      </c>
      <c r="X1025" s="377" t="str">
        <f t="shared" si="110"/>
        <v>SPD</v>
      </c>
      <c r="Y1025" t="str">
        <f>SUBSTITUTE(Tabla1[[#This Row],[Descripción]],CHAR(10),"    I    ")</f>
        <v>Se realiza servicio externo de consulta de historico. Se realizan pruebas y correcciones al serivicio interno consuta Historico</v>
      </c>
      <c r="Z1025" s="142">
        <f>VLOOKUP(Tabla1[[#This Row],[Perfil]],Catalogos!$B$75:$D$100,3,FALSE)*Tabla1[[#This Row],[Tiempo
(Hrs 00/100)]]*1.16</f>
        <v>6496</v>
      </c>
    </row>
    <row r="1026" spans="1:26" ht="15" customHeight="1" x14ac:dyDescent="0.3">
      <c r="A1026" s="210" t="s">
        <v>22</v>
      </c>
      <c r="B1026" s="374" t="s">
        <v>23</v>
      </c>
      <c r="C1026" s="506" t="s">
        <v>45</v>
      </c>
      <c r="D1026" s="382"/>
      <c r="E1026" s="370" t="s">
        <v>641</v>
      </c>
      <c r="F1026" s="210" t="s">
        <v>23</v>
      </c>
      <c r="G1026" s="370"/>
      <c r="H1026" s="419" t="s">
        <v>1433</v>
      </c>
      <c r="I1026" s="420" t="s">
        <v>1434</v>
      </c>
      <c r="J1026" s="527">
        <v>45100</v>
      </c>
      <c r="K1026" s="747">
        <v>0.375</v>
      </c>
      <c r="L1026" s="527">
        <v>45100</v>
      </c>
      <c r="M1026" s="753">
        <v>0.79166666666666663</v>
      </c>
      <c r="N1026" s="210">
        <v>8</v>
      </c>
      <c r="O1026" s="374" t="s">
        <v>17</v>
      </c>
      <c r="P1026" s="375" t="s">
        <v>647</v>
      </c>
      <c r="Q1026" s="792" t="s">
        <v>294</v>
      </c>
      <c r="R1026" s="508" t="s">
        <v>40</v>
      </c>
      <c r="S1026" s="31" t="s">
        <v>273</v>
      </c>
      <c r="T1026" s="31" t="s">
        <v>273</v>
      </c>
      <c r="U1026" s="31">
        <f>IFERROR(VLOOKUP(CONCATENATE(Tabla1[[#This Row],[Severidad]]," ",Tabla1[[#This Row],[Complejidad]]),Catalogos!E$120:G$128,3,FALSE),"")</f>
        <v>64</v>
      </c>
      <c r="V1026" s="31" t="str">
        <f>IF(Tabla1[[#This Row],[Tiempo solución max (hrs)]]&lt;&gt;"",IF(Tabla1[[#This Row],[Tiempo solución max (hrs)]]&gt;=Tabla1[[#This Row],[Tiempo
(Hrs 00/100)]],"cumple","no cumple"),"")</f>
        <v>cumple</v>
      </c>
      <c r="W1026" s="376" t="s">
        <v>1312</v>
      </c>
      <c r="X1026" s="377" t="str">
        <f t="shared" si="110"/>
        <v>SPD</v>
      </c>
      <c r="Y1026" t="str">
        <f>SUBSTITUTE(Tabla1[[#This Row],[Descripción]],CHAR(10),"    I    ")</f>
        <v>Se realiza prueba y correcciones al servicio solitudRia</v>
      </c>
      <c r="Z1026" s="142">
        <f>VLOOKUP(Tabla1[[#This Row],[Perfil]],Catalogos!$B$75:$D$100,3,FALSE)*Tabla1[[#This Row],[Tiempo
(Hrs 00/100)]]*1.16</f>
        <v>6496</v>
      </c>
    </row>
    <row r="1027" spans="1:26" ht="15" customHeight="1" x14ac:dyDescent="0.3">
      <c r="A1027" s="210" t="s">
        <v>22</v>
      </c>
      <c r="B1027" s="374" t="s">
        <v>23</v>
      </c>
      <c r="C1027" s="506" t="s">
        <v>45</v>
      </c>
      <c r="D1027" s="382"/>
      <c r="E1027" s="370" t="s">
        <v>641</v>
      </c>
      <c r="F1027" s="210" t="s">
        <v>23</v>
      </c>
      <c r="G1027" s="370"/>
      <c r="H1027" s="371" t="s">
        <v>1433</v>
      </c>
      <c r="I1027" s="383" t="s">
        <v>1435</v>
      </c>
      <c r="J1027" s="527">
        <v>45103</v>
      </c>
      <c r="K1027" s="747">
        <v>0.375</v>
      </c>
      <c r="L1027" s="527">
        <v>45103</v>
      </c>
      <c r="M1027" s="753">
        <v>0.79166666666666663</v>
      </c>
      <c r="N1027" s="210">
        <v>8</v>
      </c>
      <c r="O1027" s="374" t="s">
        <v>17</v>
      </c>
      <c r="P1027" s="375" t="s">
        <v>647</v>
      </c>
      <c r="Q1027" s="792" t="s">
        <v>294</v>
      </c>
      <c r="R1027" s="508" t="s">
        <v>40</v>
      </c>
      <c r="S1027" s="31" t="s">
        <v>273</v>
      </c>
      <c r="T1027" s="31" t="s">
        <v>273</v>
      </c>
      <c r="U1027" s="31">
        <f>IFERROR(VLOOKUP(CONCATENATE(Tabla1[[#This Row],[Severidad]]," ",Tabla1[[#This Row],[Complejidad]]),Catalogos!E$120:G$128,3,FALSE),"")</f>
        <v>64</v>
      </c>
      <c r="V1027" s="31" t="str">
        <f>IF(Tabla1[[#This Row],[Tiempo solución max (hrs)]]&lt;&gt;"",IF(Tabla1[[#This Row],[Tiempo solución max (hrs)]]&gt;=Tabla1[[#This Row],[Tiempo
(Hrs 00/100)]],"cumple","no cumple"),"")</f>
        <v>cumple</v>
      </c>
      <c r="W1027" s="376" t="s">
        <v>1312</v>
      </c>
      <c r="X1027" s="377" t="str">
        <f t="shared" si="110"/>
        <v>SPD</v>
      </c>
      <c r="Y1027" t="str">
        <f>SUBSTITUTE(Tabla1[[#This Row],[Descripción]],CHAR(10),"    I    ")</f>
        <v>Se realiza prueba y correcciones al servicio getNotificacionRecurrent</v>
      </c>
      <c r="Z1027" s="142">
        <f>VLOOKUP(Tabla1[[#This Row],[Perfil]],Catalogos!$B$75:$D$100,3,FALSE)*Tabla1[[#This Row],[Tiempo
(Hrs 00/100)]]*1.16</f>
        <v>6496</v>
      </c>
    </row>
    <row r="1028" spans="1:26" ht="15" customHeight="1" x14ac:dyDescent="0.3">
      <c r="A1028" s="210" t="s">
        <v>22</v>
      </c>
      <c r="B1028" s="374" t="s">
        <v>23</v>
      </c>
      <c r="C1028" s="506" t="s">
        <v>45</v>
      </c>
      <c r="D1028" s="382"/>
      <c r="E1028" s="370" t="s">
        <v>641</v>
      </c>
      <c r="F1028" s="210" t="s">
        <v>23</v>
      </c>
      <c r="G1028" s="370"/>
      <c r="H1028" s="371" t="s">
        <v>1433</v>
      </c>
      <c r="I1028" s="383" t="s">
        <v>1436</v>
      </c>
      <c r="J1028" s="527">
        <v>45104</v>
      </c>
      <c r="K1028" s="747">
        <v>0.375</v>
      </c>
      <c r="L1028" s="527">
        <v>45104</v>
      </c>
      <c r="M1028" s="753">
        <v>0.79166666666666663</v>
      </c>
      <c r="N1028" s="210">
        <v>8</v>
      </c>
      <c r="O1028" s="374" t="s">
        <v>17</v>
      </c>
      <c r="P1028" s="375" t="s">
        <v>647</v>
      </c>
      <c r="Q1028" s="792" t="s">
        <v>294</v>
      </c>
      <c r="R1028" s="508" t="s">
        <v>40</v>
      </c>
      <c r="S1028" s="31" t="s">
        <v>273</v>
      </c>
      <c r="T1028" s="31" t="s">
        <v>273</v>
      </c>
      <c r="U1028" s="31">
        <f>IFERROR(VLOOKUP(CONCATENATE(Tabla1[[#This Row],[Severidad]]," ",Tabla1[[#This Row],[Complejidad]]),Catalogos!E$120:G$128,3,FALSE),"")</f>
        <v>64</v>
      </c>
      <c r="V1028" s="31" t="str">
        <f>IF(Tabla1[[#This Row],[Tiempo solución max (hrs)]]&lt;&gt;"",IF(Tabla1[[#This Row],[Tiempo solución max (hrs)]]&gt;=Tabla1[[#This Row],[Tiempo
(Hrs 00/100)]],"cumple","no cumple"),"")</f>
        <v>cumple</v>
      </c>
      <c r="W1028" s="376" t="s">
        <v>1312</v>
      </c>
      <c r="X1028" s="377" t="str">
        <f t="shared" si="110"/>
        <v>SPD</v>
      </c>
      <c r="Y1028" t="str">
        <f>SUBSTITUTE(Tabla1[[#This Row],[Descripción]],CHAR(10),"    I    ")</f>
        <v>Se realiza prueba y correcciones al servicio de consulta de documentos</v>
      </c>
      <c r="Z1028" s="142">
        <f>VLOOKUP(Tabla1[[#This Row],[Perfil]],Catalogos!$B$75:$D$100,3,FALSE)*Tabla1[[#This Row],[Tiempo
(Hrs 00/100)]]*1.16</f>
        <v>6496</v>
      </c>
    </row>
    <row r="1029" spans="1:26" ht="15" customHeight="1" x14ac:dyDescent="0.3">
      <c r="A1029" s="210" t="s">
        <v>22</v>
      </c>
      <c r="B1029" s="374" t="s">
        <v>23</v>
      </c>
      <c r="C1029" s="506" t="s">
        <v>45</v>
      </c>
      <c r="D1029" s="382"/>
      <c r="E1029" s="370" t="s">
        <v>641</v>
      </c>
      <c r="F1029" s="210" t="s">
        <v>23</v>
      </c>
      <c r="G1029" s="370"/>
      <c r="H1029" s="371" t="s">
        <v>1437</v>
      </c>
      <c r="I1029" s="383" t="s">
        <v>1438</v>
      </c>
      <c r="J1029" s="527">
        <v>45105</v>
      </c>
      <c r="K1029" s="747">
        <v>0.375</v>
      </c>
      <c r="L1029" s="527">
        <v>45105</v>
      </c>
      <c r="M1029" s="753">
        <v>0.79166666666666663</v>
      </c>
      <c r="N1029" s="210">
        <v>8</v>
      </c>
      <c r="O1029" s="374" t="s">
        <v>411</v>
      </c>
      <c r="P1029" s="375" t="s">
        <v>462</v>
      </c>
      <c r="Q1029" s="792" t="s">
        <v>294</v>
      </c>
      <c r="R1029" s="508" t="s">
        <v>40</v>
      </c>
      <c r="S1029" s="31" t="s">
        <v>273</v>
      </c>
      <c r="T1029" s="31" t="s">
        <v>273</v>
      </c>
      <c r="U1029" s="31">
        <f>IFERROR(VLOOKUP(CONCATENATE(Tabla1[[#This Row],[Severidad]]," ",Tabla1[[#This Row],[Complejidad]]),Catalogos!E$120:G$128,3,FALSE),"")</f>
        <v>64</v>
      </c>
      <c r="V1029" s="31" t="str">
        <f>IF(Tabla1[[#This Row],[Tiempo solución max (hrs)]]&lt;&gt;"",IF(Tabla1[[#This Row],[Tiempo solución max (hrs)]]&gt;=Tabla1[[#This Row],[Tiempo
(Hrs 00/100)]],"cumple","no cumple"),"")</f>
        <v>cumple</v>
      </c>
      <c r="W1029" s="376" t="s">
        <v>1312</v>
      </c>
      <c r="X1029" s="377" t="str">
        <f t="shared" si="110"/>
        <v>SPD</v>
      </c>
      <c r="Y1029" t="str">
        <f>SUBSTITUTE(Tabla1[[#This Row],[Descripción]],CHAR(10),"    I    ")</f>
        <v>Se realiza conexión de servicio del guardado de queja</v>
      </c>
      <c r="Z1029" s="142">
        <f>VLOOKUP(Tabla1[[#This Row],[Perfil]],Catalogos!$B$75:$D$100,3,FALSE)*Tabla1[[#This Row],[Tiempo
(Hrs 00/100)]]*1.16</f>
        <v>6496</v>
      </c>
    </row>
    <row r="1030" spans="1:26" ht="15" customHeight="1" x14ac:dyDescent="0.3">
      <c r="A1030" s="530" t="s">
        <v>22</v>
      </c>
      <c r="B1030" s="530" t="s">
        <v>23</v>
      </c>
      <c r="C1030" s="530" t="s">
        <v>45</v>
      </c>
      <c r="D1030" s="531"/>
      <c r="E1030" s="530" t="s">
        <v>641</v>
      </c>
      <c r="F1030" s="530" t="s">
        <v>23</v>
      </c>
      <c r="G1030" s="531"/>
      <c r="H1030" s="530" t="s">
        <v>1437</v>
      </c>
      <c r="I1030" s="530" t="s">
        <v>1438</v>
      </c>
      <c r="J1030" s="707">
        <v>45106</v>
      </c>
      <c r="K1030" s="747">
        <v>0.375</v>
      </c>
      <c r="L1030" s="707">
        <v>45106</v>
      </c>
      <c r="M1030" s="753">
        <v>0.79166666666666663</v>
      </c>
      <c r="N1030" s="530">
        <v>8</v>
      </c>
      <c r="O1030" s="530" t="s">
        <v>17</v>
      </c>
      <c r="P1030" s="530" t="s">
        <v>462</v>
      </c>
      <c r="Q1030" s="798" t="s">
        <v>294</v>
      </c>
      <c r="R1030" s="508" t="s">
        <v>40</v>
      </c>
      <c r="S1030" s="31" t="s">
        <v>273</v>
      </c>
      <c r="T1030" s="31" t="s">
        <v>273</v>
      </c>
      <c r="U1030" s="31">
        <f>IFERROR(VLOOKUP(CONCATENATE(Tabla1[[#This Row],[Severidad]]," ",Tabla1[[#This Row],[Complejidad]]),Catalogos!E$120:G$128,3,FALSE),"")</f>
        <v>64</v>
      </c>
      <c r="V1030" s="31" t="str">
        <f>IF(Tabla1[[#This Row],[Tiempo solución max (hrs)]]&lt;&gt;"",IF(Tabla1[[#This Row],[Tiempo solución max (hrs)]]&gt;=Tabla1[[#This Row],[Tiempo
(Hrs 00/100)]],"cumple","no cumple"),"")</f>
        <v>cumple</v>
      </c>
      <c r="W1030" s="376" t="s">
        <v>1312</v>
      </c>
      <c r="X1030" s="377" t="str">
        <f t="shared" si="110"/>
        <v>SPD</v>
      </c>
      <c r="Y1030" t="str">
        <f>SUBSTITUTE(Tabla1[[#This Row],[Descripción]],CHAR(10),"    I    ")</f>
        <v>Se realiza conexión de servicio del guardado de queja</v>
      </c>
      <c r="Z1030" s="142">
        <f>VLOOKUP(Tabla1[[#This Row],[Perfil]],Catalogos!$B$75:$D$100,3,FALSE)*Tabla1[[#This Row],[Tiempo
(Hrs 00/100)]]*1.16</f>
        <v>6496</v>
      </c>
    </row>
    <row r="1031" spans="1:26" ht="15" customHeight="1" x14ac:dyDescent="0.3">
      <c r="A1031" s="530" t="s">
        <v>22</v>
      </c>
      <c r="B1031" s="530" t="s">
        <v>23</v>
      </c>
      <c r="C1031" s="530" t="s">
        <v>45</v>
      </c>
      <c r="D1031" s="531"/>
      <c r="E1031" s="530" t="s">
        <v>641</v>
      </c>
      <c r="F1031" s="530" t="s">
        <v>23</v>
      </c>
      <c r="G1031" s="531"/>
      <c r="H1031" s="530" t="s">
        <v>1439</v>
      </c>
      <c r="I1031" s="530" t="s">
        <v>1440</v>
      </c>
      <c r="J1031" s="718">
        <v>45107</v>
      </c>
      <c r="K1031" s="747">
        <v>0.375</v>
      </c>
      <c r="L1031" s="718">
        <v>45107</v>
      </c>
      <c r="M1031" s="753">
        <v>0.79166666666666663</v>
      </c>
      <c r="N1031" s="530">
        <v>8</v>
      </c>
      <c r="O1031" s="530" t="s">
        <v>17</v>
      </c>
      <c r="P1031" s="530" t="s">
        <v>647</v>
      </c>
      <c r="Q1031" s="798" t="s">
        <v>294</v>
      </c>
      <c r="R1031" s="508" t="s">
        <v>40</v>
      </c>
      <c r="S1031" s="31" t="s">
        <v>273</v>
      </c>
      <c r="T1031" s="31" t="s">
        <v>273</v>
      </c>
      <c r="U1031" s="31">
        <f>IFERROR(VLOOKUP(CONCATENATE(Tabla1[[#This Row],[Severidad]]," ",Tabla1[[#This Row],[Complejidad]]),Catalogos!E$120:G$128,3,FALSE),"")</f>
        <v>64</v>
      </c>
      <c r="V1031" s="31" t="str">
        <f>IF(Tabla1[[#This Row],[Tiempo solución max (hrs)]]&lt;&gt;"",IF(Tabla1[[#This Row],[Tiempo solución max (hrs)]]&gt;=Tabla1[[#This Row],[Tiempo
(Hrs 00/100)]],"cumple","no cumple"),"")</f>
        <v>cumple</v>
      </c>
      <c r="W1031" s="376" t="s">
        <v>1312</v>
      </c>
      <c r="X1031" s="377" t="str">
        <f t="shared" si="110"/>
        <v>SPD</v>
      </c>
      <c r="Y1031" t="str">
        <f>SUBSTITUTE(Tabla1[[#This Row],[Descripción]],CHAR(10),"    I    ")</f>
        <v>Pruebas de servicios internos notifiacion recurrente o obtener documento</v>
      </c>
      <c r="Z1031" s="142">
        <f>VLOOKUP(Tabla1[[#This Row],[Perfil]],Catalogos!$B$75:$D$100,3,FALSE)*Tabla1[[#This Row],[Tiempo
(Hrs 00/100)]]*1.16</f>
        <v>6496</v>
      </c>
    </row>
    <row r="1032" spans="1:26" ht="24" x14ac:dyDescent="0.3">
      <c r="A1032" s="530" t="s">
        <v>22</v>
      </c>
      <c r="B1032" s="530" t="s">
        <v>23</v>
      </c>
      <c r="C1032" s="205" t="s">
        <v>155</v>
      </c>
      <c r="D1032" s="382"/>
      <c r="E1032" s="373" t="s">
        <v>408</v>
      </c>
      <c r="F1032" s="370" t="s">
        <v>23</v>
      </c>
      <c r="G1032" s="370"/>
      <c r="H1032" s="461" t="s">
        <v>405</v>
      </c>
      <c r="I1032" s="532" t="s">
        <v>1443</v>
      </c>
      <c r="J1032" s="369">
        <v>45110</v>
      </c>
      <c r="K1032" s="747">
        <v>0.375</v>
      </c>
      <c r="L1032" s="369">
        <v>45110</v>
      </c>
      <c r="M1032" s="753">
        <v>0.79166666666666663</v>
      </c>
      <c r="N1032" s="530">
        <v>8</v>
      </c>
      <c r="O1032" s="530" t="s">
        <v>17</v>
      </c>
      <c r="P1032" s="305" t="s">
        <v>462</v>
      </c>
      <c r="Q1032" s="790" t="s">
        <v>1120</v>
      </c>
      <c r="R1032" s="508" t="s">
        <v>40</v>
      </c>
      <c r="S1032" s="31" t="s">
        <v>273</v>
      </c>
      <c r="T1032" s="31" t="s">
        <v>273</v>
      </c>
      <c r="U1032" s="31">
        <f>IFERROR(VLOOKUP(CONCATENATE(Tabla1[[#This Row],[Severidad]]," ",Tabla1[[#This Row],[Complejidad]]),Catalogos!E$120:G$128,3,FALSE),"")</f>
        <v>64</v>
      </c>
      <c r="V1032" s="31" t="str">
        <f>IF(Tabla1[[#This Row],[Tiempo solución max (hrs)]]&lt;&gt;"",IF(Tabla1[[#This Row],[Tiempo solución max (hrs)]]&gt;=Tabla1[[#This Row],[Tiempo
(Hrs 00/100)]],"cumple","no cumple"),"")</f>
        <v>cumple</v>
      </c>
      <c r="W1032" s="376" t="s">
        <v>1453</v>
      </c>
      <c r="X1032" s="377" t="str">
        <f t="shared" si="110"/>
        <v>DS</v>
      </c>
      <c r="Y1032" t="str">
        <f>SUBSTITUTE(Tabla1[[#This Row],[Descripción]],CHAR(10),"    I    ")</f>
        <v>Desarrollo pantalla Unidades Administrativas</v>
      </c>
      <c r="Z1032" s="142">
        <f>VLOOKUP(Tabla1[[#This Row],[Perfil]],Catalogos!$B$75:$D$100,3,FALSE)*Tabla1[[#This Row],[Tiempo
(Hrs 00/100)]]*1.16</f>
        <v>6496</v>
      </c>
    </row>
    <row r="1033" spans="1:26" ht="24" x14ac:dyDescent="0.3">
      <c r="A1033" s="530" t="s">
        <v>22</v>
      </c>
      <c r="B1033" s="530" t="s">
        <v>23</v>
      </c>
      <c r="C1033" s="205" t="s">
        <v>155</v>
      </c>
      <c r="D1033" s="370"/>
      <c r="E1033" s="373" t="s">
        <v>408</v>
      </c>
      <c r="F1033" s="370" t="s">
        <v>23</v>
      </c>
      <c r="G1033" s="370"/>
      <c r="H1033" s="461" t="s">
        <v>405</v>
      </c>
      <c r="I1033" s="532" t="s">
        <v>1454</v>
      </c>
      <c r="J1033" s="369">
        <v>45111</v>
      </c>
      <c r="K1033" s="747">
        <v>0.375</v>
      </c>
      <c r="L1033" s="369">
        <v>45111</v>
      </c>
      <c r="M1033" s="753">
        <v>0.79166666666666663</v>
      </c>
      <c r="N1033" s="530">
        <v>8</v>
      </c>
      <c r="O1033" s="530" t="s">
        <v>17</v>
      </c>
      <c r="P1033" s="305" t="s">
        <v>462</v>
      </c>
      <c r="Q1033" s="790" t="s">
        <v>1120</v>
      </c>
      <c r="R1033" s="508" t="s">
        <v>40</v>
      </c>
      <c r="S1033" s="31" t="s">
        <v>273</v>
      </c>
      <c r="T1033" s="31" t="s">
        <v>273</v>
      </c>
      <c r="U1033" s="31">
        <f>IFERROR(VLOOKUP(CONCATENATE(Tabla1[[#This Row],[Severidad]]," ",Tabla1[[#This Row],[Complejidad]]),Catalogos!E$120:G$128,3,FALSE),"")</f>
        <v>64</v>
      </c>
      <c r="V1033" s="31" t="str">
        <f>IF(Tabla1[[#This Row],[Tiempo solución max (hrs)]]&lt;&gt;"",IF(Tabla1[[#This Row],[Tiempo solución max (hrs)]]&gt;=Tabla1[[#This Row],[Tiempo
(Hrs 00/100)]],"cumple","no cumple"),"")</f>
        <v>cumple</v>
      </c>
      <c r="W1033" s="376" t="s">
        <v>1453</v>
      </c>
      <c r="X1033" s="377" t="str">
        <f t="shared" si="110"/>
        <v>DS</v>
      </c>
      <c r="Y1033" t="str">
        <f>SUBSTITUTE(Tabla1[[#This Row],[Descripción]],CHAR(10),"    I    ")</f>
        <v>Desarrollo e implementación servicios Back</v>
      </c>
      <c r="Z1033" s="142">
        <f>VLOOKUP(Tabla1[[#This Row],[Perfil]],Catalogos!$B$75:$D$100,3,FALSE)*Tabla1[[#This Row],[Tiempo
(Hrs 00/100)]]*1.16</f>
        <v>6496</v>
      </c>
    </row>
    <row r="1034" spans="1:26" ht="24" x14ac:dyDescent="0.3">
      <c r="A1034" s="530" t="s">
        <v>22</v>
      </c>
      <c r="B1034" s="530" t="s">
        <v>23</v>
      </c>
      <c r="C1034" s="205" t="s">
        <v>155</v>
      </c>
      <c r="D1034" s="382"/>
      <c r="E1034" s="373" t="s">
        <v>408</v>
      </c>
      <c r="F1034" s="370" t="s">
        <v>23</v>
      </c>
      <c r="G1034" s="370"/>
      <c r="H1034" s="461" t="s">
        <v>405</v>
      </c>
      <c r="I1034" s="533" t="s">
        <v>1444</v>
      </c>
      <c r="J1034" s="369">
        <v>45112</v>
      </c>
      <c r="K1034" s="747">
        <v>0.375</v>
      </c>
      <c r="L1034" s="369">
        <v>45112</v>
      </c>
      <c r="M1034" s="753">
        <v>0.79166666666666663</v>
      </c>
      <c r="N1034" s="530">
        <v>8</v>
      </c>
      <c r="O1034" s="530" t="s">
        <v>17</v>
      </c>
      <c r="P1034" s="305" t="s">
        <v>462</v>
      </c>
      <c r="Q1034" s="790" t="s">
        <v>1120</v>
      </c>
      <c r="R1034" s="508" t="s">
        <v>40</v>
      </c>
      <c r="S1034" s="31" t="s">
        <v>273</v>
      </c>
      <c r="T1034" s="31" t="s">
        <v>273</v>
      </c>
      <c r="U1034" s="31">
        <f>IFERROR(VLOOKUP(CONCATENATE(Tabla1[[#This Row],[Severidad]]," ",Tabla1[[#This Row],[Complejidad]]),Catalogos!E$120:G$128,3,FALSE),"")</f>
        <v>64</v>
      </c>
      <c r="V1034" s="31" t="str">
        <f>IF(Tabla1[[#This Row],[Tiempo solución max (hrs)]]&lt;&gt;"",IF(Tabla1[[#This Row],[Tiempo solución max (hrs)]]&gt;=Tabla1[[#This Row],[Tiempo
(Hrs 00/100)]],"cumple","no cumple"),"")</f>
        <v>cumple</v>
      </c>
      <c r="W1034" s="376" t="s">
        <v>1453</v>
      </c>
      <c r="X1034" s="377" t="str">
        <f t="shared" si="110"/>
        <v>DS</v>
      </c>
      <c r="Y1034" t="str">
        <f>SUBSTITUTE(Tabla1[[#This Row],[Descripción]],CHAR(10),"    I    ")</f>
        <v>Desarrollo pantalla Agregar Unidades administrativas</v>
      </c>
      <c r="Z1034" s="142">
        <f>VLOOKUP(Tabla1[[#This Row],[Perfil]],Catalogos!$B$75:$D$100,3,FALSE)*Tabla1[[#This Row],[Tiempo
(Hrs 00/100)]]*1.16</f>
        <v>6496</v>
      </c>
    </row>
    <row r="1035" spans="1:26" ht="24" x14ac:dyDescent="0.3">
      <c r="A1035" s="530" t="s">
        <v>22</v>
      </c>
      <c r="B1035" s="530" t="s">
        <v>23</v>
      </c>
      <c r="C1035" s="205" t="s">
        <v>155</v>
      </c>
      <c r="D1035" s="382"/>
      <c r="E1035" s="373" t="s">
        <v>408</v>
      </c>
      <c r="F1035" s="370" t="s">
        <v>23</v>
      </c>
      <c r="G1035" s="370"/>
      <c r="H1035" s="461" t="s">
        <v>405</v>
      </c>
      <c r="I1035" s="532" t="s">
        <v>1445</v>
      </c>
      <c r="J1035" s="369">
        <v>45113</v>
      </c>
      <c r="K1035" s="747">
        <v>0.375</v>
      </c>
      <c r="L1035" s="369">
        <v>45113</v>
      </c>
      <c r="M1035" s="753">
        <v>0.79166666666666663</v>
      </c>
      <c r="N1035" s="530">
        <v>8</v>
      </c>
      <c r="O1035" s="530" t="s">
        <v>17</v>
      </c>
      <c r="P1035" s="305" t="s">
        <v>462</v>
      </c>
      <c r="Q1035" s="790" t="s">
        <v>1120</v>
      </c>
      <c r="R1035" s="508" t="s">
        <v>40</v>
      </c>
      <c r="S1035" s="31" t="s">
        <v>273</v>
      </c>
      <c r="T1035" s="31" t="s">
        <v>273</v>
      </c>
      <c r="U1035" s="31">
        <f>IFERROR(VLOOKUP(CONCATENATE(Tabla1[[#This Row],[Severidad]]," ",Tabla1[[#This Row],[Complejidad]]),Catalogos!E$120:G$128,3,FALSE),"")</f>
        <v>64</v>
      </c>
      <c r="V1035" s="31" t="str">
        <f>IF(Tabla1[[#This Row],[Tiempo solución max (hrs)]]&lt;&gt;"",IF(Tabla1[[#This Row],[Tiempo solución max (hrs)]]&gt;=Tabla1[[#This Row],[Tiempo
(Hrs 00/100)]],"cumple","no cumple"),"")</f>
        <v>cumple</v>
      </c>
      <c r="W1035" s="376" t="s">
        <v>1453</v>
      </c>
      <c r="X1035" s="377" t="str">
        <f t="shared" si="110"/>
        <v>DS</v>
      </c>
      <c r="Y1035" t="str">
        <f>SUBSTITUTE(Tabla1[[#This Row],[Descripción]],CHAR(10),"    I    ")</f>
        <v>Desarrollo pantalla Editar Unidades administrativas</v>
      </c>
      <c r="Z1035" s="142">
        <f>VLOOKUP(Tabla1[[#This Row],[Perfil]],Catalogos!$B$75:$D$100,3,FALSE)*Tabla1[[#This Row],[Tiempo
(Hrs 00/100)]]*1.16</f>
        <v>6496</v>
      </c>
    </row>
    <row r="1036" spans="1:26" ht="24" x14ac:dyDescent="0.3">
      <c r="A1036" s="530" t="s">
        <v>22</v>
      </c>
      <c r="B1036" s="530" t="s">
        <v>23</v>
      </c>
      <c r="C1036" s="205" t="s">
        <v>155</v>
      </c>
      <c r="D1036" s="382"/>
      <c r="E1036" s="373" t="s">
        <v>408</v>
      </c>
      <c r="F1036" s="370" t="s">
        <v>23</v>
      </c>
      <c r="G1036" s="370"/>
      <c r="H1036" s="461" t="s">
        <v>405</v>
      </c>
      <c r="I1036" s="532" t="s">
        <v>1464</v>
      </c>
      <c r="J1036" s="369">
        <v>45114</v>
      </c>
      <c r="K1036" s="747">
        <v>0.375</v>
      </c>
      <c r="L1036" s="369">
        <v>45114</v>
      </c>
      <c r="M1036" s="753">
        <v>0.79166666666666663</v>
      </c>
      <c r="N1036" s="530">
        <v>8</v>
      </c>
      <c r="O1036" s="530" t="s">
        <v>17</v>
      </c>
      <c r="P1036" s="305" t="s">
        <v>462</v>
      </c>
      <c r="Q1036" s="790" t="s">
        <v>1120</v>
      </c>
      <c r="R1036" s="508" t="s">
        <v>40</v>
      </c>
      <c r="S1036" s="31" t="s">
        <v>273</v>
      </c>
      <c r="T1036" s="31" t="s">
        <v>273</v>
      </c>
      <c r="U1036" s="31">
        <f>IFERROR(VLOOKUP(CONCATENATE(Tabla1[[#This Row],[Severidad]]," ",Tabla1[[#This Row],[Complejidad]]),Catalogos!E$120:G$128,3,FALSE),"")</f>
        <v>64</v>
      </c>
      <c r="V1036" s="31" t="str">
        <f>IF(Tabla1[[#This Row],[Tiempo solución max (hrs)]]&lt;&gt;"",IF(Tabla1[[#This Row],[Tiempo solución max (hrs)]]&gt;=Tabla1[[#This Row],[Tiempo
(Hrs 00/100)]],"cumple","no cumple"),"")</f>
        <v>cumple</v>
      </c>
      <c r="W1036" s="376" t="s">
        <v>1453</v>
      </c>
      <c r="X1036" s="377" t="str">
        <f t="shared" si="110"/>
        <v>DS</v>
      </c>
      <c r="Y1036" t="str">
        <f>SUBSTITUTE(Tabla1[[#This Row],[Descripción]],CHAR(10),"    I    ")</f>
        <v>Desarrollo e implementación servicios agregar y editar  unidades administrativas,mapeo respuestas</v>
      </c>
      <c r="Z1036" s="142">
        <f>VLOOKUP(Tabla1[[#This Row],[Perfil]],Catalogos!$B$75:$D$100,3,FALSE)*Tabla1[[#This Row],[Tiempo
(Hrs 00/100)]]*1.16</f>
        <v>6496</v>
      </c>
    </row>
    <row r="1037" spans="1:26" ht="24" x14ac:dyDescent="0.3">
      <c r="A1037" s="530" t="s">
        <v>22</v>
      </c>
      <c r="B1037" s="530" t="s">
        <v>23</v>
      </c>
      <c r="C1037" s="205" t="s">
        <v>155</v>
      </c>
      <c r="D1037" s="382"/>
      <c r="E1037" s="373" t="s">
        <v>408</v>
      </c>
      <c r="F1037" s="370" t="s">
        <v>23</v>
      </c>
      <c r="G1037" s="370"/>
      <c r="H1037" s="461" t="s">
        <v>405</v>
      </c>
      <c r="I1037" s="532" t="s">
        <v>1465</v>
      </c>
      <c r="J1037" s="369">
        <v>45117</v>
      </c>
      <c r="K1037" s="747">
        <v>0.375</v>
      </c>
      <c r="L1037" s="369">
        <v>45117</v>
      </c>
      <c r="M1037" s="753">
        <v>0.79166666666666663</v>
      </c>
      <c r="N1037" s="530">
        <v>8</v>
      </c>
      <c r="O1037" s="530" t="s">
        <v>17</v>
      </c>
      <c r="P1037" s="305" t="s">
        <v>462</v>
      </c>
      <c r="Q1037" s="790" t="s">
        <v>1120</v>
      </c>
      <c r="R1037" s="508" t="s">
        <v>40</v>
      </c>
      <c r="S1037" s="31" t="s">
        <v>273</v>
      </c>
      <c r="T1037" s="31" t="s">
        <v>273</v>
      </c>
      <c r="U1037" s="31">
        <f>IFERROR(VLOOKUP(CONCATENATE(Tabla1[[#This Row],[Severidad]]," ",Tabla1[[#This Row],[Complejidad]]),Catalogos!E$120:G$128,3,FALSE),"")</f>
        <v>64</v>
      </c>
      <c r="V1037" s="31" t="str">
        <f>IF(Tabla1[[#This Row],[Tiempo solución max (hrs)]]&lt;&gt;"",IF(Tabla1[[#This Row],[Tiempo solución max (hrs)]]&gt;=Tabla1[[#This Row],[Tiempo
(Hrs 00/100)]],"cumple","no cumple"),"")</f>
        <v>cumple</v>
      </c>
      <c r="W1037" s="376" t="s">
        <v>1453</v>
      </c>
      <c r="X1037" s="377" t="str">
        <f t="shared" si="110"/>
        <v>DS</v>
      </c>
      <c r="Y1037" t="str">
        <f>SUBSTITUTE(Tabla1[[#This Row],[Descripción]],CHAR(10),"    I    ")</f>
        <v>Desarrollo de tabla para el listado de sujetos obligados</v>
      </c>
      <c r="Z1037" s="142">
        <f>VLOOKUP(Tabla1[[#This Row],[Perfil]],Catalogos!$B$75:$D$100,3,FALSE)*Tabla1[[#This Row],[Tiempo
(Hrs 00/100)]]*1.16</f>
        <v>6496</v>
      </c>
    </row>
    <row r="1038" spans="1:26" ht="24" x14ac:dyDescent="0.3">
      <c r="A1038" s="530" t="s">
        <v>22</v>
      </c>
      <c r="B1038" s="530" t="s">
        <v>23</v>
      </c>
      <c r="C1038" s="205" t="s">
        <v>155</v>
      </c>
      <c r="D1038" s="382"/>
      <c r="E1038" s="373" t="s">
        <v>408</v>
      </c>
      <c r="F1038" s="370" t="s">
        <v>23</v>
      </c>
      <c r="G1038" s="370"/>
      <c r="H1038" s="461" t="s">
        <v>405</v>
      </c>
      <c r="I1038" s="532" t="s">
        <v>1446</v>
      </c>
      <c r="J1038" s="369">
        <v>45118</v>
      </c>
      <c r="K1038" s="747">
        <v>0.375</v>
      </c>
      <c r="L1038" s="369">
        <v>45118</v>
      </c>
      <c r="M1038" s="753">
        <v>0.54166666666666663</v>
      </c>
      <c r="N1038" s="530">
        <v>4</v>
      </c>
      <c r="O1038" s="530" t="s">
        <v>17</v>
      </c>
      <c r="P1038" s="305" t="s">
        <v>462</v>
      </c>
      <c r="Q1038" s="790" t="s">
        <v>1120</v>
      </c>
      <c r="R1038" s="508" t="s">
        <v>40</v>
      </c>
      <c r="S1038" s="31" t="s">
        <v>273</v>
      </c>
      <c r="T1038" s="31" t="s">
        <v>273</v>
      </c>
      <c r="U1038" s="31">
        <f>IFERROR(VLOOKUP(CONCATENATE(Tabla1[[#This Row],[Severidad]]," ",Tabla1[[#This Row],[Complejidad]]),Catalogos!E$120:G$128,3,FALSE),"")</f>
        <v>64</v>
      </c>
      <c r="V1038" s="31" t="str">
        <f>IF(Tabla1[[#This Row],[Tiempo solución max (hrs)]]&lt;&gt;"",IF(Tabla1[[#This Row],[Tiempo solución max (hrs)]]&gt;=Tabla1[[#This Row],[Tiempo
(Hrs 00/100)]],"cumple","no cumple"),"")</f>
        <v>cumple</v>
      </c>
      <c r="W1038" s="376" t="s">
        <v>1453</v>
      </c>
      <c r="X1038" s="377" t="str">
        <f t="shared" si="110"/>
        <v>DS</v>
      </c>
      <c r="Y1038" t="str">
        <f>SUBSTITUTE(Tabla1[[#This Row],[Descripción]],CHAR(10),"    I    ")</f>
        <v>Validación para ocultar o mostrar la pantalla de unidades administrativas de acuerdo al rol de usuario</v>
      </c>
      <c r="Z1038" s="142">
        <f>VLOOKUP(Tabla1[[#This Row],[Perfil]],Catalogos!$B$75:$D$100,3,FALSE)*Tabla1[[#This Row],[Tiempo
(Hrs 00/100)]]*1.16</f>
        <v>3248</v>
      </c>
    </row>
    <row r="1039" spans="1:26" ht="24" x14ac:dyDescent="0.3">
      <c r="A1039" s="530" t="s">
        <v>22</v>
      </c>
      <c r="B1039" s="530" t="s">
        <v>23</v>
      </c>
      <c r="C1039" s="205" t="s">
        <v>155</v>
      </c>
      <c r="D1039" s="382"/>
      <c r="E1039" s="373" t="s">
        <v>408</v>
      </c>
      <c r="F1039" s="370" t="s">
        <v>23</v>
      </c>
      <c r="G1039" s="370"/>
      <c r="H1039" s="461" t="s">
        <v>405</v>
      </c>
      <c r="I1039" s="532" t="s">
        <v>1463</v>
      </c>
      <c r="J1039" s="719">
        <v>45119</v>
      </c>
      <c r="K1039" s="747">
        <v>0.375</v>
      </c>
      <c r="L1039" s="719">
        <v>45119</v>
      </c>
      <c r="M1039" s="753">
        <v>0.54166666666666663</v>
      </c>
      <c r="N1039" s="530">
        <v>4</v>
      </c>
      <c r="O1039" s="530" t="s">
        <v>17</v>
      </c>
      <c r="P1039" s="305" t="s">
        <v>462</v>
      </c>
      <c r="Q1039" s="790" t="s">
        <v>1120</v>
      </c>
      <c r="R1039" s="508" t="s">
        <v>40</v>
      </c>
      <c r="S1039" s="31" t="s">
        <v>273</v>
      </c>
      <c r="T1039" s="31" t="s">
        <v>273</v>
      </c>
      <c r="U1039" s="31">
        <f>IFERROR(VLOOKUP(CONCATENATE(Tabla1[[#This Row],[Severidad]]," ",Tabla1[[#This Row],[Complejidad]]),Catalogos!E$120:G$128,3,FALSE),"")</f>
        <v>64</v>
      </c>
      <c r="V1039" s="31" t="str">
        <f>IF(Tabla1[[#This Row],[Tiempo solución max (hrs)]]&lt;&gt;"",IF(Tabla1[[#This Row],[Tiempo solución max (hrs)]]&gt;=Tabla1[[#This Row],[Tiempo
(Hrs 00/100)]],"cumple","no cumple"),"")</f>
        <v>cumple</v>
      </c>
      <c r="W1039" s="376" t="s">
        <v>1453</v>
      </c>
      <c r="X1039" s="377" t="str">
        <f t="shared" si="110"/>
        <v>DS</v>
      </c>
      <c r="Y1039" t="str">
        <f>SUBSTITUTE(Tabla1[[#This Row],[Descripción]],CHAR(10),"    I    ")</f>
        <v>Implementación servicio eliminar múltiples unidades administrativas</v>
      </c>
      <c r="Z1039" s="142">
        <f>VLOOKUP(Tabla1[[#This Row],[Perfil]],Catalogos!$B$75:$D$100,3,FALSE)*Tabla1[[#This Row],[Tiempo
(Hrs 00/100)]]*1.16</f>
        <v>3248</v>
      </c>
    </row>
    <row r="1040" spans="1:26" ht="30" customHeight="1" x14ac:dyDescent="0.3">
      <c r="A1040" s="530" t="s">
        <v>22</v>
      </c>
      <c r="B1040" s="530" t="s">
        <v>23</v>
      </c>
      <c r="C1040" s="205" t="s">
        <v>155</v>
      </c>
      <c r="D1040" s="382"/>
      <c r="E1040" s="373" t="s">
        <v>408</v>
      </c>
      <c r="F1040" s="370" t="s">
        <v>23</v>
      </c>
      <c r="G1040" s="370"/>
      <c r="H1040" s="461" t="s">
        <v>405</v>
      </c>
      <c r="I1040" s="383" t="s">
        <v>1398</v>
      </c>
      <c r="J1040" s="719">
        <v>45120</v>
      </c>
      <c r="K1040" s="747">
        <v>0.375</v>
      </c>
      <c r="L1040" s="719">
        <v>45120</v>
      </c>
      <c r="M1040" s="753">
        <v>0.79166666666666663</v>
      </c>
      <c r="N1040" s="530">
        <v>8</v>
      </c>
      <c r="O1040" s="530" t="s">
        <v>17</v>
      </c>
      <c r="P1040" s="305" t="s">
        <v>462</v>
      </c>
      <c r="Q1040" s="790" t="s">
        <v>1120</v>
      </c>
      <c r="R1040" s="508" t="s">
        <v>40</v>
      </c>
      <c r="S1040" s="31" t="s">
        <v>273</v>
      </c>
      <c r="T1040" s="31" t="s">
        <v>273</v>
      </c>
      <c r="U1040" s="31">
        <f>IFERROR(VLOOKUP(CONCATENATE(Tabla1[[#This Row],[Severidad]]," ",Tabla1[[#This Row],[Complejidad]]),Catalogos!E$120:G$128,3,FALSE),"")</f>
        <v>64</v>
      </c>
      <c r="V1040" s="31" t="str">
        <f>IF(Tabla1[[#This Row],[Tiempo solución max (hrs)]]&lt;&gt;"",IF(Tabla1[[#This Row],[Tiempo solución max (hrs)]]&gt;=Tabla1[[#This Row],[Tiempo
(Hrs 00/100)]],"cumple","no cumple"),"")</f>
        <v>cumple</v>
      </c>
      <c r="W1040" s="376" t="s">
        <v>1453</v>
      </c>
      <c r="X1040" s="377" t="str">
        <f>IF(C1040&lt;&gt;"",C1040,D1040)</f>
        <v>DS</v>
      </c>
      <c r="Y1040" t="str">
        <f>SUBSTITUTE(Tabla1[[#This Row],[Descripción]],CHAR(10),"    I    ")</f>
        <v>Pruebas y validación (maxlength,minlength,email,pattern teléfono,campos requeridos, implementación alertas, modales de confirmación y acción correcta o fallida en pantallas)</v>
      </c>
      <c r="Z1040" s="142">
        <f>VLOOKUP(Tabla1[[#This Row],[Perfil]],Catalogos!$B$75:$D$100,3,FALSE)*Tabla1[[#This Row],[Tiempo
(Hrs 00/100)]]*1.16</f>
        <v>6496</v>
      </c>
    </row>
    <row r="1041" spans="1:26" ht="24" x14ac:dyDescent="0.3">
      <c r="A1041" s="530" t="s">
        <v>22</v>
      </c>
      <c r="B1041" s="530" t="s">
        <v>23</v>
      </c>
      <c r="C1041" s="205" t="s">
        <v>155</v>
      </c>
      <c r="D1041" s="382"/>
      <c r="E1041" s="373" t="s">
        <v>408</v>
      </c>
      <c r="F1041" s="370" t="s">
        <v>23</v>
      </c>
      <c r="G1041" s="370"/>
      <c r="H1041" s="461" t="s">
        <v>405</v>
      </c>
      <c r="I1041" s="532" t="s">
        <v>1447</v>
      </c>
      <c r="J1041" s="719">
        <v>45121</v>
      </c>
      <c r="K1041" s="747">
        <v>0.375</v>
      </c>
      <c r="L1041" s="719">
        <v>45121</v>
      </c>
      <c r="M1041" s="753">
        <v>0.79166666666666663</v>
      </c>
      <c r="N1041" s="530">
        <v>8</v>
      </c>
      <c r="O1041" s="530" t="s">
        <v>17</v>
      </c>
      <c r="P1041" s="305" t="s">
        <v>462</v>
      </c>
      <c r="Q1041" s="790" t="s">
        <v>1120</v>
      </c>
      <c r="R1041" s="508" t="s">
        <v>40</v>
      </c>
      <c r="S1041" s="31" t="s">
        <v>273</v>
      </c>
      <c r="T1041" s="31" t="s">
        <v>273</v>
      </c>
      <c r="U1041" s="31">
        <f>IFERROR(VLOOKUP(CONCATENATE(Tabla1[[#This Row],[Severidad]]," ",Tabla1[[#This Row],[Complejidad]]),Catalogos!E$120:G$128,3,FALSE),"")</f>
        <v>64</v>
      </c>
      <c r="V1041" s="31" t="str">
        <f>IF(Tabla1[[#This Row],[Tiempo solución max (hrs)]]&lt;&gt;"",IF(Tabla1[[#This Row],[Tiempo solución max (hrs)]]&gt;=Tabla1[[#This Row],[Tiempo
(Hrs 00/100)]],"cumple","no cumple"),"")</f>
        <v>cumple</v>
      </c>
      <c r="W1041" s="376" t="s">
        <v>1453</v>
      </c>
      <c r="X1041" s="377" t="str">
        <f>IF(C1041&lt;&gt;"",C1041,D1041)</f>
        <v>DS</v>
      </c>
      <c r="Y1041" t="str">
        <f>SUBSTITUTE(Tabla1[[#This Row],[Descripción]],CHAR(10),"    I    ")</f>
        <v>Desarrollo pantalla sub enlaces dashboard</v>
      </c>
      <c r="Z1041" s="142">
        <f>VLOOKUP(Tabla1[[#This Row],[Perfil]],Catalogos!$B$75:$D$100,3,FALSE)*Tabla1[[#This Row],[Tiempo
(Hrs 00/100)]]*1.16</f>
        <v>6496</v>
      </c>
    </row>
    <row r="1042" spans="1:26" ht="24" x14ac:dyDescent="0.3">
      <c r="A1042" s="530" t="s">
        <v>22</v>
      </c>
      <c r="B1042" s="530" t="s">
        <v>23</v>
      </c>
      <c r="C1042" s="205" t="s">
        <v>155</v>
      </c>
      <c r="D1042" s="382"/>
      <c r="E1042" s="373" t="s">
        <v>408</v>
      </c>
      <c r="F1042" s="370" t="s">
        <v>23</v>
      </c>
      <c r="G1042" s="370"/>
      <c r="H1042" s="461" t="s">
        <v>405</v>
      </c>
      <c r="I1042" s="532" t="s">
        <v>1467</v>
      </c>
      <c r="J1042" s="719">
        <v>45124</v>
      </c>
      <c r="K1042" s="747">
        <v>0.375</v>
      </c>
      <c r="L1042" s="719">
        <v>45124</v>
      </c>
      <c r="M1042" s="753">
        <v>0.54166666666666663</v>
      </c>
      <c r="N1042" s="530">
        <v>4</v>
      </c>
      <c r="O1042" s="530" t="s">
        <v>17</v>
      </c>
      <c r="P1042" s="305" t="s">
        <v>462</v>
      </c>
      <c r="Q1042" s="790" t="s">
        <v>1120</v>
      </c>
      <c r="R1042" s="508" t="s">
        <v>40</v>
      </c>
      <c r="S1042" s="31" t="s">
        <v>273</v>
      </c>
      <c r="T1042" s="31" t="s">
        <v>273</v>
      </c>
      <c r="U1042" s="31">
        <f>IFERROR(VLOOKUP(CONCATENATE(Tabla1[[#This Row],[Severidad]]," ",Tabla1[[#This Row],[Complejidad]]),Catalogos!E$120:G$128,3,FALSE),"")</f>
        <v>64</v>
      </c>
      <c r="V1042" s="31" t="str">
        <f>IF(Tabla1[[#This Row],[Tiempo solución max (hrs)]]&lt;&gt;"",IF(Tabla1[[#This Row],[Tiempo solución max (hrs)]]&gt;=Tabla1[[#This Row],[Tiempo
(Hrs 00/100)]],"cumple","no cumple"),"")</f>
        <v>cumple</v>
      </c>
      <c r="W1042" s="376" t="s">
        <v>1453</v>
      </c>
      <c r="X1042" s="377" t="str">
        <f t="shared" ref="X1042:X1080" si="111">IF(C1042&lt;&gt;"",C1042,D1042)</f>
        <v>DS</v>
      </c>
      <c r="Y1042" t="str">
        <f>SUBSTITUTE(Tabla1[[#This Row],[Descripción]],CHAR(10),"    I    ")</f>
        <v>Desarrollo servicio listar sub enlaces  y funcionalidad limpiar formulario</v>
      </c>
      <c r="Z1042" s="142">
        <f>VLOOKUP(Tabla1[[#This Row],[Perfil]],Catalogos!$B$75:$D$100,3,FALSE)*Tabla1[[#This Row],[Tiempo
(Hrs 00/100)]]*1.16</f>
        <v>3248</v>
      </c>
    </row>
    <row r="1043" spans="1:26" ht="24" x14ac:dyDescent="0.3">
      <c r="A1043" s="530" t="s">
        <v>22</v>
      </c>
      <c r="B1043" s="530" t="s">
        <v>23</v>
      </c>
      <c r="C1043" s="205" t="s">
        <v>155</v>
      </c>
      <c r="D1043" s="382"/>
      <c r="E1043" s="373" t="s">
        <v>408</v>
      </c>
      <c r="F1043" s="370" t="s">
        <v>23</v>
      </c>
      <c r="G1043" s="370"/>
      <c r="H1043" s="461" t="s">
        <v>405</v>
      </c>
      <c r="I1043" s="532" t="s">
        <v>1448</v>
      </c>
      <c r="J1043" s="719">
        <v>45125</v>
      </c>
      <c r="K1043" s="747">
        <v>0.375</v>
      </c>
      <c r="L1043" s="719">
        <v>45125</v>
      </c>
      <c r="M1043" s="753">
        <v>0.79166666666666663</v>
      </c>
      <c r="N1043" s="530">
        <v>8</v>
      </c>
      <c r="O1043" s="530" t="s">
        <v>17</v>
      </c>
      <c r="P1043" s="305" t="s">
        <v>462</v>
      </c>
      <c r="Q1043" s="790" t="s">
        <v>1120</v>
      </c>
      <c r="R1043" s="508" t="s">
        <v>40</v>
      </c>
      <c r="S1043" s="31" t="s">
        <v>273</v>
      </c>
      <c r="T1043" s="31" t="s">
        <v>273</v>
      </c>
      <c r="U1043" s="31">
        <f>IFERROR(VLOOKUP(CONCATENATE(Tabla1[[#This Row],[Severidad]]," ",Tabla1[[#This Row],[Complejidad]]),Catalogos!E$120:G$128,3,FALSE),"")</f>
        <v>64</v>
      </c>
      <c r="V1043" s="31" t="str">
        <f>IF(Tabla1[[#This Row],[Tiempo solución max (hrs)]]&lt;&gt;"",IF(Tabla1[[#This Row],[Tiempo solución max (hrs)]]&gt;=Tabla1[[#This Row],[Tiempo
(Hrs 00/100)]],"cumple","no cumple"),"")</f>
        <v>cumple</v>
      </c>
      <c r="W1043" s="376" t="s">
        <v>1453</v>
      </c>
      <c r="X1043" s="377" t="str">
        <f t="shared" si="111"/>
        <v>DS</v>
      </c>
      <c r="Y1043" t="str">
        <f>SUBSTITUTE(Tabla1[[#This Row],[Descripción]],CHAR(10),"    I    ")</f>
        <v>Desarrollo pantalla agregar sub enlaces</v>
      </c>
      <c r="Z1043" s="142">
        <f>VLOOKUP(Tabla1[[#This Row],[Perfil]],Catalogos!$B$75:$D$100,3,FALSE)*Tabla1[[#This Row],[Tiempo
(Hrs 00/100)]]*1.16</f>
        <v>6496</v>
      </c>
    </row>
    <row r="1044" spans="1:26" ht="24" x14ac:dyDescent="0.3">
      <c r="A1044" s="530" t="s">
        <v>22</v>
      </c>
      <c r="B1044" s="530" t="s">
        <v>23</v>
      </c>
      <c r="C1044" s="205" t="s">
        <v>155</v>
      </c>
      <c r="D1044" s="370"/>
      <c r="E1044" s="373" t="s">
        <v>408</v>
      </c>
      <c r="F1044" s="370" t="s">
        <v>23</v>
      </c>
      <c r="G1044" s="370"/>
      <c r="H1044" s="461" t="s">
        <v>405</v>
      </c>
      <c r="I1044" s="532" t="s">
        <v>1449</v>
      </c>
      <c r="J1044" s="719">
        <v>45126</v>
      </c>
      <c r="K1044" s="747">
        <v>0.375</v>
      </c>
      <c r="L1044" s="719">
        <v>45126</v>
      </c>
      <c r="M1044" s="753">
        <v>0.79166666666666663</v>
      </c>
      <c r="N1044" s="530">
        <v>8</v>
      </c>
      <c r="O1044" s="530" t="s">
        <v>17</v>
      </c>
      <c r="P1044" s="305" t="s">
        <v>462</v>
      </c>
      <c r="Q1044" s="790" t="s">
        <v>1120</v>
      </c>
      <c r="R1044" s="508" t="s">
        <v>40</v>
      </c>
      <c r="S1044" s="31" t="s">
        <v>273</v>
      </c>
      <c r="T1044" s="31" t="s">
        <v>273</v>
      </c>
      <c r="U1044" s="31">
        <f>IFERROR(VLOOKUP(CONCATENATE(Tabla1[[#This Row],[Severidad]]," ",Tabla1[[#This Row],[Complejidad]]),Catalogos!E$120:G$128,3,FALSE),"")</f>
        <v>64</v>
      </c>
      <c r="V1044" s="31" t="str">
        <f>IF(Tabla1[[#This Row],[Tiempo solución max (hrs)]]&lt;&gt;"",IF(Tabla1[[#This Row],[Tiempo solución max (hrs)]]&gt;=Tabla1[[#This Row],[Tiempo
(Hrs 00/100)]],"cumple","no cumple"),"")</f>
        <v>cumple</v>
      </c>
      <c r="W1044" s="376" t="s">
        <v>1453</v>
      </c>
      <c r="X1044" s="377" t="str">
        <f t="shared" si="111"/>
        <v>DS</v>
      </c>
      <c r="Y1044" t="str">
        <f>SUBSTITUTE(Tabla1[[#This Row],[Descripción]],CHAR(10),"    I    ")</f>
        <v>Desarrollo pantalla editar sub enlaces</v>
      </c>
      <c r="Z1044" s="142">
        <f>VLOOKUP(Tabla1[[#This Row],[Perfil]],Catalogos!$B$75:$D$100,3,FALSE)*Tabla1[[#This Row],[Tiempo
(Hrs 00/100)]]*1.16</f>
        <v>6496</v>
      </c>
    </row>
    <row r="1045" spans="1:26" ht="24" x14ac:dyDescent="0.3">
      <c r="A1045" s="530" t="s">
        <v>22</v>
      </c>
      <c r="B1045" s="530" t="s">
        <v>23</v>
      </c>
      <c r="C1045" s="205" t="s">
        <v>155</v>
      </c>
      <c r="D1045" s="382"/>
      <c r="E1045" s="373" t="s">
        <v>408</v>
      </c>
      <c r="F1045" s="370" t="s">
        <v>23</v>
      </c>
      <c r="G1045" s="370"/>
      <c r="H1045" s="461" t="s">
        <v>405</v>
      </c>
      <c r="I1045" s="532" t="s">
        <v>1450</v>
      </c>
      <c r="J1045" s="719">
        <v>45127</v>
      </c>
      <c r="K1045" s="747">
        <v>0.375</v>
      </c>
      <c r="L1045" s="719">
        <v>45127</v>
      </c>
      <c r="M1045" s="753">
        <v>0.79166666666666663</v>
      </c>
      <c r="N1045" s="530">
        <v>8</v>
      </c>
      <c r="O1045" s="530" t="s">
        <v>17</v>
      </c>
      <c r="P1045" s="305" t="s">
        <v>462</v>
      </c>
      <c r="Q1045" s="790" t="s">
        <v>1120</v>
      </c>
      <c r="R1045" s="508" t="s">
        <v>40</v>
      </c>
      <c r="S1045" s="31" t="s">
        <v>273</v>
      </c>
      <c r="T1045" s="31" t="s">
        <v>273</v>
      </c>
      <c r="U1045" s="31">
        <f>IFERROR(VLOOKUP(CONCATENATE(Tabla1[[#This Row],[Severidad]]," ",Tabla1[[#This Row],[Complejidad]]),Catalogos!E$120:G$128,3,FALSE),"")</f>
        <v>64</v>
      </c>
      <c r="V1045" s="31" t="str">
        <f>IF(Tabla1[[#This Row],[Tiempo solución max (hrs)]]&lt;&gt;"",IF(Tabla1[[#This Row],[Tiempo solución max (hrs)]]&gt;=Tabla1[[#This Row],[Tiempo
(Hrs 00/100)]],"cumple","no cumple"),"")</f>
        <v>cumple</v>
      </c>
      <c r="W1045" s="376" t="s">
        <v>1453</v>
      </c>
      <c r="X1045" s="377" t="str">
        <f t="shared" si="111"/>
        <v>DS</v>
      </c>
      <c r="Y1045" t="str">
        <f>SUBSTITUTE(Tabla1[[#This Row],[Descripción]],CHAR(10),"    I    ")</f>
        <v>Implementación servicios agregar, editar  sub enlaces y mapeo respuestas</v>
      </c>
      <c r="Z1045" s="142">
        <f>VLOOKUP(Tabla1[[#This Row],[Perfil]],Catalogos!$B$75:$D$100,3,FALSE)*Tabla1[[#This Row],[Tiempo
(Hrs 00/100)]]*1.16</f>
        <v>6496</v>
      </c>
    </row>
    <row r="1046" spans="1:26" ht="24" x14ac:dyDescent="0.3">
      <c r="A1046" s="530" t="s">
        <v>22</v>
      </c>
      <c r="B1046" s="530" t="s">
        <v>23</v>
      </c>
      <c r="C1046" s="205" t="s">
        <v>155</v>
      </c>
      <c r="D1046" s="370"/>
      <c r="E1046" s="373" t="s">
        <v>408</v>
      </c>
      <c r="F1046" s="370" t="s">
        <v>23</v>
      </c>
      <c r="G1046" s="370"/>
      <c r="H1046" s="461" t="s">
        <v>405</v>
      </c>
      <c r="I1046" s="532" t="s">
        <v>1451</v>
      </c>
      <c r="J1046" s="719">
        <v>45128</v>
      </c>
      <c r="K1046" s="747">
        <v>0.375</v>
      </c>
      <c r="L1046" s="719">
        <v>45128</v>
      </c>
      <c r="M1046" s="753">
        <v>0.79166666666666663</v>
      </c>
      <c r="N1046" s="530">
        <v>8</v>
      </c>
      <c r="O1046" s="530" t="s">
        <v>17</v>
      </c>
      <c r="P1046" s="305" t="s">
        <v>462</v>
      </c>
      <c r="Q1046" s="790" t="s">
        <v>1120</v>
      </c>
      <c r="R1046" s="508" t="s">
        <v>40</v>
      </c>
      <c r="S1046" s="31" t="s">
        <v>273</v>
      </c>
      <c r="T1046" s="31" t="s">
        <v>273</v>
      </c>
      <c r="U1046" s="31">
        <f>IFERROR(VLOOKUP(CONCATENATE(Tabla1[[#This Row],[Severidad]]," ",Tabla1[[#This Row],[Complejidad]]),Catalogos!E$120:G$128,3,FALSE),"")</f>
        <v>64</v>
      </c>
      <c r="V1046" s="31" t="str">
        <f>IF(Tabla1[[#This Row],[Tiempo solución max (hrs)]]&lt;&gt;"",IF(Tabla1[[#This Row],[Tiempo solución max (hrs)]]&gt;=Tabla1[[#This Row],[Tiempo
(Hrs 00/100)]],"cumple","no cumple"),"")</f>
        <v>cumple</v>
      </c>
      <c r="W1046" s="376" t="s">
        <v>1453</v>
      </c>
      <c r="X1046" s="377" t="str">
        <f t="shared" si="111"/>
        <v>DS</v>
      </c>
      <c r="Y1046" t="str">
        <f>SUBSTITUTE(Tabla1[[#This Row],[Descripción]],CHAR(10),"    I    ")</f>
        <v>Implementación tabla para el listado de sub enlaces</v>
      </c>
      <c r="Z1046" s="142">
        <f>VLOOKUP(Tabla1[[#This Row],[Perfil]],Catalogos!$B$75:$D$100,3,FALSE)*Tabla1[[#This Row],[Tiempo
(Hrs 00/100)]]*1.16</f>
        <v>6496</v>
      </c>
    </row>
    <row r="1047" spans="1:26" ht="24" x14ac:dyDescent="0.3">
      <c r="A1047" s="530" t="s">
        <v>22</v>
      </c>
      <c r="B1047" s="530" t="s">
        <v>23</v>
      </c>
      <c r="C1047" s="205" t="s">
        <v>155</v>
      </c>
      <c r="D1047" s="382"/>
      <c r="E1047" s="373" t="s">
        <v>408</v>
      </c>
      <c r="F1047" s="370" t="s">
        <v>23</v>
      </c>
      <c r="G1047" s="370"/>
      <c r="H1047" s="461" t="s">
        <v>405</v>
      </c>
      <c r="I1047" s="532" t="s">
        <v>1452</v>
      </c>
      <c r="J1047" s="720">
        <v>45131</v>
      </c>
      <c r="K1047" s="747">
        <v>0.375</v>
      </c>
      <c r="L1047" s="720">
        <v>45131</v>
      </c>
      <c r="M1047" s="753">
        <v>0.54166666666666663</v>
      </c>
      <c r="N1047" s="530">
        <v>4</v>
      </c>
      <c r="O1047" s="530" t="s">
        <v>17</v>
      </c>
      <c r="P1047" s="305" t="s">
        <v>462</v>
      </c>
      <c r="Q1047" s="790" t="s">
        <v>1120</v>
      </c>
      <c r="R1047" s="508" t="s">
        <v>40</v>
      </c>
      <c r="S1047" s="31" t="s">
        <v>273</v>
      </c>
      <c r="T1047" s="31" t="s">
        <v>273</v>
      </c>
      <c r="U1047" s="31">
        <f>IFERROR(VLOOKUP(CONCATENATE(Tabla1[[#This Row],[Severidad]]," ",Tabla1[[#This Row],[Complejidad]]),Catalogos!E$120:G$128,3,FALSE),"")</f>
        <v>64</v>
      </c>
      <c r="V1047" s="31" t="str">
        <f>IF(Tabla1[[#This Row],[Tiempo solución max (hrs)]]&lt;&gt;"",IF(Tabla1[[#This Row],[Tiempo solución max (hrs)]]&gt;=Tabla1[[#This Row],[Tiempo
(Hrs 00/100)]],"cumple","no cumple"),"")</f>
        <v>cumple</v>
      </c>
      <c r="W1047" s="376" t="s">
        <v>1453</v>
      </c>
      <c r="X1047" s="377" t="str">
        <f t="shared" si="111"/>
        <v>DS</v>
      </c>
      <c r="Y1047" t="str">
        <f>SUBSTITUTE(Tabla1[[#This Row],[Descripción]],CHAR(10),"    I    ")</f>
        <v>Validación para ocultar o mostrar la tabla  de sub enlaces</v>
      </c>
      <c r="Z1047" s="142">
        <f>VLOOKUP(Tabla1[[#This Row],[Perfil]],Catalogos!$B$75:$D$100,3,FALSE)*Tabla1[[#This Row],[Tiempo
(Hrs 00/100)]]*1.16</f>
        <v>3248</v>
      </c>
    </row>
    <row r="1048" spans="1:26" ht="24" x14ac:dyDescent="0.3">
      <c r="A1048" s="530" t="s">
        <v>22</v>
      </c>
      <c r="B1048" s="530" t="s">
        <v>23</v>
      </c>
      <c r="C1048" s="205" t="s">
        <v>155</v>
      </c>
      <c r="D1048" s="370"/>
      <c r="E1048" s="373" t="s">
        <v>408</v>
      </c>
      <c r="F1048" s="370" t="s">
        <v>23</v>
      </c>
      <c r="G1048" s="370"/>
      <c r="H1048" s="461" t="s">
        <v>405</v>
      </c>
      <c r="I1048" s="532" t="s">
        <v>1466</v>
      </c>
      <c r="J1048" s="720">
        <v>45132</v>
      </c>
      <c r="K1048" s="747">
        <v>0.375</v>
      </c>
      <c r="L1048" s="720">
        <v>45132</v>
      </c>
      <c r="M1048" s="753">
        <v>0.54166666666666663</v>
      </c>
      <c r="N1048" s="530">
        <v>4</v>
      </c>
      <c r="O1048" s="530" t="s">
        <v>17</v>
      </c>
      <c r="P1048" s="305" t="s">
        <v>462</v>
      </c>
      <c r="Q1048" s="790" t="s">
        <v>1120</v>
      </c>
      <c r="R1048" s="508" t="s">
        <v>40</v>
      </c>
      <c r="S1048" s="31" t="s">
        <v>273</v>
      </c>
      <c r="T1048" s="31" t="s">
        <v>273</v>
      </c>
      <c r="U1048" s="31">
        <f>IFERROR(VLOOKUP(CONCATENATE(Tabla1[[#This Row],[Severidad]]," ",Tabla1[[#This Row],[Complejidad]]),Catalogos!E$120:G$128,3,FALSE),"")</f>
        <v>64</v>
      </c>
      <c r="V1048" s="31" t="str">
        <f>IF(Tabla1[[#This Row],[Tiempo solución max (hrs)]]&lt;&gt;"",IF(Tabla1[[#This Row],[Tiempo solución max (hrs)]]&gt;=Tabla1[[#This Row],[Tiempo
(Hrs 00/100)]],"cumple","no cumple"),"")</f>
        <v>cumple</v>
      </c>
      <c r="W1048" s="376" t="s">
        <v>1453</v>
      </c>
      <c r="X1048" s="377" t="str">
        <f t="shared" si="111"/>
        <v>DS</v>
      </c>
      <c r="Y1048" t="str">
        <f>SUBSTITUTE(Tabla1[[#This Row],[Descripción]],CHAR(10),"    I    ")</f>
        <v>Implementación botón eliminar múltiples sub enlaces</v>
      </c>
      <c r="Z1048" s="142">
        <f>VLOOKUP(Tabla1[[#This Row],[Perfil]],Catalogos!$B$75:$D$100,3,FALSE)*Tabla1[[#This Row],[Tiempo
(Hrs 00/100)]]*1.16</f>
        <v>3248</v>
      </c>
    </row>
    <row r="1049" spans="1:26" ht="43.2" x14ac:dyDescent="0.3">
      <c r="A1049" s="530" t="s">
        <v>22</v>
      </c>
      <c r="B1049" s="530" t="s">
        <v>23</v>
      </c>
      <c r="C1049" s="205" t="s">
        <v>155</v>
      </c>
      <c r="D1049" s="382"/>
      <c r="E1049" s="373" t="s">
        <v>408</v>
      </c>
      <c r="F1049" s="370" t="s">
        <v>23</v>
      </c>
      <c r="G1049" s="370"/>
      <c r="H1049" s="461" t="s">
        <v>405</v>
      </c>
      <c r="I1049" s="383" t="s">
        <v>1398</v>
      </c>
      <c r="J1049" s="720">
        <v>45133</v>
      </c>
      <c r="K1049" s="747">
        <v>0.375</v>
      </c>
      <c r="L1049" s="720">
        <v>45133</v>
      </c>
      <c r="M1049" s="753">
        <v>0.79166666666666663</v>
      </c>
      <c r="N1049" s="530">
        <v>8</v>
      </c>
      <c r="O1049" s="530" t="s">
        <v>17</v>
      </c>
      <c r="P1049" s="305" t="s">
        <v>462</v>
      </c>
      <c r="Q1049" s="790" t="s">
        <v>1120</v>
      </c>
      <c r="R1049" s="508" t="s">
        <v>40</v>
      </c>
      <c r="S1049" s="31" t="s">
        <v>273</v>
      </c>
      <c r="T1049" s="31" t="s">
        <v>273</v>
      </c>
      <c r="U1049" s="31">
        <f>IFERROR(VLOOKUP(CONCATENATE(Tabla1[[#This Row],[Severidad]]," ",Tabla1[[#This Row],[Complejidad]]),Catalogos!E$120:G$128,3,FALSE),"")</f>
        <v>64</v>
      </c>
      <c r="V1049" s="31" t="str">
        <f>IF(Tabla1[[#This Row],[Tiempo solución max (hrs)]]&lt;&gt;"",IF(Tabla1[[#This Row],[Tiempo solución max (hrs)]]&gt;=Tabla1[[#This Row],[Tiempo
(Hrs 00/100)]],"cumple","no cumple"),"")</f>
        <v>cumple</v>
      </c>
      <c r="W1049" s="376" t="s">
        <v>1453</v>
      </c>
      <c r="X1049" s="377" t="str">
        <f t="shared" si="111"/>
        <v>DS</v>
      </c>
      <c r="Y1049" t="str">
        <f>SUBSTITUTE(Tabla1[[#This Row],[Descripción]],CHAR(10),"    I    ")</f>
        <v>Pruebas y validación (maxlength,minlength,email,pattern teléfono,campos requeridos, implementación alertas, modales de confirmación y acción correcta o fallida en pantallas)</v>
      </c>
      <c r="Z1049" s="142">
        <f>VLOOKUP(Tabla1[[#This Row],[Perfil]],Catalogos!$B$75:$D$100,3,FALSE)*Tabla1[[#This Row],[Tiempo
(Hrs 00/100)]]*1.16</f>
        <v>6496</v>
      </c>
    </row>
    <row r="1050" spans="1:26" ht="15" customHeight="1" x14ac:dyDescent="0.3">
      <c r="A1050" s="530" t="s">
        <v>22</v>
      </c>
      <c r="B1050" s="530" t="s">
        <v>23</v>
      </c>
      <c r="C1050" s="205" t="s">
        <v>155</v>
      </c>
      <c r="D1050" s="370"/>
      <c r="E1050" s="370" t="s">
        <v>1461</v>
      </c>
      <c r="F1050" s="370" t="s">
        <v>23</v>
      </c>
      <c r="G1050" s="370"/>
      <c r="H1050" s="461" t="s">
        <v>405</v>
      </c>
      <c r="I1050" s="534" t="s">
        <v>1458</v>
      </c>
      <c r="J1050" s="369">
        <v>45110</v>
      </c>
      <c r="K1050" s="747">
        <v>0.375</v>
      </c>
      <c r="L1050" s="369">
        <v>45110</v>
      </c>
      <c r="M1050" s="753">
        <v>0.79166666666666663</v>
      </c>
      <c r="N1050" s="530">
        <v>8</v>
      </c>
      <c r="O1050" s="530" t="s">
        <v>17</v>
      </c>
      <c r="P1050" s="535" t="s">
        <v>1462</v>
      </c>
      <c r="Q1050" s="785" t="s">
        <v>208</v>
      </c>
      <c r="R1050" s="508" t="s">
        <v>40</v>
      </c>
      <c r="S1050" s="31" t="s">
        <v>273</v>
      </c>
      <c r="T1050" s="31" t="s">
        <v>273</v>
      </c>
      <c r="U1050" s="31">
        <f>IFERROR(VLOOKUP(CONCATENATE(Tabla1[[#This Row],[Severidad]]," ",Tabla1[[#This Row],[Complejidad]]),Catalogos!E$120:G$128,3,FALSE),"")</f>
        <v>64</v>
      </c>
      <c r="V1050" s="31" t="str">
        <f>IF(Tabla1[[#This Row],[Tiempo solución max (hrs)]]&lt;&gt;"",IF(Tabla1[[#This Row],[Tiempo solución max (hrs)]]&gt;=Tabla1[[#This Row],[Tiempo
(Hrs 00/100)]],"cumple","no cumple"),"")</f>
        <v>cumple</v>
      </c>
      <c r="W1050" s="376" t="s">
        <v>1453</v>
      </c>
      <c r="X1050" s="377" t="str">
        <f t="shared" si="111"/>
        <v>DS</v>
      </c>
      <c r="Y1050" t="str">
        <f>SUBSTITUTE(Tabla1[[#This Row],[Descripción]],CHAR(10),"    I    ")</f>
        <v>Microservicios para envíar correo por la modificación de password.</v>
      </c>
      <c r="Z1050" s="142">
        <f>VLOOKUP(Tabla1[[#This Row],[Perfil]],Catalogos!$B$75:$D$100,3,FALSE)*Tabla1[[#This Row],[Tiempo
(Hrs 00/100)]]*1.16</f>
        <v>6496</v>
      </c>
    </row>
    <row r="1051" spans="1:26" ht="15" customHeight="1" x14ac:dyDescent="0.3">
      <c r="A1051" s="530" t="s">
        <v>22</v>
      </c>
      <c r="B1051" s="530" t="s">
        <v>23</v>
      </c>
      <c r="C1051" s="205" t="s">
        <v>155</v>
      </c>
      <c r="D1051" s="382"/>
      <c r="E1051" s="370" t="s">
        <v>1461</v>
      </c>
      <c r="F1051" s="370" t="s">
        <v>23</v>
      </c>
      <c r="G1051" s="370"/>
      <c r="H1051" s="461" t="s">
        <v>405</v>
      </c>
      <c r="I1051" s="534" t="s">
        <v>1459</v>
      </c>
      <c r="J1051" s="369">
        <v>45111</v>
      </c>
      <c r="K1051" s="747">
        <v>0.375</v>
      </c>
      <c r="L1051" s="369">
        <v>45111</v>
      </c>
      <c r="M1051" s="753">
        <v>0.79166666666666663</v>
      </c>
      <c r="N1051" s="530">
        <v>8</v>
      </c>
      <c r="O1051" s="530" t="s">
        <v>17</v>
      </c>
      <c r="P1051" s="535" t="s">
        <v>1462</v>
      </c>
      <c r="Q1051" s="785" t="s">
        <v>208</v>
      </c>
      <c r="R1051" s="508" t="s">
        <v>40</v>
      </c>
      <c r="S1051" s="31" t="s">
        <v>273</v>
      </c>
      <c r="T1051" s="31" t="s">
        <v>273</v>
      </c>
      <c r="U1051" s="31">
        <f>IFERROR(VLOOKUP(CONCATENATE(Tabla1[[#This Row],[Severidad]]," ",Tabla1[[#This Row],[Complejidad]]),Catalogos!E$120:G$128,3,FALSE),"")</f>
        <v>64</v>
      </c>
      <c r="V1051" s="31" t="str">
        <f>IF(Tabla1[[#This Row],[Tiempo solución max (hrs)]]&lt;&gt;"",IF(Tabla1[[#This Row],[Tiempo solución max (hrs)]]&gt;=Tabla1[[#This Row],[Tiempo
(Hrs 00/100)]],"cumple","no cumple"),"")</f>
        <v>cumple</v>
      </c>
      <c r="W1051" s="376" t="s">
        <v>1453</v>
      </c>
      <c r="X1051" s="377" t="str">
        <f t="shared" si="111"/>
        <v>DS</v>
      </c>
      <c r="Y1051" t="str">
        <f>SUBSTITUTE(Tabla1[[#This Row],[Descripción]],CHAR(10),"    I    ")</f>
        <v>Microservicios para “Olvide mi contraseña”</v>
      </c>
      <c r="Z1051" s="142">
        <f>VLOOKUP(Tabla1[[#This Row],[Perfil]],Catalogos!$B$75:$D$100,3,FALSE)*Tabla1[[#This Row],[Tiempo
(Hrs 00/100)]]*1.16</f>
        <v>6496</v>
      </c>
    </row>
    <row r="1052" spans="1:26" ht="15" customHeight="1" x14ac:dyDescent="0.3">
      <c r="A1052" s="530" t="s">
        <v>22</v>
      </c>
      <c r="B1052" s="530" t="s">
        <v>23</v>
      </c>
      <c r="C1052" s="205" t="s">
        <v>155</v>
      </c>
      <c r="D1052" s="370"/>
      <c r="E1052" s="370" t="s">
        <v>1461</v>
      </c>
      <c r="F1052" s="370" t="s">
        <v>23</v>
      </c>
      <c r="G1052" s="370"/>
      <c r="H1052" s="461" t="s">
        <v>405</v>
      </c>
      <c r="I1052" s="408" t="s">
        <v>1460</v>
      </c>
      <c r="J1052" s="369">
        <v>45112</v>
      </c>
      <c r="K1052" s="747">
        <v>0.375</v>
      </c>
      <c r="L1052" s="369">
        <v>45112</v>
      </c>
      <c r="M1052" s="753">
        <v>0.79166666666666663</v>
      </c>
      <c r="N1052" s="530">
        <v>8</v>
      </c>
      <c r="O1052" s="530" t="s">
        <v>17</v>
      </c>
      <c r="P1052" s="535" t="s">
        <v>1462</v>
      </c>
      <c r="Q1052" s="785" t="s">
        <v>208</v>
      </c>
      <c r="R1052" s="508" t="s">
        <v>40</v>
      </c>
      <c r="S1052" s="31" t="s">
        <v>273</v>
      </c>
      <c r="T1052" s="31" t="s">
        <v>273</v>
      </c>
      <c r="U1052" s="31">
        <f>IFERROR(VLOOKUP(CONCATENATE(Tabla1[[#This Row],[Severidad]]," ",Tabla1[[#This Row],[Complejidad]]),Catalogos!E$120:G$128,3,FALSE),"")</f>
        <v>64</v>
      </c>
      <c r="V1052" s="31" t="str">
        <f>IF(Tabla1[[#This Row],[Tiempo solución max (hrs)]]&lt;&gt;"",IF(Tabla1[[#This Row],[Tiempo solución max (hrs)]]&gt;=Tabla1[[#This Row],[Tiempo
(Hrs 00/100)]],"cumple","no cumple"),"")</f>
        <v>cumple</v>
      </c>
      <c r="W1052" s="376" t="s">
        <v>1453</v>
      </c>
      <c r="X1052" s="377" t="str">
        <f t="shared" si="111"/>
        <v>DS</v>
      </c>
      <c r="Y1052" t="str">
        <f>SUBSTITUTE(Tabla1[[#This Row],[Descripción]],CHAR(10),"    I    ")</f>
        <v>Microservicios para desactivar cuenta</v>
      </c>
      <c r="Z1052" s="142">
        <f>VLOOKUP(Tabla1[[#This Row],[Perfil]],Catalogos!$B$75:$D$100,3,FALSE)*Tabla1[[#This Row],[Tiempo
(Hrs 00/100)]]*1.16</f>
        <v>6496</v>
      </c>
    </row>
    <row r="1053" spans="1:26" ht="15" customHeight="1" x14ac:dyDescent="0.3">
      <c r="A1053" s="530" t="s">
        <v>22</v>
      </c>
      <c r="B1053" s="530" t="s">
        <v>23</v>
      </c>
      <c r="C1053" s="205" t="s">
        <v>155</v>
      </c>
      <c r="D1053" s="382"/>
      <c r="E1053" s="370" t="s">
        <v>1461</v>
      </c>
      <c r="F1053" s="370" t="s">
        <v>23</v>
      </c>
      <c r="G1053" s="370"/>
      <c r="H1053" s="461" t="s">
        <v>405</v>
      </c>
      <c r="I1053" s="408" t="s">
        <v>1455</v>
      </c>
      <c r="J1053" s="369">
        <v>45113</v>
      </c>
      <c r="K1053" s="747">
        <v>0.375</v>
      </c>
      <c r="L1053" s="369">
        <v>45113</v>
      </c>
      <c r="M1053" s="753">
        <v>0.79166666666666663</v>
      </c>
      <c r="N1053" s="530">
        <v>8</v>
      </c>
      <c r="O1053" s="530" t="s">
        <v>17</v>
      </c>
      <c r="P1053" s="535" t="s">
        <v>1462</v>
      </c>
      <c r="Q1053" s="785" t="s">
        <v>208</v>
      </c>
      <c r="R1053" s="508" t="s">
        <v>40</v>
      </c>
      <c r="S1053" s="31" t="s">
        <v>273</v>
      </c>
      <c r="T1053" s="31" t="s">
        <v>273</v>
      </c>
      <c r="U1053" s="31">
        <f>IFERROR(VLOOKUP(CONCATENATE(Tabla1[[#This Row],[Severidad]]," ",Tabla1[[#This Row],[Complejidad]]),Catalogos!E$120:G$128,3,FALSE),"")</f>
        <v>64</v>
      </c>
      <c r="V1053" s="31" t="str">
        <f>IF(Tabla1[[#This Row],[Tiempo solución max (hrs)]]&lt;&gt;"",IF(Tabla1[[#This Row],[Tiempo solución max (hrs)]]&gt;=Tabla1[[#This Row],[Tiempo
(Hrs 00/100)]],"cumple","no cumple"),"")</f>
        <v>cumple</v>
      </c>
      <c r="W1053" s="376" t="s">
        <v>1453</v>
      </c>
      <c r="X1053" s="377" t="str">
        <f t="shared" si="111"/>
        <v>DS</v>
      </c>
      <c r="Y1053" t="str">
        <f>SUBSTITUTE(Tabla1[[#This Row],[Descripción]],CHAR(10),"    I    ")</f>
        <v>Desarrollar pantalla para actualizar datos de usuarios externos</v>
      </c>
      <c r="Z1053" s="142">
        <f>VLOOKUP(Tabla1[[#This Row],[Perfil]],Catalogos!$B$75:$D$100,3,FALSE)*Tabla1[[#This Row],[Tiempo
(Hrs 00/100)]]*1.16</f>
        <v>6496</v>
      </c>
    </row>
    <row r="1054" spans="1:26" ht="15" customHeight="1" x14ac:dyDescent="0.3">
      <c r="A1054" s="530" t="s">
        <v>22</v>
      </c>
      <c r="B1054" s="530" t="s">
        <v>23</v>
      </c>
      <c r="C1054" s="205" t="s">
        <v>155</v>
      </c>
      <c r="D1054" s="370"/>
      <c r="E1054" s="370" t="s">
        <v>1461</v>
      </c>
      <c r="F1054" s="370" t="s">
        <v>23</v>
      </c>
      <c r="G1054" s="370"/>
      <c r="H1054" s="461" t="s">
        <v>405</v>
      </c>
      <c r="I1054" s="408" t="s">
        <v>1456</v>
      </c>
      <c r="J1054" s="369">
        <v>45114</v>
      </c>
      <c r="K1054" s="747">
        <v>0.375</v>
      </c>
      <c r="L1054" s="369">
        <v>45114</v>
      </c>
      <c r="M1054" s="753">
        <v>0.79166666666666663</v>
      </c>
      <c r="N1054" s="530">
        <v>8</v>
      </c>
      <c r="O1054" s="530" t="s">
        <v>17</v>
      </c>
      <c r="P1054" s="535" t="s">
        <v>1462</v>
      </c>
      <c r="Q1054" s="785" t="s">
        <v>208</v>
      </c>
      <c r="R1054" s="508" t="s">
        <v>40</v>
      </c>
      <c r="S1054" s="31" t="s">
        <v>273</v>
      </c>
      <c r="T1054" s="31" t="s">
        <v>273</v>
      </c>
      <c r="U1054" s="31">
        <f>IFERROR(VLOOKUP(CONCATENATE(Tabla1[[#This Row],[Severidad]]," ",Tabla1[[#This Row],[Complejidad]]),Catalogos!E$120:G$128,3,FALSE),"")</f>
        <v>64</v>
      </c>
      <c r="V1054" s="31" t="str">
        <f>IF(Tabla1[[#This Row],[Tiempo solución max (hrs)]]&lt;&gt;"",IF(Tabla1[[#This Row],[Tiempo solución max (hrs)]]&gt;=Tabla1[[#This Row],[Tiempo
(Hrs 00/100)]],"cumple","no cumple"),"")</f>
        <v>cumple</v>
      </c>
      <c r="W1054" s="376" t="s">
        <v>1453</v>
      </c>
      <c r="X1054" s="377" t="str">
        <f t="shared" si="111"/>
        <v>DS</v>
      </c>
      <c r="Y1054" t="str">
        <f>SUBSTITUTE(Tabla1[[#This Row],[Descripción]],CHAR(10),"    I    ")</f>
        <v xml:space="preserve">Servicio para reactivar cuentas de usuarios </v>
      </c>
      <c r="Z1054" s="142">
        <f>VLOOKUP(Tabla1[[#This Row],[Perfil]],Catalogos!$B$75:$D$100,3,FALSE)*Tabla1[[#This Row],[Tiempo
(Hrs 00/100)]]*1.16</f>
        <v>6496</v>
      </c>
    </row>
    <row r="1055" spans="1:26" ht="15" customHeight="1" x14ac:dyDescent="0.3">
      <c r="A1055" s="530" t="s">
        <v>22</v>
      </c>
      <c r="B1055" s="530" t="s">
        <v>23</v>
      </c>
      <c r="C1055" s="205" t="s">
        <v>155</v>
      </c>
      <c r="D1055" s="382"/>
      <c r="E1055" s="370" t="s">
        <v>1461</v>
      </c>
      <c r="F1055" s="370" t="s">
        <v>23</v>
      </c>
      <c r="G1055" s="370"/>
      <c r="H1055" s="461" t="s">
        <v>405</v>
      </c>
      <c r="I1055" s="408" t="s">
        <v>1457</v>
      </c>
      <c r="J1055" s="369">
        <v>45117</v>
      </c>
      <c r="K1055" s="747">
        <v>0.375</v>
      </c>
      <c r="L1055" s="369">
        <v>45117</v>
      </c>
      <c r="M1055" s="753">
        <v>0.79166666666666663</v>
      </c>
      <c r="N1055" s="530">
        <v>8</v>
      </c>
      <c r="O1055" s="530" t="s">
        <v>17</v>
      </c>
      <c r="P1055" s="535" t="s">
        <v>1462</v>
      </c>
      <c r="Q1055" s="785" t="s">
        <v>208</v>
      </c>
      <c r="R1055" s="508" t="s">
        <v>40</v>
      </c>
      <c r="S1055" s="31" t="s">
        <v>273</v>
      </c>
      <c r="T1055" s="31" t="s">
        <v>273</v>
      </c>
      <c r="U1055" s="31">
        <f>IFERROR(VLOOKUP(CONCATENATE(Tabla1[[#This Row],[Severidad]]," ",Tabla1[[#This Row],[Complejidad]]),Catalogos!E$120:G$128,3,FALSE),"")</f>
        <v>64</v>
      </c>
      <c r="V1055" s="31" t="str">
        <f>IF(Tabla1[[#This Row],[Tiempo solución max (hrs)]]&lt;&gt;"",IF(Tabla1[[#This Row],[Tiempo solución max (hrs)]]&gt;=Tabla1[[#This Row],[Tiempo
(Hrs 00/100)]],"cumple","no cumple"),"")</f>
        <v>cumple</v>
      </c>
      <c r="W1055" s="376" t="s">
        <v>1453</v>
      </c>
      <c r="X1055" s="377" t="str">
        <f t="shared" si="111"/>
        <v>DS</v>
      </c>
      <c r="Y1055" t="str">
        <f>SUBSTITUTE(Tabla1[[#This Row],[Descripción]],CHAR(10),"    I    ")</f>
        <v>Desarrollar pantalla de aviso de reactivación de cuenta</v>
      </c>
      <c r="Z1055" s="142">
        <f>VLOOKUP(Tabla1[[#This Row],[Perfil]],Catalogos!$B$75:$D$100,3,FALSE)*Tabla1[[#This Row],[Tiempo
(Hrs 00/100)]]*1.16</f>
        <v>6496</v>
      </c>
    </row>
    <row r="1056" spans="1:26" ht="15" customHeight="1" x14ac:dyDescent="0.3">
      <c r="A1056" s="530" t="s">
        <v>22</v>
      </c>
      <c r="B1056" s="530" t="s">
        <v>23</v>
      </c>
      <c r="C1056" s="205" t="s">
        <v>155</v>
      </c>
      <c r="D1056" s="382"/>
      <c r="E1056" s="370" t="s">
        <v>1461</v>
      </c>
      <c r="F1056" s="370" t="s">
        <v>23</v>
      </c>
      <c r="G1056" s="370"/>
      <c r="H1056" s="461" t="s">
        <v>405</v>
      </c>
      <c r="I1056" s="405" t="s">
        <v>5400</v>
      </c>
      <c r="J1056" s="369">
        <v>45118</v>
      </c>
      <c r="K1056" s="747">
        <v>0.375</v>
      </c>
      <c r="L1056" s="369">
        <v>45118</v>
      </c>
      <c r="M1056" s="753">
        <v>0.79166666666666663</v>
      </c>
      <c r="N1056" s="536">
        <v>8</v>
      </c>
      <c r="O1056" s="530" t="s">
        <v>406</v>
      </c>
      <c r="P1056" s="535" t="s">
        <v>1462</v>
      </c>
      <c r="Q1056" s="785" t="s">
        <v>208</v>
      </c>
      <c r="R1056" s="508" t="s">
        <v>40</v>
      </c>
      <c r="S1056" s="31" t="s">
        <v>273</v>
      </c>
      <c r="T1056" s="31" t="s">
        <v>273</v>
      </c>
      <c r="U1056" s="31">
        <f>IFERROR(VLOOKUP(CONCATENATE(Tabla1[[#This Row],[Severidad]]," ",Tabla1[[#This Row],[Complejidad]]),Catalogos!E$120:G$128,3,FALSE),"")</f>
        <v>64</v>
      </c>
      <c r="V1056" s="31" t="str">
        <f>IF(Tabla1[[#This Row],[Tiempo solución max (hrs)]]&lt;&gt;"",IF(Tabla1[[#This Row],[Tiempo solución max (hrs)]]&gt;=Tabla1[[#This Row],[Tiempo
(Hrs 00/100)]],"cumple","no cumple"),"")</f>
        <v>cumple</v>
      </c>
      <c r="W1056" s="376" t="s">
        <v>1453</v>
      </c>
      <c r="X1056" s="377" t="str">
        <f t="shared" si="111"/>
        <v>DS</v>
      </c>
      <c r="Y1056" t="str">
        <f>SUBSTITUTE(Tabla1[[#This Row],[Descripción]],CHAR(10),"    I    ")</f>
        <v>Desarrollo de servicios rest para funcionalidades específicas de los catálogos federados 1ra parte</v>
      </c>
      <c r="Z1056" s="142">
        <f>VLOOKUP(Tabla1[[#This Row],[Perfil]],Catalogos!$B$75:$D$100,3,FALSE)*Tabla1[[#This Row],[Tiempo
(Hrs 00/100)]]*1.16</f>
        <v>6496</v>
      </c>
    </row>
    <row r="1057" spans="1:26" ht="15" customHeight="1" x14ac:dyDescent="0.3">
      <c r="A1057" s="530" t="s">
        <v>22</v>
      </c>
      <c r="B1057" s="530" t="s">
        <v>23</v>
      </c>
      <c r="C1057" s="205" t="s">
        <v>155</v>
      </c>
      <c r="D1057" s="382"/>
      <c r="E1057" s="370" t="s">
        <v>1461</v>
      </c>
      <c r="F1057" s="370" t="s">
        <v>23</v>
      </c>
      <c r="G1057" s="370"/>
      <c r="H1057" s="461" t="s">
        <v>405</v>
      </c>
      <c r="I1057" s="405" t="s">
        <v>5400</v>
      </c>
      <c r="J1057" s="369">
        <v>45119</v>
      </c>
      <c r="K1057" s="747">
        <v>0.375</v>
      </c>
      <c r="L1057" s="369">
        <v>45119</v>
      </c>
      <c r="M1057" s="753">
        <v>0.79166666666666663</v>
      </c>
      <c r="N1057" s="536">
        <v>8</v>
      </c>
      <c r="O1057" s="530" t="s">
        <v>406</v>
      </c>
      <c r="P1057" s="535" t="s">
        <v>1462</v>
      </c>
      <c r="Q1057" s="785" t="s">
        <v>208</v>
      </c>
      <c r="R1057" s="508" t="s">
        <v>40</v>
      </c>
      <c r="S1057" s="31" t="s">
        <v>273</v>
      </c>
      <c r="T1057" s="31" t="s">
        <v>273</v>
      </c>
      <c r="U1057" s="31">
        <f>IFERROR(VLOOKUP(CONCATENATE(Tabla1[[#This Row],[Severidad]]," ",Tabla1[[#This Row],[Complejidad]]),Catalogos!E$120:G$128,3,FALSE),"")</f>
        <v>64</v>
      </c>
      <c r="V1057" s="31" t="str">
        <f>IF(Tabla1[[#This Row],[Tiempo solución max (hrs)]]&lt;&gt;"",IF(Tabla1[[#This Row],[Tiempo solución max (hrs)]]&gt;=Tabla1[[#This Row],[Tiempo
(Hrs 00/100)]],"cumple","no cumple"),"")</f>
        <v>cumple</v>
      </c>
      <c r="W1057" s="376" t="s">
        <v>1453</v>
      </c>
      <c r="X1057" s="377" t="str">
        <f t="shared" ref="X1057:X1059" si="112">IF(C1057&lt;&gt;"",C1057,D1057)</f>
        <v>DS</v>
      </c>
      <c r="Y1057" t="str">
        <f>SUBSTITUTE(Tabla1[[#This Row],[Descripción]],CHAR(10),"    I    ")</f>
        <v>Desarrollo de servicios rest para funcionalidades específicas de los catálogos federados 1ra parte</v>
      </c>
      <c r="Z1057" s="142">
        <f>VLOOKUP(Tabla1[[#This Row],[Perfil]],Catalogos!$B$75:$D$100,3,FALSE)*Tabla1[[#This Row],[Tiempo
(Hrs 00/100)]]*1.16</f>
        <v>6496</v>
      </c>
    </row>
    <row r="1058" spans="1:26" ht="15" customHeight="1" x14ac:dyDescent="0.3">
      <c r="A1058" s="530" t="s">
        <v>22</v>
      </c>
      <c r="B1058" s="530" t="s">
        <v>23</v>
      </c>
      <c r="C1058" s="205" t="s">
        <v>155</v>
      </c>
      <c r="D1058" s="382"/>
      <c r="E1058" s="370" t="s">
        <v>1461</v>
      </c>
      <c r="F1058" s="370" t="s">
        <v>23</v>
      </c>
      <c r="G1058" s="370"/>
      <c r="H1058" s="461" t="s">
        <v>405</v>
      </c>
      <c r="I1058" s="405" t="s">
        <v>5400</v>
      </c>
      <c r="J1058" s="369">
        <v>45120</v>
      </c>
      <c r="K1058" s="747">
        <v>0.375</v>
      </c>
      <c r="L1058" s="369">
        <v>45120</v>
      </c>
      <c r="M1058" s="753">
        <v>0.79166666666666663</v>
      </c>
      <c r="N1058" s="536">
        <v>8</v>
      </c>
      <c r="O1058" s="530" t="s">
        <v>406</v>
      </c>
      <c r="P1058" s="535" t="s">
        <v>1462</v>
      </c>
      <c r="Q1058" s="785" t="s">
        <v>208</v>
      </c>
      <c r="R1058" s="508" t="s">
        <v>40</v>
      </c>
      <c r="S1058" s="31" t="s">
        <v>273</v>
      </c>
      <c r="T1058" s="31" t="s">
        <v>273</v>
      </c>
      <c r="U1058" s="31">
        <f>IFERROR(VLOOKUP(CONCATENATE(Tabla1[[#This Row],[Severidad]]," ",Tabla1[[#This Row],[Complejidad]]),Catalogos!E$120:G$128,3,FALSE),"")</f>
        <v>64</v>
      </c>
      <c r="V1058" s="31" t="str">
        <f>IF(Tabla1[[#This Row],[Tiempo solución max (hrs)]]&lt;&gt;"",IF(Tabla1[[#This Row],[Tiempo solución max (hrs)]]&gt;=Tabla1[[#This Row],[Tiempo
(Hrs 00/100)]],"cumple","no cumple"),"")</f>
        <v>cumple</v>
      </c>
      <c r="W1058" s="376" t="s">
        <v>1453</v>
      </c>
      <c r="X1058" s="377" t="str">
        <f t="shared" si="112"/>
        <v>DS</v>
      </c>
      <c r="Y1058" t="str">
        <f>SUBSTITUTE(Tabla1[[#This Row],[Descripción]],CHAR(10),"    I    ")</f>
        <v>Desarrollo de servicios rest para funcionalidades específicas de los catálogos federados 1ra parte</v>
      </c>
      <c r="Z1058" s="142">
        <f>VLOOKUP(Tabla1[[#This Row],[Perfil]],Catalogos!$B$75:$D$100,3,FALSE)*Tabla1[[#This Row],[Tiempo
(Hrs 00/100)]]*1.16</f>
        <v>6496</v>
      </c>
    </row>
    <row r="1059" spans="1:26" ht="15" customHeight="1" x14ac:dyDescent="0.3">
      <c r="A1059" s="530" t="s">
        <v>22</v>
      </c>
      <c r="B1059" s="530" t="s">
        <v>23</v>
      </c>
      <c r="C1059" s="205" t="s">
        <v>155</v>
      </c>
      <c r="D1059" s="382"/>
      <c r="E1059" s="370" t="s">
        <v>1461</v>
      </c>
      <c r="F1059" s="370" t="s">
        <v>23</v>
      </c>
      <c r="G1059" s="370"/>
      <c r="H1059" s="461" t="s">
        <v>405</v>
      </c>
      <c r="I1059" s="405" t="s">
        <v>5400</v>
      </c>
      <c r="J1059" s="369">
        <v>45121</v>
      </c>
      <c r="K1059" s="747">
        <v>0.375</v>
      </c>
      <c r="L1059" s="369">
        <v>45121</v>
      </c>
      <c r="M1059" s="753">
        <v>0.79166666666666663</v>
      </c>
      <c r="N1059" s="536">
        <v>8</v>
      </c>
      <c r="O1059" s="799" t="s">
        <v>17</v>
      </c>
      <c r="P1059" s="535" t="s">
        <v>1462</v>
      </c>
      <c r="Q1059" s="785" t="s">
        <v>208</v>
      </c>
      <c r="R1059" s="508" t="s">
        <v>40</v>
      </c>
      <c r="S1059" s="31" t="s">
        <v>273</v>
      </c>
      <c r="T1059" s="31" t="s">
        <v>273</v>
      </c>
      <c r="U1059" s="31">
        <f>IFERROR(VLOOKUP(CONCATENATE(Tabla1[[#This Row],[Severidad]]," ",Tabla1[[#This Row],[Complejidad]]),Catalogos!E$120:G$128,3,FALSE),"")</f>
        <v>64</v>
      </c>
      <c r="V1059" s="31" t="str">
        <f>IF(Tabla1[[#This Row],[Tiempo solución max (hrs)]]&lt;&gt;"",IF(Tabla1[[#This Row],[Tiempo solución max (hrs)]]&gt;=Tabla1[[#This Row],[Tiempo
(Hrs 00/100)]],"cumple","no cumple"),"")</f>
        <v>cumple</v>
      </c>
      <c r="W1059" s="376" t="s">
        <v>1453</v>
      </c>
      <c r="X1059" s="377" t="str">
        <f t="shared" si="112"/>
        <v>DS</v>
      </c>
      <c r="Y1059" t="str">
        <f>SUBSTITUTE(Tabla1[[#This Row],[Descripción]],CHAR(10),"    I    ")</f>
        <v>Desarrollo de servicios rest para funcionalidades específicas de los catálogos federados 1ra parte</v>
      </c>
      <c r="Z1059" s="142">
        <f>VLOOKUP(Tabla1[[#This Row],[Perfil]],Catalogos!$B$75:$D$100,3,FALSE)*Tabla1[[#This Row],[Tiempo
(Hrs 00/100)]]*1.16</f>
        <v>6496</v>
      </c>
    </row>
    <row r="1060" spans="1:26" ht="15" customHeight="1" x14ac:dyDescent="0.3">
      <c r="A1060" s="530" t="s">
        <v>22</v>
      </c>
      <c r="B1060" s="530" t="s">
        <v>23</v>
      </c>
      <c r="C1060" s="205" t="s">
        <v>155</v>
      </c>
      <c r="D1060" s="382"/>
      <c r="E1060" s="370" t="s">
        <v>1461</v>
      </c>
      <c r="F1060" s="370" t="s">
        <v>23</v>
      </c>
      <c r="G1060" s="370"/>
      <c r="H1060" s="461" t="s">
        <v>405</v>
      </c>
      <c r="I1060" s="405" t="s">
        <v>5401</v>
      </c>
      <c r="J1060" s="719">
        <v>45124</v>
      </c>
      <c r="K1060" s="747">
        <v>0.375</v>
      </c>
      <c r="L1060" s="719">
        <v>45124</v>
      </c>
      <c r="M1060" s="753">
        <v>0.79166666666666663</v>
      </c>
      <c r="N1060" s="536">
        <v>9</v>
      </c>
      <c r="O1060" s="799" t="s">
        <v>411</v>
      </c>
      <c r="P1060" s="535" t="s">
        <v>1462</v>
      </c>
      <c r="Q1060" s="785" t="s">
        <v>208</v>
      </c>
      <c r="R1060" s="508" t="s">
        <v>40</v>
      </c>
      <c r="S1060" s="31" t="s">
        <v>273</v>
      </c>
      <c r="T1060" s="31" t="s">
        <v>273</v>
      </c>
      <c r="U1060" s="31">
        <f>IFERROR(VLOOKUP(CONCATENATE(Tabla1[[#This Row],[Severidad]]," ",Tabla1[[#This Row],[Complejidad]]),Catalogos!E$120:G$128,3,FALSE),"")</f>
        <v>64</v>
      </c>
      <c r="V1060" s="31" t="str">
        <f>IF(Tabla1[[#This Row],[Tiempo solución max (hrs)]]&lt;&gt;"",IF(Tabla1[[#This Row],[Tiempo solución max (hrs)]]&gt;=Tabla1[[#This Row],[Tiempo
(Hrs 00/100)]],"cumple","no cumple"),"")</f>
        <v>cumple</v>
      </c>
      <c r="W1060" s="376" t="s">
        <v>1453</v>
      </c>
      <c r="X1060" s="377" t="str">
        <f t="shared" si="111"/>
        <v>DS</v>
      </c>
      <c r="Y1060" t="str">
        <f>SUBSTITUTE(Tabla1[[#This Row],[Descripción]],CHAR(10),"    I    ")</f>
        <v>Desarrollo de servicios rest para funcionalidades específicas de los catálogos federados 2da parte</v>
      </c>
      <c r="Z1060" s="142">
        <f>VLOOKUP(Tabla1[[#This Row],[Perfil]],Catalogos!$B$75:$D$100,3,FALSE)*Tabla1[[#This Row],[Tiempo
(Hrs 00/100)]]*1.16</f>
        <v>7307.9999999999991</v>
      </c>
    </row>
    <row r="1061" spans="1:26" ht="15" customHeight="1" x14ac:dyDescent="0.3">
      <c r="A1061" s="530" t="s">
        <v>22</v>
      </c>
      <c r="B1061" s="530" t="s">
        <v>23</v>
      </c>
      <c r="C1061" s="205" t="s">
        <v>155</v>
      </c>
      <c r="D1061" s="382"/>
      <c r="E1061" s="370" t="s">
        <v>1461</v>
      </c>
      <c r="F1061" s="370" t="s">
        <v>23</v>
      </c>
      <c r="G1061" s="370"/>
      <c r="H1061" s="461" t="s">
        <v>405</v>
      </c>
      <c r="I1061" s="405" t="s">
        <v>5401</v>
      </c>
      <c r="J1061" s="719">
        <v>45125</v>
      </c>
      <c r="K1061" s="747">
        <v>0.375</v>
      </c>
      <c r="L1061" s="719">
        <v>45125</v>
      </c>
      <c r="M1061" s="753">
        <v>0.79166666666666663</v>
      </c>
      <c r="N1061" s="536">
        <v>8</v>
      </c>
      <c r="O1061" s="799" t="s">
        <v>411</v>
      </c>
      <c r="P1061" s="535" t="s">
        <v>1462</v>
      </c>
      <c r="Q1061" s="785" t="s">
        <v>208</v>
      </c>
      <c r="R1061" s="508" t="s">
        <v>40</v>
      </c>
      <c r="S1061" s="31" t="s">
        <v>273</v>
      </c>
      <c r="T1061" s="31" t="s">
        <v>273</v>
      </c>
      <c r="U1061" s="31">
        <f>IFERROR(VLOOKUP(CONCATENATE(Tabla1[[#This Row],[Severidad]]," ",Tabla1[[#This Row],[Complejidad]]),Catalogos!E$120:G$128,3,FALSE),"")</f>
        <v>64</v>
      </c>
      <c r="V1061" s="31" t="str">
        <f>IF(Tabla1[[#This Row],[Tiempo solución max (hrs)]]&lt;&gt;"",IF(Tabla1[[#This Row],[Tiempo solución max (hrs)]]&gt;=Tabla1[[#This Row],[Tiempo
(Hrs 00/100)]],"cumple","no cumple"),"")</f>
        <v>cumple</v>
      </c>
      <c r="W1061" s="376" t="s">
        <v>1453</v>
      </c>
      <c r="X1061" s="377" t="str">
        <f t="shared" ref="X1061:X1064" si="113">IF(C1061&lt;&gt;"",C1061,D1061)</f>
        <v>DS</v>
      </c>
      <c r="Y1061" t="str">
        <f>SUBSTITUTE(Tabla1[[#This Row],[Descripción]],CHAR(10),"    I    ")</f>
        <v>Desarrollo de servicios rest para funcionalidades específicas de los catálogos federados 2da parte</v>
      </c>
      <c r="Z1061" s="142">
        <f>VLOOKUP(Tabla1[[#This Row],[Perfil]],Catalogos!$B$75:$D$100,3,FALSE)*Tabla1[[#This Row],[Tiempo
(Hrs 00/100)]]*1.16</f>
        <v>6496</v>
      </c>
    </row>
    <row r="1062" spans="1:26" ht="15" customHeight="1" x14ac:dyDescent="0.3">
      <c r="A1062" s="530" t="s">
        <v>22</v>
      </c>
      <c r="B1062" s="530" t="s">
        <v>23</v>
      </c>
      <c r="C1062" s="205" t="s">
        <v>155</v>
      </c>
      <c r="D1062" s="382"/>
      <c r="E1062" s="370" t="s">
        <v>1461</v>
      </c>
      <c r="F1062" s="370" t="s">
        <v>23</v>
      </c>
      <c r="G1062" s="370"/>
      <c r="H1062" s="461" t="s">
        <v>405</v>
      </c>
      <c r="I1062" s="405" t="s">
        <v>5401</v>
      </c>
      <c r="J1062" s="719">
        <v>45126</v>
      </c>
      <c r="K1062" s="747">
        <v>0.375</v>
      </c>
      <c r="L1062" s="719">
        <v>45126</v>
      </c>
      <c r="M1062" s="753">
        <v>0.79166666666666663</v>
      </c>
      <c r="N1062" s="536">
        <v>8</v>
      </c>
      <c r="O1062" s="799" t="s">
        <v>411</v>
      </c>
      <c r="P1062" s="535" t="s">
        <v>1462</v>
      </c>
      <c r="Q1062" s="785" t="s">
        <v>208</v>
      </c>
      <c r="R1062" s="508" t="s">
        <v>40</v>
      </c>
      <c r="S1062" s="31" t="s">
        <v>273</v>
      </c>
      <c r="T1062" s="31" t="s">
        <v>273</v>
      </c>
      <c r="U1062" s="31">
        <f>IFERROR(VLOOKUP(CONCATENATE(Tabla1[[#This Row],[Severidad]]," ",Tabla1[[#This Row],[Complejidad]]),Catalogos!E$120:G$128,3,FALSE),"")</f>
        <v>64</v>
      </c>
      <c r="V1062" s="31" t="str">
        <f>IF(Tabla1[[#This Row],[Tiempo solución max (hrs)]]&lt;&gt;"",IF(Tabla1[[#This Row],[Tiempo solución max (hrs)]]&gt;=Tabla1[[#This Row],[Tiempo
(Hrs 00/100)]],"cumple","no cumple"),"")</f>
        <v>cumple</v>
      </c>
      <c r="W1062" s="376" t="s">
        <v>1453</v>
      </c>
      <c r="X1062" s="377" t="str">
        <f t="shared" si="113"/>
        <v>DS</v>
      </c>
      <c r="Y1062" t="str">
        <f>SUBSTITUTE(Tabla1[[#This Row],[Descripción]],CHAR(10),"    I    ")</f>
        <v>Desarrollo de servicios rest para funcionalidades específicas de los catálogos federados 2da parte</v>
      </c>
      <c r="Z1062" s="142">
        <f>VLOOKUP(Tabla1[[#This Row],[Perfil]],Catalogos!$B$75:$D$100,3,FALSE)*Tabla1[[#This Row],[Tiempo
(Hrs 00/100)]]*1.16</f>
        <v>6496</v>
      </c>
    </row>
    <row r="1063" spans="1:26" ht="15" customHeight="1" x14ac:dyDescent="0.3">
      <c r="A1063" s="530" t="s">
        <v>22</v>
      </c>
      <c r="B1063" s="530" t="s">
        <v>23</v>
      </c>
      <c r="C1063" s="205" t="s">
        <v>155</v>
      </c>
      <c r="D1063" s="382"/>
      <c r="E1063" s="370" t="s">
        <v>1461</v>
      </c>
      <c r="F1063" s="370" t="s">
        <v>23</v>
      </c>
      <c r="G1063" s="370"/>
      <c r="H1063" s="461" t="s">
        <v>405</v>
      </c>
      <c r="I1063" s="405" t="s">
        <v>5401</v>
      </c>
      <c r="J1063" s="719">
        <v>45127</v>
      </c>
      <c r="K1063" s="747">
        <v>0.375</v>
      </c>
      <c r="L1063" s="719">
        <v>45127</v>
      </c>
      <c r="M1063" s="753">
        <v>0.79166666666666663</v>
      </c>
      <c r="N1063" s="536">
        <v>8</v>
      </c>
      <c r="O1063" s="799" t="s">
        <v>411</v>
      </c>
      <c r="P1063" s="535" t="s">
        <v>1462</v>
      </c>
      <c r="Q1063" s="785" t="s">
        <v>208</v>
      </c>
      <c r="R1063" s="508" t="s">
        <v>40</v>
      </c>
      <c r="S1063" s="31" t="s">
        <v>273</v>
      </c>
      <c r="T1063" s="31" t="s">
        <v>273</v>
      </c>
      <c r="U1063" s="31">
        <f>IFERROR(VLOOKUP(CONCATENATE(Tabla1[[#This Row],[Severidad]]," ",Tabla1[[#This Row],[Complejidad]]),Catalogos!E$120:G$128,3,FALSE),"")</f>
        <v>64</v>
      </c>
      <c r="V1063" s="31" t="str">
        <f>IF(Tabla1[[#This Row],[Tiempo solución max (hrs)]]&lt;&gt;"",IF(Tabla1[[#This Row],[Tiempo solución max (hrs)]]&gt;=Tabla1[[#This Row],[Tiempo
(Hrs 00/100)]],"cumple","no cumple"),"")</f>
        <v>cumple</v>
      </c>
      <c r="W1063" s="376" t="s">
        <v>1453</v>
      </c>
      <c r="X1063" s="377" t="str">
        <f t="shared" si="113"/>
        <v>DS</v>
      </c>
      <c r="Y1063" t="str">
        <f>SUBSTITUTE(Tabla1[[#This Row],[Descripción]],CHAR(10),"    I    ")</f>
        <v>Desarrollo de servicios rest para funcionalidades específicas de los catálogos federados 2da parte</v>
      </c>
      <c r="Z1063" s="142">
        <f>VLOOKUP(Tabla1[[#This Row],[Perfil]],Catalogos!$B$75:$D$100,3,FALSE)*Tabla1[[#This Row],[Tiempo
(Hrs 00/100)]]*1.16</f>
        <v>6496</v>
      </c>
    </row>
    <row r="1064" spans="1:26" ht="15" customHeight="1" x14ac:dyDescent="0.3">
      <c r="A1064" s="530" t="s">
        <v>22</v>
      </c>
      <c r="B1064" s="530" t="s">
        <v>23</v>
      </c>
      <c r="C1064" s="205" t="s">
        <v>155</v>
      </c>
      <c r="D1064" s="382"/>
      <c r="E1064" s="370" t="s">
        <v>1461</v>
      </c>
      <c r="F1064" s="370" t="s">
        <v>23</v>
      </c>
      <c r="G1064" s="370"/>
      <c r="H1064" s="461" t="s">
        <v>405</v>
      </c>
      <c r="I1064" s="405" t="s">
        <v>5401</v>
      </c>
      <c r="J1064" s="719">
        <v>45128</v>
      </c>
      <c r="K1064" s="747">
        <v>0.375</v>
      </c>
      <c r="L1064" s="719">
        <v>45128</v>
      </c>
      <c r="M1064" s="753">
        <v>0.79166666666666663</v>
      </c>
      <c r="N1064" s="536">
        <v>8</v>
      </c>
      <c r="O1064" s="530" t="s">
        <v>17</v>
      </c>
      <c r="P1064" s="535" t="s">
        <v>1462</v>
      </c>
      <c r="Q1064" s="785" t="s">
        <v>208</v>
      </c>
      <c r="R1064" s="508" t="s">
        <v>40</v>
      </c>
      <c r="S1064" s="31" t="s">
        <v>273</v>
      </c>
      <c r="T1064" s="31" t="s">
        <v>273</v>
      </c>
      <c r="U1064" s="31">
        <f>IFERROR(VLOOKUP(CONCATENATE(Tabla1[[#This Row],[Severidad]]," ",Tabla1[[#This Row],[Complejidad]]),Catalogos!E$120:G$128,3,FALSE),"")</f>
        <v>64</v>
      </c>
      <c r="V1064" s="31" t="str">
        <f>IF(Tabla1[[#This Row],[Tiempo solución max (hrs)]]&lt;&gt;"",IF(Tabla1[[#This Row],[Tiempo solución max (hrs)]]&gt;=Tabla1[[#This Row],[Tiempo
(Hrs 00/100)]],"cumple","no cumple"),"")</f>
        <v>cumple</v>
      </c>
      <c r="W1064" s="376" t="s">
        <v>1453</v>
      </c>
      <c r="X1064" s="377" t="str">
        <f t="shared" si="113"/>
        <v>DS</v>
      </c>
      <c r="Y1064" t="str">
        <f>SUBSTITUTE(Tabla1[[#This Row],[Descripción]],CHAR(10),"    I    ")</f>
        <v>Desarrollo de servicios rest para funcionalidades específicas de los catálogos federados 2da parte</v>
      </c>
      <c r="Z1064" s="142">
        <f>VLOOKUP(Tabla1[[#This Row],[Perfil]],Catalogos!$B$75:$D$100,3,FALSE)*Tabla1[[#This Row],[Tiempo
(Hrs 00/100)]]*1.16</f>
        <v>6496</v>
      </c>
    </row>
    <row r="1065" spans="1:26" ht="15" customHeight="1" x14ac:dyDescent="0.3">
      <c r="A1065" s="373" t="s">
        <v>22</v>
      </c>
      <c r="B1065" s="184" t="s">
        <v>305</v>
      </c>
      <c r="C1065" s="183" t="s">
        <v>16</v>
      </c>
      <c r="D1065" s="179"/>
      <c r="E1065" s="386" t="s">
        <v>503</v>
      </c>
      <c r="F1065" s="373" t="s">
        <v>75</v>
      </c>
      <c r="G1065" s="370" t="s">
        <v>435</v>
      </c>
      <c r="H1065" s="387" t="s">
        <v>436</v>
      </c>
      <c r="I1065" s="393" t="s">
        <v>1468</v>
      </c>
      <c r="J1065" s="712">
        <v>45110</v>
      </c>
      <c r="K1065" s="747">
        <v>0.375</v>
      </c>
      <c r="L1065" s="712">
        <v>45110</v>
      </c>
      <c r="M1065" s="753">
        <v>0.79166666666666663</v>
      </c>
      <c r="N1065" s="179">
        <v>8</v>
      </c>
      <c r="O1065" s="184" t="s">
        <v>411</v>
      </c>
      <c r="P1065" s="185" t="s">
        <v>1469</v>
      </c>
      <c r="Q1065" s="746" t="s">
        <v>258</v>
      </c>
      <c r="R1065" s="171" t="s">
        <v>81</v>
      </c>
      <c r="S1065" s="31" t="s">
        <v>273</v>
      </c>
      <c r="T1065" s="31" t="s">
        <v>273</v>
      </c>
      <c r="U1065" s="31">
        <f>IFERROR(VLOOKUP(CONCATENATE(Tabla1[[#This Row],[Severidad]]," ",Tabla1[[#This Row],[Complejidad]]),Catalogos!E$120:G$128,3,FALSE),"")</f>
        <v>64</v>
      </c>
      <c r="V1065" s="31" t="str">
        <f>IF(Tabla1[[#This Row],[Tiempo solución max (hrs)]]&lt;&gt;"",IF(Tabla1[[#This Row],[Tiempo solución max (hrs)]]&gt;=Tabla1[[#This Row],[Tiempo
(Hrs 00/100)]],"cumple","no cumple"),"")</f>
        <v>cumple</v>
      </c>
      <c r="W1065" s="376" t="s">
        <v>1453</v>
      </c>
      <c r="X1065" s="377" t="str">
        <f t="shared" si="111"/>
        <v>SAW</v>
      </c>
      <c r="Y1065" t="str">
        <f>SUBSTITUTE(Tabla1[[#This Row],[Descripción]],CHAR(10),"    I    ")</f>
        <v xml:space="preserve">Busqueda expediente Resoluciones </v>
      </c>
      <c r="Z1065" s="142">
        <f>VLOOKUP(Tabla1[[#This Row],[Perfil]],Catalogos!$B$75:$D$100,3,FALSE)*Tabla1[[#This Row],[Tiempo
(Hrs 00/100)]]*1.16</f>
        <v>4640</v>
      </c>
    </row>
    <row r="1066" spans="1:26" ht="15" customHeight="1" x14ac:dyDescent="0.3">
      <c r="A1066" s="373" t="s">
        <v>22</v>
      </c>
      <c r="B1066" s="184" t="s">
        <v>305</v>
      </c>
      <c r="C1066" s="183" t="s">
        <v>16</v>
      </c>
      <c r="D1066" s="179"/>
      <c r="E1066" s="386" t="s">
        <v>503</v>
      </c>
      <c r="F1066" s="373" t="s">
        <v>75</v>
      </c>
      <c r="G1066" s="370" t="s">
        <v>435</v>
      </c>
      <c r="H1066" s="387" t="s">
        <v>436</v>
      </c>
      <c r="I1066" s="393" t="s">
        <v>1468</v>
      </c>
      <c r="J1066" s="712">
        <v>45111</v>
      </c>
      <c r="K1066" s="747">
        <v>0.375</v>
      </c>
      <c r="L1066" s="712">
        <v>45111</v>
      </c>
      <c r="M1066" s="753">
        <v>0.79166666666666663</v>
      </c>
      <c r="N1066" s="179">
        <v>8</v>
      </c>
      <c r="O1066" s="184" t="s">
        <v>411</v>
      </c>
      <c r="P1066" s="185" t="s">
        <v>1469</v>
      </c>
      <c r="Q1066" s="746" t="s">
        <v>258</v>
      </c>
      <c r="R1066" s="171" t="s">
        <v>81</v>
      </c>
      <c r="S1066" s="31" t="s">
        <v>273</v>
      </c>
      <c r="T1066" s="31" t="s">
        <v>273</v>
      </c>
      <c r="U1066" s="31">
        <f>IFERROR(VLOOKUP(CONCATENATE(Tabla1[[#This Row],[Severidad]]," ",Tabla1[[#This Row],[Complejidad]]),Catalogos!E$120:G$128,3,FALSE),"")</f>
        <v>64</v>
      </c>
      <c r="V1066" s="31" t="str">
        <f>IF(Tabla1[[#This Row],[Tiempo solución max (hrs)]]&lt;&gt;"",IF(Tabla1[[#This Row],[Tiempo solución max (hrs)]]&gt;=Tabla1[[#This Row],[Tiempo
(Hrs 00/100)]],"cumple","no cumple"),"")</f>
        <v>cumple</v>
      </c>
      <c r="W1066" s="376" t="s">
        <v>1453</v>
      </c>
      <c r="X1066" s="377" t="str">
        <f t="shared" si="111"/>
        <v>SAW</v>
      </c>
      <c r="Y1066" t="str">
        <f>SUBSTITUTE(Tabla1[[#This Row],[Descripción]],CHAR(10),"    I    ")</f>
        <v xml:space="preserve">Busqueda expediente Resoluciones </v>
      </c>
      <c r="Z1066" s="142">
        <f>VLOOKUP(Tabla1[[#This Row],[Perfil]],Catalogos!$B$75:$D$100,3,FALSE)*Tabla1[[#This Row],[Tiempo
(Hrs 00/100)]]*1.16</f>
        <v>4640</v>
      </c>
    </row>
    <row r="1067" spans="1:26" ht="15" customHeight="1" x14ac:dyDescent="0.3">
      <c r="A1067" s="373" t="s">
        <v>22</v>
      </c>
      <c r="B1067" s="184" t="s">
        <v>305</v>
      </c>
      <c r="C1067" s="183" t="s">
        <v>16</v>
      </c>
      <c r="D1067" s="179"/>
      <c r="E1067" s="386" t="s">
        <v>503</v>
      </c>
      <c r="F1067" s="373" t="s">
        <v>75</v>
      </c>
      <c r="G1067" s="370" t="s">
        <v>435</v>
      </c>
      <c r="H1067" s="387" t="s">
        <v>436</v>
      </c>
      <c r="I1067" s="393" t="s">
        <v>1468</v>
      </c>
      <c r="J1067" s="712">
        <v>45112</v>
      </c>
      <c r="K1067" s="747">
        <v>0.375</v>
      </c>
      <c r="L1067" s="712">
        <v>45112</v>
      </c>
      <c r="M1067" s="739">
        <v>0.45833333333333331</v>
      </c>
      <c r="N1067" s="179">
        <v>2</v>
      </c>
      <c r="O1067" s="184" t="s">
        <v>17</v>
      </c>
      <c r="P1067" s="185" t="s">
        <v>1469</v>
      </c>
      <c r="Q1067" s="746" t="s">
        <v>258</v>
      </c>
      <c r="R1067" s="171" t="s">
        <v>81</v>
      </c>
      <c r="S1067" s="31" t="s">
        <v>273</v>
      </c>
      <c r="T1067" s="31" t="s">
        <v>273</v>
      </c>
      <c r="U1067" s="31">
        <f>IFERROR(VLOOKUP(CONCATENATE(Tabla1[[#This Row],[Severidad]]," ",Tabla1[[#This Row],[Complejidad]]),Catalogos!E$120:G$128,3,FALSE),"")</f>
        <v>64</v>
      </c>
      <c r="V1067" s="31" t="str">
        <f>IF(Tabla1[[#This Row],[Tiempo solución max (hrs)]]&lt;&gt;"",IF(Tabla1[[#This Row],[Tiempo solución max (hrs)]]&gt;=Tabla1[[#This Row],[Tiempo
(Hrs 00/100)]],"cumple","no cumple"),"")</f>
        <v>cumple</v>
      </c>
      <c r="W1067" s="376" t="s">
        <v>1453</v>
      </c>
      <c r="X1067" s="377" t="str">
        <f t="shared" si="111"/>
        <v>SAW</v>
      </c>
      <c r="Y1067" t="str">
        <f>SUBSTITUTE(Tabla1[[#This Row],[Descripción]],CHAR(10),"    I    ")</f>
        <v xml:space="preserve">Busqueda expediente Resoluciones </v>
      </c>
      <c r="Z1067" s="142">
        <f>VLOOKUP(Tabla1[[#This Row],[Perfil]],Catalogos!$B$75:$D$100,3,FALSE)*Tabla1[[#This Row],[Tiempo
(Hrs 00/100)]]*1.16</f>
        <v>1160</v>
      </c>
    </row>
    <row r="1068" spans="1:26" ht="15" customHeight="1" x14ac:dyDescent="0.3">
      <c r="A1068" s="373" t="s">
        <v>22</v>
      </c>
      <c r="B1068" s="184" t="s">
        <v>305</v>
      </c>
      <c r="C1068" s="183" t="s">
        <v>16</v>
      </c>
      <c r="D1068" s="179"/>
      <c r="E1068" s="386" t="s">
        <v>503</v>
      </c>
      <c r="F1068" s="373" t="s">
        <v>75</v>
      </c>
      <c r="G1068" s="370" t="s">
        <v>435</v>
      </c>
      <c r="H1068" s="387" t="s">
        <v>436</v>
      </c>
      <c r="I1068" s="394" t="s">
        <v>1470</v>
      </c>
      <c r="J1068" s="712">
        <v>45112</v>
      </c>
      <c r="K1068" s="739">
        <v>0.45833333333333331</v>
      </c>
      <c r="L1068" s="712">
        <v>45112</v>
      </c>
      <c r="M1068" s="739">
        <v>0.625</v>
      </c>
      <c r="N1068" s="179">
        <v>4</v>
      </c>
      <c r="O1068" s="184" t="s">
        <v>17</v>
      </c>
      <c r="P1068" s="185" t="s">
        <v>1471</v>
      </c>
      <c r="Q1068" s="746" t="s">
        <v>258</v>
      </c>
      <c r="R1068" s="171" t="s">
        <v>81</v>
      </c>
      <c r="S1068" s="31" t="s">
        <v>273</v>
      </c>
      <c r="T1068" s="31" t="s">
        <v>273</v>
      </c>
      <c r="U1068" s="31">
        <f>IFERROR(VLOOKUP(CONCATENATE(Tabla1[[#This Row],[Severidad]]," ",Tabla1[[#This Row],[Complejidad]]),Catalogos!E$120:G$128,3,FALSE),"")</f>
        <v>64</v>
      </c>
      <c r="V1068" s="31" t="str">
        <f>IF(Tabla1[[#This Row],[Tiempo solución max (hrs)]]&lt;&gt;"",IF(Tabla1[[#This Row],[Tiempo solución max (hrs)]]&gt;=Tabla1[[#This Row],[Tiempo
(Hrs 00/100)]],"cumple","no cumple"),"")</f>
        <v>cumple</v>
      </c>
      <c r="W1068" s="376" t="s">
        <v>1453</v>
      </c>
      <c r="X1068" s="377" t="str">
        <f t="shared" si="111"/>
        <v>SAW</v>
      </c>
      <c r="Y1068" t="str">
        <f>SUBSTITUTE(Tabla1[[#This Row],[Descripción]],CHAR(10),"    I    ")</f>
        <v xml:space="preserve">Actualizacion Requerimiento de aplicaciones web </v>
      </c>
      <c r="Z1068" s="142">
        <f>VLOOKUP(Tabla1[[#This Row],[Perfil]],Catalogos!$B$75:$D$100,3,FALSE)*Tabla1[[#This Row],[Tiempo
(Hrs 00/100)]]*1.16</f>
        <v>2320</v>
      </c>
    </row>
    <row r="1069" spans="1:26" ht="15" customHeight="1" x14ac:dyDescent="0.3">
      <c r="A1069" s="373" t="s">
        <v>22</v>
      </c>
      <c r="B1069" s="184" t="s">
        <v>305</v>
      </c>
      <c r="C1069" s="183" t="s">
        <v>16</v>
      </c>
      <c r="D1069" s="179"/>
      <c r="E1069" s="386" t="s">
        <v>503</v>
      </c>
      <c r="F1069" s="373" t="s">
        <v>75</v>
      </c>
      <c r="G1069" s="370" t="s">
        <v>435</v>
      </c>
      <c r="H1069" s="387" t="s">
        <v>436</v>
      </c>
      <c r="I1069" s="394" t="s">
        <v>1472</v>
      </c>
      <c r="J1069" s="712">
        <v>45112</v>
      </c>
      <c r="K1069" s="709">
        <v>0.66666666666666663</v>
      </c>
      <c r="L1069" s="712">
        <v>45112</v>
      </c>
      <c r="M1069" s="739">
        <v>0.79166666666666663</v>
      </c>
      <c r="N1069" s="179">
        <v>3</v>
      </c>
      <c r="O1069" s="184" t="s">
        <v>17</v>
      </c>
      <c r="P1069" s="185" t="s">
        <v>1473</v>
      </c>
      <c r="Q1069" s="746" t="s">
        <v>258</v>
      </c>
      <c r="R1069" s="171" t="s">
        <v>81</v>
      </c>
      <c r="S1069" s="31" t="s">
        <v>273</v>
      </c>
      <c r="T1069" s="31" t="s">
        <v>273</v>
      </c>
      <c r="U1069" s="31">
        <f>IFERROR(VLOOKUP(CONCATENATE(Tabla1[[#This Row],[Severidad]]," ",Tabla1[[#This Row],[Complejidad]]),Catalogos!E$120:G$128,3,FALSE),"")</f>
        <v>64</v>
      </c>
      <c r="V1069" s="31" t="str">
        <f>IF(Tabla1[[#This Row],[Tiempo solución max (hrs)]]&lt;&gt;"",IF(Tabla1[[#This Row],[Tiempo solución max (hrs)]]&gt;=Tabla1[[#This Row],[Tiempo
(Hrs 00/100)]],"cumple","no cumple"),"")</f>
        <v>cumple</v>
      </c>
      <c r="W1069" s="376" t="s">
        <v>1453</v>
      </c>
      <c r="X1069" s="377" t="str">
        <f t="shared" si="111"/>
        <v>SAW</v>
      </c>
      <c r="Y1069" t="str">
        <f>SUBSTITUTE(Tabla1[[#This Row],[Descripción]],CHAR(10),"    I    ")</f>
        <v xml:space="preserve">Actualizacion pagina INAI </v>
      </c>
      <c r="Z1069" s="142">
        <f>VLOOKUP(Tabla1[[#This Row],[Perfil]],Catalogos!$B$75:$D$100,3,FALSE)*Tabla1[[#This Row],[Tiempo
(Hrs 00/100)]]*1.16</f>
        <v>1739.9999999999998</v>
      </c>
    </row>
    <row r="1070" spans="1:26" ht="15" customHeight="1" x14ac:dyDescent="0.3">
      <c r="A1070" s="373" t="s">
        <v>22</v>
      </c>
      <c r="B1070" s="184" t="s">
        <v>305</v>
      </c>
      <c r="C1070" s="183" t="s">
        <v>16</v>
      </c>
      <c r="D1070" s="179"/>
      <c r="E1070" s="386" t="s">
        <v>503</v>
      </c>
      <c r="F1070" s="373" t="s">
        <v>75</v>
      </c>
      <c r="G1070" s="370" t="s">
        <v>435</v>
      </c>
      <c r="H1070" s="387" t="s">
        <v>436</v>
      </c>
      <c r="I1070" s="394" t="s">
        <v>1474</v>
      </c>
      <c r="J1070" s="712">
        <v>45113</v>
      </c>
      <c r="K1070" s="709">
        <v>0.375</v>
      </c>
      <c r="L1070" s="712">
        <v>45113</v>
      </c>
      <c r="M1070" s="739">
        <v>0.45833333333333331</v>
      </c>
      <c r="N1070" s="179">
        <v>2</v>
      </c>
      <c r="O1070" s="184" t="s">
        <v>17</v>
      </c>
      <c r="P1070" s="185" t="s">
        <v>1475</v>
      </c>
      <c r="Q1070" s="746" t="s">
        <v>258</v>
      </c>
      <c r="R1070" s="171" t="s">
        <v>81</v>
      </c>
      <c r="S1070" s="31" t="s">
        <v>273</v>
      </c>
      <c r="T1070" s="31" t="s">
        <v>273</v>
      </c>
      <c r="U1070" s="31">
        <f>IFERROR(VLOOKUP(CONCATENATE(Tabla1[[#This Row],[Severidad]]," ",Tabla1[[#This Row],[Complejidad]]),Catalogos!E$120:G$128,3,FALSE),"")</f>
        <v>64</v>
      </c>
      <c r="V1070" s="31" t="str">
        <f>IF(Tabla1[[#This Row],[Tiempo solución max (hrs)]]&lt;&gt;"",IF(Tabla1[[#This Row],[Tiempo solución max (hrs)]]&gt;=Tabla1[[#This Row],[Tiempo
(Hrs 00/100)]],"cumple","no cumple"),"")</f>
        <v>cumple</v>
      </c>
      <c r="W1070" s="376" t="s">
        <v>1453</v>
      </c>
      <c r="X1070" s="377" t="str">
        <f t="shared" si="111"/>
        <v>SAW</v>
      </c>
      <c r="Y1070" t="str">
        <f>SUBSTITUTE(Tabla1[[#This Row],[Descripción]],CHAR(10),"    I    ")</f>
        <v>actualizacion de inventario de micrositios</v>
      </c>
      <c r="Z1070" s="142">
        <f>VLOOKUP(Tabla1[[#This Row],[Perfil]],Catalogos!$B$75:$D$100,3,FALSE)*Tabla1[[#This Row],[Tiempo
(Hrs 00/100)]]*1.16</f>
        <v>1160</v>
      </c>
    </row>
    <row r="1071" spans="1:26" ht="15" customHeight="1" x14ac:dyDescent="0.3">
      <c r="A1071" s="373" t="s">
        <v>22</v>
      </c>
      <c r="B1071" s="184" t="s">
        <v>68</v>
      </c>
      <c r="C1071" s="183" t="s">
        <v>16</v>
      </c>
      <c r="D1071" s="370"/>
      <c r="E1071" s="386" t="s">
        <v>503</v>
      </c>
      <c r="F1071" s="373" t="s">
        <v>75</v>
      </c>
      <c r="G1071" s="370" t="s">
        <v>435</v>
      </c>
      <c r="H1071" s="387" t="s">
        <v>436</v>
      </c>
      <c r="I1071" s="394" t="s">
        <v>1476</v>
      </c>
      <c r="J1071" s="712">
        <v>45113</v>
      </c>
      <c r="K1071" s="739">
        <v>0.45833333333333331</v>
      </c>
      <c r="L1071" s="712">
        <v>45113</v>
      </c>
      <c r="M1071" s="739">
        <v>0.70833333333333337</v>
      </c>
      <c r="N1071" s="179">
        <v>4</v>
      </c>
      <c r="O1071" s="184" t="s">
        <v>17</v>
      </c>
      <c r="P1071" s="185" t="s">
        <v>1477</v>
      </c>
      <c r="Q1071" s="746" t="s">
        <v>258</v>
      </c>
      <c r="R1071" s="171" t="s">
        <v>81</v>
      </c>
      <c r="S1071" s="31" t="s">
        <v>273</v>
      </c>
      <c r="T1071" s="31" t="s">
        <v>273</v>
      </c>
      <c r="U1071" s="31">
        <f>IFERROR(VLOOKUP(CONCATENATE(Tabla1[[#This Row],[Severidad]]," ",Tabla1[[#This Row],[Complejidad]]),Catalogos!E$120:G$128,3,FALSE),"")</f>
        <v>64</v>
      </c>
      <c r="V1071" s="31" t="str">
        <f>IF(Tabla1[[#This Row],[Tiempo solución max (hrs)]]&lt;&gt;"",IF(Tabla1[[#This Row],[Tiempo solución max (hrs)]]&gt;=Tabla1[[#This Row],[Tiempo
(Hrs 00/100)]],"cumple","no cumple"),"")</f>
        <v>cumple</v>
      </c>
      <c r="W1071" s="376" t="s">
        <v>1453</v>
      </c>
      <c r="X1071" s="377" t="str">
        <f t="shared" si="111"/>
        <v>SAW</v>
      </c>
      <c r="Y1071" t="str">
        <f>SUBSTITUTE(Tabla1[[#This Row],[Descripción]],CHAR(10),"    I    ")</f>
        <v>Actualizacion de micrositio MIPYMES</v>
      </c>
      <c r="Z1071" s="142">
        <f>VLOOKUP(Tabla1[[#This Row],[Perfil]],Catalogos!$B$75:$D$100,3,FALSE)*Tabla1[[#This Row],[Tiempo
(Hrs 00/100)]]*1.16</f>
        <v>2320</v>
      </c>
    </row>
    <row r="1072" spans="1:26" ht="15" customHeight="1" x14ac:dyDescent="0.3">
      <c r="A1072" s="373" t="s">
        <v>22</v>
      </c>
      <c r="B1072" s="184" t="s">
        <v>68</v>
      </c>
      <c r="C1072" s="183" t="s">
        <v>16</v>
      </c>
      <c r="D1072" s="370"/>
      <c r="E1072" s="386" t="s">
        <v>503</v>
      </c>
      <c r="F1072" s="373" t="s">
        <v>75</v>
      </c>
      <c r="G1072" s="370" t="s">
        <v>435</v>
      </c>
      <c r="H1072" s="387" t="s">
        <v>436</v>
      </c>
      <c r="I1072" s="394" t="s">
        <v>866</v>
      </c>
      <c r="J1072" s="712">
        <v>45113</v>
      </c>
      <c r="K1072" s="739">
        <v>0.70833333333333337</v>
      </c>
      <c r="L1072" s="712">
        <v>45113</v>
      </c>
      <c r="M1072" s="739">
        <v>0.79166666666666663</v>
      </c>
      <c r="N1072" s="179">
        <v>2</v>
      </c>
      <c r="O1072" s="184" t="s">
        <v>17</v>
      </c>
      <c r="P1072" s="185" t="s">
        <v>1478</v>
      </c>
      <c r="Q1072" s="746" t="s">
        <v>258</v>
      </c>
      <c r="R1072" s="171" t="s">
        <v>81</v>
      </c>
      <c r="S1072" s="31" t="s">
        <v>273</v>
      </c>
      <c r="T1072" s="31" t="s">
        <v>273</v>
      </c>
      <c r="U1072" s="31">
        <f>IFERROR(VLOOKUP(CONCATENATE(Tabla1[[#This Row],[Severidad]]," ",Tabla1[[#This Row],[Complejidad]]),Catalogos!E$120:G$128,3,FALSE),"")</f>
        <v>64</v>
      </c>
      <c r="V1072" s="31" t="str">
        <f>IF(Tabla1[[#This Row],[Tiempo solución max (hrs)]]&lt;&gt;"",IF(Tabla1[[#This Row],[Tiempo solución max (hrs)]]&gt;=Tabla1[[#This Row],[Tiempo
(Hrs 00/100)]],"cumple","no cumple"),"")</f>
        <v>cumple</v>
      </c>
      <c r="W1072" s="376" t="s">
        <v>1453</v>
      </c>
      <c r="X1072" s="377" t="str">
        <f t="shared" si="111"/>
        <v>SAW</v>
      </c>
      <c r="Y1072" t="str">
        <f>SUBSTITUTE(Tabla1[[#This Row],[Descripción]],CHAR(10),"    I    ")</f>
        <v xml:space="preserve">Actualizacion de avance de proyectos </v>
      </c>
      <c r="Z1072" s="142">
        <f>VLOOKUP(Tabla1[[#This Row],[Perfil]],Catalogos!$B$75:$D$100,3,FALSE)*Tabla1[[#This Row],[Tiempo
(Hrs 00/100)]]*1.16</f>
        <v>1160</v>
      </c>
    </row>
    <row r="1073" spans="1:26" ht="15" customHeight="1" x14ac:dyDescent="0.3">
      <c r="A1073" s="373" t="s">
        <v>22</v>
      </c>
      <c r="B1073" s="184" t="s">
        <v>68</v>
      </c>
      <c r="C1073" s="183" t="s">
        <v>16</v>
      </c>
      <c r="D1073" s="370"/>
      <c r="E1073" s="386" t="s">
        <v>503</v>
      </c>
      <c r="F1073" s="373" t="s">
        <v>75</v>
      </c>
      <c r="G1073" s="370" t="s">
        <v>435</v>
      </c>
      <c r="H1073" s="387" t="s">
        <v>436</v>
      </c>
      <c r="I1073" s="394" t="s">
        <v>1474</v>
      </c>
      <c r="J1073" s="712">
        <v>45114</v>
      </c>
      <c r="K1073" s="709">
        <v>0.375</v>
      </c>
      <c r="L1073" s="712">
        <v>45114</v>
      </c>
      <c r="M1073" s="739">
        <v>0.54166666666666663</v>
      </c>
      <c r="N1073" s="179">
        <v>4</v>
      </c>
      <c r="O1073" s="184" t="s">
        <v>17</v>
      </c>
      <c r="P1073" s="185" t="s">
        <v>1475</v>
      </c>
      <c r="Q1073" s="746" t="s">
        <v>258</v>
      </c>
      <c r="R1073" s="171" t="s">
        <v>81</v>
      </c>
      <c r="S1073" s="31" t="s">
        <v>273</v>
      </c>
      <c r="T1073" s="31" t="s">
        <v>273</v>
      </c>
      <c r="U1073" s="31">
        <f>IFERROR(VLOOKUP(CONCATENATE(Tabla1[[#This Row],[Severidad]]," ",Tabla1[[#This Row],[Complejidad]]),Catalogos!E$120:G$128,3,FALSE),"")</f>
        <v>64</v>
      </c>
      <c r="V1073" s="31" t="str">
        <f>IF(Tabla1[[#This Row],[Tiempo solución max (hrs)]]&lt;&gt;"",IF(Tabla1[[#This Row],[Tiempo solución max (hrs)]]&gt;=Tabla1[[#This Row],[Tiempo
(Hrs 00/100)]],"cumple","no cumple"),"")</f>
        <v>cumple</v>
      </c>
      <c r="W1073" s="376" t="s">
        <v>1453</v>
      </c>
      <c r="X1073" s="377" t="str">
        <f t="shared" si="111"/>
        <v>SAW</v>
      </c>
      <c r="Y1073" t="str">
        <f>SUBSTITUTE(Tabla1[[#This Row],[Descripción]],CHAR(10),"    I    ")</f>
        <v>actualizacion de inventario de micrositios</v>
      </c>
      <c r="Z1073" s="142">
        <f>VLOOKUP(Tabla1[[#This Row],[Perfil]],Catalogos!$B$75:$D$100,3,FALSE)*Tabla1[[#This Row],[Tiempo
(Hrs 00/100)]]*1.16</f>
        <v>2320</v>
      </c>
    </row>
    <row r="1074" spans="1:26" ht="15" customHeight="1" x14ac:dyDescent="0.3">
      <c r="A1074" s="373" t="s">
        <v>22</v>
      </c>
      <c r="B1074" s="184" t="s">
        <v>68</v>
      </c>
      <c r="C1074" s="183" t="s">
        <v>16</v>
      </c>
      <c r="D1074" s="179"/>
      <c r="E1074" s="386" t="s">
        <v>503</v>
      </c>
      <c r="F1074" s="373" t="s">
        <v>75</v>
      </c>
      <c r="G1074" s="370" t="s">
        <v>435</v>
      </c>
      <c r="H1074" s="387" t="s">
        <v>436</v>
      </c>
      <c r="I1074" s="394" t="s">
        <v>1470</v>
      </c>
      <c r="J1074" s="712">
        <v>45114</v>
      </c>
      <c r="K1074" s="739">
        <v>0.54166666666666663</v>
      </c>
      <c r="L1074" s="712">
        <v>45114</v>
      </c>
      <c r="M1074" s="739">
        <v>0.79166666666666663</v>
      </c>
      <c r="N1074" s="179">
        <v>4</v>
      </c>
      <c r="O1074" s="184" t="s">
        <v>17</v>
      </c>
      <c r="P1074" s="389" t="s">
        <v>1471</v>
      </c>
      <c r="Q1074" s="746" t="s">
        <v>258</v>
      </c>
      <c r="R1074" s="171" t="s">
        <v>81</v>
      </c>
      <c r="S1074" s="31" t="s">
        <v>273</v>
      </c>
      <c r="T1074" s="31" t="s">
        <v>273</v>
      </c>
      <c r="U1074" s="31">
        <f>IFERROR(VLOOKUP(CONCATENATE(Tabla1[[#This Row],[Severidad]]," ",Tabla1[[#This Row],[Complejidad]]),Catalogos!E$120:G$128,3,FALSE),"")</f>
        <v>64</v>
      </c>
      <c r="V1074" s="31" t="str">
        <f>IF(Tabla1[[#This Row],[Tiempo solución max (hrs)]]&lt;&gt;"",IF(Tabla1[[#This Row],[Tiempo solución max (hrs)]]&gt;=Tabla1[[#This Row],[Tiempo
(Hrs 00/100)]],"cumple","no cumple"),"")</f>
        <v>cumple</v>
      </c>
      <c r="W1074" s="376" t="s">
        <v>1453</v>
      </c>
      <c r="X1074" s="377" t="str">
        <f t="shared" si="111"/>
        <v>SAW</v>
      </c>
      <c r="Y1074" t="str">
        <f>SUBSTITUTE(Tabla1[[#This Row],[Descripción]],CHAR(10),"    I    ")</f>
        <v xml:space="preserve">Actualizacion Requerimiento de aplicaciones web </v>
      </c>
      <c r="Z1074" s="142">
        <f>VLOOKUP(Tabla1[[#This Row],[Perfil]],Catalogos!$B$75:$D$100,3,FALSE)*Tabla1[[#This Row],[Tiempo
(Hrs 00/100)]]*1.16</f>
        <v>2320</v>
      </c>
    </row>
    <row r="1075" spans="1:26" ht="15" customHeight="1" x14ac:dyDescent="0.3">
      <c r="A1075" s="373" t="s">
        <v>22</v>
      </c>
      <c r="B1075" s="184" t="s">
        <v>68</v>
      </c>
      <c r="C1075" s="183" t="s">
        <v>16</v>
      </c>
      <c r="D1075" s="179"/>
      <c r="E1075" s="386" t="s">
        <v>503</v>
      </c>
      <c r="F1075" s="373" t="s">
        <v>75</v>
      </c>
      <c r="G1075" s="370" t="s">
        <v>435</v>
      </c>
      <c r="H1075" s="387" t="s">
        <v>436</v>
      </c>
      <c r="I1075" s="394" t="s">
        <v>1479</v>
      </c>
      <c r="J1075" s="712">
        <v>45117</v>
      </c>
      <c r="K1075" s="709">
        <v>0.375</v>
      </c>
      <c r="L1075" s="712">
        <v>45117</v>
      </c>
      <c r="M1075" s="739">
        <v>0.5</v>
      </c>
      <c r="N1075" s="179">
        <v>3</v>
      </c>
      <c r="O1075" s="184" t="s">
        <v>17</v>
      </c>
      <c r="P1075" s="185" t="s">
        <v>1480</v>
      </c>
      <c r="Q1075" s="746" t="s">
        <v>258</v>
      </c>
      <c r="R1075" s="171" t="s">
        <v>81</v>
      </c>
      <c r="S1075" s="31" t="s">
        <v>273</v>
      </c>
      <c r="T1075" s="31" t="s">
        <v>273</v>
      </c>
      <c r="U1075" s="31">
        <f>IFERROR(VLOOKUP(CONCATENATE(Tabla1[[#This Row],[Severidad]]," ",Tabla1[[#This Row],[Complejidad]]),Catalogos!E$120:G$128,3,FALSE),"")</f>
        <v>64</v>
      </c>
      <c r="V1075" s="31" t="str">
        <f>IF(Tabla1[[#This Row],[Tiempo solución max (hrs)]]&lt;&gt;"",IF(Tabla1[[#This Row],[Tiempo solución max (hrs)]]&gt;=Tabla1[[#This Row],[Tiempo
(Hrs 00/100)]],"cumple","no cumple"),"")</f>
        <v>cumple</v>
      </c>
      <c r="W1075" s="376" t="s">
        <v>1453</v>
      </c>
      <c r="X1075" s="377" t="str">
        <f t="shared" si="111"/>
        <v>SAW</v>
      </c>
      <c r="Y1075" t="str">
        <f>SUBSTITUTE(Tabla1[[#This Row],[Descripción]],CHAR(10),"    I    ")</f>
        <v xml:space="preserve">Carga de responsables de Resoluciones </v>
      </c>
      <c r="Z1075" s="142">
        <f>VLOOKUP(Tabla1[[#This Row],[Perfil]],Catalogos!$B$75:$D$100,3,FALSE)*Tabla1[[#This Row],[Tiempo
(Hrs 00/100)]]*1.16</f>
        <v>1739.9999999999998</v>
      </c>
    </row>
    <row r="1076" spans="1:26" ht="15" customHeight="1" x14ac:dyDescent="0.3">
      <c r="A1076" s="373" t="s">
        <v>22</v>
      </c>
      <c r="B1076" s="184" t="s">
        <v>68</v>
      </c>
      <c r="C1076" s="183" t="s">
        <v>16</v>
      </c>
      <c r="D1076" s="179"/>
      <c r="E1076" s="386" t="s">
        <v>503</v>
      </c>
      <c r="F1076" s="373" t="s">
        <v>75</v>
      </c>
      <c r="G1076" s="370" t="s">
        <v>435</v>
      </c>
      <c r="H1076" s="387" t="s">
        <v>436</v>
      </c>
      <c r="I1076" s="394" t="s">
        <v>1481</v>
      </c>
      <c r="J1076" s="712">
        <v>45117</v>
      </c>
      <c r="K1076" s="739">
        <v>0.5</v>
      </c>
      <c r="L1076" s="712">
        <v>45117</v>
      </c>
      <c r="M1076" s="739">
        <v>0.70833333333333337</v>
      </c>
      <c r="N1076" s="179">
        <v>3</v>
      </c>
      <c r="O1076" s="184" t="s">
        <v>17</v>
      </c>
      <c r="P1076" s="185" t="s">
        <v>1482</v>
      </c>
      <c r="Q1076" s="746" t="s">
        <v>258</v>
      </c>
      <c r="R1076" s="171" t="s">
        <v>81</v>
      </c>
      <c r="S1076" s="31" t="s">
        <v>273</v>
      </c>
      <c r="T1076" s="31" t="s">
        <v>273</v>
      </c>
      <c r="U1076" s="31">
        <f>IFERROR(VLOOKUP(CONCATENATE(Tabla1[[#This Row],[Severidad]]," ",Tabla1[[#This Row],[Complejidad]]),Catalogos!E$120:G$128,3,FALSE),"")</f>
        <v>64</v>
      </c>
      <c r="V1076" s="31" t="str">
        <f>IF(Tabla1[[#This Row],[Tiempo solución max (hrs)]]&lt;&gt;"",IF(Tabla1[[#This Row],[Tiempo solución max (hrs)]]&gt;=Tabla1[[#This Row],[Tiempo
(Hrs 00/100)]],"cumple","no cumple"),"")</f>
        <v>cumple</v>
      </c>
      <c r="W1076" s="376" t="s">
        <v>1453</v>
      </c>
      <c r="X1076" s="377" t="str">
        <f t="shared" si="111"/>
        <v>SAW</v>
      </c>
      <c r="Y1076" t="str">
        <f>SUBSTITUTE(Tabla1[[#This Row],[Descripción]],CHAR(10),"    I    ")</f>
        <v>Busqueda de ID Resoluciones</v>
      </c>
      <c r="Z1076" s="142">
        <f>VLOOKUP(Tabla1[[#This Row],[Perfil]],Catalogos!$B$75:$D$100,3,FALSE)*Tabla1[[#This Row],[Tiempo
(Hrs 00/100)]]*1.16</f>
        <v>1739.9999999999998</v>
      </c>
    </row>
    <row r="1077" spans="1:26" ht="15" customHeight="1" x14ac:dyDescent="0.3">
      <c r="A1077" s="373" t="s">
        <v>22</v>
      </c>
      <c r="B1077" s="184" t="s">
        <v>68</v>
      </c>
      <c r="C1077" s="183" t="s">
        <v>16</v>
      </c>
      <c r="D1077" s="179"/>
      <c r="E1077" s="386" t="s">
        <v>503</v>
      </c>
      <c r="F1077" s="373" t="s">
        <v>75</v>
      </c>
      <c r="G1077" s="370" t="s">
        <v>435</v>
      </c>
      <c r="H1077" s="387" t="s">
        <v>436</v>
      </c>
      <c r="I1077" s="394" t="s">
        <v>1470</v>
      </c>
      <c r="J1077" s="712">
        <v>45117</v>
      </c>
      <c r="K1077" s="739">
        <v>0.70833333333333337</v>
      </c>
      <c r="L1077" s="712">
        <v>45117</v>
      </c>
      <c r="M1077" s="739">
        <v>0.79166666666666663</v>
      </c>
      <c r="N1077" s="179">
        <v>2</v>
      </c>
      <c r="O1077" s="184" t="s">
        <v>17</v>
      </c>
      <c r="P1077" s="389" t="s">
        <v>1471</v>
      </c>
      <c r="Q1077" s="746" t="s">
        <v>258</v>
      </c>
      <c r="R1077" s="171" t="s">
        <v>81</v>
      </c>
      <c r="S1077" s="31" t="s">
        <v>273</v>
      </c>
      <c r="T1077" s="31" t="s">
        <v>273</v>
      </c>
      <c r="U1077" s="31">
        <f>IFERROR(VLOOKUP(CONCATENATE(Tabla1[[#This Row],[Severidad]]," ",Tabla1[[#This Row],[Complejidad]]),Catalogos!E$120:G$128,3,FALSE),"")</f>
        <v>64</v>
      </c>
      <c r="V1077" s="31" t="str">
        <f>IF(Tabla1[[#This Row],[Tiempo solución max (hrs)]]&lt;&gt;"",IF(Tabla1[[#This Row],[Tiempo solución max (hrs)]]&gt;=Tabla1[[#This Row],[Tiempo
(Hrs 00/100)]],"cumple","no cumple"),"")</f>
        <v>cumple</v>
      </c>
      <c r="W1077" s="376" t="s">
        <v>1453</v>
      </c>
      <c r="X1077" s="377" t="str">
        <f t="shared" si="111"/>
        <v>SAW</v>
      </c>
      <c r="Y1077" t="str">
        <f>SUBSTITUTE(Tabla1[[#This Row],[Descripción]],CHAR(10),"    I    ")</f>
        <v xml:space="preserve">Actualizacion Requerimiento de aplicaciones web </v>
      </c>
      <c r="Z1077" s="142">
        <f>VLOOKUP(Tabla1[[#This Row],[Perfil]],Catalogos!$B$75:$D$100,3,FALSE)*Tabla1[[#This Row],[Tiempo
(Hrs 00/100)]]*1.16</f>
        <v>1160</v>
      </c>
    </row>
    <row r="1078" spans="1:26" ht="15" customHeight="1" x14ac:dyDescent="0.3">
      <c r="A1078" s="373" t="s">
        <v>22</v>
      </c>
      <c r="B1078" s="184" t="s">
        <v>68</v>
      </c>
      <c r="C1078" s="183" t="s">
        <v>16</v>
      </c>
      <c r="D1078" s="179"/>
      <c r="E1078" s="386" t="s">
        <v>503</v>
      </c>
      <c r="F1078" s="373" t="s">
        <v>75</v>
      </c>
      <c r="G1078" s="370" t="s">
        <v>435</v>
      </c>
      <c r="H1078" s="387" t="s">
        <v>436</v>
      </c>
      <c r="I1078" s="394" t="s">
        <v>1483</v>
      </c>
      <c r="J1078" s="712">
        <v>45118</v>
      </c>
      <c r="K1078" s="709">
        <v>0.375</v>
      </c>
      <c r="L1078" s="712">
        <v>45118</v>
      </c>
      <c r="M1078" s="739">
        <v>0.45833333333333331</v>
      </c>
      <c r="N1078" s="179">
        <v>2</v>
      </c>
      <c r="O1078" s="184" t="s">
        <v>17</v>
      </c>
      <c r="P1078" s="185" t="s">
        <v>1484</v>
      </c>
      <c r="Q1078" s="746" t="s">
        <v>258</v>
      </c>
      <c r="R1078" s="171" t="s">
        <v>81</v>
      </c>
      <c r="S1078" s="31" t="s">
        <v>273</v>
      </c>
      <c r="T1078" s="31" t="s">
        <v>273</v>
      </c>
      <c r="U1078" s="31">
        <f>IFERROR(VLOOKUP(CONCATENATE(Tabla1[[#This Row],[Severidad]]," ",Tabla1[[#This Row],[Complejidad]]),Catalogos!E$120:G$128,3,FALSE),"")</f>
        <v>64</v>
      </c>
      <c r="V1078" s="31" t="str">
        <f>IF(Tabla1[[#This Row],[Tiempo solución max (hrs)]]&lt;&gt;"",IF(Tabla1[[#This Row],[Tiempo solución max (hrs)]]&gt;=Tabla1[[#This Row],[Tiempo
(Hrs 00/100)]],"cumple","no cumple"),"")</f>
        <v>cumple</v>
      </c>
      <c r="W1078" s="376" t="s">
        <v>1453</v>
      </c>
      <c r="X1078" s="377" t="str">
        <f t="shared" si="111"/>
        <v>SAW</v>
      </c>
      <c r="Y1078" t="str">
        <f>SUBSTITUTE(Tabla1[[#This Row],[Descripción]],CHAR(10),"    I    ")</f>
        <v>Actualizacion de fechas de micrositios</v>
      </c>
      <c r="Z1078" s="142">
        <f>VLOOKUP(Tabla1[[#This Row],[Perfil]],Catalogos!$B$75:$D$100,3,FALSE)*Tabla1[[#This Row],[Tiempo
(Hrs 00/100)]]*1.16</f>
        <v>1160</v>
      </c>
    </row>
    <row r="1079" spans="1:26" ht="15" customHeight="1" x14ac:dyDescent="0.3">
      <c r="A1079" s="373" t="s">
        <v>22</v>
      </c>
      <c r="B1079" s="184" t="s">
        <v>68</v>
      </c>
      <c r="C1079" s="183" t="s">
        <v>16</v>
      </c>
      <c r="D1079" s="179"/>
      <c r="E1079" s="386" t="s">
        <v>503</v>
      </c>
      <c r="F1079" s="373" t="s">
        <v>75</v>
      </c>
      <c r="G1079" s="370" t="s">
        <v>435</v>
      </c>
      <c r="H1079" s="387" t="s">
        <v>436</v>
      </c>
      <c r="I1079" s="394" t="s">
        <v>1485</v>
      </c>
      <c r="J1079" s="712">
        <v>45118</v>
      </c>
      <c r="K1079" s="739">
        <v>0.45833333333333331</v>
      </c>
      <c r="L1079" s="712">
        <v>45118</v>
      </c>
      <c r="M1079" s="739">
        <v>0.79166666666666663</v>
      </c>
      <c r="N1079" s="179">
        <v>6</v>
      </c>
      <c r="O1079" s="184" t="s">
        <v>17</v>
      </c>
      <c r="P1079" s="185" t="s">
        <v>1486</v>
      </c>
      <c r="Q1079" s="746" t="s">
        <v>258</v>
      </c>
      <c r="R1079" s="171" t="s">
        <v>81</v>
      </c>
      <c r="S1079" s="31" t="s">
        <v>273</v>
      </c>
      <c r="T1079" s="31" t="s">
        <v>273</v>
      </c>
      <c r="U1079" s="31">
        <f>IFERROR(VLOOKUP(CONCATENATE(Tabla1[[#This Row],[Severidad]]," ",Tabla1[[#This Row],[Complejidad]]),Catalogos!E$120:G$128,3,FALSE),"")</f>
        <v>64</v>
      </c>
      <c r="V1079" s="31" t="str">
        <f>IF(Tabla1[[#This Row],[Tiempo solución max (hrs)]]&lt;&gt;"",IF(Tabla1[[#This Row],[Tiempo solución max (hrs)]]&gt;=Tabla1[[#This Row],[Tiempo
(Hrs 00/100)]],"cumple","no cumple"),"")</f>
        <v>cumple</v>
      </c>
      <c r="W1079" s="376" t="s">
        <v>1453</v>
      </c>
      <c r="X1079" s="377" t="str">
        <f t="shared" si="111"/>
        <v>SAW</v>
      </c>
      <c r="Y1079" t="str">
        <f>SUBSTITUTE(Tabla1[[#This Row],[Descripción]],CHAR(10),"    I    ")</f>
        <v xml:space="preserve">Actualizacion busqueda de Resoluciones </v>
      </c>
      <c r="Z1079" s="142">
        <f>VLOOKUP(Tabla1[[#This Row],[Perfil]],Catalogos!$B$75:$D$100,3,FALSE)*Tabla1[[#This Row],[Tiempo
(Hrs 00/100)]]*1.16</f>
        <v>3479.9999999999995</v>
      </c>
    </row>
    <row r="1080" spans="1:26" ht="15" customHeight="1" x14ac:dyDescent="0.3">
      <c r="A1080" s="373" t="s">
        <v>22</v>
      </c>
      <c r="B1080" s="184" t="s">
        <v>68</v>
      </c>
      <c r="C1080" s="183" t="s">
        <v>16</v>
      </c>
      <c r="D1080" s="179"/>
      <c r="E1080" s="386" t="s">
        <v>503</v>
      </c>
      <c r="F1080" s="373" t="s">
        <v>75</v>
      </c>
      <c r="G1080" s="370" t="s">
        <v>435</v>
      </c>
      <c r="H1080" s="387" t="s">
        <v>436</v>
      </c>
      <c r="I1080" s="394" t="s">
        <v>1487</v>
      </c>
      <c r="J1080" s="712">
        <v>45119</v>
      </c>
      <c r="K1080" s="709">
        <v>0.375</v>
      </c>
      <c r="L1080" s="712">
        <v>45119</v>
      </c>
      <c r="M1080" s="739">
        <v>0.5</v>
      </c>
      <c r="N1080" s="179">
        <v>3</v>
      </c>
      <c r="O1080" s="184" t="s">
        <v>17</v>
      </c>
      <c r="P1080" s="375" t="s">
        <v>1488</v>
      </c>
      <c r="Q1080" s="746" t="s">
        <v>258</v>
      </c>
      <c r="R1080" s="171" t="s">
        <v>81</v>
      </c>
      <c r="S1080" s="31" t="s">
        <v>273</v>
      </c>
      <c r="T1080" s="31" t="s">
        <v>273</v>
      </c>
      <c r="U1080" s="31">
        <f>IFERROR(VLOOKUP(CONCATENATE(Tabla1[[#This Row],[Severidad]]," ",Tabla1[[#This Row],[Complejidad]]),Catalogos!E$120:G$128,3,FALSE),"")</f>
        <v>64</v>
      </c>
      <c r="V1080" s="31" t="str">
        <f>IF(Tabla1[[#This Row],[Tiempo solución max (hrs)]]&lt;&gt;"",IF(Tabla1[[#This Row],[Tiempo solución max (hrs)]]&gt;=Tabla1[[#This Row],[Tiempo
(Hrs 00/100)]],"cumple","no cumple"),"")</f>
        <v>cumple</v>
      </c>
      <c r="W1080" s="376" t="s">
        <v>1453</v>
      </c>
      <c r="X1080" s="377" t="str">
        <f t="shared" si="111"/>
        <v>SAW</v>
      </c>
      <c r="Y1080" t="str">
        <f>SUBSTITUTE(Tabla1[[#This Row],[Descripción]],CHAR(10),"    I    ")</f>
        <v>Apoyo a formulario de Registros</v>
      </c>
      <c r="Z1080" s="142">
        <f>VLOOKUP(Tabla1[[#This Row],[Perfil]],Catalogos!$B$75:$D$100,3,FALSE)*Tabla1[[#This Row],[Tiempo
(Hrs 00/100)]]*1.16</f>
        <v>1739.9999999999998</v>
      </c>
    </row>
    <row r="1081" spans="1:26" ht="15" customHeight="1" x14ac:dyDescent="0.3">
      <c r="A1081" s="373" t="s">
        <v>22</v>
      </c>
      <c r="B1081" s="184" t="s">
        <v>68</v>
      </c>
      <c r="C1081" s="183" t="s">
        <v>16</v>
      </c>
      <c r="D1081" s="179"/>
      <c r="E1081" s="386" t="s">
        <v>503</v>
      </c>
      <c r="F1081" s="373" t="s">
        <v>75</v>
      </c>
      <c r="G1081" s="370" t="s">
        <v>435</v>
      </c>
      <c r="H1081" s="387" t="s">
        <v>436</v>
      </c>
      <c r="I1081" s="394" t="s">
        <v>1479</v>
      </c>
      <c r="J1081" s="712">
        <v>45119</v>
      </c>
      <c r="K1081" s="739">
        <v>0.5</v>
      </c>
      <c r="L1081" s="712">
        <v>45119</v>
      </c>
      <c r="M1081" s="739">
        <v>0.58333333333333337</v>
      </c>
      <c r="N1081" s="179">
        <v>2</v>
      </c>
      <c r="O1081" s="184" t="s">
        <v>17</v>
      </c>
      <c r="P1081" s="185" t="s">
        <v>1480</v>
      </c>
      <c r="Q1081" s="746" t="s">
        <v>258</v>
      </c>
      <c r="R1081" s="171" t="s">
        <v>81</v>
      </c>
      <c r="S1081" s="31" t="s">
        <v>273</v>
      </c>
      <c r="T1081" s="31" t="s">
        <v>273</v>
      </c>
      <c r="U1081" s="31">
        <f>IFERROR(VLOOKUP(CONCATENATE(Tabla1[[#This Row],[Severidad]]," ",Tabla1[[#This Row],[Complejidad]]),Catalogos!E$120:G$128,3,FALSE),"")</f>
        <v>64</v>
      </c>
      <c r="V1081" s="31" t="str">
        <f>IF(Tabla1[[#This Row],[Tiempo solución max (hrs)]]&lt;&gt;"",IF(Tabla1[[#This Row],[Tiempo solución max (hrs)]]&gt;=Tabla1[[#This Row],[Tiempo
(Hrs 00/100)]],"cumple","no cumple"),"")</f>
        <v>cumple</v>
      </c>
      <c r="W1081" s="376" t="s">
        <v>1453</v>
      </c>
      <c r="X1081" s="377" t="str">
        <f t="shared" ref="X1081:X1119" si="114">IF(C1081&lt;&gt;"",C1081,D1081)</f>
        <v>SAW</v>
      </c>
      <c r="Y1081" t="str">
        <f>SUBSTITUTE(Tabla1[[#This Row],[Descripción]],CHAR(10),"    I    ")</f>
        <v xml:space="preserve">Carga de responsables de Resoluciones </v>
      </c>
      <c r="Z1081" s="142">
        <f>VLOOKUP(Tabla1[[#This Row],[Perfil]],Catalogos!$B$75:$D$100,3,FALSE)*Tabla1[[#This Row],[Tiempo
(Hrs 00/100)]]*1.16</f>
        <v>1160</v>
      </c>
    </row>
    <row r="1082" spans="1:26" ht="15" customHeight="1" x14ac:dyDescent="0.3">
      <c r="A1082" s="373" t="s">
        <v>22</v>
      </c>
      <c r="B1082" s="184" t="s">
        <v>68</v>
      </c>
      <c r="C1082" s="183" t="s">
        <v>16</v>
      </c>
      <c r="D1082" s="179"/>
      <c r="E1082" s="386" t="s">
        <v>503</v>
      </c>
      <c r="F1082" s="373" t="s">
        <v>75</v>
      </c>
      <c r="G1082" s="370" t="s">
        <v>435</v>
      </c>
      <c r="H1082" s="387" t="s">
        <v>436</v>
      </c>
      <c r="I1082" s="394" t="s">
        <v>1476</v>
      </c>
      <c r="J1082" s="712">
        <v>45119</v>
      </c>
      <c r="K1082" s="709">
        <v>0.66666666666666663</v>
      </c>
      <c r="L1082" s="712">
        <v>45119</v>
      </c>
      <c r="M1082" s="739">
        <v>0.79166666666666663</v>
      </c>
      <c r="N1082" s="179">
        <v>3</v>
      </c>
      <c r="O1082" s="184" t="s">
        <v>17</v>
      </c>
      <c r="P1082" s="185" t="s">
        <v>1477</v>
      </c>
      <c r="Q1082" s="746" t="s">
        <v>258</v>
      </c>
      <c r="R1082" s="171" t="s">
        <v>81</v>
      </c>
      <c r="S1082" s="31" t="s">
        <v>273</v>
      </c>
      <c r="T1082" s="31" t="s">
        <v>273</v>
      </c>
      <c r="U1082" s="31">
        <f>IFERROR(VLOOKUP(CONCATENATE(Tabla1[[#This Row],[Severidad]]," ",Tabla1[[#This Row],[Complejidad]]),Catalogos!E$120:G$128,3,FALSE),"")</f>
        <v>64</v>
      </c>
      <c r="V1082" s="31" t="str">
        <f>IF(Tabla1[[#This Row],[Tiempo solución max (hrs)]]&lt;&gt;"",IF(Tabla1[[#This Row],[Tiempo solución max (hrs)]]&gt;=Tabla1[[#This Row],[Tiempo
(Hrs 00/100)]],"cumple","no cumple"),"")</f>
        <v>cumple</v>
      </c>
      <c r="W1082" s="376" t="s">
        <v>1453</v>
      </c>
      <c r="X1082" s="377" t="str">
        <f t="shared" si="114"/>
        <v>SAW</v>
      </c>
      <c r="Y1082" t="str">
        <f>SUBSTITUTE(Tabla1[[#This Row],[Descripción]],CHAR(10),"    I    ")</f>
        <v>Actualizacion de micrositio MIPYMES</v>
      </c>
      <c r="Z1082" s="142">
        <f>VLOOKUP(Tabla1[[#This Row],[Perfil]],Catalogos!$B$75:$D$100,3,FALSE)*Tabla1[[#This Row],[Tiempo
(Hrs 00/100)]]*1.16</f>
        <v>1739.9999999999998</v>
      </c>
    </row>
    <row r="1083" spans="1:26" ht="15" customHeight="1" x14ac:dyDescent="0.3">
      <c r="A1083" s="373" t="s">
        <v>22</v>
      </c>
      <c r="B1083" s="184" t="s">
        <v>68</v>
      </c>
      <c r="C1083" s="183" t="s">
        <v>16</v>
      </c>
      <c r="D1083" s="370"/>
      <c r="E1083" s="386" t="s">
        <v>503</v>
      </c>
      <c r="F1083" s="373" t="s">
        <v>75</v>
      </c>
      <c r="G1083" s="370" t="s">
        <v>435</v>
      </c>
      <c r="H1083" s="387" t="s">
        <v>436</v>
      </c>
      <c r="I1083" s="393" t="s">
        <v>1468</v>
      </c>
      <c r="J1083" s="712">
        <v>45120</v>
      </c>
      <c r="K1083" s="709">
        <v>0.375</v>
      </c>
      <c r="L1083" s="712">
        <v>45120</v>
      </c>
      <c r="M1083" s="739">
        <v>0.54166666666666663</v>
      </c>
      <c r="N1083" s="179">
        <v>4</v>
      </c>
      <c r="O1083" s="184" t="s">
        <v>17</v>
      </c>
      <c r="P1083" s="185" t="s">
        <v>1469</v>
      </c>
      <c r="Q1083" s="746" t="s">
        <v>258</v>
      </c>
      <c r="R1083" s="171" t="s">
        <v>81</v>
      </c>
      <c r="S1083" s="31" t="s">
        <v>273</v>
      </c>
      <c r="T1083" s="31" t="s">
        <v>273</v>
      </c>
      <c r="U1083" s="31">
        <f>IFERROR(VLOOKUP(CONCATENATE(Tabla1[[#This Row],[Severidad]]," ",Tabla1[[#This Row],[Complejidad]]),Catalogos!E$120:G$128,3,FALSE),"")</f>
        <v>64</v>
      </c>
      <c r="V1083" s="31" t="str">
        <f>IF(Tabla1[[#This Row],[Tiempo solución max (hrs)]]&lt;&gt;"",IF(Tabla1[[#This Row],[Tiempo solución max (hrs)]]&gt;=Tabla1[[#This Row],[Tiempo
(Hrs 00/100)]],"cumple","no cumple"),"")</f>
        <v>cumple</v>
      </c>
      <c r="W1083" s="376" t="s">
        <v>1453</v>
      </c>
      <c r="X1083" s="377" t="str">
        <f t="shared" si="114"/>
        <v>SAW</v>
      </c>
      <c r="Y1083" t="str">
        <f>SUBSTITUTE(Tabla1[[#This Row],[Descripción]],CHAR(10),"    I    ")</f>
        <v xml:space="preserve">Busqueda expediente Resoluciones </v>
      </c>
      <c r="Z1083" s="142">
        <f>VLOOKUP(Tabla1[[#This Row],[Perfil]],Catalogos!$B$75:$D$100,3,FALSE)*Tabla1[[#This Row],[Tiempo
(Hrs 00/100)]]*1.16</f>
        <v>2320</v>
      </c>
    </row>
    <row r="1084" spans="1:26" ht="15" customHeight="1" x14ac:dyDescent="0.3">
      <c r="A1084" s="373" t="s">
        <v>22</v>
      </c>
      <c r="B1084" s="184" t="s">
        <v>68</v>
      </c>
      <c r="C1084" s="183" t="s">
        <v>16</v>
      </c>
      <c r="D1084" s="370"/>
      <c r="E1084" s="386" t="s">
        <v>503</v>
      </c>
      <c r="F1084" s="373" t="s">
        <v>75</v>
      </c>
      <c r="G1084" s="370" t="s">
        <v>435</v>
      </c>
      <c r="H1084" s="387" t="s">
        <v>436</v>
      </c>
      <c r="I1084" s="393" t="s">
        <v>866</v>
      </c>
      <c r="J1084" s="712">
        <v>45120</v>
      </c>
      <c r="K1084" s="739">
        <v>0.54166666666666663</v>
      </c>
      <c r="L1084" s="712">
        <v>45120</v>
      </c>
      <c r="M1084" s="739">
        <v>0.70833333333333337</v>
      </c>
      <c r="N1084" s="179">
        <v>2</v>
      </c>
      <c r="O1084" s="184" t="s">
        <v>17</v>
      </c>
      <c r="P1084" s="367" t="s">
        <v>1489</v>
      </c>
      <c r="Q1084" s="746" t="s">
        <v>258</v>
      </c>
      <c r="R1084" s="171" t="s">
        <v>81</v>
      </c>
      <c r="S1084" s="31" t="s">
        <v>273</v>
      </c>
      <c r="T1084" s="31" t="s">
        <v>273</v>
      </c>
      <c r="U1084" s="31">
        <f>IFERROR(VLOOKUP(CONCATENATE(Tabla1[[#This Row],[Severidad]]," ",Tabla1[[#This Row],[Complejidad]]),Catalogos!E$120:G$128,3,FALSE),"")</f>
        <v>64</v>
      </c>
      <c r="V1084" s="31" t="str">
        <f>IF(Tabla1[[#This Row],[Tiempo solución max (hrs)]]&lt;&gt;"",IF(Tabla1[[#This Row],[Tiempo solución max (hrs)]]&gt;=Tabla1[[#This Row],[Tiempo
(Hrs 00/100)]],"cumple","no cumple"),"")</f>
        <v>cumple</v>
      </c>
      <c r="W1084" s="376" t="s">
        <v>1453</v>
      </c>
      <c r="X1084" s="377" t="str">
        <f t="shared" si="114"/>
        <v>SAW</v>
      </c>
      <c r="Y1084" t="str">
        <f>SUBSTITUTE(Tabla1[[#This Row],[Descripción]],CHAR(10),"    I    ")</f>
        <v xml:space="preserve">Actualizacion de avance de proyectos </v>
      </c>
      <c r="Z1084" s="142">
        <f>VLOOKUP(Tabla1[[#This Row],[Perfil]],Catalogos!$B$75:$D$100,3,FALSE)*Tabla1[[#This Row],[Tiempo
(Hrs 00/100)]]*1.16</f>
        <v>1160</v>
      </c>
    </row>
    <row r="1085" spans="1:26" ht="15" customHeight="1" x14ac:dyDescent="0.3">
      <c r="A1085" s="373" t="s">
        <v>22</v>
      </c>
      <c r="B1085" s="184" t="s">
        <v>68</v>
      </c>
      <c r="C1085" s="183" t="s">
        <v>16</v>
      </c>
      <c r="D1085" s="179"/>
      <c r="E1085" s="386" t="s">
        <v>503</v>
      </c>
      <c r="F1085" s="373" t="s">
        <v>75</v>
      </c>
      <c r="G1085" s="370" t="s">
        <v>435</v>
      </c>
      <c r="H1085" s="387" t="s">
        <v>436</v>
      </c>
      <c r="I1085" s="394" t="s">
        <v>1487</v>
      </c>
      <c r="J1085" s="712">
        <v>45120</v>
      </c>
      <c r="K1085" s="739">
        <v>0.70833333333333337</v>
      </c>
      <c r="L1085" s="712">
        <v>45120</v>
      </c>
      <c r="M1085" s="739">
        <v>0.79166666666666663</v>
      </c>
      <c r="N1085" s="179">
        <v>2</v>
      </c>
      <c r="O1085" s="184" t="s">
        <v>17</v>
      </c>
      <c r="P1085" s="375" t="s">
        <v>1488</v>
      </c>
      <c r="Q1085" s="746" t="s">
        <v>258</v>
      </c>
      <c r="R1085" s="171" t="s">
        <v>81</v>
      </c>
      <c r="S1085" s="31" t="s">
        <v>273</v>
      </c>
      <c r="T1085" s="31" t="s">
        <v>273</v>
      </c>
      <c r="U1085" s="31">
        <f>IFERROR(VLOOKUP(CONCATENATE(Tabla1[[#This Row],[Severidad]]," ",Tabla1[[#This Row],[Complejidad]]),Catalogos!E$120:G$128,3,FALSE),"")</f>
        <v>64</v>
      </c>
      <c r="V1085" s="31" t="str">
        <f>IF(Tabla1[[#This Row],[Tiempo solución max (hrs)]]&lt;&gt;"",IF(Tabla1[[#This Row],[Tiempo solución max (hrs)]]&gt;=Tabla1[[#This Row],[Tiempo
(Hrs 00/100)]],"cumple","no cumple"),"")</f>
        <v>cumple</v>
      </c>
      <c r="W1085" s="376" t="s">
        <v>1453</v>
      </c>
      <c r="X1085" s="377" t="str">
        <f t="shared" si="114"/>
        <v>SAW</v>
      </c>
      <c r="Y1085" t="str">
        <f>SUBSTITUTE(Tabla1[[#This Row],[Descripción]],CHAR(10),"    I    ")</f>
        <v>Apoyo a formulario de Registros</v>
      </c>
      <c r="Z1085" s="142">
        <f>VLOOKUP(Tabla1[[#This Row],[Perfil]],Catalogos!$B$75:$D$100,3,FALSE)*Tabla1[[#This Row],[Tiempo
(Hrs 00/100)]]*1.16</f>
        <v>1160</v>
      </c>
    </row>
    <row r="1086" spans="1:26" ht="15" customHeight="1" x14ac:dyDescent="0.3">
      <c r="A1086" s="373" t="s">
        <v>22</v>
      </c>
      <c r="B1086" s="184" t="s">
        <v>68</v>
      </c>
      <c r="C1086" s="183" t="s">
        <v>16</v>
      </c>
      <c r="D1086" s="179"/>
      <c r="E1086" s="386" t="s">
        <v>503</v>
      </c>
      <c r="F1086" s="373" t="s">
        <v>75</v>
      </c>
      <c r="G1086" s="370" t="s">
        <v>435</v>
      </c>
      <c r="H1086" s="387" t="s">
        <v>436</v>
      </c>
      <c r="I1086" s="394" t="s">
        <v>1470</v>
      </c>
      <c r="J1086" s="712">
        <v>45121</v>
      </c>
      <c r="K1086" s="709">
        <v>0.375</v>
      </c>
      <c r="L1086" s="712">
        <v>45121</v>
      </c>
      <c r="M1086" s="739">
        <v>0.5</v>
      </c>
      <c r="N1086" s="179">
        <v>3</v>
      </c>
      <c r="O1086" s="184" t="s">
        <v>17</v>
      </c>
      <c r="P1086" s="185" t="s">
        <v>1471</v>
      </c>
      <c r="Q1086" s="746" t="s">
        <v>258</v>
      </c>
      <c r="R1086" s="171" t="s">
        <v>81</v>
      </c>
      <c r="S1086" s="31" t="s">
        <v>273</v>
      </c>
      <c r="T1086" s="31" t="s">
        <v>273</v>
      </c>
      <c r="U1086" s="31">
        <f>IFERROR(VLOOKUP(CONCATENATE(Tabla1[[#This Row],[Severidad]]," ",Tabla1[[#This Row],[Complejidad]]),Catalogos!E$120:G$128,3,FALSE),"")</f>
        <v>64</v>
      </c>
      <c r="V1086" s="31" t="str">
        <f>IF(Tabla1[[#This Row],[Tiempo solución max (hrs)]]&lt;&gt;"",IF(Tabla1[[#This Row],[Tiempo solución max (hrs)]]&gt;=Tabla1[[#This Row],[Tiempo
(Hrs 00/100)]],"cumple","no cumple"),"")</f>
        <v>cumple</v>
      </c>
      <c r="W1086" s="376" t="s">
        <v>1453</v>
      </c>
      <c r="X1086" s="377" t="str">
        <f t="shared" si="114"/>
        <v>SAW</v>
      </c>
      <c r="Y1086" t="str">
        <f>SUBSTITUTE(Tabla1[[#This Row],[Descripción]],CHAR(10),"    I    ")</f>
        <v xml:space="preserve">Actualizacion Requerimiento de aplicaciones web </v>
      </c>
      <c r="Z1086" s="142">
        <f>VLOOKUP(Tabla1[[#This Row],[Perfil]],Catalogos!$B$75:$D$100,3,FALSE)*Tabla1[[#This Row],[Tiempo
(Hrs 00/100)]]*1.16</f>
        <v>1739.9999999999998</v>
      </c>
    </row>
    <row r="1087" spans="1:26" ht="15" customHeight="1" x14ac:dyDescent="0.3">
      <c r="A1087" s="373" t="s">
        <v>22</v>
      </c>
      <c r="B1087" s="184" t="s">
        <v>68</v>
      </c>
      <c r="C1087" s="183" t="s">
        <v>16</v>
      </c>
      <c r="D1087" s="179"/>
      <c r="E1087" s="386" t="s">
        <v>503</v>
      </c>
      <c r="F1087" s="373" t="s">
        <v>75</v>
      </c>
      <c r="G1087" s="370" t="s">
        <v>435</v>
      </c>
      <c r="H1087" s="387" t="s">
        <v>436</v>
      </c>
      <c r="I1087" s="394" t="s">
        <v>1490</v>
      </c>
      <c r="J1087" s="712">
        <v>45121</v>
      </c>
      <c r="K1087" s="739">
        <v>0.5</v>
      </c>
      <c r="L1087" s="712">
        <v>45121</v>
      </c>
      <c r="M1087" s="739">
        <v>0.66666666666666663</v>
      </c>
      <c r="N1087" s="179">
        <v>4</v>
      </c>
      <c r="O1087" s="184" t="s">
        <v>17</v>
      </c>
      <c r="P1087" s="185" t="s">
        <v>1477</v>
      </c>
      <c r="Q1087" s="746" t="s">
        <v>258</v>
      </c>
      <c r="R1087" s="171" t="s">
        <v>81</v>
      </c>
      <c r="S1087" s="31" t="s">
        <v>273</v>
      </c>
      <c r="T1087" s="31" t="s">
        <v>273</v>
      </c>
      <c r="U1087" s="31">
        <f>IFERROR(VLOOKUP(CONCATENATE(Tabla1[[#This Row],[Severidad]]," ",Tabla1[[#This Row],[Complejidad]]),Catalogos!E$120:G$128,3,FALSE),"")</f>
        <v>64</v>
      </c>
      <c r="V1087" s="31" t="str">
        <f>IF(Tabla1[[#This Row],[Tiempo solución max (hrs)]]&lt;&gt;"",IF(Tabla1[[#This Row],[Tiempo solución max (hrs)]]&gt;=Tabla1[[#This Row],[Tiempo
(Hrs 00/100)]],"cumple","no cumple"),"")</f>
        <v>cumple</v>
      </c>
      <c r="W1087" s="376" t="s">
        <v>1453</v>
      </c>
      <c r="X1087" s="377" t="str">
        <f t="shared" si="114"/>
        <v>SAW</v>
      </c>
      <c r="Y1087" t="str">
        <f>SUBSTITUTE(Tabla1[[#This Row],[Descripción]],CHAR(10),"    I    ")</f>
        <v>Actualizacion de micrositio MIPyMES</v>
      </c>
      <c r="Z1087" s="142">
        <f>VLOOKUP(Tabla1[[#This Row],[Perfil]],Catalogos!$B$75:$D$100,3,FALSE)*Tabla1[[#This Row],[Tiempo
(Hrs 00/100)]]*1.16</f>
        <v>2320</v>
      </c>
    </row>
    <row r="1088" spans="1:26" ht="15" customHeight="1" x14ac:dyDescent="0.3">
      <c r="A1088" s="373" t="s">
        <v>22</v>
      </c>
      <c r="B1088" s="184" t="s">
        <v>68</v>
      </c>
      <c r="C1088" s="183" t="s">
        <v>16</v>
      </c>
      <c r="D1088" s="179"/>
      <c r="E1088" s="386" t="s">
        <v>503</v>
      </c>
      <c r="F1088" s="373" t="s">
        <v>75</v>
      </c>
      <c r="G1088" s="370" t="s">
        <v>435</v>
      </c>
      <c r="H1088" s="387" t="s">
        <v>436</v>
      </c>
      <c r="I1088" s="388" t="s">
        <v>5402</v>
      </c>
      <c r="J1088" s="712">
        <v>45124</v>
      </c>
      <c r="K1088" s="747">
        <v>0.375</v>
      </c>
      <c r="L1088" s="712">
        <v>45124</v>
      </c>
      <c r="M1088" s="753">
        <v>0.79166666666666663</v>
      </c>
      <c r="N1088" s="179">
        <v>8</v>
      </c>
      <c r="O1088" s="184" t="s">
        <v>17</v>
      </c>
      <c r="P1088" s="389" t="s">
        <v>1491</v>
      </c>
      <c r="Q1088" s="746" t="s">
        <v>258</v>
      </c>
      <c r="R1088" s="171" t="s">
        <v>81</v>
      </c>
      <c r="S1088" s="31" t="s">
        <v>273</v>
      </c>
      <c r="T1088" s="31" t="s">
        <v>273</v>
      </c>
      <c r="U1088" s="31">
        <f>IFERROR(VLOOKUP(CONCATENATE(Tabla1[[#This Row],[Severidad]]," ",Tabla1[[#This Row],[Complejidad]]),Catalogos!E$120:G$128,3,FALSE),"")</f>
        <v>64</v>
      </c>
      <c r="V1088" s="31" t="str">
        <f>IF(Tabla1[[#This Row],[Tiempo solución max (hrs)]]&lt;&gt;"",IF(Tabla1[[#This Row],[Tiempo solución max (hrs)]]&gt;=Tabla1[[#This Row],[Tiempo
(Hrs 00/100)]],"cumple","no cumple"),"")</f>
        <v>cumple</v>
      </c>
      <c r="W1088" s="376" t="s">
        <v>1453</v>
      </c>
      <c r="X1088" s="377" t="str">
        <f t="shared" si="114"/>
        <v>SAW</v>
      </c>
      <c r="Y1088" t="str">
        <f>SUBSTITUTE(Tabla1[[#This Row],[Descripción]],CHAR(10),"    I    ")</f>
        <v>Monitoreo de PNT 1</v>
      </c>
      <c r="Z1088" s="142">
        <f>VLOOKUP(Tabla1[[#This Row],[Perfil]],Catalogos!$B$75:$D$100,3,FALSE)*Tabla1[[#This Row],[Tiempo
(Hrs 00/100)]]*1.16</f>
        <v>4640</v>
      </c>
    </row>
    <row r="1089" spans="1:26" ht="15" customHeight="1" x14ac:dyDescent="0.3">
      <c r="A1089" s="373" t="s">
        <v>22</v>
      </c>
      <c r="B1089" s="184" t="s">
        <v>68</v>
      </c>
      <c r="C1089" s="183" t="s">
        <v>16</v>
      </c>
      <c r="D1089" s="179"/>
      <c r="E1089" s="386" t="s">
        <v>503</v>
      </c>
      <c r="F1089" s="373" t="s">
        <v>75</v>
      </c>
      <c r="G1089" s="370" t="s">
        <v>435</v>
      </c>
      <c r="H1089" s="387" t="s">
        <v>436</v>
      </c>
      <c r="I1089" s="388" t="s">
        <v>5403</v>
      </c>
      <c r="J1089" s="712">
        <v>45125</v>
      </c>
      <c r="K1089" s="747">
        <v>0.375</v>
      </c>
      <c r="L1089" s="712">
        <v>45125</v>
      </c>
      <c r="M1089" s="753">
        <v>0.79166666666666663</v>
      </c>
      <c r="N1089" s="179">
        <v>8</v>
      </c>
      <c r="O1089" s="184" t="s">
        <v>17</v>
      </c>
      <c r="P1089" s="454" t="s">
        <v>1492</v>
      </c>
      <c r="Q1089" s="746" t="s">
        <v>258</v>
      </c>
      <c r="R1089" s="171" t="s">
        <v>81</v>
      </c>
      <c r="S1089" s="31" t="s">
        <v>273</v>
      </c>
      <c r="T1089" s="31" t="s">
        <v>273</v>
      </c>
      <c r="U1089" s="31">
        <f>IFERROR(VLOOKUP(CONCATENATE(Tabla1[[#This Row],[Severidad]]," ",Tabla1[[#This Row],[Complejidad]]),Catalogos!E$120:G$128,3,FALSE),"")</f>
        <v>64</v>
      </c>
      <c r="V1089" s="31" t="str">
        <f>IF(Tabla1[[#This Row],[Tiempo solución max (hrs)]]&lt;&gt;"",IF(Tabla1[[#This Row],[Tiempo solución max (hrs)]]&gt;=Tabla1[[#This Row],[Tiempo
(Hrs 00/100)]],"cumple","no cumple"),"")</f>
        <v>cumple</v>
      </c>
      <c r="W1089" s="376" t="s">
        <v>1453</v>
      </c>
      <c r="X1089" s="377" t="str">
        <f t="shared" si="114"/>
        <v>SAW</v>
      </c>
      <c r="Y1089" t="str">
        <f>SUBSTITUTE(Tabla1[[#This Row],[Descripción]],CHAR(10),"    I    ")</f>
        <v>Monitoreo de PNT 2</v>
      </c>
      <c r="Z1089" s="142">
        <f>VLOOKUP(Tabla1[[#This Row],[Perfil]],Catalogos!$B$75:$D$100,3,FALSE)*Tabla1[[#This Row],[Tiempo
(Hrs 00/100)]]*1.16</f>
        <v>4640</v>
      </c>
    </row>
    <row r="1090" spans="1:26" ht="15" customHeight="1" x14ac:dyDescent="0.3">
      <c r="A1090" s="373" t="s">
        <v>22</v>
      </c>
      <c r="B1090" s="184" t="s">
        <v>68</v>
      </c>
      <c r="C1090" s="183" t="s">
        <v>16</v>
      </c>
      <c r="D1090" s="370"/>
      <c r="E1090" s="386" t="s">
        <v>503</v>
      </c>
      <c r="F1090" s="373" t="s">
        <v>75</v>
      </c>
      <c r="G1090" s="370" t="s">
        <v>435</v>
      </c>
      <c r="H1090" s="387" t="s">
        <v>436</v>
      </c>
      <c r="I1090" s="388" t="s">
        <v>5404</v>
      </c>
      <c r="J1090" s="712">
        <v>45126</v>
      </c>
      <c r="K1090" s="747">
        <v>0.375</v>
      </c>
      <c r="L1090" s="712">
        <v>45126</v>
      </c>
      <c r="M1090" s="753">
        <v>0.79166666666666663</v>
      </c>
      <c r="N1090" s="179">
        <v>8</v>
      </c>
      <c r="O1090" s="184" t="s">
        <v>17</v>
      </c>
      <c r="P1090" s="185" t="s">
        <v>1493</v>
      </c>
      <c r="Q1090" s="746" t="s">
        <v>258</v>
      </c>
      <c r="R1090" s="171" t="s">
        <v>81</v>
      </c>
      <c r="S1090" s="31" t="s">
        <v>273</v>
      </c>
      <c r="T1090" s="31" t="s">
        <v>273</v>
      </c>
      <c r="U1090" s="31">
        <f>IFERROR(VLOOKUP(CONCATENATE(Tabla1[[#This Row],[Severidad]]," ",Tabla1[[#This Row],[Complejidad]]),Catalogos!E$120:G$128,3,FALSE),"")</f>
        <v>64</v>
      </c>
      <c r="V1090" s="31" t="str">
        <f>IF(Tabla1[[#This Row],[Tiempo solución max (hrs)]]&lt;&gt;"",IF(Tabla1[[#This Row],[Tiempo solución max (hrs)]]&gt;=Tabla1[[#This Row],[Tiempo
(Hrs 00/100)]],"cumple","no cumple"),"")</f>
        <v>cumple</v>
      </c>
      <c r="W1090" s="376" t="s">
        <v>1453</v>
      </c>
      <c r="X1090" s="377" t="str">
        <f t="shared" si="114"/>
        <v>SAW</v>
      </c>
      <c r="Y1090" t="str">
        <f>SUBSTITUTE(Tabla1[[#This Row],[Descripción]],CHAR(10),"    I    ")</f>
        <v>Monitoreo de PNT 3</v>
      </c>
      <c r="Z1090" s="142">
        <f>VLOOKUP(Tabla1[[#This Row],[Perfil]],Catalogos!$B$75:$D$100,3,FALSE)*Tabla1[[#This Row],[Tiempo
(Hrs 00/100)]]*1.16</f>
        <v>4640</v>
      </c>
    </row>
    <row r="1091" spans="1:26" ht="15" customHeight="1" x14ac:dyDescent="0.3">
      <c r="A1091" s="373" t="s">
        <v>22</v>
      </c>
      <c r="B1091" s="184" t="s">
        <v>68</v>
      </c>
      <c r="C1091" s="183" t="s">
        <v>16</v>
      </c>
      <c r="D1091" s="179"/>
      <c r="E1091" s="386" t="s">
        <v>503</v>
      </c>
      <c r="F1091" s="373" t="s">
        <v>75</v>
      </c>
      <c r="G1091" s="370" t="s">
        <v>435</v>
      </c>
      <c r="H1091" s="387" t="s">
        <v>436</v>
      </c>
      <c r="I1091" s="388" t="s">
        <v>5405</v>
      </c>
      <c r="J1091" s="712">
        <v>45127</v>
      </c>
      <c r="K1091" s="747">
        <v>0.375</v>
      </c>
      <c r="L1091" s="712">
        <v>45127</v>
      </c>
      <c r="M1091" s="753">
        <v>0.79166666666666663</v>
      </c>
      <c r="N1091" s="179">
        <v>8</v>
      </c>
      <c r="O1091" s="184" t="s">
        <v>17</v>
      </c>
      <c r="P1091" s="402" t="s">
        <v>1494</v>
      </c>
      <c r="Q1091" s="746" t="s">
        <v>258</v>
      </c>
      <c r="R1091" s="171" t="s">
        <v>81</v>
      </c>
      <c r="S1091" s="31" t="s">
        <v>273</v>
      </c>
      <c r="T1091" s="31" t="s">
        <v>273</v>
      </c>
      <c r="U1091" s="31">
        <f>IFERROR(VLOOKUP(CONCATENATE(Tabla1[[#This Row],[Severidad]]," ",Tabla1[[#This Row],[Complejidad]]),Catalogos!E$120:G$128,3,FALSE),"")</f>
        <v>64</v>
      </c>
      <c r="V1091" s="31" t="str">
        <f>IF(Tabla1[[#This Row],[Tiempo solución max (hrs)]]&lt;&gt;"",IF(Tabla1[[#This Row],[Tiempo solución max (hrs)]]&gt;=Tabla1[[#This Row],[Tiempo
(Hrs 00/100)]],"cumple","no cumple"),"")</f>
        <v>cumple</v>
      </c>
      <c r="W1091" s="376" t="s">
        <v>1453</v>
      </c>
      <c r="X1091" s="377" t="str">
        <f t="shared" si="114"/>
        <v>SAW</v>
      </c>
      <c r="Y1091" t="str">
        <f>SUBSTITUTE(Tabla1[[#This Row],[Descripción]],CHAR(10),"    I    ")</f>
        <v>Monitoreo de PNT 4</v>
      </c>
      <c r="Z1091" s="142">
        <f>VLOOKUP(Tabla1[[#This Row],[Perfil]],Catalogos!$B$75:$D$100,3,FALSE)*Tabla1[[#This Row],[Tiempo
(Hrs 00/100)]]*1.16</f>
        <v>4640</v>
      </c>
    </row>
    <row r="1092" spans="1:26" ht="15" customHeight="1" x14ac:dyDescent="0.3">
      <c r="A1092" s="373" t="s">
        <v>22</v>
      </c>
      <c r="B1092" s="184" t="s">
        <v>68</v>
      </c>
      <c r="C1092" s="183" t="s">
        <v>16</v>
      </c>
      <c r="D1092" s="179"/>
      <c r="E1092" s="386" t="s">
        <v>503</v>
      </c>
      <c r="F1092" s="373" t="s">
        <v>75</v>
      </c>
      <c r="G1092" s="370" t="s">
        <v>435</v>
      </c>
      <c r="H1092" s="387" t="s">
        <v>436</v>
      </c>
      <c r="I1092" s="388" t="s">
        <v>5406</v>
      </c>
      <c r="J1092" s="712">
        <v>45128</v>
      </c>
      <c r="K1092" s="747">
        <v>0.375</v>
      </c>
      <c r="L1092" s="712">
        <v>45128</v>
      </c>
      <c r="M1092" s="753">
        <v>0.79166666666666663</v>
      </c>
      <c r="N1092" s="179">
        <v>8</v>
      </c>
      <c r="O1092" s="184" t="s">
        <v>17</v>
      </c>
      <c r="P1092" s="375" t="s">
        <v>1495</v>
      </c>
      <c r="Q1092" s="746" t="s">
        <v>258</v>
      </c>
      <c r="R1092" s="171" t="s">
        <v>81</v>
      </c>
      <c r="S1092" s="31" t="s">
        <v>273</v>
      </c>
      <c r="T1092" s="31" t="s">
        <v>273</v>
      </c>
      <c r="U1092" s="31">
        <f>IFERROR(VLOOKUP(CONCATENATE(Tabla1[[#This Row],[Severidad]]," ",Tabla1[[#This Row],[Complejidad]]),Catalogos!E$120:G$128,3,FALSE),"")</f>
        <v>64</v>
      </c>
      <c r="V1092" s="31" t="str">
        <f>IF(Tabla1[[#This Row],[Tiempo solución max (hrs)]]&lt;&gt;"",IF(Tabla1[[#This Row],[Tiempo solución max (hrs)]]&gt;=Tabla1[[#This Row],[Tiempo
(Hrs 00/100)]],"cumple","no cumple"),"")</f>
        <v>cumple</v>
      </c>
      <c r="W1092" s="376" t="s">
        <v>1453</v>
      </c>
      <c r="X1092" s="377" t="str">
        <f t="shared" si="114"/>
        <v>SAW</v>
      </c>
      <c r="Y1092" t="str">
        <f>SUBSTITUTE(Tabla1[[#This Row],[Descripción]],CHAR(10),"    I    ")</f>
        <v>Monitoreo de PNT 5</v>
      </c>
      <c r="Z1092" s="142">
        <f>VLOOKUP(Tabla1[[#This Row],[Perfil]],Catalogos!$B$75:$D$100,3,FALSE)*Tabla1[[#This Row],[Tiempo
(Hrs 00/100)]]*1.16</f>
        <v>4640</v>
      </c>
    </row>
    <row r="1093" spans="1:26" ht="15" customHeight="1" x14ac:dyDescent="0.3">
      <c r="A1093" s="373" t="s">
        <v>22</v>
      </c>
      <c r="B1093" s="184" t="s">
        <v>68</v>
      </c>
      <c r="C1093" s="183" t="s">
        <v>16</v>
      </c>
      <c r="D1093" s="179"/>
      <c r="E1093" s="386" t="s">
        <v>503</v>
      </c>
      <c r="F1093" s="373" t="s">
        <v>75</v>
      </c>
      <c r="G1093" s="370" t="s">
        <v>435</v>
      </c>
      <c r="H1093" s="387" t="s">
        <v>436</v>
      </c>
      <c r="I1093" s="388" t="s">
        <v>5407</v>
      </c>
      <c r="J1093" s="712">
        <v>45131</v>
      </c>
      <c r="K1093" s="747">
        <v>0.375</v>
      </c>
      <c r="L1093" s="712">
        <v>45131</v>
      </c>
      <c r="M1093" s="753">
        <v>0.79166666666666663</v>
      </c>
      <c r="N1093" s="179">
        <v>8</v>
      </c>
      <c r="O1093" s="184" t="s">
        <v>17</v>
      </c>
      <c r="P1093" s="375" t="s">
        <v>1496</v>
      </c>
      <c r="Q1093" s="746" t="s">
        <v>258</v>
      </c>
      <c r="R1093" s="171" t="s">
        <v>81</v>
      </c>
      <c r="S1093" s="31" t="s">
        <v>273</v>
      </c>
      <c r="T1093" s="31" t="s">
        <v>273</v>
      </c>
      <c r="U1093" s="31">
        <f>IFERROR(VLOOKUP(CONCATENATE(Tabla1[[#This Row],[Severidad]]," ",Tabla1[[#This Row],[Complejidad]]),Catalogos!E$120:G$128,3,FALSE),"")</f>
        <v>64</v>
      </c>
      <c r="V1093" s="31" t="str">
        <f>IF(Tabla1[[#This Row],[Tiempo solución max (hrs)]]&lt;&gt;"",IF(Tabla1[[#This Row],[Tiempo solución max (hrs)]]&gt;=Tabla1[[#This Row],[Tiempo
(Hrs 00/100)]],"cumple","no cumple"),"")</f>
        <v>cumple</v>
      </c>
      <c r="W1093" s="376" t="s">
        <v>1453</v>
      </c>
      <c r="X1093" s="377" t="str">
        <f t="shared" si="114"/>
        <v>SAW</v>
      </c>
      <c r="Y1093" t="str">
        <f>SUBSTITUTE(Tabla1[[#This Row],[Descripción]],CHAR(10),"    I    ")</f>
        <v>Monitoreo de PNT 6</v>
      </c>
      <c r="Z1093" s="142">
        <f>VLOOKUP(Tabla1[[#This Row],[Perfil]],Catalogos!$B$75:$D$100,3,FALSE)*Tabla1[[#This Row],[Tiempo
(Hrs 00/100)]]*1.16</f>
        <v>4640</v>
      </c>
    </row>
    <row r="1094" spans="1:26" ht="15" customHeight="1" x14ac:dyDescent="0.3">
      <c r="A1094" s="373" t="s">
        <v>22</v>
      </c>
      <c r="B1094" s="184" t="s">
        <v>68</v>
      </c>
      <c r="C1094" s="183" t="s">
        <v>16</v>
      </c>
      <c r="D1094" s="179"/>
      <c r="E1094" s="386" t="s">
        <v>503</v>
      </c>
      <c r="F1094" s="373" t="s">
        <v>75</v>
      </c>
      <c r="G1094" s="370" t="s">
        <v>435</v>
      </c>
      <c r="H1094" s="387" t="s">
        <v>436</v>
      </c>
      <c r="I1094" s="388" t="s">
        <v>5408</v>
      </c>
      <c r="J1094" s="712">
        <v>45132</v>
      </c>
      <c r="K1094" s="747">
        <v>0.375</v>
      </c>
      <c r="L1094" s="712">
        <v>45132</v>
      </c>
      <c r="M1094" s="753">
        <v>0.79166666666666663</v>
      </c>
      <c r="N1094" s="179">
        <v>8</v>
      </c>
      <c r="O1094" s="184" t="s">
        <v>17</v>
      </c>
      <c r="P1094" s="402" t="s">
        <v>1497</v>
      </c>
      <c r="Q1094" s="746" t="s">
        <v>258</v>
      </c>
      <c r="R1094" s="171" t="s">
        <v>81</v>
      </c>
      <c r="S1094" s="31" t="s">
        <v>273</v>
      </c>
      <c r="T1094" s="31" t="s">
        <v>273</v>
      </c>
      <c r="U1094" s="31">
        <f>IFERROR(VLOOKUP(CONCATENATE(Tabla1[[#This Row],[Severidad]]," ",Tabla1[[#This Row],[Complejidad]]),Catalogos!E$120:G$128,3,FALSE),"")</f>
        <v>64</v>
      </c>
      <c r="V1094" s="31" t="str">
        <f>IF(Tabla1[[#This Row],[Tiempo solución max (hrs)]]&lt;&gt;"",IF(Tabla1[[#This Row],[Tiempo solución max (hrs)]]&gt;=Tabla1[[#This Row],[Tiempo
(Hrs 00/100)]],"cumple","no cumple"),"")</f>
        <v>cumple</v>
      </c>
      <c r="W1094" s="376" t="s">
        <v>1453</v>
      </c>
      <c r="X1094" s="377" t="str">
        <f t="shared" si="114"/>
        <v>SAW</v>
      </c>
      <c r="Y1094" t="str">
        <f>SUBSTITUTE(Tabla1[[#This Row],[Descripción]],CHAR(10),"    I    ")</f>
        <v>Monitoreo de PNT 7</v>
      </c>
      <c r="Z1094" s="142">
        <f>VLOOKUP(Tabla1[[#This Row],[Perfil]],Catalogos!$B$75:$D$100,3,FALSE)*Tabla1[[#This Row],[Tiempo
(Hrs 00/100)]]*1.16</f>
        <v>4640</v>
      </c>
    </row>
    <row r="1095" spans="1:26" ht="15" customHeight="1" x14ac:dyDescent="0.3">
      <c r="A1095" s="373" t="s">
        <v>22</v>
      </c>
      <c r="B1095" s="184" t="s">
        <v>68</v>
      </c>
      <c r="C1095" s="183" t="s">
        <v>16</v>
      </c>
      <c r="D1095" s="179"/>
      <c r="E1095" s="386" t="s">
        <v>503</v>
      </c>
      <c r="F1095" s="373" t="s">
        <v>75</v>
      </c>
      <c r="G1095" s="370" t="s">
        <v>435</v>
      </c>
      <c r="H1095" s="387" t="s">
        <v>436</v>
      </c>
      <c r="I1095" s="388" t="s">
        <v>5409</v>
      </c>
      <c r="J1095" s="712">
        <v>45133</v>
      </c>
      <c r="K1095" s="747">
        <v>0.375</v>
      </c>
      <c r="L1095" s="712">
        <v>45133</v>
      </c>
      <c r="M1095" s="753">
        <v>0.79166666666666663</v>
      </c>
      <c r="N1095" s="179">
        <v>8</v>
      </c>
      <c r="O1095" s="184" t="s">
        <v>17</v>
      </c>
      <c r="P1095" s="402" t="s">
        <v>1497</v>
      </c>
      <c r="Q1095" s="746" t="s">
        <v>258</v>
      </c>
      <c r="R1095" s="171" t="s">
        <v>81</v>
      </c>
      <c r="S1095" s="31" t="s">
        <v>273</v>
      </c>
      <c r="T1095" s="31" t="s">
        <v>273</v>
      </c>
      <c r="U1095" s="31">
        <f>IFERROR(VLOOKUP(CONCATENATE(Tabla1[[#This Row],[Severidad]]," ",Tabla1[[#This Row],[Complejidad]]),Catalogos!E$120:G$128,3,FALSE),"")</f>
        <v>64</v>
      </c>
      <c r="V1095" s="31" t="str">
        <f>IF(Tabla1[[#This Row],[Tiempo solución max (hrs)]]&lt;&gt;"",IF(Tabla1[[#This Row],[Tiempo solución max (hrs)]]&gt;=Tabla1[[#This Row],[Tiempo
(Hrs 00/100)]],"cumple","no cumple"),"")</f>
        <v>cumple</v>
      </c>
      <c r="W1095" s="376" t="s">
        <v>1453</v>
      </c>
      <c r="X1095" s="377" t="str">
        <f t="shared" si="114"/>
        <v>SAW</v>
      </c>
      <c r="Y1095" t="str">
        <f>SUBSTITUTE(Tabla1[[#This Row],[Descripción]],CHAR(10),"    I    ")</f>
        <v>Monitoreo de PNT 8</v>
      </c>
      <c r="Z1095" s="142">
        <f>VLOOKUP(Tabla1[[#This Row],[Perfil]],Catalogos!$B$75:$D$100,3,FALSE)*Tabla1[[#This Row],[Tiempo
(Hrs 00/100)]]*1.16</f>
        <v>4640</v>
      </c>
    </row>
    <row r="1096" spans="1:26" ht="15" customHeight="1" x14ac:dyDescent="0.3">
      <c r="A1096" s="373" t="s">
        <v>22</v>
      </c>
      <c r="B1096" s="184" t="s">
        <v>68</v>
      </c>
      <c r="C1096" s="183" t="s">
        <v>16</v>
      </c>
      <c r="D1096" s="179"/>
      <c r="E1096" s="386" t="s">
        <v>503</v>
      </c>
      <c r="F1096" s="373" t="s">
        <v>75</v>
      </c>
      <c r="G1096" s="370" t="s">
        <v>435</v>
      </c>
      <c r="H1096" s="387" t="s">
        <v>436</v>
      </c>
      <c r="I1096" s="388" t="s">
        <v>5410</v>
      </c>
      <c r="J1096" s="712">
        <v>45134</v>
      </c>
      <c r="K1096" s="747">
        <v>0.375</v>
      </c>
      <c r="L1096" s="712">
        <v>45134</v>
      </c>
      <c r="M1096" s="753">
        <v>0.79166666666666663</v>
      </c>
      <c r="N1096" s="179">
        <v>8</v>
      </c>
      <c r="O1096" s="184" t="s">
        <v>17</v>
      </c>
      <c r="P1096" s="375" t="s">
        <v>1498</v>
      </c>
      <c r="Q1096" s="746" t="s">
        <v>258</v>
      </c>
      <c r="R1096" s="171" t="s">
        <v>81</v>
      </c>
      <c r="S1096" s="31" t="s">
        <v>273</v>
      </c>
      <c r="T1096" s="31" t="s">
        <v>273</v>
      </c>
      <c r="U1096" s="31">
        <f>IFERROR(VLOOKUP(CONCATENATE(Tabla1[[#This Row],[Severidad]]," ",Tabla1[[#This Row],[Complejidad]]),Catalogos!E$120:G$128,3,FALSE),"")</f>
        <v>64</v>
      </c>
      <c r="V1096" s="31" t="str">
        <f>IF(Tabla1[[#This Row],[Tiempo solución max (hrs)]]&lt;&gt;"",IF(Tabla1[[#This Row],[Tiempo solución max (hrs)]]&gt;=Tabla1[[#This Row],[Tiempo
(Hrs 00/100)]],"cumple","no cumple"),"")</f>
        <v>cumple</v>
      </c>
      <c r="W1096" s="376" t="s">
        <v>1453</v>
      </c>
      <c r="X1096" s="377" t="str">
        <f t="shared" si="114"/>
        <v>SAW</v>
      </c>
      <c r="Y1096" t="str">
        <f>SUBSTITUTE(Tabla1[[#This Row],[Descripción]],CHAR(10),"    I    ")</f>
        <v>Monitoreo de PNT 9</v>
      </c>
      <c r="Z1096" s="142">
        <f>VLOOKUP(Tabla1[[#This Row],[Perfil]],Catalogos!$B$75:$D$100,3,FALSE)*Tabla1[[#This Row],[Tiempo
(Hrs 00/100)]]*1.16</f>
        <v>4640</v>
      </c>
    </row>
    <row r="1097" spans="1:26" ht="15" customHeight="1" x14ac:dyDescent="0.3">
      <c r="A1097" s="373" t="s">
        <v>22</v>
      </c>
      <c r="B1097" s="184" t="s">
        <v>68</v>
      </c>
      <c r="C1097" s="183" t="s">
        <v>16</v>
      </c>
      <c r="D1097" s="179"/>
      <c r="E1097" s="386" t="s">
        <v>503</v>
      </c>
      <c r="F1097" s="373" t="s">
        <v>75</v>
      </c>
      <c r="G1097" s="370" t="s">
        <v>435</v>
      </c>
      <c r="H1097" s="387" t="s">
        <v>436</v>
      </c>
      <c r="I1097" s="388" t="s">
        <v>5411</v>
      </c>
      <c r="J1097" s="712">
        <v>45135</v>
      </c>
      <c r="K1097" s="747">
        <v>0.375</v>
      </c>
      <c r="L1097" s="712">
        <v>45135</v>
      </c>
      <c r="M1097" s="753">
        <v>0.79166666666666663</v>
      </c>
      <c r="N1097" s="179">
        <v>8</v>
      </c>
      <c r="O1097" s="184" t="s">
        <v>17</v>
      </c>
      <c r="P1097" s="402" t="s">
        <v>1497</v>
      </c>
      <c r="Q1097" s="746" t="s">
        <v>258</v>
      </c>
      <c r="R1097" s="171" t="s">
        <v>81</v>
      </c>
      <c r="S1097" s="31" t="s">
        <v>273</v>
      </c>
      <c r="T1097" s="31" t="s">
        <v>273</v>
      </c>
      <c r="U1097" s="31">
        <f>IFERROR(VLOOKUP(CONCATENATE(Tabla1[[#This Row],[Severidad]]," ",Tabla1[[#This Row],[Complejidad]]),Catalogos!E$120:G$128,3,FALSE),"")</f>
        <v>64</v>
      </c>
      <c r="V1097" s="31" t="str">
        <f>IF(Tabla1[[#This Row],[Tiempo solución max (hrs)]]&lt;&gt;"",IF(Tabla1[[#This Row],[Tiempo solución max (hrs)]]&gt;=Tabla1[[#This Row],[Tiempo
(Hrs 00/100)]],"cumple","no cumple"),"")</f>
        <v>cumple</v>
      </c>
      <c r="W1097" s="376" t="s">
        <v>1453</v>
      </c>
      <c r="X1097" s="377" t="str">
        <f t="shared" si="114"/>
        <v>SAW</v>
      </c>
      <c r="Y1097" t="str">
        <f>SUBSTITUTE(Tabla1[[#This Row],[Descripción]],CHAR(10),"    I    ")</f>
        <v>Monitoreo de PNT 10</v>
      </c>
      <c r="Z1097" s="142">
        <f>VLOOKUP(Tabla1[[#This Row],[Perfil]],Catalogos!$B$75:$D$100,3,FALSE)*Tabla1[[#This Row],[Tiempo
(Hrs 00/100)]]*1.16</f>
        <v>4640</v>
      </c>
    </row>
    <row r="1098" spans="1:26" ht="15" customHeight="1" x14ac:dyDescent="0.3">
      <c r="A1098" s="373" t="s">
        <v>22</v>
      </c>
      <c r="B1098" s="184" t="s">
        <v>68</v>
      </c>
      <c r="C1098" s="183" t="s">
        <v>16</v>
      </c>
      <c r="D1098" s="179"/>
      <c r="E1098" s="386" t="s">
        <v>503</v>
      </c>
      <c r="F1098" s="373" t="s">
        <v>75</v>
      </c>
      <c r="G1098" s="370" t="s">
        <v>435</v>
      </c>
      <c r="H1098" s="387" t="s">
        <v>436</v>
      </c>
      <c r="I1098" s="388" t="s">
        <v>5412</v>
      </c>
      <c r="J1098" s="712">
        <v>45138</v>
      </c>
      <c r="K1098" s="747">
        <v>0.375</v>
      </c>
      <c r="L1098" s="712">
        <v>45138</v>
      </c>
      <c r="M1098" s="753">
        <v>0.79166666666666663</v>
      </c>
      <c r="N1098" s="179">
        <v>8</v>
      </c>
      <c r="O1098" s="184" t="s">
        <v>17</v>
      </c>
      <c r="P1098" s="402" t="s">
        <v>1497</v>
      </c>
      <c r="Q1098" s="746" t="s">
        <v>258</v>
      </c>
      <c r="R1098" s="171" t="s">
        <v>81</v>
      </c>
      <c r="S1098" s="31" t="s">
        <v>273</v>
      </c>
      <c r="T1098" s="31" t="s">
        <v>273</v>
      </c>
      <c r="U1098" s="31">
        <f>IFERROR(VLOOKUP(CONCATENATE(Tabla1[[#This Row],[Severidad]]," ",Tabla1[[#This Row],[Complejidad]]),Catalogos!E$120:G$128,3,FALSE),"")</f>
        <v>64</v>
      </c>
      <c r="V1098" s="31" t="str">
        <f>IF(Tabla1[[#This Row],[Tiempo solución max (hrs)]]&lt;&gt;"",IF(Tabla1[[#This Row],[Tiempo solución max (hrs)]]&gt;=Tabla1[[#This Row],[Tiempo
(Hrs 00/100)]],"cumple","no cumple"),"")</f>
        <v>cumple</v>
      </c>
      <c r="W1098" s="376" t="s">
        <v>1453</v>
      </c>
      <c r="X1098" s="377" t="str">
        <f t="shared" si="114"/>
        <v>SAW</v>
      </c>
      <c r="Y1098" t="str">
        <f>SUBSTITUTE(Tabla1[[#This Row],[Descripción]],CHAR(10),"    I    ")</f>
        <v>Monitoreo de PNT 11</v>
      </c>
      <c r="Z1098" s="142">
        <f>VLOOKUP(Tabla1[[#This Row],[Perfil]],Catalogos!$B$75:$D$100,3,FALSE)*Tabla1[[#This Row],[Tiempo
(Hrs 00/100)]]*1.16</f>
        <v>4640</v>
      </c>
    </row>
    <row r="1099" spans="1:26" ht="15" customHeight="1" x14ac:dyDescent="0.3">
      <c r="A1099" s="370" t="s">
        <v>58</v>
      </c>
      <c r="B1099" s="370" t="s">
        <v>305</v>
      </c>
      <c r="C1099" s="205" t="s">
        <v>45</v>
      </c>
      <c r="D1099" s="370"/>
      <c r="E1099" s="370" t="s">
        <v>1399</v>
      </c>
      <c r="F1099" s="370" t="s">
        <v>74</v>
      </c>
      <c r="G1099" s="370" t="s">
        <v>604</v>
      </c>
      <c r="H1099" s="371" t="s">
        <v>1499</v>
      </c>
      <c r="I1099" s="371" t="s">
        <v>1500</v>
      </c>
      <c r="J1099" s="527">
        <v>45110</v>
      </c>
      <c r="K1099" s="709">
        <v>0.375</v>
      </c>
      <c r="L1099" s="527">
        <v>45110</v>
      </c>
      <c r="M1099" s="739">
        <v>0.79166666666666663</v>
      </c>
      <c r="N1099" s="373">
        <v>8</v>
      </c>
      <c r="O1099" s="374" t="s">
        <v>17</v>
      </c>
      <c r="P1099" s="375"/>
      <c r="Q1099" s="797" t="s">
        <v>1442</v>
      </c>
      <c r="R1099" s="202" t="s">
        <v>79</v>
      </c>
      <c r="S1099" s="31" t="s">
        <v>273</v>
      </c>
      <c r="T1099" s="31" t="s">
        <v>273</v>
      </c>
      <c r="U1099" s="31">
        <f>IFERROR(VLOOKUP(CONCATENATE(Tabla1[[#This Row],[Severidad]]," ",Tabla1[[#This Row],[Complejidad]]),Catalogos!E$120:G$128,3,FALSE),"")</f>
        <v>64</v>
      </c>
      <c r="V1099" s="31" t="str">
        <f>IF(Tabla1[[#This Row],[Tiempo solución max (hrs)]]&lt;&gt;"",IF(Tabla1[[#This Row],[Tiempo solución max (hrs)]]&gt;=Tabla1[[#This Row],[Tiempo
(Hrs 00/100)]],"cumple","no cumple"),"")</f>
        <v>cumple</v>
      </c>
      <c r="W1099" s="376" t="s">
        <v>1453</v>
      </c>
      <c r="X1099" s="377" t="str">
        <f t="shared" si="114"/>
        <v>SPD</v>
      </c>
      <c r="Y1099" t="str">
        <f>SUBSTITUTE(Tabla1[[#This Row],[Descripción]],CHAR(10),"    I    ")</f>
        <v>Se agregó el usuario Oracle para que pueda tener acceso root y sea el unico que se pueda logear en el sistema operativo</v>
      </c>
      <c r="Z1099" s="142">
        <f>VLOOKUP(Tabla1[[#This Row],[Perfil]],Catalogos!$B$75:$D$100,3,FALSE)*Tabla1[[#This Row],[Tiempo
(Hrs 00/100)]]*1.16</f>
        <v>5568</v>
      </c>
    </row>
    <row r="1100" spans="1:26" ht="15" customHeight="1" x14ac:dyDescent="0.3">
      <c r="A1100" s="370" t="s">
        <v>58</v>
      </c>
      <c r="B1100" s="370" t="s">
        <v>305</v>
      </c>
      <c r="C1100" s="205" t="s">
        <v>45</v>
      </c>
      <c r="D1100" s="370"/>
      <c r="E1100" s="370" t="s">
        <v>1399</v>
      </c>
      <c r="F1100" s="370" t="s">
        <v>74</v>
      </c>
      <c r="G1100" s="370" t="s">
        <v>604</v>
      </c>
      <c r="H1100" s="371" t="s">
        <v>1501</v>
      </c>
      <c r="I1100" s="371" t="s">
        <v>1502</v>
      </c>
      <c r="J1100" s="527">
        <v>45111</v>
      </c>
      <c r="K1100" s="709">
        <v>0.375</v>
      </c>
      <c r="L1100" s="527">
        <v>45111</v>
      </c>
      <c r="M1100" s="739">
        <v>0.79166666666666663</v>
      </c>
      <c r="N1100" s="373">
        <v>8</v>
      </c>
      <c r="O1100" s="374" t="s">
        <v>17</v>
      </c>
      <c r="P1100" s="375"/>
      <c r="Q1100" s="797" t="s">
        <v>1442</v>
      </c>
      <c r="R1100" s="202" t="s">
        <v>79</v>
      </c>
      <c r="S1100" s="31" t="s">
        <v>273</v>
      </c>
      <c r="T1100" s="31" t="s">
        <v>273</v>
      </c>
      <c r="U1100" s="31">
        <f>IFERROR(VLOOKUP(CONCATENATE(Tabla1[[#This Row],[Severidad]]," ",Tabla1[[#This Row],[Complejidad]]),Catalogos!E$120:G$128,3,FALSE),"")</f>
        <v>64</v>
      </c>
      <c r="V1100" s="31" t="str">
        <f>IF(Tabla1[[#This Row],[Tiempo solución max (hrs)]]&lt;&gt;"",IF(Tabla1[[#This Row],[Tiempo solución max (hrs)]]&gt;=Tabla1[[#This Row],[Tiempo
(Hrs 00/100)]],"cumple","no cumple"),"")</f>
        <v>cumple</v>
      </c>
      <c r="W1100" s="376" t="s">
        <v>1453</v>
      </c>
      <c r="X1100" s="377" t="str">
        <f t="shared" si="114"/>
        <v>SPD</v>
      </c>
      <c r="Y1100" t="str">
        <f>SUBSTITUTE(Tabla1[[#This Row],[Descripción]],CHAR(10),"    I    ")</f>
        <v>Se quitó el usuario root para que pueda loquearse por ssh, por temas de seguridad</v>
      </c>
      <c r="Z1100" s="142">
        <f>VLOOKUP(Tabla1[[#This Row],[Perfil]],Catalogos!$B$75:$D$100,3,FALSE)*Tabla1[[#This Row],[Tiempo
(Hrs 00/100)]]*1.16</f>
        <v>5568</v>
      </c>
    </row>
    <row r="1101" spans="1:26" ht="15" customHeight="1" x14ac:dyDescent="0.3">
      <c r="A1101" s="370" t="s">
        <v>58</v>
      </c>
      <c r="B1101" s="370" t="s">
        <v>305</v>
      </c>
      <c r="C1101" s="205" t="s">
        <v>45</v>
      </c>
      <c r="D1101" s="370"/>
      <c r="E1101" s="370" t="s">
        <v>1399</v>
      </c>
      <c r="F1101" s="370" t="s">
        <v>72</v>
      </c>
      <c r="G1101" s="370" t="s">
        <v>604</v>
      </c>
      <c r="H1101" s="371" t="s">
        <v>1503</v>
      </c>
      <c r="I1101" s="371" t="s">
        <v>1504</v>
      </c>
      <c r="J1101" s="717">
        <v>45112</v>
      </c>
      <c r="K1101" s="709">
        <v>0.375</v>
      </c>
      <c r="L1101" s="717">
        <v>45112</v>
      </c>
      <c r="M1101" s="739">
        <v>0.79166666666666663</v>
      </c>
      <c r="N1101" s="373">
        <v>8</v>
      </c>
      <c r="O1101" s="374" t="s">
        <v>17</v>
      </c>
      <c r="P1101" s="375"/>
      <c r="Q1101" s="797" t="s">
        <v>1442</v>
      </c>
      <c r="R1101" s="202" t="s">
        <v>79</v>
      </c>
      <c r="S1101" s="31" t="s">
        <v>273</v>
      </c>
      <c r="T1101" s="31" t="s">
        <v>273</v>
      </c>
      <c r="U1101" s="31">
        <f>IFERROR(VLOOKUP(CONCATENATE(Tabla1[[#This Row],[Severidad]]," ",Tabla1[[#This Row],[Complejidad]]),Catalogos!E$120:G$128,3,FALSE),"")</f>
        <v>64</v>
      </c>
      <c r="V1101" s="31" t="str">
        <f>IF(Tabla1[[#This Row],[Tiempo solución max (hrs)]]&lt;&gt;"",IF(Tabla1[[#This Row],[Tiempo solución max (hrs)]]&gt;=Tabla1[[#This Row],[Tiempo
(Hrs 00/100)]],"cumple","no cumple"),"")</f>
        <v>cumple</v>
      </c>
      <c r="W1101" s="376" t="s">
        <v>1453</v>
      </c>
      <c r="X1101" s="377" t="str">
        <f t="shared" si="114"/>
        <v>SPD</v>
      </c>
      <c r="Y1101" t="str">
        <f>SUBSTITUTE(Tabla1[[#This Row],[Descripción]],CHAR(10),"    I    ")</f>
        <v>Se habilitó el repositorio de OLCNE 1.6 y se deshabilitó las versiones anteriores</v>
      </c>
      <c r="Z1101" s="142">
        <f>VLOOKUP(Tabla1[[#This Row],[Perfil]],Catalogos!$B$75:$D$100,3,FALSE)*Tabla1[[#This Row],[Tiempo
(Hrs 00/100)]]*1.16</f>
        <v>5568</v>
      </c>
    </row>
    <row r="1102" spans="1:26" ht="15" customHeight="1" x14ac:dyDescent="0.3">
      <c r="A1102" s="370" t="s">
        <v>58</v>
      </c>
      <c r="B1102" s="370" t="s">
        <v>305</v>
      </c>
      <c r="C1102" s="205" t="s">
        <v>45</v>
      </c>
      <c r="D1102" s="382"/>
      <c r="E1102" s="370" t="s">
        <v>1399</v>
      </c>
      <c r="F1102" s="370" t="s">
        <v>72</v>
      </c>
      <c r="G1102" s="370" t="s">
        <v>604</v>
      </c>
      <c r="H1102" s="371" t="s">
        <v>1505</v>
      </c>
      <c r="I1102" s="371" t="s">
        <v>1506</v>
      </c>
      <c r="J1102" s="527">
        <v>45113</v>
      </c>
      <c r="K1102" s="709">
        <v>0.375</v>
      </c>
      <c r="L1102" s="527">
        <v>45113</v>
      </c>
      <c r="M1102" s="739">
        <v>0.79166666666666663</v>
      </c>
      <c r="N1102" s="373">
        <v>8</v>
      </c>
      <c r="O1102" s="374" t="s">
        <v>17</v>
      </c>
      <c r="P1102" s="375"/>
      <c r="Q1102" s="797" t="s">
        <v>1442</v>
      </c>
      <c r="R1102" s="202" t="s">
        <v>79</v>
      </c>
      <c r="S1102" s="31" t="s">
        <v>273</v>
      </c>
      <c r="T1102" s="31" t="s">
        <v>273</v>
      </c>
      <c r="U1102" s="31">
        <f>IFERROR(VLOOKUP(CONCATENATE(Tabla1[[#This Row],[Severidad]]," ",Tabla1[[#This Row],[Complejidad]]),Catalogos!E$120:G$128,3,FALSE),"")</f>
        <v>64</v>
      </c>
      <c r="V1102" s="31" t="str">
        <f>IF(Tabla1[[#This Row],[Tiempo solución max (hrs)]]&lt;&gt;"",IF(Tabla1[[#This Row],[Tiempo solución max (hrs)]]&gt;=Tabla1[[#This Row],[Tiempo
(Hrs 00/100)]],"cumple","no cumple"),"")</f>
        <v>cumple</v>
      </c>
      <c r="W1102" s="376" t="s">
        <v>1453</v>
      </c>
      <c r="X1102" s="377" t="str">
        <f t="shared" si="114"/>
        <v>SPD</v>
      </c>
      <c r="Y1102" t="str">
        <f>SUBSTITUTE(Tabla1[[#This Row],[Descripción]],CHAR(10),"    I    ")</f>
        <v>Se configuró Chrony  para temas de NTP</v>
      </c>
      <c r="Z1102" s="142">
        <f>VLOOKUP(Tabla1[[#This Row],[Perfil]],Catalogos!$B$75:$D$100,3,FALSE)*Tabla1[[#This Row],[Tiempo
(Hrs 00/100)]]*1.16</f>
        <v>5568</v>
      </c>
    </row>
    <row r="1103" spans="1:26" ht="15" customHeight="1" x14ac:dyDescent="0.3">
      <c r="A1103" s="370" t="s">
        <v>58</v>
      </c>
      <c r="B1103" s="370" t="s">
        <v>305</v>
      </c>
      <c r="C1103" s="205" t="s">
        <v>45</v>
      </c>
      <c r="D1103" s="382"/>
      <c r="E1103" s="370" t="s">
        <v>1399</v>
      </c>
      <c r="F1103" s="370" t="s">
        <v>74</v>
      </c>
      <c r="G1103" s="370" t="s">
        <v>604</v>
      </c>
      <c r="H1103" s="371" t="s">
        <v>1507</v>
      </c>
      <c r="I1103" s="371" t="s">
        <v>1508</v>
      </c>
      <c r="J1103" s="527">
        <v>45114</v>
      </c>
      <c r="K1103" s="709">
        <v>0.375</v>
      </c>
      <c r="L1103" s="527">
        <v>45114</v>
      </c>
      <c r="M1103" s="739">
        <v>0.79166666666666663</v>
      </c>
      <c r="N1103" s="210">
        <v>8</v>
      </c>
      <c r="O1103" s="374" t="s">
        <v>17</v>
      </c>
      <c r="P1103" s="375"/>
      <c r="Q1103" s="797" t="s">
        <v>1442</v>
      </c>
      <c r="R1103" s="202" t="s">
        <v>79</v>
      </c>
      <c r="S1103" s="31" t="s">
        <v>273</v>
      </c>
      <c r="T1103" s="31" t="s">
        <v>273</v>
      </c>
      <c r="U1103" s="31">
        <f>IFERROR(VLOOKUP(CONCATENATE(Tabla1[[#This Row],[Severidad]]," ",Tabla1[[#This Row],[Complejidad]]),Catalogos!E$120:G$128,3,FALSE),"")</f>
        <v>64</v>
      </c>
      <c r="V1103" s="31" t="str">
        <f>IF(Tabla1[[#This Row],[Tiempo solución max (hrs)]]&lt;&gt;"",IF(Tabla1[[#This Row],[Tiempo solución max (hrs)]]&gt;=Tabla1[[#This Row],[Tiempo
(Hrs 00/100)]],"cumple","no cumple"),"")</f>
        <v>cumple</v>
      </c>
      <c r="W1103" s="376" t="s">
        <v>1453</v>
      </c>
      <c r="X1103" s="377" t="str">
        <f t="shared" si="114"/>
        <v>SPD</v>
      </c>
      <c r="Y1103" t="str">
        <f>SUBSTITUTE(Tabla1[[#This Row],[Descripción]],CHAR(10),"    I    ")</f>
        <v>Se deshabilitó  calico de pod networking para su uso</v>
      </c>
      <c r="Z1103" s="142">
        <f>VLOOKUP(Tabla1[[#This Row],[Perfil]],Catalogos!$B$75:$D$100,3,FALSE)*Tabla1[[#This Row],[Tiempo
(Hrs 00/100)]]*1.16</f>
        <v>5568</v>
      </c>
    </row>
    <row r="1104" spans="1:26" ht="15" customHeight="1" x14ac:dyDescent="0.3">
      <c r="A1104" s="243" t="s">
        <v>58</v>
      </c>
      <c r="B1104" s="243" t="s">
        <v>305</v>
      </c>
      <c r="C1104" s="243" t="s">
        <v>45</v>
      </c>
      <c r="D1104" s="243"/>
      <c r="E1104" s="243" t="s">
        <v>1399</v>
      </c>
      <c r="F1104" s="243" t="s">
        <v>74</v>
      </c>
      <c r="G1104" s="243" t="s">
        <v>604</v>
      </c>
      <c r="H1104" s="243" t="s">
        <v>1509</v>
      </c>
      <c r="I1104" s="243" t="s">
        <v>1510</v>
      </c>
      <c r="J1104" s="527">
        <v>45117</v>
      </c>
      <c r="K1104" s="709">
        <v>0.375</v>
      </c>
      <c r="L1104" s="527">
        <v>45117</v>
      </c>
      <c r="M1104" s="739">
        <v>0.79166666666666663</v>
      </c>
      <c r="N1104" s="373">
        <v>8</v>
      </c>
      <c r="O1104" s="374" t="s">
        <v>17</v>
      </c>
      <c r="P1104" s="375"/>
      <c r="Q1104" s="797" t="s">
        <v>1442</v>
      </c>
      <c r="R1104" s="202" t="s">
        <v>79</v>
      </c>
      <c r="S1104" s="31" t="s">
        <v>273</v>
      </c>
      <c r="T1104" s="31" t="s">
        <v>273</v>
      </c>
      <c r="U1104" s="31">
        <f>IFERROR(VLOOKUP(CONCATENATE(Tabla1[[#This Row],[Severidad]]," ",Tabla1[[#This Row],[Complejidad]]),Catalogos!E$120:G$128,3,FALSE),"")</f>
        <v>64</v>
      </c>
      <c r="V1104" s="31" t="str">
        <f>IF(Tabla1[[#This Row],[Tiempo solución max (hrs)]]&lt;&gt;"",IF(Tabla1[[#This Row],[Tiempo solución max (hrs)]]&gt;=Tabla1[[#This Row],[Tiempo
(Hrs 00/100)]],"cumple","no cumple"),"")</f>
        <v>cumple</v>
      </c>
      <c r="W1104" s="376" t="s">
        <v>1453</v>
      </c>
      <c r="X1104" s="377" t="str">
        <f t="shared" si="114"/>
        <v>SPD</v>
      </c>
      <c r="Y1104" t="str">
        <f>SUBSTITUTE(Tabla1[[#This Row],[Descripción]],CHAR(10),"    I    ")</f>
        <v>Se habiltó bridge y netfilter como parte del prerquisito</v>
      </c>
      <c r="Z1104" s="142">
        <f>VLOOKUP(Tabla1[[#This Row],[Perfil]],Catalogos!$B$75:$D$100,3,FALSE)*Tabla1[[#This Row],[Tiempo
(Hrs 00/100)]]*1.16</f>
        <v>5568</v>
      </c>
    </row>
    <row r="1105" spans="1:26" ht="15" customHeight="1" x14ac:dyDescent="0.3">
      <c r="A1105" s="243" t="s">
        <v>58</v>
      </c>
      <c r="B1105" s="243" t="s">
        <v>305</v>
      </c>
      <c r="C1105" s="243" t="s">
        <v>45</v>
      </c>
      <c r="D1105" s="243"/>
      <c r="E1105" s="243" t="s">
        <v>1399</v>
      </c>
      <c r="F1105" s="243" t="s">
        <v>72</v>
      </c>
      <c r="G1105" s="243" t="s">
        <v>604</v>
      </c>
      <c r="H1105" s="243" t="s">
        <v>1511</v>
      </c>
      <c r="I1105" s="243" t="s">
        <v>1512</v>
      </c>
      <c r="J1105" s="527">
        <v>45118</v>
      </c>
      <c r="K1105" s="709">
        <v>0.375</v>
      </c>
      <c r="L1105" s="527">
        <v>45118</v>
      </c>
      <c r="M1105" s="739">
        <v>0.79166666666666663</v>
      </c>
      <c r="N1105" s="210">
        <v>8</v>
      </c>
      <c r="O1105" s="374" t="s">
        <v>17</v>
      </c>
      <c r="P1105" s="375"/>
      <c r="Q1105" s="797" t="s">
        <v>1442</v>
      </c>
      <c r="R1105" s="202" t="s">
        <v>79</v>
      </c>
      <c r="S1105" s="31" t="s">
        <v>273</v>
      </c>
      <c r="T1105" s="31" t="s">
        <v>273</v>
      </c>
      <c r="U1105" s="31">
        <f>IFERROR(VLOOKUP(CONCATENATE(Tabla1[[#This Row],[Severidad]]," ",Tabla1[[#This Row],[Complejidad]]),Catalogos!E$120:G$128,3,FALSE),"")</f>
        <v>64</v>
      </c>
      <c r="V1105" s="31" t="str">
        <f>IF(Tabla1[[#This Row],[Tiempo solución max (hrs)]]&lt;&gt;"",IF(Tabla1[[#This Row],[Tiempo solución max (hrs)]]&gt;=Tabla1[[#This Row],[Tiempo
(Hrs 00/100)]],"cumple","no cumple"),"")</f>
        <v>cumple</v>
      </c>
      <c r="W1105" s="376" t="s">
        <v>1453</v>
      </c>
      <c r="X1105" s="377" t="str">
        <f t="shared" si="114"/>
        <v>SPD</v>
      </c>
      <c r="Y1105" t="str">
        <f>SUBSTITUTE(Tabla1[[#This Row],[Descripción]],CHAR(10),"    I    ")</f>
        <v>Se configuró Worker nodes ya que lleva una configuracion diferentes al ser los que  corren los conetenedores</v>
      </c>
      <c r="Z1105" s="142">
        <f>VLOOKUP(Tabla1[[#This Row],[Perfil]],Catalogos!$B$75:$D$100,3,FALSE)*Tabla1[[#This Row],[Tiempo
(Hrs 00/100)]]*1.16</f>
        <v>5568</v>
      </c>
    </row>
    <row r="1106" spans="1:26" ht="15" customHeight="1" x14ac:dyDescent="0.3">
      <c r="A1106" s="243" t="s">
        <v>58</v>
      </c>
      <c r="B1106" s="243" t="s">
        <v>305</v>
      </c>
      <c r="C1106" s="243" t="s">
        <v>45</v>
      </c>
      <c r="D1106" s="243"/>
      <c r="E1106" s="243" t="s">
        <v>1399</v>
      </c>
      <c r="F1106" s="243" t="s">
        <v>72</v>
      </c>
      <c r="G1106" s="243" t="s">
        <v>604</v>
      </c>
      <c r="H1106" s="243" t="s">
        <v>1513</v>
      </c>
      <c r="I1106" s="243" t="s">
        <v>1514</v>
      </c>
      <c r="J1106" s="527">
        <v>45119</v>
      </c>
      <c r="K1106" s="528">
        <v>0.375</v>
      </c>
      <c r="L1106" s="527">
        <v>45119</v>
      </c>
      <c r="M1106" s="528">
        <v>0.83333333333333337</v>
      </c>
      <c r="N1106" s="210">
        <v>10</v>
      </c>
      <c r="O1106" s="374" t="s">
        <v>17</v>
      </c>
      <c r="P1106" s="375"/>
      <c r="Q1106" s="797" t="s">
        <v>1442</v>
      </c>
      <c r="R1106" s="202" t="s">
        <v>79</v>
      </c>
      <c r="S1106" s="31" t="s">
        <v>273</v>
      </c>
      <c r="T1106" s="31" t="s">
        <v>273</v>
      </c>
      <c r="U1106" s="31">
        <f>IFERROR(VLOOKUP(CONCATENATE(Tabla1[[#This Row],[Severidad]]," ",Tabla1[[#This Row],[Complejidad]]),Catalogos!E$120:G$128,3,FALSE),"")</f>
        <v>64</v>
      </c>
      <c r="V1106" s="31" t="str">
        <f>IF(Tabla1[[#This Row],[Tiempo solución max (hrs)]]&lt;&gt;"",IF(Tabla1[[#This Row],[Tiempo solución max (hrs)]]&gt;=Tabla1[[#This Row],[Tiempo
(Hrs 00/100)]],"cumple","no cumple"),"")</f>
        <v>cumple</v>
      </c>
      <c r="W1106" s="376" t="s">
        <v>1453</v>
      </c>
      <c r="X1106" s="377" t="str">
        <f t="shared" si="114"/>
        <v>SPD</v>
      </c>
      <c r="Y1106" t="str">
        <f>SUBSTITUTE(Tabla1[[#This Row],[Descripción]],CHAR(10),"    I    ")</f>
        <v>Se instaló olcne-agent y olcne-utils en cada nodo del cluster, desde el operator node cuando se manda a habilitar o configurar algun modulo de kubernetes, utiliza el agente de cada nodo para hacer la instalacion en los nodos necesarios.</v>
      </c>
      <c r="Z1106" s="142">
        <f>VLOOKUP(Tabla1[[#This Row],[Perfil]],Catalogos!$B$75:$D$100,3,FALSE)*Tabla1[[#This Row],[Tiempo
(Hrs 00/100)]]*1.16</f>
        <v>6959.9999999999991</v>
      </c>
    </row>
    <row r="1107" spans="1:26" ht="15" customHeight="1" x14ac:dyDescent="0.3">
      <c r="A1107" s="243" t="s">
        <v>58</v>
      </c>
      <c r="B1107" s="243" t="s">
        <v>305</v>
      </c>
      <c r="C1107" s="243" t="s">
        <v>45</v>
      </c>
      <c r="D1107" s="243"/>
      <c r="E1107" s="243" t="s">
        <v>1399</v>
      </c>
      <c r="F1107" s="243" t="s">
        <v>72</v>
      </c>
      <c r="G1107" s="243" t="s">
        <v>604</v>
      </c>
      <c r="H1107" s="243" t="s">
        <v>1515</v>
      </c>
      <c r="I1107" s="243" t="s">
        <v>1516</v>
      </c>
      <c r="J1107" s="527">
        <v>45120</v>
      </c>
      <c r="K1107" s="709">
        <v>0.375</v>
      </c>
      <c r="L1107" s="527">
        <v>45120</v>
      </c>
      <c r="M1107" s="739">
        <v>0.79166666666666663</v>
      </c>
      <c r="N1107" s="210">
        <v>8</v>
      </c>
      <c r="O1107" s="374" t="s">
        <v>17</v>
      </c>
      <c r="P1107" s="375"/>
      <c r="Q1107" s="797" t="s">
        <v>1442</v>
      </c>
      <c r="R1107" s="202" t="s">
        <v>79</v>
      </c>
      <c r="S1107" s="31" t="s">
        <v>273</v>
      </c>
      <c r="T1107" s="31" t="s">
        <v>273</v>
      </c>
      <c r="U1107" s="31">
        <f>IFERROR(VLOOKUP(CONCATENATE(Tabla1[[#This Row],[Severidad]]," ",Tabla1[[#This Row],[Complejidad]]),Catalogos!E$120:G$128,3,FALSE),"")</f>
        <v>64</v>
      </c>
      <c r="V1107" s="31" t="str">
        <f>IF(Tabla1[[#This Row],[Tiempo solución max (hrs)]]&lt;&gt;"",IF(Tabla1[[#This Row],[Tiempo solución max (hrs)]]&gt;=Tabla1[[#This Row],[Tiempo
(Hrs 00/100)]],"cumple","no cumple"),"")</f>
        <v>cumple</v>
      </c>
      <c r="W1107" s="376" t="s">
        <v>1453</v>
      </c>
      <c r="X1107" s="377" t="str">
        <f t="shared" si="114"/>
        <v>SPD</v>
      </c>
      <c r="Y1107" t="str">
        <f>SUBSTITUTE(Tabla1[[#This Row],[Descripción]],CHAR(10),"    I    ")</f>
        <v>Se instaló y se configuró HAProxy, los control plane se registran como backend y como frontend los worker node que se van a estar conectando por puerto 6443, tambien se habilito las estadisticas en el puerto 9000</v>
      </c>
      <c r="Z1107" s="142">
        <f>VLOOKUP(Tabla1[[#This Row],[Perfil]],Catalogos!$B$75:$D$100,3,FALSE)*Tabla1[[#This Row],[Tiempo
(Hrs 00/100)]]*1.16</f>
        <v>5568</v>
      </c>
    </row>
    <row r="1108" spans="1:26" ht="15" customHeight="1" x14ac:dyDescent="0.3">
      <c r="A1108" s="370" t="s">
        <v>58</v>
      </c>
      <c r="B1108" s="370" t="s">
        <v>305</v>
      </c>
      <c r="C1108" s="205" t="s">
        <v>45</v>
      </c>
      <c r="D1108" s="370"/>
      <c r="E1108" s="370" t="s">
        <v>1399</v>
      </c>
      <c r="F1108" s="370" t="s">
        <v>72</v>
      </c>
      <c r="G1108" s="370" t="s">
        <v>604</v>
      </c>
      <c r="H1108" s="371" t="s">
        <v>1517</v>
      </c>
      <c r="I1108" s="383" t="s">
        <v>1518</v>
      </c>
      <c r="J1108" s="527">
        <v>45121</v>
      </c>
      <c r="K1108" s="528">
        <v>0.375</v>
      </c>
      <c r="L1108" s="527">
        <v>45121</v>
      </c>
      <c r="M1108" s="528">
        <v>0.85416666666666663</v>
      </c>
      <c r="N1108" s="373">
        <v>10.5</v>
      </c>
      <c r="O1108" s="374" t="s">
        <v>17</v>
      </c>
      <c r="P1108" s="375"/>
      <c r="Q1108" s="797" t="s">
        <v>1442</v>
      </c>
      <c r="R1108" s="202" t="s">
        <v>79</v>
      </c>
      <c r="S1108" s="31" t="s">
        <v>273</v>
      </c>
      <c r="T1108" s="31" t="s">
        <v>273</v>
      </c>
      <c r="U1108" s="31">
        <f>IFERROR(VLOOKUP(CONCATENATE(Tabla1[[#This Row],[Severidad]]," ",Tabla1[[#This Row],[Complejidad]]),Catalogos!E$120:G$128,3,FALSE),"")</f>
        <v>64</v>
      </c>
      <c r="V1108" s="31" t="str">
        <f>IF(Tabla1[[#This Row],[Tiempo solución max (hrs)]]&lt;&gt;"",IF(Tabla1[[#This Row],[Tiempo solución max (hrs)]]&gt;=Tabla1[[#This Row],[Tiempo
(Hrs 00/100)]],"cumple","no cumple"),"")</f>
        <v>cumple</v>
      </c>
      <c r="W1108" s="376" t="s">
        <v>1453</v>
      </c>
      <c r="X1108" s="377" t="str">
        <f t="shared" si="114"/>
        <v>SPD</v>
      </c>
      <c r="Y1108" t="str">
        <f>SUBSTITUTE(Tabla1[[#This Row],[Descripción]],CHAR(10),"    I    ")</f>
        <v>Se crearon certificados necesarios para la correcta comunicación entre control plane y worker nodes</v>
      </c>
      <c r="Z1108" s="142">
        <f>VLOOKUP(Tabla1[[#This Row],[Perfil]],Catalogos!$B$75:$D$100,3,FALSE)*Tabla1[[#This Row],[Tiempo
(Hrs 00/100)]]*1.16</f>
        <v>7307.9999999999991</v>
      </c>
    </row>
    <row r="1109" spans="1:26" ht="15" customHeight="1" x14ac:dyDescent="0.3">
      <c r="A1109" s="210" t="s">
        <v>58</v>
      </c>
      <c r="B1109" s="374" t="s">
        <v>305</v>
      </c>
      <c r="C1109" s="205" t="s">
        <v>45</v>
      </c>
      <c r="D1109" s="382"/>
      <c r="E1109" s="370" t="s">
        <v>1399</v>
      </c>
      <c r="F1109" s="210" t="s">
        <v>72</v>
      </c>
      <c r="G1109" s="370" t="s">
        <v>604</v>
      </c>
      <c r="H1109" s="371" t="s">
        <v>1519</v>
      </c>
      <c r="I1109" s="383" t="s">
        <v>1520</v>
      </c>
      <c r="J1109" s="527">
        <v>45124</v>
      </c>
      <c r="K1109" s="528">
        <v>0.375</v>
      </c>
      <c r="L1109" s="527">
        <v>45124</v>
      </c>
      <c r="M1109" s="528">
        <v>0.83333333333333337</v>
      </c>
      <c r="N1109" s="210">
        <v>10</v>
      </c>
      <c r="O1109" s="374" t="s">
        <v>17</v>
      </c>
      <c r="P1109" s="375"/>
      <c r="Q1109" s="797" t="s">
        <v>1442</v>
      </c>
      <c r="R1109" s="202" t="s">
        <v>79</v>
      </c>
      <c r="S1109" s="31" t="s">
        <v>273</v>
      </c>
      <c r="T1109" s="31" t="s">
        <v>273</v>
      </c>
      <c r="U1109" s="31">
        <f>IFERROR(VLOOKUP(CONCATENATE(Tabla1[[#This Row],[Severidad]]," ",Tabla1[[#This Row],[Complejidad]]),Catalogos!E$120:G$128,3,FALSE),"")</f>
        <v>64</v>
      </c>
      <c r="V1109" s="31" t="str">
        <f>IF(Tabla1[[#This Row],[Tiempo solución max (hrs)]]&lt;&gt;"",IF(Tabla1[[#This Row],[Tiempo solución max (hrs)]]&gt;=Tabla1[[#This Row],[Tiempo
(Hrs 00/100)]],"cumple","no cumple"),"")</f>
        <v>cumple</v>
      </c>
      <c r="W1109" s="376" t="s">
        <v>1453</v>
      </c>
      <c r="X1109" s="377" t="str">
        <f t="shared" si="114"/>
        <v>SPD</v>
      </c>
      <c r="Y1109" t="str">
        <f>SUBSTITUTE(Tabla1[[#This Row],[Descripción]],CHAR(10),"    I    ")</f>
        <v>Se configuraron certificados para poder utilizar la IP externa para los diferentes contenedores</v>
      </c>
      <c r="Z1109" s="142">
        <f>VLOOKUP(Tabla1[[#This Row],[Perfil]],Catalogos!$B$75:$D$100,3,FALSE)*Tabla1[[#This Row],[Tiempo
(Hrs 00/100)]]*1.16</f>
        <v>6959.9999999999991</v>
      </c>
    </row>
    <row r="1110" spans="1:26" ht="15" customHeight="1" x14ac:dyDescent="0.3">
      <c r="A1110" s="210" t="s">
        <v>58</v>
      </c>
      <c r="B1110" s="374" t="s">
        <v>305</v>
      </c>
      <c r="C1110" s="205" t="s">
        <v>45</v>
      </c>
      <c r="D1110" s="382"/>
      <c r="E1110" s="370" t="s">
        <v>1399</v>
      </c>
      <c r="F1110" s="210" t="s">
        <v>72</v>
      </c>
      <c r="G1110" s="370" t="s">
        <v>604</v>
      </c>
      <c r="H1110" s="371" t="s">
        <v>1521</v>
      </c>
      <c r="I1110" s="383" t="s">
        <v>1522</v>
      </c>
      <c r="J1110" s="527">
        <v>45125</v>
      </c>
      <c r="K1110" s="747">
        <v>0.375</v>
      </c>
      <c r="L1110" s="527">
        <v>45125</v>
      </c>
      <c r="M1110" s="739">
        <v>0.79166666666666663</v>
      </c>
      <c r="N1110" s="373">
        <v>8</v>
      </c>
      <c r="O1110" s="374" t="s">
        <v>411</v>
      </c>
      <c r="P1110" s="375"/>
      <c r="Q1110" s="797" t="s">
        <v>1442</v>
      </c>
      <c r="R1110" s="202" t="s">
        <v>79</v>
      </c>
      <c r="S1110" s="31" t="s">
        <v>273</v>
      </c>
      <c r="T1110" s="31" t="s">
        <v>273</v>
      </c>
      <c r="U1110" s="31">
        <f>IFERROR(VLOOKUP(CONCATENATE(Tabla1[[#This Row],[Severidad]]," ",Tabla1[[#This Row],[Complejidad]]),Catalogos!E$120:G$128,3,FALSE),"")</f>
        <v>64</v>
      </c>
      <c r="V1110" s="31" t="str">
        <f>IF(Tabla1[[#This Row],[Tiempo solución max (hrs)]]&lt;&gt;"",IF(Tabla1[[#This Row],[Tiempo solución max (hrs)]]&gt;=Tabla1[[#This Row],[Tiempo
(Hrs 00/100)]],"cumple","no cumple"),"")</f>
        <v>cumple</v>
      </c>
      <c r="W1110" s="376" t="s">
        <v>1453</v>
      </c>
      <c r="X1110" s="377" t="str">
        <f t="shared" si="114"/>
        <v>SPD</v>
      </c>
      <c r="Y1110" t="str">
        <f>SUBSTITUTE(Tabla1[[#This Row],[Descripción]],CHAR(10),"    I    ")</f>
        <v>Se creó el cluster usando los certificadores creados en el punto anterior</v>
      </c>
      <c r="Z1110" s="142">
        <f>VLOOKUP(Tabla1[[#This Row],[Perfil]],Catalogos!$B$75:$D$100,3,FALSE)*Tabla1[[#This Row],[Tiempo
(Hrs 00/100)]]*1.16</f>
        <v>5568</v>
      </c>
    </row>
    <row r="1111" spans="1:26" ht="15" customHeight="1" x14ac:dyDescent="0.3">
      <c r="A1111" s="210" t="s">
        <v>58</v>
      </c>
      <c r="B1111" s="374" t="s">
        <v>305</v>
      </c>
      <c r="C1111" s="205" t="s">
        <v>45</v>
      </c>
      <c r="D1111" s="382"/>
      <c r="E1111" s="370" t="s">
        <v>1399</v>
      </c>
      <c r="F1111" s="210" t="s">
        <v>72</v>
      </c>
      <c r="G1111" s="370" t="s">
        <v>604</v>
      </c>
      <c r="H1111" s="371" t="s">
        <v>1521</v>
      </c>
      <c r="I1111" s="383" t="s">
        <v>1522</v>
      </c>
      <c r="J1111" s="527">
        <v>45126</v>
      </c>
      <c r="K1111" s="747">
        <v>0.375</v>
      </c>
      <c r="L1111" s="527">
        <v>45126</v>
      </c>
      <c r="M1111" s="739">
        <v>0.79166666666666663</v>
      </c>
      <c r="N1111" s="373">
        <v>8</v>
      </c>
      <c r="O1111" s="374" t="s">
        <v>411</v>
      </c>
      <c r="P1111" s="375"/>
      <c r="Q1111" s="797" t="s">
        <v>1442</v>
      </c>
      <c r="R1111" s="202" t="s">
        <v>79</v>
      </c>
      <c r="S1111" s="31" t="s">
        <v>273</v>
      </c>
      <c r="T1111" s="31" t="s">
        <v>273</v>
      </c>
      <c r="U1111" s="31">
        <f>IFERROR(VLOOKUP(CONCATENATE(Tabla1[[#This Row],[Severidad]]," ",Tabla1[[#This Row],[Complejidad]]),Catalogos!E$120:G$128,3,FALSE),"")</f>
        <v>64</v>
      </c>
      <c r="V1111" s="31" t="str">
        <f>IF(Tabla1[[#This Row],[Tiempo solución max (hrs)]]&lt;&gt;"",IF(Tabla1[[#This Row],[Tiempo solución max (hrs)]]&gt;=Tabla1[[#This Row],[Tiempo
(Hrs 00/100)]],"cumple","no cumple"),"")</f>
        <v>cumple</v>
      </c>
      <c r="W1111" s="376" t="s">
        <v>1453</v>
      </c>
      <c r="X1111" s="377" t="str">
        <f t="shared" ref="X1111:X1112" si="115">IF(C1111&lt;&gt;"",C1111,D1111)</f>
        <v>SPD</v>
      </c>
      <c r="Y1111" t="str">
        <f>SUBSTITUTE(Tabla1[[#This Row],[Descripción]],CHAR(10),"    I    ")</f>
        <v>Se creó el cluster usando los certificadores creados en el punto anterior</v>
      </c>
      <c r="Z1111" s="142">
        <f>VLOOKUP(Tabla1[[#This Row],[Perfil]],Catalogos!$B$75:$D$100,3,FALSE)*Tabla1[[#This Row],[Tiempo
(Hrs 00/100)]]*1.16</f>
        <v>5568</v>
      </c>
    </row>
    <row r="1112" spans="1:26" ht="15" customHeight="1" x14ac:dyDescent="0.3">
      <c r="A1112" s="210" t="s">
        <v>58</v>
      </c>
      <c r="B1112" s="374" t="s">
        <v>305</v>
      </c>
      <c r="C1112" s="205" t="s">
        <v>45</v>
      </c>
      <c r="D1112" s="382"/>
      <c r="E1112" s="370" t="s">
        <v>1399</v>
      </c>
      <c r="F1112" s="210" t="s">
        <v>72</v>
      </c>
      <c r="G1112" s="370" t="s">
        <v>604</v>
      </c>
      <c r="H1112" s="371" t="s">
        <v>1521</v>
      </c>
      <c r="I1112" s="383" t="s">
        <v>1522</v>
      </c>
      <c r="J1112" s="527">
        <v>45127</v>
      </c>
      <c r="K1112" s="747">
        <v>0.375</v>
      </c>
      <c r="L1112" s="527">
        <v>45127</v>
      </c>
      <c r="M1112" s="739">
        <v>0.79166666666666663</v>
      </c>
      <c r="N1112" s="373">
        <v>8</v>
      </c>
      <c r="O1112" s="374" t="s">
        <v>17</v>
      </c>
      <c r="P1112" s="375"/>
      <c r="Q1112" s="797" t="s">
        <v>1442</v>
      </c>
      <c r="R1112" s="202" t="s">
        <v>79</v>
      </c>
      <c r="S1112" s="31" t="s">
        <v>273</v>
      </c>
      <c r="T1112" s="31" t="s">
        <v>273</v>
      </c>
      <c r="U1112" s="31">
        <f>IFERROR(VLOOKUP(CONCATENATE(Tabla1[[#This Row],[Severidad]]," ",Tabla1[[#This Row],[Complejidad]]),Catalogos!E$120:G$128,3,FALSE),"")</f>
        <v>64</v>
      </c>
      <c r="V1112" s="31" t="str">
        <f>IF(Tabla1[[#This Row],[Tiempo solución max (hrs)]]&lt;&gt;"",IF(Tabla1[[#This Row],[Tiempo solución max (hrs)]]&gt;=Tabla1[[#This Row],[Tiempo
(Hrs 00/100)]],"cumple","no cumple"),"")</f>
        <v>cumple</v>
      </c>
      <c r="W1112" s="376" t="s">
        <v>1453</v>
      </c>
      <c r="X1112" s="377" t="str">
        <f t="shared" si="115"/>
        <v>SPD</v>
      </c>
      <c r="Y1112" t="str">
        <f>SUBSTITUTE(Tabla1[[#This Row],[Descripción]],CHAR(10),"    I    ")</f>
        <v>Se creó el cluster usando los certificadores creados en el punto anterior</v>
      </c>
      <c r="Z1112" s="142">
        <f>VLOOKUP(Tabla1[[#This Row],[Perfil]],Catalogos!$B$75:$D$100,3,FALSE)*Tabla1[[#This Row],[Tiempo
(Hrs 00/100)]]*1.16</f>
        <v>5568</v>
      </c>
    </row>
    <row r="1113" spans="1:26" ht="15" customHeight="1" x14ac:dyDescent="0.3">
      <c r="A1113" s="210" t="s">
        <v>58</v>
      </c>
      <c r="B1113" s="374" t="s">
        <v>305</v>
      </c>
      <c r="C1113" s="205" t="s">
        <v>45</v>
      </c>
      <c r="D1113" s="382"/>
      <c r="E1113" s="370" t="s">
        <v>1399</v>
      </c>
      <c r="F1113" s="210" t="s">
        <v>72</v>
      </c>
      <c r="G1113" s="370" t="s">
        <v>604</v>
      </c>
      <c r="H1113" s="371" t="s">
        <v>1523</v>
      </c>
      <c r="I1113" s="383" t="s">
        <v>1524</v>
      </c>
      <c r="J1113" s="527">
        <v>45128</v>
      </c>
      <c r="K1113" s="747">
        <v>0.375</v>
      </c>
      <c r="L1113" s="527">
        <v>45128</v>
      </c>
      <c r="M1113" s="739">
        <v>0.79166666666666663</v>
      </c>
      <c r="N1113" s="210">
        <v>8</v>
      </c>
      <c r="O1113" s="374" t="s">
        <v>411</v>
      </c>
      <c r="P1113" s="375"/>
      <c r="Q1113" s="797" t="s">
        <v>1442</v>
      </c>
      <c r="R1113" s="202" t="s">
        <v>79</v>
      </c>
      <c r="S1113" s="31" t="s">
        <v>273</v>
      </c>
      <c r="T1113" s="31" t="s">
        <v>273</v>
      </c>
      <c r="U1113" s="31">
        <f>IFERROR(VLOOKUP(CONCATENATE(Tabla1[[#This Row],[Severidad]]," ",Tabla1[[#This Row],[Complejidad]]),Catalogos!E$120:G$128,3,FALSE),"")</f>
        <v>64</v>
      </c>
      <c r="V1113" s="31" t="str">
        <f>IF(Tabla1[[#This Row],[Tiempo solución max (hrs)]]&lt;&gt;"",IF(Tabla1[[#This Row],[Tiempo solución max (hrs)]]&gt;=Tabla1[[#This Row],[Tiempo
(Hrs 00/100)]],"cumple","no cumple"),"")</f>
        <v>cumple</v>
      </c>
      <c r="W1113" s="376" t="s">
        <v>1453</v>
      </c>
      <c r="X1113" s="377" t="str">
        <f t="shared" si="114"/>
        <v>SPD</v>
      </c>
      <c r="Y1113" t="str">
        <f>SUBSTITUTE(Tabla1[[#This Row],[Descripción]],CHAR(10),"    I    ")</f>
        <v>Creacion del modulo de k8s</v>
      </c>
      <c r="Z1113" s="142">
        <f>VLOOKUP(Tabla1[[#This Row],[Perfil]],Catalogos!$B$75:$D$100,3,FALSE)*Tabla1[[#This Row],[Tiempo
(Hrs 00/100)]]*1.16</f>
        <v>5568</v>
      </c>
    </row>
    <row r="1114" spans="1:26" ht="15" customHeight="1" x14ac:dyDescent="0.3">
      <c r="A1114" s="210" t="s">
        <v>58</v>
      </c>
      <c r="B1114" s="374" t="s">
        <v>305</v>
      </c>
      <c r="C1114" s="205" t="s">
        <v>45</v>
      </c>
      <c r="D1114" s="382"/>
      <c r="E1114" s="370" t="s">
        <v>1399</v>
      </c>
      <c r="F1114" s="210" t="s">
        <v>72</v>
      </c>
      <c r="G1114" s="370" t="s">
        <v>604</v>
      </c>
      <c r="H1114" s="371" t="s">
        <v>1523</v>
      </c>
      <c r="I1114" s="383" t="s">
        <v>1524</v>
      </c>
      <c r="J1114" s="527">
        <v>45131</v>
      </c>
      <c r="K1114" s="747">
        <v>0.375</v>
      </c>
      <c r="L1114" s="527">
        <v>45131</v>
      </c>
      <c r="M1114" s="739">
        <v>0.79166666666666663</v>
      </c>
      <c r="N1114" s="210">
        <v>8</v>
      </c>
      <c r="O1114" s="374" t="s">
        <v>411</v>
      </c>
      <c r="P1114" s="375"/>
      <c r="Q1114" s="797" t="s">
        <v>1442</v>
      </c>
      <c r="R1114" s="202" t="s">
        <v>79</v>
      </c>
      <c r="S1114" s="31" t="s">
        <v>273</v>
      </c>
      <c r="T1114" s="31" t="s">
        <v>273</v>
      </c>
      <c r="U1114" s="31">
        <f>IFERROR(VLOOKUP(CONCATENATE(Tabla1[[#This Row],[Severidad]]," ",Tabla1[[#This Row],[Complejidad]]),Catalogos!E$120:G$128,3,FALSE),"")</f>
        <v>64</v>
      </c>
      <c r="V1114" s="31" t="str">
        <f>IF(Tabla1[[#This Row],[Tiempo solución max (hrs)]]&lt;&gt;"",IF(Tabla1[[#This Row],[Tiempo solución max (hrs)]]&gt;=Tabla1[[#This Row],[Tiempo
(Hrs 00/100)]],"cumple","no cumple"),"")</f>
        <v>cumple</v>
      </c>
      <c r="W1114" s="376" t="s">
        <v>1453</v>
      </c>
      <c r="X1114" s="377" t="str">
        <f t="shared" ref="X1114:X1115" si="116">IF(C1114&lt;&gt;"",C1114,D1114)</f>
        <v>SPD</v>
      </c>
      <c r="Y1114" t="str">
        <f>SUBSTITUTE(Tabla1[[#This Row],[Descripción]],CHAR(10),"    I    ")</f>
        <v>Creacion del modulo de k8s</v>
      </c>
      <c r="Z1114" s="142">
        <f>VLOOKUP(Tabla1[[#This Row],[Perfil]],Catalogos!$B$75:$D$100,3,FALSE)*Tabla1[[#This Row],[Tiempo
(Hrs 00/100)]]*1.16</f>
        <v>5568</v>
      </c>
    </row>
    <row r="1115" spans="1:26" ht="15" customHeight="1" x14ac:dyDescent="0.3">
      <c r="A1115" s="210" t="s">
        <v>58</v>
      </c>
      <c r="B1115" s="374" t="s">
        <v>305</v>
      </c>
      <c r="C1115" s="205" t="s">
        <v>45</v>
      </c>
      <c r="D1115" s="382"/>
      <c r="E1115" s="370" t="s">
        <v>1399</v>
      </c>
      <c r="F1115" s="210" t="s">
        <v>72</v>
      </c>
      <c r="G1115" s="370" t="s">
        <v>604</v>
      </c>
      <c r="H1115" s="371" t="s">
        <v>1523</v>
      </c>
      <c r="I1115" s="383" t="s">
        <v>1524</v>
      </c>
      <c r="J1115" s="527">
        <v>45132</v>
      </c>
      <c r="K1115" s="747">
        <v>0.375</v>
      </c>
      <c r="L1115" s="527">
        <v>45132</v>
      </c>
      <c r="M1115" s="739">
        <v>0.79166666666666663</v>
      </c>
      <c r="N1115" s="210">
        <v>8</v>
      </c>
      <c r="O1115" s="374" t="s">
        <v>17</v>
      </c>
      <c r="P1115" s="375"/>
      <c r="Q1115" s="797" t="s">
        <v>1442</v>
      </c>
      <c r="R1115" s="202" t="s">
        <v>79</v>
      </c>
      <c r="S1115" s="31" t="s">
        <v>273</v>
      </c>
      <c r="T1115" s="31" t="s">
        <v>273</v>
      </c>
      <c r="U1115" s="31">
        <f>IFERROR(VLOOKUP(CONCATENATE(Tabla1[[#This Row],[Severidad]]," ",Tabla1[[#This Row],[Complejidad]]),Catalogos!E$120:G$128,3,FALSE),"")</f>
        <v>64</v>
      </c>
      <c r="V1115" s="31" t="str">
        <f>IF(Tabla1[[#This Row],[Tiempo solución max (hrs)]]&lt;&gt;"",IF(Tabla1[[#This Row],[Tiempo solución max (hrs)]]&gt;=Tabla1[[#This Row],[Tiempo
(Hrs 00/100)]],"cumple","no cumple"),"")</f>
        <v>cumple</v>
      </c>
      <c r="W1115" s="376" t="s">
        <v>1453</v>
      </c>
      <c r="X1115" s="377" t="str">
        <f t="shared" si="116"/>
        <v>SPD</v>
      </c>
      <c r="Y1115" t="str">
        <f>SUBSTITUTE(Tabla1[[#This Row],[Descripción]],CHAR(10),"    I    ")</f>
        <v>Creacion del modulo de k8s</v>
      </c>
      <c r="Z1115" s="142">
        <f>VLOOKUP(Tabla1[[#This Row],[Perfil]],Catalogos!$B$75:$D$100,3,FALSE)*Tabla1[[#This Row],[Tiempo
(Hrs 00/100)]]*1.16</f>
        <v>5568</v>
      </c>
    </row>
    <row r="1116" spans="1:26" ht="15" customHeight="1" x14ac:dyDescent="0.3">
      <c r="A1116" s="370" t="s">
        <v>58</v>
      </c>
      <c r="B1116" s="370" t="s">
        <v>305</v>
      </c>
      <c r="C1116" s="418" t="s">
        <v>45</v>
      </c>
      <c r="D1116" s="370"/>
      <c r="E1116" s="370" t="s">
        <v>1399</v>
      </c>
      <c r="F1116" s="370" t="s">
        <v>72</v>
      </c>
      <c r="G1116" s="370" t="s">
        <v>604</v>
      </c>
      <c r="H1116" s="371" t="s">
        <v>1525</v>
      </c>
      <c r="I1116" s="383" t="s">
        <v>1526</v>
      </c>
      <c r="J1116" s="527">
        <v>45133</v>
      </c>
      <c r="K1116" s="747">
        <v>0.375</v>
      </c>
      <c r="L1116" s="527">
        <v>45133</v>
      </c>
      <c r="M1116" s="739">
        <v>0.79166666666666663</v>
      </c>
      <c r="N1116" s="210">
        <v>8</v>
      </c>
      <c r="O1116" s="374" t="s">
        <v>411</v>
      </c>
      <c r="P1116" s="375"/>
      <c r="Q1116" s="797" t="s">
        <v>1442</v>
      </c>
      <c r="R1116" s="202" t="s">
        <v>79</v>
      </c>
      <c r="S1116" s="31" t="s">
        <v>273</v>
      </c>
      <c r="T1116" s="31" t="s">
        <v>273</v>
      </c>
      <c r="U1116" s="31">
        <f>IFERROR(VLOOKUP(CONCATENATE(Tabla1[[#This Row],[Severidad]]," ",Tabla1[[#This Row],[Complejidad]]),Catalogos!E$120:G$128,3,FALSE),"")</f>
        <v>64</v>
      </c>
      <c r="V1116" s="31" t="str">
        <f>IF(Tabla1[[#This Row],[Tiempo solución max (hrs)]]&lt;&gt;"",IF(Tabla1[[#This Row],[Tiempo solución max (hrs)]]&gt;=Tabla1[[#This Row],[Tiempo
(Hrs 00/100)]],"cumple","no cumple"),"")</f>
        <v>cumple</v>
      </c>
      <c r="W1116" s="376" t="s">
        <v>1453</v>
      </c>
      <c r="X1116" s="377" t="str">
        <f t="shared" si="114"/>
        <v>SPD</v>
      </c>
      <c r="Y1116" t="str">
        <f>SUBSTITUTE(Tabla1[[#This Row],[Descripción]],CHAR(10),"    I    ")</f>
        <v>Creacion del modulo de calico</v>
      </c>
      <c r="Z1116" s="142">
        <f>VLOOKUP(Tabla1[[#This Row],[Perfil]],Catalogos!$B$75:$D$100,3,FALSE)*Tabla1[[#This Row],[Tiempo
(Hrs 00/100)]]*1.16</f>
        <v>5568</v>
      </c>
    </row>
    <row r="1117" spans="1:26" ht="15" customHeight="1" x14ac:dyDescent="0.3">
      <c r="A1117" s="370" t="s">
        <v>58</v>
      </c>
      <c r="B1117" s="370" t="s">
        <v>305</v>
      </c>
      <c r="C1117" s="418" t="s">
        <v>45</v>
      </c>
      <c r="D1117" s="370"/>
      <c r="E1117" s="370" t="s">
        <v>1399</v>
      </c>
      <c r="F1117" s="370" t="s">
        <v>72</v>
      </c>
      <c r="G1117" s="370" t="s">
        <v>604</v>
      </c>
      <c r="H1117" s="371" t="s">
        <v>1525</v>
      </c>
      <c r="I1117" s="383" t="s">
        <v>1526</v>
      </c>
      <c r="J1117" s="527">
        <v>45134</v>
      </c>
      <c r="K1117" s="747">
        <v>0.375</v>
      </c>
      <c r="L1117" s="527">
        <v>45134</v>
      </c>
      <c r="M1117" s="739">
        <v>0.79166666666666663</v>
      </c>
      <c r="N1117" s="210">
        <v>8</v>
      </c>
      <c r="O1117" s="374" t="s">
        <v>411</v>
      </c>
      <c r="P1117" s="375"/>
      <c r="Q1117" s="797" t="s">
        <v>1442</v>
      </c>
      <c r="R1117" s="202" t="s">
        <v>79</v>
      </c>
      <c r="S1117" s="31" t="s">
        <v>273</v>
      </c>
      <c r="T1117" s="31" t="s">
        <v>273</v>
      </c>
      <c r="U1117" s="31">
        <f>IFERROR(VLOOKUP(CONCATENATE(Tabla1[[#This Row],[Severidad]]," ",Tabla1[[#This Row],[Complejidad]]),Catalogos!E$120:G$128,3,FALSE),"")</f>
        <v>64</v>
      </c>
      <c r="V1117" s="31" t="str">
        <f>IF(Tabla1[[#This Row],[Tiempo solución max (hrs)]]&lt;&gt;"",IF(Tabla1[[#This Row],[Tiempo solución max (hrs)]]&gt;=Tabla1[[#This Row],[Tiempo
(Hrs 00/100)]],"cumple","no cumple"),"")</f>
        <v>cumple</v>
      </c>
      <c r="W1117" s="376" t="s">
        <v>1453</v>
      </c>
      <c r="X1117" s="377" t="str">
        <f t="shared" ref="X1117:X1118" si="117">IF(C1117&lt;&gt;"",C1117,D1117)</f>
        <v>SPD</v>
      </c>
      <c r="Y1117" t="str">
        <f>SUBSTITUTE(Tabla1[[#This Row],[Descripción]],CHAR(10),"    I    ")</f>
        <v>Creacion del modulo de calico</v>
      </c>
      <c r="Z1117" s="142">
        <f>VLOOKUP(Tabla1[[#This Row],[Perfil]],Catalogos!$B$75:$D$100,3,FALSE)*Tabla1[[#This Row],[Tiempo
(Hrs 00/100)]]*1.16</f>
        <v>5568</v>
      </c>
    </row>
    <row r="1118" spans="1:26" ht="15" customHeight="1" x14ac:dyDescent="0.3">
      <c r="A1118" s="370" t="s">
        <v>58</v>
      </c>
      <c r="B1118" s="370" t="s">
        <v>305</v>
      </c>
      <c r="C1118" s="418" t="s">
        <v>45</v>
      </c>
      <c r="D1118" s="370"/>
      <c r="E1118" s="370" t="s">
        <v>1399</v>
      </c>
      <c r="F1118" s="370" t="s">
        <v>72</v>
      </c>
      <c r="G1118" s="370" t="s">
        <v>604</v>
      </c>
      <c r="H1118" s="371" t="s">
        <v>1525</v>
      </c>
      <c r="I1118" s="383" t="s">
        <v>1526</v>
      </c>
      <c r="J1118" s="527">
        <v>45135</v>
      </c>
      <c r="K1118" s="747">
        <v>0.375</v>
      </c>
      <c r="L1118" s="527">
        <v>45135</v>
      </c>
      <c r="M1118" s="739">
        <v>0.79166666666666663</v>
      </c>
      <c r="N1118" s="210">
        <v>8</v>
      </c>
      <c r="O1118" s="374" t="s">
        <v>17</v>
      </c>
      <c r="P1118" s="375"/>
      <c r="Q1118" s="797" t="s">
        <v>1442</v>
      </c>
      <c r="R1118" s="202" t="s">
        <v>79</v>
      </c>
      <c r="S1118" s="31" t="s">
        <v>273</v>
      </c>
      <c r="T1118" s="31" t="s">
        <v>273</v>
      </c>
      <c r="U1118" s="31">
        <f>IFERROR(VLOOKUP(CONCATENATE(Tabla1[[#This Row],[Severidad]]," ",Tabla1[[#This Row],[Complejidad]]),Catalogos!E$120:G$128,3,FALSE),"")</f>
        <v>64</v>
      </c>
      <c r="V1118" s="31" t="str">
        <f>IF(Tabla1[[#This Row],[Tiempo solución max (hrs)]]&lt;&gt;"",IF(Tabla1[[#This Row],[Tiempo solución max (hrs)]]&gt;=Tabla1[[#This Row],[Tiempo
(Hrs 00/100)]],"cumple","no cumple"),"")</f>
        <v>cumple</v>
      </c>
      <c r="W1118" s="376" t="s">
        <v>1453</v>
      </c>
      <c r="X1118" s="377" t="str">
        <f t="shared" si="117"/>
        <v>SPD</v>
      </c>
      <c r="Y1118" t="str">
        <f>SUBSTITUTE(Tabla1[[#This Row],[Descripción]],CHAR(10),"    I    ")</f>
        <v>Creacion del modulo de calico</v>
      </c>
      <c r="Z1118" s="142">
        <f>VLOOKUP(Tabla1[[#This Row],[Perfil]],Catalogos!$B$75:$D$100,3,FALSE)*Tabla1[[#This Row],[Tiempo
(Hrs 00/100)]]*1.16</f>
        <v>5568</v>
      </c>
    </row>
    <row r="1119" spans="1:26" ht="15" customHeight="1" x14ac:dyDescent="0.3">
      <c r="A1119" s="210" t="s">
        <v>58</v>
      </c>
      <c r="B1119" s="374" t="s">
        <v>305</v>
      </c>
      <c r="C1119" s="205" t="s">
        <v>45</v>
      </c>
      <c r="D1119" s="382"/>
      <c r="E1119" s="370" t="s">
        <v>1399</v>
      </c>
      <c r="F1119" s="210" t="s">
        <v>72</v>
      </c>
      <c r="G1119" s="370" t="s">
        <v>604</v>
      </c>
      <c r="H1119" s="371" t="s">
        <v>1527</v>
      </c>
      <c r="I1119" s="789" t="s">
        <v>5413</v>
      </c>
      <c r="J1119" s="527">
        <v>45136</v>
      </c>
      <c r="K1119" s="747">
        <v>0.375</v>
      </c>
      <c r="L1119" s="527">
        <v>45136</v>
      </c>
      <c r="M1119" s="739">
        <v>0.79166666666666663</v>
      </c>
      <c r="N1119" s="210">
        <v>8</v>
      </c>
      <c r="O1119" s="374" t="s">
        <v>411</v>
      </c>
      <c r="P1119" s="375"/>
      <c r="Q1119" s="797" t="s">
        <v>1442</v>
      </c>
      <c r="R1119" s="202" t="s">
        <v>79</v>
      </c>
      <c r="S1119" s="31" t="s">
        <v>273</v>
      </c>
      <c r="T1119" s="31" t="s">
        <v>273</v>
      </c>
      <c r="U1119" s="31">
        <f>IFERROR(VLOOKUP(CONCATENATE(Tabla1[[#This Row],[Severidad]]," ",Tabla1[[#This Row],[Complejidad]]),Catalogos!E$120:G$128,3,FALSE),"")</f>
        <v>64</v>
      </c>
      <c r="V1119" s="31" t="str">
        <f>IF(Tabla1[[#This Row],[Tiempo solución max (hrs)]]&lt;&gt;"",IF(Tabla1[[#This Row],[Tiempo solución max (hrs)]]&gt;=Tabla1[[#This Row],[Tiempo
(Hrs 00/100)]],"cumple","no cumple"),"")</f>
        <v>cumple</v>
      </c>
      <c r="W1119" s="376" t="s">
        <v>1453</v>
      </c>
      <c r="X1119" s="377" t="str">
        <f t="shared" si="114"/>
        <v>SPD</v>
      </c>
      <c r="Y1119" t="str">
        <f>SUBSTITUTE(Tabla1[[#This Row],[Descripción]],CHAR(10),"    I    ")</f>
        <v>Creación de todos los pods correctamente</v>
      </c>
      <c r="Z1119" s="142">
        <f>VLOOKUP(Tabla1[[#This Row],[Perfil]],Catalogos!$B$75:$D$100,3,FALSE)*Tabla1[[#This Row],[Tiempo
(Hrs 00/100)]]*1.16</f>
        <v>5568</v>
      </c>
    </row>
    <row r="1120" spans="1:26" ht="15" customHeight="1" x14ac:dyDescent="0.3">
      <c r="A1120" s="210" t="s">
        <v>58</v>
      </c>
      <c r="B1120" s="374" t="s">
        <v>305</v>
      </c>
      <c r="C1120" s="205" t="s">
        <v>45</v>
      </c>
      <c r="D1120" s="382"/>
      <c r="E1120" s="370" t="s">
        <v>1399</v>
      </c>
      <c r="F1120" s="210" t="s">
        <v>72</v>
      </c>
      <c r="G1120" s="370" t="s">
        <v>604</v>
      </c>
      <c r="H1120" s="371" t="s">
        <v>1527</v>
      </c>
      <c r="I1120" s="789" t="s">
        <v>5413</v>
      </c>
      <c r="J1120" s="527">
        <v>45137</v>
      </c>
      <c r="K1120" s="747">
        <v>0.375</v>
      </c>
      <c r="L1120" s="527">
        <v>45137</v>
      </c>
      <c r="M1120" s="739">
        <v>0.79166666666666663</v>
      </c>
      <c r="N1120" s="210">
        <v>8</v>
      </c>
      <c r="O1120" s="374" t="s">
        <v>411</v>
      </c>
      <c r="P1120" s="375"/>
      <c r="Q1120" s="797" t="s">
        <v>1442</v>
      </c>
      <c r="R1120" s="202" t="s">
        <v>79</v>
      </c>
      <c r="S1120" s="31" t="s">
        <v>273</v>
      </c>
      <c r="T1120" s="31" t="s">
        <v>273</v>
      </c>
      <c r="U1120" s="31">
        <f>IFERROR(VLOOKUP(CONCATENATE(Tabla1[[#This Row],[Severidad]]," ",Tabla1[[#This Row],[Complejidad]]),Catalogos!E$120:G$128,3,FALSE),"")</f>
        <v>64</v>
      </c>
      <c r="V1120" s="31" t="str">
        <f>IF(Tabla1[[#This Row],[Tiempo solución max (hrs)]]&lt;&gt;"",IF(Tabla1[[#This Row],[Tiempo solución max (hrs)]]&gt;=Tabla1[[#This Row],[Tiempo
(Hrs 00/100)]],"cumple","no cumple"),"")</f>
        <v>cumple</v>
      </c>
      <c r="W1120" s="376" t="s">
        <v>1453</v>
      </c>
      <c r="X1120" s="377" t="str">
        <f t="shared" ref="X1120:X1121" si="118">IF(C1120&lt;&gt;"",C1120,D1120)</f>
        <v>SPD</v>
      </c>
      <c r="Y1120" t="str">
        <f>SUBSTITUTE(Tabla1[[#This Row],[Descripción]],CHAR(10),"    I    ")</f>
        <v>Creación de todos los pods correctamente</v>
      </c>
      <c r="Z1120" s="142">
        <f>VLOOKUP(Tabla1[[#This Row],[Perfil]],Catalogos!$B$75:$D$100,3,FALSE)*Tabla1[[#This Row],[Tiempo
(Hrs 00/100)]]*1.16</f>
        <v>5568</v>
      </c>
    </row>
    <row r="1121" spans="1:26" ht="15" customHeight="1" x14ac:dyDescent="0.3">
      <c r="A1121" s="210" t="s">
        <v>58</v>
      </c>
      <c r="B1121" s="374" t="s">
        <v>305</v>
      </c>
      <c r="C1121" s="205" t="s">
        <v>45</v>
      </c>
      <c r="D1121" s="382"/>
      <c r="E1121" s="370" t="s">
        <v>1399</v>
      </c>
      <c r="F1121" s="210" t="s">
        <v>72</v>
      </c>
      <c r="G1121" s="370" t="s">
        <v>604</v>
      </c>
      <c r="H1121" s="371" t="s">
        <v>1527</v>
      </c>
      <c r="I1121" s="789" t="s">
        <v>5413</v>
      </c>
      <c r="J1121" s="527">
        <v>45138</v>
      </c>
      <c r="K1121" s="747">
        <v>0.375</v>
      </c>
      <c r="L1121" s="527">
        <v>45138</v>
      </c>
      <c r="M1121" s="739">
        <v>0.79166666666666663</v>
      </c>
      <c r="N1121" s="210">
        <v>8</v>
      </c>
      <c r="O1121" s="374" t="s">
        <v>17</v>
      </c>
      <c r="P1121" s="375"/>
      <c r="Q1121" s="797" t="s">
        <v>1442</v>
      </c>
      <c r="R1121" s="202" t="s">
        <v>79</v>
      </c>
      <c r="S1121" s="31" t="s">
        <v>273</v>
      </c>
      <c r="T1121" s="31" t="s">
        <v>273</v>
      </c>
      <c r="U1121" s="31">
        <f>IFERROR(VLOOKUP(CONCATENATE(Tabla1[[#This Row],[Severidad]]," ",Tabla1[[#This Row],[Complejidad]]),Catalogos!E$120:G$128,3,FALSE),"")</f>
        <v>64</v>
      </c>
      <c r="V1121" s="31" t="str">
        <f>IF(Tabla1[[#This Row],[Tiempo solución max (hrs)]]&lt;&gt;"",IF(Tabla1[[#This Row],[Tiempo solución max (hrs)]]&gt;=Tabla1[[#This Row],[Tiempo
(Hrs 00/100)]],"cumple","no cumple"),"")</f>
        <v>cumple</v>
      </c>
      <c r="W1121" s="376" t="s">
        <v>1453</v>
      </c>
      <c r="X1121" s="377" t="str">
        <f t="shared" si="118"/>
        <v>SPD</v>
      </c>
      <c r="Y1121" t="str">
        <f>SUBSTITUTE(Tabla1[[#This Row],[Descripción]],CHAR(10),"    I    ")</f>
        <v>Creación de todos los pods correctamente</v>
      </c>
      <c r="Z1121" s="142">
        <f>VLOOKUP(Tabla1[[#This Row],[Perfil]],Catalogos!$B$75:$D$100,3,FALSE)*Tabla1[[#This Row],[Tiempo
(Hrs 00/100)]]*1.16</f>
        <v>5568</v>
      </c>
    </row>
    <row r="1122" spans="1:26" ht="15" customHeight="1" x14ac:dyDescent="0.3">
      <c r="A1122" s="370" t="s">
        <v>58</v>
      </c>
      <c r="B1122" s="370" t="s">
        <v>305</v>
      </c>
      <c r="C1122" s="205" t="s">
        <v>257</v>
      </c>
      <c r="D1122" s="370"/>
      <c r="E1122" s="370" t="s">
        <v>408</v>
      </c>
      <c r="F1122" s="370" t="s">
        <v>72</v>
      </c>
      <c r="G1122" s="370" t="s">
        <v>604</v>
      </c>
      <c r="H1122" s="371" t="s">
        <v>1528</v>
      </c>
      <c r="I1122" s="371" t="s">
        <v>1529</v>
      </c>
      <c r="J1122" s="527">
        <v>45110</v>
      </c>
      <c r="K1122" s="747">
        <v>0.375</v>
      </c>
      <c r="L1122" s="527">
        <v>45110</v>
      </c>
      <c r="M1122" s="528">
        <v>0.45833333333333331</v>
      </c>
      <c r="N1122" s="373">
        <v>2</v>
      </c>
      <c r="O1122" s="374" t="s">
        <v>17</v>
      </c>
      <c r="P1122" s="375" t="s">
        <v>1530</v>
      </c>
      <c r="Q1122" s="797" t="s">
        <v>1441</v>
      </c>
      <c r="R1122" s="202" t="s">
        <v>95</v>
      </c>
      <c r="S1122" s="31" t="s">
        <v>273</v>
      </c>
      <c r="T1122" s="31" t="s">
        <v>273</v>
      </c>
      <c r="U1122" s="31">
        <f>IFERROR(VLOOKUP(CONCATENATE(Tabla1[[#This Row],[Severidad]]," ",Tabla1[[#This Row],[Complejidad]]),Catalogos!E$120:G$128,3,FALSE),"")</f>
        <v>64</v>
      </c>
      <c r="V1122" s="31" t="str">
        <f>IF(Tabla1[[#This Row],[Tiempo solución max (hrs)]]&lt;&gt;"",IF(Tabla1[[#This Row],[Tiempo solución max (hrs)]]&gt;=Tabla1[[#This Row],[Tiempo
(Hrs 00/100)]],"cumple","no cumple"),"")</f>
        <v>cumple</v>
      </c>
      <c r="W1122" s="376" t="s">
        <v>1453</v>
      </c>
      <c r="X1122" s="377" t="str">
        <f t="shared" ref="X1122:X1153" si="119">IF(C1122&lt;&gt;"",C1122,D1122)</f>
        <v>SSI</v>
      </c>
      <c r="Y1122" t="str">
        <f>SUBSTITUTE(Tabla1[[#This Row],[Descripción]],CHAR(10),"    I    ")</f>
        <v>Sesión para Revisar Sistema SISAI con subdirector, para conocer el detalle del sistema y como se componen las diversas plataformas</v>
      </c>
      <c r="Z1122" s="142">
        <f>VLOOKUP(Tabla1[[#This Row],[Perfil]],Catalogos!$B$75:$D$100,3,FALSE)*Tabla1[[#This Row],[Tiempo
(Hrs 00/100)]]*1.16</f>
        <v>1392</v>
      </c>
    </row>
    <row r="1123" spans="1:26" ht="15" customHeight="1" x14ac:dyDescent="0.3">
      <c r="A1123" s="370" t="s">
        <v>58</v>
      </c>
      <c r="B1123" s="370" t="s">
        <v>305</v>
      </c>
      <c r="C1123" s="205" t="s">
        <v>257</v>
      </c>
      <c r="D1123" s="370"/>
      <c r="E1123" s="370" t="s">
        <v>408</v>
      </c>
      <c r="F1123" s="370" t="s">
        <v>72</v>
      </c>
      <c r="G1123" s="370" t="s">
        <v>604</v>
      </c>
      <c r="H1123" s="371" t="s">
        <v>1531</v>
      </c>
      <c r="I1123" s="371" t="s">
        <v>1532</v>
      </c>
      <c r="J1123" s="527">
        <v>45110</v>
      </c>
      <c r="K1123" s="528">
        <v>0.45833333333333331</v>
      </c>
      <c r="L1123" s="527">
        <v>45110</v>
      </c>
      <c r="M1123" s="528">
        <v>0.54166666666666663</v>
      </c>
      <c r="N1123" s="373">
        <v>2</v>
      </c>
      <c r="O1123" s="374" t="s">
        <v>17</v>
      </c>
      <c r="P1123" s="375" t="s">
        <v>1530</v>
      </c>
      <c r="Q1123" s="797" t="s">
        <v>1441</v>
      </c>
      <c r="R1123" s="202" t="s">
        <v>95</v>
      </c>
      <c r="S1123" s="31" t="s">
        <v>273</v>
      </c>
      <c r="T1123" s="31" t="s">
        <v>273</v>
      </c>
      <c r="U1123" s="31">
        <f>IFERROR(VLOOKUP(CONCATENATE(Tabla1[[#This Row],[Severidad]]," ",Tabla1[[#This Row],[Complejidad]]),Catalogos!E$120:G$128,3,FALSE),"")</f>
        <v>64</v>
      </c>
      <c r="V1123" s="31" t="str">
        <f>IF(Tabla1[[#This Row],[Tiempo solución max (hrs)]]&lt;&gt;"",IF(Tabla1[[#This Row],[Tiempo solución max (hrs)]]&gt;=Tabla1[[#This Row],[Tiempo
(Hrs 00/100)]],"cumple","no cumple"),"")</f>
        <v>cumple</v>
      </c>
      <c r="W1123" s="376" t="s">
        <v>1453</v>
      </c>
      <c r="X1123" s="377" t="str">
        <f t="shared" si="119"/>
        <v>SSI</v>
      </c>
      <c r="Y1123" t="str">
        <f>SUBSTITUTE(Tabla1[[#This Row],[Descripción]],CHAR(10),"    I    ")</f>
        <v>Sesión para Profundizar en las tablas del SISAI con director y explicación a detalle de cada objeto</v>
      </c>
      <c r="Z1123" s="142">
        <f>VLOOKUP(Tabla1[[#This Row],[Perfil]],Catalogos!$B$75:$D$100,3,FALSE)*Tabla1[[#This Row],[Tiempo
(Hrs 00/100)]]*1.16</f>
        <v>1392</v>
      </c>
    </row>
    <row r="1124" spans="1:26" ht="15" customHeight="1" x14ac:dyDescent="0.3">
      <c r="A1124" s="370" t="s">
        <v>58</v>
      </c>
      <c r="B1124" s="370" t="s">
        <v>305</v>
      </c>
      <c r="C1124" s="205" t="s">
        <v>257</v>
      </c>
      <c r="D1124" s="370"/>
      <c r="E1124" s="370" t="s">
        <v>408</v>
      </c>
      <c r="F1124" s="370" t="s">
        <v>72</v>
      </c>
      <c r="G1124" s="370" t="s">
        <v>604</v>
      </c>
      <c r="H1124" s="371" t="s">
        <v>1533</v>
      </c>
      <c r="I1124" s="371" t="s">
        <v>1534</v>
      </c>
      <c r="J1124" s="527">
        <v>45111</v>
      </c>
      <c r="K1124" s="761">
        <v>0.375</v>
      </c>
      <c r="L1124" s="717">
        <v>45111</v>
      </c>
      <c r="M1124" s="761">
        <v>0.70833333333333337</v>
      </c>
      <c r="N1124" s="373">
        <v>6</v>
      </c>
      <c r="O1124" s="374" t="s">
        <v>17</v>
      </c>
      <c r="P1124" s="375" t="s">
        <v>1530</v>
      </c>
      <c r="Q1124" s="797" t="s">
        <v>1441</v>
      </c>
      <c r="R1124" s="202" t="s">
        <v>95</v>
      </c>
      <c r="S1124" s="31" t="s">
        <v>273</v>
      </c>
      <c r="T1124" s="31" t="s">
        <v>273</v>
      </c>
      <c r="U1124" s="31">
        <f>IFERROR(VLOOKUP(CONCATENATE(Tabla1[[#This Row],[Severidad]]," ",Tabla1[[#This Row],[Complejidad]]),Catalogos!E$120:G$128,3,FALSE),"")</f>
        <v>64</v>
      </c>
      <c r="V1124" s="31" t="str">
        <f>IF(Tabla1[[#This Row],[Tiempo solución max (hrs)]]&lt;&gt;"",IF(Tabla1[[#This Row],[Tiempo solución max (hrs)]]&gt;=Tabla1[[#This Row],[Tiempo
(Hrs 00/100)]],"cumple","no cumple"),"")</f>
        <v>cumple</v>
      </c>
      <c r="W1124" s="376" t="s">
        <v>1453</v>
      </c>
      <c r="X1124" s="377" t="str">
        <f t="shared" si="119"/>
        <v>SSI</v>
      </c>
      <c r="Y1124" t="str">
        <f>SUBSTITUTE(Tabla1[[#This Row],[Descripción]],CHAR(10),"    I    ")</f>
        <v>Analisis de las tablas para familiarizarce con las necesidades o consultas que se pueden solicitar</v>
      </c>
      <c r="Z1124" s="142">
        <f>VLOOKUP(Tabla1[[#This Row],[Perfil]],Catalogos!$B$75:$D$100,3,FALSE)*Tabla1[[#This Row],[Tiempo
(Hrs 00/100)]]*1.16</f>
        <v>4176</v>
      </c>
    </row>
    <row r="1125" spans="1:26" ht="15" customHeight="1" x14ac:dyDescent="0.3">
      <c r="A1125" s="370" t="s">
        <v>58</v>
      </c>
      <c r="B1125" s="370" t="s">
        <v>305</v>
      </c>
      <c r="C1125" s="205" t="s">
        <v>257</v>
      </c>
      <c r="D1125" s="382"/>
      <c r="E1125" s="370" t="s">
        <v>408</v>
      </c>
      <c r="F1125" s="370" t="s">
        <v>72</v>
      </c>
      <c r="G1125" s="370" t="s">
        <v>604</v>
      </c>
      <c r="H1125" s="371" t="s">
        <v>1535</v>
      </c>
      <c r="I1125" s="371" t="s">
        <v>1536</v>
      </c>
      <c r="J1125" s="527">
        <v>45111</v>
      </c>
      <c r="K1125" s="761">
        <v>0.70833333333333337</v>
      </c>
      <c r="L1125" s="527">
        <v>45111</v>
      </c>
      <c r="M1125" s="528">
        <v>0.79166666666666663</v>
      </c>
      <c r="N1125" s="373">
        <v>2</v>
      </c>
      <c r="O1125" s="374" t="s">
        <v>17</v>
      </c>
      <c r="P1125" s="375" t="s">
        <v>1530</v>
      </c>
      <c r="Q1125" s="797" t="s">
        <v>1441</v>
      </c>
      <c r="R1125" s="202" t="s">
        <v>95</v>
      </c>
      <c r="S1125" s="31" t="s">
        <v>273</v>
      </c>
      <c r="T1125" s="31" t="s">
        <v>273</v>
      </c>
      <c r="U1125" s="31">
        <f>IFERROR(VLOOKUP(CONCATENATE(Tabla1[[#This Row],[Severidad]]," ",Tabla1[[#This Row],[Complejidad]]),Catalogos!E$120:G$128,3,FALSE),"")</f>
        <v>64</v>
      </c>
      <c r="V1125" s="31" t="str">
        <f>IF(Tabla1[[#This Row],[Tiempo solución max (hrs)]]&lt;&gt;"",IF(Tabla1[[#This Row],[Tiempo solución max (hrs)]]&gt;=Tabla1[[#This Row],[Tiempo
(Hrs 00/100)]],"cumple","no cumple"),"")</f>
        <v>cumple</v>
      </c>
      <c r="W1125" s="376" t="s">
        <v>1453</v>
      </c>
      <c r="X1125" s="377" t="str">
        <f t="shared" si="119"/>
        <v>SSI</v>
      </c>
      <c r="Y1125" t="str">
        <f>SUBSTITUTE(Tabla1[[#This Row],[Descripción]],CHAR(10),"    I    ")</f>
        <v>Se analiza consulta 'Solicitudes por Entidad Federativa - EXCEL' del Archivo Querys Ponencia, se valida en herramienta y propone mejora</v>
      </c>
      <c r="Z1125" s="142">
        <f>VLOOKUP(Tabla1[[#This Row],[Perfil]],Catalogos!$B$75:$D$100,3,FALSE)*Tabla1[[#This Row],[Tiempo
(Hrs 00/100)]]*1.16</f>
        <v>1392</v>
      </c>
    </row>
    <row r="1126" spans="1:26" ht="15" customHeight="1" x14ac:dyDescent="0.3">
      <c r="A1126" s="370" t="s">
        <v>58</v>
      </c>
      <c r="B1126" s="370" t="s">
        <v>305</v>
      </c>
      <c r="C1126" s="205" t="s">
        <v>257</v>
      </c>
      <c r="D1126" s="382"/>
      <c r="E1126" s="370" t="s">
        <v>408</v>
      </c>
      <c r="F1126" s="370" t="s">
        <v>72</v>
      </c>
      <c r="G1126" s="370" t="s">
        <v>604</v>
      </c>
      <c r="H1126" s="371" t="s">
        <v>1537</v>
      </c>
      <c r="I1126" s="371" t="s">
        <v>1538</v>
      </c>
      <c r="J1126" s="527">
        <v>45112</v>
      </c>
      <c r="K1126" s="761">
        <v>0.375</v>
      </c>
      <c r="L1126" s="527">
        <v>45112</v>
      </c>
      <c r="M1126" s="528">
        <v>0.5</v>
      </c>
      <c r="N1126" s="210">
        <v>3</v>
      </c>
      <c r="O1126" s="374" t="s">
        <v>17</v>
      </c>
      <c r="P1126" s="375" t="s">
        <v>1530</v>
      </c>
      <c r="Q1126" s="797" t="s">
        <v>1441</v>
      </c>
      <c r="R1126" s="202" t="s">
        <v>95</v>
      </c>
      <c r="S1126" s="31" t="s">
        <v>273</v>
      </c>
      <c r="T1126" s="31" t="s">
        <v>273</v>
      </c>
      <c r="U1126" s="31">
        <f>IFERROR(VLOOKUP(CONCATENATE(Tabla1[[#This Row],[Severidad]]," ",Tabla1[[#This Row],[Complejidad]]),Catalogos!E$120:G$128,3,FALSE),"")</f>
        <v>64</v>
      </c>
      <c r="V1126" s="31" t="str">
        <f>IF(Tabla1[[#This Row],[Tiempo solución max (hrs)]]&lt;&gt;"",IF(Tabla1[[#This Row],[Tiempo solución max (hrs)]]&gt;=Tabla1[[#This Row],[Tiempo
(Hrs 00/100)]],"cumple","no cumple"),"")</f>
        <v>cumple</v>
      </c>
      <c r="W1126" s="376" t="s">
        <v>1453</v>
      </c>
      <c r="X1126" s="377" t="str">
        <f t="shared" si="119"/>
        <v>SSI</v>
      </c>
      <c r="Y1126" t="str">
        <f>SUBSTITUTE(Tabla1[[#This Row],[Descripción]],CHAR(10),"    I    ")</f>
        <v>Se analiza consulta 'Solicitudes por Sujeto Obligado y Entidad Federativa' del Archivo Querys Ponencia, se valida en herramienta y propone mejora</v>
      </c>
      <c r="Z1126" s="142">
        <f>VLOOKUP(Tabla1[[#This Row],[Perfil]],Catalogos!$B$75:$D$100,3,FALSE)*Tabla1[[#This Row],[Tiempo
(Hrs 00/100)]]*1.16</f>
        <v>2088</v>
      </c>
    </row>
    <row r="1127" spans="1:26" ht="15" customHeight="1" x14ac:dyDescent="0.3">
      <c r="A1127" s="243" t="s">
        <v>58</v>
      </c>
      <c r="B1127" s="243" t="s">
        <v>305</v>
      </c>
      <c r="C1127" s="243" t="s">
        <v>257</v>
      </c>
      <c r="D1127" s="243"/>
      <c r="E1127" s="243" t="s">
        <v>408</v>
      </c>
      <c r="F1127" s="243" t="s">
        <v>72</v>
      </c>
      <c r="G1127" s="243" t="s">
        <v>604</v>
      </c>
      <c r="H1127" s="243" t="s">
        <v>1539</v>
      </c>
      <c r="I1127" s="243" t="s">
        <v>1540</v>
      </c>
      <c r="J1127" s="527">
        <v>45112</v>
      </c>
      <c r="K1127" s="528">
        <v>0.5</v>
      </c>
      <c r="L1127" s="527">
        <v>45112</v>
      </c>
      <c r="M1127" s="528">
        <v>0.625</v>
      </c>
      <c r="N1127" s="373">
        <v>3</v>
      </c>
      <c r="O1127" s="374" t="s">
        <v>17</v>
      </c>
      <c r="P1127" s="375" t="s">
        <v>1530</v>
      </c>
      <c r="Q1127" s="797" t="s">
        <v>1441</v>
      </c>
      <c r="R1127" s="202" t="s">
        <v>95</v>
      </c>
      <c r="S1127" s="31" t="s">
        <v>273</v>
      </c>
      <c r="T1127" s="31" t="s">
        <v>273</v>
      </c>
      <c r="U1127" s="31">
        <f>IFERROR(VLOOKUP(CONCATENATE(Tabla1[[#This Row],[Severidad]]," ",Tabla1[[#This Row],[Complejidad]]),Catalogos!E$120:G$128,3,FALSE),"")</f>
        <v>64</v>
      </c>
      <c r="V1127" s="31" t="str">
        <f>IF(Tabla1[[#This Row],[Tiempo solución max (hrs)]]&lt;&gt;"",IF(Tabla1[[#This Row],[Tiempo solución max (hrs)]]&gt;=Tabla1[[#This Row],[Tiempo
(Hrs 00/100)]],"cumple","no cumple"),"")</f>
        <v>cumple</v>
      </c>
      <c r="W1127" s="376" t="s">
        <v>1453</v>
      </c>
      <c r="X1127" s="377" t="str">
        <f t="shared" si="119"/>
        <v>SSI</v>
      </c>
      <c r="Y1127" t="str">
        <f>SUBSTITUTE(Tabla1[[#This Row],[Descripción]],CHAR(10),"    I    ")</f>
        <v>Se analiza consulta 'Solicitudes por Entidad Federativa y tipo (acceso - datos personales)' del Archivo Querys Ponencia, se valida en herramienta y propone mejora</v>
      </c>
      <c r="Z1127" s="142">
        <f>VLOOKUP(Tabla1[[#This Row],[Perfil]],Catalogos!$B$75:$D$100,3,FALSE)*Tabla1[[#This Row],[Tiempo
(Hrs 00/100)]]*1.16</f>
        <v>2088</v>
      </c>
    </row>
    <row r="1128" spans="1:26" ht="15" customHeight="1" x14ac:dyDescent="0.3">
      <c r="A1128" s="243" t="s">
        <v>58</v>
      </c>
      <c r="B1128" s="243" t="s">
        <v>305</v>
      </c>
      <c r="C1128" s="243" t="s">
        <v>257</v>
      </c>
      <c r="D1128" s="243"/>
      <c r="E1128" s="243" t="s">
        <v>408</v>
      </c>
      <c r="F1128" s="243" t="s">
        <v>72</v>
      </c>
      <c r="G1128" s="243" t="s">
        <v>604</v>
      </c>
      <c r="H1128" s="243" t="s">
        <v>1541</v>
      </c>
      <c r="I1128" s="243" t="s">
        <v>1542</v>
      </c>
      <c r="J1128" s="527">
        <v>45112</v>
      </c>
      <c r="K1128" s="528">
        <v>0.66666666666666663</v>
      </c>
      <c r="L1128" s="527">
        <v>45112</v>
      </c>
      <c r="M1128" s="528">
        <v>0.79166666666666663</v>
      </c>
      <c r="N1128" s="210">
        <v>3</v>
      </c>
      <c r="O1128" s="374" t="s">
        <v>17</v>
      </c>
      <c r="P1128" s="375" t="s">
        <v>1530</v>
      </c>
      <c r="Q1128" s="797" t="s">
        <v>1441</v>
      </c>
      <c r="R1128" s="202" t="s">
        <v>95</v>
      </c>
      <c r="S1128" s="31" t="s">
        <v>273</v>
      </c>
      <c r="T1128" s="31" t="s">
        <v>273</v>
      </c>
      <c r="U1128" s="31">
        <f>IFERROR(VLOOKUP(CONCATENATE(Tabla1[[#This Row],[Severidad]]," ",Tabla1[[#This Row],[Complejidad]]),Catalogos!E$120:G$128,3,FALSE),"")</f>
        <v>64</v>
      </c>
      <c r="V1128" s="31" t="str">
        <f>IF(Tabla1[[#This Row],[Tiempo solución max (hrs)]]&lt;&gt;"",IF(Tabla1[[#This Row],[Tiempo solución max (hrs)]]&gt;=Tabla1[[#This Row],[Tiempo
(Hrs 00/100)]],"cumple","no cumple"),"")</f>
        <v>cumple</v>
      </c>
      <c r="W1128" s="376" t="s">
        <v>1453</v>
      </c>
      <c r="X1128" s="377" t="str">
        <f t="shared" si="119"/>
        <v>SSI</v>
      </c>
      <c r="Y1128" t="str">
        <f>SUBSTITUTE(Tabla1[[#This Row],[Descripción]],CHAR(10),"    I    ")</f>
        <v>Se analiza consulta 'Solicitudes totales por tipo (acceso - datos personales) - EXCEL' del Archivo Querys Ponencia, se valida en herramienta y propone mejora</v>
      </c>
      <c r="Z1128" s="142">
        <f>VLOOKUP(Tabla1[[#This Row],[Perfil]],Catalogos!$B$75:$D$100,3,FALSE)*Tabla1[[#This Row],[Tiempo
(Hrs 00/100)]]*1.16</f>
        <v>2088</v>
      </c>
    </row>
    <row r="1129" spans="1:26" ht="15" customHeight="1" x14ac:dyDescent="0.3">
      <c r="A1129" s="243" t="s">
        <v>58</v>
      </c>
      <c r="B1129" s="243" t="s">
        <v>305</v>
      </c>
      <c r="C1129" s="243" t="s">
        <v>257</v>
      </c>
      <c r="D1129" s="243"/>
      <c r="E1129" s="243" t="s">
        <v>408</v>
      </c>
      <c r="F1129" s="243" t="s">
        <v>72</v>
      </c>
      <c r="G1129" s="243" t="s">
        <v>604</v>
      </c>
      <c r="H1129" s="243" t="s">
        <v>1543</v>
      </c>
      <c r="I1129" s="243" t="s">
        <v>1544</v>
      </c>
      <c r="J1129" s="527">
        <v>45113</v>
      </c>
      <c r="K1129" s="528">
        <v>0.375</v>
      </c>
      <c r="L1129" s="527">
        <v>45113</v>
      </c>
      <c r="M1129" s="528">
        <v>0.5</v>
      </c>
      <c r="N1129" s="210">
        <v>3</v>
      </c>
      <c r="O1129" s="374" t="s">
        <v>17</v>
      </c>
      <c r="P1129" s="375" t="s">
        <v>1530</v>
      </c>
      <c r="Q1129" s="797" t="s">
        <v>1441</v>
      </c>
      <c r="R1129" s="202" t="s">
        <v>95</v>
      </c>
      <c r="S1129" s="31" t="s">
        <v>273</v>
      </c>
      <c r="T1129" s="31" t="s">
        <v>273</v>
      </c>
      <c r="U1129" s="31">
        <f>IFERROR(VLOOKUP(CONCATENATE(Tabla1[[#This Row],[Severidad]]," ",Tabla1[[#This Row],[Complejidad]]),Catalogos!E$120:G$128,3,FALSE),"")</f>
        <v>64</v>
      </c>
      <c r="V1129" s="31" t="str">
        <f>IF(Tabla1[[#This Row],[Tiempo solución max (hrs)]]&lt;&gt;"",IF(Tabla1[[#This Row],[Tiempo solución max (hrs)]]&gt;=Tabla1[[#This Row],[Tiempo
(Hrs 00/100)]],"cumple","no cumple"),"")</f>
        <v>cumple</v>
      </c>
      <c r="W1129" s="376" t="s">
        <v>1453</v>
      </c>
      <c r="X1129" s="377" t="str">
        <f t="shared" si="119"/>
        <v>SSI</v>
      </c>
      <c r="Y1129" t="str">
        <f>SUBSTITUTE(Tabla1[[#This Row],[Descripción]],CHAR(10),"    I    ")</f>
        <v>Se analiza consulta 'Solicitudes totales por tipo y Entidad Federativa (acceso - datos personales)' del Archivo Querys Ponencia, se valida en herramienta y propone mejora</v>
      </c>
      <c r="Z1129" s="142">
        <f>VLOOKUP(Tabla1[[#This Row],[Perfil]],Catalogos!$B$75:$D$100,3,FALSE)*Tabla1[[#This Row],[Tiempo
(Hrs 00/100)]]*1.16</f>
        <v>2088</v>
      </c>
    </row>
    <row r="1130" spans="1:26" ht="15" customHeight="1" x14ac:dyDescent="0.3">
      <c r="A1130" s="243" t="s">
        <v>58</v>
      </c>
      <c r="B1130" s="243" t="s">
        <v>305</v>
      </c>
      <c r="C1130" s="243" t="s">
        <v>257</v>
      </c>
      <c r="D1130" s="243"/>
      <c r="E1130" s="243" t="s">
        <v>408</v>
      </c>
      <c r="F1130" s="243" t="s">
        <v>72</v>
      </c>
      <c r="G1130" s="243" t="s">
        <v>604</v>
      </c>
      <c r="H1130" s="243" t="s">
        <v>1545</v>
      </c>
      <c r="I1130" s="243" t="s">
        <v>1546</v>
      </c>
      <c r="J1130" s="527">
        <v>45113</v>
      </c>
      <c r="K1130" s="528">
        <v>0.5</v>
      </c>
      <c r="L1130" s="527">
        <v>45113</v>
      </c>
      <c r="M1130" s="528">
        <v>0.70833333333333337</v>
      </c>
      <c r="N1130" s="210">
        <v>3</v>
      </c>
      <c r="O1130" s="374" t="s">
        <v>17</v>
      </c>
      <c r="P1130" s="375" t="s">
        <v>1530</v>
      </c>
      <c r="Q1130" s="797" t="s">
        <v>1441</v>
      </c>
      <c r="R1130" s="202" t="s">
        <v>95</v>
      </c>
      <c r="S1130" s="31" t="s">
        <v>273</v>
      </c>
      <c r="T1130" s="31" t="s">
        <v>273</v>
      </c>
      <c r="U1130" s="31">
        <f>IFERROR(VLOOKUP(CONCATENATE(Tabla1[[#This Row],[Severidad]]," ",Tabla1[[#This Row],[Complejidad]]),Catalogos!E$120:G$128,3,FALSE),"")</f>
        <v>64</v>
      </c>
      <c r="V1130" s="31" t="str">
        <f>IF(Tabla1[[#This Row],[Tiempo solución max (hrs)]]&lt;&gt;"",IF(Tabla1[[#This Row],[Tiempo solución max (hrs)]]&gt;=Tabla1[[#This Row],[Tiempo
(Hrs 00/100)]],"cumple","no cumple"),"")</f>
        <v>cumple</v>
      </c>
      <c r="W1130" s="376" t="s">
        <v>1453</v>
      </c>
      <c r="X1130" s="377" t="str">
        <f t="shared" si="119"/>
        <v>SSI</v>
      </c>
      <c r="Y1130" t="str">
        <f>SUBSTITUTE(Tabla1[[#This Row],[Descripción]],CHAR(10),"    I    ")</f>
        <v>Se analiza consulta 'Solicitudes de datos personales por tipo de derecho' del Archivo Querys Ponencia, se valida en herramienta y propone mejora</v>
      </c>
      <c r="Z1130" s="142">
        <f>VLOOKUP(Tabla1[[#This Row],[Perfil]],Catalogos!$B$75:$D$100,3,FALSE)*Tabla1[[#This Row],[Tiempo
(Hrs 00/100)]]*1.16</f>
        <v>2088</v>
      </c>
    </row>
    <row r="1131" spans="1:26" ht="15" customHeight="1" x14ac:dyDescent="0.3">
      <c r="A1131" s="370" t="s">
        <v>58</v>
      </c>
      <c r="B1131" s="370" t="s">
        <v>305</v>
      </c>
      <c r="C1131" s="205" t="s">
        <v>257</v>
      </c>
      <c r="D1131" s="370"/>
      <c r="E1131" s="370" t="s">
        <v>408</v>
      </c>
      <c r="F1131" s="370" t="s">
        <v>72</v>
      </c>
      <c r="G1131" s="370" t="s">
        <v>604</v>
      </c>
      <c r="H1131" s="371" t="s">
        <v>1547</v>
      </c>
      <c r="I1131" s="383" t="s">
        <v>1548</v>
      </c>
      <c r="J1131" s="527">
        <v>45113</v>
      </c>
      <c r="K1131" s="528">
        <v>0.70833333333333337</v>
      </c>
      <c r="L1131" s="527">
        <v>45113</v>
      </c>
      <c r="M1131" s="528">
        <v>0.79166666666666663</v>
      </c>
      <c r="N1131" s="373">
        <v>2</v>
      </c>
      <c r="O1131" s="374" t="s">
        <v>17</v>
      </c>
      <c r="P1131" s="375" t="s">
        <v>1530</v>
      </c>
      <c r="Q1131" s="797" t="s">
        <v>1441</v>
      </c>
      <c r="R1131" s="202" t="s">
        <v>95</v>
      </c>
      <c r="S1131" s="31" t="s">
        <v>273</v>
      </c>
      <c r="T1131" s="31" t="s">
        <v>273</v>
      </c>
      <c r="U1131" s="31">
        <f>IFERROR(VLOOKUP(CONCATENATE(Tabla1[[#This Row],[Severidad]]," ",Tabla1[[#This Row],[Complejidad]]),Catalogos!E$120:G$128,3,FALSE),"")</f>
        <v>64</v>
      </c>
      <c r="V1131" s="31" t="str">
        <f>IF(Tabla1[[#This Row],[Tiempo solución max (hrs)]]&lt;&gt;"",IF(Tabla1[[#This Row],[Tiempo solución max (hrs)]]&gt;=Tabla1[[#This Row],[Tiempo
(Hrs 00/100)]],"cumple","no cumple"),"")</f>
        <v>cumple</v>
      </c>
      <c r="W1131" s="376" t="s">
        <v>1453</v>
      </c>
      <c r="X1131" s="377" t="str">
        <f t="shared" si="119"/>
        <v>SSI</v>
      </c>
      <c r="Y1131" t="str">
        <f>SUBSTITUTE(Tabla1[[#This Row],[Descripción]],CHAR(10),"    I    ")</f>
        <v>Se analiza consulta 'Temática de las solicitudes por Entidad federativa y Sujeto obligado' del Archivo Querys Ponencia, se valida en herramienta y propone mejora</v>
      </c>
      <c r="Z1131" s="142">
        <f>VLOOKUP(Tabla1[[#This Row],[Perfil]],Catalogos!$B$75:$D$100,3,FALSE)*Tabla1[[#This Row],[Tiempo
(Hrs 00/100)]]*1.16</f>
        <v>1392</v>
      </c>
    </row>
    <row r="1132" spans="1:26" ht="15" customHeight="1" x14ac:dyDescent="0.3">
      <c r="A1132" s="210" t="s">
        <v>58</v>
      </c>
      <c r="B1132" s="374" t="s">
        <v>305</v>
      </c>
      <c r="C1132" s="205" t="s">
        <v>257</v>
      </c>
      <c r="D1132" s="382"/>
      <c r="E1132" s="370" t="s">
        <v>408</v>
      </c>
      <c r="F1132" s="210" t="s">
        <v>72</v>
      </c>
      <c r="G1132" s="370" t="s">
        <v>604</v>
      </c>
      <c r="H1132" s="371" t="s">
        <v>1549</v>
      </c>
      <c r="I1132" s="383" t="s">
        <v>1550</v>
      </c>
      <c r="J1132" s="527">
        <v>45114</v>
      </c>
      <c r="K1132" s="528">
        <v>0.375</v>
      </c>
      <c r="L1132" s="527">
        <v>45114</v>
      </c>
      <c r="M1132" s="528">
        <v>0.47916666666666669</v>
      </c>
      <c r="N1132" s="210">
        <v>2.5</v>
      </c>
      <c r="O1132" s="374" t="s">
        <v>17</v>
      </c>
      <c r="P1132" s="375" t="s">
        <v>1530</v>
      </c>
      <c r="Q1132" s="797" t="s">
        <v>1441</v>
      </c>
      <c r="R1132" s="202" t="s">
        <v>95</v>
      </c>
      <c r="S1132" s="31" t="s">
        <v>273</v>
      </c>
      <c r="T1132" s="31" t="s">
        <v>273</v>
      </c>
      <c r="U1132" s="31">
        <f>IFERROR(VLOOKUP(CONCATENATE(Tabla1[[#This Row],[Severidad]]," ",Tabla1[[#This Row],[Complejidad]]),Catalogos!E$120:G$128,3,FALSE),"")</f>
        <v>64</v>
      </c>
      <c r="V1132" s="31" t="str">
        <f>IF(Tabla1[[#This Row],[Tiempo solución max (hrs)]]&lt;&gt;"",IF(Tabla1[[#This Row],[Tiempo solución max (hrs)]]&gt;=Tabla1[[#This Row],[Tiempo
(Hrs 00/100)]],"cumple","no cumple"),"")</f>
        <v>cumple</v>
      </c>
      <c r="W1132" s="376" t="s">
        <v>1453</v>
      </c>
      <c r="X1132" s="377" t="str">
        <f t="shared" si="119"/>
        <v>SSI</v>
      </c>
      <c r="Y1132" t="str">
        <f>SUBSTITUTE(Tabla1[[#This Row],[Descripción]],CHAR(10),"    I    ")</f>
        <v>Se analiza consulta 'Solicitudes app móvil EXCEL' del Archivo Querys Ponencia, se valida en herramienta y propone mejora</v>
      </c>
      <c r="Z1132" s="142">
        <f>VLOOKUP(Tabla1[[#This Row],[Perfil]],Catalogos!$B$75:$D$100,3,FALSE)*Tabla1[[#This Row],[Tiempo
(Hrs 00/100)]]*1.16</f>
        <v>1739.9999999999998</v>
      </c>
    </row>
    <row r="1133" spans="1:26" ht="15" customHeight="1" x14ac:dyDescent="0.3">
      <c r="A1133" s="210" t="s">
        <v>58</v>
      </c>
      <c r="B1133" s="374" t="s">
        <v>305</v>
      </c>
      <c r="C1133" s="205" t="s">
        <v>257</v>
      </c>
      <c r="D1133" s="382"/>
      <c r="E1133" s="370" t="s">
        <v>408</v>
      </c>
      <c r="F1133" s="210" t="s">
        <v>72</v>
      </c>
      <c r="G1133" s="370" t="s">
        <v>604</v>
      </c>
      <c r="H1133" s="371" t="s">
        <v>1551</v>
      </c>
      <c r="I1133" s="383" t="s">
        <v>1552</v>
      </c>
      <c r="J1133" s="527">
        <v>45114</v>
      </c>
      <c r="K1133" s="528">
        <v>0.47916666666666669</v>
      </c>
      <c r="L1133" s="527">
        <v>45114</v>
      </c>
      <c r="M1133" s="528">
        <v>0.60416666666666663</v>
      </c>
      <c r="N1133" s="373">
        <v>3</v>
      </c>
      <c r="O1133" s="374" t="s">
        <v>17</v>
      </c>
      <c r="P1133" s="375" t="s">
        <v>1530</v>
      </c>
      <c r="Q1133" s="797" t="s">
        <v>1441</v>
      </c>
      <c r="R1133" s="202" t="s">
        <v>95</v>
      </c>
      <c r="S1133" s="31" t="s">
        <v>273</v>
      </c>
      <c r="T1133" s="31" t="s">
        <v>273</v>
      </c>
      <c r="U1133" s="31">
        <f>IFERROR(VLOOKUP(CONCATENATE(Tabla1[[#This Row],[Severidad]]," ",Tabla1[[#This Row],[Complejidad]]),Catalogos!E$120:G$128,3,FALSE),"")</f>
        <v>64</v>
      </c>
      <c r="V1133" s="31" t="str">
        <f>IF(Tabla1[[#This Row],[Tiempo solución max (hrs)]]&lt;&gt;"",IF(Tabla1[[#This Row],[Tiempo solución max (hrs)]]&gt;=Tabla1[[#This Row],[Tiempo
(Hrs 00/100)]],"cumple","no cumple"),"")</f>
        <v>cumple</v>
      </c>
      <c r="W1133" s="376" t="s">
        <v>1453</v>
      </c>
      <c r="X1133" s="377" t="str">
        <f t="shared" si="119"/>
        <v>SSI</v>
      </c>
      <c r="Y1133" t="str">
        <f>SUBSTITUTE(Tabla1[[#This Row],[Descripción]],CHAR(10),"    I    ")</f>
        <v>Se analiza consulta 'Solicitudes de Portabilidad ' del Archivo Querys Ponencia, se valida en herramienta y propone mejora</v>
      </c>
      <c r="Z1133" s="142">
        <f>VLOOKUP(Tabla1[[#This Row],[Perfil]],Catalogos!$B$75:$D$100,3,FALSE)*Tabla1[[#This Row],[Tiempo
(Hrs 00/100)]]*1.16</f>
        <v>2088</v>
      </c>
    </row>
    <row r="1134" spans="1:26" ht="15" customHeight="1" x14ac:dyDescent="0.3">
      <c r="A1134" s="210" t="s">
        <v>58</v>
      </c>
      <c r="B1134" s="374" t="s">
        <v>305</v>
      </c>
      <c r="C1134" s="205" t="s">
        <v>257</v>
      </c>
      <c r="D1134" s="382"/>
      <c r="E1134" s="370" t="s">
        <v>408</v>
      </c>
      <c r="F1134" s="210" t="s">
        <v>74</v>
      </c>
      <c r="G1134" s="370" t="s">
        <v>604</v>
      </c>
      <c r="H1134" s="371" t="s">
        <v>1553</v>
      </c>
      <c r="I1134" s="383" t="s">
        <v>1554</v>
      </c>
      <c r="J1134" s="527">
        <v>45114</v>
      </c>
      <c r="K1134" s="528">
        <v>0.66666666666666663</v>
      </c>
      <c r="L1134" s="527">
        <v>45114</v>
      </c>
      <c r="M1134" s="528">
        <v>0.70833333333333337</v>
      </c>
      <c r="N1134" s="210">
        <v>1</v>
      </c>
      <c r="O1134" s="374" t="s">
        <v>17</v>
      </c>
      <c r="P1134" s="375" t="s">
        <v>1530</v>
      </c>
      <c r="Q1134" s="797" t="s">
        <v>1441</v>
      </c>
      <c r="R1134" s="202" t="s">
        <v>95</v>
      </c>
      <c r="S1134" s="31" t="s">
        <v>273</v>
      </c>
      <c r="T1134" s="31" t="s">
        <v>273</v>
      </c>
      <c r="U1134" s="31">
        <f>IFERROR(VLOOKUP(CONCATENATE(Tabla1[[#This Row],[Severidad]]," ",Tabla1[[#This Row],[Complejidad]]),Catalogos!E$120:G$128,3,FALSE),"")</f>
        <v>64</v>
      </c>
      <c r="V1134" s="31" t="str">
        <f>IF(Tabla1[[#This Row],[Tiempo solución max (hrs)]]&lt;&gt;"",IF(Tabla1[[#This Row],[Tiempo solución max (hrs)]]&gt;=Tabla1[[#This Row],[Tiempo
(Hrs 00/100)]],"cumple","no cumple"),"")</f>
        <v>cumple</v>
      </c>
      <c r="W1134" s="376" t="s">
        <v>1453</v>
      </c>
      <c r="X1134" s="377" t="str">
        <f t="shared" si="119"/>
        <v>SSI</v>
      </c>
      <c r="Y1134" t="str">
        <f>SUBSTITUTE(Tabla1[[#This Row],[Descripción]],CHAR(10),"    I    ")</f>
        <v>Se revisan configuraciones en herramienta Toad For Oracle para poder utilizar el 'Auto Optimize SQL'</v>
      </c>
      <c r="Z1134" s="142">
        <f>VLOOKUP(Tabla1[[#This Row],[Perfil]],Catalogos!$B$75:$D$100,3,FALSE)*Tabla1[[#This Row],[Tiempo
(Hrs 00/100)]]*1.16</f>
        <v>696</v>
      </c>
    </row>
    <row r="1135" spans="1:26" ht="15" customHeight="1" x14ac:dyDescent="0.3">
      <c r="A1135" s="370" t="s">
        <v>58</v>
      </c>
      <c r="B1135" s="370" t="s">
        <v>305</v>
      </c>
      <c r="C1135" s="418" t="s">
        <v>257</v>
      </c>
      <c r="D1135" s="370"/>
      <c r="E1135" s="370" t="s">
        <v>408</v>
      </c>
      <c r="F1135" s="370" t="s">
        <v>74</v>
      </c>
      <c r="G1135" s="370" t="s">
        <v>604</v>
      </c>
      <c r="H1135" s="371" t="s">
        <v>1555</v>
      </c>
      <c r="I1135" s="383" t="s">
        <v>1556</v>
      </c>
      <c r="J1135" s="527">
        <v>45114</v>
      </c>
      <c r="K1135" s="528">
        <v>0.70833333333333337</v>
      </c>
      <c r="L1135" s="527">
        <v>45114</v>
      </c>
      <c r="M1135" s="528">
        <v>0.72916666666666663</v>
      </c>
      <c r="N1135" s="210">
        <v>0.5</v>
      </c>
      <c r="O1135" s="374" t="s">
        <v>17</v>
      </c>
      <c r="P1135" s="375" t="s">
        <v>1530</v>
      </c>
      <c r="Q1135" s="797" t="s">
        <v>1441</v>
      </c>
      <c r="R1135" s="202" t="s">
        <v>95</v>
      </c>
      <c r="S1135" s="31" t="s">
        <v>273</v>
      </c>
      <c r="T1135" s="31" t="s">
        <v>273</v>
      </c>
      <c r="U1135" s="31">
        <f>IFERROR(VLOOKUP(CONCATENATE(Tabla1[[#This Row],[Severidad]]," ",Tabla1[[#This Row],[Complejidad]]),Catalogos!E$120:G$128,3,FALSE),"")</f>
        <v>64</v>
      </c>
      <c r="V1135" s="31" t="str">
        <f>IF(Tabla1[[#This Row],[Tiempo solución max (hrs)]]&lt;&gt;"",IF(Tabla1[[#This Row],[Tiempo solución max (hrs)]]&gt;=Tabla1[[#This Row],[Tiempo
(Hrs 00/100)]],"cumple","no cumple"),"")</f>
        <v>cumple</v>
      </c>
      <c r="W1135" s="376" t="s">
        <v>1453</v>
      </c>
      <c r="X1135" s="377" t="str">
        <f t="shared" si="119"/>
        <v>SSI</v>
      </c>
      <c r="Y1135" t="str">
        <f>SUBSTITUTE(Tabla1[[#This Row],[Descripción]],CHAR(10),"    I    ")</f>
        <v>Se solicita apoyo del DBA para crear tabla "NREYES"."QUEST_SL_EXPLAIN1" en el ambiente de Desarrollo para validar si el Auto Optimizador SQL funciona</v>
      </c>
      <c r="Z1135" s="142">
        <f>VLOOKUP(Tabla1[[#This Row],[Perfil]],Catalogos!$B$75:$D$100,3,FALSE)*Tabla1[[#This Row],[Tiempo
(Hrs 00/100)]]*1.16</f>
        <v>348</v>
      </c>
    </row>
    <row r="1136" spans="1:26" ht="15" customHeight="1" x14ac:dyDescent="0.3">
      <c r="A1136" s="210" t="s">
        <v>58</v>
      </c>
      <c r="B1136" s="374" t="s">
        <v>305</v>
      </c>
      <c r="C1136" s="205" t="s">
        <v>257</v>
      </c>
      <c r="D1136" s="382"/>
      <c r="E1136" s="370" t="s">
        <v>408</v>
      </c>
      <c r="F1136" s="210" t="s">
        <v>74</v>
      </c>
      <c r="G1136" s="370" t="s">
        <v>604</v>
      </c>
      <c r="H1136" s="371" t="s">
        <v>1557</v>
      </c>
      <c r="I1136" s="383" t="s">
        <v>1558</v>
      </c>
      <c r="J1136" s="527">
        <v>45114</v>
      </c>
      <c r="K1136" s="528">
        <v>0.72916666666666663</v>
      </c>
      <c r="L1136" s="527">
        <v>45114</v>
      </c>
      <c r="M1136" s="528">
        <v>0.75</v>
      </c>
      <c r="N1136" s="210">
        <v>0.5</v>
      </c>
      <c r="O1136" s="374" t="s">
        <v>17</v>
      </c>
      <c r="P1136" s="375" t="s">
        <v>1530</v>
      </c>
      <c r="Q1136" s="797" t="s">
        <v>1441</v>
      </c>
      <c r="R1136" s="202" t="s">
        <v>95</v>
      </c>
      <c r="S1136" s="31" t="s">
        <v>273</v>
      </c>
      <c r="T1136" s="31" t="s">
        <v>273</v>
      </c>
      <c r="U1136" s="31">
        <f>IFERROR(VLOOKUP(CONCATENATE(Tabla1[[#This Row],[Severidad]]," ",Tabla1[[#This Row],[Complejidad]]),Catalogos!E$120:G$128,3,FALSE),"")</f>
        <v>64</v>
      </c>
      <c r="V1136" s="31" t="str">
        <f>IF(Tabla1[[#This Row],[Tiempo solución max (hrs)]]&lt;&gt;"",IF(Tabla1[[#This Row],[Tiempo solución max (hrs)]]&gt;=Tabla1[[#This Row],[Tiempo
(Hrs 00/100)]],"cumple","no cumple"),"")</f>
        <v>cumple</v>
      </c>
      <c r="W1136" s="376" t="s">
        <v>1453</v>
      </c>
      <c r="X1136" s="377" t="str">
        <f t="shared" si="119"/>
        <v>SSI</v>
      </c>
      <c r="Y1136" t="str">
        <f>SUBSTITUTE(Tabla1[[#This Row],[Descripción]],CHAR(10),"    I    ")</f>
        <v>Se solicita apoyo del DBA para otorgar permisos de escritura en usuario NREYES  para validar si el Auto Optimizador SQL funciona</v>
      </c>
      <c r="Z1136" s="142">
        <f>VLOOKUP(Tabla1[[#This Row],[Perfil]],Catalogos!$B$75:$D$100,3,FALSE)*Tabla1[[#This Row],[Tiempo
(Hrs 00/100)]]*1.16</f>
        <v>348</v>
      </c>
    </row>
    <row r="1137" spans="1:26" ht="15" customHeight="1" x14ac:dyDescent="0.3">
      <c r="A1137" s="370" t="s">
        <v>58</v>
      </c>
      <c r="B1137" s="370" t="s">
        <v>305</v>
      </c>
      <c r="C1137" s="205" t="s">
        <v>257</v>
      </c>
      <c r="D1137" s="370"/>
      <c r="E1137" s="370" t="s">
        <v>408</v>
      </c>
      <c r="F1137" s="370" t="s">
        <v>74</v>
      </c>
      <c r="G1137" s="370" t="s">
        <v>604</v>
      </c>
      <c r="H1137" s="371" t="s">
        <v>1559</v>
      </c>
      <c r="I1137" s="383" t="s">
        <v>1560</v>
      </c>
      <c r="J1137" s="527">
        <v>45114</v>
      </c>
      <c r="K1137" s="528">
        <v>0.75</v>
      </c>
      <c r="L1137" s="527">
        <v>45114</v>
      </c>
      <c r="M1137" s="528">
        <v>0.77083333333333337</v>
      </c>
      <c r="N1137" s="210">
        <v>0.5</v>
      </c>
      <c r="O1137" s="374" t="s">
        <v>17</v>
      </c>
      <c r="P1137" s="375" t="s">
        <v>1530</v>
      </c>
      <c r="Q1137" s="797" t="s">
        <v>1441</v>
      </c>
      <c r="R1137" s="202" t="s">
        <v>95</v>
      </c>
      <c r="S1137" s="31" t="s">
        <v>273</v>
      </c>
      <c r="T1137" s="31" t="s">
        <v>273</v>
      </c>
      <c r="U1137" s="31">
        <f>IFERROR(VLOOKUP(CONCATENATE(Tabla1[[#This Row],[Severidad]]," ",Tabla1[[#This Row],[Complejidad]]),Catalogos!E$120:G$128,3,FALSE),"")</f>
        <v>64</v>
      </c>
      <c r="V1137" s="31" t="str">
        <f>IF(Tabla1[[#This Row],[Tiempo solución max (hrs)]]&lt;&gt;"",IF(Tabla1[[#This Row],[Tiempo solución max (hrs)]]&gt;=Tabla1[[#This Row],[Tiempo
(Hrs 00/100)]],"cumple","no cumple"),"")</f>
        <v>cumple</v>
      </c>
      <c r="W1137" s="376" t="s">
        <v>1453</v>
      </c>
      <c r="X1137" s="377" t="str">
        <f t="shared" si="119"/>
        <v>SSI</v>
      </c>
      <c r="Y1137" t="str">
        <f>SUBSTITUTE(Tabla1[[#This Row],[Descripción]],CHAR(10),"    I    ")</f>
        <v>Se valida y comprueba que funciona la herramienta de Auto Optimizador de SQL para el ambiente de Desarrollo</v>
      </c>
      <c r="Z1137" s="142">
        <f>VLOOKUP(Tabla1[[#This Row],[Perfil]],Catalogos!$B$75:$D$100,3,FALSE)*Tabla1[[#This Row],[Tiempo
(Hrs 00/100)]]*1.16</f>
        <v>348</v>
      </c>
    </row>
    <row r="1138" spans="1:26" ht="15" customHeight="1" x14ac:dyDescent="0.3">
      <c r="A1138" s="210" t="s">
        <v>58</v>
      </c>
      <c r="B1138" s="374" t="s">
        <v>305</v>
      </c>
      <c r="C1138" s="205" t="s">
        <v>257</v>
      </c>
      <c r="D1138" s="382"/>
      <c r="E1138" s="370" t="s">
        <v>408</v>
      </c>
      <c r="F1138" s="210" t="s">
        <v>74</v>
      </c>
      <c r="G1138" s="370" t="s">
        <v>604</v>
      </c>
      <c r="H1138" s="419" t="s">
        <v>1561</v>
      </c>
      <c r="I1138" s="420" t="s">
        <v>1562</v>
      </c>
      <c r="J1138" s="527">
        <v>45114</v>
      </c>
      <c r="K1138" s="528">
        <v>0.77083333333333337</v>
      </c>
      <c r="L1138" s="527">
        <v>45114</v>
      </c>
      <c r="M1138" s="528">
        <v>0.79166666666666663</v>
      </c>
      <c r="N1138" s="210">
        <v>0.5</v>
      </c>
      <c r="O1138" s="374" t="s">
        <v>17</v>
      </c>
      <c r="P1138" s="375" t="s">
        <v>1530</v>
      </c>
      <c r="Q1138" s="797" t="s">
        <v>1441</v>
      </c>
      <c r="R1138" s="202" t="s">
        <v>95</v>
      </c>
      <c r="S1138" s="31" t="s">
        <v>273</v>
      </c>
      <c r="T1138" s="31" t="s">
        <v>273</v>
      </c>
      <c r="U1138" s="31">
        <f>IFERROR(VLOOKUP(CONCATENATE(Tabla1[[#This Row],[Severidad]]," ",Tabla1[[#This Row],[Complejidad]]),Catalogos!E$120:G$128,3,FALSE),"")</f>
        <v>64</v>
      </c>
      <c r="V1138" s="31" t="str">
        <f>IF(Tabla1[[#This Row],[Tiempo solución max (hrs)]]&lt;&gt;"",IF(Tabla1[[#This Row],[Tiempo solución max (hrs)]]&gt;=Tabla1[[#This Row],[Tiempo
(Hrs 00/100)]],"cumple","no cumple"),"")</f>
        <v>cumple</v>
      </c>
      <c r="W1138" s="376" t="s">
        <v>1453</v>
      </c>
      <c r="X1138" s="377" t="str">
        <f t="shared" si="119"/>
        <v>SSI</v>
      </c>
      <c r="Y1138" t="str">
        <f>SUBSTITUTE(Tabla1[[#This Row],[Descripción]],CHAR(10),"    I    ")</f>
        <v>Se solicita apoyo del DBA para crear tabla "NREYES_RO"."QUEST_SL_EXPLAIN2" en el ambiente de producción para validar si el Auto Optimizador SQL funciona</v>
      </c>
      <c r="Z1138" s="142">
        <f>VLOOKUP(Tabla1[[#This Row],[Perfil]],Catalogos!$B$75:$D$100,3,FALSE)*Tabla1[[#This Row],[Tiempo
(Hrs 00/100)]]*1.16</f>
        <v>348</v>
      </c>
    </row>
    <row r="1139" spans="1:26" ht="15" customHeight="1" x14ac:dyDescent="0.3">
      <c r="A1139" s="210" t="s">
        <v>58</v>
      </c>
      <c r="B1139" s="374" t="s">
        <v>305</v>
      </c>
      <c r="C1139" s="205" t="s">
        <v>257</v>
      </c>
      <c r="D1139" s="382"/>
      <c r="E1139" s="370" t="s">
        <v>408</v>
      </c>
      <c r="F1139" s="210" t="s">
        <v>74</v>
      </c>
      <c r="G1139" s="370" t="s">
        <v>604</v>
      </c>
      <c r="H1139" s="371" t="s">
        <v>1563</v>
      </c>
      <c r="I1139" s="383" t="s">
        <v>1564</v>
      </c>
      <c r="J1139" s="527">
        <v>45114</v>
      </c>
      <c r="K1139" s="528">
        <v>0.79166666666666663</v>
      </c>
      <c r="L1139" s="527">
        <v>45114</v>
      </c>
      <c r="M1139" s="528">
        <v>0.8125</v>
      </c>
      <c r="N1139" s="210">
        <v>0.5</v>
      </c>
      <c r="O1139" s="374" t="s">
        <v>17</v>
      </c>
      <c r="P1139" s="375" t="s">
        <v>1530</v>
      </c>
      <c r="Q1139" s="797" t="s">
        <v>1441</v>
      </c>
      <c r="R1139" s="202" t="s">
        <v>95</v>
      </c>
      <c r="S1139" s="31" t="s">
        <v>273</v>
      </c>
      <c r="T1139" s="31" t="s">
        <v>273</v>
      </c>
      <c r="U1139" s="31">
        <f>IFERROR(VLOOKUP(CONCATENATE(Tabla1[[#This Row],[Severidad]]," ",Tabla1[[#This Row],[Complejidad]]),Catalogos!E$120:G$128,3,FALSE),"")</f>
        <v>64</v>
      </c>
      <c r="V1139" s="31" t="str">
        <f>IF(Tabla1[[#This Row],[Tiempo solución max (hrs)]]&lt;&gt;"",IF(Tabla1[[#This Row],[Tiempo solución max (hrs)]]&gt;=Tabla1[[#This Row],[Tiempo
(Hrs 00/100)]],"cumple","no cumple"),"")</f>
        <v>cumple</v>
      </c>
      <c r="W1139" s="376" t="s">
        <v>1453</v>
      </c>
      <c r="X1139" s="377" t="str">
        <f t="shared" si="119"/>
        <v>SSI</v>
      </c>
      <c r="Y1139" t="str">
        <f>SUBSTITUTE(Tabla1[[#This Row],[Descripción]],CHAR(10),"    I    ")</f>
        <v>Se solicita apoyo del DBA para otorgar permisos de escritura en usuario NREYES_RO Temporalmente, para validar si el Auto Optimizador SQL funciona</v>
      </c>
      <c r="Z1139" s="142">
        <f>VLOOKUP(Tabla1[[#This Row],[Perfil]],Catalogos!$B$75:$D$100,3,FALSE)*Tabla1[[#This Row],[Tiempo
(Hrs 00/100)]]*1.16</f>
        <v>348</v>
      </c>
    </row>
    <row r="1140" spans="1:26" ht="15" customHeight="1" x14ac:dyDescent="0.3">
      <c r="A1140" s="210" t="s">
        <v>58</v>
      </c>
      <c r="B1140" s="374" t="s">
        <v>305</v>
      </c>
      <c r="C1140" s="205" t="s">
        <v>257</v>
      </c>
      <c r="D1140" s="382"/>
      <c r="E1140" s="370" t="s">
        <v>408</v>
      </c>
      <c r="F1140" s="210" t="s">
        <v>74</v>
      </c>
      <c r="G1140" s="370" t="s">
        <v>604</v>
      </c>
      <c r="H1140" s="371" t="s">
        <v>1565</v>
      </c>
      <c r="I1140" s="383" t="s">
        <v>1566</v>
      </c>
      <c r="J1140" s="527">
        <v>45114</v>
      </c>
      <c r="K1140" s="528">
        <v>0.8125</v>
      </c>
      <c r="L1140" s="527">
        <v>45114</v>
      </c>
      <c r="M1140" s="528">
        <v>0.75</v>
      </c>
      <c r="N1140" s="210">
        <v>0.5</v>
      </c>
      <c r="O1140" s="374" t="s">
        <v>17</v>
      </c>
      <c r="P1140" s="375" t="s">
        <v>1530</v>
      </c>
      <c r="Q1140" s="797" t="s">
        <v>1441</v>
      </c>
      <c r="R1140" s="202" t="s">
        <v>95</v>
      </c>
      <c r="S1140" s="31" t="s">
        <v>273</v>
      </c>
      <c r="T1140" s="31" t="s">
        <v>273</v>
      </c>
      <c r="U1140" s="31">
        <f>IFERROR(VLOOKUP(CONCATENATE(Tabla1[[#This Row],[Severidad]]," ",Tabla1[[#This Row],[Complejidad]]),Catalogos!E$120:G$128,3,FALSE),"")</f>
        <v>64</v>
      </c>
      <c r="V1140" s="31" t="str">
        <f>IF(Tabla1[[#This Row],[Tiempo solución max (hrs)]]&lt;&gt;"",IF(Tabla1[[#This Row],[Tiempo solución max (hrs)]]&gt;=Tabla1[[#This Row],[Tiempo
(Hrs 00/100)]],"cumple","no cumple"),"")</f>
        <v>cumple</v>
      </c>
      <c r="W1140" s="376" t="s">
        <v>1453</v>
      </c>
      <c r="X1140" s="377" t="str">
        <f t="shared" si="119"/>
        <v>SSI</v>
      </c>
      <c r="Y1140" t="str">
        <f>SUBSTITUTE(Tabla1[[#This Row],[Descripción]],CHAR(10),"    I    ")</f>
        <v>Se valida y comprueba que funciona la herramienta de Auto Optimizador de SQL para el ambiente de Producción</v>
      </c>
      <c r="Z1140" s="142">
        <f>VLOOKUP(Tabla1[[#This Row],[Perfil]],Catalogos!$B$75:$D$100,3,FALSE)*Tabla1[[#This Row],[Tiempo
(Hrs 00/100)]]*1.16</f>
        <v>348</v>
      </c>
    </row>
    <row r="1141" spans="1:26" ht="15" customHeight="1" x14ac:dyDescent="0.3">
      <c r="A1141" s="210" t="s">
        <v>58</v>
      </c>
      <c r="B1141" s="374" t="s">
        <v>23</v>
      </c>
      <c r="C1141" s="205" t="s">
        <v>257</v>
      </c>
      <c r="D1141" s="382"/>
      <c r="E1141" s="370" t="s">
        <v>408</v>
      </c>
      <c r="F1141" s="210" t="s">
        <v>23</v>
      </c>
      <c r="G1141" s="370" t="s">
        <v>604</v>
      </c>
      <c r="H1141" s="371" t="s">
        <v>1567</v>
      </c>
      <c r="I1141" s="383" t="s">
        <v>1568</v>
      </c>
      <c r="J1141" s="369">
        <v>45117</v>
      </c>
      <c r="K1141" s="528">
        <v>0.375</v>
      </c>
      <c r="L1141" s="369">
        <v>45117</v>
      </c>
      <c r="M1141" s="528">
        <v>0.54166666666666663</v>
      </c>
      <c r="N1141" s="210">
        <v>4</v>
      </c>
      <c r="O1141" s="374" t="s">
        <v>17</v>
      </c>
      <c r="P1141" s="375" t="s">
        <v>1530</v>
      </c>
      <c r="Q1141" s="797" t="s">
        <v>1441</v>
      </c>
      <c r="R1141" s="202" t="s">
        <v>95</v>
      </c>
      <c r="S1141" s="31" t="s">
        <v>273</v>
      </c>
      <c r="T1141" s="31" t="s">
        <v>273</v>
      </c>
      <c r="U1141" s="31">
        <f>IFERROR(VLOOKUP(CONCATENATE(Tabla1[[#This Row],[Severidad]]," ",Tabla1[[#This Row],[Complejidad]]),Catalogos!E$120:G$128,3,FALSE),"")</f>
        <v>64</v>
      </c>
      <c r="V1141" s="31" t="str">
        <f>IF(Tabla1[[#This Row],[Tiempo solución max (hrs)]]&lt;&gt;"",IF(Tabla1[[#This Row],[Tiempo solución max (hrs)]]&gt;=Tabla1[[#This Row],[Tiempo
(Hrs 00/100)]],"cumple","no cumple"),"")</f>
        <v>cumple</v>
      </c>
      <c r="W1141" s="376" t="s">
        <v>1453</v>
      </c>
      <c r="X1141" s="377" t="str">
        <f t="shared" si="119"/>
        <v>SSI</v>
      </c>
      <c r="Y1141" t="str">
        <f>SUBSTITUTE(Tabla1[[#This Row],[Descripción]],CHAR(10),"    I    ")</f>
        <v>Se completaron ultimos detalles de mejoras de Querys Ponencia con apoyo de la herramienta 'Auto Optimice SQL'</v>
      </c>
      <c r="Z1141" s="142">
        <f>VLOOKUP(Tabla1[[#This Row],[Perfil]],Catalogos!$B$75:$D$100,3,FALSE)*Tabla1[[#This Row],[Tiempo
(Hrs 00/100)]]*1.16</f>
        <v>2784</v>
      </c>
    </row>
    <row r="1142" spans="1:26" ht="15" customHeight="1" x14ac:dyDescent="0.3">
      <c r="A1142" s="243" t="s">
        <v>58</v>
      </c>
      <c r="B1142" s="243" t="s">
        <v>23</v>
      </c>
      <c r="C1142" s="243" t="s">
        <v>257</v>
      </c>
      <c r="D1142" s="243"/>
      <c r="E1142" s="243" t="s">
        <v>408</v>
      </c>
      <c r="F1142" s="243" t="s">
        <v>23</v>
      </c>
      <c r="G1142" s="243" t="s">
        <v>604</v>
      </c>
      <c r="H1142" s="243" t="s">
        <v>1569</v>
      </c>
      <c r="I1142" s="243" t="s">
        <v>1570</v>
      </c>
      <c r="J1142" s="369">
        <v>45117</v>
      </c>
      <c r="K1142" s="528">
        <v>0.54166666666666663</v>
      </c>
      <c r="L1142" s="369">
        <v>45117</v>
      </c>
      <c r="M1142" s="761">
        <v>0.625</v>
      </c>
      <c r="N1142" s="243">
        <v>2</v>
      </c>
      <c r="O1142" s="243" t="s">
        <v>17</v>
      </c>
      <c r="P1142" s="243" t="s">
        <v>1530</v>
      </c>
      <c r="Q1142" s="797" t="s">
        <v>1441</v>
      </c>
      <c r="R1142" s="202" t="s">
        <v>95</v>
      </c>
      <c r="S1142" s="31" t="s">
        <v>273</v>
      </c>
      <c r="T1142" s="31" t="s">
        <v>273</v>
      </c>
      <c r="U1142" s="31">
        <f>IFERROR(VLOOKUP(CONCATENATE(Tabla1[[#This Row],[Severidad]]," ",Tabla1[[#This Row],[Complejidad]]),Catalogos!E$120:G$128,3,FALSE),"")</f>
        <v>64</v>
      </c>
      <c r="V1142" s="31" t="str">
        <f>IF(Tabla1[[#This Row],[Tiempo solución max (hrs)]]&lt;&gt;"",IF(Tabla1[[#This Row],[Tiempo solución max (hrs)]]&gt;=Tabla1[[#This Row],[Tiempo
(Hrs 00/100)]],"cumple","no cumple"),"")</f>
        <v>cumple</v>
      </c>
      <c r="W1142" s="376" t="s">
        <v>1453</v>
      </c>
      <c r="X1142" s="377" t="str">
        <f t="shared" si="119"/>
        <v>SSI</v>
      </c>
      <c r="Y1142" t="str">
        <f>SUBSTITUTE(Tabla1[[#This Row],[Descripción]],CHAR(10),"    I    ")</f>
        <v>Se completó el documento de Word 'Querys Ponencia' con el query de mi mejora + la mejora propuesta por la herramienta con bajo costo</v>
      </c>
      <c r="Z1142" s="142">
        <f>VLOOKUP(Tabla1[[#This Row],[Perfil]],Catalogos!$B$75:$D$100,3,FALSE)*Tabla1[[#This Row],[Tiempo
(Hrs 00/100)]]*1.16</f>
        <v>1392</v>
      </c>
    </row>
    <row r="1143" spans="1:26" ht="15" customHeight="1" x14ac:dyDescent="0.3">
      <c r="A1143" s="243" t="s">
        <v>58</v>
      </c>
      <c r="B1143" s="243" t="s">
        <v>21</v>
      </c>
      <c r="C1143" s="243" t="s">
        <v>257</v>
      </c>
      <c r="D1143" s="243"/>
      <c r="E1143" s="243" t="s">
        <v>408</v>
      </c>
      <c r="F1143" s="243" t="s">
        <v>74</v>
      </c>
      <c r="G1143" s="243" t="s">
        <v>604</v>
      </c>
      <c r="H1143" s="243" t="s">
        <v>1571</v>
      </c>
      <c r="I1143" s="243" t="s">
        <v>1571</v>
      </c>
      <c r="J1143" s="369">
        <v>45117</v>
      </c>
      <c r="K1143" s="762">
        <v>0.66666666666666663</v>
      </c>
      <c r="L1143" s="369">
        <v>45117</v>
      </c>
      <c r="M1143" s="762">
        <v>0.70833333333333337</v>
      </c>
      <c r="N1143" s="243">
        <v>1</v>
      </c>
      <c r="O1143" s="243" t="s">
        <v>17</v>
      </c>
      <c r="P1143" s="243" t="s">
        <v>1572</v>
      </c>
      <c r="Q1143" s="797" t="s">
        <v>1441</v>
      </c>
      <c r="R1143" s="202" t="s">
        <v>95</v>
      </c>
      <c r="S1143" s="31" t="s">
        <v>273</v>
      </c>
      <c r="T1143" s="31" t="s">
        <v>273</v>
      </c>
      <c r="U1143" s="31">
        <f>IFERROR(VLOOKUP(CONCATENATE(Tabla1[[#This Row],[Severidad]]," ",Tabla1[[#This Row],[Complejidad]]),Catalogos!E$120:G$128,3,FALSE),"")</f>
        <v>64</v>
      </c>
      <c r="V1143" s="31" t="str">
        <f>IF(Tabla1[[#This Row],[Tiempo solución max (hrs)]]&lt;&gt;"",IF(Tabla1[[#This Row],[Tiempo solución max (hrs)]]&gt;=Tabla1[[#This Row],[Tiempo
(Hrs 00/100)]],"cumple","no cumple"),"")</f>
        <v>cumple</v>
      </c>
      <c r="W1143" s="376" t="s">
        <v>1453</v>
      </c>
      <c r="X1143" s="377" t="str">
        <f t="shared" si="119"/>
        <v>SSI</v>
      </c>
      <c r="Y1143" t="str">
        <f>SUBSTITUTE(Tabla1[[#This Row],[Descripción]],CHAR(10),"    I    ")</f>
        <v>Se solicitaron permisos para cargar archivos a la ruta del sharepoint</v>
      </c>
      <c r="Z1143" s="142">
        <f>VLOOKUP(Tabla1[[#This Row],[Perfil]],Catalogos!$B$75:$D$100,3,FALSE)*Tabla1[[#This Row],[Tiempo
(Hrs 00/100)]]*1.16</f>
        <v>696</v>
      </c>
    </row>
    <row r="1144" spans="1:26" ht="15" customHeight="1" x14ac:dyDescent="0.3">
      <c r="A1144" s="210" t="s">
        <v>58</v>
      </c>
      <c r="B1144" s="374" t="s">
        <v>23</v>
      </c>
      <c r="C1144" s="205" t="s">
        <v>257</v>
      </c>
      <c r="D1144" s="382"/>
      <c r="E1144" s="370" t="s">
        <v>408</v>
      </c>
      <c r="F1144" s="210" t="s">
        <v>23</v>
      </c>
      <c r="G1144" s="370" t="s">
        <v>604</v>
      </c>
      <c r="H1144" s="371" t="s">
        <v>1573</v>
      </c>
      <c r="I1144" s="383" t="s">
        <v>1574</v>
      </c>
      <c r="J1144" s="369">
        <v>45117</v>
      </c>
      <c r="K1144" s="762">
        <v>0.70833333333333337</v>
      </c>
      <c r="L1144" s="369">
        <v>45117</v>
      </c>
      <c r="M1144" s="753">
        <v>0.75</v>
      </c>
      <c r="N1144" s="210">
        <v>1</v>
      </c>
      <c r="O1144" s="374" t="s">
        <v>17</v>
      </c>
      <c r="P1144" s="375" t="s">
        <v>1530</v>
      </c>
      <c r="Q1144" s="797" t="s">
        <v>1441</v>
      </c>
      <c r="R1144" s="202" t="s">
        <v>95</v>
      </c>
      <c r="S1144" s="31" t="s">
        <v>273</v>
      </c>
      <c r="T1144" s="31" t="s">
        <v>273</v>
      </c>
      <c r="U1144" s="31">
        <f>IFERROR(VLOOKUP(CONCATENATE(Tabla1[[#This Row],[Severidad]]," ",Tabla1[[#This Row],[Complejidad]]),Catalogos!E$120:G$128,3,FALSE),"")</f>
        <v>64</v>
      </c>
      <c r="V1144" s="31" t="str">
        <f>IF(Tabla1[[#This Row],[Tiempo solución max (hrs)]]&lt;&gt;"",IF(Tabla1[[#This Row],[Tiempo solución max (hrs)]]&gt;=Tabla1[[#This Row],[Tiempo
(Hrs 00/100)]],"cumple","no cumple"),"")</f>
        <v>cumple</v>
      </c>
      <c r="W1144" s="376" t="s">
        <v>1453</v>
      </c>
      <c r="X1144" s="377" t="str">
        <f t="shared" si="119"/>
        <v>SSI</v>
      </c>
      <c r="Y1144" t="str">
        <f>SUBSTITUTE(Tabla1[[#This Row],[Descripción]],CHAR(10),"    I    ")</f>
        <v>Se agregó mi archivo 'Querys Ponencia_MejoraNReyes' con mejoras al sharepoint con los 9 querys y mejoras</v>
      </c>
      <c r="Z1144" s="142">
        <f>VLOOKUP(Tabla1[[#This Row],[Perfil]],Catalogos!$B$75:$D$100,3,FALSE)*Tabla1[[#This Row],[Tiempo
(Hrs 00/100)]]*1.16</f>
        <v>696</v>
      </c>
    </row>
    <row r="1145" spans="1:26" ht="15" customHeight="1" x14ac:dyDescent="0.3">
      <c r="A1145" s="210" t="s">
        <v>58</v>
      </c>
      <c r="B1145" s="374" t="s">
        <v>305</v>
      </c>
      <c r="C1145" s="205" t="s">
        <v>257</v>
      </c>
      <c r="D1145" s="382"/>
      <c r="E1145" s="370" t="s">
        <v>408</v>
      </c>
      <c r="F1145" s="210" t="s">
        <v>72</v>
      </c>
      <c r="G1145" s="370" t="s">
        <v>604</v>
      </c>
      <c r="H1145" s="371" t="s">
        <v>1575</v>
      </c>
      <c r="I1145" s="383" t="s">
        <v>1576</v>
      </c>
      <c r="J1145" s="369">
        <v>45117</v>
      </c>
      <c r="K1145" s="753">
        <v>0.75</v>
      </c>
      <c r="L1145" s="369">
        <v>45117</v>
      </c>
      <c r="M1145" s="753">
        <v>0.77083333333333337</v>
      </c>
      <c r="N1145" s="210">
        <v>0.5</v>
      </c>
      <c r="O1145" s="374" t="s">
        <v>17</v>
      </c>
      <c r="P1145" s="375" t="s">
        <v>1530</v>
      </c>
      <c r="Q1145" s="797" t="s">
        <v>1441</v>
      </c>
      <c r="R1145" s="202" t="s">
        <v>95</v>
      </c>
      <c r="S1145" s="31" t="s">
        <v>273</v>
      </c>
      <c r="T1145" s="31" t="s">
        <v>273</v>
      </c>
      <c r="U1145" s="31">
        <f>IFERROR(VLOOKUP(CONCATENATE(Tabla1[[#This Row],[Severidad]]," ",Tabla1[[#This Row],[Complejidad]]),Catalogos!E$120:G$128,3,FALSE),"")</f>
        <v>64</v>
      </c>
      <c r="V1145" s="31" t="str">
        <f>IF(Tabla1[[#This Row],[Tiempo solución max (hrs)]]&lt;&gt;"",IF(Tabla1[[#This Row],[Tiempo solución max (hrs)]]&gt;=Tabla1[[#This Row],[Tiempo
(Hrs 00/100)]],"cumple","no cumple"),"")</f>
        <v>cumple</v>
      </c>
      <c r="W1145" s="376" t="s">
        <v>1453</v>
      </c>
      <c r="X1145" s="377" t="str">
        <f t="shared" si="119"/>
        <v>SSI</v>
      </c>
      <c r="Y1145" t="str">
        <f>SUBSTITUTE(Tabla1[[#This Row],[Descripción]],CHAR(10),"    I    ")</f>
        <v>Se tuvó sesión con el subdirector para comentar pasos siguientes sobre nuevas mejoras al SISAI</v>
      </c>
      <c r="Z1145" s="142">
        <f>VLOOKUP(Tabla1[[#This Row],[Perfil]],Catalogos!$B$75:$D$100,3,FALSE)*Tabla1[[#This Row],[Tiempo
(Hrs 00/100)]]*1.16</f>
        <v>348</v>
      </c>
    </row>
    <row r="1146" spans="1:26" ht="15" customHeight="1" x14ac:dyDescent="0.3">
      <c r="A1146" s="370" t="s">
        <v>58</v>
      </c>
      <c r="B1146" s="370" t="s">
        <v>305</v>
      </c>
      <c r="C1146" s="418" t="s">
        <v>257</v>
      </c>
      <c r="D1146" s="370"/>
      <c r="E1146" s="370" t="s">
        <v>408</v>
      </c>
      <c r="F1146" s="370" t="s">
        <v>72</v>
      </c>
      <c r="G1146" s="370" t="s">
        <v>604</v>
      </c>
      <c r="H1146" s="371" t="s">
        <v>1577</v>
      </c>
      <c r="I1146" s="383" t="s">
        <v>1578</v>
      </c>
      <c r="J1146" s="369">
        <v>45117</v>
      </c>
      <c r="K1146" s="753">
        <v>0.77083333333333337</v>
      </c>
      <c r="L1146" s="369">
        <v>45117</v>
      </c>
      <c r="M1146" s="753">
        <v>0.79166666666666663</v>
      </c>
      <c r="N1146" s="373">
        <v>0.5</v>
      </c>
      <c r="O1146" s="374" t="s">
        <v>17</v>
      </c>
      <c r="P1146" s="375" t="s">
        <v>1530</v>
      </c>
      <c r="Q1146" s="797" t="s">
        <v>1441</v>
      </c>
      <c r="R1146" s="202" t="s">
        <v>95</v>
      </c>
      <c r="S1146" s="31" t="s">
        <v>273</v>
      </c>
      <c r="T1146" s="31" t="s">
        <v>273</v>
      </c>
      <c r="U1146" s="31">
        <f>IFERROR(VLOOKUP(CONCATENATE(Tabla1[[#This Row],[Severidad]]," ",Tabla1[[#This Row],[Complejidad]]),Catalogos!E$120:G$128,3,FALSE),"")</f>
        <v>64</v>
      </c>
      <c r="V1146" s="31" t="str">
        <f>IF(Tabla1[[#This Row],[Tiempo solución max (hrs)]]&lt;&gt;"",IF(Tabla1[[#This Row],[Tiempo solución max (hrs)]]&gt;=Tabla1[[#This Row],[Tiempo
(Hrs 00/100)]],"cumple","no cumple"),"")</f>
        <v>cumple</v>
      </c>
      <c r="W1146" s="376" t="s">
        <v>1453</v>
      </c>
      <c r="X1146" s="377" t="str">
        <f t="shared" si="119"/>
        <v>SSI</v>
      </c>
      <c r="Y1146" t="str">
        <f>SUBSTITUTE(Tabla1[[#This Row],[Descripción]],CHAR(10),"    I    ")</f>
        <v>Se revisó con subdirector la estructura que tendra el paquete del SISAI y como se iran agregando los procedimientos, asi como los parametros</v>
      </c>
      <c r="Z1146" s="142">
        <f>VLOOKUP(Tabla1[[#This Row],[Perfil]],Catalogos!$B$75:$D$100,3,FALSE)*Tabla1[[#This Row],[Tiempo
(Hrs 00/100)]]*1.16</f>
        <v>348</v>
      </c>
    </row>
    <row r="1147" spans="1:26" ht="15" customHeight="1" x14ac:dyDescent="0.3">
      <c r="A1147" s="210" t="s">
        <v>58</v>
      </c>
      <c r="B1147" s="374" t="s">
        <v>305</v>
      </c>
      <c r="C1147" s="205" t="s">
        <v>257</v>
      </c>
      <c r="D1147" s="382"/>
      <c r="E1147" s="370" t="s">
        <v>408</v>
      </c>
      <c r="F1147" s="210" t="s">
        <v>72</v>
      </c>
      <c r="G1147" s="370" t="s">
        <v>604</v>
      </c>
      <c r="H1147" s="371" t="s">
        <v>1579</v>
      </c>
      <c r="I1147" s="383" t="s">
        <v>1580</v>
      </c>
      <c r="J1147" s="369">
        <v>45118</v>
      </c>
      <c r="K1147" s="747">
        <v>0.375</v>
      </c>
      <c r="L1147" s="369">
        <v>45118</v>
      </c>
      <c r="M1147" s="753">
        <v>0.39583333333333331</v>
      </c>
      <c r="N1147" s="210">
        <v>0.5</v>
      </c>
      <c r="O1147" s="374" t="s">
        <v>17</v>
      </c>
      <c r="P1147" s="375" t="s">
        <v>1530</v>
      </c>
      <c r="Q1147" s="797" t="s">
        <v>1441</v>
      </c>
      <c r="R1147" s="202" t="s">
        <v>95</v>
      </c>
      <c r="S1147" s="31" t="s">
        <v>273</v>
      </c>
      <c r="T1147" s="31" t="s">
        <v>273</v>
      </c>
      <c r="U1147" s="31">
        <f>IFERROR(VLOOKUP(CONCATENATE(Tabla1[[#This Row],[Severidad]]," ",Tabla1[[#This Row],[Complejidad]]),Catalogos!E$120:G$128,3,FALSE),"")</f>
        <v>64</v>
      </c>
      <c r="V1147" s="31" t="str">
        <f>IF(Tabla1[[#This Row],[Tiempo solución max (hrs)]]&lt;&gt;"",IF(Tabla1[[#This Row],[Tiempo solución max (hrs)]]&gt;=Tabla1[[#This Row],[Tiempo
(Hrs 00/100)]],"cumple","no cumple"),"")</f>
        <v>cumple</v>
      </c>
      <c r="W1147" s="376" t="s">
        <v>1453</v>
      </c>
      <c r="X1147" s="377" t="str">
        <f t="shared" si="119"/>
        <v>SSI</v>
      </c>
      <c r="Y1147" t="str">
        <f>SUBSTITUTE(Tabla1[[#This Row],[Descripción]],CHAR(10),"    I    ")</f>
        <v>Se revisó funcionalidad del 1er query del archivo 'Query SISAI' con una navegación en el aplicativo con el subdirector</v>
      </c>
      <c r="Z1147" s="142">
        <f>VLOOKUP(Tabla1[[#This Row],[Perfil]],Catalogos!$B$75:$D$100,3,FALSE)*Tabla1[[#This Row],[Tiempo
(Hrs 00/100)]]*1.16</f>
        <v>348</v>
      </c>
    </row>
    <row r="1148" spans="1:26" ht="15" customHeight="1" x14ac:dyDescent="0.3">
      <c r="A1148" s="370" t="s">
        <v>58</v>
      </c>
      <c r="B1148" s="370" t="s">
        <v>305</v>
      </c>
      <c r="C1148" s="418" t="s">
        <v>257</v>
      </c>
      <c r="D1148" s="370"/>
      <c r="E1148" s="370" t="s">
        <v>408</v>
      </c>
      <c r="F1148" s="370" t="s">
        <v>72</v>
      </c>
      <c r="G1148" s="370" t="s">
        <v>604</v>
      </c>
      <c r="H1148" s="371" t="s">
        <v>1581</v>
      </c>
      <c r="I1148" s="383" t="s">
        <v>1582</v>
      </c>
      <c r="J1148" s="369">
        <v>45118</v>
      </c>
      <c r="K1148" s="753">
        <v>0.39583333333333331</v>
      </c>
      <c r="L1148" s="369">
        <v>45118</v>
      </c>
      <c r="M1148" s="753">
        <v>0.52083333333333337</v>
      </c>
      <c r="N1148" s="373">
        <v>3</v>
      </c>
      <c r="O1148" s="374" t="s">
        <v>17</v>
      </c>
      <c r="P1148" s="375" t="s">
        <v>1583</v>
      </c>
      <c r="Q1148" s="797" t="s">
        <v>1441</v>
      </c>
      <c r="R1148" s="202" t="s">
        <v>95</v>
      </c>
      <c r="S1148" s="31" t="s">
        <v>273</v>
      </c>
      <c r="T1148" s="31" t="s">
        <v>273</v>
      </c>
      <c r="U1148" s="31">
        <f>IFERROR(VLOOKUP(CONCATENATE(Tabla1[[#This Row],[Severidad]]," ",Tabla1[[#This Row],[Complejidad]]),Catalogos!E$120:G$128,3,FALSE),"")</f>
        <v>64</v>
      </c>
      <c r="V1148" s="31" t="str">
        <f>IF(Tabla1[[#This Row],[Tiempo solución max (hrs)]]&lt;&gt;"",IF(Tabla1[[#This Row],[Tiempo solución max (hrs)]]&gt;=Tabla1[[#This Row],[Tiempo
(Hrs 00/100)]],"cumple","no cumple"),"")</f>
        <v>cumple</v>
      </c>
      <c r="W1148" s="376" t="s">
        <v>1453</v>
      </c>
      <c r="X1148" s="377" t="str">
        <f t="shared" si="119"/>
        <v>SSI</v>
      </c>
      <c r="Y1148" t="str">
        <f>SUBSTITUTE(Tabla1[[#This Row],[Descripción]],CHAR(10),"    I    ")</f>
        <v>Se analizó el 1er Query de SISAI '1.Funcionalidad que obtiene el dashboard de Mis Solicitudes del solicitante' y se detectó un tema con el parametro 'idUsuario' ya que debe ser obligatorio</v>
      </c>
      <c r="Z1148" s="142">
        <f>VLOOKUP(Tabla1[[#This Row],[Perfil]],Catalogos!$B$75:$D$100,3,FALSE)*Tabla1[[#This Row],[Tiempo
(Hrs 00/100)]]*1.16</f>
        <v>2088</v>
      </c>
    </row>
    <row r="1149" spans="1:26" ht="15" customHeight="1" x14ac:dyDescent="0.3">
      <c r="A1149" s="210" t="s">
        <v>22</v>
      </c>
      <c r="B1149" s="374" t="s">
        <v>23</v>
      </c>
      <c r="C1149" s="205" t="s">
        <v>257</v>
      </c>
      <c r="D1149" s="382"/>
      <c r="E1149" s="370" t="s">
        <v>408</v>
      </c>
      <c r="F1149" s="210" t="s">
        <v>72</v>
      </c>
      <c r="G1149" s="370" t="s">
        <v>604</v>
      </c>
      <c r="H1149" s="243" t="s">
        <v>1584</v>
      </c>
      <c r="I1149" s="243" t="s">
        <v>1585</v>
      </c>
      <c r="J1149" s="369">
        <v>45118</v>
      </c>
      <c r="K1149" s="753">
        <v>0.52083333333333337</v>
      </c>
      <c r="L1149" s="369">
        <v>45118</v>
      </c>
      <c r="M1149" s="762">
        <v>0.79166666666666663</v>
      </c>
      <c r="N1149" s="243">
        <v>5.5</v>
      </c>
      <c r="O1149" s="243" t="s">
        <v>17</v>
      </c>
      <c r="P1149" s="375" t="s">
        <v>1583</v>
      </c>
      <c r="Q1149" s="797" t="s">
        <v>1441</v>
      </c>
      <c r="R1149" s="202" t="s">
        <v>95</v>
      </c>
      <c r="S1149" s="31" t="s">
        <v>273</v>
      </c>
      <c r="T1149" s="31" t="s">
        <v>273</v>
      </c>
      <c r="U1149" s="31">
        <f>IFERROR(VLOOKUP(CONCATENATE(Tabla1[[#This Row],[Severidad]]," ",Tabla1[[#This Row],[Complejidad]]),Catalogos!E$120:G$128,3,FALSE),"")</f>
        <v>64</v>
      </c>
      <c r="V1149" s="31" t="str">
        <f>IF(Tabla1[[#This Row],[Tiempo solución max (hrs)]]&lt;&gt;"",IF(Tabla1[[#This Row],[Tiempo solución max (hrs)]]&gt;=Tabla1[[#This Row],[Tiempo
(Hrs 00/100)]],"cumple","no cumple"),"")</f>
        <v>cumple</v>
      </c>
      <c r="W1149" s="376" t="s">
        <v>1453</v>
      </c>
      <c r="X1149" s="377" t="str">
        <f t="shared" si="119"/>
        <v>SSI</v>
      </c>
      <c r="Y1149" t="str">
        <f>SUBSTITUTE(Tabla1[[#This Row],[Descripción]],CHAR(10),"    I    ")</f>
        <v>Se trabajó para optimizar el 1er Query de SISAI, de la funcionalidad del dashboard de Mis Solicitudes</v>
      </c>
      <c r="Z1149" s="142">
        <f>VLOOKUP(Tabla1[[#This Row],[Perfil]],Catalogos!$B$75:$D$100,3,FALSE)*Tabla1[[#This Row],[Tiempo
(Hrs 00/100)]]*1.16</f>
        <v>3827.9999999999995</v>
      </c>
    </row>
    <row r="1150" spans="1:26" ht="15" customHeight="1" x14ac:dyDescent="0.3">
      <c r="A1150" s="370" t="s">
        <v>58</v>
      </c>
      <c r="B1150" s="370" t="s">
        <v>23</v>
      </c>
      <c r="C1150" s="418" t="s">
        <v>257</v>
      </c>
      <c r="D1150" s="370"/>
      <c r="E1150" s="370" t="s">
        <v>408</v>
      </c>
      <c r="F1150" s="370" t="s">
        <v>23</v>
      </c>
      <c r="G1150" s="370" t="s">
        <v>604</v>
      </c>
      <c r="H1150" s="243" t="s">
        <v>1586</v>
      </c>
      <c r="I1150" s="243" t="s">
        <v>1587</v>
      </c>
      <c r="J1150" s="715">
        <v>45119</v>
      </c>
      <c r="K1150" s="762">
        <v>0.375</v>
      </c>
      <c r="L1150" s="715">
        <v>45119</v>
      </c>
      <c r="M1150" s="762">
        <v>0.5</v>
      </c>
      <c r="N1150" s="243">
        <v>3</v>
      </c>
      <c r="O1150" s="243" t="s">
        <v>17</v>
      </c>
      <c r="P1150" s="375" t="s">
        <v>1583</v>
      </c>
      <c r="Q1150" s="797" t="s">
        <v>1441</v>
      </c>
      <c r="R1150" s="202" t="s">
        <v>95</v>
      </c>
      <c r="S1150" s="31" t="s">
        <v>273</v>
      </c>
      <c r="T1150" s="31" t="s">
        <v>273</v>
      </c>
      <c r="U1150" s="31">
        <f>IFERROR(VLOOKUP(CONCATENATE(Tabla1[[#This Row],[Severidad]]," ",Tabla1[[#This Row],[Complejidad]]),Catalogos!E$120:G$128,3,FALSE),"")</f>
        <v>64</v>
      </c>
      <c r="V1150" s="31" t="str">
        <f>IF(Tabla1[[#This Row],[Tiempo solución max (hrs)]]&lt;&gt;"",IF(Tabla1[[#This Row],[Tiempo solución max (hrs)]]&gt;=Tabla1[[#This Row],[Tiempo
(Hrs 00/100)]],"cumple","no cumple"),"")</f>
        <v>cumple</v>
      </c>
      <c r="W1150" s="376" t="s">
        <v>1453</v>
      </c>
      <c r="X1150" s="377" t="str">
        <f t="shared" si="119"/>
        <v>SSI</v>
      </c>
      <c r="Y1150" t="str">
        <f>SUBSTITUTE(Tabla1[[#This Row],[Descripción]],CHAR(10),"    I    ")</f>
        <v>Se revisó a detalle del query1, la tabla 'sisai.sisai_tr_solicitud_general' con la columna 'id_usuario_solicitud' y se propuso creación de INDICE</v>
      </c>
      <c r="Z1150" s="142">
        <f>VLOOKUP(Tabla1[[#This Row],[Perfil]],Catalogos!$B$75:$D$100,3,FALSE)*Tabla1[[#This Row],[Tiempo
(Hrs 00/100)]]*1.16</f>
        <v>2088</v>
      </c>
    </row>
    <row r="1151" spans="1:26" ht="15" customHeight="1" x14ac:dyDescent="0.3">
      <c r="A1151" s="210" t="s">
        <v>58</v>
      </c>
      <c r="B1151" s="374" t="s">
        <v>23</v>
      </c>
      <c r="C1151" s="205" t="s">
        <v>257</v>
      </c>
      <c r="D1151" s="382"/>
      <c r="E1151" s="370" t="s">
        <v>408</v>
      </c>
      <c r="F1151" s="210" t="s">
        <v>23</v>
      </c>
      <c r="G1151" s="370" t="s">
        <v>604</v>
      </c>
      <c r="H1151" s="371" t="s">
        <v>1588</v>
      </c>
      <c r="I1151" s="383" t="s">
        <v>1589</v>
      </c>
      <c r="J1151" s="369">
        <v>45119</v>
      </c>
      <c r="K1151" s="762">
        <v>0.5</v>
      </c>
      <c r="L1151" s="369">
        <v>45119</v>
      </c>
      <c r="M1151" s="753">
        <v>0.58333333333333337</v>
      </c>
      <c r="N1151" s="210">
        <v>2</v>
      </c>
      <c r="O1151" s="374" t="s">
        <v>17</v>
      </c>
      <c r="P1151" s="375" t="s">
        <v>1583</v>
      </c>
      <c r="Q1151" s="797" t="s">
        <v>1441</v>
      </c>
      <c r="R1151" s="202" t="s">
        <v>95</v>
      </c>
      <c r="S1151" s="31" t="s">
        <v>273</v>
      </c>
      <c r="T1151" s="31" t="s">
        <v>273</v>
      </c>
      <c r="U1151" s="31">
        <f>IFERROR(VLOOKUP(CONCATENATE(Tabla1[[#This Row],[Severidad]]," ",Tabla1[[#This Row],[Complejidad]]),Catalogos!E$120:G$128,3,FALSE),"")</f>
        <v>64</v>
      </c>
      <c r="V1151" s="31" t="str">
        <f>IF(Tabla1[[#This Row],[Tiempo solución max (hrs)]]&lt;&gt;"",IF(Tabla1[[#This Row],[Tiempo solución max (hrs)]]&gt;=Tabla1[[#This Row],[Tiempo
(Hrs 00/100)]],"cumple","no cumple"),"")</f>
        <v>cumple</v>
      </c>
      <c r="W1151" s="376" t="s">
        <v>1453</v>
      </c>
      <c r="X1151" s="377" t="str">
        <f t="shared" si="119"/>
        <v>SSI</v>
      </c>
      <c r="Y1151" t="str">
        <f>SUBSTITUTE(Tabla1[[#This Row],[Descripción]],CHAR(10),"    I    ")</f>
        <v>Se intentó crear 1ra versión del paquete y no se tenian los privilegios con mi usuario NREYES en el ambiente de Desarrollo, se le reportó a subdirector</v>
      </c>
      <c r="Z1151" s="142">
        <f>VLOOKUP(Tabla1[[#This Row],[Perfil]],Catalogos!$B$75:$D$100,3,FALSE)*Tabla1[[#This Row],[Tiempo
(Hrs 00/100)]]*1.16</f>
        <v>1392</v>
      </c>
    </row>
    <row r="1152" spans="1:26" ht="15" customHeight="1" x14ac:dyDescent="0.3">
      <c r="A1152" s="370" t="s">
        <v>58</v>
      </c>
      <c r="B1152" s="370" t="s">
        <v>305</v>
      </c>
      <c r="C1152" s="418" t="s">
        <v>257</v>
      </c>
      <c r="D1152" s="370"/>
      <c r="E1152" s="370" t="s">
        <v>408</v>
      </c>
      <c r="F1152" s="370" t="s">
        <v>72</v>
      </c>
      <c r="G1152" s="370" t="s">
        <v>604</v>
      </c>
      <c r="H1152" s="371" t="s">
        <v>1590</v>
      </c>
      <c r="I1152" s="383" t="s">
        <v>1591</v>
      </c>
      <c r="J1152" s="369">
        <v>45119</v>
      </c>
      <c r="K1152" s="747">
        <v>0.625</v>
      </c>
      <c r="L1152" s="369">
        <v>45119</v>
      </c>
      <c r="M1152" s="753">
        <v>0.66666666666666663</v>
      </c>
      <c r="N1152" s="373">
        <v>1</v>
      </c>
      <c r="O1152" s="374" t="s">
        <v>17</v>
      </c>
      <c r="P1152" s="375" t="s">
        <v>1583</v>
      </c>
      <c r="Q1152" s="797" t="s">
        <v>1441</v>
      </c>
      <c r="R1152" s="202" t="s">
        <v>95</v>
      </c>
      <c r="S1152" s="31" t="s">
        <v>273</v>
      </c>
      <c r="T1152" s="31" t="s">
        <v>273</v>
      </c>
      <c r="U1152" s="31">
        <f>IFERROR(VLOOKUP(CONCATENATE(Tabla1[[#This Row],[Severidad]]," ",Tabla1[[#This Row],[Complejidad]]),Catalogos!E$120:G$128,3,FALSE),"")</f>
        <v>64</v>
      </c>
      <c r="V1152" s="31" t="str">
        <f>IF(Tabla1[[#This Row],[Tiempo solución max (hrs)]]&lt;&gt;"",IF(Tabla1[[#This Row],[Tiempo solución max (hrs)]]&gt;=Tabla1[[#This Row],[Tiempo
(Hrs 00/100)]],"cumple","no cumple"),"")</f>
        <v>cumple</v>
      </c>
      <c r="W1152" s="376" t="s">
        <v>1453</v>
      </c>
      <c r="X1152" s="377" t="str">
        <f t="shared" si="119"/>
        <v>SSI</v>
      </c>
      <c r="Y1152" t="str">
        <f>SUBSTITUTE(Tabla1[[#This Row],[Descripción]],CHAR(10),"    I    ")</f>
        <v>Se solicitó apoyo para poder ingresar a mi correo de ND para solicitar peticiones de la Base de Datos</v>
      </c>
      <c r="Z1152" s="142">
        <f>VLOOKUP(Tabla1[[#This Row],[Perfil]],Catalogos!$B$75:$D$100,3,FALSE)*Tabla1[[#This Row],[Tiempo
(Hrs 00/100)]]*1.16</f>
        <v>696</v>
      </c>
    </row>
    <row r="1153" spans="1:26" ht="15" customHeight="1" x14ac:dyDescent="0.3">
      <c r="A1153" s="210" t="s">
        <v>58</v>
      </c>
      <c r="B1153" s="374" t="s">
        <v>305</v>
      </c>
      <c r="C1153" s="205" t="s">
        <v>257</v>
      </c>
      <c r="D1153" s="382"/>
      <c r="E1153" s="370" t="s">
        <v>408</v>
      </c>
      <c r="F1153" s="210" t="s">
        <v>72</v>
      </c>
      <c r="G1153" s="370" t="s">
        <v>604</v>
      </c>
      <c r="H1153" s="371" t="s">
        <v>1592</v>
      </c>
      <c r="I1153" s="383" t="s">
        <v>1593</v>
      </c>
      <c r="J1153" s="369">
        <v>45119</v>
      </c>
      <c r="K1153" s="753">
        <v>0.66666666666666663</v>
      </c>
      <c r="L1153" s="369">
        <v>45119</v>
      </c>
      <c r="M1153" s="753">
        <v>0.70833333333333337</v>
      </c>
      <c r="N1153" s="210">
        <v>1</v>
      </c>
      <c r="O1153" s="374" t="s">
        <v>17</v>
      </c>
      <c r="P1153" s="375" t="s">
        <v>1583</v>
      </c>
      <c r="Q1153" s="797" t="s">
        <v>1441</v>
      </c>
      <c r="R1153" s="202" t="s">
        <v>95</v>
      </c>
      <c r="S1153" s="31" t="s">
        <v>273</v>
      </c>
      <c r="T1153" s="31" t="s">
        <v>273</v>
      </c>
      <c r="U1153" s="31">
        <f>IFERROR(VLOOKUP(CONCATENATE(Tabla1[[#This Row],[Severidad]]," ",Tabla1[[#This Row],[Complejidad]]),Catalogos!E$120:G$128,3,FALSE),"")</f>
        <v>64</v>
      </c>
      <c r="V1153" s="31" t="str">
        <f>IF(Tabla1[[#This Row],[Tiempo solución max (hrs)]]&lt;&gt;"",IF(Tabla1[[#This Row],[Tiempo solución max (hrs)]]&gt;=Tabla1[[#This Row],[Tiempo
(Hrs 00/100)]],"cumple","no cumple"),"")</f>
        <v>cumple</v>
      </c>
      <c r="W1153" s="376" t="s">
        <v>1453</v>
      </c>
      <c r="X1153" s="377" t="str">
        <f t="shared" si="119"/>
        <v>SSI</v>
      </c>
      <c r="Y1153" t="str">
        <f>SUBSTITUTE(Tabla1[[#This Row],[Descripción]],CHAR(10),"    I    ")</f>
        <v>Se envió correo a base de datos para que se otorgen los privilegios de escritura en BD para usuario NREYES en el ambiente de Desarrollo</v>
      </c>
      <c r="Z1153" s="142">
        <f>VLOOKUP(Tabla1[[#This Row],[Perfil]],Catalogos!$B$75:$D$100,3,FALSE)*Tabla1[[#This Row],[Tiempo
(Hrs 00/100)]]*1.16</f>
        <v>696</v>
      </c>
    </row>
    <row r="1154" spans="1:26" ht="15" customHeight="1" x14ac:dyDescent="0.3">
      <c r="A1154" s="370" t="s">
        <v>58</v>
      </c>
      <c r="B1154" s="370" t="s">
        <v>305</v>
      </c>
      <c r="C1154" s="418" t="s">
        <v>257</v>
      </c>
      <c r="D1154" s="370"/>
      <c r="E1154" s="370" t="s">
        <v>408</v>
      </c>
      <c r="F1154" s="370" t="s">
        <v>72</v>
      </c>
      <c r="G1154" s="370" t="s">
        <v>604</v>
      </c>
      <c r="H1154" s="371" t="s">
        <v>1594</v>
      </c>
      <c r="I1154" s="383" t="s">
        <v>1595</v>
      </c>
      <c r="J1154" s="369">
        <v>45120</v>
      </c>
      <c r="K1154" s="753">
        <v>0.375</v>
      </c>
      <c r="L1154" s="369">
        <v>45120</v>
      </c>
      <c r="M1154" s="753">
        <v>0.41666666666666669</v>
      </c>
      <c r="N1154" s="373">
        <v>1</v>
      </c>
      <c r="O1154" s="374" t="s">
        <v>17</v>
      </c>
      <c r="P1154" s="375" t="s">
        <v>1583</v>
      </c>
      <c r="Q1154" s="797" t="s">
        <v>1441</v>
      </c>
      <c r="R1154" s="202" t="s">
        <v>95</v>
      </c>
      <c r="S1154" s="31" t="s">
        <v>273</v>
      </c>
      <c r="T1154" s="31" t="s">
        <v>273</v>
      </c>
      <c r="U1154" s="31">
        <f>IFERROR(VLOOKUP(CONCATENATE(Tabla1[[#This Row],[Severidad]]," ",Tabla1[[#This Row],[Complejidad]]),Catalogos!E$120:G$128,3,FALSE),"")</f>
        <v>64</v>
      </c>
      <c r="V1154" s="31" t="str">
        <f>IF(Tabla1[[#This Row],[Tiempo solución max (hrs)]]&lt;&gt;"",IF(Tabla1[[#This Row],[Tiempo solución max (hrs)]]&gt;=Tabla1[[#This Row],[Tiempo
(Hrs 00/100)]],"cumple","no cumple"),"")</f>
        <v>cumple</v>
      </c>
      <c r="W1154" s="376" t="s">
        <v>1453</v>
      </c>
      <c r="X1154" s="377" t="str">
        <f t="shared" ref="X1154:X1185" si="120">IF(C1154&lt;&gt;"",C1154,D1154)</f>
        <v>SSI</v>
      </c>
      <c r="Y1154" t="str">
        <f>SUBSTITUTE(Tabla1[[#This Row],[Descripción]],CHAR(10),"    I    ")</f>
        <v>Al continuar sin poder crear objetos de BD en Desarrollo, se informó que para crearlo se tendría que solicitar a través del archivo 'CC_TIPO-ticket7105__12072023', se revisó archivo</v>
      </c>
      <c r="Z1154" s="142">
        <f>VLOOKUP(Tabla1[[#This Row],[Perfil]],Catalogos!$B$75:$D$100,3,FALSE)*Tabla1[[#This Row],[Tiempo
(Hrs 00/100)]]*1.16</f>
        <v>696</v>
      </c>
    </row>
    <row r="1155" spans="1:26" ht="15" customHeight="1" x14ac:dyDescent="0.3">
      <c r="A1155" s="210" t="s">
        <v>58</v>
      </c>
      <c r="B1155" s="374" t="s">
        <v>305</v>
      </c>
      <c r="C1155" s="205" t="s">
        <v>257</v>
      </c>
      <c r="D1155" s="382"/>
      <c r="E1155" s="370" t="s">
        <v>408</v>
      </c>
      <c r="F1155" s="210" t="s">
        <v>72</v>
      </c>
      <c r="G1155" s="370" t="s">
        <v>604</v>
      </c>
      <c r="H1155" s="371" t="s">
        <v>1596</v>
      </c>
      <c r="I1155" s="383" t="s">
        <v>1597</v>
      </c>
      <c r="J1155" s="369">
        <v>45120</v>
      </c>
      <c r="K1155" s="753">
        <v>0.41666666666666669</v>
      </c>
      <c r="L1155" s="369">
        <v>45120</v>
      </c>
      <c r="M1155" s="753">
        <v>0.4375</v>
      </c>
      <c r="N1155" s="210">
        <v>0.5</v>
      </c>
      <c r="O1155" s="374" t="s">
        <v>17</v>
      </c>
      <c r="P1155" s="375" t="s">
        <v>1583</v>
      </c>
      <c r="Q1155" s="797" t="s">
        <v>1441</v>
      </c>
      <c r="R1155" s="202" t="s">
        <v>95</v>
      </c>
      <c r="S1155" s="31" t="s">
        <v>273</v>
      </c>
      <c r="T1155" s="31" t="s">
        <v>273</v>
      </c>
      <c r="U1155" s="31">
        <f>IFERROR(VLOOKUP(CONCATENATE(Tabla1[[#This Row],[Severidad]]," ",Tabla1[[#This Row],[Complejidad]]),Catalogos!E$120:G$128,3,FALSE),"")</f>
        <v>64</v>
      </c>
      <c r="V1155" s="31" t="str">
        <f>IF(Tabla1[[#This Row],[Tiempo solución max (hrs)]]&lt;&gt;"",IF(Tabla1[[#This Row],[Tiempo solución max (hrs)]]&gt;=Tabla1[[#This Row],[Tiempo
(Hrs 00/100)]],"cumple","no cumple"),"")</f>
        <v>cumple</v>
      </c>
      <c r="W1155" s="376" t="s">
        <v>1453</v>
      </c>
      <c r="X1155" s="377" t="str">
        <f t="shared" si="120"/>
        <v>SSI</v>
      </c>
      <c r="Y1155" t="str">
        <f>SUBSTITUTE(Tabla1[[#This Row],[Descripción]],CHAR(10),"    I    ")</f>
        <v>Se proporcionó el usuario SISAI para finalmente poder crear objetos en Desarrollo</v>
      </c>
      <c r="Z1155" s="142">
        <f>VLOOKUP(Tabla1[[#This Row],[Perfil]],Catalogos!$B$75:$D$100,3,FALSE)*Tabla1[[#This Row],[Tiempo
(Hrs 00/100)]]*1.16</f>
        <v>348</v>
      </c>
    </row>
    <row r="1156" spans="1:26" ht="15" customHeight="1" x14ac:dyDescent="0.3">
      <c r="A1156" s="370" t="s">
        <v>58</v>
      </c>
      <c r="B1156" s="370" t="s">
        <v>305</v>
      </c>
      <c r="C1156" s="418" t="s">
        <v>257</v>
      </c>
      <c r="D1156" s="370"/>
      <c r="E1156" s="370" t="s">
        <v>408</v>
      </c>
      <c r="F1156" s="370" t="s">
        <v>74</v>
      </c>
      <c r="G1156" s="370" t="s">
        <v>604</v>
      </c>
      <c r="H1156" s="371" t="s">
        <v>1598</v>
      </c>
      <c r="I1156" s="383" t="s">
        <v>1599</v>
      </c>
      <c r="J1156" s="369">
        <v>45120</v>
      </c>
      <c r="K1156" s="753">
        <v>0.4375</v>
      </c>
      <c r="L1156" s="369">
        <v>45120</v>
      </c>
      <c r="M1156" s="753">
        <v>0.5</v>
      </c>
      <c r="N1156" s="373">
        <v>1.5</v>
      </c>
      <c r="O1156" s="374" t="s">
        <v>17</v>
      </c>
      <c r="P1156" s="375" t="s">
        <v>1583</v>
      </c>
      <c r="Q1156" s="797" t="s">
        <v>1441</v>
      </c>
      <c r="R1156" s="202" t="s">
        <v>95</v>
      </c>
      <c r="S1156" s="31" t="s">
        <v>273</v>
      </c>
      <c r="T1156" s="31" t="s">
        <v>273</v>
      </c>
      <c r="U1156" s="31">
        <f>IFERROR(VLOOKUP(CONCATENATE(Tabla1[[#This Row],[Severidad]]," ",Tabla1[[#This Row],[Complejidad]]),Catalogos!E$120:G$128,3,FALSE),"")</f>
        <v>64</v>
      </c>
      <c r="V1156" s="31" t="str">
        <f>IF(Tabla1[[#This Row],[Tiempo solución max (hrs)]]&lt;&gt;"",IF(Tabla1[[#This Row],[Tiempo solución max (hrs)]]&gt;=Tabla1[[#This Row],[Tiempo
(Hrs 00/100)]],"cumple","no cumple"),"")</f>
        <v>cumple</v>
      </c>
      <c r="W1156" s="376" t="s">
        <v>1453</v>
      </c>
      <c r="X1156" s="377" t="str">
        <f t="shared" si="120"/>
        <v>SSI</v>
      </c>
      <c r="Y1156" t="str">
        <f>SUBSTITUTE(Tabla1[[#This Row],[Descripción]],CHAR(10),"    I    ")</f>
        <v>Se configuró y validó la conexión a través del Toad for Oracle con nuevo usuario SISAI</v>
      </c>
      <c r="Z1156" s="142">
        <f>VLOOKUP(Tabla1[[#This Row],[Perfil]],Catalogos!$B$75:$D$100,3,FALSE)*Tabla1[[#This Row],[Tiempo
(Hrs 00/100)]]*1.16</f>
        <v>1044</v>
      </c>
    </row>
    <row r="1157" spans="1:26" ht="15" customHeight="1" x14ac:dyDescent="0.3">
      <c r="A1157" s="210" t="s">
        <v>22</v>
      </c>
      <c r="B1157" s="374" t="s">
        <v>23</v>
      </c>
      <c r="C1157" s="205" t="s">
        <v>257</v>
      </c>
      <c r="D1157" s="382"/>
      <c r="E1157" s="370" t="s">
        <v>408</v>
      </c>
      <c r="F1157" s="210" t="s">
        <v>23</v>
      </c>
      <c r="G1157" s="370" t="s">
        <v>604</v>
      </c>
      <c r="H1157" s="371" t="s">
        <v>1600</v>
      </c>
      <c r="I1157" s="383" t="s">
        <v>1601</v>
      </c>
      <c r="J1157" s="369">
        <v>45120</v>
      </c>
      <c r="K1157" s="753">
        <v>0.5</v>
      </c>
      <c r="L1157" s="369">
        <v>45120</v>
      </c>
      <c r="M1157" s="753">
        <v>0.58333333333333337</v>
      </c>
      <c r="N1157" s="210">
        <v>2</v>
      </c>
      <c r="O1157" s="374" t="s">
        <v>17</v>
      </c>
      <c r="P1157" s="375" t="s">
        <v>1583</v>
      </c>
      <c r="Q1157" s="797" t="s">
        <v>1441</v>
      </c>
      <c r="R1157" s="202" t="s">
        <v>95</v>
      </c>
      <c r="S1157" s="31" t="s">
        <v>273</v>
      </c>
      <c r="T1157" s="31" t="s">
        <v>273</v>
      </c>
      <c r="U1157" s="31">
        <f>IFERROR(VLOOKUP(CONCATENATE(Tabla1[[#This Row],[Severidad]]," ",Tabla1[[#This Row],[Complejidad]]),Catalogos!E$120:G$128,3,FALSE),"")</f>
        <v>64</v>
      </c>
      <c r="V1157" s="31" t="str">
        <f>IF(Tabla1[[#This Row],[Tiempo solución max (hrs)]]&lt;&gt;"",IF(Tabla1[[#This Row],[Tiempo solución max (hrs)]]&gt;=Tabla1[[#This Row],[Tiempo
(Hrs 00/100)]],"cumple","no cumple"),"")</f>
        <v>cumple</v>
      </c>
      <c r="W1157" s="376" t="s">
        <v>1453</v>
      </c>
      <c r="X1157" s="377" t="str">
        <f t="shared" si="120"/>
        <v>SSI</v>
      </c>
      <c r="Y1157" t="str">
        <f>SUBSTITUTE(Tabla1[[#This Row],[Descripción]],CHAR(10),"    I    ")</f>
        <v>Se trabajó con el Header del Nuevo Paquete 'SISAI.PACK_SISAI2' y se crea con el usuario SISAI</v>
      </c>
      <c r="Z1157" s="142">
        <f>VLOOKUP(Tabla1[[#This Row],[Perfil]],Catalogos!$B$75:$D$100,3,FALSE)*Tabla1[[#This Row],[Tiempo
(Hrs 00/100)]]*1.16</f>
        <v>1392</v>
      </c>
    </row>
    <row r="1158" spans="1:26" ht="15" customHeight="1" x14ac:dyDescent="0.3">
      <c r="A1158" s="370" t="s">
        <v>22</v>
      </c>
      <c r="B1158" s="370" t="s">
        <v>23</v>
      </c>
      <c r="C1158" s="418" t="s">
        <v>257</v>
      </c>
      <c r="D1158" s="370"/>
      <c r="E1158" s="370" t="s">
        <v>408</v>
      </c>
      <c r="F1158" s="370" t="s">
        <v>23</v>
      </c>
      <c r="G1158" s="370" t="s">
        <v>604</v>
      </c>
      <c r="H1158" s="371" t="s">
        <v>1602</v>
      </c>
      <c r="I1158" s="383" t="s">
        <v>1603</v>
      </c>
      <c r="J1158" s="369">
        <v>45120</v>
      </c>
      <c r="K1158" s="747">
        <v>0.66666666666666663</v>
      </c>
      <c r="L1158" s="369">
        <v>45120</v>
      </c>
      <c r="M1158" s="753">
        <v>0.79166666666666663</v>
      </c>
      <c r="N1158" s="373">
        <v>3</v>
      </c>
      <c r="O1158" s="374" t="s">
        <v>17</v>
      </c>
      <c r="P1158" s="375" t="s">
        <v>1583</v>
      </c>
      <c r="Q1158" s="797" t="s">
        <v>1441</v>
      </c>
      <c r="R1158" s="202" t="s">
        <v>95</v>
      </c>
      <c r="S1158" s="31" t="s">
        <v>273</v>
      </c>
      <c r="T1158" s="31" t="s">
        <v>273</v>
      </c>
      <c r="U1158" s="31">
        <f>IFERROR(VLOOKUP(CONCATENATE(Tabla1[[#This Row],[Severidad]]," ",Tabla1[[#This Row],[Complejidad]]),Catalogos!E$120:G$128,3,FALSE),"")</f>
        <v>64</v>
      </c>
      <c r="V1158" s="31" t="str">
        <f>IF(Tabla1[[#This Row],[Tiempo solución max (hrs)]]&lt;&gt;"",IF(Tabla1[[#This Row],[Tiempo solución max (hrs)]]&gt;=Tabla1[[#This Row],[Tiempo
(Hrs 00/100)]],"cumple","no cumple"),"")</f>
        <v>cumple</v>
      </c>
      <c r="W1158" s="376" t="s">
        <v>1453</v>
      </c>
      <c r="X1158" s="377" t="str">
        <f t="shared" si="120"/>
        <v>SSI</v>
      </c>
      <c r="Y1158" t="str">
        <f>SUBSTITUTE(Tabla1[[#This Row],[Descripción]],CHAR(10),"    I    ")</f>
        <v>Se trabajó con el Body del Nuevo Paquete 'SISAI.PACK_SISAI2' y se crea con el usuario SISAI</v>
      </c>
      <c r="Z1158" s="142">
        <f>VLOOKUP(Tabla1[[#This Row],[Perfil]],Catalogos!$B$75:$D$100,3,FALSE)*Tabla1[[#This Row],[Tiempo
(Hrs 00/100)]]*1.16</f>
        <v>2088</v>
      </c>
    </row>
    <row r="1159" spans="1:26" ht="15" customHeight="1" x14ac:dyDescent="0.3">
      <c r="A1159" s="210" t="s">
        <v>22</v>
      </c>
      <c r="B1159" s="374" t="s">
        <v>23</v>
      </c>
      <c r="C1159" s="205" t="s">
        <v>257</v>
      </c>
      <c r="D1159" s="382"/>
      <c r="E1159" s="370" t="s">
        <v>408</v>
      </c>
      <c r="F1159" s="210" t="s">
        <v>23</v>
      </c>
      <c r="G1159" s="370" t="s">
        <v>604</v>
      </c>
      <c r="H1159" s="371" t="s">
        <v>1604</v>
      </c>
      <c r="I1159" s="383" t="s">
        <v>1605</v>
      </c>
      <c r="J1159" s="369">
        <v>45121</v>
      </c>
      <c r="K1159" s="747">
        <v>0.375</v>
      </c>
      <c r="L1159" s="369">
        <v>45121</v>
      </c>
      <c r="M1159" s="753">
        <v>0.58333333333333337</v>
      </c>
      <c r="N1159" s="210">
        <v>5</v>
      </c>
      <c r="O1159" s="374" t="s">
        <v>17</v>
      </c>
      <c r="P1159" s="375" t="s">
        <v>1583</v>
      </c>
      <c r="Q1159" s="797" t="s">
        <v>1441</v>
      </c>
      <c r="R1159" s="202" t="s">
        <v>95</v>
      </c>
      <c r="S1159" s="31" t="s">
        <v>273</v>
      </c>
      <c r="T1159" s="31" t="s">
        <v>273</v>
      </c>
      <c r="U1159" s="31">
        <f>IFERROR(VLOOKUP(CONCATENATE(Tabla1[[#This Row],[Severidad]]," ",Tabla1[[#This Row],[Complejidad]]),Catalogos!E$120:G$128,3,FALSE),"")</f>
        <v>64</v>
      </c>
      <c r="V1159" s="31" t="str">
        <f>IF(Tabla1[[#This Row],[Tiempo solución max (hrs)]]&lt;&gt;"",IF(Tabla1[[#This Row],[Tiempo solución max (hrs)]]&gt;=Tabla1[[#This Row],[Tiempo
(Hrs 00/100)]],"cumple","no cumple"),"")</f>
        <v>cumple</v>
      </c>
      <c r="W1159" s="376" t="s">
        <v>1453</v>
      </c>
      <c r="X1159" s="377" t="str">
        <f t="shared" si="120"/>
        <v>SSI</v>
      </c>
      <c r="Y1159" t="str">
        <f>SUBSTITUTE(Tabla1[[#This Row],[Descripción]],CHAR(10),"    I    ")</f>
        <v>Se trabajó con el 1er Procedimiento 'FUNC1_DASHBOARDMISSOLICITUDES' y se implimentó SQL Dinamico para condiciones del parametro 'IdEstatus'</v>
      </c>
      <c r="Z1159" s="142">
        <f>VLOOKUP(Tabla1[[#This Row],[Perfil]],Catalogos!$B$75:$D$100,3,FALSE)*Tabla1[[#This Row],[Tiempo
(Hrs 00/100)]]*1.16</f>
        <v>3479.9999999999995</v>
      </c>
    </row>
    <row r="1160" spans="1:26" ht="15" customHeight="1" x14ac:dyDescent="0.3">
      <c r="A1160" s="370" t="s">
        <v>58</v>
      </c>
      <c r="B1160" s="370" t="s">
        <v>305</v>
      </c>
      <c r="C1160" s="418" t="s">
        <v>257</v>
      </c>
      <c r="D1160" s="370"/>
      <c r="E1160" s="370" t="s">
        <v>408</v>
      </c>
      <c r="F1160" s="370" t="s">
        <v>72</v>
      </c>
      <c r="G1160" s="370" t="s">
        <v>604</v>
      </c>
      <c r="H1160" s="371" t="s">
        <v>1606</v>
      </c>
      <c r="I1160" s="383" t="s">
        <v>1607</v>
      </c>
      <c r="J1160" s="369">
        <v>45121</v>
      </c>
      <c r="K1160" s="753">
        <v>0.58333333333333337</v>
      </c>
      <c r="L1160" s="369">
        <v>45121</v>
      </c>
      <c r="M1160" s="753">
        <v>0.625</v>
      </c>
      <c r="N1160" s="373">
        <v>1</v>
      </c>
      <c r="O1160" s="374" t="s">
        <v>17</v>
      </c>
      <c r="P1160" s="375" t="s">
        <v>1583</v>
      </c>
      <c r="Q1160" s="797" t="s">
        <v>1441</v>
      </c>
      <c r="R1160" s="202" t="s">
        <v>95</v>
      </c>
      <c r="S1160" s="31" t="s">
        <v>273</v>
      </c>
      <c r="T1160" s="31" t="s">
        <v>273</v>
      </c>
      <c r="U1160" s="31">
        <f>IFERROR(VLOOKUP(CONCATENATE(Tabla1[[#This Row],[Severidad]]," ",Tabla1[[#This Row],[Complejidad]]),Catalogos!E$120:G$128,3,FALSE),"")</f>
        <v>64</v>
      </c>
      <c r="V1160" s="31" t="str">
        <f>IF(Tabla1[[#This Row],[Tiempo solución max (hrs)]]&lt;&gt;"",IF(Tabla1[[#This Row],[Tiempo solución max (hrs)]]&gt;=Tabla1[[#This Row],[Tiempo
(Hrs 00/100)]],"cumple","no cumple"),"")</f>
        <v>cumple</v>
      </c>
      <c r="W1160" s="376" t="s">
        <v>1453</v>
      </c>
      <c r="X1160" s="377" t="str">
        <f t="shared" si="120"/>
        <v>SSI</v>
      </c>
      <c r="Y1160" t="str">
        <f>SUBSTITUTE(Tabla1[[#This Row],[Descripción]],CHAR(10),"    I    ")</f>
        <v>Se confirmó con Samuel el valor de la constante para el parametro 'IdEstatus', ya que esto es importante para las condiciones en el 1er procedimiento</v>
      </c>
      <c r="Z1160" s="142">
        <f>VLOOKUP(Tabla1[[#This Row],[Perfil]],Catalogos!$B$75:$D$100,3,FALSE)*Tabla1[[#This Row],[Tiempo
(Hrs 00/100)]]*1.16</f>
        <v>696</v>
      </c>
    </row>
    <row r="1161" spans="1:26" ht="15" customHeight="1" x14ac:dyDescent="0.3">
      <c r="A1161" s="210" t="s">
        <v>22</v>
      </c>
      <c r="B1161" s="374" t="s">
        <v>23</v>
      </c>
      <c r="C1161" s="205" t="s">
        <v>257</v>
      </c>
      <c r="D1161" s="382"/>
      <c r="E1161" s="370" t="s">
        <v>408</v>
      </c>
      <c r="F1161" s="210" t="s">
        <v>23</v>
      </c>
      <c r="G1161" s="370" t="s">
        <v>604</v>
      </c>
      <c r="H1161" s="371" t="s">
        <v>1608</v>
      </c>
      <c r="I1161" s="383" t="s">
        <v>1609</v>
      </c>
      <c r="J1161" s="369">
        <v>45122</v>
      </c>
      <c r="K1161" s="747">
        <v>0.375</v>
      </c>
      <c r="L1161" s="369">
        <v>45122</v>
      </c>
      <c r="M1161" s="800">
        <v>0.58333333333333337</v>
      </c>
      <c r="N1161" s="210">
        <v>5</v>
      </c>
      <c r="O1161" s="374" t="s">
        <v>17</v>
      </c>
      <c r="P1161" s="375" t="s">
        <v>1583</v>
      </c>
      <c r="Q1161" s="797" t="s">
        <v>1441</v>
      </c>
      <c r="R1161" s="202" t="s">
        <v>95</v>
      </c>
      <c r="S1161" s="31" t="s">
        <v>273</v>
      </c>
      <c r="T1161" s="31" t="s">
        <v>273</v>
      </c>
      <c r="U1161" s="31">
        <f>IFERROR(VLOOKUP(CONCATENATE(Tabla1[[#This Row],[Severidad]]," ",Tabla1[[#This Row],[Complejidad]]),Catalogos!E$120:G$128,3,FALSE),"")</f>
        <v>64</v>
      </c>
      <c r="V1161" s="31" t="str">
        <f>IF(Tabla1[[#This Row],[Tiempo solución max (hrs)]]&lt;&gt;"",IF(Tabla1[[#This Row],[Tiempo solución max (hrs)]]&gt;=Tabla1[[#This Row],[Tiempo
(Hrs 00/100)]],"cumple","no cumple"),"")</f>
        <v>cumple</v>
      </c>
      <c r="W1161" s="376" t="s">
        <v>1453</v>
      </c>
      <c r="X1161" s="377" t="str">
        <f t="shared" si="120"/>
        <v>SSI</v>
      </c>
      <c r="Y1161" t="str">
        <f>SUBSTITUTE(Tabla1[[#This Row],[Descripción]],CHAR(10),"    I    ")</f>
        <v>Se validó resultado del 1er Procedimiento dentro del paquete, con una salida en un bloque anonimo para visualizar resultados</v>
      </c>
      <c r="Z1161" s="142">
        <f>VLOOKUP(Tabla1[[#This Row],[Perfil]],Catalogos!$B$75:$D$100,3,FALSE)*Tabla1[[#This Row],[Tiempo
(Hrs 00/100)]]*1.16</f>
        <v>3479.9999999999995</v>
      </c>
    </row>
    <row r="1162" spans="1:26" ht="15" customHeight="1" x14ac:dyDescent="0.3">
      <c r="A1162" s="370" t="s">
        <v>58</v>
      </c>
      <c r="B1162" s="370" t="s">
        <v>305</v>
      </c>
      <c r="C1162" s="418" t="s">
        <v>257</v>
      </c>
      <c r="D1162" s="370"/>
      <c r="E1162" s="370" t="s">
        <v>408</v>
      </c>
      <c r="F1162" s="370" t="s">
        <v>72</v>
      </c>
      <c r="G1162" s="370" t="s">
        <v>604</v>
      </c>
      <c r="H1162" s="371" t="s">
        <v>1610</v>
      </c>
      <c r="I1162" s="383" t="s">
        <v>1611</v>
      </c>
      <c r="J1162" s="369">
        <v>45122</v>
      </c>
      <c r="K1162" s="747">
        <v>0.625</v>
      </c>
      <c r="L1162" s="369">
        <v>45122</v>
      </c>
      <c r="M1162" s="753">
        <v>0.79166666666666663</v>
      </c>
      <c r="N1162" s="373">
        <v>4</v>
      </c>
      <c r="O1162" s="374" t="s">
        <v>17</v>
      </c>
      <c r="P1162" s="375" t="s">
        <v>1583</v>
      </c>
      <c r="Q1162" s="797" t="s">
        <v>1441</v>
      </c>
      <c r="R1162" s="202" t="s">
        <v>95</v>
      </c>
      <c r="S1162" s="31" t="s">
        <v>273</v>
      </c>
      <c r="T1162" s="31" t="s">
        <v>273</v>
      </c>
      <c r="U1162" s="31">
        <f>IFERROR(VLOOKUP(CONCATENATE(Tabla1[[#This Row],[Severidad]]," ",Tabla1[[#This Row],[Complejidad]]),Catalogos!E$120:G$128,3,FALSE),"")</f>
        <v>64</v>
      </c>
      <c r="V1162" s="31" t="str">
        <f>IF(Tabla1[[#This Row],[Tiempo solución max (hrs)]]&lt;&gt;"",IF(Tabla1[[#This Row],[Tiempo solución max (hrs)]]&gt;=Tabla1[[#This Row],[Tiempo
(Hrs 00/100)]],"cumple","no cumple"),"")</f>
        <v>cumple</v>
      </c>
      <c r="W1162" s="376" t="s">
        <v>1453</v>
      </c>
      <c r="X1162" s="377" t="str">
        <f t="shared" si="120"/>
        <v>SSI</v>
      </c>
      <c r="Y1162" t="str">
        <f>SUBSTITUTE(Tabla1[[#This Row],[Descripción]],CHAR(10),"    I    ")</f>
        <v>Se analizó el 2do Query del SISAI '2. Funcionalidad que obtiene la bandera para identificar si un folio es candidato a recurso de revisión.' y este se comenta con subdirección para que lo revisen a profundidad</v>
      </c>
      <c r="Z1162" s="142">
        <f>VLOOKUP(Tabla1[[#This Row],[Perfil]],Catalogos!$B$75:$D$100,3,FALSE)*Tabla1[[#This Row],[Tiempo
(Hrs 00/100)]]*1.16</f>
        <v>2784</v>
      </c>
    </row>
    <row r="1163" spans="1:26" ht="15" customHeight="1" x14ac:dyDescent="0.3">
      <c r="A1163" s="210" t="s">
        <v>22</v>
      </c>
      <c r="B1163" s="374" t="s">
        <v>23</v>
      </c>
      <c r="C1163" s="205" t="s">
        <v>257</v>
      </c>
      <c r="D1163" s="382"/>
      <c r="E1163" s="370" t="s">
        <v>408</v>
      </c>
      <c r="F1163" s="210" t="s">
        <v>23</v>
      </c>
      <c r="G1163" s="370" t="s">
        <v>604</v>
      </c>
      <c r="H1163" s="371" t="s">
        <v>1612</v>
      </c>
      <c r="I1163" s="383" t="s">
        <v>1613</v>
      </c>
      <c r="J1163" s="369">
        <v>45124</v>
      </c>
      <c r="K1163" s="747">
        <v>0.375</v>
      </c>
      <c r="L1163" s="369">
        <v>45124</v>
      </c>
      <c r="M1163" s="753">
        <v>0.5</v>
      </c>
      <c r="N1163" s="210">
        <v>3</v>
      </c>
      <c r="O1163" s="374" t="s">
        <v>17</v>
      </c>
      <c r="P1163" s="375" t="s">
        <v>1583</v>
      </c>
      <c r="Q1163" s="797" t="s">
        <v>1441</v>
      </c>
      <c r="R1163" s="202" t="s">
        <v>95</v>
      </c>
      <c r="S1163" s="31" t="s">
        <v>273</v>
      </c>
      <c r="T1163" s="31" t="s">
        <v>273</v>
      </c>
      <c r="U1163" s="31">
        <f>IFERROR(VLOOKUP(CONCATENATE(Tabla1[[#This Row],[Severidad]]," ",Tabla1[[#This Row],[Complejidad]]),Catalogos!E$120:G$128,3,FALSE),"")</f>
        <v>64</v>
      </c>
      <c r="V1163" s="31" t="str">
        <f>IF(Tabla1[[#This Row],[Tiempo solución max (hrs)]]&lt;&gt;"",IF(Tabla1[[#This Row],[Tiempo solución max (hrs)]]&gt;=Tabla1[[#This Row],[Tiempo
(Hrs 00/100)]],"cumple","no cumple"),"")</f>
        <v>cumple</v>
      </c>
      <c r="W1163" s="376" t="s">
        <v>1453</v>
      </c>
      <c r="X1163" s="377" t="str">
        <f t="shared" si="120"/>
        <v>SSI</v>
      </c>
      <c r="Y1163" t="str">
        <f>SUBSTITUTE(Tabla1[[#This Row],[Descripción]],CHAR(10),"    I    ")</f>
        <v>Se modificó el 1er procedimiento 'FUNC1_DASHBOARDMISSOLICITUDES' para convertirlo a SQL dinámico por el tipo de parámetros que se manejan</v>
      </c>
      <c r="Z1163" s="142">
        <f>VLOOKUP(Tabla1[[#This Row],[Perfil]],Catalogos!$B$75:$D$100,3,FALSE)*Tabla1[[#This Row],[Tiempo
(Hrs 00/100)]]*1.16</f>
        <v>2088</v>
      </c>
    </row>
    <row r="1164" spans="1:26" ht="15" customHeight="1" x14ac:dyDescent="0.3">
      <c r="A1164" s="370" t="s">
        <v>22</v>
      </c>
      <c r="B1164" s="370" t="s">
        <v>66</v>
      </c>
      <c r="C1164" s="418" t="s">
        <v>257</v>
      </c>
      <c r="D1164" s="370"/>
      <c r="E1164" s="370" t="s">
        <v>408</v>
      </c>
      <c r="F1164" s="370" t="s">
        <v>75</v>
      </c>
      <c r="G1164" s="370" t="s">
        <v>604</v>
      </c>
      <c r="H1164" s="371" t="s">
        <v>1614</v>
      </c>
      <c r="I1164" s="383" t="s">
        <v>1615</v>
      </c>
      <c r="J1164" s="369">
        <v>45124</v>
      </c>
      <c r="K1164" s="753">
        <v>0.5</v>
      </c>
      <c r="L1164" s="369">
        <v>45124</v>
      </c>
      <c r="M1164" s="753">
        <v>0.58333333333333337</v>
      </c>
      <c r="N1164" s="373">
        <v>2</v>
      </c>
      <c r="O1164" s="374" t="s">
        <v>17</v>
      </c>
      <c r="P1164" s="375" t="s">
        <v>1583</v>
      </c>
      <c r="Q1164" s="797" t="s">
        <v>1441</v>
      </c>
      <c r="R1164" s="202" t="s">
        <v>95</v>
      </c>
      <c r="S1164" s="31" t="s">
        <v>273</v>
      </c>
      <c r="T1164" s="31" t="s">
        <v>273</v>
      </c>
      <c r="U1164" s="31">
        <f>IFERROR(VLOOKUP(CONCATENATE(Tabla1[[#This Row],[Severidad]]," ",Tabla1[[#This Row],[Complejidad]]),Catalogos!E$120:G$128,3,FALSE),"")</f>
        <v>64</v>
      </c>
      <c r="V1164" s="31" t="str">
        <f>IF(Tabla1[[#This Row],[Tiempo solución max (hrs)]]&lt;&gt;"",IF(Tabla1[[#This Row],[Tiempo solución max (hrs)]]&gt;=Tabla1[[#This Row],[Tiempo
(Hrs 00/100)]],"cumple","no cumple"),"")</f>
        <v>cumple</v>
      </c>
      <c r="W1164" s="376" t="s">
        <v>1453</v>
      </c>
      <c r="X1164" s="377" t="str">
        <f t="shared" si="120"/>
        <v>SSI</v>
      </c>
      <c r="Y1164" t="str">
        <f>SUBSTITUTE(Tabla1[[#This Row],[Descripción]],CHAR(10),"    I    ")</f>
        <v>Se realizaron pruebas de las variantes que representa el manejar el Query dinámico en el 1er Procedimiento del paquete</v>
      </c>
      <c r="Z1164" s="142">
        <f>VLOOKUP(Tabla1[[#This Row],[Perfil]],Catalogos!$B$75:$D$100,3,FALSE)*Tabla1[[#This Row],[Tiempo
(Hrs 00/100)]]*1.16</f>
        <v>1392</v>
      </c>
    </row>
    <row r="1165" spans="1:26" ht="15" customHeight="1" x14ac:dyDescent="0.3">
      <c r="A1165" s="370" t="s">
        <v>22</v>
      </c>
      <c r="B1165" s="370" t="s">
        <v>21</v>
      </c>
      <c r="C1165" s="418" t="s">
        <v>257</v>
      </c>
      <c r="D1165" s="370"/>
      <c r="E1165" s="370" t="s">
        <v>408</v>
      </c>
      <c r="F1165" s="370" t="s">
        <v>23</v>
      </c>
      <c r="G1165" s="370" t="s">
        <v>604</v>
      </c>
      <c r="H1165" s="371" t="s">
        <v>1616</v>
      </c>
      <c r="I1165" s="383" t="s">
        <v>1617</v>
      </c>
      <c r="J1165" s="369">
        <v>45124</v>
      </c>
      <c r="K1165" s="747">
        <v>0.66666666666666663</v>
      </c>
      <c r="L1165" s="369">
        <v>45124</v>
      </c>
      <c r="M1165" s="753">
        <v>0.79166666666666663</v>
      </c>
      <c r="N1165" s="373">
        <v>3</v>
      </c>
      <c r="O1165" s="374" t="s">
        <v>17</v>
      </c>
      <c r="P1165" s="375" t="s">
        <v>1583</v>
      </c>
      <c r="Q1165" s="797" t="s">
        <v>1441</v>
      </c>
      <c r="R1165" s="202" t="s">
        <v>95</v>
      </c>
      <c r="S1165" s="31" t="s">
        <v>273</v>
      </c>
      <c r="T1165" s="31" t="s">
        <v>273</v>
      </c>
      <c r="U1165" s="31">
        <f>IFERROR(VLOOKUP(CONCATENATE(Tabla1[[#This Row],[Severidad]]," ",Tabla1[[#This Row],[Complejidad]]),Catalogos!E$120:G$128,3,FALSE),"")</f>
        <v>64</v>
      </c>
      <c r="V1165" s="31" t="str">
        <f>IF(Tabla1[[#This Row],[Tiempo solución max (hrs)]]&lt;&gt;"",IF(Tabla1[[#This Row],[Tiempo solución max (hrs)]]&gt;=Tabla1[[#This Row],[Tiempo
(Hrs 00/100)]],"cumple","no cumple"),"")</f>
        <v>cumple</v>
      </c>
      <c r="W1165" s="376" t="s">
        <v>1453</v>
      </c>
      <c r="X1165" s="377" t="str">
        <f t="shared" si="120"/>
        <v>SSI</v>
      </c>
      <c r="Y1165" t="str">
        <f>SUBSTITUTE(Tabla1[[#This Row],[Descripción]],CHAR(10),"    I    ")</f>
        <v>Se comprobó salida del query dinámico con bloque anónimo con variable SYS_REFCURSOR y se detectarón errores</v>
      </c>
      <c r="Z1165" s="142">
        <f>VLOOKUP(Tabla1[[#This Row],[Perfil]],Catalogos!$B$75:$D$100,3,FALSE)*Tabla1[[#This Row],[Tiempo
(Hrs 00/100)]]*1.16</f>
        <v>2088</v>
      </c>
    </row>
    <row r="1166" spans="1:26" ht="15" customHeight="1" x14ac:dyDescent="0.3">
      <c r="A1166" s="370" t="s">
        <v>22</v>
      </c>
      <c r="B1166" s="370" t="s">
        <v>23</v>
      </c>
      <c r="C1166" s="418" t="s">
        <v>257</v>
      </c>
      <c r="D1166" s="370"/>
      <c r="E1166" s="370" t="s">
        <v>408</v>
      </c>
      <c r="F1166" s="370" t="s">
        <v>23</v>
      </c>
      <c r="G1166" s="370" t="s">
        <v>604</v>
      </c>
      <c r="H1166" s="371" t="s">
        <v>1618</v>
      </c>
      <c r="I1166" s="383" t="s">
        <v>1619</v>
      </c>
      <c r="J1166" s="369">
        <v>45125</v>
      </c>
      <c r="K1166" s="747">
        <v>0.375</v>
      </c>
      <c r="L1166" s="369">
        <v>45125</v>
      </c>
      <c r="M1166" s="753">
        <v>0.45833333333333331</v>
      </c>
      <c r="N1166" s="373">
        <v>2</v>
      </c>
      <c r="O1166" s="374" t="s">
        <v>17</v>
      </c>
      <c r="P1166" s="375" t="s">
        <v>1583</v>
      </c>
      <c r="Q1166" s="797" t="s">
        <v>1441</v>
      </c>
      <c r="R1166" s="202" t="s">
        <v>95</v>
      </c>
      <c r="S1166" s="31" t="s">
        <v>273</v>
      </c>
      <c r="T1166" s="31" t="s">
        <v>273</v>
      </c>
      <c r="U1166" s="31">
        <f>IFERROR(VLOOKUP(CONCATENATE(Tabla1[[#This Row],[Severidad]]," ",Tabla1[[#This Row],[Complejidad]]),Catalogos!E$120:G$128,3,FALSE),"")</f>
        <v>64</v>
      </c>
      <c r="V1166" s="31" t="str">
        <f>IF(Tabla1[[#This Row],[Tiempo solución max (hrs)]]&lt;&gt;"",IF(Tabla1[[#This Row],[Tiempo solución max (hrs)]]&gt;=Tabla1[[#This Row],[Tiempo
(Hrs 00/100)]],"cumple","no cumple"),"")</f>
        <v>cumple</v>
      </c>
      <c r="W1166" s="376" t="s">
        <v>1453</v>
      </c>
      <c r="X1166" s="377" t="str">
        <f t="shared" si="120"/>
        <v>SSI</v>
      </c>
      <c r="Y1166" t="str">
        <f>SUBSTITUTE(Tabla1[[#This Row],[Descripción]],CHAR(10),"    I    ")</f>
        <v>Se verificó campo por campo del query dinámico de la Funcionalidad 1, para validar el tipo de dato y longitud exactos</v>
      </c>
      <c r="Z1166" s="142">
        <f>VLOOKUP(Tabla1[[#This Row],[Perfil]],Catalogos!$B$75:$D$100,3,FALSE)*Tabla1[[#This Row],[Tiempo
(Hrs 00/100)]]*1.16</f>
        <v>1392</v>
      </c>
    </row>
    <row r="1167" spans="1:26" ht="15" customHeight="1" x14ac:dyDescent="0.3">
      <c r="A1167" s="370" t="s">
        <v>22</v>
      </c>
      <c r="B1167" s="370" t="s">
        <v>23</v>
      </c>
      <c r="C1167" s="418" t="s">
        <v>257</v>
      </c>
      <c r="D1167" s="370"/>
      <c r="E1167" s="370" t="s">
        <v>408</v>
      </c>
      <c r="F1167" s="370" t="s">
        <v>23</v>
      </c>
      <c r="G1167" s="370" t="s">
        <v>604</v>
      </c>
      <c r="H1167" s="371" t="s">
        <v>1620</v>
      </c>
      <c r="I1167" s="383" t="s">
        <v>1621</v>
      </c>
      <c r="J1167" s="369">
        <v>45125</v>
      </c>
      <c r="K1167" s="753">
        <v>0.45833333333333331</v>
      </c>
      <c r="L1167" s="369">
        <v>45125</v>
      </c>
      <c r="M1167" s="747">
        <v>0.52083333333333337</v>
      </c>
      <c r="N1167" s="373">
        <v>1.5</v>
      </c>
      <c r="O1167" s="374" t="s">
        <v>17</v>
      </c>
      <c r="P1167" s="375" t="s">
        <v>1583</v>
      </c>
      <c r="Q1167" s="797" t="s">
        <v>1441</v>
      </c>
      <c r="R1167" s="202" t="s">
        <v>95</v>
      </c>
      <c r="S1167" s="31" t="s">
        <v>273</v>
      </c>
      <c r="T1167" s="31" t="s">
        <v>273</v>
      </c>
      <c r="U1167" s="31">
        <f>IFERROR(VLOOKUP(CONCATENATE(Tabla1[[#This Row],[Severidad]]," ",Tabla1[[#This Row],[Complejidad]]),Catalogos!E$120:G$128,3,FALSE),"")</f>
        <v>64</v>
      </c>
      <c r="V1167" s="31" t="str">
        <f>IF(Tabla1[[#This Row],[Tiempo solución max (hrs)]]&lt;&gt;"",IF(Tabla1[[#This Row],[Tiempo solución max (hrs)]]&gt;=Tabla1[[#This Row],[Tiempo
(Hrs 00/100)]],"cumple","no cumple"),"")</f>
        <v>cumple</v>
      </c>
      <c r="W1167" s="376" t="s">
        <v>1453</v>
      </c>
      <c r="X1167" s="377" t="str">
        <f t="shared" si="120"/>
        <v>SSI</v>
      </c>
      <c r="Y1167" t="str">
        <f>SUBSTITUTE(Tabla1[[#This Row],[Descripción]],CHAR(10),"    I    ")</f>
        <v>Se declararon las variables en bloque anónimo con validación exacta de tamaños de tipos de datos, del query de la Funcionalidad 1</v>
      </c>
      <c r="Z1167" s="142">
        <f>VLOOKUP(Tabla1[[#This Row],[Perfil]],Catalogos!$B$75:$D$100,3,FALSE)*Tabla1[[#This Row],[Tiempo
(Hrs 00/100)]]*1.16</f>
        <v>1044</v>
      </c>
    </row>
    <row r="1168" spans="1:26" ht="15" customHeight="1" x14ac:dyDescent="0.3">
      <c r="A1168" s="370" t="s">
        <v>22</v>
      </c>
      <c r="B1168" s="370" t="s">
        <v>23</v>
      </c>
      <c r="C1168" s="418" t="s">
        <v>257</v>
      </c>
      <c r="D1168" s="370"/>
      <c r="E1168" s="370" t="s">
        <v>408</v>
      </c>
      <c r="F1168" s="370" t="s">
        <v>23</v>
      </c>
      <c r="G1168" s="370" t="s">
        <v>604</v>
      </c>
      <c r="H1168" s="371" t="s">
        <v>1622</v>
      </c>
      <c r="I1168" s="383" t="s">
        <v>1623</v>
      </c>
      <c r="J1168" s="369">
        <v>45125</v>
      </c>
      <c r="K1168" s="747">
        <v>0.52083333333333337</v>
      </c>
      <c r="L1168" s="369">
        <v>45125</v>
      </c>
      <c r="M1168" s="753">
        <v>0.58333333333333337</v>
      </c>
      <c r="N1168" s="373">
        <v>1.5</v>
      </c>
      <c r="O1168" s="374" t="s">
        <v>17</v>
      </c>
      <c r="P1168" s="375" t="s">
        <v>1583</v>
      </c>
      <c r="Q1168" s="797" t="s">
        <v>1441</v>
      </c>
      <c r="R1168" s="202" t="s">
        <v>95</v>
      </c>
      <c r="S1168" s="31" t="s">
        <v>273</v>
      </c>
      <c r="T1168" s="31" t="s">
        <v>273</v>
      </c>
      <c r="U1168" s="31">
        <f>IFERROR(VLOOKUP(CONCATENATE(Tabla1[[#This Row],[Severidad]]," ",Tabla1[[#This Row],[Complejidad]]),Catalogos!E$120:G$128,3,FALSE),"")</f>
        <v>64</v>
      </c>
      <c r="V1168" s="31" t="str">
        <f>IF(Tabla1[[#This Row],[Tiempo solución max (hrs)]]&lt;&gt;"",IF(Tabla1[[#This Row],[Tiempo solución max (hrs)]]&gt;=Tabla1[[#This Row],[Tiempo
(Hrs 00/100)]],"cumple","no cumple"),"")</f>
        <v>cumple</v>
      </c>
      <c r="W1168" s="376" t="s">
        <v>1453</v>
      </c>
      <c r="X1168" s="377" t="str">
        <f t="shared" si="120"/>
        <v>SSI</v>
      </c>
      <c r="Y1168" t="str">
        <f>SUBSTITUTE(Tabla1[[#This Row],[Descripción]],CHAR(10),"    I    ")</f>
        <v>Se actualizaron las condiciones del query dinámico para detectar errores y se regresó a la mínima expresión de la consulta, para ir validando cada parámetro</v>
      </c>
      <c r="Z1168" s="142">
        <f>VLOOKUP(Tabla1[[#This Row],[Perfil]],Catalogos!$B$75:$D$100,3,FALSE)*Tabla1[[#This Row],[Tiempo
(Hrs 00/100)]]*1.16</f>
        <v>1044</v>
      </c>
    </row>
    <row r="1169" spans="1:26" ht="15" customHeight="1" x14ac:dyDescent="0.3">
      <c r="A1169" s="210" t="s">
        <v>22</v>
      </c>
      <c r="B1169" s="374" t="s">
        <v>21</v>
      </c>
      <c r="C1169" s="205" t="s">
        <v>257</v>
      </c>
      <c r="D1169" s="382"/>
      <c r="E1169" s="370" t="s">
        <v>408</v>
      </c>
      <c r="F1169" s="210" t="s">
        <v>23</v>
      </c>
      <c r="G1169" s="370" t="s">
        <v>604</v>
      </c>
      <c r="H1169" s="371" t="s">
        <v>1624</v>
      </c>
      <c r="I1169" s="383" t="s">
        <v>1625</v>
      </c>
      <c r="J1169" s="369">
        <v>45125</v>
      </c>
      <c r="K1169" s="747">
        <v>0.625</v>
      </c>
      <c r="L1169" s="369">
        <v>45125</v>
      </c>
      <c r="M1169" s="753">
        <v>0.70833333333333337</v>
      </c>
      <c r="N1169" s="210">
        <v>2</v>
      </c>
      <c r="O1169" s="374" t="s">
        <v>17</v>
      </c>
      <c r="P1169" s="375" t="s">
        <v>1583</v>
      </c>
      <c r="Q1169" s="797" t="s">
        <v>1441</v>
      </c>
      <c r="R1169" s="202" t="s">
        <v>95</v>
      </c>
      <c r="S1169" s="31" t="s">
        <v>273</v>
      </c>
      <c r="T1169" s="31" t="s">
        <v>273</v>
      </c>
      <c r="U1169" s="31">
        <f>IFERROR(VLOOKUP(CONCATENATE(Tabla1[[#This Row],[Severidad]]," ",Tabla1[[#This Row],[Complejidad]]),Catalogos!E$120:G$128,3,FALSE),"")</f>
        <v>64</v>
      </c>
      <c r="V1169" s="31" t="str">
        <f>IF(Tabla1[[#This Row],[Tiempo solución max (hrs)]]&lt;&gt;"",IF(Tabla1[[#This Row],[Tiempo solución max (hrs)]]&gt;=Tabla1[[#This Row],[Tiempo
(Hrs 00/100)]],"cumple","no cumple"),"")</f>
        <v>cumple</v>
      </c>
      <c r="W1169" s="376" t="s">
        <v>1453</v>
      </c>
      <c r="X1169" s="377" t="str">
        <f t="shared" si="120"/>
        <v>SSI</v>
      </c>
      <c r="Y1169" t="str">
        <f>SUBSTITUTE(Tabla1[[#This Row],[Descripción]],CHAR(10),"    I    ")</f>
        <v>Se detectó error del procedimiento en las fechas dinámicas por un carácter adicional y se corrigió</v>
      </c>
      <c r="Z1169" s="142">
        <f>VLOOKUP(Tabla1[[#This Row],[Perfil]],Catalogos!$B$75:$D$100,3,FALSE)*Tabla1[[#This Row],[Tiempo
(Hrs 00/100)]]*1.16</f>
        <v>1392</v>
      </c>
    </row>
    <row r="1170" spans="1:26" ht="15" customHeight="1" x14ac:dyDescent="0.3">
      <c r="A1170" s="210" t="s">
        <v>22</v>
      </c>
      <c r="B1170" s="374" t="s">
        <v>62</v>
      </c>
      <c r="C1170" s="205" t="s">
        <v>257</v>
      </c>
      <c r="D1170" s="382"/>
      <c r="E1170" s="370" t="s">
        <v>408</v>
      </c>
      <c r="F1170" s="210" t="s">
        <v>23</v>
      </c>
      <c r="G1170" s="370" t="s">
        <v>604</v>
      </c>
      <c r="H1170" s="371" t="s">
        <v>1626</v>
      </c>
      <c r="I1170" s="383" t="s">
        <v>1627</v>
      </c>
      <c r="J1170" s="369">
        <v>45125</v>
      </c>
      <c r="K1170" s="753">
        <v>0.70833333333333337</v>
      </c>
      <c r="L1170" s="369">
        <v>45125</v>
      </c>
      <c r="M1170" s="753">
        <v>0.79166666666666663</v>
      </c>
      <c r="N1170" s="210">
        <v>2</v>
      </c>
      <c r="O1170" s="374" t="s">
        <v>17</v>
      </c>
      <c r="P1170" s="375" t="s">
        <v>1583</v>
      </c>
      <c r="Q1170" s="797" t="s">
        <v>1441</v>
      </c>
      <c r="R1170" s="202" t="s">
        <v>95</v>
      </c>
      <c r="S1170" s="31" t="s">
        <v>273</v>
      </c>
      <c r="T1170" s="31" t="s">
        <v>273</v>
      </c>
      <c r="U1170" s="31">
        <f>IFERROR(VLOOKUP(CONCATENATE(Tabla1[[#This Row],[Severidad]]," ",Tabla1[[#This Row],[Complejidad]]),Catalogos!E$120:G$128,3,FALSE),"")</f>
        <v>64</v>
      </c>
      <c r="V1170" s="31" t="str">
        <f>IF(Tabla1[[#This Row],[Tiempo solución max (hrs)]]&lt;&gt;"",IF(Tabla1[[#This Row],[Tiempo solución max (hrs)]]&gt;=Tabla1[[#This Row],[Tiempo
(Hrs 00/100)]],"cumple","no cumple"),"")</f>
        <v>cumple</v>
      </c>
      <c r="W1170" s="376" t="s">
        <v>1453</v>
      </c>
      <c r="X1170" s="377" t="str">
        <f t="shared" si="120"/>
        <v>SSI</v>
      </c>
      <c r="Y1170" t="str">
        <f>SUBSTITUTE(Tabla1[[#This Row],[Descripción]],CHAR(10),"    I    ")</f>
        <v>Se validó el paquete-procedimiento de la funcionalidad # 1 y se tuvo un resultado exitoso con la salida del cursor completo con diversos parámetros</v>
      </c>
      <c r="Z1170" s="142">
        <f>VLOOKUP(Tabla1[[#This Row],[Perfil]],Catalogos!$B$75:$D$100,3,FALSE)*Tabla1[[#This Row],[Tiempo
(Hrs 00/100)]]*1.16</f>
        <v>1392</v>
      </c>
    </row>
    <row r="1171" spans="1:26" ht="15" customHeight="1" x14ac:dyDescent="0.3">
      <c r="A1171" s="210" t="s">
        <v>22</v>
      </c>
      <c r="B1171" s="374" t="s">
        <v>305</v>
      </c>
      <c r="C1171" s="205" t="s">
        <v>257</v>
      </c>
      <c r="D1171" s="382"/>
      <c r="E1171" s="370" t="s">
        <v>408</v>
      </c>
      <c r="F1171" s="210" t="s">
        <v>72</v>
      </c>
      <c r="G1171" s="370" t="s">
        <v>604</v>
      </c>
      <c r="H1171" s="371" t="s">
        <v>1628</v>
      </c>
      <c r="I1171" s="383" t="s">
        <v>1629</v>
      </c>
      <c r="J1171" s="369">
        <v>45126</v>
      </c>
      <c r="K1171" s="747">
        <v>0.375</v>
      </c>
      <c r="L1171" s="369">
        <v>45126</v>
      </c>
      <c r="M1171" s="753">
        <v>0.47916666666666669</v>
      </c>
      <c r="N1171" s="210">
        <v>2.5</v>
      </c>
      <c r="O1171" s="374" t="s">
        <v>17</v>
      </c>
      <c r="P1171" s="375" t="s">
        <v>1583</v>
      </c>
      <c r="Q1171" s="797" t="s">
        <v>1441</v>
      </c>
      <c r="R1171" s="202" t="s">
        <v>95</v>
      </c>
      <c r="S1171" s="31" t="s">
        <v>273</v>
      </c>
      <c r="T1171" s="31" t="s">
        <v>273</v>
      </c>
      <c r="U1171" s="31">
        <f>IFERROR(VLOOKUP(CONCATENATE(Tabla1[[#This Row],[Severidad]]," ",Tabla1[[#This Row],[Complejidad]]),Catalogos!E$120:G$128,3,FALSE),"")</f>
        <v>64</v>
      </c>
      <c r="V1171" s="31" t="str">
        <f>IF(Tabla1[[#This Row],[Tiempo solución max (hrs)]]&lt;&gt;"",IF(Tabla1[[#This Row],[Tiempo solución max (hrs)]]&gt;=Tabla1[[#This Row],[Tiempo
(Hrs 00/100)]],"cumple","no cumple"),"")</f>
        <v>cumple</v>
      </c>
      <c r="W1171" s="376" t="s">
        <v>1453</v>
      </c>
      <c r="X1171" s="377" t="str">
        <f t="shared" si="120"/>
        <v>SSI</v>
      </c>
      <c r="Y1171" t="str">
        <f>SUBSTITUTE(Tabla1[[#This Row],[Descripción]],CHAR(10),"    I    ")</f>
        <v>Se revisó el 3er query que 'obtiene el detalle de una solicitud en el dashboard del solicitante', se ejecutaron diversas consultas y pruebas con distintos parámetros</v>
      </c>
      <c r="Z1171" s="142">
        <f>VLOOKUP(Tabla1[[#This Row],[Perfil]],Catalogos!$B$75:$D$100,3,FALSE)*Tabla1[[#This Row],[Tiempo
(Hrs 00/100)]]*1.16</f>
        <v>1739.9999999999998</v>
      </c>
    </row>
    <row r="1172" spans="1:26" ht="15" customHeight="1" x14ac:dyDescent="0.3">
      <c r="A1172" s="210" t="s">
        <v>22</v>
      </c>
      <c r="B1172" s="374" t="s">
        <v>305</v>
      </c>
      <c r="C1172" s="205" t="s">
        <v>257</v>
      </c>
      <c r="D1172" s="382"/>
      <c r="E1172" s="370" t="s">
        <v>408</v>
      </c>
      <c r="F1172" s="210" t="s">
        <v>72</v>
      </c>
      <c r="G1172" s="370" t="s">
        <v>604</v>
      </c>
      <c r="H1172" s="419" t="s">
        <v>1630</v>
      </c>
      <c r="I1172" s="420" t="s">
        <v>1631</v>
      </c>
      <c r="J1172" s="369">
        <v>45126</v>
      </c>
      <c r="K1172" s="753">
        <v>0.47916666666666669</v>
      </c>
      <c r="L1172" s="369">
        <v>45126</v>
      </c>
      <c r="M1172" s="753">
        <v>0.54166666666666663</v>
      </c>
      <c r="N1172" s="210">
        <v>1.5</v>
      </c>
      <c r="O1172" s="374" t="s">
        <v>17</v>
      </c>
      <c r="P1172" s="375" t="s">
        <v>1583</v>
      </c>
      <c r="Q1172" s="797" t="s">
        <v>1441</v>
      </c>
      <c r="R1172" s="202" t="s">
        <v>95</v>
      </c>
      <c r="S1172" s="31" t="s">
        <v>273</v>
      </c>
      <c r="T1172" s="31" t="s">
        <v>273</v>
      </c>
      <c r="U1172" s="31">
        <f>IFERROR(VLOOKUP(CONCATENATE(Tabla1[[#This Row],[Severidad]]," ",Tabla1[[#This Row],[Complejidad]]),Catalogos!E$120:G$128,3,FALSE),"")</f>
        <v>64</v>
      </c>
      <c r="V1172" s="31" t="str">
        <f>IF(Tabla1[[#This Row],[Tiempo solución max (hrs)]]&lt;&gt;"",IF(Tabla1[[#This Row],[Tiempo solución max (hrs)]]&gt;=Tabla1[[#This Row],[Tiempo
(Hrs 00/100)]],"cumple","no cumple"),"")</f>
        <v>cumple</v>
      </c>
      <c r="W1172" s="376" t="s">
        <v>1453</v>
      </c>
      <c r="X1172" s="377" t="str">
        <f t="shared" si="120"/>
        <v>SSI</v>
      </c>
      <c r="Y1172" t="str">
        <f>SUBSTITUTE(Tabla1[[#This Row],[Descripción]],CHAR(10),"    I    ")</f>
        <v>Se detectaron inconsistencias en Query de Funcionalidad 3, ya que son varios queries pequeños, no se sabe si se tiene que armar un query completo o ir validando paso a paso en los diversos queries</v>
      </c>
      <c r="Z1172" s="142">
        <f>VLOOKUP(Tabla1[[#This Row],[Perfil]],Catalogos!$B$75:$D$100,3,FALSE)*Tabla1[[#This Row],[Tiempo
(Hrs 00/100)]]*1.16</f>
        <v>1044</v>
      </c>
    </row>
    <row r="1173" spans="1:26" ht="15" customHeight="1" x14ac:dyDescent="0.3">
      <c r="A1173" s="210" t="s">
        <v>22</v>
      </c>
      <c r="B1173" s="374" t="s">
        <v>65</v>
      </c>
      <c r="C1173" s="205" t="s">
        <v>257</v>
      </c>
      <c r="D1173" s="382"/>
      <c r="E1173" s="370" t="s">
        <v>408</v>
      </c>
      <c r="F1173" s="210" t="s">
        <v>73</v>
      </c>
      <c r="G1173" s="370" t="s">
        <v>604</v>
      </c>
      <c r="H1173" s="371" t="s">
        <v>1632</v>
      </c>
      <c r="I1173" s="383" t="s">
        <v>1633</v>
      </c>
      <c r="J1173" s="369">
        <v>45126</v>
      </c>
      <c r="K1173" s="753">
        <v>0.54166666666666663</v>
      </c>
      <c r="L1173" s="369">
        <v>45126</v>
      </c>
      <c r="M1173" s="753">
        <v>0.58333333333333337</v>
      </c>
      <c r="N1173" s="210">
        <v>1</v>
      </c>
      <c r="O1173" s="374" t="s">
        <v>17</v>
      </c>
      <c r="P1173" s="375" t="s">
        <v>1583</v>
      </c>
      <c r="Q1173" s="797" t="s">
        <v>1441</v>
      </c>
      <c r="R1173" s="202" t="s">
        <v>95</v>
      </c>
      <c r="S1173" s="31" t="s">
        <v>273</v>
      </c>
      <c r="T1173" s="31" t="s">
        <v>273</v>
      </c>
      <c r="U1173" s="31">
        <f>IFERROR(VLOOKUP(CONCATENATE(Tabla1[[#This Row],[Severidad]]," ",Tabla1[[#This Row],[Complejidad]]),Catalogos!E$120:G$128,3,FALSE),"")</f>
        <v>64</v>
      </c>
      <c r="V1173" s="31" t="str">
        <f>IF(Tabla1[[#This Row],[Tiempo solución max (hrs)]]&lt;&gt;"",IF(Tabla1[[#This Row],[Tiempo solución max (hrs)]]&gt;=Tabla1[[#This Row],[Tiempo
(Hrs 00/100)]],"cumple","no cumple"),"")</f>
        <v>cumple</v>
      </c>
      <c r="W1173" s="376" t="s">
        <v>1453</v>
      </c>
      <c r="X1173" s="377" t="str">
        <f t="shared" si="120"/>
        <v>SSI</v>
      </c>
      <c r="Y1173" t="str">
        <f>SUBSTITUTE(Tabla1[[#This Row],[Descripción]],CHAR(10),"    I    ")</f>
        <v>Se actualizó el documento 'Query SISAI' con las dudas sobre el Query 3 para revisarlas con Subdirector la próxima semana</v>
      </c>
      <c r="Z1173" s="142">
        <f>VLOOKUP(Tabla1[[#This Row],[Perfil]],Catalogos!$B$75:$D$100,3,FALSE)*Tabla1[[#This Row],[Tiempo
(Hrs 00/100)]]*1.16</f>
        <v>696</v>
      </c>
    </row>
    <row r="1174" spans="1:26" ht="15" customHeight="1" x14ac:dyDescent="0.3">
      <c r="A1174" s="210" t="s">
        <v>22</v>
      </c>
      <c r="B1174" s="374" t="s">
        <v>305</v>
      </c>
      <c r="C1174" s="205" t="s">
        <v>257</v>
      </c>
      <c r="D1174" s="382"/>
      <c r="E1174" s="370" t="s">
        <v>408</v>
      </c>
      <c r="F1174" s="210" t="s">
        <v>72</v>
      </c>
      <c r="G1174" s="370" t="s">
        <v>604</v>
      </c>
      <c r="H1174" s="371" t="s">
        <v>1634</v>
      </c>
      <c r="I1174" s="383" t="s">
        <v>1635</v>
      </c>
      <c r="J1174" s="369">
        <v>45126</v>
      </c>
      <c r="K1174" s="747">
        <v>0.625</v>
      </c>
      <c r="L1174" s="369">
        <v>45126</v>
      </c>
      <c r="M1174" s="753">
        <v>0.70833333333333337</v>
      </c>
      <c r="N1174" s="210">
        <v>2</v>
      </c>
      <c r="O1174" s="374" t="s">
        <v>17</v>
      </c>
      <c r="P1174" s="375" t="s">
        <v>1583</v>
      </c>
      <c r="Q1174" s="797" t="s">
        <v>1441</v>
      </c>
      <c r="R1174" s="202" t="s">
        <v>95</v>
      </c>
      <c r="S1174" s="31" t="s">
        <v>273</v>
      </c>
      <c r="T1174" s="31" t="s">
        <v>273</v>
      </c>
      <c r="U1174" s="31">
        <f>IFERROR(VLOOKUP(CONCATENATE(Tabla1[[#This Row],[Severidad]]," ",Tabla1[[#This Row],[Complejidad]]),Catalogos!E$120:G$128,3,FALSE),"")</f>
        <v>64</v>
      </c>
      <c r="V1174" s="31" t="str">
        <f>IF(Tabla1[[#This Row],[Tiempo solución max (hrs)]]&lt;&gt;"",IF(Tabla1[[#This Row],[Tiempo solución max (hrs)]]&gt;=Tabla1[[#This Row],[Tiempo
(Hrs 00/100)]],"cumple","no cumple"),"")</f>
        <v>cumple</v>
      </c>
      <c r="W1174" s="376" t="s">
        <v>1453</v>
      </c>
      <c r="X1174" s="377" t="str">
        <f t="shared" si="120"/>
        <v>SSI</v>
      </c>
      <c r="Y1174" t="str">
        <f>SUBSTITUTE(Tabla1[[#This Row],[Descripción]],CHAR(10),"    I    ")</f>
        <v>Se revisó el 5to query para 'exportar las solicitudes del solicitante', se hicieron las primeras ejecuciones con los parámetros para entender su funcionamiento</v>
      </c>
      <c r="Z1174" s="142">
        <f>VLOOKUP(Tabla1[[#This Row],[Perfil]],Catalogos!$B$75:$D$100,3,FALSE)*Tabla1[[#This Row],[Tiempo
(Hrs 00/100)]]*1.16</f>
        <v>1392</v>
      </c>
    </row>
    <row r="1175" spans="1:26" ht="15" customHeight="1" x14ac:dyDescent="0.3">
      <c r="A1175" s="210" t="s">
        <v>22</v>
      </c>
      <c r="B1175" s="374" t="s">
        <v>23</v>
      </c>
      <c r="C1175" s="205" t="s">
        <v>257</v>
      </c>
      <c r="D1175" s="382"/>
      <c r="E1175" s="370" t="s">
        <v>408</v>
      </c>
      <c r="F1175" s="210" t="s">
        <v>23</v>
      </c>
      <c r="G1175" s="370" t="s">
        <v>604</v>
      </c>
      <c r="H1175" s="419" t="s">
        <v>1636</v>
      </c>
      <c r="I1175" s="420" t="s">
        <v>1637</v>
      </c>
      <c r="J1175" s="369">
        <v>45126</v>
      </c>
      <c r="K1175" s="753">
        <v>0.70833333333333337</v>
      </c>
      <c r="L1175" s="369">
        <v>45126</v>
      </c>
      <c r="M1175" s="753">
        <v>0.83333333333333337</v>
      </c>
      <c r="N1175" s="210">
        <v>3</v>
      </c>
      <c r="O1175" s="374" t="s">
        <v>17</v>
      </c>
      <c r="P1175" s="375" t="s">
        <v>1583</v>
      </c>
      <c r="Q1175" s="797" t="s">
        <v>1441</v>
      </c>
      <c r="R1175" s="202" t="s">
        <v>95</v>
      </c>
      <c r="S1175" s="31" t="s">
        <v>273</v>
      </c>
      <c r="T1175" s="31" t="s">
        <v>273</v>
      </c>
      <c r="U1175" s="31">
        <f>IFERROR(VLOOKUP(CONCATENATE(Tabla1[[#This Row],[Severidad]]," ",Tabla1[[#This Row],[Complejidad]]),Catalogos!E$120:G$128,3,FALSE),"")</f>
        <v>64</v>
      </c>
      <c r="V1175" s="31" t="str">
        <f>IF(Tabla1[[#This Row],[Tiempo solución max (hrs)]]&lt;&gt;"",IF(Tabla1[[#This Row],[Tiempo solución max (hrs)]]&gt;=Tabla1[[#This Row],[Tiempo
(Hrs 00/100)]],"cumple","no cumple"),"")</f>
        <v>cumple</v>
      </c>
      <c r="W1175" s="376" t="s">
        <v>1453</v>
      </c>
      <c r="X1175" s="377" t="str">
        <f t="shared" si="120"/>
        <v>SSI</v>
      </c>
      <c r="Y1175" t="str">
        <f>SUBSTITUTE(Tabla1[[#This Row],[Descripción]],CHAR(10),"    I    ")</f>
        <v>Se optimizó el 5to query para tener una versión mejorada en tiempo de respuesta y costo</v>
      </c>
      <c r="Z1175" s="142">
        <f>VLOOKUP(Tabla1[[#This Row],[Perfil]],Catalogos!$B$75:$D$100,3,FALSE)*Tabla1[[#This Row],[Tiempo
(Hrs 00/100)]]*1.16</f>
        <v>2088</v>
      </c>
    </row>
    <row r="1176" spans="1:26" ht="15" customHeight="1" x14ac:dyDescent="0.3">
      <c r="A1176" s="210" t="s">
        <v>22</v>
      </c>
      <c r="B1176" s="374" t="s">
        <v>23</v>
      </c>
      <c r="C1176" s="205" t="s">
        <v>257</v>
      </c>
      <c r="D1176" s="382"/>
      <c r="E1176" s="370" t="s">
        <v>408</v>
      </c>
      <c r="F1176" s="210" t="s">
        <v>23</v>
      </c>
      <c r="G1176" s="370" t="s">
        <v>604</v>
      </c>
      <c r="H1176" s="371" t="s">
        <v>1638</v>
      </c>
      <c r="I1176" s="383" t="s">
        <v>1639</v>
      </c>
      <c r="J1176" s="369">
        <v>45127</v>
      </c>
      <c r="K1176" s="747">
        <v>0.375</v>
      </c>
      <c r="L1176" s="369">
        <v>45127</v>
      </c>
      <c r="M1176" s="753">
        <v>0.45833333333333331</v>
      </c>
      <c r="N1176" s="210">
        <v>2</v>
      </c>
      <c r="O1176" s="374" t="s">
        <v>17</v>
      </c>
      <c r="P1176" s="375" t="s">
        <v>1583</v>
      </c>
      <c r="Q1176" s="797" t="s">
        <v>1441</v>
      </c>
      <c r="R1176" s="202" t="s">
        <v>95</v>
      </c>
      <c r="S1176" s="31" t="s">
        <v>273</v>
      </c>
      <c r="T1176" s="31" t="s">
        <v>273</v>
      </c>
      <c r="U1176" s="31">
        <f>IFERROR(VLOOKUP(CONCATENATE(Tabla1[[#This Row],[Severidad]]," ",Tabla1[[#This Row],[Complejidad]]),Catalogos!E$120:G$128,3,FALSE),"")</f>
        <v>64</v>
      </c>
      <c r="V1176" s="31" t="str">
        <f>IF(Tabla1[[#This Row],[Tiempo solución max (hrs)]]&lt;&gt;"",IF(Tabla1[[#This Row],[Tiempo solución max (hrs)]]&gt;=Tabla1[[#This Row],[Tiempo
(Hrs 00/100)]],"cumple","no cumple"),"")</f>
        <v>cumple</v>
      </c>
      <c r="W1176" s="376" t="s">
        <v>1453</v>
      </c>
      <c r="X1176" s="377" t="str">
        <f t="shared" si="120"/>
        <v>SSI</v>
      </c>
      <c r="Y1176" t="str">
        <f>SUBSTITUTE(Tabla1[[#This Row],[Descripción]],CHAR(10),"    I    ")</f>
        <v>Se creó el nuevo procedimiento 'FUNC5_EXPORTARSOLICITUDES' en el paquete 'PACK_SISAI2', con la funcionalidad del 5to Query</v>
      </c>
      <c r="Z1176" s="142">
        <f>VLOOKUP(Tabla1[[#This Row],[Perfil]],Catalogos!$B$75:$D$100,3,FALSE)*Tabla1[[#This Row],[Tiempo
(Hrs 00/100)]]*1.16</f>
        <v>1392</v>
      </c>
    </row>
    <row r="1177" spans="1:26" ht="15" customHeight="1" x14ac:dyDescent="0.3">
      <c r="A1177" s="210" t="s">
        <v>22</v>
      </c>
      <c r="B1177" s="374" t="s">
        <v>23</v>
      </c>
      <c r="C1177" s="205" t="s">
        <v>257</v>
      </c>
      <c r="D1177" s="382"/>
      <c r="E1177" s="370" t="s">
        <v>408</v>
      </c>
      <c r="F1177" s="210" t="s">
        <v>23</v>
      </c>
      <c r="G1177" s="370" t="s">
        <v>604</v>
      </c>
      <c r="H1177" s="371" t="s">
        <v>1640</v>
      </c>
      <c r="I1177" s="383" t="s">
        <v>1641</v>
      </c>
      <c r="J1177" s="369">
        <v>45127</v>
      </c>
      <c r="K1177" s="753">
        <v>0.45833333333333331</v>
      </c>
      <c r="L1177" s="369">
        <v>45127</v>
      </c>
      <c r="M1177" s="753">
        <v>0.52083333333333337</v>
      </c>
      <c r="N1177" s="210">
        <v>1.5</v>
      </c>
      <c r="O1177" s="374" t="s">
        <v>17</v>
      </c>
      <c r="P1177" s="375" t="s">
        <v>1583</v>
      </c>
      <c r="Q1177" s="797" t="s">
        <v>1441</v>
      </c>
      <c r="R1177" s="202" t="s">
        <v>95</v>
      </c>
      <c r="S1177" s="31" t="s">
        <v>273</v>
      </c>
      <c r="T1177" s="31" t="s">
        <v>273</v>
      </c>
      <c r="U1177" s="31">
        <f>IFERROR(VLOOKUP(CONCATENATE(Tabla1[[#This Row],[Severidad]]," ",Tabla1[[#This Row],[Complejidad]]),Catalogos!E$120:G$128,3,FALSE),"")</f>
        <v>64</v>
      </c>
      <c r="V1177" s="31" t="str">
        <f>IF(Tabla1[[#This Row],[Tiempo solución max (hrs)]]&lt;&gt;"",IF(Tabla1[[#This Row],[Tiempo solución max (hrs)]]&gt;=Tabla1[[#This Row],[Tiempo
(Hrs 00/100)]],"cumple","no cumple"),"")</f>
        <v>cumple</v>
      </c>
      <c r="W1177" s="376" t="s">
        <v>1453</v>
      </c>
      <c r="X1177" s="377" t="str">
        <f t="shared" si="120"/>
        <v>SSI</v>
      </c>
      <c r="Y1177" t="str">
        <f>SUBSTITUTE(Tabla1[[#This Row],[Descripción]],CHAR(10),"    I    ")</f>
        <v>Se verificó campo por campo del query de la Funcionalidad 5, validando el tipo de dato y longitud exactos</v>
      </c>
      <c r="Z1177" s="142">
        <f>VLOOKUP(Tabla1[[#This Row],[Perfil]],Catalogos!$B$75:$D$100,3,FALSE)*Tabla1[[#This Row],[Tiempo
(Hrs 00/100)]]*1.16</f>
        <v>1044</v>
      </c>
    </row>
    <row r="1178" spans="1:26" ht="15" customHeight="1" x14ac:dyDescent="0.3">
      <c r="A1178" s="210" t="s">
        <v>22</v>
      </c>
      <c r="B1178" s="374" t="s">
        <v>23</v>
      </c>
      <c r="C1178" s="205" t="s">
        <v>257</v>
      </c>
      <c r="D1178" s="382"/>
      <c r="E1178" s="370" t="s">
        <v>408</v>
      </c>
      <c r="F1178" s="210" t="s">
        <v>23</v>
      </c>
      <c r="G1178" s="370" t="s">
        <v>604</v>
      </c>
      <c r="H1178" s="371" t="s">
        <v>1642</v>
      </c>
      <c r="I1178" s="383" t="s">
        <v>1643</v>
      </c>
      <c r="J1178" s="369">
        <v>45127</v>
      </c>
      <c r="K1178" s="753">
        <v>0.52083333333333337</v>
      </c>
      <c r="L1178" s="369">
        <v>45127</v>
      </c>
      <c r="M1178" s="753">
        <v>0.58333333333333337</v>
      </c>
      <c r="N1178" s="210">
        <v>1.5</v>
      </c>
      <c r="O1178" s="374" t="s">
        <v>17</v>
      </c>
      <c r="P1178" s="375" t="s">
        <v>1583</v>
      </c>
      <c r="Q1178" s="797" t="s">
        <v>1441</v>
      </c>
      <c r="R1178" s="202" t="s">
        <v>95</v>
      </c>
      <c r="S1178" s="31" t="s">
        <v>273</v>
      </c>
      <c r="T1178" s="31" t="s">
        <v>273</v>
      </c>
      <c r="U1178" s="31">
        <f>IFERROR(VLOOKUP(CONCATENATE(Tabla1[[#This Row],[Severidad]]," ",Tabla1[[#This Row],[Complejidad]]),Catalogos!E$120:G$128,3,FALSE),"")</f>
        <v>64</v>
      </c>
      <c r="V1178" s="31" t="str">
        <f>IF(Tabla1[[#This Row],[Tiempo solución max (hrs)]]&lt;&gt;"",IF(Tabla1[[#This Row],[Tiempo solución max (hrs)]]&gt;=Tabla1[[#This Row],[Tiempo
(Hrs 00/100)]],"cumple","no cumple"),"")</f>
        <v>cumple</v>
      </c>
      <c r="W1178" s="376" t="s">
        <v>1453</v>
      </c>
      <c r="X1178" s="377" t="str">
        <f t="shared" si="120"/>
        <v>SSI</v>
      </c>
      <c r="Y1178" t="str">
        <f>SUBSTITUTE(Tabla1[[#This Row],[Descripción]],CHAR(10),"    I    ")</f>
        <v>Se declararon las variables en bloque anónimo con validación exacta de tamaños de tipos de datos, del query de la Funcionalidad 5</v>
      </c>
      <c r="Z1178" s="142">
        <f>VLOOKUP(Tabla1[[#This Row],[Perfil]],Catalogos!$B$75:$D$100,3,FALSE)*Tabla1[[#This Row],[Tiempo
(Hrs 00/100)]]*1.16</f>
        <v>1044</v>
      </c>
    </row>
    <row r="1179" spans="1:26" ht="15" customHeight="1" x14ac:dyDescent="0.3">
      <c r="A1179" s="373" t="s">
        <v>22</v>
      </c>
      <c r="B1179" s="184" t="s">
        <v>62</v>
      </c>
      <c r="C1179" s="183" t="s">
        <v>257</v>
      </c>
      <c r="D1179" s="179"/>
      <c r="E1179" s="370" t="s">
        <v>408</v>
      </c>
      <c r="F1179" s="373" t="s">
        <v>23</v>
      </c>
      <c r="G1179" s="370" t="s">
        <v>604</v>
      </c>
      <c r="H1179" s="461" t="s">
        <v>1644</v>
      </c>
      <c r="I1179" s="178" t="s">
        <v>1645</v>
      </c>
      <c r="J1179" s="369">
        <v>45127</v>
      </c>
      <c r="K1179" s="747">
        <v>0.625</v>
      </c>
      <c r="L1179" s="369">
        <v>45127</v>
      </c>
      <c r="M1179" s="753">
        <v>0.6875</v>
      </c>
      <c r="N1179" s="373">
        <v>1.5</v>
      </c>
      <c r="O1179" s="184" t="s">
        <v>17</v>
      </c>
      <c r="P1179" s="375" t="s">
        <v>1583</v>
      </c>
      <c r="Q1179" s="797" t="s">
        <v>1441</v>
      </c>
      <c r="R1179" s="202" t="s">
        <v>95</v>
      </c>
      <c r="S1179" s="31" t="s">
        <v>273</v>
      </c>
      <c r="T1179" s="31" t="s">
        <v>273</v>
      </c>
      <c r="U1179" s="31">
        <f>IFERROR(VLOOKUP(CONCATENATE(Tabla1[[#This Row],[Severidad]]," ",Tabla1[[#This Row],[Complejidad]]),Catalogos!E$120:G$128,3,FALSE),"")</f>
        <v>64</v>
      </c>
      <c r="V1179" s="31" t="str">
        <f>IF(Tabla1[[#This Row],[Tiempo solución max (hrs)]]&lt;&gt;"",IF(Tabla1[[#This Row],[Tiempo solución max (hrs)]]&gt;=Tabla1[[#This Row],[Tiempo
(Hrs 00/100)]],"cumple","no cumple"),"")</f>
        <v>cumple</v>
      </c>
      <c r="W1179" s="376" t="s">
        <v>1453</v>
      </c>
      <c r="X1179" s="377" t="str">
        <f t="shared" si="120"/>
        <v>SSI</v>
      </c>
      <c r="Y1179" t="str">
        <f>SUBSTITUTE(Tabla1[[#This Row],[Descripción]],CHAR(10),"    I    ")</f>
        <v>Se validó el paquete-procedimiento de la funcionalidad # 5 con el bloque anónimo correcto y se tuvo un resultado exitoso con la salida del cursor completo con el único parámetro vID_SOLICITUDDEPENDENCIA</v>
      </c>
      <c r="Z1179" s="142">
        <f>VLOOKUP(Tabla1[[#This Row],[Perfil]],Catalogos!$B$75:$D$100,3,FALSE)*Tabla1[[#This Row],[Tiempo
(Hrs 00/100)]]*1.16</f>
        <v>1044</v>
      </c>
    </row>
    <row r="1180" spans="1:26" ht="15" customHeight="1" x14ac:dyDescent="0.3">
      <c r="A1180" s="370" t="s">
        <v>22</v>
      </c>
      <c r="B1180" s="370" t="s">
        <v>65</v>
      </c>
      <c r="C1180" s="418" t="s">
        <v>257</v>
      </c>
      <c r="D1180" s="370"/>
      <c r="E1180" s="370" t="s">
        <v>408</v>
      </c>
      <c r="F1180" s="370" t="s">
        <v>73</v>
      </c>
      <c r="G1180" s="370" t="s">
        <v>604</v>
      </c>
      <c r="H1180" s="419" t="s">
        <v>1646</v>
      </c>
      <c r="I1180" s="420" t="s">
        <v>1647</v>
      </c>
      <c r="J1180" s="369">
        <v>45127</v>
      </c>
      <c r="K1180" s="753">
        <v>0.6875</v>
      </c>
      <c r="L1180" s="369">
        <v>45127</v>
      </c>
      <c r="M1180" s="753">
        <v>0.72916666666666663</v>
      </c>
      <c r="N1180" s="370">
        <v>1</v>
      </c>
      <c r="O1180" s="537" t="s">
        <v>17</v>
      </c>
      <c r="P1180" s="375" t="s">
        <v>1583</v>
      </c>
      <c r="Q1180" s="797" t="s">
        <v>1441</v>
      </c>
      <c r="R1180" s="202" t="s">
        <v>95</v>
      </c>
      <c r="S1180" s="31" t="s">
        <v>273</v>
      </c>
      <c r="T1180" s="31" t="s">
        <v>273</v>
      </c>
      <c r="U1180" s="31">
        <f>IFERROR(VLOOKUP(CONCATENATE(Tabla1[[#This Row],[Severidad]]," ",Tabla1[[#This Row],[Complejidad]]),Catalogos!E$120:G$128,3,FALSE),"")</f>
        <v>64</v>
      </c>
      <c r="V1180" s="31" t="str">
        <f>IF(Tabla1[[#This Row],[Tiempo solución max (hrs)]]&lt;&gt;"",IF(Tabla1[[#This Row],[Tiempo solución max (hrs)]]&gt;=Tabla1[[#This Row],[Tiempo
(Hrs 00/100)]],"cumple","no cumple"),"")</f>
        <v>cumple</v>
      </c>
      <c r="W1180" s="376" t="s">
        <v>1453</v>
      </c>
      <c r="X1180" s="377" t="str">
        <f t="shared" si="120"/>
        <v>SSI</v>
      </c>
      <c r="Y1180" t="str">
        <f>SUBSTITUTE(Tabla1[[#This Row],[Descripción]],CHAR(10),"    I    ")</f>
        <v>Se actualizó el documento 'Query SISAI' con los comentarios sobre el Query 5, por el parámetro de una lista de valores de los id´s para revisarlas con Subdirector la próxima semana, se tendría que aplicar SQL dinámico para resolverlo</v>
      </c>
      <c r="Z1180" s="142">
        <f>VLOOKUP(Tabla1[[#This Row],[Perfil]],Catalogos!$B$75:$D$100,3,FALSE)*Tabla1[[#This Row],[Tiempo
(Hrs 00/100)]]*1.16</f>
        <v>696</v>
      </c>
    </row>
    <row r="1181" spans="1:26" ht="15" customHeight="1" x14ac:dyDescent="0.3">
      <c r="A1181" s="373" t="s">
        <v>22</v>
      </c>
      <c r="B1181" s="184" t="s">
        <v>305</v>
      </c>
      <c r="C1181" s="183" t="s">
        <v>257</v>
      </c>
      <c r="D1181" s="179"/>
      <c r="E1181" s="370" t="s">
        <v>408</v>
      </c>
      <c r="F1181" s="373" t="s">
        <v>72</v>
      </c>
      <c r="G1181" s="370" t="s">
        <v>604</v>
      </c>
      <c r="H1181" s="461" t="s">
        <v>1648</v>
      </c>
      <c r="I1181" s="178" t="s">
        <v>1649</v>
      </c>
      <c r="J1181" s="369">
        <v>45127</v>
      </c>
      <c r="K1181" s="753">
        <v>0.72916666666666663</v>
      </c>
      <c r="L1181" s="369">
        <v>45127</v>
      </c>
      <c r="M1181" s="753">
        <v>0.79166666666666663</v>
      </c>
      <c r="N1181" s="373">
        <v>1.5</v>
      </c>
      <c r="O1181" s="184" t="s">
        <v>17</v>
      </c>
      <c r="P1181" s="375" t="s">
        <v>1583</v>
      </c>
      <c r="Q1181" s="797" t="s">
        <v>1441</v>
      </c>
      <c r="R1181" s="202" t="s">
        <v>95</v>
      </c>
      <c r="S1181" s="31" t="s">
        <v>273</v>
      </c>
      <c r="T1181" s="31" t="s">
        <v>273</v>
      </c>
      <c r="U1181" s="31">
        <f>IFERROR(VLOOKUP(CONCATENATE(Tabla1[[#This Row],[Severidad]]," ",Tabla1[[#This Row],[Complejidad]]),Catalogos!E$120:G$128,3,FALSE),"")</f>
        <v>64</v>
      </c>
      <c r="V1181" s="31" t="str">
        <f>IF(Tabla1[[#This Row],[Tiempo solución max (hrs)]]&lt;&gt;"",IF(Tabla1[[#This Row],[Tiempo solución max (hrs)]]&gt;=Tabla1[[#This Row],[Tiempo
(Hrs 00/100)]],"cumple","no cumple"),"")</f>
        <v>cumple</v>
      </c>
      <c r="W1181" s="376" t="s">
        <v>1453</v>
      </c>
      <c r="X1181" s="377" t="str">
        <f t="shared" si="120"/>
        <v>SSI</v>
      </c>
      <c r="Y1181" t="str">
        <f>SUBSTITUTE(Tabla1[[#This Row],[Descripción]],CHAR(10),"    I    ")</f>
        <v>Se revisó el 6to query para 'obtención del dashboard en la recepción de solicitudes UT', se hicieron las primeras ejecuciones con los parámetros para entender su funcionamiento</v>
      </c>
      <c r="Z1181" s="142">
        <f>VLOOKUP(Tabla1[[#This Row],[Perfil]],Catalogos!$B$75:$D$100,3,FALSE)*Tabla1[[#This Row],[Tiempo
(Hrs 00/100)]]*1.16</f>
        <v>1044</v>
      </c>
    </row>
    <row r="1182" spans="1:26" ht="15" customHeight="1" x14ac:dyDescent="0.3">
      <c r="A1182" s="373" t="s">
        <v>22</v>
      </c>
      <c r="B1182" s="184" t="s">
        <v>23</v>
      </c>
      <c r="C1182" s="183" t="s">
        <v>257</v>
      </c>
      <c r="D1182" s="179"/>
      <c r="E1182" s="370" t="s">
        <v>408</v>
      </c>
      <c r="F1182" s="373" t="s">
        <v>23</v>
      </c>
      <c r="G1182" s="370" t="s">
        <v>604</v>
      </c>
      <c r="H1182" s="461" t="s">
        <v>1650</v>
      </c>
      <c r="I1182" s="178" t="s">
        <v>1651</v>
      </c>
      <c r="J1182" s="369">
        <v>45127</v>
      </c>
      <c r="K1182" s="753">
        <v>0.79166666666666663</v>
      </c>
      <c r="L1182" s="369">
        <v>45127</v>
      </c>
      <c r="M1182" s="753">
        <v>0.875</v>
      </c>
      <c r="N1182" s="373">
        <v>2</v>
      </c>
      <c r="O1182" s="184" t="s">
        <v>17</v>
      </c>
      <c r="P1182" s="375" t="s">
        <v>1583</v>
      </c>
      <c r="Q1182" s="797" t="s">
        <v>1441</v>
      </c>
      <c r="R1182" s="202" t="s">
        <v>95</v>
      </c>
      <c r="S1182" s="31" t="s">
        <v>273</v>
      </c>
      <c r="T1182" s="31" t="s">
        <v>273</v>
      </c>
      <c r="U1182" s="31">
        <f>IFERROR(VLOOKUP(CONCATENATE(Tabla1[[#This Row],[Severidad]]," ",Tabla1[[#This Row],[Complejidad]]),Catalogos!E$120:G$128,3,FALSE),"")</f>
        <v>64</v>
      </c>
      <c r="V1182" s="31" t="str">
        <f>IF(Tabla1[[#This Row],[Tiempo solución max (hrs)]]&lt;&gt;"",IF(Tabla1[[#This Row],[Tiempo solución max (hrs)]]&gt;=Tabla1[[#This Row],[Tiempo
(Hrs 00/100)]],"cumple","no cumple"),"")</f>
        <v>cumple</v>
      </c>
      <c r="W1182" s="376" t="s">
        <v>1453</v>
      </c>
      <c r="X1182" s="377" t="str">
        <f t="shared" si="120"/>
        <v>SSI</v>
      </c>
      <c r="Y1182" t="str">
        <f>SUBSTITUTE(Tabla1[[#This Row],[Descripción]],CHAR(10),"    I    ")</f>
        <v>Se optimizó el 6to query para tener una mejor versión con mejor tiempo de respuesta y costo</v>
      </c>
      <c r="Z1182" s="142">
        <f>VLOOKUP(Tabla1[[#This Row],[Perfil]],Catalogos!$B$75:$D$100,3,FALSE)*Tabla1[[#This Row],[Tiempo
(Hrs 00/100)]]*1.16</f>
        <v>1392</v>
      </c>
    </row>
    <row r="1183" spans="1:26" ht="15" customHeight="1" x14ac:dyDescent="0.3">
      <c r="A1183" s="373" t="s">
        <v>22</v>
      </c>
      <c r="B1183" s="184" t="s">
        <v>23</v>
      </c>
      <c r="C1183" s="183" t="s">
        <v>257</v>
      </c>
      <c r="D1183" s="179"/>
      <c r="E1183" s="370" t="s">
        <v>408</v>
      </c>
      <c r="F1183" s="373" t="s">
        <v>23</v>
      </c>
      <c r="G1183" s="370" t="s">
        <v>604</v>
      </c>
      <c r="H1183" s="461" t="s">
        <v>1652</v>
      </c>
      <c r="I1183" s="178" t="s">
        <v>1653</v>
      </c>
      <c r="J1183" s="369">
        <v>45128</v>
      </c>
      <c r="K1183" s="747">
        <v>0.375</v>
      </c>
      <c r="L1183" s="369">
        <v>45128</v>
      </c>
      <c r="M1183" s="753">
        <v>0.45833333333333331</v>
      </c>
      <c r="N1183" s="373">
        <v>2</v>
      </c>
      <c r="O1183" s="184" t="s">
        <v>17</v>
      </c>
      <c r="P1183" s="375" t="s">
        <v>1583</v>
      </c>
      <c r="Q1183" s="797" t="s">
        <v>1441</v>
      </c>
      <c r="R1183" s="202" t="s">
        <v>95</v>
      </c>
      <c r="S1183" s="31" t="s">
        <v>273</v>
      </c>
      <c r="T1183" s="31" t="s">
        <v>273</v>
      </c>
      <c r="U1183" s="31">
        <f>IFERROR(VLOOKUP(CONCATENATE(Tabla1[[#This Row],[Severidad]]," ",Tabla1[[#This Row],[Complejidad]]),Catalogos!E$120:G$128,3,FALSE),"")</f>
        <v>64</v>
      </c>
      <c r="V1183" s="31" t="str">
        <f>IF(Tabla1[[#This Row],[Tiempo solución max (hrs)]]&lt;&gt;"",IF(Tabla1[[#This Row],[Tiempo solución max (hrs)]]&gt;=Tabla1[[#This Row],[Tiempo
(Hrs 00/100)]],"cumple","no cumple"),"")</f>
        <v>cumple</v>
      </c>
      <c r="W1183" s="376" t="s">
        <v>1453</v>
      </c>
      <c r="X1183" s="377" t="str">
        <f t="shared" si="120"/>
        <v>SSI</v>
      </c>
      <c r="Y1183" t="str">
        <f>SUBSTITUTE(Tabla1[[#This Row],[Descripción]],CHAR(10),"    I    ")</f>
        <v>Se creó nuevo procedimiento 'FUNC6_DASHBRDRECEPCIONSOLICIT_UT' en el paquete 'PACK_SISAI2', con la funcionalidad del 6to Query</v>
      </c>
      <c r="Z1183" s="142">
        <f>VLOOKUP(Tabla1[[#This Row],[Perfil]],Catalogos!$B$75:$D$100,3,FALSE)*Tabla1[[#This Row],[Tiempo
(Hrs 00/100)]]*1.16</f>
        <v>1392</v>
      </c>
    </row>
    <row r="1184" spans="1:26" ht="15" customHeight="1" x14ac:dyDescent="0.3">
      <c r="A1184" s="370" t="s">
        <v>22</v>
      </c>
      <c r="B1184" s="370" t="s">
        <v>23</v>
      </c>
      <c r="C1184" s="418" t="s">
        <v>257</v>
      </c>
      <c r="D1184" s="370"/>
      <c r="E1184" s="370" t="s">
        <v>408</v>
      </c>
      <c r="F1184" s="370" t="s">
        <v>23</v>
      </c>
      <c r="G1184" s="370" t="s">
        <v>604</v>
      </c>
      <c r="H1184" s="419" t="s">
        <v>1654</v>
      </c>
      <c r="I1184" s="420" t="s">
        <v>1655</v>
      </c>
      <c r="J1184" s="369">
        <v>45128</v>
      </c>
      <c r="K1184" s="753">
        <v>0.45833333333333331</v>
      </c>
      <c r="L1184" s="369">
        <v>45128</v>
      </c>
      <c r="M1184" s="753">
        <v>0.5</v>
      </c>
      <c r="N1184" s="370">
        <v>1</v>
      </c>
      <c r="O1184" s="537" t="s">
        <v>17</v>
      </c>
      <c r="P1184" s="375" t="s">
        <v>1583</v>
      </c>
      <c r="Q1184" s="797" t="s">
        <v>1441</v>
      </c>
      <c r="R1184" s="202" t="s">
        <v>95</v>
      </c>
      <c r="S1184" s="31" t="s">
        <v>273</v>
      </c>
      <c r="T1184" s="31" t="s">
        <v>273</v>
      </c>
      <c r="U1184" s="31">
        <f>IFERROR(VLOOKUP(CONCATENATE(Tabla1[[#This Row],[Severidad]]," ",Tabla1[[#This Row],[Complejidad]]),Catalogos!E$120:G$128,3,FALSE),"")</f>
        <v>64</v>
      </c>
      <c r="V1184" s="31" t="str">
        <f>IF(Tabla1[[#This Row],[Tiempo solución max (hrs)]]&lt;&gt;"",IF(Tabla1[[#This Row],[Tiempo solución max (hrs)]]&gt;=Tabla1[[#This Row],[Tiempo
(Hrs 00/100)]],"cumple","no cumple"),"")</f>
        <v>cumple</v>
      </c>
      <c r="W1184" s="376" t="s">
        <v>1453</v>
      </c>
      <c r="X1184" s="377" t="str">
        <f t="shared" si="120"/>
        <v>SSI</v>
      </c>
      <c r="Y1184" t="str">
        <f>SUBSTITUTE(Tabla1[[#This Row],[Descripción]],CHAR(10),"    I    ")</f>
        <v>Se verificó campo por campo del query de la Funcionalidad 6, validando el tipo de dato y longitud exactos</v>
      </c>
      <c r="Z1184" s="142">
        <f>VLOOKUP(Tabla1[[#This Row],[Perfil]],Catalogos!$B$75:$D$100,3,FALSE)*Tabla1[[#This Row],[Tiempo
(Hrs 00/100)]]*1.16</f>
        <v>696</v>
      </c>
    </row>
    <row r="1185" spans="1:26" ht="15" customHeight="1" x14ac:dyDescent="0.3">
      <c r="A1185" s="373" t="s">
        <v>22</v>
      </c>
      <c r="B1185" s="184" t="s">
        <v>23</v>
      </c>
      <c r="C1185" s="183" t="s">
        <v>257</v>
      </c>
      <c r="D1185" s="179"/>
      <c r="E1185" s="370" t="s">
        <v>408</v>
      </c>
      <c r="F1185" s="373" t="s">
        <v>23</v>
      </c>
      <c r="G1185" s="370" t="s">
        <v>604</v>
      </c>
      <c r="H1185" s="461" t="s">
        <v>1656</v>
      </c>
      <c r="I1185" s="178" t="s">
        <v>1657</v>
      </c>
      <c r="J1185" s="369">
        <v>45128</v>
      </c>
      <c r="K1185" s="753">
        <v>0.5</v>
      </c>
      <c r="L1185" s="369">
        <v>45128</v>
      </c>
      <c r="M1185" s="753">
        <v>0.5625</v>
      </c>
      <c r="N1185" s="373">
        <v>1.5</v>
      </c>
      <c r="O1185" s="184" t="s">
        <v>17</v>
      </c>
      <c r="P1185" s="375" t="s">
        <v>1583</v>
      </c>
      <c r="Q1185" s="797" t="s">
        <v>1441</v>
      </c>
      <c r="R1185" s="202" t="s">
        <v>95</v>
      </c>
      <c r="S1185" s="31" t="s">
        <v>273</v>
      </c>
      <c r="T1185" s="31" t="s">
        <v>273</v>
      </c>
      <c r="U1185" s="31">
        <f>IFERROR(VLOOKUP(CONCATENATE(Tabla1[[#This Row],[Severidad]]," ",Tabla1[[#This Row],[Complejidad]]),Catalogos!E$120:G$128,3,FALSE),"")</f>
        <v>64</v>
      </c>
      <c r="V1185" s="31" t="str">
        <f>IF(Tabla1[[#This Row],[Tiempo solución max (hrs)]]&lt;&gt;"",IF(Tabla1[[#This Row],[Tiempo solución max (hrs)]]&gt;=Tabla1[[#This Row],[Tiempo
(Hrs 00/100)]],"cumple","no cumple"),"")</f>
        <v>cumple</v>
      </c>
      <c r="W1185" s="376" t="s">
        <v>1453</v>
      </c>
      <c r="X1185" s="377" t="str">
        <f t="shared" si="120"/>
        <v>SSI</v>
      </c>
      <c r="Y1185" t="str">
        <f>SUBSTITUTE(Tabla1[[#This Row],[Descripción]],CHAR(10),"    I    ")</f>
        <v>Se declararon las variables en bloque anónimo con validación exacta de tamaños de tipos de datos, del query de la Funcionalidad 6</v>
      </c>
      <c r="Z1185" s="142">
        <f>VLOOKUP(Tabla1[[#This Row],[Perfil]],Catalogos!$B$75:$D$100,3,FALSE)*Tabla1[[#This Row],[Tiempo
(Hrs 00/100)]]*1.16</f>
        <v>1044</v>
      </c>
    </row>
    <row r="1186" spans="1:26" ht="15" customHeight="1" x14ac:dyDescent="0.3">
      <c r="A1186" s="373" t="s">
        <v>22</v>
      </c>
      <c r="B1186" s="184" t="s">
        <v>62</v>
      </c>
      <c r="C1186" s="183" t="s">
        <v>257</v>
      </c>
      <c r="D1186" s="179"/>
      <c r="E1186" s="370" t="s">
        <v>408</v>
      </c>
      <c r="F1186" s="373" t="s">
        <v>23</v>
      </c>
      <c r="G1186" s="370" t="s">
        <v>604</v>
      </c>
      <c r="H1186" s="461" t="s">
        <v>1658</v>
      </c>
      <c r="I1186" s="178" t="s">
        <v>1659</v>
      </c>
      <c r="J1186" s="369">
        <v>45128</v>
      </c>
      <c r="K1186" s="747">
        <v>0.5625</v>
      </c>
      <c r="L1186" s="369">
        <v>45128</v>
      </c>
      <c r="M1186" s="753">
        <v>0.64583333333333337</v>
      </c>
      <c r="N1186" s="373">
        <v>2</v>
      </c>
      <c r="O1186" s="184" t="s">
        <v>17</v>
      </c>
      <c r="P1186" s="375" t="s">
        <v>1583</v>
      </c>
      <c r="Q1186" s="797" t="s">
        <v>1441</v>
      </c>
      <c r="R1186" s="202" t="s">
        <v>95</v>
      </c>
      <c r="S1186" s="31" t="s">
        <v>273</v>
      </c>
      <c r="T1186" s="31" t="s">
        <v>273</v>
      </c>
      <c r="U1186" s="31">
        <f>IFERROR(VLOOKUP(CONCATENATE(Tabla1[[#This Row],[Severidad]]," ",Tabla1[[#This Row],[Complejidad]]),Catalogos!E$120:G$128,3,FALSE),"")</f>
        <v>64</v>
      </c>
      <c r="V1186" s="31" t="str">
        <f>IF(Tabla1[[#This Row],[Tiempo solución max (hrs)]]&lt;&gt;"",IF(Tabla1[[#This Row],[Tiempo solución max (hrs)]]&gt;=Tabla1[[#This Row],[Tiempo
(Hrs 00/100)]],"cumple","no cumple"),"")</f>
        <v>cumple</v>
      </c>
      <c r="W1186" s="376" t="s">
        <v>1453</v>
      </c>
      <c r="X1186" s="377" t="str">
        <f t="shared" ref="X1186:X1217" si="121">IF(C1186&lt;&gt;"",C1186,D1186)</f>
        <v>SSI</v>
      </c>
      <c r="Y1186" t="str">
        <f>SUBSTITUTE(Tabla1[[#This Row],[Descripción]],CHAR(10),"    I    ")</f>
        <v>Se validó el paquete-procedimiento de la funcionalidad # 6 con el bloque anónimo correcto y se tuvo un resultado exitoso con la salida del cursor completo con los parámetros detectados (FolioSolicitud, EstatusAsignacion y fecha_oficial_recepcion)</v>
      </c>
      <c r="Z1186" s="142">
        <f>VLOOKUP(Tabla1[[#This Row],[Perfil]],Catalogos!$B$75:$D$100,3,FALSE)*Tabla1[[#This Row],[Tiempo
(Hrs 00/100)]]*1.16</f>
        <v>1392</v>
      </c>
    </row>
    <row r="1187" spans="1:26" ht="15" customHeight="1" x14ac:dyDescent="0.3">
      <c r="A1187" s="370" t="s">
        <v>22</v>
      </c>
      <c r="B1187" s="370" t="s">
        <v>65</v>
      </c>
      <c r="C1187" s="418" t="s">
        <v>257</v>
      </c>
      <c r="D1187" s="370"/>
      <c r="E1187" s="370" t="s">
        <v>408</v>
      </c>
      <c r="F1187" s="370" t="s">
        <v>73</v>
      </c>
      <c r="G1187" s="370" t="s">
        <v>604</v>
      </c>
      <c r="H1187" s="419" t="s">
        <v>1660</v>
      </c>
      <c r="I1187" s="420" t="s">
        <v>1661</v>
      </c>
      <c r="J1187" s="369">
        <v>45128</v>
      </c>
      <c r="K1187" s="747">
        <v>0.66666666666666663</v>
      </c>
      <c r="L1187" s="369">
        <v>45128</v>
      </c>
      <c r="M1187" s="753">
        <v>0.70833333333333337</v>
      </c>
      <c r="N1187" s="370">
        <v>1</v>
      </c>
      <c r="O1187" s="537" t="s">
        <v>17</v>
      </c>
      <c r="P1187" s="375" t="s">
        <v>1583</v>
      </c>
      <c r="Q1187" s="797" t="s">
        <v>1441</v>
      </c>
      <c r="R1187" s="202" t="s">
        <v>95</v>
      </c>
      <c r="S1187" s="31" t="s">
        <v>273</v>
      </c>
      <c r="T1187" s="31" t="s">
        <v>273</v>
      </c>
      <c r="U1187" s="31">
        <f>IFERROR(VLOOKUP(CONCATENATE(Tabla1[[#This Row],[Severidad]]," ",Tabla1[[#This Row],[Complejidad]]),Catalogos!E$120:G$128,3,FALSE),"")</f>
        <v>64</v>
      </c>
      <c r="V1187" s="31" t="str">
        <f>IF(Tabla1[[#This Row],[Tiempo solución max (hrs)]]&lt;&gt;"",IF(Tabla1[[#This Row],[Tiempo solución max (hrs)]]&gt;=Tabla1[[#This Row],[Tiempo
(Hrs 00/100)]],"cumple","no cumple"),"")</f>
        <v>cumple</v>
      </c>
      <c r="W1187" s="376" t="s">
        <v>1453</v>
      </c>
      <c r="X1187" s="377" t="str">
        <f t="shared" si="121"/>
        <v>SSI</v>
      </c>
      <c r="Y1187" t="str">
        <f>SUBSTITUTE(Tabla1[[#This Row],[Descripción]],CHAR(10),"    I    ")</f>
        <v>Se actualizó el documento 'Query SISAI' con los comentarios sobre el Query 6, ya que trae 2 parámetros que no se tiene la certeza si se manejaran o no y si serian obligatorios o no, para revisar lo con Subdirector la próxima semana</v>
      </c>
      <c r="Z1187" s="142">
        <f>VLOOKUP(Tabla1[[#This Row],[Perfil]],Catalogos!$B$75:$D$100,3,FALSE)*Tabla1[[#This Row],[Tiempo
(Hrs 00/100)]]*1.16</f>
        <v>696</v>
      </c>
    </row>
    <row r="1188" spans="1:26" ht="15" customHeight="1" x14ac:dyDescent="0.3">
      <c r="A1188" s="373" t="s">
        <v>22</v>
      </c>
      <c r="B1188" s="184" t="s">
        <v>305</v>
      </c>
      <c r="C1188" s="183" t="s">
        <v>257</v>
      </c>
      <c r="D1188" s="179"/>
      <c r="E1188" s="370" t="s">
        <v>408</v>
      </c>
      <c r="F1188" s="373" t="s">
        <v>72</v>
      </c>
      <c r="G1188" s="370" t="s">
        <v>604</v>
      </c>
      <c r="H1188" s="461" t="s">
        <v>1662</v>
      </c>
      <c r="I1188" s="178" t="s">
        <v>1663</v>
      </c>
      <c r="J1188" s="369">
        <v>45128</v>
      </c>
      <c r="K1188" s="753">
        <v>0.70833333333333337</v>
      </c>
      <c r="L1188" s="369">
        <v>45128</v>
      </c>
      <c r="M1188" s="753">
        <v>0.8125</v>
      </c>
      <c r="N1188" s="373">
        <v>2.5</v>
      </c>
      <c r="O1188" s="184" t="s">
        <v>17</v>
      </c>
      <c r="P1188" s="375" t="s">
        <v>1583</v>
      </c>
      <c r="Q1188" s="797" t="s">
        <v>1441</v>
      </c>
      <c r="R1188" s="202" t="s">
        <v>95</v>
      </c>
      <c r="S1188" s="31" t="s">
        <v>273</v>
      </c>
      <c r="T1188" s="31" t="s">
        <v>273</v>
      </c>
      <c r="U1188" s="31">
        <f>IFERROR(VLOOKUP(CONCATENATE(Tabla1[[#This Row],[Severidad]]," ",Tabla1[[#This Row],[Complejidad]]),Catalogos!E$120:G$128,3,FALSE),"")</f>
        <v>64</v>
      </c>
      <c r="V1188" s="31" t="str">
        <f>IF(Tabla1[[#This Row],[Tiempo solución max (hrs)]]&lt;&gt;"",IF(Tabla1[[#This Row],[Tiempo solución max (hrs)]]&gt;=Tabla1[[#This Row],[Tiempo
(Hrs 00/100)]],"cumple","no cumple"),"")</f>
        <v>cumple</v>
      </c>
      <c r="W1188" s="376" t="s">
        <v>1453</v>
      </c>
      <c r="X1188" s="377" t="str">
        <f t="shared" si="121"/>
        <v>SSI</v>
      </c>
      <c r="Y1188" t="str">
        <f>SUBSTITUTE(Tabla1[[#This Row],[Descripción]],CHAR(10),"    I    ")</f>
        <v>Se revisó el 7mo query que 'obtiene el detalle de una solicitud en el dashboard de la UT y GI', se hicieron las primeras ejecuciones con los parámetros para entender su funcionamiento</v>
      </c>
      <c r="Z1188" s="142">
        <f>VLOOKUP(Tabla1[[#This Row],[Perfil]],Catalogos!$B$75:$D$100,3,FALSE)*Tabla1[[#This Row],[Tiempo
(Hrs 00/100)]]*1.16</f>
        <v>1739.9999999999998</v>
      </c>
    </row>
    <row r="1189" spans="1:26" ht="15" customHeight="1" x14ac:dyDescent="0.3">
      <c r="A1189" s="373" t="s">
        <v>22</v>
      </c>
      <c r="B1189" s="184" t="s">
        <v>305</v>
      </c>
      <c r="C1189" s="183" t="s">
        <v>257</v>
      </c>
      <c r="D1189" s="179"/>
      <c r="E1189" s="370" t="s">
        <v>408</v>
      </c>
      <c r="F1189" s="373" t="s">
        <v>72</v>
      </c>
      <c r="G1189" s="370" t="s">
        <v>604</v>
      </c>
      <c r="H1189" s="461" t="s">
        <v>1664</v>
      </c>
      <c r="I1189" s="178" t="s">
        <v>1665</v>
      </c>
      <c r="J1189" s="369">
        <v>45131</v>
      </c>
      <c r="K1189" s="747">
        <v>0.375</v>
      </c>
      <c r="L1189" s="369">
        <v>45131</v>
      </c>
      <c r="M1189" s="753">
        <v>0.41666666666666669</v>
      </c>
      <c r="N1189" s="373">
        <v>1</v>
      </c>
      <c r="O1189" s="184" t="s">
        <v>17</v>
      </c>
      <c r="P1189" s="375" t="s">
        <v>1583</v>
      </c>
      <c r="Q1189" s="797" t="s">
        <v>1441</v>
      </c>
      <c r="R1189" s="202" t="s">
        <v>95</v>
      </c>
      <c r="S1189" s="31" t="s">
        <v>273</v>
      </c>
      <c r="T1189" s="31" t="s">
        <v>273</v>
      </c>
      <c r="U1189" s="31">
        <f>IFERROR(VLOOKUP(CONCATENATE(Tabla1[[#This Row],[Severidad]]," ",Tabla1[[#This Row],[Complejidad]]),Catalogos!E$120:G$128,3,FALSE),"")</f>
        <v>64</v>
      </c>
      <c r="V1189" s="31" t="str">
        <f>IF(Tabla1[[#This Row],[Tiempo solución max (hrs)]]&lt;&gt;"",IF(Tabla1[[#This Row],[Tiempo solución max (hrs)]]&gt;=Tabla1[[#This Row],[Tiempo
(Hrs 00/100)]],"cumple","no cumple"),"")</f>
        <v>cumple</v>
      </c>
      <c r="W1189" s="376" t="s">
        <v>1453</v>
      </c>
      <c r="X1189" s="377" t="str">
        <f t="shared" si="121"/>
        <v>SSI</v>
      </c>
      <c r="Y1189" t="str">
        <f>SUBSTITUTE(Tabla1[[#This Row],[Descripción]],CHAR(10),"    I    ")</f>
        <v>Se detectaron inconsistencias en Query de Funcionalidad 7, ya que son varios queries pequeños, no se sabe si se tiene que armar un query completo o ir validando paso a paso en los diversos queries</v>
      </c>
      <c r="Z1189" s="142">
        <f>VLOOKUP(Tabla1[[#This Row],[Perfil]],Catalogos!$B$75:$D$100,3,FALSE)*Tabla1[[#This Row],[Tiempo
(Hrs 00/100)]]*1.16</f>
        <v>696</v>
      </c>
    </row>
    <row r="1190" spans="1:26" ht="15" customHeight="1" x14ac:dyDescent="0.3">
      <c r="A1190" s="373" t="s">
        <v>22</v>
      </c>
      <c r="B1190" s="184" t="s">
        <v>21</v>
      </c>
      <c r="C1190" s="183" t="s">
        <v>257</v>
      </c>
      <c r="D1190" s="179"/>
      <c r="E1190" s="370" t="s">
        <v>408</v>
      </c>
      <c r="F1190" s="373" t="s">
        <v>73</v>
      </c>
      <c r="G1190" s="370" t="s">
        <v>604</v>
      </c>
      <c r="H1190" s="461" t="s">
        <v>1666</v>
      </c>
      <c r="I1190" s="178" t="s">
        <v>1667</v>
      </c>
      <c r="J1190" s="369">
        <v>45131</v>
      </c>
      <c r="K1190" s="753">
        <v>0.41666666666666669</v>
      </c>
      <c r="L1190" s="369">
        <v>45131</v>
      </c>
      <c r="M1190" s="753">
        <v>0.4375</v>
      </c>
      <c r="N1190" s="373">
        <v>0.5</v>
      </c>
      <c r="O1190" s="184" t="s">
        <v>17</v>
      </c>
      <c r="P1190" s="375" t="s">
        <v>1583</v>
      </c>
      <c r="Q1190" s="797" t="s">
        <v>1441</v>
      </c>
      <c r="R1190" s="202" t="s">
        <v>95</v>
      </c>
      <c r="S1190" s="31" t="s">
        <v>273</v>
      </c>
      <c r="T1190" s="31" t="s">
        <v>273</v>
      </c>
      <c r="U1190" s="31">
        <f>IFERROR(VLOOKUP(CONCATENATE(Tabla1[[#This Row],[Severidad]]," ",Tabla1[[#This Row],[Complejidad]]),Catalogos!E$120:G$128,3,FALSE),"")</f>
        <v>64</v>
      </c>
      <c r="V1190" s="31" t="str">
        <f>IF(Tabla1[[#This Row],[Tiempo solución max (hrs)]]&lt;&gt;"",IF(Tabla1[[#This Row],[Tiempo solución max (hrs)]]&gt;=Tabla1[[#This Row],[Tiempo
(Hrs 00/100)]],"cumple","no cumple"),"")</f>
        <v>cumple</v>
      </c>
      <c r="W1190" s="376" t="s">
        <v>1453</v>
      </c>
      <c r="X1190" s="377" t="str">
        <f t="shared" si="121"/>
        <v>SSI</v>
      </c>
      <c r="Y1190" t="str">
        <f>SUBSTITUTE(Tabla1[[#This Row],[Descripción]],CHAR(10),"    I    ")</f>
        <v>Se actualizó el documento 'Query SISAI' con las dudas sobre el Query 7 para revisarlas con Subdirector esta semana</v>
      </c>
      <c r="Z1190" s="142">
        <f>VLOOKUP(Tabla1[[#This Row],[Perfil]],Catalogos!$B$75:$D$100,3,FALSE)*Tabla1[[#This Row],[Tiempo
(Hrs 00/100)]]*1.16</f>
        <v>348</v>
      </c>
    </row>
    <row r="1191" spans="1:26" ht="15" customHeight="1" x14ac:dyDescent="0.3">
      <c r="A1191" s="370" t="s">
        <v>22</v>
      </c>
      <c r="B1191" s="370" t="s">
        <v>305</v>
      </c>
      <c r="C1191" s="418" t="s">
        <v>257</v>
      </c>
      <c r="D1191" s="370"/>
      <c r="E1191" s="370" t="s">
        <v>408</v>
      </c>
      <c r="F1191" s="370" t="s">
        <v>72</v>
      </c>
      <c r="G1191" s="370" t="s">
        <v>604</v>
      </c>
      <c r="H1191" s="419" t="s">
        <v>1668</v>
      </c>
      <c r="I1191" s="420" t="s">
        <v>1669</v>
      </c>
      <c r="J1191" s="369">
        <v>45131</v>
      </c>
      <c r="K1191" s="753">
        <v>0.4375</v>
      </c>
      <c r="L1191" s="369">
        <v>45131</v>
      </c>
      <c r="M1191" s="753">
        <v>0.47916666666666669</v>
      </c>
      <c r="N1191" s="370">
        <v>1</v>
      </c>
      <c r="O1191" s="537" t="s">
        <v>17</v>
      </c>
      <c r="P1191" s="375" t="s">
        <v>1583</v>
      </c>
      <c r="Q1191" s="797" t="s">
        <v>1441</v>
      </c>
      <c r="R1191" s="202" t="s">
        <v>95</v>
      </c>
      <c r="S1191" s="31" t="s">
        <v>273</v>
      </c>
      <c r="T1191" s="31" t="s">
        <v>273</v>
      </c>
      <c r="U1191" s="31">
        <f>IFERROR(VLOOKUP(CONCATENATE(Tabla1[[#This Row],[Severidad]]," ",Tabla1[[#This Row],[Complejidad]]),Catalogos!E$120:G$128,3,FALSE),"")</f>
        <v>64</v>
      </c>
      <c r="V1191" s="31" t="str">
        <f>IF(Tabla1[[#This Row],[Tiempo solución max (hrs)]]&lt;&gt;"",IF(Tabla1[[#This Row],[Tiempo solución max (hrs)]]&gt;=Tabla1[[#This Row],[Tiempo
(Hrs 00/100)]],"cumple","no cumple"),"")</f>
        <v>cumple</v>
      </c>
      <c r="W1191" s="376" t="s">
        <v>1453</v>
      </c>
      <c r="X1191" s="377" t="str">
        <f t="shared" si="121"/>
        <v>SSI</v>
      </c>
      <c r="Y1191" t="str">
        <f>SUBSTITUTE(Tabla1[[#This Row],[Descripción]],CHAR(10),"    I    ")</f>
        <v>Se revisó el 8vo query que 'permite la exportación de las solicitudes de la UT a formato excel', se hicieron las primeras ejecuciones con los parámetros para entender su funcionamiento</v>
      </c>
      <c r="Z1191" s="142">
        <f>VLOOKUP(Tabla1[[#This Row],[Perfil]],Catalogos!$B$75:$D$100,3,FALSE)*Tabla1[[#This Row],[Tiempo
(Hrs 00/100)]]*1.16</f>
        <v>696</v>
      </c>
    </row>
    <row r="1192" spans="1:26" ht="15" customHeight="1" x14ac:dyDescent="0.3">
      <c r="A1192" s="370" t="s">
        <v>22</v>
      </c>
      <c r="B1192" s="370" t="s">
        <v>305</v>
      </c>
      <c r="C1192" s="418" t="s">
        <v>257</v>
      </c>
      <c r="D1192" s="370"/>
      <c r="E1192" s="370" t="s">
        <v>408</v>
      </c>
      <c r="F1192" s="370" t="s">
        <v>72</v>
      </c>
      <c r="G1192" s="370" t="s">
        <v>604</v>
      </c>
      <c r="H1192" s="419" t="s">
        <v>1670</v>
      </c>
      <c r="I1192" s="420" t="s">
        <v>1671</v>
      </c>
      <c r="J1192" s="369">
        <v>45131</v>
      </c>
      <c r="K1192" s="753">
        <v>0.47916666666666669</v>
      </c>
      <c r="L1192" s="369">
        <v>45131</v>
      </c>
      <c r="M1192" s="753">
        <v>0.52083333333333337</v>
      </c>
      <c r="N1192" s="370">
        <v>1</v>
      </c>
      <c r="O1192" s="537" t="s">
        <v>17</v>
      </c>
      <c r="P1192" s="375" t="s">
        <v>1583</v>
      </c>
      <c r="Q1192" s="797" t="s">
        <v>1441</v>
      </c>
      <c r="R1192" s="202" t="s">
        <v>95</v>
      </c>
      <c r="S1192" s="31" t="s">
        <v>273</v>
      </c>
      <c r="T1192" s="31" t="s">
        <v>273</v>
      </c>
      <c r="U1192" s="31">
        <f>IFERROR(VLOOKUP(CONCATENATE(Tabla1[[#This Row],[Severidad]]," ",Tabla1[[#This Row],[Complejidad]]),Catalogos!E$120:G$128,3,FALSE),"")</f>
        <v>64</v>
      </c>
      <c r="V1192" s="31" t="str">
        <f>IF(Tabla1[[#This Row],[Tiempo solución max (hrs)]]&lt;&gt;"",IF(Tabla1[[#This Row],[Tiempo solución max (hrs)]]&gt;=Tabla1[[#This Row],[Tiempo
(Hrs 00/100)]],"cumple","no cumple"),"")</f>
        <v>cumple</v>
      </c>
      <c r="W1192" s="376" t="s">
        <v>1453</v>
      </c>
      <c r="X1192" s="377" t="str">
        <f t="shared" si="121"/>
        <v>SSI</v>
      </c>
      <c r="Y1192" t="str">
        <f>SUBSTITUTE(Tabla1[[#This Row],[Descripción]],CHAR(10),"    I    ")</f>
        <v>Se detectaron inconsistencias en Query de Funcionalidad 8, por parametro de Lista que no se sabe cómo se va a ingresar</v>
      </c>
      <c r="Z1192" s="142">
        <f>VLOOKUP(Tabla1[[#This Row],[Perfil]],Catalogos!$B$75:$D$100,3,FALSE)*Tabla1[[#This Row],[Tiempo
(Hrs 00/100)]]*1.16</f>
        <v>696</v>
      </c>
    </row>
    <row r="1193" spans="1:26" ht="15" customHeight="1" x14ac:dyDescent="0.3">
      <c r="A1193" s="370" t="s">
        <v>22</v>
      </c>
      <c r="B1193" s="370" t="s">
        <v>21</v>
      </c>
      <c r="C1193" s="418" t="s">
        <v>257</v>
      </c>
      <c r="D1193" s="370"/>
      <c r="E1193" s="370" t="s">
        <v>408</v>
      </c>
      <c r="F1193" s="370" t="s">
        <v>73</v>
      </c>
      <c r="G1193" s="370" t="s">
        <v>604</v>
      </c>
      <c r="H1193" s="419" t="s">
        <v>1672</v>
      </c>
      <c r="I1193" s="420" t="s">
        <v>1673</v>
      </c>
      <c r="J1193" s="369">
        <v>45131</v>
      </c>
      <c r="K1193" s="753">
        <v>0.52083333333333337</v>
      </c>
      <c r="L1193" s="369">
        <v>45131</v>
      </c>
      <c r="M1193" s="753">
        <v>0.54166666666666663</v>
      </c>
      <c r="N1193" s="370">
        <v>0.5</v>
      </c>
      <c r="O1193" s="537" t="s">
        <v>17</v>
      </c>
      <c r="P1193" s="375" t="s">
        <v>1583</v>
      </c>
      <c r="Q1193" s="797" t="s">
        <v>1441</v>
      </c>
      <c r="R1193" s="202" t="s">
        <v>95</v>
      </c>
      <c r="S1193" s="31" t="s">
        <v>273</v>
      </c>
      <c r="T1193" s="31" t="s">
        <v>273</v>
      </c>
      <c r="U1193" s="31">
        <f>IFERROR(VLOOKUP(CONCATENATE(Tabla1[[#This Row],[Severidad]]," ",Tabla1[[#This Row],[Complejidad]]),Catalogos!E$120:G$128,3,FALSE),"")</f>
        <v>64</v>
      </c>
      <c r="V1193" s="31" t="str">
        <f>IF(Tabla1[[#This Row],[Tiempo solución max (hrs)]]&lt;&gt;"",IF(Tabla1[[#This Row],[Tiempo solución max (hrs)]]&gt;=Tabla1[[#This Row],[Tiempo
(Hrs 00/100)]],"cumple","no cumple"),"")</f>
        <v>cumple</v>
      </c>
      <c r="W1193" s="376" t="s">
        <v>1453</v>
      </c>
      <c r="X1193" s="377" t="str">
        <f t="shared" si="121"/>
        <v>SSI</v>
      </c>
      <c r="Y1193" t="str">
        <f>SUBSTITUTE(Tabla1[[#This Row],[Descripción]],CHAR(10),"    I    ")</f>
        <v>Se actualizó el documento 'Query SISAI' con las dudas sobre el Query 8 para revisarlas con Subdirector esta semana</v>
      </c>
      <c r="Z1193" s="142">
        <f>VLOOKUP(Tabla1[[#This Row],[Perfil]],Catalogos!$B$75:$D$100,3,FALSE)*Tabla1[[#This Row],[Tiempo
(Hrs 00/100)]]*1.16</f>
        <v>348</v>
      </c>
    </row>
    <row r="1194" spans="1:26" ht="15" customHeight="1" x14ac:dyDescent="0.3">
      <c r="A1194" s="373" t="s">
        <v>22</v>
      </c>
      <c r="B1194" s="184" t="s">
        <v>305</v>
      </c>
      <c r="C1194" s="183" t="s">
        <v>257</v>
      </c>
      <c r="D1194" s="179"/>
      <c r="E1194" s="370" t="s">
        <v>408</v>
      </c>
      <c r="F1194" s="373" t="s">
        <v>72</v>
      </c>
      <c r="G1194" s="370" t="s">
        <v>604</v>
      </c>
      <c r="H1194" s="461" t="s">
        <v>1674</v>
      </c>
      <c r="I1194" s="178" t="s">
        <v>1675</v>
      </c>
      <c r="J1194" s="369">
        <v>45131</v>
      </c>
      <c r="K1194" s="753">
        <v>0.54166666666666663</v>
      </c>
      <c r="L1194" s="369">
        <v>45131</v>
      </c>
      <c r="M1194" s="753">
        <v>0.58333333333333337</v>
      </c>
      <c r="N1194" s="373">
        <v>1</v>
      </c>
      <c r="O1194" s="184" t="s">
        <v>17</v>
      </c>
      <c r="P1194" s="375" t="s">
        <v>1583</v>
      </c>
      <c r="Q1194" s="797" t="s">
        <v>1441</v>
      </c>
      <c r="R1194" s="202" t="s">
        <v>95</v>
      </c>
      <c r="S1194" s="31" t="s">
        <v>273</v>
      </c>
      <c r="T1194" s="31" t="s">
        <v>273</v>
      </c>
      <c r="U1194" s="31">
        <f>IFERROR(VLOOKUP(CONCATENATE(Tabla1[[#This Row],[Severidad]]," ",Tabla1[[#This Row],[Complejidad]]),Catalogos!E$120:G$128,3,FALSE),"")</f>
        <v>64</v>
      </c>
      <c r="V1194" s="31" t="str">
        <f>IF(Tabla1[[#This Row],[Tiempo solución max (hrs)]]&lt;&gt;"",IF(Tabla1[[#This Row],[Tiempo solución max (hrs)]]&gt;=Tabla1[[#This Row],[Tiempo
(Hrs 00/100)]],"cumple","no cumple"),"")</f>
        <v>cumple</v>
      </c>
      <c r="W1194" s="376" t="s">
        <v>1453</v>
      </c>
      <c r="X1194" s="377" t="str">
        <f t="shared" si="121"/>
        <v>SSI</v>
      </c>
      <c r="Y1194" t="str">
        <f>SUBSTITUTE(Tabla1[[#This Row],[Descripción]],CHAR(10),"    I    ")</f>
        <v>Se revisó el 9no query que 'obtiene todas las respuestas posibles a aplicar por parte de la UT', se hicieron las primeras ejecuciones con los parámetros para entender su funcionamiento</v>
      </c>
      <c r="Z1194" s="142">
        <f>VLOOKUP(Tabla1[[#This Row],[Perfil]],Catalogos!$B$75:$D$100,3,FALSE)*Tabla1[[#This Row],[Tiempo
(Hrs 00/100)]]*1.16</f>
        <v>696</v>
      </c>
    </row>
    <row r="1195" spans="1:26" ht="15" customHeight="1" x14ac:dyDescent="0.3">
      <c r="A1195" s="373" t="s">
        <v>22</v>
      </c>
      <c r="B1195" s="184" t="s">
        <v>305</v>
      </c>
      <c r="C1195" s="183" t="s">
        <v>257</v>
      </c>
      <c r="D1195" s="179"/>
      <c r="E1195" s="370" t="s">
        <v>408</v>
      </c>
      <c r="F1195" s="373" t="s">
        <v>72</v>
      </c>
      <c r="G1195" s="370" t="s">
        <v>604</v>
      </c>
      <c r="H1195" s="461" t="s">
        <v>1676</v>
      </c>
      <c r="I1195" s="178" t="s">
        <v>1677</v>
      </c>
      <c r="J1195" s="369">
        <v>45131</v>
      </c>
      <c r="K1195" s="747">
        <v>0.64583333333333337</v>
      </c>
      <c r="L1195" s="369">
        <v>45131</v>
      </c>
      <c r="M1195" s="753">
        <v>0.6875</v>
      </c>
      <c r="N1195" s="373">
        <v>1</v>
      </c>
      <c r="O1195" s="184" t="s">
        <v>17</v>
      </c>
      <c r="P1195" s="375" t="s">
        <v>1583</v>
      </c>
      <c r="Q1195" s="797" t="s">
        <v>1441</v>
      </c>
      <c r="R1195" s="202" t="s">
        <v>95</v>
      </c>
      <c r="S1195" s="31" t="s">
        <v>273</v>
      </c>
      <c r="T1195" s="31" t="s">
        <v>273</v>
      </c>
      <c r="U1195" s="31">
        <f>IFERROR(VLOOKUP(CONCATENATE(Tabla1[[#This Row],[Severidad]]," ",Tabla1[[#This Row],[Complejidad]]),Catalogos!E$120:G$128,3,FALSE),"")</f>
        <v>64</v>
      </c>
      <c r="V1195" s="31" t="str">
        <f>IF(Tabla1[[#This Row],[Tiempo solución max (hrs)]]&lt;&gt;"",IF(Tabla1[[#This Row],[Tiempo solución max (hrs)]]&gt;=Tabla1[[#This Row],[Tiempo
(Hrs 00/100)]],"cumple","no cumple"),"")</f>
        <v>cumple</v>
      </c>
      <c r="W1195" s="376" t="s">
        <v>1453</v>
      </c>
      <c r="X1195" s="377" t="str">
        <f t="shared" si="121"/>
        <v>SSI</v>
      </c>
      <c r="Y1195" t="str">
        <f>SUBSTITUTE(Tabla1[[#This Row],[Descripción]],CHAR(10),"    I    ")</f>
        <v>Se detectaron inconsistencias en Query de Funcionalidad 9, por único parámetro y al ser un query pequeño</v>
      </c>
      <c r="Z1195" s="142">
        <f>VLOOKUP(Tabla1[[#This Row],[Perfil]],Catalogos!$B$75:$D$100,3,FALSE)*Tabla1[[#This Row],[Tiempo
(Hrs 00/100)]]*1.16</f>
        <v>696</v>
      </c>
    </row>
    <row r="1196" spans="1:26" ht="15" customHeight="1" x14ac:dyDescent="0.3">
      <c r="A1196" s="373" t="s">
        <v>22</v>
      </c>
      <c r="B1196" s="184" t="s">
        <v>21</v>
      </c>
      <c r="C1196" s="183" t="s">
        <v>257</v>
      </c>
      <c r="D1196" s="179"/>
      <c r="E1196" s="370" t="s">
        <v>408</v>
      </c>
      <c r="F1196" s="373" t="s">
        <v>73</v>
      </c>
      <c r="G1196" s="370" t="s">
        <v>604</v>
      </c>
      <c r="H1196" s="461" t="s">
        <v>1678</v>
      </c>
      <c r="I1196" s="178" t="s">
        <v>1679</v>
      </c>
      <c r="J1196" s="369">
        <v>45131</v>
      </c>
      <c r="K1196" s="753">
        <v>0.6875</v>
      </c>
      <c r="L1196" s="369">
        <v>45131</v>
      </c>
      <c r="M1196" s="753">
        <v>0.70833333333333337</v>
      </c>
      <c r="N1196" s="373">
        <v>0.5</v>
      </c>
      <c r="O1196" s="184" t="s">
        <v>17</v>
      </c>
      <c r="P1196" s="375" t="s">
        <v>1583</v>
      </c>
      <c r="Q1196" s="797" t="s">
        <v>1441</v>
      </c>
      <c r="R1196" s="202" t="s">
        <v>95</v>
      </c>
      <c r="S1196" s="31" t="s">
        <v>273</v>
      </c>
      <c r="T1196" s="31" t="s">
        <v>273</v>
      </c>
      <c r="U1196" s="31">
        <f>IFERROR(VLOOKUP(CONCATENATE(Tabla1[[#This Row],[Severidad]]," ",Tabla1[[#This Row],[Complejidad]]),Catalogos!E$120:G$128,3,FALSE),"")</f>
        <v>64</v>
      </c>
      <c r="V1196" s="31" t="str">
        <f>IF(Tabla1[[#This Row],[Tiempo solución max (hrs)]]&lt;&gt;"",IF(Tabla1[[#This Row],[Tiempo solución max (hrs)]]&gt;=Tabla1[[#This Row],[Tiempo
(Hrs 00/100)]],"cumple","no cumple"),"")</f>
        <v>cumple</v>
      </c>
      <c r="W1196" s="376" t="s">
        <v>1453</v>
      </c>
      <c r="X1196" s="377" t="str">
        <f t="shared" si="121"/>
        <v>SSI</v>
      </c>
      <c r="Y1196" t="str">
        <f>SUBSTITUTE(Tabla1[[#This Row],[Descripción]],CHAR(10),"    I    ")</f>
        <v>Se actualizó el documento 'Query SISAI' con las dudas sobre el Query 9 para revisarlas con Subdirector esta semana</v>
      </c>
      <c r="Z1196" s="142">
        <f>VLOOKUP(Tabla1[[#This Row],[Perfil]],Catalogos!$B$75:$D$100,3,FALSE)*Tabla1[[#This Row],[Tiempo
(Hrs 00/100)]]*1.16</f>
        <v>348</v>
      </c>
    </row>
    <row r="1197" spans="1:26" ht="15" customHeight="1" x14ac:dyDescent="0.3">
      <c r="A1197" s="370" t="s">
        <v>22</v>
      </c>
      <c r="B1197" s="370" t="s">
        <v>305</v>
      </c>
      <c r="C1197" s="418" t="s">
        <v>257</v>
      </c>
      <c r="D1197" s="370"/>
      <c r="E1197" s="370" t="s">
        <v>408</v>
      </c>
      <c r="F1197" s="370" t="s">
        <v>72</v>
      </c>
      <c r="G1197" s="370" t="s">
        <v>604</v>
      </c>
      <c r="H1197" s="419" t="s">
        <v>1680</v>
      </c>
      <c r="I1197" s="420" t="s">
        <v>1681</v>
      </c>
      <c r="J1197" s="369">
        <v>45131</v>
      </c>
      <c r="K1197" s="753">
        <v>0.70833333333333337</v>
      </c>
      <c r="L1197" s="369">
        <v>45131</v>
      </c>
      <c r="M1197" s="753">
        <v>0.75</v>
      </c>
      <c r="N1197" s="370">
        <v>1</v>
      </c>
      <c r="O1197" s="537" t="s">
        <v>17</v>
      </c>
      <c r="P1197" s="375" t="s">
        <v>1583</v>
      </c>
      <c r="Q1197" s="797" t="s">
        <v>1441</v>
      </c>
      <c r="R1197" s="202" t="s">
        <v>95</v>
      </c>
      <c r="S1197" s="31" t="s">
        <v>273</v>
      </c>
      <c r="T1197" s="31" t="s">
        <v>273</v>
      </c>
      <c r="U1197" s="31">
        <f>IFERROR(VLOOKUP(CONCATENATE(Tabla1[[#This Row],[Severidad]]," ",Tabla1[[#This Row],[Complejidad]]),Catalogos!E$120:G$128,3,FALSE),"")</f>
        <v>64</v>
      </c>
      <c r="V1197" s="31" t="str">
        <f>IF(Tabla1[[#This Row],[Tiempo solución max (hrs)]]&lt;&gt;"",IF(Tabla1[[#This Row],[Tiempo solución max (hrs)]]&gt;=Tabla1[[#This Row],[Tiempo
(Hrs 00/100)]],"cumple","no cumple"),"")</f>
        <v>cumple</v>
      </c>
      <c r="W1197" s="376" t="s">
        <v>1453</v>
      </c>
      <c r="X1197" s="377" t="str">
        <f t="shared" si="121"/>
        <v>SSI</v>
      </c>
      <c r="Y1197" t="str">
        <f>SUBSTITUTE(Tabla1[[#This Row],[Descripción]],CHAR(10),"    I    ")</f>
        <v>Se revisó el 10mo query que 'obtiene el dashboard en la recepción de solicitudes GI de la UT', se hicieron las primeras ejecuciones con los parámetros para entender su funcionamiento</v>
      </c>
      <c r="Z1197" s="142">
        <f>VLOOKUP(Tabla1[[#This Row],[Perfil]],Catalogos!$B$75:$D$100,3,FALSE)*Tabla1[[#This Row],[Tiempo
(Hrs 00/100)]]*1.16</f>
        <v>696</v>
      </c>
    </row>
    <row r="1198" spans="1:26" ht="15" customHeight="1" x14ac:dyDescent="0.3">
      <c r="A1198" s="373" t="s">
        <v>22</v>
      </c>
      <c r="B1198" s="184" t="s">
        <v>305</v>
      </c>
      <c r="C1198" s="183" t="s">
        <v>257</v>
      </c>
      <c r="D1198" s="179"/>
      <c r="E1198" s="370" t="s">
        <v>408</v>
      </c>
      <c r="F1198" s="373" t="s">
        <v>72</v>
      </c>
      <c r="G1198" s="370" t="s">
        <v>604</v>
      </c>
      <c r="H1198" s="461" t="s">
        <v>1682</v>
      </c>
      <c r="I1198" s="178" t="s">
        <v>1683</v>
      </c>
      <c r="J1198" s="369">
        <v>45131</v>
      </c>
      <c r="K1198" s="753">
        <v>0.75</v>
      </c>
      <c r="L1198" s="369">
        <v>45131</v>
      </c>
      <c r="M1198" s="753">
        <v>0.79166666666666663</v>
      </c>
      <c r="N1198" s="373">
        <v>1</v>
      </c>
      <c r="O1198" s="184" t="s">
        <v>17</v>
      </c>
      <c r="P1198" s="375" t="s">
        <v>1583</v>
      </c>
      <c r="Q1198" s="797" t="s">
        <v>1441</v>
      </c>
      <c r="R1198" s="202" t="s">
        <v>95</v>
      </c>
      <c r="S1198" s="31" t="s">
        <v>273</v>
      </c>
      <c r="T1198" s="31" t="s">
        <v>273</v>
      </c>
      <c r="U1198" s="31">
        <f>IFERROR(VLOOKUP(CONCATENATE(Tabla1[[#This Row],[Severidad]]," ",Tabla1[[#This Row],[Complejidad]]),Catalogos!E$120:G$128,3,FALSE),"")</f>
        <v>64</v>
      </c>
      <c r="V1198" s="31" t="str">
        <f>IF(Tabla1[[#This Row],[Tiempo solución max (hrs)]]&lt;&gt;"",IF(Tabla1[[#This Row],[Tiempo solución max (hrs)]]&gt;=Tabla1[[#This Row],[Tiempo
(Hrs 00/100)]],"cumple","no cumple"),"")</f>
        <v>cumple</v>
      </c>
      <c r="W1198" s="376" t="s">
        <v>1453</v>
      </c>
      <c r="X1198" s="377" t="str">
        <f t="shared" si="121"/>
        <v>SSI</v>
      </c>
      <c r="Y1198" t="str">
        <f>SUBSTITUTE(Tabla1[[#This Row],[Descripción]],CHAR(10),"    I    ")</f>
        <v>Se detectaron inconsistencias en Query de Funcionalidad 10, por parámetros que no se sabe si son obligatorios y para aclarar parámetros de Estatus Respuesta que manda el aplicativo</v>
      </c>
      <c r="Z1198" s="142">
        <f>VLOOKUP(Tabla1[[#This Row],[Perfil]],Catalogos!$B$75:$D$100,3,FALSE)*Tabla1[[#This Row],[Tiempo
(Hrs 00/100)]]*1.16</f>
        <v>696</v>
      </c>
    </row>
    <row r="1199" spans="1:26" ht="15" customHeight="1" x14ac:dyDescent="0.3">
      <c r="A1199" s="373" t="s">
        <v>22</v>
      </c>
      <c r="B1199" s="184" t="s">
        <v>21</v>
      </c>
      <c r="C1199" s="183" t="s">
        <v>257</v>
      </c>
      <c r="D1199" s="179"/>
      <c r="E1199" s="370" t="s">
        <v>408</v>
      </c>
      <c r="F1199" s="373" t="s">
        <v>73</v>
      </c>
      <c r="G1199" s="370" t="s">
        <v>604</v>
      </c>
      <c r="H1199" s="461" t="s">
        <v>1684</v>
      </c>
      <c r="I1199" s="178" t="s">
        <v>1685</v>
      </c>
      <c r="J1199" s="369">
        <v>45132</v>
      </c>
      <c r="K1199" s="747">
        <v>0.375</v>
      </c>
      <c r="L1199" s="369">
        <v>45132</v>
      </c>
      <c r="M1199" s="753">
        <v>0.39583333333333331</v>
      </c>
      <c r="N1199" s="373">
        <v>0.5</v>
      </c>
      <c r="O1199" s="184" t="s">
        <v>17</v>
      </c>
      <c r="P1199" s="375" t="s">
        <v>1583</v>
      </c>
      <c r="Q1199" s="797" t="s">
        <v>1441</v>
      </c>
      <c r="R1199" s="202" t="s">
        <v>95</v>
      </c>
      <c r="S1199" s="31" t="s">
        <v>273</v>
      </c>
      <c r="T1199" s="31" t="s">
        <v>273</v>
      </c>
      <c r="U1199" s="31">
        <f>IFERROR(VLOOKUP(CONCATENATE(Tabla1[[#This Row],[Severidad]]," ",Tabla1[[#This Row],[Complejidad]]),Catalogos!E$120:G$128,3,FALSE),"")</f>
        <v>64</v>
      </c>
      <c r="V1199" s="31" t="str">
        <f>IF(Tabla1[[#This Row],[Tiempo solución max (hrs)]]&lt;&gt;"",IF(Tabla1[[#This Row],[Tiempo solución max (hrs)]]&gt;=Tabla1[[#This Row],[Tiempo
(Hrs 00/100)]],"cumple","no cumple"),"")</f>
        <v>cumple</v>
      </c>
      <c r="W1199" s="376" t="s">
        <v>1453</v>
      </c>
      <c r="X1199" s="377" t="str">
        <f t="shared" si="121"/>
        <v>SSI</v>
      </c>
      <c r="Y1199" t="str">
        <f>SUBSTITUTE(Tabla1[[#This Row],[Descripción]],CHAR(10),"    I    ")</f>
        <v>Se actualizó el documento 'Query SISAI' con las dudas sobre el Query 10 para revisarlas con Subdirector esta semana</v>
      </c>
      <c r="Z1199" s="142">
        <f>VLOOKUP(Tabla1[[#This Row],[Perfil]],Catalogos!$B$75:$D$100,3,FALSE)*Tabla1[[#This Row],[Tiempo
(Hrs 00/100)]]*1.16</f>
        <v>348</v>
      </c>
    </row>
    <row r="1200" spans="1:26" ht="15" customHeight="1" x14ac:dyDescent="0.3">
      <c r="A1200" s="373" t="s">
        <v>22</v>
      </c>
      <c r="B1200" s="184" t="s">
        <v>305</v>
      </c>
      <c r="C1200" s="183" t="s">
        <v>257</v>
      </c>
      <c r="D1200" s="179"/>
      <c r="E1200" s="370" t="s">
        <v>408</v>
      </c>
      <c r="F1200" s="373" t="s">
        <v>72</v>
      </c>
      <c r="G1200" s="370" t="s">
        <v>604</v>
      </c>
      <c r="H1200" s="461" t="s">
        <v>1686</v>
      </c>
      <c r="I1200" s="178" t="s">
        <v>1687</v>
      </c>
      <c r="J1200" s="369">
        <v>45132</v>
      </c>
      <c r="K1200" s="753">
        <v>0.39583333333333331</v>
      </c>
      <c r="L1200" s="369">
        <v>45132</v>
      </c>
      <c r="M1200" s="753">
        <v>0.4375</v>
      </c>
      <c r="N1200" s="373">
        <v>1</v>
      </c>
      <c r="O1200" s="184" t="s">
        <v>17</v>
      </c>
      <c r="P1200" s="375" t="s">
        <v>1583</v>
      </c>
      <c r="Q1200" s="797" t="s">
        <v>1441</v>
      </c>
      <c r="R1200" s="202" t="s">
        <v>95</v>
      </c>
      <c r="S1200" s="31" t="s">
        <v>273</v>
      </c>
      <c r="T1200" s="31" t="s">
        <v>273</v>
      </c>
      <c r="U1200" s="31">
        <f>IFERROR(VLOOKUP(CONCATENATE(Tabla1[[#This Row],[Severidad]]," ",Tabla1[[#This Row],[Complejidad]]),Catalogos!E$120:G$128,3,FALSE),"")</f>
        <v>64</v>
      </c>
      <c r="V1200" s="31" t="str">
        <f>IF(Tabla1[[#This Row],[Tiempo solución max (hrs)]]&lt;&gt;"",IF(Tabla1[[#This Row],[Tiempo solución max (hrs)]]&gt;=Tabla1[[#This Row],[Tiempo
(Hrs 00/100)]],"cumple","no cumple"),"")</f>
        <v>cumple</v>
      </c>
      <c r="W1200" s="376" t="s">
        <v>1453</v>
      </c>
      <c r="X1200" s="377" t="str">
        <f t="shared" si="121"/>
        <v>SSI</v>
      </c>
      <c r="Y1200" t="str">
        <f>SUBSTITUTE(Tabla1[[#This Row],[Descripción]],CHAR(10),"    I    ")</f>
        <v>Se revisó el 11vo query que 'permite el turnado de un folio a unidades administrativas', se hicieron las primeras ejecuciones con los parámetros para entender su funcionamiento</v>
      </c>
      <c r="Z1200" s="142">
        <f>VLOOKUP(Tabla1[[#This Row],[Perfil]],Catalogos!$B$75:$D$100,3,FALSE)*Tabla1[[#This Row],[Tiempo
(Hrs 00/100)]]*1.16</f>
        <v>696</v>
      </c>
    </row>
    <row r="1201" spans="1:26" ht="15" customHeight="1" x14ac:dyDescent="0.3">
      <c r="A1201" s="373" t="s">
        <v>22</v>
      </c>
      <c r="B1201" s="184" t="s">
        <v>305</v>
      </c>
      <c r="C1201" s="183" t="s">
        <v>257</v>
      </c>
      <c r="D1201" s="179"/>
      <c r="E1201" s="370" t="s">
        <v>408</v>
      </c>
      <c r="F1201" s="373" t="s">
        <v>72</v>
      </c>
      <c r="G1201" s="370" t="s">
        <v>604</v>
      </c>
      <c r="H1201" s="461" t="s">
        <v>1688</v>
      </c>
      <c r="I1201" s="178" t="s">
        <v>1689</v>
      </c>
      <c r="J1201" s="369">
        <v>45132</v>
      </c>
      <c r="K1201" s="753">
        <v>0.4375</v>
      </c>
      <c r="L1201" s="369">
        <v>45132</v>
      </c>
      <c r="M1201" s="753">
        <v>0.47916666666666669</v>
      </c>
      <c r="N1201" s="373">
        <v>1</v>
      </c>
      <c r="O1201" s="184" t="s">
        <v>17</v>
      </c>
      <c r="P1201" s="375" t="s">
        <v>1583</v>
      </c>
      <c r="Q1201" s="797" t="s">
        <v>1441</v>
      </c>
      <c r="R1201" s="202" t="s">
        <v>95</v>
      </c>
      <c r="S1201" s="31" t="s">
        <v>273</v>
      </c>
      <c r="T1201" s="31" t="s">
        <v>273</v>
      </c>
      <c r="U1201" s="31">
        <f>IFERROR(VLOOKUP(CONCATENATE(Tabla1[[#This Row],[Severidad]]," ",Tabla1[[#This Row],[Complejidad]]),Catalogos!E$120:G$128,3,FALSE),"")</f>
        <v>64</v>
      </c>
      <c r="V1201" s="31" t="str">
        <f>IF(Tabla1[[#This Row],[Tiempo solución max (hrs)]]&lt;&gt;"",IF(Tabla1[[#This Row],[Tiempo solución max (hrs)]]&gt;=Tabla1[[#This Row],[Tiempo
(Hrs 00/100)]],"cumple","no cumple"),"")</f>
        <v>cumple</v>
      </c>
      <c r="W1201" s="376" t="s">
        <v>1453</v>
      </c>
      <c r="X1201" s="377" t="str">
        <f t="shared" si="121"/>
        <v>SSI</v>
      </c>
      <c r="Y1201" t="str">
        <f>SUBSTITUTE(Tabla1[[#This Row],[Descripción]],CHAR(10),"    I    ")</f>
        <v>Se detectaron inconsistencias en Query de Funcionalidad 11, ya que son varios queries pequeños, no se sabe si se tiene que armar un query completo o ir validando paso a paso en los diversos queries</v>
      </c>
      <c r="Z1201" s="142">
        <f>VLOOKUP(Tabla1[[#This Row],[Perfil]],Catalogos!$B$75:$D$100,3,FALSE)*Tabla1[[#This Row],[Tiempo
(Hrs 00/100)]]*1.16</f>
        <v>696</v>
      </c>
    </row>
    <row r="1202" spans="1:26" ht="15" customHeight="1" x14ac:dyDescent="0.3">
      <c r="A1202" s="370" t="s">
        <v>22</v>
      </c>
      <c r="B1202" s="370" t="s">
        <v>21</v>
      </c>
      <c r="C1202" s="418" t="s">
        <v>257</v>
      </c>
      <c r="D1202" s="370"/>
      <c r="E1202" s="370" t="s">
        <v>408</v>
      </c>
      <c r="F1202" s="370" t="s">
        <v>73</v>
      </c>
      <c r="G1202" s="370" t="s">
        <v>604</v>
      </c>
      <c r="H1202" s="419" t="s">
        <v>1690</v>
      </c>
      <c r="I1202" s="420" t="s">
        <v>1691</v>
      </c>
      <c r="J1202" s="369">
        <v>45132</v>
      </c>
      <c r="K1202" s="753">
        <v>0.47916666666666669</v>
      </c>
      <c r="L1202" s="369">
        <v>45132</v>
      </c>
      <c r="M1202" s="753">
        <v>0.5</v>
      </c>
      <c r="N1202" s="370">
        <v>0.5</v>
      </c>
      <c r="O1202" s="537" t="s">
        <v>17</v>
      </c>
      <c r="P1202" s="375" t="s">
        <v>1583</v>
      </c>
      <c r="Q1202" s="797" t="s">
        <v>1441</v>
      </c>
      <c r="R1202" s="202" t="s">
        <v>95</v>
      </c>
      <c r="S1202" s="31" t="s">
        <v>273</v>
      </c>
      <c r="T1202" s="31" t="s">
        <v>273</v>
      </c>
      <c r="U1202" s="31">
        <f>IFERROR(VLOOKUP(CONCATENATE(Tabla1[[#This Row],[Severidad]]," ",Tabla1[[#This Row],[Complejidad]]),Catalogos!E$120:G$128,3,FALSE),"")</f>
        <v>64</v>
      </c>
      <c r="V1202" s="31" t="str">
        <f>IF(Tabla1[[#This Row],[Tiempo solución max (hrs)]]&lt;&gt;"",IF(Tabla1[[#This Row],[Tiempo solución max (hrs)]]&gt;=Tabla1[[#This Row],[Tiempo
(Hrs 00/100)]],"cumple","no cumple"),"")</f>
        <v>cumple</v>
      </c>
      <c r="W1202" s="376" t="s">
        <v>1453</v>
      </c>
      <c r="X1202" s="377" t="str">
        <f t="shared" si="121"/>
        <v>SSI</v>
      </c>
      <c r="Y1202" t="str">
        <f>SUBSTITUTE(Tabla1[[#This Row],[Descripción]],CHAR(10),"    I    ")</f>
        <v>Se actualizó el documento 'Query SISAI' con las dudas sobre el Query 11 para revisarlas con Subdirector esta semana</v>
      </c>
      <c r="Z1202" s="142">
        <f>VLOOKUP(Tabla1[[#This Row],[Perfil]],Catalogos!$B$75:$D$100,3,FALSE)*Tabla1[[#This Row],[Tiempo
(Hrs 00/100)]]*1.16</f>
        <v>348</v>
      </c>
    </row>
    <row r="1203" spans="1:26" ht="15" customHeight="1" x14ac:dyDescent="0.3">
      <c r="A1203" s="370" t="s">
        <v>22</v>
      </c>
      <c r="B1203" s="370" t="s">
        <v>305</v>
      </c>
      <c r="C1203" s="418" t="s">
        <v>257</v>
      </c>
      <c r="D1203" s="370"/>
      <c r="E1203" s="370" t="s">
        <v>408</v>
      </c>
      <c r="F1203" s="370" t="s">
        <v>72</v>
      </c>
      <c r="G1203" s="370" t="s">
        <v>604</v>
      </c>
      <c r="H1203" s="419" t="s">
        <v>1692</v>
      </c>
      <c r="I1203" s="420" t="s">
        <v>1693</v>
      </c>
      <c r="J1203" s="369">
        <v>45132</v>
      </c>
      <c r="K1203" s="753">
        <v>0.5</v>
      </c>
      <c r="L1203" s="369">
        <v>45132</v>
      </c>
      <c r="M1203" s="753">
        <v>0.54166666666666663</v>
      </c>
      <c r="N1203" s="370">
        <v>1</v>
      </c>
      <c r="O1203" s="537" t="s">
        <v>17</v>
      </c>
      <c r="P1203" s="375" t="s">
        <v>1583</v>
      </c>
      <c r="Q1203" s="797" t="s">
        <v>1441</v>
      </c>
      <c r="R1203" s="202" t="s">
        <v>95</v>
      </c>
      <c r="S1203" s="31" t="s">
        <v>273</v>
      </c>
      <c r="T1203" s="31" t="s">
        <v>273</v>
      </c>
      <c r="U1203" s="31">
        <f>IFERROR(VLOOKUP(CONCATENATE(Tabla1[[#This Row],[Severidad]]," ",Tabla1[[#This Row],[Complejidad]]),Catalogos!E$120:G$128,3,FALSE),"")</f>
        <v>64</v>
      </c>
      <c r="V1203" s="31" t="str">
        <f>IF(Tabla1[[#This Row],[Tiempo solución max (hrs)]]&lt;&gt;"",IF(Tabla1[[#This Row],[Tiempo solución max (hrs)]]&gt;=Tabla1[[#This Row],[Tiempo
(Hrs 00/100)]],"cumple","no cumple"),"")</f>
        <v>cumple</v>
      </c>
      <c r="W1203" s="376" t="s">
        <v>1453</v>
      </c>
      <c r="X1203" s="377" t="str">
        <f t="shared" si="121"/>
        <v>SSI</v>
      </c>
      <c r="Y1203" t="str">
        <f>SUBSTITUTE(Tabla1[[#This Row],[Descripción]],CHAR(10),"    I    ")</f>
        <v>Se revisó el 12vo query que 'obtiene el dashboard con los folios y subfolios pendientes de respuestas de las unidades administrativas', se hicieron las primeras ejecuciones con los parámetros para entender su funcionamiento</v>
      </c>
      <c r="Z1203" s="142">
        <f>VLOOKUP(Tabla1[[#This Row],[Perfil]],Catalogos!$B$75:$D$100,3,FALSE)*Tabla1[[#This Row],[Tiempo
(Hrs 00/100)]]*1.16</f>
        <v>696</v>
      </c>
    </row>
    <row r="1204" spans="1:26" ht="15" customHeight="1" x14ac:dyDescent="0.3">
      <c r="A1204" s="370" t="s">
        <v>22</v>
      </c>
      <c r="B1204" s="370" t="s">
        <v>305</v>
      </c>
      <c r="C1204" s="418" t="s">
        <v>257</v>
      </c>
      <c r="D1204" s="370"/>
      <c r="E1204" s="370" t="s">
        <v>408</v>
      </c>
      <c r="F1204" s="370" t="s">
        <v>72</v>
      </c>
      <c r="G1204" s="370" t="s">
        <v>604</v>
      </c>
      <c r="H1204" s="419" t="s">
        <v>1694</v>
      </c>
      <c r="I1204" s="420" t="s">
        <v>1695</v>
      </c>
      <c r="J1204" s="369">
        <v>45132</v>
      </c>
      <c r="K1204" s="753">
        <v>0.54166666666666663</v>
      </c>
      <c r="L1204" s="369">
        <v>45132</v>
      </c>
      <c r="M1204" s="753">
        <v>0.58333333333333337</v>
      </c>
      <c r="N1204" s="370">
        <v>1</v>
      </c>
      <c r="O1204" s="537" t="s">
        <v>17</v>
      </c>
      <c r="P1204" s="375" t="s">
        <v>1583</v>
      </c>
      <c r="Q1204" s="797" t="s">
        <v>1441</v>
      </c>
      <c r="R1204" s="202" t="s">
        <v>95</v>
      </c>
      <c r="S1204" s="31" t="s">
        <v>273</v>
      </c>
      <c r="T1204" s="31" t="s">
        <v>273</v>
      </c>
      <c r="U1204" s="31">
        <f>IFERROR(VLOOKUP(CONCATENATE(Tabla1[[#This Row],[Severidad]]," ",Tabla1[[#This Row],[Complejidad]]),Catalogos!E$120:G$128,3,FALSE),"")</f>
        <v>64</v>
      </c>
      <c r="V1204" s="31" t="str">
        <f>IF(Tabla1[[#This Row],[Tiempo solución max (hrs)]]&lt;&gt;"",IF(Tabla1[[#This Row],[Tiempo solución max (hrs)]]&gt;=Tabla1[[#This Row],[Tiempo
(Hrs 00/100)]],"cumple","no cumple"),"")</f>
        <v>cumple</v>
      </c>
      <c r="W1204" s="376" t="s">
        <v>1453</v>
      </c>
      <c r="X1204" s="377" t="str">
        <f t="shared" si="121"/>
        <v>SSI</v>
      </c>
      <c r="Y1204" t="str">
        <f>SUBSTITUTE(Tabla1[[#This Row],[Descripción]],CHAR(10),"    I    ")</f>
        <v>Se detectaron inconsistencias en Query de Funcionalidad 12, ya que son varios queries y no se sabe el manejo de algunos parámetros</v>
      </c>
      <c r="Z1204" s="142">
        <f>VLOOKUP(Tabla1[[#This Row],[Perfil]],Catalogos!$B$75:$D$100,3,FALSE)*Tabla1[[#This Row],[Tiempo
(Hrs 00/100)]]*1.16</f>
        <v>696</v>
      </c>
    </row>
    <row r="1205" spans="1:26" ht="15" customHeight="1" x14ac:dyDescent="0.3">
      <c r="A1205" s="373" t="s">
        <v>22</v>
      </c>
      <c r="B1205" s="373" t="s">
        <v>21</v>
      </c>
      <c r="C1205" s="373" t="s">
        <v>257</v>
      </c>
      <c r="D1205" s="373"/>
      <c r="E1205" s="370" t="s">
        <v>408</v>
      </c>
      <c r="F1205" s="373" t="s">
        <v>73</v>
      </c>
      <c r="G1205" s="373" t="s">
        <v>604</v>
      </c>
      <c r="H1205" s="461" t="s">
        <v>1696</v>
      </c>
      <c r="I1205" s="538" t="s">
        <v>1697</v>
      </c>
      <c r="J1205" s="369">
        <v>45132</v>
      </c>
      <c r="K1205" s="747">
        <v>0.66666666666666663</v>
      </c>
      <c r="L1205" s="369">
        <v>45132</v>
      </c>
      <c r="M1205" s="753">
        <v>0.6875</v>
      </c>
      <c r="N1205" s="373">
        <v>0.5</v>
      </c>
      <c r="O1205" s="184" t="s">
        <v>17</v>
      </c>
      <c r="P1205" s="375" t="s">
        <v>1583</v>
      </c>
      <c r="Q1205" s="797" t="s">
        <v>1441</v>
      </c>
      <c r="R1205" s="202" t="s">
        <v>95</v>
      </c>
      <c r="S1205" s="31" t="s">
        <v>273</v>
      </c>
      <c r="T1205" s="31" t="s">
        <v>273</v>
      </c>
      <c r="U1205" s="31">
        <f>IFERROR(VLOOKUP(CONCATENATE(Tabla1[[#This Row],[Severidad]]," ",Tabla1[[#This Row],[Complejidad]]),Catalogos!E$120:G$128,3,FALSE),"")</f>
        <v>64</v>
      </c>
      <c r="V1205" s="31" t="str">
        <f>IF(Tabla1[[#This Row],[Tiempo solución max (hrs)]]&lt;&gt;"",IF(Tabla1[[#This Row],[Tiempo solución max (hrs)]]&gt;=Tabla1[[#This Row],[Tiempo
(Hrs 00/100)]],"cumple","no cumple"),"")</f>
        <v>cumple</v>
      </c>
      <c r="W1205" s="376" t="s">
        <v>1453</v>
      </c>
      <c r="X1205" s="377" t="str">
        <f t="shared" si="121"/>
        <v>SSI</v>
      </c>
      <c r="Y1205" t="str">
        <f>SUBSTITUTE(Tabla1[[#This Row],[Descripción]],CHAR(10),"    I    ")</f>
        <v>Se actualizó el documento 'Query SISAI' con las dudas sobre el Query 12 para revisarlas con Subdirector esta semana</v>
      </c>
      <c r="Z1205" s="142">
        <f>VLOOKUP(Tabla1[[#This Row],[Perfil]],Catalogos!$B$75:$D$100,3,FALSE)*Tabla1[[#This Row],[Tiempo
(Hrs 00/100)]]*1.16</f>
        <v>348</v>
      </c>
    </row>
    <row r="1206" spans="1:26" ht="15" customHeight="1" x14ac:dyDescent="0.3">
      <c r="A1206" s="373" t="s">
        <v>22</v>
      </c>
      <c r="B1206" s="373" t="s">
        <v>305</v>
      </c>
      <c r="C1206" s="373" t="s">
        <v>257</v>
      </c>
      <c r="D1206" s="373"/>
      <c r="E1206" s="370" t="s">
        <v>408</v>
      </c>
      <c r="F1206" s="373" t="s">
        <v>72</v>
      </c>
      <c r="G1206" s="373" t="s">
        <v>604</v>
      </c>
      <c r="H1206" s="461" t="s">
        <v>1698</v>
      </c>
      <c r="I1206" s="538" t="s">
        <v>1699</v>
      </c>
      <c r="J1206" s="369">
        <v>45132</v>
      </c>
      <c r="K1206" s="753">
        <v>0.6875</v>
      </c>
      <c r="L1206" s="369">
        <v>45132</v>
      </c>
      <c r="M1206" s="753">
        <v>0.72916666666666663</v>
      </c>
      <c r="N1206" s="373">
        <v>1</v>
      </c>
      <c r="O1206" s="184" t="s">
        <v>17</v>
      </c>
      <c r="P1206" s="375" t="s">
        <v>1583</v>
      </c>
      <c r="Q1206" s="797" t="s">
        <v>1441</v>
      </c>
      <c r="R1206" s="202" t="s">
        <v>95</v>
      </c>
      <c r="S1206" s="31" t="s">
        <v>273</v>
      </c>
      <c r="T1206" s="31" t="s">
        <v>273</v>
      </c>
      <c r="U1206" s="31">
        <f>IFERROR(VLOOKUP(CONCATENATE(Tabla1[[#This Row],[Severidad]]," ",Tabla1[[#This Row],[Complejidad]]),Catalogos!E$120:G$128,3,FALSE),"")</f>
        <v>64</v>
      </c>
      <c r="V1206" s="31" t="str">
        <f>IF(Tabla1[[#This Row],[Tiempo solución max (hrs)]]&lt;&gt;"",IF(Tabla1[[#This Row],[Tiempo solución max (hrs)]]&gt;=Tabla1[[#This Row],[Tiempo
(Hrs 00/100)]],"cumple","no cumple"),"")</f>
        <v>cumple</v>
      </c>
      <c r="W1206" s="376" t="s">
        <v>1453</v>
      </c>
      <c r="X1206" s="377" t="str">
        <f t="shared" si="121"/>
        <v>SSI</v>
      </c>
      <c r="Y1206" t="str">
        <f>SUBSTITUTE(Tabla1[[#This Row],[Descripción]],CHAR(10),"    I    ")</f>
        <v>Se revisó el 13vo query que 'obtiene el seguimiento de un subfolio de la unidad administrativa', se hicieron las primeras ejecuciones con los parámetros para entender su funcionamiento</v>
      </c>
      <c r="Z1206" s="142">
        <f>VLOOKUP(Tabla1[[#This Row],[Perfil]],Catalogos!$B$75:$D$100,3,FALSE)*Tabla1[[#This Row],[Tiempo
(Hrs 00/100)]]*1.16</f>
        <v>696</v>
      </c>
    </row>
    <row r="1207" spans="1:26" ht="15" customHeight="1" x14ac:dyDescent="0.3">
      <c r="A1207" s="373" t="s">
        <v>22</v>
      </c>
      <c r="B1207" s="373" t="s">
        <v>305</v>
      </c>
      <c r="C1207" s="373" t="s">
        <v>257</v>
      </c>
      <c r="D1207" s="373"/>
      <c r="E1207" s="370" t="s">
        <v>408</v>
      </c>
      <c r="F1207" s="373" t="s">
        <v>72</v>
      </c>
      <c r="G1207" s="373" t="s">
        <v>604</v>
      </c>
      <c r="H1207" s="461" t="s">
        <v>1700</v>
      </c>
      <c r="I1207" s="538" t="s">
        <v>1701</v>
      </c>
      <c r="J1207" s="369">
        <v>45132</v>
      </c>
      <c r="K1207" s="753">
        <v>0.72916666666666663</v>
      </c>
      <c r="L1207" s="369">
        <v>45132</v>
      </c>
      <c r="M1207" s="753">
        <v>0.77083333333333337</v>
      </c>
      <c r="N1207" s="373">
        <v>1</v>
      </c>
      <c r="O1207" s="184" t="s">
        <v>17</v>
      </c>
      <c r="P1207" s="375" t="s">
        <v>1583</v>
      </c>
      <c r="Q1207" s="797" t="s">
        <v>1441</v>
      </c>
      <c r="R1207" s="202" t="s">
        <v>95</v>
      </c>
      <c r="S1207" s="31" t="s">
        <v>273</v>
      </c>
      <c r="T1207" s="31" t="s">
        <v>273</v>
      </c>
      <c r="U1207" s="31">
        <f>IFERROR(VLOOKUP(CONCATENATE(Tabla1[[#This Row],[Severidad]]," ",Tabla1[[#This Row],[Complejidad]]),Catalogos!E$120:G$128,3,FALSE),"")</f>
        <v>64</v>
      </c>
      <c r="V1207" s="31" t="str">
        <f>IF(Tabla1[[#This Row],[Tiempo solución max (hrs)]]&lt;&gt;"",IF(Tabla1[[#This Row],[Tiempo solución max (hrs)]]&gt;=Tabla1[[#This Row],[Tiempo
(Hrs 00/100)]],"cumple","no cumple"),"")</f>
        <v>cumple</v>
      </c>
      <c r="W1207" s="376" t="s">
        <v>1453</v>
      </c>
      <c r="X1207" s="377" t="str">
        <f t="shared" si="121"/>
        <v>SSI</v>
      </c>
      <c r="Y1207" t="str">
        <f>SUBSTITUTE(Tabla1[[#This Row],[Descripción]],CHAR(10),"    I    ")</f>
        <v>Se detectaron inconsistencias en Query de Funcionalidad 13, ya que son algunos queries pequeños con parámetros aparentemente obligatorios</v>
      </c>
      <c r="Z1207" s="142">
        <f>VLOOKUP(Tabla1[[#This Row],[Perfil]],Catalogos!$B$75:$D$100,3,FALSE)*Tabla1[[#This Row],[Tiempo
(Hrs 00/100)]]*1.16</f>
        <v>696</v>
      </c>
    </row>
    <row r="1208" spans="1:26" ht="15" customHeight="1" x14ac:dyDescent="0.3">
      <c r="A1208" s="373" t="s">
        <v>22</v>
      </c>
      <c r="B1208" s="373" t="s">
        <v>21</v>
      </c>
      <c r="C1208" s="373" t="s">
        <v>257</v>
      </c>
      <c r="D1208" s="373"/>
      <c r="E1208" s="370" t="s">
        <v>408</v>
      </c>
      <c r="F1208" s="373" t="s">
        <v>73</v>
      </c>
      <c r="G1208" s="373" t="s">
        <v>604</v>
      </c>
      <c r="H1208" s="461" t="s">
        <v>1702</v>
      </c>
      <c r="I1208" s="538" t="s">
        <v>1703</v>
      </c>
      <c r="J1208" s="369">
        <v>45132</v>
      </c>
      <c r="K1208" s="753">
        <v>0.77083333333333337</v>
      </c>
      <c r="L1208" s="369">
        <v>45132</v>
      </c>
      <c r="M1208" s="753">
        <v>0.79166666666666663</v>
      </c>
      <c r="N1208" s="373">
        <v>0.5</v>
      </c>
      <c r="O1208" s="184" t="s">
        <v>17</v>
      </c>
      <c r="P1208" s="375" t="s">
        <v>1583</v>
      </c>
      <c r="Q1208" s="797" t="s">
        <v>1441</v>
      </c>
      <c r="R1208" s="202" t="s">
        <v>95</v>
      </c>
      <c r="S1208" s="31" t="s">
        <v>273</v>
      </c>
      <c r="T1208" s="31" t="s">
        <v>273</v>
      </c>
      <c r="U1208" s="31">
        <f>IFERROR(VLOOKUP(CONCATENATE(Tabla1[[#This Row],[Severidad]]," ",Tabla1[[#This Row],[Complejidad]]),Catalogos!E$120:G$128,3,FALSE),"")</f>
        <v>64</v>
      </c>
      <c r="V1208" s="31" t="str">
        <f>IF(Tabla1[[#This Row],[Tiempo solución max (hrs)]]&lt;&gt;"",IF(Tabla1[[#This Row],[Tiempo solución max (hrs)]]&gt;=Tabla1[[#This Row],[Tiempo
(Hrs 00/100)]],"cumple","no cumple"),"")</f>
        <v>cumple</v>
      </c>
      <c r="W1208" s="376" t="s">
        <v>1453</v>
      </c>
      <c r="X1208" s="377" t="str">
        <f t="shared" si="121"/>
        <v>SSI</v>
      </c>
      <c r="Y1208" t="str">
        <f>SUBSTITUTE(Tabla1[[#This Row],[Descripción]],CHAR(10),"    I    ")</f>
        <v>Se actualizó el documento 'Query SISAI' con las dudas sobre el Query 13 para revisarlas con Subdirector esta semana</v>
      </c>
      <c r="Z1208" s="142">
        <f>VLOOKUP(Tabla1[[#This Row],[Perfil]],Catalogos!$B$75:$D$100,3,FALSE)*Tabla1[[#This Row],[Tiempo
(Hrs 00/100)]]*1.16</f>
        <v>348</v>
      </c>
    </row>
    <row r="1209" spans="1:26" ht="15" customHeight="1" x14ac:dyDescent="0.3">
      <c r="A1209" s="373" t="s">
        <v>22</v>
      </c>
      <c r="B1209" s="373" t="s">
        <v>305</v>
      </c>
      <c r="C1209" s="373" t="s">
        <v>257</v>
      </c>
      <c r="D1209" s="373"/>
      <c r="E1209" s="370" t="s">
        <v>408</v>
      </c>
      <c r="F1209" s="373" t="s">
        <v>72</v>
      </c>
      <c r="G1209" s="373" t="s">
        <v>604</v>
      </c>
      <c r="H1209" s="461" t="s">
        <v>1704</v>
      </c>
      <c r="I1209" s="538" t="s">
        <v>1705</v>
      </c>
      <c r="J1209" s="369">
        <v>45133</v>
      </c>
      <c r="K1209" s="747">
        <v>0.375</v>
      </c>
      <c r="L1209" s="369">
        <v>45133</v>
      </c>
      <c r="M1209" s="753">
        <v>0.41666666666666669</v>
      </c>
      <c r="N1209" s="373">
        <v>1</v>
      </c>
      <c r="O1209" s="184" t="s">
        <v>17</v>
      </c>
      <c r="P1209" s="375" t="s">
        <v>1583</v>
      </c>
      <c r="Q1209" s="797" t="s">
        <v>1441</v>
      </c>
      <c r="R1209" s="202" t="s">
        <v>95</v>
      </c>
      <c r="S1209" s="31" t="s">
        <v>273</v>
      </c>
      <c r="T1209" s="31" t="s">
        <v>273</v>
      </c>
      <c r="U1209" s="31">
        <f>IFERROR(VLOOKUP(CONCATENATE(Tabla1[[#This Row],[Severidad]]," ",Tabla1[[#This Row],[Complejidad]]),Catalogos!E$120:G$128,3,FALSE),"")</f>
        <v>64</v>
      </c>
      <c r="V1209" s="31" t="str">
        <f>IF(Tabla1[[#This Row],[Tiempo solución max (hrs)]]&lt;&gt;"",IF(Tabla1[[#This Row],[Tiempo solución max (hrs)]]&gt;=Tabla1[[#This Row],[Tiempo
(Hrs 00/100)]],"cumple","no cumple"),"")</f>
        <v>cumple</v>
      </c>
      <c r="W1209" s="376" t="s">
        <v>1453</v>
      </c>
      <c r="X1209" s="377" t="str">
        <f t="shared" si="121"/>
        <v>SSI</v>
      </c>
      <c r="Y1209" t="str">
        <f>SUBSTITUTE(Tabla1[[#This Row],[Descripción]],CHAR(10),"    I    ")</f>
        <v>Se revisó el 14vo query que 'obtiene los movimientos de un subfolio turnado a la unidad administrativa', se hicieron las primeras ejecuciones con los parámetros para entender su funcionamiento</v>
      </c>
      <c r="Z1209" s="142">
        <f>VLOOKUP(Tabla1[[#This Row],[Perfil]],Catalogos!$B$75:$D$100,3,FALSE)*Tabla1[[#This Row],[Tiempo
(Hrs 00/100)]]*1.16</f>
        <v>696</v>
      </c>
    </row>
    <row r="1210" spans="1:26" ht="15" customHeight="1" x14ac:dyDescent="0.3">
      <c r="A1210" s="373" t="s">
        <v>22</v>
      </c>
      <c r="B1210" s="373" t="s">
        <v>305</v>
      </c>
      <c r="C1210" s="373" t="s">
        <v>257</v>
      </c>
      <c r="D1210" s="373"/>
      <c r="E1210" s="370" t="s">
        <v>408</v>
      </c>
      <c r="F1210" s="373" t="s">
        <v>72</v>
      </c>
      <c r="G1210" s="373" t="s">
        <v>604</v>
      </c>
      <c r="H1210" s="461" t="s">
        <v>1706</v>
      </c>
      <c r="I1210" s="538" t="s">
        <v>1707</v>
      </c>
      <c r="J1210" s="369">
        <v>45133</v>
      </c>
      <c r="K1210" s="753">
        <v>0.41666666666666669</v>
      </c>
      <c r="L1210" s="369">
        <v>45133</v>
      </c>
      <c r="M1210" s="753">
        <v>0.45833333333333331</v>
      </c>
      <c r="N1210" s="373">
        <v>1</v>
      </c>
      <c r="O1210" s="184" t="s">
        <v>17</v>
      </c>
      <c r="P1210" s="375" t="s">
        <v>1583</v>
      </c>
      <c r="Q1210" s="797" t="s">
        <v>1441</v>
      </c>
      <c r="R1210" s="202" t="s">
        <v>95</v>
      </c>
      <c r="S1210" s="31" t="s">
        <v>273</v>
      </c>
      <c r="T1210" s="31" t="s">
        <v>273</v>
      </c>
      <c r="U1210" s="31">
        <f>IFERROR(VLOOKUP(CONCATENATE(Tabla1[[#This Row],[Severidad]]," ",Tabla1[[#This Row],[Complejidad]]),Catalogos!E$120:G$128,3,FALSE),"")</f>
        <v>64</v>
      </c>
      <c r="V1210" s="31" t="str">
        <f>IF(Tabla1[[#This Row],[Tiempo solución max (hrs)]]&lt;&gt;"",IF(Tabla1[[#This Row],[Tiempo solución max (hrs)]]&gt;=Tabla1[[#This Row],[Tiempo
(Hrs 00/100)]],"cumple","no cumple"),"")</f>
        <v>cumple</v>
      </c>
      <c r="W1210" s="376" t="s">
        <v>1453</v>
      </c>
      <c r="X1210" s="377" t="str">
        <f t="shared" si="121"/>
        <v>SSI</v>
      </c>
      <c r="Y1210" t="str">
        <f>SUBSTITUTE(Tabla1[[#This Row],[Descripción]],CHAR(10),"    I    ")</f>
        <v>Se detectaron inconsistencias en Query de Funcionalidad 14, ya que son algunos queries pequeños con parámetros aparentemente obligatorios</v>
      </c>
      <c r="Z1210" s="142">
        <f>VLOOKUP(Tabla1[[#This Row],[Perfil]],Catalogos!$B$75:$D$100,3,FALSE)*Tabla1[[#This Row],[Tiempo
(Hrs 00/100)]]*1.16</f>
        <v>696</v>
      </c>
    </row>
    <row r="1211" spans="1:26" ht="15" customHeight="1" x14ac:dyDescent="0.3">
      <c r="A1211" s="373" t="s">
        <v>22</v>
      </c>
      <c r="B1211" s="373" t="s">
        <v>21</v>
      </c>
      <c r="C1211" s="373" t="s">
        <v>257</v>
      </c>
      <c r="D1211" s="373"/>
      <c r="E1211" s="370" t="s">
        <v>408</v>
      </c>
      <c r="F1211" s="373" t="s">
        <v>73</v>
      </c>
      <c r="G1211" s="373" t="s">
        <v>604</v>
      </c>
      <c r="H1211" s="461" t="s">
        <v>1708</v>
      </c>
      <c r="I1211" s="538" t="s">
        <v>1709</v>
      </c>
      <c r="J1211" s="369">
        <v>45133</v>
      </c>
      <c r="K1211" s="753">
        <v>0.45833333333333331</v>
      </c>
      <c r="L1211" s="369">
        <v>45133</v>
      </c>
      <c r="M1211" s="753">
        <v>0.47916666666666669</v>
      </c>
      <c r="N1211" s="373">
        <v>0.5</v>
      </c>
      <c r="O1211" s="184" t="s">
        <v>17</v>
      </c>
      <c r="P1211" s="375" t="s">
        <v>1583</v>
      </c>
      <c r="Q1211" s="797" t="s">
        <v>1441</v>
      </c>
      <c r="R1211" s="202" t="s">
        <v>95</v>
      </c>
      <c r="S1211" s="31" t="s">
        <v>273</v>
      </c>
      <c r="T1211" s="31" t="s">
        <v>273</v>
      </c>
      <c r="U1211" s="31">
        <f>IFERROR(VLOOKUP(CONCATENATE(Tabla1[[#This Row],[Severidad]]," ",Tabla1[[#This Row],[Complejidad]]),Catalogos!E$120:G$128,3,FALSE),"")</f>
        <v>64</v>
      </c>
      <c r="V1211" s="31" t="str">
        <f>IF(Tabla1[[#This Row],[Tiempo solución max (hrs)]]&lt;&gt;"",IF(Tabla1[[#This Row],[Tiempo solución max (hrs)]]&gt;=Tabla1[[#This Row],[Tiempo
(Hrs 00/100)]],"cumple","no cumple"),"")</f>
        <v>cumple</v>
      </c>
      <c r="W1211" s="376" t="s">
        <v>1453</v>
      </c>
      <c r="X1211" s="377" t="str">
        <f t="shared" si="121"/>
        <v>SSI</v>
      </c>
      <c r="Y1211" t="str">
        <f>SUBSTITUTE(Tabla1[[#This Row],[Descripción]],CHAR(10),"    I    ")</f>
        <v>Se actualizó el documento 'Query SISAI' con las dudas sobre el Query 14 para revisarlas con Subdirector esta semana</v>
      </c>
      <c r="Z1211" s="142">
        <f>VLOOKUP(Tabla1[[#This Row],[Perfil]],Catalogos!$B$75:$D$100,3,FALSE)*Tabla1[[#This Row],[Tiempo
(Hrs 00/100)]]*1.16</f>
        <v>348</v>
      </c>
    </row>
    <row r="1212" spans="1:26" ht="15" customHeight="1" x14ac:dyDescent="0.3">
      <c r="A1212" s="373" t="s">
        <v>22</v>
      </c>
      <c r="B1212" s="373" t="s">
        <v>305</v>
      </c>
      <c r="C1212" s="373" t="s">
        <v>257</v>
      </c>
      <c r="D1212" s="373"/>
      <c r="E1212" s="370" t="s">
        <v>408</v>
      </c>
      <c r="F1212" s="373" t="s">
        <v>72</v>
      </c>
      <c r="G1212" s="373" t="s">
        <v>604</v>
      </c>
      <c r="H1212" s="461" t="s">
        <v>1710</v>
      </c>
      <c r="I1212" s="538" t="s">
        <v>1711</v>
      </c>
      <c r="J1212" s="369">
        <v>45133</v>
      </c>
      <c r="K1212" s="753">
        <v>0.47916666666666669</v>
      </c>
      <c r="L1212" s="369">
        <v>45133</v>
      </c>
      <c r="M1212" s="753">
        <v>0.52083333333333337</v>
      </c>
      <c r="N1212" s="373">
        <v>1</v>
      </c>
      <c r="O1212" s="184" t="s">
        <v>17</v>
      </c>
      <c r="P1212" s="375" t="s">
        <v>1583</v>
      </c>
      <c r="Q1212" s="797" t="s">
        <v>1441</v>
      </c>
      <c r="R1212" s="202" t="s">
        <v>95</v>
      </c>
      <c r="S1212" s="31" t="s">
        <v>273</v>
      </c>
      <c r="T1212" s="31" t="s">
        <v>273</v>
      </c>
      <c r="U1212" s="31">
        <f>IFERROR(VLOOKUP(CONCATENATE(Tabla1[[#This Row],[Severidad]]," ",Tabla1[[#This Row],[Complejidad]]),Catalogos!E$120:G$128,3,FALSE),"")</f>
        <v>64</v>
      </c>
      <c r="V1212" s="31" t="str">
        <f>IF(Tabla1[[#This Row],[Tiempo solución max (hrs)]]&lt;&gt;"",IF(Tabla1[[#This Row],[Tiempo solución max (hrs)]]&gt;=Tabla1[[#This Row],[Tiempo
(Hrs 00/100)]],"cumple","no cumple"),"")</f>
        <v>cumple</v>
      </c>
      <c r="W1212" s="376" t="s">
        <v>1453</v>
      </c>
      <c r="X1212" s="377" t="str">
        <f t="shared" si="121"/>
        <v>SSI</v>
      </c>
      <c r="Y1212" t="str">
        <f>SUBSTITUTE(Tabla1[[#This Row],[Descripción]],CHAR(10),"    I    ")</f>
        <v>Se revisó el 15vo query que 'obtiene el dashboard de las solicitudes asignadas por la unidad de transparencia', se hicieron las primeras ejecuciones con los parámetros para entender su funcionamiento</v>
      </c>
      <c r="Z1212" s="142">
        <f>VLOOKUP(Tabla1[[#This Row],[Perfil]],Catalogos!$B$75:$D$100,3,FALSE)*Tabla1[[#This Row],[Tiempo
(Hrs 00/100)]]*1.16</f>
        <v>696</v>
      </c>
    </row>
    <row r="1213" spans="1:26" ht="15" customHeight="1" x14ac:dyDescent="0.3">
      <c r="A1213" s="373" t="s">
        <v>22</v>
      </c>
      <c r="B1213" s="373" t="s">
        <v>305</v>
      </c>
      <c r="C1213" s="373" t="s">
        <v>257</v>
      </c>
      <c r="D1213" s="373"/>
      <c r="E1213" s="370" t="s">
        <v>408</v>
      </c>
      <c r="F1213" s="373" t="s">
        <v>72</v>
      </c>
      <c r="G1213" s="373" t="s">
        <v>604</v>
      </c>
      <c r="H1213" s="461" t="s">
        <v>1712</v>
      </c>
      <c r="I1213" s="538" t="s">
        <v>1713</v>
      </c>
      <c r="J1213" s="369">
        <v>45133</v>
      </c>
      <c r="K1213" s="753">
        <v>0.52083333333333337</v>
      </c>
      <c r="L1213" s="369">
        <v>45133</v>
      </c>
      <c r="M1213" s="753">
        <v>0.5625</v>
      </c>
      <c r="N1213" s="373">
        <v>1</v>
      </c>
      <c r="O1213" s="184" t="s">
        <v>17</v>
      </c>
      <c r="P1213" s="375" t="s">
        <v>1583</v>
      </c>
      <c r="Q1213" s="797" t="s">
        <v>1441</v>
      </c>
      <c r="R1213" s="202" t="s">
        <v>95</v>
      </c>
      <c r="S1213" s="31" t="s">
        <v>273</v>
      </c>
      <c r="T1213" s="31" t="s">
        <v>273</v>
      </c>
      <c r="U1213" s="31">
        <f>IFERROR(VLOOKUP(CONCATENATE(Tabla1[[#This Row],[Severidad]]," ",Tabla1[[#This Row],[Complejidad]]),Catalogos!E$120:G$128,3,FALSE),"")</f>
        <v>64</v>
      </c>
      <c r="V1213" s="31" t="str">
        <f>IF(Tabla1[[#This Row],[Tiempo solución max (hrs)]]&lt;&gt;"",IF(Tabla1[[#This Row],[Tiempo solución max (hrs)]]&gt;=Tabla1[[#This Row],[Tiempo
(Hrs 00/100)]],"cumple","no cumple"),"")</f>
        <v>cumple</v>
      </c>
      <c r="W1213" s="376" t="s">
        <v>1453</v>
      </c>
      <c r="X1213" s="377" t="str">
        <f t="shared" si="121"/>
        <v>SSI</v>
      </c>
      <c r="Y1213" t="str">
        <f>SUBSTITUTE(Tabla1[[#This Row],[Descripción]],CHAR(10),"    I    ")</f>
        <v>Se detectaron inconsistencias en Query de Funcionalidad 15, ya que el query tiene parámetros aparentemente obligatorios y Estatus de Respuesta que se deben poner fijos</v>
      </c>
      <c r="Z1213" s="142">
        <f>VLOOKUP(Tabla1[[#This Row],[Perfil]],Catalogos!$B$75:$D$100,3,FALSE)*Tabla1[[#This Row],[Tiempo
(Hrs 00/100)]]*1.16</f>
        <v>696</v>
      </c>
    </row>
    <row r="1214" spans="1:26" ht="15" customHeight="1" x14ac:dyDescent="0.3">
      <c r="A1214" s="373" t="s">
        <v>22</v>
      </c>
      <c r="B1214" s="373" t="s">
        <v>21</v>
      </c>
      <c r="C1214" s="373" t="s">
        <v>257</v>
      </c>
      <c r="D1214" s="373"/>
      <c r="E1214" s="370" t="s">
        <v>408</v>
      </c>
      <c r="F1214" s="373" t="s">
        <v>73</v>
      </c>
      <c r="G1214" s="373" t="s">
        <v>604</v>
      </c>
      <c r="H1214" s="461" t="s">
        <v>1714</v>
      </c>
      <c r="I1214" s="538" t="s">
        <v>1715</v>
      </c>
      <c r="J1214" s="369">
        <v>45133</v>
      </c>
      <c r="K1214" s="753">
        <v>0.5625</v>
      </c>
      <c r="L1214" s="369">
        <v>45133</v>
      </c>
      <c r="M1214" s="753">
        <v>0.58333333333333337</v>
      </c>
      <c r="N1214" s="373">
        <v>0.5</v>
      </c>
      <c r="O1214" s="184" t="s">
        <v>17</v>
      </c>
      <c r="P1214" s="375" t="s">
        <v>1583</v>
      </c>
      <c r="Q1214" s="797" t="s">
        <v>1441</v>
      </c>
      <c r="R1214" s="202" t="s">
        <v>95</v>
      </c>
      <c r="S1214" s="31" t="s">
        <v>273</v>
      </c>
      <c r="T1214" s="31" t="s">
        <v>273</v>
      </c>
      <c r="U1214" s="31">
        <f>IFERROR(VLOOKUP(CONCATENATE(Tabla1[[#This Row],[Severidad]]," ",Tabla1[[#This Row],[Complejidad]]),Catalogos!E$120:G$128,3,FALSE),"")</f>
        <v>64</v>
      </c>
      <c r="V1214" s="31" t="str">
        <f>IF(Tabla1[[#This Row],[Tiempo solución max (hrs)]]&lt;&gt;"",IF(Tabla1[[#This Row],[Tiempo solución max (hrs)]]&gt;=Tabla1[[#This Row],[Tiempo
(Hrs 00/100)]],"cumple","no cumple"),"")</f>
        <v>cumple</v>
      </c>
      <c r="W1214" s="376" t="s">
        <v>1453</v>
      </c>
      <c r="X1214" s="377" t="str">
        <f t="shared" si="121"/>
        <v>SSI</v>
      </c>
      <c r="Y1214" t="str">
        <f>SUBSTITUTE(Tabla1[[#This Row],[Descripción]],CHAR(10),"    I    ")</f>
        <v>Se actualizó el documento 'Query SISAI' con las dudas sobre el Query 15 para revisarlas con Subdirector esta semana</v>
      </c>
      <c r="Z1214" s="142">
        <f>VLOOKUP(Tabla1[[#This Row],[Perfil]],Catalogos!$B$75:$D$100,3,FALSE)*Tabla1[[#This Row],[Tiempo
(Hrs 00/100)]]*1.16</f>
        <v>348</v>
      </c>
    </row>
    <row r="1215" spans="1:26" ht="15" customHeight="1" x14ac:dyDescent="0.3">
      <c r="A1215" s="373" t="s">
        <v>22</v>
      </c>
      <c r="B1215" s="373" t="s">
        <v>305</v>
      </c>
      <c r="C1215" s="373" t="s">
        <v>257</v>
      </c>
      <c r="D1215" s="373"/>
      <c r="E1215" s="370" t="s">
        <v>408</v>
      </c>
      <c r="F1215" s="373" t="s">
        <v>72</v>
      </c>
      <c r="G1215" s="373" t="s">
        <v>604</v>
      </c>
      <c r="H1215" s="461" t="s">
        <v>1716</v>
      </c>
      <c r="I1215" s="538" t="s">
        <v>1717</v>
      </c>
      <c r="J1215" s="369">
        <v>45133</v>
      </c>
      <c r="K1215" s="747">
        <v>0.58333333333333337</v>
      </c>
      <c r="L1215" s="369">
        <v>45133</v>
      </c>
      <c r="M1215" s="753">
        <v>0.625</v>
      </c>
      <c r="N1215" s="373">
        <v>1</v>
      </c>
      <c r="O1215" s="184" t="s">
        <v>17</v>
      </c>
      <c r="P1215" s="375" t="s">
        <v>1583</v>
      </c>
      <c r="Q1215" s="797" t="s">
        <v>1441</v>
      </c>
      <c r="R1215" s="202" t="s">
        <v>95</v>
      </c>
      <c r="S1215" s="31" t="s">
        <v>273</v>
      </c>
      <c r="T1215" s="31" t="s">
        <v>273</v>
      </c>
      <c r="U1215" s="31">
        <f>IFERROR(VLOOKUP(CONCATENATE(Tabla1[[#This Row],[Severidad]]," ",Tabla1[[#This Row],[Complejidad]]),Catalogos!E$120:G$128,3,FALSE),"")</f>
        <v>64</v>
      </c>
      <c r="V1215" s="31" t="str">
        <f>IF(Tabla1[[#This Row],[Tiempo solución max (hrs)]]&lt;&gt;"",IF(Tabla1[[#This Row],[Tiempo solución max (hrs)]]&gt;=Tabla1[[#This Row],[Tiempo
(Hrs 00/100)]],"cumple","no cumple"),"")</f>
        <v>cumple</v>
      </c>
      <c r="W1215" s="376" t="s">
        <v>1453</v>
      </c>
      <c r="X1215" s="377" t="str">
        <f t="shared" si="121"/>
        <v>SSI</v>
      </c>
      <c r="Y1215" t="str">
        <f>SUBSTITUTE(Tabla1[[#This Row],[Descripción]],CHAR(10),"    I    ")</f>
        <v>Se revisó el 16vo query que 'obtener la integración de respuestas de todos los subfolios por la unidad de transparencia', se hicieron las primeras ejecuciones con los parámetros para entender su funcionamiento</v>
      </c>
      <c r="Z1215" s="142">
        <f>VLOOKUP(Tabla1[[#This Row],[Perfil]],Catalogos!$B$75:$D$100,3,FALSE)*Tabla1[[#This Row],[Tiempo
(Hrs 00/100)]]*1.16</f>
        <v>696</v>
      </c>
    </row>
    <row r="1216" spans="1:26" ht="15" customHeight="1" x14ac:dyDescent="0.3">
      <c r="A1216" s="373" t="s">
        <v>22</v>
      </c>
      <c r="B1216" s="373" t="s">
        <v>305</v>
      </c>
      <c r="C1216" s="373" t="s">
        <v>257</v>
      </c>
      <c r="D1216" s="373"/>
      <c r="E1216" s="370" t="s">
        <v>408</v>
      </c>
      <c r="F1216" s="373" t="s">
        <v>72</v>
      </c>
      <c r="G1216" s="373" t="s">
        <v>604</v>
      </c>
      <c r="H1216" s="461" t="s">
        <v>1718</v>
      </c>
      <c r="I1216" s="538" t="s">
        <v>1719</v>
      </c>
      <c r="J1216" s="369">
        <v>45133</v>
      </c>
      <c r="K1216" s="747">
        <v>0.66666666666666663</v>
      </c>
      <c r="L1216" s="369">
        <v>45133</v>
      </c>
      <c r="M1216" s="753">
        <v>0.70833333333333337</v>
      </c>
      <c r="N1216" s="373">
        <v>1</v>
      </c>
      <c r="O1216" s="184" t="s">
        <v>17</v>
      </c>
      <c r="P1216" s="375" t="s">
        <v>1583</v>
      </c>
      <c r="Q1216" s="797" t="s">
        <v>1441</v>
      </c>
      <c r="R1216" s="202" t="s">
        <v>95</v>
      </c>
      <c r="S1216" s="31" t="s">
        <v>273</v>
      </c>
      <c r="T1216" s="31" t="s">
        <v>273</v>
      </c>
      <c r="U1216" s="31">
        <f>IFERROR(VLOOKUP(CONCATENATE(Tabla1[[#This Row],[Severidad]]," ",Tabla1[[#This Row],[Complejidad]]),Catalogos!E$120:G$128,3,FALSE),"")</f>
        <v>64</v>
      </c>
      <c r="V1216" s="31" t="str">
        <f>IF(Tabla1[[#This Row],[Tiempo solución max (hrs)]]&lt;&gt;"",IF(Tabla1[[#This Row],[Tiempo solución max (hrs)]]&gt;=Tabla1[[#This Row],[Tiempo
(Hrs 00/100)]],"cumple","no cumple"),"")</f>
        <v>cumple</v>
      </c>
      <c r="W1216" s="376" t="s">
        <v>1453</v>
      </c>
      <c r="X1216" s="377" t="str">
        <f t="shared" si="121"/>
        <v>SSI</v>
      </c>
      <c r="Y1216" t="str">
        <f>SUBSTITUTE(Tabla1[[#This Row],[Descripción]],CHAR(10),"    I    ")</f>
        <v>Se detectaron inconsistencias en Query de Funcionalidad 16, ya que son algunos queries pequeños con parámetros aparentemente obligatorios</v>
      </c>
      <c r="Z1216" s="142">
        <f>VLOOKUP(Tabla1[[#This Row],[Perfil]],Catalogos!$B$75:$D$100,3,FALSE)*Tabla1[[#This Row],[Tiempo
(Hrs 00/100)]]*1.16</f>
        <v>696</v>
      </c>
    </row>
    <row r="1217" spans="1:26" ht="15" customHeight="1" x14ac:dyDescent="0.3">
      <c r="A1217" s="373" t="s">
        <v>22</v>
      </c>
      <c r="B1217" s="373" t="s">
        <v>21</v>
      </c>
      <c r="C1217" s="373" t="s">
        <v>257</v>
      </c>
      <c r="D1217" s="373"/>
      <c r="E1217" s="370" t="s">
        <v>408</v>
      </c>
      <c r="F1217" s="373" t="s">
        <v>73</v>
      </c>
      <c r="G1217" s="373" t="s">
        <v>604</v>
      </c>
      <c r="H1217" s="461" t="s">
        <v>1720</v>
      </c>
      <c r="I1217" s="538" t="s">
        <v>1721</v>
      </c>
      <c r="J1217" s="369">
        <v>45133</v>
      </c>
      <c r="K1217" s="753">
        <v>0.70833333333333337</v>
      </c>
      <c r="L1217" s="369">
        <v>45133</v>
      </c>
      <c r="M1217" s="753">
        <v>0.72916666666666663</v>
      </c>
      <c r="N1217" s="373">
        <v>0.5</v>
      </c>
      <c r="O1217" s="184" t="s">
        <v>17</v>
      </c>
      <c r="P1217" s="375" t="s">
        <v>1583</v>
      </c>
      <c r="Q1217" s="797" t="s">
        <v>1441</v>
      </c>
      <c r="R1217" s="202" t="s">
        <v>95</v>
      </c>
      <c r="S1217" s="31" t="s">
        <v>273</v>
      </c>
      <c r="T1217" s="31" t="s">
        <v>273</v>
      </c>
      <c r="U1217" s="31">
        <f>IFERROR(VLOOKUP(CONCATENATE(Tabla1[[#This Row],[Severidad]]," ",Tabla1[[#This Row],[Complejidad]]),Catalogos!E$120:G$128,3,FALSE),"")</f>
        <v>64</v>
      </c>
      <c r="V1217" s="31" t="str">
        <f>IF(Tabla1[[#This Row],[Tiempo solución max (hrs)]]&lt;&gt;"",IF(Tabla1[[#This Row],[Tiempo solución max (hrs)]]&gt;=Tabla1[[#This Row],[Tiempo
(Hrs 00/100)]],"cumple","no cumple"),"")</f>
        <v>cumple</v>
      </c>
      <c r="W1217" s="376" t="s">
        <v>1453</v>
      </c>
      <c r="X1217" s="377" t="str">
        <f t="shared" si="121"/>
        <v>SSI</v>
      </c>
      <c r="Y1217" t="str">
        <f>SUBSTITUTE(Tabla1[[#This Row],[Descripción]],CHAR(10),"    I    ")</f>
        <v>Se actualizó el documento 'Query SISAI' con las dudas sobre el Query 16 para revisarlas con Subdirector esta semana</v>
      </c>
      <c r="Z1217" s="142">
        <f>VLOOKUP(Tabla1[[#This Row],[Perfil]],Catalogos!$B$75:$D$100,3,FALSE)*Tabla1[[#This Row],[Tiempo
(Hrs 00/100)]]*1.16</f>
        <v>348</v>
      </c>
    </row>
    <row r="1218" spans="1:26" ht="15" customHeight="1" x14ac:dyDescent="0.3">
      <c r="A1218" s="373" t="s">
        <v>22</v>
      </c>
      <c r="B1218" s="373" t="s">
        <v>61</v>
      </c>
      <c r="C1218" s="373" t="s">
        <v>257</v>
      </c>
      <c r="D1218" s="373"/>
      <c r="E1218" s="370" t="s">
        <v>408</v>
      </c>
      <c r="F1218" s="373" t="s">
        <v>72</v>
      </c>
      <c r="G1218" s="373" t="s">
        <v>604</v>
      </c>
      <c r="H1218" s="461" t="s">
        <v>1722</v>
      </c>
      <c r="I1218" s="538" t="s">
        <v>1723</v>
      </c>
      <c r="J1218" s="369">
        <v>45133</v>
      </c>
      <c r="K1218" s="753">
        <v>0.72916666666666663</v>
      </c>
      <c r="L1218" s="369">
        <v>45133</v>
      </c>
      <c r="M1218" s="753">
        <v>0.75</v>
      </c>
      <c r="N1218" s="373">
        <v>0.5</v>
      </c>
      <c r="O1218" s="184" t="s">
        <v>17</v>
      </c>
      <c r="P1218" s="375"/>
      <c r="Q1218" s="797" t="s">
        <v>1441</v>
      </c>
      <c r="R1218" s="202" t="s">
        <v>95</v>
      </c>
      <c r="S1218" s="31" t="s">
        <v>273</v>
      </c>
      <c r="T1218" s="31" t="s">
        <v>273</v>
      </c>
      <c r="U1218" s="31">
        <f>IFERROR(VLOOKUP(CONCATENATE(Tabla1[[#This Row],[Severidad]]," ",Tabla1[[#This Row],[Complejidad]]),Catalogos!E$120:G$128,3,FALSE),"")</f>
        <v>64</v>
      </c>
      <c r="V1218" s="31" t="str">
        <f>IF(Tabla1[[#This Row],[Tiempo solución max (hrs)]]&lt;&gt;"",IF(Tabla1[[#This Row],[Tiempo solución max (hrs)]]&gt;=Tabla1[[#This Row],[Tiempo
(Hrs 00/100)]],"cumple","no cumple"),"")</f>
        <v>cumple</v>
      </c>
      <c r="W1218" s="376" t="s">
        <v>1453</v>
      </c>
      <c r="X1218" s="377" t="str">
        <f t="shared" ref="X1218:X1249" si="122">IF(C1218&lt;&gt;"",C1218,D1218)</f>
        <v>SSI</v>
      </c>
      <c r="Y1218" t="str">
        <f>SUBSTITUTE(Tabla1[[#This Row],[Descripción]],CHAR(10),"    I    ")</f>
        <v>Se solicitó sesión con Subdirector para revisar las dudas de las consultas SISAI</v>
      </c>
      <c r="Z1218" s="142">
        <f>VLOOKUP(Tabla1[[#This Row],[Perfil]],Catalogos!$B$75:$D$100,3,FALSE)*Tabla1[[#This Row],[Tiempo
(Hrs 00/100)]]*1.16</f>
        <v>348</v>
      </c>
    </row>
    <row r="1219" spans="1:26" ht="15" customHeight="1" x14ac:dyDescent="0.3">
      <c r="A1219" s="373" t="s">
        <v>22</v>
      </c>
      <c r="B1219" s="373" t="s">
        <v>61</v>
      </c>
      <c r="C1219" s="373" t="s">
        <v>257</v>
      </c>
      <c r="D1219" s="373"/>
      <c r="E1219" s="370" t="s">
        <v>408</v>
      </c>
      <c r="F1219" s="373" t="s">
        <v>72</v>
      </c>
      <c r="G1219" s="373" t="s">
        <v>604</v>
      </c>
      <c r="H1219" s="461" t="s">
        <v>1724</v>
      </c>
      <c r="I1219" s="538" t="s">
        <v>1725</v>
      </c>
      <c r="J1219" s="369">
        <v>45133</v>
      </c>
      <c r="K1219" s="753">
        <v>0.75</v>
      </c>
      <c r="L1219" s="369">
        <v>45133</v>
      </c>
      <c r="M1219" s="753">
        <v>0.79166666666666663</v>
      </c>
      <c r="N1219" s="373">
        <v>1</v>
      </c>
      <c r="O1219" s="184" t="s">
        <v>17</v>
      </c>
      <c r="P1219" s="375" t="s">
        <v>1726</v>
      </c>
      <c r="Q1219" s="797" t="s">
        <v>1441</v>
      </c>
      <c r="R1219" s="202" t="s">
        <v>95</v>
      </c>
      <c r="S1219" s="31" t="s">
        <v>273</v>
      </c>
      <c r="T1219" s="31" t="s">
        <v>273</v>
      </c>
      <c r="U1219" s="31">
        <f>IFERROR(VLOOKUP(CONCATENATE(Tabla1[[#This Row],[Severidad]]," ",Tabla1[[#This Row],[Complejidad]]),Catalogos!E$120:G$128,3,FALSE),"")</f>
        <v>64</v>
      </c>
      <c r="V1219" s="31" t="str">
        <f>IF(Tabla1[[#This Row],[Tiempo solución max (hrs)]]&lt;&gt;"",IF(Tabla1[[#This Row],[Tiempo solución max (hrs)]]&gt;=Tabla1[[#This Row],[Tiempo
(Hrs 00/100)]],"cumple","no cumple"),"")</f>
        <v>cumple</v>
      </c>
      <c r="W1219" s="376" t="s">
        <v>1453</v>
      </c>
      <c r="X1219" s="377" t="str">
        <f t="shared" si="122"/>
        <v>SSI</v>
      </c>
      <c r="Y1219" t="str">
        <f>SUBSTITUTE(Tabla1[[#This Row],[Descripción]],CHAR(10),"    I    ")</f>
        <v>Se tuvo sesión con Samuel y se aclararon todas las dudas de los querys para seguir trabajando y avanzando</v>
      </c>
      <c r="Z1219" s="142">
        <f>VLOOKUP(Tabla1[[#This Row],[Perfil]],Catalogos!$B$75:$D$100,3,FALSE)*Tabla1[[#This Row],[Tiempo
(Hrs 00/100)]]*1.16</f>
        <v>696</v>
      </c>
    </row>
    <row r="1220" spans="1:26" ht="15" customHeight="1" x14ac:dyDescent="0.3">
      <c r="A1220" s="373" t="s">
        <v>22</v>
      </c>
      <c r="B1220" s="373" t="s">
        <v>23</v>
      </c>
      <c r="C1220" s="373" t="s">
        <v>257</v>
      </c>
      <c r="D1220" s="373"/>
      <c r="E1220" s="370" t="s">
        <v>408</v>
      </c>
      <c r="F1220" s="373" t="s">
        <v>23</v>
      </c>
      <c r="G1220" s="373" t="s">
        <v>604</v>
      </c>
      <c r="H1220" s="461" t="s">
        <v>1727</v>
      </c>
      <c r="I1220" s="538" t="s">
        <v>1728</v>
      </c>
      <c r="J1220" s="369">
        <v>45134</v>
      </c>
      <c r="K1220" s="747">
        <v>0.375</v>
      </c>
      <c r="L1220" s="369">
        <v>45134</v>
      </c>
      <c r="M1220" s="753">
        <v>0.45833333333333331</v>
      </c>
      <c r="N1220" s="373">
        <v>2</v>
      </c>
      <c r="O1220" s="184" t="s">
        <v>17</v>
      </c>
      <c r="P1220" s="375" t="s">
        <v>1583</v>
      </c>
      <c r="Q1220" s="797" t="s">
        <v>1441</v>
      </c>
      <c r="R1220" s="202" t="s">
        <v>95</v>
      </c>
      <c r="S1220" s="31" t="s">
        <v>273</v>
      </c>
      <c r="T1220" s="31" t="s">
        <v>273</v>
      </c>
      <c r="U1220" s="31">
        <f>IFERROR(VLOOKUP(CONCATENATE(Tabla1[[#This Row],[Severidad]]," ",Tabla1[[#This Row],[Complejidad]]),Catalogos!E$120:G$128,3,FALSE),"")</f>
        <v>64</v>
      </c>
      <c r="V1220" s="31" t="str">
        <f>IF(Tabla1[[#This Row],[Tiempo solución max (hrs)]]&lt;&gt;"",IF(Tabla1[[#This Row],[Tiempo solución max (hrs)]]&gt;=Tabla1[[#This Row],[Tiempo
(Hrs 00/100)]],"cumple","no cumple"),"")</f>
        <v>cumple</v>
      </c>
      <c r="W1220" s="376" t="s">
        <v>1453</v>
      </c>
      <c r="X1220" s="377" t="str">
        <f t="shared" si="122"/>
        <v>SSI</v>
      </c>
      <c r="Y1220" t="str">
        <f>SUBSTITUTE(Tabla1[[#This Row],[Descripción]],CHAR(10),"    I    ")</f>
        <v>Se actualizó paquete de funcionalidad 1 para condición dinámica de 't2.ds_solicitud like'</v>
      </c>
      <c r="Z1220" s="142">
        <f>VLOOKUP(Tabla1[[#This Row],[Perfil]],Catalogos!$B$75:$D$100,3,FALSE)*Tabla1[[#This Row],[Tiempo
(Hrs 00/100)]]*1.16</f>
        <v>1392</v>
      </c>
    </row>
    <row r="1221" spans="1:26" ht="15" customHeight="1" x14ac:dyDescent="0.3">
      <c r="A1221" s="373" t="s">
        <v>22</v>
      </c>
      <c r="B1221" s="373" t="s">
        <v>66</v>
      </c>
      <c r="C1221" s="373" t="s">
        <v>257</v>
      </c>
      <c r="D1221" s="373"/>
      <c r="E1221" s="370" t="s">
        <v>408</v>
      </c>
      <c r="F1221" s="373" t="s">
        <v>75</v>
      </c>
      <c r="G1221" s="373" t="s">
        <v>604</v>
      </c>
      <c r="H1221" s="461" t="s">
        <v>1729</v>
      </c>
      <c r="I1221" s="538" t="s">
        <v>1730</v>
      </c>
      <c r="J1221" s="369">
        <v>45134</v>
      </c>
      <c r="K1221" s="753">
        <v>0.45833333333333331</v>
      </c>
      <c r="L1221" s="369">
        <v>45134</v>
      </c>
      <c r="M1221" s="753">
        <v>0.52083333333333337</v>
      </c>
      <c r="N1221" s="373">
        <v>1.5</v>
      </c>
      <c r="O1221" s="184" t="s">
        <v>17</v>
      </c>
      <c r="P1221" s="375" t="s">
        <v>1583</v>
      </c>
      <c r="Q1221" s="797" t="s">
        <v>1441</v>
      </c>
      <c r="R1221" s="202" t="s">
        <v>95</v>
      </c>
      <c r="S1221" s="31" t="s">
        <v>273</v>
      </c>
      <c r="T1221" s="31" t="s">
        <v>273</v>
      </c>
      <c r="U1221" s="31">
        <f>IFERROR(VLOOKUP(CONCATENATE(Tabla1[[#This Row],[Severidad]]," ",Tabla1[[#This Row],[Complejidad]]),Catalogos!E$120:G$128,3,FALSE),"")</f>
        <v>64</v>
      </c>
      <c r="V1221" s="31" t="str">
        <f>IF(Tabla1[[#This Row],[Tiempo solución max (hrs)]]&lt;&gt;"",IF(Tabla1[[#This Row],[Tiempo solución max (hrs)]]&gt;=Tabla1[[#This Row],[Tiempo
(Hrs 00/100)]],"cumple","no cumple"),"")</f>
        <v>cumple</v>
      </c>
      <c r="W1221" s="376" t="s">
        <v>1453</v>
      </c>
      <c r="X1221" s="377" t="str">
        <f t="shared" si="122"/>
        <v>SSI</v>
      </c>
      <c r="Y1221" t="str">
        <f>SUBSTITUTE(Tabla1[[#This Row],[Descripción]],CHAR(10),"    I    ")</f>
        <v>Se validó nuevamente funcionalidad 1 de forma correcta y se muestra en bloque anónimo el campo 'ds_solicitud' para comprobar que si funcione la condición</v>
      </c>
      <c r="Z1221" s="142">
        <f>VLOOKUP(Tabla1[[#This Row],[Perfil]],Catalogos!$B$75:$D$100,3,FALSE)*Tabla1[[#This Row],[Tiempo
(Hrs 00/100)]]*1.16</f>
        <v>1044</v>
      </c>
    </row>
    <row r="1222" spans="1:26" ht="15" customHeight="1" x14ac:dyDescent="0.3">
      <c r="A1222" s="373" t="s">
        <v>22</v>
      </c>
      <c r="B1222" s="373" t="s">
        <v>23</v>
      </c>
      <c r="C1222" s="373" t="s">
        <v>257</v>
      </c>
      <c r="D1222" s="373"/>
      <c r="E1222" s="370" t="s">
        <v>408</v>
      </c>
      <c r="F1222" s="373" t="s">
        <v>23</v>
      </c>
      <c r="G1222" s="373" t="s">
        <v>604</v>
      </c>
      <c r="H1222" s="461" t="s">
        <v>1731</v>
      </c>
      <c r="I1222" s="538" t="s">
        <v>1732</v>
      </c>
      <c r="J1222" s="369">
        <v>45134</v>
      </c>
      <c r="K1222" s="753">
        <v>0.52083333333333337</v>
      </c>
      <c r="L1222" s="369">
        <v>45134</v>
      </c>
      <c r="M1222" s="753">
        <v>0.60416666666666663</v>
      </c>
      <c r="N1222" s="373">
        <v>2</v>
      </c>
      <c r="O1222" s="184" t="s">
        <v>17</v>
      </c>
      <c r="P1222" s="375" t="s">
        <v>1583</v>
      </c>
      <c r="Q1222" s="797" t="s">
        <v>1441</v>
      </c>
      <c r="R1222" s="202" t="s">
        <v>95</v>
      </c>
      <c r="S1222" s="31" t="s">
        <v>273</v>
      </c>
      <c r="T1222" s="31" t="s">
        <v>273</v>
      </c>
      <c r="U1222" s="31">
        <f>IFERROR(VLOOKUP(CONCATENATE(Tabla1[[#This Row],[Severidad]]," ",Tabla1[[#This Row],[Complejidad]]),Catalogos!E$120:G$128,3,FALSE),"")</f>
        <v>64</v>
      </c>
      <c r="V1222" s="31" t="str">
        <f>IF(Tabla1[[#This Row],[Tiempo solución max (hrs)]]&lt;&gt;"",IF(Tabla1[[#This Row],[Tiempo solución max (hrs)]]&gt;=Tabla1[[#This Row],[Tiempo
(Hrs 00/100)]],"cumple","no cumple"),"")</f>
        <v>cumple</v>
      </c>
      <c r="W1222" s="376" t="s">
        <v>1453</v>
      </c>
      <c r="X1222" s="377" t="str">
        <f t="shared" si="122"/>
        <v>SSI</v>
      </c>
      <c r="Y1222" t="str">
        <f>SUBSTITUTE(Tabla1[[#This Row],[Descripción]],CHAR(10),"    I    ")</f>
        <v>Se actualizó paquete de funcionalidad 5 para pasarlo a query dinámico y de esa forma manejar el parámetro como lista de los Ids</v>
      </c>
      <c r="Z1222" s="142">
        <f>VLOOKUP(Tabla1[[#This Row],[Perfil]],Catalogos!$B$75:$D$100,3,FALSE)*Tabla1[[#This Row],[Tiempo
(Hrs 00/100)]]*1.16</f>
        <v>1392</v>
      </c>
    </row>
    <row r="1223" spans="1:26" ht="15" customHeight="1" x14ac:dyDescent="0.3">
      <c r="A1223" s="373" t="s">
        <v>22</v>
      </c>
      <c r="B1223" s="373" t="s">
        <v>66</v>
      </c>
      <c r="C1223" s="373" t="s">
        <v>257</v>
      </c>
      <c r="D1223" s="373"/>
      <c r="E1223" s="370" t="s">
        <v>408</v>
      </c>
      <c r="F1223" s="373" t="s">
        <v>75</v>
      </c>
      <c r="G1223" s="373" t="s">
        <v>604</v>
      </c>
      <c r="H1223" s="461" t="s">
        <v>1733</v>
      </c>
      <c r="I1223" s="538" t="s">
        <v>1734</v>
      </c>
      <c r="J1223" s="369">
        <v>45134</v>
      </c>
      <c r="K1223" s="747">
        <v>0.66666666666666663</v>
      </c>
      <c r="L1223" s="369">
        <v>45134</v>
      </c>
      <c r="M1223" s="753">
        <v>0.72916666666666663</v>
      </c>
      <c r="N1223" s="373">
        <v>1.5</v>
      </c>
      <c r="O1223" s="184" t="s">
        <v>17</v>
      </c>
      <c r="P1223" s="375" t="s">
        <v>1583</v>
      </c>
      <c r="Q1223" s="797" t="s">
        <v>1441</v>
      </c>
      <c r="R1223" s="202" t="s">
        <v>95</v>
      </c>
      <c r="S1223" s="31" t="s">
        <v>273</v>
      </c>
      <c r="T1223" s="31" t="s">
        <v>273</v>
      </c>
      <c r="U1223" s="31">
        <f>IFERROR(VLOOKUP(CONCATENATE(Tabla1[[#This Row],[Severidad]]," ",Tabla1[[#This Row],[Complejidad]]),Catalogos!E$120:G$128,3,FALSE),"")</f>
        <v>64</v>
      </c>
      <c r="V1223" s="31" t="str">
        <f>IF(Tabla1[[#This Row],[Tiempo solución max (hrs)]]&lt;&gt;"",IF(Tabla1[[#This Row],[Tiempo solución max (hrs)]]&gt;=Tabla1[[#This Row],[Tiempo
(Hrs 00/100)]],"cumple","no cumple"),"")</f>
        <v>cumple</v>
      </c>
      <c r="W1223" s="376" t="s">
        <v>1453</v>
      </c>
      <c r="X1223" s="377" t="str">
        <f t="shared" si="122"/>
        <v>SSI</v>
      </c>
      <c r="Y1223" t="str">
        <f>SUBSTITUTE(Tabla1[[#This Row],[Descripción]],CHAR(10),"    I    ")</f>
        <v>Se validó nuevamente la salida del query de funcionalidad 5 de forma correcta al ingresar un filtro con valores enlistados, separados por comas</v>
      </c>
      <c r="Z1223" s="142">
        <f>VLOOKUP(Tabla1[[#This Row],[Perfil]],Catalogos!$B$75:$D$100,3,FALSE)*Tabla1[[#This Row],[Tiempo
(Hrs 00/100)]]*1.16</f>
        <v>1044</v>
      </c>
    </row>
    <row r="1224" spans="1:26" ht="15" customHeight="1" x14ac:dyDescent="0.3">
      <c r="A1224" s="373" t="s">
        <v>22</v>
      </c>
      <c r="B1224" s="373" t="s">
        <v>23</v>
      </c>
      <c r="C1224" s="373" t="s">
        <v>257</v>
      </c>
      <c r="D1224" s="373"/>
      <c r="E1224" s="370" t="s">
        <v>408</v>
      </c>
      <c r="F1224" s="373" t="s">
        <v>23</v>
      </c>
      <c r="G1224" s="373" t="s">
        <v>604</v>
      </c>
      <c r="H1224" s="461" t="s">
        <v>1735</v>
      </c>
      <c r="I1224" s="538" t="s">
        <v>1736</v>
      </c>
      <c r="J1224" s="369">
        <v>45134</v>
      </c>
      <c r="K1224" s="753">
        <v>0.72916666666666663</v>
      </c>
      <c r="L1224" s="369">
        <v>45134</v>
      </c>
      <c r="M1224" s="753">
        <v>0.8125</v>
      </c>
      <c r="N1224" s="373">
        <v>2</v>
      </c>
      <c r="O1224" s="184" t="s">
        <v>17</v>
      </c>
      <c r="P1224" s="375" t="s">
        <v>1583</v>
      </c>
      <c r="Q1224" s="797" t="s">
        <v>1441</v>
      </c>
      <c r="R1224" s="202" t="s">
        <v>95</v>
      </c>
      <c r="S1224" s="31" t="s">
        <v>273</v>
      </c>
      <c r="T1224" s="31" t="s">
        <v>273</v>
      </c>
      <c r="U1224" s="31">
        <f>IFERROR(VLOOKUP(CONCATENATE(Tabla1[[#This Row],[Severidad]]," ",Tabla1[[#This Row],[Complejidad]]),Catalogos!E$120:G$128,3,FALSE),"")</f>
        <v>64</v>
      </c>
      <c r="V1224" s="31" t="str">
        <f>IF(Tabla1[[#This Row],[Tiempo solución max (hrs)]]&lt;&gt;"",IF(Tabla1[[#This Row],[Tiempo solución max (hrs)]]&gt;=Tabla1[[#This Row],[Tiempo
(Hrs 00/100)]],"cumple","no cumple"),"")</f>
        <v>cumple</v>
      </c>
      <c r="W1224" s="376" t="s">
        <v>1453</v>
      </c>
      <c r="X1224" s="377" t="str">
        <f t="shared" si="122"/>
        <v>SSI</v>
      </c>
      <c r="Y1224" t="str">
        <f>SUBSTITUTE(Tabla1[[#This Row],[Descripción]],CHAR(10),"    I    ")</f>
        <v>Se creó el nuevo procedimiento 'FUNC3DETSOLDASH_SOLICDEPEN_Q1' en el paquete 'PACK_SISAI2', con la 3ra funcionalidad y el 1ro de los queries pequeños que obtiene las solicitudes de dependencia</v>
      </c>
      <c r="Z1224" s="142">
        <f>VLOOKUP(Tabla1[[#This Row],[Perfil]],Catalogos!$B$75:$D$100,3,FALSE)*Tabla1[[#This Row],[Tiempo
(Hrs 00/100)]]*1.16</f>
        <v>1392</v>
      </c>
    </row>
    <row r="1225" spans="1:26" ht="15" customHeight="1" x14ac:dyDescent="0.3">
      <c r="A1225" s="373" t="s">
        <v>22</v>
      </c>
      <c r="B1225" s="373" t="s">
        <v>66</v>
      </c>
      <c r="C1225" s="373" t="s">
        <v>257</v>
      </c>
      <c r="D1225" s="373"/>
      <c r="E1225" s="370" t="s">
        <v>408</v>
      </c>
      <c r="F1225" s="373" t="s">
        <v>75</v>
      </c>
      <c r="G1225" s="373" t="s">
        <v>604</v>
      </c>
      <c r="H1225" s="461" t="s">
        <v>1737</v>
      </c>
      <c r="I1225" s="538" t="s">
        <v>1738</v>
      </c>
      <c r="J1225" s="369">
        <v>45135</v>
      </c>
      <c r="K1225" s="747">
        <v>0.375</v>
      </c>
      <c r="L1225" s="369">
        <v>45135</v>
      </c>
      <c r="M1225" s="753">
        <v>0.41666666666666669</v>
      </c>
      <c r="N1225" s="373">
        <v>1</v>
      </c>
      <c r="O1225" s="184" t="s">
        <v>17</v>
      </c>
      <c r="P1225" s="375" t="s">
        <v>1583</v>
      </c>
      <c r="Q1225" s="797" t="s">
        <v>1441</v>
      </c>
      <c r="R1225" s="202" t="s">
        <v>95</v>
      </c>
      <c r="S1225" s="31" t="s">
        <v>273</v>
      </c>
      <c r="T1225" s="31" t="s">
        <v>273</v>
      </c>
      <c r="U1225" s="31">
        <f>IFERROR(VLOOKUP(CONCATENATE(Tabla1[[#This Row],[Severidad]]," ",Tabla1[[#This Row],[Complejidad]]),Catalogos!E$120:G$128,3,FALSE),"")</f>
        <v>64</v>
      </c>
      <c r="V1225" s="31" t="str">
        <f>IF(Tabla1[[#This Row],[Tiempo solución max (hrs)]]&lt;&gt;"",IF(Tabla1[[#This Row],[Tiempo solución max (hrs)]]&gt;=Tabla1[[#This Row],[Tiempo
(Hrs 00/100)]],"cumple","no cumple"),"")</f>
        <v>cumple</v>
      </c>
      <c r="W1225" s="376" t="s">
        <v>1453</v>
      </c>
      <c r="X1225" s="377" t="str">
        <f t="shared" si="122"/>
        <v>SSI</v>
      </c>
      <c r="Y1225" t="str">
        <f>SUBSTITUTE(Tabla1[[#This Row],[Descripción]],CHAR(10),"    I    ")</f>
        <v>Se validó el paquete-procedimiento de la funcionalidad # 3 - Query 1 con el bloque anónimo correcto y se tuvo un resultado exitoso con la salida del cursor completo con el único parámetro</v>
      </c>
      <c r="Z1225" s="142">
        <f>VLOOKUP(Tabla1[[#This Row],[Perfil]],Catalogos!$B$75:$D$100,3,FALSE)*Tabla1[[#This Row],[Tiempo
(Hrs 00/100)]]*1.16</f>
        <v>696</v>
      </c>
    </row>
    <row r="1226" spans="1:26" ht="15" customHeight="1" x14ac:dyDescent="0.3">
      <c r="A1226" s="373" t="s">
        <v>22</v>
      </c>
      <c r="B1226" s="373" t="s">
        <v>23</v>
      </c>
      <c r="C1226" s="373" t="s">
        <v>257</v>
      </c>
      <c r="D1226" s="373"/>
      <c r="E1226" s="370" t="s">
        <v>408</v>
      </c>
      <c r="F1226" s="373" t="s">
        <v>23</v>
      </c>
      <c r="G1226" s="373" t="s">
        <v>604</v>
      </c>
      <c r="H1226" s="461" t="s">
        <v>1739</v>
      </c>
      <c r="I1226" s="538" t="s">
        <v>1740</v>
      </c>
      <c r="J1226" s="369">
        <v>45135</v>
      </c>
      <c r="K1226" s="753">
        <v>0.41666666666666669</v>
      </c>
      <c r="L1226" s="369">
        <v>45135</v>
      </c>
      <c r="M1226" s="753">
        <v>0.5</v>
      </c>
      <c r="N1226" s="373">
        <v>2</v>
      </c>
      <c r="O1226" s="184" t="s">
        <v>17</v>
      </c>
      <c r="P1226" s="375" t="s">
        <v>1583</v>
      </c>
      <c r="Q1226" s="797" t="s">
        <v>1441</v>
      </c>
      <c r="R1226" s="202" t="s">
        <v>95</v>
      </c>
      <c r="S1226" s="31" t="s">
        <v>273</v>
      </c>
      <c r="T1226" s="31" t="s">
        <v>273</v>
      </c>
      <c r="U1226" s="31">
        <f>IFERROR(VLOOKUP(CONCATENATE(Tabla1[[#This Row],[Severidad]]," ",Tabla1[[#This Row],[Complejidad]]),Catalogos!E$120:G$128,3,FALSE),"")</f>
        <v>64</v>
      </c>
      <c r="V1226" s="31" t="str">
        <f>IF(Tabla1[[#This Row],[Tiempo solución max (hrs)]]&lt;&gt;"",IF(Tabla1[[#This Row],[Tiempo solución max (hrs)]]&gt;=Tabla1[[#This Row],[Tiempo
(Hrs 00/100)]],"cumple","no cumple"),"")</f>
        <v>cumple</v>
      </c>
      <c r="W1226" s="376" t="s">
        <v>1453</v>
      </c>
      <c r="X1226" s="377" t="str">
        <f t="shared" si="122"/>
        <v>SSI</v>
      </c>
      <c r="Y1226" t="str">
        <f>SUBSTITUTE(Tabla1[[#This Row],[Descripción]],CHAR(10),"    I    ")</f>
        <v>Se creó el nuevo procedimiento 'FUNC3DETSOLDASH_ADJUNTXSOLIC_Q2' en el paquete 'PACK_SISAI2', con la 3ra funcionalidad y el 2do de los queries pequeños que obtiene los adjuntos por solicitud general</v>
      </c>
      <c r="Z1226" s="142">
        <f>VLOOKUP(Tabla1[[#This Row],[Perfil]],Catalogos!$B$75:$D$100,3,FALSE)*Tabla1[[#This Row],[Tiempo
(Hrs 00/100)]]*1.16</f>
        <v>1392</v>
      </c>
    </row>
    <row r="1227" spans="1:26" ht="15" customHeight="1" x14ac:dyDescent="0.3">
      <c r="A1227" s="373" t="s">
        <v>22</v>
      </c>
      <c r="B1227" s="373" t="s">
        <v>66</v>
      </c>
      <c r="C1227" s="373" t="s">
        <v>257</v>
      </c>
      <c r="D1227" s="373"/>
      <c r="E1227" s="370" t="s">
        <v>408</v>
      </c>
      <c r="F1227" s="373" t="s">
        <v>75</v>
      </c>
      <c r="G1227" s="373" t="s">
        <v>604</v>
      </c>
      <c r="H1227" s="461" t="s">
        <v>1741</v>
      </c>
      <c r="I1227" s="538" t="s">
        <v>1742</v>
      </c>
      <c r="J1227" s="369">
        <v>45135</v>
      </c>
      <c r="K1227" s="753">
        <v>0.5</v>
      </c>
      <c r="L1227" s="369">
        <v>45135</v>
      </c>
      <c r="M1227" s="753">
        <v>0.52083333333333337</v>
      </c>
      <c r="N1227" s="373">
        <v>0.5</v>
      </c>
      <c r="O1227" s="184" t="s">
        <v>17</v>
      </c>
      <c r="P1227" s="375" t="s">
        <v>1583</v>
      </c>
      <c r="Q1227" s="797" t="s">
        <v>1441</v>
      </c>
      <c r="R1227" s="202" t="s">
        <v>95</v>
      </c>
      <c r="S1227" s="31" t="s">
        <v>273</v>
      </c>
      <c r="T1227" s="31" t="s">
        <v>273</v>
      </c>
      <c r="U1227" s="31">
        <f>IFERROR(VLOOKUP(CONCATENATE(Tabla1[[#This Row],[Severidad]]," ",Tabla1[[#This Row],[Complejidad]]),Catalogos!E$120:G$128,3,FALSE),"")</f>
        <v>64</v>
      </c>
      <c r="V1227" s="31" t="str">
        <f>IF(Tabla1[[#This Row],[Tiempo solución max (hrs)]]&lt;&gt;"",IF(Tabla1[[#This Row],[Tiempo solución max (hrs)]]&gt;=Tabla1[[#This Row],[Tiempo
(Hrs 00/100)]],"cumple","no cumple"),"")</f>
        <v>cumple</v>
      </c>
      <c r="W1227" s="376" t="s">
        <v>1453</v>
      </c>
      <c r="X1227" s="377" t="str">
        <f t="shared" si="122"/>
        <v>SSI</v>
      </c>
      <c r="Y1227" t="str">
        <f>SUBSTITUTE(Tabla1[[#This Row],[Descripción]],CHAR(10),"    I    ")</f>
        <v>Se validó el paquete-procedimiento de la funcionalidad # 3 - Query 2 con el bloque anónimo correcto y se tuvo un resultado exitoso con la salida del cursor completo con el único parámetro</v>
      </c>
      <c r="Z1227" s="142">
        <f>VLOOKUP(Tabla1[[#This Row],[Perfil]],Catalogos!$B$75:$D$100,3,FALSE)*Tabla1[[#This Row],[Tiempo
(Hrs 00/100)]]*1.16</f>
        <v>348</v>
      </c>
    </row>
    <row r="1228" spans="1:26" ht="15" customHeight="1" x14ac:dyDescent="0.3">
      <c r="A1228" s="373" t="s">
        <v>22</v>
      </c>
      <c r="B1228" s="373" t="s">
        <v>23</v>
      </c>
      <c r="C1228" s="373" t="s">
        <v>257</v>
      </c>
      <c r="D1228" s="373"/>
      <c r="E1228" s="370" t="s">
        <v>408</v>
      </c>
      <c r="F1228" s="373" t="s">
        <v>23</v>
      </c>
      <c r="G1228" s="373" t="s">
        <v>604</v>
      </c>
      <c r="H1228" s="461" t="s">
        <v>1743</v>
      </c>
      <c r="I1228" s="538" t="s">
        <v>1744</v>
      </c>
      <c r="J1228" s="369">
        <v>45135</v>
      </c>
      <c r="K1228" s="753">
        <v>0.52083333333333337</v>
      </c>
      <c r="L1228" s="369">
        <v>45135</v>
      </c>
      <c r="M1228" s="753">
        <v>0.60416666666666663</v>
      </c>
      <c r="N1228" s="373">
        <v>2</v>
      </c>
      <c r="O1228" s="184" t="s">
        <v>17</v>
      </c>
      <c r="P1228" s="375" t="s">
        <v>1583</v>
      </c>
      <c r="Q1228" s="797" t="s">
        <v>1441</v>
      </c>
      <c r="R1228" s="202" t="s">
        <v>95</v>
      </c>
      <c r="S1228" s="31" t="s">
        <v>273</v>
      </c>
      <c r="T1228" s="31" t="s">
        <v>273</v>
      </c>
      <c r="U1228" s="31">
        <f>IFERROR(VLOOKUP(CONCATENATE(Tabla1[[#This Row],[Severidad]]," ",Tabla1[[#This Row],[Complejidad]]),Catalogos!E$120:G$128,3,FALSE),"")</f>
        <v>64</v>
      </c>
      <c r="V1228" s="31" t="str">
        <f>IF(Tabla1[[#This Row],[Tiempo solución max (hrs)]]&lt;&gt;"",IF(Tabla1[[#This Row],[Tiempo solución max (hrs)]]&gt;=Tabla1[[#This Row],[Tiempo
(Hrs 00/100)]],"cumple","no cumple"),"")</f>
        <v>cumple</v>
      </c>
      <c r="W1228" s="376" t="s">
        <v>1453</v>
      </c>
      <c r="X1228" s="377" t="str">
        <f t="shared" si="122"/>
        <v>SSI</v>
      </c>
      <c r="Y1228" t="str">
        <f>SUBSTITUTE(Tabla1[[#This Row],[Descripción]],CHAR(10),"    I    ")</f>
        <v>Se creó el nuevo procedimiento 'FUNC3DETSOLDASH_RESPXSOLDEP_Q3' en el paquete 'PACK_SISAI2', con la 3ra funcionalidad y el 3ero de los queries pequeños que obtiene las respuestas por solicitud dependencia</v>
      </c>
      <c r="Z1228" s="142">
        <f>VLOOKUP(Tabla1[[#This Row],[Perfil]],Catalogos!$B$75:$D$100,3,FALSE)*Tabla1[[#This Row],[Tiempo
(Hrs 00/100)]]*1.16</f>
        <v>1392</v>
      </c>
    </row>
    <row r="1229" spans="1:26" ht="15" customHeight="1" x14ac:dyDescent="0.3">
      <c r="A1229" s="373" t="s">
        <v>22</v>
      </c>
      <c r="B1229" s="373" t="s">
        <v>66</v>
      </c>
      <c r="C1229" s="373" t="s">
        <v>257</v>
      </c>
      <c r="D1229" s="373"/>
      <c r="E1229" s="370" t="s">
        <v>408</v>
      </c>
      <c r="F1229" s="373" t="s">
        <v>75</v>
      </c>
      <c r="G1229" s="373" t="s">
        <v>604</v>
      </c>
      <c r="H1229" s="461" t="s">
        <v>1745</v>
      </c>
      <c r="I1229" s="538" t="s">
        <v>1746</v>
      </c>
      <c r="J1229" s="369">
        <v>45135</v>
      </c>
      <c r="K1229" s="747">
        <v>0.66666666666666663</v>
      </c>
      <c r="L1229" s="369">
        <v>45135</v>
      </c>
      <c r="M1229" s="753">
        <v>0.6875</v>
      </c>
      <c r="N1229" s="373">
        <v>0.5</v>
      </c>
      <c r="O1229" s="184" t="s">
        <v>17</v>
      </c>
      <c r="P1229" s="375" t="s">
        <v>1583</v>
      </c>
      <c r="Q1229" s="797" t="s">
        <v>1441</v>
      </c>
      <c r="R1229" s="202" t="s">
        <v>95</v>
      </c>
      <c r="S1229" s="31" t="s">
        <v>273</v>
      </c>
      <c r="T1229" s="31" t="s">
        <v>273</v>
      </c>
      <c r="U1229" s="31">
        <f>IFERROR(VLOOKUP(CONCATENATE(Tabla1[[#This Row],[Severidad]]," ",Tabla1[[#This Row],[Complejidad]]),Catalogos!E$120:G$128,3,FALSE),"")</f>
        <v>64</v>
      </c>
      <c r="V1229" s="31" t="str">
        <f>IF(Tabla1[[#This Row],[Tiempo solución max (hrs)]]&lt;&gt;"",IF(Tabla1[[#This Row],[Tiempo solución max (hrs)]]&gt;=Tabla1[[#This Row],[Tiempo
(Hrs 00/100)]],"cumple","no cumple"),"")</f>
        <v>cumple</v>
      </c>
      <c r="W1229" s="376" t="s">
        <v>1453</v>
      </c>
      <c r="X1229" s="377" t="str">
        <f t="shared" si="122"/>
        <v>SSI</v>
      </c>
      <c r="Y1229" t="str">
        <f>SUBSTITUTE(Tabla1[[#This Row],[Descripción]],CHAR(10),"    I    ")</f>
        <v>Se validó el paquete-procedimiento de la funcionalidad # 3 - Query 3 con el bloque anónimo correcto y se tuvo un resultado exitoso con la salida del cursor completo con el único parámetro</v>
      </c>
      <c r="Z1229" s="142">
        <f>VLOOKUP(Tabla1[[#This Row],[Perfil]],Catalogos!$B$75:$D$100,3,FALSE)*Tabla1[[#This Row],[Tiempo
(Hrs 00/100)]]*1.16</f>
        <v>348</v>
      </c>
    </row>
    <row r="1230" spans="1:26" ht="15" customHeight="1" x14ac:dyDescent="0.3">
      <c r="A1230" s="373" t="s">
        <v>22</v>
      </c>
      <c r="B1230" s="373" t="s">
        <v>23</v>
      </c>
      <c r="C1230" s="373" t="s">
        <v>257</v>
      </c>
      <c r="D1230" s="373"/>
      <c r="E1230" s="370" t="s">
        <v>408</v>
      </c>
      <c r="F1230" s="373" t="s">
        <v>23</v>
      </c>
      <c r="G1230" s="373" t="s">
        <v>604</v>
      </c>
      <c r="H1230" s="461" t="s">
        <v>1747</v>
      </c>
      <c r="I1230" s="538" t="s">
        <v>1748</v>
      </c>
      <c r="J1230" s="369">
        <v>45135</v>
      </c>
      <c r="K1230" s="753">
        <v>0.6875</v>
      </c>
      <c r="L1230" s="369">
        <v>45135</v>
      </c>
      <c r="M1230" s="753">
        <v>0.77083333333333337</v>
      </c>
      <c r="N1230" s="373">
        <v>2</v>
      </c>
      <c r="O1230" s="184" t="s">
        <v>17</v>
      </c>
      <c r="P1230" s="375" t="s">
        <v>1583</v>
      </c>
      <c r="Q1230" s="797" t="s">
        <v>1441</v>
      </c>
      <c r="R1230" s="202" t="s">
        <v>95</v>
      </c>
      <c r="S1230" s="31" t="s">
        <v>273</v>
      </c>
      <c r="T1230" s="31" t="s">
        <v>273</v>
      </c>
      <c r="U1230" s="31">
        <f>IFERROR(VLOOKUP(CONCATENATE(Tabla1[[#This Row],[Severidad]]," ",Tabla1[[#This Row],[Complejidad]]),Catalogos!E$120:G$128,3,FALSE),"")</f>
        <v>64</v>
      </c>
      <c r="V1230" s="31" t="str">
        <f>IF(Tabla1[[#This Row],[Tiempo solución max (hrs)]]&lt;&gt;"",IF(Tabla1[[#This Row],[Tiempo solución max (hrs)]]&gt;=Tabla1[[#This Row],[Tiempo
(Hrs 00/100)]],"cumple","no cumple"),"")</f>
        <v>cumple</v>
      </c>
      <c r="W1230" s="376" t="s">
        <v>1453</v>
      </c>
      <c r="X1230" s="377" t="str">
        <f t="shared" si="122"/>
        <v>SSI</v>
      </c>
      <c r="Y1230" t="str">
        <f>SUBSTITUTE(Tabla1[[#This Row],[Descripción]],CHAR(10),"    I    ")</f>
        <v>Se creó el nuevo procedimiento 'FUNC3DETSOLDASH_ADJXIDRESP_Q4' en el paquete 'PACK_SISAI2', con la 3ra funcionalidad y el 4to de los queries pequeños que obtiene los adjuntos por id respuesta</v>
      </c>
      <c r="Z1230" s="142">
        <f>VLOOKUP(Tabla1[[#This Row],[Perfil]],Catalogos!$B$75:$D$100,3,FALSE)*Tabla1[[#This Row],[Tiempo
(Hrs 00/100)]]*1.16</f>
        <v>1392</v>
      </c>
    </row>
    <row r="1231" spans="1:26" ht="15" customHeight="1" x14ac:dyDescent="0.3">
      <c r="A1231" s="373" t="s">
        <v>22</v>
      </c>
      <c r="B1231" s="373" t="s">
        <v>66</v>
      </c>
      <c r="C1231" s="373" t="s">
        <v>257</v>
      </c>
      <c r="D1231" s="373"/>
      <c r="E1231" s="370" t="s">
        <v>408</v>
      </c>
      <c r="F1231" s="373" t="s">
        <v>75</v>
      </c>
      <c r="G1231" s="373" t="s">
        <v>604</v>
      </c>
      <c r="H1231" s="461" t="s">
        <v>1749</v>
      </c>
      <c r="I1231" s="538" t="s">
        <v>1750</v>
      </c>
      <c r="J1231" s="369">
        <v>45135</v>
      </c>
      <c r="K1231" s="753">
        <v>0.77083333333333337</v>
      </c>
      <c r="L1231" s="369">
        <v>45135</v>
      </c>
      <c r="M1231" s="753">
        <v>0.79166666666666663</v>
      </c>
      <c r="N1231" s="373">
        <v>0.5</v>
      </c>
      <c r="O1231" s="184" t="s">
        <v>17</v>
      </c>
      <c r="P1231" s="375" t="s">
        <v>1583</v>
      </c>
      <c r="Q1231" s="797" t="s">
        <v>1441</v>
      </c>
      <c r="R1231" s="202" t="s">
        <v>95</v>
      </c>
      <c r="S1231" s="31" t="s">
        <v>273</v>
      </c>
      <c r="T1231" s="31" t="s">
        <v>273</v>
      </c>
      <c r="U1231" s="31">
        <f>IFERROR(VLOOKUP(CONCATENATE(Tabla1[[#This Row],[Severidad]]," ",Tabla1[[#This Row],[Complejidad]]),Catalogos!E$120:G$128,3,FALSE),"")</f>
        <v>64</v>
      </c>
      <c r="V1231" s="31" t="str">
        <f>IF(Tabla1[[#This Row],[Tiempo solución max (hrs)]]&lt;&gt;"",IF(Tabla1[[#This Row],[Tiempo solución max (hrs)]]&gt;=Tabla1[[#This Row],[Tiempo
(Hrs 00/100)]],"cumple","no cumple"),"")</f>
        <v>cumple</v>
      </c>
      <c r="W1231" s="376" t="s">
        <v>1453</v>
      </c>
      <c r="X1231" s="377" t="str">
        <f t="shared" si="122"/>
        <v>SSI</v>
      </c>
      <c r="Y1231" t="str">
        <f>SUBSTITUTE(Tabla1[[#This Row],[Descripción]],CHAR(10),"    I    ")</f>
        <v>Se validó el paquete-procedimiento de la funcionalidad # 3 - Query 4 con el bloque anónimo correcto y se tuvo un resultado exitoso con la salida del cursor completo con el único parámetro</v>
      </c>
      <c r="Z1231" s="142">
        <f>VLOOKUP(Tabla1[[#This Row],[Perfil]],Catalogos!$B$75:$D$100,3,FALSE)*Tabla1[[#This Row],[Tiempo
(Hrs 00/100)]]*1.16</f>
        <v>348</v>
      </c>
    </row>
    <row r="1232" spans="1:26" ht="15" customHeight="1" x14ac:dyDescent="0.3">
      <c r="A1232" s="373" t="s">
        <v>22</v>
      </c>
      <c r="B1232" s="373" t="s">
        <v>23</v>
      </c>
      <c r="C1232" s="373" t="s">
        <v>257</v>
      </c>
      <c r="D1232" s="373"/>
      <c r="E1232" s="370" t="s">
        <v>408</v>
      </c>
      <c r="F1232" s="373" t="s">
        <v>23</v>
      </c>
      <c r="G1232" s="373" t="s">
        <v>604</v>
      </c>
      <c r="H1232" s="461" t="s">
        <v>1751</v>
      </c>
      <c r="I1232" s="538" t="s">
        <v>1752</v>
      </c>
      <c r="J1232" s="369">
        <v>45136</v>
      </c>
      <c r="K1232" s="747">
        <v>0.375</v>
      </c>
      <c r="L1232" s="369">
        <v>45136</v>
      </c>
      <c r="M1232" s="753">
        <v>0.45833333333333331</v>
      </c>
      <c r="N1232" s="373">
        <v>2</v>
      </c>
      <c r="O1232" s="184" t="s">
        <v>17</v>
      </c>
      <c r="P1232" s="375" t="s">
        <v>1583</v>
      </c>
      <c r="Q1232" s="797" t="s">
        <v>1441</v>
      </c>
      <c r="R1232" s="202" t="s">
        <v>95</v>
      </c>
      <c r="S1232" s="31" t="s">
        <v>273</v>
      </c>
      <c r="T1232" s="31" t="s">
        <v>273</v>
      </c>
      <c r="U1232" s="31">
        <f>IFERROR(VLOOKUP(CONCATENATE(Tabla1[[#This Row],[Severidad]]," ",Tabla1[[#This Row],[Complejidad]]),Catalogos!E$120:G$128,3,FALSE),"")</f>
        <v>64</v>
      </c>
      <c r="V1232" s="31" t="str">
        <f>IF(Tabla1[[#This Row],[Tiempo solución max (hrs)]]&lt;&gt;"",IF(Tabla1[[#This Row],[Tiempo solución max (hrs)]]&gt;=Tabla1[[#This Row],[Tiempo
(Hrs 00/100)]],"cumple","no cumple"),"")</f>
        <v>cumple</v>
      </c>
      <c r="W1232" s="376" t="s">
        <v>1453</v>
      </c>
      <c r="X1232" s="377" t="str">
        <f t="shared" si="122"/>
        <v>SSI</v>
      </c>
      <c r="Y1232" t="str">
        <f>SUBSTITUTE(Tabla1[[#This Row],[Descripción]],CHAR(10),"    I    ")</f>
        <v>Se creó el nuevo procedimiento 'FUNC3DETSOLDASH_COMPETXRESP_Q6' en el paquete 'PACK_SISAI2', con la 3ra funcionalidad y el 6to de los queries pequeños que obtiene la competencia por respuesta</v>
      </c>
      <c r="Z1232" s="142">
        <f>VLOOKUP(Tabla1[[#This Row],[Perfil]],Catalogos!$B$75:$D$100,3,FALSE)*Tabla1[[#This Row],[Tiempo
(Hrs 00/100)]]*1.16</f>
        <v>1392</v>
      </c>
    </row>
    <row r="1233" spans="1:26" ht="15" customHeight="1" x14ac:dyDescent="0.3">
      <c r="A1233" s="373" t="s">
        <v>22</v>
      </c>
      <c r="B1233" s="373" t="s">
        <v>66</v>
      </c>
      <c r="C1233" s="373" t="s">
        <v>257</v>
      </c>
      <c r="D1233" s="373"/>
      <c r="E1233" s="370" t="s">
        <v>408</v>
      </c>
      <c r="F1233" s="373" t="s">
        <v>75</v>
      </c>
      <c r="G1233" s="373" t="s">
        <v>604</v>
      </c>
      <c r="H1233" s="461" t="s">
        <v>1753</v>
      </c>
      <c r="I1233" s="538" t="s">
        <v>1754</v>
      </c>
      <c r="J1233" s="369">
        <v>45136</v>
      </c>
      <c r="K1233" s="753">
        <v>0.45833333333333331</v>
      </c>
      <c r="L1233" s="369">
        <v>45136</v>
      </c>
      <c r="M1233" s="753">
        <v>0.47916666666666669</v>
      </c>
      <c r="N1233" s="373">
        <v>0.5</v>
      </c>
      <c r="O1233" s="184" t="s">
        <v>17</v>
      </c>
      <c r="P1233" s="375" t="s">
        <v>1583</v>
      </c>
      <c r="Q1233" s="797" t="s">
        <v>1441</v>
      </c>
      <c r="R1233" s="202" t="s">
        <v>95</v>
      </c>
      <c r="S1233" s="31" t="s">
        <v>273</v>
      </c>
      <c r="T1233" s="31" t="s">
        <v>273</v>
      </c>
      <c r="U1233" s="31">
        <f>IFERROR(VLOOKUP(CONCATENATE(Tabla1[[#This Row],[Severidad]]," ",Tabla1[[#This Row],[Complejidad]]),Catalogos!E$120:G$128,3,FALSE),"")</f>
        <v>64</v>
      </c>
      <c r="V1233" s="31" t="str">
        <f>IF(Tabla1[[#This Row],[Tiempo solución max (hrs)]]&lt;&gt;"",IF(Tabla1[[#This Row],[Tiempo solución max (hrs)]]&gt;=Tabla1[[#This Row],[Tiempo
(Hrs 00/100)]],"cumple","no cumple"),"")</f>
        <v>cumple</v>
      </c>
      <c r="W1233" s="376" t="s">
        <v>1453</v>
      </c>
      <c r="X1233" s="377" t="str">
        <f t="shared" si="122"/>
        <v>SSI</v>
      </c>
      <c r="Y1233" t="str">
        <f>SUBSTITUTE(Tabla1[[#This Row],[Descripción]],CHAR(10),"    I    ")</f>
        <v>Se validó el paquete-procedimiento de la funcionalidad # 3 - Query 6 con el bloque anónimo correcto y se tuvo un resultado exitoso con la salida del cursor completo con el único parámetro</v>
      </c>
      <c r="Z1233" s="142">
        <f>VLOOKUP(Tabla1[[#This Row],[Perfil]],Catalogos!$B$75:$D$100,3,FALSE)*Tabla1[[#This Row],[Tiempo
(Hrs 00/100)]]*1.16</f>
        <v>348</v>
      </c>
    </row>
    <row r="1234" spans="1:26" ht="15" customHeight="1" x14ac:dyDescent="0.3">
      <c r="A1234" s="373" t="s">
        <v>22</v>
      </c>
      <c r="B1234" s="373" t="s">
        <v>23</v>
      </c>
      <c r="C1234" s="373" t="s">
        <v>257</v>
      </c>
      <c r="D1234" s="373"/>
      <c r="E1234" s="370" t="s">
        <v>408</v>
      </c>
      <c r="F1234" s="373" t="s">
        <v>23</v>
      </c>
      <c r="G1234" s="373" t="s">
        <v>604</v>
      </c>
      <c r="H1234" s="461" t="s">
        <v>1755</v>
      </c>
      <c r="I1234" s="538" t="s">
        <v>1756</v>
      </c>
      <c r="J1234" s="369">
        <v>45136</v>
      </c>
      <c r="K1234" s="753">
        <v>0.47916666666666669</v>
      </c>
      <c r="L1234" s="369">
        <v>45136</v>
      </c>
      <c r="M1234" s="753">
        <v>0.58333333333333337</v>
      </c>
      <c r="N1234" s="373">
        <v>1.5</v>
      </c>
      <c r="O1234" s="184" t="s">
        <v>17</v>
      </c>
      <c r="P1234" s="375" t="s">
        <v>1583</v>
      </c>
      <c r="Q1234" s="797" t="s">
        <v>1441</v>
      </c>
      <c r="R1234" s="202" t="s">
        <v>95</v>
      </c>
      <c r="S1234" s="31" t="s">
        <v>273</v>
      </c>
      <c r="T1234" s="31" t="s">
        <v>273</v>
      </c>
      <c r="U1234" s="31">
        <f>IFERROR(VLOOKUP(CONCATENATE(Tabla1[[#This Row],[Severidad]]," ",Tabla1[[#This Row],[Complejidad]]),Catalogos!E$120:G$128,3,FALSE),"")</f>
        <v>64</v>
      </c>
      <c r="V1234" s="31" t="str">
        <f>IF(Tabla1[[#This Row],[Tiempo solución max (hrs)]]&lt;&gt;"",IF(Tabla1[[#This Row],[Tiempo solución max (hrs)]]&gt;=Tabla1[[#This Row],[Tiempo
(Hrs 00/100)]],"cumple","no cumple"),"")</f>
        <v>cumple</v>
      </c>
      <c r="W1234" s="376" t="s">
        <v>1453</v>
      </c>
      <c r="X1234" s="377" t="str">
        <f t="shared" si="122"/>
        <v>SSI</v>
      </c>
      <c r="Y1234" t="str">
        <f>SUBSTITUTE(Tabla1[[#This Row],[Descripción]],CHAR(10),"    I    ")</f>
        <v>Se actualizó paquete de funcionalidad 6 con las ultimas indicaciones de que parámetros van obligatorios u opcionales</v>
      </c>
      <c r="Z1234" s="142">
        <f>VLOOKUP(Tabla1[[#This Row],[Perfil]],Catalogos!$B$75:$D$100,3,FALSE)*Tabla1[[#This Row],[Tiempo
(Hrs 00/100)]]*1.16</f>
        <v>1044</v>
      </c>
    </row>
    <row r="1235" spans="1:26" ht="15" customHeight="1" x14ac:dyDescent="0.3">
      <c r="A1235" s="373" t="s">
        <v>22</v>
      </c>
      <c r="B1235" s="373" t="s">
        <v>66</v>
      </c>
      <c r="C1235" s="373" t="s">
        <v>257</v>
      </c>
      <c r="D1235" s="373"/>
      <c r="E1235" s="370" t="s">
        <v>408</v>
      </c>
      <c r="F1235" s="373" t="s">
        <v>75</v>
      </c>
      <c r="G1235" s="373" t="s">
        <v>604</v>
      </c>
      <c r="H1235" s="461" t="s">
        <v>1757</v>
      </c>
      <c r="I1235" s="538" t="s">
        <v>1758</v>
      </c>
      <c r="J1235" s="369">
        <v>45136</v>
      </c>
      <c r="K1235" s="753">
        <v>0.58333333333333337</v>
      </c>
      <c r="L1235" s="369">
        <v>45136</v>
      </c>
      <c r="M1235" s="753">
        <v>0.60416666666666663</v>
      </c>
      <c r="N1235" s="373">
        <v>0.5</v>
      </c>
      <c r="O1235" s="184" t="s">
        <v>17</v>
      </c>
      <c r="P1235" s="375" t="s">
        <v>1583</v>
      </c>
      <c r="Q1235" s="797" t="s">
        <v>1441</v>
      </c>
      <c r="R1235" s="202" t="s">
        <v>95</v>
      </c>
      <c r="S1235" s="31" t="s">
        <v>273</v>
      </c>
      <c r="T1235" s="31" t="s">
        <v>273</v>
      </c>
      <c r="U1235" s="31">
        <f>IFERROR(VLOOKUP(CONCATENATE(Tabla1[[#This Row],[Severidad]]," ",Tabla1[[#This Row],[Complejidad]]),Catalogos!E$120:G$128,3,FALSE),"")</f>
        <v>64</v>
      </c>
      <c r="V1235" s="31" t="str">
        <f>IF(Tabla1[[#This Row],[Tiempo solución max (hrs)]]&lt;&gt;"",IF(Tabla1[[#This Row],[Tiempo solución max (hrs)]]&gt;=Tabla1[[#This Row],[Tiempo
(Hrs 00/100)]],"cumple","no cumple"),"")</f>
        <v>cumple</v>
      </c>
      <c r="W1235" s="376" t="s">
        <v>1453</v>
      </c>
      <c r="X1235" s="377" t="str">
        <f t="shared" si="122"/>
        <v>SSI</v>
      </c>
      <c r="Y1235" t="str">
        <f>SUBSTITUTE(Tabla1[[#This Row],[Descripción]],CHAR(10),"    I    ")</f>
        <v>Se validó nuevamente la salida del query de funcionalidad 6 de forma correcta al ingresar los filtros</v>
      </c>
      <c r="Z1235" s="142">
        <f>VLOOKUP(Tabla1[[#This Row],[Perfil]],Catalogos!$B$75:$D$100,3,FALSE)*Tabla1[[#This Row],[Tiempo
(Hrs 00/100)]]*1.16</f>
        <v>348</v>
      </c>
    </row>
    <row r="1236" spans="1:26" ht="15" customHeight="1" x14ac:dyDescent="0.3">
      <c r="A1236" s="373" t="s">
        <v>22</v>
      </c>
      <c r="B1236" s="373" t="s">
        <v>21</v>
      </c>
      <c r="C1236" s="373" t="s">
        <v>257</v>
      </c>
      <c r="D1236" s="373"/>
      <c r="E1236" s="370" t="s">
        <v>408</v>
      </c>
      <c r="F1236" s="373" t="s">
        <v>23</v>
      </c>
      <c r="G1236" s="373" t="s">
        <v>604</v>
      </c>
      <c r="H1236" s="461" t="s">
        <v>1759</v>
      </c>
      <c r="I1236" s="538" t="s">
        <v>5414</v>
      </c>
      <c r="J1236" s="369">
        <v>45136</v>
      </c>
      <c r="K1236" s="753">
        <v>0.60416666666666663</v>
      </c>
      <c r="L1236" s="369">
        <v>45136</v>
      </c>
      <c r="M1236" s="753">
        <v>0.625</v>
      </c>
      <c r="N1236" s="373">
        <v>0.5</v>
      </c>
      <c r="O1236" s="184" t="s">
        <v>17</v>
      </c>
      <c r="P1236" s="375"/>
      <c r="Q1236" s="797" t="s">
        <v>1441</v>
      </c>
      <c r="R1236" s="202" t="s">
        <v>95</v>
      </c>
      <c r="S1236" s="31" t="s">
        <v>273</v>
      </c>
      <c r="T1236" s="31" t="s">
        <v>273</v>
      </c>
      <c r="U1236" s="31">
        <f>IFERROR(VLOOKUP(CONCATENATE(Tabla1[[#This Row],[Severidad]]," ",Tabla1[[#This Row],[Complejidad]]),Catalogos!E$120:G$128,3,FALSE),"")</f>
        <v>64</v>
      </c>
      <c r="V1236" s="31" t="str">
        <f>IF(Tabla1[[#This Row],[Tiempo solución max (hrs)]]&lt;&gt;"",IF(Tabla1[[#This Row],[Tiempo solución max (hrs)]]&gt;=Tabla1[[#This Row],[Tiempo
(Hrs 00/100)]],"cumple","no cumple"),"")</f>
        <v>cumple</v>
      </c>
      <c r="W1236" s="376" t="s">
        <v>1453</v>
      </c>
      <c r="X1236" s="377" t="str">
        <f t="shared" si="122"/>
        <v>SSI</v>
      </c>
      <c r="Y1236" t="str">
        <f>SUBSTITUTE(Tabla1[[#This Row],[Descripción]],CHAR(10),"    I    ")</f>
        <v>Se solicitó apoyo para que se modifique la tabla del plan de ayuda de la BD de Desarrollo ("SISAI"."QUEST_SL_TEMP_EXPLAIN1"."OBJECT_NAME")</v>
      </c>
      <c r="Z1236" s="142">
        <f>VLOOKUP(Tabla1[[#This Row],[Perfil]],Catalogos!$B$75:$D$100,3,FALSE)*Tabla1[[#This Row],[Tiempo
(Hrs 00/100)]]*1.16</f>
        <v>348</v>
      </c>
    </row>
    <row r="1237" spans="1:26" ht="15" customHeight="1" x14ac:dyDescent="0.3">
      <c r="A1237" s="373" t="s">
        <v>22</v>
      </c>
      <c r="B1237" s="373" t="s">
        <v>23</v>
      </c>
      <c r="C1237" s="373" t="s">
        <v>257</v>
      </c>
      <c r="D1237" s="373"/>
      <c r="E1237" s="370" t="s">
        <v>408</v>
      </c>
      <c r="F1237" s="373" t="s">
        <v>23</v>
      </c>
      <c r="G1237" s="373" t="s">
        <v>604</v>
      </c>
      <c r="H1237" s="461" t="s">
        <v>1760</v>
      </c>
      <c r="I1237" s="538" t="s">
        <v>1761</v>
      </c>
      <c r="J1237" s="369">
        <v>45138</v>
      </c>
      <c r="K1237" s="747">
        <v>0.375</v>
      </c>
      <c r="L1237" s="369">
        <v>45138</v>
      </c>
      <c r="M1237" s="753">
        <v>0.45833333333333331</v>
      </c>
      <c r="N1237" s="373">
        <v>2</v>
      </c>
      <c r="O1237" s="184" t="s">
        <v>17</v>
      </c>
      <c r="P1237" s="375" t="s">
        <v>1583</v>
      </c>
      <c r="Q1237" s="797" t="s">
        <v>1441</v>
      </c>
      <c r="R1237" s="202" t="s">
        <v>95</v>
      </c>
      <c r="S1237" s="31" t="s">
        <v>273</v>
      </c>
      <c r="T1237" s="31" t="s">
        <v>273</v>
      </c>
      <c r="U1237" s="31">
        <f>IFERROR(VLOOKUP(CONCATENATE(Tabla1[[#This Row],[Severidad]]," ",Tabla1[[#This Row],[Complejidad]]),Catalogos!E$120:G$128,3,FALSE),"")</f>
        <v>64</v>
      </c>
      <c r="V1237" s="31" t="str">
        <f>IF(Tabla1[[#This Row],[Tiempo solución max (hrs)]]&lt;&gt;"",IF(Tabla1[[#This Row],[Tiempo solución max (hrs)]]&gt;=Tabla1[[#This Row],[Tiempo
(Hrs 00/100)]],"cumple","no cumple"),"")</f>
        <v>cumple</v>
      </c>
      <c r="W1237" s="376" t="s">
        <v>1453</v>
      </c>
      <c r="X1237" s="377" t="str">
        <f t="shared" si="122"/>
        <v>SSI</v>
      </c>
      <c r="Y1237" t="str">
        <f>SUBSTITUTE(Tabla1[[#This Row],[Descripción]],CHAR(10),"    I    ")</f>
        <v>Se creó el nuevo procedimiento 'FUNC3DETSOLDASH_NOTIFDISPONIBXRESP_QF3Q5' en el paquete 'PACK_SISAI2', con la 3ra funcionalidad y el 5to de los queries pequeños que obtiene la notificación disponibilidad por respuesta</v>
      </c>
      <c r="Z1237" s="142">
        <f>VLOOKUP(Tabla1[[#This Row],[Perfil]],Catalogos!$B$75:$D$100,3,FALSE)*Tabla1[[#This Row],[Tiempo
(Hrs 00/100)]]*1.16</f>
        <v>1392</v>
      </c>
    </row>
    <row r="1238" spans="1:26" ht="15" customHeight="1" x14ac:dyDescent="0.3">
      <c r="A1238" s="373" t="s">
        <v>22</v>
      </c>
      <c r="B1238" s="373" t="s">
        <v>66</v>
      </c>
      <c r="C1238" s="373" t="s">
        <v>257</v>
      </c>
      <c r="D1238" s="373"/>
      <c r="E1238" s="370" t="s">
        <v>408</v>
      </c>
      <c r="F1238" s="373" t="s">
        <v>75</v>
      </c>
      <c r="G1238" s="373" t="s">
        <v>604</v>
      </c>
      <c r="H1238" s="461" t="s">
        <v>1762</v>
      </c>
      <c r="I1238" s="538" t="s">
        <v>1763</v>
      </c>
      <c r="J1238" s="369">
        <v>45138</v>
      </c>
      <c r="K1238" s="753">
        <v>0.45833333333333331</v>
      </c>
      <c r="L1238" s="369">
        <v>45138</v>
      </c>
      <c r="M1238" s="753">
        <v>0.5</v>
      </c>
      <c r="N1238" s="373">
        <v>1</v>
      </c>
      <c r="O1238" s="184" t="s">
        <v>17</v>
      </c>
      <c r="P1238" s="375" t="s">
        <v>1583</v>
      </c>
      <c r="Q1238" s="797" t="s">
        <v>1441</v>
      </c>
      <c r="R1238" s="202" t="s">
        <v>95</v>
      </c>
      <c r="S1238" s="31" t="s">
        <v>273</v>
      </c>
      <c r="T1238" s="31" t="s">
        <v>273</v>
      </c>
      <c r="U1238" s="31">
        <f>IFERROR(VLOOKUP(CONCATENATE(Tabla1[[#This Row],[Severidad]]," ",Tabla1[[#This Row],[Complejidad]]),Catalogos!E$120:G$128,3,FALSE),"")</f>
        <v>64</v>
      </c>
      <c r="V1238" s="31" t="str">
        <f>IF(Tabla1[[#This Row],[Tiempo solución max (hrs)]]&lt;&gt;"",IF(Tabla1[[#This Row],[Tiempo solución max (hrs)]]&gt;=Tabla1[[#This Row],[Tiempo
(Hrs 00/100)]],"cumple","no cumple"),"")</f>
        <v>cumple</v>
      </c>
      <c r="W1238" s="376" t="s">
        <v>1453</v>
      </c>
      <c r="X1238" s="377" t="str">
        <f t="shared" si="122"/>
        <v>SSI</v>
      </c>
      <c r="Y1238" t="str">
        <f>SUBSTITUTE(Tabla1[[#This Row],[Descripción]],CHAR(10),"    I    ")</f>
        <v>Se revisó campo por campo de la tabla 'SISAI_TR_NOTIF_DISPONIB' para identificar los tipos de datos y tamaño para validación en bloque anonimo</v>
      </c>
      <c r="Z1238" s="142">
        <f>VLOOKUP(Tabla1[[#This Row],[Perfil]],Catalogos!$B$75:$D$100,3,FALSE)*Tabla1[[#This Row],[Tiempo
(Hrs 00/100)]]*1.16</f>
        <v>696</v>
      </c>
    </row>
    <row r="1239" spans="1:26" ht="15" customHeight="1" x14ac:dyDescent="0.3">
      <c r="A1239" s="373" t="s">
        <v>22</v>
      </c>
      <c r="B1239" s="373" t="s">
        <v>66</v>
      </c>
      <c r="C1239" s="373" t="s">
        <v>257</v>
      </c>
      <c r="D1239" s="373"/>
      <c r="E1239" s="370" t="s">
        <v>408</v>
      </c>
      <c r="F1239" s="373" t="s">
        <v>75</v>
      </c>
      <c r="G1239" s="373" t="s">
        <v>604</v>
      </c>
      <c r="H1239" s="461" t="s">
        <v>1764</v>
      </c>
      <c r="I1239" s="538" t="s">
        <v>1765</v>
      </c>
      <c r="J1239" s="369">
        <v>45138</v>
      </c>
      <c r="K1239" s="753">
        <v>0.5</v>
      </c>
      <c r="L1239" s="369">
        <v>45138</v>
      </c>
      <c r="M1239" s="753">
        <v>0.54166666666666663</v>
      </c>
      <c r="N1239" s="373">
        <v>1</v>
      </c>
      <c r="O1239" s="184" t="s">
        <v>17</v>
      </c>
      <c r="P1239" s="375" t="s">
        <v>1583</v>
      </c>
      <c r="Q1239" s="797" t="s">
        <v>1441</v>
      </c>
      <c r="R1239" s="202" t="s">
        <v>95</v>
      </c>
      <c r="S1239" s="31" t="s">
        <v>273</v>
      </c>
      <c r="T1239" s="31" t="s">
        <v>273</v>
      </c>
      <c r="U1239" s="31">
        <f>IFERROR(VLOOKUP(CONCATENATE(Tabla1[[#This Row],[Severidad]]," ",Tabla1[[#This Row],[Complejidad]]),Catalogos!E$120:G$128,3,FALSE),"")</f>
        <v>64</v>
      </c>
      <c r="V1239" s="31" t="str">
        <f>IF(Tabla1[[#This Row],[Tiempo solución max (hrs)]]&lt;&gt;"",IF(Tabla1[[#This Row],[Tiempo solución max (hrs)]]&gt;=Tabla1[[#This Row],[Tiempo
(Hrs 00/100)]],"cumple","no cumple"),"")</f>
        <v>cumple</v>
      </c>
      <c r="W1239" s="376" t="s">
        <v>1453</v>
      </c>
      <c r="X1239" s="377" t="str">
        <f t="shared" si="122"/>
        <v>SSI</v>
      </c>
      <c r="Y1239" t="str">
        <f>SUBSTITUTE(Tabla1[[#This Row],[Descripción]],CHAR(10),"    I    ")</f>
        <v>Se validó el paquete-procedimiento de la funcionalidad # 3 - Query 5 con el bloque anónimo correcto y se tuvo un resultado exitoso con la salida del cursor completo con el único parámetro</v>
      </c>
      <c r="Z1239" s="142">
        <f>VLOOKUP(Tabla1[[#This Row],[Perfil]],Catalogos!$B$75:$D$100,3,FALSE)*Tabla1[[#This Row],[Tiempo
(Hrs 00/100)]]*1.16</f>
        <v>696</v>
      </c>
    </row>
    <row r="1240" spans="1:26" ht="15" customHeight="1" x14ac:dyDescent="0.3">
      <c r="A1240" s="373" t="s">
        <v>22</v>
      </c>
      <c r="B1240" s="373" t="s">
        <v>23</v>
      </c>
      <c r="C1240" s="373" t="s">
        <v>257</v>
      </c>
      <c r="D1240" s="373"/>
      <c r="E1240" s="370" t="s">
        <v>408</v>
      </c>
      <c r="F1240" s="373" t="s">
        <v>23</v>
      </c>
      <c r="G1240" s="373" t="s">
        <v>604</v>
      </c>
      <c r="H1240" s="461" t="s">
        <v>1766</v>
      </c>
      <c r="I1240" s="538" t="s">
        <v>1767</v>
      </c>
      <c r="J1240" s="369">
        <v>45138</v>
      </c>
      <c r="K1240" s="753">
        <v>0.54166666666666663</v>
      </c>
      <c r="L1240" s="369">
        <v>45138</v>
      </c>
      <c r="M1240" s="753">
        <v>0.625</v>
      </c>
      <c r="N1240" s="373">
        <v>2</v>
      </c>
      <c r="O1240" s="184" t="s">
        <v>17</v>
      </c>
      <c r="P1240" s="375" t="s">
        <v>1583</v>
      </c>
      <c r="Q1240" s="797" t="s">
        <v>1441</v>
      </c>
      <c r="R1240" s="202" t="s">
        <v>95</v>
      </c>
      <c r="S1240" s="31" t="s">
        <v>273</v>
      </c>
      <c r="T1240" s="31" t="s">
        <v>273</v>
      </c>
      <c r="U1240" s="31">
        <f>IFERROR(VLOOKUP(CONCATENATE(Tabla1[[#This Row],[Severidad]]," ",Tabla1[[#This Row],[Complejidad]]),Catalogos!E$120:G$128,3,FALSE),"")</f>
        <v>64</v>
      </c>
      <c r="V1240" s="31" t="str">
        <f>IF(Tabla1[[#This Row],[Tiempo solución max (hrs)]]&lt;&gt;"",IF(Tabla1[[#This Row],[Tiempo solución max (hrs)]]&gt;=Tabla1[[#This Row],[Tiempo
(Hrs 00/100)]],"cumple","no cumple"),"")</f>
        <v>cumple</v>
      </c>
      <c r="W1240" s="376" t="s">
        <v>1453</v>
      </c>
      <c r="X1240" s="377" t="str">
        <f t="shared" si="122"/>
        <v>SSI</v>
      </c>
      <c r="Y1240" t="str">
        <f>SUBSTITUTE(Tabla1[[#This Row],[Descripción]],CHAR(10),"    I    ")</f>
        <v>Se optimiza en la herramienta Auto Optimice de Toad el Query de la funcionlidad 3 con todos los subqueries del 1 al 6</v>
      </c>
      <c r="Z1240" s="142">
        <f>VLOOKUP(Tabla1[[#This Row],[Perfil]],Catalogos!$B$75:$D$100,3,FALSE)*Tabla1[[#This Row],[Tiempo
(Hrs 00/100)]]*1.16</f>
        <v>1392</v>
      </c>
    </row>
    <row r="1241" spans="1:26" ht="15" customHeight="1" x14ac:dyDescent="0.3">
      <c r="A1241" s="373" t="s">
        <v>22</v>
      </c>
      <c r="B1241" s="373" t="s">
        <v>23</v>
      </c>
      <c r="C1241" s="373" t="s">
        <v>257</v>
      </c>
      <c r="D1241" s="373"/>
      <c r="E1241" s="370" t="s">
        <v>408</v>
      </c>
      <c r="F1241" s="373" t="s">
        <v>23</v>
      </c>
      <c r="G1241" s="373" t="s">
        <v>604</v>
      </c>
      <c r="H1241" s="461" t="s">
        <v>1768</v>
      </c>
      <c r="I1241" s="538" t="s">
        <v>1769</v>
      </c>
      <c r="J1241" s="369">
        <v>45138</v>
      </c>
      <c r="K1241" s="747">
        <v>0.66666666666666663</v>
      </c>
      <c r="L1241" s="369">
        <v>45138</v>
      </c>
      <c r="M1241" s="753">
        <v>0.70833333333333337</v>
      </c>
      <c r="N1241" s="373">
        <v>1</v>
      </c>
      <c r="O1241" s="184" t="s">
        <v>17</v>
      </c>
      <c r="P1241" s="375" t="s">
        <v>1583</v>
      </c>
      <c r="Q1241" s="797" t="s">
        <v>1441</v>
      </c>
      <c r="R1241" s="202" t="s">
        <v>95</v>
      </c>
      <c r="S1241" s="31" t="s">
        <v>273</v>
      </c>
      <c r="T1241" s="31" t="s">
        <v>273</v>
      </c>
      <c r="U1241" s="31">
        <f>IFERROR(VLOOKUP(CONCATENATE(Tabla1[[#This Row],[Severidad]]," ",Tabla1[[#This Row],[Complejidad]]),Catalogos!E$120:G$128,3,FALSE),"")</f>
        <v>64</v>
      </c>
      <c r="V1241" s="31" t="str">
        <f>IF(Tabla1[[#This Row],[Tiempo solución max (hrs)]]&lt;&gt;"",IF(Tabla1[[#This Row],[Tiempo solución max (hrs)]]&gt;=Tabla1[[#This Row],[Tiempo
(Hrs 00/100)]],"cumple","no cumple"),"")</f>
        <v>cumple</v>
      </c>
      <c r="W1241" s="376" t="s">
        <v>1453</v>
      </c>
      <c r="X1241" s="377" t="str">
        <f t="shared" si="122"/>
        <v>SSI</v>
      </c>
      <c r="Y1241" t="str">
        <f>SUBSTITUTE(Tabla1[[#This Row],[Descripción]],CHAR(10),"    I    ")</f>
        <v>Se optimiza en la herramienta Auto Optimice de Toad el Query de la funcionlidad 5</v>
      </c>
      <c r="Z1241" s="142">
        <f>VLOOKUP(Tabla1[[#This Row],[Perfil]],Catalogos!$B$75:$D$100,3,FALSE)*Tabla1[[#This Row],[Tiempo
(Hrs 00/100)]]*1.16</f>
        <v>696</v>
      </c>
    </row>
    <row r="1242" spans="1:26" ht="15" customHeight="1" x14ac:dyDescent="0.3">
      <c r="A1242" s="373" t="s">
        <v>22</v>
      </c>
      <c r="B1242" s="373" t="s">
        <v>23</v>
      </c>
      <c r="C1242" s="373" t="s">
        <v>257</v>
      </c>
      <c r="D1242" s="373"/>
      <c r="E1242" s="370" t="s">
        <v>408</v>
      </c>
      <c r="F1242" s="373" t="s">
        <v>23</v>
      </c>
      <c r="G1242" s="373" t="s">
        <v>604</v>
      </c>
      <c r="H1242" s="461" t="s">
        <v>1770</v>
      </c>
      <c r="I1242" s="538" t="s">
        <v>1771</v>
      </c>
      <c r="J1242" s="369">
        <v>45138</v>
      </c>
      <c r="K1242" s="753">
        <v>0.70833333333333337</v>
      </c>
      <c r="L1242" s="369">
        <v>45138</v>
      </c>
      <c r="M1242" s="753">
        <v>0.75</v>
      </c>
      <c r="N1242" s="373">
        <v>1</v>
      </c>
      <c r="O1242" s="184" t="s">
        <v>17</v>
      </c>
      <c r="P1242" s="375" t="s">
        <v>1583</v>
      </c>
      <c r="Q1242" s="797" t="s">
        <v>1441</v>
      </c>
      <c r="R1242" s="202" t="s">
        <v>95</v>
      </c>
      <c r="S1242" s="31" t="s">
        <v>273</v>
      </c>
      <c r="T1242" s="31" t="s">
        <v>273</v>
      </c>
      <c r="U1242" s="31">
        <f>IFERROR(VLOOKUP(CONCATENATE(Tabla1[[#This Row],[Severidad]]," ",Tabla1[[#This Row],[Complejidad]]),Catalogos!E$120:G$128,3,FALSE),"")</f>
        <v>64</v>
      </c>
      <c r="V1242" s="31" t="str">
        <f>IF(Tabla1[[#This Row],[Tiempo solución max (hrs)]]&lt;&gt;"",IF(Tabla1[[#This Row],[Tiempo solución max (hrs)]]&gt;=Tabla1[[#This Row],[Tiempo
(Hrs 00/100)]],"cumple","no cumple"),"")</f>
        <v>cumple</v>
      </c>
      <c r="W1242" s="376" t="s">
        <v>1453</v>
      </c>
      <c r="X1242" s="377" t="str">
        <f t="shared" si="122"/>
        <v>SSI</v>
      </c>
      <c r="Y1242" t="str">
        <f>SUBSTITUTE(Tabla1[[#This Row],[Descripción]],CHAR(10),"    I    ")</f>
        <v>Se optimiza en la herramienta Auto Optimice de Toad el Query de la funcionlidad 6</v>
      </c>
      <c r="Z1242" s="142">
        <f>VLOOKUP(Tabla1[[#This Row],[Perfil]],Catalogos!$B$75:$D$100,3,FALSE)*Tabla1[[#This Row],[Tiempo
(Hrs 00/100)]]*1.16</f>
        <v>696</v>
      </c>
    </row>
    <row r="1243" spans="1:26" ht="15" customHeight="1" x14ac:dyDescent="0.3">
      <c r="A1243" s="530" t="s">
        <v>22</v>
      </c>
      <c r="B1243" s="530" t="s">
        <v>23</v>
      </c>
      <c r="C1243" s="205" t="s">
        <v>155</v>
      </c>
      <c r="D1243" s="382"/>
      <c r="E1243" s="373" t="s">
        <v>408</v>
      </c>
      <c r="F1243" s="370" t="s">
        <v>23</v>
      </c>
      <c r="G1243" s="370"/>
      <c r="H1243" s="461" t="s">
        <v>405</v>
      </c>
      <c r="I1243" s="539" t="s">
        <v>1783</v>
      </c>
      <c r="J1243" s="721">
        <v>45139</v>
      </c>
      <c r="K1243" s="747">
        <v>0.375</v>
      </c>
      <c r="L1243" s="721">
        <v>45139</v>
      </c>
      <c r="M1243" s="753">
        <v>0.79166666666666663</v>
      </c>
      <c r="N1243" s="540">
        <v>8</v>
      </c>
      <c r="O1243" s="184" t="s">
        <v>17</v>
      </c>
      <c r="P1243" s="305" t="s">
        <v>462</v>
      </c>
      <c r="Q1243" s="801" t="s">
        <v>1120</v>
      </c>
      <c r="R1243" s="508" t="s">
        <v>40</v>
      </c>
      <c r="S1243" s="31" t="s">
        <v>273</v>
      </c>
      <c r="T1243" s="31" t="s">
        <v>273</v>
      </c>
      <c r="U1243" s="31">
        <f>IFERROR(VLOOKUP(CONCATENATE(Tabla1[[#This Row],[Severidad]]," ",Tabla1[[#This Row],[Complejidad]]),Catalogos!E$120:G$128,3,FALSE),"")</f>
        <v>64</v>
      </c>
      <c r="V1243" s="31" t="str">
        <f>IF(Tabla1[[#This Row],[Tiempo solución max (hrs)]]&lt;&gt;"",IF(Tabla1[[#This Row],[Tiempo solución max (hrs)]]&gt;=Tabla1[[#This Row],[Tiempo
(Hrs 00/100)]],"cumple","no cumple"),"")</f>
        <v>cumple</v>
      </c>
      <c r="W1243" s="376" t="s">
        <v>1814</v>
      </c>
      <c r="X1243" s="377" t="str">
        <f t="shared" si="122"/>
        <v>DS</v>
      </c>
      <c r="Y1243" t="str">
        <f>SUBSTITUTE(Tabla1[[#This Row],[Descripción]],CHAR(10),"    I    ")</f>
        <v>Desarrollo pantalla detalle queja dividida en secciones (Maquetación)</v>
      </c>
      <c r="Z1243" s="142">
        <f>VLOOKUP(Tabla1[[#This Row],[Perfil]],Catalogos!$B$75:$D$100,3,FALSE)*Tabla1[[#This Row],[Tiempo
(Hrs 00/100)]]*1.16</f>
        <v>6496</v>
      </c>
    </row>
    <row r="1244" spans="1:26" ht="15" customHeight="1" x14ac:dyDescent="0.3">
      <c r="A1244" s="530" t="s">
        <v>22</v>
      </c>
      <c r="B1244" s="530" t="s">
        <v>23</v>
      </c>
      <c r="C1244" s="205" t="s">
        <v>155</v>
      </c>
      <c r="D1244" s="382"/>
      <c r="E1244" s="373" t="s">
        <v>408</v>
      </c>
      <c r="F1244" s="370" t="s">
        <v>23</v>
      </c>
      <c r="G1244" s="370"/>
      <c r="H1244" s="461" t="s">
        <v>405</v>
      </c>
      <c r="I1244" s="539" t="s">
        <v>1784</v>
      </c>
      <c r="J1244" s="721">
        <v>45140</v>
      </c>
      <c r="K1244" s="747">
        <v>0.375</v>
      </c>
      <c r="L1244" s="721">
        <v>45140</v>
      </c>
      <c r="M1244" s="763">
        <v>0.54166666666666663</v>
      </c>
      <c r="N1244" s="540">
        <v>4</v>
      </c>
      <c r="O1244" s="184" t="s">
        <v>17</v>
      </c>
      <c r="P1244" s="305" t="s">
        <v>462</v>
      </c>
      <c r="Q1244" s="801" t="s">
        <v>1120</v>
      </c>
      <c r="R1244" s="508" t="s">
        <v>40</v>
      </c>
      <c r="S1244" s="31" t="s">
        <v>273</v>
      </c>
      <c r="T1244" s="31" t="s">
        <v>273</v>
      </c>
      <c r="U1244" s="31">
        <f>IFERROR(VLOOKUP(CONCATENATE(Tabla1[[#This Row],[Severidad]]," ",Tabla1[[#This Row],[Complejidad]]),Catalogos!E$120:G$128,3,FALSE),"")</f>
        <v>64</v>
      </c>
      <c r="V1244" s="31" t="str">
        <f>IF(Tabla1[[#This Row],[Tiempo solución max (hrs)]]&lt;&gt;"",IF(Tabla1[[#This Row],[Tiempo solución max (hrs)]]&gt;=Tabla1[[#This Row],[Tiempo
(Hrs 00/100)]],"cumple","no cumple"),"")</f>
        <v>cumple</v>
      </c>
      <c r="W1244" s="376" t="s">
        <v>1814</v>
      </c>
      <c r="X1244" s="377" t="str">
        <f t="shared" si="122"/>
        <v>DS</v>
      </c>
      <c r="Y1244" t="str">
        <f>SUBSTITUTE(Tabla1[[#This Row],[Descripción]],CHAR(10),"    I    ")</f>
        <v>Desarrollo sección datos y detalle de la queja (Maquetación)</v>
      </c>
      <c r="Z1244" s="142">
        <f>VLOOKUP(Tabla1[[#This Row],[Perfil]],Catalogos!$B$75:$D$100,3,FALSE)*Tabla1[[#This Row],[Tiempo
(Hrs 00/100)]]*1.16</f>
        <v>3248</v>
      </c>
    </row>
    <row r="1245" spans="1:26" ht="15" customHeight="1" x14ac:dyDescent="0.3">
      <c r="A1245" s="530" t="s">
        <v>22</v>
      </c>
      <c r="B1245" s="530" t="s">
        <v>23</v>
      </c>
      <c r="C1245" s="205" t="s">
        <v>155</v>
      </c>
      <c r="D1245" s="382"/>
      <c r="E1245" s="373" t="s">
        <v>408</v>
      </c>
      <c r="F1245" s="370" t="s">
        <v>23</v>
      </c>
      <c r="G1245" s="370"/>
      <c r="H1245" s="461" t="s">
        <v>405</v>
      </c>
      <c r="I1245" s="539" t="s">
        <v>1785</v>
      </c>
      <c r="J1245" s="721">
        <v>45140</v>
      </c>
      <c r="K1245" s="763">
        <v>0.54166666666666663</v>
      </c>
      <c r="L1245" s="721">
        <v>45140</v>
      </c>
      <c r="M1245" s="763">
        <v>0.79166666666666663</v>
      </c>
      <c r="N1245" s="540">
        <v>4</v>
      </c>
      <c r="O1245" s="184" t="s">
        <v>17</v>
      </c>
      <c r="P1245" s="305" t="s">
        <v>462</v>
      </c>
      <c r="Q1245" s="801" t="s">
        <v>1120</v>
      </c>
      <c r="R1245" s="508" t="s">
        <v>40</v>
      </c>
      <c r="S1245" s="31" t="s">
        <v>273</v>
      </c>
      <c r="T1245" s="31" t="s">
        <v>273</v>
      </c>
      <c r="U1245" s="31">
        <f>IFERROR(VLOOKUP(CONCATENATE(Tabla1[[#This Row],[Severidad]]," ",Tabla1[[#This Row],[Complejidad]]),Catalogos!E$120:G$128,3,FALSE),"")</f>
        <v>64</v>
      </c>
      <c r="V1245" s="31" t="str">
        <f>IF(Tabla1[[#This Row],[Tiempo solución max (hrs)]]&lt;&gt;"",IF(Tabla1[[#This Row],[Tiempo solución max (hrs)]]&gt;=Tabla1[[#This Row],[Tiempo
(Hrs 00/100)]],"cumple","no cumple"),"")</f>
        <v>cumple</v>
      </c>
      <c r="W1245" s="376" t="s">
        <v>1814</v>
      </c>
      <c r="X1245" s="377" t="str">
        <f t="shared" si="122"/>
        <v>DS</v>
      </c>
      <c r="Y1245" t="str">
        <f>SUBSTITUTE(Tabla1[[#This Row],[Descripción]],CHAR(10),"    I    ")</f>
        <v>Desarrollo sección respuestas de la queja (Maquetación)</v>
      </c>
      <c r="Z1245" s="142">
        <f>VLOOKUP(Tabla1[[#This Row],[Perfil]],Catalogos!$B$75:$D$100,3,FALSE)*Tabla1[[#This Row],[Tiempo
(Hrs 00/100)]]*1.16</f>
        <v>3248</v>
      </c>
    </row>
    <row r="1246" spans="1:26" ht="15" customHeight="1" x14ac:dyDescent="0.3">
      <c r="A1246" s="530" t="s">
        <v>22</v>
      </c>
      <c r="B1246" s="530" t="s">
        <v>23</v>
      </c>
      <c r="C1246" s="205" t="s">
        <v>155</v>
      </c>
      <c r="D1246" s="382"/>
      <c r="E1246" s="373" t="s">
        <v>408</v>
      </c>
      <c r="F1246" s="370" t="s">
        <v>23</v>
      </c>
      <c r="G1246" s="370"/>
      <c r="H1246" s="461" t="s">
        <v>405</v>
      </c>
      <c r="I1246" s="539" t="s">
        <v>1786</v>
      </c>
      <c r="J1246" s="721">
        <v>45141</v>
      </c>
      <c r="K1246" s="747">
        <v>0.375</v>
      </c>
      <c r="L1246" s="721">
        <v>45141</v>
      </c>
      <c r="M1246" s="753">
        <v>0.79166666666666663</v>
      </c>
      <c r="N1246" s="540">
        <v>8</v>
      </c>
      <c r="O1246" s="184" t="s">
        <v>17</v>
      </c>
      <c r="P1246" s="305" t="s">
        <v>462</v>
      </c>
      <c r="Q1246" s="801" t="s">
        <v>1120</v>
      </c>
      <c r="R1246" s="508" t="s">
        <v>40</v>
      </c>
      <c r="S1246" s="31" t="s">
        <v>273</v>
      </c>
      <c r="T1246" s="31" t="s">
        <v>273</v>
      </c>
      <c r="U1246" s="31">
        <f>IFERROR(VLOOKUP(CONCATENATE(Tabla1[[#This Row],[Severidad]]," ",Tabla1[[#This Row],[Complejidad]]),Catalogos!E$120:G$128,3,FALSE),"")</f>
        <v>64</v>
      </c>
      <c r="V1246" s="31" t="str">
        <f>IF(Tabla1[[#This Row],[Tiempo solución max (hrs)]]&lt;&gt;"",IF(Tabla1[[#This Row],[Tiempo solución max (hrs)]]&gt;=Tabla1[[#This Row],[Tiempo
(Hrs 00/100)]],"cumple","no cumple"),"")</f>
        <v>cumple</v>
      </c>
      <c r="W1246" s="376" t="s">
        <v>1814</v>
      </c>
      <c r="X1246" s="377" t="str">
        <f t="shared" si="122"/>
        <v>DS</v>
      </c>
      <c r="Y1246" t="str">
        <f>SUBSTITUTE(Tabla1[[#This Row],[Descripción]],CHAR(10),"    I    ")</f>
        <v>Desarrollo sección lote de sujetos obligados para la creación de más de 33 solicitudes</v>
      </c>
      <c r="Z1246" s="142">
        <f>VLOOKUP(Tabla1[[#This Row],[Perfil]],Catalogos!$B$75:$D$100,3,FALSE)*Tabla1[[#This Row],[Tiempo
(Hrs 00/100)]]*1.16</f>
        <v>6496</v>
      </c>
    </row>
    <row r="1247" spans="1:26" ht="15" customHeight="1" x14ac:dyDescent="0.3">
      <c r="A1247" s="530" t="s">
        <v>22</v>
      </c>
      <c r="B1247" s="530" t="s">
        <v>23</v>
      </c>
      <c r="C1247" s="205" t="s">
        <v>155</v>
      </c>
      <c r="D1247" s="382"/>
      <c r="E1247" s="373" t="s">
        <v>408</v>
      </c>
      <c r="F1247" s="370" t="s">
        <v>23</v>
      </c>
      <c r="G1247" s="370"/>
      <c r="H1247" s="461" t="s">
        <v>405</v>
      </c>
      <c r="I1247" s="539" t="s">
        <v>1787</v>
      </c>
      <c r="J1247" s="721">
        <v>45142</v>
      </c>
      <c r="K1247" s="739">
        <v>0.375</v>
      </c>
      <c r="L1247" s="721">
        <v>45142</v>
      </c>
      <c r="M1247" s="739">
        <v>0.625</v>
      </c>
      <c r="N1247" s="540">
        <v>6</v>
      </c>
      <c r="O1247" s="184" t="s">
        <v>17</v>
      </c>
      <c r="P1247" s="305" t="s">
        <v>462</v>
      </c>
      <c r="Q1247" s="801" t="s">
        <v>1120</v>
      </c>
      <c r="R1247" s="508" t="s">
        <v>40</v>
      </c>
      <c r="S1247" s="31" t="s">
        <v>273</v>
      </c>
      <c r="T1247" s="31" t="s">
        <v>273</v>
      </c>
      <c r="U1247" s="31">
        <f>IFERROR(VLOOKUP(CONCATENATE(Tabla1[[#This Row],[Severidad]]," ",Tabla1[[#This Row],[Complejidad]]),Catalogos!E$120:G$128,3,FALSE),"")</f>
        <v>64</v>
      </c>
      <c r="V1247" s="31" t="str">
        <f>IF(Tabla1[[#This Row],[Tiempo solución max (hrs)]]&lt;&gt;"",IF(Tabla1[[#This Row],[Tiempo solución max (hrs)]]&gt;=Tabla1[[#This Row],[Tiempo
(Hrs 00/100)]],"cumple","no cumple"),"")</f>
        <v>cumple</v>
      </c>
      <c r="W1247" s="376" t="s">
        <v>1814</v>
      </c>
      <c r="X1247" s="377" t="str">
        <f t="shared" si="122"/>
        <v>DS</v>
      </c>
      <c r="Y1247" t="str">
        <f>SUBSTITUTE(Tabla1[[#This Row],[Descripción]],CHAR(10),"    I    ")</f>
        <v>Desarrollo componente tabs y componente picklist (Maquetación)</v>
      </c>
      <c r="Z1247" s="142">
        <f>VLOOKUP(Tabla1[[#This Row],[Perfil]],Catalogos!$B$75:$D$100,3,FALSE)*Tabla1[[#This Row],[Tiempo
(Hrs 00/100)]]*1.16</f>
        <v>4872</v>
      </c>
    </row>
    <row r="1248" spans="1:26" ht="15" customHeight="1" x14ac:dyDescent="0.3">
      <c r="A1248" s="530" t="s">
        <v>22</v>
      </c>
      <c r="B1248" s="530" t="s">
        <v>23</v>
      </c>
      <c r="C1248" s="205" t="s">
        <v>155</v>
      </c>
      <c r="D1248" s="382"/>
      <c r="E1248" s="373" t="s">
        <v>408</v>
      </c>
      <c r="F1248" s="370" t="s">
        <v>23</v>
      </c>
      <c r="G1248" s="370"/>
      <c r="H1248" s="461" t="s">
        <v>405</v>
      </c>
      <c r="I1248" s="539" t="s">
        <v>1788</v>
      </c>
      <c r="J1248" s="721">
        <v>45145</v>
      </c>
      <c r="K1248" s="747">
        <v>0.375</v>
      </c>
      <c r="L1248" s="721">
        <v>45145</v>
      </c>
      <c r="M1248" s="753">
        <v>0.79166666666666663</v>
      </c>
      <c r="N1248" s="540">
        <v>8</v>
      </c>
      <c r="O1248" s="184" t="s">
        <v>17</v>
      </c>
      <c r="P1248" s="305" t="s">
        <v>462</v>
      </c>
      <c r="Q1248" s="801" t="s">
        <v>1120</v>
      </c>
      <c r="R1248" s="508" t="s">
        <v>40</v>
      </c>
      <c r="S1248" s="31" t="s">
        <v>273</v>
      </c>
      <c r="T1248" s="31" t="s">
        <v>273</v>
      </c>
      <c r="U1248" s="31">
        <f>IFERROR(VLOOKUP(CONCATENATE(Tabla1[[#This Row],[Severidad]]," ",Tabla1[[#This Row],[Complejidad]]),Catalogos!E$120:G$128,3,FALSE),"")</f>
        <v>64</v>
      </c>
      <c r="V1248" s="31" t="str">
        <f>IF(Tabla1[[#This Row],[Tiempo solución max (hrs)]]&lt;&gt;"",IF(Tabla1[[#This Row],[Tiempo solución max (hrs)]]&gt;=Tabla1[[#This Row],[Tiempo
(Hrs 00/100)]],"cumple","no cumple"),"")</f>
        <v>cumple</v>
      </c>
      <c r="W1248" s="376" t="s">
        <v>1814</v>
      </c>
      <c r="X1248" s="377" t="str">
        <f t="shared" si="122"/>
        <v>DS</v>
      </c>
      <c r="Y1248" t="str">
        <f>SUBSTITUTE(Tabla1[[#This Row],[Descripción]],CHAR(10),"    I    ")</f>
        <v>Refactorización código existente del formulario acceso a la información</v>
      </c>
      <c r="Z1248" s="142">
        <f>VLOOKUP(Tabla1[[#This Row],[Perfil]],Catalogos!$B$75:$D$100,3,FALSE)*Tabla1[[#This Row],[Tiempo
(Hrs 00/100)]]*1.16</f>
        <v>6496</v>
      </c>
    </row>
    <row r="1249" spans="1:26" ht="15" customHeight="1" x14ac:dyDescent="0.3">
      <c r="A1249" s="530" t="s">
        <v>22</v>
      </c>
      <c r="B1249" s="530" t="s">
        <v>23</v>
      </c>
      <c r="C1249" s="205" t="s">
        <v>155</v>
      </c>
      <c r="D1249" s="382"/>
      <c r="E1249" s="373" t="s">
        <v>408</v>
      </c>
      <c r="F1249" s="370" t="s">
        <v>23</v>
      </c>
      <c r="G1249" s="370"/>
      <c r="H1249" s="461" t="s">
        <v>405</v>
      </c>
      <c r="I1249" s="539" t="s">
        <v>1789</v>
      </c>
      <c r="J1249" s="721">
        <v>45146</v>
      </c>
      <c r="K1249" s="747">
        <v>0.375</v>
      </c>
      <c r="L1249" s="721">
        <v>45146</v>
      </c>
      <c r="M1249" s="763">
        <v>0.54166666666666663</v>
      </c>
      <c r="N1249" s="540">
        <v>4</v>
      </c>
      <c r="O1249" s="184" t="s">
        <v>17</v>
      </c>
      <c r="P1249" s="305" t="s">
        <v>462</v>
      </c>
      <c r="Q1249" s="801" t="s">
        <v>1120</v>
      </c>
      <c r="R1249" s="508" t="s">
        <v>40</v>
      </c>
      <c r="S1249" s="31" t="s">
        <v>273</v>
      </c>
      <c r="T1249" s="31" t="s">
        <v>273</v>
      </c>
      <c r="U1249" s="31">
        <f>IFERROR(VLOOKUP(CONCATENATE(Tabla1[[#This Row],[Severidad]]," ",Tabla1[[#This Row],[Complejidad]]),Catalogos!E$120:G$128,3,FALSE),"")</f>
        <v>64</v>
      </c>
      <c r="V1249" s="31" t="str">
        <f>IF(Tabla1[[#This Row],[Tiempo solución max (hrs)]]&lt;&gt;"",IF(Tabla1[[#This Row],[Tiempo solución max (hrs)]]&gt;=Tabla1[[#This Row],[Tiempo
(Hrs 00/100)]],"cumple","no cumple"),"")</f>
        <v>cumple</v>
      </c>
      <c r="W1249" s="376" t="s">
        <v>1814</v>
      </c>
      <c r="X1249" s="377" t="str">
        <f t="shared" si="122"/>
        <v>DS</v>
      </c>
      <c r="Y1249" t="str">
        <f>SUBSTITUTE(Tabla1[[#This Row],[Descripción]],CHAR(10),"    I    ")</f>
        <v>Desarrollo componente modal ayuda (como hacer un lote de solicitudes)</v>
      </c>
      <c r="Z1249" s="142">
        <f>VLOOKUP(Tabla1[[#This Row],[Perfil]],Catalogos!$B$75:$D$100,3,FALSE)*Tabla1[[#This Row],[Tiempo
(Hrs 00/100)]]*1.16</f>
        <v>3248</v>
      </c>
    </row>
    <row r="1250" spans="1:26" ht="15" customHeight="1" x14ac:dyDescent="0.3">
      <c r="A1250" s="530" t="s">
        <v>22</v>
      </c>
      <c r="B1250" s="530" t="s">
        <v>23</v>
      </c>
      <c r="C1250" s="205" t="s">
        <v>155</v>
      </c>
      <c r="D1250" s="382"/>
      <c r="E1250" s="373" t="s">
        <v>408</v>
      </c>
      <c r="F1250" s="370" t="s">
        <v>23</v>
      </c>
      <c r="G1250" s="370"/>
      <c r="H1250" s="461" t="s">
        <v>405</v>
      </c>
      <c r="I1250" s="539" t="s">
        <v>1790</v>
      </c>
      <c r="J1250" s="721">
        <v>45147</v>
      </c>
      <c r="K1250" s="747">
        <v>0.375</v>
      </c>
      <c r="L1250" s="721">
        <v>45147</v>
      </c>
      <c r="M1250" s="763">
        <v>0.54166666666666663</v>
      </c>
      <c r="N1250" s="540">
        <v>4</v>
      </c>
      <c r="O1250" s="184" t="s">
        <v>17</v>
      </c>
      <c r="P1250" s="305" t="s">
        <v>462</v>
      </c>
      <c r="Q1250" s="801" t="s">
        <v>1120</v>
      </c>
      <c r="R1250" s="508" t="s">
        <v>40</v>
      </c>
      <c r="S1250" s="31" t="s">
        <v>273</v>
      </c>
      <c r="T1250" s="31" t="s">
        <v>273</v>
      </c>
      <c r="U1250" s="31">
        <f>IFERROR(VLOOKUP(CONCATENATE(Tabla1[[#This Row],[Severidad]]," ",Tabla1[[#This Row],[Complejidad]]),Catalogos!E$120:G$128,3,FALSE),"")</f>
        <v>64</v>
      </c>
      <c r="V1250" s="31" t="str">
        <f>IF(Tabla1[[#This Row],[Tiempo solución max (hrs)]]&lt;&gt;"",IF(Tabla1[[#This Row],[Tiempo solución max (hrs)]]&gt;=Tabla1[[#This Row],[Tiempo
(Hrs 00/100)]],"cumple","no cumple"),"")</f>
        <v>cumple</v>
      </c>
      <c r="W1250" s="376" t="s">
        <v>1814</v>
      </c>
      <c r="X1250" s="377" t="str">
        <f t="shared" ref="X1250:X1283" si="123">IF(C1250&lt;&gt;"",C1250,D1250)</f>
        <v>DS</v>
      </c>
      <c r="Y1250" t="str">
        <f>SUBSTITUTE(Tabla1[[#This Row],[Descripción]],CHAR(10),"    I    ")</f>
        <v>Desarrollo sección notificaciones de la queja (Maquetación)</v>
      </c>
      <c r="Z1250" s="142">
        <f>VLOOKUP(Tabla1[[#This Row],[Perfil]],Catalogos!$B$75:$D$100,3,FALSE)*Tabla1[[#This Row],[Tiempo
(Hrs 00/100)]]*1.16</f>
        <v>3248</v>
      </c>
    </row>
    <row r="1251" spans="1:26" ht="15" customHeight="1" x14ac:dyDescent="0.3">
      <c r="A1251" s="530" t="s">
        <v>22</v>
      </c>
      <c r="B1251" s="530" t="s">
        <v>23</v>
      </c>
      <c r="C1251" s="205" t="s">
        <v>155</v>
      </c>
      <c r="D1251" s="382"/>
      <c r="E1251" s="373" t="s">
        <v>408</v>
      </c>
      <c r="F1251" s="370" t="s">
        <v>23</v>
      </c>
      <c r="G1251" s="370"/>
      <c r="H1251" s="461" t="s">
        <v>405</v>
      </c>
      <c r="I1251" s="539" t="s">
        <v>1791</v>
      </c>
      <c r="J1251" s="721">
        <v>45148</v>
      </c>
      <c r="K1251" s="747">
        <v>0.375</v>
      </c>
      <c r="L1251" s="721">
        <v>45148</v>
      </c>
      <c r="M1251" s="763">
        <v>0.45833333333333331</v>
      </c>
      <c r="N1251" s="540">
        <v>2</v>
      </c>
      <c r="O1251" s="184" t="s">
        <v>17</v>
      </c>
      <c r="P1251" s="305" t="s">
        <v>462</v>
      </c>
      <c r="Q1251" s="801" t="s">
        <v>1120</v>
      </c>
      <c r="R1251" s="508" t="s">
        <v>40</v>
      </c>
      <c r="S1251" s="31" t="s">
        <v>273</v>
      </c>
      <c r="T1251" s="31" t="s">
        <v>273</v>
      </c>
      <c r="U1251" s="31">
        <f>IFERROR(VLOOKUP(CONCATENATE(Tabla1[[#This Row],[Severidad]]," ",Tabla1[[#This Row],[Complejidad]]),Catalogos!E$120:G$128,3,FALSE),"")</f>
        <v>64</v>
      </c>
      <c r="V1251" s="31" t="str">
        <f>IF(Tabla1[[#This Row],[Tiempo solución max (hrs)]]&lt;&gt;"",IF(Tabla1[[#This Row],[Tiempo solución max (hrs)]]&gt;=Tabla1[[#This Row],[Tiempo
(Hrs 00/100)]],"cumple","no cumple"),"")</f>
        <v>cumple</v>
      </c>
      <c r="W1251" s="376" t="s">
        <v>1814</v>
      </c>
      <c r="X1251" s="377" t="str">
        <f t="shared" si="123"/>
        <v>DS</v>
      </c>
      <c r="Y1251" t="str">
        <f>SUBSTITUTE(Tabla1[[#This Row],[Descripción]],CHAR(10),"    I    ")</f>
        <v>Se hace mejoras componente picklist formulario acceso a la información</v>
      </c>
      <c r="Z1251" s="142">
        <f>VLOOKUP(Tabla1[[#This Row],[Perfil]],Catalogos!$B$75:$D$100,3,FALSE)*Tabla1[[#This Row],[Tiempo
(Hrs 00/100)]]*1.16</f>
        <v>1624</v>
      </c>
    </row>
    <row r="1252" spans="1:26" ht="15" customHeight="1" x14ac:dyDescent="0.3">
      <c r="A1252" s="530" t="s">
        <v>22</v>
      </c>
      <c r="B1252" s="530" t="s">
        <v>23</v>
      </c>
      <c r="C1252" s="205" t="s">
        <v>155</v>
      </c>
      <c r="D1252" s="382"/>
      <c r="E1252" s="373" t="s">
        <v>408</v>
      </c>
      <c r="F1252" s="370" t="s">
        <v>23</v>
      </c>
      <c r="G1252" s="370"/>
      <c r="H1252" s="461" t="s">
        <v>405</v>
      </c>
      <c r="I1252" s="539" t="s">
        <v>1792</v>
      </c>
      <c r="J1252" s="721">
        <v>45148</v>
      </c>
      <c r="K1252" s="763">
        <v>0.45833333333333331</v>
      </c>
      <c r="L1252" s="721">
        <v>45148</v>
      </c>
      <c r="M1252" s="763">
        <v>0.79166666666666663</v>
      </c>
      <c r="N1252" s="540">
        <v>6</v>
      </c>
      <c r="O1252" s="184" t="s">
        <v>17</v>
      </c>
      <c r="P1252" s="305" t="s">
        <v>462</v>
      </c>
      <c r="Q1252" s="801" t="s">
        <v>1120</v>
      </c>
      <c r="R1252" s="508" t="s">
        <v>40</v>
      </c>
      <c r="S1252" s="31" t="s">
        <v>273</v>
      </c>
      <c r="T1252" s="31" t="s">
        <v>273</v>
      </c>
      <c r="U1252" s="31">
        <f>IFERROR(VLOOKUP(CONCATENATE(Tabla1[[#This Row],[Severidad]]," ",Tabla1[[#This Row],[Complejidad]]),Catalogos!E$120:G$128,3,FALSE),"")</f>
        <v>64</v>
      </c>
      <c r="V1252" s="31" t="str">
        <f>IF(Tabla1[[#This Row],[Tiempo solución max (hrs)]]&lt;&gt;"",IF(Tabla1[[#This Row],[Tiempo solución max (hrs)]]&gt;=Tabla1[[#This Row],[Tiempo
(Hrs 00/100)]],"cumple","no cumple"),"")</f>
        <v>cumple</v>
      </c>
      <c r="W1252" s="376" t="s">
        <v>1814</v>
      </c>
      <c r="X1252" s="377" t="str">
        <f t="shared" si="123"/>
        <v>DS</v>
      </c>
      <c r="Y1252" t="str">
        <f>SUBSTITUTE(Tabla1[[#This Row],[Descripción]],CHAR(10),"    I    ")</f>
        <v>Desarrollo tabla cargas masivas de solicitudes</v>
      </c>
      <c r="Z1252" s="142">
        <f>VLOOKUP(Tabla1[[#This Row],[Perfil]],Catalogos!$B$75:$D$100,3,FALSE)*Tabla1[[#This Row],[Tiempo
(Hrs 00/100)]]*1.16</f>
        <v>4872</v>
      </c>
    </row>
    <row r="1253" spans="1:26" ht="15" customHeight="1" x14ac:dyDescent="0.3">
      <c r="A1253" s="530" t="s">
        <v>22</v>
      </c>
      <c r="B1253" s="530" t="s">
        <v>23</v>
      </c>
      <c r="C1253" s="205" t="s">
        <v>155</v>
      </c>
      <c r="D1253" s="382"/>
      <c r="E1253" s="373" t="s">
        <v>408</v>
      </c>
      <c r="F1253" s="370" t="s">
        <v>23</v>
      </c>
      <c r="G1253" s="370"/>
      <c r="H1253" s="461" t="s">
        <v>405</v>
      </c>
      <c r="I1253" s="539" t="s">
        <v>1793</v>
      </c>
      <c r="J1253" s="721">
        <v>45149</v>
      </c>
      <c r="K1253" s="747">
        <v>0.375</v>
      </c>
      <c r="L1253" s="721">
        <v>45149</v>
      </c>
      <c r="M1253" s="763">
        <v>0.45833333333333331</v>
      </c>
      <c r="N1253" s="540">
        <v>2</v>
      </c>
      <c r="O1253" s="184" t="s">
        <v>17</v>
      </c>
      <c r="P1253" s="305" t="s">
        <v>462</v>
      </c>
      <c r="Q1253" s="801" t="s">
        <v>1120</v>
      </c>
      <c r="R1253" s="508" t="s">
        <v>40</v>
      </c>
      <c r="S1253" s="31" t="s">
        <v>273</v>
      </c>
      <c r="T1253" s="31" t="s">
        <v>273</v>
      </c>
      <c r="U1253" s="31">
        <f>IFERROR(VLOOKUP(CONCATENATE(Tabla1[[#This Row],[Severidad]]," ",Tabla1[[#This Row],[Complejidad]]),Catalogos!E$120:G$128,3,FALSE),"")</f>
        <v>64</v>
      </c>
      <c r="V1253" s="31" t="str">
        <f>IF(Tabla1[[#This Row],[Tiempo solución max (hrs)]]&lt;&gt;"",IF(Tabla1[[#This Row],[Tiempo solución max (hrs)]]&gt;=Tabla1[[#This Row],[Tiempo
(Hrs 00/100)]],"cumple","no cumple"),"")</f>
        <v>cumple</v>
      </c>
      <c r="W1253" s="376" t="s">
        <v>1814</v>
      </c>
      <c r="X1253" s="377" t="str">
        <f t="shared" si="123"/>
        <v>DS</v>
      </c>
      <c r="Y1253" t="str">
        <f>SUBSTITUTE(Tabla1[[#This Row],[Descripción]],CHAR(10),"    I    ")</f>
        <v>Reestructuración de botón login y sidebar</v>
      </c>
      <c r="Z1253" s="142">
        <f>VLOOKUP(Tabla1[[#This Row],[Perfil]],Catalogos!$B$75:$D$100,3,FALSE)*Tabla1[[#This Row],[Tiempo
(Hrs 00/100)]]*1.16</f>
        <v>1624</v>
      </c>
    </row>
    <row r="1254" spans="1:26" ht="15" customHeight="1" x14ac:dyDescent="0.3">
      <c r="A1254" s="530" t="s">
        <v>22</v>
      </c>
      <c r="B1254" s="530" t="s">
        <v>23</v>
      </c>
      <c r="C1254" s="205" t="s">
        <v>155</v>
      </c>
      <c r="D1254" s="382"/>
      <c r="E1254" s="373" t="s">
        <v>408</v>
      </c>
      <c r="F1254" s="370" t="s">
        <v>23</v>
      </c>
      <c r="G1254" s="370"/>
      <c r="H1254" s="461" t="s">
        <v>405</v>
      </c>
      <c r="I1254" s="539" t="s">
        <v>1794</v>
      </c>
      <c r="J1254" s="721">
        <v>45149</v>
      </c>
      <c r="K1254" s="763">
        <v>0.45833333333333331</v>
      </c>
      <c r="L1254" s="721">
        <v>45149</v>
      </c>
      <c r="M1254" s="763">
        <v>0.54166666666666663</v>
      </c>
      <c r="N1254" s="540">
        <v>2</v>
      </c>
      <c r="O1254" s="184" t="s">
        <v>17</v>
      </c>
      <c r="P1254" s="305" t="s">
        <v>462</v>
      </c>
      <c r="Q1254" s="801" t="s">
        <v>1120</v>
      </c>
      <c r="R1254" s="508" t="s">
        <v>40</v>
      </c>
      <c r="S1254" s="31" t="s">
        <v>273</v>
      </c>
      <c r="T1254" s="31" t="s">
        <v>273</v>
      </c>
      <c r="U1254" s="31">
        <f>IFERROR(VLOOKUP(CONCATENATE(Tabla1[[#This Row],[Severidad]]," ",Tabla1[[#This Row],[Complejidad]]),Catalogos!E$120:G$128,3,FALSE),"")</f>
        <v>64</v>
      </c>
      <c r="V1254" s="31" t="str">
        <f>IF(Tabla1[[#This Row],[Tiempo solución max (hrs)]]&lt;&gt;"",IF(Tabla1[[#This Row],[Tiempo solución max (hrs)]]&gt;=Tabla1[[#This Row],[Tiempo
(Hrs 00/100)]],"cumple","no cumple"),"")</f>
        <v>cumple</v>
      </c>
      <c r="W1254" s="376" t="s">
        <v>1814</v>
      </c>
      <c r="X1254" s="377" t="str">
        <f t="shared" si="123"/>
        <v>DS</v>
      </c>
      <c r="Y1254" t="str">
        <f>SUBSTITUTE(Tabla1[[#This Row],[Descripción]],CHAR(10),"    I    ")</f>
        <v>Se reestructura barra búsqueda</v>
      </c>
      <c r="Z1254" s="142">
        <f>VLOOKUP(Tabla1[[#This Row],[Perfil]],Catalogos!$B$75:$D$100,3,FALSE)*Tabla1[[#This Row],[Tiempo
(Hrs 00/100)]]*1.16</f>
        <v>1624</v>
      </c>
    </row>
    <row r="1255" spans="1:26" ht="15" customHeight="1" x14ac:dyDescent="0.3">
      <c r="A1255" s="530" t="s">
        <v>22</v>
      </c>
      <c r="B1255" s="530" t="s">
        <v>23</v>
      </c>
      <c r="C1255" s="205" t="s">
        <v>155</v>
      </c>
      <c r="D1255" s="382"/>
      <c r="E1255" s="373" t="s">
        <v>408</v>
      </c>
      <c r="F1255" s="370" t="s">
        <v>23</v>
      </c>
      <c r="G1255" s="370"/>
      <c r="H1255" s="461" t="s">
        <v>405</v>
      </c>
      <c r="I1255" s="539" t="s">
        <v>1795</v>
      </c>
      <c r="J1255" s="721">
        <v>45149</v>
      </c>
      <c r="K1255" s="763">
        <v>0.54166666666666663</v>
      </c>
      <c r="L1255" s="721">
        <v>45149</v>
      </c>
      <c r="M1255" s="767">
        <v>0.625</v>
      </c>
      <c r="N1255" s="542">
        <v>2</v>
      </c>
      <c r="O1255" s="184" t="s">
        <v>17</v>
      </c>
      <c r="P1255" s="305" t="s">
        <v>462</v>
      </c>
      <c r="Q1255" s="801" t="s">
        <v>1120</v>
      </c>
      <c r="R1255" s="508" t="s">
        <v>40</v>
      </c>
      <c r="S1255" s="31" t="s">
        <v>273</v>
      </c>
      <c r="T1255" s="31" t="s">
        <v>273</v>
      </c>
      <c r="U1255" s="31">
        <f>IFERROR(VLOOKUP(CONCATENATE(Tabla1[[#This Row],[Severidad]]," ",Tabla1[[#This Row],[Complejidad]]),Catalogos!E$120:G$128,3,FALSE),"")</f>
        <v>64</v>
      </c>
      <c r="V1255" s="31" t="str">
        <f>IF(Tabla1[[#This Row],[Tiempo solución max (hrs)]]&lt;&gt;"",IF(Tabla1[[#This Row],[Tiempo solución max (hrs)]]&gt;=Tabla1[[#This Row],[Tiempo
(Hrs 00/100)]],"cumple","no cumple"),"")</f>
        <v>cumple</v>
      </c>
      <c r="W1255" s="376" t="s">
        <v>1814</v>
      </c>
      <c r="X1255" s="377" t="str">
        <f t="shared" si="123"/>
        <v>DS</v>
      </c>
      <c r="Y1255" t="str">
        <f>SUBSTITUTE(Tabla1[[#This Row],[Descripción]],CHAR(10),"    I    ")</f>
        <v>Se agrega icono cargas masivas a dashboard solicitante</v>
      </c>
      <c r="Z1255" s="142">
        <f>VLOOKUP(Tabla1[[#This Row],[Perfil]],Catalogos!$B$75:$D$100,3,FALSE)*Tabla1[[#This Row],[Tiempo
(Hrs 00/100)]]*1.16</f>
        <v>1624</v>
      </c>
    </row>
    <row r="1256" spans="1:26" ht="15" customHeight="1" x14ac:dyDescent="0.3">
      <c r="A1256" s="530" t="s">
        <v>22</v>
      </c>
      <c r="B1256" s="530" t="s">
        <v>23</v>
      </c>
      <c r="C1256" s="205" t="s">
        <v>155</v>
      </c>
      <c r="D1256" s="382"/>
      <c r="E1256" s="373" t="s">
        <v>408</v>
      </c>
      <c r="F1256" s="370" t="s">
        <v>23</v>
      </c>
      <c r="G1256" s="370"/>
      <c r="H1256" s="461" t="s">
        <v>405</v>
      </c>
      <c r="I1256" s="543" t="s">
        <v>1796</v>
      </c>
      <c r="J1256" s="721">
        <v>45152</v>
      </c>
      <c r="K1256" s="747">
        <v>0.375</v>
      </c>
      <c r="L1256" s="721">
        <v>45152</v>
      </c>
      <c r="M1256" s="753">
        <v>0.79166666666666663</v>
      </c>
      <c r="N1256" s="544">
        <v>8</v>
      </c>
      <c r="O1256" s="184" t="s">
        <v>17</v>
      </c>
      <c r="P1256" s="305" t="s">
        <v>462</v>
      </c>
      <c r="Q1256" s="801" t="s">
        <v>1120</v>
      </c>
      <c r="R1256" s="508" t="s">
        <v>40</v>
      </c>
      <c r="S1256" s="31" t="s">
        <v>273</v>
      </c>
      <c r="T1256" s="31" t="s">
        <v>273</v>
      </c>
      <c r="U1256" s="31">
        <f>IFERROR(VLOOKUP(CONCATENATE(Tabla1[[#This Row],[Severidad]]," ",Tabla1[[#This Row],[Complejidad]]),Catalogos!E$120:G$128,3,FALSE),"")</f>
        <v>64</v>
      </c>
      <c r="V1256" s="31" t="str">
        <f>IF(Tabla1[[#This Row],[Tiempo solución max (hrs)]]&lt;&gt;"",IF(Tabla1[[#This Row],[Tiempo solución max (hrs)]]&gt;=Tabla1[[#This Row],[Tiempo
(Hrs 00/100)]],"cumple","no cumple"),"")</f>
        <v>cumple</v>
      </c>
      <c r="W1256" s="376" t="s">
        <v>1814</v>
      </c>
      <c r="X1256" s="377" t="str">
        <f t="shared" si="123"/>
        <v>DS</v>
      </c>
      <c r="Y1256" t="str">
        <f>SUBSTITUTE(Tabla1[[#This Row],[Descripción]],CHAR(10),"    I    ")</f>
        <v>Implementación componente lista sujetos obligados formulario acceso a la información</v>
      </c>
      <c r="Z1256" s="142">
        <f>VLOOKUP(Tabla1[[#This Row],[Perfil]],Catalogos!$B$75:$D$100,3,FALSE)*Tabla1[[#This Row],[Tiempo
(Hrs 00/100)]]*1.16</f>
        <v>6496</v>
      </c>
    </row>
    <row r="1257" spans="1:26" ht="15" customHeight="1" x14ac:dyDescent="0.3">
      <c r="A1257" s="530" t="s">
        <v>22</v>
      </c>
      <c r="B1257" s="530" t="s">
        <v>23</v>
      </c>
      <c r="C1257" s="205" t="s">
        <v>155</v>
      </c>
      <c r="D1257" s="382"/>
      <c r="E1257" s="373" t="s">
        <v>408</v>
      </c>
      <c r="F1257" s="370" t="s">
        <v>23</v>
      </c>
      <c r="G1257" s="370"/>
      <c r="H1257" s="461" t="s">
        <v>405</v>
      </c>
      <c r="I1257" s="539" t="s">
        <v>1797</v>
      </c>
      <c r="J1257" s="721">
        <v>45153</v>
      </c>
      <c r="K1257" s="747">
        <v>0.375</v>
      </c>
      <c r="L1257" s="721">
        <v>45153</v>
      </c>
      <c r="M1257" s="753">
        <v>0.79166666666666663</v>
      </c>
      <c r="N1257" s="540">
        <v>8</v>
      </c>
      <c r="O1257" s="184" t="s">
        <v>17</v>
      </c>
      <c r="P1257" s="305" t="s">
        <v>462</v>
      </c>
      <c r="Q1257" s="801" t="s">
        <v>1120</v>
      </c>
      <c r="R1257" s="508" t="s">
        <v>40</v>
      </c>
      <c r="S1257" s="31" t="s">
        <v>273</v>
      </c>
      <c r="T1257" s="31" t="s">
        <v>273</v>
      </c>
      <c r="U1257" s="31">
        <f>IFERROR(VLOOKUP(CONCATENATE(Tabla1[[#This Row],[Severidad]]," ",Tabla1[[#This Row],[Complejidad]]),Catalogos!E$120:G$128,3,FALSE),"")</f>
        <v>64</v>
      </c>
      <c r="V1257" s="31" t="str">
        <f>IF(Tabla1[[#This Row],[Tiempo solución max (hrs)]]&lt;&gt;"",IF(Tabla1[[#This Row],[Tiempo solución max (hrs)]]&gt;=Tabla1[[#This Row],[Tiempo
(Hrs 00/100)]],"cumple","no cumple"),"")</f>
        <v>cumple</v>
      </c>
      <c r="W1257" s="376" t="s">
        <v>1814</v>
      </c>
      <c r="X1257" s="377" t="str">
        <f t="shared" si="123"/>
        <v>DS</v>
      </c>
      <c r="Y1257" t="str">
        <f>SUBSTITUTE(Tabla1[[#This Row],[Descripción]],CHAR(10),"    I    ")</f>
        <v>Mapeo interfaces e implementación servicios carga masiva</v>
      </c>
      <c r="Z1257" s="142">
        <f>VLOOKUP(Tabla1[[#This Row],[Perfil]],Catalogos!$B$75:$D$100,3,FALSE)*Tabla1[[#This Row],[Tiempo
(Hrs 00/100)]]*1.16</f>
        <v>6496</v>
      </c>
    </row>
    <row r="1258" spans="1:26" ht="15" customHeight="1" x14ac:dyDescent="0.3">
      <c r="A1258" s="530" t="s">
        <v>22</v>
      </c>
      <c r="B1258" s="530" t="s">
        <v>23</v>
      </c>
      <c r="C1258" s="205" t="s">
        <v>155</v>
      </c>
      <c r="D1258" s="382"/>
      <c r="E1258" s="373" t="s">
        <v>408</v>
      </c>
      <c r="F1258" s="370" t="s">
        <v>23</v>
      </c>
      <c r="G1258" s="370"/>
      <c r="H1258" s="461" t="s">
        <v>405</v>
      </c>
      <c r="I1258" s="539" t="s">
        <v>1798</v>
      </c>
      <c r="J1258" s="721">
        <v>45154</v>
      </c>
      <c r="K1258" s="747">
        <v>0.375</v>
      </c>
      <c r="L1258" s="721">
        <v>45154</v>
      </c>
      <c r="M1258" s="763">
        <v>0.54166666666666663</v>
      </c>
      <c r="N1258" s="540">
        <v>4</v>
      </c>
      <c r="O1258" s="184" t="s">
        <v>17</v>
      </c>
      <c r="P1258" s="305" t="s">
        <v>462</v>
      </c>
      <c r="Q1258" s="801" t="s">
        <v>1120</v>
      </c>
      <c r="R1258" s="508" t="s">
        <v>40</v>
      </c>
      <c r="S1258" s="31" t="s">
        <v>273</v>
      </c>
      <c r="T1258" s="31" t="s">
        <v>273</v>
      </c>
      <c r="U1258" s="31">
        <f>IFERROR(VLOOKUP(CONCATENATE(Tabla1[[#This Row],[Severidad]]," ",Tabla1[[#This Row],[Complejidad]]),Catalogos!E$120:G$128,3,FALSE),"")</f>
        <v>64</v>
      </c>
      <c r="V1258" s="31" t="str">
        <f>IF(Tabla1[[#This Row],[Tiempo solución max (hrs)]]&lt;&gt;"",IF(Tabla1[[#This Row],[Tiempo solución max (hrs)]]&gt;=Tabla1[[#This Row],[Tiempo
(Hrs 00/100)]],"cumple","no cumple"),"")</f>
        <v>cumple</v>
      </c>
      <c r="W1258" s="376" t="s">
        <v>1814</v>
      </c>
      <c r="X1258" s="377" t="str">
        <f t="shared" si="123"/>
        <v>DS</v>
      </c>
      <c r="Y1258" t="str">
        <f>SUBSTITUTE(Tabla1[[#This Row],[Descripción]],CHAR(10),"    I    ")</f>
        <v>Ajustes css componente sidebar y main container</v>
      </c>
      <c r="Z1258" s="142">
        <f>VLOOKUP(Tabla1[[#This Row],[Perfil]],Catalogos!$B$75:$D$100,3,FALSE)*Tabla1[[#This Row],[Tiempo
(Hrs 00/100)]]*1.16</f>
        <v>3248</v>
      </c>
    </row>
    <row r="1259" spans="1:26" ht="15" customHeight="1" x14ac:dyDescent="0.3">
      <c r="A1259" s="530" t="s">
        <v>22</v>
      </c>
      <c r="B1259" s="530" t="s">
        <v>23</v>
      </c>
      <c r="C1259" s="205" t="s">
        <v>155</v>
      </c>
      <c r="D1259" s="382"/>
      <c r="E1259" s="373" t="s">
        <v>408</v>
      </c>
      <c r="F1259" s="370" t="s">
        <v>23</v>
      </c>
      <c r="G1259" s="370"/>
      <c r="H1259" s="461" t="s">
        <v>405</v>
      </c>
      <c r="I1259" s="539" t="s">
        <v>1799</v>
      </c>
      <c r="J1259" s="721">
        <v>45154</v>
      </c>
      <c r="K1259" s="763">
        <v>0.54166666666666663</v>
      </c>
      <c r="L1259" s="721">
        <v>45154</v>
      </c>
      <c r="M1259" s="763">
        <v>0.70833333333333337</v>
      </c>
      <c r="N1259" s="540">
        <v>2</v>
      </c>
      <c r="O1259" s="184" t="s">
        <v>17</v>
      </c>
      <c r="P1259" s="305" t="s">
        <v>462</v>
      </c>
      <c r="Q1259" s="801" t="s">
        <v>1120</v>
      </c>
      <c r="R1259" s="508" t="s">
        <v>40</v>
      </c>
      <c r="S1259" s="31" t="s">
        <v>273</v>
      </c>
      <c r="T1259" s="31" t="s">
        <v>273</v>
      </c>
      <c r="U1259" s="31">
        <f>IFERROR(VLOOKUP(CONCATENATE(Tabla1[[#This Row],[Severidad]]," ",Tabla1[[#This Row],[Complejidad]]),Catalogos!E$120:G$128,3,FALSE),"")</f>
        <v>64</v>
      </c>
      <c r="V1259" s="31" t="str">
        <f>IF(Tabla1[[#This Row],[Tiempo solución max (hrs)]]&lt;&gt;"",IF(Tabla1[[#This Row],[Tiempo solución max (hrs)]]&gt;=Tabla1[[#This Row],[Tiempo
(Hrs 00/100)]],"cumple","no cumple"),"")</f>
        <v>cumple</v>
      </c>
      <c r="W1259" s="376" t="s">
        <v>1814</v>
      </c>
      <c r="X1259" s="377" t="str">
        <f t="shared" si="123"/>
        <v>DS</v>
      </c>
      <c r="Y1259" t="str">
        <f>SUBSTITUTE(Tabla1[[#This Row],[Descripción]],CHAR(10),"    I    ")</f>
        <v>Ajustes estilos y posición a componente sidebar</v>
      </c>
      <c r="Z1259" s="142">
        <f>VLOOKUP(Tabla1[[#This Row],[Perfil]],Catalogos!$B$75:$D$100,3,FALSE)*Tabla1[[#This Row],[Tiempo
(Hrs 00/100)]]*1.16</f>
        <v>1624</v>
      </c>
    </row>
    <row r="1260" spans="1:26" ht="15" customHeight="1" x14ac:dyDescent="0.3">
      <c r="A1260" s="530" t="s">
        <v>22</v>
      </c>
      <c r="B1260" s="530" t="s">
        <v>23</v>
      </c>
      <c r="C1260" s="205" t="s">
        <v>155</v>
      </c>
      <c r="D1260" s="382"/>
      <c r="E1260" s="373" t="s">
        <v>408</v>
      </c>
      <c r="F1260" s="370" t="s">
        <v>23</v>
      </c>
      <c r="G1260" s="370"/>
      <c r="H1260" s="461" t="s">
        <v>405</v>
      </c>
      <c r="I1260" s="539" t="s">
        <v>1800</v>
      </c>
      <c r="J1260" s="721">
        <v>45154</v>
      </c>
      <c r="K1260" s="763">
        <v>0.70833333333333337</v>
      </c>
      <c r="L1260" s="721">
        <v>45154</v>
      </c>
      <c r="M1260" s="763">
        <v>0.79166666666666663</v>
      </c>
      <c r="N1260" s="540">
        <v>2</v>
      </c>
      <c r="O1260" s="184" t="s">
        <v>17</v>
      </c>
      <c r="P1260" s="305" t="s">
        <v>462</v>
      </c>
      <c r="Q1260" s="801" t="s">
        <v>1120</v>
      </c>
      <c r="R1260" s="508" t="s">
        <v>40</v>
      </c>
      <c r="S1260" s="31" t="s">
        <v>273</v>
      </c>
      <c r="T1260" s="31" t="s">
        <v>273</v>
      </c>
      <c r="U1260" s="31">
        <f>IFERROR(VLOOKUP(CONCATENATE(Tabla1[[#This Row],[Severidad]]," ",Tabla1[[#This Row],[Complejidad]]),Catalogos!E$120:G$128,3,FALSE),"")</f>
        <v>64</v>
      </c>
      <c r="V1260" s="31" t="str">
        <f>IF(Tabla1[[#This Row],[Tiempo solución max (hrs)]]&lt;&gt;"",IF(Tabla1[[#This Row],[Tiempo solución max (hrs)]]&gt;=Tabla1[[#This Row],[Tiempo
(Hrs 00/100)]],"cumple","no cumple"),"")</f>
        <v>cumple</v>
      </c>
      <c r="W1260" s="376" t="s">
        <v>1814</v>
      </c>
      <c r="X1260" s="377" t="str">
        <f t="shared" si="123"/>
        <v>DS</v>
      </c>
      <c r="Y1260" t="str">
        <f>SUBSTITUTE(Tabla1[[#This Row],[Descripción]],CHAR(10),"    I    ")</f>
        <v>Implementación iconos en header y mejoras al icono de la hamburguesa</v>
      </c>
      <c r="Z1260" s="142">
        <f>VLOOKUP(Tabla1[[#This Row],[Perfil]],Catalogos!$B$75:$D$100,3,FALSE)*Tabla1[[#This Row],[Tiempo
(Hrs 00/100)]]*1.16</f>
        <v>1624</v>
      </c>
    </row>
    <row r="1261" spans="1:26" ht="15" customHeight="1" x14ac:dyDescent="0.3">
      <c r="A1261" s="530" t="s">
        <v>22</v>
      </c>
      <c r="B1261" s="530" t="s">
        <v>23</v>
      </c>
      <c r="C1261" s="205" t="s">
        <v>155</v>
      </c>
      <c r="D1261" s="382"/>
      <c r="E1261" s="373" t="s">
        <v>408</v>
      </c>
      <c r="F1261" s="370" t="s">
        <v>23</v>
      </c>
      <c r="G1261" s="370"/>
      <c r="H1261" s="461" t="s">
        <v>405</v>
      </c>
      <c r="I1261" s="539" t="s">
        <v>1801</v>
      </c>
      <c r="J1261" s="721">
        <v>45155</v>
      </c>
      <c r="K1261" s="763">
        <v>0.375</v>
      </c>
      <c r="L1261" s="721">
        <v>45155</v>
      </c>
      <c r="M1261" s="763">
        <v>0.54166666666666663</v>
      </c>
      <c r="N1261" s="540">
        <v>4</v>
      </c>
      <c r="O1261" s="184" t="s">
        <v>17</v>
      </c>
      <c r="P1261" s="305" t="s">
        <v>462</v>
      </c>
      <c r="Q1261" s="801" t="s">
        <v>1120</v>
      </c>
      <c r="R1261" s="508" t="s">
        <v>40</v>
      </c>
      <c r="S1261" s="31" t="s">
        <v>273</v>
      </c>
      <c r="T1261" s="31" t="s">
        <v>273</v>
      </c>
      <c r="U1261" s="31">
        <f>IFERROR(VLOOKUP(CONCATENATE(Tabla1[[#This Row],[Severidad]]," ",Tabla1[[#This Row],[Complejidad]]),Catalogos!E$120:G$128,3,FALSE),"")</f>
        <v>64</v>
      </c>
      <c r="V1261" s="31" t="str">
        <f>IF(Tabla1[[#This Row],[Tiempo solución max (hrs)]]&lt;&gt;"",IF(Tabla1[[#This Row],[Tiempo solución max (hrs)]]&gt;=Tabla1[[#This Row],[Tiempo
(Hrs 00/100)]],"cumple","no cumple"),"")</f>
        <v>cumple</v>
      </c>
      <c r="W1261" s="376" t="s">
        <v>1814</v>
      </c>
      <c r="X1261" s="377" t="str">
        <f t="shared" si="123"/>
        <v>DS</v>
      </c>
      <c r="Y1261" t="str">
        <f>SUBSTITUTE(Tabla1[[#This Row],[Descripción]],CHAR(10),"    I    ")</f>
        <v>Mejoras y reestructuración componente header</v>
      </c>
      <c r="Z1261" s="142">
        <f>VLOOKUP(Tabla1[[#This Row],[Perfil]],Catalogos!$B$75:$D$100,3,FALSE)*Tabla1[[#This Row],[Tiempo
(Hrs 00/100)]]*1.16</f>
        <v>3248</v>
      </c>
    </row>
    <row r="1262" spans="1:26" ht="15" customHeight="1" x14ac:dyDescent="0.3">
      <c r="A1262" s="530" t="s">
        <v>22</v>
      </c>
      <c r="B1262" s="530" t="s">
        <v>23</v>
      </c>
      <c r="C1262" s="205" t="s">
        <v>155</v>
      </c>
      <c r="D1262" s="382"/>
      <c r="E1262" s="373" t="s">
        <v>408</v>
      </c>
      <c r="F1262" s="370" t="s">
        <v>23</v>
      </c>
      <c r="G1262" s="370"/>
      <c r="H1262" s="461" t="s">
        <v>405</v>
      </c>
      <c r="I1262" s="539" t="s">
        <v>1802</v>
      </c>
      <c r="J1262" s="721">
        <v>45155</v>
      </c>
      <c r="K1262" s="763">
        <v>0.54166666666666663</v>
      </c>
      <c r="L1262" s="721">
        <v>45155</v>
      </c>
      <c r="M1262" s="753">
        <v>0.79166666666666663</v>
      </c>
      <c r="N1262" s="540">
        <v>4</v>
      </c>
      <c r="O1262" s="184" t="s">
        <v>17</v>
      </c>
      <c r="P1262" s="305" t="s">
        <v>462</v>
      </c>
      <c r="Q1262" s="801" t="s">
        <v>1120</v>
      </c>
      <c r="R1262" s="508" t="s">
        <v>40</v>
      </c>
      <c r="S1262" s="31" t="s">
        <v>273</v>
      </c>
      <c r="T1262" s="31" t="s">
        <v>273</v>
      </c>
      <c r="U1262" s="31">
        <f>IFERROR(VLOOKUP(CONCATENATE(Tabla1[[#This Row],[Severidad]]," ",Tabla1[[#This Row],[Complejidad]]),Catalogos!E$120:G$128,3,FALSE),"")</f>
        <v>64</v>
      </c>
      <c r="V1262" s="31" t="str">
        <f>IF(Tabla1[[#This Row],[Tiempo solución max (hrs)]]&lt;&gt;"",IF(Tabla1[[#This Row],[Tiempo solución max (hrs)]]&gt;=Tabla1[[#This Row],[Tiempo
(Hrs 00/100)]],"cumple","no cumple"),"")</f>
        <v>cumple</v>
      </c>
      <c r="W1262" s="376" t="s">
        <v>1814</v>
      </c>
      <c r="X1262" s="377" t="str">
        <f t="shared" si="123"/>
        <v>DS</v>
      </c>
      <c r="Y1262" t="str">
        <f>SUBSTITUTE(Tabla1[[#This Row],[Descripción]],CHAR(10),"    I    ")</f>
        <v>Se ajustan estilos al main container y al componente header asi como a la imagen de fondo del header</v>
      </c>
      <c r="Z1262" s="142">
        <f>VLOOKUP(Tabla1[[#This Row],[Perfil]],Catalogos!$B$75:$D$100,3,FALSE)*Tabla1[[#This Row],[Tiempo
(Hrs 00/100)]]*1.16</f>
        <v>3248</v>
      </c>
    </row>
    <row r="1263" spans="1:26" ht="15" customHeight="1" x14ac:dyDescent="0.3">
      <c r="A1263" s="530" t="s">
        <v>22</v>
      </c>
      <c r="B1263" s="530" t="s">
        <v>23</v>
      </c>
      <c r="C1263" s="205" t="s">
        <v>155</v>
      </c>
      <c r="D1263" s="382"/>
      <c r="E1263" s="373" t="s">
        <v>408</v>
      </c>
      <c r="F1263" s="370" t="s">
        <v>23</v>
      </c>
      <c r="G1263" s="370"/>
      <c r="H1263" s="461" t="s">
        <v>405</v>
      </c>
      <c r="I1263" s="539" t="s">
        <v>1803</v>
      </c>
      <c r="J1263" s="721">
        <v>45156</v>
      </c>
      <c r="K1263" s="739">
        <v>0.375</v>
      </c>
      <c r="L1263" s="721">
        <v>45156</v>
      </c>
      <c r="M1263" s="739">
        <v>0.625</v>
      </c>
      <c r="N1263" s="540">
        <v>6</v>
      </c>
      <c r="O1263" s="184" t="s">
        <v>17</v>
      </c>
      <c r="P1263" s="305" t="s">
        <v>462</v>
      </c>
      <c r="Q1263" s="801" t="s">
        <v>1120</v>
      </c>
      <c r="R1263" s="508" t="s">
        <v>40</v>
      </c>
      <c r="S1263" s="31" t="s">
        <v>273</v>
      </c>
      <c r="T1263" s="31" t="s">
        <v>273</v>
      </c>
      <c r="U1263" s="31">
        <f>IFERROR(VLOOKUP(CONCATENATE(Tabla1[[#This Row],[Severidad]]," ",Tabla1[[#This Row],[Complejidad]]),Catalogos!E$120:G$128,3,FALSE),"")</f>
        <v>64</v>
      </c>
      <c r="V1263" s="31" t="str">
        <f>IF(Tabla1[[#This Row],[Tiempo solución max (hrs)]]&lt;&gt;"",IF(Tabla1[[#This Row],[Tiempo solución max (hrs)]]&gt;=Tabla1[[#This Row],[Tiempo
(Hrs 00/100)]],"cumple","no cumple"),"")</f>
        <v>cumple</v>
      </c>
      <c r="W1263" s="376" t="s">
        <v>1814</v>
      </c>
      <c r="X1263" s="377" t="str">
        <f t="shared" si="123"/>
        <v>DS</v>
      </c>
      <c r="Y1263" t="str">
        <f>SUBSTITUTE(Tabla1[[#This Row],[Descripción]],CHAR(10),"    I    ")</f>
        <v>Creación módulos avisos, estadísticas y Maquetación pantallas avisos</v>
      </c>
      <c r="Z1263" s="142">
        <f>VLOOKUP(Tabla1[[#This Row],[Perfil]],Catalogos!$B$75:$D$100,3,FALSE)*Tabla1[[#This Row],[Tiempo
(Hrs 00/100)]]*1.16</f>
        <v>4872</v>
      </c>
    </row>
    <row r="1264" spans="1:26" ht="15" customHeight="1" x14ac:dyDescent="0.3">
      <c r="A1264" s="530" t="s">
        <v>22</v>
      </c>
      <c r="B1264" s="530" t="s">
        <v>23</v>
      </c>
      <c r="C1264" s="205" t="s">
        <v>155</v>
      </c>
      <c r="D1264" s="382"/>
      <c r="E1264" s="373" t="s">
        <v>408</v>
      </c>
      <c r="F1264" s="370" t="s">
        <v>23</v>
      </c>
      <c r="G1264" s="370"/>
      <c r="H1264" s="461" t="s">
        <v>405</v>
      </c>
      <c r="I1264" s="539" t="s">
        <v>1804</v>
      </c>
      <c r="J1264" s="721">
        <v>45159</v>
      </c>
      <c r="K1264" s="747">
        <v>0.375</v>
      </c>
      <c r="L1264" s="721">
        <v>45159</v>
      </c>
      <c r="M1264" s="753">
        <v>0.79166666666666663</v>
      </c>
      <c r="N1264" s="540">
        <v>8</v>
      </c>
      <c r="O1264" s="184" t="s">
        <v>17</v>
      </c>
      <c r="P1264" s="305" t="s">
        <v>462</v>
      </c>
      <c r="Q1264" s="801" t="s">
        <v>1120</v>
      </c>
      <c r="R1264" s="508" t="s">
        <v>40</v>
      </c>
      <c r="S1264" s="31" t="s">
        <v>273</v>
      </c>
      <c r="T1264" s="31" t="s">
        <v>273</v>
      </c>
      <c r="U1264" s="31">
        <f>IFERROR(VLOOKUP(CONCATENATE(Tabla1[[#This Row],[Severidad]]," ",Tabla1[[#This Row],[Complejidad]]),Catalogos!E$120:G$128,3,FALSE),"")</f>
        <v>64</v>
      </c>
      <c r="V1264" s="31" t="str">
        <f>IF(Tabla1[[#This Row],[Tiempo solución max (hrs)]]&lt;&gt;"",IF(Tabla1[[#This Row],[Tiempo solución max (hrs)]]&gt;=Tabla1[[#This Row],[Tiempo
(Hrs 00/100)]],"cumple","no cumple"),"")</f>
        <v>cumple</v>
      </c>
      <c r="W1264" s="376" t="s">
        <v>1814</v>
      </c>
      <c r="X1264" s="377" t="str">
        <f t="shared" si="123"/>
        <v>DS</v>
      </c>
      <c r="Y1264" t="str">
        <f>SUBSTITUTE(Tabla1[[#This Row],[Descripción]],CHAR(10),"    I    ")</f>
        <v>Maquetación pantallas estadísticas</v>
      </c>
      <c r="Z1264" s="142">
        <f>VLOOKUP(Tabla1[[#This Row],[Perfil]],Catalogos!$B$75:$D$100,3,FALSE)*Tabla1[[#This Row],[Tiempo
(Hrs 00/100)]]*1.16</f>
        <v>6496</v>
      </c>
    </row>
    <row r="1265" spans="1:26" ht="15" customHeight="1" x14ac:dyDescent="0.3">
      <c r="A1265" s="530" t="s">
        <v>22</v>
      </c>
      <c r="B1265" s="530" t="s">
        <v>23</v>
      </c>
      <c r="C1265" s="205" t="s">
        <v>155</v>
      </c>
      <c r="D1265" s="382"/>
      <c r="E1265" s="373" t="s">
        <v>408</v>
      </c>
      <c r="F1265" s="370" t="s">
        <v>23</v>
      </c>
      <c r="G1265" s="370"/>
      <c r="H1265" s="461" t="s">
        <v>405</v>
      </c>
      <c r="I1265" s="539" t="s">
        <v>1805</v>
      </c>
      <c r="J1265" s="721">
        <v>45160</v>
      </c>
      <c r="K1265" s="747">
        <v>0.375</v>
      </c>
      <c r="L1265" s="721">
        <v>45160</v>
      </c>
      <c r="M1265" s="753">
        <v>0.79166666666666663</v>
      </c>
      <c r="N1265" s="540">
        <v>8</v>
      </c>
      <c r="O1265" s="184" t="s">
        <v>411</v>
      </c>
      <c r="P1265" s="305" t="s">
        <v>462</v>
      </c>
      <c r="Q1265" s="801" t="s">
        <v>1120</v>
      </c>
      <c r="R1265" s="508" t="s">
        <v>40</v>
      </c>
      <c r="S1265" s="31" t="s">
        <v>273</v>
      </c>
      <c r="T1265" s="31" t="s">
        <v>273</v>
      </c>
      <c r="U1265" s="31">
        <f>IFERROR(VLOOKUP(CONCATENATE(Tabla1[[#This Row],[Severidad]]," ",Tabla1[[#This Row],[Complejidad]]),Catalogos!E$120:G$128,3,FALSE),"")</f>
        <v>64</v>
      </c>
      <c r="V1265" s="31" t="str">
        <f>IF(Tabla1[[#This Row],[Tiempo solución max (hrs)]]&lt;&gt;"",IF(Tabla1[[#This Row],[Tiempo solución max (hrs)]]&gt;=Tabla1[[#This Row],[Tiempo
(Hrs 00/100)]],"cumple","no cumple"),"")</f>
        <v>cumple</v>
      </c>
      <c r="W1265" s="376" t="s">
        <v>1814</v>
      </c>
      <c r="X1265" s="377" t="str">
        <f t="shared" si="123"/>
        <v>DS</v>
      </c>
      <c r="Y1265" t="str">
        <f>SUBSTITUTE(Tabla1[[#This Row],[Descripción]],CHAR(10),"    I    ")</f>
        <v>Desarrollo componente mapa interactivo de los estados del país, se crea pantalla con graficas estadísticas por órgano</v>
      </c>
      <c r="Z1265" s="142">
        <f>VLOOKUP(Tabla1[[#This Row],[Perfil]],Catalogos!$B$75:$D$100,3,FALSE)*Tabla1[[#This Row],[Tiempo
(Hrs 00/100)]]*1.16</f>
        <v>6496</v>
      </c>
    </row>
    <row r="1266" spans="1:26" ht="15" customHeight="1" x14ac:dyDescent="0.3">
      <c r="A1266" s="530" t="s">
        <v>22</v>
      </c>
      <c r="B1266" s="530" t="s">
        <v>23</v>
      </c>
      <c r="C1266" s="205" t="s">
        <v>155</v>
      </c>
      <c r="D1266" s="382"/>
      <c r="E1266" s="373" t="s">
        <v>408</v>
      </c>
      <c r="F1266" s="370" t="s">
        <v>23</v>
      </c>
      <c r="G1266" s="370"/>
      <c r="H1266" s="461" t="s">
        <v>405</v>
      </c>
      <c r="I1266" s="539" t="s">
        <v>1805</v>
      </c>
      <c r="J1266" s="721">
        <v>45161</v>
      </c>
      <c r="K1266" s="747">
        <v>0.375</v>
      </c>
      <c r="L1266" s="721">
        <v>45161</v>
      </c>
      <c r="M1266" s="753">
        <v>0.79166666666666663</v>
      </c>
      <c r="N1266" s="540">
        <v>8</v>
      </c>
      <c r="O1266" s="184" t="s">
        <v>17</v>
      </c>
      <c r="P1266" s="305" t="s">
        <v>462</v>
      </c>
      <c r="Q1266" s="801" t="s">
        <v>1120</v>
      </c>
      <c r="R1266" s="508" t="s">
        <v>40</v>
      </c>
      <c r="S1266" s="31" t="s">
        <v>273</v>
      </c>
      <c r="T1266" s="31" t="s">
        <v>273</v>
      </c>
      <c r="U1266" s="31">
        <f>IFERROR(VLOOKUP(CONCATENATE(Tabla1[[#This Row],[Severidad]]," ",Tabla1[[#This Row],[Complejidad]]),Catalogos!E$120:G$128,3,FALSE),"")</f>
        <v>64</v>
      </c>
      <c r="V1266" s="31" t="str">
        <f>IF(Tabla1[[#This Row],[Tiempo solución max (hrs)]]&lt;&gt;"",IF(Tabla1[[#This Row],[Tiempo solución max (hrs)]]&gt;=Tabla1[[#This Row],[Tiempo
(Hrs 00/100)]],"cumple","no cumple"),"")</f>
        <v>cumple</v>
      </c>
      <c r="W1266" s="376" t="s">
        <v>1814</v>
      </c>
      <c r="X1266" s="377" t="str">
        <f t="shared" ref="X1266" si="124">IF(C1266&lt;&gt;"",C1266,D1266)</f>
        <v>DS</v>
      </c>
      <c r="Y1266" t="str">
        <f>SUBSTITUTE(Tabla1[[#This Row],[Descripción]],CHAR(10),"    I    ")</f>
        <v>Desarrollo componente mapa interactivo de los estados del país, se crea pantalla con graficas estadísticas por órgano</v>
      </c>
      <c r="Z1266" s="142">
        <f>VLOOKUP(Tabla1[[#This Row],[Perfil]],Catalogos!$B$75:$D$100,3,FALSE)*Tabla1[[#This Row],[Tiempo
(Hrs 00/100)]]*1.16</f>
        <v>6496</v>
      </c>
    </row>
    <row r="1267" spans="1:26" ht="15" customHeight="1" x14ac:dyDescent="0.3">
      <c r="A1267" s="530" t="s">
        <v>22</v>
      </c>
      <c r="B1267" s="530" t="s">
        <v>23</v>
      </c>
      <c r="C1267" s="205" t="s">
        <v>155</v>
      </c>
      <c r="D1267" s="382"/>
      <c r="E1267" s="373" t="s">
        <v>408</v>
      </c>
      <c r="F1267" s="370" t="s">
        <v>23</v>
      </c>
      <c r="G1267" s="370"/>
      <c r="H1267" s="461" t="s">
        <v>405</v>
      </c>
      <c r="I1267" s="539" t="s">
        <v>1806</v>
      </c>
      <c r="J1267" s="721">
        <v>45162</v>
      </c>
      <c r="K1267" s="747">
        <v>0.375</v>
      </c>
      <c r="L1267" s="721">
        <v>45162</v>
      </c>
      <c r="M1267" s="753">
        <v>0.79166666666666663</v>
      </c>
      <c r="N1267" s="540">
        <v>8</v>
      </c>
      <c r="O1267" s="184" t="s">
        <v>17</v>
      </c>
      <c r="P1267" s="305" t="s">
        <v>462</v>
      </c>
      <c r="Q1267" s="801" t="s">
        <v>1120</v>
      </c>
      <c r="R1267" s="508" t="s">
        <v>40</v>
      </c>
      <c r="S1267" s="31" t="s">
        <v>273</v>
      </c>
      <c r="T1267" s="31" t="s">
        <v>273</v>
      </c>
      <c r="U1267" s="31">
        <f>IFERROR(VLOOKUP(CONCATENATE(Tabla1[[#This Row],[Severidad]]," ",Tabla1[[#This Row],[Complejidad]]),Catalogos!E$120:G$128,3,FALSE),"")</f>
        <v>64</v>
      </c>
      <c r="V1267" s="31" t="str">
        <f>IF(Tabla1[[#This Row],[Tiempo solución max (hrs)]]&lt;&gt;"",IF(Tabla1[[#This Row],[Tiempo solución max (hrs)]]&gt;=Tabla1[[#This Row],[Tiempo
(Hrs 00/100)]],"cumple","no cumple"),"")</f>
        <v>cumple</v>
      </c>
      <c r="W1267" s="376" t="s">
        <v>1814</v>
      </c>
      <c r="X1267" s="377" t="str">
        <f t="shared" si="123"/>
        <v>DS</v>
      </c>
      <c r="Y1267" t="str">
        <f>SUBSTITUTE(Tabla1[[#This Row],[Descripción]],CHAR(10),"    I    ")</f>
        <v xml:space="preserve">Implementación y pruebas de graficas apexhcart, integración servicio mis cargas masivas </v>
      </c>
      <c r="Z1267" s="142">
        <f>VLOOKUP(Tabla1[[#This Row],[Perfil]],Catalogos!$B$75:$D$100,3,FALSE)*Tabla1[[#This Row],[Tiempo
(Hrs 00/100)]]*1.16</f>
        <v>6496</v>
      </c>
    </row>
    <row r="1268" spans="1:26" ht="15" customHeight="1" x14ac:dyDescent="0.3">
      <c r="A1268" s="530" t="s">
        <v>22</v>
      </c>
      <c r="B1268" s="530" t="s">
        <v>23</v>
      </c>
      <c r="C1268" s="205" t="s">
        <v>155</v>
      </c>
      <c r="D1268" s="382"/>
      <c r="E1268" s="373" t="s">
        <v>408</v>
      </c>
      <c r="F1268" s="370" t="s">
        <v>23</v>
      </c>
      <c r="G1268" s="370"/>
      <c r="H1268" s="461" t="s">
        <v>405</v>
      </c>
      <c r="I1268" s="539" t="s">
        <v>1807</v>
      </c>
      <c r="J1268" s="721">
        <v>45163</v>
      </c>
      <c r="K1268" s="747">
        <v>0.375</v>
      </c>
      <c r="L1268" s="721">
        <v>45163</v>
      </c>
      <c r="M1268" s="763">
        <v>0.5</v>
      </c>
      <c r="N1268" s="540">
        <v>3</v>
      </c>
      <c r="O1268" s="184" t="s">
        <v>17</v>
      </c>
      <c r="P1268" s="305" t="s">
        <v>462</v>
      </c>
      <c r="Q1268" s="801" t="s">
        <v>1120</v>
      </c>
      <c r="R1268" s="508" t="s">
        <v>40</v>
      </c>
      <c r="S1268" s="31" t="s">
        <v>273</v>
      </c>
      <c r="T1268" s="31" t="s">
        <v>273</v>
      </c>
      <c r="U1268" s="31">
        <f>IFERROR(VLOOKUP(CONCATENATE(Tabla1[[#This Row],[Severidad]]," ",Tabla1[[#This Row],[Complejidad]]),Catalogos!E$120:G$128,3,FALSE),"")</f>
        <v>64</v>
      </c>
      <c r="V1268" s="31" t="str">
        <f>IF(Tabla1[[#This Row],[Tiempo solución max (hrs)]]&lt;&gt;"",IF(Tabla1[[#This Row],[Tiempo solución max (hrs)]]&gt;=Tabla1[[#This Row],[Tiempo
(Hrs 00/100)]],"cumple","no cumple"),"")</f>
        <v>cumple</v>
      </c>
      <c r="W1268" s="376" t="s">
        <v>1814</v>
      </c>
      <c r="X1268" s="377" t="str">
        <f t="shared" si="123"/>
        <v>DS</v>
      </c>
      <c r="Y1268" t="str">
        <f>SUBSTITUTE(Tabla1[[#This Row],[Descripción]],CHAR(10),"    I    ")</f>
        <v>Mejoras header pnt frontend Angular</v>
      </c>
      <c r="Z1268" s="142">
        <f>VLOOKUP(Tabla1[[#This Row],[Perfil]],Catalogos!$B$75:$D$100,3,FALSE)*Tabla1[[#This Row],[Tiempo
(Hrs 00/100)]]*1.16</f>
        <v>2436</v>
      </c>
    </row>
    <row r="1269" spans="1:26" ht="15" customHeight="1" x14ac:dyDescent="0.3">
      <c r="A1269" s="530" t="s">
        <v>22</v>
      </c>
      <c r="B1269" s="530" t="s">
        <v>23</v>
      </c>
      <c r="C1269" s="205" t="s">
        <v>155</v>
      </c>
      <c r="D1269" s="382"/>
      <c r="E1269" s="373" t="s">
        <v>408</v>
      </c>
      <c r="F1269" s="370" t="s">
        <v>23</v>
      </c>
      <c r="G1269" s="370"/>
      <c r="H1269" s="461" t="s">
        <v>405</v>
      </c>
      <c r="I1269" s="539" t="s">
        <v>1808</v>
      </c>
      <c r="J1269" s="721">
        <v>45163</v>
      </c>
      <c r="K1269" s="763">
        <v>0.5</v>
      </c>
      <c r="L1269" s="721">
        <v>45163</v>
      </c>
      <c r="M1269" s="763">
        <v>0.625</v>
      </c>
      <c r="N1269" s="540">
        <v>3</v>
      </c>
      <c r="O1269" s="184" t="s">
        <v>17</v>
      </c>
      <c r="P1269" s="305" t="s">
        <v>462</v>
      </c>
      <c r="Q1269" s="801" t="s">
        <v>1120</v>
      </c>
      <c r="R1269" s="508" t="s">
        <v>40</v>
      </c>
      <c r="S1269" s="31" t="s">
        <v>273</v>
      </c>
      <c r="T1269" s="31" t="s">
        <v>273</v>
      </c>
      <c r="U1269" s="31">
        <f>IFERROR(VLOOKUP(CONCATENATE(Tabla1[[#This Row],[Severidad]]," ",Tabla1[[#This Row],[Complejidad]]),Catalogos!E$120:G$128,3,FALSE),"")</f>
        <v>64</v>
      </c>
      <c r="V1269" s="31" t="str">
        <f>IF(Tabla1[[#This Row],[Tiempo solución max (hrs)]]&lt;&gt;"",IF(Tabla1[[#This Row],[Tiempo solución max (hrs)]]&gt;=Tabla1[[#This Row],[Tiempo
(Hrs 00/100)]],"cumple","no cumple"),"")</f>
        <v>cumple</v>
      </c>
      <c r="W1269" s="376" t="s">
        <v>1814</v>
      </c>
      <c r="X1269" s="377" t="str">
        <f t="shared" si="123"/>
        <v>DS</v>
      </c>
      <c r="Y1269" t="str">
        <f>SUBSTITUTE(Tabla1[[#This Row],[Descripción]],CHAR(10),"    I    ")</f>
        <v>Mejoras iconos header  y se agregan imágenes pnt y transparencia al header</v>
      </c>
      <c r="Z1269" s="142">
        <f>VLOOKUP(Tabla1[[#This Row],[Perfil]],Catalogos!$B$75:$D$100,3,FALSE)*Tabla1[[#This Row],[Tiempo
(Hrs 00/100)]]*1.16</f>
        <v>2436</v>
      </c>
    </row>
    <row r="1270" spans="1:26" ht="15" customHeight="1" x14ac:dyDescent="0.3">
      <c r="A1270" s="530" t="s">
        <v>22</v>
      </c>
      <c r="B1270" s="530" t="s">
        <v>23</v>
      </c>
      <c r="C1270" s="205" t="s">
        <v>155</v>
      </c>
      <c r="D1270" s="382"/>
      <c r="E1270" s="373" t="s">
        <v>408</v>
      </c>
      <c r="F1270" s="370" t="s">
        <v>23</v>
      </c>
      <c r="G1270" s="370"/>
      <c r="H1270" s="461" t="s">
        <v>405</v>
      </c>
      <c r="I1270" s="539" t="s">
        <v>1809</v>
      </c>
      <c r="J1270" s="721">
        <v>45166</v>
      </c>
      <c r="K1270" s="747">
        <v>0.375</v>
      </c>
      <c r="L1270" s="721">
        <v>45166</v>
      </c>
      <c r="M1270" s="763">
        <v>0.70833333333333337</v>
      </c>
      <c r="N1270" s="540">
        <v>6</v>
      </c>
      <c r="O1270" s="184" t="s">
        <v>17</v>
      </c>
      <c r="P1270" s="305" t="s">
        <v>462</v>
      </c>
      <c r="Q1270" s="801" t="s">
        <v>1120</v>
      </c>
      <c r="R1270" s="508" t="s">
        <v>40</v>
      </c>
      <c r="S1270" s="31" t="s">
        <v>273</v>
      </c>
      <c r="T1270" s="31" t="s">
        <v>273</v>
      </c>
      <c r="U1270" s="31">
        <f>IFERROR(VLOOKUP(CONCATENATE(Tabla1[[#This Row],[Severidad]]," ",Tabla1[[#This Row],[Complejidad]]),Catalogos!E$120:G$128,3,FALSE),"")</f>
        <v>64</v>
      </c>
      <c r="V1270" s="31" t="str">
        <f>IF(Tabla1[[#This Row],[Tiempo solución max (hrs)]]&lt;&gt;"",IF(Tabla1[[#This Row],[Tiempo solución max (hrs)]]&gt;=Tabla1[[#This Row],[Tiempo
(Hrs 00/100)]],"cumple","no cumple"),"")</f>
        <v>cumple</v>
      </c>
      <c r="W1270" s="376" t="s">
        <v>1814</v>
      </c>
      <c r="X1270" s="377" t="str">
        <f t="shared" si="123"/>
        <v>DS</v>
      </c>
      <c r="Y1270" t="str">
        <f>SUBSTITUTE(Tabla1[[#This Row],[Descripción]],CHAR(10),"    I    ")</f>
        <v>Implementación servicios pantalla consulta mis cargas masivas</v>
      </c>
      <c r="Z1270" s="142">
        <f>VLOOKUP(Tabla1[[#This Row],[Perfil]],Catalogos!$B$75:$D$100,3,FALSE)*Tabla1[[#This Row],[Tiempo
(Hrs 00/100)]]*1.16</f>
        <v>4872</v>
      </c>
    </row>
    <row r="1271" spans="1:26" ht="15" customHeight="1" x14ac:dyDescent="0.3">
      <c r="A1271" s="530" t="s">
        <v>22</v>
      </c>
      <c r="B1271" s="530" t="s">
        <v>23</v>
      </c>
      <c r="C1271" s="205" t="s">
        <v>155</v>
      </c>
      <c r="D1271" s="382"/>
      <c r="E1271" s="373" t="s">
        <v>408</v>
      </c>
      <c r="F1271" s="370" t="s">
        <v>23</v>
      </c>
      <c r="G1271" s="370"/>
      <c r="H1271" s="461" t="s">
        <v>405</v>
      </c>
      <c r="I1271" s="539" t="s">
        <v>1810</v>
      </c>
      <c r="J1271" s="721">
        <v>45166</v>
      </c>
      <c r="K1271" s="763">
        <v>0.70833333333333337</v>
      </c>
      <c r="L1271" s="721">
        <v>45166</v>
      </c>
      <c r="M1271" s="763">
        <v>0.83333333333333337</v>
      </c>
      <c r="N1271" s="540">
        <v>3</v>
      </c>
      <c r="O1271" s="184" t="s">
        <v>411</v>
      </c>
      <c r="P1271" s="305" t="s">
        <v>462</v>
      </c>
      <c r="Q1271" s="801" t="s">
        <v>1120</v>
      </c>
      <c r="R1271" s="508" t="s">
        <v>40</v>
      </c>
      <c r="S1271" s="31" t="s">
        <v>273</v>
      </c>
      <c r="T1271" s="31" t="s">
        <v>273</v>
      </c>
      <c r="U1271" s="31">
        <f>IFERROR(VLOOKUP(CONCATENATE(Tabla1[[#This Row],[Severidad]]," ",Tabla1[[#This Row],[Complejidad]]),Catalogos!E$120:G$128,3,FALSE),"")</f>
        <v>64</v>
      </c>
      <c r="V1271" s="31" t="str">
        <f>IF(Tabla1[[#This Row],[Tiempo solución max (hrs)]]&lt;&gt;"",IF(Tabla1[[#This Row],[Tiempo solución max (hrs)]]&gt;=Tabla1[[#This Row],[Tiempo
(Hrs 00/100)]],"cumple","no cumple"),"")</f>
        <v>cumple</v>
      </c>
      <c r="W1271" s="376" t="s">
        <v>1814</v>
      </c>
      <c r="X1271" s="377" t="str">
        <f t="shared" si="123"/>
        <v>DS</v>
      </c>
      <c r="Y1271" t="str">
        <f>SUBSTITUTE(Tabla1[[#This Row],[Descripción]],CHAR(10),"    I    ")</f>
        <v>Implementación servicios pantalla detalle carga masiva</v>
      </c>
      <c r="Z1271" s="142">
        <f>VLOOKUP(Tabla1[[#This Row],[Perfil]],Catalogos!$B$75:$D$100,3,FALSE)*Tabla1[[#This Row],[Tiempo
(Hrs 00/100)]]*1.16</f>
        <v>2436</v>
      </c>
    </row>
    <row r="1272" spans="1:26" ht="15" customHeight="1" x14ac:dyDescent="0.3">
      <c r="A1272" s="530" t="s">
        <v>22</v>
      </c>
      <c r="B1272" s="530" t="s">
        <v>23</v>
      </c>
      <c r="C1272" s="205" t="s">
        <v>155</v>
      </c>
      <c r="D1272" s="382"/>
      <c r="E1272" s="373" t="s">
        <v>408</v>
      </c>
      <c r="F1272" s="370" t="s">
        <v>23</v>
      </c>
      <c r="G1272" s="370"/>
      <c r="H1272" s="461" t="s">
        <v>405</v>
      </c>
      <c r="I1272" s="539" t="s">
        <v>1810</v>
      </c>
      <c r="J1272" s="721">
        <v>45167</v>
      </c>
      <c r="K1272" s="763">
        <v>0.375</v>
      </c>
      <c r="L1272" s="721">
        <v>45167</v>
      </c>
      <c r="M1272" s="763">
        <v>0.5</v>
      </c>
      <c r="N1272" s="540">
        <v>3</v>
      </c>
      <c r="O1272" s="184" t="s">
        <v>17</v>
      </c>
      <c r="P1272" s="305" t="s">
        <v>462</v>
      </c>
      <c r="Q1272" s="801" t="s">
        <v>1120</v>
      </c>
      <c r="R1272" s="508" t="s">
        <v>40</v>
      </c>
      <c r="S1272" s="31" t="s">
        <v>273</v>
      </c>
      <c r="T1272" s="31" t="s">
        <v>273</v>
      </c>
      <c r="U1272" s="31">
        <f>IFERROR(VLOOKUP(CONCATENATE(Tabla1[[#This Row],[Severidad]]," ",Tabla1[[#This Row],[Complejidad]]),Catalogos!E$120:G$128,3,FALSE),"")</f>
        <v>64</v>
      </c>
      <c r="V1272" s="31" t="str">
        <f>IF(Tabla1[[#This Row],[Tiempo solución max (hrs)]]&lt;&gt;"",IF(Tabla1[[#This Row],[Tiempo solución max (hrs)]]&gt;=Tabla1[[#This Row],[Tiempo
(Hrs 00/100)]],"cumple","no cumple"),"")</f>
        <v>cumple</v>
      </c>
      <c r="W1272" s="376" t="s">
        <v>1814</v>
      </c>
      <c r="X1272" s="377" t="str">
        <f t="shared" ref="X1272" si="125">IF(C1272&lt;&gt;"",C1272,D1272)</f>
        <v>DS</v>
      </c>
      <c r="Y1272" t="str">
        <f>SUBSTITUTE(Tabla1[[#This Row],[Descripción]],CHAR(10),"    I    ")</f>
        <v>Implementación servicios pantalla detalle carga masiva</v>
      </c>
      <c r="Z1272" s="142">
        <f>VLOOKUP(Tabla1[[#This Row],[Perfil]],Catalogos!$B$75:$D$100,3,FALSE)*Tabla1[[#This Row],[Tiempo
(Hrs 00/100)]]*1.16</f>
        <v>2436</v>
      </c>
    </row>
    <row r="1273" spans="1:26" ht="15" customHeight="1" x14ac:dyDescent="0.3">
      <c r="A1273" s="530" t="s">
        <v>22</v>
      </c>
      <c r="B1273" s="530" t="s">
        <v>23</v>
      </c>
      <c r="C1273" s="205" t="s">
        <v>155</v>
      </c>
      <c r="D1273" s="382"/>
      <c r="E1273" s="373" t="s">
        <v>408</v>
      </c>
      <c r="F1273" s="370" t="s">
        <v>23</v>
      </c>
      <c r="G1273" s="370"/>
      <c r="H1273" s="461" t="s">
        <v>405</v>
      </c>
      <c r="I1273" s="539" t="s">
        <v>1811</v>
      </c>
      <c r="J1273" s="721">
        <v>45167</v>
      </c>
      <c r="K1273" s="763">
        <v>0.5</v>
      </c>
      <c r="L1273" s="721">
        <v>45167</v>
      </c>
      <c r="M1273" s="763">
        <v>0.83333333333333337</v>
      </c>
      <c r="N1273" s="540">
        <v>6</v>
      </c>
      <c r="O1273" s="184" t="s">
        <v>17</v>
      </c>
      <c r="P1273" s="305" t="s">
        <v>462</v>
      </c>
      <c r="Q1273" s="801" t="s">
        <v>1120</v>
      </c>
      <c r="R1273" s="508" t="s">
        <v>40</v>
      </c>
      <c r="S1273" s="31" t="s">
        <v>273</v>
      </c>
      <c r="T1273" s="31" t="s">
        <v>273</v>
      </c>
      <c r="U1273" s="31">
        <f>IFERROR(VLOOKUP(CONCATENATE(Tabla1[[#This Row],[Severidad]]," ",Tabla1[[#This Row],[Complejidad]]),Catalogos!E$120:G$128,3,FALSE),"")</f>
        <v>64</v>
      </c>
      <c r="V1273" s="31" t="str">
        <f>IF(Tabla1[[#This Row],[Tiempo solución max (hrs)]]&lt;&gt;"",IF(Tabla1[[#This Row],[Tiempo solución max (hrs)]]&gt;=Tabla1[[#This Row],[Tiempo
(Hrs 00/100)]],"cumple","no cumple"),"")</f>
        <v>cumple</v>
      </c>
      <c r="W1273" s="376" t="s">
        <v>1814</v>
      </c>
      <c r="X1273" s="377" t="str">
        <f t="shared" si="123"/>
        <v>DS</v>
      </c>
      <c r="Y1273" t="str">
        <f>SUBSTITUTE(Tabla1[[#This Row],[Descripción]],CHAR(10),"    I    ")</f>
        <v>Rediseño detalle de solicitud en el expando row</v>
      </c>
      <c r="Z1273" s="142">
        <f>VLOOKUP(Tabla1[[#This Row],[Perfil]],Catalogos!$B$75:$D$100,3,FALSE)*Tabla1[[#This Row],[Tiempo
(Hrs 00/100)]]*1.16</f>
        <v>4872</v>
      </c>
    </row>
    <row r="1274" spans="1:26" ht="28.05" customHeight="1" x14ac:dyDescent="0.3">
      <c r="A1274" s="530" t="s">
        <v>22</v>
      </c>
      <c r="B1274" s="530" t="s">
        <v>23</v>
      </c>
      <c r="C1274" s="205" t="s">
        <v>155</v>
      </c>
      <c r="D1274" s="382"/>
      <c r="E1274" s="373" t="s">
        <v>408</v>
      </c>
      <c r="F1274" s="370" t="s">
        <v>23</v>
      </c>
      <c r="G1274" s="370"/>
      <c r="H1274" s="461" t="s">
        <v>405</v>
      </c>
      <c r="I1274" s="539" t="s">
        <v>1812</v>
      </c>
      <c r="J1274" s="721">
        <v>45168</v>
      </c>
      <c r="K1274" s="747">
        <v>0.375</v>
      </c>
      <c r="L1274" s="721">
        <v>45168</v>
      </c>
      <c r="M1274" s="753">
        <v>0.79166666666666663</v>
      </c>
      <c r="N1274" s="540">
        <v>8</v>
      </c>
      <c r="O1274" s="184" t="s">
        <v>17</v>
      </c>
      <c r="P1274" s="305" t="s">
        <v>462</v>
      </c>
      <c r="Q1274" s="801" t="s">
        <v>1120</v>
      </c>
      <c r="R1274" s="508" t="s">
        <v>40</v>
      </c>
      <c r="S1274" s="31" t="s">
        <v>273</v>
      </c>
      <c r="T1274" s="31" t="s">
        <v>273</v>
      </c>
      <c r="U1274" s="31">
        <f>IFERROR(VLOOKUP(CONCATENATE(Tabla1[[#This Row],[Severidad]]," ",Tabla1[[#This Row],[Complejidad]]),Catalogos!E$120:G$128,3,FALSE),"")</f>
        <v>64</v>
      </c>
      <c r="V1274" s="31" t="str">
        <f>IF(Tabla1[[#This Row],[Tiempo solución max (hrs)]]&lt;&gt;"",IF(Tabla1[[#This Row],[Tiempo solución max (hrs)]]&gt;=Tabla1[[#This Row],[Tiempo
(Hrs 00/100)]],"cumple","no cumple"),"")</f>
        <v>cumple</v>
      </c>
      <c r="W1274" s="376" t="s">
        <v>1814</v>
      </c>
      <c r="X1274" s="377" t="str">
        <f t="shared" si="123"/>
        <v>DS</v>
      </c>
      <c r="Y1274" t="str">
        <f>SUBSTITUTE(Tabla1[[#This Row],[Descripción]],CHAR(10),"    I    ")</f>
        <v>Se agrega logica para la descarga de adjuntos en el detalle de la solicitud ya que al cambiar el rediseño la logica cambio</v>
      </c>
      <c r="Z1274" s="142">
        <f>VLOOKUP(Tabla1[[#This Row],[Perfil]],Catalogos!$B$75:$D$100,3,FALSE)*Tabla1[[#This Row],[Tiempo
(Hrs 00/100)]]*1.16</f>
        <v>6496</v>
      </c>
    </row>
    <row r="1275" spans="1:26" ht="15" customHeight="1" x14ac:dyDescent="0.3">
      <c r="A1275" s="530" t="s">
        <v>22</v>
      </c>
      <c r="B1275" s="530" t="s">
        <v>23</v>
      </c>
      <c r="C1275" s="205" t="s">
        <v>155</v>
      </c>
      <c r="D1275" s="382"/>
      <c r="E1275" s="373" t="s">
        <v>408</v>
      </c>
      <c r="F1275" s="370" t="s">
        <v>23</v>
      </c>
      <c r="G1275" s="370"/>
      <c r="H1275" s="461" t="s">
        <v>405</v>
      </c>
      <c r="I1275" s="539" t="s">
        <v>1813</v>
      </c>
      <c r="J1275" s="721">
        <v>45169</v>
      </c>
      <c r="K1275" s="763">
        <v>0.375</v>
      </c>
      <c r="L1275" s="721">
        <v>45169</v>
      </c>
      <c r="M1275" s="763">
        <v>0.75</v>
      </c>
      <c r="N1275" s="540">
        <v>7</v>
      </c>
      <c r="O1275" s="184" t="s">
        <v>17</v>
      </c>
      <c r="P1275" s="305" t="s">
        <v>462</v>
      </c>
      <c r="Q1275" s="801" t="s">
        <v>1120</v>
      </c>
      <c r="R1275" s="508" t="s">
        <v>40</v>
      </c>
      <c r="S1275" s="31" t="s">
        <v>273</v>
      </c>
      <c r="T1275" s="31" t="s">
        <v>273</v>
      </c>
      <c r="U1275" s="31">
        <f>IFERROR(VLOOKUP(CONCATENATE(Tabla1[[#This Row],[Severidad]]," ",Tabla1[[#This Row],[Complejidad]]),Catalogos!E$120:G$128,3,FALSE),"")</f>
        <v>64</v>
      </c>
      <c r="V1275" s="31" t="str">
        <f>IF(Tabla1[[#This Row],[Tiempo solución max (hrs)]]&lt;&gt;"",IF(Tabla1[[#This Row],[Tiempo solución max (hrs)]]&gt;=Tabla1[[#This Row],[Tiempo
(Hrs 00/100)]],"cumple","no cumple"),"")</f>
        <v>cumple</v>
      </c>
      <c r="W1275" s="376" t="s">
        <v>1814</v>
      </c>
      <c r="X1275" s="377" t="str">
        <f t="shared" si="123"/>
        <v>DS</v>
      </c>
      <c r="Y1275" t="str">
        <f>SUBSTITUTE(Tabla1[[#This Row],[Descripción]],CHAR(10),"    I    ")</f>
        <v>Implementación pantalla seguimiento y consumo servicios descarga archivos</v>
      </c>
      <c r="Z1275" s="142">
        <f>VLOOKUP(Tabla1[[#This Row],[Perfil]],Catalogos!$B$75:$D$100,3,FALSE)*Tabla1[[#This Row],[Tiempo
(Hrs 00/100)]]*1.16</f>
        <v>5684</v>
      </c>
    </row>
    <row r="1276" spans="1:26" ht="15" customHeight="1" x14ac:dyDescent="0.3">
      <c r="A1276" s="530" t="s">
        <v>22</v>
      </c>
      <c r="B1276" s="530" t="s">
        <v>23</v>
      </c>
      <c r="C1276" s="205" t="s">
        <v>155</v>
      </c>
      <c r="D1276" s="382"/>
      <c r="E1276" s="373" t="s">
        <v>408</v>
      </c>
      <c r="F1276" s="370" t="s">
        <v>23</v>
      </c>
      <c r="G1276" s="370"/>
      <c r="H1276" s="461" t="s">
        <v>405</v>
      </c>
      <c r="I1276" s="545" t="s">
        <v>1815</v>
      </c>
      <c r="J1276" s="721">
        <v>45139</v>
      </c>
      <c r="K1276" s="763">
        <v>0.375</v>
      </c>
      <c r="L1276" s="721">
        <v>45139</v>
      </c>
      <c r="M1276" s="767">
        <v>0.54166666666666663</v>
      </c>
      <c r="N1276" s="542">
        <v>4</v>
      </c>
      <c r="O1276" s="184" t="s">
        <v>17</v>
      </c>
      <c r="P1276" s="535" t="s">
        <v>1462</v>
      </c>
      <c r="Q1276" s="752" t="s">
        <v>208</v>
      </c>
      <c r="R1276" s="508" t="s">
        <v>40</v>
      </c>
      <c r="S1276" s="31" t="s">
        <v>273</v>
      </c>
      <c r="T1276" s="31" t="s">
        <v>273</v>
      </c>
      <c r="U1276" s="31">
        <f>IFERROR(VLOOKUP(CONCATENATE(Tabla1[[#This Row],[Severidad]]," ",Tabla1[[#This Row],[Complejidad]]),Catalogos!E$120:G$128,3,FALSE),"")</f>
        <v>64</v>
      </c>
      <c r="V1276" s="31" t="str">
        <f>IF(Tabla1[[#This Row],[Tiempo solución max (hrs)]]&lt;&gt;"",IF(Tabla1[[#This Row],[Tiempo solución max (hrs)]]&gt;=Tabla1[[#This Row],[Tiempo
(Hrs 00/100)]],"cumple","no cumple"),"")</f>
        <v>cumple</v>
      </c>
      <c r="W1276" s="376" t="s">
        <v>1814</v>
      </c>
      <c r="X1276" s="377" t="str">
        <f t="shared" si="123"/>
        <v>DS</v>
      </c>
      <c r="Y1276" t="str">
        <f>SUBSTITUTE(Tabla1[[#This Row],[Descripción]],CHAR(10),"    I    ")</f>
        <v xml:space="preserve">   Desarrollar funcionalidad para editar Sector.</v>
      </c>
      <c r="Z1276" s="142">
        <f>VLOOKUP(Tabla1[[#This Row],[Perfil]],Catalogos!$B$75:$D$100,3,FALSE)*Tabla1[[#This Row],[Tiempo
(Hrs 00/100)]]*1.16</f>
        <v>3248</v>
      </c>
    </row>
    <row r="1277" spans="1:26" ht="15" customHeight="1" x14ac:dyDescent="0.3">
      <c r="A1277" s="530" t="s">
        <v>22</v>
      </c>
      <c r="B1277" s="530" t="s">
        <v>23</v>
      </c>
      <c r="C1277" s="205" t="s">
        <v>155</v>
      </c>
      <c r="D1277" s="382"/>
      <c r="E1277" s="373" t="s">
        <v>408</v>
      </c>
      <c r="F1277" s="370" t="s">
        <v>23</v>
      </c>
      <c r="G1277" s="370"/>
      <c r="H1277" s="461" t="s">
        <v>405</v>
      </c>
      <c r="I1277" s="545" t="s">
        <v>1816</v>
      </c>
      <c r="J1277" s="721">
        <v>45140</v>
      </c>
      <c r="K1277" s="763">
        <v>0.375</v>
      </c>
      <c r="L1277" s="721">
        <v>45140</v>
      </c>
      <c r="M1277" s="767">
        <v>0.54166666666666663</v>
      </c>
      <c r="N1277" s="544">
        <v>4</v>
      </c>
      <c r="O1277" s="184" t="s">
        <v>17</v>
      </c>
      <c r="P1277" s="535" t="s">
        <v>1462</v>
      </c>
      <c r="Q1277" s="752" t="s">
        <v>208</v>
      </c>
      <c r="R1277" s="508" t="s">
        <v>40</v>
      </c>
      <c r="S1277" s="31" t="s">
        <v>273</v>
      </c>
      <c r="T1277" s="31" t="s">
        <v>273</v>
      </c>
      <c r="U1277" s="31">
        <f>IFERROR(VLOOKUP(CONCATENATE(Tabla1[[#This Row],[Severidad]]," ",Tabla1[[#This Row],[Complejidad]]),Catalogos!E$120:G$128,3,FALSE),"")</f>
        <v>64</v>
      </c>
      <c r="V1277" s="31" t="str">
        <f>IF(Tabla1[[#This Row],[Tiempo solución max (hrs)]]&lt;&gt;"",IF(Tabla1[[#This Row],[Tiempo solución max (hrs)]]&gt;=Tabla1[[#This Row],[Tiempo
(Hrs 00/100)]],"cumple","no cumple"),"")</f>
        <v>cumple</v>
      </c>
      <c r="W1277" s="376" t="s">
        <v>1814</v>
      </c>
      <c r="X1277" s="377" t="str">
        <f t="shared" si="123"/>
        <v>DS</v>
      </c>
      <c r="Y1277" t="str">
        <f>SUBSTITUTE(Tabla1[[#This Row],[Descripción]],CHAR(10),"    I    ")</f>
        <v xml:space="preserve">   Desarrollar grid de Sectores.</v>
      </c>
      <c r="Z1277" s="142">
        <f>VLOOKUP(Tabla1[[#This Row],[Perfil]],Catalogos!$B$75:$D$100,3,FALSE)*Tabla1[[#This Row],[Tiempo
(Hrs 00/100)]]*1.16</f>
        <v>3248</v>
      </c>
    </row>
    <row r="1278" spans="1:26" ht="15" customHeight="1" x14ac:dyDescent="0.3">
      <c r="A1278" s="530" t="s">
        <v>22</v>
      </c>
      <c r="B1278" s="530" t="s">
        <v>23</v>
      </c>
      <c r="C1278" s="205" t="s">
        <v>155</v>
      </c>
      <c r="D1278" s="382"/>
      <c r="E1278" s="373" t="s">
        <v>408</v>
      </c>
      <c r="F1278" s="370" t="s">
        <v>23</v>
      </c>
      <c r="G1278" s="370"/>
      <c r="H1278" s="461" t="s">
        <v>405</v>
      </c>
      <c r="I1278" s="408" t="s">
        <v>1817</v>
      </c>
      <c r="J1278" s="721">
        <v>45141</v>
      </c>
      <c r="K1278" s="763">
        <v>0.375</v>
      </c>
      <c r="L1278" s="721">
        <v>45141</v>
      </c>
      <c r="M1278" s="767">
        <v>0.54166666666666663</v>
      </c>
      <c r="N1278" s="546">
        <v>4</v>
      </c>
      <c r="O1278" s="184" t="s">
        <v>17</v>
      </c>
      <c r="P1278" s="535" t="s">
        <v>1462</v>
      </c>
      <c r="Q1278" s="752" t="s">
        <v>208</v>
      </c>
      <c r="R1278" s="508" t="s">
        <v>40</v>
      </c>
      <c r="S1278" s="31" t="s">
        <v>273</v>
      </c>
      <c r="T1278" s="31" t="s">
        <v>273</v>
      </c>
      <c r="U1278" s="31">
        <f>IFERROR(VLOOKUP(CONCATENATE(Tabla1[[#This Row],[Severidad]]," ",Tabla1[[#This Row],[Complejidad]]),Catalogos!E$120:G$128,3,FALSE),"")</f>
        <v>64</v>
      </c>
      <c r="V1278" s="31" t="str">
        <f>IF(Tabla1[[#This Row],[Tiempo solución max (hrs)]]&lt;&gt;"",IF(Tabla1[[#This Row],[Tiempo solución max (hrs)]]&gt;=Tabla1[[#This Row],[Tiempo
(Hrs 00/100)]],"cumple","no cumple"),"")</f>
        <v>cumple</v>
      </c>
      <c r="W1278" s="376" t="s">
        <v>1814</v>
      </c>
      <c r="X1278" s="377" t="str">
        <f t="shared" si="123"/>
        <v>DS</v>
      </c>
      <c r="Y1278" t="str">
        <f>SUBSTITUTE(Tabla1[[#This Row],[Descripción]],CHAR(10),"    I    ")</f>
        <v xml:space="preserve">   Desarrollar funcionalidad para eliminación de Sectores</v>
      </c>
      <c r="Z1278" s="142">
        <f>VLOOKUP(Tabla1[[#This Row],[Perfil]],Catalogos!$B$75:$D$100,3,FALSE)*Tabla1[[#This Row],[Tiempo
(Hrs 00/100)]]*1.16</f>
        <v>3248</v>
      </c>
    </row>
    <row r="1279" spans="1:26" ht="15" customHeight="1" x14ac:dyDescent="0.3">
      <c r="A1279" s="530" t="s">
        <v>22</v>
      </c>
      <c r="B1279" s="530" t="s">
        <v>23</v>
      </c>
      <c r="C1279" s="205" t="s">
        <v>155</v>
      </c>
      <c r="D1279" s="382"/>
      <c r="E1279" s="373" t="s">
        <v>408</v>
      </c>
      <c r="F1279" s="370" t="s">
        <v>23</v>
      </c>
      <c r="G1279" s="370"/>
      <c r="H1279" s="461" t="s">
        <v>405</v>
      </c>
      <c r="I1279" s="408" t="s">
        <v>1818</v>
      </c>
      <c r="J1279" s="721">
        <v>45142</v>
      </c>
      <c r="K1279" s="763">
        <v>0.375</v>
      </c>
      <c r="L1279" s="721">
        <v>45142</v>
      </c>
      <c r="M1279" s="767">
        <v>0.54166666666666663</v>
      </c>
      <c r="N1279" s="546">
        <v>4</v>
      </c>
      <c r="O1279" s="184" t="s">
        <v>17</v>
      </c>
      <c r="P1279" s="535" t="s">
        <v>1462</v>
      </c>
      <c r="Q1279" s="752" t="s">
        <v>208</v>
      </c>
      <c r="R1279" s="508" t="s">
        <v>40</v>
      </c>
      <c r="S1279" s="31" t="s">
        <v>273</v>
      </c>
      <c r="T1279" s="31" t="s">
        <v>273</v>
      </c>
      <c r="U1279" s="31">
        <f>IFERROR(VLOOKUP(CONCATENATE(Tabla1[[#This Row],[Severidad]]," ",Tabla1[[#This Row],[Complejidad]]),Catalogos!E$120:G$128,3,FALSE),"")</f>
        <v>64</v>
      </c>
      <c r="V1279" s="31" t="str">
        <f>IF(Tabla1[[#This Row],[Tiempo solución max (hrs)]]&lt;&gt;"",IF(Tabla1[[#This Row],[Tiempo solución max (hrs)]]&gt;=Tabla1[[#This Row],[Tiempo
(Hrs 00/100)]],"cumple","no cumple"),"")</f>
        <v>cumple</v>
      </c>
      <c r="W1279" s="376" t="s">
        <v>1814</v>
      </c>
      <c r="X1279" s="377" t="str">
        <f t="shared" si="123"/>
        <v>DS</v>
      </c>
      <c r="Y1279" t="str">
        <f>SUBSTITUTE(Tabla1[[#This Row],[Descripción]],CHAR(10),"    I    ")</f>
        <v xml:space="preserve">   Desarrollar pantalla para agregar clasificación.</v>
      </c>
      <c r="Z1279" s="142">
        <f>VLOOKUP(Tabla1[[#This Row],[Perfil]],Catalogos!$B$75:$D$100,3,FALSE)*Tabla1[[#This Row],[Tiempo
(Hrs 00/100)]]*1.16</f>
        <v>3248</v>
      </c>
    </row>
    <row r="1280" spans="1:26" ht="15" customHeight="1" x14ac:dyDescent="0.3">
      <c r="A1280" s="530" t="s">
        <v>22</v>
      </c>
      <c r="B1280" s="530" t="s">
        <v>23</v>
      </c>
      <c r="C1280" s="205" t="s">
        <v>155</v>
      </c>
      <c r="D1280" s="382"/>
      <c r="E1280" s="373" t="s">
        <v>408</v>
      </c>
      <c r="F1280" s="370" t="s">
        <v>23</v>
      </c>
      <c r="G1280" s="370"/>
      <c r="H1280" s="461" t="s">
        <v>405</v>
      </c>
      <c r="I1280" s="408" t="s">
        <v>1819</v>
      </c>
      <c r="J1280" s="721">
        <v>45145</v>
      </c>
      <c r="K1280" s="763">
        <v>0.375</v>
      </c>
      <c r="L1280" s="721">
        <v>45145</v>
      </c>
      <c r="M1280" s="767">
        <v>0.54166666666666663</v>
      </c>
      <c r="N1280" s="546">
        <v>4</v>
      </c>
      <c r="O1280" s="184" t="s">
        <v>17</v>
      </c>
      <c r="P1280" s="535" t="s">
        <v>1462</v>
      </c>
      <c r="Q1280" s="752" t="s">
        <v>208</v>
      </c>
      <c r="R1280" s="508" t="s">
        <v>40</v>
      </c>
      <c r="S1280" s="31" t="s">
        <v>273</v>
      </c>
      <c r="T1280" s="31" t="s">
        <v>273</v>
      </c>
      <c r="U1280" s="31">
        <f>IFERROR(VLOOKUP(CONCATENATE(Tabla1[[#This Row],[Severidad]]," ",Tabla1[[#This Row],[Complejidad]]),Catalogos!E$120:G$128,3,FALSE),"")</f>
        <v>64</v>
      </c>
      <c r="V1280" s="31" t="str">
        <f>IF(Tabla1[[#This Row],[Tiempo solución max (hrs)]]&lt;&gt;"",IF(Tabla1[[#This Row],[Tiempo solución max (hrs)]]&gt;=Tabla1[[#This Row],[Tiempo
(Hrs 00/100)]],"cumple","no cumple"),"")</f>
        <v>cumple</v>
      </c>
      <c r="W1280" s="376" t="s">
        <v>1814</v>
      </c>
      <c r="X1280" s="377" t="str">
        <f t="shared" si="123"/>
        <v>DS</v>
      </c>
      <c r="Y1280" t="str">
        <f>SUBSTITUTE(Tabla1[[#This Row],[Descripción]],CHAR(10),"    I    ")</f>
        <v xml:space="preserve">   Desarrollar pantalla modal con funcionalidad de edición de Clasificaciones para agregar y editar SubClasificaciones</v>
      </c>
      <c r="Z1280" s="142">
        <f>VLOOKUP(Tabla1[[#This Row],[Perfil]],Catalogos!$B$75:$D$100,3,FALSE)*Tabla1[[#This Row],[Tiempo
(Hrs 00/100)]]*1.16</f>
        <v>3248</v>
      </c>
    </row>
    <row r="1281" spans="1:26" ht="15" customHeight="1" x14ac:dyDescent="0.3">
      <c r="A1281" s="530" t="s">
        <v>22</v>
      </c>
      <c r="B1281" s="530" t="s">
        <v>23</v>
      </c>
      <c r="C1281" s="205" t="s">
        <v>155</v>
      </c>
      <c r="D1281" s="382"/>
      <c r="E1281" s="373" t="s">
        <v>408</v>
      </c>
      <c r="F1281" s="370" t="s">
        <v>23</v>
      </c>
      <c r="G1281" s="370"/>
      <c r="H1281" s="461" t="s">
        <v>405</v>
      </c>
      <c r="I1281" s="408" t="s">
        <v>1820</v>
      </c>
      <c r="J1281" s="721">
        <v>45146</v>
      </c>
      <c r="K1281" s="763">
        <v>0.375</v>
      </c>
      <c r="L1281" s="721">
        <v>45146</v>
      </c>
      <c r="M1281" s="767">
        <v>0.54166666666666663</v>
      </c>
      <c r="N1281" s="546">
        <v>4</v>
      </c>
      <c r="O1281" s="184" t="s">
        <v>17</v>
      </c>
      <c r="P1281" s="535" t="s">
        <v>1462</v>
      </c>
      <c r="Q1281" s="752" t="s">
        <v>208</v>
      </c>
      <c r="R1281" s="508" t="s">
        <v>40</v>
      </c>
      <c r="S1281" s="31" t="s">
        <v>273</v>
      </c>
      <c r="T1281" s="31" t="s">
        <v>273</v>
      </c>
      <c r="U1281" s="31">
        <f>IFERROR(VLOOKUP(CONCATENATE(Tabla1[[#This Row],[Severidad]]," ",Tabla1[[#This Row],[Complejidad]]),Catalogos!E$120:G$128,3,FALSE),"")</f>
        <v>64</v>
      </c>
      <c r="V1281" s="31" t="str">
        <f>IF(Tabla1[[#This Row],[Tiempo solución max (hrs)]]&lt;&gt;"",IF(Tabla1[[#This Row],[Tiempo solución max (hrs)]]&gt;=Tabla1[[#This Row],[Tiempo
(Hrs 00/100)]],"cumple","no cumple"),"")</f>
        <v>cumple</v>
      </c>
      <c r="W1281" s="376" t="s">
        <v>1814</v>
      </c>
      <c r="X1281" s="377" t="str">
        <f t="shared" si="123"/>
        <v>DS</v>
      </c>
      <c r="Y1281" t="str">
        <f>SUBSTITUTE(Tabla1[[#This Row],[Descripción]],CHAR(10),"    I    ")</f>
        <v xml:space="preserve">   Desarrollar grid de Clasificaciones</v>
      </c>
      <c r="Z1281" s="142">
        <f>VLOOKUP(Tabla1[[#This Row],[Perfil]],Catalogos!$B$75:$D$100,3,FALSE)*Tabla1[[#This Row],[Tiempo
(Hrs 00/100)]]*1.16</f>
        <v>3248</v>
      </c>
    </row>
    <row r="1282" spans="1:26" ht="15" customHeight="1" x14ac:dyDescent="0.3">
      <c r="A1282" s="530" t="s">
        <v>22</v>
      </c>
      <c r="B1282" s="530" t="s">
        <v>23</v>
      </c>
      <c r="C1282" s="205" t="s">
        <v>155</v>
      </c>
      <c r="D1282" s="382"/>
      <c r="E1282" s="373" t="s">
        <v>408</v>
      </c>
      <c r="F1282" s="370" t="s">
        <v>23</v>
      </c>
      <c r="G1282" s="370"/>
      <c r="H1282" s="461" t="s">
        <v>405</v>
      </c>
      <c r="I1282" s="408" t="s">
        <v>1821</v>
      </c>
      <c r="J1282" s="721">
        <v>45147</v>
      </c>
      <c r="K1282" s="763">
        <v>0.375</v>
      </c>
      <c r="L1282" s="721">
        <v>45147</v>
      </c>
      <c r="M1282" s="767">
        <v>0.54166666666666663</v>
      </c>
      <c r="N1282" s="546">
        <v>4</v>
      </c>
      <c r="O1282" s="184" t="s">
        <v>17</v>
      </c>
      <c r="P1282" s="535" t="s">
        <v>1462</v>
      </c>
      <c r="Q1282" s="752" t="s">
        <v>208</v>
      </c>
      <c r="R1282" s="508" t="s">
        <v>40</v>
      </c>
      <c r="S1282" s="31" t="s">
        <v>273</v>
      </c>
      <c r="T1282" s="31" t="s">
        <v>273</v>
      </c>
      <c r="U1282" s="31">
        <f>IFERROR(VLOOKUP(CONCATENATE(Tabla1[[#This Row],[Severidad]]," ",Tabla1[[#This Row],[Complejidad]]),Catalogos!E$120:G$128,3,FALSE),"")</f>
        <v>64</v>
      </c>
      <c r="V1282" s="31" t="str">
        <f>IF(Tabla1[[#This Row],[Tiempo solución max (hrs)]]&lt;&gt;"",IF(Tabla1[[#This Row],[Tiempo solución max (hrs)]]&gt;=Tabla1[[#This Row],[Tiempo
(Hrs 00/100)]],"cumple","no cumple"),"")</f>
        <v>cumple</v>
      </c>
      <c r="W1282" s="376" t="s">
        <v>1814</v>
      </c>
      <c r="X1282" s="377" t="str">
        <f t="shared" si="123"/>
        <v>DS</v>
      </c>
      <c r="Y1282" t="str">
        <f>SUBSTITUTE(Tabla1[[#This Row],[Descripción]],CHAR(10),"    I    ")</f>
        <v xml:space="preserve">   Desarrollar funcionalidad para eliminación de Clasificaciones</v>
      </c>
      <c r="Z1282" s="142">
        <f>VLOOKUP(Tabla1[[#This Row],[Perfil]],Catalogos!$B$75:$D$100,3,FALSE)*Tabla1[[#This Row],[Tiempo
(Hrs 00/100)]]*1.16</f>
        <v>3248</v>
      </c>
    </row>
    <row r="1283" spans="1:26" ht="15" customHeight="1" x14ac:dyDescent="0.3">
      <c r="A1283" s="530" t="s">
        <v>22</v>
      </c>
      <c r="B1283" s="530" t="s">
        <v>23</v>
      </c>
      <c r="C1283" s="205" t="s">
        <v>155</v>
      </c>
      <c r="D1283" s="382"/>
      <c r="E1283" s="373" t="s">
        <v>408</v>
      </c>
      <c r="F1283" s="370" t="s">
        <v>23</v>
      </c>
      <c r="G1283" s="370"/>
      <c r="H1283" s="461" t="s">
        <v>405</v>
      </c>
      <c r="I1283" s="408" t="s">
        <v>1822</v>
      </c>
      <c r="J1283" s="721">
        <v>45148</v>
      </c>
      <c r="K1283" s="763">
        <v>0.375</v>
      </c>
      <c r="L1283" s="721">
        <v>45148</v>
      </c>
      <c r="M1283" s="767">
        <v>0.54166666666666663</v>
      </c>
      <c r="N1283" s="546">
        <v>4</v>
      </c>
      <c r="O1283" s="184" t="s">
        <v>411</v>
      </c>
      <c r="P1283" s="535" t="s">
        <v>1462</v>
      </c>
      <c r="Q1283" s="752" t="s">
        <v>208</v>
      </c>
      <c r="R1283" s="508" t="s">
        <v>40</v>
      </c>
      <c r="S1283" s="31" t="s">
        <v>273</v>
      </c>
      <c r="T1283" s="31" t="s">
        <v>273</v>
      </c>
      <c r="U1283" s="31">
        <f>IFERROR(VLOOKUP(CONCATENATE(Tabla1[[#This Row],[Severidad]]," ",Tabla1[[#This Row],[Complejidad]]),Catalogos!E$120:G$128,3,FALSE),"")</f>
        <v>64</v>
      </c>
      <c r="V1283" s="31" t="str">
        <f>IF(Tabla1[[#This Row],[Tiempo solución max (hrs)]]&lt;&gt;"",IF(Tabla1[[#This Row],[Tiempo solución max (hrs)]]&gt;=Tabla1[[#This Row],[Tiempo
(Hrs 00/100)]],"cumple","no cumple"),"")</f>
        <v>cumple</v>
      </c>
      <c r="W1283" s="376" t="s">
        <v>1814</v>
      </c>
      <c r="X1283" s="377" t="str">
        <f t="shared" si="123"/>
        <v>DS</v>
      </c>
      <c r="Y1283" t="str">
        <f>SUBSTITUTE(Tabla1[[#This Row],[Descripción]],CHAR(10),"    I    ")</f>
        <v>Desarrollar servicios rest para datos abiertos de solicitudes y quejas</v>
      </c>
      <c r="Z1283" s="142">
        <f>VLOOKUP(Tabla1[[#This Row],[Perfil]],Catalogos!$B$75:$D$100,3,FALSE)*Tabla1[[#This Row],[Tiempo
(Hrs 00/100)]]*1.16</f>
        <v>3248</v>
      </c>
    </row>
    <row r="1284" spans="1:26" ht="15" customHeight="1" x14ac:dyDescent="0.3">
      <c r="A1284" s="530" t="s">
        <v>22</v>
      </c>
      <c r="B1284" s="530" t="s">
        <v>23</v>
      </c>
      <c r="C1284" s="205" t="s">
        <v>155</v>
      </c>
      <c r="D1284" s="382"/>
      <c r="E1284" s="373" t="s">
        <v>408</v>
      </c>
      <c r="F1284" s="370" t="s">
        <v>23</v>
      </c>
      <c r="G1284" s="370"/>
      <c r="H1284" s="461" t="s">
        <v>405</v>
      </c>
      <c r="I1284" s="408" t="s">
        <v>1822</v>
      </c>
      <c r="J1284" s="721">
        <v>45149</v>
      </c>
      <c r="K1284" s="763">
        <v>0.375</v>
      </c>
      <c r="L1284" s="721">
        <v>45149</v>
      </c>
      <c r="M1284" s="767">
        <v>0.54166666666666663</v>
      </c>
      <c r="N1284" s="546">
        <v>4</v>
      </c>
      <c r="O1284" s="184" t="s">
        <v>17</v>
      </c>
      <c r="P1284" s="535" t="s">
        <v>1462</v>
      </c>
      <c r="Q1284" s="752" t="s">
        <v>208</v>
      </c>
      <c r="R1284" s="508" t="s">
        <v>40</v>
      </c>
      <c r="S1284" s="31" t="s">
        <v>273</v>
      </c>
      <c r="T1284" s="31" t="s">
        <v>273</v>
      </c>
      <c r="U1284" s="31">
        <f>IFERROR(VLOOKUP(CONCATENATE(Tabla1[[#This Row],[Severidad]]," ",Tabla1[[#This Row],[Complejidad]]),Catalogos!E$120:G$128,3,FALSE),"")</f>
        <v>64</v>
      </c>
      <c r="V1284" s="31" t="str">
        <f>IF(Tabla1[[#This Row],[Tiempo solución max (hrs)]]&lt;&gt;"",IF(Tabla1[[#This Row],[Tiempo solución max (hrs)]]&gt;=Tabla1[[#This Row],[Tiempo
(Hrs 00/100)]],"cumple","no cumple"),"")</f>
        <v>cumple</v>
      </c>
      <c r="W1284" s="376" t="s">
        <v>1814</v>
      </c>
      <c r="X1284" s="377" t="str">
        <f t="shared" ref="X1284" si="126">IF(C1284&lt;&gt;"",C1284,D1284)</f>
        <v>DS</v>
      </c>
      <c r="Y1284" t="str">
        <f>SUBSTITUTE(Tabla1[[#This Row],[Descripción]],CHAR(10),"    I    ")</f>
        <v>Desarrollar servicios rest para datos abiertos de solicitudes y quejas</v>
      </c>
      <c r="Z1284" s="142">
        <f>VLOOKUP(Tabla1[[#This Row],[Perfil]],Catalogos!$B$75:$D$100,3,FALSE)*Tabla1[[#This Row],[Tiempo
(Hrs 00/100)]]*1.16</f>
        <v>3248</v>
      </c>
    </row>
    <row r="1285" spans="1:26" ht="15" customHeight="1" x14ac:dyDescent="0.3">
      <c r="A1285" s="530" t="s">
        <v>22</v>
      </c>
      <c r="B1285" s="530" t="s">
        <v>23</v>
      </c>
      <c r="C1285" s="205" t="s">
        <v>155</v>
      </c>
      <c r="D1285" s="382"/>
      <c r="E1285" s="373" t="s">
        <v>408</v>
      </c>
      <c r="F1285" s="370" t="s">
        <v>23</v>
      </c>
      <c r="G1285" s="370"/>
      <c r="H1285" s="461" t="s">
        <v>405</v>
      </c>
      <c r="I1285" s="408" t="s">
        <v>1823</v>
      </c>
      <c r="J1285" s="721">
        <v>45152</v>
      </c>
      <c r="K1285" s="747">
        <v>0.375</v>
      </c>
      <c r="L1285" s="721">
        <v>45152</v>
      </c>
      <c r="M1285" s="767">
        <v>0.54166666666666663</v>
      </c>
      <c r="N1285" s="546">
        <v>4</v>
      </c>
      <c r="O1285" s="184" t="s">
        <v>411</v>
      </c>
      <c r="P1285" s="535" t="s">
        <v>1462</v>
      </c>
      <c r="Q1285" s="752" t="s">
        <v>208</v>
      </c>
      <c r="R1285" s="508" t="s">
        <v>40</v>
      </c>
      <c r="S1285" s="31" t="s">
        <v>273</v>
      </c>
      <c r="T1285" s="31" t="s">
        <v>273</v>
      </c>
      <c r="U1285" s="31">
        <f>IFERROR(VLOOKUP(CONCATENATE(Tabla1[[#This Row],[Severidad]]," ",Tabla1[[#This Row],[Complejidad]]),Catalogos!E$120:G$128,3,FALSE),"")</f>
        <v>64</v>
      </c>
      <c r="V1285" s="31" t="str">
        <f>IF(Tabla1[[#This Row],[Tiempo solución max (hrs)]]&lt;&gt;"",IF(Tabla1[[#This Row],[Tiempo solución max (hrs)]]&gt;=Tabla1[[#This Row],[Tiempo
(Hrs 00/100)]],"cumple","no cumple"),"")</f>
        <v>cumple</v>
      </c>
      <c r="W1285" s="376" t="s">
        <v>1814</v>
      </c>
      <c r="X1285" s="377" t="str">
        <f t="shared" ref="X1285:X1294" si="127">IF(C1285&lt;&gt;"",C1285,D1285)</f>
        <v>DS</v>
      </c>
      <c r="Y1285" t="str">
        <f>SUBSTITUTE(Tabla1[[#This Row],[Descripción]],CHAR(10),"    I    ")</f>
        <v>Desarrollar servicios rest para datos abiertos de obligaciones de transparencia</v>
      </c>
      <c r="Z1285" s="142">
        <f>VLOOKUP(Tabla1[[#This Row],[Perfil]],Catalogos!$B$75:$D$100,3,FALSE)*Tabla1[[#This Row],[Tiempo
(Hrs 00/100)]]*1.16</f>
        <v>3248</v>
      </c>
    </row>
    <row r="1286" spans="1:26" ht="15" customHeight="1" x14ac:dyDescent="0.3">
      <c r="A1286" s="530" t="s">
        <v>22</v>
      </c>
      <c r="B1286" s="530" t="s">
        <v>23</v>
      </c>
      <c r="C1286" s="205" t="s">
        <v>155</v>
      </c>
      <c r="D1286" s="382"/>
      <c r="E1286" s="373" t="s">
        <v>408</v>
      </c>
      <c r="F1286" s="370" t="s">
        <v>23</v>
      </c>
      <c r="G1286" s="370"/>
      <c r="H1286" s="461" t="s">
        <v>405</v>
      </c>
      <c r="I1286" s="408" t="s">
        <v>1823</v>
      </c>
      <c r="J1286" s="721">
        <v>45153</v>
      </c>
      <c r="K1286" s="747">
        <v>0.375</v>
      </c>
      <c r="L1286" s="721">
        <v>45153</v>
      </c>
      <c r="M1286" s="767">
        <v>0.54166666666666663</v>
      </c>
      <c r="N1286" s="546">
        <v>4</v>
      </c>
      <c r="O1286" s="184" t="s">
        <v>411</v>
      </c>
      <c r="P1286" s="535" t="s">
        <v>1462</v>
      </c>
      <c r="Q1286" s="752" t="s">
        <v>208</v>
      </c>
      <c r="R1286" s="508" t="s">
        <v>40</v>
      </c>
      <c r="S1286" s="31" t="s">
        <v>273</v>
      </c>
      <c r="T1286" s="31" t="s">
        <v>273</v>
      </c>
      <c r="U1286" s="31">
        <f>IFERROR(VLOOKUP(CONCATENATE(Tabla1[[#This Row],[Severidad]]," ",Tabla1[[#This Row],[Complejidad]]),Catalogos!E$120:G$128,3,FALSE),"")</f>
        <v>64</v>
      </c>
      <c r="V1286" s="31" t="str">
        <f>IF(Tabla1[[#This Row],[Tiempo solución max (hrs)]]&lt;&gt;"",IF(Tabla1[[#This Row],[Tiempo solución max (hrs)]]&gt;=Tabla1[[#This Row],[Tiempo
(Hrs 00/100)]],"cumple","no cumple"),"")</f>
        <v>cumple</v>
      </c>
      <c r="W1286" s="376" t="s">
        <v>1814</v>
      </c>
      <c r="X1286" s="377" t="str">
        <f t="shared" ref="X1286:X1289" si="128">IF(C1286&lt;&gt;"",C1286,D1286)</f>
        <v>DS</v>
      </c>
      <c r="Y1286" t="str">
        <f>SUBSTITUTE(Tabla1[[#This Row],[Descripción]],CHAR(10),"    I    ")</f>
        <v>Desarrollar servicios rest para datos abiertos de obligaciones de transparencia</v>
      </c>
      <c r="Z1286" s="142">
        <f>VLOOKUP(Tabla1[[#This Row],[Perfil]],Catalogos!$B$75:$D$100,3,FALSE)*Tabla1[[#This Row],[Tiempo
(Hrs 00/100)]]*1.16</f>
        <v>3248</v>
      </c>
    </row>
    <row r="1287" spans="1:26" ht="15" customHeight="1" x14ac:dyDescent="0.3">
      <c r="A1287" s="530" t="s">
        <v>22</v>
      </c>
      <c r="B1287" s="530" t="s">
        <v>23</v>
      </c>
      <c r="C1287" s="205" t="s">
        <v>155</v>
      </c>
      <c r="D1287" s="382"/>
      <c r="E1287" s="373" t="s">
        <v>408</v>
      </c>
      <c r="F1287" s="370" t="s">
        <v>23</v>
      </c>
      <c r="G1287" s="370"/>
      <c r="H1287" s="461" t="s">
        <v>405</v>
      </c>
      <c r="I1287" s="408" t="s">
        <v>1823</v>
      </c>
      <c r="J1287" s="721">
        <v>45154</v>
      </c>
      <c r="K1287" s="747">
        <v>0.375</v>
      </c>
      <c r="L1287" s="721">
        <v>45154</v>
      </c>
      <c r="M1287" s="767">
        <v>0.54166666666666663</v>
      </c>
      <c r="N1287" s="546">
        <v>4</v>
      </c>
      <c r="O1287" s="184" t="s">
        <v>411</v>
      </c>
      <c r="P1287" s="535" t="s">
        <v>1462</v>
      </c>
      <c r="Q1287" s="752" t="s">
        <v>208</v>
      </c>
      <c r="R1287" s="508" t="s">
        <v>40</v>
      </c>
      <c r="S1287" s="31" t="s">
        <v>273</v>
      </c>
      <c r="T1287" s="31" t="s">
        <v>273</v>
      </c>
      <c r="U1287" s="31">
        <f>IFERROR(VLOOKUP(CONCATENATE(Tabla1[[#This Row],[Severidad]]," ",Tabla1[[#This Row],[Complejidad]]),Catalogos!E$120:G$128,3,FALSE),"")</f>
        <v>64</v>
      </c>
      <c r="V1287" s="31" t="str">
        <f>IF(Tabla1[[#This Row],[Tiempo solución max (hrs)]]&lt;&gt;"",IF(Tabla1[[#This Row],[Tiempo solución max (hrs)]]&gt;=Tabla1[[#This Row],[Tiempo
(Hrs 00/100)]],"cumple","no cumple"),"")</f>
        <v>cumple</v>
      </c>
      <c r="W1287" s="376" t="s">
        <v>1814</v>
      </c>
      <c r="X1287" s="377" t="str">
        <f t="shared" si="128"/>
        <v>DS</v>
      </c>
      <c r="Y1287" t="str">
        <f>SUBSTITUTE(Tabla1[[#This Row],[Descripción]],CHAR(10),"    I    ")</f>
        <v>Desarrollar servicios rest para datos abiertos de obligaciones de transparencia</v>
      </c>
      <c r="Z1287" s="142">
        <f>VLOOKUP(Tabla1[[#This Row],[Perfil]],Catalogos!$B$75:$D$100,3,FALSE)*Tabla1[[#This Row],[Tiempo
(Hrs 00/100)]]*1.16</f>
        <v>3248</v>
      </c>
    </row>
    <row r="1288" spans="1:26" ht="15" customHeight="1" x14ac:dyDescent="0.3">
      <c r="A1288" s="530" t="s">
        <v>22</v>
      </c>
      <c r="B1288" s="530" t="s">
        <v>23</v>
      </c>
      <c r="C1288" s="205" t="s">
        <v>155</v>
      </c>
      <c r="D1288" s="382"/>
      <c r="E1288" s="373" t="s">
        <v>408</v>
      </c>
      <c r="F1288" s="370" t="s">
        <v>23</v>
      </c>
      <c r="G1288" s="370"/>
      <c r="H1288" s="461" t="s">
        <v>405</v>
      </c>
      <c r="I1288" s="408" t="s">
        <v>1823</v>
      </c>
      <c r="J1288" s="721">
        <v>45155</v>
      </c>
      <c r="K1288" s="747">
        <v>0.375</v>
      </c>
      <c r="L1288" s="721">
        <v>45155</v>
      </c>
      <c r="M1288" s="767">
        <v>0.54166666666666663</v>
      </c>
      <c r="N1288" s="546">
        <v>4</v>
      </c>
      <c r="O1288" s="184" t="s">
        <v>411</v>
      </c>
      <c r="P1288" s="535" t="s">
        <v>1462</v>
      </c>
      <c r="Q1288" s="752" t="s">
        <v>208</v>
      </c>
      <c r="R1288" s="508" t="s">
        <v>40</v>
      </c>
      <c r="S1288" s="31" t="s">
        <v>273</v>
      </c>
      <c r="T1288" s="31" t="s">
        <v>273</v>
      </c>
      <c r="U1288" s="31">
        <f>IFERROR(VLOOKUP(CONCATENATE(Tabla1[[#This Row],[Severidad]]," ",Tabla1[[#This Row],[Complejidad]]),Catalogos!E$120:G$128,3,FALSE),"")</f>
        <v>64</v>
      </c>
      <c r="V1288" s="31" t="str">
        <f>IF(Tabla1[[#This Row],[Tiempo solución max (hrs)]]&lt;&gt;"",IF(Tabla1[[#This Row],[Tiempo solución max (hrs)]]&gt;=Tabla1[[#This Row],[Tiempo
(Hrs 00/100)]],"cumple","no cumple"),"")</f>
        <v>cumple</v>
      </c>
      <c r="W1288" s="376" t="s">
        <v>1814</v>
      </c>
      <c r="X1288" s="377" t="str">
        <f t="shared" si="128"/>
        <v>DS</v>
      </c>
      <c r="Y1288" t="str">
        <f>SUBSTITUTE(Tabla1[[#This Row],[Descripción]],CHAR(10),"    I    ")</f>
        <v>Desarrollar servicios rest para datos abiertos de obligaciones de transparencia</v>
      </c>
      <c r="Z1288" s="142">
        <f>VLOOKUP(Tabla1[[#This Row],[Perfil]],Catalogos!$B$75:$D$100,3,FALSE)*Tabla1[[#This Row],[Tiempo
(Hrs 00/100)]]*1.16</f>
        <v>3248</v>
      </c>
    </row>
    <row r="1289" spans="1:26" ht="15" customHeight="1" x14ac:dyDescent="0.3">
      <c r="A1289" s="530" t="s">
        <v>22</v>
      </c>
      <c r="B1289" s="530" t="s">
        <v>23</v>
      </c>
      <c r="C1289" s="205" t="s">
        <v>155</v>
      </c>
      <c r="D1289" s="382"/>
      <c r="E1289" s="373" t="s">
        <v>408</v>
      </c>
      <c r="F1289" s="370" t="s">
        <v>23</v>
      </c>
      <c r="G1289" s="370"/>
      <c r="H1289" s="461" t="s">
        <v>405</v>
      </c>
      <c r="I1289" s="408" t="s">
        <v>1823</v>
      </c>
      <c r="J1289" s="721">
        <v>45156</v>
      </c>
      <c r="K1289" s="747">
        <v>0.375</v>
      </c>
      <c r="L1289" s="721">
        <v>45156</v>
      </c>
      <c r="M1289" s="767">
        <v>0.54166666666666663</v>
      </c>
      <c r="N1289" s="546">
        <v>4</v>
      </c>
      <c r="O1289" s="184" t="s">
        <v>17</v>
      </c>
      <c r="P1289" s="535" t="s">
        <v>1462</v>
      </c>
      <c r="Q1289" s="752" t="s">
        <v>208</v>
      </c>
      <c r="R1289" s="508" t="s">
        <v>40</v>
      </c>
      <c r="S1289" s="31" t="s">
        <v>273</v>
      </c>
      <c r="T1289" s="31" t="s">
        <v>273</v>
      </c>
      <c r="U1289" s="31">
        <f>IFERROR(VLOOKUP(CONCATENATE(Tabla1[[#This Row],[Severidad]]," ",Tabla1[[#This Row],[Complejidad]]),Catalogos!E$120:G$128,3,FALSE),"")</f>
        <v>64</v>
      </c>
      <c r="V1289" s="31" t="str">
        <f>IF(Tabla1[[#This Row],[Tiempo solución max (hrs)]]&lt;&gt;"",IF(Tabla1[[#This Row],[Tiempo solución max (hrs)]]&gt;=Tabla1[[#This Row],[Tiempo
(Hrs 00/100)]],"cumple","no cumple"),"")</f>
        <v>cumple</v>
      </c>
      <c r="W1289" s="376" t="s">
        <v>1814</v>
      </c>
      <c r="X1289" s="377" t="str">
        <f t="shared" si="128"/>
        <v>DS</v>
      </c>
      <c r="Y1289" t="str">
        <f>SUBSTITUTE(Tabla1[[#This Row],[Descripción]],CHAR(10),"    I    ")</f>
        <v>Desarrollar servicios rest para datos abiertos de obligaciones de transparencia</v>
      </c>
      <c r="Z1289" s="142">
        <f>VLOOKUP(Tabla1[[#This Row],[Perfil]],Catalogos!$B$75:$D$100,3,FALSE)*Tabla1[[#This Row],[Tiempo
(Hrs 00/100)]]*1.16</f>
        <v>3248</v>
      </c>
    </row>
    <row r="1290" spans="1:26" ht="15" customHeight="1" x14ac:dyDescent="0.3">
      <c r="A1290" s="530" t="s">
        <v>22</v>
      </c>
      <c r="B1290" s="530" t="s">
        <v>23</v>
      </c>
      <c r="C1290" s="205" t="s">
        <v>155</v>
      </c>
      <c r="D1290" s="382"/>
      <c r="E1290" s="373" t="s">
        <v>408</v>
      </c>
      <c r="F1290" s="370" t="s">
        <v>23</v>
      </c>
      <c r="G1290" s="370"/>
      <c r="H1290" s="461" t="s">
        <v>405</v>
      </c>
      <c r="I1290" s="408" t="s">
        <v>1824</v>
      </c>
      <c r="J1290" s="720">
        <v>45159</v>
      </c>
      <c r="K1290" s="747">
        <v>0.375</v>
      </c>
      <c r="L1290" s="720">
        <v>45159</v>
      </c>
      <c r="M1290" s="767">
        <v>0.54166666666666663</v>
      </c>
      <c r="N1290" s="546">
        <v>4</v>
      </c>
      <c r="O1290" s="184" t="s">
        <v>17</v>
      </c>
      <c r="P1290" s="535" t="s">
        <v>1462</v>
      </c>
      <c r="Q1290" s="752" t="s">
        <v>208</v>
      </c>
      <c r="R1290" s="508" t="s">
        <v>40</v>
      </c>
      <c r="S1290" s="31" t="s">
        <v>273</v>
      </c>
      <c r="T1290" s="31" t="s">
        <v>273</v>
      </c>
      <c r="U1290" s="31">
        <f>IFERROR(VLOOKUP(CONCATENATE(Tabla1[[#This Row],[Severidad]]," ",Tabla1[[#This Row],[Complejidad]]),Catalogos!E$120:G$128,3,FALSE),"")</f>
        <v>64</v>
      </c>
      <c r="V1290" s="31" t="str">
        <f>IF(Tabla1[[#This Row],[Tiempo solución max (hrs)]]&lt;&gt;"",IF(Tabla1[[#This Row],[Tiempo solución max (hrs)]]&gt;=Tabla1[[#This Row],[Tiempo
(Hrs 00/100)]],"cumple","no cumple"),"")</f>
        <v>cumple</v>
      </c>
      <c r="W1290" s="376" t="s">
        <v>1814</v>
      </c>
      <c r="X1290" s="377" t="str">
        <f t="shared" si="127"/>
        <v>DS</v>
      </c>
      <c r="Y1290" t="str">
        <f>SUBSTITUTE(Tabla1[[#This Row],[Descripción]],CHAR(10),"    I    ")</f>
        <v>servicio para recuperación de usuarios, en base a texto (busqueda)</v>
      </c>
      <c r="Z1290" s="142">
        <f>VLOOKUP(Tabla1[[#This Row],[Perfil]],Catalogos!$B$75:$D$100,3,FALSE)*Tabla1[[#This Row],[Tiempo
(Hrs 00/100)]]*1.16</f>
        <v>3248</v>
      </c>
    </row>
    <row r="1291" spans="1:26" ht="15" customHeight="1" x14ac:dyDescent="0.3">
      <c r="A1291" s="530" t="s">
        <v>22</v>
      </c>
      <c r="B1291" s="530" t="s">
        <v>23</v>
      </c>
      <c r="C1291" s="205" t="s">
        <v>155</v>
      </c>
      <c r="D1291" s="382"/>
      <c r="E1291" s="373" t="s">
        <v>408</v>
      </c>
      <c r="F1291" s="370" t="s">
        <v>23</v>
      </c>
      <c r="G1291" s="370"/>
      <c r="H1291" s="461" t="s">
        <v>405</v>
      </c>
      <c r="I1291" s="408" t="s">
        <v>1825</v>
      </c>
      <c r="J1291" s="720">
        <v>45160</v>
      </c>
      <c r="K1291" s="747">
        <v>0.375</v>
      </c>
      <c r="L1291" s="720">
        <v>45160</v>
      </c>
      <c r="M1291" s="767">
        <v>0.54166666666666663</v>
      </c>
      <c r="N1291" s="546">
        <v>4</v>
      </c>
      <c r="O1291" s="184" t="s">
        <v>17</v>
      </c>
      <c r="P1291" s="535" t="s">
        <v>1462</v>
      </c>
      <c r="Q1291" s="752" t="s">
        <v>208</v>
      </c>
      <c r="R1291" s="508" t="s">
        <v>40</v>
      </c>
      <c r="S1291" s="31" t="s">
        <v>273</v>
      </c>
      <c r="T1291" s="31" t="s">
        <v>273</v>
      </c>
      <c r="U1291" s="31">
        <f>IFERROR(VLOOKUP(CONCATENATE(Tabla1[[#This Row],[Severidad]]," ",Tabla1[[#This Row],[Complejidad]]),Catalogos!E$120:G$128,3,FALSE),"")</f>
        <v>64</v>
      </c>
      <c r="V1291" s="31" t="str">
        <f>IF(Tabla1[[#This Row],[Tiempo solución max (hrs)]]&lt;&gt;"",IF(Tabla1[[#This Row],[Tiempo solución max (hrs)]]&gt;=Tabla1[[#This Row],[Tiempo
(Hrs 00/100)]],"cumple","no cumple"),"")</f>
        <v>cumple</v>
      </c>
      <c r="W1291" s="376" t="s">
        <v>1814</v>
      </c>
      <c r="X1291" s="377" t="str">
        <f t="shared" si="127"/>
        <v>DS</v>
      </c>
      <c r="Y1291" t="str">
        <f>SUBSTITUTE(Tabla1[[#This Row],[Descripción]],CHAR(10),"    I    ")</f>
        <v>servicio para alta de usuarios</v>
      </c>
      <c r="Z1291" s="142">
        <f>VLOOKUP(Tabla1[[#This Row],[Perfil]],Catalogos!$B$75:$D$100,3,FALSE)*Tabla1[[#This Row],[Tiempo
(Hrs 00/100)]]*1.16</f>
        <v>3248</v>
      </c>
    </row>
    <row r="1292" spans="1:26" ht="15" customHeight="1" x14ac:dyDescent="0.3">
      <c r="A1292" s="530" t="s">
        <v>22</v>
      </c>
      <c r="B1292" s="530" t="s">
        <v>23</v>
      </c>
      <c r="C1292" s="205" t="s">
        <v>155</v>
      </c>
      <c r="D1292" s="382"/>
      <c r="E1292" s="373" t="s">
        <v>408</v>
      </c>
      <c r="F1292" s="370" t="s">
        <v>23</v>
      </c>
      <c r="G1292" s="370"/>
      <c r="H1292" s="461" t="s">
        <v>405</v>
      </c>
      <c r="I1292" s="408" t="s">
        <v>1826</v>
      </c>
      <c r="J1292" s="720">
        <v>45161</v>
      </c>
      <c r="K1292" s="747">
        <v>0.375</v>
      </c>
      <c r="L1292" s="720">
        <v>45161</v>
      </c>
      <c r="M1292" s="767">
        <v>0.54166666666666663</v>
      </c>
      <c r="N1292" s="546">
        <v>4</v>
      </c>
      <c r="O1292" s="184" t="s">
        <v>17</v>
      </c>
      <c r="P1292" s="535" t="s">
        <v>1462</v>
      </c>
      <c r="Q1292" s="752" t="s">
        <v>208</v>
      </c>
      <c r="R1292" s="508" t="s">
        <v>40</v>
      </c>
      <c r="S1292" s="31" t="s">
        <v>273</v>
      </c>
      <c r="T1292" s="31" t="s">
        <v>273</v>
      </c>
      <c r="U1292" s="31">
        <f>IFERROR(VLOOKUP(CONCATENATE(Tabla1[[#This Row],[Severidad]]," ",Tabla1[[#This Row],[Complejidad]]),Catalogos!E$120:G$128,3,FALSE),"")</f>
        <v>64</v>
      </c>
      <c r="V1292" s="31" t="str">
        <f>IF(Tabla1[[#This Row],[Tiempo solución max (hrs)]]&lt;&gt;"",IF(Tabla1[[#This Row],[Tiempo solución max (hrs)]]&gt;=Tabla1[[#This Row],[Tiempo
(Hrs 00/100)]],"cumple","no cumple"),"")</f>
        <v>cumple</v>
      </c>
      <c r="W1292" s="376" t="s">
        <v>1814</v>
      </c>
      <c r="X1292" s="377" t="str">
        <f t="shared" si="127"/>
        <v>DS</v>
      </c>
      <c r="Y1292" t="str">
        <f>SUBSTITUTE(Tabla1[[#This Row],[Descripción]],CHAR(10),"    I    ")</f>
        <v>servicio para edición de usuarios</v>
      </c>
      <c r="Z1292" s="142">
        <f>VLOOKUP(Tabla1[[#This Row],[Perfil]],Catalogos!$B$75:$D$100,3,FALSE)*Tabla1[[#This Row],[Tiempo
(Hrs 00/100)]]*1.16</f>
        <v>3248</v>
      </c>
    </row>
    <row r="1293" spans="1:26" ht="15" customHeight="1" x14ac:dyDescent="0.3">
      <c r="A1293" s="530" t="s">
        <v>22</v>
      </c>
      <c r="B1293" s="530" t="s">
        <v>23</v>
      </c>
      <c r="C1293" s="205" t="s">
        <v>155</v>
      </c>
      <c r="D1293" s="382"/>
      <c r="E1293" s="373" t="s">
        <v>408</v>
      </c>
      <c r="F1293" s="370" t="s">
        <v>23</v>
      </c>
      <c r="G1293" s="370"/>
      <c r="H1293" s="461" t="s">
        <v>405</v>
      </c>
      <c r="I1293" s="408" t="s">
        <v>1827</v>
      </c>
      <c r="J1293" s="720">
        <v>45162</v>
      </c>
      <c r="K1293" s="747">
        <v>0.375</v>
      </c>
      <c r="L1293" s="720">
        <v>45162</v>
      </c>
      <c r="M1293" s="767">
        <v>0.54166666666666663</v>
      </c>
      <c r="N1293" s="547">
        <v>4</v>
      </c>
      <c r="O1293" s="184" t="s">
        <v>17</v>
      </c>
      <c r="P1293" s="535" t="s">
        <v>1462</v>
      </c>
      <c r="Q1293" s="752" t="s">
        <v>208</v>
      </c>
      <c r="R1293" s="508" t="s">
        <v>40</v>
      </c>
      <c r="S1293" s="31" t="s">
        <v>273</v>
      </c>
      <c r="T1293" s="31" t="s">
        <v>273</v>
      </c>
      <c r="U1293" s="31">
        <f>IFERROR(VLOOKUP(CONCATENATE(Tabla1[[#This Row],[Severidad]]," ",Tabla1[[#This Row],[Complejidad]]),Catalogos!E$120:G$128,3,FALSE),"")</f>
        <v>64</v>
      </c>
      <c r="V1293" s="31" t="str">
        <f>IF(Tabla1[[#This Row],[Tiempo solución max (hrs)]]&lt;&gt;"",IF(Tabla1[[#This Row],[Tiempo solución max (hrs)]]&gt;=Tabla1[[#This Row],[Tiempo
(Hrs 00/100)]],"cumple","no cumple"),"")</f>
        <v>cumple</v>
      </c>
      <c r="W1293" s="376" t="s">
        <v>1814</v>
      </c>
      <c r="X1293" s="377" t="str">
        <f t="shared" si="127"/>
        <v>DS</v>
      </c>
      <c r="Y1293" t="str">
        <f>SUBSTITUTE(Tabla1[[#This Row],[Descripción]],CHAR(10),"    I    ")</f>
        <v>servicio para cambio de contraseña</v>
      </c>
      <c r="Z1293" s="142">
        <f>VLOOKUP(Tabla1[[#This Row],[Perfil]],Catalogos!$B$75:$D$100,3,FALSE)*Tabla1[[#This Row],[Tiempo
(Hrs 00/100)]]*1.16</f>
        <v>3248</v>
      </c>
    </row>
    <row r="1294" spans="1:26" ht="15" customHeight="1" x14ac:dyDescent="0.3">
      <c r="A1294" s="530" t="s">
        <v>22</v>
      </c>
      <c r="B1294" s="530" t="s">
        <v>23</v>
      </c>
      <c r="C1294" s="205" t="s">
        <v>155</v>
      </c>
      <c r="D1294" s="382"/>
      <c r="E1294" s="373" t="s">
        <v>408</v>
      </c>
      <c r="F1294" s="370" t="s">
        <v>23</v>
      </c>
      <c r="G1294" s="370"/>
      <c r="H1294" s="461" t="s">
        <v>405</v>
      </c>
      <c r="I1294" s="408" t="s">
        <v>1828</v>
      </c>
      <c r="J1294" s="720">
        <v>45163</v>
      </c>
      <c r="K1294" s="747">
        <v>0.375</v>
      </c>
      <c r="L1294" s="720">
        <v>45163</v>
      </c>
      <c r="M1294" s="767">
        <v>0.54166666666666663</v>
      </c>
      <c r="N1294" s="547">
        <v>4</v>
      </c>
      <c r="O1294" s="184" t="s">
        <v>17</v>
      </c>
      <c r="P1294" s="535" t="s">
        <v>1462</v>
      </c>
      <c r="Q1294" s="752" t="s">
        <v>208</v>
      </c>
      <c r="R1294" s="508" t="s">
        <v>40</v>
      </c>
      <c r="S1294" s="31" t="s">
        <v>273</v>
      </c>
      <c r="T1294" s="31" t="s">
        <v>273</v>
      </c>
      <c r="U1294" s="31">
        <f>IFERROR(VLOOKUP(CONCATENATE(Tabla1[[#This Row],[Severidad]]," ",Tabla1[[#This Row],[Complejidad]]),Catalogos!E$120:G$128,3,FALSE),"")</f>
        <v>64</v>
      </c>
      <c r="V1294" s="31" t="str">
        <f>IF(Tabla1[[#This Row],[Tiempo solución max (hrs)]]&lt;&gt;"",IF(Tabla1[[#This Row],[Tiempo solución max (hrs)]]&gt;=Tabla1[[#This Row],[Tiempo
(Hrs 00/100)]],"cumple","no cumple"),"")</f>
        <v>cumple</v>
      </c>
      <c r="W1294" s="376" t="s">
        <v>1814</v>
      </c>
      <c r="X1294" s="377" t="str">
        <f t="shared" si="127"/>
        <v>DS</v>
      </c>
      <c r="Y1294" t="str">
        <f>SUBSTITUTE(Tabla1[[#This Row],[Descripción]],CHAR(10),"    I    ")</f>
        <v>servicio para activar/desactivar usuario</v>
      </c>
      <c r="Z1294" s="142">
        <f>VLOOKUP(Tabla1[[#This Row],[Perfil]],Catalogos!$B$75:$D$100,3,FALSE)*Tabla1[[#This Row],[Tiempo
(Hrs 00/100)]]*1.16</f>
        <v>3248</v>
      </c>
    </row>
    <row r="1295" spans="1:26" ht="15" customHeight="1" x14ac:dyDescent="0.3">
      <c r="A1295" s="548" t="s">
        <v>58</v>
      </c>
      <c r="B1295" s="548" t="s">
        <v>305</v>
      </c>
      <c r="C1295" s="549" t="s">
        <v>45</v>
      </c>
      <c r="D1295" s="548"/>
      <c r="E1295" s="548" t="s">
        <v>1399</v>
      </c>
      <c r="F1295" s="550" t="s">
        <v>74</v>
      </c>
      <c r="G1295" s="550" t="s">
        <v>604</v>
      </c>
      <c r="H1295" s="551" t="s">
        <v>1829</v>
      </c>
      <c r="I1295" s="551" t="s">
        <v>1830</v>
      </c>
      <c r="J1295" s="527">
        <v>45139</v>
      </c>
      <c r="K1295" s="528">
        <v>0.375</v>
      </c>
      <c r="L1295" s="527">
        <v>45139</v>
      </c>
      <c r="M1295" s="528">
        <v>0.83333333333333337</v>
      </c>
      <c r="N1295" s="552">
        <v>10</v>
      </c>
      <c r="O1295" s="25" t="s">
        <v>17</v>
      </c>
      <c r="P1295" s="553"/>
      <c r="Q1295" s="802" t="s">
        <v>1442</v>
      </c>
      <c r="R1295" s="554" t="s">
        <v>79</v>
      </c>
      <c r="S1295" s="31" t="s">
        <v>273</v>
      </c>
      <c r="T1295" s="31" t="s">
        <v>273</v>
      </c>
      <c r="U1295" s="31">
        <f>IFERROR(VLOOKUP(CONCATENATE(Tabla1[[#This Row],[Severidad]]," ",Tabla1[[#This Row],[Complejidad]]),Catalogos!E$120:G$128,3,FALSE),"")</f>
        <v>64</v>
      </c>
      <c r="V1295" s="31" t="str">
        <f>IF(Tabla1[[#This Row],[Tiempo solución max (hrs)]]&lt;&gt;"",IF(Tabla1[[#This Row],[Tiempo solución max (hrs)]]&gt;=Tabla1[[#This Row],[Tiempo
(Hrs 00/100)]],"cumple","no cumple"),"")</f>
        <v>cumple</v>
      </c>
      <c r="W1295" s="376" t="s">
        <v>1814</v>
      </c>
      <c r="X1295" s="377" t="str">
        <f t="shared" ref="X1295:X1340" si="129">IF(C1295&lt;&gt;"",C1295,D1295)</f>
        <v>SPD</v>
      </c>
      <c r="Y1295" t="str">
        <f>SUBSTITUTE(Tabla1[[#This Row],[Descripción]],CHAR(10),"    I    ")</f>
        <v>Se analizo la actualizacion de OLCNE a 1.7, pero el repositorio no estaba disponible</v>
      </c>
      <c r="Z1295" s="142">
        <f>VLOOKUP(Tabla1[[#This Row],[Perfil]],Catalogos!$B$75:$D$100,3,FALSE)*Tabla1[[#This Row],[Tiempo
(Hrs 00/100)]]*1.16</f>
        <v>6959.9999999999991</v>
      </c>
    </row>
    <row r="1296" spans="1:26" ht="15" customHeight="1" x14ac:dyDescent="0.3">
      <c r="A1296" s="548" t="s">
        <v>58</v>
      </c>
      <c r="B1296" s="548" t="s">
        <v>305</v>
      </c>
      <c r="C1296" s="549" t="s">
        <v>45</v>
      </c>
      <c r="D1296" s="548"/>
      <c r="E1296" s="548" t="s">
        <v>1399</v>
      </c>
      <c r="F1296" s="550" t="s">
        <v>74</v>
      </c>
      <c r="G1296" s="550" t="s">
        <v>604</v>
      </c>
      <c r="H1296" s="551" t="s">
        <v>1831</v>
      </c>
      <c r="I1296" s="551" t="s">
        <v>1832</v>
      </c>
      <c r="J1296" s="527">
        <v>45140</v>
      </c>
      <c r="K1296" s="528">
        <v>0.375</v>
      </c>
      <c r="L1296" s="527">
        <v>45140</v>
      </c>
      <c r="M1296" s="528">
        <v>0.83333333333333337</v>
      </c>
      <c r="N1296" s="552">
        <v>10</v>
      </c>
      <c r="O1296" s="25" t="s">
        <v>17</v>
      </c>
      <c r="P1296" s="553"/>
      <c r="Q1296" s="802" t="s">
        <v>1442</v>
      </c>
      <c r="R1296" s="554" t="s">
        <v>79</v>
      </c>
      <c r="S1296" s="31" t="s">
        <v>273</v>
      </c>
      <c r="T1296" s="31" t="s">
        <v>273</v>
      </c>
      <c r="U1296" s="31">
        <f>IFERROR(VLOOKUP(CONCATENATE(Tabla1[[#This Row],[Severidad]]," ",Tabla1[[#This Row],[Complejidad]]),Catalogos!E$120:G$128,3,FALSE),"")</f>
        <v>64</v>
      </c>
      <c r="V1296" s="31" t="str">
        <f>IF(Tabla1[[#This Row],[Tiempo solución max (hrs)]]&lt;&gt;"",IF(Tabla1[[#This Row],[Tiempo solución max (hrs)]]&gt;=Tabla1[[#This Row],[Tiempo
(Hrs 00/100)]],"cumple","no cumple"),"")</f>
        <v>cumple</v>
      </c>
      <c r="W1296" s="376" t="s">
        <v>1814</v>
      </c>
      <c r="X1296" s="377" t="str">
        <f t="shared" si="129"/>
        <v>SPD</v>
      </c>
      <c r="Y1296" t="str">
        <f>SUBSTITUTE(Tabla1[[#This Row],[Descripción]],CHAR(10),"    I    ")</f>
        <v>Se tuvo una sesion con los desarrolladores para enseñar lo que se hizo</v>
      </c>
      <c r="Z1296" s="142">
        <f>VLOOKUP(Tabla1[[#This Row],[Perfil]],Catalogos!$B$75:$D$100,3,FALSE)*Tabla1[[#This Row],[Tiempo
(Hrs 00/100)]]*1.16</f>
        <v>6959.9999999999991</v>
      </c>
    </row>
    <row r="1297" spans="1:26" ht="15" customHeight="1" x14ac:dyDescent="0.3">
      <c r="A1297" s="548" t="s">
        <v>58</v>
      </c>
      <c r="B1297" s="548" t="s">
        <v>305</v>
      </c>
      <c r="C1297" s="549" t="s">
        <v>45</v>
      </c>
      <c r="D1297" s="548"/>
      <c r="E1297" s="548" t="s">
        <v>1399</v>
      </c>
      <c r="F1297" s="550" t="s">
        <v>72</v>
      </c>
      <c r="G1297" s="550" t="s">
        <v>604</v>
      </c>
      <c r="H1297" s="551" t="s">
        <v>1833</v>
      </c>
      <c r="I1297" s="551" t="s">
        <v>1834</v>
      </c>
      <c r="J1297" s="708">
        <v>45141</v>
      </c>
      <c r="K1297" s="747">
        <v>0.375</v>
      </c>
      <c r="L1297" s="708">
        <v>45141</v>
      </c>
      <c r="M1297" s="555">
        <v>0.79166666666666663</v>
      </c>
      <c r="N1297" s="552">
        <v>8</v>
      </c>
      <c r="O1297" s="25" t="s">
        <v>17</v>
      </c>
      <c r="P1297" s="553"/>
      <c r="Q1297" s="802" t="s">
        <v>1442</v>
      </c>
      <c r="R1297" s="554" t="s">
        <v>79</v>
      </c>
      <c r="S1297" s="31" t="s">
        <v>273</v>
      </c>
      <c r="T1297" s="31" t="s">
        <v>273</v>
      </c>
      <c r="U1297" s="31">
        <f>IFERROR(VLOOKUP(CONCATENATE(Tabla1[[#This Row],[Severidad]]," ",Tabla1[[#This Row],[Complejidad]]),Catalogos!E$120:G$128,3,FALSE),"")</f>
        <v>64</v>
      </c>
      <c r="V1297" s="31" t="str">
        <f>IF(Tabla1[[#This Row],[Tiempo solución max (hrs)]]&lt;&gt;"",IF(Tabla1[[#This Row],[Tiempo solución max (hrs)]]&gt;=Tabla1[[#This Row],[Tiempo
(Hrs 00/100)]],"cumple","no cumple"),"")</f>
        <v>cumple</v>
      </c>
      <c r="W1297" s="376" t="s">
        <v>1814</v>
      </c>
      <c r="X1297" s="377" t="str">
        <f t="shared" si="129"/>
        <v>SPD</v>
      </c>
      <c r="Y1297" t="str">
        <f>SUBSTITUTE(Tabla1[[#This Row],[Descripción]],CHAR(10),"    I    ")</f>
        <v>Durante la sesion se pidio que se haga un demo de como seria ya usando el K8s, junto con lo que ya tienen</v>
      </c>
      <c r="Z1297" s="142">
        <f>VLOOKUP(Tabla1[[#This Row],[Perfil]],Catalogos!$B$75:$D$100,3,FALSE)*Tabla1[[#This Row],[Tiempo
(Hrs 00/100)]]*1.16</f>
        <v>5568</v>
      </c>
    </row>
    <row r="1298" spans="1:26" ht="15" customHeight="1" x14ac:dyDescent="0.3">
      <c r="A1298" s="548" t="s">
        <v>58</v>
      </c>
      <c r="B1298" s="548" t="s">
        <v>305</v>
      </c>
      <c r="C1298" s="549" t="s">
        <v>45</v>
      </c>
      <c r="D1298" s="548"/>
      <c r="E1298" s="548" t="s">
        <v>1399</v>
      </c>
      <c r="F1298" s="550" t="s">
        <v>72</v>
      </c>
      <c r="G1298" s="550" t="s">
        <v>604</v>
      </c>
      <c r="H1298" s="551" t="s">
        <v>1833</v>
      </c>
      <c r="I1298" s="551" t="s">
        <v>1834</v>
      </c>
      <c r="J1298" s="708">
        <v>45142</v>
      </c>
      <c r="K1298" s="747">
        <v>0.375</v>
      </c>
      <c r="L1298" s="708">
        <v>45142</v>
      </c>
      <c r="M1298" s="555">
        <v>0.79166666666666663</v>
      </c>
      <c r="N1298" s="552">
        <v>8</v>
      </c>
      <c r="O1298" s="25" t="s">
        <v>17</v>
      </c>
      <c r="P1298" s="553"/>
      <c r="Q1298" s="802" t="s">
        <v>1442</v>
      </c>
      <c r="R1298" s="554" t="s">
        <v>79</v>
      </c>
      <c r="S1298" s="31" t="s">
        <v>273</v>
      </c>
      <c r="T1298" s="31" t="s">
        <v>273</v>
      </c>
      <c r="U1298" s="31">
        <f>IFERROR(VLOOKUP(CONCATENATE(Tabla1[[#This Row],[Severidad]]," ",Tabla1[[#This Row],[Complejidad]]),Catalogos!E$120:G$128,3,FALSE),"")</f>
        <v>64</v>
      </c>
      <c r="V1298" s="31" t="str">
        <f>IF(Tabla1[[#This Row],[Tiempo solución max (hrs)]]&lt;&gt;"",IF(Tabla1[[#This Row],[Tiempo solución max (hrs)]]&gt;=Tabla1[[#This Row],[Tiempo
(Hrs 00/100)]],"cumple","no cumple"),"")</f>
        <v>cumple</v>
      </c>
      <c r="W1298" s="376" t="s">
        <v>1814</v>
      </c>
      <c r="X1298" s="377" t="str">
        <f t="shared" ref="X1298:X1300" si="130">IF(C1298&lt;&gt;"",C1298,D1298)</f>
        <v>SPD</v>
      </c>
      <c r="Y1298" t="str">
        <f>SUBSTITUTE(Tabla1[[#This Row],[Descripción]],CHAR(10),"    I    ")</f>
        <v>Durante la sesion se pidio que se haga un demo de como seria ya usando el K8s, junto con lo que ya tienen</v>
      </c>
      <c r="Z1298" s="142">
        <f>VLOOKUP(Tabla1[[#This Row],[Perfil]],Catalogos!$B$75:$D$100,3,FALSE)*Tabla1[[#This Row],[Tiempo
(Hrs 00/100)]]*1.16</f>
        <v>5568</v>
      </c>
    </row>
    <row r="1299" spans="1:26" ht="15" customHeight="1" x14ac:dyDescent="0.3">
      <c r="A1299" s="548" t="s">
        <v>58</v>
      </c>
      <c r="B1299" s="548" t="s">
        <v>305</v>
      </c>
      <c r="C1299" s="549" t="s">
        <v>45</v>
      </c>
      <c r="D1299" s="548"/>
      <c r="E1299" s="548" t="s">
        <v>1399</v>
      </c>
      <c r="F1299" s="550" t="s">
        <v>72</v>
      </c>
      <c r="G1299" s="550" t="s">
        <v>604</v>
      </c>
      <c r="H1299" s="551" t="s">
        <v>1833</v>
      </c>
      <c r="I1299" s="551" t="s">
        <v>1834</v>
      </c>
      <c r="J1299" s="708">
        <v>45143</v>
      </c>
      <c r="K1299" s="747">
        <v>0.375</v>
      </c>
      <c r="L1299" s="708">
        <v>45143</v>
      </c>
      <c r="M1299" s="555">
        <v>0.79166666666666663</v>
      </c>
      <c r="N1299" s="552">
        <v>8</v>
      </c>
      <c r="O1299" s="25" t="s">
        <v>17</v>
      </c>
      <c r="P1299" s="553"/>
      <c r="Q1299" s="802" t="s">
        <v>1442</v>
      </c>
      <c r="R1299" s="554" t="s">
        <v>79</v>
      </c>
      <c r="S1299" s="31" t="s">
        <v>273</v>
      </c>
      <c r="T1299" s="31" t="s">
        <v>273</v>
      </c>
      <c r="U1299" s="31">
        <f>IFERROR(VLOOKUP(CONCATENATE(Tabla1[[#This Row],[Severidad]]," ",Tabla1[[#This Row],[Complejidad]]),Catalogos!E$120:G$128,3,FALSE),"")</f>
        <v>64</v>
      </c>
      <c r="V1299" s="31" t="str">
        <f>IF(Tabla1[[#This Row],[Tiempo solución max (hrs)]]&lt;&gt;"",IF(Tabla1[[#This Row],[Tiempo solución max (hrs)]]&gt;=Tabla1[[#This Row],[Tiempo
(Hrs 00/100)]],"cumple","no cumple"),"")</f>
        <v>cumple</v>
      </c>
      <c r="W1299" s="376" t="s">
        <v>1814</v>
      </c>
      <c r="X1299" s="377" t="str">
        <f t="shared" si="130"/>
        <v>SPD</v>
      </c>
      <c r="Y1299" t="str">
        <f>SUBSTITUTE(Tabla1[[#This Row],[Descripción]],CHAR(10),"    I    ")</f>
        <v>Durante la sesion se pidio que se haga un demo de como seria ya usando el K8s, junto con lo que ya tienen</v>
      </c>
      <c r="Z1299" s="142">
        <f>VLOOKUP(Tabla1[[#This Row],[Perfil]],Catalogos!$B$75:$D$100,3,FALSE)*Tabla1[[#This Row],[Tiempo
(Hrs 00/100)]]*1.16</f>
        <v>5568</v>
      </c>
    </row>
    <row r="1300" spans="1:26" ht="15" customHeight="1" x14ac:dyDescent="0.3">
      <c r="A1300" s="548" t="s">
        <v>58</v>
      </c>
      <c r="B1300" s="548" t="s">
        <v>305</v>
      </c>
      <c r="C1300" s="549" t="s">
        <v>45</v>
      </c>
      <c r="D1300" s="548"/>
      <c r="E1300" s="548" t="s">
        <v>1399</v>
      </c>
      <c r="F1300" s="550" t="s">
        <v>72</v>
      </c>
      <c r="G1300" s="550" t="s">
        <v>604</v>
      </c>
      <c r="H1300" s="551" t="s">
        <v>1833</v>
      </c>
      <c r="I1300" s="551" t="s">
        <v>1834</v>
      </c>
      <c r="J1300" s="708">
        <v>45145</v>
      </c>
      <c r="K1300" s="747">
        <v>0.375</v>
      </c>
      <c r="L1300" s="708">
        <v>45145</v>
      </c>
      <c r="M1300" s="555">
        <v>0.79166666666666663</v>
      </c>
      <c r="N1300" s="552">
        <v>8</v>
      </c>
      <c r="O1300" s="25" t="s">
        <v>17</v>
      </c>
      <c r="P1300" s="553"/>
      <c r="Q1300" s="802" t="s">
        <v>1442</v>
      </c>
      <c r="R1300" s="554" t="s">
        <v>79</v>
      </c>
      <c r="S1300" s="31" t="s">
        <v>273</v>
      </c>
      <c r="T1300" s="31" t="s">
        <v>273</v>
      </c>
      <c r="U1300" s="31">
        <f>IFERROR(VLOOKUP(CONCATENATE(Tabla1[[#This Row],[Severidad]]," ",Tabla1[[#This Row],[Complejidad]]),Catalogos!E$120:G$128,3,FALSE),"")</f>
        <v>64</v>
      </c>
      <c r="V1300" s="31" t="str">
        <f>IF(Tabla1[[#This Row],[Tiempo solución max (hrs)]]&lt;&gt;"",IF(Tabla1[[#This Row],[Tiempo solución max (hrs)]]&gt;=Tabla1[[#This Row],[Tiempo
(Hrs 00/100)]],"cumple","no cumple"),"")</f>
        <v>cumple</v>
      </c>
      <c r="W1300" s="376" t="s">
        <v>1814</v>
      </c>
      <c r="X1300" s="377" t="str">
        <f t="shared" si="130"/>
        <v>SPD</v>
      </c>
      <c r="Y1300" t="str">
        <f>SUBSTITUTE(Tabla1[[#This Row],[Descripción]],CHAR(10),"    I    ")</f>
        <v>Durante la sesion se pidio que se haga un demo de como seria ya usando el K8s, junto con lo que ya tienen</v>
      </c>
      <c r="Z1300" s="142">
        <f>VLOOKUP(Tabla1[[#This Row],[Perfil]],Catalogos!$B$75:$D$100,3,FALSE)*Tabla1[[#This Row],[Tiempo
(Hrs 00/100)]]*1.16</f>
        <v>5568</v>
      </c>
    </row>
    <row r="1301" spans="1:26" ht="15.45" customHeight="1" x14ac:dyDescent="0.3">
      <c r="A1301" s="548" t="s">
        <v>58</v>
      </c>
      <c r="B1301" s="548" t="s">
        <v>305</v>
      </c>
      <c r="C1301" s="549" t="s">
        <v>45</v>
      </c>
      <c r="D1301" s="548"/>
      <c r="E1301" s="548" t="s">
        <v>1399</v>
      </c>
      <c r="F1301" s="550" t="s">
        <v>72</v>
      </c>
      <c r="G1301" s="550" t="s">
        <v>604</v>
      </c>
      <c r="H1301" s="551" t="s">
        <v>1835</v>
      </c>
      <c r="I1301" s="551" t="s">
        <v>1836</v>
      </c>
      <c r="J1301" s="527">
        <v>45146</v>
      </c>
      <c r="K1301" s="747">
        <v>0.375</v>
      </c>
      <c r="L1301" s="527">
        <v>45146</v>
      </c>
      <c r="M1301" s="555">
        <v>0.79166666666666663</v>
      </c>
      <c r="N1301" s="552">
        <v>8</v>
      </c>
      <c r="O1301" s="25" t="s">
        <v>411</v>
      </c>
      <c r="P1301" s="553"/>
      <c r="Q1301" s="802" t="s">
        <v>1442</v>
      </c>
      <c r="R1301" s="554" t="s">
        <v>79</v>
      </c>
      <c r="S1301" s="31" t="s">
        <v>273</v>
      </c>
      <c r="T1301" s="31" t="s">
        <v>273</v>
      </c>
      <c r="U1301" s="31">
        <f>IFERROR(VLOOKUP(CONCATENATE(Tabla1[[#This Row],[Severidad]]," ",Tabla1[[#This Row],[Complejidad]]),Catalogos!E$120:G$128,3,FALSE),"")</f>
        <v>64</v>
      </c>
      <c r="V1301" s="31" t="str">
        <f>IF(Tabla1[[#This Row],[Tiempo solución max (hrs)]]&lt;&gt;"",IF(Tabla1[[#This Row],[Tiempo solución max (hrs)]]&gt;=Tabla1[[#This Row],[Tiempo
(Hrs 00/100)]],"cumple","no cumple"),"")</f>
        <v>cumple</v>
      </c>
      <c r="W1301" s="376" t="s">
        <v>1814</v>
      </c>
      <c r="X1301" s="377" t="str">
        <f t="shared" si="129"/>
        <v>SPD</v>
      </c>
      <c r="Y1301" t="str">
        <f>SUBSTITUTE(Tabla1[[#This Row],[Descripción]],CHAR(10),"    I    ")</f>
        <v>Documentacion de faltante junto con el caso de uso</v>
      </c>
      <c r="Z1301" s="142">
        <f>VLOOKUP(Tabla1[[#This Row],[Perfil]],Catalogos!$B$75:$D$100,3,FALSE)*Tabla1[[#This Row],[Tiempo
(Hrs 00/100)]]*1.16</f>
        <v>5568</v>
      </c>
    </row>
    <row r="1302" spans="1:26" ht="15.45" customHeight="1" x14ac:dyDescent="0.3">
      <c r="A1302" s="548" t="s">
        <v>58</v>
      </c>
      <c r="B1302" s="548" t="s">
        <v>305</v>
      </c>
      <c r="C1302" s="549" t="s">
        <v>45</v>
      </c>
      <c r="D1302" s="548"/>
      <c r="E1302" s="548" t="s">
        <v>1399</v>
      </c>
      <c r="F1302" s="550" t="s">
        <v>72</v>
      </c>
      <c r="G1302" s="550" t="s">
        <v>604</v>
      </c>
      <c r="H1302" s="551" t="s">
        <v>1835</v>
      </c>
      <c r="I1302" s="551" t="s">
        <v>1836</v>
      </c>
      <c r="J1302" s="527">
        <v>45147</v>
      </c>
      <c r="K1302" s="747">
        <v>0.375</v>
      </c>
      <c r="L1302" s="527">
        <v>45147</v>
      </c>
      <c r="M1302" s="555">
        <v>0.79166666666666663</v>
      </c>
      <c r="N1302" s="552">
        <v>8</v>
      </c>
      <c r="O1302" s="25" t="s">
        <v>411</v>
      </c>
      <c r="P1302" s="553"/>
      <c r="Q1302" s="802" t="s">
        <v>1442</v>
      </c>
      <c r="R1302" s="554" t="s">
        <v>79</v>
      </c>
      <c r="S1302" s="31" t="s">
        <v>273</v>
      </c>
      <c r="T1302" s="31" t="s">
        <v>273</v>
      </c>
      <c r="U1302" s="31">
        <f>IFERROR(VLOOKUP(CONCATENATE(Tabla1[[#This Row],[Severidad]]," ",Tabla1[[#This Row],[Complejidad]]),Catalogos!E$120:G$128,3,FALSE),"")</f>
        <v>64</v>
      </c>
      <c r="V1302" s="31" t="str">
        <f>IF(Tabla1[[#This Row],[Tiempo solución max (hrs)]]&lt;&gt;"",IF(Tabla1[[#This Row],[Tiempo solución max (hrs)]]&gt;=Tabla1[[#This Row],[Tiempo
(Hrs 00/100)]],"cumple","no cumple"),"")</f>
        <v>cumple</v>
      </c>
      <c r="W1302" s="376" t="s">
        <v>1814</v>
      </c>
      <c r="X1302" s="377" t="str">
        <f t="shared" ref="X1302:X1305" si="131">IF(C1302&lt;&gt;"",C1302,D1302)</f>
        <v>SPD</v>
      </c>
      <c r="Y1302" t="str">
        <f>SUBSTITUTE(Tabla1[[#This Row],[Descripción]],CHAR(10),"    I    ")</f>
        <v>Documentacion de faltante junto con el caso de uso</v>
      </c>
      <c r="Z1302" s="142">
        <f>VLOOKUP(Tabla1[[#This Row],[Perfil]],Catalogos!$B$75:$D$100,3,FALSE)*Tabla1[[#This Row],[Tiempo
(Hrs 00/100)]]*1.16</f>
        <v>5568</v>
      </c>
    </row>
    <row r="1303" spans="1:26" ht="15.45" customHeight="1" x14ac:dyDescent="0.3">
      <c r="A1303" s="548" t="s">
        <v>58</v>
      </c>
      <c r="B1303" s="548" t="s">
        <v>305</v>
      </c>
      <c r="C1303" s="549" t="s">
        <v>45</v>
      </c>
      <c r="D1303" s="548"/>
      <c r="E1303" s="548" t="s">
        <v>1399</v>
      </c>
      <c r="F1303" s="550" t="s">
        <v>72</v>
      </c>
      <c r="G1303" s="550" t="s">
        <v>604</v>
      </c>
      <c r="H1303" s="551" t="s">
        <v>1835</v>
      </c>
      <c r="I1303" s="551" t="s">
        <v>1836</v>
      </c>
      <c r="J1303" s="527">
        <v>45148</v>
      </c>
      <c r="K1303" s="747">
        <v>0.375</v>
      </c>
      <c r="L1303" s="527">
        <v>45148</v>
      </c>
      <c r="M1303" s="555">
        <v>0.79166666666666663</v>
      </c>
      <c r="N1303" s="552">
        <v>8</v>
      </c>
      <c r="O1303" s="25" t="s">
        <v>411</v>
      </c>
      <c r="P1303" s="553"/>
      <c r="Q1303" s="802" t="s">
        <v>1442</v>
      </c>
      <c r="R1303" s="554" t="s">
        <v>79</v>
      </c>
      <c r="S1303" s="31" t="s">
        <v>273</v>
      </c>
      <c r="T1303" s="31" t="s">
        <v>273</v>
      </c>
      <c r="U1303" s="31">
        <f>IFERROR(VLOOKUP(CONCATENATE(Tabla1[[#This Row],[Severidad]]," ",Tabla1[[#This Row],[Complejidad]]),Catalogos!E$120:G$128,3,FALSE),"")</f>
        <v>64</v>
      </c>
      <c r="V1303" s="31" t="str">
        <f>IF(Tabla1[[#This Row],[Tiempo solución max (hrs)]]&lt;&gt;"",IF(Tabla1[[#This Row],[Tiempo solución max (hrs)]]&gt;=Tabla1[[#This Row],[Tiempo
(Hrs 00/100)]],"cumple","no cumple"),"")</f>
        <v>cumple</v>
      </c>
      <c r="W1303" s="376" t="s">
        <v>1814</v>
      </c>
      <c r="X1303" s="377" t="str">
        <f t="shared" si="131"/>
        <v>SPD</v>
      </c>
      <c r="Y1303" t="str">
        <f>SUBSTITUTE(Tabla1[[#This Row],[Descripción]],CHAR(10),"    I    ")</f>
        <v>Documentacion de faltante junto con el caso de uso</v>
      </c>
      <c r="Z1303" s="142">
        <f>VLOOKUP(Tabla1[[#This Row],[Perfil]],Catalogos!$B$75:$D$100,3,FALSE)*Tabla1[[#This Row],[Tiempo
(Hrs 00/100)]]*1.16</f>
        <v>5568</v>
      </c>
    </row>
    <row r="1304" spans="1:26" ht="15.45" customHeight="1" x14ac:dyDescent="0.3">
      <c r="A1304" s="548" t="s">
        <v>58</v>
      </c>
      <c r="B1304" s="548" t="s">
        <v>305</v>
      </c>
      <c r="C1304" s="549" t="s">
        <v>45</v>
      </c>
      <c r="D1304" s="548"/>
      <c r="E1304" s="548" t="s">
        <v>1399</v>
      </c>
      <c r="F1304" s="550" t="s">
        <v>72</v>
      </c>
      <c r="G1304" s="550" t="s">
        <v>604</v>
      </c>
      <c r="H1304" s="551" t="s">
        <v>1835</v>
      </c>
      <c r="I1304" s="551" t="s">
        <v>1836</v>
      </c>
      <c r="J1304" s="527">
        <v>45149</v>
      </c>
      <c r="K1304" s="747">
        <v>0.375</v>
      </c>
      <c r="L1304" s="527">
        <v>45149</v>
      </c>
      <c r="M1304" s="555">
        <v>0.72916666666666663</v>
      </c>
      <c r="N1304" s="552">
        <v>6.5</v>
      </c>
      <c r="O1304" s="25" t="s">
        <v>411</v>
      </c>
      <c r="P1304" s="553"/>
      <c r="Q1304" s="802" t="s">
        <v>1442</v>
      </c>
      <c r="R1304" s="554" t="s">
        <v>79</v>
      </c>
      <c r="S1304" s="31" t="s">
        <v>273</v>
      </c>
      <c r="T1304" s="31" t="s">
        <v>273</v>
      </c>
      <c r="U1304" s="31">
        <f>IFERROR(VLOOKUP(CONCATENATE(Tabla1[[#This Row],[Severidad]]," ",Tabla1[[#This Row],[Complejidad]]),Catalogos!E$120:G$128,3,FALSE),"")</f>
        <v>64</v>
      </c>
      <c r="V1304" s="31" t="str">
        <f>IF(Tabla1[[#This Row],[Tiempo solución max (hrs)]]&lt;&gt;"",IF(Tabla1[[#This Row],[Tiempo solución max (hrs)]]&gt;=Tabla1[[#This Row],[Tiempo
(Hrs 00/100)]],"cumple","no cumple"),"")</f>
        <v>cumple</v>
      </c>
      <c r="W1304" s="376" t="s">
        <v>1814</v>
      </c>
      <c r="X1304" s="377" t="str">
        <f t="shared" si="131"/>
        <v>SPD</v>
      </c>
      <c r="Y1304" t="str">
        <f>SUBSTITUTE(Tabla1[[#This Row],[Descripción]],CHAR(10),"    I    ")</f>
        <v>Documentacion de faltante junto con el caso de uso</v>
      </c>
      <c r="Z1304" s="142">
        <f>VLOOKUP(Tabla1[[#This Row],[Perfil]],Catalogos!$B$75:$D$100,3,FALSE)*Tabla1[[#This Row],[Tiempo
(Hrs 00/100)]]*1.16</f>
        <v>4524</v>
      </c>
    </row>
    <row r="1305" spans="1:26" ht="15.45" customHeight="1" x14ac:dyDescent="0.3">
      <c r="A1305" s="548" t="s">
        <v>58</v>
      </c>
      <c r="B1305" s="548" t="s">
        <v>305</v>
      </c>
      <c r="C1305" s="549" t="s">
        <v>45</v>
      </c>
      <c r="D1305" s="548"/>
      <c r="E1305" s="548" t="s">
        <v>1399</v>
      </c>
      <c r="F1305" s="550" t="s">
        <v>72</v>
      </c>
      <c r="G1305" s="550" t="s">
        <v>604</v>
      </c>
      <c r="H1305" s="551" t="s">
        <v>1835</v>
      </c>
      <c r="I1305" s="551" t="s">
        <v>1836</v>
      </c>
      <c r="J1305" s="527">
        <v>45152</v>
      </c>
      <c r="K1305" s="747">
        <v>0.375</v>
      </c>
      <c r="L1305" s="527">
        <v>45152</v>
      </c>
      <c r="M1305" s="555">
        <v>0.79166666666666663</v>
      </c>
      <c r="N1305" s="552">
        <v>8</v>
      </c>
      <c r="O1305" s="25" t="s">
        <v>17</v>
      </c>
      <c r="P1305" s="553"/>
      <c r="Q1305" s="802" t="s">
        <v>1442</v>
      </c>
      <c r="R1305" s="554" t="s">
        <v>79</v>
      </c>
      <c r="S1305" s="31" t="s">
        <v>273</v>
      </c>
      <c r="T1305" s="31" t="s">
        <v>273</v>
      </c>
      <c r="U1305" s="31">
        <f>IFERROR(VLOOKUP(CONCATENATE(Tabla1[[#This Row],[Severidad]]," ",Tabla1[[#This Row],[Complejidad]]),Catalogos!E$120:G$128,3,FALSE),"")</f>
        <v>64</v>
      </c>
      <c r="V1305" s="31" t="str">
        <f>IF(Tabla1[[#This Row],[Tiempo solución max (hrs)]]&lt;&gt;"",IF(Tabla1[[#This Row],[Tiempo solución max (hrs)]]&gt;=Tabla1[[#This Row],[Tiempo
(Hrs 00/100)]],"cumple","no cumple"),"")</f>
        <v>cumple</v>
      </c>
      <c r="W1305" s="376" t="s">
        <v>1814</v>
      </c>
      <c r="X1305" s="377" t="str">
        <f t="shared" si="131"/>
        <v>SPD</v>
      </c>
      <c r="Y1305" t="str">
        <f>SUBSTITUTE(Tabla1[[#This Row],[Descripción]],CHAR(10),"    I    ")</f>
        <v>Documentacion de faltante junto con el caso de uso</v>
      </c>
      <c r="Z1305" s="142">
        <f>VLOOKUP(Tabla1[[#This Row],[Perfil]],Catalogos!$B$75:$D$100,3,FALSE)*Tabla1[[#This Row],[Tiempo
(Hrs 00/100)]]*1.16</f>
        <v>5568</v>
      </c>
    </row>
    <row r="1306" spans="1:26" ht="15" customHeight="1" x14ac:dyDescent="0.3">
      <c r="A1306" s="548" t="s">
        <v>58</v>
      </c>
      <c r="B1306" s="548" t="s">
        <v>305</v>
      </c>
      <c r="C1306" s="549" t="s">
        <v>45</v>
      </c>
      <c r="D1306" s="548"/>
      <c r="E1306" s="548" t="s">
        <v>1399</v>
      </c>
      <c r="F1306" s="550" t="s">
        <v>72</v>
      </c>
      <c r="G1306" s="550" t="s">
        <v>604</v>
      </c>
      <c r="H1306" s="551" t="s">
        <v>1837</v>
      </c>
      <c r="I1306" s="551" t="s">
        <v>1838</v>
      </c>
      <c r="J1306" s="527">
        <v>45154</v>
      </c>
      <c r="K1306" s="747">
        <v>0.375</v>
      </c>
      <c r="L1306" s="527">
        <v>45154</v>
      </c>
      <c r="M1306" s="555">
        <v>0.79166666666666663</v>
      </c>
      <c r="N1306" s="210">
        <v>8</v>
      </c>
      <c r="O1306" s="25" t="s">
        <v>411</v>
      </c>
      <c r="P1306" s="553"/>
      <c r="Q1306" s="802" t="s">
        <v>1442</v>
      </c>
      <c r="R1306" s="554" t="s">
        <v>79</v>
      </c>
      <c r="S1306" s="31" t="s">
        <v>273</v>
      </c>
      <c r="T1306" s="31" t="s">
        <v>273</v>
      </c>
      <c r="U1306" s="31">
        <f>IFERROR(VLOOKUP(CONCATENATE(Tabla1[[#This Row],[Severidad]]," ",Tabla1[[#This Row],[Complejidad]]),Catalogos!E$120:G$128,3,FALSE),"")</f>
        <v>64</v>
      </c>
      <c r="V1306" s="31" t="str">
        <f>IF(Tabla1[[#This Row],[Tiempo solución max (hrs)]]&lt;&gt;"",IF(Tabla1[[#This Row],[Tiempo solución max (hrs)]]&gt;=Tabla1[[#This Row],[Tiempo
(Hrs 00/100)]],"cumple","no cumple"),"")</f>
        <v>cumple</v>
      </c>
      <c r="W1306" s="376" t="s">
        <v>1814</v>
      </c>
      <c r="X1306" s="377" t="str">
        <f t="shared" si="129"/>
        <v>SPD</v>
      </c>
      <c r="Y1306" t="str">
        <f>SUBSTITUTE(Tabla1[[#This Row],[Descripción]],CHAR(10),"    I    ")</f>
        <v>Se esta analizando la instalacion/configuracion de otros ambientes mas grandes</v>
      </c>
      <c r="Z1306" s="142">
        <f>VLOOKUP(Tabla1[[#This Row],[Perfil]],Catalogos!$B$75:$D$100,3,FALSE)*Tabla1[[#This Row],[Tiempo
(Hrs 00/100)]]*1.16</f>
        <v>5568</v>
      </c>
    </row>
    <row r="1307" spans="1:26" ht="15" customHeight="1" x14ac:dyDescent="0.3">
      <c r="A1307" s="548" t="s">
        <v>58</v>
      </c>
      <c r="B1307" s="548" t="s">
        <v>305</v>
      </c>
      <c r="C1307" s="549" t="s">
        <v>45</v>
      </c>
      <c r="D1307" s="548"/>
      <c r="E1307" s="548" t="s">
        <v>1399</v>
      </c>
      <c r="F1307" s="550" t="s">
        <v>72</v>
      </c>
      <c r="G1307" s="550" t="s">
        <v>604</v>
      </c>
      <c r="H1307" s="551" t="s">
        <v>1837</v>
      </c>
      <c r="I1307" s="551" t="s">
        <v>1838</v>
      </c>
      <c r="J1307" s="527">
        <v>45155</v>
      </c>
      <c r="K1307" s="747">
        <v>0.375</v>
      </c>
      <c r="L1307" s="527">
        <v>45155</v>
      </c>
      <c r="M1307" s="555">
        <v>0.79166666666666663</v>
      </c>
      <c r="N1307" s="210">
        <v>8</v>
      </c>
      <c r="O1307" s="25" t="s">
        <v>411</v>
      </c>
      <c r="P1307" s="553"/>
      <c r="Q1307" s="802" t="s">
        <v>1442</v>
      </c>
      <c r="R1307" s="554" t="s">
        <v>79</v>
      </c>
      <c r="S1307" s="31" t="s">
        <v>273</v>
      </c>
      <c r="T1307" s="31" t="s">
        <v>273</v>
      </c>
      <c r="U1307" s="31">
        <f>IFERROR(VLOOKUP(CONCATENATE(Tabla1[[#This Row],[Severidad]]," ",Tabla1[[#This Row],[Complejidad]]),Catalogos!E$120:G$128,3,FALSE),"")</f>
        <v>64</v>
      </c>
      <c r="V1307" s="31" t="str">
        <f>IF(Tabla1[[#This Row],[Tiempo solución max (hrs)]]&lt;&gt;"",IF(Tabla1[[#This Row],[Tiempo solución max (hrs)]]&gt;=Tabla1[[#This Row],[Tiempo
(Hrs 00/100)]],"cumple","no cumple"),"")</f>
        <v>cumple</v>
      </c>
      <c r="W1307" s="376" t="s">
        <v>1814</v>
      </c>
      <c r="X1307" s="377" t="str">
        <f t="shared" ref="X1307:X1308" si="132">IF(C1307&lt;&gt;"",C1307,D1307)</f>
        <v>SPD</v>
      </c>
      <c r="Y1307" t="str">
        <f>SUBSTITUTE(Tabla1[[#This Row],[Descripción]],CHAR(10),"    I    ")</f>
        <v>Se esta analizando la instalacion/configuracion de otros ambientes mas grandes</v>
      </c>
      <c r="Z1307" s="142">
        <f>VLOOKUP(Tabla1[[#This Row],[Perfil]],Catalogos!$B$75:$D$100,3,FALSE)*Tabla1[[#This Row],[Tiempo
(Hrs 00/100)]]*1.16</f>
        <v>5568</v>
      </c>
    </row>
    <row r="1308" spans="1:26" ht="15" customHeight="1" x14ac:dyDescent="0.3">
      <c r="A1308" s="548" t="s">
        <v>58</v>
      </c>
      <c r="B1308" s="548" t="s">
        <v>305</v>
      </c>
      <c r="C1308" s="549" t="s">
        <v>45</v>
      </c>
      <c r="D1308" s="548"/>
      <c r="E1308" s="548" t="s">
        <v>1399</v>
      </c>
      <c r="F1308" s="550" t="s">
        <v>72</v>
      </c>
      <c r="G1308" s="550" t="s">
        <v>604</v>
      </c>
      <c r="H1308" s="551" t="s">
        <v>1837</v>
      </c>
      <c r="I1308" s="551" t="s">
        <v>1838</v>
      </c>
      <c r="J1308" s="527">
        <v>45156</v>
      </c>
      <c r="K1308" s="747">
        <v>0.375</v>
      </c>
      <c r="L1308" s="527">
        <v>45156</v>
      </c>
      <c r="M1308" s="555">
        <v>0.79166666666666663</v>
      </c>
      <c r="N1308" s="210">
        <v>8</v>
      </c>
      <c r="O1308" s="25" t="s">
        <v>17</v>
      </c>
      <c r="P1308" s="553"/>
      <c r="Q1308" s="802" t="s">
        <v>1442</v>
      </c>
      <c r="R1308" s="554" t="s">
        <v>79</v>
      </c>
      <c r="S1308" s="31" t="s">
        <v>273</v>
      </c>
      <c r="T1308" s="31" t="s">
        <v>273</v>
      </c>
      <c r="U1308" s="31">
        <f>IFERROR(VLOOKUP(CONCATENATE(Tabla1[[#This Row],[Severidad]]," ",Tabla1[[#This Row],[Complejidad]]),Catalogos!E$120:G$128,3,FALSE),"")</f>
        <v>64</v>
      </c>
      <c r="V1308" s="31" t="str">
        <f>IF(Tabla1[[#This Row],[Tiempo solución max (hrs)]]&lt;&gt;"",IF(Tabla1[[#This Row],[Tiempo solución max (hrs)]]&gt;=Tabla1[[#This Row],[Tiempo
(Hrs 00/100)]],"cumple","no cumple"),"")</f>
        <v>cumple</v>
      </c>
      <c r="W1308" s="376" t="s">
        <v>1814</v>
      </c>
      <c r="X1308" s="377" t="str">
        <f t="shared" si="132"/>
        <v>SPD</v>
      </c>
      <c r="Y1308" t="str">
        <f>SUBSTITUTE(Tabla1[[#This Row],[Descripción]],CHAR(10),"    I    ")</f>
        <v>Se esta analizando la instalacion/configuracion de otros ambientes mas grandes</v>
      </c>
      <c r="Z1308" s="142">
        <f>VLOOKUP(Tabla1[[#This Row],[Perfil]],Catalogos!$B$75:$D$100,3,FALSE)*Tabla1[[#This Row],[Tiempo
(Hrs 00/100)]]*1.16</f>
        <v>5568</v>
      </c>
    </row>
    <row r="1309" spans="1:26" ht="15" customHeight="1" x14ac:dyDescent="0.3">
      <c r="A1309" s="548" t="s">
        <v>58</v>
      </c>
      <c r="B1309" s="548" t="s">
        <v>305</v>
      </c>
      <c r="C1309" s="549" t="s">
        <v>45</v>
      </c>
      <c r="D1309" s="548"/>
      <c r="E1309" s="548" t="s">
        <v>1399</v>
      </c>
      <c r="F1309" s="550" t="s">
        <v>72</v>
      </c>
      <c r="G1309" s="550" t="s">
        <v>604</v>
      </c>
      <c r="H1309" s="551" t="s">
        <v>1839</v>
      </c>
      <c r="I1309" s="551" t="s">
        <v>1840</v>
      </c>
      <c r="J1309" s="527">
        <v>45159</v>
      </c>
      <c r="K1309" s="747">
        <v>0.375</v>
      </c>
      <c r="L1309" s="527">
        <v>45159</v>
      </c>
      <c r="M1309" s="555">
        <v>0.79166666666666663</v>
      </c>
      <c r="N1309" s="552">
        <v>8</v>
      </c>
      <c r="O1309" s="25" t="s">
        <v>411</v>
      </c>
      <c r="P1309" s="553"/>
      <c r="Q1309" s="802" t="s">
        <v>1442</v>
      </c>
      <c r="R1309" s="554" t="s">
        <v>79</v>
      </c>
      <c r="S1309" s="31" t="s">
        <v>273</v>
      </c>
      <c r="T1309" s="31" t="s">
        <v>273</v>
      </c>
      <c r="U1309" s="31">
        <f>IFERROR(VLOOKUP(CONCATENATE(Tabla1[[#This Row],[Severidad]]," ",Tabla1[[#This Row],[Complejidad]]),Catalogos!E$120:G$128,3,FALSE),"")</f>
        <v>64</v>
      </c>
      <c r="V1309" s="31" t="str">
        <f>IF(Tabla1[[#This Row],[Tiempo solución max (hrs)]]&lt;&gt;"",IF(Tabla1[[#This Row],[Tiempo solución max (hrs)]]&gt;=Tabla1[[#This Row],[Tiempo
(Hrs 00/100)]],"cumple","no cumple"),"")</f>
        <v>cumple</v>
      </c>
      <c r="W1309" s="376" t="s">
        <v>1814</v>
      </c>
      <c r="X1309" s="377" t="str">
        <f t="shared" si="129"/>
        <v>SPD</v>
      </c>
      <c r="Y1309" t="str">
        <f>SUBSTITUTE(Tabla1[[#This Row],[Descripción]],CHAR(10),"    I    ")</f>
        <v>Se analizo la mejor herramienta para exponer los servicios de k8s (NodePort, Custom Image)</v>
      </c>
      <c r="Z1309" s="142">
        <f>VLOOKUP(Tabla1[[#This Row],[Perfil]],Catalogos!$B$75:$D$100,3,FALSE)*Tabla1[[#This Row],[Tiempo
(Hrs 00/100)]]*1.16</f>
        <v>5568</v>
      </c>
    </row>
    <row r="1310" spans="1:26" ht="15" customHeight="1" x14ac:dyDescent="0.3">
      <c r="A1310" s="548" t="s">
        <v>58</v>
      </c>
      <c r="B1310" s="548" t="s">
        <v>305</v>
      </c>
      <c r="C1310" s="549" t="s">
        <v>45</v>
      </c>
      <c r="D1310" s="548"/>
      <c r="E1310" s="548" t="s">
        <v>1399</v>
      </c>
      <c r="F1310" s="550" t="s">
        <v>72</v>
      </c>
      <c r="G1310" s="550" t="s">
        <v>604</v>
      </c>
      <c r="H1310" s="551" t="s">
        <v>1839</v>
      </c>
      <c r="I1310" s="551" t="s">
        <v>1840</v>
      </c>
      <c r="J1310" s="527">
        <v>45160</v>
      </c>
      <c r="K1310" s="747">
        <v>0.375</v>
      </c>
      <c r="L1310" s="527">
        <v>45160</v>
      </c>
      <c r="M1310" s="555">
        <v>0.79166666666666663</v>
      </c>
      <c r="N1310" s="552">
        <v>8</v>
      </c>
      <c r="O1310" s="25" t="s">
        <v>411</v>
      </c>
      <c r="P1310" s="553"/>
      <c r="Q1310" s="802" t="s">
        <v>1442</v>
      </c>
      <c r="R1310" s="554" t="s">
        <v>79</v>
      </c>
      <c r="S1310" s="31" t="s">
        <v>273</v>
      </c>
      <c r="T1310" s="31" t="s">
        <v>273</v>
      </c>
      <c r="U1310" s="31">
        <f>IFERROR(VLOOKUP(CONCATENATE(Tabla1[[#This Row],[Severidad]]," ",Tabla1[[#This Row],[Complejidad]]),Catalogos!E$120:G$128,3,FALSE),"")</f>
        <v>64</v>
      </c>
      <c r="V1310" s="31" t="str">
        <f>IF(Tabla1[[#This Row],[Tiempo solución max (hrs)]]&lt;&gt;"",IF(Tabla1[[#This Row],[Tiempo solución max (hrs)]]&gt;=Tabla1[[#This Row],[Tiempo
(Hrs 00/100)]],"cumple","no cumple"),"")</f>
        <v>cumple</v>
      </c>
      <c r="W1310" s="376" t="s">
        <v>1814</v>
      </c>
      <c r="X1310" s="377" t="str">
        <f t="shared" ref="X1310:X1311" si="133">IF(C1310&lt;&gt;"",C1310,D1310)</f>
        <v>SPD</v>
      </c>
      <c r="Y1310" t="str">
        <f>SUBSTITUTE(Tabla1[[#This Row],[Descripción]],CHAR(10),"    I    ")</f>
        <v>Se analizo la mejor herramienta para exponer los servicios de k8s (NodePort, Custom Image)</v>
      </c>
      <c r="Z1310" s="142">
        <f>VLOOKUP(Tabla1[[#This Row],[Perfil]],Catalogos!$B$75:$D$100,3,FALSE)*Tabla1[[#This Row],[Tiempo
(Hrs 00/100)]]*1.16</f>
        <v>5568</v>
      </c>
    </row>
    <row r="1311" spans="1:26" ht="15" customHeight="1" x14ac:dyDescent="0.3">
      <c r="A1311" s="548" t="s">
        <v>58</v>
      </c>
      <c r="B1311" s="548" t="s">
        <v>305</v>
      </c>
      <c r="C1311" s="549" t="s">
        <v>45</v>
      </c>
      <c r="D1311" s="548"/>
      <c r="E1311" s="548" t="s">
        <v>1399</v>
      </c>
      <c r="F1311" s="550" t="s">
        <v>72</v>
      </c>
      <c r="G1311" s="550" t="s">
        <v>604</v>
      </c>
      <c r="H1311" s="551" t="s">
        <v>1839</v>
      </c>
      <c r="I1311" s="551" t="s">
        <v>1840</v>
      </c>
      <c r="J1311" s="527">
        <v>45161</v>
      </c>
      <c r="K1311" s="747">
        <v>0.375</v>
      </c>
      <c r="L1311" s="527">
        <v>45161</v>
      </c>
      <c r="M1311" s="555">
        <v>0.79166666666666663</v>
      </c>
      <c r="N1311" s="552">
        <v>8</v>
      </c>
      <c r="O1311" s="25" t="s">
        <v>17</v>
      </c>
      <c r="P1311" s="553"/>
      <c r="Q1311" s="802" t="s">
        <v>1442</v>
      </c>
      <c r="R1311" s="554" t="s">
        <v>79</v>
      </c>
      <c r="S1311" s="31" t="s">
        <v>273</v>
      </c>
      <c r="T1311" s="31" t="s">
        <v>273</v>
      </c>
      <c r="U1311" s="31">
        <f>IFERROR(VLOOKUP(CONCATENATE(Tabla1[[#This Row],[Severidad]]," ",Tabla1[[#This Row],[Complejidad]]),Catalogos!E$120:G$128,3,FALSE),"")</f>
        <v>64</v>
      </c>
      <c r="V1311" s="31" t="str">
        <f>IF(Tabla1[[#This Row],[Tiempo solución max (hrs)]]&lt;&gt;"",IF(Tabla1[[#This Row],[Tiempo solución max (hrs)]]&gt;=Tabla1[[#This Row],[Tiempo
(Hrs 00/100)]],"cumple","no cumple"),"")</f>
        <v>cumple</v>
      </c>
      <c r="W1311" s="376" t="s">
        <v>1814</v>
      </c>
      <c r="X1311" s="377" t="str">
        <f t="shared" si="133"/>
        <v>SPD</v>
      </c>
      <c r="Y1311" t="str">
        <f>SUBSTITUTE(Tabla1[[#This Row],[Descripción]],CHAR(10),"    I    ")</f>
        <v>Se analizo la mejor herramienta para exponer los servicios de k8s (NodePort, Custom Image)</v>
      </c>
      <c r="Z1311" s="142">
        <f>VLOOKUP(Tabla1[[#This Row],[Perfil]],Catalogos!$B$75:$D$100,3,FALSE)*Tabla1[[#This Row],[Tiempo
(Hrs 00/100)]]*1.16</f>
        <v>5568</v>
      </c>
    </row>
    <row r="1312" spans="1:26" ht="15" customHeight="1" x14ac:dyDescent="0.3">
      <c r="A1312" s="548" t="s">
        <v>58</v>
      </c>
      <c r="B1312" s="548" t="s">
        <v>305</v>
      </c>
      <c r="C1312" s="549" t="s">
        <v>45</v>
      </c>
      <c r="D1312" s="548"/>
      <c r="E1312" s="548" t="s">
        <v>1399</v>
      </c>
      <c r="F1312" s="550" t="s">
        <v>72</v>
      </c>
      <c r="G1312" s="550" t="s">
        <v>604</v>
      </c>
      <c r="H1312" s="551" t="s">
        <v>1841</v>
      </c>
      <c r="I1312" s="551" t="s">
        <v>1842</v>
      </c>
      <c r="J1312" s="527">
        <v>45162</v>
      </c>
      <c r="K1312" s="747">
        <v>0.375</v>
      </c>
      <c r="L1312" s="527">
        <v>45162</v>
      </c>
      <c r="M1312" s="555">
        <v>0.79166666666666663</v>
      </c>
      <c r="N1312" s="210">
        <v>8</v>
      </c>
      <c r="O1312" s="25" t="s">
        <v>411</v>
      </c>
      <c r="P1312" s="553"/>
      <c r="Q1312" s="802" t="s">
        <v>1442</v>
      </c>
      <c r="R1312" s="554" t="s">
        <v>79</v>
      </c>
      <c r="S1312" s="31" t="s">
        <v>273</v>
      </c>
      <c r="T1312" s="31" t="s">
        <v>273</v>
      </c>
      <c r="U1312" s="31">
        <f>IFERROR(VLOOKUP(CONCATENATE(Tabla1[[#This Row],[Severidad]]," ",Tabla1[[#This Row],[Complejidad]]),Catalogos!E$120:G$128,3,FALSE),"")</f>
        <v>64</v>
      </c>
      <c r="V1312" s="31" t="str">
        <f>IF(Tabla1[[#This Row],[Tiempo solución max (hrs)]]&lt;&gt;"",IF(Tabla1[[#This Row],[Tiempo solución max (hrs)]]&gt;=Tabla1[[#This Row],[Tiempo
(Hrs 00/100)]],"cumple","no cumple"),"")</f>
        <v>cumple</v>
      </c>
      <c r="W1312" s="376" t="s">
        <v>1814</v>
      </c>
      <c r="X1312" s="377" t="str">
        <f t="shared" si="129"/>
        <v>SPD</v>
      </c>
      <c r="Y1312" t="str">
        <f>SUBSTITUTE(Tabla1[[#This Row],[Descripción]],CHAR(10),"    I    ")</f>
        <v>Se actualizo Jenkins, es un herramienta que constantemente tiene actualizaciones</v>
      </c>
      <c r="Z1312" s="142">
        <f>VLOOKUP(Tabla1[[#This Row],[Perfil]],Catalogos!$B$75:$D$100,3,FALSE)*Tabla1[[#This Row],[Tiempo
(Hrs 00/100)]]*1.16</f>
        <v>5568</v>
      </c>
    </row>
    <row r="1313" spans="1:26" ht="15" customHeight="1" x14ac:dyDescent="0.3">
      <c r="A1313" s="548" t="s">
        <v>58</v>
      </c>
      <c r="B1313" s="548" t="s">
        <v>305</v>
      </c>
      <c r="C1313" s="549" t="s">
        <v>45</v>
      </c>
      <c r="D1313" s="548"/>
      <c r="E1313" s="548" t="s">
        <v>1399</v>
      </c>
      <c r="F1313" s="550" t="s">
        <v>72</v>
      </c>
      <c r="G1313" s="550" t="s">
        <v>604</v>
      </c>
      <c r="H1313" s="551" t="s">
        <v>1841</v>
      </c>
      <c r="I1313" s="551" t="s">
        <v>1842</v>
      </c>
      <c r="J1313" s="527">
        <v>45163</v>
      </c>
      <c r="K1313" s="747">
        <v>0.375</v>
      </c>
      <c r="L1313" s="527">
        <v>45163</v>
      </c>
      <c r="M1313" s="555">
        <v>0.79166666666666663</v>
      </c>
      <c r="N1313" s="210">
        <v>8</v>
      </c>
      <c r="O1313" s="25" t="s">
        <v>411</v>
      </c>
      <c r="P1313" s="553"/>
      <c r="Q1313" s="802" t="s">
        <v>1442</v>
      </c>
      <c r="R1313" s="554" t="s">
        <v>79</v>
      </c>
      <c r="S1313" s="31" t="s">
        <v>273</v>
      </c>
      <c r="T1313" s="31" t="s">
        <v>273</v>
      </c>
      <c r="U1313" s="31">
        <f>IFERROR(VLOOKUP(CONCATENATE(Tabla1[[#This Row],[Severidad]]," ",Tabla1[[#This Row],[Complejidad]]),Catalogos!E$120:G$128,3,FALSE),"")</f>
        <v>64</v>
      </c>
      <c r="V1313" s="31" t="str">
        <f>IF(Tabla1[[#This Row],[Tiempo solución max (hrs)]]&lt;&gt;"",IF(Tabla1[[#This Row],[Tiempo solución max (hrs)]]&gt;=Tabla1[[#This Row],[Tiempo
(Hrs 00/100)]],"cumple","no cumple"),"")</f>
        <v>cumple</v>
      </c>
      <c r="W1313" s="376" t="s">
        <v>1814</v>
      </c>
      <c r="X1313" s="377" t="str">
        <f t="shared" ref="X1313:X1314" si="134">IF(C1313&lt;&gt;"",C1313,D1313)</f>
        <v>SPD</v>
      </c>
      <c r="Y1313" t="str">
        <f>SUBSTITUTE(Tabla1[[#This Row],[Descripción]],CHAR(10),"    I    ")</f>
        <v>Se actualizo Jenkins, es un herramienta que constantemente tiene actualizaciones</v>
      </c>
      <c r="Z1313" s="142">
        <f>VLOOKUP(Tabla1[[#This Row],[Perfil]],Catalogos!$B$75:$D$100,3,FALSE)*Tabla1[[#This Row],[Tiempo
(Hrs 00/100)]]*1.16</f>
        <v>5568</v>
      </c>
    </row>
    <row r="1314" spans="1:26" ht="15" customHeight="1" x14ac:dyDescent="0.3">
      <c r="A1314" s="548" t="s">
        <v>58</v>
      </c>
      <c r="B1314" s="548" t="s">
        <v>305</v>
      </c>
      <c r="C1314" s="549" t="s">
        <v>45</v>
      </c>
      <c r="D1314" s="548"/>
      <c r="E1314" s="548" t="s">
        <v>1399</v>
      </c>
      <c r="F1314" s="550" t="s">
        <v>72</v>
      </c>
      <c r="G1314" s="550" t="s">
        <v>604</v>
      </c>
      <c r="H1314" s="551" t="s">
        <v>1841</v>
      </c>
      <c r="I1314" s="551" t="s">
        <v>1842</v>
      </c>
      <c r="J1314" s="527">
        <v>45166</v>
      </c>
      <c r="K1314" s="747">
        <v>0.375</v>
      </c>
      <c r="L1314" s="527">
        <v>45166</v>
      </c>
      <c r="M1314" s="555">
        <v>0.79166666666666663</v>
      </c>
      <c r="N1314" s="210">
        <v>8</v>
      </c>
      <c r="O1314" s="25" t="s">
        <v>17</v>
      </c>
      <c r="P1314" s="553"/>
      <c r="Q1314" s="802" t="s">
        <v>1442</v>
      </c>
      <c r="R1314" s="554" t="s">
        <v>79</v>
      </c>
      <c r="S1314" s="31" t="s">
        <v>273</v>
      </c>
      <c r="T1314" s="31" t="s">
        <v>273</v>
      </c>
      <c r="U1314" s="31">
        <f>IFERROR(VLOOKUP(CONCATENATE(Tabla1[[#This Row],[Severidad]]," ",Tabla1[[#This Row],[Complejidad]]),Catalogos!E$120:G$128,3,FALSE),"")</f>
        <v>64</v>
      </c>
      <c r="V1314" s="31" t="str">
        <f>IF(Tabla1[[#This Row],[Tiempo solución max (hrs)]]&lt;&gt;"",IF(Tabla1[[#This Row],[Tiempo solución max (hrs)]]&gt;=Tabla1[[#This Row],[Tiempo
(Hrs 00/100)]],"cumple","no cumple"),"")</f>
        <v>cumple</v>
      </c>
      <c r="W1314" s="376" t="s">
        <v>1814</v>
      </c>
      <c r="X1314" s="377" t="str">
        <f t="shared" si="134"/>
        <v>SPD</v>
      </c>
      <c r="Y1314" t="str">
        <f>SUBSTITUTE(Tabla1[[#This Row],[Descripción]],CHAR(10),"    I    ")</f>
        <v>Se actualizo Jenkins, es un herramienta que constantemente tiene actualizaciones</v>
      </c>
      <c r="Z1314" s="142">
        <f>VLOOKUP(Tabla1[[#This Row],[Perfil]],Catalogos!$B$75:$D$100,3,FALSE)*Tabla1[[#This Row],[Tiempo
(Hrs 00/100)]]*1.16</f>
        <v>5568</v>
      </c>
    </row>
    <row r="1315" spans="1:26" ht="15" customHeight="1" x14ac:dyDescent="0.3">
      <c r="A1315" s="548" t="s">
        <v>58</v>
      </c>
      <c r="B1315" s="548" t="s">
        <v>305</v>
      </c>
      <c r="C1315" s="549" t="s">
        <v>45</v>
      </c>
      <c r="D1315" s="548"/>
      <c r="E1315" s="548" t="s">
        <v>1399</v>
      </c>
      <c r="F1315" s="550" t="s">
        <v>72</v>
      </c>
      <c r="G1315" s="550" t="s">
        <v>604</v>
      </c>
      <c r="H1315" s="551" t="s">
        <v>1843</v>
      </c>
      <c r="I1315" s="551" t="s">
        <v>1844</v>
      </c>
      <c r="J1315" s="527">
        <v>45167</v>
      </c>
      <c r="K1315" s="528">
        <v>0.375</v>
      </c>
      <c r="L1315" s="527">
        <v>45167</v>
      </c>
      <c r="M1315" s="528">
        <v>0.83333333333333337</v>
      </c>
      <c r="N1315" s="210">
        <v>10</v>
      </c>
      <c r="O1315" s="25" t="s">
        <v>17</v>
      </c>
      <c r="P1315" s="553"/>
      <c r="Q1315" s="802" t="s">
        <v>1442</v>
      </c>
      <c r="R1315" s="554" t="s">
        <v>79</v>
      </c>
      <c r="S1315" s="31" t="s">
        <v>273</v>
      </c>
      <c r="T1315" s="31" t="s">
        <v>273</v>
      </c>
      <c r="U1315" s="31">
        <f>IFERROR(VLOOKUP(CONCATENATE(Tabla1[[#This Row],[Severidad]]," ",Tabla1[[#This Row],[Complejidad]]),Catalogos!E$120:G$128,3,FALSE),"")</f>
        <v>64</v>
      </c>
      <c r="V1315" s="31" t="str">
        <f>IF(Tabla1[[#This Row],[Tiempo solución max (hrs)]]&lt;&gt;"",IF(Tabla1[[#This Row],[Tiempo solución max (hrs)]]&gt;=Tabla1[[#This Row],[Tiempo
(Hrs 00/100)]],"cumple","no cumple"),"")</f>
        <v>cumple</v>
      </c>
      <c r="W1315" s="376" t="s">
        <v>1814</v>
      </c>
      <c r="X1315" s="377" t="str">
        <f t="shared" si="129"/>
        <v>SPD</v>
      </c>
      <c r="Y1315" t="str">
        <f>SUBSTITUTE(Tabla1[[#This Row],[Descripción]],CHAR(10),"    I    ")</f>
        <v>Para poder usar ciertos pipelines es necesario instalar el modulo correspondiente</v>
      </c>
      <c r="Z1315" s="142">
        <f>VLOOKUP(Tabla1[[#This Row],[Perfil]],Catalogos!$B$75:$D$100,3,FALSE)*Tabla1[[#This Row],[Tiempo
(Hrs 00/100)]]*1.16</f>
        <v>6959.9999999999991</v>
      </c>
    </row>
    <row r="1316" spans="1:26" ht="15" customHeight="1" x14ac:dyDescent="0.3">
      <c r="A1316" s="548" t="s">
        <v>58</v>
      </c>
      <c r="B1316" s="548" t="s">
        <v>305</v>
      </c>
      <c r="C1316" s="549" t="s">
        <v>45</v>
      </c>
      <c r="D1316" s="548"/>
      <c r="E1316" s="548" t="s">
        <v>1399</v>
      </c>
      <c r="F1316" s="550" t="s">
        <v>72</v>
      </c>
      <c r="G1316" s="550" t="s">
        <v>604</v>
      </c>
      <c r="H1316" s="551" t="s">
        <v>1845</v>
      </c>
      <c r="I1316" s="551" t="s">
        <v>1846</v>
      </c>
      <c r="J1316" s="527">
        <v>45168</v>
      </c>
      <c r="K1316" s="747">
        <v>0.375</v>
      </c>
      <c r="L1316" s="527">
        <v>45168</v>
      </c>
      <c r="M1316" s="555">
        <v>0.79166666666666663</v>
      </c>
      <c r="N1316" s="210">
        <v>9</v>
      </c>
      <c r="O1316" s="25" t="s">
        <v>411</v>
      </c>
      <c r="P1316" s="553"/>
      <c r="Q1316" s="802" t="s">
        <v>1442</v>
      </c>
      <c r="R1316" s="554" t="s">
        <v>79</v>
      </c>
      <c r="S1316" s="31" t="s">
        <v>273</v>
      </c>
      <c r="T1316" s="31" t="s">
        <v>273</v>
      </c>
      <c r="U1316" s="31">
        <f>IFERROR(VLOOKUP(CONCATENATE(Tabla1[[#This Row],[Severidad]]," ",Tabla1[[#This Row],[Complejidad]]),Catalogos!E$120:G$128,3,FALSE),"")</f>
        <v>64</v>
      </c>
      <c r="V1316" s="31" t="str">
        <f>IF(Tabla1[[#This Row],[Tiempo solución max (hrs)]]&lt;&gt;"",IF(Tabla1[[#This Row],[Tiempo solución max (hrs)]]&gt;=Tabla1[[#This Row],[Tiempo
(Hrs 00/100)]],"cumple","no cumple"),"")</f>
        <v>cumple</v>
      </c>
      <c r="W1316" s="376" t="s">
        <v>1814</v>
      </c>
      <c r="X1316" s="377" t="str">
        <f t="shared" si="129"/>
        <v>SPD</v>
      </c>
      <c r="Y1316" t="str">
        <f>SUBSTITUTE(Tabla1[[#This Row],[Descripción]],CHAR(10),"    I    ")</f>
        <v>Configuracion de pipline y prerequisitos de SO y otro plugins</v>
      </c>
      <c r="Z1316" s="142">
        <f>VLOOKUP(Tabla1[[#This Row],[Perfil]],Catalogos!$B$75:$D$100,3,FALSE)*Tabla1[[#This Row],[Tiempo
(Hrs 00/100)]]*1.16</f>
        <v>6264</v>
      </c>
    </row>
    <row r="1317" spans="1:26" ht="15" customHeight="1" x14ac:dyDescent="0.3">
      <c r="A1317" s="548" t="s">
        <v>58</v>
      </c>
      <c r="B1317" s="548" t="s">
        <v>305</v>
      </c>
      <c r="C1317" s="549" t="s">
        <v>45</v>
      </c>
      <c r="D1317" s="548"/>
      <c r="E1317" s="548" t="s">
        <v>1399</v>
      </c>
      <c r="F1317" s="550" t="s">
        <v>72</v>
      </c>
      <c r="G1317" s="550" t="s">
        <v>604</v>
      </c>
      <c r="H1317" s="551" t="s">
        <v>1845</v>
      </c>
      <c r="I1317" s="551" t="s">
        <v>1846</v>
      </c>
      <c r="J1317" s="527">
        <v>45169</v>
      </c>
      <c r="K1317" s="747">
        <v>0.375</v>
      </c>
      <c r="L1317" s="527">
        <v>45169</v>
      </c>
      <c r="M1317" s="555">
        <v>0.79166666666666663</v>
      </c>
      <c r="N1317" s="210">
        <v>9</v>
      </c>
      <c r="O1317" s="25" t="s">
        <v>17</v>
      </c>
      <c r="P1317" s="553"/>
      <c r="Q1317" s="802" t="s">
        <v>1442</v>
      </c>
      <c r="R1317" s="554" t="s">
        <v>79</v>
      </c>
      <c r="S1317" s="31" t="s">
        <v>273</v>
      </c>
      <c r="T1317" s="31" t="s">
        <v>273</v>
      </c>
      <c r="U1317" s="31">
        <f>IFERROR(VLOOKUP(CONCATENATE(Tabla1[[#This Row],[Severidad]]," ",Tabla1[[#This Row],[Complejidad]]),Catalogos!E$120:G$128,3,FALSE),"")</f>
        <v>64</v>
      </c>
      <c r="V1317" s="31" t="str">
        <f>IF(Tabla1[[#This Row],[Tiempo solución max (hrs)]]&lt;&gt;"",IF(Tabla1[[#This Row],[Tiempo solución max (hrs)]]&gt;=Tabla1[[#This Row],[Tiempo
(Hrs 00/100)]],"cumple","no cumple"),"")</f>
        <v>cumple</v>
      </c>
      <c r="W1317" s="376" t="s">
        <v>1814</v>
      </c>
      <c r="X1317" s="377" t="str">
        <f t="shared" ref="X1317" si="135">IF(C1317&lt;&gt;"",C1317,D1317)</f>
        <v>SPD</v>
      </c>
      <c r="Y1317" t="str">
        <f>SUBSTITUTE(Tabla1[[#This Row],[Descripción]],CHAR(10),"    I    ")</f>
        <v>Configuracion de pipline y prerequisitos de SO y otro plugins</v>
      </c>
      <c r="Z1317" s="142">
        <f>VLOOKUP(Tabla1[[#This Row],[Perfil]],Catalogos!$B$75:$D$100,3,FALSE)*Tabla1[[#This Row],[Tiempo
(Hrs 00/100)]]*1.16</f>
        <v>6264</v>
      </c>
    </row>
    <row r="1318" spans="1:26" ht="15" customHeight="1" x14ac:dyDescent="0.3">
      <c r="A1318" s="548" t="s">
        <v>22</v>
      </c>
      <c r="B1318" s="548" t="s">
        <v>23</v>
      </c>
      <c r="C1318" s="549" t="s">
        <v>257</v>
      </c>
      <c r="D1318" s="548"/>
      <c r="E1318" s="548" t="s">
        <v>408</v>
      </c>
      <c r="F1318" s="548" t="s">
        <v>23</v>
      </c>
      <c r="G1318" s="548" t="s">
        <v>604</v>
      </c>
      <c r="H1318" s="556" t="s">
        <v>1847</v>
      </c>
      <c r="I1318" s="557" t="s">
        <v>1848</v>
      </c>
      <c r="J1318" s="722">
        <v>45139</v>
      </c>
      <c r="K1318" s="747">
        <v>0.375</v>
      </c>
      <c r="L1318" s="722">
        <v>45139</v>
      </c>
      <c r="M1318" s="764">
        <v>0.41666666666666669</v>
      </c>
      <c r="N1318" s="540">
        <v>1</v>
      </c>
      <c r="O1318" s="558" t="s">
        <v>17</v>
      </c>
      <c r="P1318" s="553" t="s">
        <v>1583</v>
      </c>
      <c r="Q1318" s="804" t="s">
        <v>1441</v>
      </c>
      <c r="R1318" s="559" t="s">
        <v>95</v>
      </c>
      <c r="S1318" s="31" t="s">
        <v>273</v>
      </c>
      <c r="T1318" s="31" t="s">
        <v>273</v>
      </c>
      <c r="U1318" s="31">
        <f>IFERROR(VLOOKUP(CONCATENATE(Tabla1[[#This Row],[Severidad]]," ",Tabla1[[#This Row],[Complejidad]]),Catalogos!E$120:G$128,3,FALSE),"")</f>
        <v>64</v>
      </c>
      <c r="V1318" s="31" t="str">
        <f>IF(Tabla1[[#This Row],[Tiempo solución max (hrs)]]&lt;&gt;"",IF(Tabla1[[#This Row],[Tiempo solución max (hrs)]]&gt;=Tabla1[[#This Row],[Tiempo
(Hrs 00/100)]],"cumple","no cumple"),"")</f>
        <v>cumple</v>
      </c>
      <c r="W1318" s="376" t="s">
        <v>1814</v>
      </c>
      <c r="X1318" s="377" t="str">
        <f t="shared" si="129"/>
        <v>SSI</v>
      </c>
      <c r="Y1318" t="str">
        <f>SUBSTITUTE(Tabla1[[#This Row],[Descripción]],CHAR(10),"    I    ")</f>
        <v>Se revisó el Query 1 de la Funcionalidad 7, para obtener la solicitud dependencia y se encontro reutilización ('FUNC3DETSOLDASH_SOLICDEPEN_QF3Q1')</v>
      </c>
      <c r="Z1318" s="142">
        <f>VLOOKUP(Tabla1[[#This Row],[Perfil]],Catalogos!$B$75:$D$100,3,FALSE)*Tabla1[[#This Row],[Tiempo
(Hrs 00/100)]]*1.16</f>
        <v>696</v>
      </c>
    </row>
    <row r="1319" spans="1:26" ht="15" customHeight="1" x14ac:dyDescent="0.3">
      <c r="A1319" s="560" t="s">
        <v>22</v>
      </c>
      <c r="B1319" s="560" t="s">
        <v>65</v>
      </c>
      <c r="C1319" s="561" t="s">
        <v>257</v>
      </c>
      <c r="D1319" s="560"/>
      <c r="E1319" s="560" t="s">
        <v>408</v>
      </c>
      <c r="F1319" s="560" t="s">
        <v>73</v>
      </c>
      <c r="G1319" s="560" t="s">
        <v>604</v>
      </c>
      <c r="H1319" s="562" t="s">
        <v>1849</v>
      </c>
      <c r="I1319" s="563" t="s">
        <v>1850</v>
      </c>
      <c r="J1319" s="723">
        <v>45139</v>
      </c>
      <c r="K1319" s="764">
        <v>0.41666666666666669</v>
      </c>
      <c r="L1319" s="735">
        <v>45139</v>
      </c>
      <c r="M1319" s="765">
        <v>0.4375</v>
      </c>
      <c r="N1319" s="564">
        <v>0.5</v>
      </c>
      <c r="O1319" s="565" t="s">
        <v>17</v>
      </c>
      <c r="P1319" s="566" t="s">
        <v>1583</v>
      </c>
      <c r="Q1319" s="805" t="s">
        <v>1441</v>
      </c>
      <c r="R1319" s="567" t="s">
        <v>95</v>
      </c>
      <c r="S1319" s="31" t="s">
        <v>273</v>
      </c>
      <c r="T1319" s="31" t="s">
        <v>273</v>
      </c>
      <c r="U1319" s="31">
        <f>IFERROR(VLOOKUP(CONCATENATE(Tabla1[[#This Row],[Severidad]]," ",Tabla1[[#This Row],[Complejidad]]),Catalogos!E$120:G$128,3,FALSE),"")</f>
        <v>64</v>
      </c>
      <c r="V1319" s="31" t="str">
        <f>IF(Tabla1[[#This Row],[Tiempo solución max (hrs)]]&lt;&gt;"",IF(Tabla1[[#This Row],[Tiempo solución max (hrs)]]&gt;=Tabla1[[#This Row],[Tiempo
(Hrs 00/100)]],"cumple","no cumple"),"")</f>
        <v>cumple</v>
      </c>
      <c r="W1319" s="376" t="s">
        <v>1814</v>
      </c>
      <c r="X1319" s="377" t="str">
        <f t="shared" si="129"/>
        <v>SSI</v>
      </c>
      <c r="Y1319" t="str">
        <f>SUBSTITUTE(Tabla1[[#This Row],[Descripción]],CHAR(10),"    I    ")</f>
        <v>Se actualizó documento Querys SISAI con el detalle encontrado en el Query 1 - Funcionalidad 7</v>
      </c>
      <c r="Z1319" s="142">
        <f>VLOOKUP(Tabla1[[#This Row],[Perfil]],Catalogos!$B$75:$D$100,3,FALSE)*Tabla1[[#This Row],[Tiempo
(Hrs 00/100)]]*1.16</f>
        <v>348</v>
      </c>
    </row>
    <row r="1320" spans="1:26" ht="15" customHeight="1" x14ac:dyDescent="0.3">
      <c r="A1320" s="560" t="s">
        <v>22</v>
      </c>
      <c r="B1320" s="560" t="s">
        <v>23</v>
      </c>
      <c r="C1320" s="561" t="s">
        <v>257</v>
      </c>
      <c r="D1320" s="560"/>
      <c r="E1320" s="560" t="s">
        <v>408</v>
      </c>
      <c r="F1320" s="560" t="s">
        <v>23</v>
      </c>
      <c r="G1320" s="560" t="s">
        <v>604</v>
      </c>
      <c r="H1320" s="568" t="s">
        <v>1851</v>
      </c>
      <c r="I1320" s="569" t="s">
        <v>1852</v>
      </c>
      <c r="J1320" s="724">
        <v>45139</v>
      </c>
      <c r="K1320" s="765">
        <v>0.4375</v>
      </c>
      <c r="L1320" s="736">
        <v>45139</v>
      </c>
      <c r="M1320" s="766">
        <v>0.45833333333333331</v>
      </c>
      <c r="N1320" s="564">
        <v>0.5</v>
      </c>
      <c r="O1320" s="565" t="s">
        <v>17</v>
      </c>
      <c r="P1320" s="566" t="s">
        <v>1583</v>
      </c>
      <c r="Q1320" s="805" t="s">
        <v>1441</v>
      </c>
      <c r="R1320" s="567" t="s">
        <v>95</v>
      </c>
      <c r="S1320" s="31" t="s">
        <v>273</v>
      </c>
      <c r="T1320" s="31" t="s">
        <v>273</v>
      </c>
      <c r="U1320" s="31">
        <f>IFERROR(VLOOKUP(CONCATENATE(Tabla1[[#This Row],[Severidad]]," ",Tabla1[[#This Row],[Complejidad]]),Catalogos!E$120:G$128,3,FALSE),"")</f>
        <v>64</v>
      </c>
      <c r="V1320" s="31" t="str">
        <f>IF(Tabla1[[#This Row],[Tiempo solución max (hrs)]]&lt;&gt;"",IF(Tabla1[[#This Row],[Tiempo solución max (hrs)]]&gt;=Tabla1[[#This Row],[Tiempo
(Hrs 00/100)]],"cumple","no cumple"),"")</f>
        <v>cumple</v>
      </c>
      <c r="W1320" s="376" t="s">
        <v>1814</v>
      </c>
      <c r="X1320" s="377" t="str">
        <f t="shared" si="129"/>
        <v>SSI</v>
      </c>
      <c r="Y1320" t="str">
        <f>SUBSTITUTE(Tabla1[[#This Row],[Descripción]],CHAR(10),"    I    ")</f>
        <v>Se revisó el Query 2 de la Funcionalidad 7, para obtener adjuntos por solicitud general  y se encontro reutilización ('FUNC3DETSOLDASH_ADJUNTXSOLIC_QF3Q2')</v>
      </c>
      <c r="Z1320" s="142">
        <f>VLOOKUP(Tabla1[[#This Row],[Perfil]],Catalogos!$B$75:$D$100,3,FALSE)*Tabla1[[#This Row],[Tiempo
(Hrs 00/100)]]*1.16</f>
        <v>348</v>
      </c>
    </row>
    <row r="1321" spans="1:26" ht="15" customHeight="1" x14ac:dyDescent="0.3">
      <c r="A1321" s="560" t="s">
        <v>22</v>
      </c>
      <c r="B1321" s="560" t="s">
        <v>65</v>
      </c>
      <c r="C1321" s="561" t="s">
        <v>257</v>
      </c>
      <c r="D1321" s="560"/>
      <c r="E1321" s="560" t="s">
        <v>408</v>
      </c>
      <c r="F1321" s="560" t="s">
        <v>73</v>
      </c>
      <c r="G1321" s="560" t="s">
        <v>604</v>
      </c>
      <c r="H1321" s="568" t="s">
        <v>1853</v>
      </c>
      <c r="I1321" s="569" t="s">
        <v>1854</v>
      </c>
      <c r="J1321" s="724">
        <v>45139</v>
      </c>
      <c r="K1321" s="766">
        <v>0.45833333333333331</v>
      </c>
      <c r="L1321" s="736">
        <v>45139</v>
      </c>
      <c r="M1321" s="766">
        <v>0.47916666666666669</v>
      </c>
      <c r="N1321" s="564">
        <v>0.5</v>
      </c>
      <c r="O1321" s="565" t="s">
        <v>17</v>
      </c>
      <c r="P1321" s="566" t="s">
        <v>1583</v>
      </c>
      <c r="Q1321" s="805" t="s">
        <v>1441</v>
      </c>
      <c r="R1321" s="567" t="s">
        <v>95</v>
      </c>
      <c r="S1321" s="31" t="s">
        <v>273</v>
      </c>
      <c r="T1321" s="31" t="s">
        <v>273</v>
      </c>
      <c r="U1321" s="31">
        <f>IFERROR(VLOOKUP(CONCATENATE(Tabla1[[#This Row],[Severidad]]," ",Tabla1[[#This Row],[Complejidad]]),Catalogos!E$120:G$128,3,FALSE),"")</f>
        <v>64</v>
      </c>
      <c r="V1321" s="31" t="str">
        <f>IF(Tabla1[[#This Row],[Tiempo solución max (hrs)]]&lt;&gt;"",IF(Tabla1[[#This Row],[Tiempo solución max (hrs)]]&gt;=Tabla1[[#This Row],[Tiempo
(Hrs 00/100)]],"cumple","no cumple"),"")</f>
        <v>cumple</v>
      </c>
      <c r="W1321" s="376" t="s">
        <v>1814</v>
      </c>
      <c r="X1321" s="377" t="str">
        <f t="shared" si="129"/>
        <v>SSI</v>
      </c>
      <c r="Y1321" t="str">
        <f>SUBSTITUTE(Tabla1[[#This Row],[Descripción]],CHAR(10),"    I    ")</f>
        <v>Se actualizó documento Querys SISAI con el detalle encontrado en el Query 2 - Funcionalidad 7</v>
      </c>
      <c r="Z1321" s="142">
        <f>VLOOKUP(Tabla1[[#This Row],[Perfil]],Catalogos!$B$75:$D$100,3,FALSE)*Tabla1[[#This Row],[Tiempo
(Hrs 00/100)]]*1.16</f>
        <v>348</v>
      </c>
    </row>
    <row r="1322" spans="1:26" ht="15" customHeight="1" x14ac:dyDescent="0.3">
      <c r="A1322" s="560" t="s">
        <v>22</v>
      </c>
      <c r="B1322" s="560" t="s">
        <v>23</v>
      </c>
      <c r="C1322" s="561" t="s">
        <v>257</v>
      </c>
      <c r="D1322" s="560"/>
      <c r="E1322" s="560" t="s">
        <v>408</v>
      </c>
      <c r="F1322" s="560" t="s">
        <v>23</v>
      </c>
      <c r="G1322" s="560" t="s">
        <v>604</v>
      </c>
      <c r="H1322" s="568" t="s">
        <v>1855</v>
      </c>
      <c r="I1322" s="569" t="s">
        <v>1856</v>
      </c>
      <c r="J1322" s="724">
        <v>45139</v>
      </c>
      <c r="K1322" s="766">
        <v>0.47916666666666669</v>
      </c>
      <c r="L1322" s="736">
        <v>45139</v>
      </c>
      <c r="M1322" s="766">
        <v>0.5</v>
      </c>
      <c r="N1322" s="564">
        <v>0.5</v>
      </c>
      <c r="O1322" s="565" t="s">
        <v>17</v>
      </c>
      <c r="P1322" s="566" t="s">
        <v>1583</v>
      </c>
      <c r="Q1322" s="805" t="s">
        <v>1441</v>
      </c>
      <c r="R1322" s="567" t="s">
        <v>95</v>
      </c>
      <c r="S1322" s="31" t="s">
        <v>273</v>
      </c>
      <c r="T1322" s="31" t="s">
        <v>273</v>
      </c>
      <c r="U1322" s="31">
        <f>IFERROR(VLOOKUP(CONCATENATE(Tabla1[[#This Row],[Severidad]]," ",Tabla1[[#This Row],[Complejidad]]),Catalogos!E$120:G$128,3,FALSE),"")</f>
        <v>64</v>
      </c>
      <c r="V1322" s="31" t="str">
        <f>IF(Tabla1[[#This Row],[Tiempo solución max (hrs)]]&lt;&gt;"",IF(Tabla1[[#This Row],[Tiempo solución max (hrs)]]&gt;=Tabla1[[#This Row],[Tiempo
(Hrs 00/100)]],"cumple","no cumple"),"")</f>
        <v>cumple</v>
      </c>
      <c r="W1322" s="376" t="s">
        <v>1814</v>
      </c>
      <c r="X1322" s="377" t="str">
        <f t="shared" si="129"/>
        <v>SSI</v>
      </c>
      <c r="Y1322" t="str">
        <f>SUBSTITUTE(Tabla1[[#This Row],[Descripción]],CHAR(10),"    I    ")</f>
        <v>Se creó el nuevo procedimiento 'FUNC7DETSOLDASHUTGI_ADJUNTOXIDSOLINT_QF7Q3' en el paquete 'PACK_SISAI2', con la 7ma funcionalidad y el 3er de los queries pequeños que obtiene los adjuntos por id solitud gestion interna</v>
      </c>
      <c r="Z1322" s="142">
        <f>VLOOKUP(Tabla1[[#This Row],[Perfil]],Catalogos!$B$75:$D$100,3,FALSE)*Tabla1[[#This Row],[Tiempo
(Hrs 00/100)]]*1.16</f>
        <v>348</v>
      </c>
    </row>
    <row r="1323" spans="1:26" ht="15" customHeight="1" x14ac:dyDescent="0.3">
      <c r="A1323" s="560" t="s">
        <v>22</v>
      </c>
      <c r="B1323" s="560" t="s">
        <v>23</v>
      </c>
      <c r="C1323" s="561" t="s">
        <v>257</v>
      </c>
      <c r="D1323" s="560"/>
      <c r="E1323" s="560" t="s">
        <v>408</v>
      </c>
      <c r="F1323" s="560" t="s">
        <v>23</v>
      </c>
      <c r="G1323" s="560" t="s">
        <v>604</v>
      </c>
      <c r="H1323" s="568" t="s">
        <v>1857</v>
      </c>
      <c r="I1323" s="569" t="s">
        <v>1858</v>
      </c>
      <c r="J1323" s="724">
        <v>45139</v>
      </c>
      <c r="K1323" s="766">
        <v>0.5</v>
      </c>
      <c r="L1323" s="736">
        <v>45139</v>
      </c>
      <c r="M1323" s="766">
        <v>0.52083333333333337</v>
      </c>
      <c r="N1323" s="564">
        <v>0.5</v>
      </c>
      <c r="O1323" s="565" t="s">
        <v>17</v>
      </c>
      <c r="P1323" s="566" t="s">
        <v>1583</v>
      </c>
      <c r="Q1323" s="805" t="s">
        <v>1441</v>
      </c>
      <c r="R1323" s="567" t="s">
        <v>95</v>
      </c>
      <c r="S1323" s="31" t="s">
        <v>273</v>
      </c>
      <c r="T1323" s="31" t="s">
        <v>273</v>
      </c>
      <c r="U1323" s="31">
        <f>IFERROR(VLOOKUP(CONCATENATE(Tabla1[[#This Row],[Severidad]]," ",Tabla1[[#This Row],[Complejidad]]),Catalogos!E$120:G$128,3,FALSE),"")</f>
        <v>64</v>
      </c>
      <c r="V1323" s="31" t="str">
        <f>IF(Tabla1[[#This Row],[Tiempo solución max (hrs)]]&lt;&gt;"",IF(Tabla1[[#This Row],[Tiempo solución max (hrs)]]&gt;=Tabla1[[#This Row],[Tiempo
(Hrs 00/100)]],"cumple","no cumple"),"")</f>
        <v>cumple</v>
      </c>
      <c r="W1323" s="376" t="s">
        <v>1814</v>
      </c>
      <c r="X1323" s="377" t="str">
        <f t="shared" si="129"/>
        <v>SSI</v>
      </c>
      <c r="Y1323" t="str">
        <f>SUBSTITUTE(Tabla1[[#This Row],[Descripción]],CHAR(10),"    I    ")</f>
        <v>Se validó campo por campo de la tabla 'SISAI_TR_ADJUNTOS' para identificar los tipos de datos y tamaño para validación en bloque anonimo</v>
      </c>
      <c r="Z1323" s="142">
        <f>VLOOKUP(Tabla1[[#This Row],[Perfil]],Catalogos!$B$75:$D$100,3,FALSE)*Tabla1[[#This Row],[Tiempo
(Hrs 00/100)]]*1.16</f>
        <v>348</v>
      </c>
    </row>
    <row r="1324" spans="1:26" ht="15" customHeight="1" x14ac:dyDescent="0.3">
      <c r="A1324" s="560" t="s">
        <v>22</v>
      </c>
      <c r="B1324" s="560" t="s">
        <v>66</v>
      </c>
      <c r="C1324" s="561" t="s">
        <v>257</v>
      </c>
      <c r="D1324" s="560"/>
      <c r="E1324" s="560" t="s">
        <v>408</v>
      </c>
      <c r="F1324" s="560" t="s">
        <v>75</v>
      </c>
      <c r="G1324" s="560" t="s">
        <v>604</v>
      </c>
      <c r="H1324" s="568" t="s">
        <v>1859</v>
      </c>
      <c r="I1324" s="569" t="s">
        <v>1860</v>
      </c>
      <c r="J1324" s="724">
        <v>45139</v>
      </c>
      <c r="K1324" s="766">
        <v>0.52083333333333337</v>
      </c>
      <c r="L1324" s="736">
        <v>45139</v>
      </c>
      <c r="M1324" s="766">
        <v>0.54166666666666663</v>
      </c>
      <c r="N1324" s="564">
        <v>0.5</v>
      </c>
      <c r="O1324" s="565" t="s">
        <v>17</v>
      </c>
      <c r="P1324" s="566" t="s">
        <v>1583</v>
      </c>
      <c r="Q1324" s="805" t="s">
        <v>1441</v>
      </c>
      <c r="R1324" s="567" t="s">
        <v>95</v>
      </c>
      <c r="S1324" s="31" t="s">
        <v>273</v>
      </c>
      <c r="T1324" s="31" t="s">
        <v>273</v>
      </c>
      <c r="U1324" s="31">
        <f>IFERROR(VLOOKUP(CONCATENATE(Tabla1[[#This Row],[Severidad]]," ",Tabla1[[#This Row],[Complejidad]]),Catalogos!E$120:G$128,3,FALSE),"")</f>
        <v>64</v>
      </c>
      <c r="V1324" s="31" t="str">
        <f>IF(Tabla1[[#This Row],[Tiempo solución max (hrs)]]&lt;&gt;"",IF(Tabla1[[#This Row],[Tiempo solución max (hrs)]]&gt;=Tabla1[[#This Row],[Tiempo
(Hrs 00/100)]],"cumple","no cumple"),"")</f>
        <v>cumple</v>
      </c>
      <c r="W1324" s="376" t="s">
        <v>1814</v>
      </c>
      <c r="X1324" s="377" t="str">
        <f t="shared" si="129"/>
        <v>SSI</v>
      </c>
      <c r="Y1324" t="str">
        <f>SUBSTITUTE(Tabla1[[#This Row],[Descripción]],CHAR(10),"    I    ")</f>
        <v>Se validó el paquete-procedimiento de la funcionalidad # 7 - Query 3 con el bloque anónimo correcto y se tuvo un resultado exitoso con la salida del cursor completo con el único parámetro</v>
      </c>
      <c r="Z1324" s="142">
        <f>VLOOKUP(Tabla1[[#This Row],[Perfil]],Catalogos!$B$75:$D$100,3,FALSE)*Tabla1[[#This Row],[Tiempo
(Hrs 00/100)]]*1.16</f>
        <v>348</v>
      </c>
    </row>
    <row r="1325" spans="1:26" ht="15" customHeight="1" x14ac:dyDescent="0.3">
      <c r="A1325" s="560" t="s">
        <v>22</v>
      </c>
      <c r="B1325" s="560" t="s">
        <v>23</v>
      </c>
      <c r="C1325" s="561" t="s">
        <v>257</v>
      </c>
      <c r="D1325" s="560"/>
      <c r="E1325" s="560" t="s">
        <v>408</v>
      </c>
      <c r="F1325" s="560" t="s">
        <v>23</v>
      </c>
      <c r="G1325" s="560" t="s">
        <v>604</v>
      </c>
      <c r="H1325" s="568" t="s">
        <v>1861</v>
      </c>
      <c r="I1325" s="569" t="s">
        <v>1862</v>
      </c>
      <c r="J1325" s="724">
        <v>45139</v>
      </c>
      <c r="K1325" s="766">
        <v>0.54166666666666663</v>
      </c>
      <c r="L1325" s="736">
        <v>45139</v>
      </c>
      <c r="M1325" s="766">
        <v>0.5625</v>
      </c>
      <c r="N1325" s="564">
        <v>0.5</v>
      </c>
      <c r="O1325" s="565" t="s">
        <v>17</v>
      </c>
      <c r="P1325" s="566" t="s">
        <v>1583</v>
      </c>
      <c r="Q1325" s="805" t="s">
        <v>1441</v>
      </c>
      <c r="R1325" s="567" t="s">
        <v>95</v>
      </c>
      <c r="S1325" s="31" t="s">
        <v>273</v>
      </c>
      <c r="T1325" s="31" t="s">
        <v>273</v>
      </c>
      <c r="U1325" s="31">
        <f>IFERROR(VLOOKUP(CONCATENATE(Tabla1[[#This Row],[Severidad]]," ",Tabla1[[#This Row],[Complejidad]]),Catalogos!E$120:G$128,3,FALSE),"")</f>
        <v>64</v>
      </c>
      <c r="V1325" s="31" t="str">
        <f>IF(Tabla1[[#This Row],[Tiempo solución max (hrs)]]&lt;&gt;"",IF(Tabla1[[#This Row],[Tiempo solución max (hrs)]]&gt;=Tabla1[[#This Row],[Tiempo
(Hrs 00/100)]],"cumple","no cumple"),"")</f>
        <v>cumple</v>
      </c>
      <c r="W1325" s="376" t="s">
        <v>1814</v>
      </c>
      <c r="X1325" s="377" t="str">
        <f t="shared" si="129"/>
        <v>SSI</v>
      </c>
      <c r="Y1325" t="str">
        <f>SUBSTITUTE(Tabla1[[#This Row],[Descripción]],CHAR(10),"    I    ")</f>
        <v>Se creó el nuevo procedimiento 'FUNC7DETSOLDASHUTGI_SOLGIXSOLDEPEN_QF7Q4' en el paquete 'PACK_SISAI2', con la 7ma funcionalidad y el 4to de los queries pequeños que obtiene las solicitudes de gestión interna por solicitud dependencia</v>
      </c>
      <c r="Z1325" s="142">
        <f>VLOOKUP(Tabla1[[#This Row],[Perfil]],Catalogos!$B$75:$D$100,3,FALSE)*Tabla1[[#This Row],[Tiempo
(Hrs 00/100)]]*1.16</f>
        <v>348</v>
      </c>
    </row>
    <row r="1326" spans="1:26" ht="15" customHeight="1" x14ac:dyDescent="0.3">
      <c r="A1326" s="560" t="s">
        <v>22</v>
      </c>
      <c r="B1326" s="560" t="s">
        <v>23</v>
      </c>
      <c r="C1326" s="561" t="s">
        <v>257</v>
      </c>
      <c r="D1326" s="560"/>
      <c r="E1326" s="560" t="s">
        <v>408</v>
      </c>
      <c r="F1326" s="560" t="s">
        <v>23</v>
      </c>
      <c r="G1326" s="560" t="s">
        <v>604</v>
      </c>
      <c r="H1326" s="568" t="s">
        <v>1863</v>
      </c>
      <c r="I1326" s="569" t="s">
        <v>1864</v>
      </c>
      <c r="J1326" s="724">
        <v>45139</v>
      </c>
      <c r="K1326" s="766">
        <v>0.5625</v>
      </c>
      <c r="L1326" s="736">
        <v>45139</v>
      </c>
      <c r="M1326" s="766">
        <v>0.58333333333333337</v>
      </c>
      <c r="N1326" s="564">
        <v>0.5</v>
      </c>
      <c r="O1326" s="565" t="s">
        <v>17</v>
      </c>
      <c r="P1326" s="566" t="s">
        <v>1583</v>
      </c>
      <c r="Q1326" s="805" t="s">
        <v>1441</v>
      </c>
      <c r="R1326" s="567" t="s">
        <v>95</v>
      </c>
      <c r="S1326" s="31" t="s">
        <v>273</v>
      </c>
      <c r="T1326" s="31" t="s">
        <v>273</v>
      </c>
      <c r="U1326" s="31">
        <f>IFERROR(VLOOKUP(CONCATENATE(Tabla1[[#This Row],[Severidad]]," ",Tabla1[[#This Row],[Complejidad]]),Catalogos!E$120:G$128,3,FALSE),"")</f>
        <v>64</v>
      </c>
      <c r="V1326" s="31" t="str">
        <f>IF(Tabla1[[#This Row],[Tiempo solución max (hrs)]]&lt;&gt;"",IF(Tabla1[[#This Row],[Tiempo solución max (hrs)]]&gt;=Tabla1[[#This Row],[Tiempo
(Hrs 00/100)]],"cumple","no cumple"),"")</f>
        <v>cumple</v>
      </c>
      <c r="W1326" s="376" t="s">
        <v>1814</v>
      </c>
      <c r="X1326" s="377" t="str">
        <f t="shared" si="129"/>
        <v>SSI</v>
      </c>
      <c r="Y1326" t="str">
        <f>SUBSTITUTE(Tabla1[[#This Row],[Descripción]],CHAR(10),"    I    ")</f>
        <v>Se validó campo por campo de la tabla 'SISAI_TR_GI_SOLICITUDES' para identificar los tipos de datos y tamaño para validación en bloque anonimo</v>
      </c>
      <c r="Z1326" s="142">
        <f>VLOOKUP(Tabla1[[#This Row],[Perfil]],Catalogos!$B$75:$D$100,3,FALSE)*Tabla1[[#This Row],[Tiempo
(Hrs 00/100)]]*1.16</f>
        <v>348</v>
      </c>
    </row>
    <row r="1327" spans="1:26" ht="15" customHeight="1" x14ac:dyDescent="0.3">
      <c r="A1327" s="560" t="s">
        <v>22</v>
      </c>
      <c r="B1327" s="560" t="s">
        <v>66</v>
      </c>
      <c r="C1327" s="561" t="s">
        <v>257</v>
      </c>
      <c r="D1327" s="560"/>
      <c r="E1327" s="560" t="s">
        <v>408</v>
      </c>
      <c r="F1327" s="560" t="s">
        <v>75</v>
      </c>
      <c r="G1327" s="560" t="s">
        <v>604</v>
      </c>
      <c r="H1327" s="568" t="s">
        <v>1865</v>
      </c>
      <c r="I1327" s="569" t="s">
        <v>1866</v>
      </c>
      <c r="J1327" s="724">
        <v>45139</v>
      </c>
      <c r="K1327" s="766">
        <v>0.58333333333333337</v>
      </c>
      <c r="L1327" s="736">
        <v>45139</v>
      </c>
      <c r="M1327" s="766">
        <v>0.60416666666666663</v>
      </c>
      <c r="N1327" s="564">
        <v>0.5</v>
      </c>
      <c r="O1327" s="565" t="s">
        <v>17</v>
      </c>
      <c r="P1327" s="566" t="s">
        <v>1583</v>
      </c>
      <c r="Q1327" s="805" t="s">
        <v>1441</v>
      </c>
      <c r="R1327" s="567" t="s">
        <v>95</v>
      </c>
      <c r="S1327" s="31" t="s">
        <v>273</v>
      </c>
      <c r="T1327" s="31" t="s">
        <v>273</v>
      </c>
      <c r="U1327" s="31">
        <f>IFERROR(VLOOKUP(CONCATENATE(Tabla1[[#This Row],[Severidad]]," ",Tabla1[[#This Row],[Complejidad]]),Catalogos!E$120:G$128,3,FALSE),"")</f>
        <v>64</v>
      </c>
      <c r="V1327" s="31" t="str">
        <f>IF(Tabla1[[#This Row],[Tiempo solución max (hrs)]]&lt;&gt;"",IF(Tabla1[[#This Row],[Tiempo solución max (hrs)]]&gt;=Tabla1[[#This Row],[Tiempo
(Hrs 00/100)]],"cumple","no cumple"),"")</f>
        <v>cumple</v>
      </c>
      <c r="W1327" s="376" t="s">
        <v>1814</v>
      </c>
      <c r="X1327" s="377" t="str">
        <f t="shared" si="129"/>
        <v>SSI</v>
      </c>
      <c r="Y1327" t="str">
        <f>SUBSTITUTE(Tabla1[[#This Row],[Descripción]],CHAR(10),"    I    ")</f>
        <v>Se validó el paquete-procedimiento de la funcionalidad # 7 - Query 4 con el bloque anónimo correcto y se tuvo un resultado exitoso con la salida del cursor completo con el único parámetro</v>
      </c>
      <c r="Z1327" s="142">
        <f>VLOOKUP(Tabla1[[#This Row],[Perfil]],Catalogos!$B$75:$D$100,3,FALSE)*Tabla1[[#This Row],[Tiempo
(Hrs 00/100)]]*1.16</f>
        <v>348</v>
      </c>
    </row>
    <row r="1328" spans="1:26" ht="15" customHeight="1" x14ac:dyDescent="0.3">
      <c r="A1328" s="560" t="s">
        <v>22</v>
      </c>
      <c r="B1328" s="560" t="s">
        <v>23</v>
      </c>
      <c r="C1328" s="561" t="s">
        <v>257</v>
      </c>
      <c r="D1328" s="560"/>
      <c r="E1328" s="560" t="s">
        <v>408</v>
      </c>
      <c r="F1328" s="560" t="s">
        <v>23</v>
      </c>
      <c r="G1328" s="560" t="s">
        <v>604</v>
      </c>
      <c r="H1328" s="568" t="s">
        <v>1867</v>
      </c>
      <c r="I1328" s="569" t="s">
        <v>1868</v>
      </c>
      <c r="J1328" s="724">
        <v>45140</v>
      </c>
      <c r="K1328" s="766">
        <v>0.375</v>
      </c>
      <c r="L1328" s="736">
        <v>45140</v>
      </c>
      <c r="M1328" s="766">
        <v>0.39583333333333331</v>
      </c>
      <c r="N1328" s="564">
        <v>0.5</v>
      </c>
      <c r="O1328" s="565" t="s">
        <v>17</v>
      </c>
      <c r="P1328" s="566" t="s">
        <v>1583</v>
      </c>
      <c r="Q1328" s="805" t="s">
        <v>1441</v>
      </c>
      <c r="R1328" s="567" t="s">
        <v>95</v>
      </c>
      <c r="S1328" s="31" t="s">
        <v>273</v>
      </c>
      <c r="T1328" s="31" t="s">
        <v>273</v>
      </c>
      <c r="U1328" s="31">
        <f>IFERROR(VLOOKUP(CONCATENATE(Tabla1[[#This Row],[Severidad]]," ",Tabla1[[#This Row],[Complejidad]]),Catalogos!E$120:G$128,3,FALSE),"")</f>
        <v>64</v>
      </c>
      <c r="V1328" s="31" t="str">
        <f>IF(Tabla1[[#This Row],[Tiempo solución max (hrs)]]&lt;&gt;"",IF(Tabla1[[#This Row],[Tiempo solución max (hrs)]]&gt;=Tabla1[[#This Row],[Tiempo
(Hrs 00/100)]],"cumple","no cumple"),"")</f>
        <v>cumple</v>
      </c>
      <c r="W1328" s="376" t="s">
        <v>1814</v>
      </c>
      <c r="X1328" s="377" t="str">
        <f t="shared" si="129"/>
        <v>SSI</v>
      </c>
      <c r="Y1328" t="str">
        <f>SUBSTITUTE(Tabla1[[#This Row],[Descripción]],CHAR(10),"    I    ")</f>
        <v>Se revisó el Query 5 de la Funcionalidad 7, para obtener respuestas por solicitud dependencia y se encontro reutilización ('FUNC3DETSOLDASH_RESPUXSOLICDEP_QF3Q3')</v>
      </c>
      <c r="Z1328" s="142">
        <f>VLOOKUP(Tabla1[[#This Row],[Perfil]],Catalogos!$B$75:$D$100,3,FALSE)*Tabla1[[#This Row],[Tiempo
(Hrs 00/100)]]*1.16</f>
        <v>348</v>
      </c>
    </row>
    <row r="1329" spans="1:26" ht="15" customHeight="1" x14ac:dyDescent="0.3">
      <c r="A1329" s="560" t="s">
        <v>22</v>
      </c>
      <c r="B1329" s="560" t="s">
        <v>65</v>
      </c>
      <c r="C1329" s="561" t="s">
        <v>257</v>
      </c>
      <c r="D1329" s="560"/>
      <c r="E1329" s="560" t="s">
        <v>408</v>
      </c>
      <c r="F1329" s="560" t="s">
        <v>73</v>
      </c>
      <c r="G1329" s="560" t="s">
        <v>604</v>
      </c>
      <c r="H1329" s="568" t="s">
        <v>1869</v>
      </c>
      <c r="I1329" s="569" t="s">
        <v>1869</v>
      </c>
      <c r="J1329" s="724">
        <v>45140</v>
      </c>
      <c r="K1329" s="766">
        <v>0.39583333333333331</v>
      </c>
      <c r="L1329" s="736">
        <v>45140</v>
      </c>
      <c r="M1329" s="766">
        <v>0.41666666666666669</v>
      </c>
      <c r="N1329" s="564">
        <v>0.5</v>
      </c>
      <c r="O1329" s="565" t="s">
        <v>17</v>
      </c>
      <c r="P1329" s="566" t="s">
        <v>1583</v>
      </c>
      <c r="Q1329" s="805" t="s">
        <v>1441</v>
      </c>
      <c r="R1329" s="567" t="s">
        <v>95</v>
      </c>
      <c r="S1329" s="31" t="s">
        <v>273</v>
      </c>
      <c r="T1329" s="31" t="s">
        <v>273</v>
      </c>
      <c r="U1329" s="31">
        <f>IFERROR(VLOOKUP(CONCATENATE(Tabla1[[#This Row],[Severidad]]," ",Tabla1[[#This Row],[Complejidad]]),Catalogos!E$120:G$128,3,FALSE),"")</f>
        <v>64</v>
      </c>
      <c r="V1329" s="31" t="str">
        <f>IF(Tabla1[[#This Row],[Tiempo solución max (hrs)]]&lt;&gt;"",IF(Tabla1[[#This Row],[Tiempo solución max (hrs)]]&gt;=Tabla1[[#This Row],[Tiempo
(Hrs 00/100)]],"cumple","no cumple"),"")</f>
        <v>cumple</v>
      </c>
      <c r="W1329" s="376" t="s">
        <v>1814</v>
      </c>
      <c r="X1329" s="377" t="str">
        <f t="shared" si="129"/>
        <v>SSI</v>
      </c>
      <c r="Y1329" t="str">
        <f>SUBSTITUTE(Tabla1[[#This Row],[Descripción]],CHAR(10),"    I    ")</f>
        <v>Se actualizó documento Querys SISAI con el detalle encontrado en el Query 5 - Funcionalidad 7</v>
      </c>
      <c r="Z1329" s="142">
        <f>VLOOKUP(Tabla1[[#This Row],[Perfil]],Catalogos!$B$75:$D$100,3,FALSE)*Tabla1[[#This Row],[Tiempo
(Hrs 00/100)]]*1.16</f>
        <v>348</v>
      </c>
    </row>
    <row r="1330" spans="1:26" ht="15" customHeight="1" x14ac:dyDescent="0.3">
      <c r="A1330" s="560" t="s">
        <v>22</v>
      </c>
      <c r="B1330" s="560" t="s">
        <v>23</v>
      </c>
      <c r="C1330" s="561" t="s">
        <v>257</v>
      </c>
      <c r="D1330" s="560"/>
      <c r="E1330" s="560" t="s">
        <v>408</v>
      </c>
      <c r="F1330" s="560" t="s">
        <v>23</v>
      </c>
      <c r="G1330" s="560" t="s">
        <v>604</v>
      </c>
      <c r="H1330" s="568" t="s">
        <v>1870</v>
      </c>
      <c r="I1330" s="569" t="s">
        <v>1871</v>
      </c>
      <c r="J1330" s="724">
        <v>45140</v>
      </c>
      <c r="K1330" s="764">
        <v>0.41666666666666669</v>
      </c>
      <c r="L1330" s="736">
        <v>45140</v>
      </c>
      <c r="M1330" s="765">
        <v>0.4375</v>
      </c>
      <c r="N1330" s="564">
        <v>0.5</v>
      </c>
      <c r="O1330" s="565" t="s">
        <v>17</v>
      </c>
      <c r="P1330" s="566" t="s">
        <v>1583</v>
      </c>
      <c r="Q1330" s="805" t="s">
        <v>1441</v>
      </c>
      <c r="R1330" s="567" t="s">
        <v>95</v>
      </c>
      <c r="S1330" s="31" t="s">
        <v>273</v>
      </c>
      <c r="T1330" s="31" t="s">
        <v>273</v>
      </c>
      <c r="U1330" s="31">
        <f>IFERROR(VLOOKUP(CONCATENATE(Tabla1[[#This Row],[Severidad]]," ",Tabla1[[#This Row],[Complejidad]]),Catalogos!E$120:G$128,3,FALSE),"")</f>
        <v>64</v>
      </c>
      <c r="V1330" s="31" t="str">
        <f>IF(Tabla1[[#This Row],[Tiempo solución max (hrs)]]&lt;&gt;"",IF(Tabla1[[#This Row],[Tiempo solución max (hrs)]]&gt;=Tabla1[[#This Row],[Tiempo
(Hrs 00/100)]],"cumple","no cumple"),"")</f>
        <v>cumple</v>
      </c>
      <c r="W1330" s="376" t="s">
        <v>1814</v>
      </c>
      <c r="X1330" s="377" t="str">
        <f t="shared" si="129"/>
        <v>SSI</v>
      </c>
      <c r="Y1330" t="str">
        <f>SUBSTITUTE(Tabla1[[#This Row],[Descripción]],CHAR(10),"    I    ")</f>
        <v>Se creó el nuevo procedimiento 'FUNC7DETSOLDASHUTGI_SOLESTADISTICO_QF7Q6' en el paquete 'PACK_SISAI2', con la 7ma funcionalidad y el 6to de los queries pequeños que obtiene la lista solicitud estadístico por solicitud general</v>
      </c>
      <c r="Z1330" s="142">
        <f>VLOOKUP(Tabla1[[#This Row],[Perfil]],Catalogos!$B$75:$D$100,3,FALSE)*Tabla1[[#This Row],[Tiempo
(Hrs 00/100)]]*1.16</f>
        <v>348</v>
      </c>
    </row>
    <row r="1331" spans="1:26" ht="15" customHeight="1" x14ac:dyDescent="0.3">
      <c r="A1331" s="560" t="s">
        <v>22</v>
      </c>
      <c r="B1331" s="560" t="s">
        <v>23</v>
      </c>
      <c r="C1331" s="561" t="s">
        <v>257</v>
      </c>
      <c r="D1331" s="560"/>
      <c r="E1331" s="560" t="s">
        <v>408</v>
      </c>
      <c r="F1331" s="560" t="s">
        <v>23</v>
      </c>
      <c r="G1331" s="560" t="s">
        <v>604</v>
      </c>
      <c r="H1331" s="568" t="s">
        <v>1872</v>
      </c>
      <c r="I1331" s="569" t="s">
        <v>1873</v>
      </c>
      <c r="J1331" s="724">
        <v>45140</v>
      </c>
      <c r="K1331" s="765">
        <v>0.4375</v>
      </c>
      <c r="L1331" s="736">
        <v>45140</v>
      </c>
      <c r="M1331" s="766">
        <v>0.45833333333333331</v>
      </c>
      <c r="N1331" s="564">
        <v>0.5</v>
      </c>
      <c r="O1331" s="565" t="s">
        <v>17</v>
      </c>
      <c r="P1331" s="566" t="s">
        <v>1583</v>
      </c>
      <c r="Q1331" s="805" t="s">
        <v>1441</v>
      </c>
      <c r="R1331" s="567" t="s">
        <v>95</v>
      </c>
      <c r="S1331" s="31" t="s">
        <v>273</v>
      </c>
      <c r="T1331" s="31" t="s">
        <v>273</v>
      </c>
      <c r="U1331" s="31">
        <f>IFERROR(VLOOKUP(CONCATENATE(Tabla1[[#This Row],[Severidad]]," ",Tabla1[[#This Row],[Complejidad]]),Catalogos!E$120:G$128,3,FALSE),"")</f>
        <v>64</v>
      </c>
      <c r="V1331" s="31" t="str">
        <f>IF(Tabla1[[#This Row],[Tiempo solución max (hrs)]]&lt;&gt;"",IF(Tabla1[[#This Row],[Tiempo solución max (hrs)]]&gt;=Tabla1[[#This Row],[Tiempo
(Hrs 00/100)]],"cumple","no cumple"),"")</f>
        <v>cumple</v>
      </c>
      <c r="W1331" s="376" t="s">
        <v>1814</v>
      </c>
      <c r="X1331" s="377" t="str">
        <f t="shared" si="129"/>
        <v>SSI</v>
      </c>
      <c r="Y1331" t="str">
        <f>SUBSTITUTE(Tabla1[[#This Row],[Descripción]],CHAR(10),"    I    ")</f>
        <v>Se validó campo por campo de la tabla 'SISAI_TR_SOLICITUD_ESTADISTICO' para identificar los tipos de datos y tamaño para validación en bloque anonimo</v>
      </c>
      <c r="Z1331" s="142">
        <f>VLOOKUP(Tabla1[[#This Row],[Perfil]],Catalogos!$B$75:$D$100,3,FALSE)*Tabla1[[#This Row],[Tiempo
(Hrs 00/100)]]*1.16</f>
        <v>348</v>
      </c>
    </row>
    <row r="1332" spans="1:26" ht="15" customHeight="1" x14ac:dyDescent="0.3">
      <c r="A1332" s="560" t="s">
        <v>22</v>
      </c>
      <c r="B1332" s="560" t="s">
        <v>66</v>
      </c>
      <c r="C1332" s="561" t="s">
        <v>257</v>
      </c>
      <c r="D1332" s="560"/>
      <c r="E1332" s="560" t="s">
        <v>408</v>
      </c>
      <c r="F1332" s="560" t="s">
        <v>75</v>
      </c>
      <c r="G1332" s="560" t="s">
        <v>604</v>
      </c>
      <c r="H1332" s="568" t="s">
        <v>1874</v>
      </c>
      <c r="I1332" s="569" t="s">
        <v>1875</v>
      </c>
      <c r="J1332" s="724">
        <v>45140</v>
      </c>
      <c r="K1332" s="766">
        <v>0.45833333333333331</v>
      </c>
      <c r="L1332" s="736">
        <v>45140</v>
      </c>
      <c r="M1332" s="766">
        <v>0.47916666666666669</v>
      </c>
      <c r="N1332" s="564">
        <v>0.5</v>
      </c>
      <c r="O1332" s="565" t="s">
        <v>17</v>
      </c>
      <c r="P1332" s="566" t="s">
        <v>1583</v>
      </c>
      <c r="Q1332" s="805" t="s">
        <v>1441</v>
      </c>
      <c r="R1332" s="567" t="s">
        <v>95</v>
      </c>
      <c r="S1332" s="31" t="s">
        <v>273</v>
      </c>
      <c r="T1332" s="31" t="s">
        <v>273</v>
      </c>
      <c r="U1332" s="31">
        <f>IFERROR(VLOOKUP(CONCATENATE(Tabla1[[#This Row],[Severidad]]," ",Tabla1[[#This Row],[Complejidad]]),Catalogos!E$120:G$128,3,FALSE),"")</f>
        <v>64</v>
      </c>
      <c r="V1332" s="31" t="str">
        <f>IF(Tabla1[[#This Row],[Tiempo solución max (hrs)]]&lt;&gt;"",IF(Tabla1[[#This Row],[Tiempo solución max (hrs)]]&gt;=Tabla1[[#This Row],[Tiempo
(Hrs 00/100)]],"cumple","no cumple"),"")</f>
        <v>cumple</v>
      </c>
      <c r="W1332" s="376" t="s">
        <v>1814</v>
      </c>
      <c r="X1332" s="377" t="str">
        <f t="shared" si="129"/>
        <v>SSI</v>
      </c>
      <c r="Y1332" t="str">
        <f>SUBSTITUTE(Tabla1[[#This Row],[Descripción]],CHAR(10),"    I    ")</f>
        <v>Se validó el paquete-procedimiento de la funcionalidad # 7 - Query 6 con el bloque anónimo correcto y se tuvo un resultado exitoso con la salida del cursor completo con el único parámetro</v>
      </c>
      <c r="Z1332" s="142">
        <f>VLOOKUP(Tabla1[[#This Row],[Perfil]],Catalogos!$B$75:$D$100,3,FALSE)*Tabla1[[#This Row],[Tiempo
(Hrs 00/100)]]*1.16</f>
        <v>348</v>
      </c>
    </row>
    <row r="1333" spans="1:26" ht="15" customHeight="1" x14ac:dyDescent="0.3">
      <c r="A1333" s="560" t="s">
        <v>22</v>
      </c>
      <c r="B1333" s="560" t="s">
        <v>23</v>
      </c>
      <c r="C1333" s="561" t="s">
        <v>257</v>
      </c>
      <c r="D1333" s="560"/>
      <c r="E1333" s="560" t="s">
        <v>408</v>
      </c>
      <c r="F1333" s="560" t="s">
        <v>23</v>
      </c>
      <c r="G1333" s="560" t="s">
        <v>604</v>
      </c>
      <c r="H1333" s="568" t="s">
        <v>1876</v>
      </c>
      <c r="I1333" s="569" t="s">
        <v>1877</v>
      </c>
      <c r="J1333" s="724">
        <v>45140</v>
      </c>
      <c r="K1333" s="766">
        <v>0.47916666666666669</v>
      </c>
      <c r="L1333" s="736">
        <v>45140</v>
      </c>
      <c r="M1333" s="766">
        <v>0.5</v>
      </c>
      <c r="N1333" s="564">
        <v>0.5</v>
      </c>
      <c r="O1333" s="565" t="s">
        <v>17</v>
      </c>
      <c r="P1333" s="566" t="s">
        <v>1583</v>
      </c>
      <c r="Q1333" s="805" t="s">
        <v>1441</v>
      </c>
      <c r="R1333" s="567" t="s">
        <v>95</v>
      </c>
      <c r="S1333" s="31" t="s">
        <v>273</v>
      </c>
      <c r="T1333" s="31" t="s">
        <v>273</v>
      </c>
      <c r="U1333" s="31">
        <f>IFERROR(VLOOKUP(CONCATENATE(Tabla1[[#This Row],[Severidad]]," ",Tabla1[[#This Row],[Complejidad]]),Catalogos!E$120:G$128,3,FALSE),"")</f>
        <v>64</v>
      </c>
      <c r="V1333" s="31" t="str">
        <f>IF(Tabla1[[#This Row],[Tiempo solución max (hrs)]]&lt;&gt;"",IF(Tabla1[[#This Row],[Tiempo solución max (hrs)]]&gt;=Tabla1[[#This Row],[Tiempo
(Hrs 00/100)]],"cumple","no cumple"),"")</f>
        <v>cumple</v>
      </c>
      <c r="W1333" s="376" t="s">
        <v>1814</v>
      </c>
      <c r="X1333" s="377" t="str">
        <f t="shared" si="129"/>
        <v>SSI</v>
      </c>
      <c r="Y1333" t="str">
        <f>SUBSTITUTE(Tabla1[[#This Row],[Descripción]],CHAR(10),"    I    ")</f>
        <v>Se creó el nuevo procedimiento 'FUNC7DETSOLDASHUTGI_SOLXACCESIBILIDAD_QF7Q7' en el paquete 'PACK_SISAI2', con la 7ma funcionalidad y el 7mo de los queries pequeños que obtiene la lista de solicitud de accesibilidad por solicitud general</v>
      </c>
      <c r="Z1333" s="142">
        <f>VLOOKUP(Tabla1[[#This Row],[Perfil]],Catalogos!$B$75:$D$100,3,FALSE)*Tabla1[[#This Row],[Tiempo
(Hrs 00/100)]]*1.16</f>
        <v>348</v>
      </c>
    </row>
    <row r="1334" spans="1:26" ht="15" customHeight="1" x14ac:dyDescent="0.3">
      <c r="A1334" s="560" t="s">
        <v>22</v>
      </c>
      <c r="B1334" s="560" t="s">
        <v>23</v>
      </c>
      <c r="C1334" s="561" t="s">
        <v>257</v>
      </c>
      <c r="D1334" s="560"/>
      <c r="E1334" s="560" t="s">
        <v>408</v>
      </c>
      <c r="F1334" s="560" t="s">
        <v>23</v>
      </c>
      <c r="G1334" s="560" t="s">
        <v>604</v>
      </c>
      <c r="H1334" s="568" t="s">
        <v>1878</v>
      </c>
      <c r="I1334" s="569" t="s">
        <v>1879</v>
      </c>
      <c r="J1334" s="724">
        <v>45140</v>
      </c>
      <c r="K1334" s="766">
        <v>0.5</v>
      </c>
      <c r="L1334" s="736">
        <v>45140</v>
      </c>
      <c r="M1334" s="766">
        <v>0.52083333333333337</v>
      </c>
      <c r="N1334" s="564">
        <v>0.5</v>
      </c>
      <c r="O1334" s="565" t="s">
        <v>17</v>
      </c>
      <c r="P1334" s="566" t="s">
        <v>1583</v>
      </c>
      <c r="Q1334" s="805" t="s">
        <v>1441</v>
      </c>
      <c r="R1334" s="567" t="s">
        <v>95</v>
      </c>
      <c r="S1334" s="31" t="s">
        <v>273</v>
      </c>
      <c r="T1334" s="31" t="s">
        <v>273</v>
      </c>
      <c r="U1334" s="31">
        <f>IFERROR(VLOOKUP(CONCATENATE(Tabla1[[#This Row],[Severidad]]," ",Tabla1[[#This Row],[Complejidad]]),Catalogos!E$120:G$128,3,FALSE),"")</f>
        <v>64</v>
      </c>
      <c r="V1334" s="31" t="str">
        <f>IF(Tabla1[[#This Row],[Tiempo solución max (hrs)]]&lt;&gt;"",IF(Tabla1[[#This Row],[Tiempo solución max (hrs)]]&gt;=Tabla1[[#This Row],[Tiempo
(Hrs 00/100)]],"cumple","no cumple"),"")</f>
        <v>cumple</v>
      </c>
      <c r="W1334" s="376" t="s">
        <v>1814</v>
      </c>
      <c r="X1334" s="377" t="str">
        <f t="shared" si="129"/>
        <v>SSI</v>
      </c>
      <c r="Y1334" t="str">
        <f>SUBSTITUTE(Tabla1[[#This Row],[Descripción]],CHAR(10),"    I    ")</f>
        <v>Se validó campo por campo de la tabla 'SISAI_TR_SOLICITUD_X_ACCESIBIL' para identificar los tipos de datos y tamaño para validación en bloque anonimo</v>
      </c>
      <c r="Z1334" s="142">
        <f>VLOOKUP(Tabla1[[#This Row],[Perfil]],Catalogos!$B$75:$D$100,3,FALSE)*Tabla1[[#This Row],[Tiempo
(Hrs 00/100)]]*1.16</f>
        <v>348</v>
      </c>
    </row>
    <row r="1335" spans="1:26" ht="15" customHeight="1" x14ac:dyDescent="0.3">
      <c r="A1335" s="560" t="s">
        <v>22</v>
      </c>
      <c r="B1335" s="560" t="s">
        <v>66</v>
      </c>
      <c r="C1335" s="561" t="s">
        <v>257</v>
      </c>
      <c r="D1335" s="560"/>
      <c r="E1335" s="560" t="s">
        <v>408</v>
      </c>
      <c r="F1335" s="560" t="s">
        <v>75</v>
      </c>
      <c r="G1335" s="560" t="s">
        <v>604</v>
      </c>
      <c r="H1335" s="568" t="s">
        <v>1880</v>
      </c>
      <c r="I1335" s="569" t="s">
        <v>1881</v>
      </c>
      <c r="J1335" s="724">
        <v>45140</v>
      </c>
      <c r="K1335" s="766">
        <v>0.52083333333333337</v>
      </c>
      <c r="L1335" s="736">
        <v>45140</v>
      </c>
      <c r="M1335" s="766">
        <v>0.54166666666666663</v>
      </c>
      <c r="N1335" s="564">
        <v>0.5</v>
      </c>
      <c r="O1335" s="565" t="s">
        <v>17</v>
      </c>
      <c r="P1335" s="566" t="s">
        <v>1583</v>
      </c>
      <c r="Q1335" s="805" t="s">
        <v>1441</v>
      </c>
      <c r="R1335" s="567" t="s">
        <v>95</v>
      </c>
      <c r="S1335" s="31" t="s">
        <v>273</v>
      </c>
      <c r="T1335" s="31" t="s">
        <v>273</v>
      </c>
      <c r="U1335" s="31">
        <f>IFERROR(VLOOKUP(CONCATENATE(Tabla1[[#This Row],[Severidad]]," ",Tabla1[[#This Row],[Complejidad]]),Catalogos!E$120:G$128,3,FALSE),"")</f>
        <v>64</v>
      </c>
      <c r="V1335" s="31" t="str">
        <f>IF(Tabla1[[#This Row],[Tiempo solución max (hrs)]]&lt;&gt;"",IF(Tabla1[[#This Row],[Tiempo solución max (hrs)]]&gt;=Tabla1[[#This Row],[Tiempo
(Hrs 00/100)]],"cumple","no cumple"),"")</f>
        <v>cumple</v>
      </c>
      <c r="W1335" s="376" t="s">
        <v>1814</v>
      </c>
      <c r="X1335" s="377" t="str">
        <f t="shared" si="129"/>
        <v>SSI</v>
      </c>
      <c r="Y1335" t="str">
        <f>SUBSTITUTE(Tabla1[[#This Row],[Descripción]],CHAR(10),"    I    ")</f>
        <v>Se validó el paquete-procedimiento de la funcionalidad # 7 - Query 7 con el bloque anónimo correcto y se tuvo un resultado exitoso con la salida del cursor completo con el único parámetro</v>
      </c>
      <c r="Z1335" s="142">
        <f>VLOOKUP(Tabla1[[#This Row],[Perfil]],Catalogos!$B$75:$D$100,3,FALSE)*Tabla1[[#This Row],[Tiempo
(Hrs 00/100)]]*1.16</f>
        <v>348</v>
      </c>
    </row>
    <row r="1336" spans="1:26" ht="15" customHeight="1" x14ac:dyDescent="0.3">
      <c r="A1336" s="560" t="s">
        <v>22</v>
      </c>
      <c r="B1336" s="560" t="s">
        <v>23</v>
      </c>
      <c r="C1336" s="561" t="s">
        <v>257</v>
      </c>
      <c r="D1336" s="560"/>
      <c r="E1336" s="560" t="s">
        <v>408</v>
      </c>
      <c r="F1336" s="560" t="s">
        <v>23</v>
      </c>
      <c r="G1336" s="560" t="s">
        <v>604</v>
      </c>
      <c r="H1336" s="568" t="s">
        <v>1882</v>
      </c>
      <c r="I1336" s="569" t="s">
        <v>1883</v>
      </c>
      <c r="J1336" s="724">
        <v>45140</v>
      </c>
      <c r="K1336" s="766">
        <v>0.54166666666666663</v>
      </c>
      <c r="L1336" s="736">
        <v>45140</v>
      </c>
      <c r="M1336" s="766">
        <v>0.5625</v>
      </c>
      <c r="N1336" s="564">
        <v>0.5</v>
      </c>
      <c r="O1336" s="565" t="s">
        <v>17</v>
      </c>
      <c r="P1336" s="566" t="s">
        <v>1583</v>
      </c>
      <c r="Q1336" s="805" t="s">
        <v>1441</v>
      </c>
      <c r="R1336" s="567" t="s">
        <v>95</v>
      </c>
      <c r="S1336" s="31" t="s">
        <v>273</v>
      </c>
      <c r="T1336" s="31" t="s">
        <v>273</v>
      </c>
      <c r="U1336" s="31">
        <f>IFERROR(VLOOKUP(CONCATENATE(Tabla1[[#This Row],[Severidad]]," ",Tabla1[[#This Row],[Complejidad]]),Catalogos!E$120:G$128,3,FALSE),"")</f>
        <v>64</v>
      </c>
      <c r="V1336" s="31" t="str">
        <f>IF(Tabla1[[#This Row],[Tiempo solución max (hrs)]]&lt;&gt;"",IF(Tabla1[[#This Row],[Tiempo solución max (hrs)]]&gt;=Tabla1[[#This Row],[Tiempo
(Hrs 00/100)]],"cumple","no cumple"),"")</f>
        <v>cumple</v>
      </c>
      <c r="W1336" s="376" t="s">
        <v>1814</v>
      </c>
      <c r="X1336" s="377" t="str">
        <f t="shared" si="129"/>
        <v>SSI</v>
      </c>
      <c r="Y1336" t="str">
        <f>SUBSTITUTE(Tabla1[[#This Row],[Descripción]],CHAR(10),"    I    ")</f>
        <v>Se revisó el Query 8 de la Funcionalidad 7, para obtener adjunto de la ut por id respuesta y se encontro reutilización ('FUNC3DETSOLDASH_ADJUNTOXIDRESP_QF3Q4')</v>
      </c>
      <c r="Z1336" s="142">
        <f>VLOOKUP(Tabla1[[#This Row],[Perfil]],Catalogos!$B$75:$D$100,3,FALSE)*Tabla1[[#This Row],[Tiempo
(Hrs 00/100)]]*1.16</f>
        <v>348</v>
      </c>
    </row>
    <row r="1337" spans="1:26" ht="15" customHeight="1" x14ac:dyDescent="0.3">
      <c r="A1337" s="560" t="s">
        <v>22</v>
      </c>
      <c r="B1337" s="560" t="s">
        <v>65</v>
      </c>
      <c r="C1337" s="561" t="s">
        <v>257</v>
      </c>
      <c r="D1337" s="560"/>
      <c r="E1337" s="560" t="s">
        <v>408</v>
      </c>
      <c r="F1337" s="560" t="s">
        <v>73</v>
      </c>
      <c r="G1337" s="560" t="s">
        <v>604</v>
      </c>
      <c r="H1337" s="568" t="s">
        <v>1884</v>
      </c>
      <c r="I1337" s="569" t="s">
        <v>1884</v>
      </c>
      <c r="J1337" s="724">
        <v>45140</v>
      </c>
      <c r="K1337" s="766">
        <v>0.5625</v>
      </c>
      <c r="L1337" s="736">
        <v>45140</v>
      </c>
      <c r="M1337" s="766">
        <v>0.58333333333333337</v>
      </c>
      <c r="N1337" s="564">
        <v>0.5</v>
      </c>
      <c r="O1337" s="565" t="s">
        <v>17</v>
      </c>
      <c r="P1337" s="566" t="s">
        <v>1583</v>
      </c>
      <c r="Q1337" s="805" t="s">
        <v>1441</v>
      </c>
      <c r="R1337" s="567" t="s">
        <v>95</v>
      </c>
      <c r="S1337" s="31" t="s">
        <v>273</v>
      </c>
      <c r="T1337" s="31" t="s">
        <v>273</v>
      </c>
      <c r="U1337" s="31">
        <f>IFERROR(VLOOKUP(CONCATENATE(Tabla1[[#This Row],[Severidad]]," ",Tabla1[[#This Row],[Complejidad]]),Catalogos!E$120:G$128,3,FALSE),"")</f>
        <v>64</v>
      </c>
      <c r="V1337" s="31" t="str">
        <f>IF(Tabla1[[#This Row],[Tiempo solución max (hrs)]]&lt;&gt;"",IF(Tabla1[[#This Row],[Tiempo solución max (hrs)]]&gt;=Tabla1[[#This Row],[Tiempo
(Hrs 00/100)]],"cumple","no cumple"),"")</f>
        <v>cumple</v>
      </c>
      <c r="W1337" s="376" t="s">
        <v>1814</v>
      </c>
      <c r="X1337" s="377" t="str">
        <f t="shared" si="129"/>
        <v>SSI</v>
      </c>
      <c r="Y1337" t="str">
        <f>SUBSTITUTE(Tabla1[[#This Row],[Descripción]],CHAR(10),"    I    ")</f>
        <v>Se actualizó documento Querys SISAI con el detalle encontrado en el Query 8 - Funcionalidad 7</v>
      </c>
      <c r="Z1337" s="142">
        <f>VLOOKUP(Tabla1[[#This Row],[Perfil]],Catalogos!$B$75:$D$100,3,FALSE)*Tabla1[[#This Row],[Tiempo
(Hrs 00/100)]]*1.16</f>
        <v>348</v>
      </c>
    </row>
    <row r="1338" spans="1:26" ht="15" customHeight="1" x14ac:dyDescent="0.3">
      <c r="A1338" s="570" t="s">
        <v>22</v>
      </c>
      <c r="B1338" s="570" t="s">
        <v>23</v>
      </c>
      <c r="C1338" s="571" t="s">
        <v>257</v>
      </c>
      <c r="D1338" s="560"/>
      <c r="E1338" s="560" t="s">
        <v>408</v>
      </c>
      <c r="F1338" s="570" t="s">
        <v>23</v>
      </c>
      <c r="G1338" s="560" t="s">
        <v>604</v>
      </c>
      <c r="H1338" s="568" t="s">
        <v>1885</v>
      </c>
      <c r="I1338" s="569" t="s">
        <v>1886</v>
      </c>
      <c r="J1338" s="724">
        <v>45141</v>
      </c>
      <c r="K1338" s="766">
        <v>0.375</v>
      </c>
      <c r="L1338" s="736">
        <v>45141</v>
      </c>
      <c r="M1338" s="766">
        <v>0.39583333333333331</v>
      </c>
      <c r="N1338" s="572">
        <v>0.5</v>
      </c>
      <c r="O1338" s="570" t="s">
        <v>17</v>
      </c>
      <c r="P1338" s="573" t="s">
        <v>1583</v>
      </c>
      <c r="Q1338" s="805" t="s">
        <v>1441</v>
      </c>
      <c r="R1338" s="574" t="s">
        <v>95</v>
      </c>
      <c r="S1338" s="31" t="s">
        <v>273</v>
      </c>
      <c r="T1338" s="31" t="s">
        <v>273</v>
      </c>
      <c r="U1338" s="31">
        <f>IFERROR(VLOOKUP(CONCATENATE(Tabla1[[#This Row],[Severidad]]," ",Tabla1[[#This Row],[Complejidad]]),Catalogos!E$120:G$128,3,FALSE),"")</f>
        <v>64</v>
      </c>
      <c r="V1338" s="31" t="str">
        <f>IF(Tabla1[[#This Row],[Tiempo solución max (hrs)]]&lt;&gt;"",IF(Tabla1[[#This Row],[Tiempo solución max (hrs)]]&gt;=Tabla1[[#This Row],[Tiempo
(Hrs 00/100)]],"cumple","no cumple"),"")</f>
        <v>cumple</v>
      </c>
      <c r="W1338" s="376" t="s">
        <v>1814</v>
      </c>
      <c r="X1338" s="377" t="str">
        <f t="shared" si="129"/>
        <v>SSI</v>
      </c>
      <c r="Y1338" t="str">
        <f>SUBSTITUTE(Tabla1[[#This Row],[Descripción]],CHAR(10),"    I    ")</f>
        <v>Se revisó el Query 9 de la Funcionalidad 7, para obtener la notificación disponibilidad por respuesta de notoria incompetencia y se encontro reutilización ('FUNC3DETSOLDASH_NOTIFDISPONIBXRESP_QF3Q5')</v>
      </c>
      <c r="Z1338" s="142">
        <f>VLOOKUP(Tabla1[[#This Row],[Perfil]],Catalogos!$B$75:$D$100,3,FALSE)*Tabla1[[#This Row],[Tiempo
(Hrs 00/100)]]*1.16</f>
        <v>348</v>
      </c>
    </row>
    <row r="1339" spans="1:26" ht="15" customHeight="1" x14ac:dyDescent="0.3">
      <c r="A1339" s="575" t="s">
        <v>22</v>
      </c>
      <c r="B1339" s="575" t="s">
        <v>65</v>
      </c>
      <c r="C1339" s="576" t="s">
        <v>257</v>
      </c>
      <c r="D1339" s="560"/>
      <c r="E1339" s="560" t="s">
        <v>408</v>
      </c>
      <c r="F1339" s="575" t="s">
        <v>73</v>
      </c>
      <c r="G1339" s="560" t="s">
        <v>604</v>
      </c>
      <c r="H1339" s="568" t="s">
        <v>1887</v>
      </c>
      <c r="I1339" s="569" t="s">
        <v>1887</v>
      </c>
      <c r="J1339" s="724">
        <v>45141</v>
      </c>
      <c r="K1339" s="766">
        <v>0.39583333333333331</v>
      </c>
      <c r="L1339" s="736">
        <v>45141</v>
      </c>
      <c r="M1339" s="766">
        <v>0.41666666666666669</v>
      </c>
      <c r="N1339" s="577">
        <v>0.5</v>
      </c>
      <c r="O1339" s="575" t="s">
        <v>17</v>
      </c>
      <c r="P1339" s="578" t="s">
        <v>1583</v>
      </c>
      <c r="Q1339" s="805" t="s">
        <v>1441</v>
      </c>
      <c r="R1339" s="579" t="s">
        <v>95</v>
      </c>
      <c r="S1339" s="31" t="s">
        <v>273</v>
      </c>
      <c r="T1339" s="31" t="s">
        <v>273</v>
      </c>
      <c r="U1339" s="31">
        <f>IFERROR(VLOOKUP(CONCATENATE(Tabla1[[#This Row],[Severidad]]," ",Tabla1[[#This Row],[Complejidad]]),Catalogos!E$120:G$128,3,FALSE),"")</f>
        <v>64</v>
      </c>
      <c r="V1339" s="31" t="str">
        <f>IF(Tabla1[[#This Row],[Tiempo solución max (hrs)]]&lt;&gt;"",IF(Tabla1[[#This Row],[Tiempo solución max (hrs)]]&gt;=Tabla1[[#This Row],[Tiempo
(Hrs 00/100)]],"cumple","no cumple"),"")</f>
        <v>cumple</v>
      </c>
      <c r="W1339" s="376" t="s">
        <v>1814</v>
      </c>
      <c r="X1339" s="377" t="str">
        <f t="shared" si="129"/>
        <v>SSI</v>
      </c>
      <c r="Y1339" t="str">
        <f>SUBSTITUTE(Tabla1[[#This Row],[Descripción]],CHAR(10),"    I    ")</f>
        <v>Se actualizó documento Querys SISAI con el detalle encontrado en el Query 9 - Funcionalidad 7</v>
      </c>
      <c r="Z1339" s="142">
        <f>VLOOKUP(Tabla1[[#This Row],[Perfil]],Catalogos!$B$75:$D$100,3,FALSE)*Tabla1[[#This Row],[Tiempo
(Hrs 00/100)]]*1.16</f>
        <v>348</v>
      </c>
    </row>
    <row r="1340" spans="1:26" ht="15" customHeight="1" x14ac:dyDescent="0.3">
      <c r="A1340" s="548" t="s">
        <v>22</v>
      </c>
      <c r="B1340" s="548" t="s">
        <v>23</v>
      </c>
      <c r="C1340" s="549" t="s">
        <v>257</v>
      </c>
      <c r="D1340" s="548"/>
      <c r="E1340" s="548" t="s">
        <v>408</v>
      </c>
      <c r="F1340" s="548" t="s">
        <v>23</v>
      </c>
      <c r="G1340" s="548" t="s">
        <v>604</v>
      </c>
      <c r="H1340" s="580" t="s">
        <v>1888</v>
      </c>
      <c r="I1340" s="581" t="s">
        <v>1889</v>
      </c>
      <c r="J1340" s="725">
        <v>45141</v>
      </c>
      <c r="K1340" s="764">
        <v>0.41666666666666669</v>
      </c>
      <c r="L1340" s="737">
        <v>45141</v>
      </c>
      <c r="M1340" s="765">
        <v>0.4375</v>
      </c>
      <c r="N1340" s="540">
        <v>0.5</v>
      </c>
      <c r="O1340" s="558" t="s">
        <v>17</v>
      </c>
      <c r="P1340" s="553" t="s">
        <v>1583</v>
      </c>
      <c r="Q1340" s="804" t="s">
        <v>1441</v>
      </c>
      <c r="R1340" s="559" t="s">
        <v>95</v>
      </c>
      <c r="S1340" s="31" t="s">
        <v>273</v>
      </c>
      <c r="T1340" s="31" t="s">
        <v>273</v>
      </c>
      <c r="U1340" s="31">
        <f>IFERROR(VLOOKUP(CONCATENATE(Tabla1[[#This Row],[Severidad]]," ",Tabla1[[#This Row],[Complejidad]]),Catalogos!E$120:G$128,3,FALSE),"")</f>
        <v>64</v>
      </c>
      <c r="V1340" s="31" t="str">
        <f>IF(Tabla1[[#This Row],[Tiempo solución max (hrs)]]&lt;&gt;"",IF(Tabla1[[#This Row],[Tiempo solución max (hrs)]]&gt;=Tabla1[[#This Row],[Tiempo
(Hrs 00/100)]],"cumple","no cumple"),"")</f>
        <v>cumple</v>
      </c>
      <c r="W1340" s="376" t="s">
        <v>1814</v>
      </c>
      <c r="X1340" s="377" t="str">
        <f t="shared" si="129"/>
        <v>SSI</v>
      </c>
      <c r="Y1340" t="str">
        <f>SUBSTITUTE(Tabla1[[#This Row],[Descripción]],CHAR(10),"    I    ")</f>
        <v>Se revisó el Query 10 de la Funcionalidad 7, para obtener competencia por sujeto obligado si una solicitud fue canalizada y se encontro reutilización ('FUNC3DETSOLDASH_COMPETENXRESP_QF3Q6')</v>
      </c>
      <c r="Z1340" s="142">
        <f>VLOOKUP(Tabla1[[#This Row],[Perfil]],Catalogos!$B$75:$D$100,3,FALSE)*Tabla1[[#This Row],[Tiempo
(Hrs 00/100)]]*1.16</f>
        <v>348</v>
      </c>
    </row>
    <row r="1341" spans="1:26" ht="15" customHeight="1" x14ac:dyDescent="0.3">
      <c r="A1341" s="548" t="s">
        <v>22</v>
      </c>
      <c r="B1341" s="548" t="s">
        <v>65</v>
      </c>
      <c r="C1341" s="549" t="s">
        <v>257</v>
      </c>
      <c r="D1341" s="548"/>
      <c r="E1341" s="548" t="s">
        <v>408</v>
      </c>
      <c r="F1341" s="548" t="s">
        <v>73</v>
      </c>
      <c r="G1341" s="548" t="s">
        <v>604</v>
      </c>
      <c r="H1341" s="582" t="s">
        <v>1890</v>
      </c>
      <c r="I1341" s="583" t="s">
        <v>1890</v>
      </c>
      <c r="J1341" s="721">
        <v>45141</v>
      </c>
      <c r="K1341" s="765">
        <v>0.4375</v>
      </c>
      <c r="L1341" s="738">
        <v>45141</v>
      </c>
      <c r="M1341" s="766">
        <v>0.45833333333333331</v>
      </c>
      <c r="N1341" s="540">
        <v>0.5</v>
      </c>
      <c r="O1341" s="558" t="s">
        <v>17</v>
      </c>
      <c r="P1341" s="553" t="s">
        <v>1583</v>
      </c>
      <c r="Q1341" s="804" t="s">
        <v>1441</v>
      </c>
      <c r="R1341" s="559" t="s">
        <v>95</v>
      </c>
      <c r="S1341" s="31" t="s">
        <v>273</v>
      </c>
      <c r="T1341" s="31" t="s">
        <v>273</v>
      </c>
      <c r="U1341" s="31">
        <f>IFERROR(VLOOKUP(CONCATENATE(Tabla1[[#This Row],[Severidad]]," ",Tabla1[[#This Row],[Complejidad]]),Catalogos!E$120:G$128,3,FALSE),"")</f>
        <v>64</v>
      </c>
      <c r="V1341" s="31" t="str">
        <f>IF(Tabla1[[#This Row],[Tiempo solución max (hrs)]]&lt;&gt;"",IF(Tabla1[[#This Row],[Tiempo solución max (hrs)]]&gt;=Tabla1[[#This Row],[Tiempo
(Hrs 00/100)]],"cumple","no cumple"),"")</f>
        <v>cumple</v>
      </c>
      <c r="W1341" s="376" t="s">
        <v>1814</v>
      </c>
      <c r="X1341" s="377" t="str">
        <f t="shared" ref="X1341:X1361" si="136">IF(C1341&lt;&gt;"",C1341,D1341)</f>
        <v>SSI</v>
      </c>
      <c r="Y1341" t="str">
        <f>SUBSTITUTE(Tabla1[[#This Row],[Descripción]],CHAR(10),"    I    ")</f>
        <v>Se actualizó documento Querys SISAI con el detalle encontrado en el Query 10 - Funcionalidad 7</v>
      </c>
      <c r="Z1341" s="142">
        <f>VLOOKUP(Tabla1[[#This Row],[Perfil]],Catalogos!$B$75:$D$100,3,FALSE)*Tabla1[[#This Row],[Tiempo
(Hrs 00/100)]]*1.16</f>
        <v>348</v>
      </c>
    </row>
    <row r="1342" spans="1:26" ht="15" customHeight="1" x14ac:dyDescent="0.3">
      <c r="A1342" s="548" t="s">
        <v>22</v>
      </c>
      <c r="B1342" s="548" t="s">
        <v>23</v>
      </c>
      <c r="C1342" s="549" t="s">
        <v>257</v>
      </c>
      <c r="D1342" s="548"/>
      <c r="E1342" s="548" t="s">
        <v>408</v>
      </c>
      <c r="F1342" s="548" t="s">
        <v>23</v>
      </c>
      <c r="G1342" s="548" t="s">
        <v>604</v>
      </c>
      <c r="H1342" s="582" t="s">
        <v>1891</v>
      </c>
      <c r="I1342" s="583" t="s">
        <v>1892</v>
      </c>
      <c r="J1342" s="721">
        <v>45141</v>
      </c>
      <c r="K1342" s="766">
        <v>0.45833333333333331</v>
      </c>
      <c r="L1342" s="738">
        <v>45141</v>
      </c>
      <c r="M1342" s="766">
        <v>0.47916666666666669</v>
      </c>
      <c r="N1342" s="540">
        <v>0.5</v>
      </c>
      <c r="O1342" s="558" t="s">
        <v>17</v>
      </c>
      <c r="P1342" s="553" t="s">
        <v>1583</v>
      </c>
      <c r="Q1342" s="804" t="s">
        <v>1441</v>
      </c>
      <c r="R1342" s="559" t="s">
        <v>95</v>
      </c>
      <c r="S1342" s="31" t="s">
        <v>273</v>
      </c>
      <c r="T1342" s="31" t="s">
        <v>273</v>
      </c>
      <c r="U1342" s="31">
        <f>IFERROR(VLOOKUP(CONCATENATE(Tabla1[[#This Row],[Severidad]]," ",Tabla1[[#This Row],[Complejidad]]),Catalogos!E$120:G$128,3,FALSE),"")</f>
        <v>64</v>
      </c>
      <c r="V1342" s="31" t="str">
        <f>IF(Tabla1[[#This Row],[Tiempo solución max (hrs)]]&lt;&gt;"",IF(Tabla1[[#This Row],[Tiempo solución max (hrs)]]&gt;=Tabla1[[#This Row],[Tiempo
(Hrs 00/100)]],"cumple","no cumple"),"")</f>
        <v>cumple</v>
      </c>
      <c r="W1342" s="376" t="s">
        <v>1814</v>
      </c>
      <c r="X1342" s="377" t="str">
        <f t="shared" si="136"/>
        <v>SSI</v>
      </c>
      <c r="Y1342" t="str">
        <f>SUBSTITUTE(Tabla1[[#This Row],[Descripción]],CHAR(10),"    I    ")</f>
        <v>Se creó el nuevo procedimiento 'FUNC7DETSOLDASHUTGI_SOLDATOPERSON_QF7Q11' en el paquete 'PACK_SISAI2', con la 7ma funcionalidad y el 11vo de los queries pequeños que obtiene la solicitud datos perso por solicitud dependencia cuando es una solicitud ARCOP</v>
      </c>
      <c r="Z1342" s="142">
        <f>VLOOKUP(Tabla1[[#This Row],[Perfil]],Catalogos!$B$75:$D$100,3,FALSE)*Tabla1[[#This Row],[Tiempo
(Hrs 00/100)]]*1.16</f>
        <v>348</v>
      </c>
    </row>
    <row r="1343" spans="1:26" ht="15" customHeight="1" x14ac:dyDescent="0.3">
      <c r="A1343" s="548" t="s">
        <v>22</v>
      </c>
      <c r="B1343" s="548" t="s">
        <v>23</v>
      </c>
      <c r="C1343" s="549" t="s">
        <v>257</v>
      </c>
      <c r="D1343" s="548"/>
      <c r="E1343" s="548" t="s">
        <v>408</v>
      </c>
      <c r="F1343" s="548" t="s">
        <v>23</v>
      </c>
      <c r="G1343" s="548" t="s">
        <v>604</v>
      </c>
      <c r="H1343" s="582" t="s">
        <v>1893</v>
      </c>
      <c r="I1343" s="583" t="s">
        <v>1894</v>
      </c>
      <c r="J1343" s="721">
        <v>45141</v>
      </c>
      <c r="K1343" s="766">
        <v>0.47916666666666669</v>
      </c>
      <c r="L1343" s="738">
        <v>45141</v>
      </c>
      <c r="M1343" s="766">
        <v>0.5</v>
      </c>
      <c r="N1343" s="540">
        <v>0.5</v>
      </c>
      <c r="O1343" s="558" t="s">
        <v>17</v>
      </c>
      <c r="P1343" s="553" t="s">
        <v>1583</v>
      </c>
      <c r="Q1343" s="804" t="s">
        <v>1441</v>
      </c>
      <c r="R1343" s="559" t="s">
        <v>95</v>
      </c>
      <c r="S1343" s="31" t="s">
        <v>273</v>
      </c>
      <c r="T1343" s="31" t="s">
        <v>273</v>
      </c>
      <c r="U1343" s="31">
        <f>IFERROR(VLOOKUP(CONCATENATE(Tabla1[[#This Row],[Severidad]]," ",Tabla1[[#This Row],[Complejidad]]),Catalogos!E$120:G$128,3,FALSE),"")</f>
        <v>64</v>
      </c>
      <c r="V1343" s="31" t="str">
        <f>IF(Tabla1[[#This Row],[Tiempo solución max (hrs)]]&lt;&gt;"",IF(Tabla1[[#This Row],[Tiempo solución max (hrs)]]&gt;=Tabla1[[#This Row],[Tiempo
(Hrs 00/100)]],"cumple","no cumple"),"")</f>
        <v>cumple</v>
      </c>
      <c r="W1343" s="376" t="s">
        <v>1814</v>
      </c>
      <c r="X1343" s="377" t="str">
        <f t="shared" si="136"/>
        <v>SSI</v>
      </c>
      <c r="Y1343" t="str">
        <f>SUBSTITUTE(Tabla1[[#This Row],[Descripción]],CHAR(10),"    I    ")</f>
        <v>Se validó campo por campo de la tabla 'SISAI_TR_SOLICITUD_DATOS_PERSO' para identificar los tipos de datos y tamaño para validación en bloque anonimo</v>
      </c>
      <c r="Z1343" s="142">
        <f>VLOOKUP(Tabla1[[#This Row],[Perfil]],Catalogos!$B$75:$D$100,3,FALSE)*Tabla1[[#This Row],[Tiempo
(Hrs 00/100)]]*1.16</f>
        <v>348</v>
      </c>
    </row>
    <row r="1344" spans="1:26" ht="15" customHeight="1" x14ac:dyDescent="0.3">
      <c r="A1344" s="548" t="s">
        <v>22</v>
      </c>
      <c r="B1344" s="548" t="s">
        <v>66</v>
      </c>
      <c r="C1344" s="549" t="s">
        <v>257</v>
      </c>
      <c r="D1344" s="548"/>
      <c r="E1344" s="548" t="s">
        <v>408</v>
      </c>
      <c r="F1344" s="548" t="s">
        <v>75</v>
      </c>
      <c r="G1344" s="548" t="s">
        <v>604</v>
      </c>
      <c r="H1344" s="582" t="s">
        <v>1895</v>
      </c>
      <c r="I1344" s="583" t="s">
        <v>1896</v>
      </c>
      <c r="J1344" s="721">
        <v>45141</v>
      </c>
      <c r="K1344" s="766">
        <v>0.5</v>
      </c>
      <c r="L1344" s="738">
        <v>45141</v>
      </c>
      <c r="M1344" s="766">
        <v>0.52083333333333337</v>
      </c>
      <c r="N1344" s="540">
        <v>0.5</v>
      </c>
      <c r="O1344" s="558" t="s">
        <v>17</v>
      </c>
      <c r="P1344" s="553" t="s">
        <v>1583</v>
      </c>
      <c r="Q1344" s="804" t="s">
        <v>1441</v>
      </c>
      <c r="R1344" s="559" t="s">
        <v>95</v>
      </c>
      <c r="S1344" s="31" t="s">
        <v>273</v>
      </c>
      <c r="T1344" s="31" t="s">
        <v>273</v>
      </c>
      <c r="U1344" s="31">
        <f>IFERROR(VLOOKUP(CONCATENATE(Tabla1[[#This Row],[Severidad]]," ",Tabla1[[#This Row],[Complejidad]]),Catalogos!E$120:G$128,3,FALSE),"")</f>
        <v>64</v>
      </c>
      <c r="V1344" s="31" t="str">
        <f>IF(Tabla1[[#This Row],[Tiempo solución max (hrs)]]&lt;&gt;"",IF(Tabla1[[#This Row],[Tiempo solución max (hrs)]]&gt;=Tabla1[[#This Row],[Tiempo
(Hrs 00/100)]],"cumple","no cumple"),"")</f>
        <v>cumple</v>
      </c>
      <c r="W1344" s="376" t="s">
        <v>1814</v>
      </c>
      <c r="X1344" s="377" t="str">
        <f t="shared" si="136"/>
        <v>SSI</v>
      </c>
      <c r="Y1344" t="str">
        <f>SUBSTITUTE(Tabla1[[#This Row],[Descripción]],CHAR(10),"    I    ")</f>
        <v>Se validó el paquete-procedimiento de la funcionalidad # 7 - Query 11 con el bloque anónimo correcto y se tuvo un resultado exitoso con la salida del cursor completo con el único parámetro</v>
      </c>
      <c r="Z1344" s="142">
        <f>VLOOKUP(Tabla1[[#This Row],[Perfil]],Catalogos!$B$75:$D$100,3,FALSE)*Tabla1[[#This Row],[Tiempo
(Hrs 00/100)]]*1.16</f>
        <v>348</v>
      </c>
    </row>
    <row r="1345" spans="1:26" ht="15" customHeight="1" x14ac:dyDescent="0.3">
      <c r="A1345" s="548" t="s">
        <v>22</v>
      </c>
      <c r="B1345" s="548" t="s">
        <v>23</v>
      </c>
      <c r="C1345" s="549" t="s">
        <v>257</v>
      </c>
      <c r="D1345" s="548"/>
      <c r="E1345" s="548" t="s">
        <v>408</v>
      </c>
      <c r="F1345" s="548" t="s">
        <v>23</v>
      </c>
      <c r="G1345" s="548" t="s">
        <v>604</v>
      </c>
      <c r="H1345" s="582" t="s">
        <v>1897</v>
      </c>
      <c r="I1345" s="583" t="s">
        <v>1898</v>
      </c>
      <c r="J1345" s="721">
        <v>45141</v>
      </c>
      <c r="K1345" s="766">
        <v>0.52083333333333337</v>
      </c>
      <c r="L1345" s="738">
        <v>45141</v>
      </c>
      <c r="M1345" s="766">
        <v>0.54166666666666663</v>
      </c>
      <c r="N1345" s="540">
        <v>0.5</v>
      </c>
      <c r="O1345" s="558" t="s">
        <v>17</v>
      </c>
      <c r="P1345" s="553" t="s">
        <v>1583</v>
      </c>
      <c r="Q1345" s="804" t="s">
        <v>1441</v>
      </c>
      <c r="R1345" s="559" t="s">
        <v>95</v>
      </c>
      <c r="S1345" s="31" t="s">
        <v>273</v>
      </c>
      <c r="T1345" s="31" t="s">
        <v>273</v>
      </c>
      <c r="U1345" s="31">
        <f>IFERROR(VLOOKUP(CONCATENATE(Tabla1[[#This Row],[Severidad]]," ",Tabla1[[#This Row],[Complejidad]]),Catalogos!E$120:G$128,3,FALSE),"")</f>
        <v>64</v>
      </c>
      <c r="V1345" s="31" t="str">
        <f>IF(Tabla1[[#This Row],[Tiempo solución max (hrs)]]&lt;&gt;"",IF(Tabla1[[#This Row],[Tiempo solución max (hrs)]]&gt;=Tabla1[[#This Row],[Tiempo
(Hrs 00/100)]],"cumple","no cumple"),"")</f>
        <v>cumple</v>
      </c>
      <c r="W1345" s="376" t="s">
        <v>1814</v>
      </c>
      <c r="X1345" s="377" t="str">
        <f t="shared" si="136"/>
        <v>SSI</v>
      </c>
      <c r="Y1345" t="str">
        <f>SUBSTITUTE(Tabla1[[#This Row],[Descripción]],CHAR(10),"    I    ")</f>
        <v>Se creó el nuevo procedimiento 'FUNC7DETSOLDASHUTGI_ESTADISTXOCUPA_QF7Q12' en el paquete 'PACK_SISAI2', con la 7ma funcionalidad y el 12vo de los queries pequeños que obtiene el estadístico ocupación por id solicitud estadística</v>
      </c>
      <c r="Z1345" s="142">
        <f>VLOOKUP(Tabla1[[#This Row],[Perfil]],Catalogos!$B$75:$D$100,3,FALSE)*Tabla1[[#This Row],[Tiempo
(Hrs 00/100)]]*1.16</f>
        <v>348</v>
      </c>
    </row>
    <row r="1346" spans="1:26" ht="15" customHeight="1" x14ac:dyDescent="0.3">
      <c r="A1346" s="548" t="s">
        <v>22</v>
      </c>
      <c r="B1346" s="548" t="s">
        <v>23</v>
      </c>
      <c r="C1346" s="549" t="s">
        <v>257</v>
      </c>
      <c r="D1346" s="548"/>
      <c r="E1346" s="548" t="s">
        <v>408</v>
      </c>
      <c r="F1346" s="548" t="s">
        <v>23</v>
      </c>
      <c r="G1346" s="548" t="s">
        <v>604</v>
      </c>
      <c r="H1346" s="582" t="s">
        <v>1899</v>
      </c>
      <c r="I1346" s="583" t="s">
        <v>1900</v>
      </c>
      <c r="J1346" s="721">
        <v>45141</v>
      </c>
      <c r="K1346" s="766">
        <v>0.54166666666666663</v>
      </c>
      <c r="L1346" s="738">
        <v>45141</v>
      </c>
      <c r="M1346" s="766">
        <v>0.58333333333333337</v>
      </c>
      <c r="N1346" s="540">
        <v>1</v>
      </c>
      <c r="O1346" s="558" t="s">
        <v>17</v>
      </c>
      <c r="P1346" s="553" t="s">
        <v>1583</v>
      </c>
      <c r="Q1346" s="804" t="s">
        <v>1441</v>
      </c>
      <c r="R1346" s="559" t="s">
        <v>95</v>
      </c>
      <c r="S1346" s="31" t="s">
        <v>273</v>
      </c>
      <c r="T1346" s="31" t="s">
        <v>273</v>
      </c>
      <c r="U1346" s="31">
        <f>IFERROR(VLOOKUP(CONCATENATE(Tabla1[[#This Row],[Severidad]]," ",Tabla1[[#This Row],[Complejidad]]),Catalogos!E$120:G$128,3,FALSE),"")</f>
        <v>64</v>
      </c>
      <c r="V1346" s="31" t="str">
        <f>IF(Tabla1[[#This Row],[Tiempo solución max (hrs)]]&lt;&gt;"",IF(Tabla1[[#This Row],[Tiempo solución max (hrs)]]&gt;=Tabla1[[#This Row],[Tiempo
(Hrs 00/100)]],"cumple","no cumple"),"")</f>
        <v>cumple</v>
      </c>
      <c r="W1346" s="376" t="s">
        <v>1814</v>
      </c>
      <c r="X1346" s="377" t="str">
        <f t="shared" si="136"/>
        <v>SSI</v>
      </c>
      <c r="Y1346" t="str">
        <f>SUBSTITUTE(Tabla1[[#This Row],[Descripción]],CHAR(10),"    I    ")</f>
        <v>Se validó campo por campo de la tabla 'SISAI_TR_ESTADISTICO_X_OCUP' para identificar los tipos de datos y tamaño para validación en bloque anonimo</v>
      </c>
      <c r="Z1346" s="142">
        <f>VLOOKUP(Tabla1[[#This Row],[Perfil]],Catalogos!$B$75:$D$100,3,FALSE)*Tabla1[[#This Row],[Tiempo
(Hrs 00/100)]]*1.16</f>
        <v>696</v>
      </c>
    </row>
    <row r="1347" spans="1:26" ht="15" customHeight="1" x14ac:dyDescent="0.3">
      <c r="A1347" s="548" t="s">
        <v>22</v>
      </c>
      <c r="B1347" s="548" t="s">
        <v>66</v>
      </c>
      <c r="C1347" s="549" t="s">
        <v>257</v>
      </c>
      <c r="D1347" s="548"/>
      <c r="E1347" s="548" t="s">
        <v>408</v>
      </c>
      <c r="F1347" s="548" t="s">
        <v>75</v>
      </c>
      <c r="G1347" s="548" t="s">
        <v>604</v>
      </c>
      <c r="H1347" s="582" t="s">
        <v>1901</v>
      </c>
      <c r="I1347" s="583" t="s">
        <v>1902</v>
      </c>
      <c r="J1347" s="721">
        <v>45141</v>
      </c>
      <c r="K1347" s="766">
        <v>0.58333333333333337</v>
      </c>
      <c r="L1347" s="738">
        <v>45141</v>
      </c>
      <c r="M1347" s="766">
        <v>0.625</v>
      </c>
      <c r="N1347" s="540">
        <v>1</v>
      </c>
      <c r="O1347" s="558" t="s">
        <v>17</v>
      </c>
      <c r="P1347" s="553" t="s">
        <v>1583</v>
      </c>
      <c r="Q1347" s="804" t="s">
        <v>1441</v>
      </c>
      <c r="R1347" s="559" t="s">
        <v>95</v>
      </c>
      <c r="S1347" s="31" t="s">
        <v>273</v>
      </c>
      <c r="T1347" s="31" t="s">
        <v>273</v>
      </c>
      <c r="U1347" s="31">
        <f>IFERROR(VLOOKUP(CONCATENATE(Tabla1[[#This Row],[Severidad]]," ",Tabla1[[#This Row],[Complejidad]]),Catalogos!E$120:G$128,3,FALSE),"")</f>
        <v>64</v>
      </c>
      <c r="V1347" s="31" t="str">
        <f>IF(Tabla1[[#This Row],[Tiempo solución max (hrs)]]&lt;&gt;"",IF(Tabla1[[#This Row],[Tiempo solución max (hrs)]]&gt;=Tabla1[[#This Row],[Tiempo
(Hrs 00/100)]],"cumple","no cumple"),"")</f>
        <v>cumple</v>
      </c>
      <c r="W1347" s="376" t="s">
        <v>1814</v>
      </c>
      <c r="X1347" s="377" t="str">
        <f t="shared" si="136"/>
        <v>SSI</v>
      </c>
      <c r="Y1347" t="str">
        <f>SUBSTITUTE(Tabla1[[#This Row],[Descripción]],CHAR(10),"    I    ")</f>
        <v>Se validó el paquete-procedimiento de la funcionalidad # 7 - Query 12 con el bloque anónimo correcto y se tuvo un resultado exitoso con la salida del cursor completo con el único parámetro</v>
      </c>
      <c r="Z1347" s="142">
        <f>VLOOKUP(Tabla1[[#This Row],[Perfil]],Catalogos!$B$75:$D$100,3,FALSE)*Tabla1[[#This Row],[Tiempo
(Hrs 00/100)]]*1.16</f>
        <v>696</v>
      </c>
    </row>
    <row r="1348" spans="1:26" ht="15" customHeight="1" x14ac:dyDescent="0.3">
      <c r="A1348" s="548" t="s">
        <v>22</v>
      </c>
      <c r="B1348" s="548" t="s">
        <v>23</v>
      </c>
      <c r="C1348" s="549" t="s">
        <v>257</v>
      </c>
      <c r="D1348" s="548"/>
      <c r="E1348" s="548" t="s">
        <v>408</v>
      </c>
      <c r="F1348" s="548" t="s">
        <v>23</v>
      </c>
      <c r="G1348" s="548" t="s">
        <v>604</v>
      </c>
      <c r="H1348" s="582" t="s">
        <v>1903</v>
      </c>
      <c r="I1348" s="583" t="s">
        <v>1904</v>
      </c>
      <c r="J1348" s="721">
        <v>45141</v>
      </c>
      <c r="K1348" s="767">
        <v>0.66666666666666663</v>
      </c>
      <c r="L1348" s="738">
        <v>45141</v>
      </c>
      <c r="M1348" s="767">
        <v>0.70833333333333337</v>
      </c>
      <c r="N1348" s="540">
        <v>1</v>
      </c>
      <c r="O1348" s="558" t="s">
        <v>17</v>
      </c>
      <c r="P1348" s="553" t="s">
        <v>1583</v>
      </c>
      <c r="Q1348" s="804" t="s">
        <v>1441</v>
      </c>
      <c r="R1348" s="559" t="s">
        <v>95</v>
      </c>
      <c r="S1348" s="31" t="s">
        <v>273</v>
      </c>
      <c r="T1348" s="31" t="s">
        <v>273</v>
      </c>
      <c r="U1348" s="31">
        <f>IFERROR(VLOOKUP(CONCATENATE(Tabla1[[#This Row],[Severidad]]," ",Tabla1[[#This Row],[Complejidad]]),Catalogos!E$120:G$128,3,FALSE),"")</f>
        <v>64</v>
      </c>
      <c r="V1348" s="31" t="str">
        <f>IF(Tabla1[[#This Row],[Tiempo solución max (hrs)]]&lt;&gt;"",IF(Tabla1[[#This Row],[Tiempo solución max (hrs)]]&gt;=Tabla1[[#This Row],[Tiempo
(Hrs 00/100)]],"cumple","no cumple"),"")</f>
        <v>cumple</v>
      </c>
      <c r="W1348" s="376" t="s">
        <v>1814</v>
      </c>
      <c r="X1348" s="377" t="str">
        <f t="shared" si="136"/>
        <v>SSI</v>
      </c>
      <c r="Y1348" t="str">
        <f>SUBSTITUTE(Tabla1[[#This Row],[Descripción]],CHAR(10),"    I    ")</f>
        <v>Se creó el nuevo procedimiento 'FUNC7DETSOLDASHUTGI_ACCESIBILIDAD_QF7Q13' en el paquete 'PACK_SISAI2', con la 7ma funcionalidad y el 13vo de los queries pequeños que obtiene el estadístico ocupación por id solicitud estadística</v>
      </c>
      <c r="Z1348" s="142">
        <f>VLOOKUP(Tabla1[[#This Row],[Perfil]],Catalogos!$B$75:$D$100,3,FALSE)*Tabla1[[#This Row],[Tiempo
(Hrs 00/100)]]*1.16</f>
        <v>696</v>
      </c>
    </row>
    <row r="1349" spans="1:26" ht="15" customHeight="1" x14ac:dyDescent="0.3">
      <c r="A1349" s="548" t="s">
        <v>22</v>
      </c>
      <c r="B1349" s="548" t="s">
        <v>23</v>
      </c>
      <c r="C1349" s="549" t="s">
        <v>257</v>
      </c>
      <c r="D1349" s="548"/>
      <c r="E1349" s="548" t="s">
        <v>408</v>
      </c>
      <c r="F1349" s="548" t="s">
        <v>23</v>
      </c>
      <c r="G1349" s="548" t="s">
        <v>604</v>
      </c>
      <c r="H1349" s="582" t="s">
        <v>1905</v>
      </c>
      <c r="I1349" s="583" t="s">
        <v>1906</v>
      </c>
      <c r="J1349" s="721">
        <v>45141</v>
      </c>
      <c r="K1349" s="767">
        <v>0.70833333333333337</v>
      </c>
      <c r="L1349" s="738">
        <v>45141</v>
      </c>
      <c r="M1349" s="767">
        <v>0.75</v>
      </c>
      <c r="N1349" s="540">
        <v>1</v>
      </c>
      <c r="O1349" s="558" t="s">
        <v>17</v>
      </c>
      <c r="P1349" s="553" t="s">
        <v>1583</v>
      </c>
      <c r="Q1349" s="804" t="s">
        <v>1441</v>
      </c>
      <c r="R1349" s="559" t="s">
        <v>95</v>
      </c>
      <c r="S1349" s="31" t="s">
        <v>273</v>
      </c>
      <c r="T1349" s="31" t="s">
        <v>273</v>
      </c>
      <c r="U1349" s="31">
        <f>IFERROR(VLOOKUP(CONCATENATE(Tabla1[[#This Row],[Severidad]]," ",Tabla1[[#This Row],[Complejidad]]),Catalogos!E$120:G$128,3,FALSE),"")</f>
        <v>64</v>
      </c>
      <c r="V1349" s="31" t="str">
        <f>IF(Tabla1[[#This Row],[Tiempo solución max (hrs)]]&lt;&gt;"",IF(Tabla1[[#This Row],[Tiempo solución max (hrs)]]&gt;=Tabla1[[#This Row],[Tiempo
(Hrs 00/100)]],"cumple","no cumple"),"")</f>
        <v>cumple</v>
      </c>
      <c r="W1349" s="376" t="s">
        <v>1814</v>
      </c>
      <c r="X1349" s="377" t="str">
        <f t="shared" si="136"/>
        <v>SSI</v>
      </c>
      <c r="Y1349" t="str">
        <f>SUBSTITUTE(Tabla1[[#This Row],[Descripción]],CHAR(10),"    I    ")</f>
        <v>Se validó campo por campo de la tabla 'SISAI_TC_ACCESIBILIDAD' para identificar los tipos de datos y tamaño para validación en bloque anonimo</v>
      </c>
      <c r="Z1349" s="142">
        <f>VLOOKUP(Tabla1[[#This Row],[Perfil]],Catalogos!$B$75:$D$100,3,FALSE)*Tabla1[[#This Row],[Tiempo
(Hrs 00/100)]]*1.16</f>
        <v>696</v>
      </c>
    </row>
    <row r="1350" spans="1:26" ht="15" customHeight="1" x14ac:dyDescent="0.3">
      <c r="A1350" s="548" t="s">
        <v>22</v>
      </c>
      <c r="B1350" s="548" t="s">
        <v>66</v>
      </c>
      <c r="C1350" s="549" t="s">
        <v>257</v>
      </c>
      <c r="D1350" s="548"/>
      <c r="E1350" s="548" t="s">
        <v>408</v>
      </c>
      <c r="F1350" s="548" t="s">
        <v>75</v>
      </c>
      <c r="G1350" s="548" t="s">
        <v>604</v>
      </c>
      <c r="H1350" s="582" t="s">
        <v>1907</v>
      </c>
      <c r="I1350" s="583" t="s">
        <v>1908</v>
      </c>
      <c r="J1350" s="721">
        <v>45142</v>
      </c>
      <c r="K1350" s="767">
        <v>0.375</v>
      </c>
      <c r="L1350" s="738">
        <v>45142</v>
      </c>
      <c r="M1350" s="767">
        <v>0.39583333333333331</v>
      </c>
      <c r="N1350" s="540">
        <v>0.5</v>
      </c>
      <c r="O1350" s="558" t="s">
        <v>17</v>
      </c>
      <c r="P1350" s="553" t="s">
        <v>1583</v>
      </c>
      <c r="Q1350" s="804" t="s">
        <v>1441</v>
      </c>
      <c r="R1350" s="559" t="s">
        <v>95</v>
      </c>
      <c r="S1350" s="31" t="s">
        <v>273</v>
      </c>
      <c r="T1350" s="31" t="s">
        <v>273</v>
      </c>
      <c r="U1350" s="31">
        <f>IFERROR(VLOOKUP(CONCATENATE(Tabla1[[#This Row],[Severidad]]," ",Tabla1[[#This Row],[Complejidad]]),Catalogos!E$120:G$128,3,FALSE),"")</f>
        <v>64</v>
      </c>
      <c r="V1350" s="31" t="str">
        <f>IF(Tabla1[[#This Row],[Tiempo solución max (hrs)]]&lt;&gt;"",IF(Tabla1[[#This Row],[Tiempo solución max (hrs)]]&gt;=Tabla1[[#This Row],[Tiempo
(Hrs 00/100)]],"cumple","no cumple"),"")</f>
        <v>cumple</v>
      </c>
      <c r="W1350" s="376" t="s">
        <v>1814</v>
      </c>
      <c r="X1350" s="377" t="str">
        <f t="shared" si="136"/>
        <v>SSI</v>
      </c>
      <c r="Y1350" t="str">
        <f>SUBSTITUTE(Tabla1[[#This Row],[Descripción]],CHAR(10),"    I    ")</f>
        <v>Se validó el paquete-procedimiento de la funcionalidad # 7 - Query 13 con el bloque anónimo correcto y se tuvo un resultado exitoso con la salida del cursor completo con el único parámetro</v>
      </c>
      <c r="Z1350" s="142">
        <f>VLOOKUP(Tabla1[[#This Row],[Perfil]],Catalogos!$B$75:$D$100,3,FALSE)*Tabla1[[#This Row],[Tiempo
(Hrs 00/100)]]*1.16</f>
        <v>348</v>
      </c>
    </row>
    <row r="1351" spans="1:26" ht="15" customHeight="1" x14ac:dyDescent="0.3">
      <c r="A1351" s="548" t="s">
        <v>22</v>
      </c>
      <c r="B1351" s="548" t="s">
        <v>23</v>
      </c>
      <c r="C1351" s="549" t="s">
        <v>257</v>
      </c>
      <c r="D1351" s="548"/>
      <c r="E1351" s="548" t="s">
        <v>408</v>
      </c>
      <c r="F1351" s="548" t="s">
        <v>23</v>
      </c>
      <c r="G1351" s="548" t="s">
        <v>604</v>
      </c>
      <c r="H1351" s="582" t="s">
        <v>1909</v>
      </c>
      <c r="I1351" s="583" t="s">
        <v>1910</v>
      </c>
      <c r="J1351" s="721">
        <v>45142</v>
      </c>
      <c r="K1351" s="767">
        <v>0.39583333333333331</v>
      </c>
      <c r="L1351" s="738">
        <v>45142</v>
      </c>
      <c r="M1351" s="767">
        <v>0.4375</v>
      </c>
      <c r="N1351" s="540">
        <v>1</v>
      </c>
      <c r="O1351" s="558" t="s">
        <v>17</v>
      </c>
      <c r="P1351" s="553" t="s">
        <v>1583</v>
      </c>
      <c r="Q1351" s="804" t="s">
        <v>1441</v>
      </c>
      <c r="R1351" s="559" t="s">
        <v>95</v>
      </c>
      <c r="S1351" s="31" t="s">
        <v>273</v>
      </c>
      <c r="T1351" s="31" t="s">
        <v>273</v>
      </c>
      <c r="U1351" s="31">
        <f>IFERROR(VLOOKUP(CONCATENATE(Tabla1[[#This Row],[Severidad]]," ",Tabla1[[#This Row],[Complejidad]]),Catalogos!E$120:G$128,3,FALSE),"")</f>
        <v>64</v>
      </c>
      <c r="V1351" s="31" t="str">
        <f>IF(Tabla1[[#This Row],[Tiempo solución max (hrs)]]&lt;&gt;"",IF(Tabla1[[#This Row],[Tiempo solución max (hrs)]]&gt;=Tabla1[[#This Row],[Tiempo
(Hrs 00/100)]],"cumple","no cumple"),"")</f>
        <v>cumple</v>
      </c>
      <c r="W1351" s="376" t="s">
        <v>1814</v>
      </c>
      <c r="X1351" s="377" t="str">
        <f t="shared" si="136"/>
        <v>SSI</v>
      </c>
      <c r="Y1351" t="str">
        <f>SUBSTITUTE(Tabla1[[#This Row],[Descripción]],CHAR(10),"    I    ")</f>
        <v>Se creó el nuevo procedimiento 'FUNC7DETSOLDASHUTGI_LEYEXIDRESP_QF7Q14' en el paquete 'PACK_SISAI2', con la 7ma funcionalidad y el 14to de los queries pequeños que obtiene leyes por id respuesta</v>
      </c>
      <c r="Z1351" s="142">
        <f>VLOOKUP(Tabla1[[#This Row],[Perfil]],Catalogos!$B$75:$D$100,3,FALSE)*Tabla1[[#This Row],[Tiempo
(Hrs 00/100)]]*1.16</f>
        <v>696</v>
      </c>
    </row>
    <row r="1352" spans="1:26" ht="15" customHeight="1" x14ac:dyDescent="0.3">
      <c r="A1352" s="548" t="s">
        <v>22</v>
      </c>
      <c r="B1352" s="548" t="s">
        <v>23</v>
      </c>
      <c r="C1352" s="549" t="s">
        <v>257</v>
      </c>
      <c r="D1352" s="548"/>
      <c r="E1352" s="548" t="s">
        <v>408</v>
      </c>
      <c r="F1352" s="548" t="s">
        <v>23</v>
      </c>
      <c r="G1352" s="548" t="s">
        <v>604</v>
      </c>
      <c r="H1352" s="582" t="s">
        <v>1911</v>
      </c>
      <c r="I1352" s="583" t="s">
        <v>1912</v>
      </c>
      <c r="J1352" s="721">
        <v>45142</v>
      </c>
      <c r="K1352" s="767">
        <v>0.4375</v>
      </c>
      <c r="L1352" s="738">
        <v>45142</v>
      </c>
      <c r="M1352" s="767">
        <v>0.47916666666666669</v>
      </c>
      <c r="N1352" s="540">
        <v>1</v>
      </c>
      <c r="O1352" s="558" t="s">
        <v>17</v>
      </c>
      <c r="P1352" s="553" t="s">
        <v>1583</v>
      </c>
      <c r="Q1352" s="804" t="s">
        <v>1441</v>
      </c>
      <c r="R1352" s="559" t="s">
        <v>95</v>
      </c>
      <c r="S1352" s="31" t="s">
        <v>273</v>
      </c>
      <c r="T1352" s="31" t="s">
        <v>273</v>
      </c>
      <c r="U1352" s="31">
        <f>IFERROR(VLOOKUP(CONCATENATE(Tabla1[[#This Row],[Severidad]]," ",Tabla1[[#This Row],[Complejidad]]),Catalogos!E$120:G$128,3,FALSE),"")</f>
        <v>64</v>
      </c>
      <c r="V1352" s="31" t="str">
        <f>IF(Tabla1[[#This Row],[Tiempo solución max (hrs)]]&lt;&gt;"",IF(Tabla1[[#This Row],[Tiempo solución max (hrs)]]&gt;=Tabla1[[#This Row],[Tiempo
(Hrs 00/100)]],"cumple","no cumple"),"")</f>
        <v>cumple</v>
      </c>
      <c r="W1352" s="376" t="s">
        <v>1814</v>
      </c>
      <c r="X1352" s="377" t="str">
        <f t="shared" si="136"/>
        <v>SSI</v>
      </c>
      <c r="Y1352" t="str">
        <f>SUBSTITUTE(Tabla1[[#This Row],[Descripción]],CHAR(10),"    I    ")</f>
        <v>Se validó campo por campo de las tablas 'SISAI_TR_LEY_CLASIFICACION' y 'SISAI_TC_LEYES' para identificar los tipos de datos y tamaño para validación en bloque anonimo</v>
      </c>
      <c r="Z1352" s="142">
        <f>VLOOKUP(Tabla1[[#This Row],[Perfil]],Catalogos!$B$75:$D$100,3,FALSE)*Tabla1[[#This Row],[Tiempo
(Hrs 00/100)]]*1.16</f>
        <v>696</v>
      </c>
    </row>
    <row r="1353" spans="1:26" ht="15" customHeight="1" x14ac:dyDescent="0.3">
      <c r="A1353" s="548" t="s">
        <v>22</v>
      </c>
      <c r="B1353" s="548" t="s">
        <v>66</v>
      </c>
      <c r="C1353" s="549" t="s">
        <v>257</v>
      </c>
      <c r="D1353" s="548"/>
      <c r="E1353" s="548" t="s">
        <v>408</v>
      </c>
      <c r="F1353" s="548" t="s">
        <v>75</v>
      </c>
      <c r="G1353" s="548" t="s">
        <v>604</v>
      </c>
      <c r="H1353" s="582" t="s">
        <v>1913</v>
      </c>
      <c r="I1353" s="583" t="s">
        <v>1914</v>
      </c>
      <c r="J1353" s="721">
        <v>45142</v>
      </c>
      <c r="K1353" s="767">
        <v>0.47916666666666669</v>
      </c>
      <c r="L1353" s="738">
        <v>45142</v>
      </c>
      <c r="M1353" s="767">
        <v>0.5</v>
      </c>
      <c r="N1353" s="540">
        <v>0.5</v>
      </c>
      <c r="O1353" s="558" t="s">
        <v>17</v>
      </c>
      <c r="P1353" s="553" t="s">
        <v>1583</v>
      </c>
      <c r="Q1353" s="804" t="s">
        <v>1441</v>
      </c>
      <c r="R1353" s="559" t="s">
        <v>95</v>
      </c>
      <c r="S1353" s="31" t="s">
        <v>273</v>
      </c>
      <c r="T1353" s="31" t="s">
        <v>273</v>
      </c>
      <c r="U1353" s="31">
        <f>IFERROR(VLOOKUP(CONCATENATE(Tabla1[[#This Row],[Severidad]]," ",Tabla1[[#This Row],[Complejidad]]),Catalogos!E$120:G$128,3,FALSE),"")</f>
        <v>64</v>
      </c>
      <c r="V1353" s="31" t="str">
        <f>IF(Tabla1[[#This Row],[Tiempo solución max (hrs)]]&lt;&gt;"",IF(Tabla1[[#This Row],[Tiempo solución max (hrs)]]&gt;=Tabla1[[#This Row],[Tiempo
(Hrs 00/100)]],"cumple","no cumple"),"")</f>
        <v>cumple</v>
      </c>
      <c r="W1353" s="376" t="s">
        <v>1814</v>
      </c>
      <c r="X1353" s="377" t="str">
        <f t="shared" si="136"/>
        <v>SSI</v>
      </c>
      <c r="Y1353" t="str">
        <f>SUBSTITUTE(Tabla1[[#This Row],[Descripción]],CHAR(10),"    I    ")</f>
        <v>Se validó el paquete-procedimiento de la funcionalidad # 7 - Query 14 con el bloque anónimo correcto y se tuvo un resultado exitoso con la salida del cursor completo con el único parámetro</v>
      </c>
      <c r="Z1353" s="142">
        <f>VLOOKUP(Tabla1[[#This Row],[Perfil]],Catalogos!$B$75:$D$100,3,FALSE)*Tabla1[[#This Row],[Tiempo
(Hrs 00/100)]]*1.16</f>
        <v>348</v>
      </c>
    </row>
    <row r="1354" spans="1:26" ht="15" customHeight="1" x14ac:dyDescent="0.3">
      <c r="A1354" s="548" t="s">
        <v>22</v>
      </c>
      <c r="B1354" s="548" t="s">
        <v>65</v>
      </c>
      <c r="C1354" s="549" t="s">
        <v>257</v>
      </c>
      <c r="D1354" s="548"/>
      <c r="E1354" s="548" t="s">
        <v>408</v>
      </c>
      <c r="F1354" s="548" t="s">
        <v>73</v>
      </c>
      <c r="G1354" s="548" t="s">
        <v>604</v>
      </c>
      <c r="H1354" s="582" t="s">
        <v>1915</v>
      </c>
      <c r="I1354" s="583" t="s">
        <v>1916</v>
      </c>
      <c r="J1354" s="721">
        <v>45142</v>
      </c>
      <c r="K1354" s="767">
        <v>0.5</v>
      </c>
      <c r="L1354" s="738">
        <v>45142</v>
      </c>
      <c r="M1354" s="767">
        <v>0.54166666666666663</v>
      </c>
      <c r="N1354" s="540">
        <v>1</v>
      </c>
      <c r="O1354" s="558" t="s">
        <v>17</v>
      </c>
      <c r="P1354" s="553" t="s">
        <v>1583</v>
      </c>
      <c r="Q1354" s="804" t="s">
        <v>1441</v>
      </c>
      <c r="R1354" s="559" t="s">
        <v>95</v>
      </c>
      <c r="S1354" s="31" t="s">
        <v>273</v>
      </c>
      <c r="T1354" s="31" t="s">
        <v>273</v>
      </c>
      <c r="U1354" s="31">
        <f>IFERROR(VLOOKUP(CONCATENATE(Tabla1[[#This Row],[Severidad]]," ",Tabla1[[#This Row],[Complejidad]]),Catalogos!E$120:G$128,3,FALSE),"")</f>
        <v>64</v>
      </c>
      <c r="V1354" s="31" t="str">
        <f>IF(Tabla1[[#This Row],[Tiempo solución max (hrs)]]&lt;&gt;"",IF(Tabla1[[#This Row],[Tiempo solución max (hrs)]]&gt;=Tabla1[[#This Row],[Tiempo
(Hrs 00/100)]],"cumple","no cumple"),"")</f>
        <v>cumple</v>
      </c>
      <c r="W1354" s="376" t="s">
        <v>1814</v>
      </c>
      <c r="X1354" s="377" t="str">
        <f t="shared" si="136"/>
        <v>SSI</v>
      </c>
      <c r="Y1354" t="str">
        <f>SUBSTITUTE(Tabla1[[#This Row],[Descripción]],CHAR(10),"    I    ")</f>
        <v>Se actualizó documento Querys SISAI con los nombres de los procedimientos recien creados sobre los Querys de Funcionalidad 7, que no se reutilizaban</v>
      </c>
      <c r="Z1354" s="142">
        <f>VLOOKUP(Tabla1[[#This Row],[Perfil]],Catalogos!$B$75:$D$100,3,FALSE)*Tabla1[[#This Row],[Tiempo
(Hrs 00/100)]]*1.16</f>
        <v>696</v>
      </c>
    </row>
    <row r="1355" spans="1:26" ht="15" customHeight="1" x14ac:dyDescent="0.3">
      <c r="A1355" s="548" t="s">
        <v>22</v>
      </c>
      <c r="B1355" s="548" t="s">
        <v>23</v>
      </c>
      <c r="C1355" s="549" t="s">
        <v>257</v>
      </c>
      <c r="D1355" s="548"/>
      <c r="E1355" s="548" t="s">
        <v>408</v>
      </c>
      <c r="F1355" s="548" t="s">
        <v>23</v>
      </c>
      <c r="G1355" s="548" t="s">
        <v>604</v>
      </c>
      <c r="H1355" s="582" t="s">
        <v>1917</v>
      </c>
      <c r="I1355" s="583" t="s">
        <v>1918</v>
      </c>
      <c r="J1355" s="721">
        <v>45142</v>
      </c>
      <c r="K1355" s="767">
        <v>0.54166666666666663</v>
      </c>
      <c r="L1355" s="738">
        <v>45142</v>
      </c>
      <c r="M1355" s="767">
        <v>0.60416666666666663</v>
      </c>
      <c r="N1355" s="540">
        <v>1.5</v>
      </c>
      <c r="O1355" s="558" t="s">
        <v>17</v>
      </c>
      <c r="P1355" s="553" t="s">
        <v>1583</v>
      </c>
      <c r="Q1355" s="804" t="s">
        <v>1441</v>
      </c>
      <c r="R1355" s="559" t="s">
        <v>95</v>
      </c>
      <c r="S1355" s="31" t="s">
        <v>273</v>
      </c>
      <c r="T1355" s="31" t="s">
        <v>273</v>
      </c>
      <c r="U1355" s="31">
        <f>IFERROR(VLOOKUP(CONCATENATE(Tabla1[[#This Row],[Severidad]]," ",Tabla1[[#This Row],[Complejidad]]),Catalogos!E$120:G$128,3,FALSE),"")</f>
        <v>64</v>
      </c>
      <c r="V1355" s="31" t="str">
        <f>IF(Tabla1[[#This Row],[Tiempo solución max (hrs)]]&lt;&gt;"",IF(Tabla1[[#This Row],[Tiempo solución max (hrs)]]&gt;=Tabla1[[#This Row],[Tiempo
(Hrs 00/100)]],"cumple","no cumple"),"")</f>
        <v>cumple</v>
      </c>
      <c r="W1355" s="376" t="s">
        <v>1814</v>
      </c>
      <c r="X1355" s="377" t="str">
        <f t="shared" si="136"/>
        <v>SSI</v>
      </c>
      <c r="Y1355" t="str">
        <f>SUBSTITUTE(Tabla1[[#This Row],[Descripción]],CHAR(10),"    I    ")</f>
        <v>Se optimizó en la herramienta Auto Optimice de Toad los Querys de la funcionlidad 7 con todos los subqueries del 1 al 14, sin contemplar los reutilizados</v>
      </c>
      <c r="Z1355" s="142">
        <f>VLOOKUP(Tabla1[[#This Row],[Perfil]],Catalogos!$B$75:$D$100,3,FALSE)*Tabla1[[#This Row],[Tiempo
(Hrs 00/100)]]*1.16</f>
        <v>1044</v>
      </c>
    </row>
    <row r="1356" spans="1:26" ht="15" customHeight="1" x14ac:dyDescent="0.3">
      <c r="A1356" s="548" t="s">
        <v>22</v>
      </c>
      <c r="B1356" s="548" t="s">
        <v>23</v>
      </c>
      <c r="C1356" s="549" t="s">
        <v>257</v>
      </c>
      <c r="D1356" s="548"/>
      <c r="E1356" s="548" t="s">
        <v>408</v>
      </c>
      <c r="F1356" s="548" t="s">
        <v>23</v>
      </c>
      <c r="G1356" s="548" t="s">
        <v>604</v>
      </c>
      <c r="H1356" s="582" t="s">
        <v>1919</v>
      </c>
      <c r="I1356" s="583" t="s">
        <v>1920</v>
      </c>
      <c r="J1356" s="721">
        <v>45142</v>
      </c>
      <c r="K1356" s="767">
        <v>0.66666666666666663</v>
      </c>
      <c r="L1356" s="738">
        <v>45142</v>
      </c>
      <c r="M1356" s="767">
        <v>0.70833333333333337</v>
      </c>
      <c r="N1356" s="540">
        <v>1</v>
      </c>
      <c r="O1356" s="558" t="s">
        <v>17</v>
      </c>
      <c r="P1356" s="553" t="s">
        <v>1583</v>
      </c>
      <c r="Q1356" s="804" t="s">
        <v>1441</v>
      </c>
      <c r="R1356" s="559" t="s">
        <v>95</v>
      </c>
      <c r="S1356" s="31" t="s">
        <v>273</v>
      </c>
      <c r="T1356" s="31" t="s">
        <v>273</v>
      </c>
      <c r="U1356" s="31">
        <f>IFERROR(VLOOKUP(CONCATENATE(Tabla1[[#This Row],[Severidad]]," ",Tabla1[[#This Row],[Complejidad]]),Catalogos!E$120:G$128,3,FALSE),"")</f>
        <v>64</v>
      </c>
      <c r="V1356" s="31" t="str">
        <f>IF(Tabla1[[#This Row],[Tiempo solución max (hrs)]]&lt;&gt;"",IF(Tabla1[[#This Row],[Tiempo solución max (hrs)]]&gt;=Tabla1[[#This Row],[Tiempo
(Hrs 00/100)]],"cumple","no cumple"),"")</f>
        <v>cumple</v>
      </c>
      <c r="W1356" s="376" t="s">
        <v>1814</v>
      </c>
      <c r="X1356" s="377" t="str">
        <f t="shared" si="136"/>
        <v>SSI</v>
      </c>
      <c r="Y1356" t="str">
        <f>SUBSTITUTE(Tabla1[[#This Row],[Descripción]],CHAR(10),"    I    ")</f>
        <v>Se creó el nuevo procedimiento 'FUNC8EXPSOLICITUDUT_FORMEXCEL_QF8' en el paquete 'PACK_SISAI2', con la 8va funcionalidad que que permite la exportación de las solicitudes de la UT a formato excel</v>
      </c>
      <c r="Z1356" s="142">
        <f>VLOOKUP(Tabla1[[#This Row],[Perfil]],Catalogos!$B$75:$D$100,3,FALSE)*Tabla1[[#This Row],[Tiempo
(Hrs 00/100)]]*1.16</f>
        <v>696</v>
      </c>
    </row>
    <row r="1357" spans="1:26" ht="15" customHeight="1" x14ac:dyDescent="0.3">
      <c r="A1357" s="548" t="s">
        <v>22</v>
      </c>
      <c r="B1357" s="548" t="s">
        <v>23</v>
      </c>
      <c r="C1357" s="549" t="s">
        <v>257</v>
      </c>
      <c r="D1357" s="548"/>
      <c r="E1357" s="548" t="s">
        <v>408</v>
      </c>
      <c r="F1357" s="548" t="s">
        <v>23</v>
      </c>
      <c r="G1357" s="548" t="s">
        <v>604</v>
      </c>
      <c r="H1357" s="582" t="s">
        <v>1921</v>
      </c>
      <c r="I1357" s="583" t="s">
        <v>1922</v>
      </c>
      <c r="J1357" s="721">
        <v>45142</v>
      </c>
      <c r="K1357" s="767">
        <v>0.70833333333333337</v>
      </c>
      <c r="L1357" s="738">
        <v>45142</v>
      </c>
      <c r="M1357" s="767">
        <v>0.75</v>
      </c>
      <c r="N1357" s="540">
        <v>1</v>
      </c>
      <c r="O1357" s="558" t="s">
        <v>17</v>
      </c>
      <c r="P1357" s="553" t="s">
        <v>1583</v>
      </c>
      <c r="Q1357" s="804" t="s">
        <v>1441</v>
      </c>
      <c r="R1357" s="559" t="s">
        <v>95</v>
      </c>
      <c r="S1357" s="31" t="s">
        <v>273</v>
      </c>
      <c r="T1357" s="31" t="s">
        <v>273</v>
      </c>
      <c r="U1357" s="31">
        <f>IFERROR(VLOOKUP(CONCATENATE(Tabla1[[#This Row],[Severidad]]," ",Tabla1[[#This Row],[Complejidad]]),Catalogos!E$120:G$128,3,FALSE),"")</f>
        <v>64</v>
      </c>
      <c r="V1357" s="31" t="str">
        <f>IF(Tabla1[[#This Row],[Tiempo solución max (hrs)]]&lt;&gt;"",IF(Tabla1[[#This Row],[Tiempo solución max (hrs)]]&gt;=Tabla1[[#This Row],[Tiempo
(Hrs 00/100)]],"cumple","no cumple"),"")</f>
        <v>cumple</v>
      </c>
      <c r="W1357" s="376" t="s">
        <v>1814</v>
      </c>
      <c r="X1357" s="377" t="str">
        <f t="shared" si="136"/>
        <v>SSI</v>
      </c>
      <c r="Y1357" t="str">
        <f>SUBSTITUTE(Tabla1[[#This Row],[Descripción]],CHAR(10),"    I    ")</f>
        <v>Se pasó el procedimiento a query dinamico para poder manejar el parametro de la lista del campo ID_SOLICITUDDEPENDENCIA</v>
      </c>
      <c r="Z1357" s="142">
        <f>VLOOKUP(Tabla1[[#This Row],[Perfil]],Catalogos!$B$75:$D$100,3,FALSE)*Tabla1[[#This Row],[Tiempo
(Hrs 00/100)]]*1.16</f>
        <v>696</v>
      </c>
    </row>
    <row r="1358" spans="1:26" ht="15" customHeight="1" x14ac:dyDescent="0.3">
      <c r="A1358" s="548" t="s">
        <v>22</v>
      </c>
      <c r="B1358" s="548" t="s">
        <v>23</v>
      </c>
      <c r="C1358" s="549" t="s">
        <v>257</v>
      </c>
      <c r="D1358" s="548"/>
      <c r="E1358" s="548" t="s">
        <v>408</v>
      </c>
      <c r="F1358" s="548" t="s">
        <v>23</v>
      </c>
      <c r="G1358" s="548" t="s">
        <v>604</v>
      </c>
      <c r="H1358" s="582" t="s">
        <v>1923</v>
      </c>
      <c r="I1358" s="583" t="s">
        <v>1924</v>
      </c>
      <c r="J1358" s="721">
        <v>45142</v>
      </c>
      <c r="K1358" s="767">
        <v>0.75</v>
      </c>
      <c r="L1358" s="738">
        <v>45142</v>
      </c>
      <c r="M1358" s="767">
        <v>0.77083333333333337</v>
      </c>
      <c r="N1358" s="540">
        <v>0.5</v>
      </c>
      <c r="O1358" s="558" t="s">
        <v>17</v>
      </c>
      <c r="P1358" s="553" t="s">
        <v>1583</v>
      </c>
      <c r="Q1358" s="804" t="s">
        <v>1441</v>
      </c>
      <c r="R1358" s="559" t="s">
        <v>95</v>
      </c>
      <c r="S1358" s="31" t="s">
        <v>273</v>
      </c>
      <c r="T1358" s="31" t="s">
        <v>273</v>
      </c>
      <c r="U1358" s="31">
        <f>IFERROR(VLOOKUP(CONCATENATE(Tabla1[[#This Row],[Severidad]]," ",Tabla1[[#This Row],[Complejidad]]),Catalogos!E$120:G$128,3,FALSE),"")</f>
        <v>64</v>
      </c>
      <c r="V1358" s="31" t="str">
        <f>IF(Tabla1[[#This Row],[Tiempo solución max (hrs)]]&lt;&gt;"",IF(Tabla1[[#This Row],[Tiempo solución max (hrs)]]&gt;=Tabla1[[#This Row],[Tiempo
(Hrs 00/100)]],"cumple","no cumple"),"")</f>
        <v>cumple</v>
      </c>
      <c r="W1358" s="376" t="s">
        <v>1814</v>
      </c>
      <c r="X1358" s="377" t="str">
        <f t="shared" si="136"/>
        <v>SSI</v>
      </c>
      <c r="Y1358" t="str">
        <f>SUBSTITUTE(Tabla1[[#This Row],[Descripción]],CHAR(10),"    I    ")</f>
        <v>Se validó campo por campo del query 8 para identificar los tipos de datos y tamaño para validación en bloque anonimo</v>
      </c>
      <c r="Z1358" s="142">
        <f>VLOOKUP(Tabla1[[#This Row],[Perfil]],Catalogos!$B$75:$D$100,3,FALSE)*Tabla1[[#This Row],[Tiempo
(Hrs 00/100)]]*1.16</f>
        <v>348</v>
      </c>
    </row>
    <row r="1359" spans="1:26" ht="15" customHeight="1" x14ac:dyDescent="0.3">
      <c r="A1359" s="584" t="s">
        <v>22</v>
      </c>
      <c r="B1359" s="584" t="s">
        <v>66</v>
      </c>
      <c r="C1359" s="585" t="s">
        <v>257</v>
      </c>
      <c r="D1359" s="548"/>
      <c r="E1359" s="548" t="s">
        <v>408</v>
      </c>
      <c r="F1359" s="584" t="s">
        <v>75</v>
      </c>
      <c r="G1359" s="548" t="s">
        <v>604</v>
      </c>
      <c r="H1359" s="582" t="s">
        <v>1925</v>
      </c>
      <c r="I1359" s="583" t="s">
        <v>1926</v>
      </c>
      <c r="J1359" s="721">
        <v>45142</v>
      </c>
      <c r="K1359" s="767">
        <v>0.77083333333333337</v>
      </c>
      <c r="L1359" s="738">
        <v>45142</v>
      </c>
      <c r="M1359" s="767">
        <v>0.8125</v>
      </c>
      <c r="N1359" s="542">
        <v>1</v>
      </c>
      <c r="O1359" s="584" t="s">
        <v>17</v>
      </c>
      <c r="P1359" s="586" t="s">
        <v>1583</v>
      </c>
      <c r="Q1359" s="804" t="s">
        <v>1441</v>
      </c>
      <c r="R1359" s="587" t="s">
        <v>95</v>
      </c>
      <c r="S1359" s="31" t="s">
        <v>273</v>
      </c>
      <c r="T1359" s="31" t="s">
        <v>273</v>
      </c>
      <c r="U1359" s="31">
        <f>IFERROR(VLOOKUP(CONCATENATE(Tabla1[[#This Row],[Severidad]]," ",Tabla1[[#This Row],[Complejidad]]),Catalogos!E$120:G$128,3,FALSE),"")</f>
        <v>64</v>
      </c>
      <c r="V1359" s="31" t="str">
        <f>IF(Tabla1[[#This Row],[Tiempo solución max (hrs)]]&lt;&gt;"",IF(Tabla1[[#This Row],[Tiempo solución max (hrs)]]&gt;=Tabla1[[#This Row],[Tiempo
(Hrs 00/100)]],"cumple","no cumple"),"")</f>
        <v>cumple</v>
      </c>
      <c r="W1359" s="376" t="s">
        <v>1814</v>
      </c>
      <c r="X1359" s="377" t="str">
        <f t="shared" si="136"/>
        <v>SSI</v>
      </c>
      <c r="Y1359" t="str">
        <f>SUBSTITUTE(Tabla1[[#This Row],[Descripción]],CHAR(10),"    I    ")</f>
        <v>Se validó el paquete-procedimiento de la funcionalidad # 8 con el bloque anónimo correcto y se tuvo un resultado exitoso con la salida del cursor completo con el único parámetro</v>
      </c>
      <c r="Z1359" s="142">
        <f>VLOOKUP(Tabla1[[#This Row],[Perfil]],Catalogos!$B$75:$D$100,3,FALSE)*Tabla1[[#This Row],[Tiempo
(Hrs 00/100)]]*1.16</f>
        <v>696</v>
      </c>
    </row>
    <row r="1360" spans="1:26" ht="15" customHeight="1" x14ac:dyDescent="0.3">
      <c r="A1360" s="588" t="s">
        <v>22</v>
      </c>
      <c r="B1360" s="588" t="s">
        <v>23</v>
      </c>
      <c r="C1360" s="589" t="s">
        <v>257</v>
      </c>
      <c r="D1360" s="548"/>
      <c r="E1360" s="548" t="s">
        <v>408</v>
      </c>
      <c r="F1360" s="588" t="s">
        <v>23</v>
      </c>
      <c r="G1360" s="548" t="s">
        <v>604</v>
      </c>
      <c r="H1360" s="582" t="s">
        <v>1927</v>
      </c>
      <c r="I1360" s="583" t="s">
        <v>1928</v>
      </c>
      <c r="J1360" s="721">
        <v>45145</v>
      </c>
      <c r="K1360" s="767">
        <v>0.375</v>
      </c>
      <c r="L1360" s="738">
        <v>45145</v>
      </c>
      <c r="M1360" s="767">
        <v>0.41666666666666669</v>
      </c>
      <c r="N1360" s="544">
        <v>1</v>
      </c>
      <c r="O1360" s="588" t="s">
        <v>17</v>
      </c>
      <c r="P1360" s="590" t="s">
        <v>1583</v>
      </c>
      <c r="Q1360" s="804" t="s">
        <v>1441</v>
      </c>
      <c r="R1360" s="591" t="s">
        <v>95</v>
      </c>
      <c r="S1360" s="31" t="s">
        <v>273</v>
      </c>
      <c r="T1360" s="31" t="s">
        <v>273</v>
      </c>
      <c r="U1360" s="31">
        <f>IFERROR(VLOOKUP(CONCATENATE(Tabla1[[#This Row],[Severidad]]," ",Tabla1[[#This Row],[Complejidad]]),Catalogos!E$120:G$128,3,FALSE),"")</f>
        <v>64</v>
      </c>
      <c r="V1360" s="31" t="str">
        <f>IF(Tabla1[[#This Row],[Tiempo solución max (hrs)]]&lt;&gt;"",IF(Tabla1[[#This Row],[Tiempo solución max (hrs)]]&gt;=Tabla1[[#This Row],[Tiempo
(Hrs 00/100)]],"cumple","no cumple"),"")</f>
        <v>cumple</v>
      </c>
      <c r="W1360" s="376" t="s">
        <v>1814</v>
      </c>
      <c r="X1360" s="377" t="str">
        <f t="shared" si="136"/>
        <v>SSI</v>
      </c>
      <c r="Y1360" t="str">
        <f>SUBSTITUTE(Tabla1[[#This Row],[Descripción]],CHAR(10),"    I    ")</f>
        <v>Se creó el nuevo procedimiento 'FUNC9RESPUESTASPOSIBL_UT_QF9' en el paquete 'PACK_SISAI2', con la 9na funcionalidad que obtiene todas las respuestas posibles a aplicar por parte de la UT</v>
      </c>
      <c r="Z1360" s="142">
        <f>VLOOKUP(Tabla1[[#This Row],[Perfil]],Catalogos!$B$75:$D$100,3,FALSE)*Tabla1[[#This Row],[Tiempo
(Hrs 00/100)]]*1.16</f>
        <v>696</v>
      </c>
    </row>
    <row r="1361" spans="1:26" ht="15" customHeight="1" x14ac:dyDescent="0.3">
      <c r="A1361" s="560" t="s">
        <v>22</v>
      </c>
      <c r="B1361" s="560" t="s">
        <v>23</v>
      </c>
      <c r="C1361" s="561" t="s">
        <v>257</v>
      </c>
      <c r="D1361" s="560"/>
      <c r="E1361" s="560" t="s">
        <v>408</v>
      </c>
      <c r="F1361" s="560" t="s">
        <v>23</v>
      </c>
      <c r="G1361" s="560" t="s">
        <v>604</v>
      </c>
      <c r="H1361" s="592" t="s">
        <v>1929</v>
      </c>
      <c r="I1361" s="593" t="s">
        <v>1930</v>
      </c>
      <c r="J1361" s="726">
        <v>45145</v>
      </c>
      <c r="K1361" s="767">
        <v>0.41666666666666669</v>
      </c>
      <c r="L1361" s="726">
        <v>45145</v>
      </c>
      <c r="M1361" s="768">
        <v>0.45833333333333331</v>
      </c>
      <c r="N1361" s="564">
        <v>1</v>
      </c>
      <c r="O1361" s="565" t="s">
        <v>17</v>
      </c>
      <c r="P1361" s="566" t="s">
        <v>1583</v>
      </c>
      <c r="Q1361" s="805" t="s">
        <v>1441</v>
      </c>
      <c r="R1361" s="567" t="s">
        <v>95</v>
      </c>
      <c r="S1361" s="31" t="s">
        <v>273</v>
      </c>
      <c r="T1361" s="31" t="s">
        <v>273</v>
      </c>
      <c r="U1361" s="31">
        <f>IFERROR(VLOOKUP(CONCATENATE(Tabla1[[#This Row],[Severidad]]," ",Tabla1[[#This Row],[Complejidad]]),Catalogos!E$120:G$128,3,FALSE),"")</f>
        <v>64</v>
      </c>
      <c r="V1361" s="31" t="str">
        <f>IF(Tabla1[[#This Row],[Tiempo solución max (hrs)]]&lt;&gt;"",IF(Tabla1[[#This Row],[Tiempo solución max (hrs)]]&gt;=Tabla1[[#This Row],[Tiempo
(Hrs 00/100)]],"cumple","no cumple"),"")</f>
        <v>cumple</v>
      </c>
      <c r="W1361" s="376" t="s">
        <v>1814</v>
      </c>
      <c r="X1361" s="377" t="str">
        <f t="shared" si="136"/>
        <v>SSI</v>
      </c>
      <c r="Y1361" t="str">
        <f>SUBSTITUTE(Tabla1[[#This Row],[Descripción]],CHAR(10),"    I    ")</f>
        <v>Se validó campo por campo de la tabla 'SISAI_TR_RESPUESTA' para identificar los tipos de datos y tamaño para validación en bloque anonimo</v>
      </c>
      <c r="Z1361" s="142">
        <f>VLOOKUP(Tabla1[[#This Row],[Perfil]],Catalogos!$B$75:$D$100,3,FALSE)*Tabla1[[#This Row],[Tiempo
(Hrs 00/100)]]*1.16</f>
        <v>696</v>
      </c>
    </row>
    <row r="1362" spans="1:26" ht="15" customHeight="1" x14ac:dyDescent="0.3">
      <c r="A1362" s="560" t="s">
        <v>22</v>
      </c>
      <c r="B1362" s="560" t="s">
        <v>66</v>
      </c>
      <c r="C1362" s="561" t="s">
        <v>257</v>
      </c>
      <c r="D1362" s="560"/>
      <c r="E1362" s="560" t="s">
        <v>408</v>
      </c>
      <c r="F1362" s="560" t="s">
        <v>75</v>
      </c>
      <c r="G1362" s="560" t="s">
        <v>604</v>
      </c>
      <c r="H1362" s="592" t="s">
        <v>1931</v>
      </c>
      <c r="I1362" s="593" t="s">
        <v>1932</v>
      </c>
      <c r="J1362" s="726">
        <v>45145</v>
      </c>
      <c r="K1362" s="768">
        <v>0.45833333333333331</v>
      </c>
      <c r="L1362" s="726">
        <v>45145</v>
      </c>
      <c r="M1362" s="768">
        <v>0.5</v>
      </c>
      <c r="N1362" s="564">
        <v>1</v>
      </c>
      <c r="O1362" s="565" t="s">
        <v>17</v>
      </c>
      <c r="P1362" s="566" t="s">
        <v>1583</v>
      </c>
      <c r="Q1362" s="805" t="s">
        <v>1441</v>
      </c>
      <c r="R1362" s="567" t="s">
        <v>95</v>
      </c>
      <c r="S1362" s="31" t="s">
        <v>273</v>
      </c>
      <c r="T1362" s="31" t="s">
        <v>273</v>
      </c>
      <c r="U1362" s="31">
        <f>IFERROR(VLOOKUP(CONCATENATE(Tabla1[[#This Row],[Severidad]]," ",Tabla1[[#This Row],[Complejidad]]),Catalogos!E$120:G$128,3,FALSE),"")</f>
        <v>64</v>
      </c>
      <c r="V1362" s="31" t="str">
        <f>IF(Tabla1[[#This Row],[Tiempo solución max (hrs)]]&lt;&gt;"",IF(Tabla1[[#This Row],[Tiempo solución max (hrs)]]&gt;=Tabla1[[#This Row],[Tiempo
(Hrs 00/100)]],"cumple","no cumple"),"")</f>
        <v>cumple</v>
      </c>
      <c r="W1362" s="376" t="s">
        <v>1814</v>
      </c>
      <c r="X1362" s="377" t="str">
        <f t="shared" ref="X1362:X1426" si="137">IF(C1362&lt;&gt;"",C1362,D1362)</f>
        <v>SSI</v>
      </c>
      <c r="Y1362" t="str">
        <f>SUBSTITUTE(Tabla1[[#This Row],[Descripción]],CHAR(10),"    I    ")</f>
        <v>Se validó el paquete-procedimiento de la funcionalidad # 9 con el bloque anónimo correcto y se tuvo un resultado exitoso con la salida del cursor completo con el único parámetro</v>
      </c>
      <c r="Z1362" s="142">
        <f>VLOOKUP(Tabla1[[#This Row],[Perfil]],Catalogos!$B$75:$D$100,3,FALSE)*Tabla1[[#This Row],[Tiempo
(Hrs 00/100)]]*1.16</f>
        <v>696</v>
      </c>
    </row>
    <row r="1363" spans="1:26" ht="15" customHeight="1" x14ac:dyDescent="0.3">
      <c r="A1363" s="560" t="s">
        <v>22</v>
      </c>
      <c r="B1363" s="560" t="s">
        <v>65</v>
      </c>
      <c r="C1363" s="561" t="s">
        <v>257</v>
      </c>
      <c r="D1363" s="560"/>
      <c r="E1363" s="560" t="s">
        <v>408</v>
      </c>
      <c r="F1363" s="560" t="s">
        <v>73</v>
      </c>
      <c r="G1363" s="560" t="s">
        <v>604</v>
      </c>
      <c r="H1363" s="592" t="s">
        <v>1933</v>
      </c>
      <c r="I1363" s="593" t="s">
        <v>1934</v>
      </c>
      <c r="J1363" s="726">
        <v>45145</v>
      </c>
      <c r="K1363" s="768">
        <v>0.5</v>
      </c>
      <c r="L1363" s="726">
        <v>45145</v>
      </c>
      <c r="M1363" s="768">
        <v>0.52083333333333337</v>
      </c>
      <c r="N1363" s="564">
        <v>0.5</v>
      </c>
      <c r="O1363" s="565" t="s">
        <v>17</v>
      </c>
      <c r="P1363" s="566" t="s">
        <v>1583</v>
      </c>
      <c r="Q1363" s="805" t="s">
        <v>1441</v>
      </c>
      <c r="R1363" s="567" t="s">
        <v>95</v>
      </c>
      <c r="S1363" s="31" t="s">
        <v>273</v>
      </c>
      <c r="T1363" s="31" t="s">
        <v>273</v>
      </c>
      <c r="U1363" s="31">
        <f>IFERROR(VLOOKUP(CONCATENATE(Tabla1[[#This Row],[Severidad]]," ",Tabla1[[#This Row],[Complejidad]]),Catalogos!E$120:G$128,3,FALSE),"")</f>
        <v>64</v>
      </c>
      <c r="V1363" s="31" t="str">
        <f>IF(Tabla1[[#This Row],[Tiempo solución max (hrs)]]&lt;&gt;"",IF(Tabla1[[#This Row],[Tiempo solución max (hrs)]]&gt;=Tabla1[[#This Row],[Tiempo
(Hrs 00/100)]],"cumple","no cumple"),"")</f>
        <v>cumple</v>
      </c>
      <c r="W1363" s="376" t="s">
        <v>1814</v>
      </c>
      <c r="X1363" s="377" t="str">
        <f t="shared" si="137"/>
        <v>SSI</v>
      </c>
      <c r="Y1363" t="str">
        <f>SUBSTITUTE(Tabla1[[#This Row],[Descripción]],CHAR(10),"    I    ")</f>
        <v>Se actualizó documento Querys SISAI con los nombres de los procedimientos recien creados sobre el Query de Funcionalidad 9, que no se reutilizaban</v>
      </c>
      <c r="Z1363" s="142">
        <f>VLOOKUP(Tabla1[[#This Row],[Perfil]],Catalogos!$B$75:$D$100,3,FALSE)*Tabla1[[#This Row],[Tiempo
(Hrs 00/100)]]*1.16</f>
        <v>348</v>
      </c>
    </row>
    <row r="1364" spans="1:26" ht="15" customHeight="1" x14ac:dyDescent="0.3">
      <c r="A1364" s="560" t="s">
        <v>22</v>
      </c>
      <c r="B1364" s="560" t="s">
        <v>23</v>
      </c>
      <c r="C1364" s="561" t="s">
        <v>257</v>
      </c>
      <c r="D1364" s="560"/>
      <c r="E1364" s="560" t="s">
        <v>408</v>
      </c>
      <c r="F1364" s="560" t="s">
        <v>23</v>
      </c>
      <c r="G1364" s="560" t="s">
        <v>604</v>
      </c>
      <c r="H1364" s="592" t="s">
        <v>1935</v>
      </c>
      <c r="I1364" s="593" t="s">
        <v>1936</v>
      </c>
      <c r="J1364" s="726">
        <v>45145</v>
      </c>
      <c r="K1364" s="768">
        <v>0.52083333333333337</v>
      </c>
      <c r="L1364" s="726">
        <v>45145</v>
      </c>
      <c r="M1364" s="768">
        <v>0.5625</v>
      </c>
      <c r="N1364" s="564">
        <v>1</v>
      </c>
      <c r="O1364" s="565" t="s">
        <v>17</v>
      </c>
      <c r="P1364" s="566" t="s">
        <v>1583</v>
      </c>
      <c r="Q1364" s="805" t="s">
        <v>1441</v>
      </c>
      <c r="R1364" s="567" t="s">
        <v>95</v>
      </c>
      <c r="S1364" s="31" t="s">
        <v>273</v>
      </c>
      <c r="T1364" s="31" t="s">
        <v>273</v>
      </c>
      <c r="U1364" s="31">
        <f>IFERROR(VLOOKUP(CONCATENATE(Tabla1[[#This Row],[Severidad]]," ",Tabla1[[#This Row],[Complejidad]]),Catalogos!E$120:G$128,3,FALSE),"")</f>
        <v>64</v>
      </c>
      <c r="V1364" s="31" t="str">
        <f>IF(Tabla1[[#This Row],[Tiempo solución max (hrs)]]&lt;&gt;"",IF(Tabla1[[#This Row],[Tiempo solución max (hrs)]]&gt;=Tabla1[[#This Row],[Tiempo
(Hrs 00/100)]],"cumple","no cumple"),"")</f>
        <v>cumple</v>
      </c>
      <c r="W1364" s="376" t="s">
        <v>1814</v>
      </c>
      <c r="X1364" s="377" t="str">
        <f t="shared" si="137"/>
        <v>SSI</v>
      </c>
      <c r="Y1364" t="str">
        <f>SUBSTITUTE(Tabla1[[#This Row],[Descripción]],CHAR(10),"    I    ")</f>
        <v>Se creó el nuevo procedimiento 'FUNC10DASHBOARDRECEPSOLICI_GIUT_QF10' en el paquete 'PACK_SISAI2', con la 10ma funcionalidad que obtiene el dashboard en la recepción de solicitudes GI de la UT</v>
      </c>
      <c r="Z1364" s="142">
        <f>VLOOKUP(Tabla1[[#This Row],[Perfil]],Catalogos!$B$75:$D$100,3,FALSE)*Tabla1[[#This Row],[Tiempo
(Hrs 00/100)]]*1.16</f>
        <v>696</v>
      </c>
    </row>
    <row r="1365" spans="1:26" ht="15" customHeight="1" x14ac:dyDescent="0.3">
      <c r="A1365" s="560" t="s">
        <v>22</v>
      </c>
      <c r="B1365" s="560" t="s">
        <v>23</v>
      </c>
      <c r="C1365" s="561" t="s">
        <v>257</v>
      </c>
      <c r="D1365" s="560"/>
      <c r="E1365" s="560" t="s">
        <v>408</v>
      </c>
      <c r="F1365" s="560" t="s">
        <v>23</v>
      </c>
      <c r="G1365" s="560" t="s">
        <v>604</v>
      </c>
      <c r="H1365" s="592" t="s">
        <v>1937</v>
      </c>
      <c r="I1365" s="593" t="s">
        <v>1938</v>
      </c>
      <c r="J1365" s="726">
        <v>45145</v>
      </c>
      <c r="K1365" s="768">
        <v>0.5625</v>
      </c>
      <c r="L1365" s="726">
        <v>45145</v>
      </c>
      <c r="M1365" s="768">
        <v>0.60416666666666663</v>
      </c>
      <c r="N1365" s="564">
        <v>1</v>
      </c>
      <c r="O1365" s="565" t="s">
        <v>17</v>
      </c>
      <c r="P1365" s="566" t="s">
        <v>1583</v>
      </c>
      <c r="Q1365" s="805" t="s">
        <v>1441</v>
      </c>
      <c r="R1365" s="567" t="s">
        <v>95</v>
      </c>
      <c r="S1365" s="31" t="s">
        <v>273</v>
      </c>
      <c r="T1365" s="31" t="s">
        <v>273</v>
      </c>
      <c r="U1365" s="31">
        <f>IFERROR(VLOOKUP(CONCATENATE(Tabla1[[#This Row],[Severidad]]," ",Tabla1[[#This Row],[Complejidad]]),Catalogos!E$120:G$128,3,FALSE),"")</f>
        <v>64</v>
      </c>
      <c r="V1365" s="31" t="str">
        <f>IF(Tabla1[[#This Row],[Tiempo solución max (hrs)]]&lt;&gt;"",IF(Tabla1[[#This Row],[Tiempo solución max (hrs)]]&gt;=Tabla1[[#This Row],[Tiempo
(Hrs 00/100)]],"cumple","no cumple"),"")</f>
        <v>cumple</v>
      </c>
      <c r="W1365" s="376" t="s">
        <v>1814</v>
      </c>
      <c r="X1365" s="377" t="str">
        <f t="shared" si="137"/>
        <v>SSI</v>
      </c>
      <c r="Y1365" t="str">
        <f>SUBSTITUTE(Tabla1[[#This Row],[Descripción]],CHAR(10),"    I    ")</f>
        <v>Se validó campo por campo del select del query de la funcionalidad 10 para identificar los tipos de datos y tamaño para validación en bloque anonimo</v>
      </c>
      <c r="Z1365" s="142">
        <f>VLOOKUP(Tabla1[[#This Row],[Perfil]],Catalogos!$B$75:$D$100,3,FALSE)*Tabla1[[#This Row],[Tiempo
(Hrs 00/100)]]*1.16</f>
        <v>696</v>
      </c>
    </row>
    <row r="1366" spans="1:26" ht="15" customHeight="1" x14ac:dyDescent="0.3">
      <c r="A1366" s="560" t="s">
        <v>22</v>
      </c>
      <c r="B1366" s="560" t="s">
        <v>66</v>
      </c>
      <c r="C1366" s="561" t="s">
        <v>257</v>
      </c>
      <c r="D1366" s="560"/>
      <c r="E1366" s="560" t="s">
        <v>408</v>
      </c>
      <c r="F1366" s="560" t="s">
        <v>75</v>
      </c>
      <c r="G1366" s="560" t="s">
        <v>604</v>
      </c>
      <c r="H1366" s="592" t="s">
        <v>1939</v>
      </c>
      <c r="I1366" s="593" t="s">
        <v>1940</v>
      </c>
      <c r="J1366" s="726">
        <v>45145</v>
      </c>
      <c r="K1366" s="768">
        <v>0.66666666666666663</v>
      </c>
      <c r="L1366" s="726">
        <v>45145</v>
      </c>
      <c r="M1366" s="768">
        <v>0.70833333333333337</v>
      </c>
      <c r="N1366" s="564">
        <v>1</v>
      </c>
      <c r="O1366" s="565" t="s">
        <v>17</v>
      </c>
      <c r="P1366" s="566" t="s">
        <v>1583</v>
      </c>
      <c r="Q1366" s="805" t="s">
        <v>1441</v>
      </c>
      <c r="R1366" s="567" t="s">
        <v>95</v>
      </c>
      <c r="S1366" s="31" t="s">
        <v>273</v>
      </c>
      <c r="T1366" s="31" t="s">
        <v>273</v>
      </c>
      <c r="U1366" s="31">
        <f>IFERROR(VLOOKUP(CONCATENATE(Tabla1[[#This Row],[Severidad]]," ",Tabla1[[#This Row],[Complejidad]]),Catalogos!E$120:G$128,3,FALSE),"")</f>
        <v>64</v>
      </c>
      <c r="V1366" s="31" t="str">
        <f>IF(Tabla1[[#This Row],[Tiempo solución max (hrs)]]&lt;&gt;"",IF(Tabla1[[#This Row],[Tiempo solución max (hrs)]]&gt;=Tabla1[[#This Row],[Tiempo
(Hrs 00/100)]],"cumple","no cumple"),"")</f>
        <v>cumple</v>
      </c>
      <c r="W1366" s="376" t="s">
        <v>1814</v>
      </c>
      <c r="X1366" s="377" t="str">
        <f t="shared" si="137"/>
        <v>SSI</v>
      </c>
      <c r="Y1366" t="str">
        <f>SUBSTITUTE(Tabla1[[#This Row],[Descripción]],CHAR(10),"    I    ")</f>
        <v>Se validó el paquete-procedimiento de la funcionalidad # 10 con el bloque anónimo correcto y se tuvo un resultado exitoso con la salida del cursor completo con distintos parámetros</v>
      </c>
      <c r="Z1366" s="142">
        <f>VLOOKUP(Tabla1[[#This Row],[Perfil]],Catalogos!$B$75:$D$100,3,FALSE)*Tabla1[[#This Row],[Tiempo
(Hrs 00/100)]]*1.16</f>
        <v>696</v>
      </c>
    </row>
    <row r="1367" spans="1:26" ht="15" customHeight="1" x14ac:dyDescent="0.3">
      <c r="A1367" s="560" t="s">
        <v>22</v>
      </c>
      <c r="B1367" s="560" t="s">
        <v>65</v>
      </c>
      <c r="C1367" s="561" t="s">
        <v>257</v>
      </c>
      <c r="D1367" s="560"/>
      <c r="E1367" s="560" t="s">
        <v>408</v>
      </c>
      <c r="F1367" s="560" t="s">
        <v>73</v>
      </c>
      <c r="G1367" s="560" t="s">
        <v>604</v>
      </c>
      <c r="H1367" s="592" t="s">
        <v>1941</v>
      </c>
      <c r="I1367" s="593" t="s">
        <v>1942</v>
      </c>
      <c r="J1367" s="726">
        <v>45145</v>
      </c>
      <c r="K1367" s="768">
        <v>0.70833333333333337</v>
      </c>
      <c r="L1367" s="726">
        <v>45145</v>
      </c>
      <c r="M1367" s="768">
        <v>0.72916666666666663</v>
      </c>
      <c r="N1367" s="564">
        <v>0.5</v>
      </c>
      <c r="O1367" s="565" t="s">
        <v>17</v>
      </c>
      <c r="P1367" s="566" t="s">
        <v>1583</v>
      </c>
      <c r="Q1367" s="805" t="s">
        <v>1441</v>
      </c>
      <c r="R1367" s="567" t="s">
        <v>95</v>
      </c>
      <c r="S1367" s="31" t="s">
        <v>273</v>
      </c>
      <c r="T1367" s="31" t="s">
        <v>273</v>
      </c>
      <c r="U1367" s="31">
        <f>IFERROR(VLOOKUP(CONCATENATE(Tabla1[[#This Row],[Severidad]]," ",Tabla1[[#This Row],[Complejidad]]),Catalogos!E$120:G$128,3,FALSE),"")</f>
        <v>64</v>
      </c>
      <c r="V1367" s="31" t="str">
        <f>IF(Tabla1[[#This Row],[Tiempo solución max (hrs)]]&lt;&gt;"",IF(Tabla1[[#This Row],[Tiempo solución max (hrs)]]&gt;=Tabla1[[#This Row],[Tiempo
(Hrs 00/100)]],"cumple","no cumple"),"")</f>
        <v>cumple</v>
      </c>
      <c r="W1367" s="376" t="s">
        <v>1814</v>
      </c>
      <c r="X1367" s="377" t="str">
        <f t="shared" si="137"/>
        <v>SSI</v>
      </c>
      <c r="Y1367" t="str">
        <f>SUBSTITUTE(Tabla1[[#This Row],[Descripción]],CHAR(10),"    I    ")</f>
        <v>Se actualizó documento Querys SISAI con los nombres de los procedimientos recien creados sobre el Query de Funcionalidad 10, que no se reutilizaban</v>
      </c>
      <c r="Z1367" s="142">
        <f>VLOOKUP(Tabla1[[#This Row],[Perfil]],Catalogos!$B$75:$D$100,3,FALSE)*Tabla1[[#This Row],[Tiempo
(Hrs 00/100)]]*1.16</f>
        <v>348</v>
      </c>
    </row>
    <row r="1368" spans="1:26" ht="15" customHeight="1" x14ac:dyDescent="0.3">
      <c r="A1368" s="560" t="s">
        <v>22</v>
      </c>
      <c r="B1368" s="560" t="s">
        <v>23</v>
      </c>
      <c r="C1368" s="561" t="s">
        <v>257</v>
      </c>
      <c r="D1368" s="560"/>
      <c r="E1368" s="560" t="s">
        <v>408</v>
      </c>
      <c r="F1368" s="560" t="s">
        <v>23</v>
      </c>
      <c r="G1368" s="560" t="s">
        <v>604</v>
      </c>
      <c r="H1368" s="592" t="s">
        <v>1943</v>
      </c>
      <c r="I1368" s="593" t="s">
        <v>1944</v>
      </c>
      <c r="J1368" s="726">
        <v>45145</v>
      </c>
      <c r="K1368" s="768">
        <v>0.72916666666666663</v>
      </c>
      <c r="L1368" s="726">
        <v>45145</v>
      </c>
      <c r="M1368" s="768">
        <v>0.77083333333333337</v>
      </c>
      <c r="N1368" s="564">
        <v>1</v>
      </c>
      <c r="O1368" s="565" t="s">
        <v>17</v>
      </c>
      <c r="P1368" s="566" t="s">
        <v>1583</v>
      </c>
      <c r="Q1368" s="805" t="s">
        <v>1441</v>
      </c>
      <c r="R1368" s="567" t="s">
        <v>95</v>
      </c>
      <c r="S1368" s="31" t="s">
        <v>273</v>
      </c>
      <c r="T1368" s="31" t="s">
        <v>273</v>
      </c>
      <c r="U1368" s="31">
        <f>IFERROR(VLOOKUP(CONCATENATE(Tabla1[[#This Row],[Severidad]]," ",Tabla1[[#This Row],[Complejidad]]),Catalogos!E$120:G$128,3,FALSE),"")</f>
        <v>64</v>
      </c>
      <c r="V1368" s="31" t="str">
        <f>IF(Tabla1[[#This Row],[Tiempo solución max (hrs)]]&lt;&gt;"",IF(Tabla1[[#This Row],[Tiempo solución max (hrs)]]&gt;=Tabla1[[#This Row],[Tiempo
(Hrs 00/100)]],"cumple","no cumple"),"")</f>
        <v>cumple</v>
      </c>
      <c r="W1368" s="376" t="s">
        <v>1814</v>
      </c>
      <c r="X1368" s="377" t="str">
        <f t="shared" si="137"/>
        <v>SSI</v>
      </c>
      <c r="Y1368" t="str">
        <f>SUBSTITUTE(Tabla1[[#This Row],[Descripción]],CHAR(10),"    I    ")</f>
        <v>Se creó el nuevo procedimiento 'FUNC11TURNAFOLIOUNIAD_SOLIXSOLDEPEN_QF11Q1' en el paquete 'PACK_SISAI2', con el query 1 de la 11va funcionalidad que obtiene las solicitudes por solicitud dependencia para la generación de subfolios</v>
      </c>
      <c r="Z1368" s="142">
        <f>VLOOKUP(Tabla1[[#This Row],[Perfil]],Catalogos!$B$75:$D$100,3,FALSE)*Tabla1[[#This Row],[Tiempo
(Hrs 00/100)]]*1.16</f>
        <v>696</v>
      </c>
    </row>
    <row r="1369" spans="1:26" ht="15" customHeight="1" x14ac:dyDescent="0.3">
      <c r="A1369" s="560" t="s">
        <v>22</v>
      </c>
      <c r="B1369" s="560" t="s">
        <v>23</v>
      </c>
      <c r="C1369" s="561" t="s">
        <v>257</v>
      </c>
      <c r="D1369" s="560"/>
      <c r="E1369" s="560" t="s">
        <v>408</v>
      </c>
      <c r="F1369" s="560" t="s">
        <v>23</v>
      </c>
      <c r="G1369" s="560" t="s">
        <v>604</v>
      </c>
      <c r="H1369" s="592" t="s">
        <v>1945</v>
      </c>
      <c r="I1369" s="593" t="s">
        <v>1864</v>
      </c>
      <c r="J1369" s="726">
        <v>45145</v>
      </c>
      <c r="K1369" s="768">
        <v>0.77083333333333337</v>
      </c>
      <c r="L1369" s="726">
        <v>45145</v>
      </c>
      <c r="M1369" s="768">
        <v>0.8125</v>
      </c>
      <c r="N1369" s="564">
        <v>1</v>
      </c>
      <c r="O1369" s="565" t="s">
        <v>17</v>
      </c>
      <c r="P1369" s="566" t="s">
        <v>1583</v>
      </c>
      <c r="Q1369" s="805" t="s">
        <v>1441</v>
      </c>
      <c r="R1369" s="567" t="s">
        <v>95</v>
      </c>
      <c r="S1369" s="31" t="s">
        <v>273</v>
      </c>
      <c r="T1369" s="31" t="s">
        <v>273</v>
      </c>
      <c r="U1369" s="31">
        <f>IFERROR(VLOOKUP(CONCATENATE(Tabla1[[#This Row],[Severidad]]," ",Tabla1[[#This Row],[Complejidad]]),Catalogos!E$120:G$128,3,FALSE),"")</f>
        <v>64</v>
      </c>
      <c r="V1369" s="31" t="str">
        <f>IF(Tabla1[[#This Row],[Tiempo solución max (hrs)]]&lt;&gt;"",IF(Tabla1[[#This Row],[Tiempo solución max (hrs)]]&gt;=Tabla1[[#This Row],[Tiempo
(Hrs 00/100)]],"cumple","no cumple"),"")</f>
        <v>cumple</v>
      </c>
      <c r="W1369" s="376" t="s">
        <v>1814</v>
      </c>
      <c r="X1369" s="377" t="str">
        <f t="shared" si="137"/>
        <v>SSI</v>
      </c>
      <c r="Y1369" t="str">
        <f>SUBSTITUTE(Tabla1[[#This Row],[Descripción]],CHAR(10),"    I    ")</f>
        <v>Se validó campo por campo de la tabla 'SISAI_TR_GI_SOLICITUDES' para identificar los tipos de datos y tamaño para validación en bloque anonimo</v>
      </c>
      <c r="Z1369" s="142">
        <f>VLOOKUP(Tabla1[[#This Row],[Perfil]],Catalogos!$B$75:$D$100,3,FALSE)*Tabla1[[#This Row],[Tiempo
(Hrs 00/100)]]*1.16</f>
        <v>696</v>
      </c>
    </row>
    <row r="1370" spans="1:26" ht="15" customHeight="1" x14ac:dyDescent="0.3">
      <c r="A1370" s="560" t="s">
        <v>22</v>
      </c>
      <c r="B1370" s="560" t="s">
        <v>66</v>
      </c>
      <c r="C1370" s="561" t="s">
        <v>257</v>
      </c>
      <c r="D1370" s="560"/>
      <c r="E1370" s="560" t="s">
        <v>408</v>
      </c>
      <c r="F1370" s="560" t="s">
        <v>75</v>
      </c>
      <c r="G1370" s="560" t="s">
        <v>604</v>
      </c>
      <c r="H1370" s="592" t="s">
        <v>1946</v>
      </c>
      <c r="I1370" s="593" t="s">
        <v>1947</v>
      </c>
      <c r="J1370" s="726">
        <v>45146</v>
      </c>
      <c r="K1370" s="768">
        <v>0.375</v>
      </c>
      <c r="L1370" s="726">
        <v>45146</v>
      </c>
      <c r="M1370" s="768">
        <v>0.41666666666666669</v>
      </c>
      <c r="N1370" s="564">
        <v>1</v>
      </c>
      <c r="O1370" s="565" t="s">
        <v>17</v>
      </c>
      <c r="P1370" s="566" t="s">
        <v>1583</v>
      </c>
      <c r="Q1370" s="805" t="s">
        <v>1441</v>
      </c>
      <c r="R1370" s="567" t="s">
        <v>95</v>
      </c>
      <c r="S1370" s="31" t="s">
        <v>273</v>
      </c>
      <c r="T1370" s="31" t="s">
        <v>273</v>
      </c>
      <c r="U1370" s="31">
        <f>IFERROR(VLOOKUP(CONCATENATE(Tabla1[[#This Row],[Severidad]]," ",Tabla1[[#This Row],[Complejidad]]),Catalogos!E$120:G$128,3,FALSE),"")</f>
        <v>64</v>
      </c>
      <c r="V1370" s="31" t="str">
        <f>IF(Tabla1[[#This Row],[Tiempo solución max (hrs)]]&lt;&gt;"",IF(Tabla1[[#This Row],[Tiempo solución max (hrs)]]&gt;=Tabla1[[#This Row],[Tiempo
(Hrs 00/100)]],"cumple","no cumple"),"")</f>
        <v>cumple</v>
      </c>
      <c r="W1370" s="376" t="s">
        <v>1814</v>
      </c>
      <c r="X1370" s="377" t="str">
        <f t="shared" si="137"/>
        <v>SSI</v>
      </c>
      <c r="Y1370" t="str">
        <f>SUBSTITUTE(Tabla1[[#This Row],[Descripción]],CHAR(10),"    I    ")</f>
        <v>Se validó el paquete-procedimiento del query 1 de la funcionalidad # 11 con el bloque anónimo correcto y se tuvo un resultado exitoso con la salida del cursor completo con sus distintos parámetros</v>
      </c>
      <c r="Z1370" s="142">
        <f>VLOOKUP(Tabla1[[#This Row],[Perfil]],Catalogos!$B$75:$D$100,3,FALSE)*Tabla1[[#This Row],[Tiempo
(Hrs 00/100)]]*1.16</f>
        <v>696</v>
      </c>
    </row>
    <row r="1371" spans="1:26" ht="15" customHeight="1" x14ac:dyDescent="0.3">
      <c r="A1371" s="560" t="s">
        <v>22</v>
      </c>
      <c r="B1371" s="560" t="s">
        <v>65</v>
      </c>
      <c r="C1371" s="561" t="s">
        <v>257</v>
      </c>
      <c r="D1371" s="560"/>
      <c r="E1371" s="560" t="s">
        <v>408</v>
      </c>
      <c r="F1371" s="560" t="s">
        <v>73</v>
      </c>
      <c r="G1371" s="560" t="s">
        <v>604</v>
      </c>
      <c r="H1371" s="592" t="s">
        <v>1948</v>
      </c>
      <c r="I1371" s="593" t="s">
        <v>1949</v>
      </c>
      <c r="J1371" s="726">
        <v>45146</v>
      </c>
      <c r="K1371" s="768">
        <v>0.41666666666666669</v>
      </c>
      <c r="L1371" s="726">
        <v>45146</v>
      </c>
      <c r="M1371" s="768">
        <v>0.4375</v>
      </c>
      <c r="N1371" s="564">
        <v>0.5</v>
      </c>
      <c r="O1371" s="565" t="s">
        <v>17</v>
      </c>
      <c r="P1371" s="566" t="s">
        <v>1583</v>
      </c>
      <c r="Q1371" s="805" t="s">
        <v>1441</v>
      </c>
      <c r="R1371" s="567" t="s">
        <v>95</v>
      </c>
      <c r="S1371" s="31" t="s">
        <v>273</v>
      </c>
      <c r="T1371" s="31" t="s">
        <v>273</v>
      </c>
      <c r="U1371" s="31">
        <f>IFERROR(VLOOKUP(CONCATENATE(Tabla1[[#This Row],[Severidad]]," ",Tabla1[[#This Row],[Complejidad]]),Catalogos!E$120:G$128,3,FALSE),"")</f>
        <v>64</v>
      </c>
      <c r="V1371" s="31" t="str">
        <f>IF(Tabla1[[#This Row],[Tiempo solución max (hrs)]]&lt;&gt;"",IF(Tabla1[[#This Row],[Tiempo solución max (hrs)]]&gt;=Tabla1[[#This Row],[Tiempo
(Hrs 00/100)]],"cumple","no cumple"),"")</f>
        <v>cumple</v>
      </c>
      <c r="W1371" s="376" t="s">
        <v>1814</v>
      </c>
      <c r="X1371" s="377" t="str">
        <f t="shared" si="137"/>
        <v>SSI</v>
      </c>
      <c r="Y1371" t="str">
        <f>SUBSTITUTE(Tabla1[[#This Row],[Descripción]],CHAR(10),"    I    ")</f>
        <v>Se actualizó documento Querys SISAI con los nombres de los procedimientos recien creados sobre el Query 1 de la Funcionalidad 11, que no se reutilizaban</v>
      </c>
      <c r="Z1371" s="142">
        <f>VLOOKUP(Tabla1[[#This Row],[Perfil]],Catalogos!$B$75:$D$100,3,FALSE)*Tabla1[[#This Row],[Tiempo
(Hrs 00/100)]]*1.16</f>
        <v>348</v>
      </c>
    </row>
    <row r="1372" spans="1:26" ht="15" customHeight="1" x14ac:dyDescent="0.3">
      <c r="A1372" s="560" t="s">
        <v>22</v>
      </c>
      <c r="B1372" s="560" t="s">
        <v>23</v>
      </c>
      <c r="C1372" s="561" t="s">
        <v>257</v>
      </c>
      <c r="D1372" s="560"/>
      <c r="E1372" s="560" t="s">
        <v>408</v>
      </c>
      <c r="F1372" s="560" t="s">
        <v>23</v>
      </c>
      <c r="G1372" s="560" t="s">
        <v>604</v>
      </c>
      <c r="H1372" s="592" t="s">
        <v>1950</v>
      </c>
      <c r="I1372" s="593" t="s">
        <v>1951</v>
      </c>
      <c r="J1372" s="726">
        <v>45146</v>
      </c>
      <c r="K1372" s="768">
        <v>0.4375</v>
      </c>
      <c r="L1372" s="726">
        <v>45146</v>
      </c>
      <c r="M1372" s="768">
        <v>0.47916666666666669</v>
      </c>
      <c r="N1372" s="564">
        <v>1</v>
      </c>
      <c r="O1372" s="565" t="s">
        <v>17</v>
      </c>
      <c r="P1372" s="566" t="s">
        <v>1583</v>
      </c>
      <c r="Q1372" s="805" t="s">
        <v>1441</v>
      </c>
      <c r="R1372" s="567" t="s">
        <v>95</v>
      </c>
      <c r="S1372" s="31" t="s">
        <v>273</v>
      </c>
      <c r="T1372" s="31" t="s">
        <v>273</v>
      </c>
      <c r="U1372" s="31">
        <f>IFERROR(VLOOKUP(CONCATENATE(Tabla1[[#This Row],[Severidad]]," ",Tabla1[[#This Row],[Complejidad]]),Catalogos!E$120:G$128,3,FALSE),"")</f>
        <v>64</v>
      </c>
      <c r="V1372" s="31" t="str">
        <f>IF(Tabla1[[#This Row],[Tiempo solución max (hrs)]]&lt;&gt;"",IF(Tabla1[[#This Row],[Tiempo solución max (hrs)]]&gt;=Tabla1[[#This Row],[Tiempo
(Hrs 00/100)]],"cumple","no cumple"),"")</f>
        <v>cumple</v>
      </c>
      <c r="W1372" s="376" t="s">
        <v>1814</v>
      </c>
      <c r="X1372" s="377" t="str">
        <f t="shared" si="137"/>
        <v>SSI</v>
      </c>
      <c r="Y1372" t="str">
        <f>SUBSTITUTE(Tabla1[[#This Row],[Descripción]],CHAR(10),"    I    ")</f>
        <v>Se creó el nuevo procedimiento 'FUNC11TURNAFOLIOUNIAD_CONFIGPLAZOSO_QF11Q2' en el paquete 'PACK_SISAI2', con el query 2 de la 11va funcionalidad que obtiene la configuración de plazos a nivel de sujeto obligado</v>
      </c>
      <c r="Z1372" s="142">
        <f>VLOOKUP(Tabla1[[#This Row],[Perfil]],Catalogos!$B$75:$D$100,3,FALSE)*Tabla1[[#This Row],[Tiempo
(Hrs 00/100)]]*1.16</f>
        <v>696</v>
      </c>
    </row>
    <row r="1373" spans="1:26" ht="15" customHeight="1" x14ac:dyDescent="0.3">
      <c r="A1373" s="560" t="s">
        <v>22</v>
      </c>
      <c r="B1373" s="560" t="s">
        <v>23</v>
      </c>
      <c r="C1373" s="561" t="s">
        <v>257</v>
      </c>
      <c r="D1373" s="560"/>
      <c r="E1373" s="560" t="s">
        <v>408</v>
      </c>
      <c r="F1373" s="560" t="s">
        <v>23</v>
      </c>
      <c r="G1373" s="560" t="s">
        <v>604</v>
      </c>
      <c r="H1373" s="592" t="s">
        <v>1952</v>
      </c>
      <c r="I1373" s="593" t="s">
        <v>1953</v>
      </c>
      <c r="J1373" s="726">
        <v>45146</v>
      </c>
      <c r="K1373" s="768">
        <v>0.47916666666666669</v>
      </c>
      <c r="L1373" s="726">
        <v>45146</v>
      </c>
      <c r="M1373" s="768">
        <v>0.52083333333333337</v>
      </c>
      <c r="N1373" s="564">
        <v>1</v>
      </c>
      <c r="O1373" s="565" t="s">
        <v>17</v>
      </c>
      <c r="P1373" s="566" t="s">
        <v>1583</v>
      </c>
      <c r="Q1373" s="805" t="s">
        <v>1441</v>
      </c>
      <c r="R1373" s="567" t="s">
        <v>95</v>
      </c>
      <c r="S1373" s="31" t="s">
        <v>273</v>
      </c>
      <c r="T1373" s="31" t="s">
        <v>273</v>
      </c>
      <c r="U1373" s="31">
        <f>IFERROR(VLOOKUP(CONCATENATE(Tabla1[[#This Row],[Severidad]]," ",Tabla1[[#This Row],[Complejidad]]),Catalogos!E$120:G$128,3,FALSE),"")</f>
        <v>64</v>
      </c>
      <c r="V1373" s="31" t="str">
        <f>IF(Tabla1[[#This Row],[Tiempo solución max (hrs)]]&lt;&gt;"",IF(Tabla1[[#This Row],[Tiempo solución max (hrs)]]&gt;=Tabla1[[#This Row],[Tiempo
(Hrs 00/100)]],"cumple","no cumple"),"")</f>
        <v>cumple</v>
      </c>
      <c r="W1373" s="376" t="s">
        <v>1814</v>
      </c>
      <c r="X1373" s="377" t="str">
        <f t="shared" si="137"/>
        <v>SSI</v>
      </c>
      <c r="Y1373" t="str">
        <f>SUBSTITUTE(Tabla1[[#This Row],[Descripción]],CHAR(10),"    I    ")</f>
        <v>Se validó campo por campo de la tabla 'SISAI_TW_CONFIG_PROCESO' para identificar los tipos de datos y tamaño para validación en bloque anonimo</v>
      </c>
      <c r="Z1373" s="142">
        <f>VLOOKUP(Tabla1[[#This Row],[Perfil]],Catalogos!$B$75:$D$100,3,FALSE)*Tabla1[[#This Row],[Tiempo
(Hrs 00/100)]]*1.16</f>
        <v>696</v>
      </c>
    </row>
    <row r="1374" spans="1:26" ht="15" customHeight="1" x14ac:dyDescent="0.3">
      <c r="A1374" s="560" t="s">
        <v>22</v>
      </c>
      <c r="B1374" s="560" t="s">
        <v>66</v>
      </c>
      <c r="C1374" s="561" t="s">
        <v>257</v>
      </c>
      <c r="D1374" s="560"/>
      <c r="E1374" s="560" t="s">
        <v>408</v>
      </c>
      <c r="F1374" s="560" t="s">
        <v>75</v>
      </c>
      <c r="G1374" s="560" t="s">
        <v>604</v>
      </c>
      <c r="H1374" s="592" t="s">
        <v>1954</v>
      </c>
      <c r="I1374" s="593" t="s">
        <v>1955</v>
      </c>
      <c r="J1374" s="726">
        <v>45146</v>
      </c>
      <c r="K1374" s="768">
        <v>0.52083333333333337</v>
      </c>
      <c r="L1374" s="726">
        <v>45146</v>
      </c>
      <c r="M1374" s="768">
        <v>0.5625</v>
      </c>
      <c r="N1374" s="564">
        <v>1</v>
      </c>
      <c r="O1374" s="565" t="s">
        <v>17</v>
      </c>
      <c r="P1374" s="566" t="s">
        <v>1583</v>
      </c>
      <c r="Q1374" s="805" t="s">
        <v>1441</v>
      </c>
      <c r="R1374" s="567" t="s">
        <v>95</v>
      </c>
      <c r="S1374" s="31" t="s">
        <v>273</v>
      </c>
      <c r="T1374" s="31" t="s">
        <v>273</v>
      </c>
      <c r="U1374" s="31">
        <f>IFERROR(VLOOKUP(CONCATENATE(Tabla1[[#This Row],[Severidad]]," ",Tabla1[[#This Row],[Complejidad]]),Catalogos!E$120:G$128,3,FALSE),"")</f>
        <v>64</v>
      </c>
      <c r="V1374" s="31" t="str">
        <f>IF(Tabla1[[#This Row],[Tiempo solución max (hrs)]]&lt;&gt;"",IF(Tabla1[[#This Row],[Tiempo solución max (hrs)]]&gt;=Tabla1[[#This Row],[Tiempo
(Hrs 00/100)]],"cumple","no cumple"),"")</f>
        <v>cumple</v>
      </c>
      <c r="W1374" s="376" t="s">
        <v>1814</v>
      </c>
      <c r="X1374" s="377" t="str">
        <f t="shared" si="137"/>
        <v>SSI</v>
      </c>
      <c r="Y1374" t="str">
        <f>SUBSTITUTE(Tabla1[[#This Row],[Descripción]],CHAR(10),"    I    ")</f>
        <v>Se validó el paquete-procedimiento del query 2 de la funcionalidad # 11 con el bloque anónimo correcto y se tuvo un resultado exitoso con la salida del cursor completo con el único parámetro</v>
      </c>
      <c r="Z1374" s="142">
        <f>VLOOKUP(Tabla1[[#This Row],[Perfil]],Catalogos!$B$75:$D$100,3,FALSE)*Tabla1[[#This Row],[Tiempo
(Hrs 00/100)]]*1.16</f>
        <v>696</v>
      </c>
    </row>
    <row r="1375" spans="1:26" ht="15" customHeight="1" x14ac:dyDescent="0.3">
      <c r="A1375" s="560" t="s">
        <v>22</v>
      </c>
      <c r="B1375" s="560" t="s">
        <v>65</v>
      </c>
      <c r="C1375" s="561" t="s">
        <v>257</v>
      </c>
      <c r="D1375" s="560"/>
      <c r="E1375" s="560" t="s">
        <v>408</v>
      </c>
      <c r="F1375" s="560" t="s">
        <v>73</v>
      </c>
      <c r="G1375" s="560" t="s">
        <v>604</v>
      </c>
      <c r="H1375" s="592" t="s">
        <v>1956</v>
      </c>
      <c r="I1375" s="593" t="s">
        <v>1957</v>
      </c>
      <c r="J1375" s="726">
        <v>45146</v>
      </c>
      <c r="K1375" s="768">
        <v>0.5625</v>
      </c>
      <c r="L1375" s="726">
        <v>45146</v>
      </c>
      <c r="M1375" s="768">
        <v>0.58333333333333337</v>
      </c>
      <c r="N1375" s="564">
        <v>0.5</v>
      </c>
      <c r="O1375" s="565" t="s">
        <v>17</v>
      </c>
      <c r="P1375" s="566" t="s">
        <v>1583</v>
      </c>
      <c r="Q1375" s="805" t="s">
        <v>1441</v>
      </c>
      <c r="R1375" s="567" t="s">
        <v>95</v>
      </c>
      <c r="S1375" s="31" t="s">
        <v>273</v>
      </c>
      <c r="T1375" s="31" t="s">
        <v>273</v>
      </c>
      <c r="U1375" s="31">
        <f>IFERROR(VLOOKUP(CONCATENATE(Tabla1[[#This Row],[Severidad]]," ",Tabla1[[#This Row],[Complejidad]]),Catalogos!E$120:G$128,3,FALSE),"")</f>
        <v>64</v>
      </c>
      <c r="V1375" s="31" t="str">
        <f>IF(Tabla1[[#This Row],[Tiempo solución max (hrs)]]&lt;&gt;"",IF(Tabla1[[#This Row],[Tiempo solución max (hrs)]]&gt;=Tabla1[[#This Row],[Tiempo
(Hrs 00/100)]],"cumple","no cumple"),"")</f>
        <v>cumple</v>
      </c>
      <c r="W1375" s="376" t="s">
        <v>1814</v>
      </c>
      <c r="X1375" s="377" t="str">
        <f t="shared" si="137"/>
        <v>SSI</v>
      </c>
      <c r="Y1375" t="str">
        <f>SUBSTITUTE(Tabla1[[#This Row],[Descripción]],CHAR(10),"    I    ")</f>
        <v>Se actualizó documento Querys SISAI con los nombres de los procedimientos recien creados sobre el Query 2 de la Funcionalidad 11, que no se reutilizaban</v>
      </c>
      <c r="Z1375" s="142">
        <f>VLOOKUP(Tabla1[[#This Row],[Perfil]],Catalogos!$B$75:$D$100,3,FALSE)*Tabla1[[#This Row],[Tiempo
(Hrs 00/100)]]*1.16</f>
        <v>348</v>
      </c>
    </row>
    <row r="1376" spans="1:26" ht="15" customHeight="1" x14ac:dyDescent="0.3">
      <c r="A1376" s="560" t="s">
        <v>22</v>
      </c>
      <c r="B1376" s="560" t="s">
        <v>23</v>
      </c>
      <c r="C1376" s="561" t="s">
        <v>257</v>
      </c>
      <c r="D1376" s="560"/>
      <c r="E1376" s="560" t="s">
        <v>408</v>
      </c>
      <c r="F1376" s="560" t="s">
        <v>23</v>
      </c>
      <c r="G1376" s="560" t="s">
        <v>604</v>
      </c>
      <c r="H1376" s="592" t="s">
        <v>1958</v>
      </c>
      <c r="I1376" s="593" t="s">
        <v>1959</v>
      </c>
      <c r="J1376" s="726">
        <v>45146</v>
      </c>
      <c r="K1376" s="768">
        <v>0.58333333333333337</v>
      </c>
      <c r="L1376" s="726">
        <v>45146</v>
      </c>
      <c r="M1376" s="768">
        <v>0.625</v>
      </c>
      <c r="N1376" s="564">
        <v>1</v>
      </c>
      <c r="O1376" s="565" t="s">
        <v>17</v>
      </c>
      <c r="P1376" s="566" t="s">
        <v>1583</v>
      </c>
      <c r="Q1376" s="805" t="s">
        <v>1441</v>
      </c>
      <c r="R1376" s="567" t="s">
        <v>95</v>
      </c>
      <c r="S1376" s="31" t="s">
        <v>273</v>
      </c>
      <c r="T1376" s="31" t="s">
        <v>273</v>
      </c>
      <c r="U1376" s="31">
        <f>IFERROR(VLOOKUP(CONCATENATE(Tabla1[[#This Row],[Severidad]]," ",Tabla1[[#This Row],[Complejidad]]),Catalogos!E$120:G$128,3,FALSE),"")</f>
        <v>64</v>
      </c>
      <c r="V1376" s="31" t="str">
        <f>IF(Tabla1[[#This Row],[Tiempo solución max (hrs)]]&lt;&gt;"",IF(Tabla1[[#This Row],[Tiempo solución max (hrs)]]&gt;=Tabla1[[#This Row],[Tiempo
(Hrs 00/100)]],"cumple","no cumple"),"")</f>
        <v>cumple</v>
      </c>
      <c r="W1376" s="376" t="s">
        <v>1814</v>
      </c>
      <c r="X1376" s="377" t="str">
        <f t="shared" si="137"/>
        <v>SSI</v>
      </c>
      <c r="Y1376" t="str">
        <f>SUBSTITUTE(Tabla1[[#This Row],[Descripción]],CHAR(10),"    I    ")</f>
        <v>Se creó el nuevo procedimiento 'FUNC11TURNAFOLIOUNIAD_CONFIPROCXORGGTE_QF11Q3' en el paquete 'PACK_SISAI2', con el query 3 de la 11va funcionalidad que obtiene la configuración de procesos por organismo garante</v>
      </c>
      <c r="Z1376" s="142">
        <f>VLOOKUP(Tabla1[[#This Row],[Perfil]],Catalogos!$B$75:$D$100,3,FALSE)*Tabla1[[#This Row],[Tiempo
(Hrs 00/100)]]*1.16</f>
        <v>696</v>
      </c>
    </row>
    <row r="1377" spans="1:26" ht="15" customHeight="1" x14ac:dyDescent="0.3">
      <c r="A1377" s="560" t="s">
        <v>22</v>
      </c>
      <c r="B1377" s="560" t="s">
        <v>66</v>
      </c>
      <c r="C1377" s="561" t="s">
        <v>257</v>
      </c>
      <c r="D1377" s="560"/>
      <c r="E1377" s="560" t="s">
        <v>408</v>
      </c>
      <c r="F1377" s="560" t="s">
        <v>75</v>
      </c>
      <c r="G1377" s="560" t="s">
        <v>604</v>
      </c>
      <c r="H1377" s="592" t="s">
        <v>1960</v>
      </c>
      <c r="I1377" s="593" t="s">
        <v>1961</v>
      </c>
      <c r="J1377" s="726">
        <v>45146</v>
      </c>
      <c r="K1377" s="768">
        <v>0.66666666666666663</v>
      </c>
      <c r="L1377" s="726">
        <v>45146</v>
      </c>
      <c r="M1377" s="768">
        <v>0.70833333333333337</v>
      </c>
      <c r="N1377" s="564">
        <v>1</v>
      </c>
      <c r="O1377" s="565" t="s">
        <v>17</v>
      </c>
      <c r="P1377" s="566" t="s">
        <v>1583</v>
      </c>
      <c r="Q1377" s="805" t="s">
        <v>1441</v>
      </c>
      <c r="R1377" s="567" t="s">
        <v>95</v>
      </c>
      <c r="S1377" s="31" t="s">
        <v>273</v>
      </c>
      <c r="T1377" s="31" t="s">
        <v>273</v>
      </c>
      <c r="U1377" s="31">
        <f>IFERROR(VLOOKUP(CONCATENATE(Tabla1[[#This Row],[Severidad]]," ",Tabla1[[#This Row],[Complejidad]]),Catalogos!E$120:G$128,3,FALSE),"")</f>
        <v>64</v>
      </c>
      <c r="V1377" s="31" t="str">
        <f>IF(Tabla1[[#This Row],[Tiempo solución max (hrs)]]&lt;&gt;"",IF(Tabla1[[#This Row],[Tiempo solución max (hrs)]]&gt;=Tabla1[[#This Row],[Tiempo
(Hrs 00/100)]],"cumple","no cumple"),"")</f>
        <v>cumple</v>
      </c>
      <c r="W1377" s="376" t="s">
        <v>1814</v>
      </c>
      <c r="X1377" s="377" t="str">
        <f t="shared" si="137"/>
        <v>SSI</v>
      </c>
      <c r="Y1377" t="str">
        <f>SUBSTITUTE(Tabla1[[#This Row],[Descripción]],CHAR(10),"    I    ")</f>
        <v>Se validó el paquete-procedimiento del query 3 de la funcionalidad # 11 con el bloque anónimo correcto y se tuvo un resultado exitoso con la salida del cursor completo con varios parámetros</v>
      </c>
      <c r="Z1377" s="142">
        <f>VLOOKUP(Tabla1[[#This Row],[Perfil]],Catalogos!$B$75:$D$100,3,FALSE)*Tabla1[[#This Row],[Tiempo
(Hrs 00/100)]]*1.16</f>
        <v>696</v>
      </c>
    </row>
    <row r="1378" spans="1:26" ht="15" customHeight="1" x14ac:dyDescent="0.3">
      <c r="A1378" s="560" t="s">
        <v>22</v>
      </c>
      <c r="B1378" s="560" t="s">
        <v>65</v>
      </c>
      <c r="C1378" s="561" t="s">
        <v>257</v>
      </c>
      <c r="D1378" s="560"/>
      <c r="E1378" s="560" t="s">
        <v>408</v>
      </c>
      <c r="F1378" s="560" t="s">
        <v>73</v>
      </c>
      <c r="G1378" s="560" t="s">
        <v>604</v>
      </c>
      <c r="H1378" s="592" t="s">
        <v>1962</v>
      </c>
      <c r="I1378" s="593" t="s">
        <v>1963</v>
      </c>
      <c r="J1378" s="726">
        <v>45146</v>
      </c>
      <c r="K1378" s="768">
        <v>0.70833333333333337</v>
      </c>
      <c r="L1378" s="726">
        <v>45146</v>
      </c>
      <c r="M1378" s="768">
        <v>0.72916666666666663</v>
      </c>
      <c r="N1378" s="564">
        <v>0.5</v>
      </c>
      <c r="O1378" s="565" t="s">
        <v>17</v>
      </c>
      <c r="P1378" s="566" t="s">
        <v>1583</v>
      </c>
      <c r="Q1378" s="805" t="s">
        <v>1441</v>
      </c>
      <c r="R1378" s="567" t="s">
        <v>95</v>
      </c>
      <c r="S1378" s="31" t="s">
        <v>273</v>
      </c>
      <c r="T1378" s="31" t="s">
        <v>273</v>
      </c>
      <c r="U1378" s="31">
        <f>IFERROR(VLOOKUP(CONCATENATE(Tabla1[[#This Row],[Severidad]]," ",Tabla1[[#This Row],[Complejidad]]),Catalogos!E$120:G$128,3,FALSE),"")</f>
        <v>64</v>
      </c>
      <c r="V1378" s="31" t="str">
        <f>IF(Tabla1[[#This Row],[Tiempo solución max (hrs)]]&lt;&gt;"",IF(Tabla1[[#This Row],[Tiempo solución max (hrs)]]&gt;=Tabla1[[#This Row],[Tiempo
(Hrs 00/100)]],"cumple","no cumple"),"")</f>
        <v>cumple</v>
      </c>
      <c r="W1378" s="376" t="s">
        <v>1814</v>
      </c>
      <c r="X1378" s="377" t="str">
        <f t="shared" si="137"/>
        <v>SSI</v>
      </c>
      <c r="Y1378" t="str">
        <f>SUBSTITUTE(Tabla1[[#This Row],[Descripción]],CHAR(10),"    I    ")</f>
        <v>Se actualizó documento Querys SISAI con los nombres de los procedimientos recien creados sobre el Query 3 de la Funcionalidad 11, que no se reutilizaban</v>
      </c>
      <c r="Z1378" s="142">
        <f>VLOOKUP(Tabla1[[#This Row],[Perfil]],Catalogos!$B$75:$D$100,3,FALSE)*Tabla1[[#This Row],[Tiempo
(Hrs 00/100)]]*1.16</f>
        <v>348</v>
      </c>
    </row>
    <row r="1379" spans="1:26" ht="15" customHeight="1" x14ac:dyDescent="0.3">
      <c r="A1379" s="560" t="s">
        <v>22</v>
      </c>
      <c r="B1379" s="560" t="s">
        <v>23</v>
      </c>
      <c r="C1379" s="561" t="s">
        <v>257</v>
      </c>
      <c r="D1379" s="560"/>
      <c r="E1379" s="560" t="s">
        <v>408</v>
      </c>
      <c r="F1379" s="560" t="s">
        <v>23</v>
      </c>
      <c r="G1379" s="560" t="s">
        <v>604</v>
      </c>
      <c r="H1379" s="592" t="s">
        <v>1964</v>
      </c>
      <c r="I1379" s="593" t="s">
        <v>1965</v>
      </c>
      <c r="J1379" s="726">
        <v>45146</v>
      </c>
      <c r="K1379" s="768">
        <v>0.72916666666666663</v>
      </c>
      <c r="L1379" s="726">
        <v>45146</v>
      </c>
      <c r="M1379" s="768">
        <v>0.77083333333333337</v>
      </c>
      <c r="N1379" s="564">
        <v>1</v>
      </c>
      <c r="O1379" s="565" t="s">
        <v>17</v>
      </c>
      <c r="P1379" s="566" t="s">
        <v>1583</v>
      </c>
      <c r="Q1379" s="805" t="s">
        <v>1441</v>
      </c>
      <c r="R1379" s="567" t="s">
        <v>95</v>
      </c>
      <c r="S1379" s="31" t="s">
        <v>273</v>
      </c>
      <c r="T1379" s="31" t="s">
        <v>273</v>
      </c>
      <c r="U1379" s="31">
        <f>IFERROR(VLOOKUP(CONCATENATE(Tabla1[[#This Row],[Severidad]]," ",Tabla1[[#This Row],[Complejidad]]),Catalogos!E$120:G$128,3,FALSE),"")</f>
        <v>64</v>
      </c>
      <c r="V1379" s="31" t="str">
        <f>IF(Tabla1[[#This Row],[Tiempo solución max (hrs)]]&lt;&gt;"",IF(Tabla1[[#This Row],[Tiempo solución max (hrs)]]&gt;=Tabla1[[#This Row],[Tiempo
(Hrs 00/100)]],"cumple","no cumple"),"")</f>
        <v>cumple</v>
      </c>
      <c r="W1379" s="376" t="s">
        <v>1814</v>
      </c>
      <c r="X1379" s="377" t="str">
        <f t="shared" si="137"/>
        <v>SSI</v>
      </c>
      <c r="Y1379" t="str">
        <f>SUBSTITUTE(Tabla1[[#This Row],[Descripción]],CHAR(10),"    I    ")</f>
        <v>Se revisó el Query 4 de la Funcionalidad 11, para obtener solicitudes Gestion interna por solicitud dependencia para generar subfolios y se encontro reutilización ('FUNC7DETSOLDASHUTGI_SOLGIXSOLDEPEN_QF7Q4')</v>
      </c>
      <c r="Z1379" s="142">
        <f>VLOOKUP(Tabla1[[#This Row],[Perfil]],Catalogos!$B$75:$D$100,3,FALSE)*Tabla1[[#This Row],[Tiempo
(Hrs 00/100)]]*1.16</f>
        <v>696</v>
      </c>
    </row>
    <row r="1380" spans="1:26" ht="15" customHeight="1" x14ac:dyDescent="0.3">
      <c r="A1380" s="560" t="s">
        <v>22</v>
      </c>
      <c r="B1380" s="560" t="s">
        <v>65</v>
      </c>
      <c r="C1380" s="561" t="s">
        <v>257</v>
      </c>
      <c r="D1380" s="560"/>
      <c r="E1380" s="560" t="s">
        <v>408</v>
      </c>
      <c r="F1380" s="560" t="s">
        <v>73</v>
      </c>
      <c r="G1380" s="560" t="s">
        <v>604</v>
      </c>
      <c r="H1380" s="592" t="s">
        <v>1966</v>
      </c>
      <c r="I1380" s="593" t="s">
        <v>1966</v>
      </c>
      <c r="J1380" s="726">
        <v>45146</v>
      </c>
      <c r="K1380" s="768">
        <v>0.77083333333333337</v>
      </c>
      <c r="L1380" s="726">
        <v>45146</v>
      </c>
      <c r="M1380" s="768">
        <v>0.79166666666666663</v>
      </c>
      <c r="N1380" s="564">
        <v>0.5</v>
      </c>
      <c r="O1380" s="565" t="s">
        <v>17</v>
      </c>
      <c r="P1380" s="566" t="s">
        <v>1583</v>
      </c>
      <c r="Q1380" s="805" t="s">
        <v>1441</v>
      </c>
      <c r="R1380" s="567" t="s">
        <v>95</v>
      </c>
      <c r="S1380" s="31" t="s">
        <v>273</v>
      </c>
      <c r="T1380" s="31" t="s">
        <v>273</v>
      </c>
      <c r="U1380" s="31">
        <f>IFERROR(VLOOKUP(CONCATENATE(Tabla1[[#This Row],[Severidad]]," ",Tabla1[[#This Row],[Complejidad]]),Catalogos!E$120:G$128,3,FALSE),"")</f>
        <v>64</v>
      </c>
      <c r="V1380" s="31" t="str">
        <f>IF(Tabla1[[#This Row],[Tiempo solución max (hrs)]]&lt;&gt;"",IF(Tabla1[[#This Row],[Tiempo solución max (hrs)]]&gt;=Tabla1[[#This Row],[Tiempo
(Hrs 00/100)]],"cumple","no cumple"),"")</f>
        <v>cumple</v>
      </c>
      <c r="W1380" s="376" t="s">
        <v>1814</v>
      </c>
      <c r="X1380" s="377" t="str">
        <f t="shared" si="137"/>
        <v>SSI</v>
      </c>
      <c r="Y1380" t="str">
        <f>SUBSTITUTE(Tabla1[[#This Row],[Descripción]],CHAR(10),"    I    ")</f>
        <v>Se actualizó documento Querys SISAI con el detalle encontrado en el Query 4 - Funcionalidad 11</v>
      </c>
      <c r="Z1380" s="142">
        <f>VLOOKUP(Tabla1[[#This Row],[Perfil]],Catalogos!$B$75:$D$100,3,FALSE)*Tabla1[[#This Row],[Tiempo
(Hrs 00/100)]]*1.16</f>
        <v>348</v>
      </c>
    </row>
    <row r="1381" spans="1:26" ht="15" customHeight="1" x14ac:dyDescent="0.3">
      <c r="A1381" s="560" t="s">
        <v>22</v>
      </c>
      <c r="B1381" s="560" t="s">
        <v>23</v>
      </c>
      <c r="C1381" s="561" t="s">
        <v>257</v>
      </c>
      <c r="D1381" s="560"/>
      <c r="E1381" s="560" t="s">
        <v>408</v>
      </c>
      <c r="F1381" s="560" t="s">
        <v>23</v>
      </c>
      <c r="G1381" s="560" t="s">
        <v>604</v>
      </c>
      <c r="H1381" s="592" t="s">
        <v>1967</v>
      </c>
      <c r="I1381" s="593" t="s">
        <v>1968</v>
      </c>
      <c r="J1381" s="726">
        <v>45147</v>
      </c>
      <c r="K1381" s="768">
        <v>0.375</v>
      </c>
      <c r="L1381" s="726">
        <v>45147</v>
      </c>
      <c r="M1381" s="768">
        <v>0.41666666666666669</v>
      </c>
      <c r="N1381" s="564">
        <v>1</v>
      </c>
      <c r="O1381" s="565" t="s">
        <v>17</v>
      </c>
      <c r="P1381" s="566" t="s">
        <v>1583</v>
      </c>
      <c r="Q1381" s="805" t="s">
        <v>1441</v>
      </c>
      <c r="R1381" s="567" t="s">
        <v>95</v>
      </c>
      <c r="S1381" s="31" t="s">
        <v>273</v>
      </c>
      <c r="T1381" s="31" t="s">
        <v>273</v>
      </c>
      <c r="U1381" s="31">
        <f>IFERROR(VLOOKUP(CONCATENATE(Tabla1[[#This Row],[Severidad]]," ",Tabla1[[#This Row],[Complejidad]]),Catalogos!E$120:G$128,3,FALSE),"")</f>
        <v>64</v>
      </c>
      <c r="V1381" s="31" t="str">
        <f>IF(Tabla1[[#This Row],[Tiempo solución max (hrs)]]&lt;&gt;"",IF(Tabla1[[#This Row],[Tiempo solución max (hrs)]]&gt;=Tabla1[[#This Row],[Tiempo
(Hrs 00/100)]],"cumple","no cumple"),"")</f>
        <v>cumple</v>
      </c>
      <c r="W1381" s="376" t="s">
        <v>1814</v>
      </c>
      <c r="X1381" s="377" t="str">
        <f t="shared" si="137"/>
        <v>SSI</v>
      </c>
      <c r="Y1381" t="str">
        <f>SUBSTITUTE(Tabla1[[#This Row],[Descripción]],CHAR(10),"    I    ")</f>
        <v>Se creó el nuevo procedimiento 'FUNC12DASHBOARDFOLIOPENDRPTAUNIADM_QF12Q1' en el paquete 'PACK_SISAI2', con el query 1 de la 12va funcionalidad que obtiene el dashboard con los folios y subfolios pendientes de respuestas de las unidades administrativas</v>
      </c>
      <c r="Z1381" s="142">
        <f>VLOOKUP(Tabla1[[#This Row],[Perfil]],Catalogos!$B$75:$D$100,3,FALSE)*Tabla1[[#This Row],[Tiempo
(Hrs 00/100)]]*1.16</f>
        <v>696</v>
      </c>
    </row>
    <row r="1382" spans="1:26" ht="15" customHeight="1" x14ac:dyDescent="0.3">
      <c r="A1382" s="560" t="s">
        <v>22</v>
      </c>
      <c r="B1382" s="560" t="s">
        <v>23</v>
      </c>
      <c r="C1382" s="561" t="s">
        <v>257</v>
      </c>
      <c r="D1382" s="560"/>
      <c r="E1382" s="560" t="s">
        <v>408</v>
      </c>
      <c r="F1382" s="560" t="s">
        <v>23</v>
      </c>
      <c r="G1382" s="560" t="s">
        <v>604</v>
      </c>
      <c r="H1382" s="592" t="s">
        <v>1969</v>
      </c>
      <c r="I1382" s="593" t="s">
        <v>1970</v>
      </c>
      <c r="J1382" s="726">
        <v>45147</v>
      </c>
      <c r="K1382" s="768">
        <v>0.41666666666666669</v>
      </c>
      <c r="L1382" s="726">
        <v>45147</v>
      </c>
      <c r="M1382" s="768">
        <v>0.4375</v>
      </c>
      <c r="N1382" s="564">
        <v>0.5</v>
      </c>
      <c r="O1382" s="565" t="s">
        <v>17</v>
      </c>
      <c r="P1382" s="566" t="s">
        <v>1583</v>
      </c>
      <c r="Q1382" s="805" t="s">
        <v>1441</v>
      </c>
      <c r="R1382" s="567" t="s">
        <v>95</v>
      </c>
      <c r="S1382" s="31" t="s">
        <v>273</v>
      </c>
      <c r="T1382" s="31" t="s">
        <v>273</v>
      </c>
      <c r="U1382" s="31">
        <f>IFERROR(VLOOKUP(CONCATENATE(Tabla1[[#This Row],[Severidad]]," ",Tabla1[[#This Row],[Complejidad]]),Catalogos!E$120:G$128,3,FALSE),"")</f>
        <v>64</v>
      </c>
      <c r="V1382" s="31" t="str">
        <f>IF(Tabla1[[#This Row],[Tiempo solución max (hrs)]]&lt;&gt;"",IF(Tabla1[[#This Row],[Tiempo solución max (hrs)]]&gt;=Tabla1[[#This Row],[Tiempo
(Hrs 00/100)]],"cumple","no cumple"),"")</f>
        <v>cumple</v>
      </c>
      <c r="W1382" s="376" t="s">
        <v>1814</v>
      </c>
      <c r="X1382" s="377" t="str">
        <f t="shared" si="137"/>
        <v>SSI</v>
      </c>
      <c r="Y1382" t="str">
        <f>SUBSTITUTE(Tabla1[[#This Row],[Descripción]],CHAR(10),"    I    ")</f>
        <v>Se validó campo por campo del query 1 de la funcionalidad 12 para identificar los tipos de datos y tamaño para validación en bloque anonimo</v>
      </c>
      <c r="Z1382" s="142">
        <f>VLOOKUP(Tabla1[[#This Row],[Perfil]],Catalogos!$B$75:$D$100,3,FALSE)*Tabla1[[#This Row],[Tiempo
(Hrs 00/100)]]*1.16</f>
        <v>348</v>
      </c>
    </row>
    <row r="1383" spans="1:26" ht="15" customHeight="1" x14ac:dyDescent="0.3">
      <c r="A1383" s="560" t="s">
        <v>22</v>
      </c>
      <c r="B1383" s="560" t="s">
        <v>66</v>
      </c>
      <c r="C1383" s="561" t="s">
        <v>257</v>
      </c>
      <c r="D1383" s="560"/>
      <c r="E1383" s="560" t="s">
        <v>408</v>
      </c>
      <c r="F1383" s="560" t="s">
        <v>75</v>
      </c>
      <c r="G1383" s="560" t="s">
        <v>604</v>
      </c>
      <c r="H1383" s="592" t="s">
        <v>1971</v>
      </c>
      <c r="I1383" s="593" t="s">
        <v>1972</v>
      </c>
      <c r="J1383" s="726">
        <v>45147</v>
      </c>
      <c r="K1383" s="768">
        <v>0.4375</v>
      </c>
      <c r="L1383" s="726">
        <v>45147</v>
      </c>
      <c r="M1383" s="768">
        <v>0.47916666666666669</v>
      </c>
      <c r="N1383" s="564">
        <v>1</v>
      </c>
      <c r="O1383" s="565" t="s">
        <v>17</v>
      </c>
      <c r="P1383" s="566" t="s">
        <v>1583</v>
      </c>
      <c r="Q1383" s="805" t="s">
        <v>1441</v>
      </c>
      <c r="R1383" s="567" t="s">
        <v>95</v>
      </c>
      <c r="S1383" s="31" t="s">
        <v>273</v>
      </c>
      <c r="T1383" s="31" t="s">
        <v>273</v>
      </c>
      <c r="U1383" s="31">
        <f>IFERROR(VLOOKUP(CONCATENATE(Tabla1[[#This Row],[Severidad]]," ",Tabla1[[#This Row],[Complejidad]]),Catalogos!E$120:G$128,3,FALSE),"")</f>
        <v>64</v>
      </c>
      <c r="V1383" s="31" t="str">
        <f>IF(Tabla1[[#This Row],[Tiempo solución max (hrs)]]&lt;&gt;"",IF(Tabla1[[#This Row],[Tiempo solución max (hrs)]]&gt;=Tabla1[[#This Row],[Tiempo
(Hrs 00/100)]],"cumple","no cumple"),"")</f>
        <v>cumple</v>
      </c>
      <c r="W1383" s="376" t="s">
        <v>1814</v>
      </c>
      <c r="X1383" s="377" t="str">
        <f t="shared" si="137"/>
        <v>SSI</v>
      </c>
      <c r="Y1383" t="str">
        <f>SUBSTITUTE(Tabla1[[#This Row],[Descripción]],CHAR(10),"    I    ")</f>
        <v>Se validó el paquete-procedimiento del query 1 de la funcionalidad # 12 con el bloque anónimo correcto y se tuvo un resultado exitoso con la salida del cursor completo con varios parametros</v>
      </c>
      <c r="Z1383" s="142">
        <f>VLOOKUP(Tabla1[[#This Row],[Perfil]],Catalogos!$B$75:$D$100,3,FALSE)*Tabla1[[#This Row],[Tiempo
(Hrs 00/100)]]*1.16</f>
        <v>696</v>
      </c>
    </row>
    <row r="1384" spans="1:26" ht="15" customHeight="1" x14ac:dyDescent="0.3">
      <c r="A1384" s="560" t="s">
        <v>22</v>
      </c>
      <c r="B1384" s="560" t="s">
        <v>65</v>
      </c>
      <c r="C1384" s="561" t="s">
        <v>257</v>
      </c>
      <c r="D1384" s="560"/>
      <c r="E1384" s="560" t="s">
        <v>408</v>
      </c>
      <c r="F1384" s="560" t="s">
        <v>73</v>
      </c>
      <c r="G1384" s="560" t="s">
        <v>604</v>
      </c>
      <c r="H1384" s="592" t="s">
        <v>1973</v>
      </c>
      <c r="I1384" s="593" t="s">
        <v>1974</v>
      </c>
      <c r="J1384" s="726">
        <v>45147</v>
      </c>
      <c r="K1384" s="768">
        <v>0.47916666666666669</v>
      </c>
      <c r="L1384" s="726">
        <v>45147</v>
      </c>
      <c r="M1384" s="768">
        <v>0.5</v>
      </c>
      <c r="N1384" s="564">
        <v>0.5</v>
      </c>
      <c r="O1384" s="565" t="s">
        <v>17</v>
      </c>
      <c r="P1384" s="566" t="s">
        <v>1583</v>
      </c>
      <c r="Q1384" s="805" t="s">
        <v>1441</v>
      </c>
      <c r="R1384" s="567" t="s">
        <v>95</v>
      </c>
      <c r="S1384" s="31" t="s">
        <v>273</v>
      </c>
      <c r="T1384" s="31" t="s">
        <v>273</v>
      </c>
      <c r="U1384" s="31">
        <f>IFERROR(VLOOKUP(CONCATENATE(Tabla1[[#This Row],[Severidad]]," ",Tabla1[[#This Row],[Complejidad]]),Catalogos!E$120:G$128,3,FALSE),"")</f>
        <v>64</v>
      </c>
      <c r="V1384" s="31" t="str">
        <f>IF(Tabla1[[#This Row],[Tiempo solución max (hrs)]]&lt;&gt;"",IF(Tabla1[[#This Row],[Tiempo solución max (hrs)]]&gt;=Tabla1[[#This Row],[Tiempo
(Hrs 00/100)]],"cumple","no cumple"),"")</f>
        <v>cumple</v>
      </c>
      <c r="W1384" s="376" t="s">
        <v>1814</v>
      </c>
      <c r="X1384" s="377" t="str">
        <f t="shared" si="137"/>
        <v>SSI</v>
      </c>
      <c r="Y1384" t="str">
        <f>SUBSTITUTE(Tabla1[[#This Row],[Descripción]],CHAR(10),"    I    ")</f>
        <v>Se actualizó documento Querys SISAI con los nombres de los procedimientos recien creados sobre el Query 1 de la Funcionalidad 12, que no se reutilizaban</v>
      </c>
      <c r="Z1384" s="142">
        <f>VLOOKUP(Tabla1[[#This Row],[Perfil]],Catalogos!$B$75:$D$100,3,FALSE)*Tabla1[[#This Row],[Tiempo
(Hrs 00/100)]]*1.16</f>
        <v>348</v>
      </c>
    </row>
    <row r="1385" spans="1:26" ht="15" customHeight="1" x14ac:dyDescent="0.3">
      <c r="A1385" s="560" t="s">
        <v>22</v>
      </c>
      <c r="B1385" s="560" t="s">
        <v>23</v>
      </c>
      <c r="C1385" s="561" t="s">
        <v>257</v>
      </c>
      <c r="D1385" s="560"/>
      <c r="E1385" s="560" t="s">
        <v>408</v>
      </c>
      <c r="F1385" s="560" t="s">
        <v>23</v>
      </c>
      <c r="G1385" s="560" t="s">
        <v>604</v>
      </c>
      <c r="H1385" s="592" t="s">
        <v>1975</v>
      </c>
      <c r="I1385" s="593" t="s">
        <v>1976</v>
      </c>
      <c r="J1385" s="726">
        <v>45147</v>
      </c>
      <c r="K1385" s="768">
        <v>0.5</v>
      </c>
      <c r="L1385" s="726">
        <v>45147</v>
      </c>
      <c r="M1385" s="768">
        <v>0.54166666666666663</v>
      </c>
      <c r="N1385" s="564">
        <v>1</v>
      </c>
      <c r="O1385" s="565" t="s">
        <v>17</v>
      </c>
      <c r="P1385" s="566" t="s">
        <v>1583</v>
      </c>
      <c r="Q1385" s="805" t="s">
        <v>1441</v>
      </c>
      <c r="R1385" s="567" t="s">
        <v>95</v>
      </c>
      <c r="S1385" s="31" t="s">
        <v>273</v>
      </c>
      <c r="T1385" s="31" t="s">
        <v>273</v>
      </c>
      <c r="U1385" s="31">
        <f>IFERROR(VLOOKUP(CONCATENATE(Tabla1[[#This Row],[Severidad]]," ",Tabla1[[#This Row],[Complejidad]]),Catalogos!E$120:G$128,3,FALSE),"")</f>
        <v>64</v>
      </c>
      <c r="V1385" s="31" t="str">
        <f>IF(Tabla1[[#This Row],[Tiempo solución max (hrs)]]&lt;&gt;"",IF(Tabla1[[#This Row],[Tiempo solución max (hrs)]]&gt;=Tabla1[[#This Row],[Tiempo
(Hrs 00/100)]],"cumple","no cumple"),"")</f>
        <v>cumple</v>
      </c>
      <c r="W1385" s="376" t="s">
        <v>1814</v>
      </c>
      <c r="X1385" s="377" t="str">
        <f t="shared" si="137"/>
        <v>SSI</v>
      </c>
      <c r="Y1385" t="str">
        <f>SUBSTITUTE(Tabla1[[#This Row],[Descripción]],CHAR(10),"    I    ")</f>
        <v>Se creó el nuevo procedimiento 'FUNC12DASHBOARDFOLIOPENDRPTASEFOLCOMTRANSPA_QF12Q2' en el paquete 'PACK_SISAI2', con el query 2 de la 12va funcionalidad que se obtiene el seguimiento por cada folio para identificar si pasó por comité de transparencia</v>
      </c>
      <c r="Z1385" s="142">
        <f>VLOOKUP(Tabla1[[#This Row],[Perfil]],Catalogos!$B$75:$D$100,3,FALSE)*Tabla1[[#This Row],[Tiempo
(Hrs 00/100)]]*1.16</f>
        <v>696</v>
      </c>
    </row>
    <row r="1386" spans="1:26" ht="15" customHeight="1" x14ac:dyDescent="0.3">
      <c r="A1386" s="560" t="s">
        <v>22</v>
      </c>
      <c r="B1386" s="560" t="s">
        <v>23</v>
      </c>
      <c r="C1386" s="561" t="s">
        <v>257</v>
      </c>
      <c r="D1386" s="560"/>
      <c r="E1386" s="560" t="s">
        <v>408</v>
      </c>
      <c r="F1386" s="560" t="s">
        <v>23</v>
      </c>
      <c r="G1386" s="560" t="s">
        <v>604</v>
      </c>
      <c r="H1386" s="592" t="s">
        <v>1977</v>
      </c>
      <c r="I1386" s="593" t="s">
        <v>1978</v>
      </c>
      <c r="J1386" s="726">
        <v>45147</v>
      </c>
      <c r="K1386" s="768">
        <v>0.54166666666666663</v>
      </c>
      <c r="L1386" s="726">
        <v>45147</v>
      </c>
      <c r="M1386" s="768">
        <v>0.5625</v>
      </c>
      <c r="N1386" s="564">
        <v>0.5</v>
      </c>
      <c r="O1386" s="565" t="s">
        <v>17</v>
      </c>
      <c r="P1386" s="566" t="s">
        <v>1583</v>
      </c>
      <c r="Q1386" s="805" t="s">
        <v>1441</v>
      </c>
      <c r="R1386" s="567" t="s">
        <v>95</v>
      </c>
      <c r="S1386" s="31" t="s">
        <v>273</v>
      </c>
      <c r="T1386" s="31" t="s">
        <v>273</v>
      </c>
      <c r="U1386" s="31">
        <f>IFERROR(VLOOKUP(CONCATENATE(Tabla1[[#This Row],[Severidad]]," ",Tabla1[[#This Row],[Complejidad]]),Catalogos!E$120:G$128,3,FALSE),"")</f>
        <v>64</v>
      </c>
      <c r="V1386" s="31" t="str">
        <f>IF(Tabla1[[#This Row],[Tiempo solución max (hrs)]]&lt;&gt;"",IF(Tabla1[[#This Row],[Tiempo solución max (hrs)]]&gt;=Tabla1[[#This Row],[Tiempo
(Hrs 00/100)]],"cumple","no cumple"),"")</f>
        <v>cumple</v>
      </c>
      <c r="W1386" s="376" t="s">
        <v>1814</v>
      </c>
      <c r="X1386" s="377" t="str">
        <f t="shared" si="137"/>
        <v>SSI</v>
      </c>
      <c r="Y1386" t="str">
        <f>SUBSTITUTE(Tabla1[[#This Row],[Descripción]],CHAR(10),"    I    ")</f>
        <v>Se validó campo por campo de la tabla 'SISAI_TR_GI_SEGUIMIENTO' para identificar los tipos de datos y tamaño para validación en bloque anonimo</v>
      </c>
      <c r="Z1386" s="142">
        <f>VLOOKUP(Tabla1[[#This Row],[Perfil]],Catalogos!$B$75:$D$100,3,FALSE)*Tabla1[[#This Row],[Tiempo
(Hrs 00/100)]]*1.16</f>
        <v>348</v>
      </c>
    </row>
    <row r="1387" spans="1:26" ht="15" customHeight="1" x14ac:dyDescent="0.3">
      <c r="A1387" s="560" t="s">
        <v>22</v>
      </c>
      <c r="B1387" s="560" t="s">
        <v>66</v>
      </c>
      <c r="C1387" s="561" t="s">
        <v>257</v>
      </c>
      <c r="D1387" s="560"/>
      <c r="E1387" s="560" t="s">
        <v>408</v>
      </c>
      <c r="F1387" s="560" t="s">
        <v>75</v>
      </c>
      <c r="G1387" s="560" t="s">
        <v>604</v>
      </c>
      <c r="H1387" s="592" t="s">
        <v>1979</v>
      </c>
      <c r="I1387" s="593" t="s">
        <v>1980</v>
      </c>
      <c r="J1387" s="726">
        <v>45147</v>
      </c>
      <c r="K1387" s="768">
        <v>0.5625</v>
      </c>
      <c r="L1387" s="726">
        <v>45147</v>
      </c>
      <c r="M1387" s="768">
        <v>0.60416666666666663</v>
      </c>
      <c r="N1387" s="564">
        <v>1</v>
      </c>
      <c r="O1387" s="565" t="s">
        <v>17</v>
      </c>
      <c r="P1387" s="566" t="s">
        <v>1583</v>
      </c>
      <c r="Q1387" s="805" t="s">
        <v>1441</v>
      </c>
      <c r="R1387" s="567" t="s">
        <v>95</v>
      </c>
      <c r="S1387" s="31" t="s">
        <v>273</v>
      </c>
      <c r="T1387" s="31" t="s">
        <v>273</v>
      </c>
      <c r="U1387" s="31">
        <f>IFERROR(VLOOKUP(CONCATENATE(Tabla1[[#This Row],[Severidad]]," ",Tabla1[[#This Row],[Complejidad]]),Catalogos!E$120:G$128,3,FALSE),"")</f>
        <v>64</v>
      </c>
      <c r="V1387" s="31" t="str">
        <f>IF(Tabla1[[#This Row],[Tiempo solución max (hrs)]]&lt;&gt;"",IF(Tabla1[[#This Row],[Tiempo solución max (hrs)]]&gt;=Tabla1[[#This Row],[Tiempo
(Hrs 00/100)]],"cumple","no cumple"),"")</f>
        <v>cumple</v>
      </c>
      <c r="W1387" s="376" t="s">
        <v>1814</v>
      </c>
      <c r="X1387" s="377" t="str">
        <f t="shared" si="137"/>
        <v>SSI</v>
      </c>
      <c r="Y1387" t="str">
        <f>SUBSTITUTE(Tabla1[[#This Row],[Descripción]],CHAR(10),"    I    ")</f>
        <v>Se validó el paquete-procedimiento del query 2 de la funcionalidad # 12 con el bloque anónimo correcto y se tuvo un resultado exitoso con la salida del cursor completo con el único parámetro</v>
      </c>
      <c r="Z1387" s="142">
        <f>VLOOKUP(Tabla1[[#This Row],[Perfil]],Catalogos!$B$75:$D$100,3,FALSE)*Tabla1[[#This Row],[Tiempo
(Hrs 00/100)]]*1.16</f>
        <v>696</v>
      </c>
    </row>
    <row r="1388" spans="1:26" ht="15" customHeight="1" x14ac:dyDescent="0.3">
      <c r="A1388" s="560" t="s">
        <v>22</v>
      </c>
      <c r="B1388" s="560" t="s">
        <v>65</v>
      </c>
      <c r="C1388" s="561" t="s">
        <v>257</v>
      </c>
      <c r="D1388" s="560"/>
      <c r="E1388" s="560" t="s">
        <v>408</v>
      </c>
      <c r="F1388" s="560" t="s">
        <v>73</v>
      </c>
      <c r="G1388" s="560" t="s">
        <v>604</v>
      </c>
      <c r="H1388" s="592" t="s">
        <v>1981</v>
      </c>
      <c r="I1388" s="593" t="s">
        <v>1982</v>
      </c>
      <c r="J1388" s="726">
        <v>45147</v>
      </c>
      <c r="K1388" s="768">
        <v>0.60416666666666663</v>
      </c>
      <c r="L1388" s="726">
        <v>45147</v>
      </c>
      <c r="M1388" s="768">
        <v>0.625</v>
      </c>
      <c r="N1388" s="564">
        <v>0.5</v>
      </c>
      <c r="O1388" s="565" t="s">
        <v>17</v>
      </c>
      <c r="P1388" s="566" t="s">
        <v>1583</v>
      </c>
      <c r="Q1388" s="805" t="s">
        <v>1441</v>
      </c>
      <c r="R1388" s="567" t="s">
        <v>95</v>
      </c>
      <c r="S1388" s="31" t="s">
        <v>273</v>
      </c>
      <c r="T1388" s="31" t="s">
        <v>273</v>
      </c>
      <c r="U1388" s="31">
        <f>IFERROR(VLOOKUP(CONCATENATE(Tabla1[[#This Row],[Severidad]]," ",Tabla1[[#This Row],[Complejidad]]),Catalogos!E$120:G$128,3,FALSE),"")</f>
        <v>64</v>
      </c>
      <c r="V1388" s="31" t="str">
        <f>IF(Tabla1[[#This Row],[Tiempo solución max (hrs)]]&lt;&gt;"",IF(Tabla1[[#This Row],[Tiempo solución max (hrs)]]&gt;=Tabla1[[#This Row],[Tiempo
(Hrs 00/100)]],"cumple","no cumple"),"")</f>
        <v>cumple</v>
      </c>
      <c r="W1388" s="376" t="s">
        <v>1814</v>
      </c>
      <c r="X1388" s="377" t="str">
        <f t="shared" si="137"/>
        <v>SSI</v>
      </c>
      <c r="Y1388" t="str">
        <f>SUBSTITUTE(Tabla1[[#This Row],[Descripción]],CHAR(10),"    I    ")</f>
        <v>Se actualizó documento Querys SISAI con los nombres de los procedimientos recien creados sobre el Query 2 de la Funcionalidad 12, que no se reutilizaban</v>
      </c>
      <c r="Z1388" s="142">
        <f>VLOOKUP(Tabla1[[#This Row],[Perfil]],Catalogos!$B$75:$D$100,3,FALSE)*Tabla1[[#This Row],[Tiempo
(Hrs 00/100)]]*1.16</f>
        <v>348</v>
      </c>
    </row>
    <row r="1389" spans="1:26" ht="15" customHeight="1" x14ac:dyDescent="0.3">
      <c r="A1389" s="560" t="s">
        <v>22</v>
      </c>
      <c r="B1389" s="560" t="s">
        <v>23</v>
      </c>
      <c r="C1389" s="561" t="s">
        <v>257</v>
      </c>
      <c r="D1389" s="560"/>
      <c r="E1389" s="560" t="s">
        <v>408</v>
      </c>
      <c r="F1389" s="560" t="s">
        <v>23</v>
      </c>
      <c r="G1389" s="560" t="s">
        <v>604</v>
      </c>
      <c r="H1389" s="592" t="s">
        <v>1983</v>
      </c>
      <c r="I1389" s="593" t="s">
        <v>1984</v>
      </c>
      <c r="J1389" s="726">
        <v>45147</v>
      </c>
      <c r="K1389" s="768">
        <v>0.66666666666666663</v>
      </c>
      <c r="L1389" s="726">
        <v>45147</v>
      </c>
      <c r="M1389" s="768">
        <v>0.70833333333333337</v>
      </c>
      <c r="N1389" s="564">
        <v>1</v>
      </c>
      <c r="O1389" s="565" t="s">
        <v>17</v>
      </c>
      <c r="P1389" s="566" t="s">
        <v>1583</v>
      </c>
      <c r="Q1389" s="805" t="s">
        <v>1441</v>
      </c>
      <c r="R1389" s="567" t="s">
        <v>95</v>
      </c>
      <c r="S1389" s="31" t="s">
        <v>273</v>
      </c>
      <c r="T1389" s="31" t="s">
        <v>273</v>
      </c>
      <c r="U1389" s="31">
        <f>IFERROR(VLOOKUP(CONCATENATE(Tabla1[[#This Row],[Severidad]]," ",Tabla1[[#This Row],[Complejidad]]),Catalogos!E$120:G$128,3,FALSE),"")</f>
        <v>64</v>
      </c>
      <c r="V1389" s="31" t="str">
        <f>IF(Tabla1[[#This Row],[Tiempo solución max (hrs)]]&lt;&gt;"",IF(Tabla1[[#This Row],[Tiempo solución max (hrs)]]&gt;=Tabla1[[#This Row],[Tiempo
(Hrs 00/100)]],"cumple","no cumple"),"")</f>
        <v>cumple</v>
      </c>
      <c r="W1389" s="376" t="s">
        <v>1814</v>
      </c>
      <c r="X1389" s="377" t="str">
        <f t="shared" si="137"/>
        <v>SSI</v>
      </c>
      <c r="Y1389" t="str">
        <f>SUBSTITUTE(Tabla1[[#This Row],[Descripción]],CHAR(10),"    I    ")</f>
        <v>Se creó el nuevo procedimiento 'FUNC12DASHBOARDFOLIOPENDRPTASNOTERMIDIATRANS_QF12Q3' en el paquete 'PACK_SISAI2', con el query 3 de la 12va funcionalidad que se ontiene la información si es que considera sábados el so o el og</v>
      </c>
      <c r="Z1389" s="142">
        <f>VLOOKUP(Tabla1[[#This Row],[Perfil]],Catalogos!$B$75:$D$100,3,FALSE)*Tabla1[[#This Row],[Tiempo
(Hrs 00/100)]]*1.16</f>
        <v>696</v>
      </c>
    </row>
    <row r="1390" spans="1:26" ht="15" customHeight="1" x14ac:dyDescent="0.3">
      <c r="A1390" s="560" t="s">
        <v>22</v>
      </c>
      <c r="B1390" s="560" t="s">
        <v>23</v>
      </c>
      <c r="C1390" s="561" t="s">
        <v>257</v>
      </c>
      <c r="D1390" s="560"/>
      <c r="E1390" s="560" t="s">
        <v>408</v>
      </c>
      <c r="F1390" s="560" t="s">
        <v>23</v>
      </c>
      <c r="G1390" s="560" t="s">
        <v>604</v>
      </c>
      <c r="H1390" s="592" t="s">
        <v>1985</v>
      </c>
      <c r="I1390" s="593" t="s">
        <v>1986</v>
      </c>
      <c r="J1390" s="726">
        <v>45147</v>
      </c>
      <c r="K1390" s="768">
        <v>0.70833333333333337</v>
      </c>
      <c r="L1390" s="726">
        <v>45147</v>
      </c>
      <c r="M1390" s="768">
        <v>0.72916666666666663</v>
      </c>
      <c r="N1390" s="564">
        <v>0.5</v>
      </c>
      <c r="O1390" s="565" t="s">
        <v>17</v>
      </c>
      <c r="P1390" s="566" t="s">
        <v>1583</v>
      </c>
      <c r="Q1390" s="805" t="s">
        <v>1441</v>
      </c>
      <c r="R1390" s="567" t="s">
        <v>95</v>
      </c>
      <c r="S1390" s="31" t="s">
        <v>273</v>
      </c>
      <c r="T1390" s="31" t="s">
        <v>273</v>
      </c>
      <c r="U1390" s="31">
        <f>IFERROR(VLOOKUP(CONCATENATE(Tabla1[[#This Row],[Severidad]]," ",Tabla1[[#This Row],[Complejidad]]),Catalogos!E$120:G$128,3,FALSE),"")</f>
        <v>64</v>
      </c>
      <c r="V1390" s="31" t="str">
        <f>IF(Tabla1[[#This Row],[Tiempo solución max (hrs)]]&lt;&gt;"",IF(Tabla1[[#This Row],[Tiempo solución max (hrs)]]&gt;=Tabla1[[#This Row],[Tiempo
(Hrs 00/100)]],"cumple","no cumple"),"")</f>
        <v>cumple</v>
      </c>
      <c r="W1390" s="376" t="s">
        <v>1814</v>
      </c>
      <c r="X1390" s="377" t="str">
        <f t="shared" si="137"/>
        <v>SSI</v>
      </c>
      <c r="Y1390" t="str">
        <f>SUBSTITUTE(Tabla1[[#This Row],[Descripción]],CHAR(10),"    I    ")</f>
        <v>Se validó campo por campo de las tablas 'sisai_tr_calendario_master y sisai_tr_calendario_so', del query 3, para identificar los tipos de datos y tamaño para validación en bloque anonimo</v>
      </c>
      <c r="Z1390" s="142">
        <f>VLOOKUP(Tabla1[[#This Row],[Perfil]],Catalogos!$B$75:$D$100,3,FALSE)*Tabla1[[#This Row],[Tiempo
(Hrs 00/100)]]*1.16</f>
        <v>348</v>
      </c>
    </row>
    <row r="1391" spans="1:26" ht="15" customHeight="1" x14ac:dyDescent="0.3">
      <c r="A1391" s="560" t="s">
        <v>22</v>
      </c>
      <c r="B1391" s="560" t="s">
        <v>66</v>
      </c>
      <c r="C1391" s="561" t="s">
        <v>257</v>
      </c>
      <c r="D1391" s="560"/>
      <c r="E1391" s="560" t="s">
        <v>408</v>
      </c>
      <c r="F1391" s="560" t="s">
        <v>75</v>
      </c>
      <c r="G1391" s="560" t="s">
        <v>604</v>
      </c>
      <c r="H1391" s="592" t="s">
        <v>1987</v>
      </c>
      <c r="I1391" s="593" t="s">
        <v>1988</v>
      </c>
      <c r="J1391" s="726">
        <v>45147</v>
      </c>
      <c r="K1391" s="768">
        <v>0.72916666666666663</v>
      </c>
      <c r="L1391" s="726">
        <v>45147</v>
      </c>
      <c r="M1391" s="768">
        <v>0.77083333333333337</v>
      </c>
      <c r="N1391" s="564">
        <v>1</v>
      </c>
      <c r="O1391" s="565" t="s">
        <v>17</v>
      </c>
      <c r="P1391" s="566" t="s">
        <v>1583</v>
      </c>
      <c r="Q1391" s="805" t="s">
        <v>1441</v>
      </c>
      <c r="R1391" s="567" t="s">
        <v>95</v>
      </c>
      <c r="S1391" s="31" t="s">
        <v>273</v>
      </c>
      <c r="T1391" s="31" t="s">
        <v>273</v>
      </c>
      <c r="U1391" s="31">
        <f>IFERROR(VLOOKUP(CONCATENATE(Tabla1[[#This Row],[Severidad]]," ",Tabla1[[#This Row],[Complejidad]]),Catalogos!E$120:G$128,3,FALSE),"")</f>
        <v>64</v>
      </c>
      <c r="V1391" s="31" t="str">
        <f>IF(Tabla1[[#This Row],[Tiempo solución max (hrs)]]&lt;&gt;"",IF(Tabla1[[#This Row],[Tiempo solución max (hrs)]]&gt;=Tabla1[[#This Row],[Tiempo
(Hrs 00/100)]],"cumple","no cumple"),"")</f>
        <v>cumple</v>
      </c>
      <c r="W1391" s="376" t="s">
        <v>1814</v>
      </c>
      <c r="X1391" s="377" t="str">
        <f t="shared" si="137"/>
        <v>SSI</v>
      </c>
      <c r="Y1391" t="str">
        <f>SUBSTITUTE(Tabla1[[#This Row],[Descripción]],CHAR(10),"    I    ")</f>
        <v>Se validó el paquete-procedimiento del query 3 de la funcionalidad # 12 con el bloque anónimo correcto y se tuvo un resultado exitoso con la salida del cursor completo con varios parámetros</v>
      </c>
      <c r="Z1391" s="142">
        <f>VLOOKUP(Tabla1[[#This Row],[Perfil]],Catalogos!$B$75:$D$100,3,FALSE)*Tabla1[[#This Row],[Tiempo
(Hrs 00/100)]]*1.16</f>
        <v>696</v>
      </c>
    </row>
    <row r="1392" spans="1:26" ht="15" customHeight="1" x14ac:dyDescent="0.3">
      <c r="A1392" s="560" t="s">
        <v>22</v>
      </c>
      <c r="B1392" s="560" t="s">
        <v>65</v>
      </c>
      <c r="C1392" s="561" t="s">
        <v>257</v>
      </c>
      <c r="D1392" s="560"/>
      <c r="E1392" s="560" t="s">
        <v>408</v>
      </c>
      <c r="F1392" s="560" t="s">
        <v>73</v>
      </c>
      <c r="G1392" s="560" t="s">
        <v>604</v>
      </c>
      <c r="H1392" s="592" t="s">
        <v>1989</v>
      </c>
      <c r="I1392" s="593" t="s">
        <v>1990</v>
      </c>
      <c r="J1392" s="726">
        <v>45147</v>
      </c>
      <c r="K1392" s="768">
        <v>0.77083333333333337</v>
      </c>
      <c r="L1392" s="726">
        <v>45147</v>
      </c>
      <c r="M1392" s="768">
        <v>0.79166666666666663</v>
      </c>
      <c r="N1392" s="564">
        <v>0.5</v>
      </c>
      <c r="O1392" s="565" t="s">
        <v>17</v>
      </c>
      <c r="P1392" s="566" t="s">
        <v>1583</v>
      </c>
      <c r="Q1392" s="805" t="s">
        <v>1441</v>
      </c>
      <c r="R1392" s="567" t="s">
        <v>95</v>
      </c>
      <c r="S1392" s="31" t="s">
        <v>273</v>
      </c>
      <c r="T1392" s="31" t="s">
        <v>273</v>
      </c>
      <c r="U1392" s="31">
        <f>IFERROR(VLOOKUP(CONCATENATE(Tabla1[[#This Row],[Severidad]]," ",Tabla1[[#This Row],[Complejidad]]),Catalogos!E$120:G$128,3,FALSE),"")</f>
        <v>64</v>
      </c>
      <c r="V1392" s="31" t="str">
        <f>IF(Tabla1[[#This Row],[Tiempo solución max (hrs)]]&lt;&gt;"",IF(Tabla1[[#This Row],[Tiempo solución max (hrs)]]&gt;=Tabla1[[#This Row],[Tiempo
(Hrs 00/100)]],"cumple","no cumple"),"")</f>
        <v>cumple</v>
      </c>
      <c r="W1392" s="376" t="s">
        <v>1814</v>
      </c>
      <c r="X1392" s="377" t="str">
        <f t="shared" si="137"/>
        <v>SSI</v>
      </c>
      <c r="Y1392" t="str">
        <f>SUBSTITUTE(Tabla1[[#This Row],[Descripción]],CHAR(10),"    I    ")</f>
        <v>Se actualizó documento Querys SISAI con los nombres de los procedimientos recien creados sobre el Query 3 de la Funcionalidad 12, que no se reutilizaban</v>
      </c>
      <c r="Z1392" s="142">
        <f>VLOOKUP(Tabla1[[#This Row],[Perfil]],Catalogos!$B$75:$D$100,3,FALSE)*Tabla1[[#This Row],[Tiempo
(Hrs 00/100)]]*1.16</f>
        <v>348</v>
      </c>
    </row>
    <row r="1393" spans="1:26" ht="15" customHeight="1" x14ac:dyDescent="0.3">
      <c r="A1393" s="560" t="s">
        <v>22</v>
      </c>
      <c r="B1393" s="560" t="s">
        <v>23</v>
      </c>
      <c r="C1393" s="561" t="s">
        <v>257</v>
      </c>
      <c r="D1393" s="560"/>
      <c r="E1393" s="560" t="s">
        <v>408</v>
      </c>
      <c r="F1393" s="560" t="s">
        <v>23</v>
      </c>
      <c r="G1393" s="560" t="s">
        <v>604</v>
      </c>
      <c r="H1393" s="592" t="s">
        <v>1991</v>
      </c>
      <c r="I1393" s="593" t="s">
        <v>1992</v>
      </c>
      <c r="J1393" s="726">
        <v>45147</v>
      </c>
      <c r="K1393" s="768">
        <v>0.79166666666666663</v>
      </c>
      <c r="L1393" s="726">
        <v>45147</v>
      </c>
      <c r="M1393" s="768">
        <v>0.83333333333333337</v>
      </c>
      <c r="N1393" s="564">
        <v>1</v>
      </c>
      <c r="O1393" s="565" t="s">
        <v>17</v>
      </c>
      <c r="P1393" s="566" t="s">
        <v>1583</v>
      </c>
      <c r="Q1393" s="805" t="s">
        <v>1441</v>
      </c>
      <c r="R1393" s="567" t="s">
        <v>95</v>
      </c>
      <c r="S1393" s="31" t="s">
        <v>273</v>
      </c>
      <c r="T1393" s="31" t="s">
        <v>273</v>
      </c>
      <c r="U1393" s="31">
        <f>IFERROR(VLOOKUP(CONCATENATE(Tabla1[[#This Row],[Severidad]]," ",Tabla1[[#This Row],[Complejidad]]),Catalogos!E$120:G$128,3,FALSE),"")</f>
        <v>64</v>
      </c>
      <c r="V1393" s="31" t="str">
        <f>IF(Tabla1[[#This Row],[Tiempo solución max (hrs)]]&lt;&gt;"",IF(Tabla1[[#This Row],[Tiempo solución max (hrs)]]&gt;=Tabla1[[#This Row],[Tiempo
(Hrs 00/100)]],"cumple","no cumple"),"")</f>
        <v>cumple</v>
      </c>
      <c r="W1393" s="376" t="s">
        <v>1814</v>
      </c>
      <c r="X1393" s="377" t="str">
        <f t="shared" si="137"/>
        <v>SSI</v>
      </c>
      <c r="Y1393" t="str">
        <f>SUBSTITUTE(Tabla1[[#This Row],[Descripción]],CHAR(10),"    I    ")</f>
        <v>Se creó el nuevo procedimiento 'FUNC12DASHBOARDFOLIOPENDRPTASLTADIAINHABIL_QF12Q4' en el paquete 'PACK_SISAI2', con el query 4 de la 12va funcionalidad que se obtiene la lista de días inhábiles por so o por og</v>
      </c>
      <c r="Z1393" s="142">
        <f>VLOOKUP(Tabla1[[#This Row],[Perfil]],Catalogos!$B$75:$D$100,3,FALSE)*Tabla1[[#This Row],[Tiempo
(Hrs 00/100)]]*1.16</f>
        <v>696</v>
      </c>
    </row>
    <row r="1394" spans="1:26" ht="15" customHeight="1" x14ac:dyDescent="0.3">
      <c r="A1394" s="560" t="s">
        <v>22</v>
      </c>
      <c r="B1394" s="560" t="s">
        <v>23</v>
      </c>
      <c r="C1394" s="561" t="s">
        <v>257</v>
      </c>
      <c r="D1394" s="560"/>
      <c r="E1394" s="560" t="s">
        <v>408</v>
      </c>
      <c r="F1394" s="560" t="s">
        <v>23</v>
      </c>
      <c r="G1394" s="560" t="s">
        <v>604</v>
      </c>
      <c r="H1394" s="592" t="s">
        <v>1993</v>
      </c>
      <c r="I1394" s="593" t="s">
        <v>1994</v>
      </c>
      <c r="J1394" s="726">
        <v>45147</v>
      </c>
      <c r="K1394" s="768">
        <v>0.83333333333333337</v>
      </c>
      <c r="L1394" s="726">
        <v>45147</v>
      </c>
      <c r="M1394" s="768">
        <v>0.85416666666666663</v>
      </c>
      <c r="N1394" s="564">
        <v>0.5</v>
      </c>
      <c r="O1394" s="565" t="s">
        <v>17</v>
      </c>
      <c r="P1394" s="566" t="s">
        <v>1583</v>
      </c>
      <c r="Q1394" s="805" t="s">
        <v>1441</v>
      </c>
      <c r="R1394" s="567" t="s">
        <v>95</v>
      </c>
      <c r="S1394" s="31" t="s">
        <v>273</v>
      </c>
      <c r="T1394" s="31" t="s">
        <v>273</v>
      </c>
      <c r="U1394" s="31">
        <f>IFERROR(VLOOKUP(CONCATENATE(Tabla1[[#This Row],[Severidad]]," ",Tabla1[[#This Row],[Complejidad]]),Catalogos!E$120:G$128,3,FALSE),"")</f>
        <v>64</v>
      </c>
      <c r="V1394" s="31" t="str">
        <f>IF(Tabla1[[#This Row],[Tiempo solución max (hrs)]]&lt;&gt;"",IF(Tabla1[[#This Row],[Tiempo solución max (hrs)]]&gt;=Tabla1[[#This Row],[Tiempo
(Hrs 00/100)]],"cumple","no cumple"),"")</f>
        <v>cumple</v>
      </c>
      <c r="W1394" s="376" t="s">
        <v>1814</v>
      </c>
      <c r="X1394" s="377" t="str">
        <f t="shared" si="137"/>
        <v>SSI</v>
      </c>
      <c r="Y1394" t="str">
        <f>SUBSTITUTE(Tabla1[[#This Row],[Descripción]],CHAR(10),"    I    ")</f>
        <v>Se validó campo por campo de las tablas del query 4, para identificar los tipos de datos y tamaño para validación en bloque anonimo</v>
      </c>
      <c r="Z1394" s="142">
        <f>VLOOKUP(Tabla1[[#This Row],[Perfil]],Catalogos!$B$75:$D$100,3,FALSE)*Tabla1[[#This Row],[Tiempo
(Hrs 00/100)]]*1.16</f>
        <v>348</v>
      </c>
    </row>
    <row r="1395" spans="1:26" ht="15" customHeight="1" x14ac:dyDescent="0.3">
      <c r="A1395" s="560" t="s">
        <v>22</v>
      </c>
      <c r="B1395" s="560" t="s">
        <v>66</v>
      </c>
      <c r="C1395" s="561" t="s">
        <v>257</v>
      </c>
      <c r="D1395" s="560"/>
      <c r="E1395" s="560" t="s">
        <v>408</v>
      </c>
      <c r="F1395" s="560" t="s">
        <v>75</v>
      </c>
      <c r="G1395" s="560" t="s">
        <v>604</v>
      </c>
      <c r="H1395" s="592" t="s">
        <v>1995</v>
      </c>
      <c r="I1395" s="593" t="s">
        <v>1996</v>
      </c>
      <c r="J1395" s="726">
        <v>45148</v>
      </c>
      <c r="K1395" s="768">
        <v>0.375</v>
      </c>
      <c r="L1395" s="726">
        <v>45148</v>
      </c>
      <c r="M1395" s="768">
        <v>0.41666666666666669</v>
      </c>
      <c r="N1395" s="564">
        <v>1</v>
      </c>
      <c r="O1395" s="565" t="s">
        <v>17</v>
      </c>
      <c r="P1395" s="566" t="s">
        <v>1583</v>
      </c>
      <c r="Q1395" s="805" t="s">
        <v>1441</v>
      </c>
      <c r="R1395" s="567" t="s">
        <v>95</v>
      </c>
      <c r="S1395" s="31" t="s">
        <v>273</v>
      </c>
      <c r="T1395" s="31" t="s">
        <v>273</v>
      </c>
      <c r="U1395" s="31">
        <f>IFERROR(VLOOKUP(CONCATENATE(Tabla1[[#This Row],[Severidad]]," ",Tabla1[[#This Row],[Complejidad]]),Catalogos!E$120:G$128,3,FALSE),"")</f>
        <v>64</v>
      </c>
      <c r="V1395" s="31" t="str">
        <f>IF(Tabla1[[#This Row],[Tiempo solución max (hrs)]]&lt;&gt;"",IF(Tabla1[[#This Row],[Tiempo solución max (hrs)]]&gt;=Tabla1[[#This Row],[Tiempo
(Hrs 00/100)]],"cumple","no cumple"),"")</f>
        <v>cumple</v>
      </c>
      <c r="W1395" s="376" t="s">
        <v>1814</v>
      </c>
      <c r="X1395" s="377" t="str">
        <f t="shared" si="137"/>
        <v>SSI</v>
      </c>
      <c r="Y1395" t="str">
        <f>SUBSTITUTE(Tabla1[[#This Row],[Descripción]],CHAR(10),"    I    ")</f>
        <v>Se validó el paquete-procedimiento del query 4 de la funcionalidad # 12 con el bloque anónimo correcto y se tuvo un resultado exitoso con la salida del cursor completo con un único parámetro</v>
      </c>
      <c r="Z1395" s="142">
        <f>VLOOKUP(Tabla1[[#This Row],[Perfil]],Catalogos!$B$75:$D$100,3,FALSE)*Tabla1[[#This Row],[Tiempo
(Hrs 00/100)]]*1.16</f>
        <v>696</v>
      </c>
    </row>
    <row r="1396" spans="1:26" ht="15" customHeight="1" x14ac:dyDescent="0.3">
      <c r="A1396" s="560" t="s">
        <v>22</v>
      </c>
      <c r="B1396" s="560" t="s">
        <v>65</v>
      </c>
      <c r="C1396" s="561" t="s">
        <v>257</v>
      </c>
      <c r="D1396" s="560"/>
      <c r="E1396" s="560" t="s">
        <v>408</v>
      </c>
      <c r="F1396" s="560" t="s">
        <v>73</v>
      </c>
      <c r="G1396" s="560" t="s">
        <v>604</v>
      </c>
      <c r="H1396" s="592" t="s">
        <v>1997</v>
      </c>
      <c r="I1396" s="593" t="s">
        <v>1998</v>
      </c>
      <c r="J1396" s="726">
        <v>45148</v>
      </c>
      <c r="K1396" s="768">
        <v>0.41666666666666669</v>
      </c>
      <c r="L1396" s="726">
        <v>45148</v>
      </c>
      <c r="M1396" s="768">
        <v>0.4375</v>
      </c>
      <c r="N1396" s="564">
        <v>0.5</v>
      </c>
      <c r="O1396" s="565" t="s">
        <v>17</v>
      </c>
      <c r="P1396" s="566" t="s">
        <v>1583</v>
      </c>
      <c r="Q1396" s="805" t="s">
        <v>1441</v>
      </c>
      <c r="R1396" s="567" t="s">
        <v>95</v>
      </c>
      <c r="S1396" s="31" t="s">
        <v>273</v>
      </c>
      <c r="T1396" s="31" t="s">
        <v>273</v>
      </c>
      <c r="U1396" s="31">
        <f>IFERROR(VLOOKUP(CONCATENATE(Tabla1[[#This Row],[Severidad]]," ",Tabla1[[#This Row],[Complejidad]]),Catalogos!E$120:G$128,3,FALSE),"")</f>
        <v>64</v>
      </c>
      <c r="V1396" s="31" t="str">
        <f>IF(Tabla1[[#This Row],[Tiempo solución max (hrs)]]&lt;&gt;"",IF(Tabla1[[#This Row],[Tiempo solución max (hrs)]]&gt;=Tabla1[[#This Row],[Tiempo
(Hrs 00/100)]],"cumple","no cumple"),"")</f>
        <v>cumple</v>
      </c>
      <c r="W1396" s="376" t="s">
        <v>1814</v>
      </c>
      <c r="X1396" s="377" t="str">
        <f t="shared" si="137"/>
        <v>SSI</v>
      </c>
      <c r="Y1396" t="str">
        <f>SUBSTITUTE(Tabla1[[#This Row],[Descripción]],CHAR(10),"    I    ")</f>
        <v>Se actualizó documento Querys SISAI con los nombres de los procedimientos recien creados sobre el Query 4 de la Funcionalidad 12, que no se reutilizaban</v>
      </c>
      <c r="Z1396" s="142">
        <f>VLOOKUP(Tabla1[[#This Row],[Perfil]],Catalogos!$B$75:$D$100,3,FALSE)*Tabla1[[#This Row],[Tiempo
(Hrs 00/100)]]*1.16</f>
        <v>348</v>
      </c>
    </row>
    <row r="1397" spans="1:26" ht="15" customHeight="1" x14ac:dyDescent="0.3">
      <c r="A1397" s="560" t="s">
        <v>22</v>
      </c>
      <c r="B1397" s="560" t="s">
        <v>23</v>
      </c>
      <c r="C1397" s="561" t="s">
        <v>257</v>
      </c>
      <c r="D1397" s="560"/>
      <c r="E1397" s="560" t="s">
        <v>408</v>
      </c>
      <c r="F1397" s="560" t="s">
        <v>23</v>
      </c>
      <c r="G1397" s="560" t="s">
        <v>604</v>
      </c>
      <c r="H1397" s="592" t="s">
        <v>1999</v>
      </c>
      <c r="I1397" s="593" t="s">
        <v>2000</v>
      </c>
      <c r="J1397" s="726">
        <v>45148</v>
      </c>
      <c r="K1397" s="768">
        <v>0.4375</v>
      </c>
      <c r="L1397" s="726">
        <v>45148</v>
      </c>
      <c r="M1397" s="768">
        <v>0.47916666666666669</v>
      </c>
      <c r="N1397" s="564">
        <v>1</v>
      </c>
      <c r="O1397" s="565" t="s">
        <v>17</v>
      </c>
      <c r="P1397" s="566" t="s">
        <v>1583</v>
      </c>
      <c r="Q1397" s="805" t="s">
        <v>1441</v>
      </c>
      <c r="R1397" s="567" t="s">
        <v>95</v>
      </c>
      <c r="S1397" s="31" t="s">
        <v>273</v>
      </c>
      <c r="T1397" s="31" t="s">
        <v>273</v>
      </c>
      <c r="U1397" s="31">
        <f>IFERROR(VLOOKUP(CONCATENATE(Tabla1[[#This Row],[Severidad]]," ",Tabla1[[#This Row],[Complejidad]]),Catalogos!E$120:G$128,3,FALSE),"")</f>
        <v>64</v>
      </c>
      <c r="V1397" s="31" t="str">
        <f>IF(Tabla1[[#This Row],[Tiempo solución max (hrs)]]&lt;&gt;"",IF(Tabla1[[#This Row],[Tiempo solución max (hrs)]]&gt;=Tabla1[[#This Row],[Tiempo
(Hrs 00/100)]],"cumple","no cumple"),"")</f>
        <v>cumple</v>
      </c>
      <c r="W1397" s="376" t="s">
        <v>1814</v>
      </c>
      <c r="X1397" s="377" t="str">
        <f t="shared" si="137"/>
        <v>SSI</v>
      </c>
      <c r="Y1397" t="str">
        <f>SUBSTITUTE(Tabla1[[#This Row],[Descripción]],CHAR(10),"    I    ")</f>
        <v>Se revisó el Query 1 de la Funcionalidad 13, para obtener las solicitudes en gestión interna por solicitud dependencia y se encontro reutilización ('FUNC7DETSOLDASHUTGI_SOLGIXSOLDEPEN_QF7Q4')</v>
      </c>
      <c r="Z1397" s="142">
        <f>VLOOKUP(Tabla1[[#This Row],[Perfil]],Catalogos!$B$75:$D$100,3,FALSE)*Tabla1[[#This Row],[Tiempo
(Hrs 00/100)]]*1.16</f>
        <v>696</v>
      </c>
    </row>
    <row r="1398" spans="1:26" ht="15" customHeight="1" x14ac:dyDescent="0.3">
      <c r="A1398" s="560" t="s">
        <v>22</v>
      </c>
      <c r="B1398" s="560" t="s">
        <v>65</v>
      </c>
      <c r="C1398" s="561" t="s">
        <v>257</v>
      </c>
      <c r="D1398" s="560"/>
      <c r="E1398" s="560" t="s">
        <v>408</v>
      </c>
      <c r="F1398" s="560" t="s">
        <v>73</v>
      </c>
      <c r="G1398" s="560" t="s">
        <v>604</v>
      </c>
      <c r="H1398" s="592" t="s">
        <v>2001</v>
      </c>
      <c r="I1398" s="593" t="s">
        <v>2001</v>
      </c>
      <c r="J1398" s="726">
        <v>45148</v>
      </c>
      <c r="K1398" s="768">
        <v>0.47916666666666669</v>
      </c>
      <c r="L1398" s="726">
        <v>45148</v>
      </c>
      <c r="M1398" s="768">
        <v>0.5</v>
      </c>
      <c r="N1398" s="564">
        <v>0.5</v>
      </c>
      <c r="O1398" s="565" t="s">
        <v>17</v>
      </c>
      <c r="P1398" s="566" t="s">
        <v>1583</v>
      </c>
      <c r="Q1398" s="805" t="s">
        <v>1441</v>
      </c>
      <c r="R1398" s="567" t="s">
        <v>95</v>
      </c>
      <c r="S1398" s="31" t="s">
        <v>273</v>
      </c>
      <c r="T1398" s="31" t="s">
        <v>273</v>
      </c>
      <c r="U1398" s="31">
        <f>IFERROR(VLOOKUP(CONCATENATE(Tabla1[[#This Row],[Severidad]]," ",Tabla1[[#This Row],[Complejidad]]),Catalogos!E$120:G$128,3,FALSE),"")</f>
        <v>64</v>
      </c>
      <c r="V1398" s="31" t="str">
        <f>IF(Tabla1[[#This Row],[Tiempo solución max (hrs)]]&lt;&gt;"",IF(Tabla1[[#This Row],[Tiempo solución max (hrs)]]&gt;=Tabla1[[#This Row],[Tiempo
(Hrs 00/100)]],"cumple","no cumple"),"")</f>
        <v>cumple</v>
      </c>
      <c r="W1398" s="376" t="s">
        <v>1814</v>
      </c>
      <c r="X1398" s="377" t="str">
        <f t="shared" si="137"/>
        <v>SSI</v>
      </c>
      <c r="Y1398" t="str">
        <f>SUBSTITUTE(Tabla1[[#This Row],[Descripción]],CHAR(10),"    I    ")</f>
        <v>Se actualizó documento Querys SISAI con el detalle encontrado en el Query 1 - Funcionalidad 13</v>
      </c>
      <c r="Z1398" s="142">
        <f>VLOOKUP(Tabla1[[#This Row],[Perfil]],Catalogos!$B$75:$D$100,3,FALSE)*Tabla1[[#This Row],[Tiempo
(Hrs 00/100)]]*1.16</f>
        <v>348</v>
      </c>
    </row>
    <row r="1399" spans="1:26" ht="15" customHeight="1" x14ac:dyDescent="0.3">
      <c r="A1399" s="560" t="s">
        <v>22</v>
      </c>
      <c r="B1399" s="560" t="s">
        <v>23</v>
      </c>
      <c r="C1399" s="561" t="s">
        <v>257</v>
      </c>
      <c r="D1399" s="560"/>
      <c r="E1399" s="560" t="s">
        <v>408</v>
      </c>
      <c r="F1399" s="560" t="s">
        <v>23</v>
      </c>
      <c r="G1399" s="560" t="s">
        <v>604</v>
      </c>
      <c r="H1399" s="592" t="s">
        <v>2002</v>
      </c>
      <c r="I1399" s="593" t="s">
        <v>2003</v>
      </c>
      <c r="J1399" s="726">
        <v>45148</v>
      </c>
      <c r="K1399" s="768">
        <v>0.5</v>
      </c>
      <c r="L1399" s="726">
        <v>45148</v>
      </c>
      <c r="M1399" s="768">
        <v>0.54166666666666663</v>
      </c>
      <c r="N1399" s="564">
        <v>1</v>
      </c>
      <c r="O1399" s="565" t="s">
        <v>17</v>
      </c>
      <c r="P1399" s="566" t="s">
        <v>1583</v>
      </c>
      <c r="Q1399" s="805" t="s">
        <v>1441</v>
      </c>
      <c r="R1399" s="567" t="s">
        <v>95</v>
      </c>
      <c r="S1399" s="31" t="s">
        <v>273</v>
      </c>
      <c r="T1399" s="31" t="s">
        <v>273</v>
      </c>
      <c r="U1399" s="31">
        <f>IFERROR(VLOOKUP(CONCATENATE(Tabla1[[#This Row],[Severidad]]," ",Tabla1[[#This Row],[Complejidad]]),Catalogos!E$120:G$128,3,FALSE),"")</f>
        <v>64</v>
      </c>
      <c r="V1399" s="31" t="str">
        <f>IF(Tabla1[[#This Row],[Tiempo solución max (hrs)]]&lt;&gt;"",IF(Tabla1[[#This Row],[Tiempo solución max (hrs)]]&gt;=Tabla1[[#This Row],[Tiempo
(Hrs 00/100)]],"cumple","no cumple"),"")</f>
        <v>cumple</v>
      </c>
      <c r="W1399" s="376" t="s">
        <v>1814</v>
      </c>
      <c r="X1399" s="377" t="str">
        <f t="shared" si="137"/>
        <v>SSI</v>
      </c>
      <c r="Y1399" t="str">
        <f>SUBSTITUTE(Tabla1[[#This Row],[Descripción]],CHAR(10),"    I    ")</f>
        <v>Se revisó el Query 2 de la Funcionalidad 13, para obtener el seguimiento de cada subfolio de gestión interna y se encontro reutilización ('FUNC12DASHBOARDFOLIOPENDRPTASEFOLCOMTRANSPA_QF12Q2')</v>
      </c>
      <c r="Z1399" s="142">
        <f>VLOOKUP(Tabla1[[#This Row],[Perfil]],Catalogos!$B$75:$D$100,3,FALSE)*Tabla1[[#This Row],[Tiempo
(Hrs 00/100)]]*1.16</f>
        <v>696</v>
      </c>
    </row>
    <row r="1400" spans="1:26" ht="15" customHeight="1" x14ac:dyDescent="0.3">
      <c r="A1400" s="560" t="s">
        <v>22</v>
      </c>
      <c r="B1400" s="560" t="s">
        <v>65</v>
      </c>
      <c r="C1400" s="561" t="s">
        <v>257</v>
      </c>
      <c r="D1400" s="560"/>
      <c r="E1400" s="560" t="s">
        <v>408</v>
      </c>
      <c r="F1400" s="560" t="s">
        <v>73</v>
      </c>
      <c r="G1400" s="560" t="s">
        <v>604</v>
      </c>
      <c r="H1400" s="592" t="s">
        <v>2004</v>
      </c>
      <c r="I1400" s="593" t="s">
        <v>2004</v>
      </c>
      <c r="J1400" s="726">
        <v>45148</v>
      </c>
      <c r="K1400" s="768">
        <v>0.54166666666666663</v>
      </c>
      <c r="L1400" s="726">
        <v>45148</v>
      </c>
      <c r="M1400" s="768">
        <v>0.5625</v>
      </c>
      <c r="N1400" s="564">
        <v>0.5</v>
      </c>
      <c r="O1400" s="565" t="s">
        <v>17</v>
      </c>
      <c r="P1400" s="566" t="s">
        <v>1583</v>
      </c>
      <c r="Q1400" s="805" t="s">
        <v>1441</v>
      </c>
      <c r="R1400" s="567" t="s">
        <v>95</v>
      </c>
      <c r="S1400" s="31" t="s">
        <v>273</v>
      </c>
      <c r="T1400" s="31" t="s">
        <v>273</v>
      </c>
      <c r="U1400" s="31">
        <f>IFERROR(VLOOKUP(CONCATENATE(Tabla1[[#This Row],[Severidad]]," ",Tabla1[[#This Row],[Complejidad]]),Catalogos!E$120:G$128,3,FALSE),"")</f>
        <v>64</v>
      </c>
      <c r="V1400" s="31" t="str">
        <f>IF(Tabla1[[#This Row],[Tiempo solución max (hrs)]]&lt;&gt;"",IF(Tabla1[[#This Row],[Tiempo solución max (hrs)]]&gt;=Tabla1[[#This Row],[Tiempo
(Hrs 00/100)]],"cumple","no cumple"),"")</f>
        <v>cumple</v>
      </c>
      <c r="W1400" s="376" t="s">
        <v>1814</v>
      </c>
      <c r="X1400" s="377" t="str">
        <f t="shared" si="137"/>
        <v>SSI</v>
      </c>
      <c r="Y1400" t="str">
        <f>SUBSTITUTE(Tabla1[[#This Row],[Descripción]],CHAR(10),"    I    ")</f>
        <v>Se actualizó documento Querys SISAI con el detalle encontrado en el Query 2 - Funcionalidad 13</v>
      </c>
      <c r="Z1400" s="142">
        <f>VLOOKUP(Tabla1[[#This Row],[Perfil]],Catalogos!$B$75:$D$100,3,FALSE)*Tabla1[[#This Row],[Tiempo
(Hrs 00/100)]]*1.16</f>
        <v>348</v>
      </c>
    </row>
    <row r="1401" spans="1:26" ht="15" customHeight="1" x14ac:dyDescent="0.3">
      <c r="A1401" s="560" t="s">
        <v>22</v>
      </c>
      <c r="B1401" s="560" t="s">
        <v>23</v>
      </c>
      <c r="C1401" s="561" t="s">
        <v>257</v>
      </c>
      <c r="D1401" s="560"/>
      <c r="E1401" s="560" t="s">
        <v>408</v>
      </c>
      <c r="F1401" s="560" t="s">
        <v>23</v>
      </c>
      <c r="G1401" s="560" t="s">
        <v>604</v>
      </c>
      <c r="H1401" s="592" t="s">
        <v>2005</v>
      </c>
      <c r="I1401" s="593" t="s">
        <v>2006</v>
      </c>
      <c r="J1401" s="726">
        <v>45148</v>
      </c>
      <c r="K1401" s="768">
        <v>0.5625</v>
      </c>
      <c r="L1401" s="726">
        <v>45148</v>
      </c>
      <c r="M1401" s="768">
        <v>0.60416666666666663</v>
      </c>
      <c r="N1401" s="564">
        <v>1</v>
      </c>
      <c r="O1401" s="565" t="s">
        <v>17</v>
      </c>
      <c r="P1401" s="566" t="s">
        <v>1583</v>
      </c>
      <c r="Q1401" s="805" t="s">
        <v>1441</v>
      </c>
      <c r="R1401" s="567" t="s">
        <v>95</v>
      </c>
      <c r="S1401" s="31" t="s">
        <v>273</v>
      </c>
      <c r="T1401" s="31" t="s">
        <v>273</v>
      </c>
      <c r="U1401" s="31">
        <f>IFERROR(VLOOKUP(CONCATENATE(Tabla1[[#This Row],[Severidad]]," ",Tabla1[[#This Row],[Complejidad]]),Catalogos!E$120:G$128,3,FALSE),"")</f>
        <v>64</v>
      </c>
      <c r="V1401" s="31" t="str">
        <f>IF(Tabla1[[#This Row],[Tiempo solución max (hrs)]]&lt;&gt;"",IF(Tabla1[[#This Row],[Tiempo solución max (hrs)]]&gt;=Tabla1[[#This Row],[Tiempo
(Hrs 00/100)]],"cumple","no cumple"),"")</f>
        <v>cumple</v>
      </c>
      <c r="W1401" s="376" t="s">
        <v>1814</v>
      </c>
      <c r="X1401" s="377" t="str">
        <f t="shared" si="137"/>
        <v>SSI</v>
      </c>
      <c r="Y1401" t="str">
        <f>SUBSTITUTE(Tabla1[[#This Row],[Descripción]],CHAR(10),"    I    ")</f>
        <v>Se creó el nuevo procedimiento 'FUNC13OBTSEGUISUBFOUNIADXFLUJOSEGSUBFL_QF13Q3' en el paquete 'PACK_SISAI2', con el query 3 de la 13va funcionalidad que se obtiene los adjuntos de cada flujo del seguimiento del subfolio</v>
      </c>
      <c r="Z1401" s="142">
        <f>VLOOKUP(Tabla1[[#This Row],[Perfil]],Catalogos!$B$75:$D$100,3,FALSE)*Tabla1[[#This Row],[Tiempo
(Hrs 00/100)]]*1.16</f>
        <v>696</v>
      </c>
    </row>
    <row r="1402" spans="1:26" ht="15" customHeight="1" x14ac:dyDescent="0.3">
      <c r="A1402" s="560" t="s">
        <v>22</v>
      </c>
      <c r="B1402" s="560" t="s">
        <v>23</v>
      </c>
      <c r="C1402" s="561" t="s">
        <v>257</v>
      </c>
      <c r="D1402" s="560"/>
      <c r="E1402" s="560" t="s">
        <v>408</v>
      </c>
      <c r="F1402" s="560" t="s">
        <v>23</v>
      </c>
      <c r="G1402" s="560" t="s">
        <v>604</v>
      </c>
      <c r="H1402" s="592" t="s">
        <v>2007</v>
      </c>
      <c r="I1402" s="593" t="s">
        <v>1858</v>
      </c>
      <c r="J1402" s="726">
        <v>45148</v>
      </c>
      <c r="K1402" s="768">
        <v>0.60416666666666663</v>
      </c>
      <c r="L1402" s="726">
        <v>45148</v>
      </c>
      <c r="M1402" s="768">
        <v>0.625</v>
      </c>
      <c r="N1402" s="564">
        <v>0.5</v>
      </c>
      <c r="O1402" s="565" t="s">
        <v>17</v>
      </c>
      <c r="P1402" s="566" t="s">
        <v>1583</v>
      </c>
      <c r="Q1402" s="805" t="s">
        <v>1441</v>
      </c>
      <c r="R1402" s="567" t="s">
        <v>95</v>
      </c>
      <c r="S1402" s="31" t="s">
        <v>273</v>
      </c>
      <c r="T1402" s="31" t="s">
        <v>273</v>
      </c>
      <c r="U1402" s="31">
        <f>IFERROR(VLOOKUP(CONCATENATE(Tabla1[[#This Row],[Severidad]]," ",Tabla1[[#This Row],[Complejidad]]),Catalogos!E$120:G$128,3,FALSE),"")</f>
        <v>64</v>
      </c>
      <c r="V1402" s="31" t="str">
        <f>IF(Tabla1[[#This Row],[Tiempo solución max (hrs)]]&lt;&gt;"",IF(Tabla1[[#This Row],[Tiempo solución max (hrs)]]&gt;=Tabla1[[#This Row],[Tiempo
(Hrs 00/100)]],"cumple","no cumple"),"")</f>
        <v>cumple</v>
      </c>
      <c r="W1402" s="376" t="s">
        <v>1814</v>
      </c>
      <c r="X1402" s="377" t="str">
        <f t="shared" si="137"/>
        <v>SSI</v>
      </c>
      <c r="Y1402" t="str">
        <f>SUBSTITUTE(Tabla1[[#This Row],[Descripción]],CHAR(10),"    I    ")</f>
        <v>Se validó campo por campo de la tabla 'SISAI_TR_ADJUNTOS' para identificar los tipos de datos y tamaño para validación en bloque anonimo</v>
      </c>
      <c r="Z1402" s="142">
        <f>VLOOKUP(Tabla1[[#This Row],[Perfil]],Catalogos!$B$75:$D$100,3,FALSE)*Tabla1[[#This Row],[Tiempo
(Hrs 00/100)]]*1.16</f>
        <v>348</v>
      </c>
    </row>
    <row r="1403" spans="1:26" ht="15" customHeight="1" x14ac:dyDescent="0.3">
      <c r="A1403" s="373" t="s">
        <v>22</v>
      </c>
      <c r="B1403" s="184" t="s">
        <v>66</v>
      </c>
      <c r="C1403" s="183" t="s">
        <v>257</v>
      </c>
      <c r="D1403" s="179"/>
      <c r="E1403" s="373" t="s">
        <v>408</v>
      </c>
      <c r="F1403" s="373" t="s">
        <v>75</v>
      </c>
      <c r="G1403" s="370" t="s">
        <v>604</v>
      </c>
      <c r="H1403" s="461" t="s">
        <v>2008</v>
      </c>
      <c r="I1403" s="538" t="s">
        <v>2009</v>
      </c>
      <c r="J1403" s="594">
        <v>45148</v>
      </c>
      <c r="K1403" s="595">
        <v>0.66666666666666663</v>
      </c>
      <c r="L1403" s="594">
        <v>45148</v>
      </c>
      <c r="M1403" s="595">
        <v>0.70833333333333337</v>
      </c>
      <c r="N1403" s="373">
        <v>1</v>
      </c>
      <c r="O1403" s="184" t="s">
        <v>17</v>
      </c>
      <c r="P1403" s="401" t="s">
        <v>1583</v>
      </c>
      <c r="Q1403" s="746" t="s">
        <v>1441</v>
      </c>
      <c r="R1403" s="171" t="s">
        <v>95</v>
      </c>
      <c r="S1403" s="31" t="s">
        <v>273</v>
      </c>
      <c r="T1403" s="31" t="s">
        <v>273</v>
      </c>
      <c r="U1403" s="31">
        <f>IFERROR(VLOOKUP(CONCATENATE(Tabla1[[#This Row],[Severidad]]," ",Tabla1[[#This Row],[Complejidad]]),Catalogos!E$120:G$128,3,FALSE),"")</f>
        <v>64</v>
      </c>
      <c r="V1403" s="31" t="str">
        <f>IF(Tabla1[[#This Row],[Tiempo solución max (hrs)]]&lt;&gt;"",IF(Tabla1[[#This Row],[Tiempo solución max (hrs)]]&gt;=Tabla1[[#This Row],[Tiempo
(Hrs 00/100)]],"cumple","no cumple"),"")</f>
        <v>cumple</v>
      </c>
      <c r="W1403" s="376" t="s">
        <v>1814</v>
      </c>
      <c r="X1403" s="463" t="str">
        <f t="shared" si="137"/>
        <v>SSI</v>
      </c>
      <c r="Y1403" s="459" t="str">
        <f>SUBSTITUTE(Tabla1[[#This Row],[Descripción]],CHAR(10),"    I    ")</f>
        <v>Se validó el paquete-procedimiento del query 3 de la funcionalidad # 13 con el bloque anónimo correcto y se tuvo un resultado exitoso con la salida del cursor completo con un único parámetro</v>
      </c>
      <c r="Z1403" s="464">
        <f>VLOOKUP(Tabla1[[#This Row],[Perfil]],Catalogos!$B$75:$D$100,3,FALSE)*Tabla1[[#This Row],[Tiempo
(Hrs 00/100)]]*1.16</f>
        <v>696</v>
      </c>
    </row>
    <row r="1404" spans="1:26" ht="15" customHeight="1" x14ac:dyDescent="0.3">
      <c r="A1404" s="373" t="s">
        <v>22</v>
      </c>
      <c r="B1404" s="184" t="s">
        <v>65</v>
      </c>
      <c r="C1404" s="183" t="s">
        <v>257</v>
      </c>
      <c r="D1404" s="179"/>
      <c r="E1404" s="373" t="s">
        <v>408</v>
      </c>
      <c r="F1404" s="373" t="s">
        <v>73</v>
      </c>
      <c r="G1404" s="370" t="s">
        <v>604</v>
      </c>
      <c r="H1404" s="461" t="s">
        <v>2010</v>
      </c>
      <c r="I1404" s="538" t="s">
        <v>2011</v>
      </c>
      <c r="J1404" s="594">
        <v>45148</v>
      </c>
      <c r="K1404" s="595">
        <v>0.70833333333333337</v>
      </c>
      <c r="L1404" s="594">
        <v>45148</v>
      </c>
      <c r="M1404" s="595">
        <v>0.72916666666666663</v>
      </c>
      <c r="N1404" s="373">
        <v>0.5</v>
      </c>
      <c r="O1404" s="184" t="s">
        <v>17</v>
      </c>
      <c r="P1404" s="401" t="s">
        <v>1583</v>
      </c>
      <c r="Q1404" s="746" t="s">
        <v>1441</v>
      </c>
      <c r="R1404" s="171" t="s">
        <v>95</v>
      </c>
      <c r="S1404" s="31" t="s">
        <v>273</v>
      </c>
      <c r="T1404" s="31" t="s">
        <v>273</v>
      </c>
      <c r="U1404" s="31">
        <f>IFERROR(VLOOKUP(CONCATENATE(Tabla1[[#This Row],[Severidad]]," ",Tabla1[[#This Row],[Complejidad]]),Catalogos!E$120:G$128,3,FALSE),"")</f>
        <v>64</v>
      </c>
      <c r="V1404" s="31" t="str">
        <f>IF(Tabla1[[#This Row],[Tiempo solución max (hrs)]]&lt;&gt;"",IF(Tabla1[[#This Row],[Tiempo solución max (hrs)]]&gt;=Tabla1[[#This Row],[Tiempo
(Hrs 00/100)]],"cumple","no cumple"),"")</f>
        <v>cumple</v>
      </c>
      <c r="W1404" s="376" t="s">
        <v>1814</v>
      </c>
      <c r="X1404" s="463" t="str">
        <f t="shared" ref="X1404:X1407" si="138">IF(C1404&lt;&gt;"",C1404,D1404)</f>
        <v>SSI</v>
      </c>
      <c r="Y1404" s="459" t="str">
        <f>SUBSTITUTE(Tabla1[[#This Row],[Descripción]],CHAR(10),"    I    ")</f>
        <v>Se actualizó documento Querys SISAI con los nombres de los procedimientos recien creados sobre el Query 3 de la Funcionalidad 13, que no se reutilizaban</v>
      </c>
      <c r="Z1404" s="464">
        <f>VLOOKUP(Tabla1[[#This Row],[Perfil]],Catalogos!$B$75:$D$100,3,FALSE)*Tabla1[[#This Row],[Tiempo
(Hrs 00/100)]]*1.16</f>
        <v>348</v>
      </c>
    </row>
    <row r="1405" spans="1:26" ht="15" customHeight="1" x14ac:dyDescent="0.3">
      <c r="A1405" s="373" t="s">
        <v>22</v>
      </c>
      <c r="B1405" s="184" t="s">
        <v>23</v>
      </c>
      <c r="C1405" s="183" t="s">
        <v>257</v>
      </c>
      <c r="D1405" s="179"/>
      <c r="E1405" s="373" t="s">
        <v>408</v>
      </c>
      <c r="F1405" s="373" t="s">
        <v>23</v>
      </c>
      <c r="G1405" s="370" t="s">
        <v>604</v>
      </c>
      <c r="H1405" s="461" t="s">
        <v>2012</v>
      </c>
      <c r="I1405" s="538" t="s">
        <v>2013</v>
      </c>
      <c r="J1405" s="594">
        <v>45148</v>
      </c>
      <c r="K1405" s="595">
        <v>0.72916666666666663</v>
      </c>
      <c r="L1405" s="594">
        <v>45148</v>
      </c>
      <c r="M1405" s="595">
        <v>0.77083333333333337</v>
      </c>
      <c r="N1405" s="373">
        <v>1</v>
      </c>
      <c r="O1405" s="184" t="s">
        <v>17</v>
      </c>
      <c r="P1405" s="401" t="s">
        <v>1583</v>
      </c>
      <c r="Q1405" s="746" t="s">
        <v>1441</v>
      </c>
      <c r="R1405" s="171" t="s">
        <v>95</v>
      </c>
      <c r="S1405" s="31" t="s">
        <v>273</v>
      </c>
      <c r="T1405" s="31" t="s">
        <v>273</v>
      </c>
      <c r="U1405" s="31">
        <f>IFERROR(VLOOKUP(CONCATENATE(Tabla1[[#This Row],[Severidad]]," ",Tabla1[[#This Row],[Complejidad]]),Catalogos!E$120:G$128,3,FALSE),"")</f>
        <v>64</v>
      </c>
      <c r="V1405" s="31" t="str">
        <f>IF(Tabla1[[#This Row],[Tiempo solución max (hrs)]]&lt;&gt;"",IF(Tabla1[[#This Row],[Tiempo solución max (hrs)]]&gt;=Tabla1[[#This Row],[Tiempo
(Hrs 00/100)]],"cumple","no cumple"),"")</f>
        <v>cumple</v>
      </c>
      <c r="W1405" s="376" t="s">
        <v>1814</v>
      </c>
      <c r="X1405" s="463" t="str">
        <f t="shared" si="138"/>
        <v>SSI</v>
      </c>
      <c r="Y1405" s="459" t="str">
        <f>SUBSTITUTE(Tabla1[[#This Row],[Descripción]],CHAR(10),"    I    ")</f>
        <v>Se revisó el Query 1 de la Funcionalidad 14, para obtener solicitudes gestión interna por id y se encontro reutilización ('FUNC11TURNAFOLIOUNIAD_SOLIXSOLDEPEN_QF11Q1')</v>
      </c>
      <c r="Z1405" s="464">
        <f>VLOOKUP(Tabla1[[#This Row],[Perfil]],Catalogos!$B$75:$D$100,3,FALSE)*Tabla1[[#This Row],[Tiempo
(Hrs 00/100)]]*1.16</f>
        <v>696</v>
      </c>
    </row>
    <row r="1406" spans="1:26" ht="15" customHeight="1" x14ac:dyDescent="0.3">
      <c r="A1406" s="373" t="s">
        <v>22</v>
      </c>
      <c r="B1406" s="184" t="s">
        <v>65</v>
      </c>
      <c r="C1406" s="183" t="s">
        <v>257</v>
      </c>
      <c r="D1406" s="179"/>
      <c r="E1406" s="373" t="s">
        <v>408</v>
      </c>
      <c r="F1406" s="373" t="s">
        <v>73</v>
      </c>
      <c r="G1406" s="370" t="s">
        <v>604</v>
      </c>
      <c r="H1406" s="461" t="s">
        <v>2014</v>
      </c>
      <c r="I1406" s="538" t="s">
        <v>2014</v>
      </c>
      <c r="J1406" s="594">
        <v>45148</v>
      </c>
      <c r="K1406" s="595">
        <v>0.77083333333333337</v>
      </c>
      <c r="L1406" s="594">
        <v>45148</v>
      </c>
      <c r="M1406" s="595">
        <v>0.79166666666666663</v>
      </c>
      <c r="N1406" s="373">
        <v>0.5</v>
      </c>
      <c r="O1406" s="184" t="s">
        <v>17</v>
      </c>
      <c r="P1406" s="401" t="s">
        <v>1583</v>
      </c>
      <c r="Q1406" s="746" t="s">
        <v>1441</v>
      </c>
      <c r="R1406" s="171" t="s">
        <v>95</v>
      </c>
      <c r="S1406" s="31" t="s">
        <v>273</v>
      </c>
      <c r="T1406" s="31" t="s">
        <v>273</v>
      </c>
      <c r="U1406" s="31">
        <f>IFERROR(VLOOKUP(CONCATENATE(Tabla1[[#This Row],[Severidad]]," ",Tabla1[[#This Row],[Complejidad]]),Catalogos!E$120:G$128,3,FALSE),"")</f>
        <v>64</v>
      </c>
      <c r="V1406" s="31" t="str">
        <f>IF(Tabla1[[#This Row],[Tiempo solución max (hrs)]]&lt;&gt;"",IF(Tabla1[[#This Row],[Tiempo solución max (hrs)]]&gt;=Tabla1[[#This Row],[Tiempo
(Hrs 00/100)]],"cumple","no cumple"),"")</f>
        <v>cumple</v>
      </c>
      <c r="W1406" s="376" t="s">
        <v>1814</v>
      </c>
      <c r="X1406" s="463" t="str">
        <f t="shared" si="138"/>
        <v>SSI</v>
      </c>
      <c r="Y1406" s="459" t="str">
        <f>SUBSTITUTE(Tabla1[[#This Row],[Descripción]],CHAR(10),"    I    ")</f>
        <v>Se actualizó documento Querys SISAI con el detalle encontrado en el Query 1 - Funcionalidad 14</v>
      </c>
      <c r="Z1406" s="464">
        <f>VLOOKUP(Tabla1[[#This Row],[Perfil]],Catalogos!$B$75:$D$100,3,FALSE)*Tabla1[[#This Row],[Tiempo
(Hrs 00/100)]]*1.16</f>
        <v>348</v>
      </c>
    </row>
    <row r="1407" spans="1:26" ht="15" customHeight="1" x14ac:dyDescent="0.3">
      <c r="A1407" s="373" t="s">
        <v>22</v>
      </c>
      <c r="B1407" s="184" t="s">
        <v>23</v>
      </c>
      <c r="C1407" s="183" t="s">
        <v>257</v>
      </c>
      <c r="D1407" s="179"/>
      <c r="E1407" s="373" t="s">
        <v>408</v>
      </c>
      <c r="F1407" s="373" t="s">
        <v>23</v>
      </c>
      <c r="G1407" s="370" t="s">
        <v>604</v>
      </c>
      <c r="H1407" s="461" t="s">
        <v>2015</v>
      </c>
      <c r="I1407" s="538" t="s">
        <v>2016</v>
      </c>
      <c r="J1407" s="594">
        <v>45148</v>
      </c>
      <c r="K1407" s="595">
        <v>0.79166666666666663</v>
      </c>
      <c r="L1407" s="594">
        <v>45148</v>
      </c>
      <c r="M1407" s="595">
        <v>0.83333333333333337</v>
      </c>
      <c r="N1407" s="373">
        <v>1</v>
      </c>
      <c r="O1407" s="184" t="s">
        <v>17</v>
      </c>
      <c r="P1407" s="401" t="s">
        <v>1583</v>
      </c>
      <c r="Q1407" s="746" t="s">
        <v>1441</v>
      </c>
      <c r="R1407" s="171" t="s">
        <v>95</v>
      </c>
      <c r="S1407" s="31" t="s">
        <v>273</v>
      </c>
      <c r="T1407" s="31" t="s">
        <v>273</v>
      </c>
      <c r="U1407" s="31">
        <f>IFERROR(VLOOKUP(CONCATENATE(Tabla1[[#This Row],[Severidad]]," ",Tabla1[[#This Row],[Complejidad]]),Catalogos!E$120:G$128,3,FALSE),"")</f>
        <v>64</v>
      </c>
      <c r="V1407" s="31" t="str">
        <f>IF(Tabla1[[#This Row],[Tiempo solución max (hrs)]]&lt;&gt;"",IF(Tabla1[[#This Row],[Tiempo solución max (hrs)]]&gt;=Tabla1[[#This Row],[Tiempo
(Hrs 00/100)]],"cumple","no cumple"),"")</f>
        <v>cumple</v>
      </c>
      <c r="W1407" s="376" t="s">
        <v>1814</v>
      </c>
      <c r="X1407" s="463" t="str">
        <f t="shared" si="138"/>
        <v>SSI</v>
      </c>
      <c r="Y1407" s="459" t="str">
        <f>SUBSTITUTE(Tabla1[[#This Row],[Descripción]],CHAR(10),"    I    ")</f>
        <v>Se revisó el Query 2 de la Funcionalidad 14, para el seguimiento gestión interna por solicitud GI y se encontro reutilización ('FUNC12DASHBOARDFOLIOPENDRPTASEFOLCOMTRANSPA_QF12Q2')</v>
      </c>
      <c r="Z1407" s="464">
        <f>VLOOKUP(Tabla1[[#This Row],[Perfil]],Catalogos!$B$75:$D$100,3,FALSE)*Tabla1[[#This Row],[Tiempo
(Hrs 00/100)]]*1.16</f>
        <v>696</v>
      </c>
    </row>
    <row r="1408" spans="1:26" ht="15" customHeight="1" x14ac:dyDescent="0.3">
      <c r="A1408" s="373" t="s">
        <v>22</v>
      </c>
      <c r="B1408" s="184" t="s">
        <v>65</v>
      </c>
      <c r="C1408" s="183" t="s">
        <v>257</v>
      </c>
      <c r="D1408" s="179"/>
      <c r="E1408" s="373" t="s">
        <v>408</v>
      </c>
      <c r="F1408" s="373" t="s">
        <v>73</v>
      </c>
      <c r="G1408" s="370" t="s">
        <v>604</v>
      </c>
      <c r="H1408" s="461" t="s">
        <v>2017</v>
      </c>
      <c r="I1408" s="538" t="s">
        <v>2017</v>
      </c>
      <c r="J1408" s="594">
        <v>45148</v>
      </c>
      <c r="K1408" s="595">
        <v>0.83333333333333337</v>
      </c>
      <c r="L1408" s="594">
        <v>45148</v>
      </c>
      <c r="M1408" s="595">
        <v>0.85416666666666663</v>
      </c>
      <c r="N1408" s="373">
        <v>0.5</v>
      </c>
      <c r="O1408" s="184" t="s">
        <v>17</v>
      </c>
      <c r="P1408" s="401" t="s">
        <v>1583</v>
      </c>
      <c r="Q1408" s="746" t="s">
        <v>1441</v>
      </c>
      <c r="R1408" s="171" t="s">
        <v>95</v>
      </c>
      <c r="S1408" s="31" t="s">
        <v>273</v>
      </c>
      <c r="T1408" s="31" t="s">
        <v>273</v>
      </c>
      <c r="U1408" s="31">
        <f>IFERROR(VLOOKUP(CONCATENATE(Tabla1[[#This Row],[Severidad]]," ",Tabla1[[#This Row],[Complejidad]]),Catalogos!E$120:G$128,3,FALSE),"")</f>
        <v>64</v>
      </c>
      <c r="V1408" s="31" t="str">
        <f>IF(Tabla1[[#This Row],[Tiempo solución max (hrs)]]&lt;&gt;"",IF(Tabla1[[#This Row],[Tiempo solución max (hrs)]]&gt;=Tabla1[[#This Row],[Tiempo
(Hrs 00/100)]],"cumple","no cumple"),"")</f>
        <v>cumple</v>
      </c>
      <c r="W1408" s="376" t="s">
        <v>1814</v>
      </c>
      <c r="X1408" s="463" t="str">
        <f t="shared" si="137"/>
        <v>SSI</v>
      </c>
      <c r="Y1408" s="459" t="str">
        <f>SUBSTITUTE(Tabla1[[#This Row],[Descripción]],CHAR(10),"    I    ")</f>
        <v>Se actualizó documento Querys SISAI con el detalle encontrado en el Query 2 - Funcionalidad 14</v>
      </c>
      <c r="Z1408" s="464">
        <f>VLOOKUP(Tabla1[[#This Row],[Perfil]],Catalogos!$B$75:$D$100,3,FALSE)*Tabla1[[#This Row],[Tiempo
(Hrs 00/100)]]*1.16</f>
        <v>348</v>
      </c>
    </row>
    <row r="1409" spans="1:26" ht="15" customHeight="1" x14ac:dyDescent="0.3">
      <c r="A1409" s="373" t="s">
        <v>22</v>
      </c>
      <c r="B1409" s="184" t="s">
        <v>23</v>
      </c>
      <c r="C1409" s="183" t="s">
        <v>257</v>
      </c>
      <c r="D1409" s="179"/>
      <c r="E1409" s="373" t="s">
        <v>408</v>
      </c>
      <c r="F1409" s="373" t="s">
        <v>23</v>
      </c>
      <c r="G1409" s="370" t="s">
        <v>604</v>
      </c>
      <c r="H1409" s="461" t="s">
        <v>2018</v>
      </c>
      <c r="I1409" s="538" t="s">
        <v>2019</v>
      </c>
      <c r="J1409" s="594">
        <v>45149</v>
      </c>
      <c r="K1409" s="595">
        <v>0.375</v>
      </c>
      <c r="L1409" s="594">
        <v>45149</v>
      </c>
      <c r="M1409" s="595">
        <v>0.41666666666666669</v>
      </c>
      <c r="N1409" s="373">
        <v>1</v>
      </c>
      <c r="O1409" s="184" t="s">
        <v>17</v>
      </c>
      <c r="P1409" s="401" t="s">
        <v>1583</v>
      </c>
      <c r="Q1409" s="746" t="s">
        <v>1441</v>
      </c>
      <c r="R1409" s="171" t="s">
        <v>95</v>
      </c>
      <c r="S1409" s="31" t="s">
        <v>273</v>
      </c>
      <c r="T1409" s="31" t="s">
        <v>273</v>
      </c>
      <c r="U1409" s="31">
        <f>IFERROR(VLOOKUP(CONCATENATE(Tabla1[[#This Row],[Severidad]]," ",Tabla1[[#This Row],[Complejidad]]),Catalogos!E$120:G$128,3,FALSE),"")</f>
        <v>64</v>
      </c>
      <c r="V1409" s="31" t="str">
        <f>IF(Tabla1[[#This Row],[Tiempo solución max (hrs)]]&lt;&gt;"",IF(Tabla1[[#This Row],[Tiempo solución max (hrs)]]&gt;=Tabla1[[#This Row],[Tiempo
(Hrs 00/100)]],"cumple","no cumple"),"")</f>
        <v>cumple</v>
      </c>
      <c r="W1409" s="376" t="s">
        <v>1814</v>
      </c>
      <c r="X1409" s="463" t="str">
        <f t="shared" si="137"/>
        <v>SSI</v>
      </c>
      <c r="Y1409" s="459" t="str">
        <f>SUBSTITUTE(Tabla1[[#This Row],[Descripción]],CHAR(10),"    I    ")</f>
        <v>Se revisó el Query 3 de la Funcionalidad 14, para obtener adjuntos por seguimiento de gestión interna y se encontro reutilización ('FUNC13OBTSEGUISUBFOUNIADXFLUJOSEGSUBFL_QF13Q3')</v>
      </c>
      <c r="Z1409" s="464">
        <f>VLOOKUP(Tabla1[[#This Row],[Perfil]],Catalogos!$B$75:$D$100,3,FALSE)*Tabla1[[#This Row],[Tiempo
(Hrs 00/100)]]*1.16</f>
        <v>696</v>
      </c>
    </row>
    <row r="1410" spans="1:26" ht="34.5" customHeight="1" x14ac:dyDescent="0.3">
      <c r="A1410" s="373" t="s">
        <v>22</v>
      </c>
      <c r="B1410" s="184" t="s">
        <v>65</v>
      </c>
      <c r="C1410" s="183" t="s">
        <v>257</v>
      </c>
      <c r="D1410" s="179"/>
      <c r="E1410" s="373" t="s">
        <v>408</v>
      </c>
      <c r="F1410" s="373" t="s">
        <v>73</v>
      </c>
      <c r="G1410" s="370" t="s">
        <v>604</v>
      </c>
      <c r="H1410" s="461" t="s">
        <v>2020</v>
      </c>
      <c r="I1410" s="538" t="s">
        <v>2020</v>
      </c>
      <c r="J1410" s="594">
        <v>45149</v>
      </c>
      <c r="K1410" s="595">
        <v>0.41666666666666669</v>
      </c>
      <c r="L1410" s="594">
        <v>45149</v>
      </c>
      <c r="M1410" s="595">
        <v>0.4375</v>
      </c>
      <c r="N1410" s="373">
        <v>0.5</v>
      </c>
      <c r="O1410" s="184" t="s">
        <v>17</v>
      </c>
      <c r="P1410" s="401" t="s">
        <v>1583</v>
      </c>
      <c r="Q1410" s="746" t="s">
        <v>1441</v>
      </c>
      <c r="R1410" s="171" t="s">
        <v>95</v>
      </c>
      <c r="S1410" s="31" t="s">
        <v>273</v>
      </c>
      <c r="T1410" s="31" t="s">
        <v>273</v>
      </c>
      <c r="U1410" s="31">
        <f>IFERROR(VLOOKUP(CONCATENATE(Tabla1[[#This Row],[Severidad]]," ",Tabla1[[#This Row],[Complejidad]]),Catalogos!E$120:G$128,3,FALSE),"")</f>
        <v>64</v>
      </c>
      <c r="V1410" s="31" t="str">
        <f>IF(Tabla1[[#This Row],[Tiempo solución max (hrs)]]&lt;&gt;"",IF(Tabla1[[#This Row],[Tiempo solución max (hrs)]]&gt;=Tabla1[[#This Row],[Tiempo
(Hrs 00/100)]],"cumple","no cumple"),"")</f>
        <v>cumple</v>
      </c>
      <c r="W1410" s="376" t="s">
        <v>1814</v>
      </c>
      <c r="X1410" s="463" t="str">
        <f t="shared" ref="X1410" si="139">IF(C1410&lt;&gt;"",C1410,D1410)</f>
        <v>SSI</v>
      </c>
      <c r="Y1410" s="459" t="str">
        <f>SUBSTITUTE(Tabla1[[#This Row],[Descripción]],CHAR(10),"    I    ")</f>
        <v>Se actualizó documento Querys SISAI con el detalle encontrado en el Query 3 - Funcionalidad 14</v>
      </c>
      <c r="Z1410" s="464">
        <f>VLOOKUP(Tabla1[[#This Row],[Perfil]],Catalogos!$B$75:$D$100,3,FALSE)*Tabla1[[#This Row],[Tiempo
(Hrs 00/100)]]*1.16</f>
        <v>348</v>
      </c>
    </row>
    <row r="1411" spans="1:26" ht="32.25" customHeight="1" x14ac:dyDescent="0.3">
      <c r="A1411" s="373" t="s">
        <v>22</v>
      </c>
      <c r="B1411" s="184" t="s">
        <v>23</v>
      </c>
      <c r="C1411" s="183" t="s">
        <v>257</v>
      </c>
      <c r="D1411" s="179"/>
      <c r="E1411" s="373" t="s">
        <v>408</v>
      </c>
      <c r="F1411" s="373" t="s">
        <v>23</v>
      </c>
      <c r="G1411" s="370" t="s">
        <v>604</v>
      </c>
      <c r="H1411" s="461" t="s">
        <v>2021</v>
      </c>
      <c r="I1411" s="538" t="s">
        <v>2022</v>
      </c>
      <c r="J1411" s="594">
        <v>45149</v>
      </c>
      <c r="K1411" s="595">
        <v>0.4375</v>
      </c>
      <c r="L1411" s="594">
        <v>45149</v>
      </c>
      <c r="M1411" s="595">
        <v>0.47916666666666669</v>
      </c>
      <c r="N1411" s="373">
        <v>1</v>
      </c>
      <c r="O1411" s="184" t="s">
        <v>17</v>
      </c>
      <c r="P1411" s="401" t="s">
        <v>1583</v>
      </c>
      <c r="Q1411" s="746" t="s">
        <v>1441</v>
      </c>
      <c r="R1411" s="171" t="s">
        <v>95</v>
      </c>
      <c r="S1411" s="31" t="s">
        <v>273</v>
      </c>
      <c r="T1411" s="31" t="s">
        <v>273</v>
      </c>
      <c r="U1411" s="31">
        <f>IFERROR(VLOOKUP(CONCATENATE(Tabla1[[#This Row],[Severidad]]," ",Tabla1[[#This Row],[Complejidad]]),Catalogos!E$120:G$128,3,FALSE),"")</f>
        <v>64</v>
      </c>
      <c r="V1411" s="31" t="str">
        <f>IF(Tabla1[[#This Row],[Tiempo solución max (hrs)]]&lt;&gt;"",IF(Tabla1[[#This Row],[Tiempo solución max (hrs)]]&gt;=Tabla1[[#This Row],[Tiempo
(Hrs 00/100)]],"cumple","no cumple"),"")</f>
        <v>cumple</v>
      </c>
      <c r="W1411" s="376" t="s">
        <v>1814</v>
      </c>
      <c r="X1411" s="463" t="str">
        <f t="shared" si="137"/>
        <v>SSI</v>
      </c>
      <c r="Y1411" s="459" t="str">
        <f>SUBSTITUTE(Tabla1[[#This Row],[Descripción]],CHAR(10),"    I    ")</f>
        <v>Se creó el nuevo procedimiento 'FUNC15DASHSOLASIGUT_SOLPENDXCONTUA_QF15Q1' en el paquete 'PACK_SISAI2', con el query 1 de la 15va funcionalidad que se obtiene solicitudes pendientes por contestar de la UA</v>
      </c>
      <c r="Z1411" s="464">
        <f>VLOOKUP(Tabla1[[#This Row],[Perfil]],Catalogos!$B$75:$D$100,3,FALSE)*Tabla1[[#This Row],[Tiempo
(Hrs 00/100)]]*1.16</f>
        <v>696</v>
      </c>
    </row>
    <row r="1412" spans="1:26" ht="15" customHeight="1" x14ac:dyDescent="0.3">
      <c r="A1412" s="373" t="s">
        <v>22</v>
      </c>
      <c r="B1412" s="184" t="s">
        <v>23</v>
      </c>
      <c r="C1412" s="183" t="s">
        <v>257</v>
      </c>
      <c r="D1412" s="179"/>
      <c r="E1412" s="373" t="s">
        <v>408</v>
      </c>
      <c r="F1412" s="373" t="s">
        <v>23</v>
      </c>
      <c r="G1412" s="370" t="s">
        <v>604</v>
      </c>
      <c r="H1412" s="461" t="s">
        <v>2023</v>
      </c>
      <c r="I1412" s="538" t="s">
        <v>2024</v>
      </c>
      <c r="J1412" s="594">
        <v>45149</v>
      </c>
      <c r="K1412" s="595">
        <v>0.47916666666666669</v>
      </c>
      <c r="L1412" s="594">
        <v>45149</v>
      </c>
      <c r="M1412" s="595">
        <v>0.5</v>
      </c>
      <c r="N1412" s="373">
        <v>0.5</v>
      </c>
      <c r="O1412" s="184" t="s">
        <v>17</v>
      </c>
      <c r="P1412" s="401" t="s">
        <v>1583</v>
      </c>
      <c r="Q1412" s="746" t="s">
        <v>1441</v>
      </c>
      <c r="R1412" s="171" t="s">
        <v>95</v>
      </c>
      <c r="S1412" s="31" t="s">
        <v>273</v>
      </c>
      <c r="T1412" s="31" t="s">
        <v>273</v>
      </c>
      <c r="U1412" s="31">
        <f>IFERROR(VLOOKUP(CONCATENATE(Tabla1[[#This Row],[Severidad]]," ",Tabla1[[#This Row],[Complejidad]]),Catalogos!E$120:G$128,3,FALSE),"")</f>
        <v>64</v>
      </c>
      <c r="V1412" s="31" t="str">
        <f>IF(Tabla1[[#This Row],[Tiempo solución max (hrs)]]&lt;&gt;"",IF(Tabla1[[#This Row],[Tiempo solución max (hrs)]]&gt;=Tabla1[[#This Row],[Tiempo
(Hrs 00/100)]],"cumple","no cumple"),"")</f>
        <v>cumple</v>
      </c>
      <c r="W1412" s="376" t="s">
        <v>1814</v>
      </c>
      <c r="X1412" s="463" t="str">
        <f t="shared" ref="X1412:X1414" si="140">IF(C1412&lt;&gt;"",C1412,D1412)</f>
        <v>SSI</v>
      </c>
      <c r="Y1412" s="459" t="str">
        <f>SUBSTITUTE(Tabla1[[#This Row],[Descripción]],CHAR(10),"    I    ")</f>
        <v>Se validó campo por campo de las tablas del 1er query de la funcionalidad 15, para identificar los tipos de datos y tamaño para validación en bloque anonimo</v>
      </c>
      <c r="Z1412" s="464">
        <f>VLOOKUP(Tabla1[[#This Row],[Perfil]],Catalogos!$B$75:$D$100,3,FALSE)*Tabla1[[#This Row],[Tiempo
(Hrs 00/100)]]*1.16</f>
        <v>348</v>
      </c>
    </row>
    <row r="1413" spans="1:26" ht="36" customHeight="1" x14ac:dyDescent="0.3">
      <c r="A1413" s="373" t="s">
        <v>22</v>
      </c>
      <c r="B1413" s="184" t="s">
        <v>66</v>
      </c>
      <c r="C1413" s="183" t="s">
        <v>257</v>
      </c>
      <c r="D1413" s="179"/>
      <c r="E1413" s="373" t="s">
        <v>408</v>
      </c>
      <c r="F1413" s="373" t="s">
        <v>75</v>
      </c>
      <c r="G1413" s="370" t="s">
        <v>604</v>
      </c>
      <c r="H1413" s="461" t="s">
        <v>2025</v>
      </c>
      <c r="I1413" s="538" t="s">
        <v>2026</v>
      </c>
      <c r="J1413" s="594">
        <v>45149</v>
      </c>
      <c r="K1413" s="595">
        <v>0.5</v>
      </c>
      <c r="L1413" s="594">
        <v>45149</v>
      </c>
      <c r="M1413" s="595">
        <v>0.54166666666666663</v>
      </c>
      <c r="N1413" s="373">
        <v>1</v>
      </c>
      <c r="O1413" s="184" t="s">
        <v>17</v>
      </c>
      <c r="P1413" s="401" t="s">
        <v>1583</v>
      </c>
      <c r="Q1413" s="746" t="s">
        <v>1441</v>
      </c>
      <c r="R1413" s="171" t="s">
        <v>95</v>
      </c>
      <c r="S1413" s="31" t="s">
        <v>273</v>
      </c>
      <c r="T1413" s="31" t="s">
        <v>273</v>
      </c>
      <c r="U1413" s="31">
        <f>IFERROR(VLOOKUP(CONCATENATE(Tabla1[[#This Row],[Severidad]]," ",Tabla1[[#This Row],[Complejidad]]),Catalogos!E$120:G$128,3,FALSE),"")</f>
        <v>64</v>
      </c>
      <c r="V1413" s="31" t="str">
        <f>IF(Tabla1[[#This Row],[Tiempo solución max (hrs)]]&lt;&gt;"",IF(Tabla1[[#This Row],[Tiempo solución max (hrs)]]&gt;=Tabla1[[#This Row],[Tiempo
(Hrs 00/100)]],"cumple","no cumple"),"")</f>
        <v>cumple</v>
      </c>
      <c r="W1413" s="376" t="s">
        <v>1814</v>
      </c>
      <c r="X1413" s="463" t="str">
        <f t="shared" si="140"/>
        <v>SSI</v>
      </c>
      <c r="Y1413" s="459" t="str">
        <f>SUBSTITUTE(Tabla1[[#This Row],[Descripción]],CHAR(10),"    I    ")</f>
        <v>Se validó el paquete-procedimiento del query 1 de la funcionalidad # 15 con el bloque anónimo correcto y se tuvo un resultado exitoso con la salida del cursor completo con varios parámetros</v>
      </c>
      <c r="Z1413" s="464">
        <f>VLOOKUP(Tabla1[[#This Row],[Perfil]],Catalogos!$B$75:$D$100,3,FALSE)*Tabla1[[#This Row],[Tiempo
(Hrs 00/100)]]*1.16</f>
        <v>696</v>
      </c>
    </row>
    <row r="1414" spans="1:26" ht="35.25" customHeight="1" x14ac:dyDescent="0.3">
      <c r="A1414" s="373" t="s">
        <v>22</v>
      </c>
      <c r="B1414" s="184" t="s">
        <v>65</v>
      </c>
      <c r="C1414" s="183" t="s">
        <v>257</v>
      </c>
      <c r="D1414" s="179"/>
      <c r="E1414" s="373" t="s">
        <v>408</v>
      </c>
      <c r="F1414" s="373" t="s">
        <v>73</v>
      </c>
      <c r="G1414" s="370" t="s">
        <v>604</v>
      </c>
      <c r="H1414" s="461" t="s">
        <v>2027</v>
      </c>
      <c r="I1414" s="538" t="s">
        <v>2028</v>
      </c>
      <c r="J1414" s="594">
        <v>45149</v>
      </c>
      <c r="K1414" s="595">
        <v>0.54166666666666663</v>
      </c>
      <c r="L1414" s="594">
        <v>45149</v>
      </c>
      <c r="M1414" s="595">
        <v>0.5625</v>
      </c>
      <c r="N1414" s="373">
        <v>0.5</v>
      </c>
      <c r="O1414" s="184" t="s">
        <v>17</v>
      </c>
      <c r="P1414" s="401" t="s">
        <v>1583</v>
      </c>
      <c r="Q1414" s="746" t="s">
        <v>1441</v>
      </c>
      <c r="R1414" s="171" t="s">
        <v>95</v>
      </c>
      <c r="S1414" s="31" t="s">
        <v>273</v>
      </c>
      <c r="T1414" s="31" t="s">
        <v>273</v>
      </c>
      <c r="U1414" s="31">
        <f>IFERROR(VLOOKUP(CONCATENATE(Tabla1[[#This Row],[Severidad]]," ",Tabla1[[#This Row],[Complejidad]]),Catalogos!E$120:G$128,3,FALSE),"")</f>
        <v>64</v>
      </c>
      <c r="V1414" s="31" t="str">
        <f>IF(Tabla1[[#This Row],[Tiempo solución max (hrs)]]&lt;&gt;"",IF(Tabla1[[#This Row],[Tiempo solución max (hrs)]]&gt;=Tabla1[[#This Row],[Tiempo
(Hrs 00/100)]],"cumple","no cumple"),"")</f>
        <v>cumple</v>
      </c>
      <c r="W1414" s="376" t="s">
        <v>1814</v>
      </c>
      <c r="X1414" s="463" t="str">
        <f t="shared" si="140"/>
        <v>SSI</v>
      </c>
      <c r="Y1414" s="459" t="str">
        <f>SUBSTITUTE(Tabla1[[#This Row],[Descripción]],CHAR(10),"    I    ")</f>
        <v>Se actualizó documento Querys SISAI con los nombres de los procedimientos recien creados sobre el Query 1 de la Funcionalidad 15, que no se reutilizaban</v>
      </c>
      <c r="Z1414" s="464">
        <f>VLOOKUP(Tabla1[[#This Row],[Perfil]],Catalogos!$B$75:$D$100,3,FALSE)*Tabla1[[#This Row],[Tiempo
(Hrs 00/100)]]*1.16</f>
        <v>348</v>
      </c>
    </row>
    <row r="1415" spans="1:26" ht="15" customHeight="1" x14ac:dyDescent="0.3">
      <c r="A1415" s="373" t="s">
        <v>22</v>
      </c>
      <c r="B1415" s="184" t="s">
        <v>23</v>
      </c>
      <c r="C1415" s="183" t="s">
        <v>257</v>
      </c>
      <c r="D1415" s="179"/>
      <c r="E1415" s="373" t="s">
        <v>408</v>
      </c>
      <c r="F1415" s="373" t="s">
        <v>23</v>
      </c>
      <c r="G1415" s="370" t="s">
        <v>604</v>
      </c>
      <c r="H1415" s="461" t="s">
        <v>2029</v>
      </c>
      <c r="I1415" s="538" t="s">
        <v>2030</v>
      </c>
      <c r="J1415" s="594">
        <v>45149</v>
      </c>
      <c r="K1415" s="595">
        <v>0.5625</v>
      </c>
      <c r="L1415" s="594">
        <v>45149</v>
      </c>
      <c r="M1415" s="595">
        <v>0.60416666666666663</v>
      </c>
      <c r="N1415" s="373">
        <v>1</v>
      </c>
      <c r="O1415" s="184" t="s">
        <v>17</v>
      </c>
      <c r="P1415" s="401" t="s">
        <v>1583</v>
      </c>
      <c r="Q1415" s="746" t="s">
        <v>1441</v>
      </c>
      <c r="R1415" s="171" t="s">
        <v>95</v>
      </c>
      <c r="S1415" s="31" t="s">
        <v>273</v>
      </c>
      <c r="T1415" s="31" t="s">
        <v>273</v>
      </c>
      <c r="U1415" s="31">
        <f>IFERROR(VLOOKUP(CONCATENATE(Tabla1[[#This Row],[Severidad]]," ",Tabla1[[#This Row],[Complejidad]]),Catalogos!E$120:G$128,3,FALSE),"")</f>
        <v>64</v>
      </c>
      <c r="V1415" s="31" t="str">
        <f>IF(Tabla1[[#This Row],[Tiempo solución max (hrs)]]&lt;&gt;"",IF(Tabla1[[#This Row],[Tiempo solución max (hrs)]]&gt;=Tabla1[[#This Row],[Tiempo
(Hrs 00/100)]],"cumple","no cumple"),"")</f>
        <v>cumple</v>
      </c>
      <c r="W1415" s="376" t="s">
        <v>1814</v>
      </c>
      <c r="X1415" s="463" t="str">
        <f t="shared" si="137"/>
        <v>SSI</v>
      </c>
      <c r="Y1415" s="459" t="str">
        <f>SUBSTITUTE(Tabla1[[#This Row],[Descripción]],CHAR(10),"    I    ")</f>
        <v>Se revisó el Query 2 de la Funcionalidad 15, para obtener las solicitudes gestión interna por solicitud dependencia y se encontro reutilización ('FUNC7DETSOLDASHUTGI_SOLGIXSOLDEPEN_QF7Q4')</v>
      </c>
      <c r="Z1415" s="464">
        <f>VLOOKUP(Tabla1[[#This Row],[Perfil]],Catalogos!$B$75:$D$100,3,FALSE)*Tabla1[[#This Row],[Tiempo
(Hrs 00/100)]]*1.16</f>
        <v>696</v>
      </c>
    </row>
    <row r="1416" spans="1:26" ht="15" customHeight="1" x14ac:dyDescent="0.3">
      <c r="A1416" s="373" t="s">
        <v>22</v>
      </c>
      <c r="B1416" s="184" t="s">
        <v>65</v>
      </c>
      <c r="C1416" s="183" t="s">
        <v>257</v>
      </c>
      <c r="D1416" s="179"/>
      <c r="E1416" s="373" t="s">
        <v>408</v>
      </c>
      <c r="F1416" s="373" t="s">
        <v>73</v>
      </c>
      <c r="G1416" s="370" t="s">
        <v>604</v>
      </c>
      <c r="H1416" s="461" t="s">
        <v>2031</v>
      </c>
      <c r="I1416" s="538" t="s">
        <v>2031</v>
      </c>
      <c r="J1416" s="594">
        <v>45149</v>
      </c>
      <c r="K1416" s="595">
        <v>0.60416666666666663</v>
      </c>
      <c r="L1416" s="594">
        <v>45149</v>
      </c>
      <c r="M1416" s="595">
        <v>0.625</v>
      </c>
      <c r="N1416" s="373">
        <v>0.5</v>
      </c>
      <c r="O1416" s="184" t="s">
        <v>17</v>
      </c>
      <c r="P1416" s="264" t="s">
        <v>1583</v>
      </c>
      <c r="Q1416" s="746" t="s">
        <v>1441</v>
      </c>
      <c r="R1416" s="171" t="s">
        <v>95</v>
      </c>
      <c r="S1416" s="31" t="s">
        <v>273</v>
      </c>
      <c r="T1416" s="31" t="s">
        <v>273</v>
      </c>
      <c r="U1416" s="31">
        <f>IFERROR(VLOOKUP(CONCATENATE(Tabla1[[#This Row],[Severidad]]," ",Tabla1[[#This Row],[Complejidad]]),Catalogos!E$120:G$128,3,FALSE),"")</f>
        <v>64</v>
      </c>
      <c r="V1416" s="31" t="str">
        <f>IF(Tabla1[[#This Row],[Tiempo solución max (hrs)]]&lt;&gt;"",IF(Tabla1[[#This Row],[Tiempo solución max (hrs)]]&gt;=Tabla1[[#This Row],[Tiempo
(Hrs 00/100)]],"cumple","no cumple"),"")</f>
        <v>cumple</v>
      </c>
      <c r="W1416" s="376" t="s">
        <v>1814</v>
      </c>
      <c r="X1416" s="463" t="str">
        <f t="shared" ref="X1416:X1422" si="141">IF(C1416&lt;&gt;"",C1416,D1416)</f>
        <v>SSI</v>
      </c>
      <c r="Y1416" s="459" t="str">
        <f>SUBSTITUTE(Tabla1[[#This Row],[Descripción]],CHAR(10),"    I    ")</f>
        <v>Se actualizó documento Querys SISAI con el detalle encontrado en el Query 2 - Funcionalidad 15</v>
      </c>
      <c r="Z1416" s="464">
        <f>VLOOKUP(Tabla1[[#This Row],[Perfil]],Catalogos!$B$75:$D$100,3,FALSE)*Tabla1[[#This Row],[Tiempo
(Hrs 00/100)]]*1.16</f>
        <v>348</v>
      </c>
    </row>
    <row r="1417" spans="1:26" ht="15" customHeight="1" x14ac:dyDescent="0.3">
      <c r="A1417" s="373" t="s">
        <v>22</v>
      </c>
      <c r="B1417" s="184" t="s">
        <v>23</v>
      </c>
      <c r="C1417" s="183" t="s">
        <v>257</v>
      </c>
      <c r="D1417" s="179"/>
      <c r="E1417" s="373" t="s">
        <v>408</v>
      </c>
      <c r="F1417" s="373" t="s">
        <v>23</v>
      </c>
      <c r="G1417" s="370" t="s">
        <v>604</v>
      </c>
      <c r="H1417" s="461" t="s">
        <v>2032</v>
      </c>
      <c r="I1417" s="538" t="s">
        <v>2033</v>
      </c>
      <c r="J1417" s="594">
        <v>45149</v>
      </c>
      <c r="K1417" s="595">
        <v>0.66666666666666663</v>
      </c>
      <c r="L1417" s="594">
        <v>45149</v>
      </c>
      <c r="M1417" s="595">
        <v>0.70833333333333337</v>
      </c>
      <c r="N1417" s="373">
        <v>1</v>
      </c>
      <c r="O1417" s="184" t="s">
        <v>17</v>
      </c>
      <c r="P1417" s="264" t="s">
        <v>1583</v>
      </c>
      <c r="Q1417" s="746" t="s">
        <v>1441</v>
      </c>
      <c r="R1417" s="171" t="s">
        <v>95</v>
      </c>
      <c r="S1417" s="31" t="s">
        <v>273</v>
      </c>
      <c r="T1417" s="31" t="s">
        <v>273</v>
      </c>
      <c r="U1417" s="31">
        <f>IFERROR(VLOOKUP(CONCATENATE(Tabla1[[#This Row],[Severidad]]," ",Tabla1[[#This Row],[Complejidad]]),Catalogos!E$120:G$128,3,FALSE),"")</f>
        <v>64</v>
      </c>
      <c r="V1417" s="31" t="str">
        <f>IF(Tabla1[[#This Row],[Tiempo solución max (hrs)]]&lt;&gt;"",IF(Tabla1[[#This Row],[Tiempo solución max (hrs)]]&gt;=Tabla1[[#This Row],[Tiempo
(Hrs 00/100)]],"cumple","no cumple"),"")</f>
        <v>cumple</v>
      </c>
      <c r="W1417" s="376" t="s">
        <v>1814</v>
      </c>
      <c r="X1417" s="463" t="str">
        <f t="shared" si="141"/>
        <v>SSI</v>
      </c>
      <c r="Y1417" s="459" t="str">
        <f>SUBSTITUTE(Tabla1[[#This Row],[Descripción]],CHAR(10),"    I    ")</f>
        <v>Se revisó el Query 3 de la Funcionalidad 15, para obtener la información si es que considera sábados el so o el og y se encontro reutilización ('FUNC12DASHBOARDFOLIOPENDRPTASNOTERMIDIATRANS_QF12Q3'')</v>
      </c>
      <c r="Z1417" s="464">
        <f>VLOOKUP(Tabla1[[#This Row],[Perfil]],Catalogos!$B$75:$D$100,3,FALSE)*Tabla1[[#This Row],[Tiempo
(Hrs 00/100)]]*1.16</f>
        <v>696</v>
      </c>
    </row>
    <row r="1418" spans="1:26" ht="15" customHeight="1" x14ac:dyDescent="0.3">
      <c r="A1418" s="373" t="s">
        <v>22</v>
      </c>
      <c r="B1418" s="184" t="s">
        <v>65</v>
      </c>
      <c r="C1418" s="183" t="s">
        <v>257</v>
      </c>
      <c r="D1418" s="179"/>
      <c r="E1418" s="373" t="s">
        <v>408</v>
      </c>
      <c r="F1418" s="373" t="s">
        <v>73</v>
      </c>
      <c r="G1418" s="370" t="s">
        <v>604</v>
      </c>
      <c r="H1418" s="461" t="s">
        <v>2034</v>
      </c>
      <c r="I1418" s="538" t="s">
        <v>2034</v>
      </c>
      <c r="J1418" s="594">
        <v>45149</v>
      </c>
      <c r="K1418" s="595">
        <v>0.70833333333333337</v>
      </c>
      <c r="L1418" s="594">
        <v>45149</v>
      </c>
      <c r="M1418" s="595">
        <v>0.72916666666666663</v>
      </c>
      <c r="N1418" s="373">
        <v>0.5</v>
      </c>
      <c r="O1418" s="184" t="s">
        <v>17</v>
      </c>
      <c r="P1418" s="264" t="s">
        <v>1583</v>
      </c>
      <c r="Q1418" s="746" t="s">
        <v>1441</v>
      </c>
      <c r="R1418" s="171" t="s">
        <v>95</v>
      </c>
      <c r="S1418" s="31" t="s">
        <v>273</v>
      </c>
      <c r="T1418" s="31" t="s">
        <v>273</v>
      </c>
      <c r="U1418" s="31">
        <f>IFERROR(VLOOKUP(CONCATENATE(Tabla1[[#This Row],[Severidad]]," ",Tabla1[[#This Row],[Complejidad]]),Catalogos!E$120:G$128,3,FALSE),"")</f>
        <v>64</v>
      </c>
      <c r="V1418" s="31" t="str">
        <f>IF(Tabla1[[#This Row],[Tiempo solución max (hrs)]]&lt;&gt;"",IF(Tabla1[[#This Row],[Tiempo solución max (hrs)]]&gt;=Tabla1[[#This Row],[Tiempo
(Hrs 00/100)]],"cumple","no cumple"),"")</f>
        <v>cumple</v>
      </c>
      <c r="W1418" s="376" t="s">
        <v>1814</v>
      </c>
      <c r="X1418" s="463" t="str">
        <f t="shared" si="141"/>
        <v>SSI</v>
      </c>
      <c r="Y1418" s="459" t="str">
        <f>SUBSTITUTE(Tabla1[[#This Row],[Descripción]],CHAR(10),"    I    ")</f>
        <v>Se actualizó documento Querys SISAI con el detalle encontrado en el Query 3 - Funcionalidad 15</v>
      </c>
      <c r="Z1418" s="464">
        <f>VLOOKUP(Tabla1[[#This Row],[Perfil]],Catalogos!$B$75:$D$100,3,FALSE)*Tabla1[[#This Row],[Tiempo
(Hrs 00/100)]]*1.16</f>
        <v>348</v>
      </c>
    </row>
    <row r="1419" spans="1:26" ht="15" customHeight="1" x14ac:dyDescent="0.3">
      <c r="A1419" s="373" t="s">
        <v>22</v>
      </c>
      <c r="B1419" s="184" t="s">
        <v>23</v>
      </c>
      <c r="C1419" s="183" t="s">
        <v>257</v>
      </c>
      <c r="D1419" s="179"/>
      <c r="E1419" s="373" t="s">
        <v>408</v>
      </c>
      <c r="F1419" s="373" t="s">
        <v>23</v>
      </c>
      <c r="G1419" s="370" t="s">
        <v>604</v>
      </c>
      <c r="H1419" s="461" t="s">
        <v>2035</v>
      </c>
      <c r="I1419" s="538" t="s">
        <v>2036</v>
      </c>
      <c r="J1419" s="594">
        <v>45149</v>
      </c>
      <c r="K1419" s="595">
        <v>0.72916666666666663</v>
      </c>
      <c r="L1419" s="594">
        <v>45149</v>
      </c>
      <c r="M1419" s="595">
        <v>0.77083333333333337</v>
      </c>
      <c r="N1419" s="373">
        <v>1</v>
      </c>
      <c r="O1419" s="184" t="s">
        <v>17</v>
      </c>
      <c r="P1419" s="264" t="s">
        <v>1583</v>
      </c>
      <c r="Q1419" s="746" t="s">
        <v>1441</v>
      </c>
      <c r="R1419" s="171" t="s">
        <v>95</v>
      </c>
      <c r="S1419" s="31" t="s">
        <v>273</v>
      </c>
      <c r="T1419" s="31" t="s">
        <v>273</v>
      </c>
      <c r="U1419" s="31">
        <f>IFERROR(VLOOKUP(CONCATENATE(Tabla1[[#This Row],[Severidad]]," ",Tabla1[[#This Row],[Complejidad]]),Catalogos!E$120:G$128,3,FALSE),"")</f>
        <v>64</v>
      </c>
      <c r="V1419" s="31" t="str">
        <f>IF(Tabla1[[#This Row],[Tiempo solución max (hrs)]]&lt;&gt;"",IF(Tabla1[[#This Row],[Tiempo solución max (hrs)]]&gt;=Tabla1[[#This Row],[Tiempo
(Hrs 00/100)]],"cumple","no cumple"),"")</f>
        <v>cumple</v>
      </c>
      <c r="W1419" s="376" t="s">
        <v>1814</v>
      </c>
      <c r="X1419" s="463" t="str">
        <f t="shared" si="141"/>
        <v>SSI</v>
      </c>
      <c r="Y1419" s="459" t="str">
        <f>SUBSTITUTE(Tabla1[[#This Row],[Descripción]],CHAR(10),"    I    ")</f>
        <v>Se revisó el Query 4 de la Funcionalidad 15, para obtener  la lista de días inhábiles por so o por og y se encontro reutilización ('FUNC12DASHBOARDFOLIOPENDRPTASLTADIAINHABIL_QF12Q4')</v>
      </c>
      <c r="Z1419" s="464">
        <f>VLOOKUP(Tabla1[[#This Row],[Perfil]],Catalogos!$B$75:$D$100,3,FALSE)*Tabla1[[#This Row],[Tiempo
(Hrs 00/100)]]*1.16</f>
        <v>696</v>
      </c>
    </row>
    <row r="1420" spans="1:26" ht="15" customHeight="1" x14ac:dyDescent="0.3">
      <c r="A1420" s="373" t="s">
        <v>22</v>
      </c>
      <c r="B1420" s="184" t="s">
        <v>65</v>
      </c>
      <c r="C1420" s="183" t="s">
        <v>257</v>
      </c>
      <c r="D1420" s="179"/>
      <c r="E1420" s="373" t="s">
        <v>408</v>
      </c>
      <c r="F1420" s="373" t="s">
        <v>73</v>
      </c>
      <c r="G1420" s="370" t="s">
        <v>604</v>
      </c>
      <c r="H1420" s="461" t="s">
        <v>2037</v>
      </c>
      <c r="I1420" s="538" t="s">
        <v>2037</v>
      </c>
      <c r="J1420" s="594">
        <v>45149</v>
      </c>
      <c r="K1420" s="595">
        <v>0.77083333333333337</v>
      </c>
      <c r="L1420" s="594">
        <v>45149</v>
      </c>
      <c r="M1420" s="595">
        <v>0.79166666666666663</v>
      </c>
      <c r="N1420" s="373">
        <v>0.5</v>
      </c>
      <c r="O1420" s="184" t="s">
        <v>17</v>
      </c>
      <c r="P1420" s="264" t="s">
        <v>1583</v>
      </c>
      <c r="Q1420" s="746" t="s">
        <v>1441</v>
      </c>
      <c r="R1420" s="171" t="s">
        <v>95</v>
      </c>
      <c r="S1420" s="31" t="s">
        <v>273</v>
      </c>
      <c r="T1420" s="31" t="s">
        <v>273</v>
      </c>
      <c r="U1420" s="31">
        <f>IFERROR(VLOOKUP(CONCATENATE(Tabla1[[#This Row],[Severidad]]," ",Tabla1[[#This Row],[Complejidad]]),Catalogos!E$120:G$128,3,FALSE),"")</f>
        <v>64</v>
      </c>
      <c r="V1420" s="31" t="str">
        <f>IF(Tabla1[[#This Row],[Tiempo solución max (hrs)]]&lt;&gt;"",IF(Tabla1[[#This Row],[Tiempo solución max (hrs)]]&gt;=Tabla1[[#This Row],[Tiempo
(Hrs 00/100)]],"cumple","no cumple"),"")</f>
        <v>cumple</v>
      </c>
      <c r="W1420" s="376" t="s">
        <v>1814</v>
      </c>
      <c r="X1420" s="463" t="str">
        <f t="shared" si="141"/>
        <v>SSI</v>
      </c>
      <c r="Y1420" s="459" t="str">
        <f>SUBSTITUTE(Tabla1[[#This Row],[Descripción]],CHAR(10),"    I    ")</f>
        <v>Se actualizó documento Querys SISAI con el detalle encontrado en el Query 4 - Funcionalidad 15</v>
      </c>
      <c r="Z1420" s="464">
        <f>VLOOKUP(Tabla1[[#This Row],[Perfil]],Catalogos!$B$75:$D$100,3,FALSE)*Tabla1[[#This Row],[Tiempo
(Hrs 00/100)]]*1.16</f>
        <v>348</v>
      </c>
    </row>
    <row r="1421" spans="1:26" ht="15" customHeight="1" x14ac:dyDescent="0.3">
      <c r="A1421" s="373" t="s">
        <v>22</v>
      </c>
      <c r="B1421" s="184" t="s">
        <v>23</v>
      </c>
      <c r="C1421" s="183" t="s">
        <v>257</v>
      </c>
      <c r="D1421" s="179"/>
      <c r="E1421" s="373" t="s">
        <v>408</v>
      </c>
      <c r="F1421" s="373" t="s">
        <v>23</v>
      </c>
      <c r="G1421" s="370" t="s">
        <v>604</v>
      </c>
      <c r="H1421" s="461" t="s">
        <v>2038</v>
      </c>
      <c r="I1421" s="538" t="s">
        <v>2039</v>
      </c>
      <c r="J1421" s="594">
        <v>45152</v>
      </c>
      <c r="K1421" s="595">
        <v>0.375</v>
      </c>
      <c r="L1421" s="594">
        <v>45152</v>
      </c>
      <c r="M1421" s="595">
        <v>0.41666666666666669</v>
      </c>
      <c r="N1421" s="373">
        <v>1</v>
      </c>
      <c r="O1421" s="184" t="s">
        <v>17</v>
      </c>
      <c r="P1421" s="264" t="s">
        <v>1583</v>
      </c>
      <c r="Q1421" s="746" t="s">
        <v>1441</v>
      </c>
      <c r="R1421" s="171" t="s">
        <v>95</v>
      </c>
      <c r="S1421" s="31" t="s">
        <v>273</v>
      </c>
      <c r="T1421" s="31" t="s">
        <v>273</v>
      </c>
      <c r="U1421" s="31">
        <f>IFERROR(VLOOKUP(CONCATENATE(Tabla1[[#This Row],[Severidad]]," ",Tabla1[[#This Row],[Complejidad]]),Catalogos!E$120:G$128,3,FALSE),"")</f>
        <v>64</v>
      </c>
      <c r="V1421" s="31" t="str">
        <f>IF(Tabla1[[#This Row],[Tiempo solución max (hrs)]]&lt;&gt;"",IF(Tabla1[[#This Row],[Tiempo solución max (hrs)]]&gt;=Tabla1[[#This Row],[Tiempo
(Hrs 00/100)]],"cumple","no cumple"),"")</f>
        <v>cumple</v>
      </c>
      <c r="W1421" s="376" t="s">
        <v>1814</v>
      </c>
      <c r="X1421" s="463" t="str">
        <f t="shared" si="141"/>
        <v>SSI</v>
      </c>
      <c r="Y1421" s="459" t="str">
        <f>SUBSTITUTE(Tabla1[[#This Row],[Descripción]],CHAR(10),"    I    ")</f>
        <v>Se revisó el Query 1 de la Funcionalidad 16, para obtener las solicitudes gestión interna por solicitud dependencia y se encontro reutilización ('FUNC7DETSOLDASHUTGI_SOLGIXSOLDEPEN_QF7Q4')</v>
      </c>
      <c r="Z1421" s="464">
        <f>VLOOKUP(Tabla1[[#This Row],[Perfil]],Catalogos!$B$75:$D$100,3,FALSE)*Tabla1[[#This Row],[Tiempo
(Hrs 00/100)]]*1.16</f>
        <v>696</v>
      </c>
    </row>
    <row r="1422" spans="1:26" ht="15" customHeight="1" x14ac:dyDescent="0.3">
      <c r="A1422" s="373" t="s">
        <v>22</v>
      </c>
      <c r="B1422" s="184" t="s">
        <v>65</v>
      </c>
      <c r="C1422" s="183" t="s">
        <v>257</v>
      </c>
      <c r="D1422" s="179"/>
      <c r="E1422" s="373" t="s">
        <v>408</v>
      </c>
      <c r="F1422" s="373" t="s">
        <v>73</v>
      </c>
      <c r="G1422" s="370" t="s">
        <v>604</v>
      </c>
      <c r="H1422" s="461" t="s">
        <v>2040</v>
      </c>
      <c r="I1422" s="538" t="s">
        <v>2040</v>
      </c>
      <c r="J1422" s="594">
        <v>45152</v>
      </c>
      <c r="K1422" s="595">
        <v>0.41666666666666669</v>
      </c>
      <c r="L1422" s="594">
        <v>45152</v>
      </c>
      <c r="M1422" s="595">
        <v>0.45833333333333331</v>
      </c>
      <c r="N1422" s="373">
        <v>1</v>
      </c>
      <c r="O1422" s="184" t="s">
        <v>17</v>
      </c>
      <c r="P1422" s="264" t="s">
        <v>1583</v>
      </c>
      <c r="Q1422" s="746" t="s">
        <v>1441</v>
      </c>
      <c r="R1422" s="171" t="s">
        <v>95</v>
      </c>
      <c r="S1422" s="31" t="s">
        <v>273</v>
      </c>
      <c r="T1422" s="31" t="s">
        <v>273</v>
      </c>
      <c r="U1422" s="31">
        <f>IFERROR(VLOOKUP(CONCATENATE(Tabla1[[#This Row],[Severidad]]," ",Tabla1[[#This Row],[Complejidad]]),Catalogos!E$120:G$128,3,FALSE),"")</f>
        <v>64</v>
      </c>
      <c r="V1422" s="31" t="str">
        <f>IF(Tabla1[[#This Row],[Tiempo solución max (hrs)]]&lt;&gt;"",IF(Tabla1[[#This Row],[Tiempo solución max (hrs)]]&gt;=Tabla1[[#This Row],[Tiempo
(Hrs 00/100)]],"cumple","no cumple"),"")</f>
        <v>cumple</v>
      </c>
      <c r="W1422" s="376" t="s">
        <v>1814</v>
      </c>
      <c r="X1422" s="463" t="str">
        <f t="shared" si="141"/>
        <v>SSI</v>
      </c>
      <c r="Y1422" s="459" t="str">
        <f>SUBSTITUTE(Tabla1[[#This Row],[Descripción]],CHAR(10),"    I    ")</f>
        <v>Se actualizó documento Querys SISAI con el detalle encontrado en el Query 1 - Funcionalidad 16</v>
      </c>
      <c r="Z1422" s="464">
        <f>VLOOKUP(Tabla1[[#This Row],[Perfil]],Catalogos!$B$75:$D$100,3,FALSE)*Tabla1[[#This Row],[Tiempo
(Hrs 00/100)]]*1.16</f>
        <v>696</v>
      </c>
    </row>
    <row r="1423" spans="1:26" ht="15" customHeight="1" x14ac:dyDescent="0.3">
      <c r="A1423" s="373" t="s">
        <v>22</v>
      </c>
      <c r="B1423" s="184" t="s">
        <v>23</v>
      </c>
      <c r="C1423" s="183" t="s">
        <v>257</v>
      </c>
      <c r="D1423" s="179"/>
      <c r="E1423" s="373" t="s">
        <v>408</v>
      </c>
      <c r="F1423" s="373" t="s">
        <v>23</v>
      </c>
      <c r="G1423" s="370" t="s">
        <v>604</v>
      </c>
      <c r="H1423" s="461" t="s">
        <v>2041</v>
      </c>
      <c r="I1423" s="538" t="s">
        <v>2042</v>
      </c>
      <c r="J1423" s="706">
        <v>45152</v>
      </c>
      <c r="K1423" s="595">
        <v>0.45833333333333331</v>
      </c>
      <c r="L1423" s="706">
        <v>45152</v>
      </c>
      <c r="M1423" s="781">
        <v>0.5</v>
      </c>
      <c r="N1423" s="370">
        <v>1</v>
      </c>
      <c r="O1423" s="184" t="s">
        <v>17</v>
      </c>
      <c r="P1423" s="535" t="s">
        <v>1583</v>
      </c>
      <c r="Q1423" s="746" t="s">
        <v>1441</v>
      </c>
      <c r="R1423" s="171" t="s">
        <v>95</v>
      </c>
      <c r="S1423" s="31" t="s">
        <v>273</v>
      </c>
      <c r="T1423" s="31" t="s">
        <v>273</v>
      </c>
      <c r="U1423" s="31">
        <f>IFERROR(VLOOKUP(CONCATENATE(Tabla1[[#This Row],[Severidad]]," ",Tabla1[[#This Row],[Complejidad]]),Catalogos!E$120:G$128,3,FALSE),"")</f>
        <v>64</v>
      </c>
      <c r="V1423" s="31" t="str">
        <f>IF(Tabla1[[#This Row],[Tiempo solución max (hrs)]]&lt;&gt;"",IF(Tabla1[[#This Row],[Tiempo solución max (hrs)]]&gt;=Tabla1[[#This Row],[Tiempo
(Hrs 00/100)]],"cumple","no cumple"),"")</f>
        <v>cumple</v>
      </c>
      <c r="W1423" s="376" t="s">
        <v>1814</v>
      </c>
      <c r="X1423" s="377" t="str">
        <f t="shared" si="137"/>
        <v>SSI</v>
      </c>
      <c r="Y1423" t="str">
        <f>SUBSTITUTE(Tabla1[[#This Row],[Descripción]],CHAR(10),"    I    ")</f>
        <v>Se revisó el Query 2 de la Funcionalidad 16, para obtener el seguimiento de cada subfolio en gestión interna por solicitud GI y se encontro reutilización ('FUNC12DASHBOARDFOLIOPENDRPTASEFOLCOMTRANSPA_QF12Q2')</v>
      </c>
      <c r="Z1423" s="142">
        <f>VLOOKUP(Tabla1[[#This Row],[Perfil]],Catalogos!$B$75:$D$100,3,FALSE)*Tabla1[[#This Row],[Tiempo
(Hrs 00/100)]]*1.16</f>
        <v>696</v>
      </c>
    </row>
    <row r="1424" spans="1:26" ht="15" customHeight="1" x14ac:dyDescent="0.3">
      <c r="A1424" s="373" t="s">
        <v>22</v>
      </c>
      <c r="B1424" s="184" t="s">
        <v>65</v>
      </c>
      <c r="C1424" s="183" t="s">
        <v>257</v>
      </c>
      <c r="D1424" s="179"/>
      <c r="E1424" s="373" t="s">
        <v>408</v>
      </c>
      <c r="F1424" s="373" t="s">
        <v>73</v>
      </c>
      <c r="G1424" s="370" t="s">
        <v>604</v>
      </c>
      <c r="H1424" s="461" t="s">
        <v>2043</v>
      </c>
      <c r="I1424" s="538" t="s">
        <v>2043</v>
      </c>
      <c r="J1424" s="706">
        <v>45152</v>
      </c>
      <c r="K1424" s="781">
        <v>0.5</v>
      </c>
      <c r="L1424" s="706">
        <v>45152</v>
      </c>
      <c r="M1424" s="781">
        <v>0.54166666666666663</v>
      </c>
      <c r="N1424" s="370">
        <v>1</v>
      </c>
      <c r="O1424" s="184" t="s">
        <v>17</v>
      </c>
      <c r="P1424" s="535" t="s">
        <v>1583</v>
      </c>
      <c r="Q1424" s="746" t="s">
        <v>1441</v>
      </c>
      <c r="R1424" s="171" t="s">
        <v>95</v>
      </c>
      <c r="S1424" s="31" t="s">
        <v>273</v>
      </c>
      <c r="T1424" s="31" t="s">
        <v>273</v>
      </c>
      <c r="U1424" s="31">
        <f>IFERROR(VLOOKUP(CONCATENATE(Tabla1[[#This Row],[Severidad]]," ",Tabla1[[#This Row],[Complejidad]]),Catalogos!E$120:G$128,3,FALSE),"")</f>
        <v>64</v>
      </c>
      <c r="V1424" s="31" t="str">
        <f>IF(Tabla1[[#This Row],[Tiempo solución max (hrs)]]&lt;&gt;"",IF(Tabla1[[#This Row],[Tiempo solución max (hrs)]]&gt;=Tabla1[[#This Row],[Tiempo
(Hrs 00/100)]],"cumple","no cumple"),"")</f>
        <v>cumple</v>
      </c>
      <c r="W1424" s="376" t="s">
        <v>1814</v>
      </c>
      <c r="X1424" s="377" t="str">
        <f t="shared" si="137"/>
        <v>SSI</v>
      </c>
      <c r="Y1424" t="str">
        <f>SUBSTITUTE(Tabla1[[#This Row],[Descripción]],CHAR(10),"    I    ")</f>
        <v>Se actualizó documento Querys SISAI con el detalle encontrado en el Query 2 - Funcionalidad 16</v>
      </c>
      <c r="Z1424" s="142">
        <f>VLOOKUP(Tabla1[[#This Row],[Perfil]],Catalogos!$B$75:$D$100,3,FALSE)*Tabla1[[#This Row],[Tiempo
(Hrs 00/100)]]*1.16</f>
        <v>696</v>
      </c>
    </row>
    <row r="1425" spans="1:26" ht="15" customHeight="1" x14ac:dyDescent="0.3">
      <c r="A1425" s="373" t="s">
        <v>22</v>
      </c>
      <c r="B1425" s="184" t="s">
        <v>23</v>
      </c>
      <c r="C1425" s="183" t="s">
        <v>257</v>
      </c>
      <c r="D1425" s="179"/>
      <c r="E1425" s="373" t="s">
        <v>408</v>
      </c>
      <c r="F1425" s="373" t="s">
        <v>23</v>
      </c>
      <c r="G1425" s="370" t="s">
        <v>604</v>
      </c>
      <c r="H1425" s="461" t="s">
        <v>2044</v>
      </c>
      <c r="I1425" s="538" t="s">
        <v>2045</v>
      </c>
      <c r="J1425" s="706">
        <v>45152</v>
      </c>
      <c r="K1425" s="781">
        <v>0.54166666666666663</v>
      </c>
      <c r="L1425" s="706">
        <v>45152</v>
      </c>
      <c r="M1425" s="781">
        <v>0.58333333333333337</v>
      </c>
      <c r="N1425" s="370">
        <v>1</v>
      </c>
      <c r="O1425" s="184" t="s">
        <v>17</v>
      </c>
      <c r="P1425" s="535" t="s">
        <v>1583</v>
      </c>
      <c r="Q1425" s="746" t="s">
        <v>1441</v>
      </c>
      <c r="R1425" s="171" t="s">
        <v>95</v>
      </c>
      <c r="S1425" s="31" t="s">
        <v>273</v>
      </c>
      <c r="T1425" s="31" t="s">
        <v>273</v>
      </c>
      <c r="U1425" s="31">
        <f>IFERROR(VLOOKUP(CONCATENATE(Tabla1[[#This Row],[Severidad]]," ",Tabla1[[#This Row],[Complejidad]]),Catalogos!E$120:G$128,3,FALSE),"")</f>
        <v>64</v>
      </c>
      <c r="V1425" s="31" t="str">
        <f>IF(Tabla1[[#This Row],[Tiempo solución max (hrs)]]&lt;&gt;"",IF(Tabla1[[#This Row],[Tiempo solución max (hrs)]]&gt;=Tabla1[[#This Row],[Tiempo
(Hrs 00/100)]],"cumple","no cumple"),"")</f>
        <v>cumple</v>
      </c>
      <c r="W1425" s="376" t="s">
        <v>1814</v>
      </c>
      <c r="X1425" s="377" t="str">
        <f t="shared" si="137"/>
        <v>SSI</v>
      </c>
      <c r="Y1425" t="str">
        <f>SUBSTITUTE(Tabla1[[#This Row],[Descripción]],CHAR(10),"    I    ")</f>
        <v>Se revisó el Query 3 de la Funcionalidad 16, para obtener los adjuntos por subfolio de seguimiento y se encontro reutilización ('FUNC11TURNAFOLIOUNIAD_SOLIXSOLDEPEN_QF11Q1')</v>
      </c>
      <c r="Z1425" s="142">
        <f>VLOOKUP(Tabla1[[#This Row],[Perfil]],Catalogos!$B$75:$D$100,3,FALSE)*Tabla1[[#This Row],[Tiempo
(Hrs 00/100)]]*1.16</f>
        <v>696</v>
      </c>
    </row>
    <row r="1426" spans="1:26" ht="15" customHeight="1" x14ac:dyDescent="0.3">
      <c r="A1426" s="373" t="s">
        <v>22</v>
      </c>
      <c r="B1426" s="184" t="s">
        <v>65</v>
      </c>
      <c r="C1426" s="183" t="s">
        <v>257</v>
      </c>
      <c r="D1426" s="179"/>
      <c r="E1426" s="373" t="s">
        <v>408</v>
      </c>
      <c r="F1426" s="373" t="s">
        <v>73</v>
      </c>
      <c r="G1426" s="370" t="s">
        <v>604</v>
      </c>
      <c r="H1426" s="461" t="s">
        <v>2043</v>
      </c>
      <c r="I1426" s="538" t="s">
        <v>2043</v>
      </c>
      <c r="J1426" s="706">
        <v>45152</v>
      </c>
      <c r="K1426" s="769">
        <v>0.66666666666666663</v>
      </c>
      <c r="L1426" s="706">
        <v>45152</v>
      </c>
      <c r="M1426" s="781">
        <v>0.70833333333333337</v>
      </c>
      <c r="N1426" s="370">
        <v>1</v>
      </c>
      <c r="O1426" s="184" t="s">
        <v>17</v>
      </c>
      <c r="P1426" s="264" t="s">
        <v>1583</v>
      </c>
      <c r="Q1426" s="746" t="s">
        <v>1441</v>
      </c>
      <c r="R1426" s="171" t="s">
        <v>95</v>
      </c>
      <c r="S1426" s="31" t="s">
        <v>273</v>
      </c>
      <c r="T1426" s="31" t="s">
        <v>273</v>
      </c>
      <c r="U1426" s="31">
        <f>IFERROR(VLOOKUP(CONCATENATE(Tabla1[[#This Row],[Severidad]]," ",Tabla1[[#This Row],[Complejidad]]),Catalogos!E$120:G$128,3,FALSE),"")</f>
        <v>64</v>
      </c>
      <c r="V1426" s="31" t="str">
        <f>IF(Tabla1[[#This Row],[Tiempo solución max (hrs)]]&lt;&gt;"",IF(Tabla1[[#This Row],[Tiempo solución max (hrs)]]&gt;=Tabla1[[#This Row],[Tiempo
(Hrs 00/100)]],"cumple","no cumple"),"")</f>
        <v>cumple</v>
      </c>
      <c r="W1426" s="376" t="s">
        <v>1814</v>
      </c>
      <c r="X1426" s="377" t="str">
        <f t="shared" si="137"/>
        <v>SSI</v>
      </c>
      <c r="Y1426" t="str">
        <f>SUBSTITUTE(Tabla1[[#This Row],[Descripción]],CHAR(10),"    I    ")</f>
        <v>Se actualizó documento Querys SISAI con el detalle encontrado en el Query 2 - Funcionalidad 16</v>
      </c>
      <c r="Z1426" s="142">
        <f>VLOOKUP(Tabla1[[#This Row],[Perfil]],Catalogos!$B$75:$D$100,3,FALSE)*Tabla1[[#This Row],[Tiempo
(Hrs 00/100)]]*1.16</f>
        <v>696</v>
      </c>
    </row>
    <row r="1427" spans="1:26" ht="15" customHeight="1" x14ac:dyDescent="0.3">
      <c r="A1427" s="373" t="s">
        <v>22</v>
      </c>
      <c r="B1427" s="184" t="s">
        <v>23</v>
      </c>
      <c r="C1427" s="183" t="s">
        <v>257</v>
      </c>
      <c r="D1427" s="179"/>
      <c r="E1427" s="373" t="s">
        <v>408</v>
      </c>
      <c r="F1427" s="373" t="s">
        <v>23</v>
      </c>
      <c r="G1427" s="370" t="s">
        <v>604</v>
      </c>
      <c r="H1427" s="461" t="s">
        <v>2046</v>
      </c>
      <c r="I1427" s="538" t="s">
        <v>2046</v>
      </c>
      <c r="J1427" s="706">
        <v>45152</v>
      </c>
      <c r="K1427" s="781">
        <v>0.70833333333333337</v>
      </c>
      <c r="L1427" s="706">
        <v>45152</v>
      </c>
      <c r="M1427" s="781">
        <v>0.77083333333333337</v>
      </c>
      <c r="N1427" s="370">
        <v>1.5</v>
      </c>
      <c r="O1427" s="184" t="s">
        <v>17</v>
      </c>
      <c r="P1427" s="264" t="s">
        <v>1583</v>
      </c>
      <c r="Q1427" s="746" t="s">
        <v>1441</v>
      </c>
      <c r="R1427" s="171" t="s">
        <v>95</v>
      </c>
      <c r="S1427" s="31" t="s">
        <v>273</v>
      </c>
      <c r="T1427" s="31" t="s">
        <v>273</v>
      </c>
      <c r="U1427" s="31">
        <f>IFERROR(VLOOKUP(CONCATENATE(Tabla1[[#This Row],[Severidad]]," ",Tabla1[[#This Row],[Complejidad]]),Catalogos!E$120:G$128,3,FALSE),"")</f>
        <v>64</v>
      </c>
      <c r="V1427" s="31" t="str">
        <f>IF(Tabla1[[#This Row],[Tiempo solución max (hrs)]]&lt;&gt;"",IF(Tabla1[[#This Row],[Tiempo solución max (hrs)]]&gt;=Tabla1[[#This Row],[Tiempo
(Hrs 00/100)]],"cumple","no cumple"),"")</f>
        <v>cumple</v>
      </c>
      <c r="W1427" s="376" t="s">
        <v>1814</v>
      </c>
      <c r="X1427" s="377" t="str">
        <f t="shared" ref="X1427:X1490" si="142">IF(C1427&lt;&gt;"",C1427,D1427)</f>
        <v>SSI</v>
      </c>
      <c r="Y1427" t="str">
        <f>SUBSTITUTE(Tabla1[[#This Row],[Descripción]],CHAR(10),"    I    ")</f>
        <v>Se revisó el query 1 de la 15va funcionalidad, se aplican mejoras a query para ejecusión más limpia con un costo menor</v>
      </c>
      <c r="Z1427" s="142">
        <f>VLOOKUP(Tabla1[[#This Row],[Perfil]],Catalogos!$B$75:$D$100,3,FALSE)*Tabla1[[#This Row],[Tiempo
(Hrs 00/100)]]*1.16</f>
        <v>1044</v>
      </c>
    </row>
    <row r="1428" spans="1:26" ht="15" customHeight="1" x14ac:dyDescent="0.3">
      <c r="A1428" s="373" t="s">
        <v>22</v>
      </c>
      <c r="B1428" s="184" t="s">
        <v>23</v>
      </c>
      <c r="C1428" s="183" t="s">
        <v>257</v>
      </c>
      <c r="D1428" s="179"/>
      <c r="E1428" s="373" t="s">
        <v>408</v>
      </c>
      <c r="F1428" s="373" t="s">
        <v>23</v>
      </c>
      <c r="G1428" s="370" t="s">
        <v>604</v>
      </c>
      <c r="H1428" s="461" t="s">
        <v>2047</v>
      </c>
      <c r="I1428" s="538" t="s">
        <v>2048</v>
      </c>
      <c r="J1428" s="706">
        <v>45153</v>
      </c>
      <c r="K1428" s="769">
        <v>0.375</v>
      </c>
      <c r="L1428" s="706">
        <v>45153</v>
      </c>
      <c r="M1428" s="781">
        <v>0.4375</v>
      </c>
      <c r="N1428" s="370">
        <v>1.5</v>
      </c>
      <c r="O1428" s="184" t="s">
        <v>17</v>
      </c>
      <c r="P1428" s="264" t="s">
        <v>1583</v>
      </c>
      <c r="Q1428" s="746" t="s">
        <v>1441</v>
      </c>
      <c r="R1428" s="171" t="s">
        <v>95</v>
      </c>
      <c r="S1428" s="31" t="s">
        <v>273</v>
      </c>
      <c r="T1428" s="31" t="s">
        <v>273</v>
      </c>
      <c r="U1428" s="31">
        <f>IFERROR(VLOOKUP(CONCATENATE(Tabla1[[#This Row],[Severidad]]," ",Tabla1[[#This Row],[Complejidad]]),Catalogos!E$120:G$128,3,FALSE),"")</f>
        <v>64</v>
      </c>
      <c r="V1428" s="31" t="str">
        <f>IF(Tabla1[[#This Row],[Tiempo solución max (hrs)]]&lt;&gt;"",IF(Tabla1[[#This Row],[Tiempo solución max (hrs)]]&gt;=Tabla1[[#This Row],[Tiempo
(Hrs 00/100)]],"cumple","no cumple"),"")</f>
        <v>cumple</v>
      </c>
      <c r="W1428" s="376" t="s">
        <v>1814</v>
      </c>
      <c r="X1428" s="377" t="str">
        <f t="shared" si="142"/>
        <v>SSI</v>
      </c>
      <c r="Y1428" t="str">
        <f>SUBSTITUTE(Tabla1[[#This Row],[Descripción]],CHAR(10),"    I    ")</f>
        <v>Se revisó el query 1 de la 15va funcionalidad, se analizan alternativas de optimización en la herramienta</v>
      </c>
      <c r="Z1428" s="142">
        <f>VLOOKUP(Tabla1[[#This Row],[Perfil]],Catalogos!$B$75:$D$100,3,FALSE)*Tabla1[[#This Row],[Tiempo
(Hrs 00/100)]]*1.16</f>
        <v>1044</v>
      </c>
    </row>
    <row r="1429" spans="1:26" ht="15" customHeight="1" x14ac:dyDescent="0.3">
      <c r="A1429" s="373" t="s">
        <v>22</v>
      </c>
      <c r="B1429" s="184" t="s">
        <v>23</v>
      </c>
      <c r="C1429" s="183" t="s">
        <v>257</v>
      </c>
      <c r="D1429" s="179"/>
      <c r="E1429" s="373" t="s">
        <v>408</v>
      </c>
      <c r="F1429" s="373" t="s">
        <v>23</v>
      </c>
      <c r="G1429" s="370" t="s">
        <v>604</v>
      </c>
      <c r="H1429" s="461" t="s">
        <v>2049</v>
      </c>
      <c r="I1429" s="538" t="s">
        <v>2050</v>
      </c>
      <c r="J1429" s="706">
        <v>45153</v>
      </c>
      <c r="K1429" s="781">
        <v>0.4375</v>
      </c>
      <c r="L1429" s="706">
        <v>45153</v>
      </c>
      <c r="M1429" s="781">
        <v>0.47916666666666669</v>
      </c>
      <c r="N1429" s="370">
        <v>1</v>
      </c>
      <c r="O1429" s="184" t="s">
        <v>17</v>
      </c>
      <c r="P1429" s="264" t="s">
        <v>1583</v>
      </c>
      <c r="Q1429" s="746" t="s">
        <v>1441</v>
      </c>
      <c r="R1429" s="171" t="s">
        <v>95</v>
      </c>
      <c r="S1429" s="31" t="s">
        <v>273</v>
      </c>
      <c r="T1429" s="31" t="s">
        <v>273</v>
      </c>
      <c r="U1429" s="31">
        <f>IFERROR(VLOOKUP(CONCATENATE(Tabla1[[#This Row],[Severidad]]," ",Tabla1[[#This Row],[Complejidad]]),Catalogos!E$120:G$128,3,FALSE),"")</f>
        <v>64</v>
      </c>
      <c r="V1429" s="31" t="str">
        <f>IF(Tabla1[[#This Row],[Tiempo solución max (hrs)]]&lt;&gt;"",IF(Tabla1[[#This Row],[Tiempo solución max (hrs)]]&gt;=Tabla1[[#This Row],[Tiempo
(Hrs 00/100)]],"cumple","no cumple"),"")</f>
        <v>cumple</v>
      </c>
      <c r="W1429" s="376" t="s">
        <v>1814</v>
      </c>
      <c r="X1429" s="377" t="str">
        <f t="shared" si="142"/>
        <v>SSI</v>
      </c>
      <c r="Y1429" t="str">
        <f>SUBSTITUTE(Tabla1[[#This Row],[Descripción]],CHAR(10),"    I    ")</f>
        <v>Se actualizó procedimiento 'FUNC15DASHSOLASIGUT_SOLPENDXCONTUA_QF15Q1' con el query 1 de la fucionalidad 15 mejorado y optimizado</v>
      </c>
      <c r="Z1429" s="142">
        <f>VLOOKUP(Tabla1[[#This Row],[Perfil]],Catalogos!$B$75:$D$100,3,FALSE)*Tabla1[[#This Row],[Tiempo
(Hrs 00/100)]]*1.16</f>
        <v>696</v>
      </c>
    </row>
    <row r="1430" spans="1:26" ht="15" customHeight="1" x14ac:dyDescent="0.3">
      <c r="A1430" s="373" t="s">
        <v>22</v>
      </c>
      <c r="B1430" s="184" t="s">
        <v>23</v>
      </c>
      <c r="C1430" s="183" t="s">
        <v>257</v>
      </c>
      <c r="D1430" s="179"/>
      <c r="E1430" s="373" t="s">
        <v>408</v>
      </c>
      <c r="F1430" s="373" t="s">
        <v>23</v>
      </c>
      <c r="G1430" s="370" t="s">
        <v>604</v>
      </c>
      <c r="H1430" s="461" t="s">
        <v>2051</v>
      </c>
      <c r="I1430" s="538" t="s">
        <v>2051</v>
      </c>
      <c r="J1430" s="706">
        <v>45153</v>
      </c>
      <c r="K1430" s="781">
        <v>0.47916666666666669</v>
      </c>
      <c r="L1430" s="706">
        <v>45153</v>
      </c>
      <c r="M1430" s="781">
        <v>0.52083333333333337</v>
      </c>
      <c r="N1430" s="370">
        <v>1</v>
      </c>
      <c r="O1430" s="184" t="s">
        <v>17</v>
      </c>
      <c r="P1430" s="538" t="s">
        <v>1583</v>
      </c>
      <c r="Q1430" s="746" t="s">
        <v>1441</v>
      </c>
      <c r="R1430" s="171" t="s">
        <v>95</v>
      </c>
      <c r="S1430" s="31" t="s">
        <v>273</v>
      </c>
      <c r="T1430" s="31" t="s">
        <v>273</v>
      </c>
      <c r="U1430" s="31">
        <f>IFERROR(VLOOKUP(CONCATENATE(Tabla1[[#This Row],[Severidad]]," ",Tabla1[[#This Row],[Complejidad]]),Catalogos!E$120:G$128,3,FALSE),"")</f>
        <v>64</v>
      </c>
      <c r="V1430" s="31" t="str">
        <f>IF(Tabla1[[#This Row],[Tiempo solución max (hrs)]]&lt;&gt;"",IF(Tabla1[[#This Row],[Tiempo solución max (hrs)]]&gt;=Tabla1[[#This Row],[Tiempo
(Hrs 00/100)]],"cumple","no cumple"),"")</f>
        <v>cumple</v>
      </c>
      <c r="W1430" s="376" t="s">
        <v>1814</v>
      </c>
      <c r="X1430" s="377" t="str">
        <f t="shared" si="142"/>
        <v>SSI</v>
      </c>
      <c r="Y1430" t="str">
        <f>SUBSTITUTE(Tabla1[[#This Row],[Descripción]],CHAR(10),"    I    ")</f>
        <v>Se repasó el query 1 de la Funcionalidad 3 para optimizarlo con ayuda de la herramienta Toad</v>
      </c>
      <c r="Z1430" s="142">
        <f>VLOOKUP(Tabla1[[#This Row],[Perfil]],Catalogos!$B$75:$D$100,3,FALSE)*Tabla1[[#This Row],[Tiempo
(Hrs 00/100)]]*1.16</f>
        <v>696</v>
      </c>
    </row>
    <row r="1431" spans="1:26" ht="15" customHeight="1" x14ac:dyDescent="0.3">
      <c r="A1431" s="373" t="s">
        <v>22</v>
      </c>
      <c r="B1431" s="184" t="s">
        <v>23</v>
      </c>
      <c r="C1431" s="183" t="s">
        <v>257</v>
      </c>
      <c r="D1431" s="179"/>
      <c r="E1431" s="373" t="s">
        <v>408</v>
      </c>
      <c r="F1431" s="373" t="s">
        <v>23</v>
      </c>
      <c r="G1431" s="370" t="s">
        <v>604</v>
      </c>
      <c r="H1431" s="461" t="s">
        <v>2052</v>
      </c>
      <c r="I1431" s="538" t="s">
        <v>2053</v>
      </c>
      <c r="J1431" s="706">
        <v>45153</v>
      </c>
      <c r="K1431" s="781">
        <v>0.52083333333333337</v>
      </c>
      <c r="L1431" s="706">
        <v>45153</v>
      </c>
      <c r="M1431" s="781">
        <v>0.5625</v>
      </c>
      <c r="N1431" s="370">
        <v>1</v>
      </c>
      <c r="O1431" s="184" t="s">
        <v>17</v>
      </c>
      <c r="P1431" s="538" t="s">
        <v>1583</v>
      </c>
      <c r="Q1431" s="746" t="s">
        <v>1441</v>
      </c>
      <c r="R1431" s="171" t="s">
        <v>95</v>
      </c>
      <c r="S1431" s="31" t="s">
        <v>273</v>
      </c>
      <c r="T1431" s="31" t="s">
        <v>273</v>
      </c>
      <c r="U1431" s="31">
        <f>IFERROR(VLOOKUP(CONCATENATE(Tabla1[[#This Row],[Severidad]]," ",Tabla1[[#This Row],[Complejidad]]),Catalogos!E$120:G$128,3,FALSE),"")</f>
        <v>64</v>
      </c>
      <c r="V1431" s="31" t="str">
        <f>IF(Tabla1[[#This Row],[Tiempo solución max (hrs)]]&lt;&gt;"",IF(Tabla1[[#This Row],[Tiempo solución max (hrs)]]&gt;=Tabla1[[#This Row],[Tiempo
(Hrs 00/100)]],"cumple","no cumple"),"")</f>
        <v>cumple</v>
      </c>
      <c r="W1431" s="376" t="s">
        <v>1814</v>
      </c>
      <c r="X1431" s="377" t="str">
        <f t="shared" si="142"/>
        <v>SSI</v>
      </c>
      <c r="Y1431" t="str">
        <f>SUBSTITUTE(Tabla1[[#This Row],[Descripción]],CHAR(10),"    I    ")</f>
        <v xml:space="preserve">Si se encuentra mejora a menor costo, se actualiza query mejorado en procedimiento 'FUNC3DETSOLDASH_SOLICDEPEN_QF3Q1' de la Funcionalidad 3 </v>
      </c>
      <c r="Z1431" s="142">
        <f>VLOOKUP(Tabla1[[#This Row],[Perfil]],Catalogos!$B$75:$D$100,3,FALSE)*Tabla1[[#This Row],[Tiempo
(Hrs 00/100)]]*1.16</f>
        <v>696</v>
      </c>
    </row>
    <row r="1432" spans="1:26" ht="15" customHeight="1" x14ac:dyDescent="0.3">
      <c r="A1432" s="373" t="s">
        <v>22</v>
      </c>
      <c r="B1432" s="184" t="s">
        <v>23</v>
      </c>
      <c r="C1432" s="183" t="s">
        <v>257</v>
      </c>
      <c r="D1432" s="179"/>
      <c r="E1432" s="373" t="s">
        <v>408</v>
      </c>
      <c r="F1432" s="373" t="s">
        <v>23</v>
      </c>
      <c r="G1432" s="370" t="s">
        <v>604</v>
      </c>
      <c r="H1432" s="461" t="s">
        <v>2054</v>
      </c>
      <c r="I1432" s="538" t="s">
        <v>2054</v>
      </c>
      <c r="J1432" s="706">
        <v>45153</v>
      </c>
      <c r="K1432" s="781">
        <v>0.5625</v>
      </c>
      <c r="L1432" s="706">
        <v>45153</v>
      </c>
      <c r="M1432" s="781">
        <v>0.60416666666666663</v>
      </c>
      <c r="N1432" s="370">
        <v>1</v>
      </c>
      <c r="O1432" s="184" t="s">
        <v>17</v>
      </c>
      <c r="P1432" s="538" t="s">
        <v>1583</v>
      </c>
      <c r="Q1432" s="746" t="s">
        <v>1441</v>
      </c>
      <c r="R1432" s="171" t="s">
        <v>95</v>
      </c>
      <c r="S1432" s="31" t="s">
        <v>273</v>
      </c>
      <c r="T1432" s="31" t="s">
        <v>273</v>
      </c>
      <c r="U1432" s="31">
        <f>IFERROR(VLOOKUP(CONCATENATE(Tabla1[[#This Row],[Severidad]]," ",Tabla1[[#This Row],[Complejidad]]),Catalogos!E$120:G$128,3,FALSE),"")</f>
        <v>64</v>
      </c>
      <c r="V1432" s="31" t="str">
        <f>IF(Tabla1[[#This Row],[Tiempo solución max (hrs)]]&lt;&gt;"",IF(Tabla1[[#This Row],[Tiempo solución max (hrs)]]&gt;=Tabla1[[#This Row],[Tiempo
(Hrs 00/100)]],"cumple","no cumple"),"")</f>
        <v>cumple</v>
      </c>
      <c r="W1432" s="376" t="s">
        <v>1814</v>
      </c>
      <c r="X1432" s="377" t="str">
        <f t="shared" si="142"/>
        <v>SSI</v>
      </c>
      <c r="Y1432" t="str">
        <f>SUBSTITUTE(Tabla1[[#This Row],[Descripción]],CHAR(10),"    I    ")</f>
        <v>Se repasó el query 2 de la Funcionalidad 3 para optimizarlo con ayuda de la herramienta Toad</v>
      </c>
      <c r="Z1432" s="142">
        <f>VLOOKUP(Tabla1[[#This Row],[Perfil]],Catalogos!$B$75:$D$100,3,FALSE)*Tabla1[[#This Row],[Tiempo
(Hrs 00/100)]]*1.16</f>
        <v>696</v>
      </c>
    </row>
    <row r="1433" spans="1:26" ht="15" customHeight="1" x14ac:dyDescent="0.3">
      <c r="A1433" s="373" t="s">
        <v>22</v>
      </c>
      <c r="B1433" s="184" t="s">
        <v>23</v>
      </c>
      <c r="C1433" s="183" t="s">
        <v>257</v>
      </c>
      <c r="D1433" s="179"/>
      <c r="E1433" s="373" t="s">
        <v>408</v>
      </c>
      <c r="F1433" s="373" t="s">
        <v>23</v>
      </c>
      <c r="G1433" s="370" t="s">
        <v>604</v>
      </c>
      <c r="H1433" s="461" t="s">
        <v>2055</v>
      </c>
      <c r="I1433" s="538" t="s">
        <v>2056</v>
      </c>
      <c r="J1433" s="706">
        <v>45153</v>
      </c>
      <c r="K1433" s="769">
        <v>0.66666666666666663</v>
      </c>
      <c r="L1433" s="706">
        <v>45153</v>
      </c>
      <c r="M1433" s="781">
        <v>0.70833333333333337</v>
      </c>
      <c r="N1433" s="370">
        <v>1</v>
      </c>
      <c r="O1433" s="184" t="s">
        <v>17</v>
      </c>
      <c r="P1433" s="538" t="s">
        <v>1583</v>
      </c>
      <c r="Q1433" s="746" t="s">
        <v>1441</v>
      </c>
      <c r="R1433" s="171" t="s">
        <v>95</v>
      </c>
      <c r="S1433" s="31" t="s">
        <v>273</v>
      </c>
      <c r="T1433" s="31" t="s">
        <v>273</v>
      </c>
      <c r="U1433" s="31">
        <f>IFERROR(VLOOKUP(CONCATENATE(Tabla1[[#This Row],[Severidad]]," ",Tabla1[[#This Row],[Complejidad]]),Catalogos!E$120:G$128,3,FALSE),"")</f>
        <v>64</v>
      </c>
      <c r="V1433" s="31" t="str">
        <f>IF(Tabla1[[#This Row],[Tiempo solución max (hrs)]]&lt;&gt;"",IF(Tabla1[[#This Row],[Tiempo solución max (hrs)]]&gt;=Tabla1[[#This Row],[Tiempo
(Hrs 00/100)]],"cumple","no cumple"),"")</f>
        <v>cumple</v>
      </c>
      <c r="W1433" s="376" t="s">
        <v>1814</v>
      </c>
      <c r="X1433" s="377" t="str">
        <f t="shared" si="142"/>
        <v>SSI</v>
      </c>
      <c r="Y1433" t="str">
        <f>SUBSTITUTE(Tabla1[[#This Row],[Descripción]],CHAR(10),"    I    ")</f>
        <v>Si se encuentra mejora a menor costo, se actualiza query mejorado en procedimiento 'FUNC3DETSOLDASH_ADJUNTXSOLIC_QF3Q2' de la Funcionalidad 3</v>
      </c>
      <c r="Z1433" s="142">
        <f>VLOOKUP(Tabla1[[#This Row],[Perfil]],Catalogos!$B$75:$D$100,3,FALSE)*Tabla1[[#This Row],[Tiempo
(Hrs 00/100)]]*1.16</f>
        <v>696</v>
      </c>
    </row>
    <row r="1434" spans="1:26" ht="15" customHeight="1" x14ac:dyDescent="0.3">
      <c r="A1434" s="373" t="s">
        <v>22</v>
      </c>
      <c r="B1434" s="184" t="s">
        <v>23</v>
      </c>
      <c r="C1434" s="183" t="s">
        <v>257</v>
      </c>
      <c r="D1434" s="179"/>
      <c r="E1434" s="373" t="s">
        <v>408</v>
      </c>
      <c r="F1434" s="373" t="s">
        <v>23</v>
      </c>
      <c r="G1434" s="370" t="s">
        <v>604</v>
      </c>
      <c r="H1434" s="461" t="s">
        <v>2057</v>
      </c>
      <c r="I1434" s="538" t="s">
        <v>2057</v>
      </c>
      <c r="J1434" s="706">
        <v>45153</v>
      </c>
      <c r="K1434" s="781">
        <v>0.70833333333333337</v>
      </c>
      <c r="L1434" s="706">
        <v>45153</v>
      </c>
      <c r="M1434" s="781">
        <v>0.75</v>
      </c>
      <c r="N1434" s="370">
        <v>1</v>
      </c>
      <c r="O1434" s="184" t="s">
        <v>17</v>
      </c>
      <c r="P1434" s="538" t="s">
        <v>1583</v>
      </c>
      <c r="Q1434" s="746" t="s">
        <v>1441</v>
      </c>
      <c r="R1434" s="171" t="s">
        <v>95</v>
      </c>
      <c r="S1434" s="31" t="s">
        <v>273</v>
      </c>
      <c r="T1434" s="31" t="s">
        <v>273</v>
      </c>
      <c r="U1434" s="31">
        <f>IFERROR(VLOOKUP(CONCATENATE(Tabla1[[#This Row],[Severidad]]," ",Tabla1[[#This Row],[Complejidad]]),Catalogos!E$120:G$128,3,FALSE),"")</f>
        <v>64</v>
      </c>
      <c r="V1434" s="31" t="str">
        <f>IF(Tabla1[[#This Row],[Tiempo solución max (hrs)]]&lt;&gt;"",IF(Tabla1[[#This Row],[Tiempo solución max (hrs)]]&gt;=Tabla1[[#This Row],[Tiempo
(Hrs 00/100)]],"cumple","no cumple"),"")</f>
        <v>cumple</v>
      </c>
      <c r="W1434" s="376" t="s">
        <v>1814</v>
      </c>
      <c r="X1434" s="377" t="str">
        <f t="shared" si="142"/>
        <v>SSI</v>
      </c>
      <c r="Y1434" t="str">
        <f>SUBSTITUTE(Tabla1[[#This Row],[Descripción]],CHAR(10),"    I    ")</f>
        <v>Se repasó el query 3 de la Funcionalidad 3 para optimizarlo con ayuda de la herramienta Toad</v>
      </c>
      <c r="Z1434" s="142">
        <f>VLOOKUP(Tabla1[[#This Row],[Perfil]],Catalogos!$B$75:$D$100,3,FALSE)*Tabla1[[#This Row],[Tiempo
(Hrs 00/100)]]*1.16</f>
        <v>696</v>
      </c>
    </row>
    <row r="1435" spans="1:26" ht="15" customHeight="1" x14ac:dyDescent="0.3">
      <c r="A1435" s="373" t="s">
        <v>22</v>
      </c>
      <c r="B1435" s="184" t="s">
        <v>23</v>
      </c>
      <c r="C1435" s="183" t="s">
        <v>257</v>
      </c>
      <c r="D1435" s="179"/>
      <c r="E1435" s="373" t="s">
        <v>408</v>
      </c>
      <c r="F1435" s="373" t="s">
        <v>23</v>
      </c>
      <c r="G1435" s="370" t="s">
        <v>604</v>
      </c>
      <c r="H1435" s="461" t="s">
        <v>2058</v>
      </c>
      <c r="I1435" s="538" t="s">
        <v>2059</v>
      </c>
      <c r="J1435" s="706">
        <v>45153</v>
      </c>
      <c r="K1435" s="781">
        <v>0.75</v>
      </c>
      <c r="L1435" s="706">
        <v>45153</v>
      </c>
      <c r="M1435" s="781">
        <v>0.79166666666666663</v>
      </c>
      <c r="N1435" s="370">
        <v>1</v>
      </c>
      <c r="O1435" s="184" t="s">
        <v>17</v>
      </c>
      <c r="P1435" s="538" t="s">
        <v>1583</v>
      </c>
      <c r="Q1435" s="746" t="s">
        <v>1441</v>
      </c>
      <c r="R1435" s="171" t="s">
        <v>95</v>
      </c>
      <c r="S1435" s="31" t="s">
        <v>273</v>
      </c>
      <c r="T1435" s="31" t="s">
        <v>273</v>
      </c>
      <c r="U1435" s="31">
        <f>IFERROR(VLOOKUP(CONCATENATE(Tabla1[[#This Row],[Severidad]]," ",Tabla1[[#This Row],[Complejidad]]),Catalogos!E$120:G$128,3,FALSE),"")</f>
        <v>64</v>
      </c>
      <c r="V1435" s="31" t="str">
        <f>IF(Tabla1[[#This Row],[Tiempo solución max (hrs)]]&lt;&gt;"",IF(Tabla1[[#This Row],[Tiempo solución max (hrs)]]&gt;=Tabla1[[#This Row],[Tiempo
(Hrs 00/100)]],"cumple","no cumple"),"")</f>
        <v>cumple</v>
      </c>
      <c r="W1435" s="376" t="s">
        <v>1814</v>
      </c>
      <c r="X1435" s="377" t="str">
        <f t="shared" si="142"/>
        <v>SSI</v>
      </c>
      <c r="Y1435" t="str">
        <f>SUBSTITUTE(Tabla1[[#This Row],[Descripción]],CHAR(10),"    I    ")</f>
        <v>Si se encuentra mejora a menor costo, se actualiza query mejorado en procedimiento 'FUNC3DETSOLDASH_RESPUXSOLICDEP_QF3Q3' de la Funcionalidad 3</v>
      </c>
      <c r="Z1435" s="142">
        <f>VLOOKUP(Tabla1[[#This Row],[Perfil]],Catalogos!$B$75:$D$100,3,FALSE)*Tabla1[[#This Row],[Tiempo
(Hrs 00/100)]]*1.16</f>
        <v>696</v>
      </c>
    </row>
    <row r="1436" spans="1:26" ht="15" customHeight="1" x14ac:dyDescent="0.3">
      <c r="A1436" s="373" t="s">
        <v>22</v>
      </c>
      <c r="B1436" s="184" t="s">
        <v>23</v>
      </c>
      <c r="C1436" s="183" t="s">
        <v>257</v>
      </c>
      <c r="D1436" s="179"/>
      <c r="E1436" s="373" t="s">
        <v>408</v>
      </c>
      <c r="F1436" s="373" t="s">
        <v>23</v>
      </c>
      <c r="G1436" s="370" t="s">
        <v>604</v>
      </c>
      <c r="H1436" s="461" t="s">
        <v>2060</v>
      </c>
      <c r="I1436" s="538" t="s">
        <v>2061</v>
      </c>
      <c r="J1436" s="706">
        <v>45154</v>
      </c>
      <c r="K1436" s="769">
        <v>0.375</v>
      </c>
      <c r="L1436" s="706">
        <v>45154</v>
      </c>
      <c r="M1436" s="781">
        <v>0.41666666666666669</v>
      </c>
      <c r="N1436" s="370">
        <v>1</v>
      </c>
      <c r="O1436" s="184" t="s">
        <v>17</v>
      </c>
      <c r="P1436" s="538" t="s">
        <v>1583</v>
      </c>
      <c r="Q1436" s="746" t="s">
        <v>1441</v>
      </c>
      <c r="R1436" s="171" t="s">
        <v>95</v>
      </c>
      <c r="S1436" s="31" t="s">
        <v>273</v>
      </c>
      <c r="T1436" s="31" t="s">
        <v>273</v>
      </c>
      <c r="U1436" s="31">
        <f>IFERROR(VLOOKUP(CONCATENATE(Tabla1[[#This Row],[Severidad]]," ",Tabla1[[#This Row],[Complejidad]]),Catalogos!E$120:G$128,3,FALSE),"")</f>
        <v>64</v>
      </c>
      <c r="V1436" s="31" t="str">
        <f>IF(Tabla1[[#This Row],[Tiempo solución max (hrs)]]&lt;&gt;"",IF(Tabla1[[#This Row],[Tiempo solución max (hrs)]]&gt;=Tabla1[[#This Row],[Tiempo
(Hrs 00/100)]],"cumple","no cumple"),"")</f>
        <v>cumple</v>
      </c>
      <c r="W1436" s="376" t="s">
        <v>1814</v>
      </c>
      <c r="X1436" s="377" t="str">
        <f t="shared" si="142"/>
        <v>SSI</v>
      </c>
      <c r="Y1436" t="str">
        <f>SUBSTITUTE(Tabla1[[#This Row],[Descripción]],CHAR(10),"    I    ")</f>
        <v>Se repasó el query 4 de la Funcionalidad 3 para optimizarlo con ayuda de la herramienta Toad</v>
      </c>
      <c r="Z1436" s="142">
        <f>VLOOKUP(Tabla1[[#This Row],[Perfil]],Catalogos!$B$75:$D$100,3,FALSE)*Tabla1[[#This Row],[Tiempo
(Hrs 00/100)]]*1.16</f>
        <v>696</v>
      </c>
    </row>
    <row r="1437" spans="1:26" ht="15" customHeight="1" x14ac:dyDescent="0.3">
      <c r="A1437" s="373" t="s">
        <v>22</v>
      </c>
      <c r="B1437" s="184" t="s">
        <v>23</v>
      </c>
      <c r="C1437" s="183" t="s">
        <v>257</v>
      </c>
      <c r="D1437" s="179"/>
      <c r="E1437" s="373" t="s">
        <v>408</v>
      </c>
      <c r="F1437" s="373" t="s">
        <v>23</v>
      </c>
      <c r="G1437" s="370" t="s">
        <v>604</v>
      </c>
      <c r="H1437" s="461" t="s">
        <v>2062</v>
      </c>
      <c r="I1437" s="538" t="s">
        <v>2063</v>
      </c>
      <c r="J1437" s="706">
        <v>45154</v>
      </c>
      <c r="K1437" s="781">
        <v>0.41666666666666669</v>
      </c>
      <c r="L1437" s="706">
        <v>45154</v>
      </c>
      <c r="M1437" s="781">
        <v>0.45833333333333331</v>
      </c>
      <c r="N1437" s="370">
        <v>1</v>
      </c>
      <c r="O1437" s="184" t="s">
        <v>17</v>
      </c>
      <c r="P1437" s="538" t="s">
        <v>1583</v>
      </c>
      <c r="Q1437" s="746" t="s">
        <v>1441</v>
      </c>
      <c r="R1437" s="171" t="s">
        <v>95</v>
      </c>
      <c r="S1437" s="31" t="s">
        <v>273</v>
      </c>
      <c r="T1437" s="31" t="s">
        <v>273</v>
      </c>
      <c r="U1437" s="31">
        <f>IFERROR(VLOOKUP(CONCATENATE(Tabla1[[#This Row],[Severidad]]," ",Tabla1[[#This Row],[Complejidad]]),Catalogos!E$120:G$128,3,FALSE),"")</f>
        <v>64</v>
      </c>
      <c r="V1437" s="31" t="str">
        <f>IF(Tabla1[[#This Row],[Tiempo solución max (hrs)]]&lt;&gt;"",IF(Tabla1[[#This Row],[Tiempo solución max (hrs)]]&gt;=Tabla1[[#This Row],[Tiempo
(Hrs 00/100)]],"cumple","no cumple"),"")</f>
        <v>cumple</v>
      </c>
      <c r="W1437" s="376" t="s">
        <v>1814</v>
      </c>
      <c r="X1437" s="377" t="str">
        <f t="shared" si="142"/>
        <v>SSI</v>
      </c>
      <c r="Y1437" t="str">
        <f>SUBSTITUTE(Tabla1[[#This Row],[Descripción]],CHAR(10),"    I    ")</f>
        <v>Si se encuentra mejora a menor costo, se actualiza query mejorado en procedimiento 'FUNC3DETSOLDASH_ADJUNTOXIDRESP_QF3Q4' de la Funcionalidad 3</v>
      </c>
      <c r="Z1437" s="142">
        <f>VLOOKUP(Tabla1[[#This Row],[Perfil]],Catalogos!$B$75:$D$100,3,FALSE)*Tabla1[[#This Row],[Tiempo
(Hrs 00/100)]]*1.16</f>
        <v>696</v>
      </c>
    </row>
    <row r="1438" spans="1:26" ht="35.25" customHeight="1" x14ac:dyDescent="0.3">
      <c r="A1438" s="373" t="s">
        <v>22</v>
      </c>
      <c r="B1438" s="184" t="s">
        <v>23</v>
      </c>
      <c r="C1438" s="183" t="s">
        <v>257</v>
      </c>
      <c r="D1438" s="179"/>
      <c r="E1438" s="373" t="s">
        <v>408</v>
      </c>
      <c r="F1438" s="373" t="s">
        <v>23</v>
      </c>
      <c r="G1438" s="370" t="s">
        <v>604</v>
      </c>
      <c r="H1438" s="461" t="s">
        <v>2064</v>
      </c>
      <c r="I1438" s="538" t="s">
        <v>2065</v>
      </c>
      <c r="J1438" s="706">
        <v>45154</v>
      </c>
      <c r="K1438" s="781">
        <v>0.45833333333333331</v>
      </c>
      <c r="L1438" s="706">
        <v>45154</v>
      </c>
      <c r="M1438" s="781">
        <v>0.5</v>
      </c>
      <c r="N1438" s="370">
        <v>1</v>
      </c>
      <c r="O1438" s="184" t="s">
        <v>17</v>
      </c>
      <c r="P1438" s="538" t="s">
        <v>1583</v>
      </c>
      <c r="Q1438" s="746" t="s">
        <v>1441</v>
      </c>
      <c r="R1438" s="171" t="s">
        <v>95</v>
      </c>
      <c r="S1438" s="31" t="s">
        <v>273</v>
      </c>
      <c r="T1438" s="31" t="s">
        <v>273</v>
      </c>
      <c r="U1438" s="31">
        <f>IFERROR(VLOOKUP(CONCATENATE(Tabla1[[#This Row],[Severidad]]," ",Tabla1[[#This Row],[Complejidad]]),Catalogos!E$120:G$128,3,FALSE),"")</f>
        <v>64</v>
      </c>
      <c r="V1438" s="31" t="str">
        <f>IF(Tabla1[[#This Row],[Tiempo solución max (hrs)]]&lt;&gt;"",IF(Tabla1[[#This Row],[Tiempo solución max (hrs)]]&gt;=Tabla1[[#This Row],[Tiempo
(Hrs 00/100)]],"cumple","no cumple"),"")</f>
        <v>cumple</v>
      </c>
      <c r="W1438" s="376" t="s">
        <v>1814</v>
      </c>
      <c r="X1438" s="377" t="str">
        <f t="shared" si="142"/>
        <v>SSI</v>
      </c>
      <c r="Y1438" t="str">
        <f>SUBSTITUTE(Tabla1[[#This Row],[Descripción]],CHAR(10),"    I    ")</f>
        <v>Se repasó el query 5 de la Funcionalidad 3 para optimizarlo con ayuda de la herramienta Toad</v>
      </c>
      <c r="Z1438" s="142">
        <f>VLOOKUP(Tabla1[[#This Row],[Perfil]],Catalogos!$B$75:$D$100,3,FALSE)*Tabla1[[#This Row],[Tiempo
(Hrs 00/100)]]*1.16</f>
        <v>696</v>
      </c>
    </row>
    <row r="1439" spans="1:26" ht="15" customHeight="1" x14ac:dyDescent="0.3">
      <c r="A1439" s="373" t="s">
        <v>22</v>
      </c>
      <c r="B1439" s="184" t="s">
        <v>23</v>
      </c>
      <c r="C1439" s="183" t="s">
        <v>257</v>
      </c>
      <c r="D1439" s="179"/>
      <c r="E1439" s="373" t="s">
        <v>408</v>
      </c>
      <c r="F1439" s="373" t="s">
        <v>23</v>
      </c>
      <c r="G1439" s="370" t="s">
        <v>604</v>
      </c>
      <c r="H1439" s="461" t="s">
        <v>2066</v>
      </c>
      <c r="I1439" s="538" t="s">
        <v>2067</v>
      </c>
      <c r="J1439" s="706">
        <v>45154</v>
      </c>
      <c r="K1439" s="781">
        <v>0.5</v>
      </c>
      <c r="L1439" s="706">
        <v>45154</v>
      </c>
      <c r="M1439" s="781">
        <v>0.54166666666666663</v>
      </c>
      <c r="N1439" s="370">
        <v>1</v>
      </c>
      <c r="O1439" s="184" t="s">
        <v>17</v>
      </c>
      <c r="P1439" s="538" t="s">
        <v>1583</v>
      </c>
      <c r="Q1439" s="746" t="s">
        <v>1441</v>
      </c>
      <c r="R1439" s="171" t="s">
        <v>95</v>
      </c>
      <c r="S1439" s="31" t="s">
        <v>273</v>
      </c>
      <c r="T1439" s="31" t="s">
        <v>273</v>
      </c>
      <c r="U1439" s="31">
        <f>IFERROR(VLOOKUP(CONCATENATE(Tabla1[[#This Row],[Severidad]]," ",Tabla1[[#This Row],[Complejidad]]),Catalogos!E$120:G$128,3,FALSE),"")</f>
        <v>64</v>
      </c>
      <c r="V1439" s="31" t="str">
        <f>IF(Tabla1[[#This Row],[Tiempo solución max (hrs)]]&lt;&gt;"",IF(Tabla1[[#This Row],[Tiempo solución max (hrs)]]&gt;=Tabla1[[#This Row],[Tiempo
(Hrs 00/100)]],"cumple","no cumple"),"")</f>
        <v>cumple</v>
      </c>
      <c r="W1439" s="376" t="s">
        <v>1814</v>
      </c>
      <c r="X1439" s="377" t="str">
        <f t="shared" si="142"/>
        <v>SSI</v>
      </c>
      <c r="Y1439" t="str">
        <f>SUBSTITUTE(Tabla1[[#This Row],[Descripción]],CHAR(10),"    I    ")</f>
        <v>Si se encuentra mejora a menor costo, se actualiza query mejorado en procedimiento 'FUNC3DETSOLDASH_NOTIFDISPONIBXRESP_QF3Q5' de la Funcionalidad 3</v>
      </c>
      <c r="Z1439" s="142">
        <f>VLOOKUP(Tabla1[[#This Row],[Perfil]],Catalogos!$B$75:$D$100,3,FALSE)*Tabla1[[#This Row],[Tiempo
(Hrs 00/100)]]*1.16</f>
        <v>696</v>
      </c>
    </row>
    <row r="1440" spans="1:26" ht="15" customHeight="1" x14ac:dyDescent="0.3">
      <c r="A1440" s="373" t="s">
        <v>22</v>
      </c>
      <c r="B1440" s="184" t="s">
        <v>23</v>
      </c>
      <c r="C1440" s="183" t="s">
        <v>257</v>
      </c>
      <c r="D1440" s="179"/>
      <c r="E1440" s="373" t="s">
        <v>408</v>
      </c>
      <c r="F1440" s="373" t="s">
        <v>23</v>
      </c>
      <c r="G1440" s="370" t="s">
        <v>604</v>
      </c>
      <c r="H1440" s="461" t="s">
        <v>2068</v>
      </c>
      <c r="I1440" s="538" t="s">
        <v>2069</v>
      </c>
      <c r="J1440" s="706">
        <v>45154</v>
      </c>
      <c r="K1440" s="781">
        <v>0.54166666666666663</v>
      </c>
      <c r="L1440" s="706">
        <v>45154</v>
      </c>
      <c r="M1440" s="781">
        <v>0.58333333333333337</v>
      </c>
      <c r="N1440" s="370">
        <v>1</v>
      </c>
      <c r="O1440" s="184" t="s">
        <v>17</v>
      </c>
      <c r="P1440" s="538" t="s">
        <v>1583</v>
      </c>
      <c r="Q1440" s="746" t="s">
        <v>1441</v>
      </c>
      <c r="R1440" s="171" t="s">
        <v>95</v>
      </c>
      <c r="S1440" s="31" t="s">
        <v>273</v>
      </c>
      <c r="T1440" s="31" t="s">
        <v>273</v>
      </c>
      <c r="U1440" s="31">
        <f>IFERROR(VLOOKUP(CONCATENATE(Tabla1[[#This Row],[Severidad]]," ",Tabla1[[#This Row],[Complejidad]]),Catalogos!E$120:G$128,3,FALSE),"")</f>
        <v>64</v>
      </c>
      <c r="V1440" s="31" t="str">
        <f>IF(Tabla1[[#This Row],[Tiempo solución max (hrs)]]&lt;&gt;"",IF(Tabla1[[#This Row],[Tiempo solución max (hrs)]]&gt;=Tabla1[[#This Row],[Tiempo
(Hrs 00/100)]],"cumple","no cumple"),"")</f>
        <v>cumple</v>
      </c>
      <c r="W1440" s="376" t="s">
        <v>1814</v>
      </c>
      <c r="X1440" s="377" t="str">
        <f t="shared" si="142"/>
        <v>SSI</v>
      </c>
      <c r="Y1440" t="str">
        <f>SUBSTITUTE(Tabla1[[#This Row],[Descripción]],CHAR(10),"    I    ")</f>
        <v>Se repasó el query 6 de la Funcionalidad 3 para optimizarlo con ayuda de la herramienta Toad</v>
      </c>
      <c r="Z1440" s="142">
        <f>VLOOKUP(Tabla1[[#This Row],[Perfil]],Catalogos!$B$75:$D$100,3,FALSE)*Tabla1[[#This Row],[Tiempo
(Hrs 00/100)]]*1.16</f>
        <v>696</v>
      </c>
    </row>
    <row r="1441" spans="1:26" ht="15" customHeight="1" x14ac:dyDescent="0.3">
      <c r="A1441" s="373" t="s">
        <v>22</v>
      </c>
      <c r="B1441" s="184" t="s">
        <v>23</v>
      </c>
      <c r="C1441" s="183" t="s">
        <v>257</v>
      </c>
      <c r="D1441" s="179"/>
      <c r="E1441" s="373" t="s">
        <v>408</v>
      </c>
      <c r="F1441" s="373" t="s">
        <v>23</v>
      </c>
      <c r="G1441" s="370" t="s">
        <v>604</v>
      </c>
      <c r="H1441" s="461" t="s">
        <v>2070</v>
      </c>
      <c r="I1441" s="538" t="s">
        <v>2071</v>
      </c>
      <c r="J1441" s="706">
        <v>45154</v>
      </c>
      <c r="K1441" s="781">
        <v>0.58333333333333337</v>
      </c>
      <c r="L1441" s="706">
        <v>45154</v>
      </c>
      <c r="M1441" s="781">
        <v>0.625</v>
      </c>
      <c r="N1441" s="370">
        <v>1</v>
      </c>
      <c r="O1441" s="184" t="s">
        <v>17</v>
      </c>
      <c r="P1441" s="538" t="s">
        <v>1583</v>
      </c>
      <c r="Q1441" s="746" t="s">
        <v>1441</v>
      </c>
      <c r="R1441" s="171" t="s">
        <v>95</v>
      </c>
      <c r="S1441" s="31" t="s">
        <v>273</v>
      </c>
      <c r="T1441" s="31" t="s">
        <v>273</v>
      </c>
      <c r="U1441" s="31">
        <f>IFERROR(VLOOKUP(CONCATENATE(Tabla1[[#This Row],[Severidad]]," ",Tabla1[[#This Row],[Complejidad]]),Catalogos!E$120:G$128,3,FALSE),"")</f>
        <v>64</v>
      </c>
      <c r="V1441" s="31" t="str">
        <f>IF(Tabla1[[#This Row],[Tiempo solución max (hrs)]]&lt;&gt;"",IF(Tabla1[[#This Row],[Tiempo solución max (hrs)]]&gt;=Tabla1[[#This Row],[Tiempo
(Hrs 00/100)]],"cumple","no cumple"),"")</f>
        <v>cumple</v>
      </c>
      <c r="W1441" s="376" t="s">
        <v>1814</v>
      </c>
      <c r="X1441" s="377" t="str">
        <f t="shared" si="142"/>
        <v>SSI</v>
      </c>
      <c r="Y1441" t="str">
        <f>SUBSTITUTE(Tabla1[[#This Row],[Descripción]],CHAR(10),"    I    ")</f>
        <v>Si se encuentra mejora a menor costo, se actualiza query mejorado en procedimiento 'FUNC3DETSOLDASH_COMPETENXRESP_QF3Q6' de la Funcionalidad 3</v>
      </c>
      <c r="Z1441" s="142">
        <f>VLOOKUP(Tabla1[[#This Row],[Perfil]],Catalogos!$B$75:$D$100,3,FALSE)*Tabla1[[#This Row],[Tiempo
(Hrs 00/100)]]*1.16</f>
        <v>696</v>
      </c>
    </row>
    <row r="1442" spans="1:26" ht="15" customHeight="1" x14ac:dyDescent="0.3">
      <c r="A1442" s="373" t="s">
        <v>22</v>
      </c>
      <c r="B1442" s="184" t="s">
        <v>23</v>
      </c>
      <c r="C1442" s="183" t="s">
        <v>257</v>
      </c>
      <c r="D1442" s="179"/>
      <c r="E1442" s="373" t="s">
        <v>408</v>
      </c>
      <c r="F1442" s="373" t="s">
        <v>23</v>
      </c>
      <c r="G1442" s="370" t="s">
        <v>604</v>
      </c>
      <c r="H1442" s="461" t="s">
        <v>2072</v>
      </c>
      <c r="I1442" s="538" t="s">
        <v>2073</v>
      </c>
      <c r="J1442" s="706">
        <v>45154</v>
      </c>
      <c r="K1442" s="769">
        <v>0.66666666666666663</v>
      </c>
      <c r="L1442" s="706">
        <v>45154</v>
      </c>
      <c r="M1442" s="781">
        <v>0.70833333333333337</v>
      </c>
      <c r="N1442" s="370">
        <v>1</v>
      </c>
      <c r="O1442" s="184" t="s">
        <v>17</v>
      </c>
      <c r="P1442" s="538" t="s">
        <v>1583</v>
      </c>
      <c r="Q1442" s="746" t="s">
        <v>1441</v>
      </c>
      <c r="R1442" s="171" t="s">
        <v>95</v>
      </c>
      <c r="S1442" s="31" t="s">
        <v>273</v>
      </c>
      <c r="T1442" s="31" t="s">
        <v>273</v>
      </c>
      <c r="U1442" s="31">
        <f>IFERROR(VLOOKUP(CONCATENATE(Tabla1[[#This Row],[Severidad]]," ",Tabla1[[#This Row],[Complejidad]]),Catalogos!E$120:G$128,3,FALSE),"")</f>
        <v>64</v>
      </c>
      <c r="V1442" s="31" t="str">
        <f>IF(Tabla1[[#This Row],[Tiempo solución max (hrs)]]&lt;&gt;"",IF(Tabla1[[#This Row],[Tiempo solución max (hrs)]]&gt;=Tabla1[[#This Row],[Tiempo
(Hrs 00/100)]],"cumple","no cumple"),"")</f>
        <v>cumple</v>
      </c>
      <c r="W1442" s="376" t="s">
        <v>1814</v>
      </c>
      <c r="X1442" s="377" t="str">
        <f t="shared" si="142"/>
        <v>SSI</v>
      </c>
      <c r="Y1442" t="str">
        <f>SUBSTITUTE(Tabla1[[#This Row],[Descripción]],CHAR(10),"    I    ")</f>
        <v>Se repasó el query 3 de la Funcionalidad 7 para optimizarlo con ayuda de la herramienta Toad</v>
      </c>
      <c r="Z1442" s="142">
        <f>VLOOKUP(Tabla1[[#This Row],[Perfil]],Catalogos!$B$75:$D$100,3,FALSE)*Tabla1[[#This Row],[Tiempo
(Hrs 00/100)]]*1.16</f>
        <v>696</v>
      </c>
    </row>
    <row r="1443" spans="1:26" ht="15" customHeight="1" x14ac:dyDescent="0.3">
      <c r="A1443" s="373" t="s">
        <v>22</v>
      </c>
      <c r="B1443" s="184" t="s">
        <v>23</v>
      </c>
      <c r="C1443" s="183" t="s">
        <v>257</v>
      </c>
      <c r="D1443" s="179"/>
      <c r="E1443" s="373" t="s">
        <v>408</v>
      </c>
      <c r="F1443" s="373" t="s">
        <v>23</v>
      </c>
      <c r="G1443" s="370" t="s">
        <v>604</v>
      </c>
      <c r="H1443" s="461" t="s">
        <v>2074</v>
      </c>
      <c r="I1443" s="538" t="s">
        <v>2075</v>
      </c>
      <c r="J1443" s="706">
        <v>45154</v>
      </c>
      <c r="K1443" s="781">
        <v>0.70833333333333337</v>
      </c>
      <c r="L1443" s="706">
        <v>45154</v>
      </c>
      <c r="M1443" s="781">
        <v>0.75</v>
      </c>
      <c r="N1443" s="370">
        <v>1</v>
      </c>
      <c r="O1443" s="184" t="s">
        <v>17</v>
      </c>
      <c r="P1443" s="538" t="s">
        <v>1583</v>
      </c>
      <c r="Q1443" s="746" t="s">
        <v>1441</v>
      </c>
      <c r="R1443" s="171" t="s">
        <v>95</v>
      </c>
      <c r="S1443" s="31" t="s">
        <v>273</v>
      </c>
      <c r="T1443" s="31" t="s">
        <v>273</v>
      </c>
      <c r="U1443" s="31">
        <f>IFERROR(VLOOKUP(CONCATENATE(Tabla1[[#This Row],[Severidad]]," ",Tabla1[[#This Row],[Complejidad]]),Catalogos!E$120:G$128,3,FALSE),"")</f>
        <v>64</v>
      </c>
      <c r="V1443" s="31" t="str">
        <f>IF(Tabla1[[#This Row],[Tiempo solución max (hrs)]]&lt;&gt;"",IF(Tabla1[[#This Row],[Tiempo solución max (hrs)]]&gt;=Tabla1[[#This Row],[Tiempo
(Hrs 00/100)]],"cumple","no cumple"),"")</f>
        <v>cumple</v>
      </c>
      <c r="W1443" s="376" t="s">
        <v>1814</v>
      </c>
      <c r="X1443" s="377" t="str">
        <f t="shared" si="142"/>
        <v>SSI</v>
      </c>
      <c r="Y1443" t="str">
        <f>SUBSTITUTE(Tabla1[[#This Row],[Descripción]],CHAR(10),"    I    ")</f>
        <v>Si se encuentra mejora a menor costo, se actualiza query mejorado en procedimiento 'FUNC7DETSOLDASHUTGI_ADJUNTOXIDSOLINT_QF7Q3' de la Funcionalidad 7</v>
      </c>
      <c r="Z1443" s="142">
        <f>VLOOKUP(Tabla1[[#This Row],[Perfil]],Catalogos!$B$75:$D$100,3,FALSE)*Tabla1[[#This Row],[Tiempo
(Hrs 00/100)]]*1.16</f>
        <v>696</v>
      </c>
    </row>
    <row r="1444" spans="1:26" ht="15" customHeight="1" x14ac:dyDescent="0.3">
      <c r="A1444" s="373" t="s">
        <v>22</v>
      </c>
      <c r="B1444" s="184" t="s">
        <v>23</v>
      </c>
      <c r="C1444" s="183" t="s">
        <v>257</v>
      </c>
      <c r="D1444" s="179"/>
      <c r="E1444" s="373" t="s">
        <v>408</v>
      </c>
      <c r="F1444" s="373" t="s">
        <v>23</v>
      </c>
      <c r="G1444" s="370" t="s">
        <v>604</v>
      </c>
      <c r="H1444" s="461" t="s">
        <v>2076</v>
      </c>
      <c r="I1444" s="538" t="s">
        <v>2077</v>
      </c>
      <c r="J1444" s="706">
        <v>45154</v>
      </c>
      <c r="K1444" s="781">
        <v>0.75</v>
      </c>
      <c r="L1444" s="706">
        <v>45154</v>
      </c>
      <c r="M1444" s="781">
        <v>0.79166666666666663</v>
      </c>
      <c r="N1444" s="370">
        <v>1</v>
      </c>
      <c r="O1444" s="184" t="s">
        <v>17</v>
      </c>
      <c r="P1444" s="538" t="s">
        <v>1583</v>
      </c>
      <c r="Q1444" s="746" t="s">
        <v>1441</v>
      </c>
      <c r="R1444" s="171" t="s">
        <v>95</v>
      </c>
      <c r="S1444" s="31" t="s">
        <v>273</v>
      </c>
      <c r="T1444" s="31" t="s">
        <v>273</v>
      </c>
      <c r="U1444" s="31">
        <f>IFERROR(VLOOKUP(CONCATENATE(Tabla1[[#This Row],[Severidad]]," ",Tabla1[[#This Row],[Complejidad]]),Catalogos!E$120:G$128,3,FALSE),"")</f>
        <v>64</v>
      </c>
      <c r="V1444" s="31" t="str">
        <f>IF(Tabla1[[#This Row],[Tiempo solución max (hrs)]]&lt;&gt;"",IF(Tabla1[[#This Row],[Tiempo solución max (hrs)]]&gt;=Tabla1[[#This Row],[Tiempo
(Hrs 00/100)]],"cumple","no cumple"),"")</f>
        <v>cumple</v>
      </c>
      <c r="W1444" s="376" t="s">
        <v>1814</v>
      </c>
      <c r="X1444" s="377" t="str">
        <f t="shared" si="142"/>
        <v>SSI</v>
      </c>
      <c r="Y1444" t="str">
        <f>SUBSTITUTE(Tabla1[[#This Row],[Descripción]],CHAR(10),"    I    ")</f>
        <v>Se repasó el query 4 de la Funcionalidad 7 para optimizarlo con ayuda de la herramienta Toad</v>
      </c>
      <c r="Z1444" s="142">
        <f>VLOOKUP(Tabla1[[#This Row],[Perfil]],Catalogos!$B$75:$D$100,3,FALSE)*Tabla1[[#This Row],[Tiempo
(Hrs 00/100)]]*1.16</f>
        <v>696</v>
      </c>
    </row>
    <row r="1445" spans="1:26" ht="15" customHeight="1" x14ac:dyDescent="0.3">
      <c r="A1445" s="373" t="s">
        <v>22</v>
      </c>
      <c r="B1445" s="184" t="s">
        <v>23</v>
      </c>
      <c r="C1445" s="183" t="s">
        <v>257</v>
      </c>
      <c r="D1445" s="179"/>
      <c r="E1445" s="373" t="s">
        <v>408</v>
      </c>
      <c r="F1445" s="373" t="s">
        <v>23</v>
      </c>
      <c r="G1445" s="370" t="s">
        <v>604</v>
      </c>
      <c r="H1445" s="461" t="s">
        <v>2078</v>
      </c>
      <c r="I1445" s="538" t="s">
        <v>2079</v>
      </c>
      <c r="J1445" s="706">
        <v>45154</v>
      </c>
      <c r="K1445" s="781">
        <v>0.79166666666666663</v>
      </c>
      <c r="L1445" s="706">
        <v>45154</v>
      </c>
      <c r="M1445" s="781">
        <v>0.83333333333333337</v>
      </c>
      <c r="N1445" s="370">
        <v>1</v>
      </c>
      <c r="O1445" s="184" t="s">
        <v>17</v>
      </c>
      <c r="P1445" s="538" t="s">
        <v>1583</v>
      </c>
      <c r="Q1445" s="746" t="s">
        <v>1441</v>
      </c>
      <c r="R1445" s="171" t="s">
        <v>95</v>
      </c>
      <c r="S1445" s="31" t="s">
        <v>273</v>
      </c>
      <c r="T1445" s="31" t="s">
        <v>273</v>
      </c>
      <c r="U1445" s="31">
        <f>IFERROR(VLOOKUP(CONCATENATE(Tabla1[[#This Row],[Severidad]]," ",Tabla1[[#This Row],[Complejidad]]),Catalogos!E$120:G$128,3,FALSE),"")</f>
        <v>64</v>
      </c>
      <c r="V1445" s="31" t="str">
        <f>IF(Tabla1[[#This Row],[Tiempo solución max (hrs)]]&lt;&gt;"",IF(Tabla1[[#This Row],[Tiempo solución max (hrs)]]&gt;=Tabla1[[#This Row],[Tiempo
(Hrs 00/100)]],"cumple","no cumple"),"")</f>
        <v>cumple</v>
      </c>
      <c r="W1445" s="376" t="s">
        <v>1814</v>
      </c>
      <c r="X1445" s="377" t="str">
        <f t="shared" si="142"/>
        <v>SSI</v>
      </c>
      <c r="Y1445" t="str">
        <f>SUBSTITUTE(Tabla1[[#This Row],[Descripción]],CHAR(10),"    I    ")</f>
        <v>Si se encuentra mejora a menor costo, se actualiza query mejorado en procedimiento 'FUNC7DETSOLDASHUTGI_SOLGIXSOLDEPEN_QF7Q4' de la Funcionalidad 7</v>
      </c>
      <c r="Z1445" s="142">
        <f>VLOOKUP(Tabla1[[#This Row],[Perfil]],Catalogos!$B$75:$D$100,3,FALSE)*Tabla1[[#This Row],[Tiempo
(Hrs 00/100)]]*1.16</f>
        <v>696</v>
      </c>
    </row>
    <row r="1446" spans="1:26" ht="15" customHeight="1" x14ac:dyDescent="0.3">
      <c r="A1446" s="373" t="s">
        <v>22</v>
      </c>
      <c r="B1446" s="184" t="s">
        <v>23</v>
      </c>
      <c r="C1446" s="183" t="s">
        <v>257</v>
      </c>
      <c r="D1446" s="179"/>
      <c r="E1446" s="373" t="s">
        <v>408</v>
      </c>
      <c r="F1446" s="373" t="s">
        <v>23</v>
      </c>
      <c r="G1446" s="370" t="s">
        <v>604</v>
      </c>
      <c r="H1446" s="461" t="s">
        <v>2080</v>
      </c>
      <c r="I1446" s="538" t="s">
        <v>2081</v>
      </c>
      <c r="J1446" s="706">
        <v>45155</v>
      </c>
      <c r="K1446" s="769">
        <v>0.375</v>
      </c>
      <c r="L1446" s="706">
        <v>45155</v>
      </c>
      <c r="M1446" s="781">
        <v>0.41666666666666669</v>
      </c>
      <c r="N1446" s="370">
        <v>1</v>
      </c>
      <c r="O1446" s="184" t="s">
        <v>17</v>
      </c>
      <c r="P1446" s="538" t="s">
        <v>1583</v>
      </c>
      <c r="Q1446" s="746" t="s">
        <v>1441</v>
      </c>
      <c r="R1446" s="171" t="s">
        <v>95</v>
      </c>
      <c r="S1446" s="31" t="s">
        <v>273</v>
      </c>
      <c r="T1446" s="31" t="s">
        <v>273</v>
      </c>
      <c r="U1446" s="31">
        <f>IFERROR(VLOOKUP(CONCATENATE(Tabla1[[#This Row],[Severidad]]," ",Tabla1[[#This Row],[Complejidad]]),Catalogos!E$120:G$128,3,FALSE),"")</f>
        <v>64</v>
      </c>
      <c r="V1446" s="31" t="str">
        <f>IF(Tabla1[[#This Row],[Tiempo solución max (hrs)]]&lt;&gt;"",IF(Tabla1[[#This Row],[Tiempo solución max (hrs)]]&gt;=Tabla1[[#This Row],[Tiempo
(Hrs 00/100)]],"cumple","no cumple"),"")</f>
        <v>cumple</v>
      </c>
      <c r="W1446" s="376" t="s">
        <v>1814</v>
      </c>
      <c r="X1446" s="377" t="str">
        <f t="shared" si="142"/>
        <v>SSI</v>
      </c>
      <c r="Y1446" t="str">
        <f>SUBSTITUTE(Tabla1[[#This Row],[Descripción]],CHAR(10),"    I    ")</f>
        <v>Se repasó el query 6 de la Funcionalidad 7 para optimizarlo con ayuda de la herramienta Toad</v>
      </c>
      <c r="Z1446" s="142">
        <f>VLOOKUP(Tabla1[[#This Row],[Perfil]],Catalogos!$B$75:$D$100,3,FALSE)*Tabla1[[#This Row],[Tiempo
(Hrs 00/100)]]*1.16</f>
        <v>696</v>
      </c>
    </row>
    <row r="1447" spans="1:26" ht="15" customHeight="1" x14ac:dyDescent="0.3">
      <c r="A1447" s="373" t="s">
        <v>22</v>
      </c>
      <c r="B1447" s="184" t="s">
        <v>23</v>
      </c>
      <c r="C1447" s="183" t="s">
        <v>257</v>
      </c>
      <c r="D1447" s="179"/>
      <c r="E1447" s="373" t="s">
        <v>408</v>
      </c>
      <c r="F1447" s="373" t="s">
        <v>23</v>
      </c>
      <c r="G1447" s="370" t="s">
        <v>604</v>
      </c>
      <c r="H1447" s="461" t="s">
        <v>2082</v>
      </c>
      <c r="I1447" s="538" t="s">
        <v>2083</v>
      </c>
      <c r="J1447" s="706">
        <v>45155</v>
      </c>
      <c r="K1447" s="781">
        <v>0.41666666666666669</v>
      </c>
      <c r="L1447" s="706">
        <v>45155</v>
      </c>
      <c r="M1447" s="781">
        <v>0.4375</v>
      </c>
      <c r="N1447" s="370">
        <v>0.5</v>
      </c>
      <c r="O1447" s="184" t="s">
        <v>17</v>
      </c>
      <c r="P1447" s="538" t="s">
        <v>1583</v>
      </c>
      <c r="Q1447" s="746" t="s">
        <v>1441</v>
      </c>
      <c r="R1447" s="171" t="s">
        <v>95</v>
      </c>
      <c r="S1447" s="31" t="s">
        <v>273</v>
      </c>
      <c r="T1447" s="31" t="s">
        <v>273</v>
      </c>
      <c r="U1447" s="31">
        <f>IFERROR(VLOOKUP(CONCATENATE(Tabla1[[#This Row],[Severidad]]," ",Tabla1[[#This Row],[Complejidad]]),Catalogos!E$120:G$128,3,FALSE),"")</f>
        <v>64</v>
      </c>
      <c r="V1447" s="31" t="str">
        <f>IF(Tabla1[[#This Row],[Tiempo solución max (hrs)]]&lt;&gt;"",IF(Tabla1[[#This Row],[Tiempo solución max (hrs)]]&gt;=Tabla1[[#This Row],[Tiempo
(Hrs 00/100)]],"cumple","no cumple"),"")</f>
        <v>cumple</v>
      </c>
      <c r="W1447" s="376" t="s">
        <v>1814</v>
      </c>
      <c r="X1447" s="377" t="str">
        <f t="shared" si="142"/>
        <v>SSI</v>
      </c>
      <c r="Y1447" t="str">
        <f>SUBSTITUTE(Tabla1[[#This Row],[Descripción]],CHAR(10),"    I    ")</f>
        <v>Si se encuentra mejora a menor costo, se actualiza query mejorado en procedimiento 'FUNC7DETSOLDASHUTGI_SOLESTADISTICO_QF7Q6' de la Funcionalidad 7</v>
      </c>
      <c r="Z1447" s="142">
        <f>VLOOKUP(Tabla1[[#This Row],[Perfil]],Catalogos!$B$75:$D$100,3,FALSE)*Tabla1[[#This Row],[Tiempo
(Hrs 00/100)]]*1.16</f>
        <v>348</v>
      </c>
    </row>
    <row r="1448" spans="1:26" ht="15" customHeight="1" x14ac:dyDescent="0.3">
      <c r="A1448" s="373" t="s">
        <v>22</v>
      </c>
      <c r="B1448" s="184" t="s">
        <v>23</v>
      </c>
      <c r="C1448" s="183" t="s">
        <v>257</v>
      </c>
      <c r="D1448" s="179"/>
      <c r="E1448" s="373" t="s">
        <v>408</v>
      </c>
      <c r="F1448" s="373" t="s">
        <v>23</v>
      </c>
      <c r="G1448" s="370" t="s">
        <v>604</v>
      </c>
      <c r="H1448" s="461" t="s">
        <v>2084</v>
      </c>
      <c r="I1448" s="538" t="s">
        <v>2085</v>
      </c>
      <c r="J1448" s="706">
        <v>45155</v>
      </c>
      <c r="K1448" s="781">
        <v>0.4375</v>
      </c>
      <c r="L1448" s="706">
        <v>45155</v>
      </c>
      <c r="M1448" s="781">
        <v>0.47916666666666669</v>
      </c>
      <c r="N1448" s="370">
        <v>1</v>
      </c>
      <c r="O1448" s="184" t="s">
        <v>17</v>
      </c>
      <c r="P1448" s="538" t="s">
        <v>1583</v>
      </c>
      <c r="Q1448" s="746" t="s">
        <v>1441</v>
      </c>
      <c r="R1448" s="171" t="s">
        <v>95</v>
      </c>
      <c r="S1448" s="31" t="s">
        <v>273</v>
      </c>
      <c r="T1448" s="31" t="s">
        <v>273</v>
      </c>
      <c r="U1448" s="31">
        <f>IFERROR(VLOOKUP(CONCATENATE(Tabla1[[#This Row],[Severidad]]," ",Tabla1[[#This Row],[Complejidad]]),Catalogos!E$120:G$128,3,FALSE),"")</f>
        <v>64</v>
      </c>
      <c r="V1448" s="31" t="str">
        <f>IF(Tabla1[[#This Row],[Tiempo solución max (hrs)]]&lt;&gt;"",IF(Tabla1[[#This Row],[Tiempo solución max (hrs)]]&gt;=Tabla1[[#This Row],[Tiempo
(Hrs 00/100)]],"cumple","no cumple"),"")</f>
        <v>cumple</v>
      </c>
      <c r="W1448" s="376" t="s">
        <v>1814</v>
      </c>
      <c r="X1448" s="377" t="str">
        <f t="shared" si="142"/>
        <v>SSI</v>
      </c>
      <c r="Y1448" t="str">
        <f>SUBSTITUTE(Tabla1[[#This Row],[Descripción]],CHAR(10),"    I    ")</f>
        <v>Se repasó el query 7 de la Funcionalidad 7 para optimizarlo con ayuda de la herramienta Toad</v>
      </c>
      <c r="Z1448" s="142">
        <f>VLOOKUP(Tabla1[[#This Row],[Perfil]],Catalogos!$B$75:$D$100,3,FALSE)*Tabla1[[#This Row],[Tiempo
(Hrs 00/100)]]*1.16</f>
        <v>696</v>
      </c>
    </row>
    <row r="1449" spans="1:26" ht="15" customHeight="1" x14ac:dyDescent="0.3">
      <c r="A1449" s="373" t="s">
        <v>22</v>
      </c>
      <c r="B1449" s="184" t="s">
        <v>23</v>
      </c>
      <c r="C1449" s="183" t="s">
        <v>257</v>
      </c>
      <c r="D1449" s="179"/>
      <c r="E1449" s="373" t="s">
        <v>408</v>
      </c>
      <c r="F1449" s="373" t="s">
        <v>23</v>
      </c>
      <c r="G1449" s="370" t="s">
        <v>604</v>
      </c>
      <c r="H1449" s="461" t="s">
        <v>2086</v>
      </c>
      <c r="I1449" s="538" t="s">
        <v>2087</v>
      </c>
      <c r="J1449" s="706">
        <v>45155</v>
      </c>
      <c r="K1449" s="781">
        <v>0.47916666666666669</v>
      </c>
      <c r="L1449" s="706">
        <v>45155</v>
      </c>
      <c r="M1449" s="781">
        <v>0.5</v>
      </c>
      <c r="N1449" s="370">
        <v>0.5</v>
      </c>
      <c r="O1449" s="184" t="s">
        <v>17</v>
      </c>
      <c r="P1449" s="538" t="s">
        <v>1583</v>
      </c>
      <c r="Q1449" s="746" t="s">
        <v>1441</v>
      </c>
      <c r="R1449" s="171" t="s">
        <v>95</v>
      </c>
      <c r="S1449" s="31" t="s">
        <v>273</v>
      </c>
      <c r="T1449" s="31" t="s">
        <v>273</v>
      </c>
      <c r="U1449" s="31">
        <f>IFERROR(VLOOKUP(CONCATENATE(Tabla1[[#This Row],[Severidad]]," ",Tabla1[[#This Row],[Complejidad]]),Catalogos!E$120:G$128,3,FALSE),"")</f>
        <v>64</v>
      </c>
      <c r="V1449" s="31" t="str">
        <f>IF(Tabla1[[#This Row],[Tiempo solución max (hrs)]]&lt;&gt;"",IF(Tabla1[[#This Row],[Tiempo solución max (hrs)]]&gt;=Tabla1[[#This Row],[Tiempo
(Hrs 00/100)]],"cumple","no cumple"),"")</f>
        <v>cumple</v>
      </c>
      <c r="W1449" s="376" t="s">
        <v>1814</v>
      </c>
      <c r="X1449" s="377" t="str">
        <f t="shared" si="142"/>
        <v>SSI</v>
      </c>
      <c r="Y1449" t="str">
        <f>SUBSTITUTE(Tabla1[[#This Row],[Descripción]],CHAR(10),"    I    ")</f>
        <v>Si se encuentra mejora a menor costo, se actualiza query mejorado en procedimiento 'FUNC7DETSOLDASHUTGI_SOLXACCESIBILIDAD_QF7Q7' de la Funcionalidad 7</v>
      </c>
      <c r="Z1449" s="142">
        <f>VLOOKUP(Tabla1[[#This Row],[Perfil]],Catalogos!$B$75:$D$100,3,FALSE)*Tabla1[[#This Row],[Tiempo
(Hrs 00/100)]]*1.16</f>
        <v>348</v>
      </c>
    </row>
    <row r="1450" spans="1:26" ht="15" customHeight="1" x14ac:dyDescent="0.3">
      <c r="A1450" s="373" t="s">
        <v>22</v>
      </c>
      <c r="B1450" s="184" t="s">
        <v>23</v>
      </c>
      <c r="C1450" s="183" t="s">
        <v>257</v>
      </c>
      <c r="D1450" s="179"/>
      <c r="E1450" s="373" t="s">
        <v>408</v>
      </c>
      <c r="F1450" s="373" t="s">
        <v>23</v>
      </c>
      <c r="G1450" s="370" t="s">
        <v>604</v>
      </c>
      <c r="H1450" s="461" t="s">
        <v>2088</v>
      </c>
      <c r="I1450" s="538" t="s">
        <v>2089</v>
      </c>
      <c r="J1450" s="706">
        <v>45155</v>
      </c>
      <c r="K1450" s="781">
        <v>0.5</v>
      </c>
      <c r="L1450" s="706">
        <v>45155</v>
      </c>
      <c r="M1450" s="781">
        <v>0.54166666666666663</v>
      </c>
      <c r="N1450" s="370">
        <v>1</v>
      </c>
      <c r="O1450" s="184" t="s">
        <v>17</v>
      </c>
      <c r="P1450" s="538" t="s">
        <v>1583</v>
      </c>
      <c r="Q1450" s="746" t="s">
        <v>1441</v>
      </c>
      <c r="R1450" s="171" t="s">
        <v>95</v>
      </c>
      <c r="S1450" s="31" t="s">
        <v>273</v>
      </c>
      <c r="T1450" s="31" t="s">
        <v>273</v>
      </c>
      <c r="U1450" s="31">
        <f>IFERROR(VLOOKUP(CONCATENATE(Tabla1[[#This Row],[Severidad]]," ",Tabla1[[#This Row],[Complejidad]]),Catalogos!E$120:G$128,3,FALSE),"")</f>
        <v>64</v>
      </c>
      <c r="V1450" s="31" t="str">
        <f>IF(Tabla1[[#This Row],[Tiempo solución max (hrs)]]&lt;&gt;"",IF(Tabla1[[#This Row],[Tiempo solución max (hrs)]]&gt;=Tabla1[[#This Row],[Tiempo
(Hrs 00/100)]],"cumple","no cumple"),"")</f>
        <v>cumple</v>
      </c>
      <c r="W1450" s="376" t="s">
        <v>1814</v>
      </c>
      <c r="X1450" s="377" t="str">
        <f t="shared" si="142"/>
        <v>SSI</v>
      </c>
      <c r="Y1450" t="str">
        <f>SUBSTITUTE(Tabla1[[#This Row],[Descripción]],CHAR(10),"    I    ")</f>
        <v>Se repasó el query 11 de la Funcionalidad 7 para optimizarlo con ayuda de la herramienta Toad</v>
      </c>
      <c r="Z1450" s="142">
        <f>VLOOKUP(Tabla1[[#This Row],[Perfil]],Catalogos!$B$75:$D$100,3,FALSE)*Tabla1[[#This Row],[Tiempo
(Hrs 00/100)]]*1.16</f>
        <v>696</v>
      </c>
    </row>
    <row r="1451" spans="1:26" ht="15" customHeight="1" x14ac:dyDescent="0.3">
      <c r="A1451" s="370" t="s">
        <v>22</v>
      </c>
      <c r="B1451" s="370" t="s">
        <v>23</v>
      </c>
      <c r="C1451" s="205" t="s">
        <v>257</v>
      </c>
      <c r="D1451" s="370"/>
      <c r="E1451" s="370" t="s">
        <v>408</v>
      </c>
      <c r="F1451" s="370" t="s">
        <v>23</v>
      </c>
      <c r="G1451" s="370" t="s">
        <v>604</v>
      </c>
      <c r="H1451" s="371" t="s">
        <v>2090</v>
      </c>
      <c r="I1451" s="383" t="s">
        <v>2091</v>
      </c>
      <c r="J1451" s="369">
        <v>45155</v>
      </c>
      <c r="K1451" s="781">
        <v>0.54166666666666663</v>
      </c>
      <c r="L1451" s="369">
        <v>45155</v>
      </c>
      <c r="M1451" s="753">
        <v>0.5625</v>
      </c>
      <c r="N1451" s="373">
        <v>0.5</v>
      </c>
      <c r="O1451" s="374" t="s">
        <v>17</v>
      </c>
      <c r="P1451" s="375" t="s">
        <v>1583</v>
      </c>
      <c r="Q1451" s="785" t="s">
        <v>1441</v>
      </c>
      <c r="R1451" s="202" t="s">
        <v>95</v>
      </c>
      <c r="S1451" s="31" t="s">
        <v>273</v>
      </c>
      <c r="T1451" s="31" t="s">
        <v>273</v>
      </c>
      <c r="U1451" s="31">
        <f>IFERROR(VLOOKUP(CONCATENATE(Tabla1[[#This Row],[Severidad]]," ",Tabla1[[#This Row],[Complejidad]]),Catalogos!E$120:G$128,3,FALSE),"")</f>
        <v>64</v>
      </c>
      <c r="V1451" s="31" t="str">
        <f>IF(Tabla1[[#This Row],[Tiempo solución max (hrs)]]&lt;&gt;"",IF(Tabla1[[#This Row],[Tiempo solución max (hrs)]]&gt;=Tabla1[[#This Row],[Tiempo
(Hrs 00/100)]],"cumple","no cumple"),"")</f>
        <v>cumple</v>
      </c>
      <c r="W1451" s="376" t="s">
        <v>1814</v>
      </c>
      <c r="X1451" s="377" t="str">
        <f t="shared" si="142"/>
        <v>SSI</v>
      </c>
      <c r="Y1451" t="str">
        <f>SUBSTITUTE(Tabla1[[#This Row],[Descripción]],CHAR(10),"    I    ")</f>
        <v>Si se encuentra mejora a menor costo, se actualiza query mejorado en procedimiento 'FUNC7DETSOLDASHUTGI_SOLDATPERSOXSOLDEP_QF7Q11' de la Funcionalidad 7</v>
      </c>
      <c r="Z1451" s="142">
        <f>VLOOKUP(Tabla1[[#This Row],[Perfil]],Catalogos!$B$75:$D$100,3,FALSE)*Tabla1[[#This Row],[Tiempo
(Hrs 00/100)]]*1.16</f>
        <v>348</v>
      </c>
    </row>
    <row r="1452" spans="1:26" ht="15" customHeight="1" x14ac:dyDescent="0.3">
      <c r="A1452" s="370" t="s">
        <v>22</v>
      </c>
      <c r="B1452" s="370" t="s">
        <v>23</v>
      </c>
      <c r="C1452" s="205" t="s">
        <v>257</v>
      </c>
      <c r="D1452" s="370"/>
      <c r="E1452" s="370" t="s">
        <v>408</v>
      </c>
      <c r="F1452" s="370" t="s">
        <v>23</v>
      </c>
      <c r="G1452" s="370" t="s">
        <v>604</v>
      </c>
      <c r="H1452" s="371" t="s">
        <v>2092</v>
      </c>
      <c r="I1452" s="383" t="s">
        <v>2093</v>
      </c>
      <c r="J1452" s="369">
        <v>45155</v>
      </c>
      <c r="K1452" s="753">
        <v>0.5625</v>
      </c>
      <c r="L1452" s="369">
        <v>45155</v>
      </c>
      <c r="M1452" s="753">
        <v>0.60416666666666663</v>
      </c>
      <c r="N1452" s="373">
        <v>1</v>
      </c>
      <c r="O1452" s="374" t="s">
        <v>17</v>
      </c>
      <c r="P1452" s="375" t="s">
        <v>1583</v>
      </c>
      <c r="Q1452" s="785" t="s">
        <v>1441</v>
      </c>
      <c r="R1452" s="202" t="s">
        <v>95</v>
      </c>
      <c r="S1452" s="31" t="s">
        <v>273</v>
      </c>
      <c r="T1452" s="31" t="s">
        <v>273</v>
      </c>
      <c r="U1452" s="31">
        <f>IFERROR(VLOOKUP(CONCATENATE(Tabla1[[#This Row],[Severidad]]," ",Tabla1[[#This Row],[Complejidad]]),Catalogos!E$120:G$128,3,FALSE),"")</f>
        <v>64</v>
      </c>
      <c r="V1452" s="31" t="str">
        <f>IF(Tabla1[[#This Row],[Tiempo solución max (hrs)]]&lt;&gt;"",IF(Tabla1[[#This Row],[Tiempo solución max (hrs)]]&gt;=Tabla1[[#This Row],[Tiempo
(Hrs 00/100)]],"cumple","no cumple"),"")</f>
        <v>cumple</v>
      </c>
      <c r="W1452" s="376" t="s">
        <v>1814</v>
      </c>
      <c r="X1452" s="377" t="str">
        <f t="shared" si="142"/>
        <v>SSI</v>
      </c>
      <c r="Y1452" t="str">
        <f>SUBSTITUTE(Tabla1[[#This Row],[Descripción]],CHAR(10),"    I    ")</f>
        <v>Se repasó el query 12 de la Funcionalidad 7 para optimizarlo con ayuda de la herramienta Toad</v>
      </c>
      <c r="Z1452" s="142">
        <f>VLOOKUP(Tabla1[[#This Row],[Perfil]],Catalogos!$B$75:$D$100,3,FALSE)*Tabla1[[#This Row],[Tiempo
(Hrs 00/100)]]*1.16</f>
        <v>696</v>
      </c>
    </row>
    <row r="1453" spans="1:26" ht="15" customHeight="1" x14ac:dyDescent="0.3">
      <c r="A1453" s="370" t="s">
        <v>22</v>
      </c>
      <c r="B1453" s="370" t="s">
        <v>23</v>
      </c>
      <c r="C1453" s="205" t="s">
        <v>257</v>
      </c>
      <c r="D1453" s="370"/>
      <c r="E1453" s="370" t="s">
        <v>408</v>
      </c>
      <c r="F1453" s="370" t="s">
        <v>23</v>
      </c>
      <c r="G1453" s="370" t="s">
        <v>604</v>
      </c>
      <c r="H1453" s="371" t="s">
        <v>2094</v>
      </c>
      <c r="I1453" s="383" t="s">
        <v>2095</v>
      </c>
      <c r="J1453" s="369">
        <v>45155</v>
      </c>
      <c r="K1453" s="753">
        <v>0.60416666666666663</v>
      </c>
      <c r="L1453" s="369">
        <v>45155</v>
      </c>
      <c r="M1453" s="753">
        <v>0.625</v>
      </c>
      <c r="N1453" s="373">
        <v>0.5</v>
      </c>
      <c r="O1453" s="374" t="s">
        <v>17</v>
      </c>
      <c r="P1453" s="375" t="s">
        <v>1583</v>
      </c>
      <c r="Q1453" s="785" t="s">
        <v>1441</v>
      </c>
      <c r="R1453" s="202" t="s">
        <v>95</v>
      </c>
      <c r="S1453" s="31" t="s">
        <v>273</v>
      </c>
      <c r="T1453" s="31" t="s">
        <v>273</v>
      </c>
      <c r="U1453" s="31">
        <f>IFERROR(VLOOKUP(CONCATENATE(Tabla1[[#This Row],[Severidad]]," ",Tabla1[[#This Row],[Complejidad]]),Catalogos!E$120:G$128,3,FALSE),"")</f>
        <v>64</v>
      </c>
      <c r="V1453" s="31" t="str">
        <f>IF(Tabla1[[#This Row],[Tiempo solución max (hrs)]]&lt;&gt;"",IF(Tabla1[[#This Row],[Tiempo solución max (hrs)]]&gt;=Tabla1[[#This Row],[Tiempo
(Hrs 00/100)]],"cumple","no cumple"),"")</f>
        <v>cumple</v>
      </c>
      <c r="W1453" s="376" t="s">
        <v>1814</v>
      </c>
      <c r="X1453" s="377" t="str">
        <f t="shared" si="142"/>
        <v>SSI</v>
      </c>
      <c r="Y1453" t="str">
        <f>SUBSTITUTE(Tabla1[[#This Row],[Descripción]],CHAR(10),"    I    ")</f>
        <v>Si se encuentra mejora a menor costo, se actualiza query mejorado en procedimiento 'FUNC7DETSOLDASHUTGI_ESTADISTOCUPXIDSOL_QF7Q12' de la Funcionalidad 7</v>
      </c>
      <c r="Z1453" s="142">
        <f>VLOOKUP(Tabla1[[#This Row],[Perfil]],Catalogos!$B$75:$D$100,3,FALSE)*Tabla1[[#This Row],[Tiempo
(Hrs 00/100)]]*1.16</f>
        <v>348</v>
      </c>
    </row>
    <row r="1454" spans="1:26" ht="15" customHeight="1" x14ac:dyDescent="0.3">
      <c r="A1454" s="210" t="s">
        <v>22</v>
      </c>
      <c r="B1454" s="374" t="s">
        <v>23</v>
      </c>
      <c r="C1454" s="205" t="s">
        <v>257</v>
      </c>
      <c r="D1454" s="382"/>
      <c r="E1454" s="210" t="s">
        <v>408</v>
      </c>
      <c r="F1454" s="210" t="s">
        <v>23</v>
      </c>
      <c r="G1454" s="370" t="s">
        <v>604</v>
      </c>
      <c r="H1454" s="371" t="s">
        <v>2096</v>
      </c>
      <c r="I1454" s="383" t="s">
        <v>2096</v>
      </c>
      <c r="J1454" s="369">
        <v>45155</v>
      </c>
      <c r="K1454" s="747">
        <v>0.66666666666666663</v>
      </c>
      <c r="L1454" s="369">
        <v>45155</v>
      </c>
      <c r="M1454" s="753">
        <v>0.70833333333333337</v>
      </c>
      <c r="N1454" s="210">
        <v>1</v>
      </c>
      <c r="O1454" s="374" t="s">
        <v>17</v>
      </c>
      <c r="P1454" s="375" t="s">
        <v>1583</v>
      </c>
      <c r="Q1454" s="806" t="s">
        <v>1441</v>
      </c>
      <c r="R1454" s="209" t="s">
        <v>95</v>
      </c>
      <c r="S1454" s="31" t="s">
        <v>273</v>
      </c>
      <c r="T1454" s="31" t="s">
        <v>273</v>
      </c>
      <c r="U1454" s="31">
        <f>IFERROR(VLOOKUP(CONCATENATE(Tabla1[[#This Row],[Severidad]]," ",Tabla1[[#This Row],[Complejidad]]),Catalogos!E$120:G$128,3,FALSE),"")</f>
        <v>64</v>
      </c>
      <c r="V1454" s="31" t="str">
        <f>IF(Tabla1[[#This Row],[Tiempo solución max (hrs)]]&lt;&gt;"",IF(Tabla1[[#This Row],[Tiempo solución max (hrs)]]&gt;=Tabla1[[#This Row],[Tiempo
(Hrs 00/100)]],"cumple","no cumple"),"")</f>
        <v>cumple</v>
      </c>
      <c r="W1454" s="376" t="s">
        <v>1814</v>
      </c>
      <c r="X1454" s="377" t="str">
        <f t="shared" si="142"/>
        <v>SSI</v>
      </c>
      <c r="Y1454" t="str">
        <f>SUBSTITUTE(Tabla1[[#This Row],[Descripción]],CHAR(10),"    I    ")</f>
        <v>Se repasó el query 13 de la Funcionalidad 7 para optimizarlo con ayuda de la herramienta Toad</v>
      </c>
      <c r="Z1454" s="142">
        <f>VLOOKUP(Tabla1[[#This Row],[Perfil]],Catalogos!$B$75:$D$100,3,FALSE)*Tabla1[[#This Row],[Tiempo
(Hrs 00/100)]]*1.16</f>
        <v>696</v>
      </c>
    </row>
    <row r="1455" spans="1:26" ht="15" customHeight="1" x14ac:dyDescent="0.3">
      <c r="A1455" s="210" t="s">
        <v>22</v>
      </c>
      <c r="B1455" s="374" t="s">
        <v>23</v>
      </c>
      <c r="C1455" s="205" t="s">
        <v>257</v>
      </c>
      <c r="D1455" s="382"/>
      <c r="E1455" s="210" t="s">
        <v>408</v>
      </c>
      <c r="F1455" s="210" t="s">
        <v>23</v>
      </c>
      <c r="G1455" s="370" t="s">
        <v>604</v>
      </c>
      <c r="H1455" s="371" t="s">
        <v>2097</v>
      </c>
      <c r="I1455" s="383" t="s">
        <v>2098</v>
      </c>
      <c r="J1455" s="369">
        <v>45155</v>
      </c>
      <c r="K1455" s="753">
        <v>0.70833333333333337</v>
      </c>
      <c r="L1455" s="369">
        <v>45155</v>
      </c>
      <c r="M1455" s="753">
        <v>0.72916666666666663</v>
      </c>
      <c r="N1455" s="210">
        <v>0.5</v>
      </c>
      <c r="O1455" s="374" t="s">
        <v>17</v>
      </c>
      <c r="P1455" s="375" t="s">
        <v>1583</v>
      </c>
      <c r="Q1455" s="806" t="s">
        <v>1441</v>
      </c>
      <c r="R1455" s="209" t="s">
        <v>95</v>
      </c>
      <c r="S1455" s="31" t="s">
        <v>273</v>
      </c>
      <c r="T1455" s="31" t="s">
        <v>273</v>
      </c>
      <c r="U1455" s="31">
        <f>IFERROR(VLOOKUP(CONCATENATE(Tabla1[[#This Row],[Severidad]]," ",Tabla1[[#This Row],[Complejidad]]),Catalogos!E$120:G$128,3,FALSE),"")</f>
        <v>64</v>
      </c>
      <c r="V1455" s="31" t="str">
        <f>IF(Tabla1[[#This Row],[Tiempo solución max (hrs)]]&lt;&gt;"",IF(Tabla1[[#This Row],[Tiempo solución max (hrs)]]&gt;=Tabla1[[#This Row],[Tiempo
(Hrs 00/100)]],"cumple","no cumple"),"")</f>
        <v>cumple</v>
      </c>
      <c r="W1455" s="376" t="s">
        <v>1814</v>
      </c>
      <c r="X1455" s="377" t="str">
        <f t="shared" si="142"/>
        <v>SSI</v>
      </c>
      <c r="Y1455" t="str">
        <f>SUBSTITUTE(Tabla1[[#This Row],[Descripción]],CHAR(10),"    I    ")</f>
        <v>Si se encuentra mejora a menor costo, se actualiza query mejorado en procedimiento 'FUNC7DETSOLDASHUTGI_ACCESIBILIDAD_QF7Q13' de la Funcionalidad 7</v>
      </c>
      <c r="Z1455" s="142">
        <f>VLOOKUP(Tabla1[[#This Row],[Perfil]],Catalogos!$B$75:$D$100,3,FALSE)*Tabla1[[#This Row],[Tiempo
(Hrs 00/100)]]*1.16</f>
        <v>348</v>
      </c>
    </row>
    <row r="1456" spans="1:26" ht="15" customHeight="1" x14ac:dyDescent="0.3">
      <c r="A1456" s="370" t="s">
        <v>22</v>
      </c>
      <c r="B1456" s="370" t="s">
        <v>23</v>
      </c>
      <c r="C1456" s="205" t="s">
        <v>257</v>
      </c>
      <c r="D1456" s="370"/>
      <c r="E1456" s="370" t="s">
        <v>408</v>
      </c>
      <c r="F1456" s="370" t="s">
        <v>23</v>
      </c>
      <c r="G1456" s="370" t="s">
        <v>604</v>
      </c>
      <c r="H1456" s="371" t="s">
        <v>2099</v>
      </c>
      <c r="I1456" s="383" t="s">
        <v>2100</v>
      </c>
      <c r="J1456" s="369">
        <v>45155</v>
      </c>
      <c r="K1456" s="753">
        <v>0.72916666666666663</v>
      </c>
      <c r="L1456" s="369">
        <v>45155</v>
      </c>
      <c r="M1456" s="753">
        <v>0.77083333333333337</v>
      </c>
      <c r="N1456" s="373">
        <v>1</v>
      </c>
      <c r="O1456" s="374" t="s">
        <v>17</v>
      </c>
      <c r="P1456" s="375" t="s">
        <v>1583</v>
      </c>
      <c r="Q1456" s="785" t="s">
        <v>1441</v>
      </c>
      <c r="R1456" s="202" t="s">
        <v>95</v>
      </c>
      <c r="S1456" s="31" t="s">
        <v>273</v>
      </c>
      <c r="T1456" s="31" t="s">
        <v>273</v>
      </c>
      <c r="U1456" s="31">
        <f>IFERROR(VLOOKUP(CONCATENATE(Tabla1[[#This Row],[Severidad]]," ",Tabla1[[#This Row],[Complejidad]]),Catalogos!E$120:G$128,3,FALSE),"")</f>
        <v>64</v>
      </c>
      <c r="V1456" s="31" t="str">
        <f>IF(Tabla1[[#This Row],[Tiempo solución max (hrs)]]&lt;&gt;"",IF(Tabla1[[#This Row],[Tiempo solución max (hrs)]]&gt;=Tabla1[[#This Row],[Tiempo
(Hrs 00/100)]],"cumple","no cumple"),"")</f>
        <v>cumple</v>
      </c>
      <c r="W1456" s="376" t="s">
        <v>1814</v>
      </c>
      <c r="X1456" s="377" t="str">
        <f t="shared" si="142"/>
        <v>SSI</v>
      </c>
      <c r="Y1456" t="str">
        <f>SUBSTITUTE(Tabla1[[#This Row],[Descripción]],CHAR(10),"    I    ")</f>
        <v>Se repasó el query 14 de la Funcionalidad 7 para optimizarlo con ayuda de la herramienta Toad</v>
      </c>
      <c r="Z1456" s="142">
        <f>VLOOKUP(Tabla1[[#This Row],[Perfil]],Catalogos!$B$75:$D$100,3,FALSE)*Tabla1[[#This Row],[Tiempo
(Hrs 00/100)]]*1.16</f>
        <v>696</v>
      </c>
    </row>
    <row r="1457" spans="1:26" ht="15" customHeight="1" x14ac:dyDescent="0.3">
      <c r="A1457" s="370" t="s">
        <v>22</v>
      </c>
      <c r="B1457" s="370" t="s">
        <v>23</v>
      </c>
      <c r="C1457" s="205" t="s">
        <v>257</v>
      </c>
      <c r="D1457" s="370"/>
      <c r="E1457" s="370" t="s">
        <v>408</v>
      </c>
      <c r="F1457" s="370" t="s">
        <v>23</v>
      </c>
      <c r="G1457" s="370" t="s">
        <v>604</v>
      </c>
      <c r="H1457" s="371" t="s">
        <v>2101</v>
      </c>
      <c r="I1457" s="383" t="s">
        <v>2102</v>
      </c>
      <c r="J1457" s="369">
        <v>45155</v>
      </c>
      <c r="K1457" s="753">
        <v>0.77083333333333337</v>
      </c>
      <c r="L1457" s="369">
        <v>45155</v>
      </c>
      <c r="M1457" s="753">
        <v>0.79166666666666663</v>
      </c>
      <c r="N1457" s="373">
        <v>0.5</v>
      </c>
      <c r="O1457" s="374" t="s">
        <v>17</v>
      </c>
      <c r="P1457" s="375" t="s">
        <v>1583</v>
      </c>
      <c r="Q1457" s="785" t="s">
        <v>1441</v>
      </c>
      <c r="R1457" s="202" t="s">
        <v>95</v>
      </c>
      <c r="S1457" s="31" t="s">
        <v>273</v>
      </c>
      <c r="T1457" s="31" t="s">
        <v>273</v>
      </c>
      <c r="U1457" s="31">
        <f>IFERROR(VLOOKUP(CONCATENATE(Tabla1[[#This Row],[Severidad]]," ",Tabla1[[#This Row],[Complejidad]]),Catalogos!E$120:G$128,3,FALSE),"")</f>
        <v>64</v>
      </c>
      <c r="V1457" s="31" t="str">
        <f>IF(Tabla1[[#This Row],[Tiempo solución max (hrs)]]&lt;&gt;"",IF(Tabla1[[#This Row],[Tiempo solución max (hrs)]]&gt;=Tabla1[[#This Row],[Tiempo
(Hrs 00/100)]],"cumple","no cumple"),"")</f>
        <v>cumple</v>
      </c>
      <c r="W1457" s="376" t="s">
        <v>1814</v>
      </c>
      <c r="X1457" s="377" t="str">
        <f t="shared" si="142"/>
        <v>SSI</v>
      </c>
      <c r="Y1457" t="str">
        <f>SUBSTITUTE(Tabla1[[#This Row],[Descripción]],CHAR(10),"    I    ")</f>
        <v>Si se encuentra mejora a menor costo, se actualiza query mejorado en procedimiento 'FUNC7DETSOLDASHUTGI_LEYEIDRESP_QF7Q14' de la Funcionalidad 7</v>
      </c>
      <c r="Z1457" s="142">
        <f>VLOOKUP(Tabla1[[#This Row],[Perfil]],Catalogos!$B$75:$D$100,3,FALSE)*Tabla1[[#This Row],[Tiempo
(Hrs 00/100)]]*1.16</f>
        <v>348</v>
      </c>
    </row>
    <row r="1458" spans="1:26" ht="15" customHeight="1" x14ac:dyDescent="0.3">
      <c r="A1458" s="370" t="s">
        <v>22</v>
      </c>
      <c r="B1458" s="370" t="s">
        <v>23</v>
      </c>
      <c r="C1458" s="205" t="s">
        <v>257</v>
      </c>
      <c r="D1458" s="370"/>
      <c r="E1458" s="370" t="s">
        <v>408</v>
      </c>
      <c r="F1458" s="370" t="s">
        <v>23</v>
      </c>
      <c r="G1458" s="370" t="s">
        <v>604</v>
      </c>
      <c r="H1458" s="371" t="s">
        <v>2103</v>
      </c>
      <c r="I1458" s="383" t="s">
        <v>2104</v>
      </c>
      <c r="J1458" s="369">
        <v>45155</v>
      </c>
      <c r="K1458" s="753">
        <v>0.79166666666666663</v>
      </c>
      <c r="L1458" s="369">
        <v>45155</v>
      </c>
      <c r="M1458" s="753">
        <v>0.83333333333333337</v>
      </c>
      <c r="N1458" s="373">
        <v>1</v>
      </c>
      <c r="O1458" s="374" t="s">
        <v>17</v>
      </c>
      <c r="P1458" s="375" t="s">
        <v>1583</v>
      </c>
      <c r="Q1458" s="785" t="s">
        <v>1441</v>
      </c>
      <c r="R1458" s="202" t="s">
        <v>95</v>
      </c>
      <c r="S1458" s="31" t="s">
        <v>273</v>
      </c>
      <c r="T1458" s="31" t="s">
        <v>273</v>
      </c>
      <c r="U1458" s="31">
        <f>IFERROR(VLOOKUP(CONCATENATE(Tabla1[[#This Row],[Severidad]]," ",Tabla1[[#This Row],[Complejidad]]),Catalogos!E$120:G$128,3,FALSE),"")</f>
        <v>64</v>
      </c>
      <c r="V1458" s="31" t="str">
        <f>IF(Tabla1[[#This Row],[Tiempo solución max (hrs)]]&lt;&gt;"",IF(Tabla1[[#This Row],[Tiempo solución max (hrs)]]&gt;=Tabla1[[#This Row],[Tiempo
(Hrs 00/100)]],"cumple","no cumple"),"")</f>
        <v>cumple</v>
      </c>
      <c r="W1458" s="376" t="s">
        <v>1814</v>
      </c>
      <c r="X1458" s="377" t="str">
        <f t="shared" si="142"/>
        <v>SSI</v>
      </c>
      <c r="Y1458" t="str">
        <f>SUBSTITUTE(Tabla1[[#This Row],[Descripción]],CHAR(10),"    I    ")</f>
        <v>Se repasó el query 1 de la Funcionalidad 9 para optimizarlo con ayuda de la herramienta Toad</v>
      </c>
      <c r="Z1458" s="142">
        <f>VLOOKUP(Tabla1[[#This Row],[Perfil]],Catalogos!$B$75:$D$100,3,FALSE)*Tabla1[[#This Row],[Tiempo
(Hrs 00/100)]]*1.16</f>
        <v>696</v>
      </c>
    </row>
    <row r="1459" spans="1:26" ht="15" customHeight="1" x14ac:dyDescent="0.3">
      <c r="A1459" s="210" t="s">
        <v>22</v>
      </c>
      <c r="B1459" s="374" t="s">
        <v>23</v>
      </c>
      <c r="C1459" s="205" t="s">
        <v>257</v>
      </c>
      <c r="D1459" s="382"/>
      <c r="E1459" s="210" t="s">
        <v>408</v>
      </c>
      <c r="F1459" s="210" t="s">
        <v>23</v>
      </c>
      <c r="G1459" s="370" t="s">
        <v>604</v>
      </c>
      <c r="H1459" s="371" t="s">
        <v>2105</v>
      </c>
      <c r="I1459" s="383" t="s">
        <v>2106</v>
      </c>
      <c r="J1459" s="369">
        <v>45155</v>
      </c>
      <c r="K1459" s="753">
        <v>0.83333333333333337</v>
      </c>
      <c r="L1459" s="369">
        <v>45155</v>
      </c>
      <c r="M1459" s="753">
        <v>0.85416666666666663</v>
      </c>
      <c r="N1459" s="210">
        <v>0.5</v>
      </c>
      <c r="O1459" s="374" t="s">
        <v>17</v>
      </c>
      <c r="P1459" s="375" t="s">
        <v>1583</v>
      </c>
      <c r="Q1459" s="806" t="s">
        <v>1441</v>
      </c>
      <c r="R1459" s="209" t="s">
        <v>95</v>
      </c>
      <c r="S1459" s="31" t="s">
        <v>273</v>
      </c>
      <c r="T1459" s="31" t="s">
        <v>273</v>
      </c>
      <c r="U1459" s="31">
        <f>IFERROR(VLOOKUP(CONCATENATE(Tabla1[[#This Row],[Severidad]]," ",Tabla1[[#This Row],[Complejidad]]),Catalogos!E$120:G$128,3,FALSE),"")</f>
        <v>64</v>
      </c>
      <c r="V1459" s="31" t="str">
        <f>IF(Tabla1[[#This Row],[Tiempo solución max (hrs)]]&lt;&gt;"",IF(Tabla1[[#This Row],[Tiempo solución max (hrs)]]&gt;=Tabla1[[#This Row],[Tiempo
(Hrs 00/100)]],"cumple","no cumple"),"")</f>
        <v>cumple</v>
      </c>
      <c r="W1459" s="376" t="s">
        <v>1814</v>
      </c>
      <c r="X1459" s="377" t="str">
        <f t="shared" si="142"/>
        <v>SSI</v>
      </c>
      <c r="Y1459" t="str">
        <f>SUBSTITUTE(Tabla1[[#This Row],[Descripción]],CHAR(10),"    I    ")</f>
        <v>Si se encuentra mejora a menor costo, se actualiza query mejorado en procedimiento 'FUNC9RESPUESTASPOSIBL_UT_QF9' de la Funcionalidad 9</v>
      </c>
      <c r="Z1459" s="142">
        <f>VLOOKUP(Tabla1[[#This Row],[Perfil]],Catalogos!$B$75:$D$100,3,FALSE)*Tabla1[[#This Row],[Tiempo
(Hrs 00/100)]]*1.16</f>
        <v>348</v>
      </c>
    </row>
    <row r="1460" spans="1:26" ht="15" customHeight="1" x14ac:dyDescent="0.3">
      <c r="A1460" s="210" t="s">
        <v>22</v>
      </c>
      <c r="B1460" s="374" t="s">
        <v>23</v>
      </c>
      <c r="C1460" s="205" t="s">
        <v>257</v>
      </c>
      <c r="D1460" s="382"/>
      <c r="E1460" s="210" t="s">
        <v>408</v>
      </c>
      <c r="F1460" s="210" t="s">
        <v>23</v>
      </c>
      <c r="G1460" s="370" t="s">
        <v>604</v>
      </c>
      <c r="H1460" s="371" t="s">
        <v>2107</v>
      </c>
      <c r="I1460" s="383" t="s">
        <v>2108</v>
      </c>
      <c r="J1460" s="369">
        <v>45156</v>
      </c>
      <c r="K1460" s="747">
        <v>0.375</v>
      </c>
      <c r="L1460" s="369">
        <v>45156</v>
      </c>
      <c r="M1460" s="753">
        <v>0.41666666666666669</v>
      </c>
      <c r="N1460" s="210">
        <v>1</v>
      </c>
      <c r="O1460" s="374" t="s">
        <v>17</v>
      </c>
      <c r="P1460" s="375" t="s">
        <v>1583</v>
      </c>
      <c r="Q1460" s="806" t="s">
        <v>1441</v>
      </c>
      <c r="R1460" s="209" t="s">
        <v>95</v>
      </c>
      <c r="S1460" s="31" t="s">
        <v>273</v>
      </c>
      <c r="T1460" s="31" t="s">
        <v>273</v>
      </c>
      <c r="U1460" s="31">
        <f>IFERROR(VLOOKUP(CONCATENATE(Tabla1[[#This Row],[Severidad]]," ",Tabla1[[#This Row],[Complejidad]]),Catalogos!E$120:G$128,3,FALSE),"")</f>
        <v>64</v>
      </c>
      <c r="V1460" s="31" t="str">
        <f>IF(Tabla1[[#This Row],[Tiempo solución max (hrs)]]&lt;&gt;"",IF(Tabla1[[#This Row],[Tiempo solución max (hrs)]]&gt;=Tabla1[[#This Row],[Tiempo
(Hrs 00/100)]],"cumple","no cumple"),"")</f>
        <v>cumple</v>
      </c>
      <c r="W1460" s="376" t="s">
        <v>1814</v>
      </c>
      <c r="X1460" s="377" t="str">
        <f t="shared" si="142"/>
        <v>SSI</v>
      </c>
      <c r="Y1460" t="str">
        <f>SUBSTITUTE(Tabla1[[#This Row],[Descripción]],CHAR(10),"    I    ")</f>
        <v>Se repasó el query 1 de la Funcionalidad 11 para optimizarlo con ayuda de la herramienta Toad</v>
      </c>
      <c r="Z1460" s="142">
        <f>VLOOKUP(Tabla1[[#This Row],[Perfil]],Catalogos!$B$75:$D$100,3,FALSE)*Tabla1[[#This Row],[Tiempo
(Hrs 00/100)]]*1.16</f>
        <v>696</v>
      </c>
    </row>
    <row r="1461" spans="1:26" ht="15" customHeight="1" x14ac:dyDescent="0.3">
      <c r="A1461" s="210" t="s">
        <v>22</v>
      </c>
      <c r="B1461" s="374" t="s">
        <v>23</v>
      </c>
      <c r="C1461" s="205" t="s">
        <v>257</v>
      </c>
      <c r="D1461" s="382"/>
      <c r="E1461" s="210" t="s">
        <v>408</v>
      </c>
      <c r="F1461" s="210" t="s">
        <v>23</v>
      </c>
      <c r="G1461" s="370" t="s">
        <v>604</v>
      </c>
      <c r="H1461" s="371" t="s">
        <v>2109</v>
      </c>
      <c r="I1461" s="383" t="s">
        <v>2110</v>
      </c>
      <c r="J1461" s="369">
        <v>45156</v>
      </c>
      <c r="K1461" s="753">
        <v>0.41666666666666669</v>
      </c>
      <c r="L1461" s="369">
        <v>45156</v>
      </c>
      <c r="M1461" s="753">
        <v>0.4375</v>
      </c>
      <c r="N1461" s="210">
        <v>0.5</v>
      </c>
      <c r="O1461" s="374" t="s">
        <v>17</v>
      </c>
      <c r="P1461" s="375" t="s">
        <v>1583</v>
      </c>
      <c r="Q1461" s="806" t="s">
        <v>1441</v>
      </c>
      <c r="R1461" s="209" t="s">
        <v>95</v>
      </c>
      <c r="S1461" s="31" t="s">
        <v>273</v>
      </c>
      <c r="T1461" s="31" t="s">
        <v>273</v>
      </c>
      <c r="U1461" s="31">
        <f>IFERROR(VLOOKUP(CONCATENATE(Tabla1[[#This Row],[Severidad]]," ",Tabla1[[#This Row],[Complejidad]]),Catalogos!E$120:G$128,3,FALSE),"")</f>
        <v>64</v>
      </c>
      <c r="V1461" s="31" t="str">
        <f>IF(Tabla1[[#This Row],[Tiempo solución max (hrs)]]&lt;&gt;"",IF(Tabla1[[#This Row],[Tiempo solución max (hrs)]]&gt;=Tabla1[[#This Row],[Tiempo
(Hrs 00/100)]],"cumple","no cumple"),"")</f>
        <v>cumple</v>
      </c>
      <c r="W1461" s="376" t="s">
        <v>1814</v>
      </c>
      <c r="X1461" s="377" t="str">
        <f t="shared" si="142"/>
        <v>SSI</v>
      </c>
      <c r="Y1461" t="str">
        <f>SUBSTITUTE(Tabla1[[#This Row],[Descripción]],CHAR(10),"    I    ")</f>
        <v>Si se encuentra mejora a menor costo, se actualiza query mejorado en procedimiento 'FUNC11TURNAFOLIOUNIAD_SOLIXSOLDEPEN_QF11Q1' de la Funcionalidad 11</v>
      </c>
      <c r="Z1461" s="142">
        <f>VLOOKUP(Tabla1[[#This Row],[Perfil]],Catalogos!$B$75:$D$100,3,FALSE)*Tabla1[[#This Row],[Tiempo
(Hrs 00/100)]]*1.16</f>
        <v>348</v>
      </c>
    </row>
    <row r="1462" spans="1:26" ht="15" customHeight="1" x14ac:dyDescent="0.3">
      <c r="A1462" s="370" t="s">
        <v>22</v>
      </c>
      <c r="B1462" s="370" t="s">
        <v>23</v>
      </c>
      <c r="C1462" s="418" t="s">
        <v>257</v>
      </c>
      <c r="D1462" s="370"/>
      <c r="E1462" s="370" t="s">
        <v>408</v>
      </c>
      <c r="F1462" s="370" t="s">
        <v>23</v>
      </c>
      <c r="G1462" s="370" t="s">
        <v>604</v>
      </c>
      <c r="H1462" s="371" t="s">
        <v>2111</v>
      </c>
      <c r="I1462" s="383" t="s">
        <v>2112</v>
      </c>
      <c r="J1462" s="369">
        <v>45156</v>
      </c>
      <c r="K1462" s="753">
        <v>0.4375</v>
      </c>
      <c r="L1462" s="369">
        <v>45156</v>
      </c>
      <c r="M1462" s="753">
        <v>0.47916666666666669</v>
      </c>
      <c r="N1462" s="373">
        <v>1</v>
      </c>
      <c r="O1462" s="374" t="s">
        <v>17</v>
      </c>
      <c r="P1462" s="375" t="s">
        <v>1583</v>
      </c>
      <c r="Q1462" s="785" t="s">
        <v>1441</v>
      </c>
      <c r="R1462" s="202" t="s">
        <v>95</v>
      </c>
      <c r="S1462" s="31" t="s">
        <v>273</v>
      </c>
      <c r="T1462" s="31" t="s">
        <v>273</v>
      </c>
      <c r="U1462" s="31">
        <f>IFERROR(VLOOKUP(CONCATENATE(Tabla1[[#This Row],[Severidad]]," ",Tabla1[[#This Row],[Complejidad]]),Catalogos!E$120:G$128,3,FALSE),"")</f>
        <v>64</v>
      </c>
      <c r="V1462" s="31" t="str">
        <f>IF(Tabla1[[#This Row],[Tiempo solución max (hrs)]]&lt;&gt;"",IF(Tabla1[[#This Row],[Tiempo solución max (hrs)]]&gt;=Tabla1[[#This Row],[Tiempo
(Hrs 00/100)]],"cumple","no cumple"),"")</f>
        <v>cumple</v>
      </c>
      <c r="W1462" s="376" t="s">
        <v>1814</v>
      </c>
      <c r="X1462" s="377" t="str">
        <f t="shared" si="142"/>
        <v>SSI</v>
      </c>
      <c r="Y1462" t="str">
        <f>SUBSTITUTE(Tabla1[[#This Row],[Descripción]],CHAR(10),"    I    ")</f>
        <v>Se repasó el query 2 de la Funcionalidad 11 para optimizarlo con ayuda de la herramienta Toad</v>
      </c>
      <c r="Z1462" s="142">
        <f>VLOOKUP(Tabla1[[#This Row],[Perfil]],Catalogos!$B$75:$D$100,3,FALSE)*Tabla1[[#This Row],[Tiempo
(Hrs 00/100)]]*1.16</f>
        <v>696</v>
      </c>
    </row>
    <row r="1463" spans="1:26" ht="15" customHeight="1" x14ac:dyDescent="0.3">
      <c r="A1463" s="210" t="s">
        <v>22</v>
      </c>
      <c r="B1463" s="374" t="s">
        <v>23</v>
      </c>
      <c r="C1463" s="205" t="s">
        <v>257</v>
      </c>
      <c r="D1463" s="382"/>
      <c r="E1463" s="210" t="s">
        <v>408</v>
      </c>
      <c r="F1463" s="210" t="s">
        <v>23</v>
      </c>
      <c r="G1463" s="370" t="s">
        <v>604</v>
      </c>
      <c r="H1463" s="371" t="s">
        <v>2113</v>
      </c>
      <c r="I1463" s="383" t="s">
        <v>2114</v>
      </c>
      <c r="J1463" s="369">
        <v>45156</v>
      </c>
      <c r="K1463" s="753">
        <v>0.47916666666666669</v>
      </c>
      <c r="L1463" s="369">
        <v>45156</v>
      </c>
      <c r="M1463" s="753">
        <v>0.5</v>
      </c>
      <c r="N1463" s="210">
        <v>0.5</v>
      </c>
      <c r="O1463" s="374" t="s">
        <v>17</v>
      </c>
      <c r="P1463" s="375" t="s">
        <v>1583</v>
      </c>
      <c r="Q1463" s="806" t="s">
        <v>1441</v>
      </c>
      <c r="R1463" s="209" t="s">
        <v>95</v>
      </c>
      <c r="S1463" s="31" t="s">
        <v>273</v>
      </c>
      <c r="T1463" s="31" t="s">
        <v>273</v>
      </c>
      <c r="U1463" s="31">
        <f>IFERROR(VLOOKUP(CONCATENATE(Tabla1[[#This Row],[Severidad]]," ",Tabla1[[#This Row],[Complejidad]]),Catalogos!E$120:G$128,3,FALSE),"")</f>
        <v>64</v>
      </c>
      <c r="V1463" s="31" t="str">
        <f>IF(Tabla1[[#This Row],[Tiempo solución max (hrs)]]&lt;&gt;"",IF(Tabla1[[#This Row],[Tiempo solución max (hrs)]]&gt;=Tabla1[[#This Row],[Tiempo
(Hrs 00/100)]],"cumple","no cumple"),"")</f>
        <v>cumple</v>
      </c>
      <c r="W1463" s="376" t="s">
        <v>1814</v>
      </c>
      <c r="X1463" s="377" t="str">
        <f t="shared" si="142"/>
        <v>SSI</v>
      </c>
      <c r="Y1463" t="str">
        <f>SUBSTITUTE(Tabla1[[#This Row],[Descripción]],CHAR(10),"    I    ")</f>
        <v>Si se encuentra mejora a menor costo, se actualiza query mejorado en procedimiento 'FUNC11TURNAFOLIOUNIAD_CONFIGPLAZOSO_QF11Q2' de la Funcionalidad 11</v>
      </c>
      <c r="Z1463" s="142">
        <f>VLOOKUP(Tabla1[[#This Row],[Perfil]],Catalogos!$B$75:$D$100,3,FALSE)*Tabla1[[#This Row],[Tiempo
(Hrs 00/100)]]*1.16</f>
        <v>348</v>
      </c>
    </row>
    <row r="1464" spans="1:26" ht="15" customHeight="1" x14ac:dyDescent="0.3">
      <c r="A1464" s="370" t="s">
        <v>22</v>
      </c>
      <c r="B1464" s="370" t="s">
        <v>23</v>
      </c>
      <c r="C1464" s="205" t="s">
        <v>257</v>
      </c>
      <c r="D1464" s="370"/>
      <c r="E1464" s="370" t="s">
        <v>408</v>
      </c>
      <c r="F1464" s="370" t="s">
        <v>23</v>
      </c>
      <c r="G1464" s="370" t="s">
        <v>604</v>
      </c>
      <c r="H1464" s="371" t="s">
        <v>2115</v>
      </c>
      <c r="I1464" s="383" t="s">
        <v>2115</v>
      </c>
      <c r="J1464" s="369">
        <v>45156</v>
      </c>
      <c r="K1464" s="753">
        <v>0.5</v>
      </c>
      <c r="L1464" s="369">
        <v>45156</v>
      </c>
      <c r="M1464" s="753">
        <v>0.54166666666666663</v>
      </c>
      <c r="N1464" s="373">
        <v>1</v>
      </c>
      <c r="O1464" s="374" t="s">
        <v>17</v>
      </c>
      <c r="P1464" s="375" t="s">
        <v>1583</v>
      </c>
      <c r="Q1464" s="785" t="s">
        <v>1441</v>
      </c>
      <c r="R1464" s="202" t="s">
        <v>95</v>
      </c>
      <c r="S1464" s="31" t="s">
        <v>273</v>
      </c>
      <c r="T1464" s="31" t="s">
        <v>273</v>
      </c>
      <c r="U1464" s="31">
        <f>IFERROR(VLOOKUP(CONCATENATE(Tabla1[[#This Row],[Severidad]]," ",Tabla1[[#This Row],[Complejidad]]),Catalogos!E$120:G$128,3,FALSE),"")</f>
        <v>64</v>
      </c>
      <c r="V1464" s="31" t="str">
        <f>IF(Tabla1[[#This Row],[Tiempo solución max (hrs)]]&lt;&gt;"",IF(Tabla1[[#This Row],[Tiempo solución max (hrs)]]&gt;=Tabla1[[#This Row],[Tiempo
(Hrs 00/100)]],"cumple","no cumple"),"")</f>
        <v>cumple</v>
      </c>
      <c r="W1464" s="376" t="s">
        <v>1814</v>
      </c>
      <c r="X1464" s="377" t="str">
        <f t="shared" si="142"/>
        <v>SSI</v>
      </c>
      <c r="Y1464" t="str">
        <f>SUBSTITUTE(Tabla1[[#This Row],[Descripción]],CHAR(10),"    I    ")</f>
        <v>Se repasó el query 3 de la Funcionalidad 11 para optimizarlo con ayuda de la herramienta Toad</v>
      </c>
      <c r="Z1464" s="142">
        <f>VLOOKUP(Tabla1[[#This Row],[Perfil]],Catalogos!$B$75:$D$100,3,FALSE)*Tabla1[[#This Row],[Tiempo
(Hrs 00/100)]]*1.16</f>
        <v>696</v>
      </c>
    </row>
    <row r="1465" spans="1:26" ht="15" customHeight="1" x14ac:dyDescent="0.3">
      <c r="A1465" s="210" t="s">
        <v>22</v>
      </c>
      <c r="B1465" s="374" t="s">
        <v>23</v>
      </c>
      <c r="C1465" s="205" t="s">
        <v>257</v>
      </c>
      <c r="D1465" s="382"/>
      <c r="E1465" s="210" t="s">
        <v>408</v>
      </c>
      <c r="F1465" s="210" t="s">
        <v>23</v>
      </c>
      <c r="G1465" s="370" t="s">
        <v>604</v>
      </c>
      <c r="H1465" s="419" t="s">
        <v>2116</v>
      </c>
      <c r="I1465" s="420" t="s">
        <v>2117</v>
      </c>
      <c r="J1465" s="369">
        <v>45156</v>
      </c>
      <c r="K1465" s="753">
        <v>0.54166666666666663</v>
      </c>
      <c r="L1465" s="369">
        <v>45156</v>
      </c>
      <c r="M1465" s="753">
        <v>0.5625</v>
      </c>
      <c r="N1465" s="210">
        <v>0.5</v>
      </c>
      <c r="O1465" s="374" t="s">
        <v>17</v>
      </c>
      <c r="P1465" s="375" t="s">
        <v>1583</v>
      </c>
      <c r="Q1465" s="806" t="s">
        <v>1441</v>
      </c>
      <c r="R1465" s="209" t="s">
        <v>95</v>
      </c>
      <c r="S1465" s="31" t="s">
        <v>273</v>
      </c>
      <c r="T1465" s="31" t="s">
        <v>273</v>
      </c>
      <c r="U1465" s="31">
        <f>IFERROR(VLOOKUP(CONCATENATE(Tabla1[[#This Row],[Severidad]]," ",Tabla1[[#This Row],[Complejidad]]),Catalogos!E$120:G$128,3,FALSE),"")</f>
        <v>64</v>
      </c>
      <c r="V1465" s="31" t="str">
        <f>IF(Tabla1[[#This Row],[Tiempo solución max (hrs)]]&lt;&gt;"",IF(Tabla1[[#This Row],[Tiempo solución max (hrs)]]&gt;=Tabla1[[#This Row],[Tiempo
(Hrs 00/100)]],"cumple","no cumple"),"")</f>
        <v>cumple</v>
      </c>
      <c r="W1465" s="376" t="s">
        <v>1814</v>
      </c>
      <c r="X1465" s="377" t="str">
        <f t="shared" si="142"/>
        <v>SSI</v>
      </c>
      <c r="Y1465" t="str">
        <f>SUBSTITUTE(Tabla1[[#This Row],[Descripción]],CHAR(10),"    I    ")</f>
        <v>Si se encuentra mejora a menor costo, se actualiza query mejorado en procedimiento 'FUNC11TURNAFOLIOUNIAD_CONFIPROCXORGGTE_QF11Q3' de la Funcionalidad 11</v>
      </c>
      <c r="Z1465" s="142">
        <f>VLOOKUP(Tabla1[[#This Row],[Perfil]],Catalogos!$B$75:$D$100,3,FALSE)*Tabla1[[#This Row],[Tiempo
(Hrs 00/100)]]*1.16</f>
        <v>348</v>
      </c>
    </row>
    <row r="1466" spans="1:26" ht="15" customHeight="1" x14ac:dyDescent="0.3">
      <c r="A1466" s="210" t="s">
        <v>22</v>
      </c>
      <c r="B1466" s="374" t="s">
        <v>23</v>
      </c>
      <c r="C1466" s="205" t="s">
        <v>257</v>
      </c>
      <c r="D1466" s="382"/>
      <c r="E1466" s="210" t="s">
        <v>408</v>
      </c>
      <c r="F1466" s="210" t="s">
        <v>23</v>
      </c>
      <c r="G1466" s="370" t="s">
        <v>604</v>
      </c>
      <c r="H1466" s="371" t="s">
        <v>2118</v>
      </c>
      <c r="I1466" s="383" t="s">
        <v>2118</v>
      </c>
      <c r="J1466" s="369">
        <v>45156</v>
      </c>
      <c r="K1466" s="753">
        <v>0.5625</v>
      </c>
      <c r="L1466" s="369">
        <v>45156</v>
      </c>
      <c r="M1466" s="753">
        <v>0.60416666666666663</v>
      </c>
      <c r="N1466" s="210">
        <v>1</v>
      </c>
      <c r="O1466" s="374" t="s">
        <v>17</v>
      </c>
      <c r="P1466" s="375" t="s">
        <v>1583</v>
      </c>
      <c r="Q1466" s="806" t="s">
        <v>1441</v>
      </c>
      <c r="R1466" s="209" t="s">
        <v>95</v>
      </c>
      <c r="S1466" s="31" t="s">
        <v>273</v>
      </c>
      <c r="T1466" s="31" t="s">
        <v>273</v>
      </c>
      <c r="U1466" s="31">
        <f>IFERROR(VLOOKUP(CONCATENATE(Tabla1[[#This Row],[Severidad]]," ",Tabla1[[#This Row],[Complejidad]]),Catalogos!E$120:G$128,3,FALSE),"")</f>
        <v>64</v>
      </c>
      <c r="V1466" s="31" t="str">
        <f>IF(Tabla1[[#This Row],[Tiempo solución max (hrs)]]&lt;&gt;"",IF(Tabla1[[#This Row],[Tiempo solución max (hrs)]]&gt;=Tabla1[[#This Row],[Tiempo
(Hrs 00/100)]],"cumple","no cumple"),"")</f>
        <v>cumple</v>
      </c>
      <c r="W1466" s="376" t="s">
        <v>1814</v>
      </c>
      <c r="X1466" s="377" t="str">
        <f t="shared" si="142"/>
        <v>SSI</v>
      </c>
      <c r="Y1466" t="str">
        <f>SUBSTITUTE(Tabla1[[#This Row],[Descripción]],CHAR(10),"    I    ")</f>
        <v>Se repasó el query 2 de la Funcionalidad 12 para optimizarlo con ayuda de la herramienta Toad</v>
      </c>
      <c r="Z1466" s="142">
        <f>VLOOKUP(Tabla1[[#This Row],[Perfil]],Catalogos!$B$75:$D$100,3,FALSE)*Tabla1[[#This Row],[Tiempo
(Hrs 00/100)]]*1.16</f>
        <v>696</v>
      </c>
    </row>
    <row r="1467" spans="1:26" ht="15" customHeight="1" x14ac:dyDescent="0.3">
      <c r="A1467" s="210" t="s">
        <v>22</v>
      </c>
      <c r="B1467" s="374" t="s">
        <v>23</v>
      </c>
      <c r="C1467" s="205" t="s">
        <v>257</v>
      </c>
      <c r="D1467" s="382"/>
      <c r="E1467" s="210" t="s">
        <v>408</v>
      </c>
      <c r="F1467" s="210" t="s">
        <v>23</v>
      </c>
      <c r="G1467" s="370" t="s">
        <v>604</v>
      </c>
      <c r="H1467" s="371" t="s">
        <v>2119</v>
      </c>
      <c r="I1467" s="383" t="s">
        <v>2120</v>
      </c>
      <c r="J1467" s="369">
        <v>45156</v>
      </c>
      <c r="K1467" s="753">
        <v>0.60416666666666663</v>
      </c>
      <c r="L1467" s="369">
        <v>45156</v>
      </c>
      <c r="M1467" s="753">
        <v>0.625</v>
      </c>
      <c r="N1467" s="210">
        <v>0.5</v>
      </c>
      <c r="O1467" s="374" t="s">
        <v>17</v>
      </c>
      <c r="P1467" s="375" t="s">
        <v>1583</v>
      </c>
      <c r="Q1467" s="806" t="s">
        <v>1441</v>
      </c>
      <c r="R1467" s="209" t="s">
        <v>95</v>
      </c>
      <c r="S1467" s="31" t="s">
        <v>273</v>
      </c>
      <c r="T1467" s="31" t="s">
        <v>273</v>
      </c>
      <c r="U1467" s="31">
        <f>IFERROR(VLOOKUP(CONCATENATE(Tabla1[[#This Row],[Severidad]]," ",Tabla1[[#This Row],[Complejidad]]),Catalogos!E$120:G$128,3,FALSE),"")</f>
        <v>64</v>
      </c>
      <c r="V1467" s="31" t="str">
        <f>IF(Tabla1[[#This Row],[Tiempo solución max (hrs)]]&lt;&gt;"",IF(Tabla1[[#This Row],[Tiempo solución max (hrs)]]&gt;=Tabla1[[#This Row],[Tiempo
(Hrs 00/100)]],"cumple","no cumple"),"")</f>
        <v>cumple</v>
      </c>
      <c r="W1467" s="376" t="s">
        <v>1814</v>
      </c>
      <c r="X1467" s="377" t="str">
        <f t="shared" si="142"/>
        <v>SSI</v>
      </c>
      <c r="Y1467" t="str">
        <f>SUBSTITUTE(Tabla1[[#This Row],[Descripción]],CHAR(10),"    I    ")</f>
        <v>Si se encuentra mejora a menor costo, se actualiza query mejorado en procedimiento 'FUNC12DASHBOARDFOLIOPENDRPTASEFOLCOMTRANSPA_QF12Q2' de la Funcionalidad 12</v>
      </c>
      <c r="Z1467" s="142">
        <f>VLOOKUP(Tabla1[[#This Row],[Perfil]],Catalogos!$B$75:$D$100,3,FALSE)*Tabla1[[#This Row],[Tiempo
(Hrs 00/100)]]*1.16</f>
        <v>348</v>
      </c>
    </row>
    <row r="1468" spans="1:26" ht="15" customHeight="1" x14ac:dyDescent="0.3">
      <c r="A1468" s="210" t="s">
        <v>22</v>
      </c>
      <c r="B1468" s="374" t="s">
        <v>23</v>
      </c>
      <c r="C1468" s="205" t="s">
        <v>257</v>
      </c>
      <c r="D1468" s="382"/>
      <c r="E1468" s="210" t="s">
        <v>408</v>
      </c>
      <c r="F1468" s="210" t="s">
        <v>23</v>
      </c>
      <c r="G1468" s="370" t="s">
        <v>604</v>
      </c>
      <c r="H1468" s="371" t="s">
        <v>2121</v>
      </c>
      <c r="I1468" s="383" t="s">
        <v>2122</v>
      </c>
      <c r="J1468" s="369">
        <v>45156</v>
      </c>
      <c r="K1468" s="747">
        <v>0.66666666666666663</v>
      </c>
      <c r="L1468" s="369">
        <v>45156</v>
      </c>
      <c r="M1468" s="753">
        <v>0.70833333333333337</v>
      </c>
      <c r="N1468" s="210">
        <v>1</v>
      </c>
      <c r="O1468" s="374" t="s">
        <v>17</v>
      </c>
      <c r="P1468" s="375" t="s">
        <v>1583</v>
      </c>
      <c r="Q1468" s="806" t="s">
        <v>1441</v>
      </c>
      <c r="R1468" s="209" t="s">
        <v>95</v>
      </c>
      <c r="S1468" s="31" t="s">
        <v>273</v>
      </c>
      <c r="T1468" s="31" t="s">
        <v>273</v>
      </c>
      <c r="U1468" s="31">
        <f>IFERROR(VLOOKUP(CONCATENATE(Tabla1[[#This Row],[Severidad]]," ",Tabla1[[#This Row],[Complejidad]]),Catalogos!E$120:G$128,3,FALSE),"")</f>
        <v>64</v>
      </c>
      <c r="V1468" s="31" t="str">
        <f>IF(Tabla1[[#This Row],[Tiempo solución max (hrs)]]&lt;&gt;"",IF(Tabla1[[#This Row],[Tiempo solución max (hrs)]]&gt;=Tabla1[[#This Row],[Tiempo
(Hrs 00/100)]],"cumple","no cumple"),"")</f>
        <v>cumple</v>
      </c>
      <c r="W1468" s="376" t="s">
        <v>1814</v>
      </c>
      <c r="X1468" s="377" t="str">
        <f t="shared" si="142"/>
        <v>SSI</v>
      </c>
      <c r="Y1468" t="str">
        <f>SUBSTITUTE(Tabla1[[#This Row],[Descripción]],CHAR(10),"    I    ")</f>
        <v>Se repasó el query 3 de la Funcionalidad 12 para optimizarlo con ayuda de la herramienta Toad</v>
      </c>
      <c r="Z1468" s="142">
        <f>VLOOKUP(Tabla1[[#This Row],[Perfil]],Catalogos!$B$75:$D$100,3,FALSE)*Tabla1[[#This Row],[Tiempo
(Hrs 00/100)]]*1.16</f>
        <v>696</v>
      </c>
    </row>
    <row r="1469" spans="1:26" ht="15" customHeight="1" x14ac:dyDescent="0.3">
      <c r="A1469" s="210" t="s">
        <v>22</v>
      </c>
      <c r="B1469" s="374" t="s">
        <v>23</v>
      </c>
      <c r="C1469" s="205" t="s">
        <v>257</v>
      </c>
      <c r="D1469" s="382"/>
      <c r="E1469" s="210" t="s">
        <v>408</v>
      </c>
      <c r="F1469" s="210" t="s">
        <v>23</v>
      </c>
      <c r="G1469" s="370" t="s">
        <v>604</v>
      </c>
      <c r="H1469" s="371" t="s">
        <v>2123</v>
      </c>
      <c r="I1469" s="383" t="s">
        <v>2124</v>
      </c>
      <c r="J1469" s="369">
        <v>45156</v>
      </c>
      <c r="K1469" s="753">
        <v>0.70833333333333337</v>
      </c>
      <c r="L1469" s="369">
        <v>45156</v>
      </c>
      <c r="M1469" s="753">
        <v>0.72916666666666663</v>
      </c>
      <c r="N1469" s="210">
        <v>0.5</v>
      </c>
      <c r="O1469" s="374" t="s">
        <v>17</v>
      </c>
      <c r="P1469" s="375" t="s">
        <v>1583</v>
      </c>
      <c r="Q1469" s="806" t="s">
        <v>1441</v>
      </c>
      <c r="R1469" s="209" t="s">
        <v>95</v>
      </c>
      <c r="S1469" s="31" t="s">
        <v>273</v>
      </c>
      <c r="T1469" s="31" t="s">
        <v>273</v>
      </c>
      <c r="U1469" s="31">
        <f>IFERROR(VLOOKUP(CONCATENATE(Tabla1[[#This Row],[Severidad]]," ",Tabla1[[#This Row],[Complejidad]]),Catalogos!E$120:G$128,3,FALSE),"")</f>
        <v>64</v>
      </c>
      <c r="V1469" s="31" t="str">
        <f>IF(Tabla1[[#This Row],[Tiempo solución max (hrs)]]&lt;&gt;"",IF(Tabla1[[#This Row],[Tiempo solución max (hrs)]]&gt;=Tabla1[[#This Row],[Tiempo
(Hrs 00/100)]],"cumple","no cumple"),"")</f>
        <v>cumple</v>
      </c>
      <c r="W1469" s="376" t="s">
        <v>1814</v>
      </c>
      <c r="X1469" s="377" t="str">
        <f t="shared" si="142"/>
        <v>SSI</v>
      </c>
      <c r="Y1469" t="str">
        <f>SUBSTITUTE(Tabla1[[#This Row],[Descripción]],CHAR(10),"    I    ")</f>
        <v>Si se encuentra mejora a menor costo, se actualiza query mejorado en procedimiento 'FUNC12DASHBOARDFOLIOPENDRPTASNOTERMIDIATRANS_QF12Q3' de la Funcionalidad 12</v>
      </c>
      <c r="Z1469" s="142">
        <f>VLOOKUP(Tabla1[[#This Row],[Perfil]],Catalogos!$B$75:$D$100,3,FALSE)*Tabla1[[#This Row],[Tiempo
(Hrs 00/100)]]*1.16</f>
        <v>348</v>
      </c>
    </row>
    <row r="1470" spans="1:26" ht="15" customHeight="1" x14ac:dyDescent="0.3">
      <c r="A1470" s="210" t="s">
        <v>22</v>
      </c>
      <c r="B1470" s="374" t="s">
        <v>23</v>
      </c>
      <c r="C1470" s="205" t="s">
        <v>257</v>
      </c>
      <c r="D1470" s="382"/>
      <c r="E1470" s="210" t="s">
        <v>408</v>
      </c>
      <c r="F1470" s="210" t="s">
        <v>23</v>
      </c>
      <c r="G1470" s="370" t="s">
        <v>604</v>
      </c>
      <c r="H1470" s="371" t="s">
        <v>2125</v>
      </c>
      <c r="I1470" s="383" t="s">
        <v>2126</v>
      </c>
      <c r="J1470" s="369">
        <v>45156</v>
      </c>
      <c r="K1470" s="753">
        <v>0.72916666666666663</v>
      </c>
      <c r="L1470" s="369">
        <v>45156</v>
      </c>
      <c r="M1470" s="753">
        <v>0.77083333333333337</v>
      </c>
      <c r="N1470" s="210">
        <v>1</v>
      </c>
      <c r="O1470" s="374" t="s">
        <v>17</v>
      </c>
      <c r="P1470" s="375" t="s">
        <v>1583</v>
      </c>
      <c r="Q1470" s="785" t="s">
        <v>1441</v>
      </c>
      <c r="R1470" s="202" t="s">
        <v>95</v>
      </c>
      <c r="S1470" s="31" t="s">
        <v>273</v>
      </c>
      <c r="T1470" s="31" t="s">
        <v>273</v>
      </c>
      <c r="U1470" s="31">
        <f>IFERROR(VLOOKUP(CONCATENATE(Tabla1[[#This Row],[Severidad]]," ",Tabla1[[#This Row],[Complejidad]]),Catalogos!E$120:G$128,3,FALSE),"")</f>
        <v>64</v>
      </c>
      <c r="V1470" s="31" t="str">
        <f>IF(Tabla1[[#This Row],[Tiempo solución max (hrs)]]&lt;&gt;"",IF(Tabla1[[#This Row],[Tiempo solución max (hrs)]]&gt;=Tabla1[[#This Row],[Tiempo
(Hrs 00/100)]],"cumple","no cumple"),"")</f>
        <v>cumple</v>
      </c>
      <c r="W1470" s="376" t="s">
        <v>1814</v>
      </c>
      <c r="X1470" s="377" t="str">
        <f t="shared" si="142"/>
        <v>SSI</v>
      </c>
      <c r="Y1470" t="str">
        <f>SUBSTITUTE(Tabla1[[#This Row],[Descripción]],CHAR(10),"    I    ")</f>
        <v>Se repasó el query 4 de la Funcionalidad 12 para optimizarlo con ayuda de la herramienta Toad</v>
      </c>
      <c r="Z1470" s="142">
        <f>VLOOKUP(Tabla1[[#This Row],[Perfil]],Catalogos!$B$75:$D$100,3,FALSE)*Tabla1[[#This Row],[Tiempo
(Hrs 00/100)]]*1.16</f>
        <v>696</v>
      </c>
    </row>
    <row r="1471" spans="1:26" ht="15" customHeight="1" x14ac:dyDescent="0.3">
      <c r="A1471" s="210" t="s">
        <v>22</v>
      </c>
      <c r="B1471" s="374" t="s">
        <v>23</v>
      </c>
      <c r="C1471" s="205" t="s">
        <v>257</v>
      </c>
      <c r="D1471" s="382"/>
      <c r="E1471" s="210" t="s">
        <v>408</v>
      </c>
      <c r="F1471" s="210" t="s">
        <v>23</v>
      </c>
      <c r="G1471" s="370" t="s">
        <v>604</v>
      </c>
      <c r="H1471" s="371" t="s">
        <v>2127</v>
      </c>
      <c r="I1471" s="383" t="s">
        <v>2128</v>
      </c>
      <c r="J1471" s="369">
        <v>45156</v>
      </c>
      <c r="K1471" s="753">
        <v>0.77083333333333337</v>
      </c>
      <c r="L1471" s="369">
        <v>45156</v>
      </c>
      <c r="M1471" s="753">
        <v>0.79166666666666663</v>
      </c>
      <c r="N1471" s="210">
        <v>0.5</v>
      </c>
      <c r="O1471" s="374" t="s">
        <v>17</v>
      </c>
      <c r="P1471" s="375" t="s">
        <v>1583</v>
      </c>
      <c r="Q1471" s="806" t="s">
        <v>1441</v>
      </c>
      <c r="R1471" s="209" t="s">
        <v>95</v>
      </c>
      <c r="S1471" s="31" t="s">
        <v>273</v>
      </c>
      <c r="T1471" s="31" t="s">
        <v>273</v>
      </c>
      <c r="U1471" s="31">
        <f>IFERROR(VLOOKUP(CONCATENATE(Tabla1[[#This Row],[Severidad]]," ",Tabla1[[#This Row],[Complejidad]]),Catalogos!E$120:G$128,3,FALSE),"")</f>
        <v>64</v>
      </c>
      <c r="V1471" s="31" t="str">
        <f>IF(Tabla1[[#This Row],[Tiempo solución max (hrs)]]&lt;&gt;"",IF(Tabla1[[#This Row],[Tiempo solución max (hrs)]]&gt;=Tabla1[[#This Row],[Tiempo
(Hrs 00/100)]],"cumple","no cumple"),"")</f>
        <v>cumple</v>
      </c>
      <c r="W1471" s="376" t="s">
        <v>1814</v>
      </c>
      <c r="X1471" s="377" t="str">
        <f t="shared" si="142"/>
        <v>SSI</v>
      </c>
      <c r="Y1471" t="str">
        <f>SUBSTITUTE(Tabla1[[#This Row],[Descripción]],CHAR(10),"    I    ")</f>
        <v>Si se encuentra mejora a menor costo, se actualiza query mejorado en procedimiento 'FUNC12DASHBOARDFOLIOPENDRPTASLTADIAINHABIL_QF12Q4' de la Funcionalidad 12</v>
      </c>
      <c r="Z1471" s="142">
        <f>VLOOKUP(Tabla1[[#This Row],[Perfil]],Catalogos!$B$75:$D$100,3,FALSE)*Tabla1[[#This Row],[Tiempo
(Hrs 00/100)]]*1.16</f>
        <v>348</v>
      </c>
    </row>
    <row r="1472" spans="1:26" ht="15" customHeight="1" x14ac:dyDescent="0.3">
      <c r="A1472" s="210" t="s">
        <v>22</v>
      </c>
      <c r="B1472" s="374" t="s">
        <v>23</v>
      </c>
      <c r="C1472" s="205" t="s">
        <v>257</v>
      </c>
      <c r="D1472" s="382"/>
      <c r="E1472" s="210" t="s">
        <v>408</v>
      </c>
      <c r="F1472" s="210" t="s">
        <v>23</v>
      </c>
      <c r="G1472" s="370" t="s">
        <v>604</v>
      </c>
      <c r="H1472" s="371" t="s">
        <v>2129</v>
      </c>
      <c r="I1472" s="383" t="s">
        <v>2130</v>
      </c>
      <c r="J1472" s="369">
        <v>45159</v>
      </c>
      <c r="K1472" s="747">
        <v>0.375</v>
      </c>
      <c r="L1472" s="369">
        <v>45159</v>
      </c>
      <c r="M1472" s="753">
        <v>0.41666666666666669</v>
      </c>
      <c r="N1472" s="210">
        <v>1</v>
      </c>
      <c r="O1472" s="374" t="s">
        <v>17</v>
      </c>
      <c r="P1472" s="375" t="s">
        <v>1583</v>
      </c>
      <c r="Q1472" s="785" t="s">
        <v>1441</v>
      </c>
      <c r="R1472" s="202" t="s">
        <v>95</v>
      </c>
      <c r="S1472" s="31" t="s">
        <v>273</v>
      </c>
      <c r="T1472" s="31" t="s">
        <v>273</v>
      </c>
      <c r="U1472" s="31">
        <f>IFERROR(VLOOKUP(CONCATENATE(Tabla1[[#This Row],[Severidad]]," ",Tabla1[[#This Row],[Complejidad]]),Catalogos!E$120:G$128,3,FALSE),"")</f>
        <v>64</v>
      </c>
      <c r="V1472" s="31" t="str">
        <f>IF(Tabla1[[#This Row],[Tiempo solución max (hrs)]]&lt;&gt;"",IF(Tabla1[[#This Row],[Tiempo solución max (hrs)]]&gt;=Tabla1[[#This Row],[Tiempo
(Hrs 00/100)]],"cumple","no cumple"),"")</f>
        <v>cumple</v>
      </c>
      <c r="W1472" s="376" t="s">
        <v>1814</v>
      </c>
      <c r="X1472" s="377" t="str">
        <f t="shared" si="142"/>
        <v>SSI</v>
      </c>
      <c r="Y1472" t="str">
        <f>SUBSTITUTE(Tabla1[[#This Row],[Descripción]],CHAR(10),"    I    ")</f>
        <v>Se repasó el query 3 de la Funcionalidad 13 para optimizarlo con ayuda de la herramienta Toad</v>
      </c>
      <c r="Z1472" s="142">
        <f>VLOOKUP(Tabla1[[#This Row],[Perfil]],Catalogos!$B$75:$D$100,3,FALSE)*Tabla1[[#This Row],[Tiempo
(Hrs 00/100)]]*1.16</f>
        <v>696</v>
      </c>
    </row>
    <row r="1473" spans="1:27" ht="15" customHeight="1" x14ac:dyDescent="0.3">
      <c r="A1473" s="210" t="s">
        <v>22</v>
      </c>
      <c r="B1473" s="374" t="s">
        <v>23</v>
      </c>
      <c r="C1473" s="205" t="s">
        <v>257</v>
      </c>
      <c r="D1473" s="382"/>
      <c r="E1473" s="210" t="s">
        <v>408</v>
      </c>
      <c r="F1473" s="210" t="s">
        <v>23</v>
      </c>
      <c r="G1473" s="370" t="s">
        <v>604</v>
      </c>
      <c r="H1473" s="371" t="s">
        <v>2131</v>
      </c>
      <c r="I1473" s="383" t="s">
        <v>2132</v>
      </c>
      <c r="J1473" s="369">
        <v>45159</v>
      </c>
      <c r="K1473" s="753">
        <v>0.41666666666666669</v>
      </c>
      <c r="L1473" s="369">
        <v>45159</v>
      </c>
      <c r="M1473" s="753">
        <v>0.4375</v>
      </c>
      <c r="N1473" s="210">
        <v>0.5</v>
      </c>
      <c r="O1473" s="374" t="s">
        <v>17</v>
      </c>
      <c r="P1473" s="375" t="s">
        <v>1583</v>
      </c>
      <c r="Q1473" s="806" t="s">
        <v>1441</v>
      </c>
      <c r="R1473" s="209" t="s">
        <v>95</v>
      </c>
      <c r="S1473" s="31" t="s">
        <v>273</v>
      </c>
      <c r="T1473" s="31" t="s">
        <v>273</v>
      </c>
      <c r="U1473" s="31">
        <f>IFERROR(VLOOKUP(CONCATENATE(Tabla1[[#This Row],[Severidad]]," ",Tabla1[[#This Row],[Complejidad]]),Catalogos!E$120:G$128,3,FALSE),"")</f>
        <v>64</v>
      </c>
      <c r="V1473" s="31" t="str">
        <f>IF(Tabla1[[#This Row],[Tiempo solución max (hrs)]]&lt;&gt;"",IF(Tabla1[[#This Row],[Tiempo solución max (hrs)]]&gt;=Tabla1[[#This Row],[Tiempo
(Hrs 00/100)]],"cumple","no cumple"),"")</f>
        <v>cumple</v>
      </c>
      <c r="W1473" s="376" t="s">
        <v>1814</v>
      </c>
      <c r="X1473" s="377" t="str">
        <f t="shared" si="142"/>
        <v>SSI</v>
      </c>
      <c r="Y1473" t="str">
        <f>SUBSTITUTE(Tabla1[[#This Row],[Descripción]],CHAR(10),"    I    ")</f>
        <v>Si se encuentra mejora a menor costo, se actualiza query mejorado en procedimiento 'FUNC13SEGUISUBFOLIOUAADJUNTCFLUJOSEGUISUFL_QF13Q3' de la Funcionalidad 13</v>
      </c>
      <c r="Z1473" s="142">
        <f>VLOOKUP(Tabla1[[#This Row],[Perfil]],Catalogos!$B$75:$D$100,3,FALSE)*Tabla1[[#This Row],[Tiempo
(Hrs 00/100)]]*1.16</f>
        <v>348</v>
      </c>
    </row>
    <row r="1474" spans="1:27" ht="15" customHeight="1" x14ac:dyDescent="0.3">
      <c r="A1474" s="210" t="s">
        <v>22</v>
      </c>
      <c r="B1474" s="374" t="s">
        <v>61</v>
      </c>
      <c r="C1474" s="205" t="s">
        <v>257</v>
      </c>
      <c r="D1474" s="382"/>
      <c r="E1474" s="210" t="s">
        <v>408</v>
      </c>
      <c r="F1474" s="210" t="s">
        <v>23</v>
      </c>
      <c r="G1474" s="370" t="s">
        <v>604</v>
      </c>
      <c r="H1474" s="371" t="s">
        <v>2133</v>
      </c>
      <c r="I1474" s="383" t="s">
        <v>2134</v>
      </c>
      <c r="J1474" s="369">
        <v>45159</v>
      </c>
      <c r="K1474" s="753">
        <v>0.4375</v>
      </c>
      <c r="L1474" s="369">
        <v>45159</v>
      </c>
      <c r="M1474" s="753">
        <v>0.47916666666666669</v>
      </c>
      <c r="N1474" s="210">
        <v>1</v>
      </c>
      <c r="O1474" s="374" t="s">
        <v>17</v>
      </c>
      <c r="P1474" s="375"/>
      <c r="Q1474" s="806" t="s">
        <v>1441</v>
      </c>
      <c r="R1474" s="209" t="s">
        <v>95</v>
      </c>
      <c r="S1474" s="31" t="s">
        <v>273</v>
      </c>
      <c r="T1474" s="31" t="s">
        <v>273</v>
      </c>
      <c r="U1474" s="31">
        <f>IFERROR(VLOOKUP(CONCATENATE(Tabla1[[#This Row],[Severidad]]," ",Tabla1[[#This Row],[Complejidad]]),Catalogos!E$120:G$128,3,FALSE),"")</f>
        <v>64</v>
      </c>
      <c r="V1474" s="31" t="str">
        <f>IF(Tabla1[[#This Row],[Tiempo solución max (hrs)]]&lt;&gt;"",IF(Tabla1[[#This Row],[Tiempo solución max (hrs)]]&gt;=Tabla1[[#This Row],[Tiempo
(Hrs 00/100)]],"cumple","no cumple"),"")</f>
        <v>cumple</v>
      </c>
      <c r="W1474" s="376" t="s">
        <v>1814</v>
      </c>
      <c r="X1474" s="377" t="str">
        <f t="shared" si="142"/>
        <v>SSI</v>
      </c>
      <c r="Y1474" t="str">
        <f>SUBSTITUTE(Tabla1[[#This Row],[Descripción]],CHAR(10),"    I    ")</f>
        <v>Se tuvó platica con Samuel para comentarle todo lo trabajado sobre los Querys Sisay, se realizaron un total de 28 procedimientos y se validaron las ejecuciones en bloques anonimos, para visualizar la información que devuelve el proceso</v>
      </c>
      <c r="Z1474" s="142">
        <f>VLOOKUP(Tabla1[[#This Row],[Perfil]],Catalogos!$B$75:$D$100,3,FALSE)*Tabla1[[#This Row],[Tiempo
(Hrs 00/100)]]*1.16</f>
        <v>696</v>
      </c>
    </row>
    <row r="1475" spans="1:27" ht="15" customHeight="1" x14ac:dyDescent="0.3">
      <c r="A1475" s="370" t="s">
        <v>22</v>
      </c>
      <c r="B1475" s="370" t="s">
        <v>305</v>
      </c>
      <c r="C1475" s="418" t="s">
        <v>257</v>
      </c>
      <c r="D1475" s="370"/>
      <c r="E1475" s="370" t="s">
        <v>408</v>
      </c>
      <c r="F1475" s="370" t="s">
        <v>72</v>
      </c>
      <c r="G1475" s="370" t="s">
        <v>604</v>
      </c>
      <c r="H1475" s="371" t="s">
        <v>2135</v>
      </c>
      <c r="I1475" s="383" t="s">
        <v>2136</v>
      </c>
      <c r="J1475" s="369">
        <v>45159</v>
      </c>
      <c r="K1475" s="753">
        <v>0.47916666666666669</v>
      </c>
      <c r="L1475" s="369">
        <v>45159</v>
      </c>
      <c r="M1475" s="753">
        <v>0.5</v>
      </c>
      <c r="N1475" s="373">
        <v>0.5</v>
      </c>
      <c r="O1475" s="374" t="s">
        <v>17</v>
      </c>
      <c r="P1475" s="375"/>
      <c r="Q1475" s="785" t="s">
        <v>1441</v>
      </c>
      <c r="R1475" s="202" t="s">
        <v>95</v>
      </c>
      <c r="S1475" s="31" t="s">
        <v>273</v>
      </c>
      <c r="T1475" s="31" t="s">
        <v>273</v>
      </c>
      <c r="U1475" s="31">
        <f>IFERROR(VLOOKUP(CONCATENATE(Tabla1[[#This Row],[Severidad]]," ",Tabla1[[#This Row],[Complejidad]]),Catalogos!E$120:G$128,3,FALSE),"")</f>
        <v>64</v>
      </c>
      <c r="V1475" s="31" t="str">
        <f>IF(Tabla1[[#This Row],[Tiempo solución max (hrs)]]&lt;&gt;"",IF(Tabla1[[#This Row],[Tiempo solución max (hrs)]]&gt;=Tabla1[[#This Row],[Tiempo
(Hrs 00/100)]],"cumple","no cumple"),"")</f>
        <v>cumple</v>
      </c>
      <c r="W1475" s="376" t="s">
        <v>1814</v>
      </c>
      <c r="X1475" s="377" t="str">
        <f t="shared" si="142"/>
        <v>SSI</v>
      </c>
      <c r="Y1475" t="str">
        <f>SUBSTITUTE(Tabla1[[#This Row],[Descripción]],CHAR(10),"    I    ")</f>
        <v>Se tuvó platica con Samuel para verificar los pasos siguientes, sobre los querys del Sigemi</v>
      </c>
      <c r="Z1475" s="142">
        <f>VLOOKUP(Tabla1[[#This Row],[Perfil]],Catalogos!$B$75:$D$100,3,FALSE)*Tabla1[[#This Row],[Tiempo
(Hrs 00/100)]]*1.16</f>
        <v>348</v>
      </c>
    </row>
    <row r="1476" spans="1:27" ht="15" customHeight="1" x14ac:dyDescent="0.3">
      <c r="A1476" s="210" t="s">
        <v>22</v>
      </c>
      <c r="B1476" s="374" t="s">
        <v>305</v>
      </c>
      <c r="C1476" s="205" t="s">
        <v>257</v>
      </c>
      <c r="D1476" s="382"/>
      <c r="E1476" s="210" t="s">
        <v>408</v>
      </c>
      <c r="F1476" s="210" t="s">
        <v>72</v>
      </c>
      <c r="G1476" s="370" t="s">
        <v>604</v>
      </c>
      <c r="H1476" s="371" t="s">
        <v>2137</v>
      </c>
      <c r="I1476" s="383" t="s">
        <v>2138</v>
      </c>
      <c r="J1476" s="369">
        <v>45159</v>
      </c>
      <c r="K1476" s="753">
        <v>0.5</v>
      </c>
      <c r="L1476" s="369">
        <v>45159</v>
      </c>
      <c r="M1476" s="753">
        <v>0.52083333333333337</v>
      </c>
      <c r="N1476" s="210">
        <v>0.5</v>
      </c>
      <c r="O1476" s="374" t="s">
        <v>17</v>
      </c>
      <c r="P1476" s="375" t="s">
        <v>2139</v>
      </c>
      <c r="Q1476" s="806" t="s">
        <v>1441</v>
      </c>
      <c r="R1476" s="209" t="s">
        <v>95</v>
      </c>
      <c r="S1476" s="31" t="s">
        <v>273</v>
      </c>
      <c r="T1476" s="31" t="s">
        <v>273</v>
      </c>
      <c r="U1476" s="31">
        <f>IFERROR(VLOOKUP(CONCATENATE(Tabla1[[#This Row],[Severidad]]," ",Tabla1[[#This Row],[Complejidad]]),Catalogos!E$120:G$128,3,FALSE),"")</f>
        <v>64</v>
      </c>
      <c r="V1476" s="31" t="str">
        <f>IF(Tabla1[[#This Row],[Tiempo solución max (hrs)]]&lt;&gt;"",IF(Tabla1[[#This Row],[Tiempo solución max (hrs)]]&gt;=Tabla1[[#This Row],[Tiempo
(Hrs 00/100)]],"cumple","no cumple"),"")</f>
        <v>cumple</v>
      </c>
      <c r="W1476" s="376" t="s">
        <v>1814</v>
      </c>
      <c r="X1476" s="377" t="str">
        <f t="shared" si="142"/>
        <v>SSI</v>
      </c>
      <c r="Y1476" t="str">
        <f>SUBSTITUTE(Tabla1[[#This Row],[Descripción]],CHAR(10),"    I    ")</f>
        <v>Se revisó documento compartido por Samuel para documentar los procedimientos creados</v>
      </c>
      <c r="Z1476" s="142">
        <f>VLOOKUP(Tabla1[[#This Row],[Perfil]],Catalogos!$B$75:$D$100,3,FALSE)*Tabla1[[#This Row],[Tiempo
(Hrs 00/100)]]*1.16</f>
        <v>348</v>
      </c>
    </row>
    <row r="1477" spans="1:27" ht="15" customHeight="1" x14ac:dyDescent="0.3">
      <c r="A1477" s="370" t="s">
        <v>22</v>
      </c>
      <c r="B1477" s="370" t="s">
        <v>65</v>
      </c>
      <c r="C1477" s="418" t="s">
        <v>257</v>
      </c>
      <c r="D1477" s="370"/>
      <c r="E1477" s="370" t="s">
        <v>408</v>
      </c>
      <c r="F1477" s="370" t="s">
        <v>23</v>
      </c>
      <c r="G1477" s="370" t="s">
        <v>604</v>
      </c>
      <c r="H1477" s="371" t="s">
        <v>2140</v>
      </c>
      <c r="I1477" s="383" t="s">
        <v>2141</v>
      </c>
      <c r="J1477" s="369">
        <v>45159</v>
      </c>
      <c r="K1477" s="753">
        <v>0.52083333333333337</v>
      </c>
      <c r="L1477" s="369">
        <v>45159</v>
      </c>
      <c r="M1477" s="753">
        <v>0.5625</v>
      </c>
      <c r="N1477" s="373">
        <v>1</v>
      </c>
      <c r="O1477" s="374" t="s">
        <v>17</v>
      </c>
      <c r="P1477" s="375" t="s">
        <v>2139</v>
      </c>
      <c r="Q1477" s="785" t="s">
        <v>1441</v>
      </c>
      <c r="R1477" s="202" t="s">
        <v>95</v>
      </c>
      <c r="S1477" s="31" t="s">
        <v>273</v>
      </c>
      <c r="T1477" s="31" t="s">
        <v>273</v>
      </c>
      <c r="U1477" s="31">
        <f>IFERROR(VLOOKUP(CONCATENATE(Tabla1[[#This Row],[Severidad]]," ",Tabla1[[#This Row],[Complejidad]]),Catalogos!E$120:G$128,3,FALSE),"")</f>
        <v>64</v>
      </c>
      <c r="V1477" s="31" t="str">
        <f>IF(Tabla1[[#This Row],[Tiempo solución max (hrs)]]&lt;&gt;"",IF(Tabla1[[#This Row],[Tiempo solución max (hrs)]]&gt;=Tabla1[[#This Row],[Tiempo
(Hrs 00/100)]],"cumple","no cumple"),"")</f>
        <v>cumple</v>
      </c>
      <c r="W1477" s="376" t="s">
        <v>1814</v>
      </c>
      <c r="X1477" s="377" t="str">
        <f t="shared" si="142"/>
        <v>SSI</v>
      </c>
      <c r="Y1477" t="str">
        <f>SUBSTITUTE(Tabla1[[#This Row],[Descripción]],CHAR(10),"    I    ")</f>
        <v>Se comenzó a llenar el documento 'PRO-AA-NN-P29-Reporte de Actividades' con el Antecedente, Objetivo del Documento e Información del Proyecto</v>
      </c>
      <c r="Z1477" s="142">
        <f>VLOOKUP(Tabla1[[#This Row],[Perfil]],Catalogos!$B$75:$D$100,3,FALSE)*Tabla1[[#This Row],[Tiempo
(Hrs 00/100)]]*1.16</f>
        <v>696</v>
      </c>
    </row>
    <row r="1478" spans="1:27" ht="15" customHeight="1" x14ac:dyDescent="0.3">
      <c r="A1478" s="210" t="s">
        <v>22</v>
      </c>
      <c r="B1478" s="374" t="s">
        <v>65</v>
      </c>
      <c r="C1478" s="205" t="s">
        <v>257</v>
      </c>
      <c r="D1478" s="382"/>
      <c r="E1478" s="210" t="s">
        <v>408</v>
      </c>
      <c r="F1478" s="210" t="s">
        <v>23</v>
      </c>
      <c r="G1478" s="370" t="s">
        <v>604</v>
      </c>
      <c r="H1478" s="371" t="s">
        <v>2142</v>
      </c>
      <c r="I1478" s="383" t="s">
        <v>2143</v>
      </c>
      <c r="J1478" s="369">
        <v>45159</v>
      </c>
      <c r="K1478" s="753">
        <v>0.5625</v>
      </c>
      <c r="L1478" s="369">
        <v>45159</v>
      </c>
      <c r="M1478" s="753">
        <v>0.625</v>
      </c>
      <c r="N1478" s="210">
        <v>1.5</v>
      </c>
      <c r="O1478" s="374" t="s">
        <v>17</v>
      </c>
      <c r="P1478" s="375" t="s">
        <v>2144</v>
      </c>
      <c r="Q1478" s="806" t="s">
        <v>1441</v>
      </c>
      <c r="R1478" s="209" t="s">
        <v>95</v>
      </c>
      <c r="S1478" s="31" t="s">
        <v>273</v>
      </c>
      <c r="T1478" s="31" t="s">
        <v>273</v>
      </c>
      <c r="U1478" s="31">
        <f>IFERROR(VLOOKUP(CONCATENATE(Tabla1[[#This Row],[Severidad]]," ",Tabla1[[#This Row],[Complejidad]]),Catalogos!E$120:G$128,3,FALSE),"")</f>
        <v>64</v>
      </c>
      <c r="V1478" s="31" t="str">
        <f>IF(Tabla1[[#This Row],[Tiempo solución max (hrs)]]&lt;&gt;"",IF(Tabla1[[#This Row],[Tiempo solución max (hrs)]]&gt;=Tabla1[[#This Row],[Tiempo
(Hrs 00/100)]],"cumple","no cumple"),"")</f>
        <v>cumple</v>
      </c>
      <c r="W1478" s="376" t="s">
        <v>1814</v>
      </c>
      <c r="X1478" s="377" t="str">
        <f t="shared" si="142"/>
        <v>SSI</v>
      </c>
      <c r="Y1478" t="str">
        <f>SUBSTITUTE(Tabla1[[#This Row],[Descripción]],CHAR(10),"    I    ")</f>
        <v>Se detalló el contenido del reporte en el documento 'PRO-AA-NN-P29-Reporte de Actividades' y se nombró el paquete 'SISAI.PACK_SISAI2' creado</v>
      </c>
      <c r="Z1478" s="142">
        <f>VLOOKUP(Tabla1[[#This Row],[Perfil]],Catalogos!$B$75:$D$100,3,FALSE)*Tabla1[[#This Row],[Tiempo
(Hrs 00/100)]]*1.16</f>
        <v>1044</v>
      </c>
    </row>
    <row r="1479" spans="1:27" ht="15" customHeight="1" x14ac:dyDescent="0.3">
      <c r="A1479" s="370" t="s">
        <v>22</v>
      </c>
      <c r="B1479" s="370" t="s">
        <v>23</v>
      </c>
      <c r="C1479" s="418" t="s">
        <v>257</v>
      </c>
      <c r="D1479" s="370"/>
      <c r="E1479" s="370" t="s">
        <v>408</v>
      </c>
      <c r="F1479" s="370" t="s">
        <v>76</v>
      </c>
      <c r="G1479" s="370" t="s">
        <v>604</v>
      </c>
      <c r="H1479" s="371" t="s">
        <v>2145</v>
      </c>
      <c r="I1479" s="383" t="s">
        <v>2146</v>
      </c>
      <c r="J1479" s="369">
        <v>45159</v>
      </c>
      <c r="K1479" s="747">
        <v>0.66666666666666663</v>
      </c>
      <c r="L1479" s="369">
        <v>45159</v>
      </c>
      <c r="M1479" s="753">
        <v>0.70833333333333337</v>
      </c>
      <c r="N1479" s="373">
        <v>1</v>
      </c>
      <c r="O1479" s="374" t="s">
        <v>17</v>
      </c>
      <c r="P1479" s="375" t="s">
        <v>2144</v>
      </c>
      <c r="Q1479" s="785" t="s">
        <v>1441</v>
      </c>
      <c r="R1479" s="202" t="s">
        <v>95</v>
      </c>
      <c r="S1479" s="31" t="s">
        <v>273</v>
      </c>
      <c r="T1479" s="31" t="s">
        <v>273</v>
      </c>
      <c r="U1479" s="31">
        <f>IFERROR(VLOOKUP(CONCATENATE(Tabla1[[#This Row],[Severidad]]," ",Tabla1[[#This Row],[Complejidad]]),Catalogos!E$120:G$128,3,FALSE),"")</f>
        <v>64</v>
      </c>
      <c r="V1479" s="31" t="str">
        <f>IF(Tabla1[[#This Row],[Tiempo solución max (hrs)]]&lt;&gt;"",IF(Tabla1[[#This Row],[Tiempo solución max (hrs)]]&gt;=Tabla1[[#This Row],[Tiempo
(Hrs 00/100)]],"cumple","no cumple"),"")</f>
        <v>cumple</v>
      </c>
      <c r="W1479" s="376" t="s">
        <v>1814</v>
      </c>
      <c r="X1479" s="377" t="str">
        <f t="shared" si="142"/>
        <v>SSI</v>
      </c>
      <c r="Y1479" t="str">
        <f>SUBSTITUTE(Tabla1[[#This Row],[Descripción]],CHAR(10),"    I    ")</f>
        <v>Se documentó el Query 1 de la Funcionalidad 1 en el documento 'PRO-AA-NN-P29-Reporte de Actividades' con el procedimiento FUNC1DASHBOARDMISSOLICITUDES_QF1</v>
      </c>
      <c r="Z1479" s="142">
        <f>VLOOKUP(Tabla1[[#This Row],[Perfil]],Catalogos!$B$75:$D$100,3,FALSE)*Tabla1[[#This Row],[Tiempo
(Hrs 00/100)]]*1.16</f>
        <v>696</v>
      </c>
    </row>
    <row r="1480" spans="1:27" ht="15" customHeight="1" x14ac:dyDescent="0.3">
      <c r="A1480" s="210" t="s">
        <v>22</v>
      </c>
      <c r="B1480" s="374" t="s">
        <v>23</v>
      </c>
      <c r="C1480" s="205" t="s">
        <v>257</v>
      </c>
      <c r="D1480" s="382"/>
      <c r="E1480" s="210" t="s">
        <v>408</v>
      </c>
      <c r="F1480" s="210" t="s">
        <v>76</v>
      </c>
      <c r="G1480" s="370" t="s">
        <v>604</v>
      </c>
      <c r="H1480" s="371" t="s">
        <v>2147</v>
      </c>
      <c r="I1480" s="383" t="s">
        <v>2147</v>
      </c>
      <c r="J1480" s="369">
        <v>45159</v>
      </c>
      <c r="K1480" s="753">
        <v>0.70833333333333337</v>
      </c>
      <c r="L1480" s="369">
        <v>45159</v>
      </c>
      <c r="M1480" s="753">
        <v>0.75</v>
      </c>
      <c r="N1480" s="210">
        <v>1</v>
      </c>
      <c r="O1480" s="374" t="s">
        <v>17</v>
      </c>
      <c r="P1480" s="375" t="s">
        <v>2144</v>
      </c>
      <c r="Q1480" s="806" t="s">
        <v>1441</v>
      </c>
      <c r="R1480" s="209" t="s">
        <v>95</v>
      </c>
      <c r="S1480" s="31" t="s">
        <v>273</v>
      </c>
      <c r="T1480" s="31" t="s">
        <v>273</v>
      </c>
      <c r="U1480" s="31">
        <f>IFERROR(VLOOKUP(CONCATENATE(Tabla1[[#This Row],[Severidad]]," ",Tabla1[[#This Row],[Complejidad]]),Catalogos!E$120:G$128,3,FALSE),"")</f>
        <v>64</v>
      </c>
      <c r="V1480" s="31" t="str">
        <f>IF(Tabla1[[#This Row],[Tiempo solución max (hrs)]]&lt;&gt;"",IF(Tabla1[[#This Row],[Tiempo solución max (hrs)]]&gt;=Tabla1[[#This Row],[Tiempo
(Hrs 00/100)]],"cumple","no cumple"),"")</f>
        <v>cumple</v>
      </c>
      <c r="W1480" s="376" t="s">
        <v>1814</v>
      </c>
      <c r="X1480" s="377" t="str">
        <f t="shared" si="142"/>
        <v>SSI</v>
      </c>
      <c r="Y1480" t="str">
        <f>SUBSTITUTE(Tabla1[[#This Row],[Descripción]],CHAR(10),"    I    ")</f>
        <v>Se documentó que para la Funcionalidad 2 no se registró query porque se mejorará desde el aplicativo</v>
      </c>
      <c r="Z1480" s="142">
        <f>VLOOKUP(Tabla1[[#This Row],[Perfil]],Catalogos!$B$75:$D$100,3,FALSE)*Tabla1[[#This Row],[Tiempo
(Hrs 00/100)]]*1.16</f>
        <v>696</v>
      </c>
    </row>
    <row r="1481" spans="1:27" ht="15" customHeight="1" x14ac:dyDescent="0.3">
      <c r="A1481" s="370" t="s">
        <v>22</v>
      </c>
      <c r="B1481" s="370" t="s">
        <v>23</v>
      </c>
      <c r="C1481" s="418" t="s">
        <v>257</v>
      </c>
      <c r="D1481" s="370"/>
      <c r="E1481" s="370" t="s">
        <v>408</v>
      </c>
      <c r="F1481" s="370" t="s">
        <v>76</v>
      </c>
      <c r="G1481" s="370" t="s">
        <v>604</v>
      </c>
      <c r="H1481" s="371" t="s">
        <v>2148</v>
      </c>
      <c r="I1481" s="383" t="s">
        <v>2149</v>
      </c>
      <c r="J1481" s="369">
        <v>45160</v>
      </c>
      <c r="K1481" s="747">
        <v>0.375</v>
      </c>
      <c r="L1481" s="369">
        <v>45160</v>
      </c>
      <c r="M1481" s="753">
        <v>0.41666666666666669</v>
      </c>
      <c r="N1481" s="373">
        <v>1</v>
      </c>
      <c r="O1481" s="374" t="s">
        <v>17</v>
      </c>
      <c r="P1481" s="375" t="s">
        <v>2144</v>
      </c>
      <c r="Q1481" s="785" t="s">
        <v>1441</v>
      </c>
      <c r="R1481" s="202" t="s">
        <v>95</v>
      </c>
      <c r="S1481" s="31" t="s">
        <v>273</v>
      </c>
      <c r="T1481" s="31" t="s">
        <v>273</v>
      </c>
      <c r="U1481" s="31">
        <f>IFERROR(VLOOKUP(CONCATENATE(Tabla1[[#This Row],[Severidad]]," ",Tabla1[[#This Row],[Complejidad]]),Catalogos!E$120:G$128,3,FALSE),"")</f>
        <v>64</v>
      </c>
      <c r="V1481" s="31" t="str">
        <f>IF(Tabla1[[#This Row],[Tiempo solución max (hrs)]]&lt;&gt;"",IF(Tabla1[[#This Row],[Tiempo solución max (hrs)]]&gt;=Tabla1[[#This Row],[Tiempo
(Hrs 00/100)]],"cumple","no cumple"),"")</f>
        <v>cumple</v>
      </c>
      <c r="W1481" s="376" t="s">
        <v>1814</v>
      </c>
      <c r="X1481" s="377" t="str">
        <f t="shared" si="142"/>
        <v>SSI</v>
      </c>
      <c r="Y1481" t="str">
        <f>SUBSTITUTE(Tabla1[[#This Row],[Descripción]],CHAR(10),"    I    ")</f>
        <v>Se documentó el Query 1 de la Funcionalidad 3 en el documento 'PRO-AA-NN-P29-Reporte de Actividades' con el procedimiento FUNC3DETSOLDASH_SOLICDEPEN_QF3Q1</v>
      </c>
      <c r="Z1481" s="142">
        <f>VLOOKUP(Tabla1[[#This Row],[Perfil]],Catalogos!$B$75:$D$100,3,FALSE)*Tabla1[[#This Row],[Tiempo
(Hrs 00/100)]]*1.16</f>
        <v>696</v>
      </c>
    </row>
    <row r="1482" spans="1:27" ht="15" customHeight="1" x14ac:dyDescent="0.3">
      <c r="A1482" s="210" t="s">
        <v>22</v>
      </c>
      <c r="B1482" s="374" t="s">
        <v>23</v>
      </c>
      <c r="C1482" s="205" t="s">
        <v>257</v>
      </c>
      <c r="D1482" s="382"/>
      <c r="E1482" s="210" t="s">
        <v>408</v>
      </c>
      <c r="F1482" s="210" t="s">
        <v>76</v>
      </c>
      <c r="G1482" s="370" t="s">
        <v>604</v>
      </c>
      <c r="H1482" s="371" t="s">
        <v>2150</v>
      </c>
      <c r="I1482" s="383" t="s">
        <v>2151</v>
      </c>
      <c r="J1482" s="369">
        <v>45160</v>
      </c>
      <c r="K1482" s="753">
        <v>0.41666666666666669</v>
      </c>
      <c r="L1482" s="369">
        <v>45160</v>
      </c>
      <c r="M1482" s="753">
        <v>0.45833333333333331</v>
      </c>
      <c r="N1482" s="210">
        <v>1</v>
      </c>
      <c r="O1482" s="374" t="s">
        <v>17</v>
      </c>
      <c r="P1482" s="375" t="s">
        <v>2144</v>
      </c>
      <c r="Q1482" s="806" t="s">
        <v>1441</v>
      </c>
      <c r="R1482" s="209" t="s">
        <v>95</v>
      </c>
      <c r="S1482" s="31" t="s">
        <v>273</v>
      </c>
      <c r="T1482" s="31" t="s">
        <v>273</v>
      </c>
      <c r="U1482" s="31">
        <f>IFERROR(VLOOKUP(CONCATENATE(Tabla1[[#This Row],[Severidad]]," ",Tabla1[[#This Row],[Complejidad]]),Catalogos!E$120:G$128,3,FALSE),"")</f>
        <v>64</v>
      </c>
      <c r="V1482" s="31" t="str">
        <f>IF(Tabla1[[#This Row],[Tiempo solución max (hrs)]]&lt;&gt;"",IF(Tabla1[[#This Row],[Tiempo solución max (hrs)]]&gt;=Tabla1[[#This Row],[Tiempo
(Hrs 00/100)]],"cumple","no cumple"),"")</f>
        <v>cumple</v>
      </c>
      <c r="W1482" s="376" t="s">
        <v>1814</v>
      </c>
      <c r="X1482" s="377" t="str">
        <f t="shared" si="142"/>
        <v>SSI</v>
      </c>
      <c r="Y1482" t="str">
        <f>SUBSTITUTE(Tabla1[[#This Row],[Descripción]],CHAR(10),"    I    ")</f>
        <v>Se documentó el Query 2 de la Funcionalidad 3 en el documento 'PRO-AA-NN-P29-Reporte de Actividades' con el procedimiento FUNC3DETSOLDASH_ADJUNTXSOLIC_QF3Q2</v>
      </c>
      <c r="Z1482" s="142">
        <f>VLOOKUP(Tabla1[[#This Row],[Perfil]],Catalogos!$B$75:$D$100,3,FALSE)*Tabla1[[#This Row],[Tiempo
(Hrs 00/100)]]*1.16</f>
        <v>696</v>
      </c>
    </row>
    <row r="1483" spans="1:27" ht="15" customHeight="1" x14ac:dyDescent="0.3">
      <c r="A1483" s="370" t="s">
        <v>22</v>
      </c>
      <c r="B1483" s="370" t="s">
        <v>23</v>
      </c>
      <c r="C1483" s="418" t="s">
        <v>257</v>
      </c>
      <c r="D1483" s="370"/>
      <c r="E1483" s="370" t="s">
        <v>408</v>
      </c>
      <c r="F1483" s="370" t="s">
        <v>76</v>
      </c>
      <c r="G1483" s="370" t="s">
        <v>604</v>
      </c>
      <c r="H1483" s="371" t="s">
        <v>2152</v>
      </c>
      <c r="I1483" s="383" t="s">
        <v>2153</v>
      </c>
      <c r="J1483" s="369">
        <v>45160</v>
      </c>
      <c r="K1483" s="753">
        <v>0.45833333333333331</v>
      </c>
      <c r="L1483" s="369">
        <v>45160</v>
      </c>
      <c r="M1483" s="753">
        <v>0.5</v>
      </c>
      <c r="N1483" s="373">
        <v>1</v>
      </c>
      <c r="O1483" s="374" t="s">
        <v>17</v>
      </c>
      <c r="P1483" s="375" t="s">
        <v>2144</v>
      </c>
      <c r="Q1483" s="785" t="s">
        <v>1441</v>
      </c>
      <c r="R1483" s="202" t="s">
        <v>95</v>
      </c>
      <c r="S1483" s="31" t="s">
        <v>273</v>
      </c>
      <c r="T1483" s="31" t="s">
        <v>273</v>
      </c>
      <c r="U1483" s="31">
        <f>IFERROR(VLOOKUP(CONCATENATE(Tabla1[[#This Row],[Severidad]]," ",Tabla1[[#This Row],[Complejidad]]),Catalogos!E$120:G$128,3,FALSE),"")</f>
        <v>64</v>
      </c>
      <c r="V1483" s="31" t="str">
        <f>IF(Tabla1[[#This Row],[Tiempo solución max (hrs)]]&lt;&gt;"",IF(Tabla1[[#This Row],[Tiempo solución max (hrs)]]&gt;=Tabla1[[#This Row],[Tiempo
(Hrs 00/100)]],"cumple","no cumple"),"")</f>
        <v>cumple</v>
      </c>
      <c r="W1483" s="376" t="s">
        <v>1814</v>
      </c>
      <c r="X1483" s="377" t="str">
        <f t="shared" si="142"/>
        <v>SSI</v>
      </c>
      <c r="Y1483" t="str">
        <f>SUBSTITUTE(Tabla1[[#This Row],[Descripción]],CHAR(10),"    I    ")</f>
        <v>Se documentó el Query 3 de la Funcionalidad 3 en el documento 'PRO-AA-NN-P29-Reporte de Actividades' con el procedimiento FUNC3DETSOLDASH_RESPUXSOLICDEP_QF3Q3</v>
      </c>
      <c r="Z1483" s="142">
        <f>VLOOKUP(Tabla1[[#This Row],[Perfil]],Catalogos!$B$75:$D$100,3,FALSE)*Tabla1[[#This Row],[Tiempo
(Hrs 00/100)]]*1.16</f>
        <v>696</v>
      </c>
    </row>
    <row r="1484" spans="1:27" ht="15" customHeight="1" x14ac:dyDescent="0.3">
      <c r="A1484" s="210" t="s">
        <v>22</v>
      </c>
      <c r="B1484" s="374" t="s">
        <v>23</v>
      </c>
      <c r="C1484" s="205" t="s">
        <v>257</v>
      </c>
      <c r="D1484" s="382"/>
      <c r="E1484" s="210" t="s">
        <v>408</v>
      </c>
      <c r="F1484" s="210" t="s">
        <v>76</v>
      </c>
      <c r="G1484" s="370" t="s">
        <v>604</v>
      </c>
      <c r="H1484" s="371" t="s">
        <v>2154</v>
      </c>
      <c r="I1484" s="383" t="s">
        <v>2155</v>
      </c>
      <c r="J1484" s="369">
        <v>45160</v>
      </c>
      <c r="K1484" s="753">
        <v>0.5</v>
      </c>
      <c r="L1484" s="369">
        <v>45160</v>
      </c>
      <c r="M1484" s="753">
        <v>0.54166666666666663</v>
      </c>
      <c r="N1484" s="210">
        <v>1</v>
      </c>
      <c r="O1484" s="374" t="s">
        <v>17</v>
      </c>
      <c r="P1484" s="375" t="s">
        <v>2144</v>
      </c>
      <c r="Q1484" s="806" t="s">
        <v>1441</v>
      </c>
      <c r="R1484" s="209" t="s">
        <v>95</v>
      </c>
      <c r="S1484" s="31" t="s">
        <v>273</v>
      </c>
      <c r="T1484" s="31" t="s">
        <v>273</v>
      </c>
      <c r="U1484" s="31">
        <f>IFERROR(VLOOKUP(CONCATENATE(Tabla1[[#This Row],[Severidad]]," ",Tabla1[[#This Row],[Complejidad]]),Catalogos!E$120:G$128,3,FALSE),"")</f>
        <v>64</v>
      </c>
      <c r="V1484" s="31" t="str">
        <f>IF(Tabla1[[#This Row],[Tiempo solución max (hrs)]]&lt;&gt;"",IF(Tabla1[[#This Row],[Tiempo solución max (hrs)]]&gt;=Tabla1[[#This Row],[Tiempo
(Hrs 00/100)]],"cumple","no cumple"),"")</f>
        <v>cumple</v>
      </c>
      <c r="W1484" s="376" t="s">
        <v>1814</v>
      </c>
      <c r="X1484" s="377" t="str">
        <f t="shared" si="142"/>
        <v>SSI</v>
      </c>
      <c r="Y1484" t="str">
        <f>SUBSTITUTE(Tabla1[[#This Row],[Descripción]],CHAR(10),"    I    ")</f>
        <v>Se documentó el Query 4 de la Funcionalidad 3 en el documento 'PRO-AA-NN-P29-Reporte de Actividades' con el procedimiento FUNC3DETSOLDASH_ADJUNTOXIDRESP_QF3Q4</v>
      </c>
      <c r="Z1484" s="142">
        <f>VLOOKUP(Tabla1[[#This Row],[Perfil]],Catalogos!$B$75:$D$100,3,FALSE)*Tabla1[[#This Row],[Tiempo
(Hrs 00/100)]]*1.16</f>
        <v>696</v>
      </c>
    </row>
    <row r="1485" spans="1:27" ht="15" customHeight="1" x14ac:dyDescent="0.3">
      <c r="A1485" s="370" t="s">
        <v>22</v>
      </c>
      <c r="B1485" s="370" t="s">
        <v>23</v>
      </c>
      <c r="C1485" s="418" t="s">
        <v>257</v>
      </c>
      <c r="D1485" s="370"/>
      <c r="E1485" s="370" t="s">
        <v>408</v>
      </c>
      <c r="F1485" s="370" t="s">
        <v>76</v>
      </c>
      <c r="G1485" s="370" t="s">
        <v>604</v>
      </c>
      <c r="H1485" s="371" t="s">
        <v>2156</v>
      </c>
      <c r="I1485" s="383" t="s">
        <v>2157</v>
      </c>
      <c r="J1485" s="369">
        <v>45160</v>
      </c>
      <c r="K1485" s="753">
        <v>0.54166666666666663</v>
      </c>
      <c r="L1485" s="369">
        <v>45160</v>
      </c>
      <c r="M1485" s="753">
        <v>0.58333333333333337</v>
      </c>
      <c r="N1485" s="373">
        <v>1</v>
      </c>
      <c r="O1485" s="374" t="s">
        <v>17</v>
      </c>
      <c r="P1485" s="375" t="s">
        <v>2144</v>
      </c>
      <c r="Q1485" s="785" t="s">
        <v>1441</v>
      </c>
      <c r="R1485" s="202" t="s">
        <v>95</v>
      </c>
      <c r="S1485" s="31" t="s">
        <v>273</v>
      </c>
      <c r="T1485" s="31" t="s">
        <v>273</v>
      </c>
      <c r="U1485" s="31">
        <f>IFERROR(VLOOKUP(CONCATENATE(Tabla1[[#This Row],[Severidad]]," ",Tabla1[[#This Row],[Complejidad]]),Catalogos!E$120:G$128,3,FALSE),"")</f>
        <v>64</v>
      </c>
      <c r="V1485" s="31" t="str">
        <f>IF(Tabla1[[#This Row],[Tiempo solución max (hrs)]]&lt;&gt;"",IF(Tabla1[[#This Row],[Tiempo solución max (hrs)]]&gt;=Tabla1[[#This Row],[Tiempo
(Hrs 00/100)]],"cumple","no cumple"),"")</f>
        <v>cumple</v>
      </c>
      <c r="W1485" s="376" t="s">
        <v>1814</v>
      </c>
      <c r="X1485" s="377" t="str">
        <f t="shared" si="142"/>
        <v>SSI</v>
      </c>
      <c r="Y1485" t="str">
        <f>SUBSTITUTE(Tabla1[[#This Row],[Descripción]],CHAR(10),"    I    ")</f>
        <v>Se documentó el Query 5 de la Funcionalidad 3 en el documento 'PRO-AA-NN-P29-Reporte de Actividades' con el procedimiento FUNC3DETSOLDASH_NOTIFDISPONIBXRESP_QF3Q5</v>
      </c>
      <c r="Z1485" s="142">
        <f>VLOOKUP(Tabla1[[#This Row],[Perfil]],Catalogos!$B$75:$D$100,3,FALSE)*Tabla1[[#This Row],[Tiempo
(Hrs 00/100)]]*1.16</f>
        <v>696</v>
      </c>
    </row>
    <row r="1486" spans="1:27" ht="15" customHeight="1" x14ac:dyDescent="0.3">
      <c r="A1486" s="210" t="s">
        <v>22</v>
      </c>
      <c r="B1486" s="374" t="s">
        <v>23</v>
      </c>
      <c r="C1486" s="205" t="s">
        <v>257</v>
      </c>
      <c r="D1486" s="382"/>
      <c r="E1486" s="210" t="s">
        <v>408</v>
      </c>
      <c r="F1486" s="210" t="s">
        <v>76</v>
      </c>
      <c r="G1486" s="370" t="s">
        <v>604</v>
      </c>
      <c r="H1486" s="371" t="s">
        <v>2158</v>
      </c>
      <c r="I1486" s="383" t="s">
        <v>2159</v>
      </c>
      <c r="J1486" s="369">
        <v>45160</v>
      </c>
      <c r="K1486" s="747">
        <v>0.66666666666666663</v>
      </c>
      <c r="L1486" s="369">
        <v>45160</v>
      </c>
      <c r="M1486" s="753">
        <v>0.70833333333333337</v>
      </c>
      <c r="N1486" s="210">
        <v>1</v>
      </c>
      <c r="O1486" s="374" t="s">
        <v>17</v>
      </c>
      <c r="P1486" s="375" t="s">
        <v>2144</v>
      </c>
      <c r="Q1486" s="806" t="s">
        <v>1441</v>
      </c>
      <c r="R1486" s="209" t="s">
        <v>95</v>
      </c>
      <c r="S1486" s="31" t="s">
        <v>273</v>
      </c>
      <c r="T1486" s="31" t="s">
        <v>273</v>
      </c>
      <c r="U1486" s="31">
        <f>IFERROR(VLOOKUP(CONCATENATE(Tabla1[[#This Row],[Severidad]]," ",Tabla1[[#This Row],[Complejidad]]),Catalogos!E$120:G$128,3,FALSE),"")</f>
        <v>64</v>
      </c>
      <c r="V1486" s="31" t="str">
        <f>IF(Tabla1[[#This Row],[Tiempo solución max (hrs)]]&lt;&gt;"",IF(Tabla1[[#This Row],[Tiempo solución max (hrs)]]&gt;=Tabla1[[#This Row],[Tiempo
(Hrs 00/100)]],"cumple","no cumple"),"")</f>
        <v>cumple</v>
      </c>
      <c r="W1486" s="376" t="s">
        <v>1814</v>
      </c>
      <c r="X1486" s="377" t="str">
        <f t="shared" si="142"/>
        <v>SSI</v>
      </c>
      <c r="Y1486" t="str">
        <f>SUBSTITUTE(Tabla1[[#This Row],[Descripción]],CHAR(10),"    I    ")</f>
        <v>Se documentó el Query 6 de la Funcionalidad 3 en el documento 'PRO-AA-NN-P29-Reporte de Actividades' con el procedimiento FUNC3DETSOLDASH_COMPETENXRESP_QF3Q6</v>
      </c>
      <c r="Z1486" s="142">
        <f>VLOOKUP(Tabla1[[#This Row],[Perfil]],Catalogos!$B$75:$D$100,3,FALSE)*Tabla1[[#This Row],[Tiempo
(Hrs 00/100)]]*1.16</f>
        <v>696</v>
      </c>
    </row>
    <row r="1487" spans="1:27" ht="15" customHeight="1" x14ac:dyDescent="0.3">
      <c r="A1487" s="373" t="s">
        <v>22</v>
      </c>
      <c r="B1487" s="184" t="s">
        <v>23</v>
      </c>
      <c r="C1487" s="183" t="s">
        <v>257</v>
      </c>
      <c r="D1487" s="179"/>
      <c r="E1487" s="373" t="s">
        <v>408</v>
      </c>
      <c r="F1487" s="373" t="s">
        <v>76</v>
      </c>
      <c r="G1487" s="370" t="s">
        <v>604</v>
      </c>
      <c r="H1487" s="461" t="s">
        <v>2160</v>
      </c>
      <c r="I1487" s="467" t="s">
        <v>2160</v>
      </c>
      <c r="J1487" s="727">
        <v>45160</v>
      </c>
      <c r="K1487" s="753">
        <v>0.70833333333333337</v>
      </c>
      <c r="L1487" s="727">
        <v>45160</v>
      </c>
      <c r="M1487" s="770">
        <v>0.72916666666666663</v>
      </c>
      <c r="N1487" s="596">
        <v>0.5</v>
      </c>
      <c r="O1487" s="184" t="s">
        <v>17</v>
      </c>
      <c r="P1487" s="264" t="s">
        <v>2144</v>
      </c>
      <c r="Q1487" s="746" t="s">
        <v>1441</v>
      </c>
      <c r="R1487" s="171" t="s">
        <v>95</v>
      </c>
      <c r="S1487" s="31" t="s">
        <v>273</v>
      </c>
      <c r="T1487" s="31" t="s">
        <v>273</v>
      </c>
      <c r="U1487" s="31">
        <f>IFERROR(VLOOKUP(CONCATENATE(Tabla1[[#This Row],[Severidad]]," ",Tabla1[[#This Row],[Complejidad]]),Catalogos!E$120:G$128,3,FALSE),"")</f>
        <v>64</v>
      </c>
      <c r="V1487" s="31" t="str">
        <f>IF(Tabla1[[#This Row],[Tiempo solución max (hrs)]]&lt;&gt;"",IF(Tabla1[[#This Row],[Tiempo solución max (hrs)]]&gt;=Tabla1[[#This Row],[Tiempo
(Hrs 00/100)]],"cumple","no cumple"),"")</f>
        <v>cumple</v>
      </c>
      <c r="W1487" s="376" t="s">
        <v>1814</v>
      </c>
      <c r="X1487" s="476" t="str">
        <f>IF(C1487&lt;&gt;"",C1487,D1487)</f>
        <v>SSI</v>
      </c>
      <c r="Y1487" s="477" t="str">
        <f>SUBSTITUTE(Tabla1[[#This Row],[Descripción]],CHAR(10),"    I    ")</f>
        <v>Se documentó que para la Funcionalidad 4 no se registró query porque ya lo estan desarrollando</v>
      </c>
      <c r="Z1487" s="478">
        <f>VLOOKUP(Tabla1[[#This Row],[Perfil]],Catalogos!$B$75:$D$100,3,FALSE)*Tabla1[[#This Row],[Tiempo
(Hrs 00/100)]]*1.16</f>
        <v>348</v>
      </c>
      <c r="AA1487" s="477"/>
    </row>
    <row r="1488" spans="1:27" ht="15" customHeight="1" x14ac:dyDescent="0.3">
      <c r="A1488" s="373" t="s">
        <v>22</v>
      </c>
      <c r="B1488" s="184" t="s">
        <v>23</v>
      </c>
      <c r="C1488" s="183" t="s">
        <v>257</v>
      </c>
      <c r="D1488" s="179"/>
      <c r="E1488" s="373" t="s">
        <v>408</v>
      </c>
      <c r="F1488" s="373" t="s">
        <v>76</v>
      </c>
      <c r="G1488" s="370" t="s">
        <v>604</v>
      </c>
      <c r="H1488" s="461" t="s">
        <v>2161</v>
      </c>
      <c r="I1488" s="597" t="s">
        <v>2162</v>
      </c>
      <c r="J1488" s="727">
        <v>45160</v>
      </c>
      <c r="K1488" s="770">
        <v>0.72916666666666663</v>
      </c>
      <c r="L1488" s="727">
        <v>45160</v>
      </c>
      <c r="M1488" s="782">
        <v>0.77083333333333337</v>
      </c>
      <c r="N1488" s="373">
        <v>1</v>
      </c>
      <c r="O1488" s="184" t="s">
        <v>17</v>
      </c>
      <c r="P1488" s="264" t="s">
        <v>2144</v>
      </c>
      <c r="Q1488" s="746" t="s">
        <v>1441</v>
      </c>
      <c r="R1488" s="171" t="s">
        <v>95</v>
      </c>
      <c r="S1488" s="31" t="s">
        <v>273</v>
      </c>
      <c r="T1488" s="31" t="s">
        <v>273</v>
      </c>
      <c r="U1488" s="31">
        <f>IFERROR(VLOOKUP(CONCATENATE(Tabla1[[#This Row],[Severidad]]," ",Tabla1[[#This Row],[Complejidad]]),Catalogos!E$120:G$128,3,FALSE),"")</f>
        <v>64</v>
      </c>
      <c r="V1488" s="31" t="str">
        <f>IF(Tabla1[[#This Row],[Tiempo solución max (hrs)]]&lt;&gt;"",IF(Tabla1[[#This Row],[Tiempo solución max (hrs)]]&gt;=Tabla1[[#This Row],[Tiempo
(Hrs 00/100)]],"cumple","no cumple"),"")</f>
        <v>cumple</v>
      </c>
      <c r="W1488" s="376" t="s">
        <v>1814</v>
      </c>
      <c r="X1488" s="463" t="str">
        <f t="shared" ref="X1488" si="143">IF(C1488&lt;&gt;"",C1488,D1488)</f>
        <v>SSI</v>
      </c>
      <c r="Y1488" s="459" t="str">
        <f>SUBSTITUTE(Tabla1[[#This Row],[Descripción]],CHAR(10),"    I    ")</f>
        <v>Se documentó el Query 1 de la Funcionalidad 5 en el documento 'PRO-AA-NN-P29-Reporte de Actividades' con el procedimiento FUNC5EXPORTARSOLICITUDES_QF5</v>
      </c>
      <c r="Z1488" s="464">
        <f>VLOOKUP(Tabla1[[#This Row],[Perfil]],Catalogos!$B$75:$D$100,3,FALSE)*Tabla1[[#This Row],[Tiempo
(Hrs 00/100)]]*1.16</f>
        <v>696</v>
      </c>
    </row>
    <row r="1489" spans="1:26" ht="144" x14ac:dyDescent="0.3">
      <c r="A1489" s="373" t="s">
        <v>22</v>
      </c>
      <c r="B1489" s="184" t="s">
        <v>23</v>
      </c>
      <c r="C1489" s="183" t="s">
        <v>257</v>
      </c>
      <c r="D1489" s="179"/>
      <c r="E1489" s="373" t="s">
        <v>408</v>
      </c>
      <c r="F1489" s="373" t="s">
        <v>76</v>
      </c>
      <c r="G1489" s="370" t="s">
        <v>604</v>
      </c>
      <c r="H1489" s="461" t="s">
        <v>2163</v>
      </c>
      <c r="I1489" s="598" t="s">
        <v>2164</v>
      </c>
      <c r="J1489" s="727">
        <v>45160</v>
      </c>
      <c r="K1489" s="782">
        <v>0.77083333333333337</v>
      </c>
      <c r="L1489" s="727">
        <v>45160</v>
      </c>
      <c r="M1489" s="782">
        <v>0.8125</v>
      </c>
      <c r="N1489" s="370">
        <v>1</v>
      </c>
      <c r="O1489" s="184" t="s">
        <v>17</v>
      </c>
      <c r="P1489" s="264" t="s">
        <v>2144</v>
      </c>
      <c r="Q1489" s="746" t="s">
        <v>1441</v>
      </c>
      <c r="R1489" s="171" t="s">
        <v>95</v>
      </c>
      <c r="S1489" s="31" t="s">
        <v>273</v>
      </c>
      <c r="T1489" s="31" t="s">
        <v>273</v>
      </c>
      <c r="U1489" s="31">
        <f>IFERROR(VLOOKUP(CONCATENATE(Tabla1[[#This Row],[Severidad]]," ",Tabla1[[#This Row],[Complejidad]]),Catalogos!E$120:G$128,3,FALSE),"")</f>
        <v>64</v>
      </c>
      <c r="V1489" s="31" t="str">
        <f>IF(Tabla1[[#This Row],[Tiempo solución max (hrs)]]&lt;&gt;"",IF(Tabla1[[#This Row],[Tiempo solución max (hrs)]]&gt;=Tabla1[[#This Row],[Tiempo
(Hrs 00/100)]],"cumple","no cumple"),"")</f>
        <v>cumple</v>
      </c>
      <c r="W1489" s="376" t="s">
        <v>1814</v>
      </c>
      <c r="X1489" s="377" t="str">
        <f t="shared" si="142"/>
        <v>SSI</v>
      </c>
      <c r="Y1489" t="str">
        <f>SUBSTITUTE(Tabla1[[#This Row],[Descripción]],CHAR(10),"    I    ")</f>
        <v>Se documentó el Query 1 de la Funcionalidad 6 en el documento 'PRO-AA-NN-P29-Reporte de Actividades' con el procedimiento FUNC6DASHBOARDRECSOLICIT_UT_QF6</v>
      </c>
      <c r="Z1489" s="142">
        <f>VLOOKUP(Tabla1[[#This Row],[Perfil]],Catalogos!$B$75:$D$100,3,FALSE)*Tabla1[[#This Row],[Tiempo
(Hrs 00/100)]]*1.16</f>
        <v>696</v>
      </c>
    </row>
    <row r="1490" spans="1:26" ht="144" x14ac:dyDescent="0.3">
      <c r="A1490" s="373" t="s">
        <v>22</v>
      </c>
      <c r="B1490" s="184" t="s">
        <v>23</v>
      </c>
      <c r="C1490" s="183" t="s">
        <v>257</v>
      </c>
      <c r="D1490" s="179"/>
      <c r="E1490" s="373" t="s">
        <v>408</v>
      </c>
      <c r="F1490" s="373" t="s">
        <v>76</v>
      </c>
      <c r="G1490" s="370" t="s">
        <v>604</v>
      </c>
      <c r="H1490" s="461" t="s">
        <v>2165</v>
      </c>
      <c r="I1490" s="598" t="s">
        <v>2166</v>
      </c>
      <c r="J1490" s="727">
        <v>45161</v>
      </c>
      <c r="K1490" s="770">
        <v>0.375</v>
      </c>
      <c r="L1490" s="727">
        <v>45161</v>
      </c>
      <c r="M1490" s="782">
        <v>0.41666666666666669</v>
      </c>
      <c r="N1490" s="370">
        <v>0.5</v>
      </c>
      <c r="O1490" s="184" t="s">
        <v>17</v>
      </c>
      <c r="P1490" s="264" t="s">
        <v>2144</v>
      </c>
      <c r="Q1490" s="746" t="s">
        <v>1441</v>
      </c>
      <c r="R1490" s="171" t="s">
        <v>95</v>
      </c>
      <c r="S1490" s="31" t="s">
        <v>273</v>
      </c>
      <c r="T1490" s="31" t="s">
        <v>273</v>
      </c>
      <c r="U1490" s="31">
        <f>IFERROR(VLOOKUP(CONCATENATE(Tabla1[[#This Row],[Severidad]]," ",Tabla1[[#This Row],[Complejidad]]),Catalogos!E$120:G$128,3,FALSE),"")</f>
        <v>64</v>
      </c>
      <c r="V1490" s="31" t="str">
        <f>IF(Tabla1[[#This Row],[Tiempo solución max (hrs)]]&lt;&gt;"",IF(Tabla1[[#This Row],[Tiempo solución max (hrs)]]&gt;=Tabla1[[#This Row],[Tiempo
(Hrs 00/100)]],"cumple","no cumple"),"")</f>
        <v>cumple</v>
      </c>
      <c r="W1490" s="376" t="s">
        <v>1814</v>
      </c>
      <c r="X1490" s="377" t="str">
        <f t="shared" si="142"/>
        <v>SSI</v>
      </c>
      <c r="Y1490" t="str">
        <f>SUBSTITUTE(Tabla1[[#This Row],[Descripción]],CHAR(10),"    I    ")</f>
        <v>Se documentó que para el Query 1 de la Funcionalidad 7 se reutilzá el procedimiento FUNC3DETSOLDASH_SOLICDEPEN_QF3Q1, en el documento 'PRO-AA-NN-P29-Reporte de Actividades'</v>
      </c>
      <c r="Z1490" s="142">
        <f>VLOOKUP(Tabla1[[#This Row],[Perfil]],Catalogos!$B$75:$D$100,3,FALSE)*Tabla1[[#This Row],[Tiempo
(Hrs 00/100)]]*1.16</f>
        <v>348</v>
      </c>
    </row>
    <row r="1491" spans="1:26" ht="144" x14ac:dyDescent="0.3">
      <c r="A1491" s="373" t="s">
        <v>22</v>
      </c>
      <c r="B1491" s="184" t="s">
        <v>23</v>
      </c>
      <c r="C1491" s="183" t="s">
        <v>257</v>
      </c>
      <c r="D1491" s="179"/>
      <c r="E1491" s="373" t="s">
        <v>408</v>
      </c>
      <c r="F1491" s="373" t="s">
        <v>76</v>
      </c>
      <c r="G1491" s="370" t="s">
        <v>604</v>
      </c>
      <c r="H1491" s="461" t="s">
        <v>2167</v>
      </c>
      <c r="I1491" s="598" t="s">
        <v>2168</v>
      </c>
      <c r="J1491" s="706">
        <v>45161</v>
      </c>
      <c r="K1491" s="782">
        <v>0.41666666666666669</v>
      </c>
      <c r="L1491" s="706">
        <v>45161</v>
      </c>
      <c r="M1491" s="781">
        <v>0.4375</v>
      </c>
      <c r="N1491" s="370">
        <v>0.5</v>
      </c>
      <c r="O1491" s="184" t="s">
        <v>17</v>
      </c>
      <c r="P1491" s="264" t="s">
        <v>2144</v>
      </c>
      <c r="Q1491" s="746" t="s">
        <v>1441</v>
      </c>
      <c r="R1491" s="171" t="s">
        <v>95</v>
      </c>
      <c r="S1491" s="31" t="s">
        <v>273</v>
      </c>
      <c r="T1491" s="31" t="s">
        <v>273</v>
      </c>
      <c r="U1491" s="31">
        <f>IFERROR(VLOOKUP(CONCATENATE(Tabla1[[#This Row],[Severidad]]," ",Tabla1[[#This Row],[Complejidad]]),Catalogos!E$120:G$128,3,FALSE),"")</f>
        <v>64</v>
      </c>
      <c r="V1491" s="31" t="str">
        <f>IF(Tabla1[[#This Row],[Tiempo solución max (hrs)]]&lt;&gt;"",IF(Tabla1[[#This Row],[Tiempo solución max (hrs)]]&gt;=Tabla1[[#This Row],[Tiempo
(Hrs 00/100)]],"cumple","no cumple"),"")</f>
        <v>cumple</v>
      </c>
      <c r="W1491" s="376" t="s">
        <v>1814</v>
      </c>
      <c r="X1491" s="377" t="str">
        <f t="shared" ref="X1491:X1553" si="144">IF(C1491&lt;&gt;"",C1491,D1491)</f>
        <v>SSI</v>
      </c>
      <c r="Y1491" t="str">
        <f>SUBSTITUTE(Tabla1[[#This Row],[Descripción]],CHAR(10),"    I    ")</f>
        <v>Se documentó que para el Query 2 de la Funcionalidad 7 se reutilzá el procedimiento FUNC3DETSOLDASH_ADJUNTXSOLIC_QF3Q2, en el documento 'PRO-AA-NN-P29-Reporte de Actividades'</v>
      </c>
      <c r="Z1491" s="142">
        <f>VLOOKUP(Tabla1[[#This Row],[Perfil]],Catalogos!$B$75:$D$100,3,FALSE)*Tabla1[[#This Row],[Tiempo
(Hrs 00/100)]]*1.16</f>
        <v>348</v>
      </c>
    </row>
    <row r="1492" spans="1:26" ht="15" customHeight="1" x14ac:dyDescent="0.3">
      <c r="A1492" s="373" t="s">
        <v>22</v>
      </c>
      <c r="B1492" s="184" t="s">
        <v>23</v>
      </c>
      <c r="C1492" s="183" t="s">
        <v>257</v>
      </c>
      <c r="D1492" s="179"/>
      <c r="E1492" s="373" t="s">
        <v>408</v>
      </c>
      <c r="F1492" s="373" t="s">
        <v>76</v>
      </c>
      <c r="G1492" s="370" t="s">
        <v>604</v>
      </c>
      <c r="H1492" s="461" t="s">
        <v>2169</v>
      </c>
      <c r="I1492" s="598" t="s">
        <v>2170</v>
      </c>
      <c r="J1492" s="706">
        <v>45161</v>
      </c>
      <c r="K1492" s="781">
        <v>0.4375</v>
      </c>
      <c r="L1492" s="706">
        <v>45161</v>
      </c>
      <c r="M1492" s="781">
        <v>0.47916666666666669</v>
      </c>
      <c r="N1492" s="370">
        <v>1</v>
      </c>
      <c r="O1492" s="184" t="s">
        <v>17</v>
      </c>
      <c r="P1492" s="264" t="s">
        <v>2144</v>
      </c>
      <c r="Q1492" s="746" t="s">
        <v>1441</v>
      </c>
      <c r="R1492" s="171" t="s">
        <v>95</v>
      </c>
      <c r="S1492" s="31" t="s">
        <v>273</v>
      </c>
      <c r="T1492" s="31" t="s">
        <v>273</v>
      </c>
      <c r="U1492" s="31">
        <f>IFERROR(VLOOKUP(CONCATENATE(Tabla1[[#This Row],[Severidad]]," ",Tabla1[[#This Row],[Complejidad]]),Catalogos!E$120:G$128,3,FALSE),"")</f>
        <v>64</v>
      </c>
      <c r="V1492" s="31" t="str">
        <f>IF(Tabla1[[#This Row],[Tiempo solución max (hrs)]]&lt;&gt;"",IF(Tabla1[[#This Row],[Tiempo solución max (hrs)]]&gt;=Tabla1[[#This Row],[Tiempo
(Hrs 00/100)]],"cumple","no cumple"),"")</f>
        <v>cumple</v>
      </c>
      <c r="W1492" s="376" t="s">
        <v>1814</v>
      </c>
      <c r="X1492" s="377" t="str">
        <f t="shared" si="144"/>
        <v>SSI</v>
      </c>
      <c r="Y1492" t="str">
        <f>SUBSTITUTE(Tabla1[[#This Row],[Descripción]],CHAR(10),"    I    ")</f>
        <v>Se documentó el Query 3 de la Funcionalidad 7 en el documento 'PRO-AA-NN-P29-Reporte de Actividades' con el procedimiento FUNC7DETSOLDASHUTGI_ADJUNTOXIDSOLINT_QF7Q3</v>
      </c>
      <c r="Z1492" s="142">
        <f>VLOOKUP(Tabla1[[#This Row],[Perfil]],Catalogos!$B$75:$D$100,3,FALSE)*Tabla1[[#This Row],[Tiempo
(Hrs 00/100)]]*1.16</f>
        <v>696</v>
      </c>
    </row>
    <row r="1493" spans="1:26" ht="15" customHeight="1" x14ac:dyDescent="0.3">
      <c r="A1493" s="373" t="s">
        <v>22</v>
      </c>
      <c r="B1493" s="184" t="s">
        <v>23</v>
      </c>
      <c r="C1493" s="183" t="s">
        <v>257</v>
      </c>
      <c r="D1493" s="179"/>
      <c r="E1493" s="373" t="s">
        <v>408</v>
      </c>
      <c r="F1493" s="373" t="s">
        <v>76</v>
      </c>
      <c r="G1493" s="370" t="s">
        <v>604</v>
      </c>
      <c r="H1493" s="461" t="s">
        <v>2171</v>
      </c>
      <c r="I1493" s="598" t="s">
        <v>2172</v>
      </c>
      <c r="J1493" s="706">
        <v>45161</v>
      </c>
      <c r="K1493" s="781">
        <v>0.47916666666666669</v>
      </c>
      <c r="L1493" s="706">
        <v>45161</v>
      </c>
      <c r="M1493" s="781">
        <v>0.52083333333333337</v>
      </c>
      <c r="N1493" s="370">
        <v>1</v>
      </c>
      <c r="O1493" s="184" t="s">
        <v>17</v>
      </c>
      <c r="P1493" s="264" t="s">
        <v>2144</v>
      </c>
      <c r="Q1493" s="746" t="s">
        <v>1441</v>
      </c>
      <c r="R1493" s="171" t="s">
        <v>95</v>
      </c>
      <c r="S1493" s="31" t="s">
        <v>273</v>
      </c>
      <c r="T1493" s="31" t="s">
        <v>273</v>
      </c>
      <c r="U1493" s="31">
        <f>IFERROR(VLOOKUP(CONCATENATE(Tabla1[[#This Row],[Severidad]]," ",Tabla1[[#This Row],[Complejidad]]),Catalogos!E$120:G$128,3,FALSE),"")</f>
        <v>64</v>
      </c>
      <c r="V1493" s="31" t="str">
        <f>IF(Tabla1[[#This Row],[Tiempo solución max (hrs)]]&lt;&gt;"",IF(Tabla1[[#This Row],[Tiempo solución max (hrs)]]&gt;=Tabla1[[#This Row],[Tiempo
(Hrs 00/100)]],"cumple","no cumple"),"")</f>
        <v>cumple</v>
      </c>
      <c r="W1493" s="376" t="s">
        <v>1814</v>
      </c>
      <c r="X1493" s="377" t="str">
        <f t="shared" si="144"/>
        <v>SSI</v>
      </c>
      <c r="Y1493" t="str">
        <f>SUBSTITUTE(Tabla1[[#This Row],[Descripción]],CHAR(10),"    I    ")</f>
        <v>Se documentó el Query 4 de la Funcionalidad 7 en el documento 'PRO-AA-NN-P29-Reporte de Actividades' con el procedimiento FUNC7DETSOLDASHUTGI_SOLGIXSOLDEPEN_QF7Q4</v>
      </c>
      <c r="Z1493" s="142">
        <f>VLOOKUP(Tabla1[[#This Row],[Perfil]],Catalogos!$B$75:$D$100,3,FALSE)*Tabla1[[#This Row],[Tiempo
(Hrs 00/100)]]*1.16</f>
        <v>696</v>
      </c>
    </row>
    <row r="1494" spans="1:26" ht="15" customHeight="1" x14ac:dyDescent="0.3">
      <c r="A1494" s="373" t="s">
        <v>22</v>
      </c>
      <c r="B1494" s="184" t="s">
        <v>23</v>
      </c>
      <c r="C1494" s="183" t="s">
        <v>257</v>
      </c>
      <c r="D1494" s="179"/>
      <c r="E1494" s="373" t="s">
        <v>408</v>
      </c>
      <c r="F1494" s="373" t="s">
        <v>76</v>
      </c>
      <c r="G1494" s="370" t="s">
        <v>604</v>
      </c>
      <c r="H1494" s="461" t="s">
        <v>2173</v>
      </c>
      <c r="I1494" s="598" t="s">
        <v>2174</v>
      </c>
      <c r="J1494" s="706">
        <v>45161</v>
      </c>
      <c r="K1494" s="781">
        <v>0.52083333333333337</v>
      </c>
      <c r="L1494" s="706">
        <v>45161</v>
      </c>
      <c r="M1494" s="781">
        <v>0.54166666666666663</v>
      </c>
      <c r="N1494" s="370">
        <v>0.5</v>
      </c>
      <c r="O1494" s="184" t="s">
        <v>17</v>
      </c>
      <c r="P1494" s="264" t="s">
        <v>2144</v>
      </c>
      <c r="Q1494" s="746" t="s">
        <v>1441</v>
      </c>
      <c r="R1494" s="171" t="s">
        <v>95</v>
      </c>
      <c r="S1494" s="31" t="s">
        <v>273</v>
      </c>
      <c r="T1494" s="31" t="s">
        <v>273</v>
      </c>
      <c r="U1494" s="31">
        <f>IFERROR(VLOOKUP(CONCATENATE(Tabla1[[#This Row],[Severidad]]," ",Tabla1[[#This Row],[Complejidad]]),Catalogos!E$120:G$128,3,FALSE),"")</f>
        <v>64</v>
      </c>
      <c r="V1494" s="31" t="str">
        <f>IF(Tabla1[[#This Row],[Tiempo solución max (hrs)]]&lt;&gt;"",IF(Tabla1[[#This Row],[Tiempo solución max (hrs)]]&gt;=Tabla1[[#This Row],[Tiempo
(Hrs 00/100)]],"cumple","no cumple"),"")</f>
        <v>cumple</v>
      </c>
      <c r="W1494" s="376" t="s">
        <v>1814</v>
      </c>
      <c r="X1494" s="377" t="str">
        <f t="shared" si="144"/>
        <v>SSI</v>
      </c>
      <c r="Y1494" t="str">
        <f>SUBSTITUTE(Tabla1[[#This Row],[Descripción]],CHAR(10),"    I    ")</f>
        <v>Se documentó que para el Query 5 de la Funcionalidad 7 se reutilzá el procedimiento FUNC3DETSOLDASH_RESPUXSOLICDEP_QF3Q3, en el documento 'PRO-AA-NN-P29-Reporte de Actividades'</v>
      </c>
      <c r="Z1494" s="142">
        <f>VLOOKUP(Tabla1[[#This Row],[Perfil]],Catalogos!$B$75:$D$100,3,FALSE)*Tabla1[[#This Row],[Tiempo
(Hrs 00/100)]]*1.16</f>
        <v>348</v>
      </c>
    </row>
    <row r="1495" spans="1:26" ht="15" customHeight="1" x14ac:dyDescent="0.3">
      <c r="A1495" s="373" t="s">
        <v>22</v>
      </c>
      <c r="B1495" s="184" t="s">
        <v>23</v>
      </c>
      <c r="C1495" s="183" t="s">
        <v>257</v>
      </c>
      <c r="D1495" s="179"/>
      <c r="E1495" s="373" t="s">
        <v>408</v>
      </c>
      <c r="F1495" s="373" t="s">
        <v>76</v>
      </c>
      <c r="G1495" s="370" t="s">
        <v>604</v>
      </c>
      <c r="H1495" s="461" t="s">
        <v>2175</v>
      </c>
      <c r="I1495" s="598" t="s">
        <v>2176</v>
      </c>
      <c r="J1495" s="706">
        <v>45161</v>
      </c>
      <c r="K1495" s="781">
        <v>0.54166666666666663</v>
      </c>
      <c r="L1495" s="706">
        <v>45161</v>
      </c>
      <c r="M1495" s="781">
        <v>0.58333333333333337</v>
      </c>
      <c r="N1495" s="370">
        <v>1</v>
      </c>
      <c r="O1495" s="184" t="s">
        <v>17</v>
      </c>
      <c r="P1495" s="264" t="s">
        <v>2144</v>
      </c>
      <c r="Q1495" s="746" t="s">
        <v>1441</v>
      </c>
      <c r="R1495" s="171" t="s">
        <v>95</v>
      </c>
      <c r="S1495" s="31" t="s">
        <v>273</v>
      </c>
      <c r="T1495" s="31" t="s">
        <v>273</v>
      </c>
      <c r="U1495" s="31">
        <f>IFERROR(VLOOKUP(CONCATENATE(Tabla1[[#This Row],[Severidad]]," ",Tabla1[[#This Row],[Complejidad]]),Catalogos!E$120:G$128,3,FALSE),"")</f>
        <v>64</v>
      </c>
      <c r="V1495" s="31" t="str">
        <f>IF(Tabla1[[#This Row],[Tiempo solución max (hrs)]]&lt;&gt;"",IF(Tabla1[[#This Row],[Tiempo solución max (hrs)]]&gt;=Tabla1[[#This Row],[Tiempo
(Hrs 00/100)]],"cumple","no cumple"),"")</f>
        <v>cumple</v>
      </c>
      <c r="W1495" s="376" t="s">
        <v>1814</v>
      </c>
      <c r="X1495" s="377" t="str">
        <f t="shared" si="144"/>
        <v>SSI</v>
      </c>
      <c r="Y1495" t="str">
        <f>SUBSTITUTE(Tabla1[[#This Row],[Descripción]],CHAR(10),"    I    ")</f>
        <v>Se documentó el Query 6 de la Funcionalidad 7 en el documento 'PRO-AA-NN-P29-Reporte de Actividades' con el procedimiento FUNC7DETSOLDASHUTGI_SOLESTADISTICO_QF7Q6</v>
      </c>
      <c r="Z1495" s="142">
        <f>VLOOKUP(Tabla1[[#This Row],[Perfil]],Catalogos!$B$75:$D$100,3,FALSE)*Tabla1[[#This Row],[Tiempo
(Hrs 00/100)]]*1.16</f>
        <v>696</v>
      </c>
    </row>
    <row r="1496" spans="1:26" ht="144" x14ac:dyDescent="0.3">
      <c r="A1496" s="373" t="s">
        <v>22</v>
      </c>
      <c r="B1496" s="184" t="s">
        <v>23</v>
      </c>
      <c r="C1496" s="183" t="s">
        <v>257</v>
      </c>
      <c r="D1496" s="179"/>
      <c r="E1496" s="373" t="s">
        <v>408</v>
      </c>
      <c r="F1496" s="373" t="s">
        <v>76</v>
      </c>
      <c r="G1496" s="370" t="s">
        <v>604</v>
      </c>
      <c r="H1496" s="461" t="s">
        <v>2177</v>
      </c>
      <c r="I1496" s="598" t="s">
        <v>2178</v>
      </c>
      <c r="J1496" s="706">
        <v>45161</v>
      </c>
      <c r="K1496" s="781">
        <v>0.58333333333333337</v>
      </c>
      <c r="L1496" s="706">
        <v>45161</v>
      </c>
      <c r="M1496" s="781">
        <v>0.625</v>
      </c>
      <c r="N1496" s="370">
        <v>1</v>
      </c>
      <c r="O1496" s="184" t="s">
        <v>17</v>
      </c>
      <c r="P1496" s="264" t="s">
        <v>2144</v>
      </c>
      <c r="Q1496" s="746" t="s">
        <v>1441</v>
      </c>
      <c r="R1496" s="171" t="s">
        <v>95</v>
      </c>
      <c r="S1496" s="31" t="s">
        <v>273</v>
      </c>
      <c r="T1496" s="31" t="s">
        <v>273</v>
      </c>
      <c r="U1496" s="31">
        <f>IFERROR(VLOOKUP(CONCATENATE(Tabla1[[#This Row],[Severidad]]," ",Tabla1[[#This Row],[Complejidad]]),Catalogos!E$120:G$128,3,FALSE),"")</f>
        <v>64</v>
      </c>
      <c r="V1496" s="31" t="str">
        <f>IF(Tabla1[[#This Row],[Tiempo solución max (hrs)]]&lt;&gt;"",IF(Tabla1[[#This Row],[Tiempo solución max (hrs)]]&gt;=Tabla1[[#This Row],[Tiempo
(Hrs 00/100)]],"cumple","no cumple"),"")</f>
        <v>cumple</v>
      </c>
      <c r="W1496" s="376" t="s">
        <v>1814</v>
      </c>
      <c r="X1496" s="377" t="str">
        <f t="shared" si="144"/>
        <v>SSI</v>
      </c>
      <c r="Y1496" t="str">
        <f>SUBSTITUTE(Tabla1[[#This Row],[Descripción]],CHAR(10),"    I    ")</f>
        <v>Se documentó el Query 7 de la Funcionalidad 7 en el documento 'PRO-AA-NN-P29-Reporte de Actividades' con el procedimiento FUNC7DETSOLDASHUTGI_SOLXACCESIBILIDAD_QF7Q7</v>
      </c>
      <c r="Z1496" s="142">
        <f>VLOOKUP(Tabla1[[#This Row],[Perfil]],Catalogos!$B$75:$D$100,3,FALSE)*Tabla1[[#This Row],[Tiempo
(Hrs 00/100)]]*1.16</f>
        <v>696</v>
      </c>
    </row>
    <row r="1497" spans="1:26" ht="30" customHeight="1" x14ac:dyDescent="0.3">
      <c r="A1497" s="373" t="s">
        <v>22</v>
      </c>
      <c r="B1497" s="184" t="s">
        <v>23</v>
      </c>
      <c r="C1497" s="183" t="s">
        <v>257</v>
      </c>
      <c r="D1497" s="179"/>
      <c r="E1497" s="373" t="s">
        <v>408</v>
      </c>
      <c r="F1497" s="373" t="s">
        <v>76</v>
      </c>
      <c r="G1497" s="370" t="s">
        <v>604</v>
      </c>
      <c r="H1497" s="461" t="s">
        <v>2179</v>
      </c>
      <c r="I1497" s="598" t="s">
        <v>2180</v>
      </c>
      <c r="J1497" s="706">
        <v>45161</v>
      </c>
      <c r="K1497" s="769">
        <v>0.66666666666666663</v>
      </c>
      <c r="L1497" s="706">
        <v>45161</v>
      </c>
      <c r="M1497" s="781">
        <v>0.6875</v>
      </c>
      <c r="N1497" s="370">
        <v>0.5</v>
      </c>
      <c r="O1497" s="184" t="s">
        <v>17</v>
      </c>
      <c r="P1497" s="264" t="s">
        <v>2144</v>
      </c>
      <c r="Q1497" s="746" t="s">
        <v>1441</v>
      </c>
      <c r="R1497" s="171" t="s">
        <v>95</v>
      </c>
      <c r="S1497" s="31" t="s">
        <v>273</v>
      </c>
      <c r="T1497" s="31" t="s">
        <v>273</v>
      </c>
      <c r="U1497" s="31">
        <f>IFERROR(VLOOKUP(CONCATENATE(Tabla1[[#This Row],[Severidad]]," ",Tabla1[[#This Row],[Complejidad]]),Catalogos!E$120:G$128,3,FALSE),"")</f>
        <v>64</v>
      </c>
      <c r="V1497" s="31" t="str">
        <f>IF(Tabla1[[#This Row],[Tiempo solución max (hrs)]]&lt;&gt;"",IF(Tabla1[[#This Row],[Tiempo solución max (hrs)]]&gt;=Tabla1[[#This Row],[Tiempo
(Hrs 00/100)]],"cumple","no cumple"),"")</f>
        <v>cumple</v>
      </c>
      <c r="W1497" s="376" t="s">
        <v>1814</v>
      </c>
      <c r="X1497" s="377" t="str">
        <f t="shared" si="144"/>
        <v>SSI</v>
      </c>
      <c r="Y1497" t="str">
        <f>SUBSTITUTE(Tabla1[[#This Row],[Descripción]],CHAR(10),"    I    ")</f>
        <v>Se documentó que para el Query 8 de la Funcionalidad 7 se reutilzá el procedimiento FUNC3DETSOLDASH_ADJUNTOXIDRESP_QF3Q4, en el documento 'PRO-AA-NN-P29-Reporte de Actividades'</v>
      </c>
      <c r="Z1497" s="142">
        <f>VLOOKUP(Tabla1[[#This Row],[Perfil]],Catalogos!$B$75:$D$100,3,FALSE)*Tabla1[[#This Row],[Tiempo
(Hrs 00/100)]]*1.16</f>
        <v>348</v>
      </c>
    </row>
    <row r="1498" spans="1:26" ht="15" customHeight="1" x14ac:dyDescent="0.3">
      <c r="A1498" s="373" t="s">
        <v>22</v>
      </c>
      <c r="B1498" s="184" t="s">
        <v>23</v>
      </c>
      <c r="C1498" s="183" t="s">
        <v>257</v>
      </c>
      <c r="D1498" s="179"/>
      <c r="E1498" s="373" t="s">
        <v>408</v>
      </c>
      <c r="F1498" s="373" t="s">
        <v>76</v>
      </c>
      <c r="G1498" s="370" t="s">
        <v>604</v>
      </c>
      <c r="H1498" s="461" t="s">
        <v>2181</v>
      </c>
      <c r="I1498" s="598" t="s">
        <v>2182</v>
      </c>
      <c r="J1498" s="706">
        <v>45161</v>
      </c>
      <c r="K1498" s="781">
        <v>0.6875</v>
      </c>
      <c r="L1498" s="706">
        <v>45161</v>
      </c>
      <c r="M1498" s="781">
        <v>0.70833333333333337</v>
      </c>
      <c r="N1498" s="370">
        <v>0.5</v>
      </c>
      <c r="O1498" s="184" t="s">
        <v>17</v>
      </c>
      <c r="P1498" s="264" t="s">
        <v>2144</v>
      </c>
      <c r="Q1498" s="746" t="s">
        <v>1441</v>
      </c>
      <c r="R1498" s="171" t="s">
        <v>95</v>
      </c>
      <c r="S1498" s="31" t="s">
        <v>273</v>
      </c>
      <c r="T1498" s="31" t="s">
        <v>273</v>
      </c>
      <c r="U1498" s="31">
        <f>IFERROR(VLOOKUP(CONCATENATE(Tabla1[[#This Row],[Severidad]]," ",Tabla1[[#This Row],[Complejidad]]),Catalogos!E$120:G$128,3,FALSE),"")</f>
        <v>64</v>
      </c>
      <c r="V1498" s="31" t="str">
        <f>IF(Tabla1[[#This Row],[Tiempo solución max (hrs)]]&lt;&gt;"",IF(Tabla1[[#This Row],[Tiempo solución max (hrs)]]&gt;=Tabla1[[#This Row],[Tiempo
(Hrs 00/100)]],"cumple","no cumple"),"")</f>
        <v>cumple</v>
      </c>
      <c r="W1498" s="376" t="s">
        <v>1814</v>
      </c>
      <c r="X1498" s="377" t="str">
        <f t="shared" si="144"/>
        <v>SSI</v>
      </c>
      <c r="Y1498" t="str">
        <f>SUBSTITUTE(Tabla1[[#This Row],[Descripción]],CHAR(10),"    I    ")</f>
        <v>Se documentó que para el Query 9 de la Funcionalidad 7 se reutilzá el procedimiento FUNC3DETSOLDASH_NOTIFDISPONIBXRESP_QF3Q5, en el documento 'PRO-AA-NN-P29-Reporte de Actividades'</v>
      </c>
      <c r="Z1498" s="142">
        <f>VLOOKUP(Tabla1[[#This Row],[Perfil]],Catalogos!$B$75:$D$100,3,FALSE)*Tabla1[[#This Row],[Tiempo
(Hrs 00/100)]]*1.16</f>
        <v>348</v>
      </c>
    </row>
    <row r="1499" spans="1:26" ht="15" customHeight="1" x14ac:dyDescent="0.3">
      <c r="A1499" s="373" t="s">
        <v>22</v>
      </c>
      <c r="B1499" s="184" t="s">
        <v>23</v>
      </c>
      <c r="C1499" s="183" t="s">
        <v>257</v>
      </c>
      <c r="D1499" s="179"/>
      <c r="E1499" s="373" t="s">
        <v>408</v>
      </c>
      <c r="F1499" s="373" t="s">
        <v>76</v>
      </c>
      <c r="G1499" s="370" t="s">
        <v>604</v>
      </c>
      <c r="H1499" s="461" t="s">
        <v>2183</v>
      </c>
      <c r="I1499" s="598" t="s">
        <v>2184</v>
      </c>
      <c r="J1499" s="727">
        <v>45161</v>
      </c>
      <c r="K1499" s="781">
        <v>0.70833333333333337</v>
      </c>
      <c r="L1499" s="727">
        <v>45161</v>
      </c>
      <c r="M1499" s="782">
        <v>0.72916666666666663</v>
      </c>
      <c r="N1499" s="370">
        <v>0.5</v>
      </c>
      <c r="O1499" s="184" t="s">
        <v>17</v>
      </c>
      <c r="P1499" s="375" t="s">
        <v>2144</v>
      </c>
      <c r="Q1499" s="746" t="s">
        <v>1441</v>
      </c>
      <c r="R1499" s="171" t="s">
        <v>95</v>
      </c>
      <c r="S1499" s="31" t="s">
        <v>273</v>
      </c>
      <c r="T1499" s="31" t="s">
        <v>273</v>
      </c>
      <c r="U1499" s="31">
        <f>IFERROR(VLOOKUP(CONCATENATE(Tabla1[[#This Row],[Severidad]]," ",Tabla1[[#This Row],[Complejidad]]),Catalogos!E$120:G$128,3,FALSE),"")</f>
        <v>64</v>
      </c>
      <c r="V1499" s="31" t="str">
        <f>IF(Tabla1[[#This Row],[Tiempo solución max (hrs)]]&lt;&gt;"",IF(Tabla1[[#This Row],[Tiempo solución max (hrs)]]&gt;=Tabla1[[#This Row],[Tiempo
(Hrs 00/100)]],"cumple","no cumple"),"")</f>
        <v>cumple</v>
      </c>
      <c r="W1499" s="376" t="s">
        <v>1814</v>
      </c>
      <c r="X1499" s="377" t="str">
        <f t="shared" si="144"/>
        <v>SSI</v>
      </c>
      <c r="Y1499" t="str">
        <f>SUBSTITUTE(Tabla1[[#This Row],[Descripción]],CHAR(10),"    I    ")</f>
        <v>Se documentó que para el Query 10 de la Funcionalidad 7 se reutilzá el procedimiento FUNC3DETSOLDASH_COMPETENXRESP_QF3Q6, en el documento 'PRO-AA-NN-P29-Reporte de Actividades'</v>
      </c>
      <c r="Z1499" s="142">
        <f>VLOOKUP(Tabla1[[#This Row],[Perfil]],Catalogos!$B$75:$D$100,3,FALSE)*Tabla1[[#This Row],[Tiempo
(Hrs 00/100)]]*1.16</f>
        <v>348</v>
      </c>
    </row>
    <row r="1500" spans="1:26" ht="15" customHeight="1" x14ac:dyDescent="0.3">
      <c r="A1500" s="373" t="s">
        <v>22</v>
      </c>
      <c r="B1500" s="184" t="s">
        <v>23</v>
      </c>
      <c r="C1500" s="183" t="s">
        <v>257</v>
      </c>
      <c r="D1500" s="179"/>
      <c r="E1500" s="373" t="s">
        <v>408</v>
      </c>
      <c r="F1500" s="373" t="s">
        <v>76</v>
      </c>
      <c r="G1500" s="370" t="s">
        <v>604</v>
      </c>
      <c r="H1500" s="461" t="s">
        <v>2185</v>
      </c>
      <c r="I1500" s="598" t="s">
        <v>2186</v>
      </c>
      <c r="J1500" s="727">
        <v>45161</v>
      </c>
      <c r="K1500" s="782">
        <v>0.72916666666666663</v>
      </c>
      <c r="L1500" s="727">
        <v>45161</v>
      </c>
      <c r="M1500" s="782">
        <v>0.77083333333333337</v>
      </c>
      <c r="N1500" s="370">
        <v>1</v>
      </c>
      <c r="O1500" s="184" t="s">
        <v>17</v>
      </c>
      <c r="P1500" s="375" t="s">
        <v>2144</v>
      </c>
      <c r="Q1500" s="746" t="s">
        <v>1441</v>
      </c>
      <c r="R1500" s="171" t="s">
        <v>95</v>
      </c>
      <c r="S1500" s="31" t="s">
        <v>273</v>
      </c>
      <c r="T1500" s="31" t="s">
        <v>273</v>
      </c>
      <c r="U1500" s="31">
        <f>IFERROR(VLOOKUP(CONCATENATE(Tabla1[[#This Row],[Severidad]]," ",Tabla1[[#This Row],[Complejidad]]),Catalogos!E$120:G$128,3,FALSE),"")</f>
        <v>64</v>
      </c>
      <c r="V1500" s="31" t="str">
        <f>IF(Tabla1[[#This Row],[Tiempo solución max (hrs)]]&lt;&gt;"",IF(Tabla1[[#This Row],[Tiempo solución max (hrs)]]&gt;=Tabla1[[#This Row],[Tiempo
(Hrs 00/100)]],"cumple","no cumple"),"")</f>
        <v>cumple</v>
      </c>
      <c r="W1500" s="376" t="s">
        <v>1814</v>
      </c>
      <c r="X1500" s="377" t="str">
        <f t="shared" si="144"/>
        <v>SSI</v>
      </c>
      <c r="Y1500" t="str">
        <f>SUBSTITUTE(Tabla1[[#This Row],[Descripción]],CHAR(10),"    I    ")</f>
        <v>Se documentó el Query 11 de la Funcionalidad 7 en el documento 'PRO-AA-NN-P29-Reporte de Actividades' con el procedimiento FUNC7DETSOLDASHUTGI_SOLDATPERSOXSOLDEP_QF7Q11</v>
      </c>
      <c r="Z1500" s="142">
        <f>VLOOKUP(Tabla1[[#This Row],[Perfil]],Catalogos!$B$75:$D$100,3,FALSE)*Tabla1[[#This Row],[Tiempo
(Hrs 00/100)]]*1.16</f>
        <v>696</v>
      </c>
    </row>
    <row r="1501" spans="1:26" ht="15" customHeight="1" x14ac:dyDescent="0.3">
      <c r="A1501" s="373" t="s">
        <v>22</v>
      </c>
      <c r="B1501" s="184" t="s">
        <v>23</v>
      </c>
      <c r="C1501" s="183" t="s">
        <v>257</v>
      </c>
      <c r="D1501" s="179"/>
      <c r="E1501" s="373" t="s">
        <v>408</v>
      </c>
      <c r="F1501" s="373" t="s">
        <v>76</v>
      </c>
      <c r="G1501" s="370" t="s">
        <v>604</v>
      </c>
      <c r="H1501" s="461" t="s">
        <v>2187</v>
      </c>
      <c r="I1501" s="598" t="s">
        <v>2188</v>
      </c>
      <c r="J1501" s="727">
        <v>45161</v>
      </c>
      <c r="K1501" s="782">
        <v>0.77083333333333337</v>
      </c>
      <c r="L1501" s="727">
        <v>45161</v>
      </c>
      <c r="M1501" s="782">
        <v>0.8125</v>
      </c>
      <c r="N1501" s="370">
        <v>1</v>
      </c>
      <c r="O1501" s="184" t="s">
        <v>17</v>
      </c>
      <c r="P1501" s="375" t="s">
        <v>2144</v>
      </c>
      <c r="Q1501" s="746" t="s">
        <v>1441</v>
      </c>
      <c r="R1501" s="171" t="s">
        <v>95</v>
      </c>
      <c r="S1501" s="31" t="s">
        <v>273</v>
      </c>
      <c r="T1501" s="31" t="s">
        <v>273</v>
      </c>
      <c r="U1501" s="31">
        <f>IFERROR(VLOOKUP(CONCATENATE(Tabla1[[#This Row],[Severidad]]," ",Tabla1[[#This Row],[Complejidad]]),Catalogos!E$120:G$128,3,FALSE),"")</f>
        <v>64</v>
      </c>
      <c r="V1501" s="31" t="str">
        <f>IF(Tabla1[[#This Row],[Tiempo solución max (hrs)]]&lt;&gt;"",IF(Tabla1[[#This Row],[Tiempo solución max (hrs)]]&gt;=Tabla1[[#This Row],[Tiempo
(Hrs 00/100)]],"cumple","no cumple"),"")</f>
        <v>cumple</v>
      </c>
      <c r="W1501" s="376" t="s">
        <v>1814</v>
      </c>
      <c r="X1501" s="377" t="str">
        <f t="shared" si="144"/>
        <v>SSI</v>
      </c>
      <c r="Y1501" t="str">
        <f>SUBSTITUTE(Tabla1[[#This Row],[Descripción]],CHAR(10),"    I    ")</f>
        <v>Se documentó el Query 12 de la Funcionalidad 7 en el documento 'PRO-AA-NN-P29-Reporte de Actividades' con el procedimiento FUNC7DETSOLDASHUTGI_ESTADISTOCUPXIDSOL_QF7Q12</v>
      </c>
      <c r="Z1501" s="142">
        <f>VLOOKUP(Tabla1[[#This Row],[Perfil]],Catalogos!$B$75:$D$100,3,FALSE)*Tabla1[[#This Row],[Tiempo
(Hrs 00/100)]]*1.16</f>
        <v>696</v>
      </c>
    </row>
    <row r="1502" spans="1:26" ht="15" customHeight="1" x14ac:dyDescent="0.3">
      <c r="A1502" s="373" t="s">
        <v>22</v>
      </c>
      <c r="B1502" s="184" t="s">
        <v>23</v>
      </c>
      <c r="C1502" s="183" t="s">
        <v>257</v>
      </c>
      <c r="D1502" s="179"/>
      <c r="E1502" s="373" t="s">
        <v>408</v>
      </c>
      <c r="F1502" s="373" t="s">
        <v>76</v>
      </c>
      <c r="G1502" s="370" t="s">
        <v>604</v>
      </c>
      <c r="H1502" s="461" t="s">
        <v>2189</v>
      </c>
      <c r="I1502" s="598" t="s">
        <v>2190</v>
      </c>
      <c r="J1502" s="727">
        <v>45161</v>
      </c>
      <c r="K1502" s="782">
        <v>0.8125</v>
      </c>
      <c r="L1502" s="727">
        <v>45161</v>
      </c>
      <c r="M1502" s="782">
        <v>0.85416666666666663</v>
      </c>
      <c r="N1502" s="370">
        <v>1</v>
      </c>
      <c r="O1502" s="184" t="s">
        <v>17</v>
      </c>
      <c r="P1502" s="375" t="s">
        <v>2144</v>
      </c>
      <c r="Q1502" s="746" t="s">
        <v>1441</v>
      </c>
      <c r="R1502" s="171" t="s">
        <v>95</v>
      </c>
      <c r="S1502" s="31" t="s">
        <v>273</v>
      </c>
      <c r="T1502" s="31" t="s">
        <v>273</v>
      </c>
      <c r="U1502" s="31">
        <f>IFERROR(VLOOKUP(CONCATENATE(Tabla1[[#This Row],[Severidad]]," ",Tabla1[[#This Row],[Complejidad]]),Catalogos!E$120:G$128,3,FALSE),"")</f>
        <v>64</v>
      </c>
      <c r="V1502" s="31" t="str">
        <f>IF(Tabla1[[#This Row],[Tiempo solución max (hrs)]]&lt;&gt;"",IF(Tabla1[[#This Row],[Tiempo solución max (hrs)]]&gt;=Tabla1[[#This Row],[Tiempo
(Hrs 00/100)]],"cumple","no cumple"),"")</f>
        <v>cumple</v>
      </c>
      <c r="W1502" s="376" t="s">
        <v>1814</v>
      </c>
      <c r="X1502" s="377" t="str">
        <f t="shared" si="144"/>
        <v>SSI</v>
      </c>
      <c r="Y1502" t="str">
        <f>SUBSTITUTE(Tabla1[[#This Row],[Descripción]],CHAR(10),"    I    ")</f>
        <v>Se documentó el Query 13 de la Funcionalidad 7 en el documento 'PRO-AA-NN-P29-Reporte de Actividades' con el procedimiento FUNC7DETSOLDASHUTGI_ACCESIBILIDAD_QF7Q13</v>
      </c>
      <c r="Z1502" s="142">
        <f>VLOOKUP(Tabla1[[#This Row],[Perfil]],Catalogos!$B$75:$D$100,3,FALSE)*Tabla1[[#This Row],[Tiempo
(Hrs 00/100)]]*1.16</f>
        <v>696</v>
      </c>
    </row>
    <row r="1503" spans="1:26" ht="15" customHeight="1" x14ac:dyDescent="0.3">
      <c r="A1503" s="373" t="s">
        <v>22</v>
      </c>
      <c r="B1503" s="184" t="s">
        <v>23</v>
      </c>
      <c r="C1503" s="183" t="s">
        <v>257</v>
      </c>
      <c r="D1503" s="179"/>
      <c r="E1503" s="373" t="s">
        <v>408</v>
      </c>
      <c r="F1503" s="373" t="s">
        <v>76</v>
      </c>
      <c r="G1503" s="370" t="s">
        <v>604</v>
      </c>
      <c r="H1503" s="461" t="s">
        <v>2191</v>
      </c>
      <c r="I1503" s="598" t="s">
        <v>2192</v>
      </c>
      <c r="J1503" s="727">
        <v>45162</v>
      </c>
      <c r="K1503" s="770">
        <v>0.375</v>
      </c>
      <c r="L1503" s="727">
        <v>45162</v>
      </c>
      <c r="M1503" s="782">
        <v>0.41666666666666669</v>
      </c>
      <c r="N1503" s="370">
        <v>1</v>
      </c>
      <c r="O1503" s="184" t="s">
        <v>17</v>
      </c>
      <c r="P1503" s="375" t="s">
        <v>2144</v>
      </c>
      <c r="Q1503" s="746" t="s">
        <v>1441</v>
      </c>
      <c r="R1503" s="171" t="s">
        <v>95</v>
      </c>
      <c r="S1503" s="31" t="s">
        <v>273</v>
      </c>
      <c r="T1503" s="31" t="s">
        <v>273</v>
      </c>
      <c r="U1503" s="31">
        <f>IFERROR(VLOOKUP(CONCATENATE(Tabla1[[#This Row],[Severidad]]," ",Tabla1[[#This Row],[Complejidad]]),Catalogos!E$120:G$128,3,FALSE),"")</f>
        <v>64</v>
      </c>
      <c r="V1503" s="31" t="str">
        <f>IF(Tabla1[[#This Row],[Tiempo solución max (hrs)]]&lt;&gt;"",IF(Tabla1[[#This Row],[Tiempo solución max (hrs)]]&gt;=Tabla1[[#This Row],[Tiempo
(Hrs 00/100)]],"cumple","no cumple"),"")</f>
        <v>cumple</v>
      </c>
      <c r="W1503" s="376" t="s">
        <v>1814</v>
      </c>
      <c r="X1503" s="377" t="str">
        <f t="shared" si="144"/>
        <v>SSI</v>
      </c>
      <c r="Y1503" t="str">
        <f>SUBSTITUTE(Tabla1[[#This Row],[Descripción]],CHAR(10),"    I    ")</f>
        <v>Se documentó el Query 14 de la Funcionalidad 7 en el documento 'PRO-AA-NN-P29-Reporte de Actividades' con el procedimiento FUNC7DETSOLDASHUTGI_LEYEIDRESP_QF7Q14</v>
      </c>
      <c r="Z1503" s="142">
        <f>VLOOKUP(Tabla1[[#This Row],[Perfil]],Catalogos!$B$75:$D$100,3,FALSE)*Tabla1[[#This Row],[Tiempo
(Hrs 00/100)]]*1.16</f>
        <v>696</v>
      </c>
    </row>
    <row r="1504" spans="1:26" ht="15" customHeight="1" x14ac:dyDescent="0.3">
      <c r="A1504" s="373" t="s">
        <v>22</v>
      </c>
      <c r="B1504" s="184" t="s">
        <v>23</v>
      </c>
      <c r="C1504" s="183" t="s">
        <v>257</v>
      </c>
      <c r="D1504" s="179"/>
      <c r="E1504" s="373" t="s">
        <v>408</v>
      </c>
      <c r="F1504" s="373" t="s">
        <v>76</v>
      </c>
      <c r="G1504" s="370" t="s">
        <v>604</v>
      </c>
      <c r="H1504" s="461" t="s">
        <v>2193</v>
      </c>
      <c r="I1504" s="598" t="s">
        <v>2194</v>
      </c>
      <c r="J1504" s="727">
        <v>45162</v>
      </c>
      <c r="K1504" s="782">
        <v>0.41666666666666669</v>
      </c>
      <c r="L1504" s="727">
        <v>45162</v>
      </c>
      <c r="M1504" s="782">
        <v>0.45833333333333331</v>
      </c>
      <c r="N1504" s="370">
        <v>1</v>
      </c>
      <c r="O1504" s="184" t="s">
        <v>17</v>
      </c>
      <c r="P1504" s="375" t="s">
        <v>2144</v>
      </c>
      <c r="Q1504" s="746" t="s">
        <v>1441</v>
      </c>
      <c r="R1504" s="171" t="s">
        <v>95</v>
      </c>
      <c r="S1504" s="31" t="s">
        <v>273</v>
      </c>
      <c r="T1504" s="31" t="s">
        <v>273</v>
      </c>
      <c r="U1504" s="31">
        <f>IFERROR(VLOOKUP(CONCATENATE(Tabla1[[#This Row],[Severidad]]," ",Tabla1[[#This Row],[Complejidad]]),Catalogos!E$120:G$128,3,FALSE),"")</f>
        <v>64</v>
      </c>
      <c r="V1504" s="31" t="str">
        <f>IF(Tabla1[[#This Row],[Tiempo solución max (hrs)]]&lt;&gt;"",IF(Tabla1[[#This Row],[Tiempo solución max (hrs)]]&gt;=Tabla1[[#This Row],[Tiempo
(Hrs 00/100)]],"cumple","no cumple"),"")</f>
        <v>cumple</v>
      </c>
      <c r="W1504" s="376" t="s">
        <v>1814</v>
      </c>
      <c r="X1504" s="377" t="str">
        <f t="shared" si="144"/>
        <v>SSI</v>
      </c>
      <c r="Y1504" t="str">
        <f>SUBSTITUTE(Tabla1[[#This Row],[Descripción]],CHAR(10),"    I    ")</f>
        <v>Se documentó el Query 1 de la Funcionalidad 8 en el documento 'PRO-AA-NN-P29-Reporte de Actividades' con el procedimiento FUNC8EXPORTARSOLICITUDUTEXCEL_QF8</v>
      </c>
      <c r="Z1504" s="142">
        <f>VLOOKUP(Tabla1[[#This Row],[Perfil]],Catalogos!$B$75:$D$100,3,FALSE)*Tabla1[[#This Row],[Tiempo
(Hrs 00/100)]]*1.16</f>
        <v>696</v>
      </c>
    </row>
    <row r="1505" spans="1:26" ht="15" customHeight="1" x14ac:dyDescent="0.3">
      <c r="A1505" s="373" t="s">
        <v>22</v>
      </c>
      <c r="B1505" s="184" t="s">
        <v>23</v>
      </c>
      <c r="C1505" s="183" t="s">
        <v>257</v>
      </c>
      <c r="D1505" s="179"/>
      <c r="E1505" s="373" t="s">
        <v>408</v>
      </c>
      <c r="F1505" s="373" t="s">
        <v>76</v>
      </c>
      <c r="G1505" s="370" t="s">
        <v>604</v>
      </c>
      <c r="H1505" s="461" t="s">
        <v>2195</v>
      </c>
      <c r="I1505" s="598" t="s">
        <v>2196</v>
      </c>
      <c r="J1505" s="727">
        <v>45162</v>
      </c>
      <c r="K1505" s="782">
        <v>0.45833333333333331</v>
      </c>
      <c r="L1505" s="727">
        <v>45162</v>
      </c>
      <c r="M1505" s="782">
        <v>0.5</v>
      </c>
      <c r="N1505" s="370">
        <v>1</v>
      </c>
      <c r="O1505" s="184" t="s">
        <v>17</v>
      </c>
      <c r="P1505" s="375" t="s">
        <v>2144</v>
      </c>
      <c r="Q1505" s="746" t="s">
        <v>1441</v>
      </c>
      <c r="R1505" s="171" t="s">
        <v>95</v>
      </c>
      <c r="S1505" s="31" t="s">
        <v>273</v>
      </c>
      <c r="T1505" s="31" t="s">
        <v>273</v>
      </c>
      <c r="U1505" s="31">
        <f>IFERROR(VLOOKUP(CONCATENATE(Tabla1[[#This Row],[Severidad]]," ",Tabla1[[#This Row],[Complejidad]]),Catalogos!E$120:G$128,3,FALSE),"")</f>
        <v>64</v>
      </c>
      <c r="V1505" s="31" t="str">
        <f>IF(Tabla1[[#This Row],[Tiempo solución max (hrs)]]&lt;&gt;"",IF(Tabla1[[#This Row],[Tiempo solución max (hrs)]]&gt;=Tabla1[[#This Row],[Tiempo
(Hrs 00/100)]],"cumple","no cumple"),"")</f>
        <v>cumple</v>
      </c>
      <c r="W1505" s="376" t="s">
        <v>1814</v>
      </c>
      <c r="X1505" s="377" t="str">
        <f t="shared" si="144"/>
        <v>SSI</v>
      </c>
      <c r="Y1505" t="str">
        <f>SUBSTITUTE(Tabla1[[#This Row],[Descripción]],CHAR(10),"    I    ")</f>
        <v>Se documentó el Query 1 de la Funcionalidad 9 en el documento 'PRO-AA-NN-P29-Reporte de Actividades' con el procedimiento FUNC9RESPUESTASPOSIBL_UT_QF9</v>
      </c>
      <c r="Z1505" s="142">
        <f>VLOOKUP(Tabla1[[#This Row],[Perfil]],Catalogos!$B$75:$D$100,3,FALSE)*Tabla1[[#This Row],[Tiempo
(Hrs 00/100)]]*1.16</f>
        <v>696</v>
      </c>
    </row>
    <row r="1506" spans="1:26" ht="15" customHeight="1" x14ac:dyDescent="0.3">
      <c r="A1506" s="373" t="s">
        <v>22</v>
      </c>
      <c r="B1506" s="184" t="s">
        <v>23</v>
      </c>
      <c r="C1506" s="183" t="s">
        <v>257</v>
      </c>
      <c r="D1506" s="179"/>
      <c r="E1506" s="373" t="s">
        <v>408</v>
      </c>
      <c r="F1506" s="373" t="s">
        <v>76</v>
      </c>
      <c r="G1506" s="370" t="s">
        <v>604</v>
      </c>
      <c r="H1506" s="461" t="s">
        <v>2197</v>
      </c>
      <c r="I1506" s="598" t="s">
        <v>2198</v>
      </c>
      <c r="J1506" s="727">
        <v>45162</v>
      </c>
      <c r="K1506" s="782">
        <v>0.5</v>
      </c>
      <c r="L1506" s="727">
        <v>45162</v>
      </c>
      <c r="M1506" s="782">
        <v>0.54166666666666663</v>
      </c>
      <c r="N1506" s="373">
        <v>1</v>
      </c>
      <c r="O1506" s="184" t="s">
        <v>17</v>
      </c>
      <c r="P1506" s="375" t="s">
        <v>2144</v>
      </c>
      <c r="Q1506" s="746" t="s">
        <v>1441</v>
      </c>
      <c r="R1506" s="171" t="s">
        <v>95</v>
      </c>
      <c r="S1506" s="31" t="s">
        <v>273</v>
      </c>
      <c r="T1506" s="31" t="s">
        <v>273</v>
      </c>
      <c r="U1506" s="31">
        <f>IFERROR(VLOOKUP(CONCATENATE(Tabla1[[#This Row],[Severidad]]," ",Tabla1[[#This Row],[Complejidad]]),Catalogos!E$120:G$128,3,FALSE),"")</f>
        <v>64</v>
      </c>
      <c r="V1506" s="31" t="str">
        <f>IF(Tabla1[[#This Row],[Tiempo solución max (hrs)]]&lt;&gt;"",IF(Tabla1[[#This Row],[Tiempo solución max (hrs)]]&gt;=Tabla1[[#This Row],[Tiempo
(Hrs 00/100)]],"cumple","no cumple"),"")</f>
        <v>cumple</v>
      </c>
      <c r="W1506" s="376" t="s">
        <v>1814</v>
      </c>
      <c r="X1506" s="463" t="str">
        <f t="shared" si="144"/>
        <v>SSI</v>
      </c>
      <c r="Y1506" s="459" t="str">
        <f>SUBSTITUTE(Tabla1[[#This Row],[Descripción]],CHAR(10),"    I    ")</f>
        <v>Se documentó el Query 1 de la Funcionalidad 10 en el documento 'PRO-AA-NN-P29-Reporte de Actividades' con el procedimiento FUNC10DASHBOARDRECEPSOLICI_GIUT_QF10</v>
      </c>
      <c r="Z1506" s="464">
        <f>VLOOKUP(Tabla1[[#This Row],[Perfil]],Catalogos!$B$75:$D$100,3,FALSE)*Tabla1[[#This Row],[Tiempo
(Hrs 00/100)]]*1.16</f>
        <v>696</v>
      </c>
    </row>
    <row r="1507" spans="1:26" ht="15" customHeight="1" x14ac:dyDescent="0.3">
      <c r="A1507" s="373" t="s">
        <v>22</v>
      </c>
      <c r="B1507" s="184" t="s">
        <v>23</v>
      </c>
      <c r="C1507" s="183" t="s">
        <v>257</v>
      </c>
      <c r="D1507" s="179"/>
      <c r="E1507" s="373" t="s">
        <v>408</v>
      </c>
      <c r="F1507" s="373" t="s">
        <v>76</v>
      </c>
      <c r="G1507" s="370" t="s">
        <v>604</v>
      </c>
      <c r="H1507" s="461" t="s">
        <v>2199</v>
      </c>
      <c r="I1507" s="598" t="s">
        <v>2200</v>
      </c>
      <c r="J1507" s="727">
        <v>45162</v>
      </c>
      <c r="K1507" s="782">
        <v>0.54166666666666663</v>
      </c>
      <c r="L1507" s="727">
        <v>45162</v>
      </c>
      <c r="M1507" s="803">
        <v>0.58333333333333337</v>
      </c>
      <c r="N1507" s="370">
        <v>1</v>
      </c>
      <c r="O1507" s="184" t="s">
        <v>17</v>
      </c>
      <c r="P1507" s="375" t="s">
        <v>2144</v>
      </c>
      <c r="Q1507" s="746" t="s">
        <v>1441</v>
      </c>
      <c r="R1507" s="171" t="s">
        <v>95</v>
      </c>
      <c r="S1507" s="31" t="s">
        <v>273</v>
      </c>
      <c r="T1507" s="31" t="s">
        <v>273</v>
      </c>
      <c r="U1507" s="31">
        <f>IFERROR(VLOOKUP(CONCATENATE(Tabla1[[#This Row],[Severidad]]," ",Tabla1[[#This Row],[Complejidad]]),Catalogos!E$120:G$128,3,FALSE),"")</f>
        <v>64</v>
      </c>
      <c r="V1507" s="31" t="str">
        <f>IF(Tabla1[[#This Row],[Tiempo solución max (hrs)]]&lt;&gt;"",IF(Tabla1[[#This Row],[Tiempo solución max (hrs)]]&gt;=Tabla1[[#This Row],[Tiempo
(Hrs 00/100)]],"cumple","no cumple"),"")</f>
        <v>cumple</v>
      </c>
      <c r="W1507" s="376" t="s">
        <v>1814</v>
      </c>
      <c r="X1507" s="377" t="str">
        <f t="shared" si="144"/>
        <v>SSI</v>
      </c>
      <c r="Y1507" t="str">
        <f>SUBSTITUTE(Tabla1[[#This Row],[Descripción]],CHAR(10),"    I    ")</f>
        <v>Se documentó el Query 1 de la Funcionalidad 11 en el documento 'PRO-AA-NN-P29-Reporte de Actividades' con el procedimiento FUNC11TURNAFOLIOUNIAD_SOLIXSOLDEPEN_QF11Q1</v>
      </c>
      <c r="Z1507" s="142">
        <f>VLOOKUP(Tabla1[[#This Row],[Perfil]],Catalogos!$B$75:$D$100,3,FALSE)*Tabla1[[#This Row],[Tiempo
(Hrs 00/100)]]*1.16</f>
        <v>696</v>
      </c>
    </row>
    <row r="1508" spans="1:26" ht="15" customHeight="1" x14ac:dyDescent="0.3">
      <c r="A1508" s="373" t="s">
        <v>22</v>
      </c>
      <c r="B1508" s="184" t="s">
        <v>23</v>
      </c>
      <c r="C1508" s="183" t="s">
        <v>257</v>
      </c>
      <c r="D1508" s="179"/>
      <c r="E1508" s="373" t="s">
        <v>408</v>
      </c>
      <c r="F1508" s="373" t="s">
        <v>76</v>
      </c>
      <c r="G1508" s="370" t="s">
        <v>604</v>
      </c>
      <c r="H1508" s="461" t="s">
        <v>2201</v>
      </c>
      <c r="I1508" s="598" t="s">
        <v>2202</v>
      </c>
      <c r="J1508" s="727">
        <v>45162</v>
      </c>
      <c r="K1508" s="803">
        <v>0.58333333333333337</v>
      </c>
      <c r="L1508" s="727">
        <v>45162</v>
      </c>
      <c r="M1508" s="782">
        <v>0.625</v>
      </c>
      <c r="N1508" s="370">
        <v>1</v>
      </c>
      <c r="O1508" s="184" t="s">
        <v>17</v>
      </c>
      <c r="P1508" s="375" t="s">
        <v>2144</v>
      </c>
      <c r="Q1508" s="746" t="s">
        <v>1441</v>
      </c>
      <c r="R1508" s="171" t="s">
        <v>95</v>
      </c>
      <c r="S1508" s="31" t="s">
        <v>273</v>
      </c>
      <c r="T1508" s="31" t="s">
        <v>273</v>
      </c>
      <c r="U1508" s="31">
        <f>IFERROR(VLOOKUP(CONCATENATE(Tabla1[[#This Row],[Severidad]]," ",Tabla1[[#This Row],[Complejidad]]),Catalogos!E$120:G$128,3,FALSE),"")</f>
        <v>64</v>
      </c>
      <c r="V1508" s="31" t="str">
        <f>IF(Tabla1[[#This Row],[Tiempo solución max (hrs)]]&lt;&gt;"",IF(Tabla1[[#This Row],[Tiempo solución max (hrs)]]&gt;=Tabla1[[#This Row],[Tiempo
(Hrs 00/100)]],"cumple","no cumple"),"")</f>
        <v>cumple</v>
      </c>
      <c r="W1508" s="376" t="s">
        <v>1814</v>
      </c>
      <c r="X1508" s="377" t="str">
        <f t="shared" si="144"/>
        <v>SSI</v>
      </c>
      <c r="Y1508" t="str">
        <f>SUBSTITUTE(Tabla1[[#This Row],[Descripción]],CHAR(10),"    I    ")</f>
        <v>Se documentó el Query 2 de la Funcionalidad 11 en el documento 'PRO-AA-NN-P29-Reporte de Actividades' con el procedimiento FUNC11TURNAFOLIOUNIAD_CONFIGPLAZOSO_QF11Q2</v>
      </c>
      <c r="Z1508" s="142">
        <f>VLOOKUP(Tabla1[[#This Row],[Perfil]],Catalogos!$B$75:$D$100,3,FALSE)*Tabla1[[#This Row],[Tiempo
(Hrs 00/100)]]*1.16</f>
        <v>696</v>
      </c>
    </row>
    <row r="1509" spans="1:26" ht="15" customHeight="1" x14ac:dyDescent="0.3">
      <c r="A1509" s="373" t="s">
        <v>22</v>
      </c>
      <c r="B1509" s="184" t="s">
        <v>23</v>
      </c>
      <c r="C1509" s="183" t="s">
        <v>257</v>
      </c>
      <c r="D1509" s="179"/>
      <c r="E1509" s="373" t="s">
        <v>408</v>
      </c>
      <c r="F1509" s="373" t="s">
        <v>76</v>
      </c>
      <c r="G1509" s="370" t="s">
        <v>604</v>
      </c>
      <c r="H1509" s="461" t="s">
        <v>2203</v>
      </c>
      <c r="I1509" s="598" t="s">
        <v>2204</v>
      </c>
      <c r="J1509" s="727">
        <v>45162</v>
      </c>
      <c r="K1509" s="770">
        <v>0.66666666666666663</v>
      </c>
      <c r="L1509" s="727">
        <v>45162</v>
      </c>
      <c r="M1509" s="782">
        <v>0.70833333333333337</v>
      </c>
      <c r="N1509" s="370">
        <v>1</v>
      </c>
      <c r="O1509" s="184" t="s">
        <v>17</v>
      </c>
      <c r="P1509" s="375" t="s">
        <v>2144</v>
      </c>
      <c r="Q1509" s="746" t="s">
        <v>1441</v>
      </c>
      <c r="R1509" s="171" t="s">
        <v>95</v>
      </c>
      <c r="S1509" s="31" t="s">
        <v>273</v>
      </c>
      <c r="T1509" s="31" t="s">
        <v>273</v>
      </c>
      <c r="U1509" s="31">
        <f>IFERROR(VLOOKUP(CONCATENATE(Tabla1[[#This Row],[Severidad]]," ",Tabla1[[#This Row],[Complejidad]]),Catalogos!E$120:G$128,3,FALSE),"")</f>
        <v>64</v>
      </c>
      <c r="V1509" s="31" t="str">
        <f>IF(Tabla1[[#This Row],[Tiempo solución max (hrs)]]&lt;&gt;"",IF(Tabla1[[#This Row],[Tiempo solución max (hrs)]]&gt;=Tabla1[[#This Row],[Tiempo
(Hrs 00/100)]],"cumple","no cumple"),"")</f>
        <v>cumple</v>
      </c>
      <c r="W1509" s="376" t="s">
        <v>1814</v>
      </c>
      <c r="X1509" s="377" t="str">
        <f t="shared" si="144"/>
        <v>SSI</v>
      </c>
      <c r="Y1509" t="str">
        <f>SUBSTITUTE(Tabla1[[#This Row],[Descripción]],CHAR(10),"    I    ")</f>
        <v>Se documentó el Query 3 de la Funcionalidad 11 en el documento 'PRO-AA-NN-P29-Reporte de Actividades' con el procedimiento FUNC11TURNAFOLIOUNIAD_CONFIPROCXORGGTE_QF11Q3</v>
      </c>
      <c r="Z1509" s="142">
        <f>VLOOKUP(Tabla1[[#This Row],[Perfil]],Catalogos!$B$75:$D$100,3,FALSE)*Tabla1[[#This Row],[Tiempo
(Hrs 00/100)]]*1.16</f>
        <v>696</v>
      </c>
    </row>
    <row r="1510" spans="1:26" ht="15" customHeight="1" x14ac:dyDescent="0.3">
      <c r="A1510" s="373" t="s">
        <v>22</v>
      </c>
      <c r="B1510" s="184" t="s">
        <v>23</v>
      </c>
      <c r="C1510" s="183" t="s">
        <v>257</v>
      </c>
      <c r="D1510" s="179"/>
      <c r="E1510" s="373" t="s">
        <v>408</v>
      </c>
      <c r="F1510" s="373" t="s">
        <v>76</v>
      </c>
      <c r="G1510" s="370" t="s">
        <v>604</v>
      </c>
      <c r="H1510" s="461" t="s">
        <v>2205</v>
      </c>
      <c r="I1510" s="598" t="s">
        <v>2206</v>
      </c>
      <c r="J1510" s="727">
        <v>45162</v>
      </c>
      <c r="K1510" s="782">
        <v>0.70833333333333337</v>
      </c>
      <c r="L1510" s="727">
        <v>45162</v>
      </c>
      <c r="M1510" s="782">
        <v>0.72916666666666663</v>
      </c>
      <c r="N1510" s="370">
        <v>0.5</v>
      </c>
      <c r="O1510" s="184" t="s">
        <v>17</v>
      </c>
      <c r="P1510" s="375" t="s">
        <v>2144</v>
      </c>
      <c r="Q1510" s="746" t="s">
        <v>1441</v>
      </c>
      <c r="R1510" s="171" t="s">
        <v>95</v>
      </c>
      <c r="S1510" s="31" t="s">
        <v>273</v>
      </c>
      <c r="T1510" s="31" t="s">
        <v>273</v>
      </c>
      <c r="U1510" s="31">
        <f>IFERROR(VLOOKUP(CONCATENATE(Tabla1[[#This Row],[Severidad]]," ",Tabla1[[#This Row],[Complejidad]]),Catalogos!E$120:G$128,3,FALSE),"")</f>
        <v>64</v>
      </c>
      <c r="V1510" s="31" t="str">
        <f>IF(Tabla1[[#This Row],[Tiempo solución max (hrs)]]&lt;&gt;"",IF(Tabla1[[#This Row],[Tiempo solución max (hrs)]]&gt;=Tabla1[[#This Row],[Tiempo
(Hrs 00/100)]],"cumple","no cumple"),"")</f>
        <v>cumple</v>
      </c>
      <c r="W1510" s="376" t="s">
        <v>1814</v>
      </c>
      <c r="X1510" s="377" t="str">
        <f t="shared" si="144"/>
        <v>SSI</v>
      </c>
      <c r="Y1510" t="str">
        <f>SUBSTITUTE(Tabla1[[#This Row],[Descripción]],CHAR(10),"    I    ")</f>
        <v>Se documentó que para el Query 4 de la Funcionalidad 11 se reutilzá el procedimiento FUNC7DETSOLDASHUTGI_SOLGIXSOLDEPEN_QF7Q4, en el documento 'PRO-AA-NN-P29-Reporte de Actividades'</v>
      </c>
      <c r="Z1510" s="142">
        <f>VLOOKUP(Tabla1[[#This Row],[Perfil]],Catalogos!$B$75:$D$100,3,FALSE)*Tabla1[[#This Row],[Tiempo
(Hrs 00/100)]]*1.16</f>
        <v>348</v>
      </c>
    </row>
    <row r="1511" spans="1:26" ht="15" customHeight="1" x14ac:dyDescent="0.3">
      <c r="A1511" s="373" t="s">
        <v>22</v>
      </c>
      <c r="B1511" s="184" t="s">
        <v>23</v>
      </c>
      <c r="C1511" s="183" t="s">
        <v>257</v>
      </c>
      <c r="D1511" s="179"/>
      <c r="E1511" s="373" t="s">
        <v>408</v>
      </c>
      <c r="F1511" s="373" t="s">
        <v>76</v>
      </c>
      <c r="G1511" s="370" t="s">
        <v>604</v>
      </c>
      <c r="H1511" s="461" t="s">
        <v>2207</v>
      </c>
      <c r="I1511" s="598" t="s">
        <v>2208</v>
      </c>
      <c r="J1511" s="706">
        <v>45162</v>
      </c>
      <c r="K1511" s="782">
        <v>0.72916666666666663</v>
      </c>
      <c r="L1511" s="706">
        <v>45162</v>
      </c>
      <c r="M1511" s="781">
        <v>0.77083333333333337</v>
      </c>
      <c r="N1511" s="370">
        <v>1</v>
      </c>
      <c r="O1511" s="184" t="s">
        <v>17</v>
      </c>
      <c r="P1511" s="264" t="s">
        <v>2144</v>
      </c>
      <c r="Q1511" s="746" t="s">
        <v>1441</v>
      </c>
      <c r="R1511" s="171" t="s">
        <v>95</v>
      </c>
      <c r="S1511" s="31" t="s">
        <v>273</v>
      </c>
      <c r="T1511" s="31" t="s">
        <v>273</v>
      </c>
      <c r="U1511" s="31">
        <f>IFERROR(VLOOKUP(CONCATENATE(Tabla1[[#This Row],[Severidad]]," ",Tabla1[[#This Row],[Complejidad]]),Catalogos!E$120:G$128,3,FALSE),"")</f>
        <v>64</v>
      </c>
      <c r="V1511" s="31" t="str">
        <f>IF(Tabla1[[#This Row],[Tiempo solución max (hrs)]]&lt;&gt;"",IF(Tabla1[[#This Row],[Tiempo solución max (hrs)]]&gt;=Tabla1[[#This Row],[Tiempo
(Hrs 00/100)]],"cumple","no cumple"),"")</f>
        <v>cumple</v>
      </c>
      <c r="W1511" s="376" t="s">
        <v>1814</v>
      </c>
      <c r="X1511" s="377" t="str">
        <f t="shared" si="144"/>
        <v>SSI</v>
      </c>
      <c r="Y1511" t="str">
        <f>SUBSTITUTE(Tabla1[[#This Row],[Descripción]],CHAR(10),"    I    ")</f>
        <v>Se documentó el Query 1 de la Funcionalidad 12 en el documento 'PRO-AA-NN-P29-Reporte de Actividades' con el procedimiento FUNC12DASHBOARDFOLIOPENDRPTAUNIADM_QF12Q1</v>
      </c>
      <c r="Z1511" s="142">
        <f>VLOOKUP(Tabla1[[#This Row],[Perfil]],Catalogos!$B$75:$D$100,3,FALSE)*Tabla1[[#This Row],[Tiempo
(Hrs 00/100)]]*1.16</f>
        <v>696</v>
      </c>
    </row>
    <row r="1512" spans="1:26" ht="15" customHeight="1" x14ac:dyDescent="0.3">
      <c r="A1512" s="373" t="s">
        <v>22</v>
      </c>
      <c r="B1512" s="184" t="s">
        <v>23</v>
      </c>
      <c r="C1512" s="183" t="s">
        <v>257</v>
      </c>
      <c r="D1512" s="179"/>
      <c r="E1512" s="373" t="s">
        <v>408</v>
      </c>
      <c r="F1512" s="373" t="s">
        <v>76</v>
      </c>
      <c r="G1512" s="370" t="s">
        <v>604</v>
      </c>
      <c r="H1512" s="461" t="s">
        <v>2209</v>
      </c>
      <c r="I1512" s="420" t="s">
        <v>2210</v>
      </c>
      <c r="J1512" s="706">
        <v>45162</v>
      </c>
      <c r="K1512" s="781">
        <v>0.77083333333333337</v>
      </c>
      <c r="L1512" s="706">
        <v>45162</v>
      </c>
      <c r="M1512" s="781">
        <v>0.8125</v>
      </c>
      <c r="N1512" s="370">
        <v>1</v>
      </c>
      <c r="O1512" s="184" t="s">
        <v>17</v>
      </c>
      <c r="P1512" s="264" t="s">
        <v>2144</v>
      </c>
      <c r="Q1512" s="746" t="s">
        <v>1441</v>
      </c>
      <c r="R1512" s="171" t="s">
        <v>95</v>
      </c>
      <c r="S1512" s="31" t="s">
        <v>273</v>
      </c>
      <c r="T1512" s="31" t="s">
        <v>273</v>
      </c>
      <c r="U1512" s="31">
        <f>IFERROR(VLOOKUP(CONCATENATE(Tabla1[[#This Row],[Severidad]]," ",Tabla1[[#This Row],[Complejidad]]),Catalogos!E$120:G$128,3,FALSE),"")</f>
        <v>64</v>
      </c>
      <c r="V1512" s="31" t="str">
        <f>IF(Tabla1[[#This Row],[Tiempo solución max (hrs)]]&lt;&gt;"",IF(Tabla1[[#This Row],[Tiempo solución max (hrs)]]&gt;=Tabla1[[#This Row],[Tiempo
(Hrs 00/100)]],"cumple","no cumple"),"")</f>
        <v>cumple</v>
      </c>
      <c r="W1512" s="376" t="s">
        <v>1814</v>
      </c>
      <c r="X1512" s="377" t="str">
        <f t="shared" si="144"/>
        <v>SSI</v>
      </c>
      <c r="Y1512" t="str">
        <f>SUBSTITUTE(Tabla1[[#This Row],[Descripción]],CHAR(10),"    I    ")</f>
        <v>Se documentó el Query 2 de la Funcionalidad 12 en el documento 'PRO-AA-NN-P29-Reporte de Actividades' con el procedimiento FUNC12DASHBOARDFOLIOPENDRPTASEFOLCOMTRANSPA_QF12Q2</v>
      </c>
      <c r="Z1512" s="142">
        <f>VLOOKUP(Tabla1[[#This Row],[Perfil]],Catalogos!$B$75:$D$100,3,FALSE)*Tabla1[[#This Row],[Tiempo
(Hrs 00/100)]]*1.16</f>
        <v>696</v>
      </c>
    </row>
    <row r="1513" spans="1:26" ht="15" customHeight="1" x14ac:dyDescent="0.3">
      <c r="A1513" s="373" t="s">
        <v>22</v>
      </c>
      <c r="B1513" s="184" t="s">
        <v>23</v>
      </c>
      <c r="C1513" s="183" t="s">
        <v>257</v>
      </c>
      <c r="D1513" s="179"/>
      <c r="E1513" s="373" t="s">
        <v>408</v>
      </c>
      <c r="F1513" s="373" t="s">
        <v>76</v>
      </c>
      <c r="G1513" s="370" t="s">
        <v>604</v>
      </c>
      <c r="H1513" s="461" t="s">
        <v>2211</v>
      </c>
      <c r="I1513" s="420" t="s">
        <v>2212</v>
      </c>
      <c r="J1513" s="706">
        <v>45162</v>
      </c>
      <c r="K1513" s="781">
        <v>0.8125</v>
      </c>
      <c r="L1513" s="706">
        <v>45162</v>
      </c>
      <c r="M1513" s="781">
        <v>0.85416666666666663</v>
      </c>
      <c r="N1513" s="370">
        <v>1</v>
      </c>
      <c r="O1513" s="184" t="s">
        <v>17</v>
      </c>
      <c r="P1513" s="264" t="s">
        <v>2144</v>
      </c>
      <c r="Q1513" s="746" t="s">
        <v>1441</v>
      </c>
      <c r="R1513" s="171" t="s">
        <v>95</v>
      </c>
      <c r="S1513" s="31" t="s">
        <v>273</v>
      </c>
      <c r="T1513" s="31" t="s">
        <v>273</v>
      </c>
      <c r="U1513" s="31">
        <f>IFERROR(VLOOKUP(CONCATENATE(Tabla1[[#This Row],[Severidad]]," ",Tabla1[[#This Row],[Complejidad]]),Catalogos!E$120:G$128,3,FALSE),"")</f>
        <v>64</v>
      </c>
      <c r="V1513" s="31" t="str">
        <f>IF(Tabla1[[#This Row],[Tiempo solución max (hrs)]]&lt;&gt;"",IF(Tabla1[[#This Row],[Tiempo solución max (hrs)]]&gt;=Tabla1[[#This Row],[Tiempo
(Hrs 00/100)]],"cumple","no cumple"),"")</f>
        <v>cumple</v>
      </c>
      <c r="W1513" s="376" t="s">
        <v>1814</v>
      </c>
      <c r="X1513" s="377" t="str">
        <f t="shared" si="144"/>
        <v>SSI</v>
      </c>
      <c r="Y1513" t="str">
        <f>SUBSTITUTE(Tabla1[[#This Row],[Descripción]],CHAR(10),"    I    ")</f>
        <v>Se documentó el Query 3 de la Funcionalidad 12 en el documento 'PRO-AA-NN-P29-Reporte de Actividades' con el procedimiento FUNC12DASHBOARDFOLIOPENDRPTASNOTERMIDIATRANS_QF12Q3</v>
      </c>
      <c r="Z1513" s="142">
        <f>VLOOKUP(Tabla1[[#This Row],[Perfil]],Catalogos!$B$75:$D$100,3,FALSE)*Tabla1[[#This Row],[Tiempo
(Hrs 00/100)]]*1.16</f>
        <v>696</v>
      </c>
    </row>
    <row r="1514" spans="1:26" ht="15" customHeight="1" x14ac:dyDescent="0.3">
      <c r="A1514" s="373" t="s">
        <v>22</v>
      </c>
      <c r="B1514" s="184" t="s">
        <v>23</v>
      </c>
      <c r="C1514" s="183" t="s">
        <v>257</v>
      </c>
      <c r="D1514" s="179"/>
      <c r="E1514" s="373" t="s">
        <v>408</v>
      </c>
      <c r="F1514" s="373" t="s">
        <v>76</v>
      </c>
      <c r="G1514" s="370" t="s">
        <v>604</v>
      </c>
      <c r="H1514" s="461" t="s">
        <v>2213</v>
      </c>
      <c r="I1514" s="597" t="s">
        <v>2214</v>
      </c>
      <c r="J1514" s="706">
        <v>45163</v>
      </c>
      <c r="K1514" s="769">
        <v>0.375</v>
      </c>
      <c r="L1514" s="706">
        <v>45163</v>
      </c>
      <c r="M1514" s="781">
        <v>0.41666666666666669</v>
      </c>
      <c r="N1514" s="370">
        <v>1</v>
      </c>
      <c r="O1514" s="184" t="s">
        <v>17</v>
      </c>
      <c r="P1514" s="264" t="s">
        <v>2144</v>
      </c>
      <c r="Q1514" s="746" t="s">
        <v>1441</v>
      </c>
      <c r="R1514" s="171" t="s">
        <v>95</v>
      </c>
      <c r="S1514" s="31" t="s">
        <v>273</v>
      </c>
      <c r="T1514" s="31" t="s">
        <v>273</v>
      </c>
      <c r="U1514" s="31">
        <f>IFERROR(VLOOKUP(CONCATENATE(Tabla1[[#This Row],[Severidad]]," ",Tabla1[[#This Row],[Complejidad]]),Catalogos!E$120:G$128,3,FALSE),"")</f>
        <v>64</v>
      </c>
      <c r="V1514" s="31" t="str">
        <f>IF(Tabla1[[#This Row],[Tiempo solución max (hrs)]]&lt;&gt;"",IF(Tabla1[[#This Row],[Tiempo solución max (hrs)]]&gt;=Tabla1[[#This Row],[Tiempo
(Hrs 00/100)]],"cumple","no cumple"),"")</f>
        <v>cumple</v>
      </c>
      <c r="W1514" s="376" t="s">
        <v>1814</v>
      </c>
      <c r="X1514" s="377" t="str">
        <f t="shared" si="144"/>
        <v>SSI</v>
      </c>
      <c r="Y1514" t="str">
        <f>SUBSTITUTE(Tabla1[[#This Row],[Descripción]],CHAR(10),"    I    ")</f>
        <v>Se documentó el Query 4 de la Funcionalidad 12 en el documento 'PRO-AA-NN-P29-Reporte de Actividades' con el procedimiento FUNC12DASHBOARDFOLIOPENDRPTASLTADIAINHABIL_QF12Q4</v>
      </c>
      <c r="Z1514" s="142">
        <f>VLOOKUP(Tabla1[[#This Row],[Perfil]],Catalogos!$B$75:$D$100,3,FALSE)*Tabla1[[#This Row],[Tiempo
(Hrs 00/100)]]*1.16</f>
        <v>696</v>
      </c>
    </row>
    <row r="1515" spans="1:26" ht="15" customHeight="1" x14ac:dyDescent="0.3">
      <c r="A1515" s="373" t="s">
        <v>22</v>
      </c>
      <c r="B1515" s="184" t="s">
        <v>23</v>
      </c>
      <c r="C1515" s="183" t="s">
        <v>257</v>
      </c>
      <c r="D1515" s="179"/>
      <c r="E1515" s="373" t="s">
        <v>408</v>
      </c>
      <c r="F1515" s="373" t="s">
        <v>76</v>
      </c>
      <c r="G1515" s="370" t="s">
        <v>604</v>
      </c>
      <c r="H1515" s="461" t="s">
        <v>2215</v>
      </c>
      <c r="I1515" s="598" t="s">
        <v>2216</v>
      </c>
      <c r="J1515" s="706">
        <v>45163</v>
      </c>
      <c r="K1515" s="781">
        <v>0.41666666666666669</v>
      </c>
      <c r="L1515" s="706">
        <v>45163</v>
      </c>
      <c r="M1515" s="781">
        <v>0.4375</v>
      </c>
      <c r="N1515" s="370">
        <v>0.5</v>
      </c>
      <c r="O1515" s="184" t="s">
        <v>17</v>
      </c>
      <c r="P1515" s="264" t="s">
        <v>2144</v>
      </c>
      <c r="Q1515" s="746" t="s">
        <v>1441</v>
      </c>
      <c r="R1515" s="171" t="s">
        <v>95</v>
      </c>
      <c r="S1515" s="31" t="s">
        <v>273</v>
      </c>
      <c r="T1515" s="31" t="s">
        <v>273</v>
      </c>
      <c r="U1515" s="31">
        <f>IFERROR(VLOOKUP(CONCATENATE(Tabla1[[#This Row],[Severidad]]," ",Tabla1[[#This Row],[Complejidad]]),Catalogos!E$120:G$128,3,FALSE),"")</f>
        <v>64</v>
      </c>
      <c r="V1515" s="31" t="str">
        <f>IF(Tabla1[[#This Row],[Tiempo solución max (hrs)]]&lt;&gt;"",IF(Tabla1[[#This Row],[Tiempo solución max (hrs)]]&gt;=Tabla1[[#This Row],[Tiempo
(Hrs 00/100)]],"cumple","no cumple"),"")</f>
        <v>cumple</v>
      </c>
      <c r="W1515" s="376" t="s">
        <v>1814</v>
      </c>
      <c r="X1515" s="377" t="str">
        <f t="shared" si="144"/>
        <v>SSI</v>
      </c>
      <c r="Y1515" t="str">
        <f>SUBSTITUTE(Tabla1[[#This Row],[Descripción]],CHAR(10),"    I    ")</f>
        <v>Se documentó que para el Query 1 de la Funcionalidad 13 se reutilzá el procedimiento FUNC7DETSOLDASHUTGI_SOLGIXSOLDEPEN_QF7Q4, en el documento 'PRO-AA-NN-P29-Reporte de Actividades'</v>
      </c>
      <c r="Z1515" s="142">
        <f>VLOOKUP(Tabla1[[#This Row],[Perfil]],Catalogos!$B$75:$D$100,3,FALSE)*Tabla1[[#This Row],[Tiempo
(Hrs 00/100)]]*1.16</f>
        <v>348</v>
      </c>
    </row>
    <row r="1516" spans="1:26" ht="15" customHeight="1" x14ac:dyDescent="0.3">
      <c r="A1516" s="373" t="s">
        <v>22</v>
      </c>
      <c r="B1516" s="184" t="s">
        <v>23</v>
      </c>
      <c r="C1516" s="183" t="s">
        <v>257</v>
      </c>
      <c r="D1516" s="179"/>
      <c r="E1516" s="373" t="s">
        <v>408</v>
      </c>
      <c r="F1516" s="373" t="s">
        <v>76</v>
      </c>
      <c r="G1516" s="370" t="s">
        <v>604</v>
      </c>
      <c r="H1516" s="461" t="s">
        <v>2217</v>
      </c>
      <c r="I1516" s="598" t="s">
        <v>2218</v>
      </c>
      <c r="J1516" s="706">
        <v>45163</v>
      </c>
      <c r="K1516" s="781">
        <v>0.4375</v>
      </c>
      <c r="L1516" s="706">
        <v>45163</v>
      </c>
      <c r="M1516" s="781">
        <v>0.45833333333333331</v>
      </c>
      <c r="N1516" s="370">
        <v>0.5</v>
      </c>
      <c r="O1516" s="184" t="s">
        <v>17</v>
      </c>
      <c r="P1516" s="264" t="s">
        <v>2144</v>
      </c>
      <c r="Q1516" s="746" t="s">
        <v>1441</v>
      </c>
      <c r="R1516" s="171" t="s">
        <v>95</v>
      </c>
      <c r="S1516" s="31" t="s">
        <v>273</v>
      </c>
      <c r="T1516" s="31" t="s">
        <v>273</v>
      </c>
      <c r="U1516" s="31">
        <f>IFERROR(VLOOKUP(CONCATENATE(Tabla1[[#This Row],[Severidad]]," ",Tabla1[[#This Row],[Complejidad]]),Catalogos!E$120:G$128,3,FALSE),"")</f>
        <v>64</v>
      </c>
      <c r="V1516" s="31" t="str">
        <f>IF(Tabla1[[#This Row],[Tiempo solución max (hrs)]]&lt;&gt;"",IF(Tabla1[[#This Row],[Tiempo solución max (hrs)]]&gt;=Tabla1[[#This Row],[Tiempo
(Hrs 00/100)]],"cumple","no cumple"),"")</f>
        <v>cumple</v>
      </c>
      <c r="W1516" s="376" t="s">
        <v>1814</v>
      </c>
      <c r="X1516" s="377" t="str">
        <f t="shared" si="144"/>
        <v>SSI</v>
      </c>
      <c r="Y1516" t="str">
        <f>SUBSTITUTE(Tabla1[[#This Row],[Descripción]],CHAR(10),"    I    ")</f>
        <v>Se documentó que para el Query 2 de la Funcionalidad 13 se reutilzá el procedimiento FUNC12DASHBOARDFOLIOPENDRPTASEFOLCOMTRANSPA_QF12Q2, en el documento 'PRO-AA-NN-P29-Reporte de Actividades'</v>
      </c>
      <c r="Z1516" s="142">
        <f>VLOOKUP(Tabla1[[#This Row],[Perfil]],Catalogos!$B$75:$D$100,3,FALSE)*Tabla1[[#This Row],[Tiempo
(Hrs 00/100)]]*1.16</f>
        <v>348</v>
      </c>
    </row>
    <row r="1517" spans="1:26" ht="15" customHeight="1" x14ac:dyDescent="0.3">
      <c r="A1517" s="373" t="s">
        <v>22</v>
      </c>
      <c r="B1517" s="184" t="s">
        <v>23</v>
      </c>
      <c r="C1517" s="183" t="s">
        <v>257</v>
      </c>
      <c r="D1517" s="179"/>
      <c r="E1517" s="373" t="s">
        <v>408</v>
      </c>
      <c r="F1517" s="373" t="s">
        <v>76</v>
      </c>
      <c r="G1517" s="370" t="s">
        <v>604</v>
      </c>
      <c r="H1517" s="461" t="s">
        <v>2219</v>
      </c>
      <c r="I1517" s="598" t="s">
        <v>2220</v>
      </c>
      <c r="J1517" s="706">
        <v>45163</v>
      </c>
      <c r="K1517" s="781">
        <v>0.45833333333333331</v>
      </c>
      <c r="L1517" s="706">
        <v>45163</v>
      </c>
      <c r="M1517" s="781">
        <v>0.5</v>
      </c>
      <c r="N1517" s="370">
        <v>1</v>
      </c>
      <c r="O1517" s="184" t="s">
        <v>17</v>
      </c>
      <c r="P1517" s="264" t="s">
        <v>2144</v>
      </c>
      <c r="Q1517" s="746" t="s">
        <v>1441</v>
      </c>
      <c r="R1517" s="171" t="s">
        <v>95</v>
      </c>
      <c r="S1517" s="31" t="s">
        <v>273</v>
      </c>
      <c r="T1517" s="31" t="s">
        <v>273</v>
      </c>
      <c r="U1517" s="31">
        <f>IFERROR(VLOOKUP(CONCATENATE(Tabla1[[#This Row],[Severidad]]," ",Tabla1[[#This Row],[Complejidad]]),Catalogos!E$120:G$128,3,FALSE),"")</f>
        <v>64</v>
      </c>
      <c r="V1517" s="31" t="str">
        <f>IF(Tabla1[[#This Row],[Tiempo solución max (hrs)]]&lt;&gt;"",IF(Tabla1[[#This Row],[Tiempo solución max (hrs)]]&gt;=Tabla1[[#This Row],[Tiempo
(Hrs 00/100)]],"cumple","no cumple"),"")</f>
        <v>cumple</v>
      </c>
      <c r="W1517" s="376" t="s">
        <v>1814</v>
      </c>
      <c r="X1517" s="377" t="str">
        <f t="shared" si="144"/>
        <v>SSI</v>
      </c>
      <c r="Y1517" t="str">
        <f>SUBSTITUTE(Tabla1[[#This Row],[Descripción]],CHAR(10),"    I    ")</f>
        <v>Se documentó el Query 3 de la Funcionalidad 13 en el documento 'PRO-AA-NN-P29-Reporte de Actividades' con el procedimiento FUNC13SEGUISUBFOLIOUAADJUNTCFLUJOSEGUISUFL_QF13Q3</v>
      </c>
      <c r="Z1517" s="142">
        <f>VLOOKUP(Tabla1[[#This Row],[Perfil]],Catalogos!$B$75:$D$100,3,FALSE)*Tabla1[[#This Row],[Tiempo
(Hrs 00/100)]]*1.16</f>
        <v>696</v>
      </c>
    </row>
    <row r="1518" spans="1:26" ht="15" customHeight="1" x14ac:dyDescent="0.3">
      <c r="A1518" s="373" t="s">
        <v>22</v>
      </c>
      <c r="B1518" s="184" t="s">
        <v>23</v>
      </c>
      <c r="C1518" s="183" t="s">
        <v>257</v>
      </c>
      <c r="D1518" s="370"/>
      <c r="E1518" s="373" t="s">
        <v>408</v>
      </c>
      <c r="F1518" s="373" t="s">
        <v>76</v>
      </c>
      <c r="G1518" s="370" t="s">
        <v>604</v>
      </c>
      <c r="H1518" s="461" t="s">
        <v>2221</v>
      </c>
      <c r="I1518" s="598" t="s">
        <v>2222</v>
      </c>
      <c r="J1518" s="706">
        <v>45163</v>
      </c>
      <c r="K1518" s="781">
        <v>0.5</v>
      </c>
      <c r="L1518" s="706">
        <v>45163</v>
      </c>
      <c r="M1518" s="781">
        <v>0.52083333333333337</v>
      </c>
      <c r="N1518" s="370">
        <v>0.5</v>
      </c>
      <c r="O1518" s="184" t="s">
        <v>17</v>
      </c>
      <c r="P1518" s="375" t="s">
        <v>2144</v>
      </c>
      <c r="Q1518" s="746" t="s">
        <v>1441</v>
      </c>
      <c r="R1518" s="171" t="s">
        <v>95</v>
      </c>
      <c r="S1518" s="31" t="s">
        <v>273</v>
      </c>
      <c r="T1518" s="31" t="s">
        <v>273</v>
      </c>
      <c r="U1518" s="31">
        <f>IFERROR(VLOOKUP(CONCATENATE(Tabla1[[#This Row],[Severidad]]," ",Tabla1[[#This Row],[Complejidad]]),Catalogos!E$120:G$128,3,FALSE),"")</f>
        <v>64</v>
      </c>
      <c r="V1518" s="31" t="str">
        <f>IF(Tabla1[[#This Row],[Tiempo solución max (hrs)]]&lt;&gt;"",IF(Tabla1[[#This Row],[Tiempo solución max (hrs)]]&gt;=Tabla1[[#This Row],[Tiempo
(Hrs 00/100)]],"cumple","no cumple"),"")</f>
        <v>cumple</v>
      </c>
      <c r="W1518" s="376" t="s">
        <v>1814</v>
      </c>
      <c r="X1518" s="377" t="str">
        <f t="shared" si="144"/>
        <v>SSI</v>
      </c>
      <c r="Y1518" t="str">
        <f>SUBSTITUTE(Tabla1[[#This Row],[Descripción]],CHAR(10),"    I    ")</f>
        <v>Se documentó que para el Query 1 de la Funcionalidad 14 se reutilzá el procedimiento FUNC11TURNAFOLIOUNIAD_SOLIXSOLDEPEN_QF11Q1, en el documento 'PRO-AA-NN-P29-Reporte de Actividades'</v>
      </c>
      <c r="Z1518" s="142">
        <f>VLOOKUP(Tabla1[[#This Row],[Perfil]],Catalogos!$B$75:$D$100,3,FALSE)*Tabla1[[#This Row],[Tiempo
(Hrs 00/100)]]*1.16</f>
        <v>348</v>
      </c>
    </row>
    <row r="1519" spans="1:26" ht="15" customHeight="1" x14ac:dyDescent="0.3">
      <c r="A1519" s="373" t="s">
        <v>22</v>
      </c>
      <c r="B1519" s="184" t="s">
        <v>23</v>
      </c>
      <c r="C1519" s="183" t="s">
        <v>257</v>
      </c>
      <c r="D1519" s="370"/>
      <c r="E1519" s="373" t="s">
        <v>408</v>
      </c>
      <c r="F1519" s="373" t="s">
        <v>76</v>
      </c>
      <c r="G1519" s="370" t="s">
        <v>604</v>
      </c>
      <c r="H1519" s="461" t="s">
        <v>2223</v>
      </c>
      <c r="I1519" s="420" t="s">
        <v>2224</v>
      </c>
      <c r="J1519" s="706">
        <v>45163</v>
      </c>
      <c r="K1519" s="781">
        <v>0.52083333333333337</v>
      </c>
      <c r="L1519" s="706">
        <v>45163</v>
      </c>
      <c r="M1519" s="781">
        <v>0.54166666666666663</v>
      </c>
      <c r="N1519" s="370">
        <v>0.5</v>
      </c>
      <c r="O1519" s="184" t="s">
        <v>17</v>
      </c>
      <c r="P1519" s="375" t="s">
        <v>2144</v>
      </c>
      <c r="Q1519" s="746" t="s">
        <v>1441</v>
      </c>
      <c r="R1519" s="171" t="s">
        <v>95</v>
      </c>
      <c r="S1519" s="31" t="s">
        <v>273</v>
      </c>
      <c r="T1519" s="31" t="s">
        <v>273</v>
      </c>
      <c r="U1519" s="31">
        <f>IFERROR(VLOOKUP(CONCATENATE(Tabla1[[#This Row],[Severidad]]," ",Tabla1[[#This Row],[Complejidad]]),Catalogos!E$120:G$128,3,FALSE),"")</f>
        <v>64</v>
      </c>
      <c r="V1519" s="31" t="str">
        <f>IF(Tabla1[[#This Row],[Tiempo solución max (hrs)]]&lt;&gt;"",IF(Tabla1[[#This Row],[Tiempo solución max (hrs)]]&gt;=Tabla1[[#This Row],[Tiempo
(Hrs 00/100)]],"cumple","no cumple"),"")</f>
        <v>cumple</v>
      </c>
      <c r="W1519" s="376" t="s">
        <v>1814</v>
      </c>
      <c r="X1519" s="377" t="str">
        <f t="shared" si="144"/>
        <v>SSI</v>
      </c>
      <c r="Y1519" t="str">
        <f>SUBSTITUTE(Tabla1[[#This Row],[Descripción]],CHAR(10),"    I    ")</f>
        <v>Se documentó que para el Query 2 de la Funcionalidad 14 se reutilzá el procedimiento FUNC12DASHBOARDFOLIOPENDRPTASEFOLCOMTRANSPA_QF12Q2, en el documento 'PRO-AA-NN-P29-Reporte de Actividades'</v>
      </c>
      <c r="Z1519" s="142">
        <f>VLOOKUP(Tabla1[[#This Row],[Perfil]],Catalogos!$B$75:$D$100,3,FALSE)*Tabla1[[#This Row],[Tiempo
(Hrs 00/100)]]*1.16</f>
        <v>348</v>
      </c>
    </row>
    <row r="1520" spans="1:26" ht="15" customHeight="1" x14ac:dyDescent="0.3">
      <c r="A1520" s="373" t="s">
        <v>22</v>
      </c>
      <c r="B1520" s="184" t="s">
        <v>23</v>
      </c>
      <c r="C1520" s="183" t="s">
        <v>257</v>
      </c>
      <c r="D1520" s="370"/>
      <c r="E1520" s="373" t="s">
        <v>408</v>
      </c>
      <c r="F1520" s="373" t="s">
        <v>76</v>
      </c>
      <c r="G1520" s="370" t="s">
        <v>604</v>
      </c>
      <c r="H1520" s="461" t="s">
        <v>2225</v>
      </c>
      <c r="I1520" s="538" t="s">
        <v>2226</v>
      </c>
      <c r="J1520" s="706">
        <v>45163</v>
      </c>
      <c r="K1520" s="781">
        <v>0.54166666666666663</v>
      </c>
      <c r="L1520" s="706">
        <v>45163</v>
      </c>
      <c r="M1520" s="781">
        <v>0.5625</v>
      </c>
      <c r="N1520" s="370">
        <v>0.5</v>
      </c>
      <c r="O1520" s="184" t="s">
        <v>17</v>
      </c>
      <c r="P1520" s="375" t="s">
        <v>2144</v>
      </c>
      <c r="Q1520" s="746" t="s">
        <v>1441</v>
      </c>
      <c r="R1520" s="171" t="s">
        <v>95</v>
      </c>
      <c r="S1520" s="31" t="s">
        <v>273</v>
      </c>
      <c r="T1520" s="31" t="s">
        <v>273</v>
      </c>
      <c r="U1520" s="31">
        <f>IFERROR(VLOOKUP(CONCATENATE(Tabla1[[#This Row],[Severidad]]," ",Tabla1[[#This Row],[Complejidad]]),Catalogos!E$120:G$128,3,FALSE),"")</f>
        <v>64</v>
      </c>
      <c r="V1520" s="31" t="str">
        <f>IF(Tabla1[[#This Row],[Tiempo solución max (hrs)]]&lt;&gt;"",IF(Tabla1[[#This Row],[Tiempo solución max (hrs)]]&gt;=Tabla1[[#This Row],[Tiempo
(Hrs 00/100)]],"cumple","no cumple"),"")</f>
        <v>cumple</v>
      </c>
      <c r="W1520" s="376" t="s">
        <v>1814</v>
      </c>
      <c r="X1520" s="377" t="str">
        <f t="shared" si="144"/>
        <v>SSI</v>
      </c>
      <c r="Y1520" t="str">
        <f>SUBSTITUTE(Tabla1[[#This Row],[Descripción]],CHAR(10),"    I    ")</f>
        <v>Se documentó que para el Query 3 de la Funcionalidad 14 se reutilzá el procedimiento FUNC11TURNAFOLIOUNIAD_SOLIXSOLDEPEN_QF11Q1, en el documento 'PRO-AA-NN-P29-Reporte de Actividades'</v>
      </c>
      <c r="Z1520" s="142">
        <f>VLOOKUP(Tabla1[[#This Row],[Perfil]],Catalogos!$B$75:$D$100,3,FALSE)*Tabla1[[#This Row],[Tiempo
(Hrs 00/100)]]*1.16</f>
        <v>348</v>
      </c>
    </row>
    <row r="1521" spans="1:26" ht="15" customHeight="1" x14ac:dyDescent="0.3">
      <c r="A1521" s="373" t="s">
        <v>22</v>
      </c>
      <c r="B1521" s="184" t="s">
        <v>23</v>
      </c>
      <c r="C1521" s="183" t="s">
        <v>257</v>
      </c>
      <c r="D1521" s="370"/>
      <c r="E1521" s="373" t="s">
        <v>408</v>
      </c>
      <c r="F1521" s="373" t="s">
        <v>76</v>
      </c>
      <c r="G1521" s="370" t="s">
        <v>604</v>
      </c>
      <c r="H1521" s="461" t="s">
        <v>2227</v>
      </c>
      <c r="I1521" s="420" t="s">
        <v>2228</v>
      </c>
      <c r="J1521" s="706">
        <v>45163</v>
      </c>
      <c r="K1521" s="781">
        <v>0.5625</v>
      </c>
      <c r="L1521" s="706">
        <v>45163</v>
      </c>
      <c r="M1521" s="781">
        <v>0.58333333333333337</v>
      </c>
      <c r="N1521" s="370">
        <v>0.5</v>
      </c>
      <c r="O1521" s="184" t="s">
        <v>17</v>
      </c>
      <c r="P1521" s="375" t="s">
        <v>2144</v>
      </c>
      <c r="Q1521" s="746" t="s">
        <v>1441</v>
      </c>
      <c r="R1521" s="171" t="s">
        <v>95</v>
      </c>
      <c r="S1521" s="31" t="s">
        <v>273</v>
      </c>
      <c r="T1521" s="31" t="s">
        <v>273</v>
      </c>
      <c r="U1521" s="31">
        <f>IFERROR(VLOOKUP(CONCATENATE(Tabla1[[#This Row],[Severidad]]," ",Tabla1[[#This Row],[Complejidad]]),Catalogos!E$120:G$128,3,FALSE),"")</f>
        <v>64</v>
      </c>
      <c r="V1521" s="31" t="str">
        <f>IF(Tabla1[[#This Row],[Tiempo solución max (hrs)]]&lt;&gt;"",IF(Tabla1[[#This Row],[Tiempo solución max (hrs)]]&gt;=Tabla1[[#This Row],[Tiempo
(Hrs 00/100)]],"cumple","no cumple"),"")</f>
        <v>cumple</v>
      </c>
      <c r="W1521" s="376" t="s">
        <v>1814</v>
      </c>
      <c r="X1521" s="377" t="str">
        <f t="shared" si="144"/>
        <v>SSI</v>
      </c>
      <c r="Y1521" t="str">
        <f>SUBSTITUTE(Tabla1[[#This Row],[Descripción]],CHAR(10),"    I    ")</f>
        <v>Se documentó el Query 1 de la Funcionalidad 15 en el documento 'PRO-AA-NN-P29-Reporte de Actividades' con el procedimiento FUNC15DASHSOLASIGXUTSOLPENXCONTUA_QF15Q1</v>
      </c>
      <c r="Z1521" s="142">
        <f>VLOOKUP(Tabla1[[#This Row],[Perfil]],Catalogos!$B$75:$D$100,3,FALSE)*Tabla1[[#This Row],[Tiempo
(Hrs 00/100)]]*1.16</f>
        <v>348</v>
      </c>
    </row>
    <row r="1522" spans="1:26" ht="15" customHeight="1" x14ac:dyDescent="0.3">
      <c r="A1522" s="373" t="s">
        <v>22</v>
      </c>
      <c r="B1522" s="184" t="s">
        <v>23</v>
      </c>
      <c r="C1522" s="183" t="s">
        <v>257</v>
      </c>
      <c r="D1522" s="370"/>
      <c r="E1522" s="373" t="s">
        <v>408</v>
      </c>
      <c r="F1522" s="373" t="s">
        <v>76</v>
      </c>
      <c r="G1522" s="370" t="s">
        <v>604</v>
      </c>
      <c r="H1522" s="461" t="s">
        <v>2229</v>
      </c>
      <c r="I1522" s="420" t="s">
        <v>2230</v>
      </c>
      <c r="J1522" s="706">
        <v>45163</v>
      </c>
      <c r="K1522" s="781">
        <v>0.58333333333333337</v>
      </c>
      <c r="L1522" s="706">
        <v>45163</v>
      </c>
      <c r="M1522" s="781">
        <v>0.60416666666666663</v>
      </c>
      <c r="N1522" s="370">
        <v>0.5</v>
      </c>
      <c r="O1522" s="184" t="s">
        <v>17</v>
      </c>
      <c r="P1522" s="375" t="s">
        <v>2144</v>
      </c>
      <c r="Q1522" s="746" t="s">
        <v>1441</v>
      </c>
      <c r="R1522" s="171" t="s">
        <v>95</v>
      </c>
      <c r="S1522" s="31" t="s">
        <v>273</v>
      </c>
      <c r="T1522" s="31" t="s">
        <v>273</v>
      </c>
      <c r="U1522" s="31">
        <f>IFERROR(VLOOKUP(CONCATENATE(Tabla1[[#This Row],[Severidad]]," ",Tabla1[[#This Row],[Complejidad]]),Catalogos!E$120:G$128,3,FALSE),"")</f>
        <v>64</v>
      </c>
      <c r="V1522" s="31" t="str">
        <f>IF(Tabla1[[#This Row],[Tiempo solución max (hrs)]]&lt;&gt;"",IF(Tabla1[[#This Row],[Tiempo solución max (hrs)]]&gt;=Tabla1[[#This Row],[Tiempo
(Hrs 00/100)]],"cumple","no cumple"),"")</f>
        <v>cumple</v>
      </c>
      <c r="W1522" s="376" t="s">
        <v>1814</v>
      </c>
      <c r="X1522" s="377" t="str">
        <f t="shared" si="144"/>
        <v>SSI</v>
      </c>
      <c r="Y1522" t="str">
        <f>SUBSTITUTE(Tabla1[[#This Row],[Descripción]],CHAR(10),"    I    ")</f>
        <v>Se documentó que para el Query 2 de la Funcionalidad 15 se reutilzá el procedimiento FUNC7DETSOLDASHUTGI_SOLGIXSOLDEPEN_QF7Q4, en el documento 'PRO-AA-NN-P29-Reporte de Actividades'</v>
      </c>
      <c r="Z1522" s="142">
        <f>VLOOKUP(Tabla1[[#This Row],[Perfil]],Catalogos!$B$75:$D$100,3,FALSE)*Tabla1[[#This Row],[Tiempo
(Hrs 00/100)]]*1.16</f>
        <v>348</v>
      </c>
    </row>
    <row r="1523" spans="1:26" ht="15" customHeight="1" x14ac:dyDescent="0.3">
      <c r="A1523" s="373" t="s">
        <v>22</v>
      </c>
      <c r="B1523" s="184" t="s">
        <v>23</v>
      </c>
      <c r="C1523" s="183" t="s">
        <v>257</v>
      </c>
      <c r="D1523" s="373"/>
      <c r="E1523" s="373" t="s">
        <v>408</v>
      </c>
      <c r="F1523" s="373" t="s">
        <v>76</v>
      </c>
      <c r="G1523" s="370" t="s">
        <v>604</v>
      </c>
      <c r="H1523" s="461" t="s">
        <v>2231</v>
      </c>
      <c r="I1523" s="538" t="s">
        <v>2232</v>
      </c>
      <c r="J1523" s="706">
        <v>45163</v>
      </c>
      <c r="K1523" s="781">
        <v>0.60416666666666663</v>
      </c>
      <c r="L1523" s="706">
        <v>45163</v>
      </c>
      <c r="M1523" s="781">
        <v>0.625</v>
      </c>
      <c r="N1523" s="370">
        <v>0.5</v>
      </c>
      <c r="O1523" s="184" t="s">
        <v>17</v>
      </c>
      <c r="P1523" s="375" t="s">
        <v>2144</v>
      </c>
      <c r="Q1523" s="746" t="s">
        <v>1441</v>
      </c>
      <c r="R1523" s="171" t="s">
        <v>95</v>
      </c>
      <c r="S1523" s="31" t="s">
        <v>273</v>
      </c>
      <c r="T1523" s="31" t="s">
        <v>273</v>
      </c>
      <c r="U1523" s="31">
        <f>IFERROR(VLOOKUP(CONCATENATE(Tabla1[[#This Row],[Severidad]]," ",Tabla1[[#This Row],[Complejidad]]),Catalogos!E$120:G$128,3,FALSE),"")</f>
        <v>64</v>
      </c>
      <c r="V1523" s="31" t="str">
        <f>IF(Tabla1[[#This Row],[Tiempo solución max (hrs)]]&lt;&gt;"",IF(Tabla1[[#This Row],[Tiempo solución max (hrs)]]&gt;=Tabla1[[#This Row],[Tiempo
(Hrs 00/100)]],"cumple","no cumple"),"")</f>
        <v>cumple</v>
      </c>
      <c r="W1523" s="376" t="s">
        <v>1814</v>
      </c>
      <c r="X1523" s="377" t="str">
        <f t="shared" si="144"/>
        <v>SSI</v>
      </c>
      <c r="Y1523" t="str">
        <f>SUBSTITUTE(Tabla1[[#This Row],[Descripción]],CHAR(10),"    I    ")</f>
        <v>Se documentó que para el Query 3 de la Funcionalidad 15 se reutilzá el procedimiento FUNC12DASHBOARDFOLIOPENDRPTASNOTERMIDIATRANS_QF12Q3, en el documento 'PRO-AA-NN-P29-Reporte de Actividades'</v>
      </c>
      <c r="Z1523" s="142">
        <f>VLOOKUP(Tabla1[[#This Row],[Perfil]],Catalogos!$B$75:$D$100,3,FALSE)*Tabla1[[#This Row],[Tiempo
(Hrs 00/100)]]*1.16</f>
        <v>348</v>
      </c>
    </row>
    <row r="1524" spans="1:26" ht="15" customHeight="1" x14ac:dyDescent="0.3">
      <c r="A1524" s="373" t="s">
        <v>22</v>
      </c>
      <c r="B1524" s="184" t="s">
        <v>23</v>
      </c>
      <c r="C1524" s="183" t="s">
        <v>257</v>
      </c>
      <c r="D1524" s="373"/>
      <c r="E1524" s="373" t="s">
        <v>408</v>
      </c>
      <c r="F1524" s="373" t="s">
        <v>76</v>
      </c>
      <c r="G1524" s="370" t="s">
        <v>604</v>
      </c>
      <c r="H1524" s="461" t="s">
        <v>2233</v>
      </c>
      <c r="I1524" s="538" t="s">
        <v>2234</v>
      </c>
      <c r="J1524" s="706">
        <v>45163</v>
      </c>
      <c r="K1524" s="769">
        <v>0.66666666666666663</v>
      </c>
      <c r="L1524" s="706">
        <v>45163</v>
      </c>
      <c r="M1524" s="781">
        <v>0.6875</v>
      </c>
      <c r="N1524" s="373">
        <v>0.5</v>
      </c>
      <c r="O1524" s="184" t="s">
        <v>17</v>
      </c>
      <c r="P1524" s="375" t="s">
        <v>2144</v>
      </c>
      <c r="Q1524" s="746" t="s">
        <v>1441</v>
      </c>
      <c r="R1524" s="171" t="s">
        <v>95</v>
      </c>
      <c r="S1524" s="31" t="s">
        <v>273</v>
      </c>
      <c r="T1524" s="31" t="s">
        <v>273</v>
      </c>
      <c r="U1524" s="31">
        <f>IFERROR(VLOOKUP(CONCATENATE(Tabla1[[#This Row],[Severidad]]," ",Tabla1[[#This Row],[Complejidad]]),Catalogos!E$120:G$128,3,FALSE),"")</f>
        <v>64</v>
      </c>
      <c r="V1524" s="31" t="str">
        <f>IF(Tabla1[[#This Row],[Tiempo solución max (hrs)]]&lt;&gt;"",IF(Tabla1[[#This Row],[Tiempo solución max (hrs)]]&gt;=Tabla1[[#This Row],[Tiempo
(Hrs 00/100)]],"cumple","no cumple"),"")</f>
        <v>cumple</v>
      </c>
      <c r="W1524" s="376" t="s">
        <v>1814</v>
      </c>
      <c r="X1524" s="377" t="str">
        <f t="shared" si="144"/>
        <v>SSI</v>
      </c>
      <c r="Y1524" t="str">
        <f>SUBSTITUTE(Tabla1[[#This Row],[Descripción]],CHAR(10),"    I    ")</f>
        <v>Se documentó que para el Query 4 de la Funcionalidad 15 se reutilzá el procedimiento FUNC12DASHBOARDFOLIOPENDRPTASLTADIAINHABIL_QF12Q4’, en el documento 'PRO-AA-NN-P29-Reporte de Actividades'</v>
      </c>
      <c r="Z1524" s="142">
        <f>VLOOKUP(Tabla1[[#This Row],[Perfil]],Catalogos!$B$75:$D$100,3,FALSE)*Tabla1[[#This Row],[Tiempo
(Hrs 00/100)]]*1.16</f>
        <v>348</v>
      </c>
    </row>
    <row r="1525" spans="1:26" ht="15" customHeight="1" x14ac:dyDescent="0.3">
      <c r="A1525" s="373" t="s">
        <v>22</v>
      </c>
      <c r="B1525" s="184" t="s">
        <v>23</v>
      </c>
      <c r="C1525" s="183" t="s">
        <v>257</v>
      </c>
      <c r="D1525" s="373"/>
      <c r="E1525" s="373" t="s">
        <v>408</v>
      </c>
      <c r="F1525" s="373" t="s">
        <v>76</v>
      </c>
      <c r="G1525" s="370" t="s">
        <v>604</v>
      </c>
      <c r="H1525" s="461" t="s">
        <v>2235</v>
      </c>
      <c r="I1525" s="467" t="s">
        <v>2236</v>
      </c>
      <c r="J1525" s="706">
        <v>45163</v>
      </c>
      <c r="K1525" s="781">
        <v>0.6875</v>
      </c>
      <c r="L1525" s="706">
        <v>45163</v>
      </c>
      <c r="M1525" s="781">
        <v>0.70833333333333337</v>
      </c>
      <c r="N1525" s="373">
        <v>0.5</v>
      </c>
      <c r="O1525" s="184" t="s">
        <v>17</v>
      </c>
      <c r="P1525" s="375" t="s">
        <v>2144</v>
      </c>
      <c r="Q1525" s="746" t="s">
        <v>1441</v>
      </c>
      <c r="R1525" s="171" t="s">
        <v>95</v>
      </c>
      <c r="S1525" s="31" t="s">
        <v>273</v>
      </c>
      <c r="T1525" s="31" t="s">
        <v>273</v>
      </c>
      <c r="U1525" s="31">
        <f>IFERROR(VLOOKUP(CONCATENATE(Tabla1[[#This Row],[Severidad]]," ",Tabla1[[#This Row],[Complejidad]]),Catalogos!E$120:G$128,3,FALSE),"")</f>
        <v>64</v>
      </c>
      <c r="V1525" s="31" t="str">
        <f>IF(Tabla1[[#This Row],[Tiempo solución max (hrs)]]&lt;&gt;"",IF(Tabla1[[#This Row],[Tiempo solución max (hrs)]]&gt;=Tabla1[[#This Row],[Tiempo
(Hrs 00/100)]],"cumple","no cumple"),"")</f>
        <v>cumple</v>
      </c>
      <c r="W1525" s="376" t="s">
        <v>1814</v>
      </c>
      <c r="X1525" s="377" t="str">
        <f t="shared" si="144"/>
        <v>SSI</v>
      </c>
      <c r="Y1525" t="str">
        <f>SUBSTITUTE(Tabla1[[#This Row],[Descripción]],CHAR(10),"    I    ")</f>
        <v>Se documentó que para el Query 1 de la Funcionalidad 16 se reutilzá el procedimiento FUNC7DETSOLDASHUTGI_SOLGIXSOLDEPEN_QF7Q4, en el documento 'PRO-AA-NN-P29-Reporte de Actividades'</v>
      </c>
      <c r="Z1525" s="142">
        <f>VLOOKUP(Tabla1[[#This Row],[Perfil]],Catalogos!$B$75:$D$100,3,FALSE)*Tabla1[[#This Row],[Tiempo
(Hrs 00/100)]]*1.16</f>
        <v>348</v>
      </c>
    </row>
    <row r="1526" spans="1:26" ht="15" customHeight="1" x14ac:dyDescent="0.3">
      <c r="A1526" s="373" t="s">
        <v>22</v>
      </c>
      <c r="B1526" s="184" t="s">
        <v>23</v>
      </c>
      <c r="C1526" s="183" t="s">
        <v>257</v>
      </c>
      <c r="D1526" s="373"/>
      <c r="E1526" s="373" t="s">
        <v>408</v>
      </c>
      <c r="F1526" s="373" t="s">
        <v>76</v>
      </c>
      <c r="G1526" s="370" t="s">
        <v>604</v>
      </c>
      <c r="H1526" s="461" t="s">
        <v>2237</v>
      </c>
      <c r="I1526" s="467" t="s">
        <v>2238</v>
      </c>
      <c r="J1526" s="706">
        <v>45163</v>
      </c>
      <c r="K1526" s="781">
        <v>0.70833333333333337</v>
      </c>
      <c r="L1526" s="706">
        <v>45163</v>
      </c>
      <c r="M1526" s="781">
        <v>0.72916666666666663</v>
      </c>
      <c r="N1526" s="373">
        <v>0.5</v>
      </c>
      <c r="O1526" s="184" t="s">
        <v>17</v>
      </c>
      <c r="P1526" s="375" t="s">
        <v>2144</v>
      </c>
      <c r="Q1526" s="746" t="s">
        <v>1441</v>
      </c>
      <c r="R1526" s="171" t="s">
        <v>95</v>
      </c>
      <c r="S1526" s="31" t="s">
        <v>273</v>
      </c>
      <c r="T1526" s="31" t="s">
        <v>273</v>
      </c>
      <c r="U1526" s="31">
        <f>IFERROR(VLOOKUP(CONCATENATE(Tabla1[[#This Row],[Severidad]]," ",Tabla1[[#This Row],[Complejidad]]),Catalogos!E$120:G$128,3,FALSE),"")</f>
        <v>64</v>
      </c>
      <c r="V1526" s="31" t="str">
        <f>IF(Tabla1[[#This Row],[Tiempo solución max (hrs)]]&lt;&gt;"",IF(Tabla1[[#This Row],[Tiempo solución max (hrs)]]&gt;=Tabla1[[#This Row],[Tiempo
(Hrs 00/100)]],"cumple","no cumple"),"")</f>
        <v>cumple</v>
      </c>
      <c r="W1526" s="376" t="s">
        <v>1814</v>
      </c>
      <c r="X1526" s="377" t="str">
        <f t="shared" si="144"/>
        <v>SSI</v>
      </c>
      <c r="Y1526" t="str">
        <f>SUBSTITUTE(Tabla1[[#This Row],[Descripción]],CHAR(10),"    I    ")</f>
        <v>Se documentó que para el Query 2 de la Funcionalidad 16 se reutilzá el procedimiento FUNC12DASHBOARDFOLIOPENDRPTASEFOLCOMTRANSPA_QF12Q2, en el documento 'PRO-AA-NN-P29-Reporte de Actividades'</v>
      </c>
      <c r="Z1526" s="142">
        <f>VLOOKUP(Tabla1[[#This Row],[Perfil]],Catalogos!$B$75:$D$100,3,FALSE)*Tabla1[[#This Row],[Tiempo
(Hrs 00/100)]]*1.16</f>
        <v>348</v>
      </c>
    </row>
    <row r="1527" spans="1:26" ht="15" customHeight="1" x14ac:dyDescent="0.3">
      <c r="A1527" s="373" t="s">
        <v>22</v>
      </c>
      <c r="B1527" s="184" t="s">
        <v>23</v>
      </c>
      <c r="C1527" s="183" t="s">
        <v>257</v>
      </c>
      <c r="D1527" s="373"/>
      <c r="E1527" s="373" t="s">
        <v>408</v>
      </c>
      <c r="F1527" s="373" t="s">
        <v>76</v>
      </c>
      <c r="G1527" s="370" t="s">
        <v>604</v>
      </c>
      <c r="H1527" s="461" t="s">
        <v>2239</v>
      </c>
      <c r="I1527" s="467" t="s">
        <v>2240</v>
      </c>
      <c r="J1527" s="706">
        <v>45163</v>
      </c>
      <c r="K1527" s="781">
        <v>0.72916666666666663</v>
      </c>
      <c r="L1527" s="706">
        <v>45163</v>
      </c>
      <c r="M1527" s="781">
        <v>0.75</v>
      </c>
      <c r="N1527" s="373">
        <v>0.5</v>
      </c>
      <c r="O1527" s="184" t="s">
        <v>17</v>
      </c>
      <c r="P1527" s="375" t="s">
        <v>2144</v>
      </c>
      <c r="Q1527" s="746" t="s">
        <v>1441</v>
      </c>
      <c r="R1527" s="171" t="s">
        <v>95</v>
      </c>
      <c r="S1527" s="31" t="s">
        <v>273</v>
      </c>
      <c r="T1527" s="31" t="s">
        <v>273</v>
      </c>
      <c r="U1527" s="31">
        <f>IFERROR(VLOOKUP(CONCATENATE(Tabla1[[#This Row],[Severidad]]," ",Tabla1[[#This Row],[Complejidad]]),Catalogos!E$120:G$128,3,FALSE),"")</f>
        <v>64</v>
      </c>
      <c r="V1527" s="31" t="str">
        <f>IF(Tabla1[[#This Row],[Tiempo solución max (hrs)]]&lt;&gt;"",IF(Tabla1[[#This Row],[Tiempo solución max (hrs)]]&gt;=Tabla1[[#This Row],[Tiempo
(Hrs 00/100)]],"cumple","no cumple"),"")</f>
        <v>cumple</v>
      </c>
      <c r="W1527" s="376" t="s">
        <v>1814</v>
      </c>
      <c r="X1527" s="377" t="str">
        <f t="shared" si="144"/>
        <v>SSI</v>
      </c>
      <c r="Y1527" t="str">
        <f>SUBSTITUTE(Tabla1[[#This Row],[Descripción]],CHAR(10),"    I    ")</f>
        <v>Se documentó que para el Query 3 de la Funcionalidad 16 se reutilzá el procedimiento FUNC11TURNAFOLIOUNIAD_SOLIXSOLDEPEN_QF11Q1’, en el documento 'PRO-AA-NN-P29-Reporte de Actividades'</v>
      </c>
      <c r="Z1527" s="142">
        <f>VLOOKUP(Tabla1[[#This Row],[Perfil]],Catalogos!$B$75:$D$100,3,FALSE)*Tabla1[[#This Row],[Tiempo
(Hrs 00/100)]]*1.16</f>
        <v>348</v>
      </c>
    </row>
    <row r="1528" spans="1:26" ht="15" customHeight="1" x14ac:dyDescent="0.3">
      <c r="A1528" s="373" t="s">
        <v>22</v>
      </c>
      <c r="B1528" s="184" t="s">
        <v>305</v>
      </c>
      <c r="C1528" s="183" t="s">
        <v>257</v>
      </c>
      <c r="D1528" s="373"/>
      <c r="E1528" s="373" t="s">
        <v>408</v>
      </c>
      <c r="F1528" s="373" t="s">
        <v>72</v>
      </c>
      <c r="G1528" s="370" t="s">
        <v>604</v>
      </c>
      <c r="H1528" s="461" t="s">
        <v>2241</v>
      </c>
      <c r="I1528" s="408" t="s">
        <v>2241</v>
      </c>
      <c r="J1528" s="706">
        <v>45163</v>
      </c>
      <c r="K1528" s="781">
        <v>0.75</v>
      </c>
      <c r="L1528" s="706">
        <v>45163</v>
      </c>
      <c r="M1528" s="781">
        <v>0.77083333333333337</v>
      </c>
      <c r="N1528" s="373">
        <v>0.5</v>
      </c>
      <c r="O1528" s="184" t="s">
        <v>411</v>
      </c>
      <c r="P1528" s="375" t="s">
        <v>2242</v>
      </c>
      <c r="Q1528" s="746" t="s">
        <v>1441</v>
      </c>
      <c r="R1528" s="171" t="s">
        <v>95</v>
      </c>
      <c r="S1528" s="31" t="s">
        <v>273</v>
      </c>
      <c r="T1528" s="31" t="s">
        <v>273</v>
      </c>
      <c r="U1528" s="31">
        <f>IFERROR(VLOOKUP(CONCATENATE(Tabla1[[#This Row],[Severidad]]," ",Tabla1[[#This Row],[Complejidad]]),Catalogos!E$120:G$128,3,FALSE),"")</f>
        <v>64</v>
      </c>
      <c r="V1528" s="31" t="str">
        <f>IF(Tabla1[[#This Row],[Tiempo solución max (hrs)]]&lt;&gt;"",IF(Tabla1[[#This Row],[Tiempo solución max (hrs)]]&gt;=Tabla1[[#This Row],[Tiempo
(Hrs 00/100)]],"cumple","no cumple"),"")</f>
        <v>cumple</v>
      </c>
      <c r="W1528" s="376" t="s">
        <v>1814</v>
      </c>
      <c r="X1528" s="377" t="str">
        <f t="shared" si="144"/>
        <v>SSI</v>
      </c>
      <c r="Y1528" t="str">
        <f>SUBSTITUTE(Tabla1[[#This Row],[Descripción]],CHAR(10),"    I    ")</f>
        <v>Se revisa documentación sobre Simple Oracle Document Access (SODA)</v>
      </c>
      <c r="Z1528" s="142">
        <f>VLOOKUP(Tabla1[[#This Row],[Perfil]],Catalogos!$B$75:$D$100,3,FALSE)*Tabla1[[#This Row],[Tiempo
(Hrs 00/100)]]*1.16</f>
        <v>348</v>
      </c>
    </row>
    <row r="1529" spans="1:26" ht="15" customHeight="1" x14ac:dyDescent="0.3">
      <c r="A1529" s="373" t="s">
        <v>22</v>
      </c>
      <c r="B1529" s="184" t="s">
        <v>23</v>
      </c>
      <c r="C1529" s="183" t="s">
        <v>257</v>
      </c>
      <c r="D1529" s="373"/>
      <c r="E1529" s="373" t="s">
        <v>408</v>
      </c>
      <c r="F1529" s="373" t="s">
        <v>76</v>
      </c>
      <c r="G1529" s="370" t="s">
        <v>604</v>
      </c>
      <c r="H1529" s="461" t="s">
        <v>2243</v>
      </c>
      <c r="I1529" s="538" t="s">
        <v>2244</v>
      </c>
      <c r="J1529" s="706">
        <v>45166</v>
      </c>
      <c r="K1529" s="766">
        <v>0.375</v>
      </c>
      <c r="L1529" s="706">
        <v>45166</v>
      </c>
      <c r="M1529" s="766">
        <v>0.39583333333333331</v>
      </c>
      <c r="N1529" s="373">
        <v>0.5</v>
      </c>
      <c r="O1529" s="184" t="s">
        <v>17</v>
      </c>
      <c r="P1529" s="375" t="s">
        <v>2144</v>
      </c>
      <c r="Q1529" s="746" t="s">
        <v>1441</v>
      </c>
      <c r="R1529" s="171" t="s">
        <v>95</v>
      </c>
      <c r="S1529" s="31" t="s">
        <v>273</v>
      </c>
      <c r="T1529" s="31" t="s">
        <v>273</v>
      </c>
      <c r="U1529" s="31">
        <f>IFERROR(VLOOKUP(CONCATENATE(Tabla1[[#This Row],[Severidad]]," ",Tabla1[[#This Row],[Complejidad]]),Catalogos!E$120:G$128,3,FALSE),"")</f>
        <v>64</v>
      </c>
      <c r="V1529" s="31" t="str">
        <f>IF(Tabla1[[#This Row],[Tiempo solución max (hrs)]]&lt;&gt;"",IF(Tabla1[[#This Row],[Tiempo solución max (hrs)]]&gt;=Tabla1[[#This Row],[Tiempo
(Hrs 00/100)]],"cumple","no cumple"),"")</f>
        <v>cumple</v>
      </c>
      <c r="W1529" s="376" t="s">
        <v>1814</v>
      </c>
      <c r="X1529" s="377" t="str">
        <f t="shared" si="144"/>
        <v>SSI</v>
      </c>
      <c r="Y1529" t="str">
        <f>SUBSTITUTE(Tabla1[[#This Row],[Descripción]],CHAR(10),"    I    ")</f>
        <v>Se revisarón los ultimos detalles en lo documentado del Query 1 de la Funcionalidad 1 en el documento 'PRO-AA-NN-P29-Reporte de Actividades'</v>
      </c>
      <c r="Z1529" s="142">
        <f>VLOOKUP(Tabla1[[#This Row],[Perfil]],Catalogos!$B$75:$D$100,3,FALSE)*Tabla1[[#This Row],[Tiempo
(Hrs 00/100)]]*1.16</f>
        <v>348</v>
      </c>
    </row>
    <row r="1530" spans="1:26" ht="15" customHeight="1" x14ac:dyDescent="0.3">
      <c r="A1530" s="373" t="s">
        <v>22</v>
      </c>
      <c r="B1530" s="184" t="s">
        <v>23</v>
      </c>
      <c r="C1530" s="183" t="s">
        <v>257</v>
      </c>
      <c r="D1530" s="373"/>
      <c r="E1530" s="373" t="s">
        <v>408</v>
      </c>
      <c r="F1530" s="373" t="s">
        <v>76</v>
      </c>
      <c r="G1530" s="370" t="s">
        <v>604</v>
      </c>
      <c r="H1530" s="461" t="s">
        <v>2245</v>
      </c>
      <c r="I1530" s="467" t="s">
        <v>2246</v>
      </c>
      <c r="J1530" s="706">
        <v>45166</v>
      </c>
      <c r="K1530" s="766">
        <v>0.39583333333333331</v>
      </c>
      <c r="L1530" s="706">
        <v>45166</v>
      </c>
      <c r="M1530" s="764">
        <v>0.41666666666666669</v>
      </c>
      <c r="N1530" s="373">
        <v>0.5</v>
      </c>
      <c r="O1530" s="184" t="s">
        <v>17</v>
      </c>
      <c r="P1530" s="375" t="s">
        <v>2144</v>
      </c>
      <c r="Q1530" s="746" t="s">
        <v>1441</v>
      </c>
      <c r="R1530" s="171" t="s">
        <v>95</v>
      </c>
      <c r="S1530" s="31" t="s">
        <v>273</v>
      </c>
      <c r="T1530" s="31" t="s">
        <v>273</v>
      </c>
      <c r="U1530" s="31">
        <f>IFERROR(VLOOKUP(CONCATENATE(Tabla1[[#This Row],[Severidad]]," ",Tabla1[[#This Row],[Complejidad]]),Catalogos!E$120:G$128,3,FALSE),"")</f>
        <v>64</v>
      </c>
      <c r="V1530" s="31" t="str">
        <f>IF(Tabla1[[#This Row],[Tiempo solución max (hrs)]]&lt;&gt;"",IF(Tabla1[[#This Row],[Tiempo solución max (hrs)]]&gt;=Tabla1[[#This Row],[Tiempo
(Hrs 00/100)]],"cumple","no cumple"),"")</f>
        <v>cumple</v>
      </c>
      <c r="W1530" s="376" t="s">
        <v>1814</v>
      </c>
      <c r="X1530" s="377" t="str">
        <f t="shared" si="144"/>
        <v>SSI</v>
      </c>
      <c r="Y1530" t="str">
        <f>SUBSTITUTE(Tabla1[[#This Row],[Descripción]],CHAR(10),"    I    ")</f>
        <v>Se revisarón los ultimos detalles en lo documentado de los Querys del 1 al 3 de la Funcionalidad 3 en el documento 'PRO-AA-NN-P29-Reporte de Actividades'</v>
      </c>
      <c r="Z1530" s="142">
        <f>VLOOKUP(Tabla1[[#This Row],[Perfil]],Catalogos!$B$75:$D$100,3,FALSE)*Tabla1[[#This Row],[Tiempo
(Hrs 00/100)]]*1.16</f>
        <v>348</v>
      </c>
    </row>
    <row r="1531" spans="1:26" ht="15" customHeight="1" x14ac:dyDescent="0.3">
      <c r="A1531" s="373" t="s">
        <v>22</v>
      </c>
      <c r="B1531" s="184" t="s">
        <v>23</v>
      </c>
      <c r="C1531" s="183" t="s">
        <v>257</v>
      </c>
      <c r="D1531" s="373"/>
      <c r="E1531" s="373" t="s">
        <v>408</v>
      </c>
      <c r="F1531" s="373" t="s">
        <v>76</v>
      </c>
      <c r="G1531" s="370" t="s">
        <v>604</v>
      </c>
      <c r="H1531" s="461" t="s">
        <v>2247</v>
      </c>
      <c r="I1531" s="408" t="s">
        <v>2248</v>
      </c>
      <c r="J1531" s="706">
        <v>45166</v>
      </c>
      <c r="K1531" s="764">
        <v>0.41666666666666669</v>
      </c>
      <c r="L1531" s="706">
        <v>45166</v>
      </c>
      <c r="M1531" s="765">
        <v>0.4375</v>
      </c>
      <c r="N1531" s="373">
        <v>0.5</v>
      </c>
      <c r="O1531" s="184" t="s">
        <v>17</v>
      </c>
      <c r="P1531" s="375" t="s">
        <v>2144</v>
      </c>
      <c r="Q1531" s="746" t="s">
        <v>1441</v>
      </c>
      <c r="R1531" s="171" t="s">
        <v>95</v>
      </c>
      <c r="S1531" s="31" t="s">
        <v>273</v>
      </c>
      <c r="T1531" s="31" t="s">
        <v>273</v>
      </c>
      <c r="U1531" s="31">
        <f>IFERROR(VLOOKUP(CONCATENATE(Tabla1[[#This Row],[Severidad]]," ",Tabla1[[#This Row],[Complejidad]]),Catalogos!E$120:G$128,3,FALSE),"")</f>
        <v>64</v>
      </c>
      <c r="V1531" s="31" t="str">
        <f>IF(Tabla1[[#This Row],[Tiempo solución max (hrs)]]&lt;&gt;"",IF(Tabla1[[#This Row],[Tiempo solución max (hrs)]]&gt;=Tabla1[[#This Row],[Tiempo
(Hrs 00/100)]],"cumple","no cumple"),"")</f>
        <v>cumple</v>
      </c>
      <c r="W1531" s="376" t="s">
        <v>1814</v>
      </c>
      <c r="X1531" s="377" t="str">
        <f t="shared" si="144"/>
        <v>SSI</v>
      </c>
      <c r="Y1531" t="str">
        <f>SUBSTITUTE(Tabla1[[#This Row],[Descripción]],CHAR(10),"    I    ")</f>
        <v>Se revisarón los ultimos detalles en lo documentado de los Querys del 4 al 6 de la Funcionalidad 3 en el documento 'PRO-AA-NN-P29-Reporte de Actividades'</v>
      </c>
      <c r="Z1531" s="142">
        <f>VLOOKUP(Tabla1[[#This Row],[Perfil]],Catalogos!$B$75:$D$100,3,FALSE)*Tabla1[[#This Row],[Tiempo
(Hrs 00/100)]]*1.16</f>
        <v>348</v>
      </c>
    </row>
    <row r="1532" spans="1:26" ht="15" customHeight="1" x14ac:dyDescent="0.3">
      <c r="A1532" s="373" t="s">
        <v>22</v>
      </c>
      <c r="B1532" s="184" t="s">
        <v>23</v>
      </c>
      <c r="C1532" s="183" t="s">
        <v>257</v>
      </c>
      <c r="D1532" s="373"/>
      <c r="E1532" s="373" t="s">
        <v>408</v>
      </c>
      <c r="F1532" s="373" t="s">
        <v>76</v>
      </c>
      <c r="G1532" s="370" t="s">
        <v>604</v>
      </c>
      <c r="H1532" s="461" t="s">
        <v>2249</v>
      </c>
      <c r="I1532" s="538" t="s">
        <v>2250</v>
      </c>
      <c r="J1532" s="706">
        <v>45166</v>
      </c>
      <c r="K1532" s="765">
        <v>0.4375</v>
      </c>
      <c r="L1532" s="706">
        <v>45166</v>
      </c>
      <c r="M1532" s="766">
        <v>0.45833333333333331</v>
      </c>
      <c r="N1532" s="373">
        <v>0.5</v>
      </c>
      <c r="O1532" s="184" t="s">
        <v>17</v>
      </c>
      <c r="P1532" s="264" t="s">
        <v>2144</v>
      </c>
      <c r="Q1532" s="746" t="s">
        <v>1441</v>
      </c>
      <c r="R1532" s="171" t="s">
        <v>95</v>
      </c>
      <c r="S1532" s="31" t="s">
        <v>273</v>
      </c>
      <c r="T1532" s="31" t="s">
        <v>273</v>
      </c>
      <c r="U1532" s="31">
        <f>IFERROR(VLOOKUP(CONCATENATE(Tabla1[[#This Row],[Severidad]]," ",Tabla1[[#This Row],[Complejidad]]),Catalogos!E$120:G$128,3,FALSE),"")</f>
        <v>64</v>
      </c>
      <c r="V1532" s="31" t="str">
        <f>IF(Tabla1[[#This Row],[Tiempo solución max (hrs)]]&lt;&gt;"",IF(Tabla1[[#This Row],[Tiempo solución max (hrs)]]&gt;=Tabla1[[#This Row],[Tiempo
(Hrs 00/100)]],"cumple","no cumple"),"")</f>
        <v>cumple</v>
      </c>
      <c r="W1532" s="376" t="s">
        <v>1814</v>
      </c>
      <c r="X1532" s="377" t="str">
        <f t="shared" ref="X1532:X1538" si="145">IF(C1532&lt;&gt;"",C1532,D1532)</f>
        <v>SSI</v>
      </c>
      <c r="Y1532" t="str">
        <f>SUBSTITUTE(Tabla1[[#This Row],[Descripción]],CHAR(10),"    I    ")</f>
        <v>Se revisarón los ultimos detalles en lo documentado del Query 1 de la Funcionalidad 5 en el documento 'PRO-AA-NN-P29-Reporte de Actividades'</v>
      </c>
      <c r="Z1532" s="142">
        <f>VLOOKUP(Tabla1[[#This Row],[Perfil]],Catalogos!$B$75:$D$100,3,FALSE)*Tabla1[[#This Row],[Tiempo
(Hrs 00/100)]]*1.16</f>
        <v>348</v>
      </c>
    </row>
    <row r="1533" spans="1:26" ht="15" customHeight="1" x14ac:dyDescent="0.3">
      <c r="A1533" s="373" t="s">
        <v>22</v>
      </c>
      <c r="B1533" s="184" t="s">
        <v>23</v>
      </c>
      <c r="C1533" s="183" t="s">
        <v>257</v>
      </c>
      <c r="D1533" s="373"/>
      <c r="E1533" s="373" t="s">
        <v>408</v>
      </c>
      <c r="F1533" s="373" t="s">
        <v>76</v>
      </c>
      <c r="G1533" s="370" t="s">
        <v>604</v>
      </c>
      <c r="H1533" s="461" t="s">
        <v>2251</v>
      </c>
      <c r="I1533" s="538" t="s">
        <v>2252</v>
      </c>
      <c r="J1533" s="706">
        <v>45166</v>
      </c>
      <c r="K1533" s="766">
        <v>0.45833333333333331</v>
      </c>
      <c r="L1533" s="706">
        <v>45166</v>
      </c>
      <c r="M1533" s="766">
        <v>0.47916666666666669</v>
      </c>
      <c r="N1533" s="373">
        <v>0.5</v>
      </c>
      <c r="O1533" s="184" t="s">
        <v>17</v>
      </c>
      <c r="P1533" s="264" t="s">
        <v>2144</v>
      </c>
      <c r="Q1533" s="746" t="s">
        <v>1441</v>
      </c>
      <c r="R1533" s="171" t="s">
        <v>95</v>
      </c>
      <c r="S1533" s="31" t="s">
        <v>273</v>
      </c>
      <c r="T1533" s="31" t="s">
        <v>273</v>
      </c>
      <c r="U1533" s="31">
        <f>IFERROR(VLOOKUP(CONCATENATE(Tabla1[[#This Row],[Severidad]]," ",Tabla1[[#This Row],[Complejidad]]),Catalogos!E$120:G$128,3,FALSE),"")</f>
        <v>64</v>
      </c>
      <c r="V1533" s="31" t="str">
        <f>IF(Tabla1[[#This Row],[Tiempo solución max (hrs)]]&lt;&gt;"",IF(Tabla1[[#This Row],[Tiempo solución max (hrs)]]&gt;=Tabla1[[#This Row],[Tiempo
(Hrs 00/100)]],"cumple","no cumple"),"")</f>
        <v>cumple</v>
      </c>
      <c r="W1533" s="376" t="s">
        <v>1814</v>
      </c>
      <c r="X1533" s="377" t="str">
        <f t="shared" si="145"/>
        <v>SSI</v>
      </c>
      <c r="Y1533" t="str">
        <f>SUBSTITUTE(Tabla1[[#This Row],[Descripción]],CHAR(10),"    I    ")</f>
        <v>Se revisarón los ultimos detalles en lo documentado del Query 1 de la Funcionalidad 6 en el documento 'PRO-AA-NN-P29-Reporte de Actividades'</v>
      </c>
      <c r="Z1533" s="142">
        <f>VLOOKUP(Tabla1[[#This Row],[Perfil]],Catalogos!$B$75:$D$100,3,FALSE)*Tabla1[[#This Row],[Tiempo
(Hrs 00/100)]]*1.16</f>
        <v>348</v>
      </c>
    </row>
    <row r="1534" spans="1:26" ht="15" customHeight="1" x14ac:dyDescent="0.3">
      <c r="A1534" s="373" t="s">
        <v>22</v>
      </c>
      <c r="B1534" s="184" t="s">
        <v>23</v>
      </c>
      <c r="C1534" s="183" t="s">
        <v>257</v>
      </c>
      <c r="D1534" s="373"/>
      <c r="E1534" s="373" t="s">
        <v>408</v>
      </c>
      <c r="F1534" s="373" t="s">
        <v>76</v>
      </c>
      <c r="G1534" s="370" t="s">
        <v>604</v>
      </c>
      <c r="H1534" s="461" t="s">
        <v>2253</v>
      </c>
      <c r="I1534" s="538" t="s">
        <v>2254</v>
      </c>
      <c r="J1534" s="706">
        <v>45166</v>
      </c>
      <c r="K1534" s="766">
        <v>0.47916666666666669</v>
      </c>
      <c r="L1534" s="706">
        <v>45166</v>
      </c>
      <c r="M1534" s="766">
        <v>0.5</v>
      </c>
      <c r="N1534" s="373">
        <v>0.5</v>
      </c>
      <c r="O1534" s="184" t="s">
        <v>17</v>
      </c>
      <c r="P1534" s="264" t="s">
        <v>2144</v>
      </c>
      <c r="Q1534" s="746" t="s">
        <v>1441</v>
      </c>
      <c r="R1534" s="171" t="s">
        <v>95</v>
      </c>
      <c r="S1534" s="31" t="s">
        <v>273</v>
      </c>
      <c r="T1534" s="31" t="s">
        <v>273</v>
      </c>
      <c r="U1534" s="31">
        <f>IFERROR(VLOOKUP(CONCATENATE(Tabla1[[#This Row],[Severidad]]," ",Tabla1[[#This Row],[Complejidad]]),Catalogos!E$120:G$128,3,FALSE),"")</f>
        <v>64</v>
      </c>
      <c r="V1534" s="31" t="str">
        <f>IF(Tabla1[[#This Row],[Tiempo solución max (hrs)]]&lt;&gt;"",IF(Tabla1[[#This Row],[Tiempo solución max (hrs)]]&gt;=Tabla1[[#This Row],[Tiempo
(Hrs 00/100)]],"cumple","no cumple"),"")</f>
        <v>cumple</v>
      </c>
      <c r="W1534" s="376" t="s">
        <v>1814</v>
      </c>
      <c r="X1534" s="377" t="str">
        <f t="shared" si="145"/>
        <v>SSI</v>
      </c>
      <c r="Y1534" t="str">
        <f>SUBSTITUTE(Tabla1[[#This Row],[Descripción]],CHAR(10),"    I    ")</f>
        <v>Se revisarón los ultimos detalles en lo documentado de los Querys del 1 al 3 de la Funcionalidad 7 en el documento 'PRO-AA-NN-P29-Reporte de Actividades'</v>
      </c>
      <c r="Z1534" s="142">
        <f>VLOOKUP(Tabla1[[#This Row],[Perfil]],Catalogos!$B$75:$D$100,3,FALSE)*Tabla1[[#This Row],[Tiempo
(Hrs 00/100)]]*1.16</f>
        <v>348</v>
      </c>
    </row>
    <row r="1535" spans="1:26" ht="15" customHeight="1" x14ac:dyDescent="0.3">
      <c r="A1535" s="373" t="s">
        <v>22</v>
      </c>
      <c r="B1535" s="184" t="s">
        <v>23</v>
      </c>
      <c r="C1535" s="183" t="s">
        <v>257</v>
      </c>
      <c r="D1535" s="373"/>
      <c r="E1535" s="373" t="s">
        <v>408</v>
      </c>
      <c r="F1535" s="373" t="s">
        <v>76</v>
      </c>
      <c r="G1535" s="370" t="s">
        <v>604</v>
      </c>
      <c r="H1535" s="461" t="s">
        <v>2255</v>
      </c>
      <c r="I1535" s="467" t="s">
        <v>2256</v>
      </c>
      <c r="J1535" s="706">
        <v>45166</v>
      </c>
      <c r="K1535" s="766">
        <v>0.5</v>
      </c>
      <c r="L1535" s="706">
        <v>45166</v>
      </c>
      <c r="M1535" s="766">
        <v>0.52083333333333337</v>
      </c>
      <c r="N1535" s="373">
        <v>0.5</v>
      </c>
      <c r="O1535" s="184" t="s">
        <v>17</v>
      </c>
      <c r="P1535" s="264" t="s">
        <v>2144</v>
      </c>
      <c r="Q1535" s="746" t="s">
        <v>1441</v>
      </c>
      <c r="R1535" s="171" t="s">
        <v>95</v>
      </c>
      <c r="S1535" s="31" t="s">
        <v>273</v>
      </c>
      <c r="T1535" s="31" t="s">
        <v>273</v>
      </c>
      <c r="U1535" s="31">
        <f>IFERROR(VLOOKUP(CONCATENATE(Tabla1[[#This Row],[Severidad]]," ",Tabla1[[#This Row],[Complejidad]]),Catalogos!E$120:G$128,3,FALSE),"")</f>
        <v>64</v>
      </c>
      <c r="V1535" s="31" t="str">
        <f>IF(Tabla1[[#This Row],[Tiempo solución max (hrs)]]&lt;&gt;"",IF(Tabla1[[#This Row],[Tiempo solución max (hrs)]]&gt;=Tabla1[[#This Row],[Tiempo
(Hrs 00/100)]],"cumple","no cumple"),"")</f>
        <v>cumple</v>
      </c>
      <c r="W1535" s="376" t="s">
        <v>1814</v>
      </c>
      <c r="X1535" s="377" t="str">
        <f t="shared" si="145"/>
        <v>SSI</v>
      </c>
      <c r="Y1535" t="str">
        <f>SUBSTITUTE(Tabla1[[#This Row],[Descripción]],CHAR(10),"    I    ")</f>
        <v>Se revisarón los ultimos detalles en lo documentado de los Querys del 4 al 6 de la Funcionalidad 7 en el documento 'PRO-AA-NN-P29-Reporte de Actividades'</v>
      </c>
      <c r="Z1535" s="142">
        <f>VLOOKUP(Tabla1[[#This Row],[Perfil]],Catalogos!$B$75:$D$100,3,FALSE)*Tabla1[[#This Row],[Tiempo
(Hrs 00/100)]]*1.16</f>
        <v>348</v>
      </c>
    </row>
    <row r="1536" spans="1:26" ht="15" customHeight="1" x14ac:dyDescent="0.3">
      <c r="A1536" s="373" t="s">
        <v>22</v>
      </c>
      <c r="B1536" s="184" t="s">
        <v>23</v>
      </c>
      <c r="C1536" s="183" t="s">
        <v>257</v>
      </c>
      <c r="D1536" s="373"/>
      <c r="E1536" s="373" t="s">
        <v>408</v>
      </c>
      <c r="F1536" s="373" t="s">
        <v>76</v>
      </c>
      <c r="G1536" s="370" t="s">
        <v>604</v>
      </c>
      <c r="H1536" s="461" t="s">
        <v>2257</v>
      </c>
      <c r="I1536" s="467" t="s">
        <v>2258</v>
      </c>
      <c r="J1536" s="706">
        <v>45166</v>
      </c>
      <c r="K1536" s="766">
        <v>0.52083333333333337</v>
      </c>
      <c r="L1536" s="706">
        <v>45166</v>
      </c>
      <c r="M1536" s="766">
        <v>0.54166666666666663</v>
      </c>
      <c r="N1536" s="373">
        <v>0.5</v>
      </c>
      <c r="O1536" s="184" t="s">
        <v>17</v>
      </c>
      <c r="P1536" s="264" t="s">
        <v>2144</v>
      </c>
      <c r="Q1536" s="746" t="s">
        <v>1441</v>
      </c>
      <c r="R1536" s="171" t="s">
        <v>95</v>
      </c>
      <c r="S1536" s="31" t="s">
        <v>273</v>
      </c>
      <c r="T1536" s="31" t="s">
        <v>273</v>
      </c>
      <c r="U1536" s="31">
        <f>IFERROR(VLOOKUP(CONCATENATE(Tabla1[[#This Row],[Severidad]]," ",Tabla1[[#This Row],[Complejidad]]),Catalogos!E$120:G$128,3,FALSE),"")</f>
        <v>64</v>
      </c>
      <c r="V1536" s="31" t="str">
        <f>IF(Tabla1[[#This Row],[Tiempo solución max (hrs)]]&lt;&gt;"",IF(Tabla1[[#This Row],[Tiempo solución max (hrs)]]&gt;=Tabla1[[#This Row],[Tiempo
(Hrs 00/100)]],"cumple","no cumple"),"")</f>
        <v>cumple</v>
      </c>
      <c r="W1536" s="376" t="s">
        <v>1814</v>
      </c>
      <c r="X1536" s="377" t="str">
        <f t="shared" si="145"/>
        <v>SSI</v>
      </c>
      <c r="Y1536" t="str">
        <f>SUBSTITUTE(Tabla1[[#This Row],[Descripción]],CHAR(10),"    I    ")</f>
        <v>Se revisarón los ultimos detalles en lo documentado de los Querys del 7 al 9 de la Funcionalidad 7 en el documento 'PRO-AA-NN-P29-Reporte de Actividades'</v>
      </c>
      <c r="Z1536" s="142">
        <f>VLOOKUP(Tabla1[[#This Row],[Perfil]],Catalogos!$B$75:$D$100,3,FALSE)*Tabla1[[#This Row],[Tiempo
(Hrs 00/100)]]*1.16</f>
        <v>348</v>
      </c>
    </row>
    <row r="1537" spans="1:26" ht="15" customHeight="1" x14ac:dyDescent="0.3">
      <c r="A1537" s="373" t="s">
        <v>22</v>
      </c>
      <c r="B1537" s="184" t="s">
        <v>23</v>
      </c>
      <c r="C1537" s="183" t="s">
        <v>257</v>
      </c>
      <c r="D1537" s="373"/>
      <c r="E1537" s="373" t="s">
        <v>408</v>
      </c>
      <c r="F1537" s="373" t="s">
        <v>76</v>
      </c>
      <c r="G1537" s="370" t="s">
        <v>604</v>
      </c>
      <c r="H1537" s="461" t="s">
        <v>2259</v>
      </c>
      <c r="I1537" s="467" t="s">
        <v>2260</v>
      </c>
      <c r="J1537" s="706">
        <v>45166</v>
      </c>
      <c r="K1537" s="766">
        <v>0.54166666666666663</v>
      </c>
      <c r="L1537" s="706">
        <v>45166</v>
      </c>
      <c r="M1537" s="766">
        <v>0.5625</v>
      </c>
      <c r="N1537" s="373">
        <v>0.5</v>
      </c>
      <c r="O1537" s="184" t="s">
        <v>17</v>
      </c>
      <c r="P1537" s="264" t="s">
        <v>2144</v>
      </c>
      <c r="Q1537" s="746" t="s">
        <v>1441</v>
      </c>
      <c r="R1537" s="171" t="s">
        <v>95</v>
      </c>
      <c r="S1537" s="31" t="s">
        <v>273</v>
      </c>
      <c r="T1537" s="31" t="s">
        <v>273</v>
      </c>
      <c r="U1537" s="31">
        <f>IFERROR(VLOOKUP(CONCATENATE(Tabla1[[#This Row],[Severidad]]," ",Tabla1[[#This Row],[Complejidad]]),Catalogos!E$120:G$128,3,FALSE),"")</f>
        <v>64</v>
      </c>
      <c r="V1537" s="31" t="str">
        <f>IF(Tabla1[[#This Row],[Tiempo solución max (hrs)]]&lt;&gt;"",IF(Tabla1[[#This Row],[Tiempo solución max (hrs)]]&gt;=Tabla1[[#This Row],[Tiempo
(Hrs 00/100)]],"cumple","no cumple"),"")</f>
        <v>cumple</v>
      </c>
      <c r="W1537" s="376" t="s">
        <v>1814</v>
      </c>
      <c r="X1537" s="377" t="str">
        <f t="shared" si="145"/>
        <v>SSI</v>
      </c>
      <c r="Y1537" t="str">
        <f>SUBSTITUTE(Tabla1[[#This Row],[Descripción]],CHAR(10),"    I    ")</f>
        <v>Se revisarón los ultimos detalles en lo documentado de los Querys del 10 al 14 de la Funcionalidad 7 en el documento 'PRO-AA-NN-P29-Reporte de Actividades'</v>
      </c>
      <c r="Z1537" s="142">
        <f>VLOOKUP(Tabla1[[#This Row],[Perfil]],Catalogos!$B$75:$D$100,3,FALSE)*Tabla1[[#This Row],[Tiempo
(Hrs 00/100)]]*1.16</f>
        <v>348</v>
      </c>
    </row>
    <row r="1538" spans="1:26" ht="15" customHeight="1" x14ac:dyDescent="0.3">
      <c r="A1538" s="373" t="s">
        <v>22</v>
      </c>
      <c r="B1538" s="184" t="s">
        <v>23</v>
      </c>
      <c r="C1538" s="183" t="s">
        <v>257</v>
      </c>
      <c r="D1538" s="373"/>
      <c r="E1538" s="373" t="s">
        <v>408</v>
      </c>
      <c r="F1538" s="373" t="s">
        <v>76</v>
      </c>
      <c r="G1538" s="370" t="s">
        <v>604</v>
      </c>
      <c r="H1538" s="461" t="s">
        <v>2261</v>
      </c>
      <c r="I1538" s="467" t="s">
        <v>2262</v>
      </c>
      <c r="J1538" s="706">
        <v>45166</v>
      </c>
      <c r="K1538" s="766">
        <v>0.5625</v>
      </c>
      <c r="L1538" s="706">
        <v>45166</v>
      </c>
      <c r="M1538" s="766">
        <v>0.58333333333333337</v>
      </c>
      <c r="N1538" s="373">
        <v>0.5</v>
      </c>
      <c r="O1538" s="184" t="s">
        <v>17</v>
      </c>
      <c r="P1538" s="264" t="s">
        <v>2144</v>
      </c>
      <c r="Q1538" s="746" t="s">
        <v>1441</v>
      </c>
      <c r="R1538" s="171" t="s">
        <v>95</v>
      </c>
      <c r="S1538" s="31" t="s">
        <v>273</v>
      </c>
      <c r="T1538" s="31" t="s">
        <v>273</v>
      </c>
      <c r="U1538" s="31">
        <f>IFERROR(VLOOKUP(CONCATENATE(Tabla1[[#This Row],[Severidad]]," ",Tabla1[[#This Row],[Complejidad]]),Catalogos!E$120:G$128,3,FALSE),"")</f>
        <v>64</v>
      </c>
      <c r="V1538" s="31" t="str">
        <f>IF(Tabla1[[#This Row],[Tiempo solución max (hrs)]]&lt;&gt;"",IF(Tabla1[[#This Row],[Tiempo solución max (hrs)]]&gt;=Tabla1[[#This Row],[Tiempo
(Hrs 00/100)]],"cumple","no cumple"),"")</f>
        <v>cumple</v>
      </c>
      <c r="W1538" s="376" t="s">
        <v>1814</v>
      </c>
      <c r="X1538" s="377" t="str">
        <f t="shared" si="145"/>
        <v>SSI</v>
      </c>
      <c r="Y1538" t="str">
        <f>SUBSTITUTE(Tabla1[[#This Row],[Descripción]],CHAR(10),"    I    ")</f>
        <v>Se revisarón los ultimos detalles en lo documentado de los Query 1 de la Funcionalidad 8 en el documento 'PRO-AA-NN-P29-Reporte de Actividades'</v>
      </c>
      <c r="Z1538" s="142">
        <f>VLOOKUP(Tabla1[[#This Row],[Perfil]],Catalogos!$B$75:$D$100,3,FALSE)*Tabla1[[#This Row],[Tiempo
(Hrs 00/100)]]*1.16</f>
        <v>348</v>
      </c>
    </row>
    <row r="1539" spans="1:26" ht="15" customHeight="1" x14ac:dyDescent="0.3">
      <c r="A1539" s="373" t="s">
        <v>22</v>
      </c>
      <c r="B1539" s="184" t="s">
        <v>23</v>
      </c>
      <c r="C1539" s="183" t="s">
        <v>257</v>
      </c>
      <c r="D1539" s="373"/>
      <c r="E1539" s="373" t="s">
        <v>408</v>
      </c>
      <c r="F1539" s="373" t="s">
        <v>76</v>
      </c>
      <c r="G1539" s="370" t="s">
        <v>604</v>
      </c>
      <c r="H1539" s="461" t="s">
        <v>2263</v>
      </c>
      <c r="I1539" s="408" t="s">
        <v>2264</v>
      </c>
      <c r="J1539" s="706">
        <v>45166</v>
      </c>
      <c r="K1539" s="766">
        <v>0.58333333333333337</v>
      </c>
      <c r="L1539" s="706">
        <v>45166</v>
      </c>
      <c r="M1539" s="781">
        <v>0.60416666666666663</v>
      </c>
      <c r="N1539" s="373">
        <v>0.5</v>
      </c>
      <c r="O1539" s="184" t="s">
        <v>17</v>
      </c>
      <c r="P1539" s="375" t="s">
        <v>2144</v>
      </c>
      <c r="Q1539" s="746" t="s">
        <v>1441</v>
      </c>
      <c r="R1539" s="171" t="s">
        <v>95</v>
      </c>
      <c r="S1539" s="31" t="s">
        <v>273</v>
      </c>
      <c r="T1539" s="31" t="s">
        <v>273</v>
      </c>
      <c r="U1539" s="31">
        <f>IFERROR(VLOOKUP(CONCATENATE(Tabla1[[#This Row],[Severidad]]," ",Tabla1[[#This Row],[Complejidad]]),Catalogos!E$120:G$128,3,FALSE),"")</f>
        <v>64</v>
      </c>
      <c r="V1539" s="31" t="str">
        <f>IF(Tabla1[[#This Row],[Tiempo solución max (hrs)]]&lt;&gt;"",IF(Tabla1[[#This Row],[Tiempo solución max (hrs)]]&gt;=Tabla1[[#This Row],[Tiempo
(Hrs 00/100)]],"cumple","no cumple"),"")</f>
        <v>cumple</v>
      </c>
      <c r="W1539" s="376" t="s">
        <v>1814</v>
      </c>
      <c r="X1539" s="377" t="str">
        <f t="shared" si="144"/>
        <v>SSI</v>
      </c>
      <c r="Y1539" t="str">
        <f>SUBSTITUTE(Tabla1[[#This Row],[Descripción]],CHAR(10),"    I    ")</f>
        <v>Se revisarón los ultimos detalles en lo documentado de los Query 1 de la Funcionalidad 9 en el documento 'PRO-AA-NN-P29-Reporte de Actividades'</v>
      </c>
      <c r="Z1539" s="142">
        <f>VLOOKUP(Tabla1[[#This Row],[Perfil]],Catalogos!$B$75:$D$100,3,FALSE)*Tabla1[[#This Row],[Tiempo
(Hrs 00/100)]]*1.16</f>
        <v>348</v>
      </c>
    </row>
    <row r="1540" spans="1:26" ht="15" customHeight="1" x14ac:dyDescent="0.3">
      <c r="A1540" s="373" t="s">
        <v>22</v>
      </c>
      <c r="B1540" s="184" t="s">
        <v>23</v>
      </c>
      <c r="C1540" s="183" t="s">
        <v>257</v>
      </c>
      <c r="D1540" s="373"/>
      <c r="E1540" s="373" t="s">
        <v>408</v>
      </c>
      <c r="F1540" s="373" t="s">
        <v>76</v>
      </c>
      <c r="G1540" s="370" t="s">
        <v>604</v>
      </c>
      <c r="H1540" s="461" t="s">
        <v>2265</v>
      </c>
      <c r="I1540" s="538" t="s">
        <v>2266</v>
      </c>
      <c r="J1540" s="706">
        <v>45166</v>
      </c>
      <c r="K1540" s="766">
        <v>0.66666666666666663</v>
      </c>
      <c r="L1540" s="706">
        <v>45166</v>
      </c>
      <c r="M1540" s="781">
        <v>0.6875</v>
      </c>
      <c r="N1540" s="373">
        <v>0.5</v>
      </c>
      <c r="O1540" s="184" t="s">
        <v>17</v>
      </c>
      <c r="P1540" s="375" t="s">
        <v>2144</v>
      </c>
      <c r="Q1540" s="746" t="s">
        <v>1441</v>
      </c>
      <c r="R1540" s="171" t="s">
        <v>95</v>
      </c>
      <c r="S1540" s="31" t="s">
        <v>273</v>
      </c>
      <c r="T1540" s="31" t="s">
        <v>273</v>
      </c>
      <c r="U1540" s="31">
        <f>IFERROR(VLOOKUP(CONCATENATE(Tabla1[[#This Row],[Severidad]]," ",Tabla1[[#This Row],[Complejidad]]),Catalogos!E$120:G$128,3,FALSE),"")</f>
        <v>64</v>
      </c>
      <c r="V1540" s="31" t="str">
        <f>IF(Tabla1[[#This Row],[Tiempo solución max (hrs)]]&lt;&gt;"",IF(Tabla1[[#This Row],[Tiempo solución max (hrs)]]&gt;=Tabla1[[#This Row],[Tiempo
(Hrs 00/100)]],"cumple","no cumple"),"")</f>
        <v>cumple</v>
      </c>
      <c r="W1540" s="376" t="s">
        <v>1814</v>
      </c>
      <c r="X1540" s="377" t="str">
        <f t="shared" si="144"/>
        <v>SSI</v>
      </c>
      <c r="Y1540" t="str">
        <f>SUBSTITUTE(Tabla1[[#This Row],[Descripción]],CHAR(10),"    I    ")</f>
        <v>Se revisarón los ultimos detalles en lo documentado de los Query 1 de la Funcionalidad 10 en el documento 'PRO-AA-NN-P29-Reporte de Actividades'</v>
      </c>
      <c r="Z1540" s="142">
        <f>VLOOKUP(Tabla1[[#This Row],[Perfil]],Catalogos!$B$75:$D$100,3,FALSE)*Tabla1[[#This Row],[Tiempo
(Hrs 00/100)]]*1.16</f>
        <v>348</v>
      </c>
    </row>
    <row r="1541" spans="1:26" ht="15" customHeight="1" x14ac:dyDescent="0.3">
      <c r="A1541" s="373" t="s">
        <v>22</v>
      </c>
      <c r="B1541" s="184" t="s">
        <v>23</v>
      </c>
      <c r="C1541" s="183" t="s">
        <v>257</v>
      </c>
      <c r="D1541" s="373"/>
      <c r="E1541" s="373" t="s">
        <v>408</v>
      </c>
      <c r="F1541" s="373" t="s">
        <v>76</v>
      </c>
      <c r="G1541" s="370" t="s">
        <v>604</v>
      </c>
      <c r="H1541" s="461" t="s">
        <v>2267</v>
      </c>
      <c r="I1541" s="538" t="s">
        <v>2268</v>
      </c>
      <c r="J1541" s="706">
        <v>45166</v>
      </c>
      <c r="K1541" s="781">
        <v>0.6875</v>
      </c>
      <c r="L1541" s="706">
        <v>45166</v>
      </c>
      <c r="M1541" s="781">
        <v>0.70833333333333337</v>
      </c>
      <c r="N1541" s="373">
        <v>0.5</v>
      </c>
      <c r="O1541" s="184" t="s">
        <v>17</v>
      </c>
      <c r="P1541" s="375" t="s">
        <v>2144</v>
      </c>
      <c r="Q1541" s="746" t="s">
        <v>1441</v>
      </c>
      <c r="R1541" s="171" t="s">
        <v>95</v>
      </c>
      <c r="S1541" s="31" t="s">
        <v>273</v>
      </c>
      <c r="T1541" s="31" t="s">
        <v>273</v>
      </c>
      <c r="U1541" s="31">
        <f>IFERROR(VLOOKUP(CONCATENATE(Tabla1[[#This Row],[Severidad]]," ",Tabla1[[#This Row],[Complejidad]]),Catalogos!E$120:G$128,3,FALSE),"")</f>
        <v>64</v>
      </c>
      <c r="V1541" s="31" t="str">
        <f>IF(Tabla1[[#This Row],[Tiempo solución max (hrs)]]&lt;&gt;"",IF(Tabla1[[#This Row],[Tiempo solución max (hrs)]]&gt;=Tabla1[[#This Row],[Tiempo
(Hrs 00/100)]],"cumple","no cumple"),"")</f>
        <v>cumple</v>
      </c>
      <c r="W1541" s="376" t="s">
        <v>1814</v>
      </c>
      <c r="X1541" s="377" t="str">
        <f t="shared" si="144"/>
        <v>SSI</v>
      </c>
      <c r="Y1541" t="str">
        <f>SUBSTITUTE(Tabla1[[#This Row],[Descripción]],CHAR(10),"    I    ")</f>
        <v>Se revisarón los ultimos detalles en lo documentado de los Querys 1 y 2 de la Funcionalidad 11 en el documento 'PRO-AA-NN-P29-Reporte de Actividades'</v>
      </c>
      <c r="Z1541" s="142">
        <f>VLOOKUP(Tabla1[[#This Row],[Perfil]],Catalogos!$B$75:$D$100,3,FALSE)*Tabla1[[#This Row],[Tiempo
(Hrs 00/100)]]*1.16</f>
        <v>348</v>
      </c>
    </row>
    <row r="1542" spans="1:26" ht="15" customHeight="1" x14ac:dyDescent="0.3">
      <c r="A1542" s="373" t="s">
        <v>22</v>
      </c>
      <c r="B1542" s="184" t="s">
        <v>23</v>
      </c>
      <c r="C1542" s="183" t="s">
        <v>257</v>
      </c>
      <c r="D1542" s="373"/>
      <c r="E1542" s="373" t="s">
        <v>408</v>
      </c>
      <c r="F1542" s="373" t="s">
        <v>76</v>
      </c>
      <c r="G1542" s="370" t="s">
        <v>604</v>
      </c>
      <c r="H1542" s="461" t="s">
        <v>2269</v>
      </c>
      <c r="I1542" s="538" t="s">
        <v>2270</v>
      </c>
      <c r="J1542" s="706">
        <v>45166</v>
      </c>
      <c r="K1542" s="781">
        <v>0.70833333333333337</v>
      </c>
      <c r="L1542" s="706">
        <v>45166</v>
      </c>
      <c r="M1542" s="781">
        <v>0.72916666666666663</v>
      </c>
      <c r="N1542" s="373">
        <v>0.5</v>
      </c>
      <c r="O1542" s="184" t="s">
        <v>17</v>
      </c>
      <c r="P1542" s="375" t="s">
        <v>2144</v>
      </c>
      <c r="Q1542" s="746" t="s">
        <v>1441</v>
      </c>
      <c r="R1542" s="171" t="s">
        <v>95</v>
      </c>
      <c r="S1542" s="31" t="s">
        <v>273</v>
      </c>
      <c r="T1542" s="31" t="s">
        <v>273</v>
      </c>
      <c r="U1542" s="31">
        <f>IFERROR(VLOOKUP(CONCATENATE(Tabla1[[#This Row],[Severidad]]," ",Tabla1[[#This Row],[Complejidad]]),Catalogos!E$120:G$128,3,FALSE),"")</f>
        <v>64</v>
      </c>
      <c r="V1542" s="31" t="str">
        <f>IF(Tabla1[[#This Row],[Tiempo solución max (hrs)]]&lt;&gt;"",IF(Tabla1[[#This Row],[Tiempo solución max (hrs)]]&gt;=Tabla1[[#This Row],[Tiempo
(Hrs 00/100)]],"cumple","no cumple"),"")</f>
        <v>cumple</v>
      </c>
      <c r="W1542" s="376" t="s">
        <v>1814</v>
      </c>
      <c r="X1542" s="377" t="str">
        <f t="shared" si="144"/>
        <v>SSI</v>
      </c>
      <c r="Y1542" t="str">
        <f>SUBSTITUTE(Tabla1[[#This Row],[Descripción]],CHAR(10),"    I    ")</f>
        <v>Se revisarón los ultimos detalles en lo documentado de los Querys 3 y 4 de la Funcionalidad 11 en el documento 'PRO-AA-NN-P29-Reporte de Actividades'</v>
      </c>
      <c r="Z1542" s="142">
        <f>VLOOKUP(Tabla1[[#This Row],[Perfil]],Catalogos!$B$75:$D$100,3,FALSE)*Tabla1[[#This Row],[Tiempo
(Hrs 00/100)]]*1.16</f>
        <v>348</v>
      </c>
    </row>
    <row r="1543" spans="1:26" ht="15" customHeight="1" x14ac:dyDescent="0.3">
      <c r="A1543" s="373" t="s">
        <v>22</v>
      </c>
      <c r="B1543" s="184" t="s">
        <v>23</v>
      </c>
      <c r="C1543" s="183" t="s">
        <v>257</v>
      </c>
      <c r="D1543" s="373"/>
      <c r="E1543" s="373" t="s">
        <v>408</v>
      </c>
      <c r="F1543" s="373" t="s">
        <v>76</v>
      </c>
      <c r="G1543" s="370" t="s">
        <v>604</v>
      </c>
      <c r="H1543" s="461" t="s">
        <v>2271</v>
      </c>
      <c r="I1543" s="538" t="s">
        <v>2272</v>
      </c>
      <c r="J1543" s="706">
        <v>45167</v>
      </c>
      <c r="K1543" s="766">
        <v>0.375</v>
      </c>
      <c r="L1543" s="706">
        <v>45167</v>
      </c>
      <c r="M1543" s="766">
        <v>0.39583333333333331</v>
      </c>
      <c r="N1543" s="373">
        <v>0.5</v>
      </c>
      <c r="O1543" s="184" t="s">
        <v>17</v>
      </c>
      <c r="P1543" s="375" t="s">
        <v>2144</v>
      </c>
      <c r="Q1543" s="746" t="s">
        <v>1441</v>
      </c>
      <c r="R1543" s="171" t="s">
        <v>95</v>
      </c>
      <c r="S1543" s="31" t="s">
        <v>273</v>
      </c>
      <c r="T1543" s="31" t="s">
        <v>273</v>
      </c>
      <c r="U1543" s="31">
        <f>IFERROR(VLOOKUP(CONCATENATE(Tabla1[[#This Row],[Severidad]]," ",Tabla1[[#This Row],[Complejidad]]),Catalogos!E$120:G$128,3,FALSE),"")</f>
        <v>64</v>
      </c>
      <c r="V1543" s="31" t="str">
        <f>IF(Tabla1[[#This Row],[Tiempo solución max (hrs)]]&lt;&gt;"",IF(Tabla1[[#This Row],[Tiempo solución max (hrs)]]&gt;=Tabla1[[#This Row],[Tiempo
(Hrs 00/100)]],"cumple","no cumple"),"")</f>
        <v>cumple</v>
      </c>
      <c r="W1543" s="376" t="s">
        <v>1814</v>
      </c>
      <c r="X1543" s="377" t="str">
        <f t="shared" si="144"/>
        <v>SSI</v>
      </c>
      <c r="Y1543" t="str">
        <f>SUBSTITUTE(Tabla1[[#This Row],[Descripción]],CHAR(10),"    I    ")</f>
        <v>Se revisarón los ultimos detalles en lo documentado de los Querys 1 y 2 de la Funcionalidad 12 en el documento 'PRO-AA-NN-P29-Reporte de Actividades'</v>
      </c>
      <c r="Z1543" s="142">
        <f>VLOOKUP(Tabla1[[#This Row],[Perfil]],Catalogos!$B$75:$D$100,3,FALSE)*Tabla1[[#This Row],[Tiempo
(Hrs 00/100)]]*1.16</f>
        <v>348</v>
      </c>
    </row>
    <row r="1544" spans="1:26" ht="15" customHeight="1" x14ac:dyDescent="0.3">
      <c r="A1544" s="373" t="s">
        <v>22</v>
      </c>
      <c r="B1544" s="184" t="s">
        <v>23</v>
      </c>
      <c r="C1544" s="183" t="s">
        <v>257</v>
      </c>
      <c r="D1544" s="373"/>
      <c r="E1544" s="373" t="s">
        <v>408</v>
      </c>
      <c r="F1544" s="373" t="s">
        <v>76</v>
      </c>
      <c r="G1544" s="370" t="s">
        <v>604</v>
      </c>
      <c r="H1544" s="461" t="s">
        <v>2273</v>
      </c>
      <c r="I1544" s="538" t="s">
        <v>2274</v>
      </c>
      <c r="J1544" s="706">
        <v>45167</v>
      </c>
      <c r="K1544" s="766">
        <v>0.39583333333333331</v>
      </c>
      <c r="L1544" s="706">
        <v>45167</v>
      </c>
      <c r="M1544" s="764">
        <v>0.41666666666666669</v>
      </c>
      <c r="N1544" s="373">
        <v>0.5</v>
      </c>
      <c r="O1544" s="184" t="s">
        <v>17</v>
      </c>
      <c r="P1544" s="375" t="s">
        <v>2144</v>
      </c>
      <c r="Q1544" s="746" t="s">
        <v>1441</v>
      </c>
      <c r="R1544" s="171" t="s">
        <v>95</v>
      </c>
      <c r="S1544" s="31" t="s">
        <v>273</v>
      </c>
      <c r="T1544" s="31" t="s">
        <v>273</v>
      </c>
      <c r="U1544" s="31">
        <f>IFERROR(VLOOKUP(CONCATENATE(Tabla1[[#This Row],[Severidad]]," ",Tabla1[[#This Row],[Complejidad]]),Catalogos!E$120:G$128,3,FALSE),"")</f>
        <v>64</v>
      </c>
      <c r="V1544" s="31" t="str">
        <f>IF(Tabla1[[#This Row],[Tiempo solución max (hrs)]]&lt;&gt;"",IF(Tabla1[[#This Row],[Tiempo solución max (hrs)]]&gt;=Tabla1[[#This Row],[Tiempo
(Hrs 00/100)]],"cumple","no cumple"),"")</f>
        <v>cumple</v>
      </c>
      <c r="W1544" s="376" t="s">
        <v>1814</v>
      </c>
      <c r="X1544" s="377" t="str">
        <f t="shared" si="144"/>
        <v>SSI</v>
      </c>
      <c r="Y1544" t="str">
        <f>SUBSTITUTE(Tabla1[[#This Row],[Descripción]],CHAR(10),"    I    ")</f>
        <v>Se revisarón los ultimos detalles en lo documentado de los Querys 3 y 4 de la Funcionalidad 12 en el documento 'PRO-AA-NN-P29-Reporte de Actividades'</v>
      </c>
      <c r="Z1544" s="142">
        <f>VLOOKUP(Tabla1[[#This Row],[Perfil]],Catalogos!$B$75:$D$100,3,FALSE)*Tabla1[[#This Row],[Tiempo
(Hrs 00/100)]]*1.16</f>
        <v>348</v>
      </c>
    </row>
    <row r="1545" spans="1:26" ht="15" customHeight="1" x14ac:dyDescent="0.3">
      <c r="A1545" s="373" t="s">
        <v>22</v>
      </c>
      <c r="B1545" s="184" t="s">
        <v>23</v>
      </c>
      <c r="C1545" s="183" t="s">
        <v>257</v>
      </c>
      <c r="D1545" s="373"/>
      <c r="E1545" s="373" t="s">
        <v>408</v>
      </c>
      <c r="F1545" s="373" t="s">
        <v>76</v>
      </c>
      <c r="G1545" s="370" t="s">
        <v>604</v>
      </c>
      <c r="H1545" s="461" t="s">
        <v>2275</v>
      </c>
      <c r="I1545" s="538" t="s">
        <v>2276</v>
      </c>
      <c r="J1545" s="706">
        <v>45167</v>
      </c>
      <c r="K1545" s="764">
        <v>0.41666666666666669</v>
      </c>
      <c r="L1545" s="706">
        <v>45167</v>
      </c>
      <c r="M1545" s="765">
        <v>0.4375</v>
      </c>
      <c r="N1545" s="373">
        <v>0.5</v>
      </c>
      <c r="O1545" s="184" t="s">
        <v>17</v>
      </c>
      <c r="P1545" s="375" t="s">
        <v>2144</v>
      </c>
      <c r="Q1545" s="746" t="s">
        <v>1441</v>
      </c>
      <c r="R1545" s="171" t="s">
        <v>95</v>
      </c>
      <c r="S1545" s="31" t="s">
        <v>273</v>
      </c>
      <c r="T1545" s="31" t="s">
        <v>273</v>
      </c>
      <c r="U1545" s="31">
        <f>IFERROR(VLOOKUP(CONCATENATE(Tabla1[[#This Row],[Severidad]]," ",Tabla1[[#This Row],[Complejidad]]),Catalogos!E$120:G$128,3,FALSE),"")</f>
        <v>64</v>
      </c>
      <c r="V1545" s="31" t="str">
        <f>IF(Tabla1[[#This Row],[Tiempo solución max (hrs)]]&lt;&gt;"",IF(Tabla1[[#This Row],[Tiempo solución max (hrs)]]&gt;=Tabla1[[#This Row],[Tiempo
(Hrs 00/100)]],"cumple","no cumple"),"")</f>
        <v>cumple</v>
      </c>
      <c r="W1545" s="376" t="s">
        <v>1814</v>
      </c>
      <c r="X1545" s="377" t="str">
        <f t="shared" si="144"/>
        <v>SSI</v>
      </c>
      <c r="Y1545" t="str">
        <f>SUBSTITUTE(Tabla1[[#This Row],[Descripción]],CHAR(10),"    I    ")</f>
        <v>Se revisarón los ultimos detalles en lo documentado de los Querys del 1 al 3 de la Funcionalidad 13 en el documento 'PRO-AA-NN-P29-Reporte de Actividades'</v>
      </c>
      <c r="Z1545" s="142">
        <f>VLOOKUP(Tabla1[[#This Row],[Perfil]],Catalogos!$B$75:$D$100,3,FALSE)*Tabla1[[#This Row],[Tiempo
(Hrs 00/100)]]*1.16</f>
        <v>348</v>
      </c>
    </row>
    <row r="1546" spans="1:26" ht="15" customHeight="1" x14ac:dyDescent="0.3">
      <c r="A1546" s="373" t="s">
        <v>22</v>
      </c>
      <c r="B1546" s="184" t="s">
        <v>23</v>
      </c>
      <c r="C1546" s="183" t="s">
        <v>257</v>
      </c>
      <c r="D1546" s="373"/>
      <c r="E1546" s="373" t="s">
        <v>408</v>
      </c>
      <c r="F1546" s="373" t="s">
        <v>76</v>
      </c>
      <c r="G1546" s="370" t="s">
        <v>604</v>
      </c>
      <c r="H1546" s="461" t="s">
        <v>2277</v>
      </c>
      <c r="I1546" s="538" t="s">
        <v>2278</v>
      </c>
      <c r="J1546" s="706">
        <v>45167</v>
      </c>
      <c r="K1546" s="765">
        <v>0.4375</v>
      </c>
      <c r="L1546" s="706">
        <v>45167</v>
      </c>
      <c r="M1546" s="766">
        <v>0.45833333333333331</v>
      </c>
      <c r="N1546" s="373">
        <v>0.5</v>
      </c>
      <c r="O1546" s="184" t="s">
        <v>17</v>
      </c>
      <c r="P1546" s="375" t="s">
        <v>2144</v>
      </c>
      <c r="Q1546" s="746" t="s">
        <v>1441</v>
      </c>
      <c r="R1546" s="171" t="s">
        <v>95</v>
      </c>
      <c r="S1546" s="31" t="s">
        <v>273</v>
      </c>
      <c r="T1546" s="31" t="s">
        <v>273</v>
      </c>
      <c r="U1546" s="31">
        <f>IFERROR(VLOOKUP(CONCATENATE(Tabla1[[#This Row],[Severidad]]," ",Tabla1[[#This Row],[Complejidad]]),Catalogos!E$120:G$128,3,FALSE),"")</f>
        <v>64</v>
      </c>
      <c r="V1546" s="31" t="str">
        <f>IF(Tabla1[[#This Row],[Tiempo solución max (hrs)]]&lt;&gt;"",IF(Tabla1[[#This Row],[Tiempo solución max (hrs)]]&gt;=Tabla1[[#This Row],[Tiempo
(Hrs 00/100)]],"cumple","no cumple"),"")</f>
        <v>cumple</v>
      </c>
      <c r="W1546" s="376" t="s">
        <v>1814</v>
      </c>
      <c r="X1546" s="377" t="str">
        <f t="shared" si="144"/>
        <v>SSI</v>
      </c>
      <c r="Y1546" t="str">
        <f>SUBSTITUTE(Tabla1[[#This Row],[Descripción]],CHAR(10),"    I    ")</f>
        <v>Se revisarón los ultimos detalles en lo documentado de los Querys del 1 al 3 de la Funcionalidad 14 en el documento 'PRO-AA-NN-P29-Reporte de Actividades'</v>
      </c>
      <c r="Z1546" s="142">
        <f>VLOOKUP(Tabla1[[#This Row],[Perfil]],Catalogos!$B$75:$D$100,3,FALSE)*Tabla1[[#This Row],[Tiempo
(Hrs 00/100)]]*1.16</f>
        <v>348</v>
      </c>
    </row>
    <row r="1547" spans="1:26" ht="15" customHeight="1" x14ac:dyDescent="0.3">
      <c r="A1547" s="373" t="s">
        <v>22</v>
      </c>
      <c r="B1547" s="184" t="s">
        <v>23</v>
      </c>
      <c r="C1547" s="183" t="s">
        <v>257</v>
      </c>
      <c r="D1547" s="373"/>
      <c r="E1547" s="373" t="s">
        <v>408</v>
      </c>
      <c r="F1547" s="373" t="s">
        <v>76</v>
      </c>
      <c r="G1547" s="370" t="s">
        <v>604</v>
      </c>
      <c r="H1547" s="461" t="s">
        <v>2279</v>
      </c>
      <c r="I1547" s="538" t="s">
        <v>2280</v>
      </c>
      <c r="J1547" s="706">
        <v>45167</v>
      </c>
      <c r="K1547" s="766">
        <v>0.45833333333333331</v>
      </c>
      <c r="L1547" s="706">
        <v>45167</v>
      </c>
      <c r="M1547" s="766">
        <v>0.47916666666666669</v>
      </c>
      <c r="N1547" s="373">
        <v>0.5</v>
      </c>
      <c r="O1547" s="184" t="s">
        <v>17</v>
      </c>
      <c r="P1547" s="375" t="s">
        <v>2144</v>
      </c>
      <c r="Q1547" s="746" t="s">
        <v>1441</v>
      </c>
      <c r="R1547" s="171" t="s">
        <v>95</v>
      </c>
      <c r="S1547" s="31" t="s">
        <v>273</v>
      </c>
      <c r="T1547" s="31" t="s">
        <v>273</v>
      </c>
      <c r="U1547" s="31">
        <f>IFERROR(VLOOKUP(CONCATENATE(Tabla1[[#This Row],[Severidad]]," ",Tabla1[[#This Row],[Complejidad]]),Catalogos!E$120:G$128,3,FALSE),"")</f>
        <v>64</v>
      </c>
      <c r="V1547" s="31" t="str">
        <f>IF(Tabla1[[#This Row],[Tiempo solución max (hrs)]]&lt;&gt;"",IF(Tabla1[[#This Row],[Tiempo solución max (hrs)]]&gt;=Tabla1[[#This Row],[Tiempo
(Hrs 00/100)]],"cumple","no cumple"),"")</f>
        <v>cumple</v>
      </c>
      <c r="W1547" s="376" t="s">
        <v>1814</v>
      </c>
      <c r="X1547" s="377" t="str">
        <f t="shared" si="144"/>
        <v>SSI</v>
      </c>
      <c r="Y1547" t="str">
        <f>SUBSTITUTE(Tabla1[[#This Row],[Descripción]],CHAR(10),"    I    ")</f>
        <v>Se revisarón los ultimos detalles en lo documentado de los Querys 1 y 2 de la Funcionalidad 15 en el documento 'PRO-AA-NN-P29-Reporte de Actividades'</v>
      </c>
      <c r="Z1547" s="142">
        <f>VLOOKUP(Tabla1[[#This Row],[Perfil]],Catalogos!$B$75:$D$100,3,FALSE)*Tabla1[[#This Row],[Tiempo
(Hrs 00/100)]]*1.16</f>
        <v>348</v>
      </c>
    </row>
    <row r="1548" spans="1:26" ht="15" customHeight="1" x14ac:dyDescent="0.3">
      <c r="A1548" s="373" t="s">
        <v>22</v>
      </c>
      <c r="B1548" s="184" t="s">
        <v>23</v>
      </c>
      <c r="C1548" s="183" t="s">
        <v>257</v>
      </c>
      <c r="D1548" s="373"/>
      <c r="E1548" s="373" t="s">
        <v>408</v>
      </c>
      <c r="F1548" s="373" t="s">
        <v>76</v>
      </c>
      <c r="G1548" s="370" t="s">
        <v>604</v>
      </c>
      <c r="H1548" s="461" t="s">
        <v>2281</v>
      </c>
      <c r="I1548" s="538" t="s">
        <v>2282</v>
      </c>
      <c r="J1548" s="706">
        <v>45167</v>
      </c>
      <c r="K1548" s="766">
        <v>0.47916666666666669</v>
      </c>
      <c r="L1548" s="706">
        <v>45167</v>
      </c>
      <c r="M1548" s="766">
        <v>0.5</v>
      </c>
      <c r="N1548" s="373">
        <v>0.5</v>
      </c>
      <c r="O1548" s="184" t="s">
        <v>17</v>
      </c>
      <c r="P1548" s="375" t="s">
        <v>2144</v>
      </c>
      <c r="Q1548" s="746" t="s">
        <v>1441</v>
      </c>
      <c r="R1548" s="171" t="s">
        <v>95</v>
      </c>
      <c r="S1548" s="31" t="s">
        <v>273</v>
      </c>
      <c r="T1548" s="31" t="s">
        <v>273</v>
      </c>
      <c r="U1548" s="31">
        <f>IFERROR(VLOOKUP(CONCATENATE(Tabla1[[#This Row],[Severidad]]," ",Tabla1[[#This Row],[Complejidad]]),Catalogos!E$120:G$128,3,FALSE),"")</f>
        <v>64</v>
      </c>
      <c r="V1548" s="31" t="str">
        <f>IF(Tabla1[[#This Row],[Tiempo solución max (hrs)]]&lt;&gt;"",IF(Tabla1[[#This Row],[Tiempo solución max (hrs)]]&gt;=Tabla1[[#This Row],[Tiempo
(Hrs 00/100)]],"cumple","no cumple"),"")</f>
        <v>cumple</v>
      </c>
      <c r="W1548" s="376" t="s">
        <v>1814</v>
      </c>
      <c r="X1548" s="377" t="str">
        <f t="shared" si="144"/>
        <v>SSI</v>
      </c>
      <c r="Y1548" t="str">
        <f>SUBSTITUTE(Tabla1[[#This Row],[Descripción]],CHAR(10),"    I    ")</f>
        <v>Se revisarón los ultimos detalles en lo documentado de los Querys 3 y 4 de la Funcionalidad 15 en el documento 'PRO-AA-NN-P29-Reporte de Actividades'</v>
      </c>
      <c r="Z1548" s="142">
        <f>VLOOKUP(Tabla1[[#This Row],[Perfil]],Catalogos!$B$75:$D$100,3,FALSE)*Tabla1[[#This Row],[Tiempo
(Hrs 00/100)]]*1.16</f>
        <v>348</v>
      </c>
    </row>
    <row r="1549" spans="1:26" ht="15" customHeight="1" x14ac:dyDescent="0.3">
      <c r="A1549" s="373" t="s">
        <v>22</v>
      </c>
      <c r="B1549" s="184" t="s">
        <v>23</v>
      </c>
      <c r="C1549" s="183" t="s">
        <v>257</v>
      </c>
      <c r="D1549" s="373"/>
      <c r="E1549" s="373" t="s">
        <v>408</v>
      </c>
      <c r="F1549" s="373" t="s">
        <v>76</v>
      </c>
      <c r="G1549" s="370" t="s">
        <v>604</v>
      </c>
      <c r="H1549" s="461" t="s">
        <v>2283</v>
      </c>
      <c r="I1549" s="178" t="s">
        <v>2284</v>
      </c>
      <c r="J1549" s="706">
        <v>45167</v>
      </c>
      <c r="K1549" s="766">
        <v>0.5</v>
      </c>
      <c r="L1549" s="706">
        <v>45167</v>
      </c>
      <c r="M1549" s="766">
        <v>0.52083333333333337</v>
      </c>
      <c r="N1549" s="373">
        <v>0.5</v>
      </c>
      <c r="O1549" s="184" t="s">
        <v>17</v>
      </c>
      <c r="P1549" s="375" t="s">
        <v>2144</v>
      </c>
      <c r="Q1549" s="746" t="s">
        <v>1441</v>
      </c>
      <c r="R1549" s="171" t="s">
        <v>95</v>
      </c>
      <c r="S1549" s="31" t="s">
        <v>273</v>
      </c>
      <c r="T1549" s="31" t="s">
        <v>273</v>
      </c>
      <c r="U1549" s="31">
        <f>IFERROR(VLOOKUP(CONCATENATE(Tabla1[[#This Row],[Severidad]]," ",Tabla1[[#This Row],[Complejidad]]),Catalogos!E$120:G$128,3,FALSE),"")</f>
        <v>64</v>
      </c>
      <c r="V1549" s="31" t="str">
        <f>IF(Tabla1[[#This Row],[Tiempo solución max (hrs)]]&lt;&gt;"",IF(Tabla1[[#This Row],[Tiempo solución max (hrs)]]&gt;=Tabla1[[#This Row],[Tiempo
(Hrs 00/100)]],"cumple","no cumple"),"")</f>
        <v>cumple</v>
      </c>
      <c r="W1549" s="376" t="s">
        <v>1814</v>
      </c>
      <c r="X1549" s="377" t="str">
        <f t="shared" si="144"/>
        <v>SSI</v>
      </c>
      <c r="Y1549" t="str">
        <f>SUBSTITUTE(Tabla1[[#This Row],[Descripción]],CHAR(10),"    I    ")</f>
        <v>Se revisarón los ultimos detalles en lo documentado de los Querys del 1 al 3 de la Funcionalidad 16 en el documento 'PRO-AA-NN-P29-Reporte de Actividades'</v>
      </c>
      <c r="Z1549" s="142">
        <f>VLOOKUP(Tabla1[[#This Row],[Perfil]],Catalogos!$B$75:$D$100,3,FALSE)*Tabla1[[#This Row],[Tiempo
(Hrs 00/100)]]*1.16</f>
        <v>348</v>
      </c>
    </row>
    <row r="1550" spans="1:26" ht="15" customHeight="1" x14ac:dyDescent="0.3">
      <c r="A1550" s="373" t="s">
        <v>22</v>
      </c>
      <c r="B1550" s="184" t="s">
        <v>305</v>
      </c>
      <c r="C1550" s="183" t="s">
        <v>257</v>
      </c>
      <c r="D1550" s="373"/>
      <c r="E1550" s="373" t="s">
        <v>408</v>
      </c>
      <c r="F1550" s="373" t="s">
        <v>72</v>
      </c>
      <c r="G1550" s="370" t="s">
        <v>604</v>
      </c>
      <c r="H1550" s="461" t="s">
        <v>2285</v>
      </c>
      <c r="I1550" s="178" t="s">
        <v>2286</v>
      </c>
      <c r="J1550" s="706">
        <v>45167</v>
      </c>
      <c r="K1550" s="766">
        <v>0.52083333333333337</v>
      </c>
      <c r="L1550" s="706">
        <v>45167</v>
      </c>
      <c r="M1550" s="766">
        <v>0.54166666666666663</v>
      </c>
      <c r="N1550" s="373">
        <v>0.5</v>
      </c>
      <c r="O1550" s="184" t="s">
        <v>17</v>
      </c>
      <c r="P1550" s="375" t="s">
        <v>2287</v>
      </c>
      <c r="Q1550" s="746" t="s">
        <v>1441</v>
      </c>
      <c r="R1550" s="171" t="s">
        <v>95</v>
      </c>
      <c r="S1550" s="31" t="s">
        <v>273</v>
      </c>
      <c r="T1550" s="31" t="s">
        <v>273</v>
      </c>
      <c r="U1550" s="31">
        <f>IFERROR(VLOOKUP(CONCATENATE(Tabla1[[#This Row],[Severidad]]," ",Tabla1[[#This Row],[Complejidad]]),Catalogos!E$120:G$128,3,FALSE),"")</f>
        <v>64</v>
      </c>
      <c r="V1550" s="31" t="str">
        <f>IF(Tabla1[[#This Row],[Tiempo solución max (hrs)]]&lt;&gt;"",IF(Tabla1[[#This Row],[Tiempo solución max (hrs)]]&gt;=Tabla1[[#This Row],[Tiempo
(Hrs 00/100)]],"cumple","no cumple"),"")</f>
        <v>cumple</v>
      </c>
      <c r="W1550" s="376" t="s">
        <v>1814</v>
      </c>
      <c r="X1550" s="377" t="str">
        <f t="shared" si="144"/>
        <v>SSI</v>
      </c>
      <c r="Y1550" t="str">
        <f>SUBSTITUTE(Tabla1[[#This Row],[Descripción]],CHAR(10),"    I    ")</f>
        <v>Se revisó documentación '1. Overview of SODA' de liga compartida de Simple Oracle Document Access (SODA)</v>
      </c>
      <c r="Z1550" s="142">
        <f>VLOOKUP(Tabla1[[#This Row],[Perfil]],Catalogos!$B$75:$D$100,3,FALSE)*Tabla1[[#This Row],[Tiempo
(Hrs 00/100)]]*1.16</f>
        <v>348</v>
      </c>
    </row>
    <row r="1551" spans="1:26" ht="15" customHeight="1" x14ac:dyDescent="0.3">
      <c r="A1551" s="373" t="s">
        <v>22</v>
      </c>
      <c r="B1551" s="184" t="s">
        <v>305</v>
      </c>
      <c r="C1551" s="183" t="s">
        <v>257</v>
      </c>
      <c r="D1551" s="373"/>
      <c r="E1551" s="373" t="s">
        <v>408</v>
      </c>
      <c r="F1551" s="373" t="s">
        <v>72</v>
      </c>
      <c r="G1551" s="370" t="s">
        <v>604</v>
      </c>
      <c r="H1551" s="461" t="s">
        <v>2288</v>
      </c>
      <c r="I1551" s="178" t="s">
        <v>2289</v>
      </c>
      <c r="J1551" s="706">
        <v>45167</v>
      </c>
      <c r="K1551" s="766">
        <v>0.54166666666666663</v>
      </c>
      <c r="L1551" s="706">
        <v>45167</v>
      </c>
      <c r="M1551" s="766">
        <v>0.5625</v>
      </c>
      <c r="N1551" s="373">
        <v>0.5</v>
      </c>
      <c r="O1551" s="184" t="s">
        <v>17</v>
      </c>
      <c r="P1551" s="375" t="s">
        <v>2287</v>
      </c>
      <c r="Q1551" s="746" t="s">
        <v>1441</v>
      </c>
      <c r="R1551" s="171" t="s">
        <v>95</v>
      </c>
      <c r="S1551" s="31" t="s">
        <v>273</v>
      </c>
      <c r="T1551" s="31" t="s">
        <v>273</v>
      </c>
      <c r="U1551" s="31">
        <f>IFERROR(VLOOKUP(CONCATENATE(Tabla1[[#This Row],[Severidad]]," ",Tabla1[[#This Row],[Complejidad]]),Catalogos!E$120:G$128,3,FALSE),"")</f>
        <v>64</v>
      </c>
      <c r="V1551" s="31" t="str">
        <f>IF(Tabla1[[#This Row],[Tiempo solución max (hrs)]]&lt;&gt;"",IF(Tabla1[[#This Row],[Tiempo solución max (hrs)]]&gt;=Tabla1[[#This Row],[Tiempo
(Hrs 00/100)]],"cumple","no cumple"),"")</f>
        <v>cumple</v>
      </c>
      <c r="W1551" s="376" t="s">
        <v>1814</v>
      </c>
      <c r="X1551" s="377" t="str">
        <f t="shared" si="144"/>
        <v>SSI</v>
      </c>
      <c r="Y1551" t="str">
        <f>SUBSTITUTE(Tabla1[[#This Row],[Descripción]],CHAR(10),"    I    ")</f>
        <v>Se revisó documentación '1.1 Overview of SODA Documents' de liga compartida de Simple Oracle Document Access (SODA)</v>
      </c>
      <c r="Z1551" s="142">
        <f>VLOOKUP(Tabla1[[#This Row],[Perfil]],Catalogos!$B$75:$D$100,3,FALSE)*Tabla1[[#This Row],[Tiempo
(Hrs 00/100)]]*1.16</f>
        <v>348</v>
      </c>
    </row>
    <row r="1552" spans="1:26" ht="15" customHeight="1" x14ac:dyDescent="0.3">
      <c r="A1552" s="373" t="s">
        <v>22</v>
      </c>
      <c r="B1552" s="184" t="s">
        <v>305</v>
      </c>
      <c r="C1552" s="183" t="s">
        <v>257</v>
      </c>
      <c r="D1552" s="373"/>
      <c r="E1552" s="373" t="s">
        <v>408</v>
      </c>
      <c r="F1552" s="373" t="s">
        <v>72</v>
      </c>
      <c r="G1552" s="370" t="s">
        <v>604</v>
      </c>
      <c r="H1552" s="461" t="s">
        <v>2290</v>
      </c>
      <c r="I1552" s="178" t="s">
        <v>2291</v>
      </c>
      <c r="J1552" s="706">
        <v>45167</v>
      </c>
      <c r="K1552" s="766">
        <v>0.5625</v>
      </c>
      <c r="L1552" s="706">
        <v>45167</v>
      </c>
      <c r="M1552" s="766">
        <v>0.58333333333333337</v>
      </c>
      <c r="N1552" s="373">
        <v>0.5</v>
      </c>
      <c r="O1552" s="184" t="s">
        <v>17</v>
      </c>
      <c r="P1552" s="375" t="s">
        <v>2287</v>
      </c>
      <c r="Q1552" s="746" t="s">
        <v>1441</v>
      </c>
      <c r="R1552" s="171" t="s">
        <v>95</v>
      </c>
      <c r="S1552" s="31" t="s">
        <v>273</v>
      </c>
      <c r="T1552" s="31" t="s">
        <v>273</v>
      </c>
      <c r="U1552" s="31">
        <f>IFERROR(VLOOKUP(CONCATENATE(Tabla1[[#This Row],[Severidad]]," ",Tabla1[[#This Row],[Complejidad]]),Catalogos!E$120:G$128,3,FALSE),"")</f>
        <v>64</v>
      </c>
      <c r="V1552" s="31" t="str">
        <f>IF(Tabla1[[#This Row],[Tiempo solución max (hrs)]]&lt;&gt;"",IF(Tabla1[[#This Row],[Tiempo solución max (hrs)]]&gt;=Tabla1[[#This Row],[Tiempo
(Hrs 00/100)]],"cumple","no cumple"),"")</f>
        <v>cumple</v>
      </c>
      <c r="W1552" s="376" t="s">
        <v>1814</v>
      </c>
      <c r="X1552" s="377" t="str">
        <f t="shared" si="144"/>
        <v>SSI</v>
      </c>
      <c r="Y1552" t="str">
        <f>SUBSTITUTE(Tabla1[[#This Row],[Descripción]],CHAR(10),"    I    ")</f>
        <v>Se revisó documentación '1.2 Overview of SODA Document Collections' de liga compartida de Simple Oracle Document Access (SODA)</v>
      </c>
      <c r="Z1552" s="142">
        <f>VLOOKUP(Tabla1[[#This Row],[Perfil]],Catalogos!$B$75:$D$100,3,FALSE)*Tabla1[[#This Row],[Tiempo
(Hrs 00/100)]]*1.16</f>
        <v>348</v>
      </c>
    </row>
    <row r="1553" spans="1:26" ht="15" customHeight="1" x14ac:dyDescent="0.3">
      <c r="A1553" s="373" t="s">
        <v>22</v>
      </c>
      <c r="B1553" s="184" t="s">
        <v>305</v>
      </c>
      <c r="C1553" s="183" t="s">
        <v>257</v>
      </c>
      <c r="D1553" s="373"/>
      <c r="E1553" s="373" t="s">
        <v>408</v>
      </c>
      <c r="F1553" s="373" t="s">
        <v>72</v>
      </c>
      <c r="G1553" s="370" t="s">
        <v>604</v>
      </c>
      <c r="H1553" s="461" t="s">
        <v>2292</v>
      </c>
      <c r="I1553" s="178" t="s">
        <v>2293</v>
      </c>
      <c r="J1553" s="706">
        <v>45167</v>
      </c>
      <c r="K1553" s="766">
        <v>0.58333333333333337</v>
      </c>
      <c r="L1553" s="706">
        <v>45167</v>
      </c>
      <c r="M1553" s="781">
        <v>0.60416666666666663</v>
      </c>
      <c r="N1553" s="373">
        <v>0.5</v>
      </c>
      <c r="O1553" s="184" t="s">
        <v>17</v>
      </c>
      <c r="P1553" s="375" t="s">
        <v>2287</v>
      </c>
      <c r="Q1553" s="746" t="s">
        <v>1441</v>
      </c>
      <c r="R1553" s="171" t="s">
        <v>95</v>
      </c>
      <c r="S1553" s="31" t="s">
        <v>273</v>
      </c>
      <c r="T1553" s="31" t="s">
        <v>273</v>
      </c>
      <c r="U1553" s="31">
        <f>IFERROR(VLOOKUP(CONCATENATE(Tabla1[[#This Row],[Severidad]]," ",Tabla1[[#This Row],[Complejidad]]),Catalogos!E$120:G$128,3,FALSE),"")</f>
        <v>64</v>
      </c>
      <c r="V1553" s="31" t="str">
        <f>IF(Tabla1[[#This Row],[Tiempo solución max (hrs)]]&lt;&gt;"",IF(Tabla1[[#This Row],[Tiempo solución max (hrs)]]&gt;=Tabla1[[#This Row],[Tiempo
(Hrs 00/100)]],"cumple","no cumple"),"")</f>
        <v>cumple</v>
      </c>
      <c r="W1553" s="376" t="s">
        <v>1814</v>
      </c>
      <c r="X1553" s="377" t="str">
        <f t="shared" si="144"/>
        <v>SSI</v>
      </c>
      <c r="Y1553" t="str">
        <f>SUBSTITUTE(Tabla1[[#This Row],[Descripción]],CHAR(10),"    I    ")</f>
        <v>Se revisó documentación '1.3 Default Naming of a Collection Table' de liga compartida de Simple Oracle Document Access (SODA)</v>
      </c>
      <c r="Z1553" s="142">
        <f>VLOOKUP(Tabla1[[#This Row],[Perfil]],Catalogos!$B$75:$D$100,3,FALSE)*Tabla1[[#This Row],[Tiempo
(Hrs 00/100)]]*1.16</f>
        <v>348</v>
      </c>
    </row>
    <row r="1554" spans="1:26" ht="15" customHeight="1" x14ac:dyDescent="0.3">
      <c r="A1554" s="373" t="s">
        <v>22</v>
      </c>
      <c r="B1554" s="184" t="s">
        <v>305</v>
      </c>
      <c r="C1554" s="183" t="s">
        <v>257</v>
      </c>
      <c r="D1554" s="373"/>
      <c r="E1554" s="373" t="s">
        <v>408</v>
      </c>
      <c r="F1554" s="373" t="s">
        <v>72</v>
      </c>
      <c r="G1554" s="370" t="s">
        <v>604</v>
      </c>
      <c r="H1554" s="461" t="s">
        <v>2294</v>
      </c>
      <c r="I1554" s="178" t="s">
        <v>2295</v>
      </c>
      <c r="J1554" s="706">
        <v>45167</v>
      </c>
      <c r="K1554" s="766">
        <v>0.66666666666666663</v>
      </c>
      <c r="L1554" s="706">
        <v>45167</v>
      </c>
      <c r="M1554" s="781">
        <v>0.6875</v>
      </c>
      <c r="N1554" s="373">
        <v>0.5</v>
      </c>
      <c r="O1554" s="184" t="s">
        <v>17</v>
      </c>
      <c r="P1554" s="375" t="s">
        <v>2287</v>
      </c>
      <c r="Q1554" s="746" t="s">
        <v>1441</v>
      </c>
      <c r="R1554" s="171" t="s">
        <v>95</v>
      </c>
      <c r="S1554" s="31" t="s">
        <v>273</v>
      </c>
      <c r="T1554" s="31" t="s">
        <v>273</v>
      </c>
      <c r="U1554" s="31">
        <f>IFERROR(VLOOKUP(CONCATENATE(Tabla1[[#This Row],[Severidad]]," ",Tabla1[[#This Row],[Complejidad]]),Catalogos!E$120:G$128,3,FALSE),"")</f>
        <v>64</v>
      </c>
      <c r="V1554" s="31" t="str">
        <f>IF(Tabla1[[#This Row],[Tiempo solución max (hrs)]]&lt;&gt;"",IF(Tabla1[[#This Row],[Tiempo solución max (hrs)]]&gt;=Tabla1[[#This Row],[Tiempo
(Hrs 00/100)]],"cumple","no cumple"),"")</f>
        <v>cumple</v>
      </c>
      <c r="W1554" s="376" t="s">
        <v>1814</v>
      </c>
      <c r="X1554" s="377" t="str">
        <f t="shared" ref="X1554:X1576" si="146">IF(C1554&lt;&gt;"",C1554,D1554)</f>
        <v>SSI</v>
      </c>
      <c r="Y1554" t="str">
        <f>SUBSTITUTE(Tabla1[[#This Row],[Descripción]],CHAR(10),"    I    ")</f>
        <v>Se revisó documentación '1.4 A View of Your SODA Collections' de liga compartida de Simple Oracle Document Access (SODA)</v>
      </c>
      <c r="Z1554" s="142">
        <f>VLOOKUP(Tabla1[[#This Row],[Perfil]],Catalogos!$B$75:$D$100,3,FALSE)*Tabla1[[#This Row],[Tiempo
(Hrs 00/100)]]*1.16</f>
        <v>348</v>
      </c>
    </row>
    <row r="1555" spans="1:26" ht="15" customHeight="1" x14ac:dyDescent="0.3">
      <c r="A1555" s="373" t="s">
        <v>22</v>
      </c>
      <c r="B1555" s="184" t="s">
        <v>305</v>
      </c>
      <c r="C1555" s="183" t="s">
        <v>257</v>
      </c>
      <c r="D1555" s="373"/>
      <c r="E1555" s="373" t="s">
        <v>408</v>
      </c>
      <c r="F1555" s="373" t="s">
        <v>72</v>
      </c>
      <c r="G1555" s="370" t="s">
        <v>604</v>
      </c>
      <c r="H1555" s="461" t="s">
        <v>2296</v>
      </c>
      <c r="I1555" s="178" t="s">
        <v>2297</v>
      </c>
      <c r="J1555" s="706">
        <v>45167</v>
      </c>
      <c r="K1555" s="781">
        <v>0.6875</v>
      </c>
      <c r="L1555" s="706">
        <v>45167</v>
      </c>
      <c r="M1555" s="781">
        <v>0.70833333333333337</v>
      </c>
      <c r="N1555" s="373">
        <v>0.5</v>
      </c>
      <c r="O1555" s="184" t="s">
        <v>17</v>
      </c>
      <c r="P1555" s="375" t="s">
        <v>2287</v>
      </c>
      <c r="Q1555" s="746" t="s">
        <v>1441</v>
      </c>
      <c r="R1555" s="171" t="s">
        <v>95</v>
      </c>
      <c r="S1555" s="31" t="s">
        <v>273</v>
      </c>
      <c r="T1555" s="31" t="s">
        <v>273</v>
      </c>
      <c r="U1555" s="31">
        <f>IFERROR(VLOOKUP(CONCATENATE(Tabla1[[#This Row],[Severidad]]," ",Tabla1[[#This Row],[Complejidad]]),Catalogos!E$120:G$128,3,FALSE),"")</f>
        <v>64</v>
      </c>
      <c r="V1555" s="31" t="str">
        <f>IF(Tabla1[[#This Row],[Tiempo solución max (hrs)]]&lt;&gt;"",IF(Tabla1[[#This Row],[Tiempo solución max (hrs)]]&gt;=Tabla1[[#This Row],[Tiempo
(Hrs 00/100)]],"cumple","no cumple"),"")</f>
        <v>cumple</v>
      </c>
      <c r="W1555" s="376" t="s">
        <v>1814</v>
      </c>
      <c r="X1555" s="377" t="str">
        <f t="shared" si="146"/>
        <v>SSI</v>
      </c>
      <c r="Y1555" t="str">
        <f>SUBSTITUTE(Tabla1[[#This Row],[Descripción]],CHAR(10),"    I    ")</f>
        <v>Se revisó documentación '1.5 Monitoring SODA Operation Performance' de liga compartida de Simple Oracle Document Access (SODA)</v>
      </c>
      <c r="Z1555" s="142">
        <f>VLOOKUP(Tabla1[[#This Row],[Perfil]],Catalogos!$B$75:$D$100,3,FALSE)*Tabla1[[#This Row],[Tiempo
(Hrs 00/100)]]*1.16</f>
        <v>348</v>
      </c>
    </row>
    <row r="1556" spans="1:26" ht="15" customHeight="1" x14ac:dyDescent="0.3">
      <c r="A1556" s="373" t="s">
        <v>22</v>
      </c>
      <c r="B1556" s="184" t="s">
        <v>305</v>
      </c>
      <c r="C1556" s="183" t="s">
        <v>257</v>
      </c>
      <c r="D1556" s="373"/>
      <c r="E1556" s="373" t="s">
        <v>408</v>
      </c>
      <c r="F1556" s="373" t="s">
        <v>72</v>
      </c>
      <c r="G1556" s="370" t="s">
        <v>604</v>
      </c>
      <c r="H1556" s="461" t="s">
        <v>2298</v>
      </c>
      <c r="I1556" s="178" t="s">
        <v>2299</v>
      </c>
      <c r="J1556" s="706">
        <v>45168</v>
      </c>
      <c r="K1556" s="766">
        <v>0.375</v>
      </c>
      <c r="L1556" s="706">
        <v>45168</v>
      </c>
      <c r="M1556" s="766">
        <v>0.39583333333333331</v>
      </c>
      <c r="N1556" s="373">
        <v>0.5</v>
      </c>
      <c r="O1556" s="184" t="s">
        <v>17</v>
      </c>
      <c r="P1556" s="375" t="s">
        <v>2300</v>
      </c>
      <c r="Q1556" s="746" t="s">
        <v>1441</v>
      </c>
      <c r="R1556" s="171" t="s">
        <v>95</v>
      </c>
      <c r="S1556" s="31" t="s">
        <v>273</v>
      </c>
      <c r="T1556" s="31" t="s">
        <v>273</v>
      </c>
      <c r="U1556" s="31">
        <f>IFERROR(VLOOKUP(CONCATENATE(Tabla1[[#This Row],[Severidad]]," ",Tabla1[[#This Row],[Complejidad]]),Catalogos!E$120:G$128,3,FALSE),"")</f>
        <v>64</v>
      </c>
      <c r="V1556" s="31" t="str">
        <f>IF(Tabla1[[#This Row],[Tiempo solución max (hrs)]]&lt;&gt;"",IF(Tabla1[[#This Row],[Tiempo solución max (hrs)]]&gt;=Tabla1[[#This Row],[Tiempo
(Hrs 00/100)]],"cumple","no cumple"),"")</f>
        <v>cumple</v>
      </c>
      <c r="W1556" s="376" t="s">
        <v>1814</v>
      </c>
      <c r="X1556" s="377" t="str">
        <f t="shared" si="146"/>
        <v>SSI</v>
      </c>
      <c r="Y1556" t="str">
        <f>SUBSTITUTE(Tabla1[[#This Row],[Descripción]],CHAR(10),"    I    ")</f>
        <v>Se revisó documentación '2 Overview of SODA Filter Specifications (QBEs)' de liga compartida de Simple Oracle Document Access (SODA)</v>
      </c>
      <c r="Z1556" s="142">
        <f>VLOOKUP(Tabla1[[#This Row],[Perfil]],Catalogos!$B$75:$D$100,3,FALSE)*Tabla1[[#This Row],[Tiempo
(Hrs 00/100)]]*1.16</f>
        <v>348</v>
      </c>
    </row>
    <row r="1557" spans="1:26" ht="15" customHeight="1" x14ac:dyDescent="0.3">
      <c r="A1557" s="373" t="s">
        <v>22</v>
      </c>
      <c r="B1557" s="184" t="s">
        <v>305</v>
      </c>
      <c r="C1557" s="183" t="s">
        <v>257</v>
      </c>
      <c r="D1557" s="373"/>
      <c r="E1557" s="373" t="s">
        <v>408</v>
      </c>
      <c r="F1557" s="373" t="s">
        <v>72</v>
      </c>
      <c r="G1557" s="370" t="s">
        <v>604</v>
      </c>
      <c r="H1557" s="461" t="s">
        <v>2301</v>
      </c>
      <c r="I1557" s="178" t="s">
        <v>2302</v>
      </c>
      <c r="J1557" s="706">
        <v>45168</v>
      </c>
      <c r="K1557" s="766">
        <v>0.39583333333333331</v>
      </c>
      <c r="L1557" s="706">
        <v>45168</v>
      </c>
      <c r="M1557" s="764">
        <v>0.41666666666666669</v>
      </c>
      <c r="N1557" s="373">
        <v>0.5</v>
      </c>
      <c r="O1557" s="184" t="s">
        <v>17</v>
      </c>
      <c r="P1557" s="375" t="s">
        <v>2300</v>
      </c>
      <c r="Q1557" s="746" t="s">
        <v>1441</v>
      </c>
      <c r="R1557" s="171" t="s">
        <v>95</v>
      </c>
      <c r="S1557" s="31" t="s">
        <v>273</v>
      </c>
      <c r="T1557" s="31" t="s">
        <v>273</v>
      </c>
      <c r="U1557" s="31">
        <f>IFERROR(VLOOKUP(CONCATENATE(Tabla1[[#This Row],[Severidad]]," ",Tabla1[[#This Row],[Complejidad]]),Catalogos!E$120:G$128,3,FALSE),"")</f>
        <v>64</v>
      </c>
      <c r="V1557" s="31" t="str">
        <f>IF(Tabla1[[#This Row],[Tiempo solución max (hrs)]]&lt;&gt;"",IF(Tabla1[[#This Row],[Tiempo solución max (hrs)]]&gt;=Tabla1[[#This Row],[Tiempo
(Hrs 00/100)]],"cumple","no cumple"),"")</f>
        <v>cumple</v>
      </c>
      <c r="W1557" s="376" t="s">
        <v>1814</v>
      </c>
      <c r="X1557" s="377" t="str">
        <f t="shared" si="146"/>
        <v>SSI</v>
      </c>
      <c r="Y1557" t="str">
        <f>SUBSTITUTE(Tabla1[[#This Row],[Descripción]],CHAR(10),"    I    ")</f>
        <v>Se revisó documentación '2.1 Sample JSON Documents' de liga compartida de Simple Oracle Document Access (SODA)</v>
      </c>
      <c r="Z1557" s="142">
        <f>VLOOKUP(Tabla1[[#This Row],[Perfil]],Catalogos!$B$75:$D$100,3,FALSE)*Tabla1[[#This Row],[Tiempo
(Hrs 00/100)]]*1.16</f>
        <v>348</v>
      </c>
    </row>
    <row r="1558" spans="1:26" ht="15" customHeight="1" x14ac:dyDescent="0.3">
      <c r="A1558" s="373" t="s">
        <v>22</v>
      </c>
      <c r="B1558" s="184" t="s">
        <v>305</v>
      </c>
      <c r="C1558" s="183" t="s">
        <v>257</v>
      </c>
      <c r="D1558" s="373"/>
      <c r="E1558" s="373" t="s">
        <v>408</v>
      </c>
      <c r="F1558" s="373" t="s">
        <v>72</v>
      </c>
      <c r="G1558" s="370" t="s">
        <v>604</v>
      </c>
      <c r="H1558" s="461" t="s">
        <v>2303</v>
      </c>
      <c r="I1558" s="178" t="s">
        <v>2304</v>
      </c>
      <c r="J1558" s="706">
        <v>45168</v>
      </c>
      <c r="K1558" s="764">
        <v>0.41666666666666669</v>
      </c>
      <c r="L1558" s="706">
        <v>45168</v>
      </c>
      <c r="M1558" s="765">
        <v>0.4375</v>
      </c>
      <c r="N1558" s="373">
        <v>0.5</v>
      </c>
      <c r="O1558" s="184" t="s">
        <v>17</v>
      </c>
      <c r="P1558" s="375" t="s">
        <v>2300</v>
      </c>
      <c r="Q1558" s="746" t="s">
        <v>1441</v>
      </c>
      <c r="R1558" s="171" t="s">
        <v>95</v>
      </c>
      <c r="S1558" s="31" t="s">
        <v>273</v>
      </c>
      <c r="T1558" s="31" t="s">
        <v>273</v>
      </c>
      <c r="U1558" s="31">
        <f>IFERROR(VLOOKUP(CONCATENATE(Tabla1[[#This Row],[Severidad]]," ",Tabla1[[#This Row],[Complejidad]]),Catalogos!E$120:G$128,3,FALSE),"")</f>
        <v>64</v>
      </c>
      <c r="V1558" s="31" t="str">
        <f>IF(Tabla1[[#This Row],[Tiempo solución max (hrs)]]&lt;&gt;"",IF(Tabla1[[#This Row],[Tiempo solución max (hrs)]]&gt;=Tabla1[[#This Row],[Tiempo
(Hrs 00/100)]],"cumple","no cumple"),"")</f>
        <v>cumple</v>
      </c>
      <c r="W1558" s="376" t="s">
        <v>1814</v>
      </c>
      <c r="X1558" s="377" t="str">
        <f t="shared" si="146"/>
        <v>SSI</v>
      </c>
      <c r="Y1558" t="str">
        <f>SUBSTITUTE(Tabla1[[#This Row],[Descripción]],CHAR(10),"    I    ")</f>
        <v>Se revisó documentación '2.2 Overview of Paths in SODA QBEs' de liga compartida de Simple Oracle Document Access (SODA)</v>
      </c>
      <c r="Z1558" s="142">
        <f>VLOOKUP(Tabla1[[#This Row],[Perfil]],Catalogos!$B$75:$D$100,3,FALSE)*Tabla1[[#This Row],[Tiempo
(Hrs 00/100)]]*1.16</f>
        <v>348</v>
      </c>
    </row>
    <row r="1559" spans="1:26" ht="15" customHeight="1" x14ac:dyDescent="0.3">
      <c r="A1559" s="373" t="s">
        <v>22</v>
      </c>
      <c r="B1559" s="184" t="s">
        <v>305</v>
      </c>
      <c r="C1559" s="183" t="s">
        <v>257</v>
      </c>
      <c r="D1559" s="373"/>
      <c r="E1559" s="373" t="s">
        <v>408</v>
      </c>
      <c r="F1559" s="373" t="s">
        <v>72</v>
      </c>
      <c r="G1559" s="370" t="s">
        <v>604</v>
      </c>
      <c r="H1559" s="461" t="s">
        <v>2305</v>
      </c>
      <c r="I1559" s="178" t="s">
        <v>2306</v>
      </c>
      <c r="J1559" s="706">
        <v>45168</v>
      </c>
      <c r="K1559" s="765">
        <v>0.4375</v>
      </c>
      <c r="L1559" s="706">
        <v>45168</v>
      </c>
      <c r="M1559" s="766">
        <v>0.45833333333333331</v>
      </c>
      <c r="N1559" s="373">
        <v>0.5</v>
      </c>
      <c r="O1559" s="184" t="s">
        <v>17</v>
      </c>
      <c r="P1559" s="375" t="s">
        <v>2300</v>
      </c>
      <c r="Q1559" s="746" t="s">
        <v>1441</v>
      </c>
      <c r="R1559" s="171" t="s">
        <v>95</v>
      </c>
      <c r="S1559" s="31" t="s">
        <v>273</v>
      </c>
      <c r="T1559" s="31" t="s">
        <v>273</v>
      </c>
      <c r="U1559" s="31">
        <f>IFERROR(VLOOKUP(CONCATENATE(Tabla1[[#This Row],[Severidad]]," ",Tabla1[[#This Row],[Complejidad]]),Catalogos!E$120:G$128,3,FALSE),"")</f>
        <v>64</v>
      </c>
      <c r="V1559" s="31" t="str">
        <f>IF(Tabla1[[#This Row],[Tiempo solución max (hrs)]]&lt;&gt;"",IF(Tabla1[[#This Row],[Tiempo solución max (hrs)]]&gt;=Tabla1[[#This Row],[Tiempo
(Hrs 00/100)]],"cumple","no cumple"),"")</f>
        <v>cumple</v>
      </c>
      <c r="W1559" s="376" t="s">
        <v>1814</v>
      </c>
      <c r="X1559" s="377" t="str">
        <f t="shared" si="146"/>
        <v>SSI</v>
      </c>
      <c r="Y1559" t="str">
        <f>SUBSTITUTE(Tabla1[[#This Row],[Descripción]],CHAR(10),"    I    ")</f>
        <v>Se revisó documentación '2.3 Overview of QBE Comparison Operators' de liga compartida de Simple Oracle Document Access (SODA)</v>
      </c>
      <c r="Z1559" s="142">
        <f>VLOOKUP(Tabla1[[#This Row],[Perfil]],Catalogos!$B$75:$D$100,3,FALSE)*Tabla1[[#This Row],[Tiempo
(Hrs 00/100)]]*1.16</f>
        <v>348</v>
      </c>
    </row>
    <row r="1560" spans="1:26" ht="15" customHeight="1" x14ac:dyDescent="0.3">
      <c r="A1560" s="373" t="s">
        <v>22</v>
      </c>
      <c r="B1560" s="184" t="s">
        <v>305</v>
      </c>
      <c r="C1560" s="183" t="s">
        <v>257</v>
      </c>
      <c r="D1560" s="373"/>
      <c r="E1560" s="373" t="s">
        <v>408</v>
      </c>
      <c r="F1560" s="373" t="s">
        <v>72</v>
      </c>
      <c r="G1560" s="370" t="s">
        <v>604</v>
      </c>
      <c r="H1560" s="461" t="s">
        <v>2307</v>
      </c>
      <c r="I1560" s="178" t="s">
        <v>2308</v>
      </c>
      <c r="J1560" s="706">
        <v>45168</v>
      </c>
      <c r="K1560" s="766">
        <v>0.45833333333333331</v>
      </c>
      <c r="L1560" s="706">
        <v>45168</v>
      </c>
      <c r="M1560" s="766">
        <v>0.47916666666666669</v>
      </c>
      <c r="N1560" s="373">
        <v>0.5</v>
      </c>
      <c r="O1560" s="184" t="s">
        <v>17</v>
      </c>
      <c r="P1560" s="375" t="s">
        <v>2300</v>
      </c>
      <c r="Q1560" s="746" t="s">
        <v>1441</v>
      </c>
      <c r="R1560" s="171" t="s">
        <v>95</v>
      </c>
      <c r="S1560" s="31" t="s">
        <v>273</v>
      </c>
      <c r="T1560" s="31" t="s">
        <v>273</v>
      </c>
      <c r="U1560" s="31">
        <f>IFERROR(VLOOKUP(CONCATENATE(Tabla1[[#This Row],[Severidad]]," ",Tabla1[[#This Row],[Complejidad]]),Catalogos!E$120:G$128,3,FALSE),"")</f>
        <v>64</v>
      </c>
      <c r="V1560" s="31" t="str">
        <f>IF(Tabla1[[#This Row],[Tiempo solución max (hrs)]]&lt;&gt;"",IF(Tabla1[[#This Row],[Tiempo solución max (hrs)]]&gt;=Tabla1[[#This Row],[Tiempo
(Hrs 00/100)]],"cumple","no cumple"),"")</f>
        <v>cumple</v>
      </c>
      <c r="W1560" s="376" t="s">
        <v>1814</v>
      </c>
      <c r="X1560" s="377" t="str">
        <f t="shared" si="146"/>
        <v>SSI</v>
      </c>
      <c r="Y1560" t="str">
        <f>SUBSTITUTE(Tabla1[[#This Row],[Descripción]],CHAR(10),"    I    ")</f>
        <v>Se revisó documentación '2.4 Overview of QBE Operator $not' de liga compartida de Simple Oracle Document Access (SODA)</v>
      </c>
      <c r="Z1560" s="142">
        <f>VLOOKUP(Tabla1[[#This Row],[Perfil]],Catalogos!$B$75:$D$100,3,FALSE)*Tabla1[[#This Row],[Tiempo
(Hrs 00/100)]]*1.16</f>
        <v>348</v>
      </c>
    </row>
    <row r="1561" spans="1:26" ht="15" customHeight="1" x14ac:dyDescent="0.3">
      <c r="A1561" s="373" t="s">
        <v>22</v>
      </c>
      <c r="B1561" s="184" t="s">
        <v>305</v>
      </c>
      <c r="C1561" s="183" t="s">
        <v>257</v>
      </c>
      <c r="D1561" s="373"/>
      <c r="E1561" s="373" t="s">
        <v>408</v>
      </c>
      <c r="F1561" s="373" t="s">
        <v>72</v>
      </c>
      <c r="G1561" s="370" t="s">
        <v>604</v>
      </c>
      <c r="H1561" s="461" t="s">
        <v>2309</v>
      </c>
      <c r="I1561" s="178" t="s">
        <v>2310</v>
      </c>
      <c r="J1561" s="706">
        <v>45168</v>
      </c>
      <c r="K1561" s="766">
        <v>0.47916666666666669</v>
      </c>
      <c r="L1561" s="706">
        <v>45168</v>
      </c>
      <c r="M1561" s="766">
        <v>0.5</v>
      </c>
      <c r="N1561" s="373">
        <v>0.5</v>
      </c>
      <c r="O1561" s="184" t="s">
        <v>17</v>
      </c>
      <c r="P1561" s="375" t="s">
        <v>2300</v>
      </c>
      <c r="Q1561" s="746" t="s">
        <v>1441</v>
      </c>
      <c r="R1561" s="171" t="s">
        <v>95</v>
      </c>
      <c r="S1561" s="31" t="s">
        <v>273</v>
      </c>
      <c r="T1561" s="31" t="s">
        <v>273</v>
      </c>
      <c r="U1561" s="31">
        <f>IFERROR(VLOOKUP(CONCATENATE(Tabla1[[#This Row],[Severidad]]," ",Tabla1[[#This Row],[Complejidad]]),Catalogos!E$120:G$128,3,FALSE),"")</f>
        <v>64</v>
      </c>
      <c r="V1561" s="31" t="str">
        <f>IF(Tabla1[[#This Row],[Tiempo solución max (hrs)]]&lt;&gt;"",IF(Tabla1[[#This Row],[Tiempo solución max (hrs)]]&gt;=Tabla1[[#This Row],[Tiempo
(Hrs 00/100)]],"cumple","no cumple"),"")</f>
        <v>cumple</v>
      </c>
      <c r="W1561" s="376" t="s">
        <v>1814</v>
      </c>
      <c r="X1561" s="377" t="str">
        <f t="shared" si="146"/>
        <v>SSI</v>
      </c>
      <c r="Y1561" t="str">
        <f>SUBSTITUTE(Tabla1[[#This Row],[Descripción]],CHAR(10),"    I    ")</f>
        <v>Se revisó documentación '2.5 Overview of QBE Item-Method Operators' de liga compartida de Simple Oracle Document Access (SODA)</v>
      </c>
      <c r="Z1561" s="142">
        <f>VLOOKUP(Tabla1[[#This Row],[Perfil]],Catalogos!$B$75:$D$100,3,FALSE)*Tabla1[[#This Row],[Tiempo
(Hrs 00/100)]]*1.16</f>
        <v>348</v>
      </c>
    </row>
    <row r="1562" spans="1:26" ht="15" customHeight="1" x14ac:dyDescent="0.3">
      <c r="A1562" s="373" t="s">
        <v>22</v>
      </c>
      <c r="B1562" s="184" t="s">
        <v>305</v>
      </c>
      <c r="C1562" s="183" t="s">
        <v>257</v>
      </c>
      <c r="D1562" s="373"/>
      <c r="E1562" s="373" t="s">
        <v>408</v>
      </c>
      <c r="F1562" s="373" t="s">
        <v>72</v>
      </c>
      <c r="G1562" s="370" t="s">
        <v>604</v>
      </c>
      <c r="H1562" s="461" t="s">
        <v>2311</v>
      </c>
      <c r="I1562" s="178" t="s">
        <v>2312</v>
      </c>
      <c r="J1562" s="706">
        <v>45168</v>
      </c>
      <c r="K1562" s="766">
        <v>0.5</v>
      </c>
      <c r="L1562" s="706">
        <v>45168</v>
      </c>
      <c r="M1562" s="766">
        <v>0.52083333333333337</v>
      </c>
      <c r="N1562" s="373">
        <v>0.5</v>
      </c>
      <c r="O1562" s="184" t="s">
        <v>17</v>
      </c>
      <c r="P1562" s="375" t="s">
        <v>2300</v>
      </c>
      <c r="Q1562" s="746" t="s">
        <v>1441</v>
      </c>
      <c r="R1562" s="171" t="s">
        <v>95</v>
      </c>
      <c r="S1562" s="31" t="s">
        <v>273</v>
      </c>
      <c r="T1562" s="31" t="s">
        <v>273</v>
      </c>
      <c r="U1562" s="31">
        <f>IFERROR(VLOOKUP(CONCATENATE(Tabla1[[#This Row],[Severidad]]," ",Tabla1[[#This Row],[Complejidad]]),Catalogos!E$120:G$128,3,FALSE),"")</f>
        <v>64</v>
      </c>
      <c r="V1562" s="31" t="str">
        <f>IF(Tabla1[[#This Row],[Tiempo solución max (hrs)]]&lt;&gt;"",IF(Tabla1[[#This Row],[Tiempo solución max (hrs)]]&gt;=Tabla1[[#This Row],[Tiempo
(Hrs 00/100)]],"cumple","no cumple"),"")</f>
        <v>cumple</v>
      </c>
      <c r="W1562" s="376" t="s">
        <v>1814</v>
      </c>
      <c r="X1562" s="377" t="str">
        <f t="shared" si="146"/>
        <v>SSI</v>
      </c>
      <c r="Y1562" t="str">
        <f>SUBSTITUTE(Tabla1[[#This Row],[Descripción]],CHAR(10),"    I    ")</f>
        <v>Se revisó documentación '2.6 Overview of QBE Logical Combining Operators' de liga compartida de Simple Oracle Document Access (SODA)</v>
      </c>
      <c r="Z1562" s="142">
        <f>VLOOKUP(Tabla1[[#This Row],[Perfil]],Catalogos!$B$75:$D$100,3,FALSE)*Tabla1[[#This Row],[Tiempo
(Hrs 00/100)]]*1.16</f>
        <v>348</v>
      </c>
    </row>
    <row r="1563" spans="1:26" ht="15" customHeight="1" x14ac:dyDescent="0.3">
      <c r="A1563" s="373" t="s">
        <v>22</v>
      </c>
      <c r="B1563" s="184" t="s">
        <v>305</v>
      </c>
      <c r="C1563" s="183" t="s">
        <v>257</v>
      </c>
      <c r="D1563" s="373"/>
      <c r="E1563" s="373" t="s">
        <v>408</v>
      </c>
      <c r="F1563" s="373" t="s">
        <v>72</v>
      </c>
      <c r="G1563" s="370" t="s">
        <v>604</v>
      </c>
      <c r="H1563" s="461" t="s">
        <v>2313</v>
      </c>
      <c r="I1563" s="178" t="s">
        <v>2314</v>
      </c>
      <c r="J1563" s="706">
        <v>45168</v>
      </c>
      <c r="K1563" s="766">
        <v>0.52083333333333337</v>
      </c>
      <c r="L1563" s="706">
        <v>45168</v>
      </c>
      <c r="M1563" s="766">
        <v>0.54166666666666663</v>
      </c>
      <c r="N1563" s="373">
        <v>0.5</v>
      </c>
      <c r="O1563" s="184" t="s">
        <v>17</v>
      </c>
      <c r="P1563" s="375" t="s">
        <v>2300</v>
      </c>
      <c r="Q1563" s="746" t="s">
        <v>1441</v>
      </c>
      <c r="R1563" s="171" t="s">
        <v>95</v>
      </c>
      <c r="S1563" s="31" t="s">
        <v>273</v>
      </c>
      <c r="T1563" s="31" t="s">
        <v>273</v>
      </c>
      <c r="U1563" s="31">
        <f>IFERROR(VLOOKUP(CONCATENATE(Tabla1[[#This Row],[Severidad]]," ",Tabla1[[#This Row],[Complejidad]]),Catalogos!E$120:G$128,3,FALSE),"")</f>
        <v>64</v>
      </c>
      <c r="V1563" s="31" t="str">
        <f>IF(Tabla1[[#This Row],[Tiempo solución max (hrs)]]&lt;&gt;"",IF(Tabla1[[#This Row],[Tiempo solución max (hrs)]]&gt;=Tabla1[[#This Row],[Tiempo
(Hrs 00/100)]],"cumple","no cumple"),"")</f>
        <v>cumple</v>
      </c>
      <c r="W1563" s="376" t="s">
        <v>1814</v>
      </c>
      <c r="X1563" s="377" t="str">
        <f t="shared" si="146"/>
        <v>SSI</v>
      </c>
      <c r="Y1563" t="str">
        <f>SUBSTITUTE(Tabla1[[#This Row],[Descripción]],CHAR(10),"    I    ")</f>
        <v>Se revisó documentación '2.7 Overview of Nested Conditions in QBEs' de liga compartida de Simple Oracle Document Access (SODA)</v>
      </c>
      <c r="Z1563" s="142">
        <f>VLOOKUP(Tabla1[[#This Row],[Perfil]],Catalogos!$B$75:$D$100,3,FALSE)*Tabla1[[#This Row],[Tiempo
(Hrs 00/100)]]*1.16</f>
        <v>348</v>
      </c>
    </row>
    <row r="1564" spans="1:26" ht="15" customHeight="1" x14ac:dyDescent="0.3">
      <c r="A1564" s="373" t="s">
        <v>22</v>
      </c>
      <c r="B1564" s="184" t="s">
        <v>305</v>
      </c>
      <c r="C1564" s="183" t="s">
        <v>257</v>
      </c>
      <c r="D1564" s="373"/>
      <c r="E1564" s="373" t="s">
        <v>408</v>
      </c>
      <c r="F1564" s="373" t="s">
        <v>72</v>
      </c>
      <c r="G1564" s="370" t="s">
        <v>604</v>
      </c>
      <c r="H1564" s="461" t="s">
        <v>2315</v>
      </c>
      <c r="I1564" s="178" t="s">
        <v>2316</v>
      </c>
      <c r="J1564" s="706">
        <v>45168</v>
      </c>
      <c r="K1564" s="766">
        <v>0.54166666666666663</v>
      </c>
      <c r="L1564" s="706">
        <v>45168</v>
      </c>
      <c r="M1564" s="766">
        <v>0.5625</v>
      </c>
      <c r="N1564" s="373">
        <v>0.5</v>
      </c>
      <c r="O1564" s="184" t="s">
        <v>17</v>
      </c>
      <c r="P1564" s="375" t="s">
        <v>2300</v>
      </c>
      <c r="Q1564" s="746" t="s">
        <v>1441</v>
      </c>
      <c r="R1564" s="171" t="s">
        <v>95</v>
      </c>
      <c r="S1564" s="31" t="s">
        <v>273</v>
      </c>
      <c r="T1564" s="31" t="s">
        <v>273</v>
      </c>
      <c r="U1564" s="31">
        <f>IFERROR(VLOOKUP(CONCATENATE(Tabla1[[#This Row],[Severidad]]," ",Tabla1[[#This Row],[Complejidad]]),Catalogos!E$120:G$128,3,FALSE),"")</f>
        <v>64</v>
      </c>
      <c r="V1564" s="31" t="str">
        <f>IF(Tabla1[[#This Row],[Tiempo solución max (hrs)]]&lt;&gt;"",IF(Tabla1[[#This Row],[Tiempo solución max (hrs)]]&gt;=Tabla1[[#This Row],[Tiempo
(Hrs 00/100)]],"cumple","no cumple"),"")</f>
        <v>cumple</v>
      </c>
      <c r="W1564" s="376" t="s">
        <v>1814</v>
      </c>
      <c r="X1564" s="377" t="str">
        <f t="shared" si="146"/>
        <v>SSI</v>
      </c>
      <c r="Y1564" t="str">
        <f>SUBSTITUTE(Tabla1[[#This Row],[Descripción]],CHAR(10),"    I    ")</f>
        <v>Se revisó documentación '2.8 Overview of QBE Operator $id' de liga compartida de Simple Oracle Document Access (SODA)</v>
      </c>
      <c r="Z1564" s="142">
        <f>VLOOKUP(Tabla1[[#This Row],[Perfil]],Catalogos!$B$75:$D$100,3,FALSE)*Tabla1[[#This Row],[Tiempo
(Hrs 00/100)]]*1.16</f>
        <v>348</v>
      </c>
    </row>
    <row r="1565" spans="1:26" ht="15" customHeight="1" x14ac:dyDescent="0.3">
      <c r="A1565" s="373" t="s">
        <v>22</v>
      </c>
      <c r="B1565" s="184" t="s">
        <v>305</v>
      </c>
      <c r="C1565" s="183" t="s">
        <v>257</v>
      </c>
      <c r="D1565" s="373"/>
      <c r="E1565" s="373" t="s">
        <v>408</v>
      </c>
      <c r="F1565" s="373" t="s">
        <v>72</v>
      </c>
      <c r="G1565" s="370" t="s">
        <v>604</v>
      </c>
      <c r="H1565" s="461" t="s">
        <v>2317</v>
      </c>
      <c r="I1565" s="178" t="s">
        <v>2318</v>
      </c>
      <c r="J1565" s="706">
        <v>45168</v>
      </c>
      <c r="K1565" s="766">
        <v>0.5625</v>
      </c>
      <c r="L1565" s="706">
        <v>45168</v>
      </c>
      <c r="M1565" s="766">
        <v>0.58333333333333337</v>
      </c>
      <c r="N1565" s="373">
        <v>0.5</v>
      </c>
      <c r="O1565" s="184" t="s">
        <v>17</v>
      </c>
      <c r="P1565" s="375" t="s">
        <v>2300</v>
      </c>
      <c r="Q1565" s="746" t="s">
        <v>1441</v>
      </c>
      <c r="R1565" s="171" t="s">
        <v>95</v>
      </c>
      <c r="S1565" s="31" t="s">
        <v>273</v>
      </c>
      <c r="T1565" s="31" t="s">
        <v>273</v>
      </c>
      <c r="U1565" s="31">
        <f>IFERROR(VLOOKUP(CONCATENATE(Tabla1[[#This Row],[Severidad]]," ",Tabla1[[#This Row],[Complejidad]]),Catalogos!E$120:G$128,3,FALSE),"")</f>
        <v>64</v>
      </c>
      <c r="V1565" s="31" t="str">
        <f>IF(Tabla1[[#This Row],[Tiempo solución max (hrs)]]&lt;&gt;"",IF(Tabla1[[#This Row],[Tiempo solución max (hrs)]]&gt;=Tabla1[[#This Row],[Tiempo
(Hrs 00/100)]],"cumple","no cumple"),"")</f>
        <v>cumple</v>
      </c>
      <c r="W1565" s="376" t="s">
        <v>1814</v>
      </c>
      <c r="X1565" s="377" t="str">
        <f t="shared" si="146"/>
        <v>SSI</v>
      </c>
      <c r="Y1565" t="str">
        <f>SUBSTITUTE(Tabla1[[#This Row],[Descripción]],CHAR(10),"    I    ")</f>
        <v>Se revisó documentación '2.9 Overview of QBE Operator $orderby' de liga compartida de Simple Oracle Document Access (SODA)</v>
      </c>
      <c r="Z1565" s="142">
        <f>VLOOKUP(Tabla1[[#This Row],[Perfil]],Catalogos!$B$75:$D$100,3,FALSE)*Tabla1[[#This Row],[Tiempo
(Hrs 00/100)]]*1.16</f>
        <v>348</v>
      </c>
    </row>
    <row r="1566" spans="1:26" ht="15" customHeight="1" x14ac:dyDescent="0.3">
      <c r="A1566" s="373" t="s">
        <v>22</v>
      </c>
      <c r="B1566" s="184" t="s">
        <v>305</v>
      </c>
      <c r="C1566" s="183" t="s">
        <v>257</v>
      </c>
      <c r="D1566" s="373"/>
      <c r="E1566" s="373" t="s">
        <v>408</v>
      </c>
      <c r="F1566" s="373" t="s">
        <v>72</v>
      </c>
      <c r="G1566" s="370" t="s">
        <v>604</v>
      </c>
      <c r="H1566" s="461" t="s">
        <v>2319</v>
      </c>
      <c r="I1566" s="178" t="s">
        <v>2320</v>
      </c>
      <c r="J1566" s="706">
        <v>45168</v>
      </c>
      <c r="K1566" s="766">
        <v>0.58333333333333337</v>
      </c>
      <c r="L1566" s="706">
        <v>45168</v>
      </c>
      <c r="M1566" s="781">
        <v>0.60416666666666663</v>
      </c>
      <c r="N1566" s="373">
        <v>0.5</v>
      </c>
      <c r="O1566" s="184" t="s">
        <v>17</v>
      </c>
      <c r="P1566" s="375" t="s">
        <v>2300</v>
      </c>
      <c r="Q1566" s="746" t="s">
        <v>1441</v>
      </c>
      <c r="R1566" s="171" t="s">
        <v>95</v>
      </c>
      <c r="S1566" s="31" t="s">
        <v>273</v>
      </c>
      <c r="T1566" s="31" t="s">
        <v>273</v>
      </c>
      <c r="U1566" s="31">
        <f>IFERROR(VLOOKUP(CONCATENATE(Tabla1[[#This Row],[Severidad]]," ",Tabla1[[#This Row],[Complejidad]]),Catalogos!E$120:G$128,3,FALSE),"")</f>
        <v>64</v>
      </c>
      <c r="V1566" s="31" t="str">
        <f>IF(Tabla1[[#This Row],[Tiempo solución max (hrs)]]&lt;&gt;"",IF(Tabla1[[#This Row],[Tiempo solución max (hrs)]]&gt;=Tabla1[[#This Row],[Tiempo
(Hrs 00/100)]],"cumple","no cumple"),"")</f>
        <v>cumple</v>
      </c>
      <c r="W1566" s="376" t="s">
        <v>1814</v>
      </c>
      <c r="X1566" s="377" t="str">
        <f t="shared" si="146"/>
        <v>SSI</v>
      </c>
      <c r="Y1566" t="str">
        <f>SUBSTITUTE(Tabla1[[#This Row],[Descripción]],CHAR(10),"    I    ")</f>
        <v>Se revisó documentación '2.10 Overview of QBE Spatial Operators' de liga compartida de Simple Oracle Document Access (SODA)</v>
      </c>
      <c r="Z1566" s="142">
        <f>VLOOKUP(Tabla1[[#This Row],[Perfil]],Catalogos!$B$75:$D$100,3,FALSE)*Tabla1[[#This Row],[Tiempo
(Hrs 00/100)]]*1.16</f>
        <v>348</v>
      </c>
    </row>
    <row r="1567" spans="1:26" ht="15" customHeight="1" x14ac:dyDescent="0.3">
      <c r="A1567" s="373" t="s">
        <v>22</v>
      </c>
      <c r="B1567" s="184" t="s">
        <v>305</v>
      </c>
      <c r="C1567" s="183" t="s">
        <v>257</v>
      </c>
      <c r="D1567" s="373"/>
      <c r="E1567" s="373" t="s">
        <v>408</v>
      </c>
      <c r="F1567" s="373" t="s">
        <v>72</v>
      </c>
      <c r="G1567" s="370" t="s">
        <v>604</v>
      </c>
      <c r="H1567" s="461" t="s">
        <v>2321</v>
      </c>
      <c r="I1567" s="178" t="s">
        <v>2322</v>
      </c>
      <c r="J1567" s="706">
        <v>45169</v>
      </c>
      <c r="K1567" s="766">
        <v>0.375</v>
      </c>
      <c r="L1567" s="706">
        <v>45169</v>
      </c>
      <c r="M1567" s="766">
        <v>0.39583333333333331</v>
      </c>
      <c r="N1567" s="373">
        <v>0.5</v>
      </c>
      <c r="O1567" s="184" t="s">
        <v>17</v>
      </c>
      <c r="P1567" s="375" t="s">
        <v>2300</v>
      </c>
      <c r="Q1567" s="746" t="s">
        <v>1441</v>
      </c>
      <c r="R1567" s="171" t="s">
        <v>95</v>
      </c>
      <c r="S1567" s="31" t="s">
        <v>273</v>
      </c>
      <c r="T1567" s="31" t="s">
        <v>273</v>
      </c>
      <c r="U1567" s="31">
        <f>IFERROR(VLOOKUP(CONCATENATE(Tabla1[[#This Row],[Severidad]]," ",Tabla1[[#This Row],[Complejidad]]),Catalogos!E$120:G$128,3,FALSE),"")</f>
        <v>64</v>
      </c>
      <c r="V1567" s="31" t="str">
        <f>IF(Tabla1[[#This Row],[Tiempo solución max (hrs)]]&lt;&gt;"",IF(Tabla1[[#This Row],[Tiempo solución max (hrs)]]&gt;=Tabla1[[#This Row],[Tiempo
(Hrs 00/100)]],"cumple","no cumple"),"")</f>
        <v>cumple</v>
      </c>
      <c r="W1567" s="376" t="s">
        <v>1814</v>
      </c>
      <c r="X1567" s="377" t="str">
        <f t="shared" si="146"/>
        <v>SSI</v>
      </c>
      <c r="Y1567" t="str">
        <f>SUBSTITUTE(Tabla1[[#This Row],[Descripción]],CHAR(10),"    I    ")</f>
        <v>Se revisó documentación '2.11 Overview of QBE Operator $contains' de liga compartida de Simple Oracle Document Access (SODA)</v>
      </c>
      <c r="Z1567" s="142">
        <f>VLOOKUP(Tabla1[[#This Row],[Perfil]],Catalogos!$B$75:$D$100,3,FALSE)*Tabla1[[#This Row],[Tiempo
(Hrs 00/100)]]*1.16</f>
        <v>348</v>
      </c>
    </row>
    <row r="1568" spans="1:26" ht="15" customHeight="1" x14ac:dyDescent="0.3">
      <c r="A1568" s="373" t="s">
        <v>22</v>
      </c>
      <c r="B1568" s="184" t="s">
        <v>305</v>
      </c>
      <c r="C1568" s="183" t="s">
        <v>257</v>
      </c>
      <c r="D1568" s="373"/>
      <c r="E1568" s="373" t="s">
        <v>408</v>
      </c>
      <c r="F1568" s="373" t="s">
        <v>72</v>
      </c>
      <c r="G1568" s="370" t="s">
        <v>604</v>
      </c>
      <c r="H1568" s="461" t="s">
        <v>2323</v>
      </c>
      <c r="I1568" s="178" t="s">
        <v>2324</v>
      </c>
      <c r="J1568" s="706">
        <v>45169</v>
      </c>
      <c r="K1568" s="766">
        <v>0.39583333333333331</v>
      </c>
      <c r="L1568" s="706">
        <v>45169</v>
      </c>
      <c r="M1568" s="764">
        <v>0.41666666666666669</v>
      </c>
      <c r="N1568" s="373">
        <v>0.5</v>
      </c>
      <c r="O1568" s="184" t="s">
        <v>17</v>
      </c>
      <c r="P1568" s="375" t="s">
        <v>2300</v>
      </c>
      <c r="Q1568" s="746" t="s">
        <v>1441</v>
      </c>
      <c r="R1568" s="171" t="s">
        <v>95</v>
      </c>
      <c r="S1568" s="31" t="s">
        <v>273</v>
      </c>
      <c r="T1568" s="31" t="s">
        <v>273</v>
      </c>
      <c r="U1568" s="31">
        <f>IFERROR(VLOOKUP(CONCATENATE(Tabla1[[#This Row],[Severidad]]," ",Tabla1[[#This Row],[Complejidad]]),Catalogos!E$120:G$128,3,FALSE),"")</f>
        <v>64</v>
      </c>
      <c r="V1568" s="31" t="str">
        <f>IF(Tabla1[[#This Row],[Tiempo solución max (hrs)]]&lt;&gt;"",IF(Tabla1[[#This Row],[Tiempo solución max (hrs)]]&gt;=Tabla1[[#This Row],[Tiempo
(Hrs 00/100)]],"cumple","no cumple"),"")</f>
        <v>cumple</v>
      </c>
      <c r="W1568" s="376" t="s">
        <v>1814</v>
      </c>
      <c r="X1568" s="377" t="str">
        <f t="shared" si="146"/>
        <v>SSI</v>
      </c>
      <c r="Y1568" t="str">
        <f>SUBSTITUTE(Tabla1[[#This Row],[Descripción]],CHAR(10),"    I    ")</f>
        <v>Se revisó documentación '2.12 Overview of QBE Operator $textContains' de liga compartida de Simple Oracle Document Access (SODA)</v>
      </c>
      <c r="Z1568" s="142">
        <f>VLOOKUP(Tabla1[[#This Row],[Perfil]],Catalogos!$B$75:$D$100,3,FALSE)*Tabla1[[#This Row],[Tiempo
(Hrs 00/100)]]*1.16</f>
        <v>348</v>
      </c>
    </row>
    <row r="1569" spans="1:26" ht="15" customHeight="1" x14ac:dyDescent="0.3">
      <c r="A1569" s="370" t="s">
        <v>22</v>
      </c>
      <c r="B1569" s="370" t="s">
        <v>305</v>
      </c>
      <c r="C1569" s="205" t="s">
        <v>257</v>
      </c>
      <c r="D1569" s="370"/>
      <c r="E1569" s="370" t="s">
        <v>408</v>
      </c>
      <c r="F1569" s="370" t="s">
        <v>72</v>
      </c>
      <c r="G1569" s="370" t="s">
        <v>604</v>
      </c>
      <c r="H1569" s="461" t="s">
        <v>2325</v>
      </c>
      <c r="I1569" s="371" t="s">
        <v>2326</v>
      </c>
      <c r="J1569" s="369">
        <v>45169</v>
      </c>
      <c r="K1569" s="764">
        <v>0.41666666666666669</v>
      </c>
      <c r="L1569" s="369">
        <v>45169</v>
      </c>
      <c r="M1569" s="765">
        <v>0.4375</v>
      </c>
      <c r="N1569" s="373">
        <v>0.5</v>
      </c>
      <c r="O1569" s="374" t="s">
        <v>17</v>
      </c>
      <c r="P1569" s="375" t="s">
        <v>2327</v>
      </c>
      <c r="Q1569" s="744" t="s">
        <v>1441</v>
      </c>
      <c r="R1569" s="202" t="s">
        <v>95</v>
      </c>
      <c r="S1569" s="31" t="s">
        <v>273</v>
      </c>
      <c r="T1569" s="31" t="s">
        <v>273</v>
      </c>
      <c r="U1569" s="31">
        <f>IFERROR(VLOOKUP(CONCATENATE(Tabla1[[#This Row],[Severidad]]," ",Tabla1[[#This Row],[Complejidad]]),Catalogos!E$120:G$128,3,FALSE),"")</f>
        <v>64</v>
      </c>
      <c r="V1569" s="31" t="str">
        <f>IF(Tabla1[[#This Row],[Tiempo solución max (hrs)]]&lt;&gt;"",IF(Tabla1[[#This Row],[Tiempo solución max (hrs)]]&gt;=Tabla1[[#This Row],[Tiempo
(Hrs 00/100)]],"cumple","no cumple"),"")</f>
        <v>cumple</v>
      </c>
      <c r="W1569" s="376" t="s">
        <v>1814</v>
      </c>
      <c r="X1569" s="377" t="str">
        <f t="shared" si="146"/>
        <v>SSI</v>
      </c>
      <c r="Y1569" t="str">
        <f>SUBSTITUTE(Tabla1[[#This Row],[Descripción]],CHAR(10),"    I    ")</f>
        <v>Se revisó documentación '6 SODA Index Specifications (Reference)' de liga compartida de Simple Oracle Document Access (SODA)</v>
      </c>
      <c r="Z1569" s="142">
        <f>VLOOKUP(Tabla1[[#This Row],[Perfil]],Catalogos!$B$75:$D$100,3,FALSE)*Tabla1[[#This Row],[Tiempo
(Hrs 00/100)]]*1.16</f>
        <v>348</v>
      </c>
    </row>
    <row r="1570" spans="1:26" ht="15" customHeight="1" x14ac:dyDescent="0.3">
      <c r="A1570" s="370" t="s">
        <v>22</v>
      </c>
      <c r="B1570" s="370" t="s">
        <v>305</v>
      </c>
      <c r="C1570" s="205" t="s">
        <v>257</v>
      </c>
      <c r="D1570" s="370"/>
      <c r="E1570" s="370" t="s">
        <v>408</v>
      </c>
      <c r="F1570" s="370" t="s">
        <v>72</v>
      </c>
      <c r="G1570" s="370" t="s">
        <v>604</v>
      </c>
      <c r="H1570" s="461" t="s">
        <v>2328</v>
      </c>
      <c r="I1570" s="371" t="s">
        <v>2329</v>
      </c>
      <c r="J1570" s="369">
        <v>45169</v>
      </c>
      <c r="K1570" s="765">
        <v>0.4375</v>
      </c>
      <c r="L1570" s="369">
        <v>45169</v>
      </c>
      <c r="M1570" s="766">
        <v>0.45833333333333331</v>
      </c>
      <c r="N1570" s="373">
        <v>0.5</v>
      </c>
      <c r="O1570" s="374" t="s">
        <v>411</v>
      </c>
      <c r="P1570" s="375" t="s">
        <v>2330</v>
      </c>
      <c r="Q1570" s="744" t="s">
        <v>1441</v>
      </c>
      <c r="R1570" s="202" t="s">
        <v>95</v>
      </c>
      <c r="S1570" s="31" t="s">
        <v>273</v>
      </c>
      <c r="T1570" s="31" t="s">
        <v>273</v>
      </c>
      <c r="U1570" s="31">
        <f>IFERROR(VLOOKUP(CONCATENATE(Tabla1[[#This Row],[Severidad]]," ",Tabla1[[#This Row],[Complejidad]]),Catalogos!E$120:G$128,3,FALSE),"")</f>
        <v>64</v>
      </c>
      <c r="V1570" s="31" t="str">
        <f>IF(Tabla1[[#This Row],[Tiempo solución max (hrs)]]&lt;&gt;"",IF(Tabla1[[#This Row],[Tiempo solución max (hrs)]]&gt;=Tabla1[[#This Row],[Tiempo
(Hrs 00/100)]],"cumple","no cumple"),"")</f>
        <v>cumple</v>
      </c>
      <c r="W1570" s="376" t="s">
        <v>1814</v>
      </c>
      <c r="X1570" s="377" t="str">
        <f t="shared" si="146"/>
        <v>SSI</v>
      </c>
      <c r="Y1570" t="str">
        <f>SUBSTITUTE(Tabla1[[#This Row],[Descripción]],CHAR(10),"    I    ")</f>
        <v>Se revisó documentación '7 SODA Collection Metadata Components (Reference)' de liga compartida de Simple Oracle Document Access (SODA)</v>
      </c>
      <c r="Z1570" s="142">
        <f>VLOOKUP(Tabla1[[#This Row],[Perfil]],Catalogos!$B$75:$D$100,3,FALSE)*Tabla1[[#This Row],[Tiempo
(Hrs 00/100)]]*1.16</f>
        <v>348</v>
      </c>
    </row>
    <row r="1571" spans="1:26" ht="15" customHeight="1" x14ac:dyDescent="0.3">
      <c r="A1571" s="370" t="s">
        <v>22</v>
      </c>
      <c r="B1571" s="370" t="s">
        <v>305</v>
      </c>
      <c r="C1571" s="205" t="s">
        <v>257</v>
      </c>
      <c r="D1571" s="370"/>
      <c r="E1571" s="370" t="s">
        <v>408</v>
      </c>
      <c r="F1571" s="370" t="s">
        <v>72</v>
      </c>
      <c r="G1571" s="370" t="s">
        <v>604</v>
      </c>
      <c r="H1571" s="461" t="s">
        <v>2331</v>
      </c>
      <c r="I1571" s="371" t="s">
        <v>2332</v>
      </c>
      <c r="J1571" s="369">
        <v>45169</v>
      </c>
      <c r="K1571" s="766">
        <v>0.45833333333333331</v>
      </c>
      <c r="L1571" s="369">
        <v>45169</v>
      </c>
      <c r="M1571" s="766">
        <v>0.47916666666666669</v>
      </c>
      <c r="N1571" s="373">
        <v>0.5</v>
      </c>
      <c r="O1571" s="374" t="s">
        <v>411</v>
      </c>
      <c r="P1571" s="375" t="s">
        <v>2330</v>
      </c>
      <c r="Q1571" s="744" t="s">
        <v>1441</v>
      </c>
      <c r="R1571" s="202" t="s">
        <v>95</v>
      </c>
      <c r="S1571" s="31" t="s">
        <v>273</v>
      </c>
      <c r="T1571" s="31" t="s">
        <v>273</v>
      </c>
      <c r="U1571" s="31">
        <f>IFERROR(VLOOKUP(CONCATENATE(Tabla1[[#This Row],[Severidad]]," ",Tabla1[[#This Row],[Complejidad]]),Catalogos!E$120:G$128,3,FALSE),"")</f>
        <v>64</v>
      </c>
      <c r="V1571" s="31" t="str">
        <f>IF(Tabla1[[#This Row],[Tiempo solución max (hrs)]]&lt;&gt;"",IF(Tabla1[[#This Row],[Tiempo solución max (hrs)]]&gt;=Tabla1[[#This Row],[Tiempo
(Hrs 00/100)]],"cumple","no cumple"),"")</f>
        <v>cumple</v>
      </c>
      <c r="W1571" s="376" t="s">
        <v>1814</v>
      </c>
      <c r="X1571" s="377" t="str">
        <f t="shared" si="146"/>
        <v>SSI</v>
      </c>
      <c r="Y1571" t="str">
        <f>SUBSTITUTE(Tabla1[[#This Row],[Descripción]],CHAR(10),"    I    ")</f>
        <v>Se revisó documentación '7.1 Default Collection Metadata' de liga compartida de Simple Oracle Document Access (SODA)</v>
      </c>
      <c r="Z1571" s="142">
        <f>VLOOKUP(Tabla1[[#This Row],[Perfil]],Catalogos!$B$75:$D$100,3,FALSE)*Tabla1[[#This Row],[Tiempo
(Hrs 00/100)]]*1.16</f>
        <v>348</v>
      </c>
    </row>
    <row r="1572" spans="1:26" ht="15" customHeight="1" x14ac:dyDescent="0.3">
      <c r="A1572" s="370" t="s">
        <v>22</v>
      </c>
      <c r="B1572" s="370" t="s">
        <v>305</v>
      </c>
      <c r="C1572" s="205" t="s">
        <v>257</v>
      </c>
      <c r="D1572" s="382"/>
      <c r="E1572" s="370" t="s">
        <v>408</v>
      </c>
      <c r="F1572" s="370" t="s">
        <v>72</v>
      </c>
      <c r="G1572" s="370" t="s">
        <v>604</v>
      </c>
      <c r="H1572" s="461" t="s">
        <v>2333</v>
      </c>
      <c r="I1572" s="371" t="s">
        <v>2334</v>
      </c>
      <c r="J1572" s="369">
        <v>45169</v>
      </c>
      <c r="K1572" s="766">
        <v>0.47916666666666669</v>
      </c>
      <c r="L1572" s="369">
        <v>45169</v>
      </c>
      <c r="M1572" s="766">
        <v>0.5</v>
      </c>
      <c r="N1572" s="373">
        <v>0.5</v>
      </c>
      <c r="O1572" s="374" t="s">
        <v>411</v>
      </c>
      <c r="P1572" s="375" t="s">
        <v>2330</v>
      </c>
      <c r="Q1572" s="744" t="s">
        <v>1441</v>
      </c>
      <c r="R1572" s="202" t="s">
        <v>95</v>
      </c>
      <c r="S1572" s="31" t="s">
        <v>273</v>
      </c>
      <c r="T1572" s="31" t="s">
        <v>273</v>
      </c>
      <c r="U1572" s="31">
        <f>IFERROR(VLOOKUP(CONCATENATE(Tabla1[[#This Row],[Severidad]]," ",Tabla1[[#This Row],[Complejidad]]),Catalogos!E$120:G$128,3,FALSE),"")</f>
        <v>64</v>
      </c>
      <c r="V1572" s="31" t="str">
        <f>IF(Tabla1[[#This Row],[Tiempo solución max (hrs)]]&lt;&gt;"",IF(Tabla1[[#This Row],[Tiempo solución max (hrs)]]&gt;=Tabla1[[#This Row],[Tiempo
(Hrs 00/100)]],"cumple","no cumple"),"")</f>
        <v>cumple</v>
      </c>
      <c r="W1572" s="376" t="s">
        <v>1814</v>
      </c>
      <c r="X1572" s="377" t="str">
        <f t="shared" si="146"/>
        <v>SSI</v>
      </c>
      <c r="Y1572" t="str">
        <f>SUBSTITUTE(Tabla1[[#This Row],[Descripción]],CHAR(10),"    I    ")</f>
        <v>Se revisó documentación '7.2 Schema' de liga compartida de Simple Oracle Document Access (SODA)</v>
      </c>
      <c r="Z1572" s="142">
        <f>VLOOKUP(Tabla1[[#This Row],[Perfil]],Catalogos!$B$75:$D$100,3,FALSE)*Tabla1[[#This Row],[Tiempo
(Hrs 00/100)]]*1.16</f>
        <v>348</v>
      </c>
    </row>
    <row r="1573" spans="1:26" ht="15" customHeight="1" x14ac:dyDescent="0.3">
      <c r="A1573" s="370" t="s">
        <v>22</v>
      </c>
      <c r="B1573" s="370" t="s">
        <v>305</v>
      </c>
      <c r="C1573" s="205" t="s">
        <v>257</v>
      </c>
      <c r="D1573" s="382"/>
      <c r="E1573" s="370" t="s">
        <v>408</v>
      </c>
      <c r="F1573" s="370" t="s">
        <v>72</v>
      </c>
      <c r="G1573" s="370" t="s">
        <v>604</v>
      </c>
      <c r="H1573" s="461" t="s">
        <v>2335</v>
      </c>
      <c r="I1573" s="371" t="s">
        <v>2336</v>
      </c>
      <c r="J1573" s="369">
        <v>45169</v>
      </c>
      <c r="K1573" s="766">
        <v>0.5</v>
      </c>
      <c r="L1573" s="369">
        <v>45169</v>
      </c>
      <c r="M1573" s="766">
        <v>0.52083333333333337</v>
      </c>
      <c r="N1573" s="210">
        <v>0.5</v>
      </c>
      <c r="O1573" s="374" t="s">
        <v>411</v>
      </c>
      <c r="P1573" s="375" t="s">
        <v>2330</v>
      </c>
      <c r="Q1573" s="744" t="s">
        <v>1441</v>
      </c>
      <c r="R1573" s="202" t="s">
        <v>95</v>
      </c>
      <c r="S1573" s="31" t="s">
        <v>273</v>
      </c>
      <c r="T1573" s="31" t="s">
        <v>273</v>
      </c>
      <c r="U1573" s="31">
        <f>IFERROR(VLOOKUP(CONCATENATE(Tabla1[[#This Row],[Severidad]]," ",Tabla1[[#This Row],[Complejidad]]),Catalogos!E$120:G$128,3,FALSE),"")</f>
        <v>64</v>
      </c>
      <c r="V1573" s="31" t="str">
        <f>IF(Tabla1[[#This Row],[Tiempo solución max (hrs)]]&lt;&gt;"",IF(Tabla1[[#This Row],[Tiempo solución max (hrs)]]&gt;=Tabla1[[#This Row],[Tiempo
(Hrs 00/100)]],"cumple","no cumple"),"")</f>
        <v>cumple</v>
      </c>
      <c r="W1573" s="376" t="s">
        <v>1814</v>
      </c>
      <c r="X1573" s="377" t="str">
        <f t="shared" si="146"/>
        <v>SSI</v>
      </c>
      <c r="Y1573" t="str">
        <f>SUBSTITUTE(Tabla1[[#This Row],[Descripción]],CHAR(10),"    I    ")</f>
        <v>Se revisó documentación '7.3 Table or View' de liga compartida de Simple Oracle Document Access (SODA)</v>
      </c>
      <c r="Z1573" s="142">
        <f>VLOOKUP(Tabla1[[#This Row],[Perfil]],Catalogos!$B$75:$D$100,3,FALSE)*Tabla1[[#This Row],[Tiempo
(Hrs 00/100)]]*1.16</f>
        <v>348</v>
      </c>
    </row>
    <row r="1574" spans="1:26" ht="15" customHeight="1" x14ac:dyDescent="0.3">
      <c r="A1574" s="370" t="s">
        <v>22</v>
      </c>
      <c r="B1574" s="370" t="s">
        <v>305</v>
      </c>
      <c r="C1574" s="205" t="s">
        <v>257</v>
      </c>
      <c r="D1574" s="370"/>
      <c r="E1574" s="370" t="s">
        <v>408</v>
      </c>
      <c r="F1574" s="370" t="s">
        <v>72</v>
      </c>
      <c r="G1574" s="370" t="s">
        <v>604</v>
      </c>
      <c r="H1574" s="461" t="s">
        <v>2337</v>
      </c>
      <c r="I1574" s="371" t="s">
        <v>2338</v>
      </c>
      <c r="J1574" s="369">
        <v>45169</v>
      </c>
      <c r="K1574" s="766">
        <v>0.52083333333333337</v>
      </c>
      <c r="L1574" s="369">
        <v>45169</v>
      </c>
      <c r="M1574" s="766">
        <v>0.54166666666666663</v>
      </c>
      <c r="N1574" s="373">
        <v>0.5</v>
      </c>
      <c r="O1574" s="374" t="s">
        <v>411</v>
      </c>
      <c r="P1574" s="375" t="s">
        <v>2330</v>
      </c>
      <c r="Q1574" s="744" t="s">
        <v>1441</v>
      </c>
      <c r="R1574" s="202" t="s">
        <v>95</v>
      </c>
      <c r="S1574" s="31" t="s">
        <v>273</v>
      </c>
      <c r="T1574" s="31" t="s">
        <v>273</v>
      </c>
      <c r="U1574" s="31">
        <f>IFERROR(VLOOKUP(CONCATENATE(Tabla1[[#This Row],[Severidad]]," ",Tabla1[[#This Row],[Complejidad]]),Catalogos!E$120:G$128,3,FALSE),"")</f>
        <v>64</v>
      </c>
      <c r="V1574" s="31" t="str">
        <f>IF(Tabla1[[#This Row],[Tiempo solución max (hrs)]]&lt;&gt;"",IF(Tabla1[[#This Row],[Tiempo solución max (hrs)]]&gt;=Tabla1[[#This Row],[Tiempo
(Hrs 00/100)]],"cumple","no cumple"),"")</f>
        <v>cumple</v>
      </c>
      <c r="W1574" s="376" t="s">
        <v>1814</v>
      </c>
      <c r="X1574" s="377" t="str">
        <f t="shared" si="146"/>
        <v>SSI</v>
      </c>
      <c r="Y1574" t="str">
        <f>SUBSTITUTE(Tabla1[[#This Row],[Descripción]],CHAR(10),"    I    ")</f>
        <v>Se revisó documentación '7.4 Key Column Name' de liga compartida de Simple Oracle Document Access (SODA)</v>
      </c>
      <c r="Z1574" s="142">
        <f>VLOOKUP(Tabla1[[#This Row],[Perfil]],Catalogos!$B$75:$D$100,3,FALSE)*Tabla1[[#This Row],[Tiempo
(Hrs 00/100)]]*1.16</f>
        <v>348</v>
      </c>
    </row>
    <row r="1575" spans="1:26" ht="15" customHeight="1" x14ac:dyDescent="0.3">
      <c r="A1575" s="370" t="s">
        <v>22</v>
      </c>
      <c r="B1575" s="370" t="s">
        <v>305</v>
      </c>
      <c r="C1575" s="205" t="s">
        <v>257</v>
      </c>
      <c r="D1575" s="370"/>
      <c r="E1575" s="370" t="s">
        <v>408</v>
      </c>
      <c r="F1575" s="370" t="s">
        <v>72</v>
      </c>
      <c r="G1575" s="370" t="s">
        <v>604</v>
      </c>
      <c r="H1575" s="461" t="s">
        <v>2339</v>
      </c>
      <c r="I1575" s="371" t="s">
        <v>2340</v>
      </c>
      <c r="J1575" s="369">
        <v>45169</v>
      </c>
      <c r="K1575" s="766">
        <v>0.54166666666666663</v>
      </c>
      <c r="L1575" s="369">
        <v>45169</v>
      </c>
      <c r="M1575" s="766">
        <v>0.5625</v>
      </c>
      <c r="N1575" s="373">
        <v>0.5</v>
      </c>
      <c r="O1575" s="374" t="s">
        <v>411</v>
      </c>
      <c r="P1575" s="375" t="s">
        <v>2330</v>
      </c>
      <c r="Q1575" s="744" t="s">
        <v>1441</v>
      </c>
      <c r="R1575" s="202" t="s">
        <v>95</v>
      </c>
      <c r="S1575" s="31" t="s">
        <v>273</v>
      </c>
      <c r="T1575" s="31" t="s">
        <v>273</v>
      </c>
      <c r="U1575" s="31">
        <f>IFERROR(VLOOKUP(CONCATENATE(Tabla1[[#This Row],[Severidad]]," ",Tabla1[[#This Row],[Complejidad]]),Catalogos!E$120:G$128,3,FALSE),"")</f>
        <v>64</v>
      </c>
      <c r="V1575" s="31" t="str">
        <f>IF(Tabla1[[#This Row],[Tiempo solución max (hrs)]]&lt;&gt;"",IF(Tabla1[[#This Row],[Tiempo solución max (hrs)]]&gt;=Tabla1[[#This Row],[Tiempo
(Hrs 00/100)]],"cumple","no cumple"),"")</f>
        <v>cumple</v>
      </c>
      <c r="W1575" s="376" t="s">
        <v>1814</v>
      </c>
      <c r="X1575" s="377" t="str">
        <f t="shared" si="146"/>
        <v>SSI</v>
      </c>
      <c r="Y1575" t="str">
        <f>SUBSTITUTE(Tabla1[[#This Row],[Descripción]],CHAR(10),"    I    ")</f>
        <v>Se revisó documentación '7.5 Key Column Type' de liga compartida de Simple Oracle Document Access (SODA)</v>
      </c>
      <c r="Z1575" s="142">
        <f>VLOOKUP(Tabla1[[#This Row],[Perfil]],Catalogos!$B$75:$D$100,3,FALSE)*Tabla1[[#This Row],[Tiempo
(Hrs 00/100)]]*1.16</f>
        <v>348</v>
      </c>
    </row>
    <row r="1576" spans="1:26" ht="15" customHeight="1" x14ac:dyDescent="0.3">
      <c r="A1576" s="370" t="s">
        <v>22</v>
      </c>
      <c r="B1576" s="370" t="s">
        <v>305</v>
      </c>
      <c r="C1576" s="205" t="s">
        <v>257</v>
      </c>
      <c r="D1576" s="370"/>
      <c r="E1576" s="370" t="s">
        <v>408</v>
      </c>
      <c r="F1576" s="370" t="s">
        <v>72</v>
      </c>
      <c r="G1576" s="370" t="s">
        <v>604</v>
      </c>
      <c r="H1576" s="461" t="s">
        <v>2341</v>
      </c>
      <c r="I1576" s="383" t="s">
        <v>2342</v>
      </c>
      <c r="J1576" s="369">
        <v>45169</v>
      </c>
      <c r="K1576" s="766">
        <v>0.5625</v>
      </c>
      <c r="L1576" s="369">
        <v>45169</v>
      </c>
      <c r="M1576" s="766">
        <v>0.58333333333333337</v>
      </c>
      <c r="N1576" s="373">
        <v>0.5</v>
      </c>
      <c r="O1576" s="374" t="s">
        <v>411</v>
      </c>
      <c r="P1576" s="375" t="s">
        <v>2330</v>
      </c>
      <c r="Q1576" s="744" t="s">
        <v>1441</v>
      </c>
      <c r="R1576" s="202" t="s">
        <v>95</v>
      </c>
      <c r="S1576" s="31" t="s">
        <v>273</v>
      </c>
      <c r="T1576" s="31" t="s">
        <v>273</v>
      </c>
      <c r="U1576" s="31">
        <f>IFERROR(VLOOKUP(CONCATENATE(Tabla1[[#This Row],[Severidad]]," ",Tabla1[[#This Row],[Complejidad]]),Catalogos!E$120:G$128,3,FALSE),"")</f>
        <v>64</v>
      </c>
      <c r="V1576" s="31" t="str">
        <f>IF(Tabla1[[#This Row],[Tiempo solución max (hrs)]]&lt;&gt;"",IF(Tabla1[[#This Row],[Tiempo solución max (hrs)]]&gt;=Tabla1[[#This Row],[Tiempo
(Hrs 00/100)]],"cumple","no cumple"),"")</f>
        <v>cumple</v>
      </c>
      <c r="W1576" s="376" t="s">
        <v>1814</v>
      </c>
      <c r="X1576" s="377" t="str">
        <f t="shared" si="146"/>
        <v>SSI</v>
      </c>
      <c r="Y1576" t="str">
        <f>SUBSTITUTE(Tabla1[[#This Row],[Descripción]],CHAR(10),"    I    ")</f>
        <v>Se revisó documentación '7.6 Key Column Max Length' de liga compartida de Simple Oracle Document Access (SODA)</v>
      </c>
      <c r="Z1576" s="142">
        <f>VLOOKUP(Tabla1[[#This Row],[Perfil]],Catalogos!$B$75:$D$100,3,FALSE)*Tabla1[[#This Row],[Tiempo
(Hrs 00/100)]]*1.16</f>
        <v>348</v>
      </c>
    </row>
    <row r="1577" spans="1:26" ht="15" customHeight="1" x14ac:dyDescent="0.3">
      <c r="A1577" s="370" t="s">
        <v>15</v>
      </c>
      <c r="B1577" s="370" t="s">
        <v>67</v>
      </c>
      <c r="C1577" s="599" t="s">
        <v>49</v>
      </c>
      <c r="D1577" s="370"/>
      <c r="E1577" s="370" t="s">
        <v>472</v>
      </c>
      <c r="F1577" s="370" t="s">
        <v>473</v>
      </c>
      <c r="G1577" s="370" t="s">
        <v>2343</v>
      </c>
      <c r="H1577" s="371" t="s">
        <v>2344</v>
      </c>
      <c r="I1577" s="371" t="s">
        <v>2345</v>
      </c>
      <c r="J1577" s="527">
        <v>45155</v>
      </c>
      <c r="K1577" s="766">
        <v>0.375</v>
      </c>
      <c r="L1577" s="527">
        <v>45155</v>
      </c>
      <c r="M1577" s="528">
        <v>0.45833333333333331</v>
      </c>
      <c r="N1577" s="552">
        <v>2</v>
      </c>
      <c r="O1577" s="374" t="s">
        <v>17</v>
      </c>
      <c r="P1577" s="375" t="s">
        <v>2346</v>
      </c>
      <c r="Q1577" s="807" t="s">
        <v>101</v>
      </c>
      <c r="R1577" s="600" t="s">
        <v>83</v>
      </c>
      <c r="S1577" s="31" t="s">
        <v>273</v>
      </c>
      <c r="T1577" s="31" t="s">
        <v>273</v>
      </c>
      <c r="U1577" s="31">
        <f>IFERROR(VLOOKUP(CONCATENATE(Tabla1[[#This Row],[Severidad]]," ",Tabla1[[#This Row],[Complejidad]]),Catalogos!E$120:G$128,3,FALSE),"")</f>
        <v>64</v>
      </c>
      <c r="V1577" s="31" t="str">
        <f>IF(Tabla1[[#This Row],[Tiempo solución max (hrs)]]&lt;&gt;"",IF(Tabla1[[#This Row],[Tiempo solución max (hrs)]]&gt;=Tabla1[[#This Row],[Tiempo
(Hrs 00/100)]],"cumple","no cumple"),"")</f>
        <v>cumple</v>
      </c>
      <c r="W1577" s="376" t="s">
        <v>1814</v>
      </c>
      <c r="X1577" s="377" t="str">
        <f>IF(C1577&lt;&gt;"",C1577,D1577)</f>
        <v>SAI</v>
      </c>
      <c r="Y1577" t="str">
        <f>SUBSTITUTE(Tabla1[[#This Row],[Descripción]],CHAR(10),"    I    ")</f>
        <v>Reporte Volumetría INAI Prodatos</v>
      </c>
      <c r="Z1577" s="142">
        <f>VLOOKUP(Tabla1[[#This Row],[Perfil]],Catalogos!$B$75:$D$100,3,FALSE)*Tabla1[[#This Row],[Tiempo
(Hrs 00/100)]]*1.16</f>
        <v>1392</v>
      </c>
    </row>
    <row r="1578" spans="1:26" ht="15" customHeight="1" x14ac:dyDescent="0.3">
      <c r="A1578" s="370" t="s">
        <v>15</v>
      </c>
      <c r="B1578" s="370" t="s">
        <v>67</v>
      </c>
      <c r="C1578" s="599" t="s">
        <v>49</v>
      </c>
      <c r="D1578" s="370"/>
      <c r="E1578" s="370" t="s">
        <v>472</v>
      </c>
      <c r="F1578" s="370" t="s">
        <v>473</v>
      </c>
      <c r="G1578" s="370" t="s">
        <v>2343</v>
      </c>
      <c r="H1578" s="371" t="s">
        <v>2347</v>
      </c>
      <c r="I1578" s="371" t="s">
        <v>2348</v>
      </c>
      <c r="J1578" s="527">
        <v>45156</v>
      </c>
      <c r="K1578" s="766">
        <v>0.375</v>
      </c>
      <c r="L1578" s="527">
        <v>45156</v>
      </c>
      <c r="M1578" s="528">
        <v>0.5</v>
      </c>
      <c r="N1578" s="552">
        <v>3</v>
      </c>
      <c r="O1578" s="374" t="s">
        <v>17</v>
      </c>
      <c r="P1578" s="375" t="s">
        <v>2349</v>
      </c>
      <c r="Q1578" s="808" t="s">
        <v>101</v>
      </c>
      <c r="R1578" s="600" t="s">
        <v>83</v>
      </c>
      <c r="S1578" s="31" t="s">
        <v>273</v>
      </c>
      <c r="T1578" s="31" t="s">
        <v>273</v>
      </c>
      <c r="U1578" s="31">
        <f>IFERROR(VLOOKUP(CONCATENATE(Tabla1[[#This Row],[Severidad]]," ",Tabla1[[#This Row],[Complejidad]]),Catalogos!E$120:G$128,3,FALSE),"")</f>
        <v>64</v>
      </c>
      <c r="V1578" s="31" t="str">
        <f>IF(Tabla1[[#This Row],[Tiempo solución max (hrs)]]&lt;&gt;"",IF(Tabla1[[#This Row],[Tiempo solución max (hrs)]]&gt;=Tabla1[[#This Row],[Tiempo
(Hrs 00/100)]],"cumple","no cumple"),"")</f>
        <v>cumple</v>
      </c>
      <c r="W1578" s="376" t="s">
        <v>1814</v>
      </c>
      <c r="X1578" s="377" t="str">
        <f>IF(C1578&lt;&gt;"",C1578,D1578)</f>
        <v>SAI</v>
      </c>
      <c r="Y1578" t="str">
        <f>SUBSTITUTE(Tabla1[[#This Row],[Descripción]],CHAR(10),"    I    ")</f>
        <v>Análisis pérdida de documentos de casos Denuncias Sistema INAI PRODATOS</v>
      </c>
      <c r="Z1578" s="142">
        <f>VLOOKUP(Tabla1[[#This Row],[Perfil]],Catalogos!$B$75:$D$100,3,FALSE)*Tabla1[[#This Row],[Tiempo
(Hrs 00/100)]]*1.16</f>
        <v>2088</v>
      </c>
    </row>
    <row r="1579" spans="1:26" ht="15" customHeight="1" x14ac:dyDescent="0.3">
      <c r="A1579" s="370" t="s">
        <v>15</v>
      </c>
      <c r="B1579" s="370" t="s">
        <v>67</v>
      </c>
      <c r="C1579" s="599" t="s">
        <v>49</v>
      </c>
      <c r="D1579" s="370"/>
      <c r="E1579" s="370" t="s">
        <v>472</v>
      </c>
      <c r="F1579" s="370" t="s">
        <v>473</v>
      </c>
      <c r="G1579" s="370" t="s">
        <v>2350</v>
      </c>
      <c r="H1579" s="371" t="s">
        <v>2351</v>
      </c>
      <c r="I1579" s="371" t="s">
        <v>2352</v>
      </c>
      <c r="J1579" s="708">
        <v>45167</v>
      </c>
      <c r="K1579" s="766">
        <v>0.375</v>
      </c>
      <c r="L1579" s="708">
        <v>45167</v>
      </c>
      <c r="M1579" s="528">
        <v>0.45833333333333331</v>
      </c>
      <c r="N1579" s="552">
        <v>2</v>
      </c>
      <c r="O1579" s="374" t="s">
        <v>17</v>
      </c>
      <c r="P1579" s="375" t="s">
        <v>2353</v>
      </c>
      <c r="Q1579" s="808" t="s">
        <v>101</v>
      </c>
      <c r="R1579" s="600" t="s">
        <v>83</v>
      </c>
      <c r="S1579" s="31" t="s">
        <v>273</v>
      </c>
      <c r="T1579" s="31" t="s">
        <v>273</v>
      </c>
      <c r="U1579" s="31">
        <f>IFERROR(VLOOKUP(CONCATENATE(Tabla1[[#This Row],[Severidad]]," ",Tabla1[[#This Row],[Complejidad]]),Catalogos!E$120:G$128,3,FALSE),"")</f>
        <v>64</v>
      </c>
      <c r="V1579" s="31" t="str">
        <f>IF(Tabla1[[#This Row],[Tiempo solución max (hrs)]]&lt;&gt;"",IF(Tabla1[[#This Row],[Tiempo solución max (hrs)]]&gt;=Tabla1[[#This Row],[Tiempo
(Hrs 00/100)]],"cumple","no cumple"),"")</f>
        <v>cumple</v>
      </c>
      <c r="W1579" s="376" t="s">
        <v>1814</v>
      </c>
      <c r="X1579" s="377" t="str">
        <f t="shared" ref="X1579:X1585" si="147">IF(C1579&lt;&gt;"",C1579,D1579)</f>
        <v>SAI</v>
      </c>
      <c r="Y1579" t="str">
        <f>SUBSTITUTE(Tabla1[[#This Row],[Descripción]],CHAR(10),"    I    ")</f>
        <v>Busqueda de Manuales de auditoria de OpenText por solicitud del subdirector de SAI</v>
      </c>
      <c r="Z1579" s="142">
        <f>VLOOKUP(Tabla1[[#This Row],[Perfil]],Catalogos!$B$75:$D$100,3,FALSE)*Tabla1[[#This Row],[Tiempo
(Hrs 00/100)]]*1.16</f>
        <v>1392</v>
      </c>
    </row>
    <row r="1580" spans="1:26" ht="15" customHeight="1" x14ac:dyDescent="0.3">
      <c r="A1580" s="552" t="s">
        <v>22</v>
      </c>
      <c r="B1580" s="601" t="s">
        <v>305</v>
      </c>
      <c r="C1580" s="602" t="s">
        <v>16</v>
      </c>
      <c r="D1580" s="603"/>
      <c r="E1580" s="604" t="s">
        <v>503</v>
      </c>
      <c r="F1580" s="552" t="s">
        <v>75</v>
      </c>
      <c r="G1580" s="370" t="s">
        <v>435</v>
      </c>
      <c r="H1580" s="605" t="s">
        <v>436</v>
      </c>
      <c r="I1580" s="606" t="s">
        <v>1468</v>
      </c>
      <c r="J1580" s="728">
        <v>45139</v>
      </c>
      <c r="K1580" s="747">
        <v>0.375</v>
      </c>
      <c r="L1580" s="728">
        <v>45139</v>
      </c>
      <c r="M1580" s="753">
        <v>0.79166666666666663</v>
      </c>
      <c r="N1580" s="603">
        <v>8.5</v>
      </c>
      <c r="O1580" s="601" t="s">
        <v>17</v>
      </c>
      <c r="P1580" s="607" t="s">
        <v>2354</v>
      </c>
      <c r="Q1580" s="809" t="s">
        <v>258</v>
      </c>
      <c r="R1580" s="608" t="s">
        <v>81</v>
      </c>
      <c r="S1580" s="31" t="s">
        <v>273</v>
      </c>
      <c r="T1580" s="31" t="s">
        <v>273</v>
      </c>
      <c r="U1580" s="31">
        <f>IFERROR(VLOOKUP(CONCATENATE(Tabla1[[#This Row],[Severidad]]," ",Tabla1[[#This Row],[Complejidad]]),Catalogos!E$120:G$128,3,FALSE),"")</f>
        <v>64</v>
      </c>
      <c r="V1580" s="31" t="str">
        <f>IF(Tabla1[[#This Row],[Tiempo solución max (hrs)]]&lt;&gt;"",IF(Tabla1[[#This Row],[Tiempo solución max (hrs)]]&gt;=Tabla1[[#This Row],[Tiempo
(Hrs 00/100)]],"cumple","no cumple"),"")</f>
        <v>cumple</v>
      </c>
      <c r="W1580" s="376" t="s">
        <v>1814</v>
      </c>
      <c r="X1580" s="377" t="str">
        <f t="shared" si="147"/>
        <v>SAW</v>
      </c>
      <c r="Y1580" t="str">
        <f>SUBSTITUTE(Tabla1[[#This Row],[Descripción]],CHAR(10),"    I    ")</f>
        <v xml:space="preserve">Busqueda expediente Resoluciones </v>
      </c>
      <c r="Z1580" s="142">
        <f>VLOOKUP(Tabla1[[#This Row],[Perfil]],Catalogos!$B$75:$D$100,3,FALSE)*Tabla1[[#This Row],[Tiempo
(Hrs 00/100)]]*1.16</f>
        <v>4930</v>
      </c>
    </row>
    <row r="1581" spans="1:26" ht="15" customHeight="1" x14ac:dyDescent="0.3">
      <c r="A1581" s="552" t="s">
        <v>22</v>
      </c>
      <c r="B1581" s="601" t="s">
        <v>305</v>
      </c>
      <c r="C1581" s="602" t="s">
        <v>16</v>
      </c>
      <c r="D1581" s="603"/>
      <c r="E1581" s="604" t="s">
        <v>503</v>
      </c>
      <c r="F1581" s="552" t="s">
        <v>75</v>
      </c>
      <c r="G1581" s="370" t="s">
        <v>435</v>
      </c>
      <c r="H1581" s="605" t="s">
        <v>436</v>
      </c>
      <c r="I1581" s="606" t="s">
        <v>2355</v>
      </c>
      <c r="J1581" s="728">
        <v>45140</v>
      </c>
      <c r="K1581" s="747">
        <v>0.375</v>
      </c>
      <c r="L1581" s="728">
        <v>45140</v>
      </c>
      <c r="M1581" s="753">
        <v>0.79166666666666663</v>
      </c>
      <c r="N1581" s="603">
        <v>8.5</v>
      </c>
      <c r="O1581" s="601" t="s">
        <v>17</v>
      </c>
      <c r="P1581" s="607" t="s">
        <v>2356</v>
      </c>
      <c r="Q1581" s="809" t="s">
        <v>258</v>
      </c>
      <c r="R1581" s="608" t="s">
        <v>81</v>
      </c>
      <c r="S1581" s="31" t="s">
        <v>273</v>
      </c>
      <c r="T1581" s="31" t="s">
        <v>273</v>
      </c>
      <c r="U1581" s="31">
        <f>IFERROR(VLOOKUP(CONCATENATE(Tabla1[[#This Row],[Severidad]]," ",Tabla1[[#This Row],[Complejidad]]),Catalogos!E$120:G$128,3,FALSE),"")</f>
        <v>64</v>
      </c>
      <c r="V1581" s="31" t="str">
        <f>IF(Tabla1[[#This Row],[Tiempo solución max (hrs)]]&lt;&gt;"",IF(Tabla1[[#This Row],[Tiempo solución max (hrs)]]&gt;=Tabla1[[#This Row],[Tiempo
(Hrs 00/100)]],"cumple","no cumple"),"")</f>
        <v>cumple</v>
      </c>
      <c r="W1581" s="376" t="s">
        <v>1814</v>
      </c>
      <c r="X1581" s="377" t="str">
        <f t="shared" si="147"/>
        <v>SAW</v>
      </c>
      <c r="Y1581" t="str">
        <f>SUBSTITUTE(Tabla1[[#This Row],[Descripción]],CHAR(10),"    I    ")</f>
        <v xml:space="preserve">Actualizacion micrositio Certamen </v>
      </c>
      <c r="Z1581" s="142">
        <f>VLOOKUP(Tabla1[[#This Row],[Perfil]],Catalogos!$B$75:$D$100,3,FALSE)*Tabla1[[#This Row],[Tiempo
(Hrs 00/100)]]*1.16</f>
        <v>4930</v>
      </c>
    </row>
    <row r="1582" spans="1:26" ht="15" customHeight="1" x14ac:dyDescent="0.3">
      <c r="A1582" s="552" t="s">
        <v>22</v>
      </c>
      <c r="B1582" s="601" t="s">
        <v>305</v>
      </c>
      <c r="C1582" s="602" t="s">
        <v>16</v>
      </c>
      <c r="D1582" s="603"/>
      <c r="E1582" s="604" t="s">
        <v>503</v>
      </c>
      <c r="F1582" s="552" t="s">
        <v>75</v>
      </c>
      <c r="G1582" s="370" t="s">
        <v>435</v>
      </c>
      <c r="H1582" s="605" t="s">
        <v>436</v>
      </c>
      <c r="I1582" s="606" t="s">
        <v>2357</v>
      </c>
      <c r="J1582" s="728">
        <v>45141</v>
      </c>
      <c r="K1582" s="747">
        <v>0.375</v>
      </c>
      <c r="L1582" s="728">
        <v>45141</v>
      </c>
      <c r="M1582" s="753">
        <v>0.79166666666666663</v>
      </c>
      <c r="N1582" s="603">
        <v>8.5</v>
      </c>
      <c r="O1582" s="601" t="s">
        <v>17</v>
      </c>
      <c r="P1582" s="607" t="s">
        <v>2358</v>
      </c>
      <c r="Q1582" s="809" t="s">
        <v>258</v>
      </c>
      <c r="R1582" s="608" t="s">
        <v>81</v>
      </c>
      <c r="S1582" s="31" t="s">
        <v>273</v>
      </c>
      <c r="T1582" s="31" t="s">
        <v>273</v>
      </c>
      <c r="U1582" s="31">
        <f>IFERROR(VLOOKUP(CONCATENATE(Tabla1[[#This Row],[Severidad]]," ",Tabla1[[#This Row],[Complejidad]]),Catalogos!E$120:G$128,3,FALSE),"")</f>
        <v>64</v>
      </c>
      <c r="V1582" s="31" t="str">
        <f>IF(Tabla1[[#This Row],[Tiempo solución max (hrs)]]&lt;&gt;"",IF(Tabla1[[#This Row],[Tiempo solución max (hrs)]]&gt;=Tabla1[[#This Row],[Tiempo
(Hrs 00/100)]],"cumple","no cumple"),"")</f>
        <v>cumple</v>
      </c>
      <c r="W1582" s="376" t="s">
        <v>1814</v>
      </c>
      <c r="X1582" s="377" t="str">
        <f t="shared" si="147"/>
        <v>SAW</v>
      </c>
      <c r="Y1582" t="str">
        <f>SUBSTITUTE(Tabla1[[#This Row],[Descripción]],CHAR(10),"    I    ")</f>
        <v xml:space="preserve">Actualizacion avance de proyecto </v>
      </c>
      <c r="Z1582" s="142">
        <f>VLOOKUP(Tabla1[[#This Row],[Perfil]],Catalogos!$B$75:$D$100,3,FALSE)*Tabla1[[#This Row],[Tiempo
(Hrs 00/100)]]*1.16</f>
        <v>4930</v>
      </c>
    </row>
    <row r="1583" spans="1:26" ht="15" customHeight="1" x14ac:dyDescent="0.3">
      <c r="A1583" s="552" t="s">
        <v>22</v>
      </c>
      <c r="B1583" s="601" t="s">
        <v>305</v>
      </c>
      <c r="C1583" s="602" t="s">
        <v>16</v>
      </c>
      <c r="D1583" s="603"/>
      <c r="E1583" s="604" t="s">
        <v>503</v>
      </c>
      <c r="F1583" s="552" t="s">
        <v>75</v>
      </c>
      <c r="G1583" s="370" t="s">
        <v>435</v>
      </c>
      <c r="H1583" s="605" t="s">
        <v>436</v>
      </c>
      <c r="I1583" s="609" t="s">
        <v>2359</v>
      </c>
      <c r="J1583" s="728">
        <v>45142</v>
      </c>
      <c r="K1583" s="747">
        <v>0.375</v>
      </c>
      <c r="L1583" s="728">
        <v>45142</v>
      </c>
      <c r="M1583" s="783">
        <v>0.5</v>
      </c>
      <c r="N1583" s="603">
        <v>3</v>
      </c>
      <c r="O1583" s="601" t="s">
        <v>17</v>
      </c>
      <c r="P1583" s="607" t="s">
        <v>2360</v>
      </c>
      <c r="Q1583" s="809" t="s">
        <v>258</v>
      </c>
      <c r="R1583" s="608" t="s">
        <v>81</v>
      </c>
      <c r="S1583" s="31" t="s">
        <v>273</v>
      </c>
      <c r="T1583" s="31" t="s">
        <v>273</v>
      </c>
      <c r="U1583" s="31">
        <f>IFERROR(VLOOKUP(CONCATENATE(Tabla1[[#This Row],[Severidad]]," ",Tabla1[[#This Row],[Complejidad]]),Catalogos!E$120:G$128,3,FALSE),"")</f>
        <v>64</v>
      </c>
      <c r="V1583" s="31" t="str">
        <f>IF(Tabla1[[#This Row],[Tiempo solución max (hrs)]]&lt;&gt;"",IF(Tabla1[[#This Row],[Tiempo solución max (hrs)]]&gt;=Tabla1[[#This Row],[Tiempo
(Hrs 00/100)]],"cumple","no cumple"),"")</f>
        <v>cumple</v>
      </c>
      <c r="W1583" s="376" t="s">
        <v>1814</v>
      </c>
      <c r="X1583" s="377" t="str">
        <f t="shared" si="147"/>
        <v>SAW</v>
      </c>
      <c r="Y1583" t="str">
        <f>SUBSTITUTE(Tabla1[[#This Row],[Descripción]],CHAR(10),"    I    ")</f>
        <v>Actualizacion micrositio control interno</v>
      </c>
      <c r="Z1583" s="142">
        <f>VLOOKUP(Tabla1[[#This Row],[Perfil]],Catalogos!$B$75:$D$100,3,FALSE)*Tabla1[[#This Row],[Tiempo
(Hrs 00/100)]]*1.16</f>
        <v>1739.9999999999998</v>
      </c>
    </row>
    <row r="1584" spans="1:26" ht="15" customHeight="1" x14ac:dyDescent="0.3">
      <c r="A1584" s="552" t="s">
        <v>22</v>
      </c>
      <c r="B1584" s="601" t="s">
        <v>305</v>
      </c>
      <c r="C1584" s="602" t="s">
        <v>16</v>
      </c>
      <c r="D1584" s="603"/>
      <c r="E1584" s="604" t="s">
        <v>503</v>
      </c>
      <c r="F1584" s="552" t="s">
        <v>75</v>
      </c>
      <c r="G1584" s="370" t="s">
        <v>435</v>
      </c>
      <c r="H1584" s="605" t="s">
        <v>436</v>
      </c>
      <c r="I1584" s="609" t="s">
        <v>2361</v>
      </c>
      <c r="J1584" s="728">
        <v>45142</v>
      </c>
      <c r="K1584" s="783">
        <v>0.5</v>
      </c>
      <c r="L1584" s="728">
        <v>45142</v>
      </c>
      <c r="M1584" s="783">
        <v>0.625</v>
      </c>
      <c r="N1584" s="603">
        <v>3</v>
      </c>
      <c r="O1584" s="601" t="s">
        <v>17</v>
      </c>
      <c r="P1584" s="402" t="s">
        <v>2358</v>
      </c>
      <c r="Q1584" s="809" t="s">
        <v>258</v>
      </c>
      <c r="R1584" s="608" t="s">
        <v>81</v>
      </c>
      <c r="S1584" s="31" t="s">
        <v>273</v>
      </c>
      <c r="T1584" s="31" t="s">
        <v>273</v>
      </c>
      <c r="U1584" s="31">
        <f>IFERROR(VLOOKUP(CONCATENATE(Tabla1[[#This Row],[Severidad]]," ",Tabla1[[#This Row],[Complejidad]]),Catalogos!E$120:G$128,3,FALSE),"")</f>
        <v>64</v>
      </c>
      <c r="V1584" s="31" t="str">
        <f>IF(Tabla1[[#This Row],[Tiempo solución max (hrs)]]&lt;&gt;"",IF(Tabla1[[#This Row],[Tiempo solución max (hrs)]]&gt;=Tabla1[[#This Row],[Tiempo
(Hrs 00/100)]],"cumple","no cumple"),"")</f>
        <v>cumple</v>
      </c>
      <c r="W1584" s="376" t="s">
        <v>1814</v>
      </c>
      <c r="X1584" s="377" t="str">
        <f t="shared" si="147"/>
        <v>SAW</v>
      </c>
      <c r="Y1584" t="str">
        <f>SUBSTITUTE(Tabla1[[#This Row],[Descripción]],CHAR(10),"    I    ")</f>
        <v>Actualizacion de pestañas de ganadores</v>
      </c>
      <c r="Z1584" s="142">
        <f>VLOOKUP(Tabla1[[#This Row],[Perfil]],Catalogos!$B$75:$D$100,3,FALSE)*Tabla1[[#This Row],[Tiempo
(Hrs 00/100)]]*1.16</f>
        <v>1739.9999999999998</v>
      </c>
    </row>
    <row r="1585" spans="1:26" ht="15" customHeight="1" x14ac:dyDescent="0.3">
      <c r="A1585" s="552" t="s">
        <v>22</v>
      </c>
      <c r="B1585" s="601" t="s">
        <v>305</v>
      </c>
      <c r="C1585" s="602" t="s">
        <v>16</v>
      </c>
      <c r="D1585" s="603"/>
      <c r="E1585" s="604" t="s">
        <v>503</v>
      </c>
      <c r="F1585" s="552" t="s">
        <v>75</v>
      </c>
      <c r="G1585" s="370" t="s">
        <v>435</v>
      </c>
      <c r="H1585" s="605" t="s">
        <v>436</v>
      </c>
      <c r="I1585" s="609" t="s">
        <v>1474</v>
      </c>
      <c r="J1585" s="728">
        <v>45145</v>
      </c>
      <c r="K1585" s="747">
        <v>0.375</v>
      </c>
      <c r="L1585" s="728">
        <v>45145</v>
      </c>
      <c r="M1585" s="783">
        <v>0.45833333333333331</v>
      </c>
      <c r="N1585" s="603">
        <v>2</v>
      </c>
      <c r="O1585" s="601" t="s">
        <v>17</v>
      </c>
      <c r="P1585" s="402" t="s">
        <v>2358</v>
      </c>
      <c r="Q1585" s="809" t="s">
        <v>258</v>
      </c>
      <c r="R1585" s="608" t="s">
        <v>81</v>
      </c>
      <c r="S1585" s="31" t="s">
        <v>273</v>
      </c>
      <c r="T1585" s="31" t="s">
        <v>273</v>
      </c>
      <c r="U1585" s="31">
        <f>IFERROR(VLOOKUP(CONCATENATE(Tabla1[[#This Row],[Severidad]]," ",Tabla1[[#This Row],[Complejidad]]),Catalogos!E$120:G$128,3,FALSE),"")</f>
        <v>64</v>
      </c>
      <c r="V1585" s="31" t="str">
        <f>IF(Tabla1[[#This Row],[Tiempo solución max (hrs)]]&lt;&gt;"",IF(Tabla1[[#This Row],[Tiempo solución max (hrs)]]&gt;=Tabla1[[#This Row],[Tiempo
(Hrs 00/100)]],"cumple","no cumple"),"")</f>
        <v>cumple</v>
      </c>
      <c r="W1585" s="376" t="s">
        <v>1814</v>
      </c>
      <c r="X1585" s="377" t="str">
        <f t="shared" si="147"/>
        <v>SAW</v>
      </c>
      <c r="Y1585" t="str">
        <f>SUBSTITUTE(Tabla1[[#This Row],[Descripción]],CHAR(10),"    I    ")</f>
        <v>actualizacion de inventario de micrositios</v>
      </c>
      <c r="Z1585" s="142">
        <f>VLOOKUP(Tabla1[[#This Row],[Perfil]],Catalogos!$B$75:$D$100,3,FALSE)*Tabla1[[#This Row],[Tiempo
(Hrs 00/100)]]*1.16</f>
        <v>1160</v>
      </c>
    </row>
    <row r="1586" spans="1:26" ht="15" customHeight="1" x14ac:dyDescent="0.3">
      <c r="A1586" s="552" t="s">
        <v>22</v>
      </c>
      <c r="B1586" s="601" t="s">
        <v>68</v>
      </c>
      <c r="C1586" s="602" t="s">
        <v>16</v>
      </c>
      <c r="D1586" s="370"/>
      <c r="E1586" s="604" t="s">
        <v>503</v>
      </c>
      <c r="F1586" s="552" t="s">
        <v>75</v>
      </c>
      <c r="G1586" s="370" t="s">
        <v>435</v>
      </c>
      <c r="H1586" s="605" t="s">
        <v>436</v>
      </c>
      <c r="I1586" s="609" t="s">
        <v>2362</v>
      </c>
      <c r="J1586" s="728">
        <v>45145</v>
      </c>
      <c r="K1586" s="783">
        <v>0.45833333333333331</v>
      </c>
      <c r="L1586" s="728">
        <v>45145</v>
      </c>
      <c r="M1586" s="783">
        <v>0.6875</v>
      </c>
      <c r="N1586" s="603">
        <v>4</v>
      </c>
      <c r="O1586" s="601" t="s">
        <v>17</v>
      </c>
      <c r="P1586" s="402" t="s">
        <v>2358</v>
      </c>
      <c r="Q1586" s="809" t="s">
        <v>258</v>
      </c>
      <c r="R1586" s="608" t="s">
        <v>81</v>
      </c>
      <c r="S1586" s="31" t="s">
        <v>273</v>
      </c>
      <c r="T1586" s="31" t="s">
        <v>273</v>
      </c>
      <c r="U1586" s="31">
        <f>IFERROR(VLOOKUP(CONCATENATE(Tabla1[[#This Row],[Severidad]]," ",Tabla1[[#This Row],[Complejidad]]),Catalogos!E$120:G$128,3,FALSE),"")</f>
        <v>64</v>
      </c>
      <c r="V1586" s="31" t="str">
        <f>IF(Tabla1[[#This Row],[Tiempo solución max (hrs)]]&lt;&gt;"",IF(Tabla1[[#This Row],[Tiempo solución max (hrs)]]&gt;=Tabla1[[#This Row],[Tiempo
(Hrs 00/100)]],"cumple","no cumple"),"")</f>
        <v>cumple</v>
      </c>
      <c r="W1586" s="376" t="s">
        <v>1814</v>
      </c>
      <c r="X1586" s="377" t="str">
        <f t="shared" ref="X1586:X1615" si="148">IF(C1586&lt;&gt;"",C1586,D1586)</f>
        <v>SAW</v>
      </c>
      <c r="Y1586" t="str">
        <f>SUBSTITUTE(Tabla1[[#This Row],[Descripción]],CHAR(10),"    I    ")</f>
        <v xml:space="preserve">Actualizacion portal </v>
      </c>
      <c r="Z1586" s="142">
        <f>VLOOKUP(Tabla1[[#This Row],[Perfil]],Catalogos!$B$75:$D$100,3,FALSE)*Tabla1[[#This Row],[Tiempo
(Hrs 00/100)]]*1.16</f>
        <v>2320</v>
      </c>
    </row>
    <row r="1587" spans="1:26" ht="15" customHeight="1" x14ac:dyDescent="0.3">
      <c r="A1587" s="552" t="s">
        <v>22</v>
      </c>
      <c r="B1587" s="601" t="s">
        <v>68</v>
      </c>
      <c r="C1587" s="602" t="s">
        <v>16</v>
      </c>
      <c r="D1587" s="370"/>
      <c r="E1587" s="604" t="s">
        <v>503</v>
      </c>
      <c r="F1587" s="552" t="s">
        <v>75</v>
      </c>
      <c r="G1587" s="370" t="s">
        <v>435</v>
      </c>
      <c r="H1587" s="605" t="s">
        <v>436</v>
      </c>
      <c r="I1587" s="609" t="s">
        <v>866</v>
      </c>
      <c r="J1587" s="728">
        <v>45145</v>
      </c>
      <c r="K1587" s="783">
        <v>0.6875</v>
      </c>
      <c r="L1587" s="728">
        <v>45145</v>
      </c>
      <c r="M1587" s="783">
        <v>0.79166666666666663</v>
      </c>
      <c r="N1587" s="603">
        <v>2.5</v>
      </c>
      <c r="O1587" s="601" t="s">
        <v>17</v>
      </c>
      <c r="P1587" s="607" t="s">
        <v>2358</v>
      </c>
      <c r="Q1587" s="809" t="s">
        <v>258</v>
      </c>
      <c r="R1587" s="608" t="s">
        <v>81</v>
      </c>
      <c r="S1587" s="31" t="s">
        <v>273</v>
      </c>
      <c r="T1587" s="31" t="s">
        <v>273</v>
      </c>
      <c r="U1587" s="31">
        <f>IFERROR(VLOOKUP(CONCATENATE(Tabla1[[#This Row],[Severidad]]," ",Tabla1[[#This Row],[Complejidad]]),Catalogos!E$120:G$128,3,FALSE),"")</f>
        <v>64</v>
      </c>
      <c r="V1587" s="31" t="str">
        <f>IF(Tabla1[[#This Row],[Tiempo solución max (hrs)]]&lt;&gt;"",IF(Tabla1[[#This Row],[Tiempo solución max (hrs)]]&gt;=Tabla1[[#This Row],[Tiempo
(Hrs 00/100)]],"cumple","no cumple"),"")</f>
        <v>cumple</v>
      </c>
      <c r="W1587" s="376" t="s">
        <v>1814</v>
      </c>
      <c r="X1587" s="377" t="str">
        <f t="shared" si="148"/>
        <v>SAW</v>
      </c>
      <c r="Y1587" t="str">
        <f>SUBSTITUTE(Tabla1[[#This Row],[Descripción]],CHAR(10),"    I    ")</f>
        <v xml:space="preserve">Actualizacion de avance de proyectos </v>
      </c>
      <c r="Z1587" s="142">
        <f>VLOOKUP(Tabla1[[#This Row],[Perfil]],Catalogos!$B$75:$D$100,3,FALSE)*Tabla1[[#This Row],[Tiempo
(Hrs 00/100)]]*1.16</f>
        <v>1450</v>
      </c>
    </row>
    <row r="1588" spans="1:26" ht="15" customHeight="1" x14ac:dyDescent="0.3">
      <c r="A1588" s="552" t="s">
        <v>22</v>
      </c>
      <c r="B1588" s="601" t="s">
        <v>68</v>
      </c>
      <c r="C1588" s="602" t="s">
        <v>16</v>
      </c>
      <c r="D1588" s="370"/>
      <c r="E1588" s="604" t="s">
        <v>503</v>
      </c>
      <c r="F1588" s="552" t="s">
        <v>75</v>
      </c>
      <c r="G1588" s="370" t="s">
        <v>435</v>
      </c>
      <c r="H1588" s="605" t="s">
        <v>436</v>
      </c>
      <c r="I1588" s="609" t="s">
        <v>1474</v>
      </c>
      <c r="J1588" s="728">
        <v>45146</v>
      </c>
      <c r="K1588" s="771">
        <v>0.375</v>
      </c>
      <c r="L1588" s="728">
        <v>45114</v>
      </c>
      <c r="M1588" s="783">
        <v>0.54166666666666663</v>
      </c>
      <c r="N1588" s="603">
        <v>4</v>
      </c>
      <c r="O1588" s="601" t="s">
        <v>17</v>
      </c>
      <c r="P1588" s="402" t="s">
        <v>2358</v>
      </c>
      <c r="Q1588" s="809" t="s">
        <v>258</v>
      </c>
      <c r="R1588" s="608" t="s">
        <v>81</v>
      </c>
      <c r="S1588" s="31" t="s">
        <v>273</v>
      </c>
      <c r="T1588" s="31" t="s">
        <v>273</v>
      </c>
      <c r="U1588" s="31">
        <f>IFERROR(VLOOKUP(CONCATENATE(Tabla1[[#This Row],[Severidad]]," ",Tabla1[[#This Row],[Complejidad]]),Catalogos!E$120:G$128,3,FALSE),"")</f>
        <v>64</v>
      </c>
      <c r="V1588" s="31" t="str">
        <f>IF(Tabla1[[#This Row],[Tiempo solución max (hrs)]]&lt;&gt;"",IF(Tabla1[[#This Row],[Tiempo solución max (hrs)]]&gt;=Tabla1[[#This Row],[Tiempo
(Hrs 00/100)]],"cumple","no cumple"),"")</f>
        <v>cumple</v>
      </c>
      <c r="W1588" s="376" t="s">
        <v>1814</v>
      </c>
      <c r="X1588" s="377" t="str">
        <f t="shared" si="148"/>
        <v>SAW</v>
      </c>
      <c r="Y1588" t="str">
        <f>SUBSTITUTE(Tabla1[[#This Row],[Descripción]],CHAR(10),"    I    ")</f>
        <v>actualizacion de inventario de micrositios</v>
      </c>
      <c r="Z1588" s="142">
        <f>VLOOKUP(Tabla1[[#This Row],[Perfil]],Catalogos!$B$75:$D$100,3,FALSE)*Tabla1[[#This Row],[Tiempo
(Hrs 00/100)]]*1.16</f>
        <v>2320</v>
      </c>
    </row>
    <row r="1589" spans="1:26" ht="15" customHeight="1" x14ac:dyDescent="0.3">
      <c r="A1589" s="552" t="s">
        <v>22</v>
      </c>
      <c r="B1589" s="601" t="s">
        <v>68</v>
      </c>
      <c r="C1589" s="602" t="s">
        <v>16</v>
      </c>
      <c r="D1589" s="603"/>
      <c r="E1589" s="604" t="s">
        <v>503</v>
      </c>
      <c r="F1589" s="552" t="s">
        <v>75</v>
      </c>
      <c r="G1589" s="370" t="s">
        <v>435</v>
      </c>
      <c r="H1589" s="605" t="s">
        <v>436</v>
      </c>
      <c r="I1589" s="609" t="s">
        <v>2363</v>
      </c>
      <c r="J1589" s="728">
        <v>45146</v>
      </c>
      <c r="K1589" s="783">
        <v>0.54166666666666663</v>
      </c>
      <c r="L1589" s="728">
        <v>45146</v>
      </c>
      <c r="M1589" s="783">
        <v>0.79166666666666663</v>
      </c>
      <c r="N1589" s="603">
        <v>4.5</v>
      </c>
      <c r="O1589" s="601" t="s">
        <v>17</v>
      </c>
      <c r="P1589" s="389" t="s">
        <v>2364</v>
      </c>
      <c r="Q1589" s="809" t="s">
        <v>258</v>
      </c>
      <c r="R1589" s="608" t="s">
        <v>81</v>
      </c>
      <c r="S1589" s="31" t="s">
        <v>273</v>
      </c>
      <c r="T1589" s="31" t="s">
        <v>273</v>
      </c>
      <c r="U1589" s="31">
        <f>IFERROR(VLOOKUP(CONCATENATE(Tabla1[[#This Row],[Severidad]]," ",Tabla1[[#This Row],[Complejidad]]),Catalogos!E$120:G$128,3,FALSE),"")</f>
        <v>64</v>
      </c>
      <c r="V1589" s="31" t="str">
        <f>IF(Tabla1[[#This Row],[Tiempo solución max (hrs)]]&lt;&gt;"",IF(Tabla1[[#This Row],[Tiempo solución max (hrs)]]&gt;=Tabla1[[#This Row],[Tiempo
(Hrs 00/100)]],"cumple","no cumple"),"")</f>
        <v>cumple</v>
      </c>
      <c r="W1589" s="376" t="s">
        <v>1814</v>
      </c>
      <c r="X1589" s="377" t="str">
        <f t="shared" si="148"/>
        <v>SAW</v>
      </c>
      <c r="Y1589" t="str">
        <f>SUBSTITUTE(Tabla1[[#This Row],[Descripción]],CHAR(10),"    I    ")</f>
        <v xml:space="preserve">Actualizacion de micrositio Revista Sociedad y tranparencia </v>
      </c>
      <c r="Z1589" s="142">
        <f>VLOOKUP(Tabla1[[#This Row],[Perfil]],Catalogos!$B$75:$D$100,3,FALSE)*Tabla1[[#This Row],[Tiempo
(Hrs 00/100)]]*1.16</f>
        <v>2610</v>
      </c>
    </row>
    <row r="1590" spans="1:26" ht="15" customHeight="1" x14ac:dyDescent="0.3">
      <c r="A1590" s="552" t="s">
        <v>22</v>
      </c>
      <c r="B1590" s="601" t="s">
        <v>68</v>
      </c>
      <c r="C1590" s="602" t="s">
        <v>16</v>
      </c>
      <c r="D1590" s="603"/>
      <c r="E1590" s="604" t="s">
        <v>503</v>
      </c>
      <c r="F1590" s="552" t="s">
        <v>75</v>
      </c>
      <c r="G1590" s="370" t="s">
        <v>435</v>
      </c>
      <c r="H1590" s="605" t="s">
        <v>436</v>
      </c>
      <c r="I1590" s="609" t="s">
        <v>1487</v>
      </c>
      <c r="J1590" s="728">
        <v>45147</v>
      </c>
      <c r="K1590" s="771">
        <v>0.375</v>
      </c>
      <c r="L1590" s="728">
        <v>45147</v>
      </c>
      <c r="M1590" s="783">
        <v>0.58333333333333337</v>
      </c>
      <c r="N1590" s="603">
        <v>5</v>
      </c>
      <c r="O1590" s="601" t="s">
        <v>17</v>
      </c>
      <c r="P1590" s="402" t="s">
        <v>2358</v>
      </c>
      <c r="Q1590" s="809" t="s">
        <v>258</v>
      </c>
      <c r="R1590" s="608" t="s">
        <v>81</v>
      </c>
      <c r="S1590" s="31" t="s">
        <v>273</v>
      </c>
      <c r="T1590" s="31" t="s">
        <v>273</v>
      </c>
      <c r="U1590" s="31">
        <f>IFERROR(VLOOKUP(CONCATENATE(Tabla1[[#This Row],[Severidad]]," ",Tabla1[[#This Row],[Complejidad]]),Catalogos!E$120:G$128,3,FALSE),"")</f>
        <v>64</v>
      </c>
      <c r="V1590" s="31" t="str">
        <f>IF(Tabla1[[#This Row],[Tiempo solución max (hrs)]]&lt;&gt;"",IF(Tabla1[[#This Row],[Tiempo solución max (hrs)]]&gt;=Tabla1[[#This Row],[Tiempo
(Hrs 00/100)]],"cumple","no cumple"),"")</f>
        <v>cumple</v>
      </c>
      <c r="W1590" s="376" t="s">
        <v>1814</v>
      </c>
      <c r="X1590" s="377" t="str">
        <f t="shared" si="148"/>
        <v>SAW</v>
      </c>
      <c r="Y1590" t="str">
        <f>SUBSTITUTE(Tabla1[[#This Row],[Descripción]],CHAR(10),"    I    ")</f>
        <v>Apoyo a formulario de Registros</v>
      </c>
      <c r="Z1590" s="142">
        <f>VLOOKUP(Tabla1[[#This Row],[Perfil]],Catalogos!$B$75:$D$100,3,FALSE)*Tabla1[[#This Row],[Tiempo
(Hrs 00/100)]]*1.16</f>
        <v>2900</v>
      </c>
    </row>
    <row r="1591" spans="1:26" ht="15" customHeight="1" x14ac:dyDescent="0.3">
      <c r="A1591" s="552" t="s">
        <v>22</v>
      </c>
      <c r="B1591" s="601" t="s">
        <v>68</v>
      </c>
      <c r="C1591" s="602" t="s">
        <v>16</v>
      </c>
      <c r="D1591" s="603"/>
      <c r="E1591" s="604" t="s">
        <v>503</v>
      </c>
      <c r="F1591" s="552" t="s">
        <v>75</v>
      </c>
      <c r="G1591" s="370" t="s">
        <v>435</v>
      </c>
      <c r="H1591" s="605" t="s">
        <v>436</v>
      </c>
      <c r="I1591" s="609" t="s">
        <v>2365</v>
      </c>
      <c r="J1591" s="728">
        <v>45147</v>
      </c>
      <c r="K1591" s="783">
        <v>0.58333333333333337</v>
      </c>
      <c r="L1591" s="728">
        <v>45147</v>
      </c>
      <c r="M1591" s="783">
        <v>0.79166666666666663</v>
      </c>
      <c r="N1591" s="603">
        <v>3.5</v>
      </c>
      <c r="O1591" s="601" t="s">
        <v>17</v>
      </c>
      <c r="P1591" s="607" t="s">
        <v>2364</v>
      </c>
      <c r="Q1591" s="809" t="s">
        <v>258</v>
      </c>
      <c r="R1591" s="608" t="s">
        <v>81</v>
      </c>
      <c r="S1591" s="31" t="s">
        <v>273</v>
      </c>
      <c r="T1591" s="31" t="s">
        <v>273</v>
      </c>
      <c r="U1591" s="31">
        <f>IFERROR(VLOOKUP(CONCATENATE(Tabla1[[#This Row],[Severidad]]," ",Tabla1[[#This Row],[Complejidad]]),Catalogos!E$120:G$128,3,FALSE),"")</f>
        <v>64</v>
      </c>
      <c r="V1591" s="31" t="str">
        <f>IF(Tabla1[[#This Row],[Tiempo solución max (hrs)]]&lt;&gt;"",IF(Tabla1[[#This Row],[Tiempo solución max (hrs)]]&gt;=Tabla1[[#This Row],[Tiempo
(Hrs 00/100)]],"cumple","no cumple"),"")</f>
        <v>cumple</v>
      </c>
      <c r="W1591" s="376" t="s">
        <v>1814</v>
      </c>
      <c r="X1591" s="377" t="str">
        <f t="shared" si="148"/>
        <v>SAW</v>
      </c>
      <c r="Y1591" t="str">
        <f>SUBSTITUTE(Tabla1[[#This Row],[Descripción]],CHAR(10),"    I    ")</f>
        <v>Actualizacion Revista Sociedad y Transparencia</v>
      </c>
      <c r="Z1591" s="142">
        <f>VLOOKUP(Tabla1[[#This Row],[Perfil]],Catalogos!$B$75:$D$100,3,FALSE)*Tabla1[[#This Row],[Tiempo
(Hrs 00/100)]]*1.16</f>
        <v>2029.9999999999998</v>
      </c>
    </row>
    <row r="1592" spans="1:26" ht="15" customHeight="1" x14ac:dyDescent="0.3">
      <c r="A1592" s="552" t="s">
        <v>22</v>
      </c>
      <c r="B1592" s="601" t="s">
        <v>68</v>
      </c>
      <c r="C1592" s="602" t="s">
        <v>16</v>
      </c>
      <c r="D1592" s="603"/>
      <c r="E1592" s="604" t="s">
        <v>503</v>
      </c>
      <c r="F1592" s="552" t="s">
        <v>75</v>
      </c>
      <c r="G1592" s="370" t="s">
        <v>435</v>
      </c>
      <c r="H1592" s="605" t="s">
        <v>436</v>
      </c>
      <c r="I1592" s="609" t="s">
        <v>1470</v>
      </c>
      <c r="J1592" s="728">
        <v>45148</v>
      </c>
      <c r="K1592" s="771">
        <v>0.375</v>
      </c>
      <c r="L1592" s="728">
        <v>45148</v>
      </c>
      <c r="M1592" s="783">
        <v>0.54166666666666663</v>
      </c>
      <c r="N1592" s="603">
        <v>4</v>
      </c>
      <c r="O1592" s="601" t="s">
        <v>17</v>
      </c>
      <c r="P1592" s="402" t="s">
        <v>2358</v>
      </c>
      <c r="Q1592" s="809" t="s">
        <v>258</v>
      </c>
      <c r="R1592" s="608" t="s">
        <v>81</v>
      </c>
      <c r="S1592" s="31" t="s">
        <v>273</v>
      </c>
      <c r="T1592" s="31" t="s">
        <v>273</v>
      </c>
      <c r="U1592" s="31">
        <f>IFERROR(VLOOKUP(CONCATENATE(Tabla1[[#This Row],[Severidad]]," ",Tabla1[[#This Row],[Complejidad]]),Catalogos!E$120:G$128,3,FALSE),"")</f>
        <v>64</v>
      </c>
      <c r="V1592" s="31" t="str">
        <f>IF(Tabla1[[#This Row],[Tiempo solución max (hrs)]]&lt;&gt;"",IF(Tabla1[[#This Row],[Tiempo solución max (hrs)]]&gt;=Tabla1[[#This Row],[Tiempo
(Hrs 00/100)]],"cumple","no cumple"),"")</f>
        <v>cumple</v>
      </c>
      <c r="W1592" s="376" t="s">
        <v>1814</v>
      </c>
      <c r="X1592" s="377" t="str">
        <f t="shared" si="148"/>
        <v>SAW</v>
      </c>
      <c r="Y1592" t="str">
        <f>SUBSTITUTE(Tabla1[[#This Row],[Descripción]],CHAR(10),"    I    ")</f>
        <v xml:space="preserve">Actualizacion Requerimiento de aplicaciones web </v>
      </c>
      <c r="Z1592" s="142">
        <f>VLOOKUP(Tabla1[[#This Row],[Perfil]],Catalogos!$B$75:$D$100,3,FALSE)*Tabla1[[#This Row],[Tiempo
(Hrs 00/100)]]*1.16</f>
        <v>2320</v>
      </c>
    </row>
    <row r="1593" spans="1:26" ht="15" customHeight="1" x14ac:dyDescent="0.3">
      <c r="A1593" s="552" t="s">
        <v>22</v>
      </c>
      <c r="B1593" s="601" t="s">
        <v>68</v>
      </c>
      <c r="C1593" s="602" t="s">
        <v>16</v>
      </c>
      <c r="D1593" s="603"/>
      <c r="E1593" s="604" t="s">
        <v>503</v>
      </c>
      <c r="F1593" s="552" t="s">
        <v>75</v>
      </c>
      <c r="G1593" s="370" t="s">
        <v>435</v>
      </c>
      <c r="H1593" s="605" t="s">
        <v>436</v>
      </c>
      <c r="I1593" s="609" t="s">
        <v>866</v>
      </c>
      <c r="J1593" s="728">
        <v>45148</v>
      </c>
      <c r="K1593" s="783">
        <v>0.54166666666666663</v>
      </c>
      <c r="L1593" s="728">
        <v>45148</v>
      </c>
      <c r="M1593" s="783">
        <v>0.79166666666666663</v>
      </c>
      <c r="N1593" s="603">
        <v>4.5</v>
      </c>
      <c r="O1593" s="601" t="s">
        <v>17</v>
      </c>
      <c r="P1593" s="607" t="s">
        <v>2358</v>
      </c>
      <c r="Q1593" s="809" t="s">
        <v>258</v>
      </c>
      <c r="R1593" s="608" t="s">
        <v>81</v>
      </c>
      <c r="S1593" s="31" t="s">
        <v>273</v>
      </c>
      <c r="T1593" s="31" t="s">
        <v>273</v>
      </c>
      <c r="U1593" s="31">
        <f>IFERROR(VLOOKUP(CONCATENATE(Tabla1[[#This Row],[Severidad]]," ",Tabla1[[#This Row],[Complejidad]]),Catalogos!E$120:G$128,3,FALSE),"")</f>
        <v>64</v>
      </c>
      <c r="V1593" s="31" t="str">
        <f>IF(Tabla1[[#This Row],[Tiempo solución max (hrs)]]&lt;&gt;"",IF(Tabla1[[#This Row],[Tiempo solución max (hrs)]]&gt;=Tabla1[[#This Row],[Tiempo
(Hrs 00/100)]],"cumple","no cumple"),"")</f>
        <v>cumple</v>
      </c>
      <c r="W1593" s="376" t="s">
        <v>1814</v>
      </c>
      <c r="X1593" s="377" t="str">
        <f t="shared" si="148"/>
        <v>SAW</v>
      </c>
      <c r="Y1593" t="str">
        <f>SUBSTITUTE(Tabla1[[#This Row],[Descripción]],CHAR(10),"    I    ")</f>
        <v xml:space="preserve">Actualizacion de avance de proyectos </v>
      </c>
      <c r="Z1593" s="142">
        <f>VLOOKUP(Tabla1[[#This Row],[Perfil]],Catalogos!$B$75:$D$100,3,FALSE)*Tabla1[[#This Row],[Tiempo
(Hrs 00/100)]]*1.16</f>
        <v>2610</v>
      </c>
    </row>
    <row r="1594" spans="1:26" ht="15" customHeight="1" x14ac:dyDescent="0.3">
      <c r="A1594" s="552" t="s">
        <v>22</v>
      </c>
      <c r="B1594" s="601" t="s">
        <v>68</v>
      </c>
      <c r="C1594" s="602" t="s">
        <v>16</v>
      </c>
      <c r="D1594" s="603"/>
      <c r="E1594" s="604" t="s">
        <v>503</v>
      </c>
      <c r="F1594" s="552" t="s">
        <v>75</v>
      </c>
      <c r="G1594" s="370" t="s">
        <v>435</v>
      </c>
      <c r="H1594" s="605" t="s">
        <v>436</v>
      </c>
      <c r="I1594" s="609" t="s">
        <v>2366</v>
      </c>
      <c r="J1594" s="728">
        <v>45149</v>
      </c>
      <c r="K1594" s="739">
        <v>0.375</v>
      </c>
      <c r="L1594" s="728">
        <v>45149</v>
      </c>
      <c r="M1594" s="739">
        <v>0.625</v>
      </c>
      <c r="N1594" s="603">
        <v>6</v>
      </c>
      <c r="O1594" s="601" t="s">
        <v>17</v>
      </c>
      <c r="P1594" s="402" t="s">
        <v>2358</v>
      </c>
      <c r="Q1594" s="809" t="s">
        <v>258</v>
      </c>
      <c r="R1594" s="608" t="s">
        <v>81</v>
      </c>
      <c r="S1594" s="31" t="s">
        <v>273</v>
      </c>
      <c r="T1594" s="31" t="s">
        <v>273</v>
      </c>
      <c r="U1594" s="31">
        <f>IFERROR(VLOOKUP(CONCATENATE(Tabla1[[#This Row],[Severidad]]," ",Tabla1[[#This Row],[Complejidad]]),Catalogos!E$120:G$128,3,FALSE),"")</f>
        <v>64</v>
      </c>
      <c r="V1594" s="31" t="str">
        <f>IF(Tabla1[[#This Row],[Tiempo solución max (hrs)]]&lt;&gt;"",IF(Tabla1[[#This Row],[Tiempo solución max (hrs)]]&gt;=Tabla1[[#This Row],[Tiempo
(Hrs 00/100)]],"cumple","no cumple"),"")</f>
        <v>cumple</v>
      </c>
      <c r="W1594" s="376" t="s">
        <v>1814</v>
      </c>
      <c r="X1594" s="377" t="str">
        <f t="shared" si="148"/>
        <v>SAW</v>
      </c>
      <c r="Y1594" t="str">
        <f>SUBSTITUTE(Tabla1[[#This Row],[Descripción]],CHAR(10),"    I    ")</f>
        <v>Falla tecnica en el registro de concurso</v>
      </c>
      <c r="Z1594" s="142">
        <f>VLOOKUP(Tabla1[[#This Row],[Perfil]],Catalogos!$B$75:$D$100,3,FALSE)*Tabla1[[#This Row],[Tiempo
(Hrs 00/100)]]*1.16</f>
        <v>3479.9999999999995</v>
      </c>
    </row>
    <row r="1595" spans="1:26" ht="15" customHeight="1" x14ac:dyDescent="0.3">
      <c r="A1595" s="552" t="s">
        <v>22</v>
      </c>
      <c r="B1595" s="601" t="s">
        <v>68</v>
      </c>
      <c r="C1595" s="602" t="s">
        <v>16</v>
      </c>
      <c r="D1595" s="603"/>
      <c r="E1595" s="604" t="s">
        <v>503</v>
      </c>
      <c r="F1595" s="552" t="s">
        <v>75</v>
      </c>
      <c r="G1595" s="370" t="s">
        <v>435</v>
      </c>
      <c r="H1595" s="605" t="s">
        <v>436</v>
      </c>
      <c r="I1595" s="609" t="s">
        <v>1487</v>
      </c>
      <c r="J1595" s="728">
        <v>45152</v>
      </c>
      <c r="K1595" s="771">
        <v>0.375</v>
      </c>
      <c r="L1595" s="728">
        <v>45152</v>
      </c>
      <c r="M1595" s="783">
        <v>0.54166666666666663</v>
      </c>
      <c r="N1595" s="603">
        <v>4</v>
      </c>
      <c r="O1595" s="601" t="s">
        <v>17</v>
      </c>
      <c r="P1595" s="402" t="s">
        <v>2358</v>
      </c>
      <c r="Q1595" s="809" t="s">
        <v>258</v>
      </c>
      <c r="R1595" s="608" t="s">
        <v>81</v>
      </c>
      <c r="S1595" s="31" t="s">
        <v>273</v>
      </c>
      <c r="T1595" s="31" t="s">
        <v>273</v>
      </c>
      <c r="U1595" s="31">
        <f>IFERROR(VLOOKUP(CONCATENATE(Tabla1[[#This Row],[Severidad]]," ",Tabla1[[#This Row],[Complejidad]]),Catalogos!E$120:G$128,3,FALSE),"")</f>
        <v>64</v>
      </c>
      <c r="V1595" s="31" t="str">
        <f>IF(Tabla1[[#This Row],[Tiempo solución max (hrs)]]&lt;&gt;"",IF(Tabla1[[#This Row],[Tiempo solución max (hrs)]]&gt;=Tabla1[[#This Row],[Tiempo
(Hrs 00/100)]],"cumple","no cumple"),"")</f>
        <v>cumple</v>
      </c>
      <c r="W1595" s="376" t="s">
        <v>1814</v>
      </c>
      <c r="X1595" s="377" t="str">
        <f t="shared" si="148"/>
        <v>SAW</v>
      </c>
      <c r="Y1595" t="str">
        <f>SUBSTITUTE(Tabla1[[#This Row],[Descripción]],CHAR(10),"    I    ")</f>
        <v>Apoyo a formulario de Registros</v>
      </c>
      <c r="Z1595" s="142">
        <f>VLOOKUP(Tabla1[[#This Row],[Perfil]],Catalogos!$B$75:$D$100,3,FALSE)*Tabla1[[#This Row],[Tiempo
(Hrs 00/100)]]*1.16</f>
        <v>2320</v>
      </c>
    </row>
    <row r="1596" spans="1:26" ht="15" customHeight="1" x14ac:dyDescent="0.3">
      <c r="A1596" s="552" t="s">
        <v>22</v>
      </c>
      <c r="B1596" s="601" t="s">
        <v>68</v>
      </c>
      <c r="C1596" s="602" t="s">
        <v>16</v>
      </c>
      <c r="D1596" s="603"/>
      <c r="E1596" s="604" t="s">
        <v>503</v>
      </c>
      <c r="F1596" s="552" t="s">
        <v>75</v>
      </c>
      <c r="G1596" s="370" t="s">
        <v>435</v>
      </c>
      <c r="H1596" s="605" t="s">
        <v>436</v>
      </c>
      <c r="I1596" s="609" t="s">
        <v>2367</v>
      </c>
      <c r="J1596" s="728">
        <v>45152</v>
      </c>
      <c r="K1596" s="783">
        <v>0.54166666666666663</v>
      </c>
      <c r="L1596" s="728">
        <v>45152</v>
      </c>
      <c r="M1596" s="783">
        <v>0.79166666666666663</v>
      </c>
      <c r="N1596" s="603">
        <v>4.5</v>
      </c>
      <c r="O1596" s="601" t="s">
        <v>17</v>
      </c>
      <c r="P1596" s="402" t="s">
        <v>2358</v>
      </c>
      <c r="Q1596" s="809" t="s">
        <v>258</v>
      </c>
      <c r="R1596" s="608" t="s">
        <v>81</v>
      </c>
      <c r="S1596" s="31" t="s">
        <v>273</v>
      </c>
      <c r="T1596" s="31" t="s">
        <v>273</v>
      </c>
      <c r="U1596" s="31">
        <f>IFERROR(VLOOKUP(CONCATENATE(Tabla1[[#This Row],[Severidad]]," ",Tabla1[[#This Row],[Complejidad]]),Catalogos!E$120:G$128,3,FALSE),"")</f>
        <v>64</v>
      </c>
      <c r="V1596" s="31" t="str">
        <f>IF(Tabla1[[#This Row],[Tiempo solución max (hrs)]]&lt;&gt;"",IF(Tabla1[[#This Row],[Tiempo solución max (hrs)]]&gt;=Tabla1[[#This Row],[Tiempo
(Hrs 00/100)]],"cumple","no cumple"),"")</f>
        <v>cumple</v>
      </c>
      <c r="W1596" s="376" t="s">
        <v>1814</v>
      </c>
      <c r="X1596" s="377" t="str">
        <f t="shared" si="148"/>
        <v>SAW</v>
      </c>
      <c r="Y1596" t="str">
        <f>SUBSTITUTE(Tabla1[[#This Row],[Descripción]],CHAR(10),"    I    ")</f>
        <v>Actualizaciones IP`S</v>
      </c>
      <c r="Z1596" s="142">
        <f>VLOOKUP(Tabla1[[#This Row],[Perfil]],Catalogos!$B$75:$D$100,3,FALSE)*Tabla1[[#This Row],[Tiempo
(Hrs 00/100)]]*1.16</f>
        <v>2610</v>
      </c>
    </row>
    <row r="1597" spans="1:26" ht="15" customHeight="1" x14ac:dyDescent="0.3">
      <c r="A1597" s="552" t="s">
        <v>22</v>
      </c>
      <c r="B1597" s="601" t="s">
        <v>68</v>
      </c>
      <c r="C1597" s="602" t="s">
        <v>16</v>
      </c>
      <c r="D1597" s="370"/>
      <c r="E1597" s="604" t="s">
        <v>503</v>
      </c>
      <c r="F1597" s="552" t="s">
        <v>75</v>
      </c>
      <c r="G1597" s="370" t="s">
        <v>435</v>
      </c>
      <c r="H1597" s="605" t="s">
        <v>436</v>
      </c>
      <c r="I1597" s="606" t="s">
        <v>2368</v>
      </c>
      <c r="J1597" s="728">
        <v>45153</v>
      </c>
      <c r="K1597" s="771">
        <v>0.375</v>
      </c>
      <c r="L1597" s="728">
        <v>45153</v>
      </c>
      <c r="M1597" s="783">
        <v>0.54166666666666663</v>
      </c>
      <c r="N1597" s="603">
        <v>4</v>
      </c>
      <c r="O1597" s="601" t="s">
        <v>17</v>
      </c>
      <c r="P1597" s="607" t="s">
        <v>2369</v>
      </c>
      <c r="Q1597" s="809" t="s">
        <v>258</v>
      </c>
      <c r="R1597" s="608" t="s">
        <v>81</v>
      </c>
      <c r="S1597" s="31" t="s">
        <v>273</v>
      </c>
      <c r="T1597" s="31" t="s">
        <v>273</v>
      </c>
      <c r="U1597" s="31">
        <f>IFERROR(VLOOKUP(CONCATENATE(Tabla1[[#This Row],[Severidad]]," ",Tabla1[[#This Row],[Complejidad]]),Catalogos!E$120:G$128,3,FALSE),"")</f>
        <v>64</v>
      </c>
      <c r="V1597" s="31" t="str">
        <f>IF(Tabla1[[#This Row],[Tiempo solución max (hrs)]]&lt;&gt;"",IF(Tabla1[[#This Row],[Tiempo solución max (hrs)]]&gt;=Tabla1[[#This Row],[Tiempo
(Hrs 00/100)]],"cumple","no cumple"),"")</f>
        <v>cumple</v>
      </c>
      <c r="W1597" s="376" t="s">
        <v>1814</v>
      </c>
      <c r="X1597" s="377" t="str">
        <f t="shared" si="148"/>
        <v>SAW</v>
      </c>
      <c r="Y1597" t="str">
        <f>SUBSTITUTE(Tabla1[[#This Row],[Descripción]],CHAR(10),"    I    ")</f>
        <v xml:space="preserve">Actualizacion gobierno abierto y transparencia </v>
      </c>
      <c r="Z1597" s="142">
        <f>VLOOKUP(Tabla1[[#This Row],[Perfil]],Catalogos!$B$75:$D$100,3,FALSE)*Tabla1[[#This Row],[Tiempo
(Hrs 00/100)]]*1.16</f>
        <v>2320</v>
      </c>
    </row>
    <row r="1598" spans="1:26" ht="15" customHeight="1" x14ac:dyDescent="0.3">
      <c r="A1598" s="552" t="s">
        <v>22</v>
      </c>
      <c r="B1598" s="601" t="s">
        <v>68</v>
      </c>
      <c r="C1598" s="602" t="s">
        <v>16</v>
      </c>
      <c r="D1598" s="370"/>
      <c r="E1598" s="604" t="s">
        <v>503</v>
      </c>
      <c r="F1598" s="552" t="s">
        <v>75</v>
      </c>
      <c r="G1598" s="370" t="s">
        <v>435</v>
      </c>
      <c r="H1598" s="605" t="s">
        <v>436</v>
      </c>
      <c r="I1598" s="606" t="s">
        <v>866</v>
      </c>
      <c r="J1598" s="728">
        <v>45153</v>
      </c>
      <c r="K1598" s="783">
        <v>0.54166666666666663</v>
      </c>
      <c r="L1598" s="728">
        <v>45153</v>
      </c>
      <c r="M1598" s="783">
        <v>0.79166666666666663</v>
      </c>
      <c r="N1598" s="603">
        <v>4.5</v>
      </c>
      <c r="O1598" s="601" t="s">
        <v>17</v>
      </c>
      <c r="P1598" s="367" t="s">
        <v>2358</v>
      </c>
      <c r="Q1598" s="809" t="s">
        <v>258</v>
      </c>
      <c r="R1598" s="608" t="s">
        <v>81</v>
      </c>
      <c r="S1598" s="31" t="s">
        <v>273</v>
      </c>
      <c r="T1598" s="31" t="s">
        <v>273</v>
      </c>
      <c r="U1598" s="31">
        <f>IFERROR(VLOOKUP(CONCATENATE(Tabla1[[#This Row],[Severidad]]," ",Tabla1[[#This Row],[Complejidad]]),Catalogos!E$120:G$128,3,FALSE),"")</f>
        <v>64</v>
      </c>
      <c r="V1598" s="31" t="str">
        <f>IF(Tabla1[[#This Row],[Tiempo solución max (hrs)]]&lt;&gt;"",IF(Tabla1[[#This Row],[Tiempo solución max (hrs)]]&gt;=Tabla1[[#This Row],[Tiempo
(Hrs 00/100)]],"cumple","no cumple"),"")</f>
        <v>cumple</v>
      </c>
      <c r="W1598" s="376" t="s">
        <v>1814</v>
      </c>
      <c r="X1598" s="377" t="str">
        <f t="shared" si="148"/>
        <v>SAW</v>
      </c>
      <c r="Y1598" t="str">
        <f>SUBSTITUTE(Tabla1[[#This Row],[Descripción]],CHAR(10),"    I    ")</f>
        <v xml:space="preserve">Actualizacion de avance de proyectos </v>
      </c>
      <c r="Z1598" s="142">
        <f>VLOOKUP(Tabla1[[#This Row],[Perfil]],Catalogos!$B$75:$D$100,3,FALSE)*Tabla1[[#This Row],[Tiempo
(Hrs 00/100)]]*1.16</f>
        <v>2610</v>
      </c>
    </row>
    <row r="1599" spans="1:26" ht="15" customHeight="1" x14ac:dyDescent="0.3">
      <c r="A1599" s="552" t="s">
        <v>22</v>
      </c>
      <c r="B1599" s="601" t="s">
        <v>68</v>
      </c>
      <c r="C1599" s="602" t="s">
        <v>16</v>
      </c>
      <c r="D1599" s="603"/>
      <c r="E1599" s="604" t="s">
        <v>503</v>
      </c>
      <c r="F1599" s="552" t="s">
        <v>75</v>
      </c>
      <c r="G1599" s="370" t="s">
        <v>435</v>
      </c>
      <c r="H1599" s="605" t="s">
        <v>436</v>
      </c>
      <c r="I1599" s="609" t="s">
        <v>1487</v>
      </c>
      <c r="J1599" s="728">
        <v>45154</v>
      </c>
      <c r="K1599" s="771">
        <v>0.375</v>
      </c>
      <c r="L1599" s="728">
        <v>45154</v>
      </c>
      <c r="M1599" s="783">
        <v>0.47916666666666669</v>
      </c>
      <c r="N1599" s="603">
        <v>2.5</v>
      </c>
      <c r="O1599" s="601" t="s">
        <v>17</v>
      </c>
      <c r="P1599" s="402" t="s">
        <v>2358</v>
      </c>
      <c r="Q1599" s="809" t="s">
        <v>258</v>
      </c>
      <c r="R1599" s="608" t="s">
        <v>81</v>
      </c>
      <c r="S1599" s="31" t="s">
        <v>273</v>
      </c>
      <c r="T1599" s="31" t="s">
        <v>273</v>
      </c>
      <c r="U1599" s="31">
        <f>IFERROR(VLOOKUP(CONCATENATE(Tabla1[[#This Row],[Severidad]]," ",Tabla1[[#This Row],[Complejidad]]),Catalogos!E$120:G$128,3,FALSE),"")</f>
        <v>64</v>
      </c>
      <c r="V1599" s="31" t="str">
        <f>IF(Tabla1[[#This Row],[Tiempo solución max (hrs)]]&lt;&gt;"",IF(Tabla1[[#This Row],[Tiempo solución max (hrs)]]&gt;=Tabla1[[#This Row],[Tiempo
(Hrs 00/100)]],"cumple","no cumple"),"")</f>
        <v>cumple</v>
      </c>
      <c r="W1599" s="376" t="s">
        <v>1814</v>
      </c>
      <c r="X1599" s="377" t="str">
        <f t="shared" si="148"/>
        <v>SAW</v>
      </c>
      <c r="Y1599" t="str">
        <f>SUBSTITUTE(Tabla1[[#This Row],[Descripción]],CHAR(10),"    I    ")</f>
        <v>Apoyo a formulario de Registros</v>
      </c>
      <c r="Z1599" s="142">
        <f>VLOOKUP(Tabla1[[#This Row],[Perfil]],Catalogos!$B$75:$D$100,3,FALSE)*Tabla1[[#This Row],[Tiempo
(Hrs 00/100)]]*1.16</f>
        <v>1450</v>
      </c>
    </row>
    <row r="1600" spans="1:26" ht="15" customHeight="1" x14ac:dyDescent="0.3">
      <c r="A1600" s="552" t="s">
        <v>22</v>
      </c>
      <c r="B1600" s="601" t="s">
        <v>68</v>
      </c>
      <c r="C1600" s="602" t="s">
        <v>16</v>
      </c>
      <c r="D1600" s="603"/>
      <c r="E1600" s="604" t="s">
        <v>503</v>
      </c>
      <c r="F1600" s="552" t="s">
        <v>75</v>
      </c>
      <c r="G1600" s="370" t="s">
        <v>435</v>
      </c>
      <c r="H1600" s="605" t="s">
        <v>436</v>
      </c>
      <c r="I1600" s="609" t="s">
        <v>1470</v>
      </c>
      <c r="J1600" s="728">
        <v>45154</v>
      </c>
      <c r="K1600" s="783">
        <v>0.47916666666666669</v>
      </c>
      <c r="L1600" s="728">
        <v>45154</v>
      </c>
      <c r="M1600" s="783">
        <v>0.60416666666666663</v>
      </c>
      <c r="N1600" s="603">
        <v>3</v>
      </c>
      <c r="O1600" s="601" t="s">
        <v>17</v>
      </c>
      <c r="P1600" s="402" t="s">
        <v>2358</v>
      </c>
      <c r="Q1600" s="809" t="s">
        <v>258</v>
      </c>
      <c r="R1600" s="608" t="s">
        <v>81</v>
      </c>
      <c r="S1600" s="31" t="s">
        <v>273</v>
      </c>
      <c r="T1600" s="31" t="s">
        <v>273</v>
      </c>
      <c r="U1600" s="31">
        <f>IFERROR(VLOOKUP(CONCATENATE(Tabla1[[#This Row],[Severidad]]," ",Tabla1[[#This Row],[Complejidad]]),Catalogos!E$120:G$128,3,FALSE),"")</f>
        <v>64</v>
      </c>
      <c r="V1600" s="31" t="str">
        <f>IF(Tabla1[[#This Row],[Tiempo solución max (hrs)]]&lt;&gt;"",IF(Tabla1[[#This Row],[Tiempo solución max (hrs)]]&gt;=Tabla1[[#This Row],[Tiempo
(Hrs 00/100)]],"cumple","no cumple"),"")</f>
        <v>cumple</v>
      </c>
      <c r="W1600" s="376" t="s">
        <v>1814</v>
      </c>
      <c r="X1600" s="377" t="str">
        <f t="shared" si="148"/>
        <v>SAW</v>
      </c>
      <c r="Y1600" t="str">
        <f>SUBSTITUTE(Tabla1[[#This Row],[Descripción]],CHAR(10),"    I    ")</f>
        <v xml:space="preserve">Actualizacion Requerimiento de aplicaciones web </v>
      </c>
      <c r="Z1600" s="142">
        <f>VLOOKUP(Tabla1[[#This Row],[Perfil]],Catalogos!$B$75:$D$100,3,FALSE)*Tabla1[[#This Row],[Tiempo
(Hrs 00/100)]]*1.16</f>
        <v>1739.9999999999998</v>
      </c>
    </row>
    <row r="1601" spans="1:26" ht="15" customHeight="1" x14ac:dyDescent="0.3">
      <c r="A1601" s="552" t="s">
        <v>22</v>
      </c>
      <c r="B1601" s="601" t="s">
        <v>68</v>
      </c>
      <c r="C1601" s="602" t="s">
        <v>16</v>
      </c>
      <c r="D1601" s="603"/>
      <c r="E1601" s="604" t="s">
        <v>503</v>
      </c>
      <c r="F1601" s="552" t="s">
        <v>75</v>
      </c>
      <c r="G1601" s="370" t="s">
        <v>435</v>
      </c>
      <c r="H1601" s="605" t="s">
        <v>436</v>
      </c>
      <c r="I1601" s="609" t="s">
        <v>2370</v>
      </c>
      <c r="J1601" s="728">
        <v>45154</v>
      </c>
      <c r="K1601" s="771">
        <v>0.66666666666666663</v>
      </c>
      <c r="L1601" s="728">
        <v>45155</v>
      </c>
      <c r="M1601" s="753">
        <v>0.79166666666666663</v>
      </c>
      <c r="N1601" s="603">
        <v>3</v>
      </c>
      <c r="O1601" s="601" t="s">
        <v>17</v>
      </c>
      <c r="P1601" s="402" t="s">
        <v>2358</v>
      </c>
      <c r="Q1601" s="809" t="s">
        <v>258</v>
      </c>
      <c r="R1601" s="608" t="s">
        <v>81</v>
      </c>
      <c r="S1601" s="31" t="s">
        <v>273</v>
      </c>
      <c r="T1601" s="31" t="s">
        <v>273</v>
      </c>
      <c r="U1601" s="31">
        <f>IFERROR(VLOOKUP(CONCATENATE(Tabla1[[#This Row],[Severidad]]," ",Tabla1[[#This Row],[Complejidad]]),Catalogos!E$120:G$128,3,FALSE),"")</f>
        <v>64</v>
      </c>
      <c r="V1601" s="31" t="str">
        <f>IF(Tabla1[[#This Row],[Tiempo solución max (hrs)]]&lt;&gt;"",IF(Tabla1[[#This Row],[Tiempo solución max (hrs)]]&gt;=Tabla1[[#This Row],[Tiempo
(Hrs 00/100)]],"cumple","no cumple"),"")</f>
        <v>cumple</v>
      </c>
      <c r="W1601" s="376" t="s">
        <v>1814</v>
      </c>
      <c r="X1601" s="377" t="str">
        <f t="shared" si="148"/>
        <v>SAW</v>
      </c>
      <c r="Y1601" t="str">
        <f>SUBSTITUTE(Tabla1[[#This Row],[Descripción]],CHAR(10),"    I    ")</f>
        <v xml:space="preserve">Actualizacion plataforma </v>
      </c>
      <c r="Z1601" s="142">
        <f>VLOOKUP(Tabla1[[#This Row],[Perfil]],Catalogos!$B$75:$D$100,3,FALSE)*Tabla1[[#This Row],[Tiempo
(Hrs 00/100)]]*1.16</f>
        <v>1739.9999999999998</v>
      </c>
    </row>
    <row r="1602" spans="1:26" ht="15" customHeight="1" x14ac:dyDescent="0.3">
      <c r="A1602" s="552" t="s">
        <v>22</v>
      </c>
      <c r="B1602" s="601" t="s">
        <v>68</v>
      </c>
      <c r="C1602" s="602" t="s">
        <v>16</v>
      </c>
      <c r="D1602" s="603"/>
      <c r="E1602" s="604" t="s">
        <v>503</v>
      </c>
      <c r="F1602" s="552" t="s">
        <v>75</v>
      </c>
      <c r="G1602" s="370" t="s">
        <v>435</v>
      </c>
      <c r="H1602" s="605" t="s">
        <v>436</v>
      </c>
      <c r="I1602" s="610" t="s">
        <v>866</v>
      </c>
      <c r="J1602" s="728">
        <v>45155</v>
      </c>
      <c r="K1602" s="747">
        <v>0.375</v>
      </c>
      <c r="L1602" s="728">
        <v>45155</v>
      </c>
      <c r="M1602" s="753">
        <v>0.79166666666666663</v>
      </c>
      <c r="N1602" s="603">
        <v>8.5</v>
      </c>
      <c r="O1602" s="601" t="s">
        <v>17</v>
      </c>
      <c r="P1602" s="389" t="s">
        <v>2358</v>
      </c>
      <c r="Q1602" s="809" t="s">
        <v>258</v>
      </c>
      <c r="R1602" s="608" t="s">
        <v>81</v>
      </c>
      <c r="S1602" s="31" t="s">
        <v>273</v>
      </c>
      <c r="T1602" s="31" t="s">
        <v>273</v>
      </c>
      <c r="U1602" s="31">
        <f>IFERROR(VLOOKUP(CONCATENATE(Tabla1[[#This Row],[Severidad]]," ",Tabla1[[#This Row],[Complejidad]]),Catalogos!E$120:G$128,3,FALSE),"")</f>
        <v>64</v>
      </c>
      <c r="V1602" s="31" t="str">
        <f>IF(Tabla1[[#This Row],[Tiempo solución max (hrs)]]&lt;&gt;"",IF(Tabla1[[#This Row],[Tiempo solución max (hrs)]]&gt;=Tabla1[[#This Row],[Tiempo
(Hrs 00/100)]],"cumple","no cumple"),"")</f>
        <v>cumple</v>
      </c>
      <c r="W1602" s="376" t="s">
        <v>1814</v>
      </c>
      <c r="X1602" s="377" t="str">
        <f t="shared" si="148"/>
        <v>SAW</v>
      </c>
      <c r="Y1602" t="str">
        <f>SUBSTITUTE(Tabla1[[#This Row],[Descripción]],CHAR(10),"    I    ")</f>
        <v xml:space="preserve">Actualizacion de avance de proyectos </v>
      </c>
      <c r="Z1602" s="142">
        <f>VLOOKUP(Tabla1[[#This Row],[Perfil]],Catalogos!$B$75:$D$100,3,FALSE)*Tabla1[[#This Row],[Tiempo
(Hrs 00/100)]]*1.16</f>
        <v>4930</v>
      </c>
    </row>
    <row r="1603" spans="1:26" ht="15" customHeight="1" x14ac:dyDescent="0.3">
      <c r="A1603" s="552" t="s">
        <v>22</v>
      </c>
      <c r="B1603" s="601" t="s">
        <v>68</v>
      </c>
      <c r="C1603" s="602" t="s">
        <v>16</v>
      </c>
      <c r="D1603" s="603"/>
      <c r="E1603" s="604" t="s">
        <v>503</v>
      </c>
      <c r="F1603" s="552" t="s">
        <v>75</v>
      </c>
      <c r="G1603" s="370" t="s">
        <v>435</v>
      </c>
      <c r="H1603" s="605" t="s">
        <v>436</v>
      </c>
      <c r="I1603" s="610" t="s">
        <v>2371</v>
      </c>
      <c r="J1603" s="728">
        <v>45156</v>
      </c>
      <c r="K1603" s="739">
        <v>0.375</v>
      </c>
      <c r="L1603" s="728">
        <v>45156</v>
      </c>
      <c r="M1603" s="739">
        <v>0.625</v>
      </c>
      <c r="N1603" s="603">
        <v>6</v>
      </c>
      <c r="O1603" s="601" t="s">
        <v>17</v>
      </c>
      <c r="P1603" s="402" t="s">
        <v>2358</v>
      </c>
      <c r="Q1603" s="809" t="s">
        <v>258</v>
      </c>
      <c r="R1603" s="608" t="s">
        <v>81</v>
      </c>
      <c r="S1603" s="31" t="s">
        <v>273</v>
      </c>
      <c r="T1603" s="31" t="s">
        <v>273</v>
      </c>
      <c r="U1603" s="31">
        <f>IFERROR(VLOOKUP(CONCATENATE(Tabla1[[#This Row],[Severidad]]," ",Tabla1[[#This Row],[Complejidad]]),Catalogos!E$120:G$128,3,FALSE),"")</f>
        <v>64</v>
      </c>
      <c r="V1603" s="31" t="str">
        <f>IF(Tabla1[[#This Row],[Tiempo solución max (hrs)]]&lt;&gt;"",IF(Tabla1[[#This Row],[Tiempo solución max (hrs)]]&gt;=Tabla1[[#This Row],[Tiempo
(Hrs 00/100)]],"cumple","no cumple"),"")</f>
        <v>cumple</v>
      </c>
      <c r="W1603" s="376" t="s">
        <v>1814</v>
      </c>
      <c r="X1603" s="377" t="str">
        <f t="shared" si="148"/>
        <v>SAW</v>
      </c>
      <c r="Y1603" t="str">
        <f>SUBSTITUTE(Tabla1[[#This Row],[Descripción]],CHAR(10),"    I    ")</f>
        <v xml:space="preserve">Actualizacion micrositio de expedientes clasificados </v>
      </c>
      <c r="Z1603" s="142">
        <f>VLOOKUP(Tabla1[[#This Row],[Perfil]],Catalogos!$B$75:$D$100,3,FALSE)*Tabla1[[#This Row],[Tiempo
(Hrs 00/100)]]*1.16</f>
        <v>3479.9999999999995</v>
      </c>
    </row>
    <row r="1604" spans="1:26" ht="15" customHeight="1" x14ac:dyDescent="0.3">
      <c r="A1604" s="552" t="s">
        <v>22</v>
      </c>
      <c r="B1604" s="601" t="s">
        <v>68</v>
      </c>
      <c r="C1604" s="602" t="s">
        <v>16</v>
      </c>
      <c r="D1604" s="370"/>
      <c r="E1604" s="604" t="s">
        <v>503</v>
      </c>
      <c r="F1604" s="552" t="s">
        <v>75</v>
      </c>
      <c r="G1604" s="370" t="s">
        <v>435</v>
      </c>
      <c r="H1604" s="605" t="s">
        <v>436</v>
      </c>
      <c r="I1604" s="610" t="s">
        <v>2372</v>
      </c>
      <c r="J1604" s="728">
        <v>45159</v>
      </c>
      <c r="K1604" s="747">
        <v>0.375</v>
      </c>
      <c r="L1604" s="728">
        <v>45159</v>
      </c>
      <c r="M1604" s="753">
        <v>0.79166666666666663</v>
      </c>
      <c r="N1604" s="603">
        <v>8.5</v>
      </c>
      <c r="O1604" s="601" t="s">
        <v>17</v>
      </c>
      <c r="P1604" s="607" t="s">
        <v>2356</v>
      </c>
      <c r="Q1604" s="809" t="s">
        <v>258</v>
      </c>
      <c r="R1604" s="608" t="s">
        <v>81</v>
      </c>
      <c r="S1604" s="31" t="s">
        <v>273</v>
      </c>
      <c r="T1604" s="31" t="s">
        <v>273</v>
      </c>
      <c r="U1604" s="31">
        <f>IFERROR(VLOOKUP(CONCATENATE(Tabla1[[#This Row],[Severidad]]," ",Tabla1[[#This Row],[Complejidad]]),Catalogos!E$120:G$128,3,FALSE),"")</f>
        <v>64</v>
      </c>
      <c r="V1604" s="31" t="str">
        <f>IF(Tabla1[[#This Row],[Tiempo solución max (hrs)]]&lt;&gt;"",IF(Tabla1[[#This Row],[Tiempo solución max (hrs)]]&gt;=Tabla1[[#This Row],[Tiempo
(Hrs 00/100)]],"cumple","no cumple"),"")</f>
        <v>cumple</v>
      </c>
      <c r="W1604" s="376" t="s">
        <v>1814</v>
      </c>
      <c r="X1604" s="377" t="str">
        <f t="shared" si="148"/>
        <v>SAW</v>
      </c>
      <c r="Y1604" t="str">
        <f>SUBSTITUTE(Tabla1[[#This Row],[Descripción]],CHAR(10),"    I    ")</f>
        <v xml:space="preserve">Actualizacion de Certamen de Innovacion y Transparencia </v>
      </c>
      <c r="Z1604" s="142">
        <f>VLOOKUP(Tabla1[[#This Row],[Perfil]],Catalogos!$B$75:$D$100,3,FALSE)*Tabla1[[#This Row],[Tiempo
(Hrs 00/100)]]*1.16</f>
        <v>4930</v>
      </c>
    </row>
    <row r="1605" spans="1:26" ht="15" customHeight="1" x14ac:dyDescent="0.3">
      <c r="A1605" s="552" t="s">
        <v>22</v>
      </c>
      <c r="B1605" s="601" t="s">
        <v>68</v>
      </c>
      <c r="C1605" s="602" t="s">
        <v>16</v>
      </c>
      <c r="D1605" s="603"/>
      <c r="E1605" s="604" t="s">
        <v>503</v>
      </c>
      <c r="F1605" s="552" t="s">
        <v>75</v>
      </c>
      <c r="G1605" s="370" t="s">
        <v>435</v>
      </c>
      <c r="H1605" s="605" t="s">
        <v>436</v>
      </c>
      <c r="I1605" s="609" t="s">
        <v>1470</v>
      </c>
      <c r="J1605" s="728">
        <v>45160</v>
      </c>
      <c r="K1605" s="747">
        <v>0.375</v>
      </c>
      <c r="L1605" s="728">
        <v>45160</v>
      </c>
      <c r="M1605" s="753">
        <v>0.79166666666666663</v>
      </c>
      <c r="N1605" s="603">
        <v>8.5</v>
      </c>
      <c r="O1605" s="601" t="s">
        <v>17</v>
      </c>
      <c r="P1605" s="402" t="s">
        <v>2358</v>
      </c>
      <c r="Q1605" s="809" t="s">
        <v>258</v>
      </c>
      <c r="R1605" s="608" t="s">
        <v>81</v>
      </c>
      <c r="S1605" s="31" t="s">
        <v>273</v>
      </c>
      <c r="T1605" s="31" t="s">
        <v>273</v>
      </c>
      <c r="U1605" s="31">
        <f>IFERROR(VLOOKUP(CONCATENATE(Tabla1[[#This Row],[Severidad]]," ",Tabla1[[#This Row],[Complejidad]]),Catalogos!E$120:G$128,3,FALSE),"")</f>
        <v>64</v>
      </c>
      <c r="V1605" s="31" t="str">
        <f>IF(Tabla1[[#This Row],[Tiempo solución max (hrs)]]&lt;&gt;"",IF(Tabla1[[#This Row],[Tiempo solución max (hrs)]]&gt;=Tabla1[[#This Row],[Tiempo
(Hrs 00/100)]],"cumple","no cumple"),"")</f>
        <v>cumple</v>
      </c>
      <c r="W1605" s="376" t="s">
        <v>1814</v>
      </c>
      <c r="X1605" s="377" t="str">
        <f t="shared" si="148"/>
        <v>SAW</v>
      </c>
      <c r="Y1605" t="str">
        <f>SUBSTITUTE(Tabla1[[#This Row],[Descripción]],CHAR(10),"    I    ")</f>
        <v xml:space="preserve">Actualizacion Requerimiento de aplicaciones web </v>
      </c>
      <c r="Z1605" s="142">
        <f>VLOOKUP(Tabla1[[#This Row],[Perfil]],Catalogos!$B$75:$D$100,3,FALSE)*Tabla1[[#This Row],[Tiempo
(Hrs 00/100)]]*1.16</f>
        <v>4930</v>
      </c>
    </row>
    <row r="1606" spans="1:26" ht="15" customHeight="1" x14ac:dyDescent="0.3">
      <c r="A1606" s="552" t="s">
        <v>22</v>
      </c>
      <c r="B1606" s="601" t="s">
        <v>68</v>
      </c>
      <c r="C1606" s="602" t="s">
        <v>16</v>
      </c>
      <c r="D1606" s="603"/>
      <c r="E1606" s="604" t="s">
        <v>503</v>
      </c>
      <c r="F1606" s="552" t="s">
        <v>75</v>
      </c>
      <c r="G1606" s="370" t="s">
        <v>435</v>
      </c>
      <c r="H1606" s="605" t="s">
        <v>436</v>
      </c>
      <c r="I1606" s="610" t="s">
        <v>2373</v>
      </c>
      <c r="J1606" s="728">
        <v>45161</v>
      </c>
      <c r="K1606" s="747">
        <v>0.375</v>
      </c>
      <c r="L1606" s="728">
        <v>45161</v>
      </c>
      <c r="M1606" s="753">
        <v>0.79166666666666663</v>
      </c>
      <c r="N1606" s="603">
        <v>8.5</v>
      </c>
      <c r="O1606" s="601" t="s">
        <v>17</v>
      </c>
      <c r="P1606" s="402" t="s">
        <v>2358</v>
      </c>
      <c r="Q1606" s="809" t="s">
        <v>258</v>
      </c>
      <c r="R1606" s="608" t="s">
        <v>81</v>
      </c>
      <c r="S1606" s="31" t="s">
        <v>273</v>
      </c>
      <c r="T1606" s="31" t="s">
        <v>273</v>
      </c>
      <c r="U1606" s="31">
        <f>IFERROR(VLOOKUP(CONCATENATE(Tabla1[[#This Row],[Severidad]]," ",Tabla1[[#This Row],[Complejidad]]),Catalogos!E$120:G$128,3,FALSE),"")</f>
        <v>64</v>
      </c>
      <c r="V1606" s="31" t="str">
        <f>IF(Tabla1[[#This Row],[Tiempo solución max (hrs)]]&lt;&gt;"",IF(Tabla1[[#This Row],[Tiempo solución max (hrs)]]&gt;=Tabla1[[#This Row],[Tiempo
(Hrs 00/100)]],"cumple","no cumple"),"")</f>
        <v>cumple</v>
      </c>
      <c r="W1606" s="376" t="s">
        <v>1814</v>
      </c>
      <c r="X1606" s="377" t="str">
        <f t="shared" si="148"/>
        <v>SAW</v>
      </c>
      <c r="Y1606" t="str">
        <f>SUBSTITUTE(Tabla1[[#This Row],[Descripción]],CHAR(10),"    I    ")</f>
        <v xml:space="preserve">Presentacion Modulo de envio masivo </v>
      </c>
      <c r="Z1606" s="142">
        <f>VLOOKUP(Tabla1[[#This Row],[Perfil]],Catalogos!$B$75:$D$100,3,FALSE)*Tabla1[[#This Row],[Tiempo
(Hrs 00/100)]]*1.16</f>
        <v>4930</v>
      </c>
    </row>
    <row r="1607" spans="1:26" ht="15" customHeight="1" x14ac:dyDescent="0.3">
      <c r="A1607" s="552" t="s">
        <v>22</v>
      </c>
      <c r="B1607" s="601" t="s">
        <v>68</v>
      </c>
      <c r="C1607" s="602" t="s">
        <v>16</v>
      </c>
      <c r="D1607" s="603"/>
      <c r="E1607" s="604" t="s">
        <v>503</v>
      </c>
      <c r="F1607" s="552" t="s">
        <v>75</v>
      </c>
      <c r="G1607" s="370" t="s">
        <v>435</v>
      </c>
      <c r="H1607" s="605" t="s">
        <v>436</v>
      </c>
      <c r="I1607" s="610" t="s">
        <v>866</v>
      </c>
      <c r="J1607" s="728">
        <v>45162</v>
      </c>
      <c r="K1607" s="747">
        <v>0.375</v>
      </c>
      <c r="L1607" s="728">
        <v>45162</v>
      </c>
      <c r="M1607" s="753">
        <v>0.79166666666666663</v>
      </c>
      <c r="N1607" s="603">
        <v>8.5</v>
      </c>
      <c r="O1607" s="601" t="s">
        <v>17</v>
      </c>
      <c r="P1607" s="375" t="s">
        <v>2358</v>
      </c>
      <c r="Q1607" s="809" t="s">
        <v>258</v>
      </c>
      <c r="R1607" s="608" t="s">
        <v>81</v>
      </c>
      <c r="S1607" s="31" t="s">
        <v>273</v>
      </c>
      <c r="T1607" s="31" t="s">
        <v>273</v>
      </c>
      <c r="U1607" s="31">
        <f>IFERROR(VLOOKUP(CONCATENATE(Tabla1[[#This Row],[Severidad]]," ",Tabla1[[#This Row],[Complejidad]]),Catalogos!E$120:G$128,3,FALSE),"")</f>
        <v>64</v>
      </c>
      <c r="V1607" s="31" t="str">
        <f>IF(Tabla1[[#This Row],[Tiempo solución max (hrs)]]&lt;&gt;"",IF(Tabla1[[#This Row],[Tiempo solución max (hrs)]]&gt;=Tabla1[[#This Row],[Tiempo
(Hrs 00/100)]],"cumple","no cumple"),"")</f>
        <v>cumple</v>
      </c>
      <c r="W1607" s="376" t="s">
        <v>1814</v>
      </c>
      <c r="X1607" s="377" t="str">
        <f t="shared" si="148"/>
        <v>SAW</v>
      </c>
      <c r="Y1607" t="str">
        <f>SUBSTITUTE(Tabla1[[#This Row],[Descripción]],CHAR(10),"    I    ")</f>
        <v xml:space="preserve">Actualizacion de avance de proyectos </v>
      </c>
      <c r="Z1607" s="142">
        <f>VLOOKUP(Tabla1[[#This Row],[Perfil]],Catalogos!$B$75:$D$100,3,FALSE)*Tabla1[[#This Row],[Tiempo
(Hrs 00/100)]]*1.16</f>
        <v>4930</v>
      </c>
    </row>
    <row r="1608" spans="1:26" ht="15" customHeight="1" x14ac:dyDescent="0.3">
      <c r="A1608" s="552" t="s">
        <v>22</v>
      </c>
      <c r="B1608" s="601" t="s">
        <v>68</v>
      </c>
      <c r="C1608" s="602" t="s">
        <v>16</v>
      </c>
      <c r="D1608" s="603"/>
      <c r="E1608" s="604" t="s">
        <v>503</v>
      </c>
      <c r="F1608" s="552" t="s">
        <v>75</v>
      </c>
      <c r="G1608" s="370" t="s">
        <v>435</v>
      </c>
      <c r="H1608" s="605" t="s">
        <v>436</v>
      </c>
      <c r="I1608" s="610" t="s">
        <v>866</v>
      </c>
      <c r="J1608" s="728">
        <v>45163</v>
      </c>
      <c r="K1608" s="739">
        <v>0.375</v>
      </c>
      <c r="L1608" s="728">
        <v>45163</v>
      </c>
      <c r="M1608" s="739">
        <v>0.625</v>
      </c>
      <c r="N1608" s="603">
        <v>6</v>
      </c>
      <c r="O1608" s="601" t="s">
        <v>17</v>
      </c>
      <c r="P1608" s="402" t="s">
        <v>2358</v>
      </c>
      <c r="Q1608" s="809" t="s">
        <v>258</v>
      </c>
      <c r="R1608" s="608" t="s">
        <v>81</v>
      </c>
      <c r="S1608" s="31" t="s">
        <v>273</v>
      </c>
      <c r="T1608" s="31" t="s">
        <v>273</v>
      </c>
      <c r="U1608" s="31">
        <f>IFERROR(VLOOKUP(CONCATENATE(Tabla1[[#This Row],[Severidad]]," ",Tabla1[[#This Row],[Complejidad]]),Catalogos!E$120:G$128,3,FALSE),"")</f>
        <v>64</v>
      </c>
      <c r="V1608" s="31" t="str">
        <f>IF(Tabla1[[#This Row],[Tiempo solución max (hrs)]]&lt;&gt;"",IF(Tabla1[[#This Row],[Tiempo solución max (hrs)]]&gt;=Tabla1[[#This Row],[Tiempo
(Hrs 00/100)]],"cumple","no cumple"),"")</f>
        <v>cumple</v>
      </c>
      <c r="W1608" s="376" t="s">
        <v>1814</v>
      </c>
      <c r="X1608" s="377" t="str">
        <f t="shared" si="148"/>
        <v>SAW</v>
      </c>
      <c r="Y1608" t="str">
        <f>SUBSTITUTE(Tabla1[[#This Row],[Descripción]],CHAR(10),"    I    ")</f>
        <v xml:space="preserve">Actualizacion de avance de proyectos </v>
      </c>
      <c r="Z1608" s="142">
        <f>VLOOKUP(Tabla1[[#This Row],[Perfil]],Catalogos!$B$75:$D$100,3,FALSE)*Tabla1[[#This Row],[Tiempo
(Hrs 00/100)]]*1.16</f>
        <v>3479.9999999999995</v>
      </c>
    </row>
    <row r="1609" spans="1:26" ht="15" customHeight="1" x14ac:dyDescent="0.3">
      <c r="A1609" s="552" t="s">
        <v>22</v>
      </c>
      <c r="B1609" s="601" t="s">
        <v>68</v>
      </c>
      <c r="C1609" s="602" t="s">
        <v>16</v>
      </c>
      <c r="D1609" s="603"/>
      <c r="E1609" s="604" t="s">
        <v>503</v>
      </c>
      <c r="F1609" s="552" t="s">
        <v>75</v>
      </c>
      <c r="G1609" s="370" t="s">
        <v>435</v>
      </c>
      <c r="H1609" s="605" t="s">
        <v>436</v>
      </c>
      <c r="I1609" s="610" t="s">
        <v>2374</v>
      </c>
      <c r="J1609" s="728">
        <v>45166</v>
      </c>
      <c r="K1609" s="747">
        <v>0.375</v>
      </c>
      <c r="L1609" s="728">
        <v>45166</v>
      </c>
      <c r="M1609" s="753">
        <v>0.79166666666666663</v>
      </c>
      <c r="N1609" s="603">
        <v>8.5</v>
      </c>
      <c r="O1609" s="601" t="s">
        <v>17</v>
      </c>
      <c r="P1609" s="402" t="s">
        <v>2375</v>
      </c>
      <c r="Q1609" s="809" t="s">
        <v>258</v>
      </c>
      <c r="R1609" s="608" t="s">
        <v>81</v>
      </c>
      <c r="S1609" s="31" t="s">
        <v>273</v>
      </c>
      <c r="T1609" s="31" t="s">
        <v>273</v>
      </c>
      <c r="U1609" s="31">
        <f>IFERROR(VLOOKUP(CONCATENATE(Tabla1[[#This Row],[Severidad]]," ",Tabla1[[#This Row],[Complejidad]]),Catalogos!E$120:G$128,3,FALSE),"")</f>
        <v>64</v>
      </c>
      <c r="V1609" s="31" t="str">
        <f>IF(Tabla1[[#This Row],[Tiempo solución max (hrs)]]&lt;&gt;"",IF(Tabla1[[#This Row],[Tiempo solución max (hrs)]]&gt;=Tabla1[[#This Row],[Tiempo
(Hrs 00/100)]],"cumple","no cumple"),"")</f>
        <v>cumple</v>
      </c>
      <c r="W1609" s="376" t="s">
        <v>1814</v>
      </c>
      <c r="X1609" s="377" t="str">
        <f t="shared" si="148"/>
        <v>SAW</v>
      </c>
      <c r="Y1609" t="str">
        <f>SUBSTITUTE(Tabla1[[#This Row],[Descripción]],CHAR(10),"    I    ")</f>
        <v xml:space="preserve">Reunion SACP </v>
      </c>
      <c r="Z1609" s="142">
        <f>VLOOKUP(Tabla1[[#This Row],[Perfil]],Catalogos!$B$75:$D$100,3,FALSE)*Tabla1[[#This Row],[Tiempo
(Hrs 00/100)]]*1.16</f>
        <v>4930</v>
      </c>
    </row>
    <row r="1610" spans="1:26" ht="15" customHeight="1" x14ac:dyDescent="0.3">
      <c r="A1610" s="552" t="s">
        <v>22</v>
      </c>
      <c r="B1610" s="601" t="s">
        <v>68</v>
      </c>
      <c r="C1610" s="602" t="s">
        <v>16</v>
      </c>
      <c r="D1610" s="603"/>
      <c r="E1610" s="604" t="s">
        <v>503</v>
      </c>
      <c r="F1610" s="552" t="s">
        <v>75</v>
      </c>
      <c r="G1610" s="370" t="s">
        <v>435</v>
      </c>
      <c r="H1610" s="605" t="s">
        <v>436</v>
      </c>
      <c r="I1610" s="610" t="s">
        <v>2376</v>
      </c>
      <c r="J1610" s="728">
        <v>45167</v>
      </c>
      <c r="K1610" s="747">
        <v>0.375</v>
      </c>
      <c r="L1610" s="728">
        <v>45167</v>
      </c>
      <c r="M1610" s="753">
        <v>0.79166666666666663</v>
      </c>
      <c r="N1610" s="603">
        <v>8.5</v>
      </c>
      <c r="O1610" s="601" t="s">
        <v>17</v>
      </c>
      <c r="P1610" s="375" t="s">
        <v>2377</v>
      </c>
      <c r="Q1610" s="809" t="s">
        <v>258</v>
      </c>
      <c r="R1610" s="608" t="s">
        <v>81</v>
      </c>
      <c r="S1610" s="31" t="s">
        <v>273</v>
      </c>
      <c r="T1610" s="31" t="s">
        <v>273</v>
      </c>
      <c r="U1610" s="31">
        <f>IFERROR(VLOOKUP(CONCATENATE(Tabla1[[#This Row],[Severidad]]," ",Tabla1[[#This Row],[Complejidad]]),Catalogos!E$120:G$128,3,FALSE),"")</f>
        <v>64</v>
      </c>
      <c r="V1610" s="31" t="str">
        <f>IF(Tabla1[[#This Row],[Tiempo solución max (hrs)]]&lt;&gt;"",IF(Tabla1[[#This Row],[Tiempo solución max (hrs)]]&gt;=Tabla1[[#This Row],[Tiempo
(Hrs 00/100)]],"cumple","no cumple"),"")</f>
        <v>cumple</v>
      </c>
      <c r="W1610" s="376" t="s">
        <v>1814</v>
      </c>
      <c r="X1610" s="377" t="str">
        <f t="shared" si="148"/>
        <v>SAW</v>
      </c>
      <c r="Y1610" t="str">
        <f>SUBSTITUTE(Tabla1[[#This Row],[Descripción]],CHAR(10),"    I    ")</f>
        <v xml:space="preserve">Incidencias SACP  </v>
      </c>
      <c r="Z1610" s="142">
        <f>VLOOKUP(Tabla1[[#This Row],[Perfil]],Catalogos!$B$75:$D$100,3,FALSE)*Tabla1[[#This Row],[Tiempo
(Hrs 00/100)]]*1.16</f>
        <v>4930</v>
      </c>
    </row>
    <row r="1611" spans="1:26" ht="15" customHeight="1" x14ac:dyDescent="0.3">
      <c r="A1611" s="552" t="s">
        <v>22</v>
      </c>
      <c r="B1611" s="601" t="s">
        <v>68</v>
      </c>
      <c r="C1611" s="602" t="s">
        <v>16</v>
      </c>
      <c r="D1611" s="603"/>
      <c r="E1611" s="604" t="s">
        <v>503</v>
      </c>
      <c r="F1611" s="552" t="s">
        <v>75</v>
      </c>
      <c r="G1611" s="370" t="s">
        <v>435</v>
      </c>
      <c r="H1611" s="605" t="s">
        <v>436</v>
      </c>
      <c r="I1611" s="610" t="s">
        <v>2372</v>
      </c>
      <c r="J1611" s="728">
        <v>45168</v>
      </c>
      <c r="K1611" s="747">
        <v>0.375</v>
      </c>
      <c r="L1611" s="728">
        <v>45168</v>
      </c>
      <c r="M1611" s="753">
        <v>0.79166666666666663</v>
      </c>
      <c r="N1611" s="603">
        <v>8.5</v>
      </c>
      <c r="O1611" s="601" t="s">
        <v>17</v>
      </c>
      <c r="P1611" s="607" t="s">
        <v>2356</v>
      </c>
      <c r="Q1611" s="809" t="s">
        <v>258</v>
      </c>
      <c r="R1611" s="608" t="s">
        <v>81</v>
      </c>
      <c r="S1611" s="31" t="s">
        <v>273</v>
      </c>
      <c r="T1611" s="31" t="s">
        <v>273</v>
      </c>
      <c r="U1611" s="31">
        <f>IFERROR(VLOOKUP(CONCATENATE(Tabla1[[#This Row],[Severidad]]," ",Tabla1[[#This Row],[Complejidad]]),Catalogos!E$120:G$128,3,FALSE),"")</f>
        <v>64</v>
      </c>
      <c r="V1611" s="31" t="str">
        <f>IF(Tabla1[[#This Row],[Tiempo solución max (hrs)]]&lt;&gt;"",IF(Tabla1[[#This Row],[Tiempo solución max (hrs)]]&gt;=Tabla1[[#This Row],[Tiempo
(Hrs 00/100)]],"cumple","no cumple"),"")</f>
        <v>cumple</v>
      </c>
      <c r="W1611" s="376" t="s">
        <v>1814</v>
      </c>
      <c r="X1611" s="377" t="str">
        <f t="shared" si="148"/>
        <v>SAW</v>
      </c>
      <c r="Y1611" t="str">
        <f>SUBSTITUTE(Tabla1[[#This Row],[Descripción]],CHAR(10),"    I    ")</f>
        <v xml:space="preserve">Actualizacion de Certamen de Innovacion y Transparencia </v>
      </c>
      <c r="Z1611" s="142">
        <f>VLOOKUP(Tabla1[[#This Row],[Perfil]],Catalogos!$B$75:$D$100,3,FALSE)*Tabla1[[#This Row],[Tiempo
(Hrs 00/100)]]*1.16</f>
        <v>4930</v>
      </c>
    </row>
    <row r="1612" spans="1:26" ht="15" customHeight="1" x14ac:dyDescent="0.3">
      <c r="A1612" s="552" t="s">
        <v>22</v>
      </c>
      <c r="B1612" s="601" t="s">
        <v>68</v>
      </c>
      <c r="C1612" s="602" t="s">
        <v>16</v>
      </c>
      <c r="D1612" s="603"/>
      <c r="E1612" s="604" t="s">
        <v>503</v>
      </c>
      <c r="F1612" s="552" t="s">
        <v>75</v>
      </c>
      <c r="G1612" s="370" t="s">
        <v>435</v>
      </c>
      <c r="H1612" s="605" t="s">
        <v>436</v>
      </c>
      <c r="I1612" s="610" t="s">
        <v>866</v>
      </c>
      <c r="J1612" s="728">
        <v>45169</v>
      </c>
      <c r="K1612" s="747">
        <v>0.375</v>
      </c>
      <c r="L1612" s="728">
        <v>45169</v>
      </c>
      <c r="M1612" s="753">
        <v>0.79166666666666663</v>
      </c>
      <c r="N1612" s="603">
        <v>8.5</v>
      </c>
      <c r="O1612" s="601" t="s">
        <v>17</v>
      </c>
      <c r="P1612" s="402" t="s">
        <v>2358</v>
      </c>
      <c r="Q1612" s="809" t="s">
        <v>258</v>
      </c>
      <c r="R1612" s="608" t="s">
        <v>81</v>
      </c>
      <c r="S1612" s="31" t="s">
        <v>273</v>
      </c>
      <c r="T1612" s="31" t="s">
        <v>273</v>
      </c>
      <c r="U1612" s="31">
        <f>IFERROR(VLOOKUP(CONCATENATE(Tabla1[[#This Row],[Severidad]]," ",Tabla1[[#This Row],[Complejidad]]),Catalogos!E$120:G$128,3,FALSE),"")</f>
        <v>64</v>
      </c>
      <c r="V1612" s="31" t="str">
        <f>IF(Tabla1[[#This Row],[Tiempo solución max (hrs)]]&lt;&gt;"",IF(Tabla1[[#This Row],[Tiempo solución max (hrs)]]&gt;=Tabla1[[#This Row],[Tiempo
(Hrs 00/100)]],"cumple","no cumple"),"")</f>
        <v>cumple</v>
      </c>
      <c r="W1612" s="376" t="s">
        <v>1814</v>
      </c>
      <c r="X1612" s="377" t="str">
        <f t="shared" si="148"/>
        <v>SAW</v>
      </c>
      <c r="Y1612" t="str">
        <f>SUBSTITUTE(Tabla1[[#This Row],[Descripción]],CHAR(10),"    I    ")</f>
        <v xml:space="preserve">Actualizacion de avance de proyectos </v>
      </c>
      <c r="Z1612" s="142">
        <f>VLOOKUP(Tabla1[[#This Row],[Perfil]],Catalogos!$B$75:$D$100,3,FALSE)*Tabla1[[#This Row],[Tiempo
(Hrs 00/100)]]*1.16</f>
        <v>4930</v>
      </c>
    </row>
    <row r="1613" spans="1:26" ht="15" customHeight="1" x14ac:dyDescent="0.3">
      <c r="A1613" s="370" t="s">
        <v>22</v>
      </c>
      <c r="B1613" s="370" t="s">
        <v>23</v>
      </c>
      <c r="C1613" s="599" t="s">
        <v>45</v>
      </c>
      <c r="D1613" s="370"/>
      <c r="E1613" s="370" t="s">
        <v>375</v>
      </c>
      <c r="F1613" s="370" t="s">
        <v>23</v>
      </c>
      <c r="G1613" s="370"/>
      <c r="H1613" s="371" t="s">
        <v>2378</v>
      </c>
      <c r="I1613" s="371" t="s">
        <v>2379</v>
      </c>
      <c r="J1613" s="527">
        <v>45154</v>
      </c>
      <c r="K1613" s="747">
        <v>0.375</v>
      </c>
      <c r="L1613" s="527">
        <v>45154</v>
      </c>
      <c r="M1613" s="528">
        <v>0.45833333333333331</v>
      </c>
      <c r="N1613" s="552">
        <v>2</v>
      </c>
      <c r="O1613" s="374" t="s">
        <v>17</v>
      </c>
      <c r="P1613" s="375" t="s">
        <v>462</v>
      </c>
      <c r="Q1613" s="744" t="s">
        <v>2415</v>
      </c>
      <c r="R1613" s="202" t="s">
        <v>40</v>
      </c>
      <c r="S1613" s="31" t="s">
        <v>273</v>
      </c>
      <c r="T1613" s="31" t="s">
        <v>273</v>
      </c>
      <c r="U1613" s="31">
        <f>IFERROR(VLOOKUP(CONCATENATE(Tabla1[[#This Row],[Severidad]]," ",Tabla1[[#This Row],[Complejidad]]),Catalogos!E$120:G$128,3,FALSE),"")</f>
        <v>64</v>
      </c>
      <c r="V1613" s="31" t="str">
        <f>IF(Tabla1[[#This Row],[Tiempo solución max (hrs)]]&lt;&gt;"",IF(Tabla1[[#This Row],[Tiempo solución max (hrs)]]&gt;=Tabla1[[#This Row],[Tiempo
(Hrs 00/100)]],"cumple","no cumple"),"")</f>
        <v>cumple</v>
      </c>
      <c r="W1613" s="376" t="s">
        <v>1814</v>
      </c>
      <c r="X1613" s="377" t="str">
        <f t="shared" si="148"/>
        <v>SPD</v>
      </c>
      <c r="Y1613" t="str">
        <f>SUBSTITUTE(Tabla1[[#This Row],[Descripción]],CHAR(10),"    I    ")</f>
        <v>Se genera la funcionalidad para limpiar el correo y contraseña del usuario a registrar.</v>
      </c>
      <c r="Z1613" s="142">
        <f>VLOOKUP(Tabla1[[#This Row],[Perfil]],Catalogos!$B$75:$D$100,3,FALSE)*Tabla1[[#This Row],[Tiempo
(Hrs 00/100)]]*1.16</f>
        <v>1624</v>
      </c>
    </row>
    <row r="1614" spans="1:26" ht="15" customHeight="1" x14ac:dyDescent="0.3">
      <c r="A1614" s="370" t="s">
        <v>22</v>
      </c>
      <c r="B1614" s="370" t="s">
        <v>23</v>
      </c>
      <c r="C1614" s="599" t="s">
        <v>45</v>
      </c>
      <c r="D1614" s="370"/>
      <c r="E1614" s="370" t="s">
        <v>375</v>
      </c>
      <c r="F1614" s="370" t="s">
        <v>23</v>
      </c>
      <c r="G1614" s="370"/>
      <c r="H1614" s="371" t="s">
        <v>2380</v>
      </c>
      <c r="I1614" s="371" t="s">
        <v>2381</v>
      </c>
      <c r="J1614" s="527">
        <v>45154</v>
      </c>
      <c r="K1614" s="528">
        <v>0.45833333333333331</v>
      </c>
      <c r="L1614" s="527">
        <v>45154</v>
      </c>
      <c r="M1614" s="528">
        <v>0.47916666666666669</v>
      </c>
      <c r="N1614" s="552">
        <v>0.5</v>
      </c>
      <c r="O1614" s="374" t="s">
        <v>17</v>
      </c>
      <c r="P1614" s="375" t="s">
        <v>462</v>
      </c>
      <c r="Q1614" s="744" t="s">
        <v>2415</v>
      </c>
      <c r="R1614" s="202" t="s">
        <v>40</v>
      </c>
      <c r="S1614" s="31" t="s">
        <v>273</v>
      </c>
      <c r="T1614" s="31" t="s">
        <v>273</v>
      </c>
      <c r="U1614" s="31">
        <f>IFERROR(VLOOKUP(CONCATENATE(Tabla1[[#This Row],[Severidad]]," ",Tabla1[[#This Row],[Complejidad]]),Catalogos!E$120:G$128,3,FALSE),"")</f>
        <v>64</v>
      </c>
      <c r="V1614" s="31" t="str">
        <f>IF(Tabla1[[#This Row],[Tiempo solución max (hrs)]]&lt;&gt;"",IF(Tabla1[[#This Row],[Tiempo solución max (hrs)]]&gt;=Tabla1[[#This Row],[Tiempo
(Hrs 00/100)]],"cumple","no cumple"),"")</f>
        <v>cumple</v>
      </c>
      <c r="W1614" s="376" t="s">
        <v>1814</v>
      </c>
      <c r="X1614" s="377" t="str">
        <f t="shared" si="148"/>
        <v>SPD</v>
      </c>
      <c r="Y1614" t="str">
        <f>SUBSTITUTE(Tabla1[[#This Row],[Descripción]],CHAR(10),"    I    ")</f>
        <v>Se modifica la consulta de usuarios para que no se muestre la columna de roles</v>
      </c>
      <c r="Z1614" s="142">
        <f>VLOOKUP(Tabla1[[#This Row],[Perfil]],Catalogos!$B$75:$D$100,3,FALSE)*Tabla1[[#This Row],[Tiempo
(Hrs 00/100)]]*1.16</f>
        <v>406</v>
      </c>
    </row>
    <row r="1615" spans="1:26" ht="15" customHeight="1" x14ac:dyDescent="0.3">
      <c r="A1615" s="370" t="s">
        <v>22</v>
      </c>
      <c r="B1615" s="370" t="s">
        <v>23</v>
      </c>
      <c r="C1615" s="599" t="s">
        <v>45</v>
      </c>
      <c r="D1615" s="370"/>
      <c r="E1615" s="370" t="s">
        <v>375</v>
      </c>
      <c r="F1615" s="370" t="s">
        <v>23</v>
      </c>
      <c r="G1615" s="370"/>
      <c r="H1615" s="371" t="s">
        <v>2380</v>
      </c>
      <c r="I1615" s="371" t="s">
        <v>2382</v>
      </c>
      <c r="J1615" s="527">
        <v>45154</v>
      </c>
      <c r="K1615" s="528">
        <v>0.47916666666666669</v>
      </c>
      <c r="L1615" s="527">
        <v>45154</v>
      </c>
      <c r="M1615" s="528">
        <v>0.54166666666666663</v>
      </c>
      <c r="N1615" s="552">
        <v>1.5</v>
      </c>
      <c r="O1615" s="374" t="s">
        <v>17</v>
      </c>
      <c r="P1615" s="375" t="s">
        <v>462</v>
      </c>
      <c r="Q1615" s="744" t="s">
        <v>2415</v>
      </c>
      <c r="R1615" s="202" t="s">
        <v>40</v>
      </c>
      <c r="S1615" s="31" t="s">
        <v>273</v>
      </c>
      <c r="T1615" s="31" t="s">
        <v>273</v>
      </c>
      <c r="U1615" s="31">
        <f>IFERROR(VLOOKUP(CONCATENATE(Tabla1[[#This Row],[Severidad]]," ",Tabla1[[#This Row],[Complejidad]]),Catalogos!E$120:G$128,3,FALSE),"")</f>
        <v>64</v>
      </c>
      <c r="V1615" s="31" t="str">
        <f>IF(Tabla1[[#This Row],[Tiempo solución max (hrs)]]&lt;&gt;"",IF(Tabla1[[#This Row],[Tiempo solución max (hrs)]]&gt;=Tabla1[[#This Row],[Tiempo
(Hrs 00/100)]],"cumple","no cumple"),"")</f>
        <v>cumple</v>
      </c>
      <c r="W1615" s="376" t="s">
        <v>1814</v>
      </c>
      <c r="X1615" s="377" t="str">
        <f t="shared" si="148"/>
        <v>SPD</v>
      </c>
      <c r="Y1615" t="str">
        <f>SUBSTITUTE(Tabla1[[#This Row],[Descripción]],CHAR(10),"    I    ")</f>
        <v>Se modifica los estilos de los botones para homologar el tema del sistema</v>
      </c>
      <c r="Z1615" s="142">
        <f>VLOOKUP(Tabla1[[#This Row],[Perfil]],Catalogos!$B$75:$D$100,3,FALSE)*Tabla1[[#This Row],[Tiempo
(Hrs 00/100)]]*1.16</f>
        <v>1218</v>
      </c>
    </row>
    <row r="1616" spans="1:26" ht="15" customHeight="1" x14ac:dyDescent="0.3">
      <c r="A1616" s="370" t="s">
        <v>22</v>
      </c>
      <c r="B1616" s="370" t="s">
        <v>23</v>
      </c>
      <c r="C1616" s="599" t="s">
        <v>45</v>
      </c>
      <c r="D1616" s="382"/>
      <c r="E1616" s="370" t="s">
        <v>375</v>
      </c>
      <c r="F1616" s="370" t="s">
        <v>23</v>
      </c>
      <c r="G1616" s="370"/>
      <c r="H1616" s="371" t="s">
        <v>2383</v>
      </c>
      <c r="I1616" s="371" t="s">
        <v>2384</v>
      </c>
      <c r="J1616" s="527">
        <v>45154</v>
      </c>
      <c r="K1616" s="528">
        <v>0.54166666666666663</v>
      </c>
      <c r="L1616" s="527">
        <v>45154</v>
      </c>
      <c r="M1616" s="753">
        <v>0.79166666666666663</v>
      </c>
      <c r="N1616" s="552">
        <v>4</v>
      </c>
      <c r="O1616" s="374" t="s">
        <v>17</v>
      </c>
      <c r="P1616" s="375" t="s">
        <v>462</v>
      </c>
      <c r="Q1616" s="744" t="s">
        <v>2415</v>
      </c>
      <c r="R1616" s="202" t="s">
        <v>40</v>
      </c>
      <c r="S1616" s="31" t="s">
        <v>273</v>
      </c>
      <c r="T1616" s="31" t="s">
        <v>273</v>
      </c>
      <c r="U1616" s="31">
        <f>IFERROR(VLOOKUP(CONCATENATE(Tabla1[[#This Row],[Severidad]]," ",Tabla1[[#This Row],[Complejidad]]),Catalogos!E$120:G$128,3,FALSE),"")</f>
        <v>64</v>
      </c>
      <c r="V1616" s="31" t="str">
        <f>IF(Tabla1[[#This Row],[Tiempo solución max (hrs)]]&lt;&gt;"",IF(Tabla1[[#This Row],[Tiempo solución max (hrs)]]&gt;=Tabla1[[#This Row],[Tiempo
(Hrs 00/100)]],"cumple","no cumple"),"")</f>
        <v>cumple</v>
      </c>
      <c r="W1616" s="376" t="s">
        <v>1814</v>
      </c>
      <c r="X1616" s="377" t="str">
        <f t="shared" ref="X1616:X1642" si="149">IF(C1616&lt;&gt;"",C1616,D1616)</f>
        <v>SPD</v>
      </c>
      <c r="Y1616" t="str">
        <f>SUBSTITUTE(Tabla1[[#This Row],[Descripción]],CHAR(10),"    I    ")</f>
        <v>Se modifca las pantallas de los formularios de consulta para que sean en dos columnas y sean responsivos</v>
      </c>
      <c r="Z1616" s="142">
        <f>VLOOKUP(Tabla1[[#This Row],[Perfil]],Catalogos!$B$75:$D$100,3,FALSE)*Tabla1[[#This Row],[Tiempo
(Hrs 00/100)]]*1.16</f>
        <v>3248</v>
      </c>
    </row>
    <row r="1617" spans="1:26" ht="15" customHeight="1" x14ac:dyDescent="0.3">
      <c r="A1617" s="370" t="s">
        <v>22</v>
      </c>
      <c r="B1617" s="370" t="s">
        <v>23</v>
      </c>
      <c r="C1617" s="599" t="s">
        <v>45</v>
      </c>
      <c r="D1617" s="382"/>
      <c r="E1617" s="370" t="s">
        <v>375</v>
      </c>
      <c r="F1617" s="370" t="s">
        <v>23</v>
      </c>
      <c r="G1617" s="370"/>
      <c r="H1617" s="371" t="s">
        <v>2385</v>
      </c>
      <c r="I1617" s="371" t="s">
        <v>2386</v>
      </c>
      <c r="J1617" s="527">
        <v>45155</v>
      </c>
      <c r="K1617" s="747">
        <v>0.375</v>
      </c>
      <c r="L1617" s="527">
        <v>45155</v>
      </c>
      <c r="M1617" s="753">
        <v>0.79166666666666663</v>
      </c>
      <c r="N1617" s="210">
        <v>8</v>
      </c>
      <c r="O1617" s="374" t="s">
        <v>17</v>
      </c>
      <c r="P1617" s="375" t="s">
        <v>462</v>
      </c>
      <c r="Q1617" s="744" t="s">
        <v>2415</v>
      </c>
      <c r="R1617" s="202" t="s">
        <v>40</v>
      </c>
      <c r="S1617" s="31" t="s">
        <v>273</v>
      </c>
      <c r="T1617" s="31" t="s">
        <v>273</v>
      </c>
      <c r="U1617" s="31">
        <f>IFERROR(VLOOKUP(CONCATENATE(Tabla1[[#This Row],[Severidad]]," ",Tabla1[[#This Row],[Complejidad]]),Catalogos!E$120:G$128,3,FALSE),"")</f>
        <v>64</v>
      </c>
      <c r="V1617" s="31" t="str">
        <f>IF(Tabla1[[#This Row],[Tiempo solución max (hrs)]]&lt;&gt;"",IF(Tabla1[[#This Row],[Tiempo solución max (hrs)]]&gt;=Tabla1[[#This Row],[Tiempo
(Hrs 00/100)]],"cumple","no cumple"),"")</f>
        <v>cumple</v>
      </c>
      <c r="W1617" s="376" t="s">
        <v>1814</v>
      </c>
      <c r="X1617" s="377" t="str">
        <f t="shared" si="149"/>
        <v>SPD</v>
      </c>
      <c r="Y1617" t="str">
        <f>SUBSTITUTE(Tabla1[[#This Row],[Descripción]],CHAR(10),"    I    ")</f>
        <v>Se modifican los servicios par abtener los datos del usuario en sesión</v>
      </c>
      <c r="Z1617" s="142">
        <f>VLOOKUP(Tabla1[[#This Row],[Perfil]],Catalogos!$B$75:$D$100,3,FALSE)*Tabla1[[#This Row],[Tiempo
(Hrs 00/100)]]*1.16</f>
        <v>6496</v>
      </c>
    </row>
    <row r="1618" spans="1:26" ht="15" customHeight="1" x14ac:dyDescent="0.3">
      <c r="A1618" s="370" t="s">
        <v>22</v>
      </c>
      <c r="B1618" s="370" t="s">
        <v>23</v>
      </c>
      <c r="C1618" s="599" t="s">
        <v>45</v>
      </c>
      <c r="D1618" s="370"/>
      <c r="E1618" s="370" t="s">
        <v>375</v>
      </c>
      <c r="F1618" s="370" t="s">
        <v>23</v>
      </c>
      <c r="G1618" s="370"/>
      <c r="H1618" s="371" t="s">
        <v>2387</v>
      </c>
      <c r="I1618" s="371" t="s">
        <v>2388</v>
      </c>
      <c r="J1618" s="527">
        <v>45156</v>
      </c>
      <c r="K1618" s="747">
        <v>0.375</v>
      </c>
      <c r="L1618" s="527">
        <v>45156</v>
      </c>
      <c r="M1618" s="753">
        <v>0.79166666666666663</v>
      </c>
      <c r="N1618" s="552">
        <v>8</v>
      </c>
      <c r="O1618" s="374" t="s">
        <v>17</v>
      </c>
      <c r="P1618" s="375" t="s">
        <v>462</v>
      </c>
      <c r="Q1618" s="744" t="s">
        <v>2415</v>
      </c>
      <c r="R1618" s="202" t="s">
        <v>40</v>
      </c>
      <c r="S1618" s="31" t="s">
        <v>273</v>
      </c>
      <c r="T1618" s="31" t="s">
        <v>273</v>
      </c>
      <c r="U1618" s="31">
        <f>IFERROR(VLOOKUP(CONCATENATE(Tabla1[[#This Row],[Severidad]]," ",Tabla1[[#This Row],[Complejidad]]),Catalogos!E$120:G$128,3,FALSE),"")</f>
        <v>64</v>
      </c>
      <c r="V1618" s="31" t="str">
        <f>IF(Tabla1[[#This Row],[Tiempo solución max (hrs)]]&lt;&gt;"",IF(Tabla1[[#This Row],[Tiempo solución max (hrs)]]&gt;=Tabla1[[#This Row],[Tiempo
(Hrs 00/100)]],"cumple","no cumple"),"")</f>
        <v>cumple</v>
      </c>
      <c r="W1618" s="376" t="s">
        <v>1814</v>
      </c>
      <c r="X1618" s="377" t="str">
        <f t="shared" si="149"/>
        <v>SPD</v>
      </c>
      <c r="Y1618" t="str">
        <f>SUBSTITUTE(Tabla1[[#This Row],[Descripción]],CHAR(10),"    I    ")</f>
        <v>Se modifica la consulta del campo de usuario, para que se busque en los campos de nombre, correo, etc</v>
      </c>
      <c r="Z1618" s="142">
        <f>VLOOKUP(Tabla1[[#This Row],[Perfil]],Catalogos!$B$75:$D$100,3,FALSE)*Tabla1[[#This Row],[Tiempo
(Hrs 00/100)]]*1.16</f>
        <v>6496</v>
      </c>
    </row>
    <row r="1619" spans="1:26" ht="15" customHeight="1" x14ac:dyDescent="0.3">
      <c r="A1619" s="370" t="s">
        <v>22</v>
      </c>
      <c r="B1619" s="370" t="s">
        <v>23</v>
      </c>
      <c r="C1619" s="599" t="s">
        <v>45</v>
      </c>
      <c r="D1619" s="370"/>
      <c r="E1619" s="370" t="s">
        <v>375</v>
      </c>
      <c r="F1619" s="370" t="s">
        <v>23</v>
      </c>
      <c r="G1619" s="370"/>
      <c r="H1619" s="371" t="s">
        <v>2389</v>
      </c>
      <c r="I1619" s="371" t="s">
        <v>2390</v>
      </c>
      <c r="J1619" s="527">
        <v>45159</v>
      </c>
      <c r="K1619" s="747">
        <v>0.375</v>
      </c>
      <c r="L1619" s="527">
        <v>45159</v>
      </c>
      <c r="M1619" s="753">
        <v>0.79166666666666663</v>
      </c>
      <c r="N1619" s="210">
        <v>8</v>
      </c>
      <c r="O1619" s="374" t="s">
        <v>17</v>
      </c>
      <c r="P1619" s="375" t="s">
        <v>462</v>
      </c>
      <c r="Q1619" s="744" t="s">
        <v>2415</v>
      </c>
      <c r="R1619" s="202" t="s">
        <v>40</v>
      </c>
      <c r="S1619" s="31" t="s">
        <v>273</v>
      </c>
      <c r="T1619" s="31" t="s">
        <v>273</v>
      </c>
      <c r="U1619" s="31">
        <f>IFERROR(VLOOKUP(CONCATENATE(Tabla1[[#This Row],[Severidad]]," ",Tabla1[[#This Row],[Complejidad]]),Catalogos!E$120:G$128,3,FALSE),"")</f>
        <v>64</v>
      </c>
      <c r="V1619" s="31" t="str">
        <f>IF(Tabla1[[#This Row],[Tiempo solución max (hrs)]]&lt;&gt;"",IF(Tabla1[[#This Row],[Tiempo solución max (hrs)]]&gt;=Tabla1[[#This Row],[Tiempo
(Hrs 00/100)]],"cumple","no cumple"),"")</f>
        <v>cumple</v>
      </c>
      <c r="W1619" s="376" t="s">
        <v>1814</v>
      </c>
      <c r="X1619" s="377" t="str">
        <f t="shared" si="149"/>
        <v>SPD</v>
      </c>
      <c r="Y1619" t="str">
        <f>SUBSTITUTE(Tabla1[[#This Row],[Descripción]],CHAR(10),"    I    ")</f>
        <v>Se modifica la consulta de los registros de bitácora agregando los campos obligatorios</v>
      </c>
      <c r="Z1619" s="142">
        <f>VLOOKUP(Tabla1[[#This Row],[Perfil]],Catalogos!$B$75:$D$100,3,FALSE)*Tabla1[[#This Row],[Tiempo
(Hrs 00/100)]]*1.16</f>
        <v>6496</v>
      </c>
    </row>
    <row r="1620" spans="1:26" ht="15" customHeight="1" x14ac:dyDescent="0.3">
      <c r="A1620" s="370" t="s">
        <v>22</v>
      </c>
      <c r="B1620" s="370" t="s">
        <v>23</v>
      </c>
      <c r="C1620" s="599" t="s">
        <v>45</v>
      </c>
      <c r="D1620" s="370"/>
      <c r="E1620" s="370" t="s">
        <v>375</v>
      </c>
      <c r="F1620" s="370" t="s">
        <v>23</v>
      </c>
      <c r="G1620" s="370"/>
      <c r="H1620" s="371" t="s">
        <v>2391</v>
      </c>
      <c r="I1620" s="371" t="s">
        <v>2392</v>
      </c>
      <c r="J1620" s="527">
        <v>45160</v>
      </c>
      <c r="K1620" s="747">
        <v>0.375</v>
      </c>
      <c r="L1620" s="527">
        <v>45160</v>
      </c>
      <c r="M1620" s="528">
        <v>0.54166666666666663</v>
      </c>
      <c r="N1620" s="210">
        <v>4</v>
      </c>
      <c r="O1620" s="374" t="s">
        <v>17</v>
      </c>
      <c r="P1620" s="375" t="s">
        <v>462</v>
      </c>
      <c r="Q1620" s="744" t="s">
        <v>2415</v>
      </c>
      <c r="R1620" s="202" t="s">
        <v>40</v>
      </c>
      <c r="S1620" s="31" t="s">
        <v>273</v>
      </c>
      <c r="T1620" s="31" t="s">
        <v>273</v>
      </c>
      <c r="U1620" s="31">
        <f>IFERROR(VLOOKUP(CONCATENATE(Tabla1[[#This Row],[Severidad]]," ",Tabla1[[#This Row],[Complejidad]]),Catalogos!E$120:G$128,3,FALSE),"")</f>
        <v>64</v>
      </c>
      <c r="V1620" s="31" t="str">
        <f>IF(Tabla1[[#This Row],[Tiempo solución max (hrs)]]&lt;&gt;"",IF(Tabla1[[#This Row],[Tiempo solución max (hrs)]]&gt;=Tabla1[[#This Row],[Tiempo
(Hrs 00/100)]],"cumple","no cumple"),"")</f>
        <v>cumple</v>
      </c>
      <c r="W1620" s="376" t="s">
        <v>1814</v>
      </c>
      <c r="X1620" s="377" t="str">
        <f t="shared" si="149"/>
        <v>SPD</v>
      </c>
      <c r="Y1620" t="str">
        <f>SUBSTITUTE(Tabla1[[#This Row],[Descripción]],CHAR(10),"    I    ")</f>
        <v>Se modifica el servicio para el registro de la bitácora</v>
      </c>
      <c r="Z1620" s="142">
        <f>VLOOKUP(Tabla1[[#This Row],[Perfil]],Catalogos!$B$75:$D$100,3,FALSE)*Tabla1[[#This Row],[Tiempo
(Hrs 00/100)]]*1.16</f>
        <v>3248</v>
      </c>
    </row>
    <row r="1621" spans="1:26" ht="15" customHeight="1" x14ac:dyDescent="0.3">
      <c r="A1621" s="370" t="s">
        <v>22</v>
      </c>
      <c r="B1621" s="370" t="s">
        <v>23</v>
      </c>
      <c r="C1621" s="599" t="s">
        <v>45</v>
      </c>
      <c r="D1621" s="370"/>
      <c r="E1621" s="370" t="s">
        <v>375</v>
      </c>
      <c r="F1621" s="370" t="s">
        <v>23</v>
      </c>
      <c r="G1621" s="370"/>
      <c r="H1621" s="371" t="s">
        <v>2393</v>
      </c>
      <c r="I1621" s="371" t="s">
        <v>2394</v>
      </c>
      <c r="J1621" s="527">
        <v>45160</v>
      </c>
      <c r="K1621" s="528">
        <v>0.54166666666666663</v>
      </c>
      <c r="L1621" s="527">
        <v>45160</v>
      </c>
      <c r="M1621" s="753">
        <v>0.79166666666666663</v>
      </c>
      <c r="N1621" s="210">
        <v>4</v>
      </c>
      <c r="O1621" s="374" t="s">
        <v>17</v>
      </c>
      <c r="P1621" s="375" t="s">
        <v>462</v>
      </c>
      <c r="Q1621" s="744" t="s">
        <v>2415</v>
      </c>
      <c r="R1621" s="202" t="s">
        <v>40</v>
      </c>
      <c r="S1621" s="31" t="s">
        <v>273</v>
      </c>
      <c r="T1621" s="31" t="s">
        <v>273</v>
      </c>
      <c r="U1621" s="31">
        <f>IFERROR(VLOOKUP(CONCATENATE(Tabla1[[#This Row],[Severidad]]," ",Tabla1[[#This Row],[Complejidad]]),Catalogos!E$120:G$128,3,FALSE),"")</f>
        <v>64</v>
      </c>
      <c r="V1621" s="31" t="str">
        <f>IF(Tabla1[[#This Row],[Tiempo solución max (hrs)]]&lt;&gt;"",IF(Tabla1[[#This Row],[Tiempo solución max (hrs)]]&gt;=Tabla1[[#This Row],[Tiempo
(Hrs 00/100)]],"cumple","no cumple"),"")</f>
        <v>cumple</v>
      </c>
      <c r="W1621" s="376" t="s">
        <v>1814</v>
      </c>
      <c r="X1621" s="377" t="str">
        <f t="shared" si="149"/>
        <v>SPD</v>
      </c>
      <c r="Y1621" t="str">
        <f>SUBSTITUTE(Tabla1[[#This Row],[Descripción]],CHAR(10),"    I    ")</f>
        <v>Se realizan las pruebas para alta y consulta de los servicios de bitácora</v>
      </c>
      <c r="Z1621" s="142">
        <f>VLOOKUP(Tabla1[[#This Row],[Perfil]],Catalogos!$B$75:$D$100,3,FALSE)*Tabla1[[#This Row],[Tiempo
(Hrs 00/100)]]*1.16</f>
        <v>3248</v>
      </c>
    </row>
    <row r="1622" spans="1:26" ht="15" customHeight="1" x14ac:dyDescent="0.3">
      <c r="A1622" s="370" t="s">
        <v>22</v>
      </c>
      <c r="B1622" s="370" t="s">
        <v>23</v>
      </c>
      <c r="C1622" s="599" t="s">
        <v>45</v>
      </c>
      <c r="D1622" s="370"/>
      <c r="E1622" s="370" t="s">
        <v>375</v>
      </c>
      <c r="F1622" s="370" t="s">
        <v>23</v>
      </c>
      <c r="G1622" s="370"/>
      <c r="H1622" s="371" t="s">
        <v>2395</v>
      </c>
      <c r="I1622" s="383" t="s">
        <v>2396</v>
      </c>
      <c r="J1622" s="527">
        <v>45161</v>
      </c>
      <c r="K1622" s="747">
        <v>0.375</v>
      </c>
      <c r="L1622" s="527">
        <v>45161</v>
      </c>
      <c r="M1622" s="528">
        <v>0.45833333333333331</v>
      </c>
      <c r="N1622" s="552">
        <v>2</v>
      </c>
      <c r="O1622" s="374" t="s">
        <v>17</v>
      </c>
      <c r="P1622" s="375" t="s">
        <v>462</v>
      </c>
      <c r="Q1622" s="744" t="s">
        <v>2415</v>
      </c>
      <c r="R1622" s="202" t="s">
        <v>40</v>
      </c>
      <c r="S1622" s="31" t="s">
        <v>273</v>
      </c>
      <c r="T1622" s="31" t="s">
        <v>273</v>
      </c>
      <c r="U1622" s="31">
        <f>IFERROR(VLOOKUP(CONCATENATE(Tabla1[[#This Row],[Severidad]]," ",Tabla1[[#This Row],[Complejidad]]),Catalogos!E$120:G$128,3,FALSE),"")</f>
        <v>64</v>
      </c>
      <c r="V1622" s="31" t="str">
        <f>IF(Tabla1[[#This Row],[Tiempo solución max (hrs)]]&lt;&gt;"",IF(Tabla1[[#This Row],[Tiempo solución max (hrs)]]&gt;=Tabla1[[#This Row],[Tiempo
(Hrs 00/100)]],"cumple","no cumple"),"")</f>
        <v>cumple</v>
      </c>
      <c r="W1622" s="376" t="s">
        <v>1814</v>
      </c>
      <c r="X1622" s="377" t="str">
        <f t="shared" si="149"/>
        <v>SPD</v>
      </c>
      <c r="Y1622" t="str">
        <f>SUBSTITUTE(Tabla1[[#This Row],[Descripción]],CHAR(10),"    I    ")</f>
        <v>Se crean los servicios para consultar y modificar los datos del usuario</v>
      </c>
      <c r="Z1622" s="142">
        <f>VLOOKUP(Tabla1[[#This Row],[Perfil]],Catalogos!$B$75:$D$100,3,FALSE)*Tabla1[[#This Row],[Tiempo
(Hrs 00/100)]]*1.16</f>
        <v>1624</v>
      </c>
    </row>
    <row r="1623" spans="1:26" ht="15" customHeight="1" x14ac:dyDescent="0.3">
      <c r="A1623" s="210" t="s">
        <v>22</v>
      </c>
      <c r="B1623" s="374" t="s">
        <v>23</v>
      </c>
      <c r="C1623" s="599" t="s">
        <v>45</v>
      </c>
      <c r="D1623" s="382"/>
      <c r="E1623" s="370" t="s">
        <v>375</v>
      </c>
      <c r="F1623" s="210" t="s">
        <v>23</v>
      </c>
      <c r="G1623" s="370"/>
      <c r="H1623" s="371" t="s">
        <v>2397</v>
      </c>
      <c r="I1623" s="383" t="s">
        <v>2398</v>
      </c>
      <c r="J1623" s="527">
        <v>45161</v>
      </c>
      <c r="K1623" s="528">
        <v>0.45833333333333331</v>
      </c>
      <c r="L1623" s="527">
        <v>45161</v>
      </c>
      <c r="M1623" s="528">
        <v>0.70833333333333337</v>
      </c>
      <c r="N1623" s="210">
        <v>4</v>
      </c>
      <c r="O1623" s="374" t="s">
        <v>17</v>
      </c>
      <c r="P1623" s="375" t="s">
        <v>462</v>
      </c>
      <c r="Q1623" s="744" t="s">
        <v>2415</v>
      </c>
      <c r="R1623" s="202" t="s">
        <v>40</v>
      </c>
      <c r="S1623" s="31" t="s">
        <v>273</v>
      </c>
      <c r="T1623" s="31" t="s">
        <v>273</v>
      </c>
      <c r="U1623" s="31">
        <f>IFERROR(VLOOKUP(CONCATENATE(Tabla1[[#This Row],[Severidad]]," ",Tabla1[[#This Row],[Complejidad]]),Catalogos!E$120:G$128,3,FALSE),"")</f>
        <v>64</v>
      </c>
      <c r="V1623" s="31" t="str">
        <f>IF(Tabla1[[#This Row],[Tiempo solución max (hrs)]]&lt;&gt;"",IF(Tabla1[[#This Row],[Tiempo solución max (hrs)]]&gt;=Tabla1[[#This Row],[Tiempo
(Hrs 00/100)]],"cumple","no cumple"),"")</f>
        <v>cumple</v>
      </c>
      <c r="W1623" s="376" t="s">
        <v>1814</v>
      </c>
      <c r="X1623" s="377" t="str">
        <f t="shared" si="149"/>
        <v>SPD</v>
      </c>
      <c r="Y1623" t="str">
        <f>SUBSTITUTE(Tabla1[[#This Row],[Descripción]],CHAR(10),"    I    ")</f>
        <v>Se prueban los servicios de alta, baja, modificación y consulta en la pantalla de mantenimiento de usuarios</v>
      </c>
      <c r="Z1623" s="142">
        <f>VLOOKUP(Tabla1[[#This Row],[Perfil]],Catalogos!$B$75:$D$100,3,FALSE)*Tabla1[[#This Row],[Tiempo
(Hrs 00/100)]]*1.16</f>
        <v>3248</v>
      </c>
    </row>
    <row r="1624" spans="1:26" ht="15" customHeight="1" x14ac:dyDescent="0.3">
      <c r="A1624" s="210" t="s">
        <v>22</v>
      </c>
      <c r="B1624" s="374" t="s">
        <v>23</v>
      </c>
      <c r="C1624" s="599" t="s">
        <v>45</v>
      </c>
      <c r="D1624" s="382"/>
      <c r="E1624" s="370" t="s">
        <v>375</v>
      </c>
      <c r="F1624" s="210" t="s">
        <v>23</v>
      </c>
      <c r="G1624" s="370"/>
      <c r="H1624" s="371" t="s">
        <v>2399</v>
      </c>
      <c r="I1624" s="383" t="s">
        <v>2400</v>
      </c>
      <c r="J1624" s="527">
        <v>45161</v>
      </c>
      <c r="K1624" s="528">
        <v>0.70833333333333337</v>
      </c>
      <c r="L1624" s="527">
        <v>45161</v>
      </c>
      <c r="M1624" s="528">
        <v>0.79166666666666663</v>
      </c>
      <c r="N1624" s="552">
        <v>2</v>
      </c>
      <c r="O1624" s="374" t="s">
        <v>17</v>
      </c>
      <c r="P1624" s="375" t="s">
        <v>462</v>
      </c>
      <c r="Q1624" s="744" t="s">
        <v>2415</v>
      </c>
      <c r="R1624" s="202" t="s">
        <v>40</v>
      </c>
      <c r="S1624" s="31" t="s">
        <v>273</v>
      </c>
      <c r="T1624" s="31" t="s">
        <v>273</v>
      </c>
      <c r="U1624" s="31">
        <f>IFERROR(VLOOKUP(CONCATENATE(Tabla1[[#This Row],[Severidad]]," ",Tabla1[[#This Row],[Complejidad]]),Catalogos!E$120:G$128,3,FALSE),"")</f>
        <v>64</v>
      </c>
      <c r="V1624" s="31" t="str">
        <f>IF(Tabla1[[#This Row],[Tiempo solución max (hrs)]]&lt;&gt;"",IF(Tabla1[[#This Row],[Tiempo solución max (hrs)]]&gt;=Tabla1[[#This Row],[Tiempo
(Hrs 00/100)]],"cumple","no cumple"),"")</f>
        <v>cumple</v>
      </c>
      <c r="W1624" s="376" t="s">
        <v>1814</v>
      </c>
      <c r="X1624" s="377" t="str">
        <f t="shared" si="149"/>
        <v>SPD</v>
      </c>
      <c r="Y1624" t="str">
        <f>SUBSTITUTE(Tabla1[[#This Row],[Descripción]],CHAR(10),"    I    ")</f>
        <v>Se modifica la consulta de las opciones del usuario</v>
      </c>
      <c r="Z1624" s="142">
        <f>VLOOKUP(Tabla1[[#This Row],[Perfil]],Catalogos!$B$75:$D$100,3,FALSE)*Tabla1[[#This Row],[Tiempo
(Hrs 00/100)]]*1.16</f>
        <v>1624</v>
      </c>
    </row>
    <row r="1625" spans="1:26" ht="15" customHeight="1" x14ac:dyDescent="0.3">
      <c r="A1625" s="210" t="s">
        <v>22</v>
      </c>
      <c r="B1625" s="374" t="s">
        <v>23</v>
      </c>
      <c r="C1625" s="599" t="s">
        <v>45</v>
      </c>
      <c r="D1625" s="382"/>
      <c r="E1625" s="370" t="s">
        <v>375</v>
      </c>
      <c r="F1625" s="210" t="s">
        <v>23</v>
      </c>
      <c r="G1625" s="370"/>
      <c r="H1625" s="371" t="s">
        <v>2401</v>
      </c>
      <c r="I1625" s="383" t="s">
        <v>2402</v>
      </c>
      <c r="J1625" s="527">
        <v>45162</v>
      </c>
      <c r="K1625" s="747">
        <v>0.375</v>
      </c>
      <c r="L1625" s="527">
        <v>45162</v>
      </c>
      <c r="M1625" s="528">
        <v>0.45833333333333331</v>
      </c>
      <c r="N1625" s="210">
        <v>2</v>
      </c>
      <c r="O1625" s="374" t="s">
        <v>17</v>
      </c>
      <c r="P1625" s="375" t="s">
        <v>462</v>
      </c>
      <c r="Q1625" s="744" t="s">
        <v>2415</v>
      </c>
      <c r="R1625" s="202" t="s">
        <v>40</v>
      </c>
      <c r="S1625" s="31" t="s">
        <v>273</v>
      </c>
      <c r="T1625" s="31" t="s">
        <v>273</v>
      </c>
      <c r="U1625" s="31">
        <f>IFERROR(VLOOKUP(CONCATENATE(Tabla1[[#This Row],[Severidad]]," ",Tabla1[[#This Row],[Complejidad]]),Catalogos!E$120:G$128,3,FALSE),"")</f>
        <v>64</v>
      </c>
      <c r="V1625" s="31" t="str">
        <f>IF(Tabla1[[#This Row],[Tiempo solución max (hrs)]]&lt;&gt;"",IF(Tabla1[[#This Row],[Tiempo solución max (hrs)]]&gt;=Tabla1[[#This Row],[Tiempo
(Hrs 00/100)]],"cumple","no cumple"),"")</f>
        <v>cumple</v>
      </c>
      <c r="W1625" s="376" t="s">
        <v>1814</v>
      </c>
      <c r="X1625" s="377" t="str">
        <f t="shared" si="149"/>
        <v>SPD</v>
      </c>
      <c r="Y1625" t="str">
        <f>SUBSTITUTE(Tabla1[[#This Row],[Descripción]],CHAR(10),"    I    ")</f>
        <v>Se modifican las etiquetas para las pantallas del módulo de usuario</v>
      </c>
      <c r="Z1625" s="142">
        <f>VLOOKUP(Tabla1[[#This Row],[Perfil]],Catalogos!$B$75:$D$100,3,FALSE)*Tabla1[[#This Row],[Tiempo
(Hrs 00/100)]]*1.16</f>
        <v>1624</v>
      </c>
    </row>
    <row r="1626" spans="1:26" ht="15" customHeight="1" x14ac:dyDescent="0.3">
      <c r="A1626" s="370" t="s">
        <v>22</v>
      </c>
      <c r="B1626" s="370" t="s">
        <v>23</v>
      </c>
      <c r="C1626" s="418" t="s">
        <v>45</v>
      </c>
      <c r="D1626" s="370"/>
      <c r="E1626" s="370" t="s">
        <v>375</v>
      </c>
      <c r="F1626" s="370" t="s">
        <v>23</v>
      </c>
      <c r="G1626" s="370"/>
      <c r="H1626" s="371" t="s">
        <v>2403</v>
      </c>
      <c r="I1626" s="383" t="s">
        <v>2404</v>
      </c>
      <c r="J1626" s="527">
        <v>45162</v>
      </c>
      <c r="K1626" s="528">
        <v>0.45833333333333331</v>
      </c>
      <c r="L1626" s="527">
        <v>45162</v>
      </c>
      <c r="M1626" s="753">
        <v>0.79166666666666663</v>
      </c>
      <c r="N1626" s="210">
        <v>6</v>
      </c>
      <c r="O1626" s="374" t="s">
        <v>17</v>
      </c>
      <c r="P1626" s="375" t="s">
        <v>462</v>
      </c>
      <c r="Q1626" s="744" t="s">
        <v>2415</v>
      </c>
      <c r="R1626" s="202" t="s">
        <v>40</v>
      </c>
      <c r="S1626" s="31" t="s">
        <v>273</v>
      </c>
      <c r="T1626" s="31" t="s">
        <v>273</v>
      </c>
      <c r="U1626" s="31">
        <f>IFERROR(VLOOKUP(CONCATENATE(Tabla1[[#This Row],[Severidad]]," ",Tabla1[[#This Row],[Complejidad]]),Catalogos!E$120:G$128,3,FALSE),"")</f>
        <v>64</v>
      </c>
      <c r="V1626" s="31" t="str">
        <f>IF(Tabla1[[#This Row],[Tiempo solución max (hrs)]]&lt;&gt;"",IF(Tabla1[[#This Row],[Tiempo solución max (hrs)]]&gt;=Tabla1[[#This Row],[Tiempo
(Hrs 00/100)]],"cumple","no cumple"),"")</f>
        <v>cumple</v>
      </c>
      <c r="W1626" s="376" t="s">
        <v>1814</v>
      </c>
      <c r="X1626" s="377" t="str">
        <f t="shared" si="149"/>
        <v>SPD</v>
      </c>
      <c r="Y1626" t="str">
        <f>SUBSTITUTE(Tabla1[[#This Row],[Descripción]],CHAR(10),"    I    ")</f>
        <v>Se genera el componente de formulario que permite seleccionar todos sujetos obligados</v>
      </c>
      <c r="Z1626" s="142">
        <f>VLOOKUP(Tabla1[[#This Row],[Perfil]],Catalogos!$B$75:$D$100,3,FALSE)*Tabla1[[#This Row],[Tiempo
(Hrs 00/100)]]*1.16</f>
        <v>4872</v>
      </c>
    </row>
    <row r="1627" spans="1:26" ht="15" customHeight="1" x14ac:dyDescent="0.3">
      <c r="A1627" s="210" t="s">
        <v>22</v>
      </c>
      <c r="B1627" s="374" t="s">
        <v>23</v>
      </c>
      <c r="C1627" s="599" t="s">
        <v>45</v>
      </c>
      <c r="D1627" s="382"/>
      <c r="E1627" s="370" t="s">
        <v>375</v>
      </c>
      <c r="F1627" s="210" t="s">
        <v>23</v>
      </c>
      <c r="G1627" s="370"/>
      <c r="H1627" s="371" t="s">
        <v>2405</v>
      </c>
      <c r="I1627" s="383" t="s">
        <v>2406</v>
      </c>
      <c r="J1627" s="527">
        <v>45163</v>
      </c>
      <c r="K1627" s="747">
        <v>0.375</v>
      </c>
      <c r="L1627" s="527">
        <v>45163</v>
      </c>
      <c r="M1627" s="753">
        <v>0.79166666666666663</v>
      </c>
      <c r="N1627" s="210">
        <v>8</v>
      </c>
      <c r="O1627" s="374" t="s">
        <v>17</v>
      </c>
      <c r="P1627" s="375" t="s">
        <v>462</v>
      </c>
      <c r="Q1627" s="744" t="s">
        <v>2415</v>
      </c>
      <c r="R1627" s="202" t="s">
        <v>40</v>
      </c>
      <c r="S1627" s="31" t="s">
        <v>273</v>
      </c>
      <c r="T1627" s="31" t="s">
        <v>273</v>
      </c>
      <c r="U1627" s="31">
        <f>IFERROR(VLOOKUP(CONCATENATE(Tabla1[[#This Row],[Severidad]]," ",Tabla1[[#This Row],[Complejidad]]),Catalogos!E$120:G$128,3,FALSE),"")</f>
        <v>64</v>
      </c>
      <c r="V1627" s="31" t="str">
        <f>IF(Tabla1[[#This Row],[Tiempo solución max (hrs)]]&lt;&gt;"",IF(Tabla1[[#This Row],[Tiempo solución max (hrs)]]&gt;=Tabla1[[#This Row],[Tiempo
(Hrs 00/100)]],"cumple","no cumple"),"")</f>
        <v>cumple</v>
      </c>
      <c r="W1627" s="376" t="s">
        <v>1814</v>
      </c>
      <c r="X1627" s="377" t="str">
        <f t="shared" si="149"/>
        <v>SPD</v>
      </c>
      <c r="Y1627" t="str">
        <f>SUBSTITUTE(Tabla1[[#This Row],[Descripción]],CHAR(10),"    I    ")</f>
        <v>Se genera el componente de formulario que permite cosntruir el request para multiples sujetos obligados</v>
      </c>
      <c r="Z1627" s="142">
        <f>VLOOKUP(Tabla1[[#This Row],[Perfil]],Catalogos!$B$75:$D$100,3,FALSE)*Tabla1[[#This Row],[Tiempo
(Hrs 00/100)]]*1.16</f>
        <v>6496</v>
      </c>
    </row>
    <row r="1628" spans="1:26" ht="15" customHeight="1" x14ac:dyDescent="0.3">
      <c r="A1628" s="370" t="s">
        <v>22</v>
      </c>
      <c r="B1628" s="370" t="s">
        <v>23</v>
      </c>
      <c r="C1628" s="599" t="s">
        <v>45</v>
      </c>
      <c r="D1628" s="370"/>
      <c r="E1628" s="370" t="s">
        <v>375</v>
      </c>
      <c r="F1628" s="370" t="s">
        <v>23</v>
      </c>
      <c r="G1628" s="370"/>
      <c r="H1628" s="371" t="s">
        <v>2407</v>
      </c>
      <c r="I1628" s="383" t="s">
        <v>2408</v>
      </c>
      <c r="J1628" s="527">
        <v>45166</v>
      </c>
      <c r="K1628" s="747">
        <v>0.375</v>
      </c>
      <c r="L1628" s="527">
        <v>45166</v>
      </c>
      <c r="M1628" s="753">
        <v>0.79166666666666663</v>
      </c>
      <c r="N1628" s="210">
        <v>8</v>
      </c>
      <c r="O1628" s="374" t="s">
        <v>17</v>
      </c>
      <c r="P1628" s="375" t="s">
        <v>462</v>
      </c>
      <c r="Q1628" s="744" t="s">
        <v>2415</v>
      </c>
      <c r="R1628" s="202" t="s">
        <v>40</v>
      </c>
      <c r="S1628" s="31" t="s">
        <v>273</v>
      </c>
      <c r="T1628" s="31" t="s">
        <v>273</v>
      </c>
      <c r="U1628" s="31">
        <f>IFERROR(VLOOKUP(CONCATENATE(Tabla1[[#This Row],[Severidad]]," ",Tabla1[[#This Row],[Complejidad]]),Catalogos!E$120:G$128,3,FALSE),"")</f>
        <v>64</v>
      </c>
      <c r="V1628" s="31" t="str">
        <f>IF(Tabla1[[#This Row],[Tiempo solución max (hrs)]]&lt;&gt;"",IF(Tabla1[[#This Row],[Tiempo solución max (hrs)]]&gt;=Tabla1[[#This Row],[Tiempo
(Hrs 00/100)]],"cumple","no cumple"),"")</f>
        <v>cumple</v>
      </c>
      <c r="W1628" s="376" t="s">
        <v>1814</v>
      </c>
      <c r="X1628" s="377" t="str">
        <f t="shared" si="149"/>
        <v>SPD</v>
      </c>
      <c r="Y1628" t="str">
        <f>SUBSTITUTE(Tabla1[[#This Row],[Descripción]],CHAR(10),"    I    ")</f>
        <v>Se genera el componente de formulario que permite seleccionar multiples sujetos obligados</v>
      </c>
      <c r="Z1628" s="142">
        <f>VLOOKUP(Tabla1[[#This Row],[Perfil]],Catalogos!$B$75:$D$100,3,FALSE)*Tabla1[[#This Row],[Tiempo
(Hrs 00/100)]]*1.16</f>
        <v>6496</v>
      </c>
    </row>
    <row r="1629" spans="1:26" ht="15" customHeight="1" x14ac:dyDescent="0.3">
      <c r="A1629" s="210" t="s">
        <v>22</v>
      </c>
      <c r="B1629" s="374" t="s">
        <v>23</v>
      </c>
      <c r="C1629" s="599" t="s">
        <v>45</v>
      </c>
      <c r="D1629" s="382"/>
      <c r="E1629" s="370" t="s">
        <v>375</v>
      </c>
      <c r="F1629" s="210" t="s">
        <v>23</v>
      </c>
      <c r="G1629" s="370"/>
      <c r="H1629" s="419" t="s">
        <v>2409</v>
      </c>
      <c r="I1629" s="420" t="s">
        <v>2410</v>
      </c>
      <c r="J1629" s="527">
        <v>45167</v>
      </c>
      <c r="K1629" s="747">
        <v>0.375</v>
      </c>
      <c r="L1629" s="527">
        <v>45167</v>
      </c>
      <c r="M1629" s="753">
        <v>0.79166666666666663</v>
      </c>
      <c r="N1629" s="210">
        <v>8</v>
      </c>
      <c r="O1629" s="374" t="s">
        <v>17</v>
      </c>
      <c r="P1629" s="375" t="s">
        <v>462</v>
      </c>
      <c r="Q1629" s="744" t="s">
        <v>2415</v>
      </c>
      <c r="R1629" s="202" t="s">
        <v>40</v>
      </c>
      <c r="S1629" s="31" t="s">
        <v>273</v>
      </c>
      <c r="T1629" s="31" t="s">
        <v>273</v>
      </c>
      <c r="U1629" s="31">
        <f>IFERROR(VLOOKUP(CONCATENATE(Tabla1[[#This Row],[Severidad]]," ",Tabla1[[#This Row],[Complejidad]]),Catalogos!E$120:G$128,3,FALSE),"")</f>
        <v>64</v>
      </c>
      <c r="V1629" s="31" t="str">
        <f>IF(Tabla1[[#This Row],[Tiempo solución max (hrs)]]&lt;&gt;"",IF(Tabla1[[#This Row],[Tiempo solución max (hrs)]]&gt;=Tabla1[[#This Row],[Tiempo
(Hrs 00/100)]],"cumple","no cumple"),"")</f>
        <v>cumple</v>
      </c>
      <c r="W1629" s="376" t="s">
        <v>1814</v>
      </c>
      <c r="X1629" s="377" t="str">
        <f t="shared" si="149"/>
        <v>SPD</v>
      </c>
      <c r="Y1629" t="str">
        <f>SUBSTITUTE(Tabla1[[#This Row],[Descripción]],CHAR(10),"    I    ")</f>
        <v>Se genera la pantalla para presentar cifras asociadas a la carga masiva</v>
      </c>
      <c r="Z1629" s="142">
        <f>VLOOKUP(Tabla1[[#This Row],[Perfil]],Catalogos!$B$75:$D$100,3,FALSE)*Tabla1[[#This Row],[Tiempo
(Hrs 00/100)]]*1.16</f>
        <v>6496</v>
      </c>
    </row>
    <row r="1630" spans="1:26" ht="15" customHeight="1" x14ac:dyDescent="0.3">
      <c r="A1630" s="210" t="s">
        <v>22</v>
      </c>
      <c r="B1630" s="374" t="s">
        <v>23</v>
      </c>
      <c r="C1630" s="599" t="s">
        <v>45</v>
      </c>
      <c r="D1630" s="382"/>
      <c r="E1630" s="370" t="s">
        <v>375</v>
      </c>
      <c r="F1630" s="210" t="s">
        <v>23</v>
      </c>
      <c r="G1630" s="370"/>
      <c r="H1630" s="371" t="s">
        <v>2411</v>
      </c>
      <c r="I1630" s="383" t="s">
        <v>2412</v>
      </c>
      <c r="J1630" s="527">
        <v>45168</v>
      </c>
      <c r="K1630" s="747">
        <v>0.375</v>
      </c>
      <c r="L1630" s="527">
        <v>45168</v>
      </c>
      <c r="M1630" s="753">
        <v>0.79166666666666663</v>
      </c>
      <c r="N1630" s="210">
        <v>8</v>
      </c>
      <c r="O1630" s="374" t="s">
        <v>17</v>
      </c>
      <c r="P1630" s="375" t="s">
        <v>462</v>
      </c>
      <c r="Q1630" s="744" t="s">
        <v>2415</v>
      </c>
      <c r="R1630" s="202" t="s">
        <v>40</v>
      </c>
      <c r="S1630" s="31" t="s">
        <v>273</v>
      </c>
      <c r="T1630" s="31" t="s">
        <v>273</v>
      </c>
      <c r="U1630" s="31">
        <f>IFERROR(VLOOKUP(CONCATENATE(Tabla1[[#This Row],[Severidad]]," ",Tabla1[[#This Row],[Complejidad]]),Catalogos!E$120:G$128,3,FALSE),"")</f>
        <v>64</v>
      </c>
      <c r="V1630" s="31" t="str">
        <f>IF(Tabla1[[#This Row],[Tiempo solución max (hrs)]]&lt;&gt;"",IF(Tabla1[[#This Row],[Tiempo solución max (hrs)]]&gt;=Tabla1[[#This Row],[Tiempo
(Hrs 00/100)]],"cumple","no cumple"),"")</f>
        <v>cumple</v>
      </c>
      <c r="W1630" s="376" t="s">
        <v>1814</v>
      </c>
      <c r="X1630" s="377" t="str">
        <f t="shared" si="149"/>
        <v>SPD</v>
      </c>
      <c r="Y1630" t="str">
        <f>SUBSTITUTE(Tabla1[[#This Row],[Descripción]],CHAR(10),"    I    ")</f>
        <v>Se genera la pantalla para presentar el grid con las cargas masivas asociadas</v>
      </c>
      <c r="Z1630" s="142">
        <f>VLOOKUP(Tabla1[[#This Row],[Perfil]],Catalogos!$B$75:$D$100,3,FALSE)*Tabla1[[#This Row],[Tiempo
(Hrs 00/100)]]*1.16</f>
        <v>6496</v>
      </c>
    </row>
    <row r="1631" spans="1:26" ht="15" customHeight="1" x14ac:dyDescent="0.3">
      <c r="A1631" s="210" t="s">
        <v>22</v>
      </c>
      <c r="B1631" s="374" t="s">
        <v>23</v>
      </c>
      <c r="C1631" s="599" t="s">
        <v>45</v>
      </c>
      <c r="D1631" s="382"/>
      <c r="E1631" s="370" t="s">
        <v>375</v>
      </c>
      <c r="F1631" s="210" t="s">
        <v>23</v>
      </c>
      <c r="G1631" s="370"/>
      <c r="H1631" s="371" t="s">
        <v>2413</v>
      </c>
      <c r="I1631" s="383" t="s">
        <v>2414</v>
      </c>
      <c r="J1631" s="527">
        <v>45169</v>
      </c>
      <c r="K1631" s="747">
        <v>0.375</v>
      </c>
      <c r="L1631" s="527">
        <v>45169</v>
      </c>
      <c r="M1631" s="753">
        <v>0.79166666666666663</v>
      </c>
      <c r="N1631" s="210">
        <v>8</v>
      </c>
      <c r="O1631" s="374" t="s">
        <v>17</v>
      </c>
      <c r="P1631" s="375" t="s">
        <v>462</v>
      </c>
      <c r="Q1631" s="744" t="s">
        <v>2415</v>
      </c>
      <c r="R1631" s="202" t="s">
        <v>40</v>
      </c>
      <c r="S1631" s="31" t="s">
        <v>273</v>
      </c>
      <c r="T1631" s="31" t="s">
        <v>273</v>
      </c>
      <c r="U1631" s="31">
        <f>IFERROR(VLOOKUP(CONCATENATE(Tabla1[[#This Row],[Severidad]]," ",Tabla1[[#This Row],[Complejidad]]),Catalogos!E$120:G$128,3,FALSE),"")</f>
        <v>64</v>
      </c>
      <c r="V1631" s="31" t="str">
        <f>IF(Tabla1[[#This Row],[Tiempo solución max (hrs)]]&lt;&gt;"",IF(Tabla1[[#This Row],[Tiempo solución max (hrs)]]&gt;=Tabla1[[#This Row],[Tiempo
(Hrs 00/100)]],"cumple","no cumple"),"")</f>
        <v>cumple</v>
      </c>
      <c r="W1631" s="376" t="s">
        <v>1814</v>
      </c>
      <c r="X1631" s="377" t="str">
        <f t="shared" si="149"/>
        <v>SPD</v>
      </c>
      <c r="Y1631" t="str">
        <f>SUBSTITUTE(Tabla1[[#This Row],[Descripción]],CHAR(10),"    I    ")</f>
        <v>Se genera el grid con flitros de órgano garante y sujeto obligado.</v>
      </c>
      <c r="Z1631" s="142">
        <f>VLOOKUP(Tabla1[[#This Row],[Perfil]],Catalogos!$B$75:$D$100,3,FALSE)*Tabla1[[#This Row],[Tiempo
(Hrs 00/100)]]*1.16</f>
        <v>6496</v>
      </c>
    </row>
    <row r="1632" spans="1:26" ht="15" customHeight="1" x14ac:dyDescent="0.3">
      <c r="A1632" s="530" t="s">
        <v>22</v>
      </c>
      <c r="B1632" s="530" t="s">
        <v>23</v>
      </c>
      <c r="C1632" s="205" t="s">
        <v>155</v>
      </c>
      <c r="D1632" s="382"/>
      <c r="E1632" s="373" t="s">
        <v>375</v>
      </c>
      <c r="F1632" s="370" t="s">
        <v>23</v>
      </c>
      <c r="G1632" s="370" t="s">
        <v>2419</v>
      </c>
      <c r="H1632" s="461" t="s">
        <v>405</v>
      </c>
      <c r="I1632" s="383" t="s">
        <v>2426</v>
      </c>
      <c r="J1632" s="369">
        <v>45170</v>
      </c>
      <c r="K1632" s="747">
        <v>0.375</v>
      </c>
      <c r="L1632" s="369">
        <v>45170</v>
      </c>
      <c r="M1632" s="753">
        <v>0.625</v>
      </c>
      <c r="N1632" s="210">
        <v>6</v>
      </c>
      <c r="O1632" s="374" t="s">
        <v>17</v>
      </c>
      <c r="P1632" s="305" t="s">
        <v>462</v>
      </c>
      <c r="Q1632" s="541" t="s">
        <v>1120</v>
      </c>
      <c r="R1632" s="202" t="s">
        <v>40</v>
      </c>
      <c r="S1632" s="31" t="s">
        <v>273</v>
      </c>
      <c r="T1632" s="31" t="s">
        <v>273</v>
      </c>
      <c r="U1632" s="31">
        <f>IFERROR(VLOOKUP(CONCATENATE(Tabla1[[#This Row],[Severidad]]," ",Tabla1[[#This Row],[Complejidad]]),Catalogos!E$120:G$128,3,FALSE),"")</f>
        <v>64</v>
      </c>
      <c r="V1632" s="31" t="str">
        <f>IF(Tabla1[[#This Row],[Tiempo solución max (hrs)]]&lt;&gt;"",IF(Tabla1[[#This Row],[Tiempo solución max (hrs)]]&gt;=Tabla1[[#This Row],[Tiempo
(Hrs 00/100)]],"cumple","no cumple"),"")</f>
        <v>cumple</v>
      </c>
      <c r="W1632" s="376" t="s">
        <v>2418</v>
      </c>
      <c r="X1632" s="377" t="str">
        <f t="shared" si="149"/>
        <v>DS</v>
      </c>
      <c r="Y1632" t="str">
        <f>SUBSTITUTE(Tabla1[[#This Row],[Descripción]],CHAR(10),"    I    ")</f>
        <v>Análisis y diseño de pantalla para consultar notificaciones</v>
      </c>
      <c r="Z1632" s="142">
        <f>VLOOKUP(Tabla1[[#This Row],[Perfil]],Catalogos!$B$75:$D$100,3,FALSE)*Tabla1[[#This Row],[Tiempo
(Hrs 00/100)]]*1.16</f>
        <v>4872</v>
      </c>
    </row>
    <row r="1633" spans="1:26" ht="15" customHeight="1" x14ac:dyDescent="0.3">
      <c r="A1633" s="530" t="s">
        <v>22</v>
      </c>
      <c r="B1633" s="530" t="s">
        <v>23</v>
      </c>
      <c r="C1633" s="205" t="s">
        <v>155</v>
      </c>
      <c r="D1633" s="382"/>
      <c r="E1633" s="373" t="s">
        <v>375</v>
      </c>
      <c r="F1633" s="370" t="s">
        <v>23</v>
      </c>
      <c r="G1633" s="370" t="s">
        <v>2420</v>
      </c>
      <c r="H1633" s="461" t="s">
        <v>405</v>
      </c>
      <c r="I1633" s="383" t="s">
        <v>2427</v>
      </c>
      <c r="J1633" s="369">
        <v>45173</v>
      </c>
      <c r="K1633" s="747">
        <v>0.375</v>
      </c>
      <c r="L1633" s="369">
        <v>45173</v>
      </c>
      <c r="M1633" s="753">
        <v>0.79166666666666663</v>
      </c>
      <c r="N1633" s="210">
        <v>8.5</v>
      </c>
      <c r="O1633" s="374" t="s">
        <v>17</v>
      </c>
      <c r="P1633" s="305" t="s">
        <v>462</v>
      </c>
      <c r="Q1633" s="541" t="s">
        <v>1120</v>
      </c>
      <c r="R1633" s="202" t="s">
        <v>40</v>
      </c>
      <c r="S1633" s="31" t="s">
        <v>273</v>
      </c>
      <c r="T1633" s="31" t="s">
        <v>273</v>
      </c>
      <c r="U1633" s="31">
        <f>IFERROR(VLOOKUP(CONCATENATE(Tabla1[[#This Row],[Severidad]]," ",Tabla1[[#This Row],[Complejidad]]),Catalogos!E$120:G$128,3,FALSE),"")</f>
        <v>64</v>
      </c>
      <c r="V1633" s="31" t="str">
        <f>IF(Tabla1[[#This Row],[Tiempo solución max (hrs)]]&lt;&gt;"",IF(Tabla1[[#This Row],[Tiempo solución max (hrs)]]&gt;=Tabla1[[#This Row],[Tiempo
(Hrs 00/100)]],"cumple","no cumple"),"")</f>
        <v>cumple</v>
      </c>
      <c r="W1633" s="376" t="s">
        <v>2418</v>
      </c>
      <c r="X1633" s="377" t="str">
        <f t="shared" si="149"/>
        <v>DS</v>
      </c>
      <c r="Y1633" t="str">
        <f>SUBSTITUTE(Tabla1[[#This Row],[Descripción]],CHAR(10),"    I    ")</f>
        <v>Desarrollo de FRONT para consultar notificaciones</v>
      </c>
      <c r="Z1633" s="142">
        <f>VLOOKUP(Tabla1[[#This Row],[Perfil]],Catalogos!$B$75:$D$100,3,FALSE)*Tabla1[[#This Row],[Tiempo
(Hrs 00/100)]]*1.16</f>
        <v>6901.9999999999991</v>
      </c>
    </row>
    <row r="1634" spans="1:26" ht="15" customHeight="1" x14ac:dyDescent="0.3">
      <c r="A1634" s="530" t="s">
        <v>22</v>
      </c>
      <c r="B1634" s="530" t="s">
        <v>23</v>
      </c>
      <c r="C1634" s="205" t="s">
        <v>155</v>
      </c>
      <c r="D1634" s="382"/>
      <c r="E1634" s="373" t="s">
        <v>375</v>
      </c>
      <c r="F1634" s="370" t="s">
        <v>23</v>
      </c>
      <c r="G1634" s="370" t="s">
        <v>2421</v>
      </c>
      <c r="H1634" s="461" t="s">
        <v>405</v>
      </c>
      <c r="I1634" s="383" t="s">
        <v>2428</v>
      </c>
      <c r="J1634" s="369">
        <v>45174</v>
      </c>
      <c r="K1634" s="747">
        <v>0.375</v>
      </c>
      <c r="L1634" s="369">
        <v>45174</v>
      </c>
      <c r="M1634" s="753">
        <v>0.79166666666666663</v>
      </c>
      <c r="N1634" s="210">
        <v>8.5</v>
      </c>
      <c r="O1634" s="184" t="s">
        <v>411</v>
      </c>
      <c r="P1634" s="305" t="s">
        <v>462</v>
      </c>
      <c r="Q1634" s="541" t="s">
        <v>1120</v>
      </c>
      <c r="R1634" s="202" t="s">
        <v>40</v>
      </c>
      <c r="S1634" s="31" t="s">
        <v>273</v>
      </c>
      <c r="T1634" s="31" t="s">
        <v>273</v>
      </c>
      <c r="U1634" s="31">
        <f>IFERROR(VLOOKUP(CONCATENATE(Tabla1[[#This Row],[Severidad]]," ",Tabla1[[#This Row],[Complejidad]]),Catalogos!E$120:G$128,3,FALSE),"")</f>
        <v>64</v>
      </c>
      <c r="V1634" s="31" t="str">
        <f>IF(Tabla1[[#This Row],[Tiempo solución max (hrs)]]&lt;&gt;"",IF(Tabla1[[#This Row],[Tiempo solución max (hrs)]]&gt;=Tabla1[[#This Row],[Tiempo
(Hrs 00/100)]],"cumple","no cumple"),"")</f>
        <v>cumple</v>
      </c>
      <c r="W1634" s="376" t="s">
        <v>2418</v>
      </c>
      <c r="X1634" s="377" t="str">
        <f t="shared" si="149"/>
        <v>DS</v>
      </c>
      <c r="Y1634" t="str">
        <f>SUBSTITUTE(Tabla1[[#This Row],[Descripción]],CHAR(10),"    I    ")</f>
        <v>Desarrollo de logica para recibir servicios del back de notificaciones</v>
      </c>
      <c r="Z1634" s="142">
        <f>VLOOKUP(Tabla1[[#This Row],[Perfil]],Catalogos!$B$75:$D$100,3,FALSE)*Tabla1[[#This Row],[Tiempo
(Hrs 00/100)]]*1.16</f>
        <v>6901.9999999999991</v>
      </c>
    </row>
    <row r="1635" spans="1:26" ht="15" customHeight="1" x14ac:dyDescent="0.3">
      <c r="A1635" s="530" t="s">
        <v>22</v>
      </c>
      <c r="B1635" s="530" t="s">
        <v>23</v>
      </c>
      <c r="C1635" s="205" t="s">
        <v>155</v>
      </c>
      <c r="D1635" s="382"/>
      <c r="E1635" s="373" t="s">
        <v>375</v>
      </c>
      <c r="F1635" s="370" t="s">
        <v>23</v>
      </c>
      <c r="G1635" s="370" t="s">
        <v>2421</v>
      </c>
      <c r="H1635" s="461" t="s">
        <v>405</v>
      </c>
      <c r="I1635" s="383" t="s">
        <v>2428</v>
      </c>
      <c r="J1635" s="369">
        <v>45175</v>
      </c>
      <c r="K1635" s="747">
        <v>0.375</v>
      </c>
      <c r="L1635" s="369">
        <v>45175</v>
      </c>
      <c r="M1635" s="753">
        <v>0.79166666666666663</v>
      </c>
      <c r="N1635" s="210">
        <v>8.5</v>
      </c>
      <c r="O1635" s="374" t="s">
        <v>17</v>
      </c>
      <c r="P1635" s="305" t="s">
        <v>462</v>
      </c>
      <c r="Q1635" s="541" t="s">
        <v>1120</v>
      </c>
      <c r="R1635" s="202" t="s">
        <v>40</v>
      </c>
      <c r="S1635" s="31" t="s">
        <v>273</v>
      </c>
      <c r="T1635" s="31" t="s">
        <v>273</v>
      </c>
      <c r="U1635" s="31">
        <f>IFERROR(VLOOKUP(CONCATENATE(Tabla1[[#This Row],[Severidad]]," ",Tabla1[[#This Row],[Complejidad]]),Catalogos!E$120:G$128,3,FALSE),"")</f>
        <v>64</v>
      </c>
      <c r="V1635" s="31" t="str">
        <f>IF(Tabla1[[#This Row],[Tiempo solución max (hrs)]]&lt;&gt;"",IF(Tabla1[[#This Row],[Tiempo solución max (hrs)]]&gt;=Tabla1[[#This Row],[Tiempo
(Hrs 00/100)]],"cumple","no cumple"),"")</f>
        <v>cumple</v>
      </c>
      <c r="W1635" s="376" t="s">
        <v>2418</v>
      </c>
      <c r="X1635" s="377" t="str">
        <f t="shared" ref="X1635" si="150">IF(C1635&lt;&gt;"",C1635,D1635)</f>
        <v>DS</v>
      </c>
      <c r="Y1635" t="str">
        <f>SUBSTITUTE(Tabla1[[#This Row],[Descripción]],CHAR(10),"    I    ")</f>
        <v>Desarrollo de logica para recibir servicios del back de notificaciones</v>
      </c>
      <c r="Z1635" s="142">
        <f>VLOOKUP(Tabla1[[#This Row],[Perfil]],Catalogos!$B$75:$D$100,3,FALSE)*Tabla1[[#This Row],[Tiempo
(Hrs 00/100)]]*1.16</f>
        <v>6901.9999999999991</v>
      </c>
    </row>
    <row r="1636" spans="1:26" ht="15" customHeight="1" x14ac:dyDescent="0.3">
      <c r="A1636" s="530" t="s">
        <v>22</v>
      </c>
      <c r="B1636" s="530" t="s">
        <v>23</v>
      </c>
      <c r="C1636" s="205" t="s">
        <v>155</v>
      </c>
      <c r="D1636" s="382"/>
      <c r="E1636" s="373" t="s">
        <v>375</v>
      </c>
      <c r="F1636" s="370" t="s">
        <v>23</v>
      </c>
      <c r="G1636" s="370" t="s">
        <v>3292</v>
      </c>
      <c r="H1636" s="461" t="s">
        <v>405</v>
      </c>
      <c r="I1636" s="383" t="s">
        <v>2429</v>
      </c>
      <c r="J1636" s="369">
        <v>45176</v>
      </c>
      <c r="K1636" s="747">
        <v>0.375</v>
      </c>
      <c r="L1636" s="369">
        <v>45176</v>
      </c>
      <c r="M1636" s="753">
        <v>0.79166666666666663</v>
      </c>
      <c r="N1636" s="210">
        <v>8.5</v>
      </c>
      <c r="O1636" s="374" t="s">
        <v>17</v>
      </c>
      <c r="P1636" s="305" t="s">
        <v>462</v>
      </c>
      <c r="Q1636" s="541" t="s">
        <v>1120</v>
      </c>
      <c r="R1636" s="202" t="s">
        <v>40</v>
      </c>
      <c r="S1636" s="31" t="s">
        <v>273</v>
      </c>
      <c r="T1636" s="31" t="s">
        <v>273</v>
      </c>
      <c r="U1636" s="31">
        <f>IFERROR(VLOOKUP(CONCATENATE(Tabla1[[#This Row],[Severidad]]," ",Tabla1[[#This Row],[Complejidad]]),Catalogos!E$120:G$128,3,FALSE),"")</f>
        <v>64</v>
      </c>
      <c r="V1636" s="31" t="str">
        <f>IF(Tabla1[[#This Row],[Tiempo solución max (hrs)]]&lt;&gt;"",IF(Tabla1[[#This Row],[Tiempo solución max (hrs)]]&gt;=Tabla1[[#This Row],[Tiempo
(Hrs 00/100)]],"cumple","no cumple"),"")</f>
        <v>cumple</v>
      </c>
      <c r="W1636" s="376" t="s">
        <v>2418</v>
      </c>
      <c r="X1636" s="377" t="str">
        <f t="shared" si="149"/>
        <v>DS</v>
      </c>
      <c r="Y1636" t="str">
        <f>SUBSTITUTE(Tabla1[[#This Row],[Descripción]],CHAR(10),"    I    ")</f>
        <v>Desarrollo de pantalla Mis Quejas, analisis y diseño de reglas de negocio</v>
      </c>
      <c r="Z1636" s="142">
        <f>VLOOKUP(Tabla1[[#This Row],[Perfil]],Catalogos!$B$75:$D$100,3,FALSE)*Tabla1[[#This Row],[Tiempo
(Hrs 00/100)]]*1.16</f>
        <v>6901.9999999999991</v>
      </c>
    </row>
    <row r="1637" spans="1:26" ht="15" customHeight="1" x14ac:dyDescent="0.3">
      <c r="A1637" s="530" t="s">
        <v>22</v>
      </c>
      <c r="B1637" s="530" t="s">
        <v>23</v>
      </c>
      <c r="C1637" s="205" t="s">
        <v>155</v>
      </c>
      <c r="D1637" s="382"/>
      <c r="E1637" s="373" t="s">
        <v>375</v>
      </c>
      <c r="F1637" s="370" t="s">
        <v>23</v>
      </c>
      <c r="G1637" s="370" t="s">
        <v>2422</v>
      </c>
      <c r="H1637" s="461" t="s">
        <v>405</v>
      </c>
      <c r="I1637" s="383" t="s">
        <v>2430</v>
      </c>
      <c r="J1637" s="369">
        <v>45177</v>
      </c>
      <c r="K1637" s="747">
        <v>0.375</v>
      </c>
      <c r="L1637" s="369">
        <v>45177</v>
      </c>
      <c r="M1637" s="753">
        <v>0.625</v>
      </c>
      <c r="N1637" s="210">
        <v>6</v>
      </c>
      <c r="O1637" s="374" t="s">
        <v>17</v>
      </c>
      <c r="P1637" s="305" t="s">
        <v>462</v>
      </c>
      <c r="Q1637" s="541" t="s">
        <v>1120</v>
      </c>
      <c r="R1637" s="202" t="s">
        <v>40</v>
      </c>
      <c r="S1637" s="31" t="s">
        <v>273</v>
      </c>
      <c r="T1637" s="31" t="s">
        <v>273</v>
      </c>
      <c r="U1637" s="31">
        <f>IFERROR(VLOOKUP(CONCATENATE(Tabla1[[#This Row],[Severidad]]," ",Tabla1[[#This Row],[Complejidad]]),Catalogos!E$120:G$128,3,FALSE),"")</f>
        <v>64</v>
      </c>
      <c r="V1637" s="31" t="str">
        <f>IF(Tabla1[[#This Row],[Tiempo solución max (hrs)]]&lt;&gt;"",IF(Tabla1[[#This Row],[Tiempo solución max (hrs)]]&gt;=Tabla1[[#This Row],[Tiempo
(Hrs 00/100)]],"cumple","no cumple"),"")</f>
        <v>cumple</v>
      </c>
      <c r="W1637" s="376" t="s">
        <v>2418</v>
      </c>
      <c r="X1637" s="377" t="str">
        <f t="shared" si="149"/>
        <v>DS</v>
      </c>
      <c r="Y1637" t="str">
        <f>SUBSTITUTE(Tabla1[[#This Row],[Descripción]],CHAR(10),"    I    ")</f>
        <v>Desarrollo de pantalla Mis Quejas, revisión de código y validación de reglas de negocio</v>
      </c>
      <c r="Z1637" s="142">
        <f>VLOOKUP(Tabla1[[#This Row],[Perfil]],Catalogos!$B$75:$D$100,3,FALSE)*Tabla1[[#This Row],[Tiempo
(Hrs 00/100)]]*1.16</f>
        <v>4872</v>
      </c>
    </row>
    <row r="1638" spans="1:26" ht="15" customHeight="1" x14ac:dyDescent="0.3">
      <c r="A1638" s="530" t="s">
        <v>22</v>
      </c>
      <c r="B1638" s="530" t="s">
        <v>23</v>
      </c>
      <c r="C1638" s="205" t="s">
        <v>155</v>
      </c>
      <c r="D1638" s="382"/>
      <c r="E1638" s="373" t="s">
        <v>375</v>
      </c>
      <c r="F1638" s="370" t="s">
        <v>23</v>
      </c>
      <c r="G1638" s="370" t="s">
        <v>2423</v>
      </c>
      <c r="H1638" s="461" t="s">
        <v>405</v>
      </c>
      <c r="I1638" s="383" t="s">
        <v>2431</v>
      </c>
      <c r="J1638" s="369">
        <v>45180</v>
      </c>
      <c r="K1638" s="747">
        <v>0.375</v>
      </c>
      <c r="L1638" s="369">
        <v>45180</v>
      </c>
      <c r="M1638" s="753">
        <v>0.79166666666666663</v>
      </c>
      <c r="N1638" s="210">
        <v>8.5</v>
      </c>
      <c r="O1638" s="184" t="s">
        <v>411</v>
      </c>
      <c r="P1638" s="305" t="s">
        <v>462</v>
      </c>
      <c r="Q1638" s="541" t="s">
        <v>1120</v>
      </c>
      <c r="R1638" s="202" t="s">
        <v>40</v>
      </c>
      <c r="S1638" s="31" t="s">
        <v>273</v>
      </c>
      <c r="T1638" s="31" t="s">
        <v>273</v>
      </c>
      <c r="U1638" s="31">
        <f>IFERROR(VLOOKUP(CONCATENATE(Tabla1[[#This Row],[Severidad]]," ",Tabla1[[#This Row],[Complejidad]]),Catalogos!E$120:G$128,3,FALSE),"")</f>
        <v>64</v>
      </c>
      <c r="V1638" s="31" t="str">
        <f>IF(Tabla1[[#This Row],[Tiempo solución max (hrs)]]&lt;&gt;"",IF(Tabla1[[#This Row],[Tiempo solución max (hrs)]]&gt;=Tabla1[[#This Row],[Tiempo
(Hrs 00/100)]],"cumple","no cumple"),"")</f>
        <v>cumple</v>
      </c>
      <c r="W1638" s="376" t="s">
        <v>2418</v>
      </c>
      <c r="X1638" s="377" t="str">
        <f t="shared" si="149"/>
        <v>DS</v>
      </c>
      <c r="Y1638" t="str">
        <f>SUBSTITUTE(Tabla1[[#This Row],[Descripción]],CHAR(10),"    I    ")</f>
        <v>Desarrollo de pantalla Mis Quejas, programación de funcionalidad de pantalla</v>
      </c>
      <c r="Z1638" s="142">
        <f>VLOOKUP(Tabla1[[#This Row],[Perfil]],Catalogos!$B$75:$D$100,3,FALSE)*Tabla1[[#This Row],[Tiempo
(Hrs 00/100)]]*1.16</f>
        <v>6901.9999999999991</v>
      </c>
    </row>
    <row r="1639" spans="1:26" ht="15" customHeight="1" x14ac:dyDescent="0.3">
      <c r="A1639" s="530" t="s">
        <v>22</v>
      </c>
      <c r="B1639" s="530" t="s">
        <v>23</v>
      </c>
      <c r="C1639" s="205" t="s">
        <v>155</v>
      </c>
      <c r="D1639" s="382"/>
      <c r="E1639" s="373" t="s">
        <v>375</v>
      </c>
      <c r="F1639" s="370" t="s">
        <v>23</v>
      </c>
      <c r="G1639" s="370" t="s">
        <v>2423</v>
      </c>
      <c r="H1639" s="461" t="s">
        <v>405</v>
      </c>
      <c r="I1639" s="383" t="s">
        <v>2431</v>
      </c>
      <c r="J1639" s="369">
        <v>45181</v>
      </c>
      <c r="K1639" s="747">
        <v>0.375</v>
      </c>
      <c r="L1639" s="369">
        <v>45181</v>
      </c>
      <c r="M1639" s="753">
        <v>0.79166666666666663</v>
      </c>
      <c r="N1639" s="210">
        <v>8.5</v>
      </c>
      <c r="O1639" s="374" t="s">
        <v>17</v>
      </c>
      <c r="P1639" s="305" t="s">
        <v>462</v>
      </c>
      <c r="Q1639" s="541" t="s">
        <v>1120</v>
      </c>
      <c r="R1639" s="202" t="s">
        <v>40</v>
      </c>
      <c r="S1639" s="31" t="s">
        <v>273</v>
      </c>
      <c r="T1639" s="31" t="s">
        <v>273</v>
      </c>
      <c r="U1639" s="31">
        <f>IFERROR(VLOOKUP(CONCATENATE(Tabla1[[#This Row],[Severidad]]," ",Tabla1[[#This Row],[Complejidad]]),Catalogos!E$120:G$128,3,FALSE),"")</f>
        <v>64</v>
      </c>
      <c r="V1639" s="31" t="str">
        <f>IF(Tabla1[[#This Row],[Tiempo solución max (hrs)]]&lt;&gt;"",IF(Tabla1[[#This Row],[Tiempo solución max (hrs)]]&gt;=Tabla1[[#This Row],[Tiempo
(Hrs 00/100)]],"cumple","no cumple"),"")</f>
        <v>cumple</v>
      </c>
      <c r="W1639" s="376" t="s">
        <v>2418</v>
      </c>
      <c r="X1639" s="377" t="str">
        <f t="shared" ref="X1639" si="151">IF(C1639&lt;&gt;"",C1639,D1639)</f>
        <v>DS</v>
      </c>
      <c r="Y1639" t="str">
        <f>SUBSTITUTE(Tabla1[[#This Row],[Descripción]],CHAR(10),"    I    ")</f>
        <v>Desarrollo de pantalla Mis Quejas, programación de funcionalidad de pantalla</v>
      </c>
      <c r="Z1639" s="142">
        <f>VLOOKUP(Tabla1[[#This Row],[Perfil]],Catalogos!$B$75:$D$100,3,FALSE)*Tabla1[[#This Row],[Tiempo
(Hrs 00/100)]]*1.16</f>
        <v>6901.9999999999991</v>
      </c>
    </row>
    <row r="1640" spans="1:26" ht="15" customHeight="1" x14ac:dyDescent="0.3">
      <c r="A1640" s="530" t="s">
        <v>22</v>
      </c>
      <c r="B1640" s="530" t="s">
        <v>23</v>
      </c>
      <c r="C1640" s="205" t="s">
        <v>155</v>
      </c>
      <c r="D1640" s="382"/>
      <c r="E1640" s="373" t="s">
        <v>375</v>
      </c>
      <c r="F1640" s="370" t="s">
        <v>23</v>
      </c>
      <c r="G1640" s="370" t="s">
        <v>2424</v>
      </c>
      <c r="H1640" s="461" t="s">
        <v>405</v>
      </c>
      <c r="I1640" s="383" t="s">
        <v>2432</v>
      </c>
      <c r="J1640" s="369">
        <v>45182</v>
      </c>
      <c r="K1640" s="747">
        <v>0.375</v>
      </c>
      <c r="L1640" s="369">
        <v>45182</v>
      </c>
      <c r="M1640" s="753">
        <v>0.79166666666666663</v>
      </c>
      <c r="N1640" s="210">
        <v>8.5</v>
      </c>
      <c r="O1640" s="184" t="s">
        <v>411</v>
      </c>
      <c r="P1640" s="305" t="s">
        <v>462</v>
      </c>
      <c r="Q1640" s="541" t="s">
        <v>1120</v>
      </c>
      <c r="R1640" s="202" t="s">
        <v>40</v>
      </c>
      <c r="S1640" s="31" t="s">
        <v>273</v>
      </c>
      <c r="T1640" s="31" t="s">
        <v>273</v>
      </c>
      <c r="U1640" s="31">
        <f>IFERROR(VLOOKUP(CONCATENATE(Tabla1[[#This Row],[Severidad]]," ",Tabla1[[#This Row],[Complejidad]]),Catalogos!E$120:G$128,3,FALSE),"")</f>
        <v>64</v>
      </c>
      <c r="V1640" s="31" t="str">
        <f>IF(Tabla1[[#This Row],[Tiempo solución max (hrs)]]&lt;&gt;"",IF(Tabla1[[#This Row],[Tiempo solución max (hrs)]]&gt;=Tabla1[[#This Row],[Tiempo
(Hrs 00/100)]],"cumple","no cumple"),"")</f>
        <v>cumple</v>
      </c>
      <c r="W1640" s="376" t="s">
        <v>2418</v>
      </c>
      <c r="X1640" s="377" t="str">
        <f t="shared" si="149"/>
        <v>DS</v>
      </c>
      <c r="Y1640" t="str">
        <f>SUBSTITUTE(Tabla1[[#This Row],[Descripción]],CHAR(10),"    I    ")</f>
        <v>Desarrollo de pantalla Mis Quejas, programación de funcionalidad de botones</v>
      </c>
      <c r="Z1640" s="142">
        <f>VLOOKUP(Tabla1[[#This Row],[Perfil]],Catalogos!$B$75:$D$100,3,FALSE)*Tabla1[[#This Row],[Tiempo
(Hrs 00/100)]]*1.16</f>
        <v>6901.9999999999991</v>
      </c>
    </row>
    <row r="1641" spans="1:26" ht="15" customHeight="1" x14ac:dyDescent="0.3">
      <c r="A1641" s="530" t="s">
        <v>22</v>
      </c>
      <c r="B1641" s="530" t="s">
        <v>23</v>
      </c>
      <c r="C1641" s="205" t="s">
        <v>155</v>
      </c>
      <c r="D1641" s="382"/>
      <c r="E1641" s="373" t="s">
        <v>375</v>
      </c>
      <c r="F1641" s="370" t="s">
        <v>23</v>
      </c>
      <c r="G1641" s="370" t="s">
        <v>2424</v>
      </c>
      <c r="H1641" s="461" t="s">
        <v>405</v>
      </c>
      <c r="I1641" s="383" t="s">
        <v>2432</v>
      </c>
      <c r="J1641" s="369">
        <v>45183</v>
      </c>
      <c r="K1641" s="747">
        <v>0.375</v>
      </c>
      <c r="L1641" s="369">
        <v>45183</v>
      </c>
      <c r="M1641" s="753">
        <v>0.79166666666666663</v>
      </c>
      <c r="N1641" s="210">
        <v>8.5</v>
      </c>
      <c r="O1641" s="374" t="s">
        <v>17</v>
      </c>
      <c r="P1641" s="305" t="s">
        <v>462</v>
      </c>
      <c r="Q1641" s="541" t="s">
        <v>1120</v>
      </c>
      <c r="R1641" s="202" t="s">
        <v>40</v>
      </c>
      <c r="S1641" s="31" t="s">
        <v>273</v>
      </c>
      <c r="T1641" s="31" t="s">
        <v>273</v>
      </c>
      <c r="U1641" s="31">
        <f>IFERROR(VLOOKUP(CONCATENATE(Tabla1[[#This Row],[Severidad]]," ",Tabla1[[#This Row],[Complejidad]]),Catalogos!E$120:G$128,3,FALSE),"")</f>
        <v>64</v>
      </c>
      <c r="V1641" s="31" t="str">
        <f>IF(Tabla1[[#This Row],[Tiempo solución max (hrs)]]&lt;&gt;"",IF(Tabla1[[#This Row],[Tiempo solución max (hrs)]]&gt;=Tabla1[[#This Row],[Tiempo
(Hrs 00/100)]],"cumple","no cumple"),"")</f>
        <v>cumple</v>
      </c>
      <c r="W1641" s="376" t="s">
        <v>2418</v>
      </c>
      <c r="X1641" s="377" t="str">
        <f t="shared" ref="X1641" si="152">IF(C1641&lt;&gt;"",C1641,D1641)</f>
        <v>DS</v>
      </c>
      <c r="Y1641" t="str">
        <f>SUBSTITUTE(Tabla1[[#This Row],[Descripción]],CHAR(10),"    I    ")</f>
        <v>Desarrollo de pantalla Mis Quejas, programación de funcionalidad de botones</v>
      </c>
      <c r="Z1641" s="142">
        <f>VLOOKUP(Tabla1[[#This Row],[Perfil]],Catalogos!$B$75:$D$100,3,FALSE)*Tabla1[[#This Row],[Tiempo
(Hrs 00/100)]]*1.16</f>
        <v>6901.9999999999991</v>
      </c>
    </row>
    <row r="1642" spans="1:26" ht="15" customHeight="1" x14ac:dyDescent="0.3">
      <c r="A1642" s="530" t="s">
        <v>22</v>
      </c>
      <c r="B1642" s="530" t="s">
        <v>23</v>
      </c>
      <c r="C1642" s="205" t="s">
        <v>155</v>
      </c>
      <c r="D1642" s="382"/>
      <c r="E1642" s="373" t="s">
        <v>375</v>
      </c>
      <c r="F1642" s="370" t="s">
        <v>23</v>
      </c>
      <c r="G1642" s="370" t="s">
        <v>3293</v>
      </c>
      <c r="H1642" s="461" t="s">
        <v>405</v>
      </c>
      <c r="I1642" s="383" t="s">
        <v>2439</v>
      </c>
      <c r="J1642" s="369">
        <v>45184</v>
      </c>
      <c r="K1642" s="747">
        <v>0.375</v>
      </c>
      <c r="L1642" s="369">
        <v>45184</v>
      </c>
      <c r="M1642" s="753">
        <v>0.625</v>
      </c>
      <c r="N1642" s="210">
        <v>6</v>
      </c>
      <c r="O1642" s="184" t="s">
        <v>411</v>
      </c>
      <c r="P1642" s="305" t="s">
        <v>462</v>
      </c>
      <c r="Q1642" s="541" t="s">
        <v>1120</v>
      </c>
      <c r="R1642" s="202" t="s">
        <v>40</v>
      </c>
      <c r="S1642" s="31" t="s">
        <v>273</v>
      </c>
      <c r="T1642" s="31" t="s">
        <v>273</v>
      </c>
      <c r="U1642" s="31">
        <f>IFERROR(VLOOKUP(CONCATENATE(Tabla1[[#This Row],[Severidad]]," ",Tabla1[[#This Row],[Complejidad]]),Catalogos!E$120:G$128,3,FALSE),"")</f>
        <v>64</v>
      </c>
      <c r="V1642" s="31" t="str">
        <f>IF(Tabla1[[#This Row],[Tiempo solución max (hrs)]]&lt;&gt;"",IF(Tabla1[[#This Row],[Tiempo solución max (hrs)]]&gt;=Tabla1[[#This Row],[Tiempo
(Hrs 00/100)]],"cumple","no cumple"),"")</f>
        <v>cumple</v>
      </c>
      <c r="W1642" s="376" t="s">
        <v>2418</v>
      </c>
      <c r="X1642" s="377" t="str">
        <f t="shared" si="149"/>
        <v>DS</v>
      </c>
      <c r="Y1642" t="str">
        <f>SUBSTITUTE(Tabla1[[#This Row],[Descripción]],CHAR(10),"    I    ")</f>
        <v>Desarrollo de pantalla Mis Quejas, revisión de código y validación de tanda de reglas de negocio</v>
      </c>
      <c r="Z1642" s="142">
        <f>VLOOKUP(Tabla1[[#This Row],[Perfil]],Catalogos!$B$75:$D$100,3,FALSE)*Tabla1[[#This Row],[Tiempo
(Hrs 00/100)]]*1.16</f>
        <v>4872</v>
      </c>
    </row>
    <row r="1643" spans="1:26" ht="15" customHeight="1" x14ac:dyDescent="0.3">
      <c r="A1643" s="530" t="s">
        <v>22</v>
      </c>
      <c r="B1643" s="530" t="s">
        <v>23</v>
      </c>
      <c r="C1643" s="205" t="s">
        <v>155</v>
      </c>
      <c r="D1643" s="382"/>
      <c r="E1643" s="373" t="s">
        <v>375</v>
      </c>
      <c r="F1643" s="370" t="s">
        <v>23</v>
      </c>
      <c r="G1643" s="370" t="s">
        <v>3293</v>
      </c>
      <c r="H1643" s="461" t="s">
        <v>405</v>
      </c>
      <c r="I1643" s="383" t="s">
        <v>2439</v>
      </c>
      <c r="J1643" s="369">
        <v>45187</v>
      </c>
      <c r="K1643" s="747">
        <v>0.375</v>
      </c>
      <c r="L1643" s="369">
        <v>45187</v>
      </c>
      <c r="M1643" s="753">
        <v>0.79166666666666663</v>
      </c>
      <c r="N1643" s="210">
        <v>8.5</v>
      </c>
      <c r="O1643" s="374" t="s">
        <v>17</v>
      </c>
      <c r="P1643" s="305" t="s">
        <v>462</v>
      </c>
      <c r="Q1643" s="541" t="s">
        <v>1120</v>
      </c>
      <c r="R1643" s="202" t="s">
        <v>40</v>
      </c>
      <c r="S1643" s="31" t="s">
        <v>273</v>
      </c>
      <c r="T1643" s="31" t="s">
        <v>273</v>
      </c>
      <c r="U1643" s="31">
        <f>IFERROR(VLOOKUP(CONCATENATE(Tabla1[[#This Row],[Severidad]]," ",Tabla1[[#This Row],[Complejidad]]),Catalogos!E$120:G$128,3,FALSE),"")</f>
        <v>64</v>
      </c>
      <c r="V1643" s="31" t="str">
        <f>IF(Tabla1[[#This Row],[Tiempo solución max (hrs)]]&lt;&gt;"",IF(Tabla1[[#This Row],[Tiempo solución max (hrs)]]&gt;=Tabla1[[#This Row],[Tiempo
(Hrs 00/100)]],"cumple","no cumple"),"")</f>
        <v>cumple</v>
      </c>
      <c r="W1643" s="376" t="s">
        <v>2418</v>
      </c>
      <c r="X1643" s="377" t="str">
        <f t="shared" ref="X1643" si="153">IF(C1643&lt;&gt;"",C1643,D1643)</f>
        <v>DS</v>
      </c>
      <c r="Y1643" t="str">
        <f>SUBSTITUTE(Tabla1[[#This Row],[Descripción]],CHAR(10),"    I    ")</f>
        <v>Desarrollo de pantalla Mis Quejas, revisión de código y validación de tanda de reglas de negocio</v>
      </c>
      <c r="Z1643" s="142">
        <f>VLOOKUP(Tabla1[[#This Row],[Perfil]],Catalogos!$B$75:$D$100,3,FALSE)*Tabla1[[#This Row],[Tiempo
(Hrs 00/100)]]*1.16</f>
        <v>6901.9999999999991</v>
      </c>
    </row>
    <row r="1644" spans="1:26" ht="15" customHeight="1" x14ac:dyDescent="0.3">
      <c r="A1644" s="530" t="s">
        <v>22</v>
      </c>
      <c r="B1644" s="530" t="s">
        <v>23</v>
      </c>
      <c r="C1644" s="205" t="s">
        <v>155</v>
      </c>
      <c r="D1644" s="382"/>
      <c r="E1644" s="373" t="s">
        <v>375</v>
      </c>
      <c r="F1644" s="370" t="s">
        <v>23</v>
      </c>
      <c r="G1644" s="370" t="s">
        <v>2425</v>
      </c>
      <c r="H1644" s="461" t="s">
        <v>405</v>
      </c>
      <c r="I1644" s="383" t="s">
        <v>2440</v>
      </c>
      <c r="J1644" s="369">
        <v>45188</v>
      </c>
      <c r="K1644" s="747">
        <v>0.375</v>
      </c>
      <c r="L1644" s="369">
        <v>45188</v>
      </c>
      <c r="M1644" s="753">
        <v>0.79166666666666663</v>
      </c>
      <c r="N1644" s="210">
        <v>8.5</v>
      </c>
      <c r="O1644" s="374" t="s">
        <v>17</v>
      </c>
      <c r="P1644" s="305" t="s">
        <v>462</v>
      </c>
      <c r="Q1644" s="541" t="s">
        <v>1120</v>
      </c>
      <c r="R1644" s="202" t="s">
        <v>40</v>
      </c>
      <c r="S1644" s="31" t="s">
        <v>273</v>
      </c>
      <c r="T1644" s="31" t="s">
        <v>273</v>
      </c>
      <c r="U1644" s="31">
        <f>IFERROR(VLOOKUP(CONCATENATE(Tabla1[[#This Row],[Severidad]]," ",Tabla1[[#This Row],[Complejidad]]),Catalogos!E$120:G$128,3,FALSE),"")</f>
        <v>64</v>
      </c>
      <c r="V1644" s="31" t="str">
        <f>IF(Tabla1[[#This Row],[Tiempo solución max (hrs)]]&lt;&gt;"",IF(Tabla1[[#This Row],[Tiempo solución max (hrs)]]&gt;=Tabla1[[#This Row],[Tiempo
(Hrs 00/100)]],"cumple","no cumple"),"")</f>
        <v>cumple</v>
      </c>
      <c r="W1644" s="376" t="s">
        <v>2418</v>
      </c>
      <c r="X1644" s="611" t="str">
        <f t="shared" ref="X1644:X1679" si="154">IF(C1644&lt;&gt;"",C1644,D1644)</f>
        <v>DS</v>
      </c>
      <c r="Y1644" s="612" t="str">
        <f>SUBSTITUTE(Tabla1[[#This Row],[Descripción]],CHAR(10),"    I    ")</f>
        <v>Desarrollo de pantalla Mis Quejas, programación de funcionalidad de pantalla de las siguientes reglas de negocio</v>
      </c>
      <c r="Z1644" s="613">
        <f>VLOOKUP(Tabla1[[#This Row],[Perfil]],Catalogos!$B$75:$D$100,3,FALSE)*Tabla1[[#This Row],[Tiempo
(Hrs 00/100)]]*1.16</f>
        <v>6901.9999999999991</v>
      </c>
    </row>
    <row r="1645" spans="1:26" ht="15" customHeight="1" x14ac:dyDescent="0.3">
      <c r="A1645" s="530" t="s">
        <v>22</v>
      </c>
      <c r="B1645" s="530" t="s">
        <v>23</v>
      </c>
      <c r="C1645" s="205" t="s">
        <v>155</v>
      </c>
      <c r="D1645" s="382"/>
      <c r="E1645" s="373" t="s">
        <v>375</v>
      </c>
      <c r="F1645" s="370" t="s">
        <v>23</v>
      </c>
      <c r="G1645" s="370" t="s">
        <v>3294</v>
      </c>
      <c r="H1645" s="461" t="s">
        <v>405</v>
      </c>
      <c r="I1645" s="383" t="s">
        <v>2433</v>
      </c>
      <c r="J1645" s="369">
        <v>45189</v>
      </c>
      <c r="K1645" s="747">
        <v>0.375</v>
      </c>
      <c r="L1645" s="369">
        <v>45189</v>
      </c>
      <c r="M1645" s="753">
        <v>0.79166666666666663</v>
      </c>
      <c r="N1645" s="210">
        <v>8.5</v>
      </c>
      <c r="O1645" s="374" t="s">
        <v>17</v>
      </c>
      <c r="P1645" s="305" t="s">
        <v>462</v>
      </c>
      <c r="Q1645" s="541" t="s">
        <v>1120</v>
      </c>
      <c r="R1645" s="202" t="s">
        <v>40</v>
      </c>
      <c r="S1645" s="31" t="s">
        <v>273</v>
      </c>
      <c r="T1645" s="31" t="s">
        <v>273</v>
      </c>
      <c r="U1645" s="31">
        <f>IFERROR(VLOOKUP(CONCATENATE(Tabla1[[#This Row],[Severidad]]," ",Tabla1[[#This Row],[Complejidad]]),Catalogos!E$120:G$128,3,FALSE),"")</f>
        <v>64</v>
      </c>
      <c r="V1645" s="31" t="str">
        <f>IF(Tabla1[[#This Row],[Tiempo solución max (hrs)]]&lt;&gt;"",IF(Tabla1[[#This Row],[Tiempo solución max (hrs)]]&gt;=Tabla1[[#This Row],[Tiempo
(Hrs 00/100)]],"cumple","no cumple"),"")</f>
        <v>cumple</v>
      </c>
      <c r="W1645" s="376" t="s">
        <v>2418</v>
      </c>
      <c r="X1645" s="611" t="str">
        <f t="shared" si="154"/>
        <v>DS</v>
      </c>
      <c r="Y1645" s="612" t="str">
        <f>SUBSTITUTE(Tabla1[[#This Row],[Descripción]],CHAR(10),"    I    ")</f>
        <v>Desarrollo de pantalla Mis Quejas, revisión, validaciones y correcciones</v>
      </c>
      <c r="Z1645" s="613">
        <f>VLOOKUP(Tabla1[[#This Row],[Perfil]],Catalogos!$B$75:$D$100,3,FALSE)*Tabla1[[#This Row],[Tiempo
(Hrs 00/100)]]*1.16</f>
        <v>6901.9999999999991</v>
      </c>
    </row>
    <row r="1646" spans="1:26" ht="15" customHeight="1" x14ac:dyDescent="0.3">
      <c r="A1646" s="530" t="s">
        <v>22</v>
      </c>
      <c r="B1646" s="530" t="s">
        <v>23</v>
      </c>
      <c r="C1646" s="205" t="s">
        <v>155</v>
      </c>
      <c r="D1646" s="382"/>
      <c r="E1646" s="373" t="s">
        <v>375</v>
      </c>
      <c r="F1646" s="370" t="s">
        <v>23</v>
      </c>
      <c r="G1646" s="370" t="s">
        <v>2435</v>
      </c>
      <c r="H1646" s="461" t="s">
        <v>405</v>
      </c>
      <c r="I1646" s="383" t="s">
        <v>2434</v>
      </c>
      <c r="J1646" s="369">
        <v>45190</v>
      </c>
      <c r="K1646" s="747">
        <v>0.375</v>
      </c>
      <c r="L1646" s="369">
        <v>45190</v>
      </c>
      <c r="M1646" s="753">
        <v>0.79166666666666663</v>
      </c>
      <c r="N1646" s="210">
        <v>8.5</v>
      </c>
      <c r="O1646" s="184" t="s">
        <v>411</v>
      </c>
      <c r="P1646" s="305" t="s">
        <v>462</v>
      </c>
      <c r="Q1646" s="541" t="s">
        <v>1120</v>
      </c>
      <c r="R1646" s="202" t="s">
        <v>40</v>
      </c>
      <c r="S1646" s="31" t="s">
        <v>273</v>
      </c>
      <c r="T1646" s="31" t="s">
        <v>273</v>
      </c>
      <c r="U1646" s="31">
        <f>IFERROR(VLOOKUP(CONCATENATE(Tabla1[[#This Row],[Severidad]]," ",Tabla1[[#This Row],[Complejidad]]),Catalogos!E$120:G$128,3,FALSE),"")</f>
        <v>64</v>
      </c>
      <c r="V1646" s="31" t="str">
        <f>IF(Tabla1[[#This Row],[Tiempo solución max (hrs)]]&lt;&gt;"",IF(Tabla1[[#This Row],[Tiempo solución max (hrs)]]&gt;=Tabla1[[#This Row],[Tiempo
(Hrs 00/100)]],"cumple","no cumple"),"")</f>
        <v>cumple</v>
      </c>
      <c r="W1646" s="376" t="s">
        <v>2418</v>
      </c>
      <c r="X1646" s="611" t="str">
        <f t="shared" si="154"/>
        <v>DS</v>
      </c>
      <c r="Y1646" s="612" t="str">
        <f>SUBSTITUTE(Tabla1[[#This Row],[Descripción]],CHAR(10),"    I    ")</f>
        <v>Ajustes al servicio de almacenamiento de queja para obtener archivo de SISAI</v>
      </c>
      <c r="Z1646" s="613">
        <f>VLOOKUP(Tabla1[[#This Row],[Perfil]],Catalogos!$B$75:$D$100,3,FALSE)*Tabla1[[#This Row],[Tiempo
(Hrs 00/100)]]*1.16</f>
        <v>6901.9999999999991</v>
      </c>
    </row>
    <row r="1647" spans="1:26" ht="15" customHeight="1" x14ac:dyDescent="0.3">
      <c r="A1647" s="530" t="s">
        <v>22</v>
      </c>
      <c r="B1647" s="530" t="s">
        <v>23</v>
      </c>
      <c r="C1647" s="205" t="s">
        <v>155</v>
      </c>
      <c r="D1647" s="382"/>
      <c r="E1647" s="373" t="s">
        <v>375</v>
      </c>
      <c r="F1647" s="370" t="s">
        <v>23</v>
      </c>
      <c r="G1647" s="370" t="s">
        <v>2435</v>
      </c>
      <c r="H1647" s="461" t="s">
        <v>405</v>
      </c>
      <c r="I1647" s="383" t="s">
        <v>2434</v>
      </c>
      <c r="J1647" s="369">
        <v>45191</v>
      </c>
      <c r="K1647" s="747">
        <v>0.375</v>
      </c>
      <c r="L1647" s="369">
        <v>45191</v>
      </c>
      <c r="M1647" s="753">
        <v>0.625</v>
      </c>
      <c r="N1647" s="210">
        <v>6</v>
      </c>
      <c r="O1647" s="374" t="s">
        <v>17</v>
      </c>
      <c r="P1647" s="305" t="s">
        <v>462</v>
      </c>
      <c r="Q1647" s="541" t="s">
        <v>1120</v>
      </c>
      <c r="R1647" s="202" t="s">
        <v>40</v>
      </c>
      <c r="S1647" s="31" t="s">
        <v>273</v>
      </c>
      <c r="T1647" s="31" t="s">
        <v>273</v>
      </c>
      <c r="U1647" s="31">
        <f>IFERROR(VLOOKUP(CONCATENATE(Tabla1[[#This Row],[Severidad]]," ",Tabla1[[#This Row],[Complejidad]]),Catalogos!E$120:G$128,3,FALSE),"")</f>
        <v>64</v>
      </c>
      <c r="V1647" s="31" t="str">
        <f>IF(Tabla1[[#This Row],[Tiempo solución max (hrs)]]&lt;&gt;"",IF(Tabla1[[#This Row],[Tiempo solución max (hrs)]]&gt;=Tabla1[[#This Row],[Tiempo
(Hrs 00/100)]],"cumple","no cumple"),"")</f>
        <v>cumple</v>
      </c>
      <c r="W1647" s="376" t="s">
        <v>2418</v>
      </c>
      <c r="X1647" s="611" t="str">
        <f t="shared" ref="X1647" si="155">IF(C1647&lt;&gt;"",C1647,D1647)</f>
        <v>DS</v>
      </c>
      <c r="Y1647" s="612" t="str">
        <f>SUBSTITUTE(Tabla1[[#This Row],[Descripción]],CHAR(10),"    I    ")</f>
        <v>Ajustes al servicio de almacenamiento de queja para obtener archivo de SISAI</v>
      </c>
      <c r="Z1647" s="613">
        <f>VLOOKUP(Tabla1[[#This Row],[Perfil]],Catalogos!$B$75:$D$100,3,FALSE)*Tabla1[[#This Row],[Tiempo
(Hrs 00/100)]]*1.16</f>
        <v>4872</v>
      </c>
    </row>
    <row r="1648" spans="1:26" ht="15" customHeight="1" x14ac:dyDescent="0.3">
      <c r="A1648" s="530" t="s">
        <v>22</v>
      </c>
      <c r="B1648" s="530" t="s">
        <v>23</v>
      </c>
      <c r="C1648" s="205" t="s">
        <v>155</v>
      </c>
      <c r="D1648" s="382"/>
      <c r="E1648" s="373" t="s">
        <v>375</v>
      </c>
      <c r="F1648" s="370" t="s">
        <v>23</v>
      </c>
      <c r="G1648" s="370" t="s">
        <v>3295</v>
      </c>
      <c r="H1648" s="461" t="s">
        <v>405</v>
      </c>
      <c r="I1648" s="383" t="s">
        <v>2437</v>
      </c>
      <c r="J1648" s="369">
        <v>45194</v>
      </c>
      <c r="K1648" s="747">
        <v>0.375</v>
      </c>
      <c r="L1648" s="369">
        <v>45194</v>
      </c>
      <c r="M1648" s="753">
        <v>0.79166666666666663</v>
      </c>
      <c r="N1648" s="210">
        <v>8.5</v>
      </c>
      <c r="O1648" s="184" t="s">
        <v>411</v>
      </c>
      <c r="P1648" s="305" t="s">
        <v>462</v>
      </c>
      <c r="Q1648" s="541" t="s">
        <v>1120</v>
      </c>
      <c r="R1648" s="202" t="s">
        <v>40</v>
      </c>
      <c r="S1648" s="31" t="s">
        <v>273</v>
      </c>
      <c r="T1648" s="31" t="s">
        <v>273</v>
      </c>
      <c r="U1648" s="31">
        <f>IFERROR(VLOOKUP(CONCATENATE(Tabla1[[#This Row],[Severidad]]," ",Tabla1[[#This Row],[Complejidad]]),Catalogos!E$120:G$128,3,FALSE),"")</f>
        <v>64</v>
      </c>
      <c r="V1648" s="31" t="str">
        <f>IF(Tabla1[[#This Row],[Tiempo solución max (hrs)]]&lt;&gt;"",IF(Tabla1[[#This Row],[Tiempo solución max (hrs)]]&gt;=Tabla1[[#This Row],[Tiempo
(Hrs 00/100)]],"cumple","no cumple"),"")</f>
        <v>cumple</v>
      </c>
      <c r="W1648" s="376" t="s">
        <v>2418</v>
      </c>
      <c r="X1648" s="611" t="str">
        <f t="shared" si="154"/>
        <v>DS</v>
      </c>
      <c r="Y1648" s="612" t="str">
        <f>SUBSTITUTE(Tabla1[[#This Row],[Descripción]],CHAR(10),"    I    ")</f>
        <v>Adecuaciones a la programación de la nueva arquitectura para navegación de la PNT</v>
      </c>
      <c r="Z1648" s="613">
        <f>VLOOKUP(Tabla1[[#This Row],[Perfil]],Catalogos!$B$75:$D$100,3,FALSE)*Tabla1[[#This Row],[Tiempo
(Hrs 00/100)]]*1.16</f>
        <v>6901.9999999999991</v>
      </c>
    </row>
    <row r="1649" spans="1:26" ht="15" customHeight="1" x14ac:dyDescent="0.3">
      <c r="A1649" s="530" t="s">
        <v>22</v>
      </c>
      <c r="B1649" s="530" t="s">
        <v>23</v>
      </c>
      <c r="C1649" s="205" t="s">
        <v>155</v>
      </c>
      <c r="D1649" s="382"/>
      <c r="E1649" s="373" t="s">
        <v>375</v>
      </c>
      <c r="F1649" s="370" t="s">
        <v>23</v>
      </c>
      <c r="G1649" s="370" t="s">
        <v>3295</v>
      </c>
      <c r="H1649" s="461" t="s">
        <v>405</v>
      </c>
      <c r="I1649" s="383" t="s">
        <v>2437</v>
      </c>
      <c r="J1649" s="369">
        <v>45195</v>
      </c>
      <c r="K1649" s="747">
        <v>0.375</v>
      </c>
      <c r="L1649" s="369">
        <v>45195</v>
      </c>
      <c r="M1649" s="753">
        <v>0.79166666666666663</v>
      </c>
      <c r="N1649" s="210">
        <v>8.5</v>
      </c>
      <c r="O1649" s="374" t="s">
        <v>17</v>
      </c>
      <c r="P1649" s="305" t="s">
        <v>462</v>
      </c>
      <c r="Q1649" s="541" t="s">
        <v>1120</v>
      </c>
      <c r="R1649" s="202" t="s">
        <v>40</v>
      </c>
      <c r="S1649" s="31" t="s">
        <v>273</v>
      </c>
      <c r="T1649" s="31" t="s">
        <v>273</v>
      </c>
      <c r="U1649" s="31">
        <f>IFERROR(VLOOKUP(CONCATENATE(Tabla1[[#This Row],[Severidad]]," ",Tabla1[[#This Row],[Complejidad]]),Catalogos!E$120:G$128,3,FALSE),"")</f>
        <v>64</v>
      </c>
      <c r="V1649" s="31" t="str">
        <f>IF(Tabla1[[#This Row],[Tiempo solución max (hrs)]]&lt;&gt;"",IF(Tabla1[[#This Row],[Tiempo solución max (hrs)]]&gt;=Tabla1[[#This Row],[Tiempo
(Hrs 00/100)]],"cumple","no cumple"),"")</f>
        <v>cumple</v>
      </c>
      <c r="W1649" s="376" t="s">
        <v>2418</v>
      </c>
      <c r="X1649" s="611" t="str">
        <f t="shared" ref="X1649" si="156">IF(C1649&lt;&gt;"",C1649,D1649)</f>
        <v>DS</v>
      </c>
      <c r="Y1649" s="612" t="str">
        <f>SUBSTITUTE(Tabla1[[#This Row],[Descripción]],CHAR(10),"    I    ")</f>
        <v>Adecuaciones a la programación de la nueva arquitectura para navegación de la PNT</v>
      </c>
      <c r="Z1649" s="613">
        <f>VLOOKUP(Tabla1[[#This Row],[Perfil]],Catalogos!$B$75:$D$100,3,FALSE)*Tabla1[[#This Row],[Tiempo
(Hrs 00/100)]]*1.16</f>
        <v>6901.9999999999991</v>
      </c>
    </row>
    <row r="1650" spans="1:26" ht="15" customHeight="1" x14ac:dyDescent="0.3">
      <c r="A1650" s="530" t="s">
        <v>22</v>
      </c>
      <c r="B1650" s="530" t="s">
        <v>23</v>
      </c>
      <c r="C1650" s="205" t="s">
        <v>155</v>
      </c>
      <c r="D1650" s="382"/>
      <c r="E1650" s="373" t="s">
        <v>375</v>
      </c>
      <c r="F1650" s="370" t="s">
        <v>23</v>
      </c>
      <c r="G1650" s="370" t="s">
        <v>2436</v>
      </c>
      <c r="H1650" s="461" t="s">
        <v>405</v>
      </c>
      <c r="I1650" s="383" t="s">
        <v>2438</v>
      </c>
      <c r="J1650" s="369">
        <v>45196</v>
      </c>
      <c r="K1650" s="747">
        <v>0.375</v>
      </c>
      <c r="L1650" s="369">
        <v>45196</v>
      </c>
      <c r="M1650" s="753">
        <v>0.79166666666666663</v>
      </c>
      <c r="N1650" s="210">
        <v>8.5</v>
      </c>
      <c r="O1650" s="184" t="s">
        <v>411</v>
      </c>
      <c r="P1650" s="305" t="s">
        <v>462</v>
      </c>
      <c r="Q1650" s="541" t="s">
        <v>1120</v>
      </c>
      <c r="R1650" s="202" t="s">
        <v>40</v>
      </c>
      <c r="S1650" s="31" t="s">
        <v>273</v>
      </c>
      <c r="T1650" s="31" t="s">
        <v>273</v>
      </c>
      <c r="U1650" s="31">
        <f>IFERROR(VLOOKUP(CONCATENATE(Tabla1[[#This Row],[Severidad]]," ",Tabla1[[#This Row],[Complejidad]]),Catalogos!E$120:G$128,3,FALSE),"")</f>
        <v>64</v>
      </c>
      <c r="V1650" s="31" t="str">
        <f>IF(Tabla1[[#This Row],[Tiempo solución max (hrs)]]&lt;&gt;"",IF(Tabla1[[#This Row],[Tiempo solución max (hrs)]]&gt;=Tabla1[[#This Row],[Tiempo
(Hrs 00/100)]],"cumple","no cumple"),"")</f>
        <v>cumple</v>
      </c>
      <c r="W1650" s="376" t="s">
        <v>2418</v>
      </c>
      <c r="X1650" s="611" t="str">
        <f t="shared" si="154"/>
        <v>DS</v>
      </c>
      <c r="Y1650" s="612" t="str">
        <f>SUBSTITUTE(Tabla1[[#This Row],[Descripción]],CHAR(10),"    I    ")</f>
        <v>Prueba de concepto para funcionalidad con programación reactiva</v>
      </c>
      <c r="Z1650" s="613">
        <f>VLOOKUP(Tabla1[[#This Row],[Perfil]],Catalogos!$B$75:$D$100,3,FALSE)*Tabla1[[#This Row],[Tiempo
(Hrs 00/100)]]*1.16</f>
        <v>6901.9999999999991</v>
      </c>
    </row>
    <row r="1651" spans="1:26" ht="15" customHeight="1" x14ac:dyDescent="0.3">
      <c r="A1651" s="530" t="s">
        <v>22</v>
      </c>
      <c r="B1651" s="530" t="s">
        <v>23</v>
      </c>
      <c r="C1651" s="205" t="s">
        <v>155</v>
      </c>
      <c r="D1651" s="382"/>
      <c r="E1651" s="373" t="s">
        <v>375</v>
      </c>
      <c r="F1651" s="370" t="s">
        <v>23</v>
      </c>
      <c r="G1651" s="370" t="s">
        <v>2436</v>
      </c>
      <c r="H1651" s="461" t="s">
        <v>405</v>
      </c>
      <c r="I1651" s="383" t="s">
        <v>2438</v>
      </c>
      <c r="J1651" s="369">
        <v>45197</v>
      </c>
      <c r="K1651" s="747">
        <v>0.375</v>
      </c>
      <c r="L1651" s="369">
        <v>45197</v>
      </c>
      <c r="M1651" s="753">
        <v>0.79166666666666663</v>
      </c>
      <c r="N1651" s="210">
        <v>8.5</v>
      </c>
      <c r="O1651" s="374" t="s">
        <v>17</v>
      </c>
      <c r="P1651" s="305" t="s">
        <v>462</v>
      </c>
      <c r="Q1651" s="541" t="s">
        <v>1120</v>
      </c>
      <c r="R1651" s="202" t="s">
        <v>40</v>
      </c>
      <c r="S1651" s="31" t="s">
        <v>273</v>
      </c>
      <c r="T1651" s="31" t="s">
        <v>273</v>
      </c>
      <c r="U1651" s="31">
        <f>IFERROR(VLOOKUP(CONCATENATE(Tabla1[[#This Row],[Severidad]]," ",Tabla1[[#This Row],[Complejidad]]),Catalogos!E$120:G$128,3,FALSE),"")</f>
        <v>64</v>
      </c>
      <c r="V1651" s="31" t="str">
        <f>IF(Tabla1[[#This Row],[Tiempo solución max (hrs)]]&lt;&gt;"",IF(Tabla1[[#This Row],[Tiempo solución max (hrs)]]&gt;=Tabla1[[#This Row],[Tiempo
(Hrs 00/100)]],"cumple","no cumple"),"")</f>
        <v>cumple</v>
      </c>
      <c r="W1651" s="376" t="s">
        <v>2418</v>
      </c>
      <c r="X1651" s="611" t="str">
        <f t="shared" ref="X1651" si="157">IF(C1651&lt;&gt;"",C1651,D1651)</f>
        <v>DS</v>
      </c>
      <c r="Y1651" s="612" t="str">
        <f>SUBSTITUTE(Tabla1[[#This Row],[Descripción]],CHAR(10),"    I    ")</f>
        <v>Prueba de concepto para funcionalidad con programación reactiva</v>
      </c>
      <c r="Z1651" s="613">
        <f>VLOOKUP(Tabla1[[#This Row],[Perfil]],Catalogos!$B$75:$D$100,3,FALSE)*Tabla1[[#This Row],[Tiempo
(Hrs 00/100)]]*1.16</f>
        <v>6901.9999999999991</v>
      </c>
    </row>
    <row r="1652" spans="1:26" ht="15" customHeight="1" x14ac:dyDescent="0.3">
      <c r="A1652" s="530" t="s">
        <v>22</v>
      </c>
      <c r="B1652" s="530" t="s">
        <v>23</v>
      </c>
      <c r="C1652" s="205" t="s">
        <v>155</v>
      </c>
      <c r="D1652" s="382"/>
      <c r="E1652" s="373" t="s">
        <v>375</v>
      </c>
      <c r="F1652" s="370" t="s">
        <v>23</v>
      </c>
      <c r="G1652" s="370" t="s">
        <v>2441</v>
      </c>
      <c r="H1652" s="461" t="s">
        <v>405</v>
      </c>
      <c r="I1652" s="383" t="s">
        <v>2444</v>
      </c>
      <c r="J1652" s="369">
        <v>45170</v>
      </c>
      <c r="K1652" s="747">
        <v>0.375</v>
      </c>
      <c r="L1652" s="369">
        <v>45170</v>
      </c>
      <c r="M1652" s="753">
        <v>0.54166666666666663</v>
      </c>
      <c r="N1652" s="373">
        <v>4</v>
      </c>
      <c r="O1652" s="184" t="s">
        <v>411</v>
      </c>
      <c r="P1652" s="375" t="s">
        <v>412</v>
      </c>
      <c r="Q1652" s="423" t="s">
        <v>208</v>
      </c>
      <c r="R1652" s="202" t="s">
        <v>40</v>
      </c>
      <c r="S1652" s="31" t="s">
        <v>273</v>
      </c>
      <c r="T1652" s="31" t="s">
        <v>273</v>
      </c>
      <c r="U1652" s="31">
        <f>IFERROR(VLOOKUP(CONCATENATE(Tabla1[[#This Row],[Severidad]]," ",Tabla1[[#This Row],[Complejidad]]),Catalogos!E$120:G$128,3,FALSE),"")</f>
        <v>64</v>
      </c>
      <c r="V1652" s="31" t="str">
        <f>IF(Tabla1[[#This Row],[Tiempo solución max (hrs)]]&lt;&gt;"",IF(Tabla1[[#This Row],[Tiempo solución max (hrs)]]&gt;=Tabla1[[#This Row],[Tiempo
(Hrs 00/100)]],"cumple","no cumple"),"")</f>
        <v>cumple</v>
      </c>
      <c r="W1652" s="376" t="s">
        <v>2418</v>
      </c>
      <c r="X1652" s="611" t="str">
        <f t="shared" si="154"/>
        <v>DS</v>
      </c>
      <c r="Y1652" s="612" t="str">
        <f>SUBSTITUTE(Tabla1[[#This Row],[Descripción]],CHAR(10),"    I    ")</f>
        <v>Análisis y diseño de servicios de pantalla para consultar notificaciones</v>
      </c>
      <c r="Z1652" s="613">
        <f>VLOOKUP(Tabla1[[#This Row],[Perfil]],Catalogos!$B$75:$D$100,3,FALSE)*Tabla1[[#This Row],[Tiempo
(Hrs 00/100)]]*1.16</f>
        <v>3248</v>
      </c>
    </row>
    <row r="1653" spans="1:26" ht="15" customHeight="1" x14ac:dyDescent="0.3">
      <c r="A1653" s="530" t="s">
        <v>22</v>
      </c>
      <c r="B1653" s="530" t="s">
        <v>23</v>
      </c>
      <c r="C1653" s="205" t="s">
        <v>155</v>
      </c>
      <c r="D1653" s="382"/>
      <c r="E1653" s="373" t="s">
        <v>375</v>
      </c>
      <c r="F1653" s="370" t="s">
        <v>23</v>
      </c>
      <c r="G1653" s="370" t="s">
        <v>2441</v>
      </c>
      <c r="H1653" s="461" t="s">
        <v>405</v>
      </c>
      <c r="I1653" s="383" t="s">
        <v>2444</v>
      </c>
      <c r="J1653" s="369">
        <v>45173</v>
      </c>
      <c r="K1653" s="747">
        <v>0.375</v>
      </c>
      <c r="L1653" s="369">
        <v>45173</v>
      </c>
      <c r="M1653" s="753">
        <v>0.54166666666666663</v>
      </c>
      <c r="N1653" s="373">
        <v>4</v>
      </c>
      <c r="O1653" s="374" t="s">
        <v>17</v>
      </c>
      <c r="P1653" s="375" t="s">
        <v>412</v>
      </c>
      <c r="Q1653" s="423" t="s">
        <v>208</v>
      </c>
      <c r="R1653" s="202" t="s">
        <v>40</v>
      </c>
      <c r="S1653" s="31" t="s">
        <v>273</v>
      </c>
      <c r="T1653" s="31" t="s">
        <v>273</v>
      </c>
      <c r="U1653" s="31">
        <f>IFERROR(VLOOKUP(CONCATENATE(Tabla1[[#This Row],[Severidad]]," ",Tabla1[[#This Row],[Complejidad]]),Catalogos!E$120:G$128,3,FALSE),"")</f>
        <v>64</v>
      </c>
      <c r="V1653" s="31" t="str">
        <f>IF(Tabla1[[#This Row],[Tiempo solución max (hrs)]]&lt;&gt;"",IF(Tabla1[[#This Row],[Tiempo solución max (hrs)]]&gt;=Tabla1[[#This Row],[Tiempo
(Hrs 00/100)]],"cumple","no cumple"),"")</f>
        <v>cumple</v>
      </c>
      <c r="W1653" s="376" t="s">
        <v>2418</v>
      </c>
      <c r="X1653" s="611" t="str">
        <f t="shared" ref="X1653" si="158">IF(C1653&lt;&gt;"",C1653,D1653)</f>
        <v>DS</v>
      </c>
      <c r="Y1653" s="612" t="str">
        <f>SUBSTITUTE(Tabla1[[#This Row],[Descripción]],CHAR(10),"    I    ")</f>
        <v>Análisis y diseño de servicios de pantalla para consultar notificaciones</v>
      </c>
      <c r="Z1653" s="613">
        <f>VLOOKUP(Tabla1[[#This Row],[Perfil]],Catalogos!$B$75:$D$100,3,FALSE)*Tabla1[[#This Row],[Tiempo
(Hrs 00/100)]]*1.16</f>
        <v>3248</v>
      </c>
    </row>
    <row r="1654" spans="1:26" ht="15" customHeight="1" x14ac:dyDescent="0.3">
      <c r="A1654" s="530" t="s">
        <v>22</v>
      </c>
      <c r="B1654" s="530" t="s">
        <v>23</v>
      </c>
      <c r="C1654" s="205" t="s">
        <v>155</v>
      </c>
      <c r="D1654" s="382"/>
      <c r="E1654" s="373" t="s">
        <v>375</v>
      </c>
      <c r="F1654" s="370" t="s">
        <v>23</v>
      </c>
      <c r="G1654" s="370" t="s">
        <v>3289</v>
      </c>
      <c r="H1654" s="461" t="s">
        <v>405</v>
      </c>
      <c r="I1654" s="383" t="s">
        <v>2445</v>
      </c>
      <c r="J1654" s="369">
        <v>45174</v>
      </c>
      <c r="K1654" s="747">
        <v>0.375</v>
      </c>
      <c r="L1654" s="369">
        <v>45174</v>
      </c>
      <c r="M1654" s="753">
        <v>0.54166666666666663</v>
      </c>
      <c r="N1654" s="373">
        <v>4</v>
      </c>
      <c r="O1654" s="184" t="s">
        <v>411</v>
      </c>
      <c r="P1654" s="375" t="s">
        <v>412</v>
      </c>
      <c r="Q1654" s="423" t="s">
        <v>208</v>
      </c>
      <c r="R1654" s="202" t="s">
        <v>40</v>
      </c>
      <c r="S1654" s="31" t="s">
        <v>273</v>
      </c>
      <c r="T1654" s="31" t="s">
        <v>273</v>
      </c>
      <c r="U1654" s="31">
        <f>IFERROR(VLOOKUP(CONCATENATE(Tabla1[[#This Row],[Severidad]]," ",Tabla1[[#This Row],[Complejidad]]),Catalogos!E$120:G$128,3,FALSE),"")</f>
        <v>64</v>
      </c>
      <c r="V1654" s="31" t="str">
        <f>IF(Tabla1[[#This Row],[Tiempo solución max (hrs)]]&lt;&gt;"",IF(Tabla1[[#This Row],[Tiempo solución max (hrs)]]&gt;=Tabla1[[#This Row],[Tiempo
(Hrs 00/100)]],"cumple","no cumple"),"")</f>
        <v>cumple</v>
      </c>
      <c r="W1654" s="376" t="s">
        <v>2418</v>
      </c>
      <c r="X1654" s="611" t="str">
        <f t="shared" si="154"/>
        <v>DS</v>
      </c>
      <c r="Y1654" s="612" t="str">
        <f>SUBSTITUTE(Tabla1[[#This Row],[Descripción]],CHAR(10),"    I    ")</f>
        <v>Desarrollo de servicios del back de notificaciones</v>
      </c>
      <c r="Z1654" s="613">
        <f>VLOOKUP(Tabla1[[#This Row],[Perfil]],Catalogos!$B$75:$D$100,3,FALSE)*Tabla1[[#This Row],[Tiempo
(Hrs 00/100)]]*1.16</f>
        <v>3248</v>
      </c>
    </row>
    <row r="1655" spans="1:26" ht="15" customHeight="1" x14ac:dyDescent="0.3">
      <c r="A1655" s="530" t="s">
        <v>22</v>
      </c>
      <c r="B1655" s="530" t="s">
        <v>23</v>
      </c>
      <c r="C1655" s="205" t="s">
        <v>155</v>
      </c>
      <c r="D1655" s="382"/>
      <c r="E1655" s="373" t="s">
        <v>375</v>
      </c>
      <c r="F1655" s="370" t="s">
        <v>23</v>
      </c>
      <c r="G1655" s="370" t="s">
        <v>3289</v>
      </c>
      <c r="H1655" s="461" t="s">
        <v>405</v>
      </c>
      <c r="I1655" s="383" t="s">
        <v>2445</v>
      </c>
      <c r="J1655" s="369">
        <v>45175</v>
      </c>
      <c r="K1655" s="747">
        <v>0.375</v>
      </c>
      <c r="L1655" s="369">
        <v>45175</v>
      </c>
      <c r="M1655" s="753">
        <v>0.54166666666666663</v>
      </c>
      <c r="N1655" s="373">
        <v>4</v>
      </c>
      <c r="O1655" s="374" t="s">
        <v>17</v>
      </c>
      <c r="P1655" s="375" t="s">
        <v>412</v>
      </c>
      <c r="Q1655" s="423" t="s">
        <v>208</v>
      </c>
      <c r="R1655" s="202" t="s">
        <v>40</v>
      </c>
      <c r="S1655" s="31" t="s">
        <v>273</v>
      </c>
      <c r="T1655" s="31" t="s">
        <v>273</v>
      </c>
      <c r="U1655" s="31">
        <f>IFERROR(VLOOKUP(CONCATENATE(Tabla1[[#This Row],[Severidad]]," ",Tabla1[[#This Row],[Complejidad]]),Catalogos!E$120:G$128,3,FALSE),"")</f>
        <v>64</v>
      </c>
      <c r="V1655" s="31" t="str">
        <f>IF(Tabla1[[#This Row],[Tiempo solución max (hrs)]]&lt;&gt;"",IF(Tabla1[[#This Row],[Tiempo solución max (hrs)]]&gt;=Tabla1[[#This Row],[Tiempo
(Hrs 00/100)]],"cumple","no cumple"),"")</f>
        <v>cumple</v>
      </c>
      <c r="W1655" s="376" t="s">
        <v>2418</v>
      </c>
      <c r="X1655" s="611" t="str">
        <f t="shared" ref="X1655" si="159">IF(C1655&lt;&gt;"",C1655,D1655)</f>
        <v>DS</v>
      </c>
      <c r="Y1655" s="612" t="str">
        <f>SUBSTITUTE(Tabla1[[#This Row],[Descripción]],CHAR(10),"    I    ")</f>
        <v>Desarrollo de servicios del back de notificaciones</v>
      </c>
      <c r="Z1655" s="613">
        <f>VLOOKUP(Tabla1[[#This Row],[Perfil]],Catalogos!$B$75:$D$100,3,FALSE)*Tabla1[[#This Row],[Tiempo
(Hrs 00/100)]]*1.16</f>
        <v>3248</v>
      </c>
    </row>
    <row r="1656" spans="1:26" ht="15" customHeight="1" x14ac:dyDescent="0.3">
      <c r="A1656" s="530" t="s">
        <v>22</v>
      </c>
      <c r="B1656" s="530" t="s">
        <v>23</v>
      </c>
      <c r="C1656" s="205" t="s">
        <v>155</v>
      </c>
      <c r="D1656" s="382"/>
      <c r="E1656" s="373" t="s">
        <v>375</v>
      </c>
      <c r="F1656" s="370" t="s">
        <v>23</v>
      </c>
      <c r="G1656" s="370" t="s">
        <v>2442</v>
      </c>
      <c r="H1656" s="461" t="s">
        <v>405</v>
      </c>
      <c r="I1656" s="383" t="s">
        <v>3288</v>
      </c>
      <c r="J1656" s="369">
        <v>45176</v>
      </c>
      <c r="K1656" s="747">
        <v>0.375</v>
      </c>
      <c r="L1656" s="369">
        <v>45176</v>
      </c>
      <c r="M1656" s="753">
        <v>0.54166666666666663</v>
      </c>
      <c r="N1656" s="373">
        <v>4</v>
      </c>
      <c r="O1656" s="184" t="s">
        <v>411</v>
      </c>
      <c r="P1656" s="375" t="s">
        <v>412</v>
      </c>
      <c r="Q1656" s="423" t="s">
        <v>208</v>
      </c>
      <c r="R1656" s="202" t="s">
        <v>40</v>
      </c>
      <c r="S1656" s="31" t="s">
        <v>273</v>
      </c>
      <c r="T1656" s="31" t="s">
        <v>273</v>
      </c>
      <c r="U1656" s="31">
        <f>IFERROR(VLOOKUP(CONCATENATE(Tabla1[[#This Row],[Severidad]]," ",Tabla1[[#This Row],[Complejidad]]),Catalogos!E$120:G$128,3,FALSE),"")</f>
        <v>64</v>
      </c>
      <c r="V1656" s="31" t="str">
        <f>IF(Tabla1[[#This Row],[Tiempo solución max (hrs)]]&lt;&gt;"",IF(Tabla1[[#This Row],[Tiempo solución max (hrs)]]&gt;=Tabla1[[#This Row],[Tiempo
(Hrs 00/100)]],"cumple","no cumple"),"")</f>
        <v>cumple</v>
      </c>
      <c r="W1656" s="376" t="s">
        <v>2418</v>
      </c>
      <c r="X1656" s="611" t="str">
        <f t="shared" si="154"/>
        <v>DS</v>
      </c>
      <c r="Y1656" s="612" t="str">
        <f>SUBSTITUTE(Tabla1[[#This Row],[Descripción]],CHAR(10),"    I    ")</f>
        <v>Desarrollo de servicios Mis Quejas, analisis y diseño de reglas de negocio</v>
      </c>
      <c r="Z1656" s="613">
        <f>VLOOKUP(Tabla1[[#This Row],[Perfil]],Catalogos!$B$75:$D$100,3,FALSE)*Tabla1[[#This Row],[Tiempo
(Hrs 00/100)]]*1.16</f>
        <v>3248</v>
      </c>
    </row>
    <row r="1657" spans="1:26" ht="15" customHeight="1" x14ac:dyDescent="0.3">
      <c r="A1657" s="530" t="s">
        <v>22</v>
      </c>
      <c r="B1657" s="530" t="s">
        <v>23</v>
      </c>
      <c r="C1657" s="205" t="s">
        <v>155</v>
      </c>
      <c r="D1657" s="382"/>
      <c r="E1657" s="373" t="s">
        <v>375</v>
      </c>
      <c r="F1657" s="370" t="s">
        <v>23</v>
      </c>
      <c r="G1657" s="370" t="s">
        <v>2442</v>
      </c>
      <c r="H1657" s="461" t="s">
        <v>405</v>
      </c>
      <c r="I1657" s="383" t="s">
        <v>3288</v>
      </c>
      <c r="J1657" s="369">
        <v>45177</v>
      </c>
      <c r="K1657" s="747">
        <v>0.375</v>
      </c>
      <c r="L1657" s="369">
        <v>45177</v>
      </c>
      <c r="M1657" s="753">
        <v>0.54166666666666663</v>
      </c>
      <c r="N1657" s="373">
        <v>4</v>
      </c>
      <c r="O1657" s="374" t="s">
        <v>17</v>
      </c>
      <c r="P1657" s="375" t="s">
        <v>412</v>
      </c>
      <c r="Q1657" s="423" t="s">
        <v>208</v>
      </c>
      <c r="R1657" s="202" t="s">
        <v>40</v>
      </c>
      <c r="S1657" s="31" t="s">
        <v>273</v>
      </c>
      <c r="T1657" s="31" t="s">
        <v>273</v>
      </c>
      <c r="U1657" s="31">
        <f>IFERROR(VLOOKUP(CONCATENATE(Tabla1[[#This Row],[Severidad]]," ",Tabla1[[#This Row],[Complejidad]]),Catalogos!E$120:G$128,3,FALSE),"")</f>
        <v>64</v>
      </c>
      <c r="V1657" s="31" t="str">
        <f>IF(Tabla1[[#This Row],[Tiempo solución max (hrs)]]&lt;&gt;"",IF(Tabla1[[#This Row],[Tiempo solución max (hrs)]]&gt;=Tabla1[[#This Row],[Tiempo
(Hrs 00/100)]],"cumple","no cumple"),"")</f>
        <v>cumple</v>
      </c>
      <c r="W1657" s="376" t="s">
        <v>2418</v>
      </c>
      <c r="X1657" s="611" t="str">
        <f t="shared" ref="X1657" si="160">IF(C1657&lt;&gt;"",C1657,D1657)</f>
        <v>DS</v>
      </c>
      <c r="Y1657" s="612" t="str">
        <f>SUBSTITUTE(Tabla1[[#This Row],[Descripción]],CHAR(10),"    I    ")</f>
        <v>Desarrollo de servicios Mis Quejas, analisis y diseño de reglas de negocio</v>
      </c>
      <c r="Z1657" s="613">
        <f>VLOOKUP(Tabla1[[#This Row],[Perfil]],Catalogos!$B$75:$D$100,3,FALSE)*Tabla1[[#This Row],[Tiempo
(Hrs 00/100)]]*1.16</f>
        <v>3248</v>
      </c>
    </row>
    <row r="1658" spans="1:26" ht="15" customHeight="1" x14ac:dyDescent="0.3">
      <c r="A1658" s="530" t="s">
        <v>22</v>
      </c>
      <c r="B1658" s="530" t="s">
        <v>23</v>
      </c>
      <c r="C1658" s="205" t="s">
        <v>155</v>
      </c>
      <c r="D1658" s="382"/>
      <c r="E1658" s="373" t="s">
        <v>375</v>
      </c>
      <c r="F1658" s="370" t="s">
        <v>23</v>
      </c>
      <c r="G1658" s="370" t="s">
        <v>3290</v>
      </c>
      <c r="H1658" s="461" t="s">
        <v>405</v>
      </c>
      <c r="I1658" s="383" t="s">
        <v>2446</v>
      </c>
      <c r="J1658" s="369">
        <v>45180</v>
      </c>
      <c r="K1658" s="747">
        <v>0.375</v>
      </c>
      <c r="L1658" s="369">
        <v>45180</v>
      </c>
      <c r="M1658" s="753">
        <v>0.54166666666666663</v>
      </c>
      <c r="N1658" s="373">
        <v>4</v>
      </c>
      <c r="O1658" s="184" t="s">
        <v>411</v>
      </c>
      <c r="P1658" s="375" t="s">
        <v>412</v>
      </c>
      <c r="Q1658" s="423" t="s">
        <v>208</v>
      </c>
      <c r="R1658" s="202" t="s">
        <v>40</v>
      </c>
      <c r="S1658" s="31" t="s">
        <v>273</v>
      </c>
      <c r="T1658" s="31" t="s">
        <v>273</v>
      </c>
      <c r="U1658" s="31">
        <f>IFERROR(VLOOKUP(CONCATENATE(Tabla1[[#This Row],[Severidad]]," ",Tabla1[[#This Row],[Complejidad]]),Catalogos!E$120:G$128,3,FALSE),"")</f>
        <v>64</v>
      </c>
      <c r="V1658" s="31" t="str">
        <f>IF(Tabla1[[#This Row],[Tiempo solución max (hrs)]]&lt;&gt;"",IF(Tabla1[[#This Row],[Tiempo solución max (hrs)]]&gt;=Tabla1[[#This Row],[Tiempo
(Hrs 00/100)]],"cumple","no cumple"),"")</f>
        <v>cumple</v>
      </c>
      <c r="W1658" s="376" t="s">
        <v>2418</v>
      </c>
      <c r="X1658" s="611" t="str">
        <f t="shared" si="154"/>
        <v>DS</v>
      </c>
      <c r="Y1658" s="612" t="str">
        <f>SUBSTITUTE(Tabla1[[#This Row],[Descripción]],CHAR(10),"    I    ")</f>
        <v>Desarrollo de servicios  Mis Quejas, programación de funcionalidad</v>
      </c>
      <c r="Z1658" s="613">
        <f>VLOOKUP(Tabla1[[#This Row],[Perfil]],Catalogos!$B$75:$D$100,3,FALSE)*Tabla1[[#This Row],[Tiempo
(Hrs 00/100)]]*1.16</f>
        <v>3248</v>
      </c>
    </row>
    <row r="1659" spans="1:26" ht="15" customHeight="1" x14ac:dyDescent="0.3">
      <c r="A1659" s="530" t="s">
        <v>22</v>
      </c>
      <c r="B1659" s="530" t="s">
        <v>23</v>
      </c>
      <c r="C1659" s="205" t="s">
        <v>155</v>
      </c>
      <c r="D1659" s="382"/>
      <c r="E1659" s="373" t="s">
        <v>375</v>
      </c>
      <c r="F1659" s="370" t="s">
        <v>23</v>
      </c>
      <c r="G1659" s="370" t="s">
        <v>3290</v>
      </c>
      <c r="H1659" s="461" t="s">
        <v>405</v>
      </c>
      <c r="I1659" s="383" t="s">
        <v>2446</v>
      </c>
      <c r="J1659" s="369">
        <v>45181</v>
      </c>
      <c r="K1659" s="747">
        <v>0.375</v>
      </c>
      <c r="L1659" s="369">
        <v>45181</v>
      </c>
      <c r="M1659" s="753">
        <v>0.54166666666666663</v>
      </c>
      <c r="N1659" s="373">
        <v>4</v>
      </c>
      <c r="O1659" s="184" t="s">
        <v>411</v>
      </c>
      <c r="P1659" s="375" t="s">
        <v>412</v>
      </c>
      <c r="Q1659" s="423" t="s">
        <v>208</v>
      </c>
      <c r="R1659" s="202" t="s">
        <v>40</v>
      </c>
      <c r="S1659" s="31" t="s">
        <v>273</v>
      </c>
      <c r="T1659" s="31" t="s">
        <v>273</v>
      </c>
      <c r="U1659" s="31">
        <f>IFERROR(VLOOKUP(CONCATENATE(Tabla1[[#This Row],[Severidad]]," ",Tabla1[[#This Row],[Complejidad]]),Catalogos!E$120:G$128,3,FALSE),"")</f>
        <v>64</v>
      </c>
      <c r="V1659" s="31" t="str">
        <f>IF(Tabla1[[#This Row],[Tiempo solución max (hrs)]]&lt;&gt;"",IF(Tabla1[[#This Row],[Tiempo solución max (hrs)]]&gt;=Tabla1[[#This Row],[Tiempo
(Hrs 00/100)]],"cumple","no cumple"),"")</f>
        <v>cumple</v>
      </c>
      <c r="W1659" s="376" t="s">
        <v>2418</v>
      </c>
      <c r="X1659" s="611" t="str">
        <f t="shared" ref="X1659:X1662" si="161">IF(C1659&lt;&gt;"",C1659,D1659)</f>
        <v>DS</v>
      </c>
      <c r="Y1659" s="612" t="str">
        <f>SUBSTITUTE(Tabla1[[#This Row],[Descripción]],CHAR(10),"    I    ")</f>
        <v>Desarrollo de servicios  Mis Quejas, programación de funcionalidad</v>
      </c>
      <c r="Z1659" s="613">
        <f>VLOOKUP(Tabla1[[#This Row],[Perfil]],Catalogos!$B$75:$D$100,3,FALSE)*Tabla1[[#This Row],[Tiempo
(Hrs 00/100)]]*1.16</f>
        <v>3248</v>
      </c>
    </row>
    <row r="1660" spans="1:26" ht="15" customHeight="1" x14ac:dyDescent="0.3">
      <c r="A1660" s="530" t="s">
        <v>22</v>
      </c>
      <c r="B1660" s="530" t="s">
        <v>23</v>
      </c>
      <c r="C1660" s="205" t="s">
        <v>155</v>
      </c>
      <c r="D1660" s="382"/>
      <c r="E1660" s="373" t="s">
        <v>375</v>
      </c>
      <c r="F1660" s="370" t="s">
        <v>23</v>
      </c>
      <c r="G1660" s="370" t="s">
        <v>3290</v>
      </c>
      <c r="H1660" s="461" t="s">
        <v>405</v>
      </c>
      <c r="I1660" s="383" t="s">
        <v>2446</v>
      </c>
      <c r="J1660" s="369">
        <v>45182</v>
      </c>
      <c r="K1660" s="747">
        <v>0.375</v>
      </c>
      <c r="L1660" s="369">
        <v>45182</v>
      </c>
      <c r="M1660" s="753">
        <v>0.54166666666666663</v>
      </c>
      <c r="N1660" s="373">
        <v>4</v>
      </c>
      <c r="O1660" s="184" t="s">
        <v>411</v>
      </c>
      <c r="P1660" s="375" t="s">
        <v>412</v>
      </c>
      <c r="Q1660" s="423" t="s">
        <v>208</v>
      </c>
      <c r="R1660" s="202" t="s">
        <v>40</v>
      </c>
      <c r="S1660" s="31" t="s">
        <v>273</v>
      </c>
      <c r="T1660" s="31" t="s">
        <v>273</v>
      </c>
      <c r="U1660" s="31">
        <f>IFERROR(VLOOKUP(CONCATENATE(Tabla1[[#This Row],[Severidad]]," ",Tabla1[[#This Row],[Complejidad]]),Catalogos!E$120:G$128,3,FALSE),"")</f>
        <v>64</v>
      </c>
      <c r="V1660" s="31" t="str">
        <f>IF(Tabla1[[#This Row],[Tiempo solución max (hrs)]]&lt;&gt;"",IF(Tabla1[[#This Row],[Tiempo solución max (hrs)]]&gt;=Tabla1[[#This Row],[Tiempo
(Hrs 00/100)]],"cumple","no cumple"),"")</f>
        <v>cumple</v>
      </c>
      <c r="W1660" s="376" t="s">
        <v>2418</v>
      </c>
      <c r="X1660" s="611" t="str">
        <f t="shared" si="161"/>
        <v>DS</v>
      </c>
      <c r="Y1660" s="612" t="str">
        <f>SUBSTITUTE(Tabla1[[#This Row],[Descripción]],CHAR(10),"    I    ")</f>
        <v>Desarrollo de servicios  Mis Quejas, programación de funcionalidad</v>
      </c>
      <c r="Z1660" s="613">
        <f>VLOOKUP(Tabla1[[#This Row],[Perfil]],Catalogos!$B$75:$D$100,3,FALSE)*Tabla1[[#This Row],[Tiempo
(Hrs 00/100)]]*1.16</f>
        <v>3248</v>
      </c>
    </row>
    <row r="1661" spans="1:26" ht="15" customHeight="1" x14ac:dyDescent="0.3">
      <c r="A1661" s="530" t="s">
        <v>22</v>
      </c>
      <c r="B1661" s="530" t="s">
        <v>23</v>
      </c>
      <c r="C1661" s="205" t="s">
        <v>155</v>
      </c>
      <c r="D1661" s="382"/>
      <c r="E1661" s="373" t="s">
        <v>375</v>
      </c>
      <c r="F1661" s="370" t="s">
        <v>23</v>
      </c>
      <c r="G1661" s="370" t="s">
        <v>3290</v>
      </c>
      <c r="H1661" s="461" t="s">
        <v>405</v>
      </c>
      <c r="I1661" s="383" t="s">
        <v>2446</v>
      </c>
      <c r="J1661" s="369">
        <v>45183</v>
      </c>
      <c r="K1661" s="747">
        <v>0.375</v>
      </c>
      <c r="L1661" s="369">
        <v>45183</v>
      </c>
      <c r="M1661" s="753">
        <v>0.54166666666666663</v>
      </c>
      <c r="N1661" s="373">
        <v>4</v>
      </c>
      <c r="O1661" s="184" t="s">
        <v>411</v>
      </c>
      <c r="P1661" s="375" t="s">
        <v>412</v>
      </c>
      <c r="Q1661" s="423" t="s">
        <v>208</v>
      </c>
      <c r="R1661" s="202" t="s">
        <v>40</v>
      </c>
      <c r="S1661" s="31" t="s">
        <v>273</v>
      </c>
      <c r="T1661" s="31" t="s">
        <v>273</v>
      </c>
      <c r="U1661" s="31">
        <f>IFERROR(VLOOKUP(CONCATENATE(Tabla1[[#This Row],[Severidad]]," ",Tabla1[[#This Row],[Complejidad]]),Catalogos!E$120:G$128,3,FALSE),"")</f>
        <v>64</v>
      </c>
      <c r="V1661" s="31" t="str">
        <f>IF(Tabla1[[#This Row],[Tiempo solución max (hrs)]]&lt;&gt;"",IF(Tabla1[[#This Row],[Tiempo solución max (hrs)]]&gt;=Tabla1[[#This Row],[Tiempo
(Hrs 00/100)]],"cumple","no cumple"),"")</f>
        <v>cumple</v>
      </c>
      <c r="W1661" s="376" t="s">
        <v>2418</v>
      </c>
      <c r="X1661" s="611" t="str">
        <f t="shared" si="161"/>
        <v>DS</v>
      </c>
      <c r="Y1661" s="612" t="str">
        <f>SUBSTITUTE(Tabla1[[#This Row],[Descripción]],CHAR(10),"    I    ")</f>
        <v>Desarrollo de servicios  Mis Quejas, programación de funcionalidad</v>
      </c>
      <c r="Z1661" s="613">
        <f>VLOOKUP(Tabla1[[#This Row],[Perfil]],Catalogos!$B$75:$D$100,3,FALSE)*Tabla1[[#This Row],[Tiempo
(Hrs 00/100)]]*1.16</f>
        <v>3248</v>
      </c>
    </row>
    <row r="1662" spans="1:26" ht="15" customHeight="1" x14ac:dyDescent="0.3">
      <c r="A1662" s="530" t="s">
        <v>22</v>
      </c>
      <c r="B1662" s="530" t="s">
        <v>23</v>
      </c>
      <c r="C1662" s="205" t="s">
        <v>155</v>
      </c>
      <c r="D1662" s="382"/>
      <c r="E1662" s="373" t="s">
        <v>375</v>
      </c>
      <c r="F1662" s="370" t="s">
        <v>23</v>
      </c>
      <c r="G1662" s="370" t="s">
        <v>3290</v>
      </c>
      <c r="H1662" s="461" t="s">
        <v>405</v>
      </c>
      <c r="I1662" s="383" t="s">
        <v>2446</v>
      </c>
      <c r="J1662" s="369">
        <v>45184</v>
      </c>
      <c r="K1662" s="747">
        <v>0.375</v>
      </c>
      <c r="L1662" s="369">
        <v>45184</v>
      </c>
      <c r="M1662" s="753">
        <v>0.54166666666666663</v>
      </c>
      <c r="N1662" s="373">
        <v>4</v>
      </c>
      <c r="O1662" s="184" t="s">
        <v>411</v>
      </c>
      <c r="P1662" s="375" t="s">
        <v>412</v>
      </c>
      <c r="Q1662" s="423" t="s">
        <v>208</v>
      </c>
      <c r="R1662" s="202" t="s">
        <v>40</v>
      </c>
      <c r="S1662" s="31" t="s">
        <v>273</v>
      </c>
      <c r="T1662" s="31" t="s">
        <v>273</v>
      </c>
      <c r="U1662" s="31">
        <f>IFERROR(VLOOKUP(CONCATENATE(Tabla1[[#This Row],[Severidad]]," ",Tabla1[[#This Row],[Complejidad]]),Catalogos!E$120:G$128,3,FALSE),"")</f>
        <v>64</v>
      </c>
      <c r="V1662" s="31" t="str">
        <f>IF(Tabla1[[#This Row],[Tiempo solución max (hrs)]]&lt;&gt;"",IF(Tabla1[[#This Row],[Tiempo solución max (hrs)]]&gt;=Tabla1[[#This Row],[Tiempo
(Hrs 00/100)]],"cumple","no cumple"),"")</f>
        <v>cumple</v>
      </c>
      <c r="W1662" s="376" t="s">
        <v>2418</v>
      </c>
      <c r="X1662" s="611" t="str">
        <f t="shared" si="161"/>
        <v>DS</v>
      </c>
      <c r="Y1662" s="612" t="str">
        <f>SUBSTITUTE(Tabla1[[#This Row],[Descripción]],CHAR(10),"    I    ")</f>
        <v>Desarrollo de servicios  Mis Quejas, programación de funcionalidad</v>
      </c>
      <c r="Z1662" s="613">
        <f>VLOOKUP(Tabla1[[#This Row],[Perfil]],Catalogos!$B$75:$D$100,3,FALSE)*Tabla1[[#This Row],[Tiempo
(Hrs 00/100)]]*1.16</f>
        <v>3248</v>
      </c>
    </row>
    <row r="1663" spans="1:26" ht="15" customHeight="1" x14ac:dyDescent="0.3">
      <c r="A1663" s="530" t="s">
        <v>22</v>
      </c>
      <c r="B1663" s="530" t="s">
        <v>23</v>
      </c>
      <c r="C1663" s="205" t="s">
        <v>155</v>
      </c>
      <c r="D1663" s="382"/>
      <c r="E1663" s="373" t="s">
        <v>375</v>
      </c>
      <c r="F1663" s="370" t="s">
        <v>23</v>
      </c>
      <c r="G1663" s="370" t="s">
        <v>3290</v>
      </c>
      <c r="H1663" s="461" t="s">
        <v>405</v>
      </c>
      <c r="I1663" s="383" t="s">
        <v>2446</v>
      </c>
      <c r="J1663" s="369">
        <v>45187</v>
      </c>
      <c r="K1663" s="747">
        <v>0.375</v>
      </c>
      <c r="L1663" s="369">
        <v>45187</v>
      </c>
      <c r="M1663" s="753">
        <v>0.54166666666666663</v>
      </c>
      <c r="N1663" s="373">
        <v>4</v>
      </c>
      <c r="O1663" s="184" t="s">
        <v>411</v>
      </c>
      <c r="P1663" s="375" t="s">
        <v>412</v>
      </c>
      <c r="Q1663" s="423" t="s">
        <v>208</v>
      </c>
      <c r="R1663" s="202" t="s">
        <v>40</v>
      </c>
      <c r="S1663" s="31" t="s">
        <v>273</v>
      </c>
      <c r="T1663" s="31" t="s">
        <v>273</v>
      </c>
      <c r="U1663" s="31">
        <f>IFERROR(VLOOKUP(CONCATENATE(Tabla1[[#This Row],[Severidad]]," ",Tabla1[[#This Row],[Complejidad]]),Catalogos!E$120:G$128,3,FALSE),"")</f>
        <v>64</v>
      </c>
      <c r="V1663" s="31" t="str">
        <f>IF(Tabla1[[#This Row],[Tiempo solución max (hrs)]]&lt;&gt;"",IF(Tabla1[[#This Row],[Tiempo solución max (hrs)]]&gt;=Tabla1[[#This Row],[Tiempo
(Hrs 00/100)]],"cumple","no cumple"),"")</f>
        <v>cumple</v>
      </c>
      <c r="W1663" s="376" t="s">
        <v>2418</v>
      </c>
      <c r="X1663" s="611" t="str">
        <f t="shared" ref="X1663:X1665" si="162">IF(C1663&lt;&gt;"",C1663,D1663)</f>
        <v>DS</v>
      </c>
      <c r="Y1663" s="612" t="str">
        <f>SUBSTITUTE(Tabla1[[#This Row],[Descripción]],CHAR(10),"    I    ")</f>
        <v>Desarrollo de servicios  Mis Quejas, programación de funcionalidad</v>
      </c>
      <c r="Z1663" s="613">
        <f>VLOOKUP(Tabla1[[#This Row],[Perfil]],Catalogos!$B$75:$D$100,3,FALSE)*Tabla1[[#This Row],[Tiempo
(Hrs 00/100)]]*1.16</f>
        <v>3248</v>
      </c>
    </row>
    <row r="1664" spans="1:26" ht="15" customHeight="1" x14ac:dyDescent="0.3">
      <c r="A1664" s="530" t="s">
        <v>22</v>
      </c>
      <c r="B1664" s="530" t="s">
        <v>23</v>
      </c>
      <c r="C1664" s="205" t="s">
        <v>155</v>
      </c>
      <c r="D1664" s="382"/>
      <c r="E1664" s="373" t="s">
        <v>375</v>
      </c>
      <c r="F1664" s="370" t="s">
        <v>23</v>
      </c>
      <c r="G1664" s="370" t="s">
        <v>3290</v>
      </c>
      <c r="H1664" s="461" t="s">
        <v>405</v>
      </c>
      <c r="I1664" s="383" t="s">
        <v>2446</v>
      </c>
      <c r="J1664" s="369">
        <v>45188</v>
      </c>
      <c r="K1664" s="747">
        <v>0.375</v>
      </c>
      <c r="L1664" s="369">
        <v>45188</v>
      </c>
      <c r="M1664" s="753">
        <v>0.54166666666666663</v>
      </c>
      <c r="N1664" s="373">
        <v>4</v>
      </c>
      <c r="O1664" s="184" t="s">
        <v>411</v>
      </c>
      <c r="P1664" s="375" t="s">
        <v>412</v>
      </c>
      <c r="Q1664" s="423" t="s">
        <v>208</v>
      </c>
      <c r="R1664" s="202" t="s">
        <v>40</v>
      </c>
      <c r="S1664" s="31" t="s">
        <v>273</v>
      </c>
      <c r="T1664" s="31" t="s">
        <v>273</v>
      </c>
      <c r="U1664" s="31">
        <f>IFERROR(VLOOKUP(CONCATENATE(Tabla1[[#This Row],[Severidad]]," ",Tabla1[[#This Row],[Complejidad]]),Catalogos!E$120:G$128,3,FALSE),"")</f>
        <v>64</v>
      </c>
      <c r="V1664" s="31" t="str">
        <f>IF(Tabla1[[#This Row],[Tiempo solución max (hrs)]]&lt;&gt;"",IF(Tabla1[[#This Row],[Tiempo solución max (hrs)]]&gt;=Tabla1[[#This Row],[Tiempo
(Hrs 00/100)]],"cumple","no cumple"),"")</f>
        <v>cumple</v>
      </c>
      <c r="W1664" s="376" t="s">
        <v>2418</v>
      </c>
      <c r="X1664" s="611" t="str">
        <f t="shared" si="162"/>
        <v>DS</v>
      </c>
      <c r="Y1664" s="612" t="str">
        <f>SUBSTITUTE(Tabla1[[#This Row],[Descripción]],CHAR(10),"    I    ")</f>
        <v>Desarrollo de servicios  Mis Quejas, programación de funcionalidad</v>
      </c>
      <c r="Z1664" s="613">
        <f>VLOOKUP(Tabla1[[#This Row],[Perfil]],Catalogos!$B$75:$D$100,3,FALSE)*Tabla1[[#This Row],[Tiempo
(Hrs 00/100)]]*1.16</f>
        <v>3248</v>
      </c>
    </row>
    <row r="1665" spans="1:26" ht="15" customHeight="1" x14ac:dyDescent="0.3">
      <c r="A1665" s="530" t="s">
        <v>22</v>
      </c>
      <c r="B1665" s="530" t="s">
        <v>23</v>
      </c>
      <c r="C1665" s="205" t="s">
        <v>155</v>
      </c>
      <c r="D1665" s="382"/>
      <c r="E1665" s="373" t="s">
        <v>375</v>
      </c>
      <c r="F1665" s="370" t="s">
        <v>23</v>
      </c>
      <c r="G1665" s="370" t="s">
        <v>3290</v>
      </c>
      <c r="H1665" s="461" t="s">
        <v>405</v>
      </c>
      <c r="I1665" s="383" t="s">
        <v>2446</v>
      </c>
      <c r="J1665" s="369">
        <v>45189</v>
      </c>
      <c r="K1665" s="747">
        <v>0.375</v>
      </c>
      <c r="L1665" s="369">
        <v>45189</v>
      </c>
      <c r="M1665" s="753">
        <v>0.58333333333333337</v>
      </c>
      <c r="N1665" s="373">
        <v>5</v>
      </c>
      <c r="O1665" s="374" t="s">
        <v>17</v>
      </c>
      <c r="P1665" s="375" t="s">
        <v>412</v>
      </c>
      <c r="Q1665" s="423" t="s">
        <v>208</v>
      </c>
      <c r="R1665" s="202" t="s">
        <v>40</v>
      </c>
      <c r="S1665" s="31" t="s">
        <v>273</v>
      </c>
      <c r="T1665" s="31" t="s">
        <v>273</v>
      </c>
      <c r="U1665" s="31">
        <f>IFERROR(VLOOKUP(CONCATENATE(Tabla1[[#This Row],[Severidad]]," ",Tabla1[[#This Row],[Complejidad]]),Catalogos!E$120:G$128,3,FALSE),"")</f>
        <v>64</v>
      </c>
      <c r="V1665" s="31" t="str">
        <f>IF(Tabla1[[#This Row],[Tiempo solución max (hrs)]]&lt;&gt;"",IF(Tabla1[[#This Row],[Tiempo solución max (hrs)]]&gt;=Tabla1[[#This Row],[Tiempo
(Hrs 00/100)]],"cumple","no cumple"),"")</f>
        <v>cumple</v>
      </c>
      <c r="W1665" s="376" t="s">
        <v>2418</v>
      </c>
      <c r="X1665" s="611" t="str">
        <f t="shared" si="162"/>
        <v>DS</v>
      </c>
      <c r="Y1665" s="612" t="str">
        <f>SUBSTITUTE(Tabla1[[#This Row],[Descripción]],CHAR(10),"    I    ")</f>
        <v>Desarrollo de servicios  Mis Quejas, programación de funcionalidad</v>
      </c>
      <c r="Z1665" s="613">
        <f>VLOOKUP(Tabla1[[#This Row],[Perfil]],Catalogos!$B$75:$D$100,3,FALSE)*Tabla1[[#This Row],[Tiempo
(Hrs 00/100)]]*1.16</f>
        <v>4059.9999999999995</v>
      </c>
    </row>
    <row r="1666" spans="1:26" ht="15" customHeight="1" x14ac:dyDescent="0.3">
      <c r="A1666" s="530" t="s">
        <v>22</v>
      </c>
      <c r="B1666" s="530" t="s">
        <v>23</v>
      </c>
      <c r="C1666" s="205" t="s">
        <v>155</v>
      </c>
      <c r="D1666" s="382"/>
      <c r="E1666" s="373" t="s">
        <v>375</v>
      </c>
      <c r="F1666" s="370" t="s">
        <v>23</v>
      </c>
      <c r="G1666" s="370" t="s">
        <v>2443</v>
      </c>
      <c r="H1666" s="461" t="s">
        <v>405</v>
      </c>
      <c r="I1666" s="383" t="s">
        <v>2447</v>
      </c>
      <c r="J1666" s="369">
        <v>45190</v>
      </c>
      <c r="K1666" s="747">
        <v>0.375</v>
      </c>
      <c r="L1666" s="369">
        <v>45190</v>
      </c>
      <c r="M1666" s="753">
        <v>0.54166666666666663</v>
      </c>
      <c r="N1666" s="373">
        <v>4</v>
      </c>
      <c r="O1666" s="184" t="s">
        <v>411</v>
      </c>
      <c r="P1666" s="375" t="s">
        <v>412</v>
      </c>
      <c r="Q1666" s="423" t="s">
        <v>208</v>
      </c>
      <c r="R1666" s="202" t="s">
        <v>40</v>
      </c>
      <c r="S1666" s="31" t="s">
        <v>273</v>
      </c>
      <c r="T1666" s="31" t="s">
        <v>273</v>
      </c>
      <c r="U1666" s="31">
        <f>IFERROR(VLOOKUP(CONCATENATE(Tabla1[[#This Row],[Severidad]]," ",Tabla1[[#This Row],[Complejidad]]),Catalogos!E$120:G$128,3,FALSE),"")</f>
        <v>64</v>
      </c>
      <c r="V1666" s="31" t="str">
        <f>IF(Tabla1[[#This Row],[Tiempo solución max (hrs)]]&lt;&gt;"",IF(Tabla1[[#This Row],[Tiempo solución max (hrs)]]&gt;=Tabla1[[#This Row],[Tiempo
(Hrs 00/100)]],"cumple","no cumple"),"")</f>
        <v>cumple</v>
      </c>
      <c r="W1666" s="376" t="s">
        <v>2418</v>
      </c>
      <c r="X1666" s="611" t="str">
        <f t="shared" si="154"/>
        <v>DS</v>
      </c>
      <c r="Y1666" s="612" t="str">
        <f>SUBSTITUTE(Tabla1[[#This Row],[Descripción]],CHAR(10),"    I    ")</f>
        <v>Análisis y diseño de servicios para programación reactiva PNT</v>
      </c>
      <c r="Z1666" s="613">
        <f>VLOOKUP(Tabla1[[#This Row],[Perfil]],Catalogos!$B$75:$D$100,3,FALSE)*Tabla1[[#This Row],[Tiempo
(Hrs 00/100)]]*1.16</f>
        <v>3248</v>
      </c>
    </row>
    <row r="1667" spans="1:26" ht="15" customHeight="1" x14ac:dyDescent="0.3">
      <c r="A1667" s="530" t="s">
        <v>22</v>
      </c>
      <c r="B1667" s="530" t="s">
        <v>23</v>
      </c>
      <c r="C1667" s="205" t="s">
        <v>155</v>
      </c>
      <c r="D1667" s="382"/>
      <c r="E1667" s="373" t="s">
        <v>375</v>
      </c>
      <c r="F1667" s="370" t="s">
        <v>23</v>
      </c>
      <c r="G1667" s="370" t="s">
        <v>2443</v>
      </c>
      <c r="H1667" s="461" t="s">
        <v>405</v>
      </c>
      <c r="I1667" s="383" t="s">
        <v>2447</v>
      </c>
      <c r="J1667" s="369">
        <v>45191</v>
      </c>
      <c r="K1667" s="747">
        <v>0.375</v>
      </c>
      <c r="L1667" s="369">
        <v>45191</v>
      </c>
      <c r="M1667" s="753">
        <v>0.54166666666666663</v>
      </c>
      <c r="N1667" s="373">
        <v>4</v>
      </c>
      <c r="O1667" s="374" t="s">
        <v>17</v>
      </c>
      <c r="P1667" s="375" t="s">
        <v>412</v>
      </c>
      <c r="Q1667" s="423" t="s">
        <v>208</v>
      </c>
      <c r="R1667" s="202" t="s">
        <v>40</v>
      </c>
      <c r="S1667" s="31" t="s">
        <v>273</v>
      </c>
      <c r="T1667" s="31" t="s">
        <v>273</v>
      </c>
      <c r="U1667" s="31">
        <f>IFERROR(VLOOKUP(CONCATENATE(Tabla1[[#This Row],[Severidad]]," ",Tabla1[[#This Row],[Complejidad]]),Catalogos!E$120:G$128,3,FALSE),"")</f>
        <v>64</v>
      </c>
      <c r="V1667" s="31" t="str">
        <f>IF(Tabla1[[#This Row],[Tiempo solución max (hrs)]]&lt;&gt;"",IF(Tabla1[[#This Row],[Tiempo solución max (hrs)]]&gt;=Tabla1[[#This Row],[Tiempo
(Hrs 00/100)]],"cumple","no cumple"),"")</f>
        <v>cumple</v>
      </c>
      <c r="W1667" s="376" t="s">
        <v>2418</v>
      </c>
      <c r="X1667" s="611" t="str">
        <f t="shared" ref="X1667:X1669" si="163">IF(C1667&lt;&gt;"",C1667,D1667)</f>
        <v>DS</v>
      </c>
      <c r="Y1667" s="612" t="str">
        <f>SUBSTITUTE(Tabla1[[#This Row],[Descripción]],CHAR(10),"    I    ")</f>
        <v>Análisis y diseño de servicios para programación reactiva PNT</v>
      </c>
      <c r="Z1667" s="613">
        <f>VLOOKUP(Tabla1[[#This Row],[Perfil]],Catalogos!$B$75:$D$100,3,FALSE)*Tabla1[[#This Row],[Tiempo
(Hrs 00/100)]]*1.16</f>
        <v>3248</v>
      </c>
    </row>
    <row r="1668" spans="1:26" ht="15" customHeight="1" x14ac:dyDescent="0.3">
      <c r="A1668" s="530" t="s">
        <v>22</v>
      </c>
      <c r="B1668" s="530" t="s">
        <v>23</v>
      </c>
      <c r="C1668" s="205" t="s">
        <v>155</v>
      </c>
      <c r="D1668" s="382"/>
      <c r="E1668" s="373" t="s">
        <v>375</v>
      </c>
      <c r="F1668" s="370" t="s">
        <v>23</v>
      </c>
      <c r="G1668" s="370" t="s">
        <v>3291</v>
      </c>
      <c r="H1668" s="461" t="s">
        <v>405</v>
      </c>
      <c r="I1668" s="383" t="s">
        <v>2448</v>
      </c>
      <c r="J1668" s="369">
        <v>45194</v>
      </c>
      <c r="K1668" s="747">
        <v>0.375</v>
      </c>
      <c r="L1668" s="369">
        <v>45194</v>
      </c>
      <c r="M1668" s="753">
        <v>0.54166666666666663</v>
      </c>
      <c r="N1668" s="373">
        <v>4</v>
      </c>
      <c r="O1668" s="184" t="s">
        <v>411</v>
      </c>
      <c r="P1668" s="375" t="s">
        <v>412</v>
      </c>
      <c r="Q1668" s="423" t="s">
        <v>208</v>
      </c>
      <c r="R1668" s="202" t="s">
        <v>40</v>
      </c>
      <c r="S1668" s="31" t="s">
        <v>273</v>
      </c>
      <c r="T1668" s="31" t="s">
        <v>273</v>
      </c>
      <c r="U1668" s="31">
        <f>IFERROR(VLOOKUP(CONCATENATE(Tabla1[[#This Row],[Severidad]]," ",Tabla1[[#This Row],[Complejidad]]),Catalogos!E$120:G$128,3,FALSE),"")</f>
        <v>64</v>
      </c>
      <c r="V1668" s="31" t="str">
        <f>IF(Tabla1[[#This Row],[Tiempo solución max (hrs)]]&lt;&gt;"",IF(Tabla1[[#This Row],[Tiempo solución max (hrs)]]&gt;=Tabla1[[#This Row],[Tiempo
(Hrs 00/100)]],"cumple","no cumple"),"")</f>
        <v>cumple</v>
      </c>
      <c r="W1668" s="376" t="s">
        <v>2418</v>
      </c>
      <c r="X1668" s="611" t="str">
        <f t="shared" si="163"/>
        <v>DS</v>
      </c>
      <c r="Y1668" s="612" t="str">
        <f>SUBSTITUTE(Tabla1[[#This Row],[Descripción]],CHAR(10),"    I    ")</f>
        <v>Desarrollo de servicios para prueba reactiva</v>
      </c>
      <c r="Z1668" s="613">
        <f>VLOOKUP(Tabla1[[#This Row],[Perfil]],Catalogos!$B$75:$D$100,3,FALSE)*Tabla1[[#This Row],[Tiempo
(Hrs 00/100)]]*1.16</f>
        <v>3248</v>
      </c>
    </row>
    <row r="1669" spans="1:26" ht="15" customHeight="1" x14ac:dyDescent="0.3">
      <c r="A1669" s="530" t="s">
        <v>22</v>
      </c>
      <c r="B1669" s="530" t="s">
        <v>23</v>
      </c>
      <c r="C1669" s="205" t="s">
        <v>155</v>
      </c>
      <c r="D1669" s="382"/>
      <c r="E1669" s="373" t="s">
        <v>375</v>
      </c>
      <c r="F1669" s="370" t="s">
        <v>23</v>
      </c>
      <c r="G1669" s="370" t="s">
        <v>3291</v>
      </c>
      <c r="H1669" s="461" t="s">
        <v>405</v>
      </c>
      <c r="I1669" s="383" t="s">
        <v>2448</v>
      </c>
      <c r="J1669" s="369">
        <v>45195</v>
      </c>
      <c r="K1669" s="747">
        <v>0.375</v>
      </c>
      <c r="L1669" s="369">
        <v>45195</v>
      </c>
      <c r="M1669" s="753">
        <v>0.54166666666666663</v>
      </c>
      <c r="N1669" s="373">
        <v>4</v>
      </c>
      <c r="O1669" s="184" t="s">
        <v>411</v>
      </c>
      <c r="P1669" s="375" t="s">
        <v>412</v>
      </c>
      <c r="Q1669" s="423" t="s">
        <v>208</v>
      </c>
      <c r="R1669" s="202" t="s">
        <v>40</v>
      </c>
      <c r="S1669" s="31" t="s">
        <v>273</v>
      </c>
      <c r="T1669" s="31" t="s">
        <v>273</v>
      </c>
      <c r="U1669" s="31">
        <f>IFERROR(VLOOKUP(CONCATENATE(Tabla1[[#This Row],[Severidad]]," ",Tabla1[[#This Row],[Complejidad]]),Catalogos!E$120:G$128,3,FALSE),"")</f>
        <v>64</v>
      </c>
      <c r="V1669" s="31" t="str">
        <f>IF(Tabla1[[#This Row],[Tiempo solución max (hrs)]]&lt;&gt;"",IF(Tabla1[[#This Row],[Tiempo solución max (hrs)]]&gt;=Tabla1[[#This Row],[Tiempo
(Hrs 00/100)]],"cumple","no cumple"),"")</f>
        <v>cumple</v>
      </c>
      <c r="W1669" s="376" t="s">
        <v>2418</v>
      </c>
      <c r="X1669" s="611" t="str">
        <f t="shared" si="163"/>
        <v>DS</v>
      </c>
      <c r="Y1669" s="612" t="str">
        <f>SUBSTITUTE(Tabla1[[#This Row],[Descripción]],CHAR(10),"    I    ")</f>
        <v>Desarrollo de servicios para prueba reactiva</v>
      </c>
      <c r="Z1669" s="613">
        <f>VLOOKUP(Tabla1[[#This Row],[Perfil]],Catalogos!$B$75:$D$100,3,FALSE)*Tabla1[[#This Row],[Tiempo
(Hrs 00/100)]]*1.16</f>
        <v>3248</v>
      </c>
    </row>
    <row r="1670" spans="1:26" ht="15" customHeight="1" x14ac:dyDescent="0.3">
      <c r="A1670" s="530" t="s">
        <v>22</v>
      </c>
      <c r="B1670" s="530" t="s">
        <v>23</v>
      </c>
      <c r="C1670" s="205" t="s">
        <v>155</v>
      </c>
      <c r="D1670" s="382"/>
      <c r="E1670" s="373" t="s">
        <v>375</v>
      </c>
      <c r="F1670" s="370" t="s">
        <v>23</v>
      </c>
      <c r="G1670" s="370" t="s">
        <v>3291</v>
      </c>
      <c r="H1670" s="461" t="s">
        <v>405</v>
      </c>
      <c r="I1670" s="383" t="s">
        <v>2448</v>
      </c>
      <c r="J1670" s="369">
        <v>45196</v>
      </c>
      <c r="K1670" s="747">
        <v>0.375</v>
      </c>
      <c r="L1670" s="369">
        <v>45196</v>
      </c>
      <c r="M1670" s="753">
        <v>0.54166666666666663</v>
      </c>
      <c r="N1670" s="373">
        <v>4</v>
      </c>
      <c r="O1670" s="184" t="s">
        <v>411</v>
      </c>
      <c r="P1670" s="375" t="s">
        <v>412</v>
      </c>
      <c r="Q1670" s="423" t="s">
        <v>208</v>
      </c>
      <c r="R1670" s="202" t="s">
        <v>40</v>
      </c>
      <c r="S1670" s="31" t="s">
        <v>273</v>
      </c>
      <c r="T1670" s="31" t="s">
        <v>273</v>
      </c>
      <c r="U1670" s="31">
        <f>IFERROR(VLOOKUP(CONCATENATE(Tabla1[[#This Row],[Severidad]]," ",Tabla1[[#This Row],[Complejidad]]),Catalogos!E$120:G$128,3,FALSE),"")</f>
        <v>64</v>
      </c>
      <c r="V1670" s="31" t="str">
        <f>IF(Tabla1[[#This Row],[Tiempo solución max (hrs)]]&lt;&gt;"",IF(Tabla1[[#This Row],[Tiempo solución max (hrs)]]&gt;=Tabla1[[#This Row],[Tiempo
(Hrs 00/100)]],"cumple","no cumple"),"")</f>
        <v>cumple</v>
      </c>
      <c r="W1670" s="376" t="s">
        <v>2418</v>
      </c>
      <c r="X1670" s="611" t="str">
        <f t="shared" si="154"/>
        <v>DS</v>
      </c>
      <c r="Y1670" s="612" t="str">
        <f>SUBSTITUTE(Tabla1[[#This Row],[Descripción]],CHAR(10),"    I    ")</f>
        <v>Desarrollo de servicios para prueba reactiva</v>
      </c>
      <c r="Z1670" s="613">
        <f>VLOOKUP(Tabla1[[#This Row],[Perfil]],Catalogos!$B$75:$D$100,3,FALSE)*Tabla1[[#This Row],[Tiempo
(Hrs 00/100)]]*1.16</f>
        <v>3248</v>
      </c>
    </row>
    <row r="1671" spans="1:26" ht="15" customHeight="1" x14ac:dyDescent="0.3">
      <c r="A1671" s="530" t="s">
        <v>22</v>
      </c>
      <c r="B1671" s="530" t="s">
        <v>23</v>
      </c>
      <c r="C1671" s="205" t="s">
        <v>155</v>
      </c>
      <c r="D1671" s="382"/>
      <c r="E1671" s="373" t="s">
        <v>375</v>
      </c>
      <c r="F1671" s="370" t="s">
        <v>23</v>
      </c>
      <c r="G1671" s="370" t="s">
        <v>3291</v>
      </c>
      <c r="H1671" s="461" t="s">
        <v>405</v>
      </c>
      <c r="I1671" s="383" t="s">
        <v>2448</v>
      </c>
      <c r="J1671" s="369">
        <v>45197</v>
      </c>
      <c r="K1671" s="747">
        <v>0.375</v>
      </c>
      <c r="L1671" s="369">
        <v>45197</v>
      </c>
      <c r="M1671" s="753">
        <v>0.54166666666666663</v>
      </c>
      <c r="N1671" s="373">
        <v>4</v>
      </c>
      <c r="O1671" s="184" t="s">
        <v>411</v>
      </c>
      <c r="P1671" s="375" t="s">
        <v>412</v>
      </c>
      <c r="Q1671" s="423" t="s">
        <v>208</v>
      </c>
      <c r="R1671" s="202" t="s">
        <v>40</v>
      </c>
      <c r="S1671" s="31" t="s">
        <v>273</v>
      </c>
      <c r="T1671" s="31" t="s">
        <v>273</v>
      </c>
      <c r="U1671" s="31">
        <f>IFERROR(VLOOKUP(CONCATENATE(Tabla1[[#This Row],[Severidad]]," ",Tabla1[[#This Row],[Complejidad]]),Catalogos!E$120:G$128,3,FALSE),"")</f>
        <v>64</v>
      </c>
      <c r="V1671" s="31" t="str">
        <f>IF(Tabla1[[#This Row],[Tiempo solución max (hrs)]]&lt;&gt;"",IF(Tabla1[[#This Row],[Tiempo solución max (hrs)]]&gt;=Tabla1[[#This Row],[Tiempo
(Hrs 00/100)]],"cumple","no cumple"),"")</f>
        <v>cumple</v>
      </c>
      <c r="W1671" s="376" t="s">
        <v>2418</v>
      </c>
      <c r="X1671" s="611" t="str">
        <f t="shared" ref="X1671:X1672" si="164">IF(C1671&lt;&gt;"",C1671,D1671)</f>
        <v>DS</v>
      </c>
      <c r="Y1671" s="612" t="str">
        <f>SUBSTITUTE(Tabla1[[#This Row],[Descripción]],CHAR(10),"    I    ")</f>
        <v>Desarrollo de servicios para prueba reactiva</v>
      </c>
      <c r="Z1671" s="613">
        <f>VLOOKUP(Tabla1[[#This Row],[Perfil]],Catalogos!$B$75:$D$100,3,FALSE)*Tabla1[[#This Row],[Tiempo
(Hrs 00/100)]]*1.16</f>
        <v>3248</v>
      </c>
    </row>
    <row r="1672" spans="1:26" ht="15" customHeight="1" x14ac:dyDescent="0.3">
      <c r="A1672" s="530" t="s">
        <v>22</v>
      </c>
      <c r="B1672" s="530" t="s">
        <v>23</v>
      </c>
      <c r="C1672" s="205" t="s">
        <v>155</v>
      </c>
      <c r="D1672" s="382"/>
      <c r="E1672" s="373" t="s">
        <v>375</v>
      </c>
      <c r="F1672" s="370" t="s">
        <v>23</v>
      </c>
      <c r="G1672" s="370" t="s">
        <v>3291</v>
      </c>
      <c r="H1672" s="461" t="s">
        <v>405</v>
      </c>
      <c r="I1672" s="383" t="s">
        <v>2448</v>
      </c>
      <c r="J1672" s="369">
        <v>45198</v>
      </c>
      <c r="K1672" s="747">
        <v>0.375</v>
      </c>
      <c r="L1672" s="369">
        <v>45198</v>
      </c>
      <c r="M1672" s="753">
        <v>0.54166666666666663</v>
      </c>
      <c r="N1672" s="373">
        <v>4</v>
      </c>
      <c r="O1672" s="374" t="s">
        <v>17</v>
      </c>
      <c r="P1672" s="375" t="s">
        <v>412</v>
      </c>
      <c r="Q1672" s="423" t="s">
        <v>208</v>
      </c>
      <c r="R1672" s="202" t="s">
        <v>40</v>
      </c>
      <c r="S1672" s="31" t="s">
        <v>273</v>
      </c>
      <c r="T1672" s="31" t="s">
        <v>273</v>
      </c>
      <c r="U1672" s="31">
        <f>IFERROR(VLOOKUP(CONCATENATE(Tabla1[[#This Row],[Severidad]]," ",Tabla1[[#This Row],[Complejidad]]),Catalogos!E$120:G$128,3,FALSE),"")</f>
        <v>64</v>
      </c>
      <c r="V1672" s="31" t="str">
        <f>IF(Tabla1[[#This Row],[Tiempo solución max (hrs)]]&lt;&gt;"",IF(Tabla1[[#This Row],[Tiempo solución max (hrs)]]&gt;=Tabla1[[#This Row],[Tiempo
(Hrs 00/100)]],"cumple","no cumple"),"")</f>
        <v>cumple</v>
      </c>
      <c r="W1672" s="376" t="s">
        <v>2418</v>
      </c>
      <c r="X1672" s="611" t="str">
        <f t="shared" si="164"/>
        <v>DS</v>
      </c>
      <c r="Y1672" s="612" t="str">
        <f>SUBSTITUTE(Tabla1[[#This Row],[Descripción]],CHAR(10),"    I    ")</f>
        <v>Desarrollo de servicios para prueba reactiva</v>
      </c>
      <c r="Z1672" s="613">
        <f>VLOOKUP(Tabla1[[#This Row],[Perfil]],Catalogos!$B$75:$D$100,3,FALSE)*Tabla1[[#This Row],[Tiempo
(Hrs 00/100)]]*1.16</f>
        <v>3248</v>
      </c>
    </row>
    <row r="1673" spans="1:26" ht="15" customHeight="1" x14ac:dyDescent="0.3">
      <c r="A1673" s="614" t="s">
        <v>58</v>
      </c>
      <c r="B1673" s="373" t="s">
        <v>305</v>
      </c>
      <c r="C1673" s="489" t="s">
        <v>155</v>
      </c>
      <c r="D1673" s="373"/>
      <c r="E1673" s="373" t="s">
        <v>1399</v>
      </c>
      <c r="F1673" s="373" t="s">
        <v>74</v>
      </c>
      <c r="G1673" s="373" t="s">
        <v>2452</v>
      </c>
      <c r="H1673" s="461" t="s">
        <v>2453</v>
      </c>
      <c r="I1673" s="538" t="s">
        <v>2454</v>
      </c>
      <c r="J1673" s="527">
        <v>45170</v>
      </c>
      <c r="K1673" s="747">
        <v>0.375</v>
      </c>
      <c r="L1673" s="527">
        <v>45170</v>
      </c>
      <c r="M1673" s="772">
        <v>0.83333333333333337</v>
      </c>
      <c r="N1673" s="373">
        <v>9</v>
      </c>
      <c r="O1673" s="184" t="s">
        <v>411</v>
      </c>
      <c r="P1673" s="375" t="s">
        <v>2455</v>
      </c>
      <c r="Q1673" s="615" t="s">
        <v>1442</v>
      </c>
      <c r="R1673" s="616" t="s">
        <v>79</v>
      </c>
      <c r="S1673" s="31" t="s">
        <v>273</v>
      </c>
      <c r="T1673" s="31" t="s">
        <v>273</v>
      </c>
      <c r="U1673" s="31">
        <f>IFERROR(VLOOKUP(CONCATENATE(Tabla1[[#This Row],[Severidad]]," ",Tabla1[[#This Row],[Complejidad]]),Catalogos!E$120:G$128,3,FALSE),"")</f>
        <v>64</v>
      </c>
      <c r="V1673" s="31" t="str">
        <f>IF(Tabla1[[#This Row],[Tiempo solución max (hrs)]]&lt;&gt;"",IF(Tabla1[[#This Row],[Tiempo solución max (hrs)]]&gt;=Tabla1[[#This Row],[Tiempo
(Hrs 00/100)]],"cumple","no cumple"),"")</f>
        <v>cumple</v>
      </c>
      <c r="W1673" s="376" t="s">
        <v>2418</v>
      </c>
      <c r="X1673" s="611" t="str">
        <f t="shared" si="154"/>
        <v>DS</v>
      </c>
      <c r="Y1673" s="612" t="str">
        <f>SUBSTITUTE(Tabla1[[#This Row],[Descripción]],CHAR(10),"    I    ")</f>
        <v>Se instalo y configuro sonarqube para el CI/CD</v>
      </c>
      <c r="Z1673" s="613">
        <f>VLOOKUP(Tabla1[[#This Row],[Perfil]],Catalogos!$B$75:$D$100,3,FALSE)*Tabla1[[#This Row],[Tiempo
(Hrs 00/100)]]*1.16</f>
        <v>6264</v>
      </c>
    </row>
    <row r="1674" spans="1:26" ht="15" customHeight="1" x14ac:dyDescent="0.3">
      <c r="A1674" s="614" t="s">
        <v>58</v>
      </c>
      <c r="B1674" s="373" t="s">
        <v>305</v>
      </c>
      <c r="C1674" s="489" t="s">
        <v>155</v>
      </c>
      <c r="D1674" s="373"/>
      <c r="E1674" s="373" t="s">
        <v>1399</v>
      </c>
      <c r="F1674" s="373" t="s">
        <v>74</v>
      </c>
      <c r="G1674" s="373" t="s">
        <v>2452</v>
      </c>
      <c r="H1674" s="461" t="s">
        <v>2453</v>
      </c>
      <c r="I1674" s="538" t="s">
        <v>2454</v>
      </c>
      <c r="J1674" s="527">
        <v>45173</v>
      </c>
      <c r="K1674" s="747">
        <v>0.375</v>
      </c>
      <c r="L1674" s="527">
        <v>45173</v>
      </c>
      <c r="M1674" s="772">
        <v>0.85416666666666663</v>
      </c>
      <c r="N1674" s="373">
        <v>9.5</v>
      </c>
      <c r="O1674" s="184" t="s">
        <v>411</v>
      </c>
      <c r="P1674" s="375" t="s">
        <v>2455</v>
      </c>
      <c r="Q1674" s="615" t="s">
        <v>1442</v>
      </c>
      <c r="R1674" s="616" t="s">
        <v>79</v>
      </c>
      <c r="S1674" s="31" t="s">
        <v>273</v>
      </c>
      <c r="T1674" s="31" t="s">
        <v>273</v>
      </c>
      <c r="U1674" s="31">
        <f>IFERROR(VLOOKUP(CONCATENATE(Tabla1[[#This Row],[Severidad]]," ",Tabla1[[#This Row],[Complejidad]]),Catalogos!E$120:G$128,3,FALSE),"")</f>
        <v>64</v>
      </c>
      <c r="V1674" s="31" t="str">
        <f>IF(Tabla1[[#This Row],[Tiempo solución max (hrs)]]&lt;&gt;"",IF(Tabla1[[#This Row],[Tiempo solución max (hrs)]]&gt;=Tabla1[[#This Row],[Tiempo
(Hrs 00/100)]],"cumple","no cumple"),"")</f>
        <v>cumple</v>
      </c>
      <c r="W1674" s="376" t="s">
        <v>2418</v>
      </c>
      <c r="X1674" s="611" t="str">
        <f t="shared" ref="X1674:X1678" si="165">IF(C1674&lt;&gt;"",C1674,D1674)</f>
        <v>DS</v>
      </c>
      <c r="Y1674" s="612" t="str">
        <f>SUBSTITUTE(Tabla1[[#This Row],[Descripción]],CHAR(10),"    I    ")</f>
        <v>Se instalo y configuro sonarqube para el CI/CD</v>
      </c>
      <c r="Z1674" s="613">
        <f>VLOOKUP(Tabla1[[#This Row],[Perfil]],Catalogos!$B$75:$D$100,3,FALSE)*Tabla1[[#This Row],[Tiempo
(Hrs 00/100)]]*1.16</f>
        <v>6611.9999999999991</v>
      </c>
    </row>
    <row r="1675" spans="1:26" ht="15" customHeight="1" x14ac:dyDescent="0.3">
      <c r="A1675" s="614" t="s">
        <v>58</v>
      </c>
      <c r="B1675" s="373" t="s">
        <v>305</v>
      </c>
      <c r="C1675" s="489" t="s">
        <v>155</v>
      </c>
      <c r="D1675" s="373"/>
      <c r="E1675" s="373" t="s">
        <v>1399</v>
      </c>
      <c r="F1675" s="373" t="s">
        <v>74</v>
      </c>
      <c r="G1675" s="373" t="s">
        <v>2452</v>
      </c>
      <c r="H1675" s="461" t="s">
        <v>2453</v>
      </c>
      <c r="I1675" s="538" t="s">
        <v>2454</v>
      </c>
      <c r="J1675" s="527">
        <v>45174</v>
      </c>
      <c r="K1675" s="747">
        <v>0.375</v>
      </c>
      <c r="L1675" s="527">
        <v>45174</v>
      </c>
      <c r="M1675" s="772">
        <v>0.85416666666666663</v>
      </c>
      <c r="N1675" s="373">
        <v>9.5</v>
      </c>
      <c r="O1675" s="184" t="s">
        <v>411</v>
      </c>
      <c r="P1675" s="375" t="s">
        <v>2455</v>
      </c>
      <c r="Q1675" s="615" t="s">
        <v>1442</v>
      </c>
      <c r="R1675" s="616" t="s">
        <v>79</v>
      </c>
      <c r="S1675" s="31" t="s">
        <v>273</v>
      </c>
      <c r="T1675" s="31" t="s">
        <v>273</v>
      </c>
      <c r="U1675" s="31">
        <f>IFERROR(VLOOKUP(CONCATENATE(Tabla1[[#This Row],[Severidad]]," ",Tabla1[[#This Row],[Complejidad]]),Catalogos!E$120:G$128,3,FALSE),"")</f>
        <v>64</v>
      </c>
      <c r="V1675" s="31" t="str">
        <f>IF(Tabla1[[#This Row],[Tiempo solución max (hrs)]]&lt;&gt;"",IF(Tabla1[[#This Row],[Tiempo solución max (hrs)]]&gt;=Tabla1[[#This Row],[Tiempo
(Hrs 00/100)]],"cumple","no cumple"),"")</f>
        <v>cumple</v>
      </c>
      <c r="W1675" s="376" t="s">
        <v>2418</v>
      </c>
      <c r="X1675" s="611" t="str">
        <f t="shared" si="165"/>
        <v>DS</v>
      </c>
      <c r="Y1675" s="612" t="str">
        <f>SUBSTITUTE(Tabla1[[#This Row],[Descripción]],CHAR(10),"    I    ")</f>
        <v>Se instalo y configuro sonarqube para el CI/CD</v>
      </c>
      <c r="Z1675" s="613">
        <f>VLOOKUP(Tabla1[[#This Row],[Perfil]],Catalogos!$B$75:$D$100,3,FALSE)*Tabla1[[#This Row],[Tiempo
(Hrs 00/100)]]*1.16</f>
        <v>6611.9999999999991</v>
      </c>
    </row>
    <row r="1676" spans="1:26" ht="15" customHeight="1" x14ac:dyDescent="0.3">
      <c r="A1676" s="614" t="s">
        <v>58</v>
      </c>
      <c r="B1676" s="373" t="s">
        <v>305</v>
      </c>
      <c r="C1676" s="489" t="s">
        <v>155</v>
      </c>
      <c r="D1676" s="373"/>
      <c r="E1676" s="373" t="s">
        <v>1399</v>
      </c>
      <c r="F1676" s="373" t="s">
        <v>74</v>
      </c>
      <c r="G1676" s="373" t="s">
        <v>2452</v>
      </c>
      <c r="H1676" s="461" t="s">
        <v>2453</v>
      </c>
      <c r="I1676" s="538" t="s">
        <v>2454</v>
      </c>
      <c r="J1676" s="527">
        <v>45175</v>
      </c>
      <c r="K1676" s="747">
        <v>0.375</v>
      </c>
      <c r="L1676" s="527">
        <v>45175</v>
      </c>
      <c r="M1676" s="772">
        <v>0.85416666666666663</v>
      </c>
      <c r="N1676" s="373">
        <v>9.5</v>
      </c>
      <c r="O1676" s="184" t="s">
        <v>411</v>
      </c>
      <c r="P1676" s="375" t="s">
        <v>2455</v>
      </c>
      <c r="Q1676" s="615" t="s">
        <v>1442</v>
      </c>
      <c r="R1676" s="616" t="s">
        <v>79</v>
      </c>
      <c r="S1676" s="31" t="s">
        <v>273</v>
      </c>
      <c r="T1676" s="31" t="s">
        <v>273</v>
      </c>
      <c r="U1676" s="31">
        <f>IFERROR(VLOOKUP(CONCATENATE(Tabla1[[#This Row],[Severidad]]," ",Tabla1[[#This Row],[Complejidad]]),Catalogos!E$120:G$128,3,FALSE),"")</f>
        <v>64</v>
      </c>
      <c r="V1676" s="31" t="str">
        <f>IF(Tabla1[[#This Row],[Tiempo solución max (hrs)]]&lt;&gt;"",IF(Tabla1[[#This Row],[Tiempo solución max (hrs)]]&gt;=Tabla1[[#This Row],[Tiempo
(Hrs 00/100)]],"cumple","no cumple"),"")</f>
        <v>cumple</v>
      </c>
      <c r="W1676" s="376" t="s">
        <v>2418</v>
      </c>
      <c r="X1676" s="611" t="str">
        <f t="shared" si="165"/>
        <v>DS</v>
      </c>
      <c r="Y1676" s="612" t="str">
        <f>SUBSTITUTE(Tabla1[[#This Row],[Descripción]],CHAR(10),"    I    ")</f>
        <v>Se instalo y configuro sonarqube para el CI/CD</v>
      </c>
      <c r="Z1676" s="613">
        <f>VLOOKUP(Tabla1[[#This Row],[Perfil]],Catalogos!$B$75:$D$100,3,FALSE)*Tabla1[[#This Row],[Tiempo
(Hrs 00/100)]]*1.16</f>
        <v>6611.9999999999991</v>
      </c>
    </row>
    <row r="1677" spans="1:26" ht="15" customHeight="1" x14ac:dyDescent="0.3">
      <c r="A1677" s="614" t="s">
        <v>58</v>
      </c>
      <c r="B1677" s="373" t="s">
        <v>305</v>
      </c>
      <c r="C1677" s="489" t="s">
        <v>155</v>
      </c>
      <c r="D1677" s="373"/>
      <c r="E1677" s="373" t="s">
        <v>1399</v>
      </c>
      <c r="F1677" s="373" t="s">
        <v>74</v>
      </c>
      <c r="G1677" s="373" t="s">
        <v>2452</v>
      </c>
      <c r="H1677" s="461" t="s">
        <v>2453</v>
      </c>
      <c r="I1677" s="538" t="s">
        <v>2454</v>
      </c>
      <c r="J1677" s="527">
        <v>45176</v>
      </c>
      <c r="K1677" s="747">
        <v>0.375</v>
      </c>
      <c r="L1677" s="527">
        <v>45176</v>
      </c>
      <c r="M1677" s="772">
        <v>0.83333333333333337</v>
      </c>
      <c r="N1677" s="373">
        <v>9</v>
      </c>
      <c r="O1677" s="184" t="s">
        <v>411</v>
      </c>
      <c r="P1677" s="375" t="s">
        <v>2455</v>
      </c>
      <c r="Q1677" s="615" t="s">
        <v>1442</v>
      </c>
      <c r="R1677" s="616" t="s">
        <v>79</v>
      </c>
      <c r="S1677" s="31" t="s">
        <v>273</v>
      </c>
      <c r="T1677" s="31" t="s">
        <v>273</v>
      </c>
      <c r="U1677" s="31">
        <f>IFERROR(VLOOKUP(CONCATENATE(Tabla1[[#This Row],[Severidad]]," ",Tabla1[[#This Row],[Complejidad]]),Catalogos!E$120:G$128,3,FALSE),"")</f>
        <v>64</v>
      </c>
      <c r="V1677" s="31" t="str">
        <f>IF(Tabla1[[#This Row],[Tiempo solución max (hrs)]]&lt;&gt;"",IF(Tabla1[[#This Row],[Tiempo solución max (hrs)]]&gt;=Tabla1[[#This Row],[Tiempo
(Hrs 00/100)]],"cumple","no cumple"),"")</f>
        <v>cumple</v>
      </c>
      <c r="W1677" s="376" t="s">
        <v>2418</v>
      </c>
      <c r="X1677" s="611" t="str">
        <f t="shared" si="165"/>
        <v>DS</v>
      </c>
      <c r="Y1677" s="612" t="str">
        <f>SUBSTITUTE(Tabla1[[#This Row],[Descripción]],CHAR(10),"    I    ")</f>
        <v>Se instalo y configuro sonarqube para el CI/CD</v>
      </c>
      <c r="Z1677" s="613">
        <f>VLOOKUP(Tabla1[[#This Row],[Perfil]],Catalogos!$B$75:$D$100,3,FALSE)*Tabla1[[#This Row],[Tiempo
(Hrs 00/100)]]*1.16</f>
        <v>6264</v>
      </c>
    </row>
    <row r="1678" spans="1:26" ht="15" customHeight="1" x14ac:dyDescent="0.3">
      <c r="A1678" s="614" t="s">
        <v>58</v>
      </c>
      <c r="B1678" s="373" t="s">
        <v>305</v>
      </c>
      <c r="C1678" s="489" t="s">
        <v>155</v>
      </c>
      <c r="D1678" s="373"/>
      <c r="E1678" s="373" t="s">
        <v>1399</v>
      </c>
      <c r="F1678" s="373" t="s">
        <v>74</v>
      </c>
      <c r="G1678" s="373" t="s">
        <v>2452</v>
      </c>
      <c r="H1678" s="461" t="s">
        <v>2453</v>
      </c>
      <c r="I1678" s="538" t="s">
        <v>2454</v>
      </c>
      <c r="J1678" s="527">
        <v>45177</v>
      </c>
      <c r="K1678" s="747">
        <v>0.375</v>
      </c>
      <c r="L1678" s="527">
        <v>45177</v>
      </c>
      <c r="M1678" s="772">
        <v>0.83333333333333337</v>
      </c>
      <c r="N1678" s="373">
        <v>9</v>
      </c>
      <c r="O1678" s="184" t="s">
        <v>17</v>
      </c>
      <c r="P1678" s="375" t="s">
        <v>2455</v>
      </c>
      <c r="Q1678" s="615" t="s">
        <v>1442</v>
      </c>
      <c r="R1678" s="616" t="s">
        <v>79</v>
      </c>
      <c r="S1678" s="31" t="s">
        <v>273</v>
      </c>
      <c r="T1678" s="31" t="s">
        <v>273</v>
      </c>
      <c r="U1678" s="31">
        <f>IFERROR(VLOOKUP(CONCATENATE(Tabla1[[#This Row],[Severidad]]," ",Tabla1[[#This Row],[Complejidad]]),Catalogos!E$120:G$128,3,FALSE),"")</f>
        <v>64</v>
      </c>
      <c r="V1678" s="31" t="str">
        <f>IF(Tabla1[[#This Row],[Tiempo solución max (hrs)]]&lt;&gt;"",IF(Tabla1[[#This Row],[Tiempo solución max (hrs)]]&gt;=Tabla1[[#This Row],[Tiempo
(Hrs 00/100)]],"cumple","no cumple"),"")</f>
        <v>cumple</v>
      </c>
      <c r="W1678" s="376" t="s">
        <v>2418</v>
      </c>
      <c r="X1678" s="611" t="str">
        <f t="shared" si="165"/>
        <v>DS</v>
      </c>
      <c r="Y1678" s="612" t="str">
        <f>SUBSTITUTE(Tabla1[[#This Row],[Descripción]],CHAR(10),"    I    ")</f>
        <v>Se instalo y configuro sonarqube para el CI/CD</v>
      </c>
      <c r="Z1678" s="613">
        <f>VLOOKUP(Tabla1[[#This Row],[Perfil]],Catalogos!$B$75:$D$100,3,FALSE)*Tabla1[[#This Row],[Tiempo
(Hrs 00/100)]]*1.16</f>
        <v>6264</v>
      </c>
    </row>
    <row r="1679" spans="1:26" ht="15" customHeight="1" x14ac:dyDescent="0.3">
      <c r="A1679" s="617" t="s">
        <v>58</v>
      </c>
      <c r="B1679" s="618" t="s">
        <v>305</v>
      </c>
      <c r="C1679" s="489" t="s">
        <v>155</v>
      </c>
      <c r="D1679" s="373"/>
      <c r="E1679" s="373" t="s">
        <v>1399</v>
      </c>
      <c r="F1679" s="373" t="s">
        <v>74</v>
      </c>
      <c r="G1679" s="373" t="s">
        <v>2456</v>
      </c>
      <c r="H1679" s="461" t="s">
        <v>2457</v>
      </c>
      <c r="I1679" s="538" t="s">
        <v>2458</v>
      </c>
      <c r="J1679" s="527">
        <v>45180</v>
      </c>
      <c r="K1679" s="747">
        <v>0.375</v>
      </c>
      <c r="L1679" s="527">
        <v>45180</v>
      </c>
      <c r="M1679" s="772">
        <v>0.83333333333333337</v>
      </c>
      <c r="N1679" s="373">
        <v>9</v>
      </c>
      <c r="O1679" s="184" t="s">
        <v>17</v>
      </c>
      <c r="P1679" s="375" t="s">
        <v>2459</v>
      </c>
      <c r="Q1679" s="615" t="s">
        <v>1442</v>
      </c>
      <c r="R1679" s="616" t="s">
        <v>79</v>
      </c>
      <c r="S1679" s="31" t="s">
        <v>273</v>
      </c>
      <c r="T1679" s="31" t="s">
        <v>273</v>
      </c>
      <c r="U1679" s="31">
        <f>IFERROR(VLOOKUP(CONCATENATE(Tabla1[[#This Row],[Severidad]]," ",Tabla1[[#This Row],[Complejidad]]),Catalogos!E$120:G$128,3,FALSE),"")</f>
        <v>64</v>
      </c>
      <c r="V1679" s="31" t="str">
        <f>IF(Tabla1[[#This Row],[Tiempo solución max (hrs)]]&lt;&gt;"",IF(Tabla1[[#This Row],[Tiempo solución max (hrs)]]&gt;=Tabla1[[#This Row],[Tiempo
(Hrs 00/100)]],"cumple","no cumple"),"")</f>
        <v>cumple</v>
      </c>
      <c r="W1679" s="376" t="s">
        <v>2418</v>
      </c>
      <c r="X1679" s="611" t="str">
        <f t="shared" si="154"/>
        <v>DS</v>
      </c>
      <c r="Y1679" s="612" t="str">
        <f>SUBSTITUTE(Tabla1[[#This Row],[Descripción]],CHAR(10),"    I    ")</f>
        <v>Se termino de configurar PODMAN y se levanto el servicio de local registry</v>
      </c>
      <c r="Z1679" s="613">
        <f>VLOOKUP(Tabla1[[#This Row],[Perfil]],Catalogos!$B$75:$D$100,3,FALSE)*Tabla1[[#This Row],[Tiempo
(Hrs 00/100)]]*1.16</f>
        <v>6264</v>
      </c>
    </row>
    <row r="1680" spans="1:26" ht="15" customHeight="1" x14ac:dyDescent="0.3">
      <c r="A1680" s="617" t="s">
        <v>58</v>
      </c>
      <c r="B1680" s="618" t="s">
        <v>305</v>
      </c>
      <c r="C1680" s="489" t="s">
        <v>155</v>
      </c>
      <c r="D1680" s="373"/>
      <c r="E1680" s="373" t="s">
        <v>1399</v>
      </c>
      <c r="F1680" s="373" t="s">
        <v>74</v>
      </c>
      <c r="G1680" s="373" t="s">
        <v>2456</v>
      </c>
      <c r="H1680" s="461" t="s">
        <v>2457</v>
      </c>
      <c r="I1680" s="538" t="s">
        <v>2458</v>
      </c>
      <c r="J1680" s="527">
        <v>45181</v>
      </c>
      <c r="K1680" s="747">
        <v>0.375</v>
      </c>
      <c r="L1680" s="527">
        <v>45181</v>
      </c>
      <c r="M1680" s="772">
        <v>0.83333333333333337</v>
      </c>
      <c r="N1680" s="373">
        <v>9</v>
      </c>
      <c r="O1680" s="184" t="s">
        <v>17</v>
      </c>
      <c r="P1680" s="375" t="s">
        <v>2459</v>
      </c>
      <c r="Q1680" s="615" t="s">
        <v>1442</v>
      </c>
      <c r="R1680" s="616" t="s">
        <v>79</v>
      </c>
      <c r="S1680" s="31" t="s">
        <v>273</v>
      </c>
      <c r="T1680" s="31" t="s">
        <v>273</v>
      </c>
      <c r="U1680" s="31">
        <f>IFERROR(VLOOKUP(CONCATENATE(Tabla1[[#This Row],[Severidad]]," ",Tabla1[[#This Row],[Complejidad]]),Catalogos!E$120:G$128,3,FALSE),"")</f>
        <v>64</v>
      </c>
      <c r="V1680" s="31" t="str">
        <f>IF(Tabla1[[#This Row],[Tiempo solución max (hrs)]]&lt;&gt;"",IF(Tabla1[[#This Row],[Tiempo solución max (hrs)]]&gt;=Tabla1[[#This Row],[Tiempo
(Hrs 00/100)]],"cumple","no cumple"),"")</f>
        <v>cumple</v>
      </c>
      <c r="W1680" s="376" t="s">
        <v>2418</v>
      </c>
      <c r="X1680" s="611" t="str">
        <f t="shared" ref="X1680:X1681" si="166">IF(C1680&lt;&gt;"",C1680,D1680)</f>
        <v>DS</v>
      </c>
      <c r="Y1680" s="612" t="str">
        <f>SUBSTITUTE(Tabla1[[#This Row],[Descripción]],CHAR(10),"    I    ")</f>
        <v>Se termino de configurar PODMAN y se levanto el servicio de local registry</v>
      </c>
      <c r="Z1680" s="613">
        <f>VLOOKUP(Tabla1[[#This Row],[Perfil]],Catalogos!$B$75:$D$100,3,FALSE)*Tabla1[[#This Row],[Tiempo
(Hrs 00/100)]]*1.16</f>
        <v>6264</v>
      </c>
    </row>
    <row r="1681" spans="1:26" ht="15" customHeight="1" x14ac:dyDescent="0.3">
      <c r="A1681" s="617" t="s">
        <v>58</v>
      </c>
      <c r="B1681" s="618" t="s">
        <v>305</v>
      </c>
      <c r="C1681" s="489" t="s">
        <v>155</v>
      </c>
      <c r="D1681" s="373"/>
      <c r="E1681" s="373" t="s">
        <v>1399</v>
      </c>
      <c r="F1681" s="373" t="s">
        <v>74</v>
      </c>
      <c r="G1681" s="373" t="s">
        <v>2456</v>
      </c>
      <c r="H1681" s="461" t="s">
        <v>2457</v>
      </c>
      <c r="I1681" s="538" t="s">
        <v>2458</v>
      </c>
      <c r="J1681" s="527">
        <v>45182</v>
      </c>
      <c r="K1681" s="747">
        <v>0.375</v>
      </c>
      <c r="L1681" s="527">
        <v>45182</v>
      </c>
      <c r="M1681" s="772">
        <v>0.83333333333333337</v>
      </c>
      <c r="N1681" s="373">
        <v>9</v>
      </c>
      <c r="O1681" s="184" t="s">
        <v>17</v>
      </c>
      <c r="P1681" s="375" t="s">
        <v>2459</v>
      </c>
      <c r="Q1681" s="615" t="s">
        <v>1442</v>
      </c>
      <c r="R1681" s="616" t="s">
        <v>79</v>
      </c>
      <c r="S1681" s="31" t="s">
        <v>273</v>
      </c>
      <c r="T1681" s="31" t="s">
        <v>273</v>
      </c>
      <c r="U1681" s="31">
        <f>IFERROR(VLOOKUP(CONCATENATE(Tabla1[[#This Row],[Severidad]]," ",Tabla1[[#This Row],[Complejidad]]),Catalogos!E$120:G$128,3,FALSE),"")</f>
        <v>64</v>
      </c>
      <c r="V1681" s="31" t="str">
        <f>IF(Tabla1[[#This Row],[Tiempo solución max (hrs)]]&lt;&gt;"",IF(Tabla1[[#This Row],[Tiempo solución max (hrs)]]&gt;=Tabla1[[#This Row],[Tiempo
(Hrs 00/100)]],"cumple","no cumple"),"")</f>
        <v>cumple</v>
      </c>
      <c r="W1681" s="376" t="s">
        <v>2418</v>
      </c>
      <c r="X1681" s="611" t="str">
        <f t="shared" si="166"/>
        <v>DS</v>
      </c>
      <c r="Y1681" s="612" t="str">
        <f>SUBSTITUTE(Tabla1[[#This Row],[Descripción]],CHAR(10),"    I    ")</f>
        <v>Se termino de configurar PODMAN y se levanto el servicio de local registry</v>
      </c>
      <c r="Z1681" s="613">
        <f>VLOOKUP(Tabla1[[#This Row],[Perfil]],Catalogos!$B$75:$D$100,3,FALSE)*Tabla1[[#This Row],[Tiempo
(Hrs 00/100)]]*1.16</f>
        <v>6264</v>
      </c>
    </row>
    <row r="1682" spans="1:26" ht="15" customHeight="1" x14ac:dyDescent="0.3">
      <c r="A1682" s="619" t="s">
        <v>58</v>
      </c>
      <c r="B1682" s="373" t="s">
        <v>305</v>
      </c>
      <c r="C1682" s="489" t="s">
        <v>155</v>
      </c>
      <c r="D1682" s="373"/>
      <c r="E1682" s="373" t="s">
        <v>1399</v>
      </c>
      <c r="F1682" s="373" t="s">
        <v>74</v>
      </c>
      <c r="G1682" s="373" t="s">
        <v>2460</v>
      </c>
      <c r="H1682" s="461" t="s">
        <v>1841</v>
      </c>
      <c r="I1682" s="538" t="s">
        <v>2461</v>
      </c>
      <c r="J1682" s="527">
        <v>45183</v>
      </c>
      <c r="K1682" s="747">
        <v>0.375</v>
      </c>
      <c r="L1682" s="527">
        <v>45183</v>
      </c>
      <c r="M1682" s="772">
        <v>0.83333333333333337</v>
      </c>
      <c r="N1682" s="373">
        <v>9</v>
      </c>
      <c r="O1682" s="184" t="s">
        <v>411</v>
      </c>
      <c r="P1682" s="375" t="s">
        <v>2462</v>
      </c>
      <c r="Q1682" s="615" t="s">
        <v>1442</v>
      </c>
      <c r="R1682" s="616" t="s">
        <v>79</v>
      </c>
      <c r="S1682" s="31" t="s">
        <v>273</v>
      </c>
      <c r="T1682" s="31" t="s">
        <v>273</v>
      </c>
      <c r="U1682" s="31">
        <f>IFERROR(VLOOKUP(CONCATENATE(Tabla1[[#This Row],[Severidad]]," ",Tabla1[[#This Row],[Complejidad]]),Catalogos!E$120:G$128,3,FALSE),"")</f>
        <v>64</v>
      </c>
      <c r="V1682" s="31" t="str">
        <f>IF(Tabla1[[#This Row],[Tiempo solución max (hrs)]]&lt;&gt;"",IF(Tabla1[[#This Row],[Tiempo solución max (hrs)]]&gt;=Tabla1[[#This Row],[Tiempo
(Hrs 00/100)]],"cumple","no cumple"),"")</f>
        <v>cumple</v>
      </c>
      <c r="W1682" s="376" t="s">
        <v>2418</v>
      </c>
      <c r="X1682" s="611" t="str">
        <f t="shared" ref="X1682:X1718" si="167">IF(C1682&lt;&gt;"",C1682,D1682)</f>
        <v>DS</v>
      </c>
      <c r="Y1682" s="612" t="str">
        <f>SUBSTITUTE(Tabla1[[#This Row],[Descripción]],CHAR(10),"    I    ")</f>
        <v>Se actualizo ya que es un herramienta que constantemente tiene actualizaciones y siempre hay que mantenerlo en la ultima version</v>
      </c>
      <c r="Z1682" s="613">
        <f>VLOOKUP(Tabla1[[#This Row],[Perfil]],Catalogos!$B$75:$D$100,3,FALSE)*Tabla1[[#This Row],[Tiempo
(Hrs 00/100)]]*1.16</f>
        <v>6264</v>
      </c>
    </row>
    <row r="1683" spans="1:26" ht="15" customHeight="1" x14ac:dyDescent="0.3">
      <c r="A1683" s="619" t="s">
        <v>58</v>
      </c>
      <c r="B1683" s="373" t="s">
        <v>305</v>
      </c>
      <c r="C1683" s="489" t="s">
        <v>155</v>
      </c>
      <c r="D1683" s="373"/>
      <c r="E1683" s="373" t="s">
        <v>1399</v>
      </c>
      <c r="F1683" s="373" t="s">
        <v>74</v>
      </c>
      <c r="G1683" s="373" t="s">
        <v>2460</v>
      </c>
      <c r="H1683" s="461" t="s">
        <v>1841</v>
      </c>
      <c r="I1683" s="538" t="s">
        <v>2461</v>
      </c>
      <c r="J1683" s="527">
        <v>45184</v>
      </c>
      <c r="K1683" s="747">
        <v>0.375</v>
      </c>
      <c r="L1683" s="527">
        <v>45184</v>
      </c>
      <c r="M1683" s="772">
        <v>0.83333333333333337</v>
      </c>
      <c r="N1683" s="373">
        <v>9</v>
      </c>
      <c r="O1683" s="184" t="s">
        <v>17</v>
      </c>
      <c r="P1683" s="375" t="s">
        <v>2462</v>
      </c>
      <c r="Q1683" s="615" t="s">
        <v>1442</v>
      </c>
      <c r="R1683" s="616" t="s">
        <v>79</v>
      </c>
      <c r="S1683" s="31" t="s">
        <v>273</v>
      </c>
      <c r="T1683" s="31" t="s">
        <v>273</v>
      </c>
      <c r="U1683" s="31">
        <f>IFERROR(VLOOKUP(CONCATENATE(Tabla1[[#This Row],[Severidad]]," ",Tabla1[[#This Row],[Complejidad]]),Catalogos!E$120:G$128,3,FALSE),"")</f>
        <v>64</v>
      </c>
      <c r="V1683" s="31" t="str">
        <f>IF(Tabla1[[#This Row],[Tiempo solución max (hrs)]]&lt;&gt;"",IF(Tabla1[[#This Row],[Tiempo solución max (hrs)]]&gt;=Tabla1[[#This Row],[Tiempo
(Hrs 00/100)]],"cumple","no cumple"),"")</f>
        <v>cumple</v>
      </c>
      <c r="W1683" s="376" t="s">
        <v>2418</v>
      </c>
      <c r="X1683" s="611" t="str">
        <f t="shared" ref="X1683" si="168">IF(C1683&lt;&gt;"",C1683,D1683)</f>
        <v>DS</v>
      </c>
      <c r="Y1683" s="612" t="str">
        <f>SUBSTITUTE(Tabla1[[#This Row],[Descripción]],CHAR(10),"    I    ")</f>
        <v>Se actualizo ya que es un herramienta que constantemente tiene actualizaciones y siempre hay que mantenerlo en la ultima version</v>
      </c>
      <c r="Z1683" s="613">
        <f>VLOOKUP(Tabla1[[#This Row],[Perfil]],Catalogos!$B$75:$D$100,3,FALSE)*Tabla1[[#This Row],[Tiempo
(Hrs 00/100)]]*1.16</f>
        <v>6264</v>
      </c>
    </row>
    <row r="1684" spans="1:26" ht="15" customHeight="1" x14ac:dyDescent="0.3">
      <c r="A1684" s="373" t="s">
        <v>58</v>
      </c>
      <c r="B1684" s="373" t="s">
        <v>305</v>
      </c>
      <c r="C1684" s="489" t="s">
        <v>155</v>
      </c>
      <c r="D1684" s="373"/>
      <c r="E1684" s="373" t="s">
        <v>1399</v>
      </c>
      <c r="F1684" s="373" t="s">
        <v>74</v>
      </c>
      <c r="G1684" s="373" t="s">
        <v>2463</v>
      </c>
      <c r="H1684" s="461" t="s">
        <v>2464</v>
      </c>
      <c r="I1684" s="538" t="s">
        <v>2465</v>
      </c>
      <c r="J1684" s="527">
        <v>45187</v>
      </c>
      <c r="K1684" s="747">
        <v>0.375</v>
      </c>
      <c r="L1684" s="527">
        <v>45187</v>
      </c>
      <c r="M1684" s="772">
        <v>0.83333333333333337</v>
      </c>
      <c r="N1684" s="373">
        <v>9</v>
      </c>
      <c r="O1684" s="184" t="s">
        <v>17</v>
      </c>
      <c r="P1684" s="375" t="s">
        <v>2462</v>
      </c>
      <c r="Q1684" s="615" t="s">
        <v>1442</v>
      </c>
      <c r="R1684" s="616" t="s">
        <v>79</v>
      </c>
      <c r="S1684" s="31" t="s">
        <v>273</v>
      </c>
      <c r="T1684" s="31" t="s">
        <v>273</v>
      </c>
      <c r="U1684" s="31">
        <f>IFERROR(VLOOKUP(CONCATENATE(Tabla1[[#This Row],[Severidad]]," ",Tabla1[[#This Row],[Complejidad]]),Catalogos!E$120:G$128,3,FALSE),"")</f>
        <v>64</v>
      </c>
      <c r="V1684" s="31" t="str">
        <f>IF(Tabla1[[#This Row],[Tiempo solución max (hrs)]]&lt;&gt;"",IF(Tabla1[[#This Row],[Tiempo solución max (hrs)]]&gt;=Tabla1[[#This Row],[Tiempo
(Hrs 00/100)]],"cumple","no cumple"),"")</f>
        <v>cumple</v>
      </c>
      <c r="W1684" s="376" t="s">
        <v>2418</v>
      </c>
      <c r="X1684" s="611" t="str">
        <f t="shared" si="167"/>
        <v>DS</v>
      </c>
      <c r="Y1684" s="612" t="str">
        <f>SUBSTITUTE(Tabla1[[#This Row],[Descripción]],CHAR(10),"    I    ")</f>
        <v>Al igual los plugins contstantemente piden actualizar, y lo mas recomendado es actualizarlos</v>
      </c>
      <c r="Z1684" s="613">
        <f>VLOOKUP(Tabla1[[#This Row],[Perfil]],Catalogos!$B$75:$D$100,3,FALSE)*Tabla1[[#This Row],[Tiempo
(Hrs 00/100)]]*1.16</f>
        <v>6264</v>
      </c>
    </row>
    <row r="1685" spans="1:26" ht="15" customHeight="1" x14ac:dyDescent="0.3">
      <c r="A1685" s="373" t="s">
        <v>58</v>
      </c>
      <c r="B1685" s="373" t="s">
        <v>305</v>
      </c>
      <c r="C1685" s="489" t="s">
        <v>155</v>
      </c>
      <c r="D1685" s="373"/>
      <c r="E1685" s="373" t="s">
        <v>1399</v>
      </c>
      <c r="F1685" s="373" t="s">
        <v>74</v>
      </c>
      <c r="G1685" s="373" t="s">
        <v>2466</v>
      </c>
      <c r="H1685" s="461" t="s">
        <v>2467</v>
      </c>
      <c r="I1685" s="538" t="s">
        <v>2468</v>
      </c>
      <c r="J1685" s="527">
        <v>45188</v>
      </c>
      <c r="K1685" s="747">
        <v>0.375</v>
      </c>
      <c r="L1685" s="527">
        <v>45188</v>
      </c>
      <c r="M1685" s="772">
        <v>0.83333333333333337</v>
      </c>
      <c r="N1685" s="373">
        <v>9</v>
      </c>
      <c r="O1685" s="184" t="s">
        <v>411</v>
      </c>
      <c r="P1685" s="375" t="s">
        <v>2462</v>
      </c>
      <c r="Q1685" s="615" t="s">
        <v>1442</v>
      </c>
      <c r="R1685" s="616" t="s">
        <v>79</v>
      </c>
      <c r="S1685" s="31" t="s">
        <v>273</v>
      </c>
      <c r="T1685" s="31" t="s">
        <v>273</v>
      </c>
      <c r="U1685" s="31">
        <f>IFERROR(VLOOKUP(CONCATENATE(Tabla1[[#This Row],[Severidad]]," ",Tabla1[[#This Row],[Complejidad]]),Catalogos!E$120:G$128,3,FALSE),"")</f>
        <v>64</v>
      </c>
      <c r="V1685" s="31" t="str">
        <f>IF(Tabla1[[#This Row],[Tiempo solución max (hrs)]]&lt;&gt;"",IF(Tabla1[[#This Row],[Tiempo solución max (hrs)]]&gt;=Tabla1[[#This Row],[Tiempo
(Hrs 00/100)]],"cumple","no cumple"),"")</f>
        <v>cumple</v>
      </c>
      <c r="W1685" s="376" t="s">
        <v>2418</v>
      </c>
      <c r="X1685" s="611" t="str">
        <f t="shared" si="167"/>
        <v>DS</v>
      </c>
      <c r="Y1685" s="612" t="str">
        <f>SUBSTITUTE(Tabla1[[#This Row],[Descripción]],CHAR(10),"    I    ")</f>
        <v>Se configuro jenkins en tools para que sepa donde esta el sonarcube scanner para que lo podamos utilizar en los pipelines</v>
      </c>
      <c r="Z1685" s="613">
        <f>VLOOKUP(Tabla1[[#This Row],[Perfil]],Catalogos!$B$75:$D$100,3,FALSE)*Tabla1[[#This Row],[Tiempo
(Hrs 00/100)]]*1.16</f>
        <v>6264</v>
      </c>
    </row>
    <row r="1686" spans="1:26" ht="15" customHeight="1" x14ac:dyDescent="0.3">
      <c r="A1686" s="373" t="s">
        <v>58</v>
      </c>
      <c r="B1686" s="373" t="s">
        <v>305</v>
      </c>
      <c r="C1686" s="489" t="s">
        <v>155</v>
      </c>
      <c r="D1686" s="373"/>
      <c r="E1686" s="373" t="s">
        <v>1399</v>
      </c>
      <c r="F1686" s="373" t="s">
        <v>74</v>
      </c>
      <c r="G1686" s="373" t="s">
        <v>2466</v>
      </c>
      <c r="H1686" s="461" t="s">
        <v>2467</v>
      </c>
      <c r="I1686" s="538" t="s">
        <v>2468</v>
      </c>
      <c r="J1686" s="527">
        <v>45189</v>
      </c>
      <c r="K1686" s="747">
        <v>0.375</v>
      </c>
      <c r="L1686" s="527">
        <v>45189</v>
      </c>
      <c r="M1686" s="772">
        <v>0.83333333333333337</v>
      </c>
      <c r="N1686" s="373">
        <v>9</v>
      </c>
      <c r="O1686" s="184" t="s">
        <v>411</v>
      </c>
      <c r="P1686" s="375" t="s">
        <v>2462</v>
      </c>
      <c r="Q1686" s="615" t="s">
        <v>1442</v>
      </c>
      <c r="R1686" s="616" t="s">
        <v>79</v>
      </c>
      <c r="S1686" s="31" t="s">
        <v>273</v>
      </c>
      <c r="T1686" s="31" t="s">
        <v>273</v>
      </c>
      <c r="U1686" s="31">
        <f>IFERROR(VLOOKUP(CONCATENATE(Tabla1[[#This Row],[Severidad]]," ",Tabla1[[#This Row],[Complejidad]]),Catalogos!E$120:G$128,3,FALSE),"")</f>
        <v>64</v>
      </c>
      <c r="V1686" s="31" t="str">
        <f>IF(Tabla1[[#This Row],[Tiempo solución max (hrs)]]&lt;&gt;"",IF(Tabla1[[#This Row],[Tiempo solución max (hrs)]]&gt;=Tabla1[[#This Row],[Tiempo
(Hrs 00/100)]],"cumple","no cumple"),"")</f>
        <v>cumple</v>
      </c>
      <c r="W1686" s="376" t="s">
        <v>2418</v>
      </c>
      <c r="X1686" s="611" t="str">
        <f t="shared" ref="X1686:X1687" si="169">IF(C1686&lt;&gt;"",C1686,D1686)</f>
        <v>DS</v>
      </c>
      <c r="Y1686" s="612" t="str">
        <f>SUBSTITUTE(Tabla1[[#This Row],[Descripción]],CHAR(10),"    I    ")</f>
        <v>Se configuro jenkins en tools para que sepa donde esta el sonarcube scanner para que lo podamos utilizar en los pipelines</v>
      </c>
      <c r="Z1686" s="613">
        <f>VLOOKUP(Tabla1[[#This Row],[Perfil]],Catalogos!$B$75:$D$100,3,FALSE)*Tabla1[[#This Row],[Tiempo
(Hrs 00/100)]]*1.16</f>
        <v>6264</v>
      </c>
    </row>
    <row r="1687" spans="1:26" ht="15" customHeight="1" x14ac:dyDescent="0.3">
      <c r="A1687" s="373" t="s">
        <v>58</v>
      </c>
      <c r="B1687" s="373" t="s">
        <v>305</v>
      </c>
      <c r="C1687" s="489" t="s">
        <v>155</v>
      </c>
      <c r="D1687" s="373"/>
      <c r="E1687" s="373" t="s">
        <v>1399</v>
      </c>
      <c r="F1687" s="373" t="s">
        <v>74</v>
      </c>
      <c r="G1687" s="373" t="s">
        <v>2466</v>
      </c>
      <c r="H1687" s="461" t="s">
        <v>2467</v>
      </c>
      <c r="I1687" s="538" t="s">
        <v>2468</v>
      </c>
      <c r="J1687" s="527">
        <v>45190</v>
      </c>
      <c r="K1687" s="747">
        <v>0.375</v>
      </c>
      <c r="L1687" s="527">
        <v>45190</v>
      </c>
      <c r="M1687" s="772">
        <v>0.83333333333333337</v>
      </c>
      <c r="N1687" s="373">
        <v>9</v>
      </c>
      <c r="O1687" s="184" t="s">
        <v>17</v>
      </c>
      <c r="P1687" s="375" t="s">
        <v>2462</v>
      </c>
      <c r="Q1687" s="615" t="s">
        <v>1442</v>
      </c>
      <c r="R1687" s="616" t="s">
        <v>79</v>
      </c>
      <c r="S1687" s="31" t="s">
        <v>273</v>
      </c>
      <c r="T1687" s="31" t="s">
        <v>273</v>
      </c>
      <c r="U1687" s="31">
        <f>IFERROR(VLOOKUP(CONCATENATE(Tabla1[[#This Row],[Severidad]]," ",Tabla1[[#This Row],[Complejidad]]),Catalogos!E$120:G$128,3,FALSE),"")</f>
        <v>64</v>
      </c>
      <c r="V1687" s="31" t="str">
        <f>IF(Tabla1[[#This Row],[Tiempo solución max (hrs)]]&lt;&gt;"",IF(Tabla1[[#This Row],[Tiempo solución max (hrs)]]&gt;=Tabla1[[#This Row],[Tiempo
(Hrs 00/100)]],"cumple","no cumple"),"")</f>
        <v>cumple</v>
      </c>
      <c r="W1687" s="376" t="s">
        <v>2418</v>
      </c>
      <c r="X1687" s="611" t="str">
        <f t="shared" si="169"/>
        <v>DS</v>
      </c>
      <c r="Y1687" s="612" t="str">
        <f>SUBSTITUTE(Tabla1[[#This Row],[Descripción]],CHAR(10),"    I    ")</f>
        <v>Se configuro jenkins en tools para que sepa donde esta el sonarcube scanner para que lo podamos utilizar en los pipelines</v>
      </c>
      <c r="Z1687" s="613">
        <f>VLOOKUP(Tabla1[[#This Row],[Perfil]],Catalogos!$B$75:$D$100,3,FALSE)*Tabla1[[#This Row],[Tiempo
(Hrs 00/100)]]*1.16</f>
        <v>6264</v>
      </c>
    </row>
    <row r="1688" spans="1:26" ht="15" customHeight="1" x14ac:dyDescent="0.3">
      <c r="A1688" s="373" t="s">
        <v>58</v>
      </c>
      <c r="B1688" s="373" t="s">
        <v>305</v>
      </c>
      <c r="C1688" s="489" t="s">
        <v>155</v>
      </c>
      <c r="D1688" s="373"/>
      <c r="E1688" s="373" t="s">
        <v>1399</v>
      </c>
      <c r="F1688" s="373" t="s">
        <v>74</v>
      </c>
      <c r="G1688" s="373" t="s">
        <v>2469</v>
      </c>
      <c r="H1688" s="461" t="s">
        <v>2470</v>
      </c>
      <c r="I1688" s="538" t="s">
        <v>2471</v>
      </c>
      <c r="J1688" s="527">
        <v>45191</v>
      </c>
      <c r="K1688" s="747">
        <v>0.375</v>
      </c>
      <c r="L1688" s="527">
        <v>45191</v>
      </c>
      <c r="M1688" s="772">
        <v>0.83333333333333337</v>
      </c>
      <c r="N1688" s="373">
        <v>9</v>
      </c>
      <c r="O1688" s="184" t="s">
        <v>411</v>
      </c>
      <c r="P1688" s="375" t="s">
        <v>2462</v>
      </c>
      <c r="Q1688" s="615" t="s">
        <v>1442</v>
      </c>
      <c r="R1688" s="616" t="s">
        <v>79</v>
      </c>
      <c r="S1688" s="31" t="s">
        <v>273</v>
      </c>
      <c r="T1688" s="31" t="s">
        <v>273</v>
      </c>
      <c r="U1688" s="31">
        <f>IFERROR(VLOOKUP(CONCATENATE(Tabla1[[#This Row],[Severidad]]," ",Tabla1[[#This Row],[Complejidad]]),Catalogos!E$120:G$128,3,FALSE),"")</f>
        <v>64</v>
      </c>
      <c r="V1688" s="31" t="str">
        <f>IF(Tabla1[[#This Row],[Tiempo solución max (hrs)]]&lt;&gt;"",IF(Tabla1[[#This Row],[Tiempo solución max (hrs)]]&gt;=Tabla1[[#This Row],[Tiempo
(Hrs 00/100)]],"cumple","no cumple"),"")</f>
        <v>cumple</v>
      </c>
      <c r="W1688" s="376" t="s">
        <v>2418</v>
      </c>
      <c r="X1688" s="611" t="str">
        <f t="shared" si="167"/>
        <v>DS</v>
      </c>
      <c r="Y1688" s="612" t="str">
        <f>SUBSTITUTE(Tabla1[[#This Row],[Descripción]],CHAR(10),"    I    ")</f>
        <v>Se configuro maven en jenkins para la compilacion de java en los pipelines</v>
      </c>
      <c r="Z1688" s="613">
        <f>VLOOKUP(Tabla1[[#This Row],[Perfil]],Catalogos!$B$75:$D$100,3,FALSE)*Tabla1[[#This Row],[Tiempo
(Hrs 00/100)]]*1.16</f>
        <v>6264</v>
      </c>
    </row>
    <row r="1689" spans="1:26" ht="15" customHeight="1" x14ac:dyDescent="0.3">
      <c r="A1689" s="373" t="s">
        <v>58</v>
      </c>
      <c r="B1689" s="373" t="s">
        <v>305</v>
      </c>
      <c r="C1689" s="489" t="s">
        <v>155</v>
      </c>
      <c r="D1689" s="373"/>
      <c r="E1689" s="373" t="s">
        <v>1399</v>
      </c>
      <c r="F1689" s="373" t="s">
        <v>74</v>
      </c>
      <c r="G1689" s="373" t="s">
        <v>2469</v>
      </c>
      <c r="H1689" s="461" t="s">
        <v>2470</v>
      </c>
      <c r="I1689" s="538" t="s">
        <v>2471</v>
      </c>
      <c r="J1689" s="527">
        <v>45194</v>
      </c>
      <c r="K1689" s="747">
        <v>0.375</v>
      </c>
      <c r="L1689" s="527">
        <v>45194</v>
      </c>
      <c r="M1689" s="772">
        <v>0.83333333333333337</v>
      </c>
      <c r="N1689" s="373">
        <v>9</v>
      </c>
      <c r="O1689" s="184" t="s">
        <v>17</v>
      </c>
      <c r="P1689" s="375" t="s">
        <v>2462</v>
      </c>
      <c r="Q1689" s="615" t="s">
        <v>1442</v>
      </c>
      <c r="R1689" s="616" t="s">
        <v>79</v>
      </c>
      <c r="S1689" s="31" t="s">
        <v>273</v>
      </c>
      <c r="T1689" s="31" t="s">
        <v>273</v>
      </c>
      <c r="U1689" s="31">
        <f>IFERROR(VLOOKUP(CONCATENATE(Tabla1[[#This Row],[Severidad]]," ",Tabla1[[#This Row],[Complejidad]]),Catalogos!E$120:G$128,3,FALSE),"")</f>
        <v>64</v>
      </c>
      <c r="V1689" s="31" t="str">
        <f>IF(Tabla1[[#This Row],[Tiempo solución max (hrs)]]&lt;&gt;"",IF(Tabla1[[#This Row],[Tiempo solución max (hrs)]]&gt;=Tabla1[[#This Row],[Tiempo
(Hrs 00/100)]],"cumple","no cumple"),"")</f>
        <v>cumple</v>
      </c>
      <c r="W1689" s="376" t="s">
        <v>2418</v>
      </c>
      <c r="X1689" s="611" t="str">
        <f t="shared" ref="X1689" si="170">IF(C1689&lt;&gt;"",C1689,D1689)</f>
        <v>DS</v>
      </c>
      <c r="Y1689" s="612" t="str">
        <f>SUBSTITUTE(Tabla1[[#This Row],[Descripción]],CHAR(10),"    I    ")</f>
        <v>Se configuro maven en jenkins para la compilacion de java en los pipelines</v>
      </c>
      <c r="Z1689" s="613">
        <f>VLOOKUP(Tabla1[[#This Row],[Perfil]],Catalogos!$B$75:$D$100,3,FALSE)*Tabla1[[#This Row],[Tiempo
(Hrs 00/100)]]*1.16</f>
        <v>6264</v>
      </c>
    </row>
    <row r="1690" spans="1:26" ht="15" customHeight="1" x14ac:dyDescent="0.3">
      <c r="A1690" s="373" t="s">
        <v>58</v>
      </c>
      <c r="B1690" s="373" t="s">
        <v>305</v>
      </c>
      <c r="C1690" s="489" t="s">
        <v>155</v>
      </c>
      <c r="D1690" s="373"/>
      <c r="E1690" s="373" t="s">
        <v>1399</v>
      </c>
      <c r="F1690" s="373" t="s">
        <v>74</v>
      </c>
      <c r="G1690" s="373" t="s">
        <v>2472</v>
      </c>
      <c r="H1690" s="461" t="s">
        <v>2473</v>
      </c>
      <c r="I1690" s="538" t="s">
        <v>2474</v>
      </c>
      <c r="J1690" s="527">
        <v>45195</v>
      </c>
      <c r="K1690" s="747">
        <v>0.375</v>
      </c>
      <c r="L1690" s="527">
        <v>45195</v>
      </c>
      <c r="M1690" s="772">
        <v>0.83333333333333337</v>
      </c>
      <c r="N1690" s="373">
        <v>9</v>
      </c>
      <c r="O1690" s="184" t="s">
        <v>17</v>
      </c>
      <c r="P1690" s="375" t="s">
        <v>2475</v>
      </c>
      <c r="Q1690" s="615" t="s">
        <v>1442</v>
      </c>
      <c r="R1690" s="616" t="s">
        <v>79</v>
      </c>
      <c r="S1690" s="31" t="s">
        <v>273</v>
      </c>
      <c r="T1690" s="31" t="s">
        <v>273</v>
      </c>
      <c r="U1690" s="31">
        <f>IFERROR(VLOOKUP(CONCATENATE(Tabla1[[#This Row],[Severidad]]," ",Tabla1[[#This Row],[Complejidad]]),Catalogos!E$120:G$128,3,FALSE),"")</f>
        <v>64</v>
      </c>
      <c r="V1690" s="31" t="str">
        <f>IF(Tabla1[[#This Row],[Tiempo solución max (hrs)]]&lt;&gt;"",IF(Tabla1[[#This Row],[Tiempo solución max (hrs)]]&gt;=Tabla1[[#This Row],[Tiempo
(Hrs 00/100)]],"cumple","no cumple"),"")</f>
        <v>cumple</v>
      </c>
      <c r="W1690" s="376" t="s">
        <v>2418</v>
      </c>
      <c r="X1690" s="611" t="str">
        <f t="shared" si="167"/>
        <v>DS</v>
      </c>
      <c r="Y1690" s="612" t="str">
        <f>SUBSTITUTE(Tabla1[[#This Row],[Descripción]],CHAR(10),"    I    ")</f>
        <v>Se actualizo OLCNE a la version 1.7 lo cual viene con k8s 1.26.6</v>
      </c>
      <c r="Z1690" s="613">
        <f>VLOOKUP(Tabla1[[#This Row],[Perfil]],Catalogos!$B$75:$D$100,3,FALSE)*Tabla1[[#This Row],[Tiempo
(Hrs 00/100)]]*1.16</f>
        <v>6264</v>
      </c>
    </row>
    <row r="1691" spans="1:26" ht="15" customHeight="1" x14ac:dyDescent="0.3">
      <c r="A1691" s="373" t="s">
        <v>58</v>
      </c>
      <c r="B1691" s="373" t="s">
        <v>305</v>
      </c>
      <c r="C1691" s="489" t="s">
        <v>155</v>
      </c>
      <c r="D1691" s="373"/>
      <c r="E1691" s="373" t="s">
        <v>1399</v>
      </c>
      <c r="F1691" s="373" t="s">
        <v>74</v>
      </c>
      <c r="G1691" s="373" t="s">
        <v>2476</v>
      </c>
      <c r="H1691" s="461" t="s">
        <v>1406</v>
      </c>
      <c r="I1691" s="538" t="s">
        <v>2477</v>
      </c>
      <c r="J1691" s="527">
        <v>45196</v>
      </c>
      <c r="K1691" s="747">
        <v>0.375</v>
      </c>
      <c r="L1691" s="527">
        <v>45196</v>
      </c>
      <c r="M1691" s="772">
        <v>0.83333333333333337</v>
      </c>
      <c r="N1691" s="373">
        <v>9</v>
      </c>
      <c r="O1691" s="184" t="s">
        <v>17</v>
      </c>
      <c r="P1691" s="375" t="s">
        <v>2475</v>
      </c>
      <c r="Q1691" s="615" t="s">
        <v>1442</v>
      </c>
      <c r="R1691" s="616" t="s">
        <v>79</v>
      </c>
      <c r="S1691" s="31" t="s">
        <v>273</v>
      </c>
      <c r="T1691" s="31" t="s">
        <v>273</v>
      </c>
      <c r="U1691" s="31">
        <f>IFERROR(VLOOKUP(CONCATENATE(Tabla1[[#This Row],[Severidad]]," ",Tabla1[[#This Row],[Complejidad]]),Catalogos!E$120:G$128,3,FALSE),"")</f>
        <v>64</v>
      </c>
      <c r="V1691" s="31" t="str">
        <f>IF(Tabla1[[#This Row],[Tiempo solución max (hrs)]]&lt;&gt;"",IF(Tabla1[[#This Row],[Tiempo solución max (hrs)]]&gt;=Tabla1[[#This Row],[Tiempo
(Hrs 00/100)]],"cumple","no cumple"),"")</f>
        <v>cumple</v>
      </c>
      <c r="W1691" s="376" t="s">
        <v>2418</v>
      </c>
      <c r="X1691" s="611" t="str">
        <f t="shared" si="167"/>
        <v>DS</v>
      </c>
      <c r="Y1691" s="612" t="str">
        <f>SUBSTITUTE(Tabla1[[#This Row],[Descripción]],CHAR(10),"    I    ")</f>
        <v>Se actualizo todos los nodos a la ultima version que trae consigo el ultimo kernel</v>
      </c>
      <c r="Z1691" s="613">
        <f>VLOOKUP(Tabla1[[#This Row],[Perfil]],Catalogos!$B$75:$D$100,3,FALSE)*Tabla1[[#This Row],[Tiempo
(Hrs 00/100)]]*1.16</f>
        <v>6264</v>
      </c>
    </row>
    <row r="1692" spans="1:26" ht="15" customHeight="1" x14ac:dyDescent="0.3">
      <c r="A1692" s="373" t="s">
        <v>58</v>
      </c>
      <c r="B1692" s="373" t="s">
        <v>305</v>
      </c>
      <c r="C1692" s="489" t="s">
        <v>155</v>
      </c>
      <c r="D1692" s="373"/>
      <c r="E1692" s="373" t="s">
        <v>1399</v>
      </c>
      <c r="F1692" s="373" t="s">
        <v>74</v>
      </c>
      <c r="G1692" s="373" t="s">
        <v>2478</v>
      </c>
      <c r="H1692" s="461" t="s">
        <v>2479</v>
      </c>
      <c r="I1692" s="538" t="s">
        <v>2480</v>
      </c>
      <c r="J1692" s="527">
        <v>45197</v>
      </c>
      <c r="K1692" s="747">
        <v>0.375</v>
      </c>
      <c r="L1692" s="527">
        <v>45197</v>
      </c>
      <c r="M1692" s="772">
        <v>0.83333333333333337</v>
      </c>
      <c r="N1692" s="373">
        <v>9</v>
      </c>
      <c r="O1692" s="184" t="s">
        <v>411</v>
      </c>
      <c r="P1692" s="375" t="s">
        <v>2481</v>
      </c>
      <c r="Q1692" s="615" t="s">
        <v>1442</v>
      </c>
      <c r="R1692" s="616" t="s">
        <v>79</v>
      </c>
      <c r="S1692" s="31" t="s">
        <v>273</v>
      </c>
      <c r="T1692" s="31" t="s">
        <v>273</v>
      </c>
      <c r="U1692" s="31">
        <f>IFERROR(VLOOKUP(CONCATENATE(Tabla1[[#This Row],[Severidad]]," ",Tabla1[[#This Row],[Complejidad]]),Catalogos!E$120:G$128,3,FALSE),"")</f>
        <v>64</v>
      </c>
      <c r="V1692" s="31" t="str">
        <f>IF(Tabla1[[#This Row],[Tiempo solución max (hrs)]]&lt;&gt;"",IF(Tabla1[[#This Row],[Tiempo solución max (hrs)]]&gt;=Tabla1[[#This Row],[Tiempo
(Hrs 00/100)]],"cumple","no cumple"),"")</f>
        <v>cumple</v>
      </c>
      <c r="W1692" s="376" t="s">
        <v>2418</v>
      </c>
      <c r="X1692" s="611" t="str">
        <f t="shared" si="167"/>
        <v>DS</v>
      </c>
      <c r="Y1692" s="612" t="str">
        <f>SUBSTITUTE(Tabla1[[#This Row],[Descripción]],CHAR(10),"    I    ")</f>
        <v>Instalacion y configuracion de agente de jenkins para el consumo de jobs.</v>
      </c>
      <c r="Z1692" s="613">
        <f>VLOOKUP(Tabla1[[#This Row],[Perfil]],Catalogos!$B$75:$D$100,3,FALSE)*Tabla1[[#This Row],[Tiempo
(Hrs 00/100)]]*1.16</f>
        <v>6264</v>
      </c>
    </row>
    <row r="1693" spans="1:26" ht="15" customHeight="1" x14ac:dyDescent="0.3">
      <c r="A1693" s="373" t="s">
        <v>58</v>
      </c>
      <c r="B1693" s="373" t="s">
        <v>305</v>
      </c>
      <c r="C1693" s="489" t="s">
        <v>155</v>
      </c>
      <c r="D1693" s="373"/>
      <c r="E1693" s="373" t="s">
        <v>1399</v>
      </c>
      <c r="F1693" s="373" t="s">
        <v>74</v>
      </c>
      <c r="G1693" s="373" t="s">
        <v>2478</v>
      </c>
      <c r="H1693" s="461" t="s">
        <v>2479</v>
      </c>
      <c r="I1693" s="538" t="s">
        <v>2480</v>
      </c>
      <c r="J1693" s="527">
        <v>45198</v>
      </c>
      <c r="K1693" s="747">
        <v>0.375</v>
      </c>
      <c r="L1693" s="527">
        <v>45198</v>
      </c>
      <c r="M1693" s="772">
        <v>0.83333333333333337</v>
      </c>
      <c r="N1693" s="373">
        <v>9</v>
      </c>
      <c r="O1693" s="184" t="s">
        <v>17</v>
      </c>
      <c r="P1693" s="375" t="s">
        <v>2481</v>
      </c>
      <c r="Q1693" s="615" t="s">
        <v>1442</v>
      </c>
      <c r="R1693" s="616" t="s">
        <v>79</v>
      </c>
      <c r="S1693" s="31" t="s">
        <v>273</v>
      </c>
      <c r="T1693" s="31" t="s">
        <v>273</v>
      </c>
      <c r="U1693" s="31">
        <f>IFERROR(VLOOKUP(CONCATENATE(Tabla1[[#This Row],[Severidad]]," ",Tabla1[[#This Row],[Complejidad]]),Catalogos!E$120:G$128,3,FALSE),"")</f>
        <v>64</v>
      </c>
      <c r="V1693" s="31" t="str">
        <f>IF(Tabla1[[#This Row],[Tiempo solución max (hrs)]]&lt;&gt;"",IF(Tabla1[[#This Row],[Tiempo solución max (hrs)]]&gt;=Tabla1[[#This Row],[Tiempo
(Hrs 00/100)]],"cumple","no cumple"),"")</f>
        <v>cumple</v>
      </c>
      <c r="W1693" s="376" t="s">
        <v>2418</v>
      </c>
      <c r="X1693" s="611" t="str">
        <f t="shared" ref="X1693" si="171">IF(C1693&lt;&gt;"",C1693,D1693)</f>
        <v>DS</v>
      </c>
      <c r="Y1693" s="612" t="str">
        <f>SUBSTITUTE(Tabla1[[#This Row],[Descripción]],CHAR(10),"    I    ")</f>
        <v>Instalacion y configuracion de agente de jenkins para el consumo de jobs.</v>
      </c>
      <c r="Z1693" s="613">
        <f>VLOOKUP(Tabla1[[#This Row],[Perfil]],Catalogos!$B$75:$D$100,3,FALSE)*Tabla1[[#This Row],[Tiempo
(Hrs 00/100)]]*1.16</f>
        <v>6264</v>
      </c>
    </row>
    <row r="1694" spans="1:26" ht="15" customHeight="1" x14ac:dyDescent="0.3">
      <c r="A1694" s="614" t="s">
        <v>22</v>
      </c>
      <c r="B1694" s="373" t="s">
        <v>23</v>
      </c>
      <c r="C1694" s="373" t="s">
        <v>45</v>
      </c>
      <c r="D1694" s="373"/>
      <c r="E1694" s="373" t="s">
        <v>375</v>
      </c>
      <c r="F1694" s="373" t="s">
        <v>23</v>
      </c>
      <c r="G1694" s="373" t="s">
        <v>2482</v>
      </c>
      <c r="H1694" s="461" t="s">
        <v>2483</v>
      </c>
      <c r="I1694" s="178" t="s">
        <v>2484</v>
      </c>
      <c r="J1694" s="729">
        <v>45170</v>
      </c>
      <c r="K1694" s="772">
        <v>0.375</v>
      </c>
      <c r="L1694" s="729">
        <v>45170</v>
      </c>
      <c r="M1694" s="772">
        <v>0.79166666666666663</v>
      </c>
      <c r="N1694" s="373">
        <v>8</v>
      </c>
      <c r="O1694" s="184" t="s">
        <v>17</v>
      </c>
      <c r="P1694" s="375" t="s">
        <v>462</v>
      </c>
      <c r="Q1694" s="179" t="s">
        <v>2415</v>
      </c>
      <c r="R1694" s="171" t="s">
        <v>40</v>
      </c>
      <c r="S1694" s="31" t="s">
        <v>273</v>
      </c>
      <c r="T1694" s="31" t="s">
        <v>273</v>
      </c>
      <c r="U1694" s="31">
        <f>IFERROR(VLOOKUP(CONCATENATE(Tabla1[[#This Row],[Severidad]]," ",Tabla1[[#This Row],[Complejidad]]),Catalogos!E$120:G$128,3,FALSE),"")</f>
        <v>64</v>
      </c>
      <c r="V1694" s="31" t="str">
        <f>IF(Tabla1[[#This Row],[Tiempo solución max (hrs)]]&lt;&gt;"",IF(Tabla1[[#This Row],[Tiempo solución max (hrs)]]&gt;=Tabla1[[#This Row],[Tiempo
(Hrs 00/100)]],"cumple","no cumple"),"")</f>
        <v>cumple</v>
      </c>
      <c r="W1694" s="376" t="s">
        <v>2418</v>
      </c>
      <c r="X1694" s="611" t="str">
        <f t="shared" si="167"/>
        <v>SPD</v>
      </c>
      <c r="Y1694" s="612" t="str">
        <f>SUBSTITUTE(Tabla1[[#This Row],[Descripción]],CHAR(10),"    I    ")</f>
        <v>Integración de la  la pantalla que permite visualizar datos estadisticos generales de la PNT, dandola de alta como módulo en el proyecto de front, aasi como construir el sisteama de rutas y de seguridad</v>
      </c>
      <c r="Z1694" s="613">
        <f>VLOOKUP(Tabla1[[#This Row],[Perfil]],Catalogos!$B$75:$D$100,3,FALSE)*Tabla1[[#This Row],[Tiempo
(Hrs 00/100)]]*1.16</f>
        <v>6496</v>
      </c>
    </row>
    <row r="1695" spans="1:26" ht="15" customHeight="1" x14ac:dyDescent="0.3">
      <c r="A1695" s="614" t="s">
        <v>22</v>
      </c>
      <c r="B1695" s="373" t="s">
        <v>23</v>
      </c>
      <c r="C1695" s="373" t="s">
        <v>45</v>
      </c>
      <c r="D1695" s="373"/>
      <c r="E1695" s="373" t="s">
        <v>375</v>
      </c>
      <c r="F1695" s="373" t="s">
        <v>23</v>
      </c>
      <c r="G1695" s="373" t="s">
        <v>2485</v>
      </c>
      <c r="H1695" s="461" t="s">
        <v>2483</v>
      </c>
      <c r="I1695" s="178" t="s">
        <v>2486</v>
      </c>
      <c r="J1695" s="729">
        <v>45173</v>
      </c>
      <c r="K1695" s="772">
        <v>0.375</v>
      </c>
      <c r="L1695" s="729">
        <v>45173</v>
      </c>
      <c r="M1695" s="772">
        <v>0.79166666666666663</v>
      </c>
      <c r="N1695" s="373">
        <v>8</v>
      </c>
      <c r="O1695" s="184" t="s">
        <v>17</v>
      </c>
      <c r="P1695" s="375" t="s">
        <v>462</v>
      </c>
      <c r="Q1695" s="179" t="s">
        <v>2415</v>
      </c>
      <c r="R1695" s="171" t="s">
        <v>40</v>
      </c>
      <c r="S1695" s="31" t="s">
        <v>273</v>
      </c>
      <c r="T1695" s="31" t="s">
        <v>273</v>
      </c>
      <c r="U1695" s="31">
        <f>IFERROR(VLOOKUP(CONCATENATE(Tabla1[[#This Row],[Severidad]]," ",Tabla1[[#This Row],[Complejidad]]),Catalogos!E$120:G$128,3,FALSE),"")</f>
        <v>64</v>
      </c>
      <c r="V1695" s="31" t="str">
        <f>IF(Tabla1[[#This Row],[Tiempo solución max (hrs)]]&lt;&gt;"",IF(Tabla1[[#This Row],[Tiempo solución max (hrs)]]&gt;=Tabla1[[#This Row],[Tiempo
(Hrs 00/100)]],"cumple","no cumple"),"")</f>
        <v>cumple</v>
      </c>
      <c r="W1695" s="376" t="s">
        <v>2418</v>
      </c>
      <c r="X1695" s="611" t="str">
        <f t="shared" si="167"/>
        <v>SPD</v>
      </c>
      <c r="Y1695" s="612" t="str">
        <f>SUBSTITUTE(Tabla1[[#This Row],[Descripción]],CHAR(10),"    I    ")</f>
        <v>Análisis y diseño para la integración de la liberia de graficado, para poder ser reactiva y responsiva</v>
      </c>
      <c r="Z1695" s="613">
        <f>VLOOKUP(Tabla1[[#This Row],[Perfil]],Catalogos!$B$75:$D$100,3,FALSE)*Tabla1[[#This Row],[Tiempo
(Hrs 00/100)]]*1.16</f>
        <v>6496</v>
      </c>
    </row>
    <row r="1696" spans="1:26" ht="15" customHeight="1" x14ac:dyDescent="0.3">
      <c r="A1696" s="614" t="s">
        <v>22</v>
      </c>
      <c r="B1696" s="373" t="s">
        <v>23</v>
      </c>
      <c r="C1696" s="373" t="s">
        <v>45</v>
      </c>
      <c r="D1696" s="373"/>
      <c r="E1696" s="373" t="s">
        <v>375</v>
      </c>
      <c r="F1696" s="373" t="s">
        <v>23</v>
      </c>
      <c r="G1696" s="373" t="s">
        <v>2487</v>
      </c>
      <c r="H1696" s="461" t="s">
        <v>2483</v>
      </c>
      <c r="I1696" s="178" t="s">
        <v>2488</v>
      </c>
      <c r="J1696" s="729">
        <v>45174</v>
      </c>
      <c r="K1696" s="772">
        <v>0.375</v>
      </c>
      <c r="L1696" s="729">
        <v>45174</v>
      </c>
      <c r="M1696" s="772">
        <v>0.79166666666666663</v>
      </c>
      <c r="N1696" s="373">
        <v>8</v>
      </c>
      <c r="O1696" s="184" t="s">
        <v>17</v>
      </c>
      <c r="P1696" s="375" t="s">
        <v>462</v>
      </c>
      <c r="Q1696" s="179" t="s">
        <v>2415</v>
      </c>
      <c r="R1696" s="171" t="s">
        <v>40</v>
      </c>
      <c r="S1696" s="31" t="s">
        <v>273</v>
      </c>
      <c r="T1696" s="31" t="s">
        <v>273</v>
      </c>
      <c r="U1696" s="31">
        <f>IFERROR(VLOOKUP(CONCATENATE(Tabla1[[#This Row],[Severidad]]," ",Tabla1[[#This Row],[Complejidad]]),Catalogos!E$120:G$128,3,FALSE),"")</f>
        <v>64</v>
      </c>
      <c r="V1696" s="31" t="str">
        <f>IF(Tabla1[[#This Row],[Tiempo solución max (hrs)]]&lt;&gt;"",IF(Tabla1[[#This Row],[Tiempo solución max (hrs)]]&gt;=Tabla1[[#This Row],[Tiempo
(Hrs 00/100)]],"cumple","no cumple"),"")</f>
        <v>cumple</v>
      </c>
      <c r="W1696" s="376" t="s">
        <v>2418</v>
      </c>
      <c r="X1696" s="611" t="str">
        <f t="shared" si="167"/>
        <v>SPD</v>
      </c>
      <c r="Y1696" s="612" t="str">
        <f>SUBSTITUTE(Tabla1[[#This Row],[Descripción]],CHAR(10),"    I    ")</f>
        <v xml:space="preserve">Desarrollo 12 gráficas de la pantalla de estaditicos generales </v>
      </c>
      <c r="Z1696" s="613">
        <f>VLOOKUP(Tabla1[[#This Row],[Perfil]],Catalogos!$B$75:$D$100,3,FALSE)*Tabla1[[#This Row],[Tiempo
(Hrs 00/100)]]*1.16</f>
        <v>6496</v>
      </c>
    </row>
    <row r="1697" spans="1:26" ht="15" customHeight="1" x14ac:dyDescent="0.3">
      <c r="A1697" s="614" t="s">
        <v>22</v>
      </c>
      <c r="B1697" s="373" t="s">
        <v>23</v>
      </c>
      <c r="C1697" s="373" t="s">
        <v>45</v>
      </c>
      <c r="D1697" s="373"/>
      <c r="E1697" s="373" t="s">
        <v>375</v>
      </c>
      <c r="F1697" s="373" t="s">
        <v>23</v>
      </c>
      <c r="G1697" s="373" t="s">
        <v>2489</v>
      </c>
      <c r="H1697" s="461" t="s">
        <v>2490</v>
      </c>
      <c r="I1697" s="178" t="s">
        <v>2491</v>
      </c>
      <c r="J1697" s="729">
        <v>45175</v>
      </c>
      <c r="K1697" s="772">
        <v>0.375</v>
      </c>
      <c r="L1697" s="729">
        <v>45175</v>
      </c>
      <c r="M1697" s="772">
        <v>0.79166666666666663</v>
      </c>
      <c r="N1697" s="373">
        <v>8</v>
      </c>
      <c r="O1697" s="184" t="s">
        <v>17</v>
      </c>
      <c r="P1697" s="375" t="s">
        <v>462</v>
      </c>
      <c r="Q1697" s="179" t="s">
        <v>2415</v>
      </c>
      <c r="R1697" s="171" t="s">
        <v>40</v>
      </c>
      <c r="S1697" s="31" t="s">
        <v>273</v>
      </c>
      <c r="T1697" s="31" t="s">
        <v>273</v>
      </c>
      <c r="U1697" s="31">
        <f>IFERROR(VLOOKUP(CONCATENATE(Tabla1[[#This Row],[Severidad]]," ",Tabla1[[#This Row],[Complejidad]]),Catalogos!E$120:G$128,3,FALSE),"")</f>
        <v>64</v>
      </c>
      <c r="V1697" s="31" t="str">
        <f>IF(Tabla1[[#This Row],[Tiempo solución max (hrs)]]&lt;&gt;"",IF(Tabla1[[#This Row],[Tiempo solución max (hrs)]]&gt;=Tabla1[[#This Row],[Tiempo
(Hrs 00/100)]],"cumple","no cumple"),"")</f>
        <v>cumple</v>
      </c>
      <c r="W1697" s="376" t="s">
        <v>2418</v>
      </c>
      <c r="X1697" s="611" t="str">
        <f t="shared" si="167"/>
        <v>SPD</v>
      </c>
      <c r="Y1697" s="612" t="str">
        <f>SUBSTITUTE(Tabla1[[#This Row],[Descripción]],CHAR(10),"    I    ")</f>
        <v>Desarrollo de la pantalla que permite visualizar datos estadisticos de cada usuario</v>
      </c>
      <c r="Z1697" s="613">
        <f>VLOOKUP(Tabla1[[#This Row],[Perfil]],Catalogos!$B$75:$D$100,3,FALSE)*Tabla1[[#This Row],[Tiempo
(Hrs 00/100)]]*1.16</f>
        <v>6496</v>
      </c>
    </row>
    <row r="1698" spans="1:26" ht="15" customHeight="1" x14ac:dyDescent="0.3">
      <c r="A1698" s="614" t="s">
        <v>22</v>
      </c>
      <c r="B1698" s="373" t="s">
        <v>23</v>
      </c>
      <c r="C1698" s="373" t="s">
        <v>45</v>
      </c>
      <c r="D1698" s="373"/>
      <c r="E1698" s="373" t="s">
        <v>375</v>
      </c>
      <c r="F1698" s="373" t="s">
        <v>23</v>
      </c>
      <c r="G1698" s="373" t="s">
        <v>2492</v>
      </c>
      <c r="H1698" s="461" t="s">
        <v>2493</v>
      </c>
      <c r="I1698" s="178" t="s">
        <v>2494</v>
      </c>
      <c r="J1698" s="729">
        <v>45176</v>
      </c>
      <c r="K1698" s="772">
        <v>0.375</v>
      </c>
      <c r="L1698" s="729">
        <v>45176</v>
      </c>
      <c r="M1698" s="772">
        <v>0.79166666666666663</v>
      </c>
      <c r="N1698" s="373">
        <v>8</v>
      </c>
      <c r="O1698" s="184" t="s">
        <v>17</v>
      </c>
      <c r="P1698" s="375" t="s">
        <v>462</v>
      </c>
      <c r="Q1698" s="179" t="s">
        <v>2415</v>
      </c>
      <c r="R1698" s="171" t="s">
        <v>40</v>
      </c>
      <c r="S1698" s="31" t="s">
        <v>273</v>
      </c>
      <c r="T1698" s="31" t="s">
        <v>273</v>
      </c>
      <c r="U1698" s="31">
        <f>IFERROR(VLOOKUP(CONCATENATE(Tabla1[[#This Row],[Severidad]]," ",Tabla1[[#This Row],[Complejidad]]),Catalogos!E$120:G$128,3,FALSE),"")</f>
        <v>64</v>
      </c>
      <c r="V1698" s="31" t="str">
        <f>IF(Tabla1[[#This Row],[Tiempo solución max (hrs)]]&lt;&gt;"",IF(Tabla1[[#This Row],[Tiempo solución max (hrs)]]&gt;=Tabla1[[#This Row],[Tiempo
(Hrs 00/100)]],"cumple","no cumple"),"")</f>
        <v>cumple</v>
      </c>
      <c r="W1698" s="376" t="s">
        <v>2418</v>
      </c>
      <c r="X1698" s="611" t="str">
        <f t="shared" si="167"/>
        <v>SPD</v>
      </c>
      <c r="Y1698" s="612" t="str">
        <f>SUBSTITUTE(Tabla1[[#This Row],[Descripción]],CHAR(10),"    I    ")</f>
        <v>Integración de la  la pantalla que permite visualizar sdatos estadisticos por cada organo garante de la PNT, dandola de alta como módulo en el proyecto de front, aasi como construir el sisteama de rutas y de seguridad</v>
      </c>
      <c r="Z1698" s="613">
        <f>VLOOKUP(Tabla1[[#This Row],[Perfil]],Catalogos!$B$75:$D$100,3,FALSE)*Tabla1[[#This Row],[Tiempo
(Hrs 00/100)]]*1.16</f>
        <v>6496</v>
      </c>
    </row>
    <row r="1699" spans="1:26" ht="15" customHeight="1" x14ac:dyDescent="0.3">
      <c r="A1699" s="614" t="s">
        <v>22</v>
      </c>
      <c r="B1699" s="373" t="s">
        <v>23</v>
      </c>
      <c r="C1699" s="373" t="s">
        <v>45</v>
      </c>
      <c r="D1699" s="373"/>
      <c r="E1699" s="373" t="s">
        <v>375</v>
      </c>
      <c r="F1699" s="373" t="s">
        <v>23</v>
      </c>
      <c r="G1699" s="373" t="s">
        <v>2495</v>
      </c>
      <c r="H1699" s="461" t="s">
        <v>2493</v>
      </c>
      <c r="I1699" s="178" t="s">
        <v>2496</v>
      </c>
      <c r="J1699" s="729">
        <v>45177</v>
      </c>
      <c r="K1699" s="772">
        <v>0.375</v>
      </c>
      <c r="L1699" s="729">
        <v>45177</v>
      </c>
      <c r="M1699" s="772">
        <v>0.79166666666666663</v>
      </c>
      <c r="N1699" s="373">
        <v>8</v>
      </c>
      <c r="O1699" s="184" t="s">
        <v>17</v>
      </c>
      <c r="P1699" s="375" t="s">
        <v>462</v>
      </c>
      <c r="Q1699" s="179" t="s">
        <v>2415</v>
      </c>
      <c r="R1699" s="171" t="s">
        <v>40</v>
      </c>
      <c r="S1699" s="31" t="s">
        <v>273</v>
      </c>
      <c r="T1699" s="31" t="s">
        <v>273</v>
      </c>
      <c r="U1699" s="31">
        <f>IFERROR(VLOOKUP(CONCATENATE(Tabla1[[#This Row],[Severidad]]," ",Tabla1[[#This Row],[Complejidad]]),Catalogos!E$120:G$128,3,FALSE),"")</f>
        <v>64</v>
      </c>
      <c r="V1699" s="31" t="str">
        <f>IF(Tabla1[[#This Row],[Tiempo solución max (hrs)]]&lt;&gt;"",IF(Tabla1[[#This Row],[Tiempo solución max (hrs)]]&gt;=Tabla1[[#This Row],[Tiempo
(Hrs 00/100)]],"cumple","no cumple"),"")</f>
        <v>cumple</v>
      </c>
      <c r="W1699" s="376" t="s">
        <v>2418</v>
      </c>
      <c r="X1699" s="611" t="str">
        <f t="shared" si="167"/>
        <v>SPD</v>
      </c>
      <c r="Y1699" s="612" t="str">
        <f>SUBSTITUTE(Tabla1[[#This Row],[Descripción]],CHAR(10),"    I    ")</f>
        <v>Desarrollo de la pantalla que permite visualizar datos estadisticos por cada organo garante, integrando las graficas y su movimiento</v>
      </c>
      <c r="Z1699" s="613">
        <f>VLOOKUP(Tabla1[[#This Row],[Perfil]],Catalogos!$B$75:$D$100,3,FALSE)*Tabla1[[#This Row],[Tiempo
(Hrs 00/100)]]*1.16</f>
        <v>6496</v>
      </c>
    </row>
    <row r="1700" spans="1:26" ht="15" customHeight="1" x14ac:dyDescent="0.3">
      <c r="A1700" s="614" t="s">
        <v>22</v>
      </c>
      <c r="B1700" s="373" t="s">
        <v>23</v>
      </c>
      <c r="C1700" s="373" t="s">
        <v>45</v>
      </c>
      <c r="D1700" s="373"/>
      <c r="E1700" s="373" t="s">
        <v>375</v>
      </c>
      <c r="F1700" s="373" t="s">
        <v>23</v>
      </c>
      <c r="G1700" s="373" t="s">
        <v>2497</v>
      </c>
      <c r="H1700" s="461" t="s">
        <v>2498</v>
      </c>
      <c r="I1700" s="178" t="s">
        <v>2499</v>
      </c>
      <c r="J1700" s="729">
        <v>45180</v>
      </c>
      <c r="K1700" s="772">
        <v>0.375</v>
      </c>
      <c r="L1700" s="729">
        <v>45181</v>
      </c>
      <c r="M1700" s="772">
        <v>0.79166666666666663</v>
      </c>
      <c r="N1700" s="373">
        <v>8</v>
      </c>
      <c r="O1700" s="184" t="s">
        <v>17</v>
      </c>
      <c r="P1700" s="375" t="s">
        <v>462</v>
      </c>
      <c r="Q1700" s="179" t="s">
        <v>2415</v>
      </c>
      <c r="R1700" s="171" t="s">
        <v>40</v>
      </c>
      <c r="S1700" s="31" t="s">
        <v>273</v>
      </c>
      <c r="T1700" s="31" t="s">
        <v>273</v>
      </c>
      <c r="U1700" s="31">
        <f>IFERROR(VLOOKUP(CONCATENATE(Tabla1[[#This Row],[Severidad]]," ",Tabla1[[#This Row],[Complejidad]]),Catalogos!E$120:G$128,3,FALSE),"")</f>
        <v>64</v>
      </c>
      <c r="V1700" s="31" t="str">
        <f>IF(Tabla1[[#This Row],[Tiempo solución max (hrs)]]&lt;&gt;"",IF(Tabla1[[#This Row],[Tiempo solución max (hrs)]]&gt;=Tabla1[[#This Row],[Tiempo
(Hrs 00/100)]],"cumple","no cumple"),"")</f>
        <v>cumple</v>
      </c>
      <c r="W1700" s="376" t="s">
        <v>2418</v>
      </c>
      <c r="X1700" s="611" t="str">
        <f t="shared" si="167"/>
        <v>SPD</v>
      </c>
      <c r="Y1700" s="612" t="str">
        <f>SUBSTITUTE(Tabla1[[#This Row],[Descripción]],CHAR(10),"    I    ")</f>
        <v>Integración de la  la pantalla que permite visualizar datos estadisticos por cada sujeto obligado, dandola de alta como módulo en el proyecto de front, aasi como construir el sisteama de rutas y de seguridad</v>
      </c>
      <c r="Z1700" s="613">
        <f>VLOOKUP(Tabla1[[#This Row],[Perfil]],Catalogos!$B$75:$D$100,3,FALSE)*Tabla1[[#This Row],[Tiempo
(Hrs 00/100)]]*1.16</f>
        <v>6496</v>
      </c>
    </row>
    <row r="1701" spans="1:26" ht="15" customHeight="1" x14ac:dyDescent="0.3">
      <c r="A1701" s="614" t="s">
        <v>22</v>
      </c>
      <c r="B1701" s="373" t="s">
        <v>23</v>
      </c>
      <c r="C1701" s="373" t="s">
        <v>45</v>
      </c>
      <c r="D1701" s="373"/>
      <c r="E1701" s="373" t="s">
        <v>375</v>
      </c>
      <c r="F1701" s="373" t="s">
        <v>23</v>
      </c>
      <c r="G1701" s="373" t="s">
        <v>2500</v>
      </c>
      <c r="H1701" s="461" t="s">
        <v>2498</v>
      </c>
      <c r="I1701" s="178" t="s">
        <v>2501</v>
      </c>
      <c r="J1701" s="729">
        <v>45181</v>
      </c>
      <c r="K1701" s="772">
        <v>0.375</v>
      </c>
      <c r="L1701" s="729">
        <v>45181</v>
      </c>
      <c r="M1701" s="772">
        <v>0.79166666666666663</v>
      </c>
      <c r="N1701" s="373">
        <v>8</v>
      </c>
      <c r="O1701" s="184" t="s">
        <v>17</v>
      </c>
      <c r="P1701" s="375" t="s">
        <v>462</v>
      </c>
      <c r="Q1701" s="179" t="s">
        <v>2415</v>
      </c>
      <c r="R1701" s="171" t="s">
        <v>40</v>
      </c>
      <c r="S1701" s="31" t="s">
        <v>273</v>
      </c>
      <c r="T1701" s="31" t="s">
        <v>273</v>
      </c>
      <c r="U1701" s="31">
        <f>IFERROR(VLOOKUP(CONCATENATE(Tabla1[[#This Row],[Severidad]]," ",Tabla1[[#This Row],[Complejidad]]),Catalogos!E$120:G$128,3,FALSE),"")</f>
        <v>64</v>
      </c>
      <c r="V1701" s="31" t="str">
        <f>IF(Tabla1[[#This Row],[Tiempo solución max (hrs)]]&lt;&gt;"",IF(Tabla1[[#This Row],[Tiempo solución max (hrs)]]&gt;=Tabla1[[#This Row],[Tiempo
(Hrs 00/100)]],"cumple","no cumple"),"")</f>
        <v>cumple</v>
      </c>
      <c r="W1701" s="376" t="s">
        <v>2418</v>
      </c>
      <c r="X1701" s="611" t="str">
        <f t="shared" si="167"/>
        <v>SPD</v>
      </c>
      <c r="Y1701" s="612" t="str">
        <f>SUBSTITUTE(Tabla1[[#This Row],[Descripción]],CHAR(10),"    I    ")</f>
        <v>Desarrollo de la pantalla que permite visualizar datos estadisticos por cada sujeto obligado</v>
      </c>
      <c r="Z1701" s="613">
        <f>VLOOKUP(Tabla1[[#This Row],[Perfil]],Catalogos!$B$75:$D$100,3,FALSE)*Tabla1[[#This Row],[Tiempo
(Hrs 00/100)]]*1.16</f>
        <v>6496</v>
      </c>
    </row>
    <row r="1702" spans="1:26" ht="15" customHeight="1" x14ac:dyDescent="0.3">
      <c r="A1702" s="614" t="s">
        <v>22</v>
      </c>
      <c r="B1702" s="373" t="s">
        <v>23</v>
      </c>
      <c r="C1702" s="373" t="s">
        <v>45</v>
      </c>
      <c r="D1702" s="373"/>
      <c r="E1702" s="373" t="s">
        <v>375</v>
      </c>
      <c r="F1702" s="373" t="s">
        <v>23</v>
      </c>
      <c r="G1702" s="373" t="s">
        <v>2502</v>
      </c>
      <c r="H1702" s="461" t="s">
        <v>2503</v>
      </c>
      <c r="I1702" s="178" t="s">
        <v>2504</v>
      </c>
      <c r="J1702" s="729">
        <v>45182</v>
      </c>
      <c r="K1702" s="772">
        <v>0.375</v>
      </c>
      <c r="L1702" s="729">
        <v>45182</v>
      </c>
      <c r="M1702" s="772">
        <v>0.79166666666666663</v>
      </c>
      <c r="N1702" s="373">
        <v>8</v>
      </c>
      <c r="O1702" s="184" t="s">
        <v>17</v>
      </c>
      <c r="P1702" s="375" t="s">
        <v>462</v>
      </c>
      <c r="Q1702" s="179" t="s">
        <v>2415</v>
      </c>
      <c r="R1702" s="171" t="s">
        <v>40</v>
      </c>
      <c r="S1702" s="31" t="s">
        <v>273</v>
      </c>
      <c r="T1702" s="31" t="s">
        <v>273</v>
      </c>
      <c r="U1702" s="31">
        <f>IFERROR(VLOOKUP(CONCATENATE(Tabla1[[#This Row],[Severidad]]," ",Tabla1[[#This Row],[Complejidad]]),Catalogos!E$120:G$128,3,FALSE),"")</f>
        <v>64</v>
      </c>
      <c r="V1702" s="31" t="str">
        <f>IF(Tabla1[[#This Row],[Tiempo solución max (hrs)]]&lt;&gt;"",IF(Tabla1[[#This Row],[Tiempo solución max (hrs)]]&gt;=Tabla1[[#This Row],[Tiempo
(Hrs 00/100)]],"cumple","no cumple"),"")</f>
        <v>cumple</v>
      </c>
      <c r="W1702" s="376" t="s">
        <v>2418</v>
      </c>
      <c r="X1702" s="611" t="str">
        <f t="shared" si="167"/>
        <v>SPD</v>
      </c>
      <c r="Y1702" s="612" t="str">
        <f>SUBSTITUTE(Tabla1[[#This Row],[Descripción]],CHAR(10),"    I    ")</f>
        <v>Se cambia la responsividad de la pantalla para presentar los avisos en la pantalla de login</v>
      </c>
      <c r="Z1702" s="613">
        <f>VLOOKUP(Tabla1[[#This Row],[Perfil]],Catalogos!$B$75:$D$100,3,FALSE)*Tabla1[[#This Row],[Tiempo
(Hrs 00/100)]]*1.16</f>
        <v>6496</v>
      </c>
    </row>
    <row r="1703" spans="1:26" ht="15" customHeight="1" x14ac:dyDescent="0.3">
      <c r="A1703" s="614" t="s">
        <v>22</v>
      </c>
      <c r="B1703" s="373" t="s">
        <v>23</v>
      </c>
      <c r="C1703" s="373" t="s">
        <v>45</v>
      </c>
      <c r="D1703" s="373"/>
      <c r="E1703" s="373" t="s">
        <v>375</v>
      </c>
      <c r="F1703" s="373" t="s">
        <v>72</v>
      </c>
      <c r="G1703" s="373" t="s">
        <v>2505</v>
      </c>
      <c r="H1703" s="461" t="s">
        <v>2506</v>
      </c>
      <c r="I1703" s="178" t="s">
        <v>2507</v>
      </c>
      <c r="J1703" s="729">
        <v>45183</v>
      </c>
      <c r="K1703" s="772">
        <v>0.375</v>
      </c>
      <c r="L1703" s="729">
        <v>45183</v>
      </c>
      <c r="M1703" s="772">
        <v>0.79166666666666663</v>
      </c>
      <c r="N1703" s="373">
        <v>8</v>
      </c>
      <c r="O1703" s="184" t="s">
        <v>17</v>
      </c>
      <c r="P1703" s="375" t="s">
        <v>462</v>
      </c>
      <c r="Q1703" s="179" t="s">
        <v>2415</v>
      </c>
      <c r="R1703" s="171" t="s">
        <v>40</v>
      </c>
      <c r="S1703" s="31" t="s">
        <v>273</v>
      </c>
      <c r="T1703" s="31" t="s">
        <v>273</v>
      </c>
      <c r="U1703" s="31">
        <f>IFERROR(VLOOKUP(CONCATENATE(Tabla1[[#This Row],[Severidad]]," ",Tabla1[[#This Row],[Complejidad]]),Catalogos!E$120:G$128,3,FALSE),"")</f>
        <v>64</v>
      </c>
      <c r="V1703" s="31" t="str">
        <f>IF(Tabla1[[#This Row],[Tiempo solución max (hrs)]]&lt;&gt;"",IF(Tabla1[[#This Row],[Tiempo solución max (hrs)]]&gt;=Tabla1[[#This Row],[Tiempo
(Hrs 00/100)]],"cumple","no cumple"),"")</f>
        <v>cumple</v>
      </c>
      <c r="W1703" s="376" t="s">
        <v>2418</v>
      </c>
      <c r="X1703" s="611" t="str">
        <f t="shared" si="167"/>
        <v>SPD</v>
      </c>
      <c r="Y1703" s="612" t="str">
        <f>SUBSTITUTE(Tabla1[[#This Row],[Descripción]],CHAR(10),"    I    ")</f>
        <v>Análisis y diseño de la tabla de avisos para que permita registrar los 3 tipos de avisos a los distintos roles que contempla la PNT</v>
      </c>
      <c r="Z1703" s="613">
        <f>VLOOKUP(Tabla1[[#This Row],[Perfil]],Catalogos!$B$75:$D$100,3,FALSE)*Tabla1[[#This Row],[Tiempo
(Hrs 00/100)]]*1.16</f>
        <v>6496</v>
      </c>
    </row>
    <row r="1704" spans="1:26" ht="15" customHeight="1" x14ac:dyDescent="0.3">
      <c r="A1704" s="614" t="s">
        <v>22</v>
      </c>
      <c r="B1704" s="373" t="s">
        <v>23</v>
      </c>
      <c r="C1704" s="373" t="s">
        <v>45</v>
      </c>
      <c r="D1704" s="373"/>
      <c r="E1704" s="373" t="s">
        <v>375</v>
      </c>
      <c r="F1704" s="373" t="s">
        <v>73</v>
      </c>
      <c r="G1704" s="373" t="s">
        <v>2508</v>
      </c>
      <c r="H1704" s="461" t="s">
        <v>2509</v>
      </c>
      <c r="I1704" s="178" t="s">
        <v>2510</v>
      </c>
      <c r="J1704" s="729">
        <v>45184</v>
      </c>
      <c r="K1704" s="772">
        <v>0.375</v>
      </c>
      <c r="L1704" s="729">
        <v>45184</v>
      </c>
      <c r="M1704" s="772">
        <v>0.79166666666666663</v>
      </c>
      <c r="N1704" s="373">
        <v>8</v>
      </c>
      <c r="O1704" s="184" t="s">
        <v>17</v>
      </c>
      <c r="P1704" s="375" t="s">
        <v>462</v>
      </c>
      <c r="Q1704" s="179" t="s">
        <v>2415</v>
      </c>
      <c r="R1704" s="171" t="s">
        <v>40</v>
      </c>
      <c r="S1704" s="31" t="s">
        <v>273</v>
      </c>
      <c r="T1704" s="31" t="s">
        <v>273</v>
      </c>
      <c r="U1704" s="31">
        <f>IFERROR(VLOOKUP(CONCATENATE(Tabla1[[#This Row],[Severidad]]," ",Tabla1[[#This Row],[Complejidad]]),Catalogos!E$120:G$128,3,FALSE),"")</f>
        <v>64</v>
      </c>
      <c r="V1704" s="31" t="str">
        <f>IF(Tabla1[[#This Row],[Tiempo solución max (hrs)]]&lt;&gt;"",IF(Tabla1[[#This Row],[Tiempo solución max (hrs)]]&gt;=Tabla1[[#This Row],[Tiempo
(Hrs 00/100)]],"cumple","no cumple"),"")</f>
        <v>cumple</v>
      </c>
      <c r="W1704" s="376" t="s">
        <v>2418</v>
      </c>
      <c r="X1704" s="611" t="str">
        <f t="shared" si="167"/>
        <v>SPD</v>
      </c>
      <c r="Y1704" s="612" t="str">
        <f>SUBSTITUTE(Tabla1[[#This Row],[Descripción]],CHAR(10),"    I    ")</f>
        <v>Diseño de pantalla para registrar los 3 distintos tipos de avisos por los distintos roles que contempla la PNT</v>
      </c>
      <c r="Z1704" s="613">
        <f>VLOOKUP(Tabla1[[#This Row],[Perfil]],Catalogos!$B$75:$D$100,3,FALSE)*Tabla1[[#This Row],[Tiempo
(Hrs 00/100)]]*1.16</f>
        <v>6496</v>
      </c>
    </row>
    <row r="1705" spans="1:26" ht="15" customHeight="1" x14ac:dyDescent="0.3">
      <c r="A1705" s="614" t="s">
        <v>22</v>
      </c>
      <c r="B1705" s="373" t="s">
        <v>23</v>
      </c>
      <c r="C1705" s="373" t="s">
        <v>45</v>
      </c>
      <c r="D1705" s="373"/>
      <c r="E1705" s="373" t="s">
        <v>375</v>
      </c>
      <c r="F1705" s="373" t="s">
        <v>72</v>
      </c>
      <c r="G1705" s="373" t="s">
        <v>2511</v>
      </c>
      <c r="H1705" s="461" t="s">
        <v>2512</v>
      </c>
      <c r="I1705" s="538" t="s">
        <v>2513</v>
      </c>
      <c r="J1705" s="729">
        <v>45187</v>
      </c>
      <c r="K1705" s="772">
        <v>0.375</v>
      </c>
      <c r="L1705" s="729">
        <v>45187</v>
      </c>
      <c r="M1705" s="772">
        <v>0.79166666666666663</v>
      </c>
      <c r="N1705" s="373">
        <v>8</v>
      </c>
      <c r="O1705" s="184" t="s">
        <v>17</v>
      </c>
      <c r="P1705" s="375" t="s">
        <v>2514</v>
      </c>
      <c r="Q1705" s="179" t="s">
        <v>2415</v>
      </c>
      <c r="R1705" s="171" t="s">
        <v>40</v>
      </c>
      <c r="S1705" s="31" t="s">
        <v>273</v>
      </c>
      <c r="T1705" s="31" t="s">
        <v>273</v>
      </c>
      <c r="U1705" s="31">
        <f>IFERROR(VLOOKUP(CONCATENATE(Tabla1[[#This Row],[Severidad]]," ",Tabla1[[#This Row],[Complejidad]]),Catalogos!E$120:G$128,3,FALSE),"")</f>
        <v>64</v>
      </c>
      <c r="V1705" s="31" t="str">
        <f>IF(Tabla1[[#This Row],[Tiempo solución max (hrs)]]&lt;&gt;"",IF(Tabla1[[#This Row],[Tiempo solución max (hrs)]]&gt;=Tabla1[[#This Row],[Tiempo
(Hrs 00/100)]],"cumple","no cumple"),"")</f>
        <v>cumple</v>
      </c>
      <c r="W1705" s="376" t="s">
        <v>2418</v>
      </c>
      <c r="X1705" s="611" t="str">
        <f t="shared" si="167"/>
        <v>SPD</v>
      </c>
      <c r="Y1705" s="612" t="str">
        <f>SUBSTITUTE(Tabla1[[#This Row],[Descripción]],CHAR(10),"    I    ")</f>
        <v>Análisis  de los requerimientos para construir los servicios backend del módulo de avisos</v>
      </c>
      <c r="Z1705" s="613">
        <f>VLOOKUP(Tabla1[[#This Row],[Perfil]],Catalogos!$B$75:$D$100,3,FALSE)*Tabla1[[#This Row],[Tiempo
(Hrs 00/100)]]*1.16</f>
        <v>6496</v>
      </c>
    </row>
    <row r="1706" spans="1:26" ht="15" customHeight="1" x14ac:dyDescent="0.3">
      <c r="A1706" s="614" t="s">
        <v>22</v>
      </c>
      <c r="B1706" s="373" t="s">
        <v>23</v>
      </c>
      <c r="C1706" s="373" t="s">
        <v>45</v>
      </c>
      <c r="D1706" s="373"/>
      <c r="E1706" s="373" t="s">
        <v>375</v>
      </c>
      <c r="F1706" s="373" t="s">
        <v>73</v>
      </c>
      <c r="G1706" s="373" t="s">
        <v>2515</v>
      </c>
      <c r="H1706" s="461" t="s">
        <v>2512</v>
      </c>
      <c r="I1706" s="538" t="s">
        <v>2516</v>
      </c>
      <c r="J1706" s="729">
        <v>45188</v>
      </c>
      <c r="K1706" s="772">
        <v>0.375</v>
      </c>
      <c r="L1706" s="729">
        <v>45188</v>
      </c>
      <c r="M1706" s="772">
        <v>0.79166666666666663</v>
      </c>
      <c r="N1706" s="373">
        <v>8</v>
      </c>
      <c r="O1706" s="184" t="s">
        <v>17</v>
      </c>
      <c r="P1706" s="375" t="s">
        <v>2514</v>
      </c>
      <c r="Q1706" s="179" t="s">
        <v>2415</v>
      </c>
      <c r="R1706" s="171" t="s">
        <v>40</v>
      </c>
      <c r="S1706" s="31" t="s">
        <v>273</v>
      </c>
      <c r="T1706" s="31" t="s">
        <v>273</v>
      </c>
      <c r="U1706" s="31">
        <f>IFERROR(VLOOKUP(CONCATENATE(Tabla1[[#This Row],[Severidad]]," ",Tabla1[[#This Row],[Complejidad]]),Catalogos!E$120:G$128,3,FALSE),"")</f>
        <v>64</v>
      </c>
      <c r="V1706" s="31" t="str">
        <f>IF(Tabla1[[#This Row],[Tiempo solución max (hrs)]]&lt;&gt;"",IF(Tabla1[[#This Row],[Tiempo solución max (hrs)]]&gt;=Tabla1[[#This Row],[Tiempo
(Hrs 00/100)]],"cumple","no cumple"),"")</f>
        <v>cumple</v>
      </c>
      <c r="W1706" s="376" t="s">
        <v>2418</v>
      </c>
      <c r="X1706" s="611" t="str">
        <f t="shared" si="167"/>
        <v>SPD</v>
      </c>
      <c r="Y1706" s="612" t="str">
        <f>SUBSTITUTE(Tabla1[[#This Row],[Descripción]],CHAR(10),"    I    ")</f>
        <v>Diseño de los requerimientos para construir los servicios backend del módulo de avisos</v>
      </c>
      <c r="Z1706" s="613">
        <f>VLOOKUP(Tabla1[[#This Row],[Perfil]],Catalogos!$B$75:$D$100,3,FALSE)*Tabla1[[#This Row],[Tiempo
(Hrs 00/100)]]*1.16</f>
        <v>6496</v>
      </c>
    </row>
    <row r="1707" spans="1:26" ht="15" customHeight="1" x14ac:dyDescent="0.3">
      <c r="A1707" s="614" t="s">
        <v>22</v>
      </c>
      <c r="B1707" s="373" t="s">
        <v>23</v>
      </c>
      <c r="C1707" s="373" t="s">
        <v>45</v>
      </c>
      <c r="D1707" s="373"/>
      <c r="E1707" s="373" t="s">
        <v>375</v>
      </c>
      <c r="F1707" s="373" t="s">
        <v>23</v>
      </c>
      <c r="G1707" s="373" t="s">
        <v>2517</v>
      </c>
      <c r="H1707" s="461" t="s">
        <v>2518</v>
      </c>
      <c r="I1707" s="538" t="s">
        <v>2519</v>
      </c>
      <c r="J1707" s="729">
        <v>45189</v>
      </c>
      <c r="K1707" s="772">
        <v>0.375</v>
      </c>
      <c r="L1707" s="729">
        <v>45189</v>
      </c>
      <c r="M1707" s="772">
        <v>0.79166666666666663</v>
      </c>
      <c r="N1707" s="373">
        <v>8</v>
      </c>
      <c r="O1707" s="184" t="s">
        <v>17</v>
      </c>
      <c r="P1707" s="375" t="s">
        <v>2514</v>
      </c>
      <c r="Q1707" s="179" t="s">
        <v>2415</v>
      </c>
      <c r="R1707" s="171" t="s">
        <v>40</v>
      </c>
      <c r="S1707" s="31" t="s">
        <v>273</v>
      </c>
      <c r="T1707" s="31" t="s">
        <v>273</v>
      </c>
      <c r="U1707" s="31">
        <f>IFERROR(VLOOKUP(CONCATENATE(Tabla1[[#This Row],[Severidad]]," ",Tabla1[[#This Row],[Complejidad]]),Catalogos!E$120:G$128,3,FALSE),"")</f>
        <v>64</v>
      </c>
      <c r="V1707" s="31" t="str">
        <f>IF(Tabla1[[#This Row],[Tiempo solución max (hrs)]]&lt;&gt;"",IF(Tabla1[[#This Row],[Tiempo solución max (hrs)]]&gt;=Tabla1[[#This Row],[Tiempo
(Hrs 00/100)]],"cumple","no cumple"),"")</f>
        <v>cumple</v>
      </c>
      <c r="W1707" s="376" t="s">
        <v>2418</v>
      </c>
      <c r="X1707" s="611" t="str">
        <f t="shared" si="167"/>
        <v>SPD</v>
      </c>
      <c r="Y1707" s="612" t="str">
        <f>SUBSTITUTE(Tabla1[[#This Row],[Descripción]],CHAR(10),"    I    ")</f>
        <v>Se generar las clases entidades para el mapeo de las tablas en base de datos</v>
      </c>
      <c r="Z1707" s="613">
        <f>VLOOKUP(Tabla1[[#This Row],[Perfil]],Catalogos!$B$75:$D$100,3,FALSE)*Tabla1[[#This Row],[Tiempo
(Hrs 00/100)]]*1.16</f>
        <v>6496</v>
      </c>
    </row>
    <row r="1708" spans="1:26" ht="15" customHeight="1" x14ac:dyDescent="0.3">
      <c r="A1708" s="614" t="s">
        <v>22</v>
      </c>
      <c r="B1708" s="373" t="s">
        <v>23</v>
      </c>
      <c r="C1708" s="373" t="s">
        <v>45</v>
      </c>
      <c r="D1708" s="373"/>
      <c r="E1708" s="373" t="s">
        <v>375</v>
      </c>
      <c r="F1708" s="373" t="s">
        <v>23</v>
      </c>
      <c r="G1708" s="373" t="s">
        <v>2520</v>
      </c>
      <c r="H1708" s="461" t="s">
        <v>2521</v>
      </c>
      <c r="I1708" s="538" t="s">
        <v>2522</v>
      </c>
      <c r="J1708" s="729">
        <v>45190</v>
      </c>
      <c r="K1708" s="772">
        <v>0.375</v>
      </c>
      <c r="L1708" s="729">
        <v>45190</v>
      </c>
      <c r="M1708" s="772">
        <v>0.79166666666666663</v>
      </c>
      <c r="N1708" s="373">
        <v>8</v>
      </c>
      <c r="O1708" s="184" t="s">
        <v>17</v>
      </c>
      <c r="P1708" s="375" t="s">
        <v>2514</v>
      </c>
      <c r="Q1708" s="179" t="s">
        <v>2415</v>
      </c>
      <c r="R1708" s="171" t="s">
        <v>40</v>
      </c>
      <c r="S1708" s="31" t="s">
        <v>273</v>
      </c>
      <c r="T1708" s="31" t="s">
        <v>273</v>
      </c>
      <c r="U1708" s="31">
        <f>IFERROR(VLOOKUP(CONCATENATE(Tabla1[[#This Row],[Severidad]]," ",Tabla1[[#This Row],[Complejidad]]),Catalogos!E$120:G$128,3,FALSE),"")</f>
        <v>64</v>
      </c>
      <c r="V1708" s="31" t="str">
        <f>IF(Tabla1[[#This Row],[Tiempo solución max (hrs)]]&lt;&gt;"",IF(Tabla1[[#This Row],[Tiempo solución max (hrs)]]&gt;=Tabla1[[#This Row],[Tiempo
(Hrs 00/100)]],"cumple","no cumple"),"")</f>
        <v>cumple</v>
      </c>
      <c r="W1708" s="376" t="s">
        <v>2418</v>
      </c>
      <c r="X1708" s="611" t="str">
        <f t="shared" si="167"/>
        <v>SPD</v>
      </c>
      <c r="Y1708" s="612" t="str">
        <f>SUBSTITUTE(Tabla1[[#This Row],[Descripción]],CHAR(10),"    I    ")</f>
        <v>Se construye los servicios restfull para el registro de avisos</v>
      </c>
      <c r="Z1708" s="613">
        <f>VLOOKUP(Tabla1[[#This Row],[Perfil]],Catalogos!$B$75:$D$100,3,FALSE)*Tabla1[[#This Row],[Tiempo
(Hrs 00/100)]]*1.16</f>
        <v>6496</v>
      </c>
    </row>
    <row r="1709" spans="1:26" ht="15" customHeight="1" x14ac:dyDescent="0.3">
      <c r="A1709" s="614" t="s">
        <v>22</v>
      </c>
      <c r="B1709" s="373" t="s">
        <v>23</v>
      </c>
      <c r="C1709" s="373" t="s">
        <v>45</v>
      </c>
      <c r="D1709" s="373"/>
      <c r="E1709" s="373" t="s">
        <v>375</v>
      </c>
      <c r="F1709" s="373" t="s">
        <v>23</v>
      </c>
      <c r="G1709" s="373" t="s">
        <v>2523</v>
      </c>
      <c r="H1709" s="461" t="s">
        <v>2524</v>
      </c>
      <c r="I1709" s="538" t="s">
        <v>2525</v>
      </c>
      <c r="J1709" s="729">
        <v>45191</v>
      </c>
      <c r="K1709" s="772">
        <v>0.375</v>
      </c>
      <c r="L1709" s="729">
        <v>45191</v>
      </c>
      <c r="M1709" s="772">
        <v>0.79166666666666663</v>
      </c>
      <c r="N1709" s="373">
        <v>8</v>
      </c>
      <c r="O1709" s="184" t="s">
        <v>17</v>
      </c>
      <c r="P1709" s="375" t="s">
        <v>2514</v>
      </c>
      <c r="Q1709" s="179" t="s">
        <v>2415</v>
      </c>
      <c r="R1709" s="171" t="s">
        <v>40</v>
      </c>
      <c r="S1709" s="31" t="s">
        <v>273</v>
      </c>
      <c r="T1709" s="31" t="s">
        <v>273</v>
      </c>
      <c r="U1709" s="31">
        <f>IFERROR(VLOOKUP(CONCATENATE(Tabla1[[#This Row],[Severidad]]," ",Tabla1[[#This Row],[Complejidad]]),Catalogos!E$120:G$128,3,FALSE),"")</f>
        <v>64</v>
      </c>
      <c r="V1709" s="31" t="str">
        <f>IF(Tabla1[[#This Row],[Tiempo solución max (hrs)]]&lt;&gt;"",IF(Tabla1[[#This Row],[Tiempo solución max (hrs)]]&gt;=Tabla1[[#This Row],[Tiempo
(Hrs 00/100)]],"cumple","no cumple"),"")</f>
        <v>cumple</v>
      </c>
      <c r="W1709" s="376" t="s">
        <v>2418</v>
      </c>
      <c r="X1709" s="611" t="str">
        <f t="shared" si="167"/>
        <v>SPD</v>
      </c>
      <c r="Y1709" s="612" t="str">
        <f>SUBSTITUTE(Tabla1[[#This Row],[Descripción]],CHAR(10),"    I    ")</f>
        <v>Se gregan las validaciones para la alta y modificación de avisos</v>
      </c>
      <c r="Z1709" s="613">
        <f>VLOOKUP(Tabla1[[#This Row],[Perfil]],Catalogos!$B$75:$D$100,3,FALSE)*Tabla1[[#This Row],[Tiempo
(Hrs 00/100)]]*1.16</f>
        <v>6496</v>
      </c>
    </row>
    <row r="1710" spans="1:26" ht="15" customHeight="1" x14ac:dyDescent="0.3">
      <c r="A1710" s="614" t="s">
        <v>22</v>
      </c>
      <c r="B1710" s="373" t="s">
        <v>23</v>
      </c>
      <c r="C1710" s="373" t="s">
        <v>45</v>
      </c>
      <c r="D1710" s="373"/>
      <c r="E1710" s="373" t="s">
        <v>375</v>
      </c>
      <c r="F1710" s="373" t="s">
        <v>23</v>
      </c>
      <c r="G1710" s="373" t="s">
        <v>2526</v>
      </c>
      <c r="H1710" s="461" t="s">
        <v>2527</v>
      </c>
      <c r="I1710" s="538" t="s">
        <v>2528</v>
      </c>
      <c r="J1710" s="729">
        <v>45194</v>
      </c>
      <c r="K1710" s="772">
        <v>0.375</v>
      </c>
      <c r="L1710" s="729">
        <v>45194</v>
      </c>
      <c r="M1710" s="772">
        <v>0.79166666666666663</v>
      </c>
      <c r="N1710" s="373">
        <v>8</v>
      </c>
      <c r="O1710" s="184" t="s">
        <v>17</v>
      </c>
      <c r="P1710" s="375" t="s">
        <v>2514</v>
      </c>
      <c r="Q1710" s="179" t="s">
        <v>2415</v>
      </c>
      <c r="R1710" s="171" t="s">
        <v>40</v>
      </c>
      <c r="S1710" s="31" t="s">
        <v>273</v>
      </c>
      <c r="T1710" s="31" t="s">
        <v>273</v>
      </c>
      <c r="U1710" s="31">
        <f>IFERROR(VLOOKUP(CONCATENATE(Tabla1[[#This Row],[Severidad]]," ",Tabla1[[#This Row],[Complejidad]]),Catalogos!E$120:G$128,3,FALSE),"")</f>
        <v>64</v>
      </c>
      <c r="V1710" s="31" t="str">
        <f>IF(Tabla1[[#This Row],[Tiempo solución max (hrs)]]&lt;&gt;"",IF(Tabla1[[#This Row],[Tiempo solución max (hrs)]]&gt;=Tabla1[[#This Row],[Tiempo
(Hrs 00/100)]],"cumple","no cumple"),"")</f>
        <v>cumple</v>
      </c>
      <c r="W1710" s="376" t="s">
        <v>2418</v>
      </c>
      <c r="X1710" s="611" t="str">
        <f t="shared" si="167"/>
        <v>SPD</v>
      </c>
      <c r="Y1710" s="612" t="str">
        <f>SUBSTITUTE(Tabla1[[#This Row],[Descripción]],CHAR(10),"    I    ")</f>
        <v>Se construye los servicios restfull y sea gregan las validaciones para la actualización de avisos</v>
      </c>
      <c r="Z1710" s="613">
        <f>VLOOKUP(Tabla1[[#This Row],[Perfil]],Catalogos!$B$75:$D$100,3,FALSE)*Tabla1[[#This Row],[Tiempo
(Hrs 00/100)]]*1.16</f>
        <v>6496</v>
      </c>
    </row>
    <row r="1711" spans="1:26" ht="15" customHeight="1" x14ac:dyDescent="0.3">
      <c r="A1711" s="614" t="s">
        <v>22</v>
      </c>
      <c r="B1711" s="373" t="s">
        <v>23</v>
      </c>
      <c r="C1711" s="373" t="s">
        <v>45</v>
      </c>
      <c r="D1711" s="373"/>
      <c r="E1711" s="373" t="s">
        <v>375</v>
      </c>
      <c r="F1711" s="373" t="s">
        <v>23</v>
      </c>
      <c r="G1711" s="373" t="s">
        <v>2529</v>
      </c>
      <c r="H1711" s="461" t="s">
        <v>2530</v>
      </c>
      <c r="I1711" s="538" t="s">
        <v>2531</v>
      </c>
      <c r="J1711" s="729">
        <v>45195</v>
      </c>
      <c r="K1711" s="772">
        <v>0.375</v>
      </c>
      <c r="L1711" s="729">
        <v>45195</v>
      </c>
      <c r="M1711" s="772">
        <v>0.79166666666666663</v>
      </c>
      <c r="N1711" s="373">
        <v>8</v>
      </c>
      <c r="O1711" s="184" t="s">
        <v>17</v>
      </c>
      <c r="P1711" s="375" t="s">
        <v>2514</v>
      </c>
      <c r="Q1711" s="179" t="s">
        <v>2415</v>
      </c>
      <c r="R1711" s="171" t="s">
        <v>40</v>
      </c>
      <c r="S1711" s="31" t="s">
        <v>273</v>
      </c>
      <c r="T1711" s="31" t="s">
        <v>273</v>
      </c>
      <c r="U1711" s="31">
        <f>IFERROR(VLOOKUP(CONCATENATE(Tabla1[[#This Row],[Severidad]]," ",Tabla1[[#This Row],[Complejidad]]),Catalogos!E$120:G$128,3,FALSE),"")</f>
        <v>64</v>
      </c>
      <c r="V1711" s="31" t="str">
        <f>IF(Tabla1[[#This Row],[Tiempo solución max (hrs)]]&lt;&gt;"",IF(Tabla1[[#This Row],[Tiempo solución max (hrs)]]&gt;=Tabla1[[#This Row],[Tiempo
(Hrs 00/100)]],"cumple","no cumple"),"")</f>
        <v>cumple</v>
      </c>
      <c r="W1711" s="376" t="s">
        <v>2418</v>
      </c>
      <c r="X1711" s="611" t="str">
        <f t="shared" si="167"/>
        <v>SPD</v>
      </c>
      <c r="Y1711" s="612" t="str">
        <f>SUBSTITUTE(Tabla1[[#This Row],[Descripción]],CHAR(10),"    I    ")</f>
        <v>Se construye los servicios restfull y sea gregan las validaciones para la consulta de avisos</v>
      </c>
      <c r="Z1711" s="613">
        <f>VLOOKUP(Tabla1[[#This Row],[Perfil]],Catalogos!$B$75:$D$100,3,FALSE)*Tabla1[[#This Row],[Tiempo
(Hrs 00/100)]]*1.16</f>
        <v>6496</v>
      </c>
    </row>
    <row r="1712" spans="1:26" ht="15" customHeight="1" x14ac:dyDescent="0.3">
      <c r="A1712" s="614" t="s">
        <v>22</v>
      </c>
      <c r="B1712" s="373" t="s">
        <v>23</v>
      </c>
      <c r="C1712" s="373" t="s">
        <v>45</v>
      </c>
      <c r="D1712" s="373"/>
      <c r="E1712" s="373" t="s">
        <v>375</v>
      </c>
      <c r="F1712" s="373" t="s">
        <v>23</v>
      </c>
      <c r="G1712" s="373" t="s">
        <v>2532</v>
      </c>
      <c r="H1712" s="461" t="s">
        <v>2533</v>
      </c>
      <c r="I1712" s="538" t="s">
        <v>2534</v>
      </c>
      <c r="J1712" s="729">
        <v>45196</v>
      </c>
      <c r="K1712" s="772">
        <v>0.375</v>
      </c>
      <c r="L1712" s="729">
        <v>45196</v>
      </c>
      <c r="M1712" s="772">
        <v>0.79166666666666663</v>
      </c>
      <c r="N1712" s="373">
        <v>8</v>
      </c>
      <c r="O1712" s="184" t="s">
        <v>17</v>
      </c>
      <c r="P1712" s="375" t="s">
        <v>2514</v>
      </c>
      <c r="Q1712" s="179" t="s">
        <v>2415</v>
      </c>
      <c r="R1712" s="171" t="s">
        <v>40</v>
      </c>
      <c r="S1712" s="31" t="s">
        <v>273</v>
      </c>
      <c r="T1712" s="31" t="s">
        <v>273</v>
      </c>
      <c r="U1712" s="31">
        <f>IFERROR(VLOOKUP(CONCATENATE(Tabla1[[#This Row],[Severidad]]," ",Tabla1[[#This Row],[Complejidad]]),Catalogos!E$120:G$128,3,FALSE),"")</f>
        <v>64</v>
      </c>
      <c r="V1712" s="31" t="str">
        <f>IF(Tabla1[[#This Row],[Tiempo solución max (hrs)]]&lt;&gt;"",IF(Tabla1[[#This Row],[Tiempo solución max (hrs)]]&gt;=Tabla1[[#This Row],[Tiempo
(Hrs 00/100)]],"cumple","no cumple"),"")</f>
        <v>cumple</v>
      </c>
      <c r="W1712" s="376" t="s">
        <v>2418</v>
      </c>
      <c r="X1712" s="611" t="str">
        <f t="shared" si="167"/>
        <v>SPD</v>
      </c>
      <c r="Y1712" s="612" t="str">
        <f>SUBSTITUTE(Tabla1[[#This Row],[Descripción]],CHAR(10),"    I    ")</f>
        <v>Se construye los servicios restfull y sea gregan las validaciones para la eliminación de avisos</v>
      </c>
      <c r="Z1712" s="613">
        <f>VLOOKUP(Tabla1[[#This Row],[Perfil]],Catalogos!$B$75:$D$100,3,FALSE)*Tabla1[[#This Row],[Tiempo
(Hrs 00/100)]]*1.16</f>
        <v>6496</v>
      </c>
    </row>
    <row r="1713" spans="1:26" ht="15" customHeight="1" x14ac:dyDescent="0.3">
      <c r="A1713" s="614" t="s">
        <v>22</v>
      </c>
      <c r="B1713" s="373" t="s">
        <v>23</v>
      </c>
      <c r="C1713" s="373" t="s">
        <v>45</v>
      </c>
      <c r="D1713" s="373"/>
      <c r="E1713" s="373" t="s">
        <v>375</v>
      </c>
      <c r="F1713" s="373" t="s">
        <v>23</v>
      </c>
      <c r="G1713" s="373" t="s">
        <v>2535</v>
      </c>
      <c r="H1713" s="461" t="s">
        <v>2536</v>
      </c>
      <c r="I1713" s="538" t="s">
        <v>2537</v>
      </c>
      <c r="J1713" s="729">
        <v>45197</v>
      </c>
      <c r="K1713" s="772">
        <v>0.375</v>
      </c>
      <c r="L1713" s="729">
        <v>45197</v>
      </c>
      <c r="M1713" s="772">
        <v>0.79166666666666663</v>
      </c>
      <c r="N1713" s="373">
        <v>8</v>
      </c>
      <c r="O1713" s="184" t="s">
        <v>17</v>
      </c>
      <c r="P1713" s="375" t="s">
        <v>2514</v>
      </c>
      <c r="Q1713" s="179" t="s">
        <v>2415</v>
      </c>
      <c r="R1713" s="171" t="s">
        <v>40</v>
      </c>
      <c r="S1713" s="31" t="s">
        <v>273</v>
      </c>
      <c r="T1713" s="31" t="s">
        <v>273</v>
      </c>
      <c r="U1713" s="31">
        <f>IFERROR(VLOOKUP(CONCATENATE(Tabla1[[#This Row],[Severidad]]," ",Tabla1[[#This Row],[Complejidad]]),Catalogos!E$120:G$128,3,FALSE),"")</f>
        <v>64</v>
      </c>
      <c r="V1713" s="31" t="str">
        <f>IF(Tabla1[[#This Row],[Tiempo solución max (hrs)]]&lt;&gt;"",IF(Tabla1[[#This Row],[Tiempo solución max (hrs)]]&gt;=Tabla1[[#This Row],[Tiempo
(Hrs 00/100)]],"cumple","no cumple"),"")</f>
        <v>cumple</v>
      </c>
      <c r="W1713" s="376" t="s">
        <v>2418</v>
      </c>
      <c r="X1713" s="611" t="str">
        <f t="shared" si="167"/>
        <v>SPD</v>
      </c>
      <c r="Y1713" s="612" t="str">
        <f>SUBSTITUTE(Tabla1[[#This Row],[Descripción]],CHAR(10),"    I    ")</f>
        <v>Se construye los servicios restfull  para la eliminación de las url de avisos</v>
      </c>
      <c r="Z1713" s="613">
        <f>VLOOKUP(Tabla1[[#This Row],[Perfil]],Catalogos!$B$75:$D$100,3,FALSE)*Tabla1[[#This Row],[Tiempo
(Hrs 00/100)]]*1.16</f>
        <v>6496</v>
      </c>
    </row>
    <row r="1714" spans="1:26" ht="15" customHeight="1" x14ac:dyDescent="0.3">
      <c r="A1714" s="614" t="s">
        <v>22</v>
      </c>
      <c r="B1714" s="373" t="s">
        <v>23</v>
      </c>
      <c r="C1714" s="373" t="s">
        <v>45</v>
      </c>
      <c r="D1714" s="373"/>
      <c r="E1714" s="373" t="s">
        <v>375</v>
      </c>
      <c r="F1714" s="373" t="s">
        <v>74</v>
      </c>
      <c r="G1714" s="373" t="s">
        <v>2538</v>
      </c>
      <c r="H1714" s="461" t="s">
        <v>2539</v>
      </c>
      <c r="I1714" s="538" t="s">
        <v>2540</v>
      </c>
      <c r="J1714" s="729">
        <v>45198</v>
      </c>
      <c r="K1714" s="772">
        <v>0.375</v>
      </c>
      <c r="L1714" s="729">
        <v>45198</v>
      </c>
      <c r="M1714" s="772">
        <v>0.79166666666666663</v>
      </c>
      <c r="N1714" s="373">
        <v>8</v>
      </c>
      <c r="O1714" s="184" t="s">
        <v>17</v>
      </c>
      <c r="P1714" s="375" t="s">
        <v>2514</v>
      </c>
      <c r="Q1714" s="179" t="s">
        <v>2415</v>
      </c>
      <c r="R1714" s="171" t="s">
        <v>40</v>
      </c>
      <c r="S1714" s="31" t="s">
        <v>273</v>
      </c>
      <c r="T1714" s="31" t="s">
        <v>273</v>
      </c>
      <c r="U1714" s="31">
        <f>IFERROR(VLOOKUP(CONCATENATE(Tabla1[[#This Row],[Severidad]]," ",Tabla1[[#This Row],[Complejidad]]),Catalogos!E$120:G$128,3,FALSE),"")</f>
        <v>64</v>
      </c>
      <c r="V1714" s="31" t="str">
        <f>IF(Tabla1[[#This Row],[Tiempo solución max (hrs)]]&lt;&gt;"",IF(Tabla1[[#This Row],[Tiempo solución max (hrs)]]&gt;=Tabla1[[#This Row],[Tiempo
(Hrs 00/100)]],"cumple","no cumple"),"")</f>
        <v>cumple</v>
      </c>
      <c r="W1714" s="376" t="s">
        <v>2418</v>
      </c>
      <c r="X1714" s="611" t="str">
        <f t="shared" si="167"/>
        <v>SPD</v>
      </c>
      <c r="Y1714" s="612" t="str">
        <f>SUBSTITUTE(Tabla1[[#This Row],[Descripción]],CHAR(10),"    I    ")</f>
        <v>Se hace la configuración para la alta del microservicio avisos en el sevidor de eureka y api gatway, se hacen las configuracion para el docker y docker compose</v>
      </c>
      <c r="Z1714" s="613">
        <f>VLOOKUP(Tabla1[[#This Row],[Perfil]],Catalogos!$B$75:$D$100,3,FALSE)*Tabla1[[#This Row],[Tiempo
(Hrs 00/100)]]*1.16</f>
        <v>6496</v>
      </c>
    </row>
    <row r="1715" spans="1:26" ht="15" customHeight="1" x14ac:dyDescent="0.3">
      <c r="A1715" s="373" t="s">
        <v>22</v>
      </c>
      <c r="B1715" s="184" t="s">
        <v>68</v>
      </c>
      <c r="C1715" s="183" t="s">
        <v>16</v>
      </c>
      <c r="D1715" s="373"/>
      <c r="E1715" s="386" t="s">
        <v>503</v>
      </c>
      <c r="F1715" s="373" t="s">
        <v>75</v>
      </c>
      <c r="G1715" s="370" t="s">
        <v>2541</v>
      </c>
      <c r="H1715" s="387" t="s">
        <v>436</v>
      </c>
      <c r="I1715" s="620" t="s">
        <v>1470</v>
      </c>
      <c r="J1715" s="712">
        <v>45170</v>
      </c>
      <c r="K1715" s="772">
        <v>0.375</v>
      </c>
      <c r="L1715" s="712">
        <v>45170</v>
      </c>
      <c r="M1715" s="772">
        <v>0.41666666666666669</v>
      </c>
      <c r="N1715" s="373">
        <v>1</v>
      </c>
      <c r="O1715" s="184" t="s">
        <v>17</v>
      </c>
      <c r="P1715" s="375" t="s">
        <v>2542</v>
      </c>
      <c r="Q1715" s="179" t="s">
        <v>258</v>
      </c>
      <c r="R1715" s="621" t="s">
        <v>81</v>
      </c>
      <c r="S1715" s="31" t="s">
        <v>273</v>
      </c>
      <c r="T1715" s="31" t="s">
        <v>273</v>
      </c>
      <c r="U1715" s="31">
        <f>IFERROR(VLOOKUP(CONCATENATE(Tabla1[[#This Row],[Severidad]]," ",Tabla1[[#This Row],[Complejidad]]),Catalogos!E$120:G$128,3,FALSE),"")</f>
        <v>64</v>
      </c>
      <c r="V1715" s="31" t="str">
        <f>IF(Tabla1[[#This Row],[Tiempo solución max (hrs)]]&lt;&gt;"",IF(Tabla1[[#This Row],[Tiempo solución max (hrs)]]&gt;=Tabla1[[#This Row],[Tiempo
(Hrs 00/100)]],"cumple","no cumple"),"")</f>
        <v>cumple</v>
      </c>
      <c r="W1715" s="376" t="s">
        <v>2418</v>
      </c>
      <c r="X1715" s="611" t="str">
        <f t="shared" si="167"/>
        <v>SAW</v>
      </c>
      <c r="Y1715" s="612" t="str">
        <f>SUBSTITUTE(Tabla1[[#This Row],[Descripción]],CHAR(10),"    I    ")</f>
        <v xml:space="preserve">Actualizacion Requerimiento de aplicaciones web </v>
      </c>
      <c r="Z1715" s="613">
        <f>VLOOKUP(Tabla1[[#This Row],[Perfil]],Catalogos!$B$75:$D$100,3,FALSE)*Tabla1[[#This Row],[Tiempo
(Hrs 00/100)]]*1.16</f>
        <v>580</v>
      </c>
    </row>
    <row r="1716" spans="1:26" ht="15" customHeight="1" x14ac:dyDescent="0.3">
      <c r="A1716" s="373" t="s">
        <v>22</v>
      </c>
      <c r="B1716" s="184" t="s">
        <v>68</v>
      </c>
      <c r="C1716" s="183" t="s">
        <v>16</v>
      </c>
      <c r="D1716" s="373"/>
      <c r="E1716" s="386" t="s">
        <v>503</v>
      </c>
      <c r="F1716" s="373" t="s">
        <v>75</v>
      </c>
      <c r="G1716" s="370" t="s">
        <v>2543</v>
      </c>
      <c r="H1716" s="387" t="s">
        <v>436</v>
      </c>
      <c r="I1716" s="538" t="s">
        <v>2544</v>
      </c>
      <c r="J1716" s="712">
        <v>45170</v>
      </c>
      <c r="K1716" s="772">
        <v>0.41666666666666669</v>
      </c>
      <c r="L1716" s="712">
        <v>45170</v>
      </c>
      <c r="M1716" s="772">
        <v>0.58333333333333337</v>
      </c>
      <c r="N1716" s="373">
        <v>4</v>
      </c>
      <c r="O1716" s="184" t="s">
        <v>17</v>
      </c>
      <c r="P1716" s="375" t="s">
        <v>2542</v>
      </c>
      <c r="Q1716" s="179" t="s">
        <v>258</v>
      </c>
      <c r="R1716" s="621" t="s">
        <v>81</v>
      </c>
      <c r="S1716" s="31" t="s">
        <v>273</v>
      </c>
      <c r="T1716" s="31" t="s">
        <v>273</v>
      </c>
      <c r="U1716" s="31">
        <f>IFERROR(VLOOKUP(CONCATENATE(Tabla1[[#This Row],[Severidad]]," ",Tabla1[[#This Row],[Complejidad]]),Catalogos!E$120:G$128,3,FALSE),"")</f>
        <v>64</v>
      </c>
      <c r="V1716" s="31" t="str">
        <f>IF(Tabla1[[#This Row],[Tiempo solución max (hrs)]]&lt;&gt;"",IF(Tabla1[[#This Row],[Tiempo solución max (hrs)]]&gt;=Tabla1[[#This Row],[Tiempo
(Hrs 00/100)]],"cumple","no cumple"),"")</f>
        <v>cumple</v>
      </c>
      <c r="W1716" s="376" t="s">
        <v>2418</v>
      </c>
      <c r="X1716" s="611" t="str">
        <f t="shared" si="167"/>
        <v>SAW</v>
      </c>
      <c r="Y1716" s="612" t="str">
        <f>SUBSTITUTE(Tabla1[[#This Row],[Descripción]],CHAR(10),"    I    ")</f>
        <v xml:space="preserve">actualizacion pagina consejo consultivo </v>
      </c>
      <c r="Z1716" s="613">
        <f>VLOOKUP(Tabla1[[#This Row],[Perfil]],Catalogos!$B$75:$D$100,3,FALSE)*Tabla1[[#This Row],[Tiempo
(Hrs 00/100)]]*1.16</f>
        <v>2320</v>
      </c>
    </row>
    <row r="1717" spans="1:26" ht="15" customHeight="1" x14ac:dyDescent="0.3">
      <c r="A1717" s="373" t="s">
        <v>22</v>
      </c>
      <c r="B1717" s="184" t="s">
        <v>68</v>
      </c>
      <c r="C1717" s="183" t="s">
        <v>16</v>
      </c>
      <c r="D1717" s="373"/>
      <c r="E1717" s="386" t="s">
        <v>503</v>
      </c>
      <c r="F1717" s="373" t="s">
        <v>75</v>
      </c>
      <c r="G1717" s="370" t="s">
        <v>2545</v>
      </c>
      <c r="H1717" s="387" t="s">
        <v>436</v>
      </c>
      <c r="I1717" s="620" t="s">
        <v>1470</v>
      </c>
      <c r="J1717" s="712">
        <v>45170</v>
      </c>
      <c r="K1717" s="772">
        <v>0.58333333333333337</v>
      </c>
      <c r="L1717" s="712">
        <v>45170</v>
      </c>
      <c r="M1717" s="772">
        <v>0.625</v>
      </c>
      <c r="N1717" s="373">
        <v>1</v>
      </c>
      <c r="O1717" s="184" t="s">
        <v>17</v>
      </c>
      <c r="P1717" s="375" t="s">
        <v>2542</v>
      </c>
      <c r="Q1717" s="179" t="s">
        <v>258</v>
      </c>
      <c r="R1717" s="621" t="s">
        <v>81</v>
      </c>
      <c r="S1717" s="31" t="s">
        <v>273</v>
      </c>
      <c r="T1717" s="31" t="s">
        <v>273</v>
      </c>
      <c r="U1717" s="31">
        <f>IFERROR(VLOOKUP(CONCATENATE(Tabla1[[#This Row],[Severidad]]," ",Tabla1[[#This Row],[Complejidad]]),Catalogos!E$120:G$128,3,FALSE),"")</f>
        <v>64</v>
      </c>
      <c r="V1717" s="31" t="str">
        <f>IF(Tabla1[[#This Row],[Tiempo solución max (hrs)]]&lt;&gt;"",IF(Tabla1[[#This Row],[Tiempo solución max (hrs)]]&gt;=Tabla1[[#This Row],[Tiempo
(Hrs 00/100)]],"cumple","no cumple"),"")</f>
        <v>cumple</v>
      </c>
      <c r="W1717" s="376" t="s">
        <v>2418</v>
      </c>
      <c r="X1717" s="611" t="str">
        <f t="shared" si="167"/>
        <v>SAW</v>
      </c>
      <c r="Y1717" s="612" t="str">
        <f>SUBSTITUTE(Tabla1[[#This Row],[Descripción]],CHAR(10),"    I    ")</f>
        <v xml:space="preserve">Actualizacion Requerimiento de aplicaciones web </v>
      </c>
      <c r="Z1717" s="613">
        <f>VLOOKUP(Tabla1[[#This Row],[Perfil]],Catalogos!$B$75:$D$100,3,FALSE)*Tabla1[[#This Row],[Tiempo
(Hrs 00/100)]]*1.16</f>
        <v>580</v>
      </c>
    </row>
    <row r="1718" spans="1:26" ht="15" customHeight="1" x14ac:dyDescent="0.3">
      <c r="A1718" s="373" t="s">
        <v>22</v>
      </c>
      <c r="B1718" s="184" t="s">
        <v>68</v>
      </c>
      <c r="C1718" s="183" t="s">
        <v>16</v>
      </c>
      <c r="D1718" s="373"/>
      <c r="E1718" s="386" t="s">
        <v>503</v>
      </c>
      <c r="F1718" s="373" t="s">
        <v>75</v>
      </c>
      <c r="G1718" s="370" t="s">
        <v>2546</v>
      </c>
      <c r="H1718" s="387" t="s">
        <v>436</v>
      </c>
      <c r="I1718" s="178" t="s">
        <v>2547</v>
      </c>
      <c r="J1718" s="712">
        <v>45173</v>
      </c>
      <c r="K1718" s="772">
        <v>0.375</v>
      </c>
      <c r="L1718" s="712">
        <v>45173</v>
      </c>
      <c r="M1718" s="772">
        <v>0.47916666666666669</v>
      </c>
      <c r="N1718" s="373">
        <v>2.5</v>
      </c>
      <c r="O1718" s="184" t="s">
        <v>17</v>
      </c>
      <c r="P1718" s="375" t="s">
        <v>2542</v>
      </c>
      <c r="Q1718" s="179" t="s">
        <v>258</v>
      </c>
      <c r="R1718" s="621" t="s">
        <v>81</v>
      </c>
      <c r="S1718" s="31" t="s">
        <v>273</v>
      </c>
      <c r="T1718" s="31" t="s">
        <v>273</v>
      </c>
      <c r="U1718" s="31">
        <f>IFERROR(VLOOKUP(CONCATENATE(Tabla1[[#This Row],[Severidad]]," ",Tabla1[[#This Row],[Complejidad]]),Catalogos!E$120:G$128,3,FALSE),"")</f>
        <v>64</v>
      </c>
      <c r="V1718" s="31" t="str">
        <f>IF(Tabla1[[#This Row],[Tiempo solución max (hrs)]]&lt;&gt;"",IF(Tabla1[[#This Row],[Tiempo solución max (hrs)]]&gt;=Tabla1[[#This Row],[Tiempo
(Hrs 00/100)]],"cumple","no cumple"),"")</f>
        <v>cumple</v>
      </c>
      <c r="W1718" s="376" t="s">
        <v>2418</v>
      </c>
      <c r="X1718" s="611" t="str">
        <f t="shared" si="167"/>
        <v>SAW</v>
      </c>
      <c r="Y1718" s="612" t="str">
        <f>SUBSTITUTE(Tabla1[[#This Row],[Descripción]],CHAR(10),"    I    ")</f>
        <v xml:space="preserve">actualizacion cierre registro  </v>
      </c>
      <c r="Z1718" s="613">
        <f>VLOOKUP(Tabla1[[#This Row],[Perfil]],Catalogos!$B$75:$D$100,3,FALSE)*Tabla1[[#This Row],[Tiempo
(Hrs 00/100)]]*1.16</f>
        <v>1450</v>
      </c>
    </row>
    <row r="1719" spans="1:26" ht="15" customHeight="1" x14ac:dyDescent="0.3">
      <c r="A1719" s="373" t="s">
        <v>22</v>
      </c>
      <c r="B1719" s="184" t="s">
        <v>68</v>
      </c>
      <c r="C1719" s="183" t="s">
        <v>16</v>
      </c>
      <c r="D1719" s="373"/>
      <c r="E1719" s="386" t="s">
        <v>503</v>
      </c>
      <c r="F1719" s="373" t="s">
        <v>75</v>
      </c>
      <c r="G1719" s="370" t="s">
        <v>2548</v>
      </c>
      <c r="H1719" s="387" t="s">
        <v>436</v>
      </c>
      <c r="I1719" s="178" t="s">
        <v>2549</v>
      </c>
      <c r="J1719" s="712">
        <v>45173</v>
      </c>
      <c r="K1719" s="772">
        <v>0.97916666666666663</v>
      </c>
      <c r="L1719" s="712">
        <v>45173</v>
      </c>
      <c r="M1719" s="772">
        <v>0.60416666666666663</v>
      </c>
      <c r="N1719" s="373">
        <v>3</v>
      </c>
      <c r="O1719" s="184" t="s">
        <v>17</v>
      </c>
      <c r="P1719" s="375" t="s">
        <v>2542</v>
      </c>
      <c r="Q1719" s="179" t="s">
        <v>258</v>
      </c>
      <c r="R1719" s="621" t="s">
        <v>81</v>
      </c>
      <c r="S1719" s="31" t="s">
        <v>273</v>
      </c>
      <c r="T1719" s="31" t="s">
        <v>273</v>
      </c>
      <c r="U1719" s="31">
        <f>IFERROR(VLOOKUP(CONCATENATE(Tabla1[[#This Row],[Severidad]]," ",Tabla1[[#This Row],[Complejidad]]),Catalogos!E$120:G$128,3,FALSE),"")</f>
        <v>64</v>
      </c>
      <c r="V1719" s="31" t="str">
        <f>IF(Tabla1[[#This Row],[Tiempo solución max (hrs)]]&lt;&gt;"",IF(Tabla1[[#This Row],[Tiempo solución max (hrs)]]&gt;=Tabla1[[#This Row],[Tiempo
(Hrs 00/100)]],"cumple","no cumple"),"")</f>
        <v>cumple</v>
      </c>
      <c r="W1719" s="376" t="s">
        <v>2418</v>
      </c>
      <c r="X1719" s="611" t="str">
        <f t="shared" ref="X1719:X1750" si="172">IF(C1719&lt;&gt;"",C1719,D1719)</f>
        <v>SAW</v>
      </c>
      <c r="Y1719" s="612" t="str">
        <f>SUBSTITUTE(Tabla1[[#This Row],[Descripción]],CHAR(10),"    I    ")</f>
        <v>actualizacion acceso de usuarios</v>
      </c>
      <c r="Z1719" s="613">
        <f>VLOOKUP(Tabla1[[#This Row],[Perfil]],Catalogos!$B$75:$D$100,3,FALSE)*Tabla1[[#This Row],[Tiempo
(Hrs 00/100)]]*1.16</f>
        <v>1739.9999999999998</v>
      </c>
    </row>
    <row r="1720" spans="1:26" ht="15" customHeight="1" x14ac:dyDescent="0.3">
      <c r="A1720" s="373" t="s">
        <v>22</v>
      </c>
      <c r="B1720" s="184" t="s">
        <v>68</v>
      </c>
      <c r="C1720" s="183" t="s">
        <v>16</v>
      </c>
      <c r="D1720" s="373"/>
      <c r="E1720" s="386" t="s">
        <v>503</v>
      </c>
      <c r="F1720" s="373" t="s">
        <v>75</v>
      </c>
      <c r="G1720" s="370" t="s">
        <v>2550</v>
      </c>
      <c r="H1720" s="387" t="s">
        <v>436</v>
      </c>
      <c r="I1720" s="178" t="s">
        <v>866</v>
      </c>
      <c r="J1720" s="712">
        <v>45173</v>
      </c>
      <c r="K1720" s="772">
        <v>0.66666666666666663</v>
      </c>
      <c r="L1720" s="712">
        <v>45173</v>
      </c>
      <c r="M1720" s="772">
        <v>0.79166666666666663</v>
      </c>
      <c r="N1720" s="373">
        <v>3</v>
      </c>
      <c r="O1720" s="184" t="s">
        <v>17</v>
      </c>
      <c r="P1720" s="375" t="s">
        <v>2542</v>
      </c>
      <c r="Q1720" s="179" t="s">
        <v>258</v>
      </c>
      <c r="R1720" s="621" t="s">
        <v>81</v>
      </c>
      <c r="S1720" s="31" t="s">
        <v>273</v>
      </c>
      <c r="T1720" s="31" t="s">
        <v>273</v>
      </c>
      <c r="U1720" s="31">
        <f>IFERROR(VLOOKUP(CONCATENATE(Tabla1[[#This Row],[Severidad]]," ",Tabla1[[#This Row],[Complejidad]]),Catalogos!E$120:G$128,3,FALSE),"")</f>
        <v>64</v>
      </c>
      <c r="V1720" s="31" t="str">
        <f>IF(Tabla1[[#This Row],[Tiempo solución max (hrs)]]&lt;&gt;"",IF(Tabla1[[#This Row],[Tiempo solución max (hrs)]]&gt;=Tabla1[[#This Row],[Tiempo
(Hrs 00/100)]],"cumple","no cumple"),"")</f>
        <v>cumple</v>
      </c>
      <c r="W1720" s="376" t="s">
        <v>2418</v>
      </c>
      <c r="X1720" s="611" t="str">
        <f t="shared" si="172"/>
        <v>SAW</v>
      </c>
      <c r="Y1720" s="612" t="str">
        <f>SUBSTITUTE(Tabla1[[#This Row],[Descripción]],CHAR(10),"    I    ")</f>
        <v xml:space="preserve">Actualizacion de avance de proyectos </v>
      </c>
      <c r="Z1720" s="613">
        <f>VLOOKUP(Tabla1[[#This Row],[Perfil]],Catalogos!$B$75:$D$100,3,FALSE)*Tabla1[[#This Row],[Tiempo
(Hrs 00/100)]]*1.16</f>
        <v>1739.9999999999998</v>
      </c>
    </row>
    <row r="1721" spans="1:26" ht="15" customHeight="1" x14ac:dyDescent="0.3">
      <c r="A1721" s="373" t="s">
        <v>22</v>
      </c>
      <c r="B1721" s="184" t="s">
        <v>68</v>
      </c>
      <c r="C1721" s="183" t="s">
        <v>16</v>
      </c>
      <c r="D1721" s="373"/>
      <c r="E1721" s="386" t="s">
        <v>503</v>
      </c>
      <c r="F1721" s="373" t="s">
        <v>75</v>
      </c>
      <c r="G1721" s="370" t="s">
        <v>2551</v>
      </c>
      <c r="H1721" s="387" t="s">
        <v>436</v>
      </c>
      <c r="I1721" s="538" t="s">
        <v>2552</v>
      </c>
      <c r="J1721" s="712">
        <v>45174</v>
      </c>
      <c r="K1721" s="772">
        <v>0.375</v>
      </c>
      <c r="L1721" s="712">
        <v>45174</v>
      </c>
      <c r="M1721" s="772">
        <v>0.52083333333333337</v>
      </c>
      <c r="N1721" s="373">
        <v>3.5</v>
      </c>
      <c r="O1721" s="184" t="s">
        <v>17</v>
      </c>
      <c r="P1721" s="375" t="s">
        <v>2542</v>
      </c>
      <c r="Q1721" s="179" t="s">
        <v>258</v>
      </c>
      <c r="R1721" s="621" t="s">
        <v>81</v>
      </c>
      <c r="S1721" s="31" t="s">
        <v>273</v>
      </c>
      <c r="T1721" s="31" t="s">
        <v>273</v>
      </c>
      <c r="U1721" s="31">
        <f>IFERROR(VLOOKUP(CONCATENATE(Tabla1[[#This Row],[Severidad]]," ",Tabla1[[#This Row],[Complejidad]]),Catalogos!E$120:G$128,3,FALSE),"")</f>
        <v>64</v>
      </c>
      <c r="V1721" s="31" t="str">
        <f>IF(Tabla1[[#This Row],[Tiempo solución max (hrs)]]&lt;&gt;"",IF(Tabla1[[#This Row],[Tiempo solución max (hrs)]]&gt;=Tabla1[[#This Row],[Tiempo
(Hrs 00/100)]],"cumple","no cumple"),"")</f>
        <v>cumple</v>
      </c>
      <c r="W1721" s="376" t="s">
        <v>2418</v>
      </c>
      <c r="X1721" s="611" t="str">
        <f t="shared" si="172"/>
        <v>SAW</v>
      </c>
      <c r="Y1721" s="612" t="str">
        <f>SUBSTITUTE(Tabla1[[#This Row],[Descripción]],CHAR(10),"    I    ")</f>
        <v xml:space="preserve">actualizacion pleno niños </v>
      </c>
      <c r="Z1721" s="613">
        <f>VLOOKUP(Tabla1[[#This Row],[Perfil]],Catalogos!$B$75:$D$100,3,FALSE)*Tabla1[[#This Row],[Tiempo
(Hrs 00/100)]]*1.16</f>
        <v>2029.9999999999998</v>
      </c>
    </row>
    <row r="1722" spans="1:26" ht="15" customHeight="1" x14ac:dyDescent="0.3">
      <c r="A1722" s="373" t="s">
        <v>22</v>
      </c>
      <c r="B1722" s="184" t="s">
        <v>68</v>
      </c>
      <c r="C1722" s="183" t="s">
        <v>16</v>
      </c>
      <c r="D1722" s="373"/>
      <c r="E1722" s="386" t="s">
        <v>503</v>
      </c>
      <c r="F1722" s="373" t="s">
        <v>75</v>
      </c>
      <c r="G1722" s="370" t="s">
        <v>2553</v>
      </c>
      <c r="H1722" s="387" t="s">
        <v>436</v>
      </c>
      <c r="I1722" s="538" t="s">
        <v>2554</v>
      </c>
      <c r="J1722" s="712">
        <v>45174</v>
      </c>
      <c r="K1722" s="772">
        <v>0.52083333333333337</v>
      </c>
      <c r="L1722" s="712">
        <v>45174</v>
      </c>
      <c r="M1722" s="772">
        <v>0.60416666666666663</v>
      </c>
      <c r="N1722" s="373">
        <v>2</v>
      </c>
      <c r="O1722" s="184" t="s">
        <v>17</v>
      </c>
      <c r="P1722" s="375" t="s">
        <v>2542</v>
      </c>
      <c r="Q1722" s="179" t="s">
        <v>258</v>
      </c>
      <c r="R1722" s="621" t="s">
        <v>81</v>
      </c>
      <c r="S1722" s="31" t="s">
        <v>273</v>
      </c>
      <c r="T1722" s="31" t="s">
        <v>273</v>
      </c>
      <c r="U1722" s="31">
        <f>IFERROR(VLOOKUP(CONCATENATE(Tabla1[[#This Row],[Severidad]]," ",Tabla1[[#This Row],[Complejidad]]),Catalogos!E$120:G$128,3,FALSE),"")</f>
        <v>64</v>
      </c>
      <c r="V1722" s="31" t="str">
        <f>IF(Tabla1[[#This Row],[Tiempo solución max (hrs)]]&lt;&gt;"",IF(Tabla1[[#This Row],[Tiempo solución max (hrs)]]&gt;=Tabla1[[#This Row],[Tiempo
(Hrs 00/100)]],"cumple","no cumple"),"")</f>
        <v>cumple</v>
      </c>
      <c r="W1722" s="376" t="s">
        <v>2418</v>
      </c>
      <c r="X1722" s="611" t="str">
        <f t="shared" si="172"/>
        <v>SAW</v>
      </c>
      <c r="Y1722" s="612" t="str">
        <f>SUBSTITUTE(Tabla1[[#This Row],[Descripción]],CHAR(10),"    I    ")</f>
        <v xml:space="preserve">actualizacion control interno </v>
      </c>
      <c r="Z1722" s="613">
        <f>VLOOKUP(Tabla1[[#This Row],[Perfil]],Catalogos!$B$75:$D$100,3,FALSE)*Tabla1[[#This Row],[Tiempo
(Hrs 00/100)]]*1.16</f>
        <v>1160</v>
      </c>
    </row>
    <row r="1723" spans="1:26" ht="15" customHeight="1" x14ac:dyDescent="0.3">
      <c r="A1723" s="373" t="s">
        <v>22</v>
      </c>
      <c r="B1723" s="184" t="s">
        <v>68</v>
      </c>
      <c r="C1723" s="183" t="s">
        <v>16</v>
      </c>
      <c r="D1723" s="373"/>
      <c r="E1723" s="386" t="s">
        <v>503</v>
      </c>
      <c r="F1723" s="373" t="s">
        <v>75</v>
      </c>
      <c r="G1723" s="370" t="s">
        <v>2555</v>
      </c>
      <c r="H1723" s="387" t="s">
        <v>436</v>
      </c>
      <c r="I1723" s="538" t="s">
        <v>2556</v>
      </c>
      <c r="J1723" s="712">
        <v>45174</v>
      </c>
      <c r="K1723" s="772">
        <v>0.66666666666666663</v>
      </c>
      <c r="L1723" s="712">
        <v>45174</v>
      </c>
      <c r="M1723" s="772">
        <v>0.79166666666666663</v>
      </c>
      <c r="N1723" s="373">
        <v>3</v>
      </c>
      <c r="O1723" s="184" t="s">
        <v>17</v>
      </c>
      <c r="P1723" s="375" t="s">
        <v>2542</v>
      </c>
      <c r="Q1723" s="179" t="s">
        <v>258</v>
      </c>
      <c r="R1723" s="621" t="s">
        <v>81</v>
      </c>
      <c r="S1723" s="31" t="s">
        <v>273</v>
      </c>
      <c r="T1723" s="31" t="s">
        <v>273</v>
      </c>
      <c r="U1723" s="31">
        <f>IFERROR(VLOOKUP(CONCATENATE(Tabla1[[#This Row],[Severidad]]," ",Tabla1[[#This Row],[Complejidad]]),Catalogos!E$120:G$128,3,FALSE),"")</f>
        <v>64</v>
      </c>
      <c r="V1723" s="31" t="str">
        <f>IF(Tabla1[[#This Row],[Tiempo solución max (hrs)]]&lt;&gt;"",IF(Tabla1[[#This Row],[Tiempo solución max (hrs)]]&gt;=Tabla1[[#This Row],[Tiempo
(Hrs 00/100)]],"cumple","no cumple"),"")</f>
        <v>cumple</v>
      </c>
      <c r="W1723" s="376" t="s">
        <v>2418</v>
      </c>
      <c r="X1723" s="611" t="str">
        <f t="shared" si="172"/>
        <v>SAW</v>
      </c>
      <c r="Y1723" s="612" t="str">
        <f>SUBSTITUTE(Tabla1[[#This Row],[Descripción]],CHAR(10),"    I    ")</f>
        <v xml:space="preserve">actualizacion micrositio institucional </v>
      </c>
      <c r="Z1723" s="613">
        <f>VLOOKUP(Tabla1[[#This Row],[Perfil]],Catalogos!$B$75:$D$100,3,FALSE)*Tabla1[[#This Row],[Tiempo
(Hrs 00/100)]]*1.16</f>
        <v>1739.9999999999998</v>
      </c>
    </row>
    <row r="1724" spans="1:26" ht="15" customHeight="1" x14ac:dyDescent="0.3">
      <c r="A1724" s="373" t="s">
        <v>22</v>
      </c>
      <c r="B1724" s="184" t="s">
        <v>68</v>
      </c>
      <c r="C1724" s="183" t="s">
        <v>16</v>
      </c>
      <c r="D1724" s="373"/>
      <c r="E1724" s="386" t="s">
        <v>503</v>
      </c>
      <c r="F1724" s="373" t="s">
        <v>75</v>
      </c>
      <c r="G1724" s="370" t="s">
        <v>2557</v>
      </c>
      <c r="H1724" s="387" t="s">
        <v>436</v>
      </c>
      <c r="I1724" s="538" t="s">
        <v>2558</v>
      </c>
      <c r="J1724" s="712">
        <v>45175</v>
      </c>
      <c r="K1724" s="772">
        <v>0.375</v>
      </c>
      <c r="L1724" s="712">
        <v>45175</v>
      </c>
      <c r="M1724" s="772">
        <v>0.45833333333333331</v>
      </c>
      <c r="N1724" s="373">
        <v>2</v>
      </c>
      <c r="O1724" s="184" t="s">
        <v>17</v>
      </c>
      <c r="P1724" s="375" t="s">
        <v>2542</v>
      </c>
      <c r="Q1724" s="179" t="s">
        <v>258</v>
      </c>
      <c r="R1724" s="621" t="s">
        <v>81</v>
      </c>
      <c r="S1724" s="31" t="s">
        <v>273</v>
      </c>
      <c r="T1724" s="31" t="s">
        <v>273</v>
      </c>
      <c r="U1724" s="31">
        <f>IFERROR(VLOOKUP(CONCATENATE(Tabla1[[#This Row],[Severidad]]," ",Tabla1[[#This Row],[Complejidad]]),Catalogos!E$120:G$128,3,FALSE),"")</f>
        <v>64</v>
      </c>
      <c r="V1724" s="31" t="str">
        <f>IF(Tabla1[[#This Row],[Tiempo solución max (hrs)]]&lt;&gt;"",IF(Tabla1[[#This Row],[Tiempo solución max (hrs)]]&gt;=Tabla1[[#This Row],[Tiempo
(Hrs 00/100)]],"cumple","no cumple"),"")</f>
        <v>cumple</v>
      </c>
      <c r="W1724" s="376" t="s">
        <v>2418</v>
      </c>
      <c r="X1724" s="611" t="str">
        <f t="shared" si="172"/>
        <v>SAW</v>
      </c>
      <c r="Y1724" s="612" t="str">
        <f>SUBSTITUTE(Tabla1[[#This Row],[Descripción]],CHAR(10),"    I    ")</f>
        <v>actualizacion revista</v>
      </c>
      <c r="Z1724" s="613">
        <f>VLOOKUP(Tabla1[[#This Row],[Perfil]],Catalogos!$B$75:$D$100,3,FALSE)*Tabla1[[#This Row],[Tiempo
(Hrs 00/100)]]*1.16</f>
        <v>1160</v>
      </c>
    </row>
    <row r="1725" spans="1:26" ht="15" customHeight="1" x14ac:dyDescent="0.3">
      <c r="A1725" s="373" t="s">
        <v>22</v>
      </c>
      <c r="B1725" s="184" t="s">
        <v>68</v>
      </c>
      <c r="C1725" s="183" t="s">
        <v>16</v>
      </c>
      <c r="D1725" s="373"/>
      <c r="E1725" s="386" t="s">
        <v>503</v>
      </c>
      <c r="F1725" s="373" t="s">
        <v>75</v>
      </c>
      <c r="G1725" s="370" t="s">
        <v>2559</v>
      </c>
      <c r="H1725" s="387" t="s">
        <v>436</v>
      </c>
      <c r="I1725" s="178" t="s">
        <v>2549</v>
      </c>
      <c r="J1725" s="712">
        <v>45175</v>
      </c>
      <c r="K1725" s="772">
        <v>0.45833333333333331</v>
      </c>
      <c r="L1725" s="712">
        <v>45175</v>
      </c>
      <c r="M1725" s="772">
        <v>0.60416666666666663</v>
      </c>
      <c r="N1725" s="373">
        <v>3.5</v>
      </c>
      <c r="O1725" s="184" t="s">
        <v>17</v>
      </c>
      <c r="P1725" s="375" t="s">
        <v>2542</v>
      </c>
      <c r="Q1725" s="179" t="s">
        <v>258</v>
      </c>
      <c r="R1725" s="621" t="s">
        <v>81</v>
      </c>
      <c r="S1725" s="31" t="s">
        <v>273</v>
      </c>
      <c r="T1725" s="31" t="s">
        <v>273</v>
      </c>
      <c r="U1725" s="31">
        <f>IFERROR(VLOOKUP(CONCATENATE(Tabla1[[#This Row],[Severidad]]," ",Tabla1[[#This Row],[Complejidad]]),Catalogos!E$120:G$128,3,FALSE),"")</f>
        <v>64</v>
      </c>
      <c r="V1725" s="31" t="str">
        <f>IF(Tabla1[[#This Row],[Tiempo solución max (hrs)]]&lt;&gt;"",IF(Tabla1[[#This Row],[Tiempo solución max (hrs)]]&gt;=Tabla1[[#This Row],[Tiempo
(Hrs 00/100)]],"cumple","no cumple"),"")</f>
        <v>cumple</v>
      </c>
      <c r="W1725" s="376" t="s">
        <v>2418</v>
      </c>
      <c r="X1725" s="611" t="str">
        <f t="shared" si="172"/>
        <v>SAW</v>
      </c>
      <c r="Y1725" s="612" t="str">
        <f>SUBSTITUTE(Tabla1[[#This Row],[Descripción]],CHAR(10),"    I    ")</f>
        <v>actualizacion acceso de usuarios</v>
      </c>
      <c r="Z1725" s="613">
        <f>VLOOKUP(Tabla1[[#This Row],[Perfil]],Catalogos!$B$75:$D$100,3,FALSE)*Tabla1[[#This Row],[Tiempo
(Hrs 00/100)]]*1.16</f>
        <v>2029.9999999999998</v>
      </c>
    </row>
    <row r="1726" spans="1:26" ht="15" customHeight="1" x14ac:dyDescent="0.3">
      <c r="A1726" s="373" t="s">
        <v>22</v>
      </c>
      <c r="B1726" s="184" t="s">
        <v>68</v>
      </c>
      <c r="C1726" s="183" t="s">
        <v>16</v>
      </c>
      <c r="D1726" s="373"/>
      <c r="E1726" s="386" t="s">
        <v>503</v>
      </c>
      <c r="F1726" s="373" t="s">
        <v>75</v>
      </c>
      <c r="G1726" s="370" t="s">
        <v>2560</v>
      </c>
      <c r="H1726" s="387" t="s">
        <v>436</v>
      </c>
      <c r="I1726" s="538" t="s">
        <v>2561</v>
      </c>
      <c r="J1726" s="712">
        <v>45175</v>
      </c>
      <c r="K1726" s="772">
        <v>0.66666666666666663</v>
      </c>
      <c r="L1726" s="712">
        <v>45175</v>
      </c>
      <c r="M1726" s="772">
        <v>0.79166666666666663</v>
      </c>
      <c r="N1726" s="373">
        <v>3</v>
      </c>
      <c r="O1726" s="184" t="s">
        <v>17</v>
      </c>
      <c r="P1726" s="375" t="s">
        <v>2542</v>
      </c>
      <c r="Q1726" s="179" t="s">
        <v>258</v>
      </c>
      <c r="R1726" s="621" t="s">
        <v>81</v>
      </c>
      <c r="S1726" s="31" t="s">
        <v>273</v>
      </c>
      <c r="T1726" s="31" t="s">
        <v>273</v>
      </c>
      <c r="U1726" s="31">
        <f>IFERROR(VLOOKUP(CONCATENATE(Tabla1[[#This Row],[Severidad]]," ",Tabla1[[#This Row],[Complejidad]]),Catalogos!E$120:G$128,3,FALSE),"")</f>
        <v>64</v>
      </c>
      <c r="V1726" s="31" t="str">
        <f>IF(Tabla1[[#This Row],[Tiempo solución max (hrs)]]&lt;&gt;"",IF(Tabla1[[#This Row],[Tiempo solución max (hrs)]]&gt;=Tabla1[[#This Row],[Tiempo
(Hrs 00/100)]],"cumple","no cumple"),"")</f>
        <v>cumple</v>
      </c>
      <c r="W1726" s="376" t="s">
        <v>2418</v>
      </c>
      <c r="X1726" s="611" t="str">
        <f t="shared" si="172"/>
        <v>SAW</v>
      </c>
      <c r="Y1726" s="612" t="str">
        <f>SUBSTITUTE(Tabla1[[#This Row],[Descripción]],CHAR(10),"    I    ")</f>
        <v xml:space="preserve">actualizacion SACP </v>
      </c>
      <c r="Z1726" s="613">
        <f>VLOOKUP(Tabla1[[#This Row],[Perfil]],Catalogos!$B$75:$D$100,3,FALSE)*Tabla1[[#This Row],[Tiempo
(Hrs 00/100)]]*1.16</f>
        <v>1739.9999999999998</v>
      </c>
    </row>
    <row r="1727" spans="1:26" ht="15" customHeight="1" x14ac:dyDescent="0.3">
      <c r="A1727" s="373" t="s">
        <v>22</v>
      </c>
      <c r="B1727" s="184" t="s">
        <v>68</v>
      </c>
      <c r="C1727" s="183" t="s">
        <v>16</v>
      </c>
      <c r="D1727" s="373"/>
      <c r="E1727" s="386" t="s">
        <v>503</v>
      </c>
      <c r="F1727" s="373" t="s">
        <v>75</v>
      </c>
      <c r="G1727" s="370" t="s">
        <v>2562</v>
      </c>
      <c r="H1727" s="387" t="s">
        <v>436</v>
      </c>
      <c r="I1727" s="538" t="s">
        <v>2563</v>
      </c>
      <c r="J1727" s="712">
        <v>45176</v>
      </c>
      <c r="K1727" s="772">
        <v>0.375</v>
      </c>
      <c r="L1727" s="712">
        <v>45176</v>
      </c>
      <c r="M1727" s="772">
        <v>0.41666666666666669</v>
      </c>
      <c r="N1727" s="373">
        <v>1</v>
      </c>
      <c r="O1727" s="184" t="s">
        <v>17</v>
      </c>
      <c r="P1727" s="375" t="s">
        <v>2564</v>
      </c>
      <c r="Q1727" s="179" t="s">
        <v>258</v>
      </c>
      <c r="R1727" s="621" t="s">
        <v>81</v>
      </c>
      <c r="S1727" s="31" t="s">
        <v>273</v>
      </c>
      <c r="T1727" s="31" t="s">
        <v>273</v>
      </c>
      <c r="U1727" s="31">
        <f>IFERROR(VLOOKUP(CONCATENATE(Tabla1[[#This Row],[Severidad]]," ",Tabla1[[#This Row],[Complejidad]]),Catalogos!E$120:G$128,3,FALSE),"")</f>
        <v>64</v>
      </c>
      <c r="V1727" s="31" t="str">
        <f>IF(Tabla1[[#This Row],[Tiempo solución max (hrs)]]&lt;&gt;"",IF(Tabla1[[#This Row],[Tiempo solución max (hrs)]]&gt;=Tabla1[[#This Row],[Tiempo
(Hrs 00/100)]],"cumple","no cumple"),"")</f>
        <v>cumple</v>
      </c>
      <c r="W1727" s="376" t="s">
        <v>2418</v>
      </c>
      <c r="X1727" s="611" t="str">
        <f t="shared" si="172"/>
        <v>SAW</v>
      </c>
      <c r="Y1727" s="612" t="str">
        <f>SUBSTITUTE(Tabla1[[#This Row],[Descripción]],CHAR(10),"    I    ")</f>
        <v xml:space="preserve">reunion SACP </v>
      </c>
      <c r="Z1727" s="613">
        <f>VLOOKUP(Tabla1[[#This Row],[Perfil]],Catalogos!$B$75:$D$100,3,FALSE)*Tabla1[[#This Row],[Tiempo
(Hrs 00/100)]]*1.16</f>
        <v>580</v>
      </c>
    </row>
    <row r="1728" spans="1:26" ht="15" customHeight="1" x14ac:dyDescent="0.3">
      <c r="A1728" s="373" t="s">
        <v>22</v>
      </c>
      <c r="B1728" s="184" t="s">
        <v>68</v>
      </c>
      <c r="C1728" s="183" t="s">
        <v>16</v>
      </c>
      <c r="D1728" s="373"/>
      <c r="E1728" s="386" t="s">
        <v>503</v>
      </c>
      <c r="F1728" s="373" t="s">
        <v>75</v>
      </c>
      <c r="G1728" s="370" t="s">
        <v>2565</v>
      </c>
      <c r="H1728" s="387" t="s">
        <v>436</v>
      </c>
      <c r="I1728" s="538" t="s">
        <v>1202</v>
      </c>
      <c r="J1728" s="712">
        <v>45176</v>
      </c>
      <c r="K1728" s="772">
        <v>0.41666666666666669</v>
      </c>
      <c r="L1728" s="712">
        <v>45176</v>
      </c>
      <c r="M1728" s="772">
        <v>0.5625</v>
      </c>
      <c r="N1728" s="373">
        <v>3.5</v>
      </c>
      <c r="O1728" s="184" t="s">
        <v>17</v>
      </c>
      <c r="P1728" s="375" t="s">
        <v>2542</v>
      </c>
      <c r="Q1728" s="179" t="s">
        <v>258</v>
      </c>
      <c r="R1728" s="621" t="s">
        <v>81</v>
      </c>
      <c r="S1728" s="31" t="s">
        <v>273</v>
      </c>
      <c r="T1728" s="31" t="s">
        <v>273</v>
      </c>
      <c r="U1728" s="31">
        <f>IFERROR(VLOOKUP(CONCATENATE(Tabla1[[#This Row],[Severidad]]," ",Tabla1[[#This Row],[Complejidad]]),Catalogos!E$120:G$128,3,FALSE),"")</f>
        <v>64</v>
      </c>
      <c r="V1728" s="31" t="str">
        <f>IF(Tabla1[[#This Row],[Tiempo solución max (hrs)]]&lt;&gt;"",IF(Tabla1[[#This Row],[Tiempo solución max (hrs)]]&gt;=Tabla1[[#This Row],[Tiempo
(Hrs 00/100)]],"cumple","no cumple"),"")</f>
        <v>cumple</v>
      </c>
      <c r="W1728" s="376" t="s">
        <v>2418</v>
      </c>
      <c r="X1728" s="611" t="str">
        <f t="shared" si="172"/>
        <v>SAW</v>
      </c>
      <c r="Y1728" s="612" t="str">
        <f>SUBSTITUTE(Tabla1[[#This Row],[Descripción]],CHAR(10),"    I    ")</f>
        <v xml:space="preserve">actualizacion de avance de proyectos </v>
      </c>
      <c r="Z1728" s="613">
        <f>VLOOKUP(Tabla1[[#This Row],[Perfil]],Catalogos!$B$75:$D$100,3,FALSE)*Tabla1[[#This Row],[Tiempo
(Hrs 00/100)]]*1.16</f>
        <v>2029.9999999999998</v>
      </c>
    </row>
    <row r="1729" spans="1:26" ht="15" customHeight="1" x14ac:dyDescent="0.3">
      <c r="A1729" s="373" t="s">
        <v>22</v>
      </c>
      <c r="B1729" s="184" t="s">
        <v>68</v>
      </c>
      <c r="C1729" s="183" t="s">
        <v>16</v>
      </c>
      <c r="D1729" s="373"/>
      <c r="E1729" s="386" t="s">
        <v>503</v>
      </c>
      <c r="F1729" s="373" t="s">
        <v>75</v>
      </c>
      <c r="G1729" s="370" t="s">
        <v>2566</v>
      </c>
      <c r="H1729" s="387" t="s">
        <v>436</v>
      </c>
      <c r="I1729" s="538" t="s">
        <v>2567</v>
      </c>
      <c r="J1729" s="712">
        <v>45176</v>
      </c>
      <c r="K1729" s="772">
        <v>0.66666666666666663</v>
      </c>
      <c r="L1729" s="712">
        <v>45176</v>
      </c>
      <c r="M1729" s="772">
        <v>0.79166666666666663</v>
      </c>
      <c r="N1729" s="373">
        <v>4</v>
      </c>
      <c r="O1729" s="184" t="s">
        <v>17</v>
      </c>
      <c r="P1729" s="375" t="s">
        <v>2542</v>
      </c>
      <c r="Q1729" s="179" t="s">
        <v>258</v>
      </c>
      <c r="R1729" s="621" t="s">
        <v>81</v>
      </c>
      <c r="S1729" s="31" t="s">
        <v>273</v>
      </c>
      <c r="T1729" s="31" t="s">
        <v>273</v>
      </c>
      <c r="U1729" s="31">
        <f>IFERROR(VLOOKUP(CONCATENATE(Tabla1[[#This Row],[Severidad]]," ",Tabla1[[#This Row],[Complejidad]]),Catalogos!E$120:G$128,3,FALSE),"")</f>
        <v>64</v>
      </c>
      <c r="V1729" s="31" t="str">
        <f>IF(Tabla1[[#This Row],[Tiempo solución max (hrs)]]&lt;&gt;"",IF(Tabla1[[#This Row],[Tiempo solución max (hrs)]]&gt;=Tabla1[[#This Row],[Tiempo
(Hrs 00/100)]],"cumple","no cumple"),"")</f>
        <v>cumple</v>
      </c>
      <c r="W1729" s="376" t="s">
        <v>2418</v>
      </c>
      <c r="X1729" s="611" t="str">
        <f t="shared" si="172"/>
        <v>SAW</v>
      </c>
      <c r="Y1729" s="612" t="str">
        <f>SUBSTITUTE(Tabla1[[#This Row],[Descripción]],CHAR(10),"    I    ")</f>
        <v xml:space="preserve">actualizacion SNT </v>
      </c>
      <c r="Z1729" s="613">
        <f>VLOOKUP(Tabla1[[#This Row],[Perfil]],Catalogos!$B$75:$D$100,3,FALSE)*Tabla1[[#This Row],[Tiempo
(Hrs 00/100)]]*1.16</f>
        <v>2320</v>
      </c>
    </row>
    <row r="1730" spans="1:26" ht="15" customHeight="1" x14ac:dyDescent="0.3">
      <c r="A1730" s="373" t="s">
        <v>22</v>
      </c>
      <c r="B1730" s="184" t="s">
        <v>68</v>
      </c>
      <c r="C1730" s="183" t="s">
        <v>16</v>
      </c>
      <c r="D1730" s="373"/>
      <c r="E1730" s="386" t="s">
        <v>503</v>
      </c>
      <c r="F1730" s="373" t="s">
        <v>75</v>
      </c>
      <c r="G1730" s="370" t="s">
        <v>2568</v>
      </c>
      <c r="H1730" s="387" t="s">
        <v>436</v>
      </c>
      <c r="I1730" s="538" t="s">
        <v>1193</v>
      </c>
      <c r="J1730" s="712">
        <v>45177</v>
      </c>
      <c r="K1730" s="772">
        <v>0.375</v>
      </c>
      <c r="L1730" s="712">
        <v>45177</v>
      </c>
      <c r="M1730" s="772">
        <v>0.5</v>
      </c>
      <c r="N1730" s="373">
        <v>3</v>
      </c>
      <c r="O1730" s="184" t="s">
        <v>17</v>
      </c>
      <c r="P1730" s="375" t="s">
        <v>2542</v>
      </c>
      <c r="Q1730" s="179" t="s">
        <v>258</v>
      </c>
      <c r="R1730" s="621" t="s">
        <v>81</v>
      </c>
      <c r="S1730" s="31" t="s">
        <v>273</v>
      </c>
      <c r="T1730" s="31" t="s">
        <v>273</v>
      </c>
      <c r="U1730" s="31">
        <f>IFERROR(VLOOKUP(CONCATENATE(Tabla1[[#This Row],[Severidad]]," ",Tabla1[[#This Row],[Complejidad]]),Catalogos!E$120:G$128,3,FALSE),"")</f>
        <v>64</v>
      </c>
      <c r="V1730" s="31" t="str">
        <f>IF(Tabla1[[#This Row],[Tiempo solución max (hrs)]]&lt;&gt;"",IF(Tabla1[[#This Row],[Tiempo solución max (hrs)]]&gt;=Tabla1[[#This Row],[Tiempo
(Hrs 00/100)]],"cumple","no cumple"),"")</f>
        <v>cumple</v>
      </c>
      <c r="W1730" s="376" t="s">
        <v>2418</v>
      </c>
      <c r="X1730" s="611" t="str">
        <f t="shared" si="172"/>
        <v>SAW</v>
      </c>
      <c r="Y1730" s="612" t="str">
        <f>SUBSTITUTE(Tabla1[[#This Row],[Descripción]],CHAR(10),"    I    ")</f>
        <v xml:space="preserve">actualizacion comité de etica </v>
      </c>
      <c r="Z1730" s="613">
        <f>VLOOKUP(Tabla1[[#This Row],[Perfil]],Catalogos!$B$75:$D$100,3,FALSE)*Tabla1[[#This Row],[Tiempo
(Hrs 00/100)]]*1.16</f>
        <v>1739.9999999999998</v>
      </c>
    </row>
    <row r="1731" spans="1:26" ht="15" customHeight="1" x14ac:dyDescent="0.3">
      <c r="A1731" s="373" t="s">
        <v>22</v>
      </c>
      <c r="B1731" s="184" t="s">
        <v>68</v>
      </c>
      <c r="C1731" s="183" t="s">
        <v>16</v>
      </c>
      <c r="D1731" s="373"/>
      <c r="E1731" s="386" t="s">
        <v>503</v>
      </c>
      <c r="F1731" s="373" t="s">
        <v>75</v>
      </c>
      <c r="G1731" s="370" t="s">
        <v>2569</v>
      </c>
      <c r="H1731" s="387" t="s">
        <v>436</v>
      </c>
      <c r="I1731" s="538" t="s">
        <v>2570</v>
      </c>
      <c r="J1731" s="712">
        <v>45177</v>
      </c>
      <c r="K1731" s="772">
        <v>0.5</v>
      </c>
      <c r="L1731" s="712">
        <v>45177</v>
      </c>
      <c r="M1731" s="772">
        <v>0.625</v>
      </c>
      <c r="N1731" s="373">
        <v>3</v>
      </c>
      <c r="O1731" s="184" t="s">
        <v>17</v>
      </c>
      <c r="P1731" s="375" t="s">
        <v>2542</v>
      </c>
      <c r="Q1731" s="179" t="s">
        <v>258</v>
      </c>
      <c r="R1731" s="621" t="s">
        <v>81</v>
      </c>
      <c r="S1731" s="31" t="s">
        <v>273</v>
      </c>
      <c r="T1731" s="31" t="s">
        <v>273</v>
      </c>
      <c r="U1731" s="31">
        <f>IFERROR(VLOOKUP(CONCATENATE(Tabla1[[#This Row],[Severidad]]," ",Tabla1[[#This Row],[Complejidad]]),Catalogos!E$120:G$128,3,FALSE),"")</f>
        <v>64</v>
      </c>
      <c r="V1731" s="31" t="str">
        <f>IF(Tabla1[[#This Row],[Tiempo solución max (hrs)]]&lt;&gt;"",IF(Tabla1[[#This Row],[Tiempo solución max (hrs)]]&gt;=Tabla1[[#This Row],[Tiempo
(Hrs 00/100)]],"cumple","no cumple"),"")</f>
        <v>cumple</v>
      </c>
      <c r="W1731" s="376" t="s">
        <v>2418</v>
      </c>
      <c r="X1731" s="611" t="str">
        <f t="shared" si="172"/>
        <v>SAW</v>
      </c>
      <c r="Y1731" s="612" t="str">
        <f>SUBSTITUTE(Tabla1[[#This Row],[Descripción]],CHAR(10),"    I    ")</f>
        <v xml:space="preserve">actualizacion ensayo reportaje </v>
      </c>
      <c r="Z1731" s="613">
        <f>VLOOKUP(Tabla1[[#This Row],[Perfil]],Catalogos!$B$75:$D$100,3,FALSE)*Tabla1[[#This Row],[Tiempo
(Hrs 00/100)]]*1.16</f>
        <v>1739.9999999999998</v>
      </c>
    </row>
    <row r="1732" spans="1:26" ht="15" customHeight="1" x14ac:dyDescent="0.3">
      <c r="A1732" s="373" t="s">
        <v>22</v>
      </c>
      <c r="B1732" s="184" t="s">
        <v>68</v>
      </c>
      <c r="C1732" s="183" t="s">
        <v>16</v>
      </c>
      <c r="D1732" s="373"/>
      <c r="E1732" s="386" t="s">
        <v>503</v>
      </c>
      <c r="F1732" s="373" t="s">
        <v>75</v>
      </c>
      <c r="G1732" s="370" t="s">
        <v>2571</v>
      </c>
      <c r="H1732" s="387" t="s">
        <v>436</v>
      </c>
      <c r="I1732" s="538" t="s">
        <v>2572</v>
      </c>
      <c r="J1732" s="712">
        <v>45180</v>
      </c>
      <c r="K1732" s="772">
        <v>0.375</v>
      </c>
      <c r="L1732" s="712">
        <v>45180</v>
      </c>
      <c r="M1732" s="772">
        <v>0.4375</v>
      </c>
      <c r="N1732" s="373">
        <v>1.5</v>
      </c>
      <c r="O1732" s="184" t="s">
        <v>17</v>
      </c>
      <c r="P1732" s="375" t="s">
        <v>2542</v>
      </c>
      <c r="Q1732" s="179" t="s">
        <v>258</v>
      </c>
      <c r="R1732" s="621" t="s">
        <v>81</v>
      </c>
      <c r="S1732" s="31" t="s">
        <v>273</v>
      </c>
      <c r="T1732" s="31" t="s">
        <v>273</v>
      </c>
      <c r="U1732" s="31">
        <f>IFERROR(VLOOKUP(CONCATENATE(Tabla1[[#This Row],[Severidad]]," ",Tabla1[[#This Row],[Complejidad]]),Catalogos!E$120:G$128,3,FALSE),"")</f>
        <v>64</v>
      </c>
      <c r="V1732" s="31" t="str">
        <f>IF(Tabla1[[#This Row],[Tiempo solución max (hrs)]]&lt;&gt;"",IF(Tabla1[[#This Row],[Tiempo solución max (hrs)]]&gt;=Tabla1[[#This Row],[Tiempo
(Hrs 00/100)]],"cumple","no cumple"),"")</f>
        <v>cumple</v>
      </c>
      <c r="W1732" s="376" t="s">
        <v>2418</v>
      </c>
      <c r="X1732" s="611" t="str">
        <f t="shared" si="172"/>
        <v>SAW</v>
      </c>
      <c r="Y1732" s="612" t="str">
        <f>SUBSTITUTE(Tabla1[[#This Row],[Descripción]],CHAR(10),"    I    ")</f>
        <v xml:space="preserve">actualizacion CLIC </v>
      </c>
      <c r="Z1732" s="613">
        <f>VLOOKUP(Tabla1[[#This Row],[Perfil]],Catalogos!$B$75:$D$100,3,FALSE)*Tabla1[[#This Row],[Tiempo
(Hrs 00/100)]]*1.16</f>
        <v>869.99999999999989</v>
      </c>
    </row>
    <row r="1733" spans="1:26" ht="15" customHeight="1" x14ac:dyDescent="0.3">
      <c r="A1733" s="373" t="s">
        <v>22</v>
      </c>
      <c r="B1733" s="184" t="s">
        <v>68</v>
      </c>
      <c r="C1733" s="183" t="s">
        <v>16</v>
      </c>
      <c r="D1733" s="373"/>
      <c r="E1733" s="386" t="s">
        <v>503</v>
      </c>
      <c r="F1733" s="373" t="s">
        <v>75</v>
      </c>
      <c r="G1733" s="370" t="s">
        <v>2573</v>
      </c>
      <c r="H1733" s="387" t="s">
        <v>436</v>
      </c>
      <c r="I1733" s="538" t="s">
        <v>2574</v>
      </c>
      <c r="J1733" s="712">
        <v>45180</v>
      </c>
      <c r="K1733" s="772">
        <v>0.4375</v>
      </c>
      <c r="L1733" s="712">
        <v>45180</v>
      </c>
      <c r="M1733" s="772">
        <v>0.60416666666666663</v>
      </c>
      <c r="N1733" s="373">
        <v>4</v>
      </c>
      <c r="O1733" s="184" t="s">
        <v>17</v>
      </c>
      <c r="P1733" s="375" t="s">
        <v>2575</v>
      </c>
      <c r="Q1733" s="179" t="s">
        <v>258</v>
      </c>
      <c r="R1733" s="621" t="s">
        <v>81</v>
      </c>
      <c r="S1733" s="31" t="s">
        <v>273</v>
      </c>
      <c r="T1733" s="31" t="s">
        <v>273</v>
      </c>
      <c r="U1733" s="31">
        <f>IFERROR(VLOOKUP(CONCATENATE(Tabla1[[#This Row],[Severidad]]," ",Tabla1[[#This Row],[Complejidad]]),Catalogos!E$120:G$128,3,FALSE),"")</f>
        <v>64</v>
      </c>
      <c r="V1733" s="31" t="str">
        <f>IF(Tabla1[[#This Row],[Tiempo solución max (hrs)]]&lt;&gt;"",IF(Tabla1[[#This Row],[Tiempo solución max (hrs)]]&gt;=Tabla1[[#This Row],[Tiempo
(Hrs 00/100)]],"cumple","no cumple"),"")</f>
        <v>cumple</v>
      </c>
      <c r="W1733" s="376" t="s">
        <v>2418</v>
      </c>
      <c r="X1733" s="611" t="str">
        <f t="shared" si="172"/>
        <v>SAW</v>
      </c>
      <c r="Y1733" s="612" t="str">
        <f>SUBSTITUTE(Tabla1[[#This Row],[Descripción]],CHAR(10),"    I    ")</f>
        <v xml:space="preserve">actualizacion sociedad y transparencia </v>
      </c>
      <c r="Z1733" s="613">
        <f>VLOOKUP(Tabla1[[#This Row],[Perfil]],Catalogos!$B$75:$D$100,3,FALSE)*Tabla1[[#This Row],[Tiempo
(Hrs 00/100)]]*1.16</f>
        <v>2320</v>
      </c>
    </row>
    <row r="1734" spans="1:26" ht="15" customHeight="1" x14ac:dyDescent="0.3">
      <c r="A1734" s="373" t="s">
        <v>22</v>
      </c>
      <c r="B1734" s="184" t="s">
        <v>68</v>
      </c>
      <c r="C1734" s="183" t="s">
        <v>16</v>
      </c>
      <c r="D1734" s="373"/>
      <c r="E1734" s="386" t="s">
        <v>503</v>
      </c>
      <c r="F1734" s="373" t="s">
        <v>75</v>
      </c>
      <c r="G1734" s="370" t="s">
        <v>2576</v>
      </c>
      <c r="H1734" s="387" t="s">
        <v>436</v>
      </c>
      <c r="I1734" s="538" t="s">
        <v>2577</v>
      </c>
      <c r="J1734" s="712">
        <v>45180</v>
      </c>
      <c r="K1734" s="772">
        <v>0.66666666666666663</v>
      </c>
      <c r="L1734" s="712">
        <v>45180</v>
      </c>
      <c r="M1734" s="772">
        <v>0.79166666666666663</v>
      </c>
      <c r="N1734" s="373">
        <v>3</v>
      </c>
      <c r="O1734" s="184" t="s">
        <v>17</v>
      </c>
      <c r="P1734" s="375" t="s">
        <v>2578</v>
      </c>
      <c r="Q1734" s="179" t="s">
        <v>258</v>
      </c>
      <c r="R1734" s="621" t="s">
        <v>81</v>
      </c>
      <c r="S1734" s="31" t="s">
        <v>273</v>
      </c>
      <c r="T1734" s="31" t="s">
        <v>273</v>
      </c>
      <c r="U1734" s="31">
        <f>IFERROR(VLOOKUP(CONCATENATE(Tabla1[[#This Row],[Severidad]]," ",Tabla1[[#This Row],[Complejidad]]),Catalogos!E$120:G$128,3,FALSE),"")</f>
        <v>64</v>
      </c>
      <c r="V1734" s="31" t="str">
        <f>IF(Tabla1[[#This Row],[Tiempo solución max (hrs)]]&lt;&gt;"",IF(Tabla1[[#This Row],[Tiempo solución max (hrs)]]&gt;=Tabla1[[#This Row],[Tiempo
(Hrs 00/100)]],"cumple","no cumple"),"")</f>
        <v>cumple</v>
      </c>
      <c r="W1734" s="376" t="s">
        <v>2418</v>
      </c>
      <c r="X1734" s="611" t="str">
        <f t="shared" si="172"/>
        <v>SAW</v>
      </c>
      <c r="Y1734" s="612" t="str">
        <f>SUBSTITUTE(Tabla1[[#This Row],[Descripción]],CHAR(10),"    I    ")</f>
        <v xml:space="preserve">actualizacion micrositio control interno </v>
      </c>
      <c r="Z1734" s="613">
        <f>VLOOKUP(Tabla1[[#This Row],[Perfil]],Catalogos!$B$75:$D$100,3,FALSE)*Tabla1[[#This Row],[Tiempo
(Hrs 00/100)]]*1.16</f>
        <v>1739.9999999999998</v>
      </c>
    </row>
    <row r="1735" spans="1:26" ht="15" customHeight="1" x14ac:dyDescent="0.3">
      <c r="A1735" s="373" t="s">
        <v>22</v>
      </c>
      <c r="B1735" s="184" t="s">
        <v>68</v>
      </c>
      <c r="C1735" s="183" t="s">
        <v>16</v>
      </c>
      <c r="D1735" s="373"/>
      <c r="E1735" s="386" t="s">
        <v>503</v>
      </c>
      <c r="F1735" s="373" t="s">
        <v>75</v>
      </c>
      <c r="G1735" s="370" t="s">
        <v>2579</v>
      </c>
      <c r="H1735" s="387" t="s">
        <v>436</v>
      </c>
      <c r="I1735" s="538" t="s">
        <v>2580</v>
      </c>
      <c r="J1735" s="712">
        <v>45181</v>
      </c>
      <c r="K1735" s="772">
        <v>0.375</v>
      </c>
      <c r="L1735" s="712">
        <v>45181</v>
      </c>
      <c r="M1735" s="772">
        <v>0.52083333333333337</v>
      </c>
      <c r="N1735" s="373">
        <v>3.5</v>
      </c>
      <c r="O1735" s="184" t="s">
        <v>17</v>
      </c>
      <c r="P1735" s="375" t="s">
        <v>2542</v>
      </c>
      <c r="Q1735" s="179" t="s">
        <v>258</v>
      </c>
      <c r="R1735" s="621" t="s">
        <v>81</v>
      </c>
      <c r="S1735" s="31" t="s">
        <v>273</v>
      </c>
      <c r="T1735" s="31" t="s">
        <v>273</v>
      </c>
      <c r="U1735" s="31">
        <f>IFERROR(VLOOKUP(CONCATENATE(Tabla1[[#This Row],[Severidad]]," ",Tabla1[[#This Row],[Complejidad]]),Catalogos!E$120:G$128,3,FALSE),"")</f>
        <v>64</v>
      </c>
      <c r="V1735" s="31" t="str">
        <f>IF(Tabla1[[#This Row],[Tiempo solución max (hrs)]]&lt;&gt;"",IF(Tabla1[[#This Row],[Tiempo solución max (hrs)]]&gt;=Tabla1[[#This Row],[Tiempo
(Hrs 00/100)]],"cumple","no cumple"),"")</f>
        <v>cumple</v>
      </c>
      <c r="W1735" s="376" t="s">
        <v>2418</v>
      </c>
      <c r="X1735" s="611" t="str">
        <f t="shared" si="172"/>
        <v>SAW</v>
      </c>
      <c r="Y1735" s="612" t="str">
        <f>SUBSTITUTE(Tabla1[[#This Row],[Descripción]],CHAR(10),"    I    ")</f>
        <v xml:space="preserve">actualizacion sitio </v>
      </c>
      <c r="Z1735" s="613">
        <f>VLOOKUP(Tabla1[[#This Row],[Perfil]],Catalogos!$B$75:$D$100,3,FALSE)*Tabla1[[#This Row],[Tiempo
(Hrs 00/100)]]*1.16</f>
        <v>2029.9999999999998</v>
      </c>
    </row>
    <row r="1736" spans="1:26" ht="15" customHeight="1" x14ac:dyDescent="0.3">
      <c r="A1736" s="373" t="s">
        <v>22</v>
      </c>
      <c r="B1736" s="184" t="s">
        <v>68</v>
      </c>
      <c r="C1736" s="183" t="s">
        <v>16</v>
      </c>
      <c r="D1736" s="373"/>
      <c r="E1736" s="386" t="s">
        <v>503</v>
      </c>
      <c r="F1736" s="373" t="s">
        <v>75</v>
      </c>
      <c r="G1736" s="370" t="s">
        <v>2581</v>
      </c>
      <c r="H1736" s="387" t="s">
        <v>436</v>
      </c>
      <c r="I1736" s="538" t="s">
        <v>2582</v>
      </c>
      <c r="J1736" s="712">
        <v>45181</v>
      </c>
      <c r="K1736" s="772">
        <v>0.52083333333333337</v>
      </c>
      <c r="L1736" s="712">
        <v>45181</v>
      </c>
      <c r="M1736" s="772">
        <v>0.60416666666666663</v>
      </c>
      <c r="N1736" s="373">
        <v>2</v>
      </c>
      <c r="O1736" s="184" t="s">
        <v>17</v>
      </c>
      <c r="P1736" s="375" t="s">
        <v>2542</v>
      </c>
      <c r="Q1736" s="179" t="s">
        <v>258</v>
      </c>
      <c r="R1736" s="621" t="s">
        <v>81</v>
      </c>
      <c r="S1736" s="31" t="s">
        <v>273</v>
      </c>
      <c r="T1736" s="31" t="s">
        <v>273</v>
      </c>
      <c r="U1736" s="31">
        <f>IFERROR(VLOOKUP(CONCATENATE(Tabla1[[#This Row],[Severidad]]," ",Tabla1[[#This Row],[Complejidad]]),Catalogos!E$120:G$128,3,FALSE),"")</f>
        <v>64</v>
      </c>
      <c r="V1736" s="31" t="str">
        <f>IF(Tabla1[[#This Row],[Tiempo solución max (hrs)]]&lt;&gt;"",IF(Tabla1[[#This Row],[Tiempo solución max (hrs)]]&gt;=Tabla1[[#This Row],[Tiempo
(Hrs 00/100)]],"cumple","no cumple"),"")</f>
        <v>cumple</v>
      </c>
      <c r="W1736" s="376" t="s">
        <v>2418</v>
      </c>
      <c r="X1736" s="611" t="str">
        <f t="shared" si="172"/>
        <v>SAW</v>
      </c>
      <c r="Y1736" s="612" t="str">
        <f>SUBSTITUTE(Tabla1[[#This Row],[Descripción]],CHAR(10),"    I    ")</f>
        <v xml:space="preserve">actualizacion parlamento abierto </v>
      </c>
      <c r="Z1736" s="613">
        <f>VLOOKUP(Tabla1[[#This Row],[Perfil]],Catalogos!$B$75:$D$100,3,FALSE)*Tabla1[[#This Row],[Tiempo
(Hrs 00/100)]]*1.16</f>
        <v>1160</v>
      </c>
    </row>
    <row r="1737" spans="1:26" ht="15" customHeight="1" x14ac:dyDescent="0.3">
      <c r="A1737" s="373" t="s">
        <v>22</v>
      </c>
      <c r="B1737" s="184" t="s">
        <v>68</v>
      </c>
      <c r="C1737" s="183" t="s">
        <v>16</v>
      </c>
      <c r="D1737" s="373"/>
      <c r="E1737" s="386" t="s">
        <v>503</v>
      </c>
      <c r="F1737" s="373" t="s">
        <v>75</v>
      </c>
      <c r="G1737" s="370" t="s">
        <v>2583</v>
      </c>
      <c r="H1737" s="387" t="s">
        <v>436</v>
      </c>
      <c r="I1737" s="538" t="s">
        <v>2584</v>
      </c>
      <c r="J1737" s="712">
        <v>45181</v>
      </c>
      <c r="K1737" s="772">
        <v>0.66666666666666663</v>
      </c>
      <c r="L1737" s="712">
        <v>45181</v>
      </c>
      <c r="M1737" s="772">
        <v>0.79166666666666663</v>
      </c>
      <c r="N1737" s="373">
        <v>3</v>
      </c>
      <c r="O1737" s="184" t="s">
        <v>17</v>
      </c>
      <c r="P1737" s="375" t="s">
        <v>2542</v>
      </c>
      <c r="Q1737" s="179" t="s">
        <v>258</v>
      </c>
      <c r="R1737" s="621" t="s">
        <v>81</v>
      </c>
      <c r="S1737" s="31" t="s">
        <v>273</v>
      </c>
      <c r="T1737" s="31" t="s">
        <v>273</v>
      </c>
      <c r="U1737" s="31">
        <f>IFERROR(VLOOKUP(CONCATENATE(Tabla1[[#This Row],[Severidad]]," ",Tabla1[[#This Row],[Complejidad]]),Catalogos!E$120:G$128,3,FALSE),"")</f>
        <v>64</v>
      </c>
      <c r="V1737" s="31" t="str">
        <f>IF(Tabla1[[#This Row],[Tiempo solución max (hrs)]]&lt;&gt;"",IF(Tabla1[[#This Row],[Tiempo solución max (hrs)]]&gt;=Tabla1[[#This Row],[Tiempo
(Hrs 00/100)]],"cumple","no cumple"),"")</f>
        <v>cumple</v>
      </c>
      <c r="W1737" s="376" t="s">
        <v>2418</v>
      </c>
      <c r="X1737" s="611" t="str">
        <f t="shared" si="172"/>
        <v>SAW</v>
      </c>
      <c r="Y1737" s="612" t="str">
        <f>SUBSTITUTE(Tabla1[[#This Row],[Descripción]],CHAR(10),"    I    ")</f>
        <v xml:space="preserve">actualizacion consejo consultivo </v>
      </c>
      <c r="Z1737" s="613">
        <f>VLOOKUP(Tabla1[[#This Row],[Perfil]],Catalogos!$B$75:$D$100,3,FALSE)*Tabla1[[#This Row],[Tiempo
(Hrs 00/100)]]*1.16</f>
        <v>1739.9999999999998</v>
      </c>
    </row>
    <row r="1738" spans="1:26" ht="15" customHeight="1" x14ac:dyDescent="0.3">
      <c r="A1738" s="373" t="s">
        <v>22</v>
      </c>
      <c r="B1738" s="184" t="s">
        <v>68</v>
      </c>
      <c r="C1738" s="183" t="s">
        <v>16</v>
      </c>
      <c r="D1738" s="373"/>
      <c r="E1738" s="386" t="s">
        <v>503</v>
      </c>
      <c r="F1738" s="373" t="s">
        <v>75</v>
      </c>
      <c r="G1738" s="370" t="s">
        <v>2585</v>
      </c>
      <c r="H1738" s="387" t="s">
        <v>436</v>
      </c>
      <c r="I1738" s="178" t="s">
        <v>2586</v>
      </c>
      <c r="J1738" s="712">
        <v>45182</v>
      </c>
      <c r="K1738" s="772">
        <v>0.375</v>
      </c>
      <c r="L1738" s="712">
        <v>45182</v>
      </c>
      <c r="M1738" s="772">
        <v>0.54166666666666663</v>
      </c>
      <c r="N1738" s="373">
        <v>4</v>
      </c>
      <c r="O1738" s="184" t="s">
        <v>17</v>
      </c>
      <c r="P1738" s="375" t="s">
        <v>2587</v>
      </c>
      <c r="Q1738" s="179" t="s">
        <v>258</v>
      </c>
      <c r="R1738" s="621" t="s">
        <v>81</v>
      </c>
      <c r="S1738" s="31" t="s">
        <v>273</v>
      </c>
      <c r="T1738" s="31" t="s">
        <v>273</v>
      </c>
      <c r="U1738" s="31">
        <f>IFERROR(VLOOKUP(CONCATENATE(Tabla1[[#This Row],[Severidad]]," ",Tabla1[[#This Row],[Complejidad]]),Catalogos!E$120:G$128,3,FALSE),"")</f>
        <v>64</v>
      </c>
      <c r="V1738" s="31" t="str">
        <f>IF(Tabla1[[#This Row],[Tiempo solución max (hrs)]]&lt;&gt;"",IF(Tabla1[[#This Row],[Tiempo solución max (hrs)]]&gt;=Tabla1[[#This Row],[Tiempo
(Hrs 00/100)]],"cumple","no cumple"),"")</f>
        <v>cumple</v>
      </c>
      <c r="W1738" s="376" t="s">
        <v>2418</v>
      </c>
      <c r="X1738" s="611" t="str">
        <f t="shared" si="172"/>
        <v>SAW</v>
      </c>
      <c r="Y1738" s="612" t="str">
        <f>SUBSTITUTE(Tabla1[[#This Row],[Descripción]],CHAR(10),"    I    ")</f>
        <v xml:space="preserve">actualizacion miembros pleno </v>
      </c>
      <c r="Z1738" s="613">
        <f>VLOOKUP(Tabla1[[#This Row],[Perfil]],Catalogos!$B$75:$D$100,3,FALSE)*Tabla1[[#This Row],[Tiempo
(Hrs 00/100)]]*1.16</f>
        <v>2320</v>
      </c>
    </row>
    <row r="1739" spans="1:26" ht="15" customHeight="1" x14ac:dyDescent="0.3">
      <c r="A1739" s="373" t="s">
        <v>22</v>
      </c>
      <c r="B1739" s="184" t="s">
        <v>68</v>
      </c>
      <c r="C1739" s="183" t="s">
        <v>16</v>
      </c>
      <c r="D1739" s="373"/>
      <c r="E1739" s="386" t="s">
        <v>503</v>
      </c>
      <c r="F1739" s="373" t="s">
        <v>75</v>
      </c>
      <c r="G1739" s="370" t="s">
        <v>2588</v>
      </c>
      <c r="H1739" s="387" t="s">
        <v>436</v>
      </c>
      <c r="I1739" s="538" t="s">
        <v>2589</v>
      </c>
      <c r="J1739" s="712">
        <v>45182</v>
      </c>
      <c r="K1739" s="772">
        <v>0.54166666666666663</v>
      </c>
      <c r="L1739" s="712">
        <v>45182</v>
      </c>
      <c r="M1739" s="772">
        <v>0.60416666666666663</v>
      </c>
      <c r="N1739" s="373">
        <v>1.5</v>
      </c>
      <c r="O1739" s="184" t="s">
        <v>17</v>
      </c>
      <c r="P1739" s="375" t="s">
        <v>2590</v>
      </c>
      <c r="Q1739" s="179" t="s">
        <v>258</v>
      </c>
      <c r="R1739" s="621" t="s">
        <v>81</v>
      </c>
      <c r="S1739" s="31" t="s">
        <v>273</v>
      </c>
      <c r="T1739" s="31" t="s">
        <v>273</v>
      </c>
      <c r="U1739" s="31">
        <f>IFERROR(VLOOKUP(CONCATENATE(Tabla1[[#This Row],[Severidad]]," ",Tabla1[[#This Row],[Complejidad]]),Catalogos!E$120:G$128,3,FALSE),"")</f>
        <v>64</v>
      </c>
      <c r="V1739" s="31" t="str">
        <f>IF(Tabla1[[#This Row],[Tiempo solución max (hrs)]]&lt;&gt;"",IF(Tabla1[[#This Row],[Tiempo solución max (hrs)]]&gt;=Tabla1[[#This Row],[Tiempo
(Hrs 00/100)]],"cumple","no cumple"),"")</f>
        <v>cumple</v>
      </c>
      <c r="W1739" s="376" t="s">
        <v>2418</v>
      </c>
      <c r="X1739" s="611" t="str">
        <f t="shared" si="172"/>
        <v>SAW</v>
      </c>
      <c r="Y1739" s="612" t="str">
        <f>SUBSTITUTE(Tabla1[[#This Row],[Descripción]],CHAR(10),"    I    ")</f>
        <v xml:space="preserve">actualizacion miembros adherentes </v>
      </c>
      <c r="Z1739" s="613">
        <f>VLOOKUP(Tabla1[[#This Row],[Perfil]],Catalogos!$B$75:$D$100,3,FALSE)*Tabla1[[#This Row],[Tiempo
(Hrs 00/100)]]*1.16</f>
        <v>869.99999999999989</v>
      </c>
    </row>
    <row r="1740" spans="1:26" ht="15" customHeight="1" x14ac:dyDescent="0.3">
      <c r="A1740" s="373" t="s">
        <v>22</v>
      </c>
      <c r="B1740" s="184" t="s">
        <v>68</v>
      </c>
      <c r="C1740" s="183" t="s">
        <v>16</v>
      </c>
      <c r="D1740" s="373"/>
      <c r="E1740" s="386" t="s">
        <v>503</v>
      </c>
      <c r="F1740" s="373" t="s">
        <v>75</v>
      </c>
      <c r="G1740" s="370" t="s">
        <v>2591</v>
      </c>
      <c r="H1740" s="387" t="s">
        <v>436</v>
      </c>
      <c r="I1740" s="538" t="s">
        <v>2592</v>
      </c>
      <c r="J1740" s="712">
        <v>45182</v>
      </c>
      <c r="K1740" s="772">
        <v>0.66666666666666663</v>
      </c>
      <c r="L1740" s="712">
        <v>45182</v>
      </c>
      <c r="M1740" s="772">
        <v>0.79166666666666663</v>
      </c>
      <c r="N1740" s="373">
        <v>3</v>
      </c>
      <c r="O1740" s="184" t="s">
        <v>17</v>
      </c>
      <c r="P1740" s="375" t="s">
        <v>2593</v>
      </c>
      <c r="Q1740" s="179" t="s">
        <v>258</v>
      </c>
      <c r="R1740" s="621" t="s">
        <v>81</v>
      </c>
      <c r="S1740" s="31" t="s">
        <v>273</v>
      </c>
      <c r="T1740" s="31" t="s">
        <v>273</v>
      </c>
      <c r="U1740" s="31">
        <f>IFERROR(VLOOKUP(CONCATENATE(Tabla1[[#This Row],[Severidad]]," ",Tabla1[[#This Row],[Complejidad]]),Catalogos!E$120:G$128,3,FALSE),"")</f>
        <v>64</v>
      </c>
      <c r="V1740" s="31" t="str">
        <f>IF(Tabla1[[#This Row],[Tiempo solución max (hrs)]]&lt;&gt;"",IF(Tabla1[[#This Row],[Tiempo solución max (hrs)]]&gt;=Tabla1[[#This Row],[Tiempo
(Hrs 00/100)]],"cumple","no cumple"),"")</f>
        <v>cumple</v>
      </c>
      <c r="W1740" s="376" t="s">
        <v>2418</v>
      </c>
      <c r="X1740" s="611" t="str">
        <f t="shared" si="172"/>
        <v>SAW</v>
      </c>
      <c r="Y1740" s="612" t="str">
        <f>SUBSTITUTE(Tabla1[[#This Row],[Descripción]],CHAR(10),"    I    ")</f>
        <v xml:space="preserve">actualizacion observador </v>
      </c>
      <c r="Z1740" s="613">
        <f>VLOOKUP(Tabla1[[#This Row],[Perfil]],Catalogos!$B$75:$D$100,3,FALSE)*Tabla1[[#This Row],[Tiempo
(Hrs 00/100)]]*1.16</f>
        <v>1739.9999999999998</v>
      </c>
    </row>
    <row r="1741" spans="1:26" ht="15" customHeight="1" x14ac:dyDescent="0.3">
      <c r="A1741" s="373" t="s">
        <v>22</v>
      </c>
      <c r="B1741" s="184" t="s">
        <v>68</v>
      </c>
      <c r="C1741" s="183" t="s">
        <v>16</v>
      </c>
      <c r="D1741" s="373"/>
      <c r="E1741" s="386" t="s">
        <v>503</v>
      </c>
      <c r="F1741" s="373" t="s">
        <v>75</v>
      </c>
      <c r="G1741" s="370" t="s">
        <v>2594</v>
      </c>
      <c r="H1741" s="387" t="s">
        <v>436</v>
      </c>
      <c r="I1741" s="538" t="s">
        <v>2595</v>
      </c>
      <c r="J1741" s="712">
        <v>45183</v>
      </c>
      <c r="K1741" s="772">
        <v>0.375</v>
      </c>
      <c r="L1741" s="712">
        <v>45183</v>
      </c>
      <c r="M1741" s="772">
        <v>0.54166666666666663</v>
      </c>
      <c r="N1741" s="373">
        <v>4</v>
      </c>
      <c r="O1741" s="184" t="s">
        <v>17</v>
      </c>
      <c r="P1741" s="375" t="s">
        <v>2593</v>
      </c>
      <c r="Q1741" s="179" t="s">
        <v>258</v>
      </c>
      <c r="R1741" s="621" t="s">
        <v>81</v>
      </c>
      <c r="S1741" s="31" t="s">
        <v>273</v>
      </c>
      <c r="T1741" s="31" t="s">
        <v>273</v>
      </c>
      <c r="U1741" s="31">
        <f>IFERROR(VLOOKUP(CONCATENATE(Tabla1[[#This Row],[Severidad]]," ",Tabla1[[#This Row],[Complejidad]]),Catalogos!E$120:G$128,3,FALSE),"")</f>
        <v>64</v>
      </c>
      <c r="V1741" s="31" t="str">
        <f>IF(Tabla1[[#This Row],[Tiempo solución max (hrs)]]&lt;&gt;"",IF(Tabla1[[#This Row],[Tiempo solución max (hrs)]]&gt;=Tabla1[[#This Row],[Tiempo
(Hrs 00/100)]],"cumple","no cumple"),"")</f>
        <v>cumple</v>
      </c>
      <c r="W1741" s="376" t="s">
        <v>2418</v>
      </c>
      <c r="X1741" s="611" t="str">
        <f t="shared" si="172"/>
        <v>SAW</v>
      </c>
      <c r="Y1741" s="612" t="str">
        <f>SUBSTITUTE(Tabla1[[#This Row],[Descripción]],CHAR(10),"    I    ")</f>
        <v>actualizacion socios de cooperacion</v>
      </c>
      <c r="Z1741" s="613">
        <f>VLOOKUP(Tabla1[[#This Row],[Perfil]],Catalogos!$B$75:$D$100,3,FALSE)*Tabla1[[#This Row],[Tiempo
(Hrs 00/100)]]*1.16</f>
        <v>2320</v>
      </c>
    </row>
    <row r="1742" spans="1:26" ht="15" customHeight="1" x14ac:dyDescent="0.3">
      <c r="A1742" s="373" t="s">
        <v>22</v>
      </c>
      <c r="B1742" s="184" t="s">
        <v>68</v>
      </c>
      <c r="C1742" s="183" t="s">
        <v>16</v>
      </c>
      <c r="D1742" s="373"/>
      <c r="E1742" s="386" t="s">
        <v>503</v>
      </c>
      <c r="F1742" s="373" t="s">
        <v>75</v>
      </c>
      <c r="G1742" s="370" t="s">
        <v>2596</v>
      </c>
      <c r="H1742" s="387" t="s">
        <v>436</v>
      </c>
      <c r="I1742" s="538" t="s">
        <v>1202</v>
      </c>
      <c r="J1742" s="712">
        <v>45183</v>
      </c>
      <c r="K1742" s="772">
        <v>0.54166666666666663</v>
      </c>
      <c r="L1742" s="712">
        <v>45183</v>
      </c>
      <c r="M1742" s="772">
        <v>0.60416666666666663</v>
      </c>
      <c r="N1742" s="373">
        <v>1.5</v>
      </c>
      <c r="O1742" s="184" t="s">
        <v>17</v>
      </c>
      <c r="P1742" s="375" t="s">
        <v>2542</v>
      </c>
      <c r="Q1742" s="179" t="s">
        <v>258</v>
      </c>
      <c r="R1742" s="621" t="s">
        <v>81</v>
      </c>
      <c r="S1742" s="31" t="s">
        <v>273</v>
      </c>
      <c r="T1742" s="31" t="s">
        <v>273</v>
      </c>
      <c r="U1742" s="31">
        <f>IFERROR(VLOOKUP(CONCATENATE(Tabla1[[#This Row],[Severidad]]," ",Tabla1[[#This Row],[Complejidad]]),Catalogos!E$120:G$128,3,FALSE),"")</f>
        <v>64</v>
      </c>
      <c r="V1742" s="31" t="str">
        <f>IF(Tabla1[[#This Row],[Tiempo solución max (hrs)]]&lt;&gt;"",IF(Tabla1[[#This Row],[Tiempo solución max (hrs)]]&gt;=Tabla1[[#This Row],[Tiempo
(Hrs 00/100)]],"cumple","no cumple"),"")</f>
        <v>cumple</v>
      </c>
      <c r="W1742" s="376" t="s">
        <v>2418</v>
      </c>
      <c r="X1742" s="611" t="str">
        <f t="shared" si="172"/>
        <v>SAW</v>
      </c>
      <c r="Y1742" s="612" t="str">
        <f>SUBSTITUTE(Tabla1[[#This Row],[Descripción]],CHAR(10),"    I    ")</f>
        <v xml:space="preserve">actualizacion de avance de proyectos </v>
      </c>
      <c r="Z1742" s="613">
        <f>VLOOKUP(Tabla1[[#This Row],[Perfil]],Catalogos!$B$75:$D$100,3,FALSE)*Tabla1[[#This Row],[Tiempo
(Hrs 00/100)]]*1.16</f>
        <v>869.99999999999989</v>
      </c>
    </row>
    <row r="1743" spans="1:26" ht="15" customHeight="1" x14ac:dyDescent="0.3">
      <c r="A1743" s="373" t="s">
        <v>22</v>
      </c>
      <c r="B1743" s="184" t="s">
        <v>68</v>
      </c>
      <c r="C1743" s="183" t="s">
        <v>16</v>
      </c>
      <c r="D1743" s="373"/>
      <c r="E1743" s="386" t="s">
        <v>503</v>
      </c>
      <c r="F1743" s="373" t="s">
        <v>75</v>
      </c>
      <c r="G1743" s="370" t="s">
        <v>2597</v>
      </c>
      <c r="H1743" s="387" t="s">
        <v>436</v>
      </c>
      <c r="I1743" s="538" t="s">
        <v>2598</v>
      </c>
      <c r="J1743" s="712">
        <v>45183</v>
      </c>
      <c r="K1743" s="772">
        <v>0.66666666666666663</v>
      </c>
      <c r="L1743" s="712">
        <v>45183</v>
      </c>
      <c r="M1743" s="772">
        <v>0.79166666666666663</v>
      </c>
      <c r="N1743" s="373">
        <v>3</v>
      </c>
      <c r="O1743" s="184" t="s">
        <v>17</v>
      </c>
      <c r="P1743" s="375" t="s">
        <v>2542</v>
      </c>
      <c r="Q1743" s="179" t="s">
        <v>258</v>
      </c>
      <c r="R1743" s="621" t="s">
        <v>81</v>
      </c>
      <c r="S1743" s="31" t="s">
        <v>273</v>
      </c>
      <c r="T1743" s="31" t="s">
        <v>273</v>
      </c>
      <c r="U1743" s="31">
        <f>IFERROR(VLOOKUP(CONCATENATE(Tabla1[[#This Row],[Severidad]]," ",Tabla1[[#This Row],[Complejidad]]),Catalogos!E$120:G$128,3,FALSE),"")</f>
        <v>64</v>
      </c>
      <c r="V1743" s="31" t="str">
        <f>IF(Tabla1[[#This Row],[Tiempo solución max (hrs)]]&lt;&gt;"",IF(Tabla1[[#This Row],[Tiempo solución max (hrs)]]&gt;=Tabla1[[#This Row],[Tiempo
(Hrs 00/100)]],"cumple","no cumple"),"")</f>
        <v>cumple</v>
      </c>
      <c r="W1743" s="376" t="s">
        <v>2418</v>
      </c>
      <c r="X1743" s="611" t="str">
        <f t="shared" si="172"/>
        <v>SAW</v>
      </c>
      <c r="Y1743" s="612" t="str">
        <f>SUBSTITUTE(Tabla1[[#This Row],[Descripción]],CHAR(10),"    I    ")</f>
        <v xml:space="preserve">actualizacion sitio consejo </v>
      </c>
      <c r="Z1743" s="613">
        <f>VLOOKUP(Tabla1[[#This Row],[Perfil]],Catalogos!$B$75:$D$100,3,FALSE)*Tabla1[[#This Row],[Tiempo
(Hrs 00/100)]]*1.16</f>
        <v>1739.9999999999998</v>
      </c>
    </row>
    <row r="1744" spans="1:26" ht="15" customHeight="1" x14ac:dyDescent="0.3">
      <c r="A1744" s="373" t="s">
        <v>22</v>
      </c>
      <c r="B1744" s="184" t="s">
        <v>68</v>
      </c>
      <c r="C1744" s="183" t="s">
        <v>16</v>
      </c>
      <c r="D1744" s="373"/>
      <c r="E1744" s="386" t="s">
        <v>503</v>
      </c>
      <c r="F1744" s="373" t="s">
        <v>75</v>
      </c>
      <c r="G1744" s="370" t="s">
        <v>2599</v>
      </c>
      <c r="H1744" s="387" t="s">
        <v>436</v>
      </c>
      <c r="I1744" s="538" t="s">
        <v>2556</v>
      </c>
      <c r="J1744" s="712">
        <v>45184</v>
      </c>
      <c r="K1744" s="772">
        <v>0.375</v>
      </c>
      <c r="L1744" s="712">
        <v>45184</v>
      </c>
      <c r="M1744" s="772">
        <v>0.5</v>
      </c>
      <c r="N1744" s="373">
        <v>3</v>
      </c>
      <c r="O1744" s="184" t="s">
        <v>17</v>
      </c>
      <c r="P1744" s="375" t="s">
        <v>2542</v>
      </c>
      <c r="Q1744" s="179" t="s">
        <v>258</v>
      </c>
      <c r="R1744" s="621" t="s">
        <v>81</v>
      </c>
      <c r="S1744" s="31" t="s">
        <v>273</v>
      </c>
      <c r="T1744" s="31" t="s">
        <v>273</v>
      </c>
      <c r="U1744" s="31">
        <f>IFERROR(VLOOKUP(CONCATENATE(Tabla1[[#This Row],[Severidad]]," ",Tabla1[[#This Row],[Complejidad]]),Catalogos!E$120:G$128,3,FALSE),"")</f>
        <v>64</v>
      </c>
      <c r="V1744" s="31" t="str">
        <f>IF(Tabla1[[#This Row],[Tiempo solución max (hrs)]]&lt;&gt;"",IF(Tabla1[[#This Row],[Tiempo solución max (hrs)]]&gt;=Tabla1[[#This Row],[Tiempo
(Hrs 00/100)]],"cumple","no cumple"),"")</f>
        <v>cumple</v>
      </c>
      <c r="W1744" s="376" t="s">
        <v>2418</v>
      </c>
      <c r="X1744" s="611" t="str">
        <f t="shared" si="172"/>
        <v>SAW</v>
      </c>
      <c r="Y1744" s="612" t="str">
        <f>SUBSTITUTE(Tabla1[[#This Row],[Descripción]],CHAR(10),"    I    ")</f>
        <v xml:space="preserve">actualizacion micrositio institucional </v>
      </c>
      <c r="Z1744" s="613">
        <f>VLOOKUP(Tabla1[[#This Row],[Perfil]],Catalogos!$B$75:$D$100,3,FALSE)*Tabla1[[#This Row],[Tiempo
(Hrs 00/100)]]*1.16</f>
        <v>1739.9999999999998</v>
      </c>
    </row>
    <row r="1745" spans="1:26" ht="15" customHeight="1" x14ac:dyDescent="0.3">
      <c r="A1745" s="373" t="s">
        <v>22</v>
      </c>
      <c r="B1745" s="184" t="s">
        <v>68</v>
      </c>
      <c r="C1745" s="183" t="s">
        <v>16</v>
      </c>
      <c r="D1745" s="373"/>
      <c r="E1745" s="386" t="s">
        <v>503</v>
      </c>
      <c r="F1745" s="373" t="s">
        <v>75</v>
      </c>
      <c r="G1745" s="370" t="s">
        <v>2600</v>
      </c>
      <c r="H1745" s="387" t="s">
        <v>436</v>
      </c>
      <c r="I1745" s="538" t="s">
        <v>2558</v>
      </c>
      <c r="J1745" s="712">
        <v>45184</v>
      </c>
      <c r="K1745" s="772">
        <v>0.5</v>
      </c>
      <c r="L1745" s="712">
        <v>45184</v>
      </c>
      <c r="M1745" s="772">
        <v>0.625</v>
      </c>
      <c r="N1745" s="373">
        <v>3</v>
      </c>
      <c r="O1745" s="184" t="s">
        <v>17</v>
      </c>
      <c r="P1745" s="375" t="s">
        <v>2542</v>
      </c>
      <c r="Q1745" s="179" t="s">
        <v>258</v>
      </c>
      <c r="R1745" s="621" t="s">
        <v>81</v>
      </c>
      <c r="S1745" s="31" t="s">
        <v>273</v>
      </c>
      <c r="T1745" s="31" t="s">
        <v>273</v>
      </c>
      <c r="U1745" s="31">
        <f>IFERROR(VLOOKUP(CONCATENATE(Tabla1[[#This Row],[Severidad]]," ",Tabla1[[#This Row],[Complejidad]]),Catalogos!E$120:G$128,3,FALSE),"")</f>
        <v>64</v>
      </c>
      <c r="V1745" s="31" t="str">
        <f>IF(Tabla1[[#This Row],[Tiempo solución max (hrs)]]&lt;&gt;"",IF(Tabla1[[#This Row],[Tiempo solución max (hrs)]]&gt;=Tabla1[[#This Row],[Tiempo
(Hrs 00/100)]],"cumple","no cumple"),"")</f>
        <v>cumple</v>
      </c>
      <c r="W1745" s="376" t="s">
        <v>2418</v>
      </c>
      <c r="X1745" s="611" t="str">
        <f t="shared" si="172"/>
        <v>SAW</v>
      </c>
      <c r="Y1745" s="612" t="str">
        <f>SUBSTITUTE(Tabla1[[#This Row],[Descripción]],CHAR(10),"    I    ")</f>
        <v>actualizacion revista</v>
      </c>
      <c r="Z1745" s="613">
        <f>VLOOKUP(Tabla1[[#This Row],[Perfil]],Catalogos!$B$75:$D$100,3,FALSE)*Tabla1[[#This Row],[Tiempo
(Hrs 00/100)]]*1.16</f>
        <v>1739.9999999999998</v>
      </c>
    </row>
    <row r="1746" spans="1:26" ht="15" customHeight="1" x14ac:dyDescent="0.3">
      <c r="A1746" s="373" t="s">
        <v>22</v>
      </c>
      <c r="B1746" s="184" t="s">
        <v>68</v>
      </c>
      <c r="C1746" s="183" t="s">
        <v>16</v>
      </c>
      <c r="D1746" s="373"/>
      <c r="E1746" s="386" t="s">
        <v>503</v>
      </c>
      <c r="F1746" s="373" t="s">
        <v>75</v>
      </c>
      <c r="G1746" s="370" t="s">
        <v>2601</v>
      </c>
      <c r="H1746" s="387" t="s">
        <v>436</v>
      </c>
      <c r="I1746" s="538" t="s">
        <v>2602</v>
      </c>
      <c r="J1746" s="712">
        <v>45187</v>
      </c>
      <c r="K1746" s="772">
        <v>0.375</v>
      </c>
      <c r="L1746" s="712">
        <v>45187</v>
      </c>
      <c r="M1746" s="772">
        <v>0.52083333333333337</v>
      </c>
      <c r="N1746" s="373">
        <v>3.5</v>
      </c>
      <c r="O1746" s="184" t="s">
        <v>17</v>
      </c>
      <c r="P1746" s="375" t="s">
        <v>2542</v>
      </c>
      <c r="Q1746" s="179" t="s">
        <v>258</v>
      </c>
      <c r="R1746" s="621" t="s">
        <v>81</v>
      </c>
      <c r="S1746" s="31" t="s">
        <v>273</v>
      </c>
      <c r="T1746" s="31" t="s">
        <v>273</v>
      </c>
      <c r="U1746" s="31">
        <f>IFERROR(VLOOKUP(CONCATENATE(Tabla1[[#This Row],[Severidad]]," ",Tabla1[[#This Row],[Complejidad]]),Catalogos!E$120:G$128,3,FALSE),"")</f>
        <v>64</v>
      </c>
      <c r="V1746" s="31" t="str">
        <f>IF(Tabla1[[#This Row],[Tiempo solución max (hrs)]]&lt;&gt;"",IF(Tabla1[[#This Row],[Tiempo solución max (hrs)]]&gt;=Tabla1[[#This Row],[Tiempo
(Hrs 00/100)]],"cumple","no cumple"),"")</f>
        <v>cumple</v>
      </c>
      <c r="W1746" s="376" t="s">
        <v>2418</v>
      </c>
      <c r="X1746" s="611" t="str">
        <f t="shared" si="172"/>
        <v>SAW</v>
      </c>
      <c r="Y1746" s="612" t="str">
        <f>SUBSTITUTE(Tabla1[[#This Row],[Descripción]],CHAR(10),"    I    ")</f>
        <v xml:space="preserve">actualizacion sitio consejo consultivo </v>
      </c>
      <c r="Z1746" s="613">
        <f>VLOOKUP(Tabla1[[#This Row],[Perfil]],Catalogos!$B$75:$D$100,3,FALSE)*Tabla1[[#This Row],[Tiempo
(Hrs 00/100)]]*1.16</f>
        <v>2029.9999999999998</v>
      </c>
    </row>
    <row r="1747" spans="1:26" ht="15" customHeight="1" x14ac:dyDescent="0.3">
      <c r="A1747" s="373" t="s">
        <v>22</v>
      </c>
      <c r="B1747" s="184" t="s">
        <v>68</v>
      </c>
      <c r="C1747" s="183" t="s">
        <v>16</v>
      </c>
      <c r="D1747" s="373"/>
      <c r="E1747" s="386" t="s">
        <v>503</v>
      </c>
      <c r="F1747" s="373" t="s">
        <v>75</v>
      </c>
      <c r="G1747" s="370" t="s">
        <v>2603</v>
      </c>
      <c r="H1747" s="387" t="s">
        <v>436</v>
      </c>
      <c r="I1747" s="538" t="s">
        <v>2570</v>
      </c>
      <c r="J1747" s="712">
        <v>45187</v>
      </c>
      <c r="K1747" s="772">
        <v>0.52083333333333337</v>
      </c>
      <c r="L1747" s="712">
        <v>45187</v>
      </c>
      <c r="M1747" s="772">
        <v>0.60416666666666663</v>
      </c>
      <c r="N1747" s="373">
        <v>2</v>
      </c>
      <c r="O1747" s="184" t="s">
        <v>17</v>
      </c>
      <c r="P1747" s="375" t="s">
        <v>2542</v>
      </c>
      <c r="Q1747" s="179" t="s">
        <v>258</v>
      </c>
      <c r="R1747" s="621" t="s">
        <v>81</v>
      </c>
      <c r="S1747" s="31" t="s">
        <v>273</v>
      </c>
      <c r="T1747" s="31" t="s">
        <v>273</v>
      </c>
      <c r="U1747" s="31">
        <f>IFERROR(VLOOKUP(CONCATENATE(Tabla1[[#This Row],[Severidad]]," ",Tabla1[[#This Row],[Complejidad]]),Catalogos!E$120:G$128,3,FALSE),"")</f>
        <v>64</v>
      </c>
      <c r="V1747" s="31" t="str">
        <f>IF(Tabla1[[#This Row],[Tiempo solución max (hrs)]]&lt;&gt;"",IF(Tabla1[[#This Row],[Tiempo solución max (hrs)]]&gt;=Tabla1[[#This Row],[Tiempo
(Hrs 00/100)]],"cumple","no cumple"),"")</f>
        <v>cumple</v>
      </c>
      <c r="W1747" s="376" t="s">
        <v>2418</v>
      </c>
      <c r="X1747" s="611" t="str">
        <f t="shared" si="172"/>
        <v>SAW</v>
      </c>
      <c r="Y1747" s="612" t="str">
        <f>SUBSTITUTE(Tabla1[[#This Row],[Descripción]],CHAR(10),"    I    ")</f>
        <v xml:space="preserve">actualizacion ensayo reportaje </v>
      </c>
      <c r="Z1747" s="613">
        <f>VLOOKUP(Tabla1[[#This Row],[Perfil]],Catalogos!$B$75:$D$100,3,FALSE)*Tabla1[[#This Row],[Tiempo
(Hrs 00/100)]]*1.16</f>
        <v>1160</v>
      </c>
    </row>
    <row r="1748" spans="1:26" ht="15" customHeight="1" x14ac:dyDescent="0.3">
      <c r="A1748" s="373" t="s">
        <v>22</v>
      </c>
      <c r="B1748" s="184" t="s">
        <v>68</v>
      </c>
      <c r="C1748" s="183" t="s">
        <v>16</v>
      </c>
      <c r="D1748" s="373"/>
      <c r="E1748" s="386" t="s">
        <v>503</v>
      </c>
      <c r="F1748" s="373" t="s">
        <v>75</v>
      </c>
      <c r="G1748" s="370" t="s">
        <v>2604</v>
      </c>
      <c r="H1748" s="387" t="s">
        <v>436</v>
      </c>
      <c r="I1748" s="538" t="s">
        <v>2605</v>
      </c>
      <c r="J1748" s="712">
        <v>45187</v>
      </c>
      <c r="K1748" s="772">
        <v>0.66666666666666663</v>
      </c>
      <c r="L1748" s="712">
        <v>45187</v>
      </c>
      <c r="M1748" s="772">
        <v>0.79166666666666663</v>
      </c>
      <c r="N1748" s="373">
        <v>3</v>
      </c>
      <c r="O1748" s="184" t="s">
        <v>17</v>
      </c>
      <c r="P1748" s="375" t="s">
        <v>2542</v>
      </c>
      <c r="Q1748" s="179" t="s">
        <v>258</v>
      </c>
      <c r="R1748" s="621" t="s">
        <v>81</v>
      </c>
      <c r="S1748" s="31" t="s">
        <v>273</v>
      </c>
      <c r="T1748" s="31" t="s">
        <v>273</v>
      </c>
      <c r="U1748" s="31">
        <f>IFERROR(VLOOKUP(CONCATENATE(Tabla1[[#This Row],[Severidad]]," ",Tabla1[[#This Row],[Complejidad]]),Catalogos!E$120:G$128,3,FALSE),"")</f>
        <v>64</v>
      </c>
      <c r="V1748" s="31" t="str">
        <f>IF(Tabla1[[#This Row],[Tiempo solución max (hrs)]]&lt;&gt;"",IF(Tabla1[[#This Row],[Tiempo solución max (hrs)]]&gt;=Tabla1[[#This Row],[Tiempo
(Hrs 00/100)]],"cumple","no cumple"),"")</f>
        <v>cumple</v>
      </c>
      <c r="W1748" s="376" t="s">
        <v>2418</v>
      </c>
      <c r="X1748" s="611" t="str">
        <f t="shared" si="172"/>
        <v>SAW</v>
      </c>
      <c r="Y1748" s="612" t="str">
        <f>SUBSTITUTE(Tabla1[[#This Row],[Descripción]],CHAR(10),"    I    ")</f>
        <v>actualizacion consulta curricular</v>
      </c>
      <c r="Z1748" s="613">
        <f>VLOOKUP(Tabla1[[#This Row],[Perfil]],Catalogos!$B$75:$D$100,3,FALSE)*Tabla1[[#This Row],[Tiempo
(Hrs 00/100)]]*1.16</f>
        <v>1739.9999999999998</v>
      </c>
    </row>
    <row r="1749" spans="1:26" ht="15" customHeight="1" x14ac:dyDescent="0.3">
      <c r="A1749" s="373" t="s">
        <v>22</v>
      </c>
      <c r="B1749" s="184" t="s">
        <v>68</v>
      </c>
      <c r="C1749" s="183" t="s">
        <v>16</v>
      </c>
      <c r="D1749" s="373"/>
      <c r="E1749" s="386" t="s">
        <v>503</v>
      </c>
      <c r="F1749" s="373" t="s">
        <v>75</v>
      </c>
      <c r="G1749" s="370" t="s">
        <v>2606</v>
      </c>
      <c r="H1749" s="387" t="s">
        <v>436</v>
      </c>
      <c r="I1749" s="538" t="s">
        <v>2552</v>
      </c>
      <c r="J1749" s="712">
        <v>45188</v>
      </c>
      <c r="K1749" s="772">
        <v>0.375</v>
      </c>
      <c r="L1749" s="712">
        <v>45188</v>
      </c>
      <c r="M1749" s="772">
        <v>0.5</v>
      </c>
      <c r="N1749" s="373">
        <v>3</v>
      </c>
      <c r="O1749" s="184" t="s">
        <v>17</v>
      </c>
      <c r="P1749" s="375" t="s">
        <v>2542</v>
      </c>
      <c r="Q1749" s="179" t="s">
        <v>258</v>
      </c>
      <c r="R1749" s="621" t="s">
        <v>81</v>
      </c>
      <c r="S1749" s="31" t="s">
        <v>273</v>
      </c>
      <c r="T1749" s="31" t="s">
        <v>273</v>
      </c>
      <c r="U1749" s="31">
        <f>IFERROR(VLOOKUP(CONCATENATE(Tabla1[[#This Row],[Severidad]]," ",Tabla1[[#This Row],[Complejidad]]),Catalogos!E$120:G$128,3,FALSE),"")</f>
        <v>64</v>
      </c>
      <c r="V1749" s="31" t="str">
        <f>IF(Tabla1[[#This Row],[Tiempo solución max (hrs)]]&lt;&gt;"",IF(Tabla1[[#This Row],[Tiempo solución max (hrs)]]&gt;=Tabla1[[#This Row],[Tiempo
(Hrs 00/100)]],"cumple","no cumple"),"")</f>
        <v>cumple</v>
      </c>
      <c r="W1749" s="376" t="s">
        <v>2418</v>
      </c>
      <c r="X1749" s="611" t="str">
        <f t="shared" si="172"/>
        <v>SAW</v>
      </c>
      <c r="Y1749" s="612" t="str">
        <f>SUBSTITUTE(Tabla1[[#This Row],[Descripción]],CHAR(10),"    I    ")</f>
        <v xml:space="preserve">actualizacion pleno niños </v>
      </c>
      <c r="Z1749" s="613">
        <f>VLOOKUP(Tabla1[[#This Row],[Perfil]],Catalogos!$B$75:$D$100,3,FALSE)*Tabla1[[#This Row],[Tiempo
(Hrs 00/100)]]*1.16</f>
        <v>1739.9999999999998</v>
      </c>
    </row>
    <row r="1750" spans="1:26" ht="15" customHeight="1" x14ac:dyDescent="0.3">
      <c r="A1750" s="373" t="s">
        <v>22</v>
      </c>
      <c r="B1750" s="184" t="s">
        <v>68</v>
      </c>
      <c r="C1750" s="183" t="s">
        <v>16</v>
      </c>
      <c r="D1750" s="373"/>
      <c r="E1750" s="386" t="s">
        <v>503</v>
      </c>
      <c r="F1750" s="373" t="s">
        <v>75</v>
      </c>
      <c r="G1750" s="370" t="s">
        <v>2607</v>
      </c>
      <c r="H1750" s="387" t="s">
        <v>436</v>
      </c>
      <c r="I1750" s="538" t="s">
        <v>2584</v>
      </c>
      <c r="J1750" s="712">
        <v>45188</v>
      </c>
      <c r="K1750" s="772">
        <v>0.5</v>
      </c>
      <c r="L1750" s="712">
        <v>45188</v>
      </c>
      <c r="M1750" s="772">
        <v>0.60416666666666663</v>
      </c>
      <c r="N1750" s="373">
        <v>2.5</v>
      </c>
      <c r="O1750" s="184" t="s">
        <v>17</v>
      </c>
      <c r="P1750" s="375" t="s">
        <v>2542</v>
      </c>
      <c r="Q1750" s="179" t="s">
        <v>258</v>
      </c>
      <c r="R1750" s="621" t="s">
        <v>81</v>
      </c>
      <c r="S1750" s="31" t="s">
        <v>273</v>
      </c>
      <c r="T1750" s="31" t="s">
        <v>273</v>
      </c>
      <c r="U1750" s="31">
        <f>IFERROR(VLOOKUP(CONCATENATE(Tabla1[[#This Row],[Severidad]]," ",Tabla1[[#This Row],[Complejidad]]),Catalogos!E$120:G$128,3,FALSE),"")</f>
        <v>64</v>
      </c>
      <c r="V1750" s="31" t="str">
        <f>IF(Tabla1[[#This Row],[Tiempo solución max (hrs)]]&lt;&gt;"",IF(Tabla1[[#This Row],[Tiempo solución max (hrs)]]&gt;=Tabla1[[#This Row],[Tiempo
(Hrs 00/100)]],"cumple","no cumple"),"")</f>
        <v>cumple</v>
      </c>
      <c r="W1750" s="376" t="s">
        <v>2418</v>
      </c>
      <c r="X1750" s="611" t="str">
        <f t="shared" si="172"/>
        <v>SAW</v>
      </c>
      <c r="Y1750" s="612" t="str">
        <f>SUBSTITUTE(Tabla1[[#This Row],[Descripción]],CHAR(10),"    I    ")</f>
        <v xml:space="preserve">actualizacion consejo consultivo </v>
      </c>
      <c r="Z1750" s="613">
        <f>VLOOKUP(Tabla1[[#This Row],[Perfil]],Catalogos!$B$75:$D$100,3,FALSE)*Tabla1[[#This Row],[Tiempo
(Hrs 00/100)]]*1.16</f>
        <v>1450</v>
      </c>
    </row>
    <row r="1751" spans="1:26" ht="15" customHeight="1" x14ac:dyDescent="0.3">
      <c r="A1751" s="373" t="s">
        <v>22</v>
      </c>
      <c r="B1751" s="184" t="s">
        <v>68</v>
      </c>
      <c r="C1751" s="183" t="s">
        <v>16</v>
      </c>
      <c r="D1751" s="373"/>
      <c r="E1751" s="386" t="s">
        <v>503</v>
      </c>
      <c r="F1751" s="373" t="s">
        <v>75</v>
      </c>
      <c r="G1751" s="370" t="s">
        <v>2608</v>
      </c>
      <c r="H1751" s="387" t="s">
        <v>436</v>
      </c>
      <c r="I1751" s="538" t="s">
        <v>2609</v>
      </c>
      <c r="J1751" s="712">
        <v>45188</v>
      </c>
      <c r="K1751" s="772">
        <v>0.58333333333333337</v>
      </c>
      <c r="L1751" s="712">
        <v>45188</v>
      </c>
      <c r="M1751" s="772">
        <v>0.79166666666666663</v>
      </c>
      <c r="N1751" s="373">
        <v>3</v>
      </c>
      <c r="O1751" s="184" t="s">
        <v>17</v>
      </c>
      <c r="P1751" s="375" t="s">
        <v>2542</v>
      </c>
      <c r="Q1751" s="179" t="s">
        <v>258</v>
      </c>
      <c r="R1751" s="621" t="s">
        <v>81</v>
      </c>
      <c r="S1751" s="31" t="s">
        <v>273</v>
      </c>
      <c r="T1751" s="31" t="s">
        <v>273</v>
      </c>
      <c r="U1751" s="31">
        <f>IFERROR(VLOOKUP(CONCATENATE(Tabla1[[#This Row],[Severidad]]," ",Tabla1[[#This Row],[Complejidad]]),Catalogos!E$120:G$128,3,FALSE),"")</f>
        <v>64</v>
      </c>
      <c r="V1751" s="31" t="str">
        <f>IF(Tabla1[[#This Row],[Tiempo solución max (hrs)]]&lt;&gt;"",IF(Tabla1[[#This Row],[Tiempo solución max (hrs)]]&gt;=Tabla1[[#This Row],[Tiempo
(Hrs 00/100)]],"cumple","no cumple"),"")</f>
        <v>cumple</v>
      </c>
      <c r="W1751" s="376" t="s">
        <v>2418</v>
      </c>
      <c r="X1751" s="611" t="str">
        <f t="shared" ref="X1751:X1761" si="173">IF(C1751&lt;&gt;"",C1751,D1751)</f>
        <v>SAW</v>
      </c>
      <c r="Y1751" s="612" t="str">
        <f>SUBSTITUTE(Tabla1[[#This Row],[Descripción]],CHAR(10),"    I    ")</f>
        <v xml:space="preserve">actualizacion carga GAyT </v>
      </c>
      <c r="Z1751" s="613">
        <f>VLOOKUP(Tabla1[[#This Row],[Perfil]],Catalogos!$B$75:$D$100,3,FALSE)*Tabla1[[#This Row],[Tiempo
(Hrs 00/100)]]*1.16</f>
        <v>1739.9999999999998</v>
      </c>
    </row>
    <row r="1752" spans="1:26" ht="15" customHeight="1" x14ac:dyDescent="0.3">
      <c r="A1752" s="373" t="s">
        <v>22</v>
      </c>
      <c r="B1752" s="184" t="s">
        <v>68</v>
      </c>
      <c r="C1752" s="183" t="s">
        <v>16</v>
      </c>
      <c r="D1752" s="373"/>
      <c r="E1752" s="386" t="s">
        <v>503</v>
      </c>
      <c r="F1752" s="373" t="s">
        <v>75</v>
      </c>
      <c r="G1752" s="370" t="s">
        <v>2610</v>
      </c>
      <c r="H1752" s="387" t="s">
        <v>436</v>
      </c>
      <c r="I1752" s="538" t="s">
        <v>2611</v>
      </c>
      <c r="J1752" s="712">
        <v>45189</v>
      </c>
      <c r="K1752" s="772">
        <v>0.375</v>
      </c>
      <c r="L1752" s="712">
        <v>45189</v>
      </c>
      <c r="M1752" s="772">
        <v>0.47916666666666669</v>
      </c>
      <c r="N1752" s="373">
        <v>2.5</v>
      </c>
      <c r="O1752" s="184" t="s">
        <v>17</v>
      </c>
      <c r="P1752" s="375" t="s">
        <v>2542</v>
      </c>
      <c r="Q1752" s="179" t="s">
        <v>258</v>
      </c>
      <c r="R1752" s="621" t="s">
        <v>81</v>
      </c>
      <c r="S1752" s="31" t="s">
        <v>273</v>
      </c>
      <c r="T1752" s="31" t="s">
        <v>273</v>
      </c>
      <c r="U1752" s="31">
        <f>IFERROR(VLOOKUP(CONCATENATE(Tabla1[[#This Row],[Severidad]]," ",Tabla1[[#This Row],[Complejidad]]),Catalogos!E$120:G$128,3,FALSE),"")</f>
        <v>64</v>
      </c>
      <c r="V1752" s="31" t="str">
        <f>IF(Tabla1[[#This Row],[Tiempo solución max (hrs)]]&lt;&gt;"",IF(Tabla1[[#This Row],[Tiempo solución max (hrs)]]&gt;=Tabla1[[#This Row],[Tiempo
(Hrs 00/100)]],"cumple","no cumple"),"")</f>
        <v>cumple</v>
      </c>
      <c r="W1752" s="376" t="s">
        <v>2418</v>
      </c>
      <c r="X1752" s="611" t="str">
        <f t="shared" si="173"/>
        <v>SAW</v>
      </c>
      <c r="Y1752" s="612" t="str">
        <f>SUBSTITUTE(Tabla1[[#This Row],[Descripción]],CHAR(10),"    I    ")</f>
        <v xml:space="preserve">actualizacion CIT </v>
      </c>
      <c r="Z1752" s="613">
        <f>VLOOKUP(Tabla1[[#This Row],[Perfil]],Catalogos!$B$75:$D$100,3,FALSE)*Tabla1[[#This Row],[Tiempo
(Hrs 00/100)]]*1.16</f>
        <v>1450</v>
      </c>
    </row>
    <row r="1753" spans="1:26" ht="15" customHeight="1" x14ac:dyDescent="0.3">
      <c r="A1753" s="373" t="s">
        <v>22</v>
      </c>
      <c r="B1753" s="184" t="s">
        <v>68</v>
      </c>
      <c r="C1753" s="183" t="s">
        <v>16</v>
      </c>
      <c r="D1753" s="373"/>
      <c r="E1753" s="386" t="s">
        <v>503</v>
      </c>
      <c r="F1753" s="373" t="s">
        <v>75</v>
      </c>
      <c r="G1753" s="370" t="s">
        <v>2612</v>
      </c>
      <c r="H1753" s="387" t="s">
        <v>436</v>
      </c>
      <c r="I1753" s="538" t="s">
        <v>2561</v>
      </c>
      <c r="J1753" s="712">
        <v>45189</v>
      </c>
      <c r="K1753" s="772">
        <v>0.97916666666666663</v>
      </c>
      <c r="L1753" s="712">
        <v>45189</v>
      </c>
      <c r="M1753" s="772">
        <v>0.60416666666666663</v>
      </c>
      <c r="N1753" s="373">
        <v>3</v>
      </c>
      <c r="O1753" s="184" t="s">
        <v>17</v>
      </c>
      <c r="P1753" s="375" t="s">
        <v>2542</v>
      </c>
      <c r="Q1753" s="179" t="s">
        <v>258</v>
      </c>
      <c r="R1753" s="621" t="s">
        <v>81</v>
      </c>
      <c r="S1753" s="31" t="s">
        <v>273</v>
      </c>
      <c r="T1753" s="31" t="s">
        <v>273</v>
      </c>
      <c r="U1753" s="31">
        <f>IFERROR(VLOOKUP(CONCATENATE(Tabla1[[#This Row],[Severidad]]," ",Tabla1[[#This Row],[Complejidad]]),Catalogos!E$120:G$128,3,FALSE),"")</f>
        <v>64</v>
      </c>
      <c r="V1753" s="31" t="str">
        <f>IF(Tabla1[[#This Row],[Tiempo solución max (hrs)]]&lt;&gt;"",IF(Tabla1[[#This Row],[Tiempo solución max (hrs)]]&gt;=Tabla1[[#This Row],[Tiempo
(Hrs 00/100)]],"cumple","no cumple"),"")</f>
        <v>cumple</v>
      </c>
      <c r="W1753" s="376" t="s">
        <v>2418</v>
      </c>
      <c r="X1753" s="611" t="str">
        <f t="shared" si="173"/>
        <v>SAW</v>
      </c>
      <c r="Y1753" s="612" t="str">
        <f>SUBSTITUTE(Tabla1[[#This Row],[Descripción]],CHAR(10),"    I    ")</f>
        <v xml:space="preserve">actualizacion SACP </v>
      </c>
      <c r="Z1753" s="613">
        <f>VLOOKUP(Tabla1[[#This Row],[Perfil]],Catalogos!$B$75:$D$100,3,FALSE)*Tabla1[[#This Row],[Tiempo
(Hrs 00/100)]]*1.16</f>
        <v>1739.9999999999998</v>
      </c>
    </row>
    <row r="1754" spans="1:26" ht="15" customHeight="1" x14ac:dyDescent="0.3">
      <c r="A1754" s="373" t="s">
        <v>22</v>
      </c>
      <c r="B1754" s="184" t="s">
        <v>68</v>
      </c>
      <c r="C1754" s="183" t="s">
        <v>16</v>
      </c>
      <c r="D1754" s="373"/>
      <c r="E1754" s="386" t="s">
        <v>503</v>
      </c>
      <c r="F1754" s="373" t="s">
        <v>75</v>
      </c>
      <c r="G1754" s="370" t="s">
        <v>2613</v>
      </c>
      <c r="H1754" s="387" t="s">
        <v>436</v>
      </c>
      <c r="I1754" s="538" t="s">
        <v>2552</v>
      </c>
      <c r="J1754" s="712">
        <v>45189</v>
      </c>
      <c r="K1754" s="772">
        <v>0.66666666666666663</v>
      </c>
      <c r="L1754" s="712">
        <v>45189</v>
      </c>
      <c r="M1754" s="772">
        <v>0.79166666666666663</v>
      </c>
      <c r="N1754" s="373">
        <v>3</v>
      </c>
      <c r="O1754" s="184" t="s">
        <v>17</v>
      </c>
      <c r="P1754" s="375" t="s">
        <v>2542</v>
      </c>
      <c r="Q1754" s="179" t="s">
        <v>258</v>
      </c>
      <c r="R1754" s="621" t="s">
        <v>81</v>
      </c>
      <c r="S1754" s="31" t="s">
        <v>273</v>
      </c>
      <c r="T1754" s="31" t="s">
        <v>273</v>
      </c>
      <c r="U1754" s="31">
        <f>IFERROR(VLOOKUP(CONCATENATE(Tabla1[[#This Row],[Severidad]]," ",Tabla1[[#This Row],[Complejidad]]),Catalogos!E$120:G$128,3,FALSE),"")</f>
        <v>64</v>
      </c>
      <c r="V1754" s="31" t="str">
        <f>IF(Tabla1[[#This Row],[Tiempo solución max (hrs)]]&lt;&gt;"",IF(Tabla1[[#This Row],[Tiempo solución max (hrs)]]&gt;=Tabla1[[#This Row],[Tiempo
(Hrs 00/100)]],"cumple","no cumple"),"")</f>
        <v>cumple</v>
      </c>
      <c r="W1754" s="376" t="s">
        <v>2418</v>
      </c>
      <c r="X1754" s="611" t="str">
        <f t="shared" si="173"/>
        <v>SAW</v>
      </c>
      <c r="Y1754" s="612" t="str">
        <f>SUBSTITUTE(Tabla1[[#This Row],[Descripción]],CHAR(10),"    I    ")</f>
        <v xml:space="preserve">actualizacion pleno niños </v>
      </c>
      <c r="Z1754" s="613">
        <f>VLOOKUP(Tabla1[[#This Row],[Perfil]],Catalogos!$B$75:$D$100,3,FALSE)*Tabla1[[#This Row],[Tiempo
(Hrs 00/100)]]*1.16</f>
        <v>1739.9999999999998</v>
      </c>
    </row>
    <row r="1755" spans="1:26" ht="15" customHeight="1" x14ac:dyDescent="0.3">
      <c r="A1755" s="373" t="s">
        <v>22</v>
      </c>
      <c r="B1755" s="184" t="s">
        <v>68</v>
      </c>
      <c r="C1755" s="183" t="s">
        <v>16</v>
      </c>
      <c r="D1755" s="373"/>
      <c r="E1755" s="386" t="s">
        <v>503</v>
      </c>
      <c r="F1755" s="373" t="s">
        <v>75</v>
      </c>
      <c r="G1755" s="370" t="s">
        <v>2614</v>
      </c>
      <c r="H1755" s="387" t="s">
        <v>436</v>
      </c>
      <c r="I1755" s="538" t="s">
        <v>2615</v>
      </c>
      <c r="J1755" s="712">
        <v>45190</v>
      </c>
      <c r="K1755" s="772">
        <v>0.375</v>
      </c>
      <c r="L1755" s="712">
        <v>45190</v>
      </c>
      <c r="M1755" s="772">
        <v>0.5</v>
      </c>
      <c r="N1755" s="373">
        <v>3</v>
      </c>
      <c r="O1755" s="184" t="s">
        <v>17</v>
      </c>
      <c r="P1755" s="375" t="s">
        <v>2542</v>
      </c>
      <c r="Q1755" s="179" t="s">
        <v>258</v>
      </c>
      <c r="R1755" s="621" t="s">
        <v>81</v>
      </c>
      <c r="S1755" s="31" t="s">
        <v>273</v>
      </c>
      <c r="T1755" s="31" t="s">
        <v>273</v>
      </c>
      <c r="U1755" s="31">
        <f>IFERROR(VLOOKUP(CONCATENATE(Tabla1[[#This Row],[Severidad]]," ",Tabla1[[#This Row],[Complejidad]]),Catalogos!E$120:G$128,3,FALSE),"")</f>
        <v>64</v>
      </c>
      <c r="V1755" s="31" t="str">
        <f>IF(Tabla1[[#This Row],[Tiempo solución max (hrs)]]&lt;&gt;"",IF(Tabla1[[#This Row],[Tiempo solución max (hrs)]]&gt;=Tabla1[[#This Row],[Tiempo
(Hrs 00/100)]],"cumple","no cumple"),"")</f>
        <v>cumple</v>
      </c>
      <c r="W1755" s="376" t="s">
        <v>2418</v>
      </c>
      <c r="X1755" s="611" t="str">
        <f t="shared" si="173"/>
        <v>SAW</v>
      </c>
      <c r="Y1755" s="612" t="str">
        <f>SUBSTITUTE(Tabla1[[#This Row],[Descripción]],CHAR(10),"    I    ")</f>
        <v xml:space="preserve">actualizacin ensayo reportaje </v>
      </c>
      <c r="Z1755" s="613">
        <f>VLOOKUP(Tabla1[[#This Row],[Perfil]],Catalogos!$B$75:$D$100,3,FALSE)*Tabla1[[#This Row],[Tiempo
(Hrs 00/100)]]*1.16</f>
        <v>1739.9999999999998</v>
      </c>
    </row>
    <row r="1756" spans="1:26" ht="15" customHeight="1" x14ac:dyDescent="0.3">
      <c r="A1756" s="373" t="s">
        <v>22</v>
      </c>
      <c r="B1756" s="184" t="s">
        <v>68</v>
      </c>
      <c r="C1756" s="183" t="s">
        <v>16</v>
      </c>
      <c r="D1756" s="373"/>
      <c r="E1756" s="386" t="s">
        <v>503</v>
      </c>
      <c r="F1756" s="373" t="s">
        <v>75</v>
      </c>
      <c r="G1756" s="370" t="s">
        <v>2616</v>
      </c>
      <c r="H1756" s="387" t="s">
        <v>436</v>
      </c>
      <c r="I1756" s="178" t="s">
        <v>1202</v>
      </c>
      <c r="J1756" s="712">
        <v>45190</v>
      </c>
      <c r="K1756" s="772">
        <v>0.5</v>
      </c>
      <c r="L1756" s="712">
        <v>45190</v>
      </c>
      <c r="M1756" s="772">
        <v>0.60416666666666663</v>
      </c>
      <c r="N1756" s="373">
        <v>2.5</v>
      </c>
      <c r="O1756" s="184" t="s">
        <v>17</v>
      </c>
      <c r="P1756" s="375" t="s">
        <v>2542</v>
      </c>
      <c r="Q1756" s="179" t="s">
        <v>258</v>
      </c>
      <c r="R1756" s="621" t="s">
        <v>81</v>
      </c>
      <c r="S1756" s="31" t="s">
        <v>273</v>
      </c>
      <c r="T1756" s="31" t="s">
        <v>273</v>
      </c>
      <c r="U1756" s="31">
        <f>IFERROR(VLOOKUP(CONCATENATE(Tabla1[[#This Row],[Severidad]]," ",Tabla1[[#This Row],[Complejidad]]),Catalogos!E$120:G$128,3,FALSE),"")</f>
        <v>64</v>
      </c>
      <c r="V1756" s="31" t="str">
        <f>IF(Tabla1[[#This Row],[Tiempo solución max (hrs)]]&lt;&gt;"",IF(Tabla1[[#This Row],[Tiempo solución max (hrs)]]&gt;=Tabla1[[#This Row],[Tiempo
(Hrs 00/100)]],"cumple","no cumple"),"")</f>
        <v>cumple</v>
      </c>
      <c r="W1756" s="376" t="s">
        <v>2418</v>
      </c>
      <c r="X1756" s="611" t="str">
        <f t="shared" si="173"/>
        <v>SAW</v>
      </c>
      <c r="Y1756" s="612" t="str">
        <f>SUBSTITUTE(Tabla1[[#This Row],[Descripción]],CHAR(10),"    I    ")</f>
        <v xml:space="preserve">actualizacion de avance de proyectos </v>
      </c>
      <c r="Z1756" s="613">
        <f>VLOOKUP(Tabla1[[#This Row],[Perfil]],Catalogos!$B$75:$D$100,3,FALSE)*Tabla1[[#This Row],[Tiempo
(Hrs 00/100)]]*1.16</f>
        <v>1450</v>
      </c>
    </row>
    <row r="1757" spans="1:26" ht="15" customHeight="1" x14ac:dyDescent="0.3">
      <c r="A1757" s="373" t="s">
        <v>22</v>
      </c>
      <c r="B1757" s="184" t="s">
        <v>68</v>
      </c>
      <c r="C1757" s="183" t="s">
        <v>16</v>
      </c>
      <c r="D1757" s="373"/>
      <c r="E1757" s="386" t="s">
        <v>503</v>
      </c>
      <c r="F1757" s="373" t="s">
        <v>75</v>
      </c>
      <c r="G1757" s="370" t="s">
        <v>2617</v>
      </c>
      <c r="H1757" s="387" t="s">
        <v>436</v>
      </c>
      <c r="I1757" s="538" t="s">
        <v>2567</v>
      </c>
      <c r="J1757" s="712">
        <v>45190</v>
      </c>
      <c r="K1757" s="772">
        <v>0.66666666666666663</v>
      </c>
      <c r="L1757" s="712">
        <v>45190</v>
      </c>
      <c r="M1757" s="772">
        <v>0.79166666666666663</v>
      </c>
      <c r="N1757" s="373">
        <v>3</v>
      </c>
      <c r="O1757" s="184" t="s">
        <v>17</v>
      </c>
      <c r="P1757" s="375" t="s">
        <v>2542</v>
      </c>
      <c r="Q1757" s="179" t="s">
        <v>258</v>
      </c>
      <c r="R1757" s="621" t="s">
        <v>81</v>
      </c>
      <c r="S1757" s="31" t="s">
        <v>273</v>
      </c>
      <c r="T1757" s="31" t="s">
        <v>273</v>
      </c>
      <c r="U1757" s="31">
        <f>IFERROR(VLOOKUP(CONCATENATE(Tabla1[[#This Row],[Severidad]]," ",Tabla1[[#This Row],[Complejidad]]),Catalogos!E$120:G$128,3,FALSE),"")</f>
        <v>64</v>
      </c>
      <c r="V1757" s="31" t="str">
        <f>IF(Tabla1[[#This Row],[Tiempo solución max (hrs)]]&lt;&gt;"",IF(Tabla1[[#This Row],[Tiempo solución max (hrs)]]&gt;=Tabla1[[#This Row],[Tiempo
(Hrs 00/100)]],"cumple","no cumple"),"")</f>
        <v>cumple</v>
      </c>
      <c r="W1757" s="376" t="s">
        <v>2418</v>
      </c>
      <c r="X1757" s="611" t="str">
        <f t="shared" si="173"/>
        <v>SAW</v>
      </c>
      <c r="Y1757" s="612" t="str">
        <f>SUBSTITUTE(Tabla1[[#This Row],[Descripción]],CHAR(10),"    I    ")</f>
        <v xml:space="preserve">actualizacion SNT </v>
      </c>
      <c r="Z1757" s="613">
        <f>VLOOKUP(Tabla1[[#This Row],[Perfil]],Catalogos!$B$75:$D$100,3,FALSE)*Tabla1[[#This Row],[Tiempo
(Hrs 00/100)]]*1.16</f>
        <v>1739.9999999999998</v>
      </c>
    </row>
    <row r="1758" spans="1:26" ht="15" customHeight="1" x14ac:dyDescent="0.3">
      <c r="A1758" s="373" t="s">
        <v>22</v>
      </c>
      <c r="B1758" s="184" t="s">
        <v>68</v>
      </c>
      <c r="C1758" s="183" t="s">
        <v>16</v>
      </c>
      <c r="D1758" s="373"/>
      <c r="E1758" s="386" t="s">
        <v>503</v>
      </c>
      <c r="F1758" s="373" t="s">
        <v>75</v>
      </c>
      <c r="G1758" s="370" t="s">
        <v>2618</v>
      </c>
      <c r="H1758" s="387" t="s">
        <v>436</v>
      </c>
      <c r="I1758" s="538" t="s">
        <v>2619</v>
      </c>
      <c r="J1758" s="712">
        <v>45191</v>
      </c>
      <c r="K1758" s="772">
        <v>0.375</v>
      </c>
      <c r="L1758" s="712">
        <v>45191</v>
      </c>
      <c r="M1758" s="772">
        <v>0.41666666666666669</v>
      </c>
      <c r="N1758" s="373">
        <v>1</v>
      </c>
      <c r="O1758" s="184" t="s">
        <v>17</v>
      </c>
      <c r="P1758" s="375" t="s">
        <v>2587</v>
      </c>
      <c r="Q1758" s="179" t="s">
        <v>258</v>
      </c>
      <c r="R1758" s="621" t="s">
        <v>81</v>
      </c>
      <c r="S1758" s="31" t="s">
        <v>273</v>
      </c>
      <c r="T1758" s="31" t="s">
        <v>273</v>
      </c>
      <c r="U1758" s="31">
        <f>IFERROR(VLOOKUP(CONCATENATE(Tabla1[[#This Row],[Severidad]]," ",Tabla1[[#This Row],[Complejidad]]),Catalogos!E$120:G$128,3,FALSE),"")</f>
        <v>64</v>
      </c>
      <c r="V1758" s="31" t="str">
        <f>IF(Tabla1[[#This Row],[Tiempo solución max (hrs)]]&lt;&gt;"",IF(Tabla1[[#This Row],[Tiempo solución max (hrs)]]&gt;=Tabla1[[#This Row],[Tiempo
(Hrs 00/100)]],"cumple","no cumple"),"")</f>
        <v>cumple</v>
      </c>
      <c r="W1758" s="376" t="s">
        <v>2418</v>
      </c>
      <c r="X1758" s="611" t="str">
        <f t="shared" si="173"/>
        <v>SAW</v>
      </c>
      <c r="Y1758" s="612" t="str">
        <f>SUBSTITUTE(Tabla1[[#This Row],[Descripción]],CHAR(10),"    I    ")</f>
        <v>actualizacion miembros pleno RTA</v>
      </c>
      <c r="Z1758" s="613">
        <f>VLOOKUP(Tabla1[[#This Row],[Perfil]],Catalogos!$B$75:$D$100,3,FALSE)*Tabla1[[#This Row],[Tiempo
(Hrs 00/100)]]*1.16</f>
        <v>580</v>
      </c>
    </row>
    <row r="1759" spans="1:26" ht="15" customHeight="1" x14ac:dyDescent="0.3">
      <c r="A1759" s="373" t="s">
        <v>22</v>
      </c>
      <c r="B1759" s="184" t="s">
        <v>68</v>
      </c>
      <c r="C1759" s="183" t="s">
        <v>16</v>
      </c>
      <c r="D1759" s="373"/>
      <c r="E1759" s="386" t="s">
        <v>503</v>
      </c>
      <c r="F1759" s="373" t="s">
        <v>75</v>
      </c>
      <c r="G1759" s="370" t="s">
        <v>2620</v>
      </c>
      <c r="H1759" s="387" t="s">
        <v>436</v>
      </c>
      <c r="I1759" s="538" t="s">
        <v>2621</v>
      </c>
      <c r="J1759" s="712">
        <v>45191</v>
      </c>
      <c r="K1759" s="772">
        <v>0.41666666666666669</v>
      </c>
      <c r="L1759" s="712">
        <v>45191</v>
      </c>
      <c r="M1759" s="772">
        <v>0.58333333333333337</v>
      </c>
      <c r="N1759" s="373">
        <v>4</v>
      </c>
      <c r="O1759" s="184" t="s">
        <v>17</v>
      </c>
      <c r="P1759" s="375" t="s">
        <v>2590</v>
      </c>
      <c r="Q1759" s="179" t="s">
        <v>258</v>
      </c>
      <c r="R1759" s="621" t="s">
        <v>81</v>
      </c>
      <c r="S1759" s="31" t="s">
        <v>273</v>
      </c>
      <c r="T1759" s="31" t="s">
        <v>273</v>
      </c>
      <c r="U1759" s="31">
        <f>IFERROR(VLOOKUP(CONCATENATE(Tabla1[[#This Row],[Severidad]]," ",Tabla1[[#This Row],[Complejidad]]),Catalogos!E$120:G$128,3,FALSE),"")</f>
        <v>64</v>
      </c>
      <c r="V1759" s="31" t="str">
        <f>IF(Tabla1[[#This Row],[Tiempo solución max (hrs)]]&lt;&gt;"",IF(Tabla1[[#This Row],[Tiempo solución max (hrs)]]&gt;=Tabla1[[#This Row],[Tiempo
(Hrs 00/100)]],"cumple","no cumple"),"")</f>
        <v>cumple</v>
      </c>
      <c r="W1759" s="376" t="s">
        <v>2418</v>
      </c>
      <c r="X1759" s="611" t="str">
        <f t="shared" si="173"/>
        <v>SAW</v>
      </c>
      <c r="Y1759" s="612" t="str">
        <f>SUBSTITUTE(Tabla1[[#This Row],[Descripción]],CHAR(10),"    I    ")</f>
        <v>actualizacion miembros adherentes RTA</v>
      </c>
      <c r="Z1759" s="613">
        <f>VLOOKUP(Tabla1[[#This Row],[Perfil]],Catalogos!$B$75:$D$100,3,FALSE)*Tabla1[[#This Row],[Tiempo
(Hrs 00/100)]]*1.16</f>
        <v>2320</v>
      </c>
    </row>
    <row r="1760" spans="1:26" ht="15" customHeight="1" x14ac:dyDescent="0.3">
      <c r="A1760" s="373" t="s">
        <v>22</v>
      </c>
      <c r="B1760" s="184" t="s">
        <v>68</v>
      </c>
      <c r="C1760" s="183" t="s">
        <v>16</v>
      </c>
      <c r="D1760" s="373"/>
      <c r="E1760" s="386" t="s">
        <v>503</v>
      </c>
      <c r="F1760" s="373" t="s">
        <v>75</v>
      </c>
      <c r="G1760" s="370" t="s">
        <v>2622</v>
      </c>
      <c r="H1760" s="387" t="s">
        <v>436</v>
      </c>
      <c r="I1760" s="538" t="s">
        <v>2623</v>
      </c>
      <c r="J1760" s="712">
        <v>45191</v>
      </c>
      <c r="K1760" s="772">
        <v>0.58333333333333337</v>
      </c>
      <c r="L1760" s="712">
        <v>45191</v>
      </c>
      <c r="M1760" s="772">
        <v>0.625</v>
      </c>
      <c r="N1760" s="373">
        <v>1</v>
      </c>
      <c r="O1760" s="184" t="s">
        <v>17</v>
      </c>
      <c r="P1760" s="375" t="s">
        <v>2593</v>
      </c>
      <c r="Q1760" s="179" t="s">
        <v>258</v>
      </c>
      <c r="R1760" s="621" t="s">
        <v>81</v>
      </c>
      <c r="S1760" s="31" t="s">
        <v>273</v>
      </c>
      <c r="T1760" s="31" t="s">
        <v>273</v>
      </c>
      <c r="U1760" s="31">
        <f>IFERROR(VLOOKUP(CONCATENATE(Tabla1[[#This Row],[Severidad]]," ",Tabla1[[#This Row],[Complejidad]]),Catalogos!E$120:G$128,3,FALSE),"")</f>
        <v>64</v>
      </c>
      <c r="V1760" s="31" t="str">
        <f>IF(Tabla1[[#This Row],[Tiempo solución max (hrs)]]&lt;&gt;"",IF(Tabla1[[#This Row],[Tiempo solución max (hrs)]]&gt;=Tabla1[[#This Row],[Tiempo
(Hrs 00/100)]],"cumple","no cumple"),"")</f>
        <v>cumple</v>
      </c>
      <c r="W1760" s="376" t="s">
        <v>2418</v>
      </c>
      <c r="X1760" s="611" t="str">
        <f t="shared" si="173"/>
        <v>SAW</v>
      </c>
      <c r="Y1760" s="612" t="str">
        <f>SUBSTITUTE(Tabla1[[#This Row],[Descripción]],CHAR(10),"    I    ")</f>
        <v>actualizacion observador RTA</v>
      </c>
      <c r="Z1760" s="613">
        <f>VLOOKUP(Tabla1[[#This Row],[Perfil]],Catalogos!$B$75:$D$100,3,FALSE)*Tabla1[[#This Row],[Tiempo
(Hrs 00/100)]]*1.16</f>
        <v>580</v>
      </c>
    </row>
    <row r="1761" spans="1:26" ht="15" customHeight="1" x14ac:dyDescent="0.3">
      <c r="A1761" s="373" t="s">
        <v>22</v>
      </c>
      <c r="B1761" s="184" t="s">
        <v>68</v>
      </c>
      <c r="C1761" s="183" t="s">
        <v>16</v>
      </c>
      <c r="D1761" s="373"/>
      <c r="E1761" s="386" t="s">
        <v>503</v>
      </c>
      <c r="F1761" s="373" t="s">
        <v>75</v>
      </c>
      <c r="G1761" s="370" t="s">
        <v>2624</v>
      </c>
      <c r="H1761" s="387" t="s">
        <v>436</v>
      </c>
      <c r="I1761" s="538" t="s">
        <v>2625</v>
      </c>
      <c r="J1761" s="712">
        <v>45194</v>
      </c>
      <c r="K1761" s="772">
        <v>0.375</v>
      </c>
      <c r="L1761" s="712">
        <v>45194</v>
      </c>
      <c r="M1761" s="772">
        <v>0.54166666666666663</v>
      </c>
      <c r="N1761" s="373">
        <v>4</v>
      </c>
      <c r="O1761" s="184" t="s">
        <v>17</v>
      </c>
      <c r="P1761" s="375" t="s">
        <v>2593</v>
      </c>
      <c r="Q1761" s="179" t="s">
        <v>258</v>
      </c>
      <c r="R1761" s="621" t="s">
        <v>81</v>
      </c>
      <c r="S1761" s="31" t="s">
        <v>273</v>
      </c>
      <c r="T1761" s="31" t="s">
        <v>273</v>
      </c>
      <c r="U1761" s="31">
        <f>IFERROR(VLOOKUP(CONCATENATE(Tabla1[[#This Row],[Severidad]]," ",Tabla1[[#This Row],[Complejidad]]),Catalogos!E$120:G$128,3,FALSE),"")</f>
        <v>64</v>
      </c>
      <c r="V1761" s="31" t="str">
        <f>IF(Tabla1[[#This Row],[Tiempo solución max (hrs)]]&lt;&gt;"",IF(Tabla1[[#This Row],[Tiempo solución max (hrs)]]&gt;=Tabla1[[#This Row],[Tiempo
(Hrs 00/100)]],"cumple","no cumple"),"")</f>
        <v>cumple</v>
      </c>
      <c r="W1761" s="376" t="s">
        <v>2418</v>
      </c>
      <c r="X1761" s="611" t="str">
        <f t="shared" si="173"/>
        <v>SAW</v>
      </c>
      <c r="Y1761" s="612" t="str">
        <f>SUBSTITUTE(Tabla1[[#This Row],[Descripción]],CHAR(10),"    I    ")</f>
        <v>actualizacion socios de cooperacion RTA</v>
      </c>
      <c r="Z1761" s="613">
        <f>VLOOKUP(Tabla1[[#This Row],[Perfil]],Catalogos!$B$75:$D$100,3,FALSE)*Tabla1[[#This Row],[Tiempo
(Hrs 00/100)]]*1.16</f>
        <v>2320</v>
      </c>
    </row>
    <row r="1762" spans="1:26" ht="15" customHeight="1" x14ac:dyDescent="0.3">
      <c r="A1762" s="373" t="s">
        <v>22</v>
      </c>
      <c r="B1762" s="184" t="s">
        <v>68</v>
      </c>
      <c r="C1762" s="183" t="s">
        <v>16</v>
      </c>
      <c r="D1762" s="373"/>
      <c r="E1762" s="386" t="s">
        <v>503</v>
      </c>
      <c r="F1762" s="373" t="s">
        <v>75</v>
      </c>
      <c r="G1762" s="370" t="s">
        <v>2626</v>
      </c>
      <c r="H1762" s="387" t="s">
        <v>436</v>
      </c>
      <c r="I1762" s="538" t="s">
        <v>2611</v>
      </c>
      <c r="J1762" s="712">
        <v>45194</v>
      </c>
      <c r="K1762" s="772">
        <v>0.54166666666666663</v>
      </c>
      <c r="L1762" s="712">
        <v>45194</v>
      </c>
      <c r="M1762" s="772">
        <v>0.60416666666666663</v>
      </c>
      <c r="N1762" s="373">
        <v>1.5</v>
      </c>
      <c r="O1762" s="184" t="s">
        <v>17</v>
      </c>
      <c r="P1762" s="375" t="s">
        <v>2542</v>
      </c>
      <c r="Q1762" s="179" t="s">
        <v>258</v>
      </c>
      <c r="R1762" s="621" t="s">
        <v>81</v>
      </c>
      <c r="S1762" s="31" t="s">
        <v>273</v>
      </c>
      <c r="T1762" s="31" t="s">
        <v>273</v>
      </c>
      <c r="U1762" s="31">
        <f>IFERROR(VLOOKUP(CONCATENATE(Tabla1[[#This Row],[Severidad]]," ",Tabla1[[#This Row],[Complejidad]]),Catalogos!E$120:G$128,3,FALSE),"")</f>
        <v>64</v>
      </c>
      <c r="V1762" s="31" t="str">
        <f>IF(Tabla1[[#This Row],[Tiempo solución max (hrs)]]&lt;&gt;"",IF(Tabla1[[#This Row],[Tiempo solución max (hrs)]]&gt;=Tabla1[[#This Row],[Tiempo
(Hrs 00/100)]],"cumple","no cumple"),"")</f>
        <v>cumple</v>
      </c>
      <c r="W1762" s="376" t="s">
        <v>2418</v>
      </c>
      <c r="X1762" s="611" t="str">
        <f t="shared" ref="X1762:X1788" si="174">IF(C1762&lt;&gt;"",C1762,D1762)</f>
        <v>SAW</v>
      </c>
      <c r="Y1762" s="612" t="str">
        <f>SUBSTITUTE(Tabla1[[#This Row],[Descripción]],CHAR(10),"    I    ")</f>
        <v xml:space="preserve">actualizacion CIT </v>
      </c>
      <c r="Z1762" s="613">
        <f>VLOOKUP(Tabla1[[#This Row],[Perfil]],Catalogos!$B$75:$D$100,3,FALSE)*Tabla1[[#This Row],[Tiempo
(Hrs 00/100)]]*1.16</f>
        <v>869.99999999999989</v>
      </c>
    </row>
    <row r="1763" spans="1:26" ht="15" customHeight="1" x14ac:dyDescent="0.3">
      <c r="A1763" s="373" t="s">
        <v>22</v>
      </c>
      <c r="B1763" s="184" t="s">
        <v>68</v>
      </c>
      <c r="C1763" s="183" t="s">
        <v>16</v>
      </c>
      <c r="D1763" s="373"/>
      <c r="E1763" s="386" t="s">
        <v>503</v>
      </c>
      <c r="F1763" s="373" t="s">
        <v>75</v>
      </c>
      <c r="G1763" s="370" t="s">
        <v>2627</v>
      </c>
      <c r="H1763" s="387" t="s">
        <v>436</v>
      </c>
      <c r="I1763" s="538" t="s">
        <v>2589</v>
      </c>
      <c r="J1763" s="712">
        <v>45194</v>
      </c>
      <c r="K1763" s="772">
        <v>0.66666666666666663</v>
      </c>
      <c r="L1763" s="712">
        <v>45194</v>
      </c>
      <c r="M1763" s="772">
        <v>0.79166666666666663</v>
      </c>
      <c r="N1763" s="373">
        <v>3</v>
      </c>
      <c r="O1763" s="184" t="s">
        <v>17</v>
      </c>
      <c r="P1763" s="375" t="s">
        <v>2542</v>
      </c>
      <c r="Q1763" s="179" t="s">
        <v>258</v>
      </c>
      <c r="R1763" s="621" t="s">
        <v>81</v>
      </c>
      <c r="S1763" s="31" t="s">
        <v>273</v>
      </c>
      <c r="T1763" s="31" t="s">
        <v>273</v>
      </c>
      <c r="U1763" s="31">
        <f>IFERROR(VLOOKUP(CONCATENATE(Tabla1[[#This Row],[Severidad]]," ",Tabla1[[#This Row],[Complejidad]]),Catalogos!E$120:G$128,3,FALSE),"")</f>
        <v>64</v>
      </c>
      <c r="V1763" s="31" t="str">
        <f>IF(Tabla1[[#This Row],[Tiempo solución max (hrs)]]&lt;&gt;"",IF(Tabla1[[#This Row],[Tiempo solución max (hrs)]]&gt;=Tabla1[[#This Row],[Tiempo
(Hrs 00/100)]],"cumple","no cumple"),"")</f>
        <v>cumple</v>
      </c>
      <c r="W1763" s="376" t="s">
        <v>2418</v>
      </c>
      <c r="X1763" s="611" t="str">
        <f t="shared" si="174"/>
        <v>SAW</v>
      </c>
      <c r="Y1763" s="612" t="str">
        <f>SUBSTITUTE(Tabla1[[#This Row],[Descripción]],CHAR(10),"    I    ")</f>
        <v xml:space="preserve">actualizacion miembros adherentes </v>
      </c>
      <c r="Z1763" s="613">
        <f>VLOOKUP(Tabla1[[#This Row],[Perfil]],Catalogos!$B$75:$D$100,3,FALSE)*Tabla1[[#This Row],[Tiempo
(Hrs 00/100)]]*1.16</f>
        <v>1739.9999999999998</v>
      </c>
    </row>
    <row r="1764" spans="1:26" ht="15" customHeight="1" x14ac:dyDescent="0.3">
      <c r="A1764" s="373" t="s">
        <v>22</v>
      </c>
      <c r="B1764" s="184" t="s">
        <v>68</v>
      </c>
      <c r="C1764" s="183" t="s">
        <v>16</v>
      </c>
      <c r="D1764" s="373"/>
      <c r="E1764" s="386" t="s">
        <v>503</v>
      </c>
      <c r="F1764" s="373" t="s">
        <v>75</v>
      </c>
      <c r="G1764" s="370" t="s">
        <v>2628</v>
      </c>
      <c r="H1764" s="387" t="s">
        <v>436</v>
      </c>
      <c r="I1764" s="620" t="s">
        <v>2370</v>
      </c>
      <c r="J1764" s="712">
        <v>45195</v>
      </c>
      <c r="K1764" s="772">
        <v>0.375</v>
      </c>
      <c r="L1764" s="712">
        <v>45195</v>
      </c>
      <c r="M1764" s="772">
        <v>0.52083333333333337</v>
      </c>
      <c r="N1764" s="373">
        <v>3.5</v>
      </c>
      <c r="O1764" s="184" t="s">
        <v>17</v>
      </c>
      <c r="P1764" s="375" t="s">
        <v>2542</v>
      </c>
      <c r="Q1764" s="179" t="s">
        <v>258</v>
      </c>
      <c r="R1764" s="621" t="s">
        <v>81</v>
      </c>
      <c r="S1764" s="31" t="s">
        <v>273</v>
      </c>
      <c r="T1764" s="31" t="s">
        <v>273</v>
      </c>
      <c r="U1764" s="31">
        <f>IFERROR(VLOOKUP(CONCATENATE(Tabla1[[#This Row],[Severidad]]," ",Tabla1[[#This Row],[Complejidad]]),Catalogos!E$120:G$128,3,FALSE),"")</f>
        <v>64</v>
      </c>
      <c r="V1764" s="31" t="str">
        <f>IF(Tabla1[[#This Row],[Tiempo solución max (hrs)]]&lt;&gt;"",IF(Tabla1[[#This Row],[Tiempo solución max (hrs)]]&gt;=Tabla1[[#This Row],[Tiempo
(Hrs 00/100)]],"cumple","no cumple"),"")</f>
        <v>cumple</v>
      </c>
      <c r="W1764" s="376" t="s">
        <v>2418</v>
      </c>
      <c r="X1764" s="611" t="str">
        <f t="shared" si="174"/>
        <v>SAW</v>
      </c>
      <c r="Y1764" s="612" t="str">
        <f>SUBSTITUTE(Tabla1[[#This Row],[Descripción]],CHAR(10),"    I    ")</f>
        <v xml:space="preserve">Actualizacion plataforma </v>
      </c>
      <c r="Z1764" s="613">
        <f>VLOOKUP(Tabla1[[#This Row],[Perfil]],Catalogos!$B$75:$D$100,3,FALSE)*Tabla1[[#This Row],[Tiempo
(Hrs 00/100)]]*1.16</f>
        <v>2029.9999999999998</v>
      </c>
    </row>
    <row r="1765" spans="1:26" ht="15" customHeight="1" x14ac:dyDescent="0.3">
      <c r="A1765" s="373" t="s">
        <v>22</v>
      </c>
      <c r="B1765" s="184" t="s">
        <v>68</v>
      </c>
      <c r="C1765" s="183" t="s">
        <v>16</v>
      </c>
      <c r="D1765" s="373"/>
      <c r="E1765" s="386" t="s">
        <v>503</v>
      </c>
      <c r="F1765" s="373" t="s">
        <v>75</v>
      </c>
      <c r="G1765" s="370" t="s">
        <v>2629</v>
      </c>
      <c r="H1765" s="387" t="s">
        <v>436</v>
      </c>
      <c r="I1765" s="538" t="s">
        <v>2592</v>
      </c>
      <c r="J1765" s="712">
        <v>45195</v>
      </c>
      <c r="K1765" s="772">
        <v>0.52083333333333337</v>
      </c>
      <c r="L1765" s="712">
        <v>45195</v>
      </c>
      <c r="M1765" s="772">
        <v>0.60416666666666663</v>
      </c>
      <c r="N1765" s="373">
        <v>2</v>
      </c>
      <c r="O1765" s="184" t="s">
        <v>17</v>
      </c>
      <c r="P1765" s="375" t="s">
        <v>2542</v>
      </c>
      <c r="Q1765" s="179" t="s">
        <v>258</v>
      </c>
      <c r="R1765" s="621" t="s">
        <v>81</v>
      </c>
      <c r="S1765" s="31" t="s">
        <v>273</v>
      </c>
      <c r="T1765" s="31" t="s">
        <v>273</v>
      </c>
      <c r="U1765" s="31">
        <f>IFERROR(VLOOKUP(CONCATENATE(Tabla1[[#This Row],[Severidad]]," ",Tabla1[[#This Row],[Complejidad]]),Catalogos!E$120:G$128,3,FALSE),"")</f>
        <v>64</v>
      </c>
      <c r="V1765" s="31" t="str">
        <f>IF(Tabla1[[#This Row],[Tiempo solución max (hrs)]]&lt;&gt;"",IF(Tabla1[[#This Row],[Tiempo solución max (hrs)]]&gt;=Tabla1[[#This Row],[Tiempo
(Hrs 00/100)]],"cumple","no cumple"),"")</f>
        <v>cumple</v>
      </c>
      <c r="W1765" s="376" t="s">
        <v>2418</v>
      </c>
      <c r="X1765" s="611" t="str">
        <f t="shared" si="174"/>
        <v>SAW</v>
      </c>
      <c r="Y1765" s="612" t="str">
        <f>SUBSTITUTE(Tabla1[[#This Row],[Descripción]],CHAR(10),"    I    ")</f>
        <v xml:space="preserve">actualizacion observador </v>
      </c>
      <c r="Z1765" s="613">
        <f>VLOOKUP(Tabla1[[#This Row],[Perfil]],Catalogos!$B$75:$D$100,3,FALSE)*Tabla1[[#This Row],[Tiempo
(Hrs 00/100)]]*1.16</f>
        <v>1160</v>
      </c>
    </row>
    <row r="1766" spans="1:26" ht="15" customHeight="1" x14ac:dyDescent="0.3">
      <c r="A1766" s="373" t="s">
        <v>22</v>
      </c>
      <c r="B1766" s="184" t="s">
        <v>68</v>
      </c>
      <c r="C1766" s="183" t="s">
        <v>16</v>
      </c>
      <c r="D1766" s="373"/>
      <c r="E1766" s="386" t="s">
        <v>503</v>
      </c>
      <c r="F1766" s="373" t="s">
        <v>75</v>
      </c>
      <c r="G1766" s="370" t="s">
        <v>2630</v>
      </c>
      <c r="H1766" s="387" t="s">
        <v>436</v>
      </c>
      <c r="I1766" s="538" t="s">
        <v>2595</v>
      </c>
      <c r="J1766" s="712">
        <v>45195</v>
      </c>
      <c r="K1766" s="772">
        <v>0.66666666666666663</v>
      </c>
      <c r="L1766" s="712">
        <v>45195</v>
      </c>
      <c r="M1766" s="772">
        <v>0.79166666666666663</v>
      </c>
      <c r="N1766" s="373">
        <v>3</v>
      </c>
      <c r="O1766" s="184" t="s">
        <v>17</v>
      </c>
      <c r="P1766" s="375" t="s">
        <v>2542</v>
      </c>
      <c r="Q1766" s="179" t="s">
        <v>258</v>
      </c>
      <c r="R1766" s="621" t="s">
        <v>81</v>
      </c>
      <c r="S1766" s="31" t="s">
        <v>273</v>
      </c>
      <c r="T1766" s="31" t="s">
        <v>273</v>
      </c>
      <c r="U1766" s="31">
        <f>IFERROR(VLOOKUP(CONCATENATE(Tabla1[[#This Row],[Severidad]]," ",Tabla1[[#This Row],[Complejidad]]),Catalogos!E$120:G$128,3,FALSE),"")</f>
        <v>64</v>
      </c>
      <c r="V1766" s="31" t="str">
        <f>IF(Tabla1[[#This Row],[Tiempo solución max (hrs)]]&lt;&gt;"",IF(Tabla1[[#This Row],[Tiempo solución max (hrs)]]&gt;=Tabla1[[#This Row],[Tiempo
(Hrs 00/100)]],"cumple","no cumple"),"")</f>
        <v>cumple</v>
      </c>
      <c r="W1766" s="376" t="s">
        <v>2418</v>
      </c>
      <c r="X1766" s="611" t="str">
        <f t="shared" si="174"/>
        <v>SAW</v>
      </c>
      <c r="Y1766" s="612" t="str">
        <f>SUBSTITUTE(Tabla1[[#This Row],[Descripción]],CHAR(10),"    I    ")</f>
        <v>actualizacion socios de cooperacion</v>
      </c>
      <c r="Z1766" s="613">
        <f>VLOOKUP(Tabla1[[#This Row],[Perfil]],Catalogos!$B$75:$D$100,3,FALSE)*Tabla1[[#This Row],[Tiempo
(Hrs 00/100)]]*1.16</f>
        <v>1739.9999999999998</v>
      </c>
    </row>
    <row r="1767" spans="1:26" ht="15" customHeight="1" x14ac:dyDescent="0.3">
      <c r="A1767" s="373" t="s">
        <v>22</v>
      </c>
      <c r="B1767" s="184" t="s">
        <v>68</v>
      </c>
      <c r="C1767" s="183" t="s">
        <v>16</v>
      </c>
      <c r="D1767" s="373"/>
      <c r="E1767" s="386" t="s">
        <v>503</v>
      </c>
      <c r="F1767" s="373" t="s">
        <v>75</v>
      </c>
      <c r="G1767" s="370" t="s">
        <v>2631</v>
      </c>
      <c r="H1767" s="387" t="s">
        <v>436</v>
      </c>
      <c r="I1767" s="178" t="s">
        <v>2547</v>
      </c>
      <c r="J1767" s="712">
        <v>45196</v>
      </c>
      <c r="K1767" s="772">
        <v>0.375</v>
      </c>
      <c r="L1767" s="712">
        <v>45196</v>
      </c>
      <c r="M1767" s="772">
        <v>0.47916666666666669</v>
      </c>
      <c r="N1767" s="373">
        <v>2.5</v>
      </c>
      <c r="O1767" s="184" t="s">
        <v>17</v>
      </c>
      <c r="P1767" s="375" t="s">
        <v>2542</v>
      </c>
      <c r="Q1767" s="179" t="s">
        <v>258</v>
      </c>
      <c r="R1767" s="621" t="s">
        <v>81</v>
      </c>
      <c r="S1767" s="31" t="s">
        <v>273</v>
      </c>
      <c r="T1767" s="31" t="s">
        <v>273</v>
      </c>
      <c r="U1767" s="31">
        <f>IFERROR(VLOOKUP(CONCATENATE(Tabla1[[#This Row],[Severidad]]," ",Tabla1[[#This Row],[Complejidad]]),Catalogos!E$120:G$128,3,FALSE),"")</f>
        <v>64</v>
      </c>
      <c r="V1767" s="31" t="str">
        <f>IF(Tabla1[[#This Row],[Tiempo solución max (hrs)]]&lt;&gt;"",IF(Tabla1[[#This Row],[Tiempo solución max (hrs)]]&gt;=Tabla1[[#This Row],[Tiempo
(Hrs 00/100)]],"cumple","no cumple"),"")</f>
        <v>cumple</v>
      </c>
      <c r="W1767" s="376" t="s">
        <v>2418</v>
      </c>
      <c r="X1767" s="611" t="str">
        <f t="shared" si="174"/>
        <v>SAW</v>
      </c>
      <c r="Y1767" s="612" t="str">
        <f>SUBSTITUTE(Tabla1[[#This Row],[Descripción]],CHAR(10),"    I    ")</f>
        <v xml:space="preserve">actualizacion cierre registro  </v>
      </c>
      <c r="Z1767" s="613">
        <f>VLOOKUP(Tabla1[[#This Row],[Perfil]],Catalogos!$B$75:$D$100,3,FALSE)*Tabla1[[#This Row],[Tiempo
(Hrs 00/100)]]*1.16</f>
        <v>1450</v>
      </c>
    </row>
    <row r="1768" spans="1:26" ht="15" customHeight="1" x14ac:dyDescent="0.3">
      <c r="A1768" s="373" t="s">
        <v>22</v>
      </c>
      <c r="B1768" s="184" t="s">
        <v>68</v>
      </c>
      <c r="C1768" s="183" t="s">
        <v>16</v>
      </c>
      <c r="D1768" s="373"/>
      <c r="E1768" s="386" t="s">
        <v>503</v>
      </c>
      <c r="F1768" s="373" t="s">
        <v>75</v>
      </c>
      <c r="G1768" s="370" t="s">
        <v>2632</v>
      </c>
      <c r="H1768" s="387" t="s">
        <v>436</v>
      </c>
      <c r="I1768" s="178" t="s">
        <v>2549</v>
      </c>
      <c r="J1768" s="712">
        <v>45196</v>
      </c>
      <c r="K1768" s="772">
        <v>0.97916666666666663</v>
      </c>
      <c r="L1768" s="712">
        <v>45196</v>
      </c>
      <c r="M1768" s="772">
        <v>0.60416666666666663</v>
      </c>
      <c r="N1768" s="373">
        <v>3</v>
      </c>
      <c r="O1768" s="184" t="s">
        <v>17</v>
      </c>
      <c r="P1768" s="375" t="s">
        <v>2542</v>
      </c>
      <c r="Q1768" s="179" t="s">
        <v>258</v>
      </c>
      <c r="R1768" s="621" t="s">
        <v>81</v>
      </c>
      <c r="S1768" s="31" t="s">
        <v>273</v>
      </c>
      <c r="T1768" s="31" t="s">
        <v>273</v>
      </c>
      <c r="U1768" s="31">
        <f>IFERROR(VLOOKUP(CONCATENATE(Tabla1[[#This Row],[Severidad]]," ",Tabla1[[#This Row],[Complejidad]]),Catalogos!E$120:G$128,3,FALSE),"")</f>
        <v>64</v>
      </c>
      <c r="V1768" s="31" t="str">
        <f>IF(Tabla1[[#This Row],[Tiempo solución max (hrs)]]&lt;&gt;"",IF(Tabla1[[#This Row],[Tiempo solución max (hrs)]]&gt;=Tabla1[[#This Row],[Tiempo
(Hrs 00/100)]],"cumple","no cumple"),"")</f>
        <v>cumple</v>
      </c>
      <c r="W1768" s="376" t="s">
        <v>2418</v>
      </c>
      <c r="X1768" s="611" t="str">
        <f t="shared" si="174"/>
        <v>SAW</v>
      </c>
      <c r="Y1768" s="612" t="str">
        <f>SUBSTITUTE(Tabla1[[#This Row],[Descripción]],CHAR(10),"    I    ")</f>
        <v>actualizacion acceso de usuarios</v>
      </c>
      <c r="Z1768" s="613">
        <f>VLOOKUP(Tabla1[[#This Row],[Perfil]],Catalogos!$B$75:$D$100,3,FALSE)*Tabla1[[#This Row],[Tiempo
(Hrs 00/100)]]*1.16</f>
        <v>1739.9999999999998</v>
      </c>
    </row>
    <row r="1769" spans="1:26" ht="15" customHeight="1" x14ac:dyDescent="0.3">
      <c r="A1769" s="373" t="s">
        <v>22</v>
      </c>
      <c r="B1769" s="184" t="s">
        <v>68</v>
      </c>
      <c r="C1769" s="183" t="s">
        <v>16</v>
      </c>
      <c r="D1769" s="373"/>
      <c r="E1769" s="386" t="s">
        <v>503</v>
      </c>
      <c r="F1769" s="373" t="s">
        <v>75</v>
      </c>
      <c r="G1769" s="370" t="s">
        <v>2633</v>
      </c>
      <c r="H1769" s="387" t="s">
        <v>436</v>
      </c>
      <c r="I1769" s="538" t="s">
        <v>2634</v>
      </c>
      <c r="J1769" s="712">
        <v>45196</v>
      </c>
      <c r="K1769" s="772">
        <v>0.66666666666666663</v>
      </c>
      <c r="L1769" s="712">
        <v>45196</v>
      </c>
      <c r="M1769" s="772">
        <v>0.79166666666666663</v>
      </c>
      <c r="N1769" s="373">
        <v>3</v>
      </c>
      <c r="O1769" s="184" t="s">
        <v>17</v>
      </c>
      <c r="P1769" s="375" t="s">
        <v>2542</v>
      </c>
      <c r="Q1769" s="179" t="s">
        <v>258</v>
      </c>
      <c r="R1769" s="621" t="s">
        <v>81</v>
      </c>
      <c r="S1769" s="31" t="s">
        <v>273</v>
      </c>
      <c r="T1769" s="31" t="s">
        <v>273</v>
      </c>
      <c r="U1769" s="31">
        <f>IFERROR(VLOOKUP(CONCATENATE(Tabla1[[#This Row],[Severidad]]," ",Tabla1[[#This Row],[Complejidad]]),Catalogos!E$120:G$128,3,FALSE),"")</f>
        <v>64</v>
      </c>
      <c r="V1769" s="31" t="str">
        <f>IF(Tabla1[[#This Row],[Tiempo solución max (hrs)]]&lt;&gt;"",IF(Tabla1[[#This Row],[Tiempo solución max (hrs)]]&gt;=Tabla1[[#This Row],[Tiempo
(Hrs 00/100)]],"cumple","no cumple"),"")</f>
        <v>cumple</v>
      </c>
      <c r="W1769" s="376" t="s">
        <v>2418</v>
      </c>
      <c r="X1769" s="611" t="str">
        <f t="shared" si="174"/>
        <v>SAW</v>
      </c>
      <c r="Y1769" s="612" t="str">
        <f>SUBSTITUTE(Tabla1[[#This Row],[Descripción]],CHAR(10),"    I    ")</f>
        <v xml:space="preserve">actualizacion comite de etica </v>
      </c>
      <c r="Z1769" s="613">
        <f>VLOOKUP(Tabla1[[#This Row],[Perfil]],Catalogos!$B$75:$D$100,3,FALSE)*Tabla1[[#This Row],[Tiempo
(Hrs 00/100)]]*1.16</f>
        <v>1739.9999999999998</v>
      </c>
    </row>
    <row r="1770" spans="1:26" ht="15" customHeight="1" x14ac:dyDescent="0.3">
      <c r="A1770" s="373" t="s">
        <v>22</v>
      </c>
      <c r="B1770" s="184" t="s">
        <v>68</v>
      </c>
      <c r="C1770" s="183" t="s">
        <v>16</v>
      </c>
      <c r="D1770" s="373"/>
      <c r="E1770" s="386" t="s">
        <v>503</v>
      </c>
      <c r="F1770" s="373" t="s">
        <v>75</v>
      </c>
      <c r="G1770" s="370" t="s">
        <v>2635</v>
      </c>
      <c r="H1770" s="387" t="s">
        <v>436</v>
      </c>
      <c r="I1770" s="620" t="s">
        <v>1470</v>
      </c>
      <c r="J1770" s="712">
        <v>45197</v>
      </c>
      <c r="K1770" s="772">
        <v>0.375</v>
      </c>
      <c r="L1770" s="712">
        <v>45197</v>
      </c>
      <c r="M1770" s="772">
        <v>0.54166666666666663</v>
      </c>
      <c r="N1770" s="373">
        <v>4</v>
      </c>
      <c r="O1770" s="184" t="s">
        <v>17</v>
      </c>
      <c r="P1770" s="375" t="s">
        <v>2542</v>
      </c>
      <c r="Q1770" s="179" t="s">
        <v>258</v>
      </c>
      <c r="R1770" s="621" t="s">
        <v>81</v>
      </c>
      <c r="S1770" s="31" t="s">
        <v>273</v>
      </c>
      <c r="T1770" s="31" t="s">
        <v>273</v>
      </c>
      <c r="U1770" s="31">
        <f>IFERROR(VLOOKUP(CONCATENATE(Tabla1[[#This Row],[Severidad]]," ",Tabla1[[#This Row],[Complejidad]]),Catalogos!E$120:G$128,3,FALSE),"")</f>
        <v>64</v>
      </c>
      <c r="V1770" s="31" t="str">
        <f>IF(Tabla1[[#This Row],[Tiempo solución max (hrs)]]&lt;&gt;"",IF(Tabla1[[#This Row],[Tiempo solución max (hrs)]]&gt;=Tabla1[[#This Row],[Tiempo
(Hrs 00/100)]],"cumple","no cumple"),"")</f>
        <v>cumple</v>
      </c>
      <c r="W1770" s="376" t="s">
        <v>2418</v>
      </c>
      <c r="X1770" s="611" t="str">
        <f t="shared" si="174"/>
        <v>SAW</v>
      </c>
      <c r="Y1770" s="612" t="str">
        <f>SUBSTITUTE(Tabla1[[#This Row],[Descripción]],CHAR(10),"    I    ")</f>
        <v xml:space="preserve">Actualizacion Requerimiento de aplicaciones web </v>
      </c>
      <c r="Z1770" s="613">
        <f>VLOOKUP(Tabla1[[#This Row],[Perfil]],Catalogos!$B$75:$D$100,3,FALSE)*Tabla1[[#This Row],[Tiempo
(Hrs 00/100)]]*1.16</f>
        <v>2320</v>
      </c>
    </row>
    <row r="1771" spans="1:26" ht="15" customHeight="1" x14ac:dyDescent="0.3">
      <c r="A1771" s="373" t="s">
        <v>22</v>
      </c>
      <c r="B1771" s="184" t="s">
        <v>68</v>
      </c>
      <c r="C1771" s="183" t="s">
        <v>16</v>
      </c>
      <c r="D1771" s="373"/>
      <c r="E1771" s="386" t="s">
        <v>503</v>
      </c>
      <c r="F1771" s="373" t="s">
        <v>75</v>
      </c>
      <c r="G1771" s="370" t="s">
        <v>2636</v>
      </c>
      <c r="H1771" s="387" t="s">
        <v>436</v>
      </c>
      <c r="I1771" s="538" t="s">
        <v>1202</v>
      </c>
      <c r="J1771" s="712">
        <v>45197</v>
      </c>
      <c r="K1771" s="772">
        <v>0.54166666666666663</v>
      </c>
      <c r="L1771" s="712">
        <v>45197</v>
      </c>
      <c r="M1771" s="772">
        <v>0.60416666666666663</v>
      </c>
      <c r="N1771" s="373">
        <v>1.5</v>
      </c>
      <c r="O1771" s="184" t="s">
        <v>17</v>
      </c>
      <c r="P1771" s="375" t="s">
        <v>2542</v>
      </c>
      <c r="Q1771" s="179" t="s">
        <v>258</v>
      </c>
      <c r="R1771" s="621" t="s">
        <v>81</v>
      </c>
      <c r="S1771" s="31" t="s">
        <v>273</v>
      </c>
      <c r="T1771" s="31" t="s">
        <v>273</v>
      </c>
      <c r="U1771" s="31">
        <f>IFERROR(VLOOKUP(CONCATENATE(Tabla1[[#This Row],[Severidad]]," ",Tabla1[[#This Row],[Complejidad]]),Catalogos!E$120:G$128,3,FALSE),"")</f>
        <v>64</v>
      </c>
      <c r="V1771" s="31" t="str">
        <f>IF(Tabla1[[#This Row],[Tiempo solución max (hrs)]]&lt;&gt;"",IF(Tabla1[[#This Row],[Tiempo solución max (hrs)]]&gt;=Tabla1[[#This Row],[Tiempo
(Hrs 00/100)]],"cumple","no cumple"),"")</f>
        <v>cumple</v>
      </c>
      <c r="W1771" s="376" t="s">
        <v>2418</v>
      </c>
      <c r="X1771" s="611" t="str">
        <f t="shared" si="174"/>
        <v>SAW</v>
      </c>
      <c r="Y1771" s="612" t="str">
        <f>SUBSTITUTE(Tabla1[[#This Row],[Descripción]],CHAR(10),"    I    ")</f>
        <v xml:space="preserve">actualizacion de avance de proyectos </v>
      </c>
      <c r="Z1771" s="613">
        <f>VLOOKUP(Tabla1[[#This Row],[Perfil]],Catalogos!$B$75:$D$100,3,FALSE)*Tabla1[[#This Row],[Tiempo
(Hrs 00/100)]]*1.16</f>
        <v>869.99999999999989</v>
      </c>
    </row>
    <row r="1772" spans="1:26" ht="15" customHeight="1" x14ac:dyDescent="0.3">
      <c r="A1772" s="373" t="s">
        <v>22</v>
      </c>
      <c r="B1772" s="184" t="s">
        <v>68</v>
      </c>
      <c r="C1772" s="183" t="s">
        <v>16</v>
      </c>
      <c r="D1772" s="373"/>
      <c r="E1772" s="386" t="s">
        <v>503</v>
      </c>
      <c r="F1772" s="373" t="s">
        <v>75</v>
      </c>
      <c r="G1772" s="370" t="s">
        <v>2637</v>
      </c>
      <c r="H1772" s="387" t="s">
        <v>436</v>
      </c>
      <c r="I1772" s="620" t="s">
        <v>2370</v>
      </c>
      <c r="J1772" s="712">
        <v>45197</v>
      </c>
      <c r="K1772" s="772">
        <v>0.66666666666666663</v>
      </c>
      <c r="L1772" s="712">
        <v>45197</v>
      </c>
      <c r="M1772" s="772">
        <v>0.79166666666666663</v>
      </c>
      <c r="N1772" s="373">
        <v>3</v>
      </c>
      <c r="O1772" s="184" t="s">
        <v>17</v>
      </c>
      <c r="P1772" s="375" t="s">
        <v>2542</v>
      </c>
      <c r="Q1772" s="179" t="s">
        <v>258</v>
      </c>
      <c r="R1772" s="621" t="s">
        <v>81</v>
      </c>
      <c r="S1772" s="31" t="s">
        <v>273</v>
      </c>
      <c r="T1772" s="31" t="s">
        <v>273</v>
      </c>
      <c r="U1772" s="31">
        <f>IFERROR(VLOOKUP(CONCATENATE(Tabla1[[#This Row],[Severidad]]," ",Tabla1[[#This Row],[Complejidad]]),Catalogos!E$120:G$128,3,FALSE),"")</f>
        <v>64</v>
      </c>
      <c r="V1772" s="31" t="str">
        <f>IF(Tabla1[[#This Row],[Tiempo solución max (hrs)]]&lt;&gt;"",IF(Tabla1[[#This Row],[Tiempo solución max (hrs)]]&gt;=Tabla1[[#This Row],[Tiempo
(Hrs 00/100)]],"cumple","no cumple"),"")</f>
        <v>cumple</v>
      </c>
      <c r="W1772" s="376" t="s">
        <v>2418</v>
      </c>
      <c r="X1772" s="611" t="str">
        <f t="shared" si="174"/>
        <v>SAW</v>
      </c>
      <c r="Y1772" s="612" t="str">
        <f>SUBSTITUTE(Tabla1[[#This Row],[Descripción]],CHAR(10),"    I    ")</f>
        <v xml:space="preserve">Actualizacion plataforma </v>
      </c>
      <c r="Z1772" s="613">
        <f>VLOOKUP(Tabla1[[#This Row],[Perfil]],Catalogos!$B$75:$D$100,3,FALSE)*Tabla1[[#This Row],[Tiempo
(Hrs 00/100)]]*1.16</f>
        <v>1739.9999999999998</v>
      </c>
    </row>
    <row r="1773" spans="1:26" ht="15" customHeight="1" x14ac:dyDescent="0.3">
      <c r="A1773" s="373" t="s">
        <v>22</v>
      </c>
      <c r="B1773" s="184" t="s">
        <v>68</v>
      </c>
      <c r="C1773" s="183" t="s">
        <v>16</v>
      </c>
      <c r="D1773" s="373"/>
      <c r="E1773" s="386" t="s">
        <v>503</v>
      </c>
      <c r="F1773" s="373" t="s">
        <v>75</v>
      </c>
      <c r="G1773" s="370" t="s">
        <v>2638</v>
      </c>
      <c r="H1773" s="387" t="s">
        <v>436</v>
      </c>
      <c r="I1773" s="538" t="s">
        <v>2574</v>
      </c>
      <c r="J1773" s="712">
        <v>45198</v>
      </c>
      <c r="K1773" s="772">
        <v>0.375</v>
      </c>
      <c r="L1773" s="712">
        <v>45198</v>
      </c>
      <c r="M1773" s="772">
        <v>0.45833333333333331</v>
      </c>
      <c r="N1773" s="373">
        <v>2</v>
      </c>
      <c r="O1773" s="184" t="s">
        <v>17</v>
      </c>
      <c r="P1773" s="375" t="s">
        <v>2575</v>
      </c>
      <c r="Q1773" s="179" t="s">
        <v>258</v>
      </c>
      <c r="R1773" s="621" t="s">
        <v>81</v>
      </c>
      <c r="S1773" s="31" t="s">
        <v>273</v>
      </c>
      <c r="T1773" s="31" t="s">
        <v>273</v>
      </c>
      <c r="U1773" s="31">
        <f>IFERROR(VLOOKUP(CONCATENATE(Tabla1[[#This Row],[Severidad]]," ",Tabla1[[#This Row],[Complejidad]]),Catalogos!E$120:G$128,3,FALSE),"")</f>
        <v>64</v>
      </c>
      <c r="V1773" s="31" t="str">
        <f>IF(Tabla1[[#This Row],[Tiempo solución max (hrs)]]&lt;&gt;"",IF(Tabla1[[#This Row],[Tiempo solución max (hrs)]]&gt;=Tabla1[[#This Row],[Tiempo
(Hrs 00/100)]],"cumple","no cumple"),"")</f>
        <v>cumple</v>
      </c>
      <c r="W1773" s="376" t="s">
        <v>2418</v>
      </c>
      <c r="X1773" s="611" t="str">
        <f t="shared" si="174"/>
        <v>SAW</v>
      </c>
      <c r="Y1773" s="612" t="str">
        <f>SUBSTITUTE(Tabla1[[#This Row],[Descripción]],CHAR(10),"    I    ")</f>
        <v xml:space="preserve">actualizacion sociedad y transparencia </v>
      </c>
      <c r="Z1773" s="613">
        <f>VLOOKUP(Tabla1[[#This Row],[Perfil]],Catalogos!$B$75:$D$100,3,FALSE)*Tabla1[[#This Row],[Tiempo
(Hrs 00/100)]]*1.16</f>
        <v>1160</v>
      </c>
    </row>
    <row r="1774" spans="1:26" ht="15" customHeight="1" x14ac:dyDescent="0.3">
      <c r="A1774" s="373" t="s">
        <v>22</v>
      </c>
      <c r="B1774" s="184" t="s">
        <v>68</v>
      </c>
      <c r="C1774" s="183" t="s">
        <v>16</v>
      </c>
      <c r="D1774" s="373"/>
      <c r="E1774" s="386" t="s">
        <v>503</v>
      </c>
      <c r="F1774" s="373" t="s">
        <v>75</v>
      </c>
      <c r="G1774" s="370" t="s">
        <v>2639</v>
      </c>
      <c r="H1774" s="387" t="s">
        <v>436</v>
      </c>
      <c r="I1774" s="620" t="s">
        <v>2370</v>
      </c>
      <c r="J1774" s="712">
        <v>45198</v>
      </c>
      <c r="K1774" s="772">
        <v>0.45833333333333331</v>
      </c>
      <c r="L1774" s="712">
        <v>45198</v>
      </c>
      <c r="M1774" s="772">
        <v>0.54166666666666663</v>
      </c>
      <c r="N1774" s="373">
        <v>2</v>
      </c>
      <c r="O1774" s="184" t="s">
        <v>17</v>
      </c>
      <c r="P1774" s="375" t="s">
        <v>2542</v>
      </c>
      <c r="Q1774" s="179" t="s">
        <v>258</v>
      </c>
      <c r="R1774" s="621" t="s">
        <v>81</v>
      </c>
      <c r="S1774" s="31" t="s">
        <v>273</v>
      </c>
      <c r="T1774" s="31" t="s">
        <v>273</v>
      </c>
      <c r="U1774" s="31">
        <f>IFERROR(VLOOKUP(CONCATENATE(Tabla1[[#This Row],[Severidad]]," ",Tabla1[[#This Row],[Complejidad]]),Catalogos!E$120:G$128,3,FALSE),"")</f>
        <v>64</v>
      </c>
      <c r="V1774" s="31" t="str">
        <f>IF(Tabla1[[#This Row],[Tiempo solución max (hrs)]]&lt;&gt;"",IF(Tabla1[[#This Row],[Tiempo solución max (hrs)]]&gt;=Tabla1[[#This Row],[Tiempo
(Hrs 00/100)]],"cumple","no cumple"),"")</f>
        <v>cumple</v>
      </c>
      <c r="W1774" s="376" t="s">
        <v>2418</v>
      </c>
      <c r="X1774" s="611" t="str">
        <f t="shared" si="174"/>
        <v>SAW</v>
      </c>
      <c r="Y1774" s="612" t="str">
        <f>SUBSTITUTE(Tabla1[[#This Row],[Descripción]],CHAR(10),"    I    ")</f>
        <v xml:space="preserve">Actualizacion plataforma </v>
      </c>
      <c r="Z1774" s="613">
        <f>VLOOKUP(Tabla1[[#This Row],[Perfil]],Catalogos!$B$75:$D$100,3,FALSE)*Tabla1[[#This Row],[Tiempo
(Hrs 00/100)]]*1.16</f>
        <v>1160</v>
      </c>
    </row>
    <row r="1775" spans="1:26" ht="15" customHeight="1" x14ac:dyDescent="0.3">
      <c r="A1775" s="373" t="s">
        <v>22</v>
      </c>
      <c r="B1775" s="184" t="s">
        <v>68</v>
      </c>
      <c r="C1775" s="183" t="s">
        <v>16</v>
      </c>
      <c r="D1775" s="373"/>
      <c r="E1775" s="386" t="s">
        <v>503</v>
      </c>
      <c r="F1775" s="373" t="s">
        <v>75</v>
      </c>
      <c r="G1775" s="370" t="s">
        <v>2640</v>
      </c>
      <c r="H1775" s="387" t="s">
        <v>436</v>
      </c>
      <c r="I1775" s="620" t="s">
        <v>2641</v>
      </c>
      <c r="J1775" s="712">
        <v>45198</v>
      </c>
      <c r="K1775" s="772">
        <v>0.54166666666666663</v>
      </c>
      <c r="L1775" s="712">
        <v>45198</v>
      </c>
      <c r="M1775" s="772">
        <v>0.625</v>
      </c>
      <c r="N1775" s="373">
        <v>2</v>
      </c>
      <c r="O1775" s="184" t="s">
        <v>17</v>
      </c>
      <c r="P1775" s="375" t="s">
        <v>2542</v>
      </c>
      <c r="Q1775" s="179" t="s">
        <v>258</v>
      </c>
      <c r="R1775" s="621" t="s">
        <v>81</v>
      </c>
      <c r="S1775" s="31" t="s">
        <v>273</v>
      </c>
      <c r="T1775" s="31" t="s">
        <v>273</v>
      </c>
      <c r="U1775" s="31">
        <f>IFERROR(VLOOKUP(CONCATENATE(Tabla1[[#This Row],[Severidad]]," ",Tabla1[[#This Row],[Complejidad]]),Catalogos!E$120:G$128,3,FALSE),"")</f>
        <v>64</v>
      </c>
      <c r="V1775" s="31" t="str">
        <f>IF(Tabla1[[#This Row],[Tiempo solución max (hrs)]]&lt;&gt;"",IF(Tabla1[[#This Row],[Tiempo solución max (hrs)]]&gt;=Tabla1[[#This Row],[Tiempo
(Hrs 00/100)]],"cumple","no cumple"),"")</f>
        <v>cumple</v>
      </c>
      <c r="W1775" s="376" t="s">
        <v>2418</v>
      </c>
      <c r="X1775" s="611" t="str">
        <f t="shared" si="174"/>
        <v>SAW</v>
      </c>
      <c r="Y1775" s="612" t="str">
        <f>SUBSTITUTE(Tabla1[[#This Row],[Descripción]],CHAR(10),"    I    ")</f>
        <v xml:space="preserve">Actualizacion de aplicaciones web </v>
      </c>
      <c r="Z1775" s="613">
        <f>VLOOKUP(Tabla1[[#This Row],[Perfil]],Catalogos!$B$75:$D$100,3,FALSE)*Tabla1[[#This Row],[Tiempo
(Hrs 00/100)]]*1.16</f>
        <v>1160</v>
      </c>
    </row>
    <row r="1776" spans="1:26" ht="15" customHeight="1" x14ac:dyDescent="0.3">
      <c r="A1776" s="373" t="s">
        <v>2642</v>
      </c>
      <c r="B1776" s="373" t="s">
        <v>61</v>
      </c>
      <c r="C1776" s="373" t="s">
        <v>2643</v>
      </c>
      <c r="D1776" s="373"/>
      <c r="E1776" s="373" t="s">
        <v>2644</v>
      </c>
      <c r="F1776" s="184" t="s">
        <v>72</v>
      </c>
      <c r="G1776" s="622" t="s">
        <v>2750</v>
      </c>
      <c r="H1776" s="538" t="s">
        <v>2646</v>
      </c>
      <c r="I1776" s="538" t="s">
        <v>2647</v>
      </c>
      <c r="J1776" s="729">
        <v>45173</v>
      </c>
      <c r="K1776" s="772">
        <v>0.375</v>
      </c>
      <c r="L1776" s="729">
        <v>45173</v>
      </c>
      <c r="M1776" s="772">
        <v>0.54166666666666663</v>
      </c>
      <c r="N1776" s="373">
        <v>4</v>
      </c>
      <c r="O1776" s="184" t="s">
        <v>17</v>
      </c>
      <c r="P1776" s="623" t="s">
        <v>2648</v>
      </c>
      <c r="Q1776" s="179" t="s">
        <v>2649</v>
      </c>
      <c r="R1776" s="624" t="s">
        <v>2650</v>
      </c>
      <c r="S1776" s="31" t="s">
        <v>273</v>
      </c>
      <c r="T1776" s="31" t="s">
        <v>273</v>
      </c>
      <c r="U1776" s="31">
        <f>IFERROR(VLOOKUP(CONCATENATE(Tabla1[[#This Row],[Severidad]]," ",Tabla1[[#This Row],[Complejidad]]),Catalogos!E$120:G$128,3,FALSE),"")</f>
        <v>64</v>
      </c>
      <c r="V1776" s="31" t="str">
        <f>IF(Tabla1[[#This Row],[Tiempo solución max (hrs)]]&lt;&gt;"",IF(Tabla1[[#This Row],[Tiempo solución max (hrs)]]&gt;=Tabla1[[#This Row],[Tiempo
(Hrs 00/100)]],"cumple","no cumple"),"")</f>
        <v>cumple</v>
      </c>
      <c r="W1776" s="376" t="s">
        <v>2418</v>
      </c>
      <c r="X1776" s="611" t="str">
        <f t="shared" si="174"/>
        <v>SCI</v>
      </c>
      <c r="Y1776" s="612" t="str">
        <f>SUBSTITUTE(Tabla1[[#This Row],[Descripción]],CHAR(10),"    I    ")</f>
        <v>Correo con el contenido de la orden de trabajo con la cual se trabajará</v>
      </c>
      <c r="Z1776" s="613">
        <f>VLOOKUP(Tabla1[[#This Row],[Perfil]],Catalogos!$B$75:$D$100,3,FALSE)*Tabla1[[#This Row],[Tiempo
(Hrs 00/100)]]*1.16</f>
        <v>2320</v>
      </c>
    </row>
    <row r="1777" spans="1:26" ht="15" customHeight="1" x14ac:dyDescent="0.3">
      <c r="A1777" s="373" t="s">
        <v>2642</v>
      </c>
      <c r="B1777" s="373" t="s">
        <v>61</v>
      </c>
      <c r="C1777" s="373" t="s">
        <v>2643</v>
      </c>
      <c r="D1777" s="373"/>
      <c r="E1777" s="373" t="s">
        <v>2644</v>
      </c>
      <c r="F1777" s="184" t="s">
        <v>72</v>
      </c>
      <c r="G1777" s="622" t="s">
        <v>2751</v>
      </c>
      <c r="H1777" s="538" t="s">
        <v>2652</v>
      </c>
      <c r="I1777" s="538" t="s">
        <v>2653</v>
      </c>
      <c r="J1777" s="729">
        <v>45173</v>
      </c>
      <c r="K1777" s="772">
        <v>0.625</v>
      </c>
      <c r="L1777" s="729">
        <v>45173</v>
      </c>
      <c r="M1777" s="772">
        <v>0.79166666666666663</v>
      </c>
      <c r="N1777" s="373">
        <v>4.5</v>
      </c>
      <c r="O1777" s="184" t="s">
        <v>17</v>
      </c>
      <c r="P1777" s="623" t="s">
        <v>2648</v>
      </c>
      <c r="Q1777" s="179" t="s">
        <v>2649</v>
      </c>
      <c r="R1777" s="624" t="s">
        <v>2650</v>
      </c>
      <c r="S1777" s="31" t="s">
        <v>273</v>
      </c>
      <c r="T1777" s="31" t="s">
        <v>273</v>
      </c>
      <c r="U1777" s="31">
        <f>IFERROR(VLOOKUP(CONCATENATE(Tabla1[[#This Row],[Severidad]]," ",Tabla1[[#This Row],[Complejidad]]),Catalogos!E$120:G$128,3,FALSE),"")</f>
        <v>64</v>
      </c>
      <c r="V1777" s="31" t="str">
        <f>IF(Tabla1[[#This Row],[Tiempo solución max (hrs)]]&lt;&gt;"",IF(Tabla1[[#This Row],[Tiempo solución max (hrs)]]&gt;=Tabla1[[#This Row],[Tiempo
(Hrs 00/100)]],"cumple","no cumple"),"")</f>
        <v>cumple</v>
      </c>
      <c r="W1777" s="376" t="s">
        <v>2418</v>
      </c>
      <c r="X1777" s="611" t="str">
        <f t="shared" si="174"/>
        <v>SCI</v>
      </c>
      <c r="Y1777" s="612" t="str">
        <f>SUBSTITUTE(Tabla1[[#This Row],[Descripción]],CHAR(10),"    I    ")</f>
        <v>Se hace el análisis de la OT para realiza su ejecución</v>
      </c>
      <c r="Z1777" s="613">
        <f>VLOOKUP(Tabla1[[#This Row],[Perfil]],Catalogos!$B$75:$D$100,3,FALSE)*Tabla1[[#This Row],[Tiempo
(Hrs 00/100)]]*1.16</f>
        <v>2610</v>
      </c>
    </row>
    <row r="1778" spans="1:26" ht="15" customHeight="1" x14ac:dyDescent="0.3">
      <c r="A1778" s="373" t="s">
        <v>2642</v>
      </c>
      <c r="B1778" s="373" t="s">
        <v>61</v>
      </c>
      <c r="C1778" s="373" t="s">
        <v>2643</v>
      </c>
      <c r="D1778" s="373"/>
      <c r="E1778" s="373" t="s">
        <v>2644</v>
      </c>
      <c r="F1778" s="184" t="s">
        <v>72</v>
      </c>
      <c r="G1778" s="622" t="s">
        <v>2752</v>
      </c>
      <c r="H1778" s="538" t="s">
        <v>2655</v>
      </c>
      <c r="I1778" s="538" t="s">
        <v>2656</v>
      </c>
      <c r="J1778" s="729">
        <v>45174</v>
      </c>
      <c r="K1778" s="772">
        <v>0.375</v>
      </c>
      <c r="L1778" s="729">
        <v>45174</v>
      </c>
      <c r="M1778" s="772">
        <v>0.54166666666666663</v>
      </c>
      <c r="N1778" s="373">
        <v>4</v>
      </c>
      <c r="O1778" s="184" t="s">
        <v>17</v>
      </c>
      <c r="P1778" s="623" t="s">
        <v>2648</v>
      </c>
      <c r="Q1778" s="179" t="s">
        <v>2649</v>
      </c>
      <c r="R1778" s="624" t="s">
        <v>2650</v>
      </c>
      <c r="S1778" s="31" t="s">
        <v>273</v>
      </c>
      <c r="T1778" s="31" t="s">
        <v>273</v>
      </c>
      <c r="U1778" s="31">
        <f>IFERROR(VLOOKUP(CONCATENATE(Tabla1[[#This Row],[Severidad]]," ",Tabla1[[#This Row],[Complejidad]]),Catalogos!E$120:G$128,3,FALSE),"")</f>
        <v>64</v>
      </c>
      <c r="V1778" s="31" t="str">
        <f>IF(Tabla1[[#This Row],[Tiempo solución max (hrs)]]&lt;&gt;"",IF(Tabla1[[#This Row],[Tiempo solución max (hrs)]]&gt;=Tabla1[[#This Row],[Tiempo
(Hrs 00/100)]],"cumple","no cumple"),"")</f>
        <v>cumple</v>
      </c>
      <c r="W1778" s="376" t="s">
        <v>2418</v>
      </c>
      <c r="X1778" s="611" t="str">
        <f t="shared" si="174"/>
        <v>SCI</v>
      </c>
      <c r="Y1778" s="612" t="str">
        <f>SUBSTITUTE(Tabla1[[#This Row],[Descripción]],CHAR(10),"    I    ")</f>
        <v>Se hace la busqueda de manuales, tutoriales y documentación en general para apredizaje de su funcionamiento</v>
      </c>
      <c r="Z1778" s="613">
        <f>VLOOKUP(Tabla1[[#This Row],[Perfil]],Catalogos!$B$75:$D$100,3,FALSE)*Tabla1[[#This Row],[Tiempo
(Hrs 00/100)]]*1.16</f>
        <v>2320</v>
      </c>
    </row>
    <row r="1779" spans="1:26" ht="15" customHeight="1" x14ac:dyDescent="0.3">
      <c r="A1779" s="373" t="s">
        <v>2642</v>
      </c>
      <c r="B1779" s="373" t="s">
        <v>305</v>
      </c>
      <c r="C1779" s="373" t="s">
        <v>2643</v>
      </c>
      <c r="D1779" s="373"/>
      <c r="E1779" s="373" t="s">
        <v>2644</v>
      </c>
      <c r="F1779" s="184" t="s">
        <v>77</v>
      </c>
      <c r="G1779" s="622" t="s">
        <v>2645</v>
      </c>
      <c r="H1779" s="538" t="s">
        <v>2658</v>
      </c>
      <c r="I1779" s="538" t="s">
        <v>2659</v>
      </c>
      <c r="J1779" s="729">
        <v>45174</v>
      </c>
      <c r="K1779" s="772">
        <v>0.58333333333333337</v>
      </c>
      <c r="L1779" s="729">
        <v>45174</v>
      </c>
      <c r="M1779" s="772">
        <v>0.79166666666666663</v>
      </c>
      <c r="N1779" s="373">
        <v>4.5</v>
      </c>
      <c r="O1779" s="184" t="s">
        <v>17</v>
      </c>
      <c r="P1779" s="623" t="s">
        <v>2648</v>
      </c>
      <c r="Q1779" s="179" t="s">
        <v>2649</v>
      </c>
      <c r="R1779" s="624" t="s">
        <v>2650</v>
      </c>
      <c r="S1779" s="31" t="s">
        <v>273</v>
      </c>
      <c r="T1779" s="31" t="s">
        <v>273</v>
      </c>
      <c r="U1779" s="31">
        <f>IFERROR(VLOOKUP(CONCATENATE(Tabla1[[#This Row],[Severidad]]," ",Tabla1[[#This Row],[Complejidad]]),Catalogos!E$120:G$128,3,FALSE),"")</f>
        <v>64</v>
      </c>
      <c r="V1779" s="31" t="str">
        <f>IF(Tabla1[[#This Row],[Tiempo solución max (hrs)]]&lt;&gt;"",IF(Tabla1[[#This Row],[Tiempo solución max (hrs)]]&gt;=Tabla1[[#This Row],[Tiempo
(Hrs 00/100)]],"cumple","no cumple"),"")</f>
        <v>cumple</v>
      </c>
      <c r="W1779" s="376" t="s">
        <v>2418</v>
      </c>
      <c r="X1779" s="611" t="str">
        <f t="shared" si="174"/>
        <v>SCI</v>
      </c>
      <c r="Y1779" s="612" t="str">
        <f>SUBSTITUTE(Tabla1[[#This Row],[Descripción]],CHAR(10),"    I    ")</f>
        <v>Documentación sobre los formatos utilizados durante las pruebas y documentación con el proceso de pruebas y como se llevan a cabo</v>
      </c>
      <c r="Z1779" s="613">
        <f>VLOOKUP(Tabla1[[#This Row],[Perfil]],Catalogos!$B$75:$D$100,3,FALSE)*Tabla1[[#This Row],[Tiempo
(Hrs 00/100)]]*1.16</f>
        <v>2610</v>
      </c>
    </row>
    <row r="1780" spans="1:26" ht="15" customHeight="1" x14ac:dyDescent="0.3">
      <c r="A1780" s="373" t="s">
        <v>2642</v>
      </c>
      <c r="B1780" s="373" t="s">
        <v>61</v>
      </c>
      <c r="C1780" s="373" t="s">
        <v>2643</v>
      </c>
      <c r="D1780" s="373"/>
      <c r="E1780" s="373" t="s">
        <v>2644</v>
      </c>
      <c r="F1780" s="184" t="s">
        <v>72</v>
      </c>
      <c r="G1780" s="622" t="s">
        <v>2651</v>
      </c>
      <c r="H1780" s="538" t="s">
        <v>2661</v>
      </c>
      <c r="I1780" s="538" t="s">
        <v>2656</v>
      </c>
      <c r="J1780" s="729">
        <v>45175</v>
      </c>
      <c r="K1780" s="772">
        <v>0.375</v>
      </c>
      <c r="L1780" s="729">
        <v>45175</v>
      </c>
      <c r="M1780" s="772">
        <v>0.58333333333333337</v>
      </c>
      <c r="N1780" s="373">
        <v>5</v>
      </c>
      <c r="O1780" s="184" t="s">
        <v>17</v>
      </c>
      <c r="P1780" s="623" t="s">
        <v>2648</v>
      </c>
      <c r="Q1780" s="179" t="s">
        <v>2649</v>
      </c>
      <c r="R1780" s="624" t="s">
        <v>2650</v>
      </c>
      <c r="S1780" s="31" t="s">
        <v>273</v>
      </c>
      <c r="T1780" s="31" t="s">
        <v>273</v>
      </c>
      <c r="U1780" s="31">
        <f>IFERROR(VLOOKUP(CONCATENATE(Tabla1[[#This Row],[Severidad]]," ",Tabla1[[#This Row],[Complejidad]]),Catalogos!E$120:G$128,3,FALSE),"")</f>
        <v>64</v>
      </c>
      <c r="V1780" s="31" t="str">
        <f>IF(Tabla1[[#This Row],[Tiempo solución max (hrs)]]&lt;&gt;"",IF(Tabla1[[#This Row],[Tiempo solución max (hrs)]]&gt;=Tabla1[[#This Row],[Tiempo
(Hrs 00/100)]],"cumple","no cumple"),"")</f>
        <v>cumple</v>
      </c>
      <c r="W1780" s="376" t="s">
        <v>2418</v>
      </c>
      <c r="X1780" s="611" t="str">
        <f t="shared" si="174"/>
        <v>SCI</v>
      </c>
      <c r="Y1780" s="612" t="str">
        <f>SUBSTITUTE(Tabla1[[#This Row],[Descripción]],CHAR(10),"    I    ")</f>
        <v>Se hace la busqueda de manuales, tutoriales y documentación en general para apredizaje de su funcionamiento</v>
      </c>
      <c r="Z1780" s="613">
        <f>VLOOKUP(Tabla1[[#This Row],[Perfil]],Catalogos!$B$75:$D$100,3,FALSE)*Tabla1[[#This Row],[Tiempo
(Hrs 00/100)]]*1.16</f>
        <v>2900</v>
      </c>
    </row>
    <row r="1781" spans="1:26" ht="15" customHeight="1" x14ac:dyDescent="0.3">
      <c r="A1781" s="373" t="s">
        <v>2642</v>
      </c>
      <c r="B1781" s="373" t="s">
        <v>68</v>
      </c>
      <c r="C1781" s="373" t="s">
        <v>2643</v>
      </c>
      <c r="D1781" s="373"/>
      <c r="E1781" s="373" t="s">
        <v>2644</v>
      </c>
      <c r="F1781" s="184" t="s">
        <v>75</v>
      </c>
      <c r="G1781" s="622" t="s">
        <v>2654</v>
      </c>
      <c r="H1781" s="538" t="s">
        <v>2663</v>
      </c>
      <c r="I1781" s="538" t="s">
        <v>2664</v>
      </c>
      <c r="J1781" s="729">
        <v>45175</v>
      </c>
      <c r="K1781" s="772">
        <v>0.625</v>
      </c>
      <c r="L1781" s="729">
        <v>45175</v>
      </c>
      <c r="M1781" s="772">
        <v>0.79166666666666663</v>
      </c>
      <c r="N1781" s="373">
        <v>3.5</v>
      </c>
      <c r="O1781" s="184" t="s">
        <v>17</v>
      </c>
      <c r="P1781" s="623" t="s">
        <v>2648</v>
      </c>
      <c r="Q1781" s="179" t="s">
        <v>2649</v>
      </c>
      <c r="R1781" s="624" t="s">
        <v>2650</v>
      </c>
      <c r="S1781" s="31" t="s">
        <v>273</v>
      </c>
      <c r="T1781" s="31" t="s">
        <v>273</v>
      </c>
      <c r="U1781" s="31">
        <f>IFERROR(VLOOKUP(CONCATENATE(Tabla1[[#This Row],[Severidad]]," ",Tabla1[[#This Row],[Complejidad]]),Catalogos!E$120:G$128,3,FALSE),"")</f>
        <v>64</v>
      </c>
      <c r="V1781" s="31" t="str">
        <f>IF(Tabla1[[#This Row],[Tiempo solución max (hrs)]]&lt;&gt;"",IF(Tabla1[[#This Row],[Tiempo solución max (hrs)]]&gt;=Tabla1[[#This Row],[Tiempo
(Hrs 00/100)]],"cumple","no cumple"),"")</f>
        <v>cumple</v>
      </c>
      <c r="W1781" s="376" t="s">
        <v>2418</v>
      </c>
      <c r="X1781" s="611" t="str">
        <f t="shared" si="174"/>
        <v>SCI</v>
      </c>
      <c r="Y1781" s="612" t="str">
        <f>SUBSTITUTE(Tabla1[[#This Row],[Descripción]],CHAR(10),"    I    ")</f>
        <v>Se da seguimiento de la orden de trabajo en el proceso de pruebas</v>
      </c>
      <c r="Z1781" s="613">
        <f>VLOOKUP(Tabla1[[#This Row],[Perfil]],Catalogos!$B$75:$D$100,3,FALSE)*Tabla1[[#This Row],[Tiempo
(Hrs 00/100)]]*1.16</f>
        <v>2029.9999999999998</v>
      </c>
    </row>
    <row r="1782" spans="1:26" ht="15" customHeight="1" x14ac:dyDescent="0.3">
      <c r="A1782" s="373" t="s">
        <v>2642</v>
      </c>
      <c r="B1782" s="373" t="s">
        <v>63</v>
      </c>
      <c r="C1782" s="373" t="s">
        <v>2643</v>
      </c>
      <c r="D1782" s="373"/>
      <c r="E1782" s="373" t="s">
        <v>2644</v>
      </c>
      <c r="F1782" s="184" t="s">
        <v>74</v>
      </c>
      <c r="G1782" s="622" t="s">
        <v>2657</v>
      </c>
      <c r="H1782" s="538" t="s">
        <v>2666</v>
      </c>
      <c r="I1782" s="538" t="s">
        <v>2667</v>
      </c>
      <c r="J1782" s="729">
        <v>45176</v>
      </c>
      <c r="K1782" s="772">
        <v>0.375</v>
      </c>
      <c r="L1782" s="729">
        <v>45176</v>
      </c>
      <c r="M1782" s="772">
        <v>0.79166666666666663</v>
      </c>
      <c r="N1782" s="373">
        <v>8.5</v>
      </c>
      <c r="O1782" s="184" t="s">
        <v>17</v>
      </c>
      <c r="P1782" s="623" t="s">
        <v>2648</v>
      </c>
      <c r="Q1782" s="179" t="s">
        <v>2649</v>
      </c>
      <c r="R1782" s="624" t="s">
        <v>2650</v>
      </c>
      <c r="S1782" s="31" t="s">
        <v>273</v>
      </c>
      <c r="T1782" s="31" t="s">
        <v>273</v>
      </c>
      <c r="U1782" s="31">
        <f>IFERROR(VLOOKUP(CONCATENATE(Tabla1[[#This Row],[Severidad]]," ",Tabla1[[#This Row],[Complejidad]]),Catalogos!E$120:G$128,3,FALSE),"")</f>
        <v>64</v>
      </c>
      <c r="V1782" s="31" t="str">
        <f>IF(Tabla1[[#This Row],[Tiempo solución max (hrs)]]&lt;&gt;"",IF(Tabla1[[#This Row],[Tiempo solución max (hrs)]]&gt;=Tabla1[[#This Row],[Tiempo
(Hrs 00/100)]],"cumple","no cumple"),"")</f>
        <v>cumple</v>
      </c>
      <c r="W1782" s="376" t="s">
        <v>2418</v>
      </c>
      <c r="X1782" s="611" t="str">
        <f t="shared" si="174"/>
        <v>SCI</v>
      </c>
      <c r="Y1782" s="612" t="str">
        <f>SUBSTITUTE(Tabla1[[#This Row],[Descripción]],CHAR(10),"    I    ")</f>
        <v>se hace la instalación de las paqueterías de la OT para su funcionamiento</v>
      </c>
      <c r="Z1782" s="613">
        <f>VLOOKUP(Tabla1[[#This Row],[Perfil]],Catalogos!$B$75:$D$100,3,FALSE)*Tabla1[[#This Row],[Tiempo
(Hrs 00/100)]]*1.16</f>
        <v>4930</v>
      </c>
    </row>
    <row r="1783" spans="1:26" ht="15" customHeight="1" x14ac:dyDescent="0.3">
      <c r="A1783" s="373" t="s">
        <v>2642</v>
      </c>
      <c r="B1783" s="373" t="s">
        <v>305</v>
      </c>
      <c r="C1783" s="373" t="s">
        <v>2643</v>
      </c>
      <c r="D1783" s="373"/>
      <c r="E1783" s="373" t="s">
        <v>2644</v>
      </c>
      <c r="F1783" s="184" t="s">
        <v>72</v>
      </c>
      <c r="G1783" s="622" t="s">
        <v>2660</v>
      </c>
      <c r="H1783" s="538" t="s">
        <v>2669</v>
      </c>
      <c r="I1783" s="538" t="s">
        <v>2670</v>
      </c>
      <c r="J1783" s="729">
        <v>45177</v>
      </c>
      <c r="K1783" s="772">
        <v>0.375</v>
      </c>
      <c r="L1783" s="729">
        <v>45177</v>
      </c>
      <c r="M1783" s="772">
        <v>0.625</v>
      </c>
      <c r="N1783" s="373">
        <v>6</v>
      </c>
      <c r="O1783" s="184" t="s">
        <v>17</v>
      </c>
      <c r="P1783" s="623" t="s">
        <v>2648</v>
      </c>
      <c r="Q1783" s="179" t="s">
        <v>2649</v>
      </c>
      <c r="R1783" s="624" t="s">
        <v>2650</v>
      </c>
      <c r="S1783" s="31" t="s">
        <v>273</v>
      </c>
      <c r="T1783" s="31" t="s">
        <v>273</v>
      </c>
      <c r="U1783" s="31">
        <f>IFERROR(VLOOKUP(CONCATENATE(Tabla1[[#This Row],[Severidad]]," ",Tabla1[[#This Row],[Complejidad]]),Catalogos!E$120:G$128,3,FALSE),"")</f>
        <v>64</v>
      </c>
      <c r="V1783" s="31" t="str">
        <f>IF(Tabla1[[#This Row],[Tiempo solución max (hrs)]]&lt;&gt;"",IF(Tabla1[[#This Row],[Tiempo solución max (hrs)]]&gt;=Tabla1[[#This Row],[Tiempo
(Hrs 00/100)]],"cumple","no cumple"),"")</f>
        <v>cumple</v>
      </c>
      <c r="W1783" s="376" t="s">
        <v>2418</v>
      </c>
      <c r="X1783" s="611" t="str">
        <f t="shared" si="174"/>
        <v>SCI</v>
      </c>
      <c r="Y1783" s="612" t="str">
        <f>SUBSTITUTE(Tabla1[[#This Row],[Descripción]],CHAR(10),"    I    ")</f>
        <v>Se resuelven todas las dudas y pendientes sobre la OT analizada</v>
      </c>
      <c r="Z1783" s="613">
        <f>VLOOKUP(Tabla1[[#This Row],[Perfil]],Catalogos!$B$75:$D$100,3,FALSE)*Tabla1[[#This Row],[Tiempo
(Hrs 00/100)]]*1.16</f>
        <v>3479.9999999999995</v>
      </c>
    </row>
    <row r="1784" spans="1:26" ht="15" customHeight="1" x14ac:dyDescent="0.3">
      <c r="A1784" s="373" t="s">
        <v>2642</v>
      </c>
      <c r="B1784" s="373" t="s">
        <v>63</v>
      </c>
      <c r="C1784" s="373" t="s">
        <v>2643</v>
      </c>
      <c r="D1784" s="373"/>
      <c r="E1784" s="373" t="s">
        <v>2644</v>
      </c>
      <c r="F1784" s="184" t="s">
        <v>74</v>
      </c>
      <c r="G1784" s="622" t="s">
        <v>2662</v>
      </c>
      <c r="H1784" s="538" t="s">
        <v>2672</v>
      </c>
      <c r="I1784" s="538" t="s">
        <v>2667</v>
      </c>
      <c r="J1784" s="729">
        <v>45180</v>
      </c>
      <c r="K1784" s="772">
        <v>0.375</v>
      </c>
      <c r="L1784" s="729">
        <v>45180</v>
      </c>
      <c r="M1784" s="772">
        <v>0.45833333333333331</v>
      </c>
      <c r="N1784" s="373">
        <v>2</v>
      </c>
      <c r="O1784" s="184" t="s">
        <v>17</v>
      </c>
      <c r="P1784" s="623" t="s">
        <v>2673</v>
      </c>
      <c r="Q1784" s="179" t="s">
        <v>2649</v>
      </c>
      <c r="R1784" s="624" t="s">
        <v>2650</v>
      </c>
      <c r="S1784" s="31" t="s">
        <v>273</v>
      </c>
      <c r="T1784" s="31" t="s">
        <v>273</v>
      </c>
      <c r="U1784" s="31">
        <f>IFERROR(VLOOKUP(CONCATENATE(Tabla1[[#This Row],[Severidad]]," ",Tabla1[[#This Row],[Complejidad]]),Catalogos!E$120:G$128,3,FALSE),"")</f>
        <v>64</v>
      </c>
      <c r="V1784" s="31" t="str">
        <f>IF(Tabla1[[#This Row],[Tiempo solución max (hrs)]]&lt;&gt;"",IF(Tabla1[[#This Row],[Tiempo solución max (hrs)]]&gt;=Tabla1[[#This Row],[Tiempo
(Hrs 00/100)]],"cumple","no cumple"),"")</f>
        <v>cumple</v>
      </c>
      <c r="W1784" s="376" t="s">
        <v>2418</v>
      </c>
      <c r="X1784" s="611" t="str">
        <f t="shared" si="174"/>
        <v>SCI</v>
      </c>
      <c r="Y1784" s="612" t="str">
        <f>SUBSTITUTE(Tabla1[[#This Row],[Descripción]],CHAR(10),"    I    ")</f>
        <v>se hace la instalación de las paqueterías de la OT para su funcionamiento</v>
      </c>
      <c r="Z1784" s="613">
        <f>VLOOKUP(Tabla1[[#This Row],[Perfil]],Catalogos!$B$75:$D$100,3,FALSE)*Tabla1[[#This Row],[Tiempo
(Hrs 00/100)]]*1.16</f>
        <v>1160</v>
      </c>
    </row>
    <row r="1785" spans="1:26" ht="15" customHeight="1" x14ac:dyDescent="0.3">
      <c r="A1785" s="373" t="s">
        <v>2642</v>
      </c>
      <c r="B1785" s="373" t="s">
        <v>63</v>
      </c>
      <c r="C1785" s="373" t="s">
        <v>2643</v>
      </c>
      <c r="D1785" s="373"/>
      <c r="E1785" s="373" t="s">
        <v>2644</v>
      </c>
      <c r="F1785" s="184" t="s">
        <v>23</v>
      </c>
      <c r="G1785" s="622" t="s">
        <v>2665</v>
      </c>
      <c r="H1785" s="538" t="s">
        <v>2675</v>
      </c>
      <c r="I1785" s="538" t="s">
        <v>2676</v>
      </c>
      <c r="J1785" s="729">
        <v>45180</v>
      </c>
      <c r="K1785" s="772">
        <v>0.45833333333333331</v>
      </c>
      <c r="L1785" s="729">
        <v>45180</v>
      </c>
      <c r="M1785" s="772">
        <v>0.79166666666666663</v>
      </c>
      <c r="N1785" s="373">
        <v>6.5</v>
      </c>
      <c r="O1785" s="184" t="s">
        <v>17</v>
      </c>
      <c r="P1785" s="623" t="s">
        <v>2673</v>
      </c>
      <c r="Q1785" s="179" t="s">
        <v>2649</v>
      </c>
      <c r="R1785" s="624" t="s">
        <v>2650</v>
      </c>
      <c r="S1785" s="31" t="s">
        <v>273</v>
      </c>
      <c r="T1785" s="31" t="s">
        <v>273</v>
      </c>
      <c r="U1785" s="31">
        <f>IFERROR(VLOOKUP(CONCATENATE(Tabla1[[#This Row],[Severidad]]," ",Tabla1[[#This Row],[Complejidad]]),Catalogos!E$120:G$128,3,FALSE),"")</f>
        <v>64</v>
      </c>
      <c r="V1785" s="31" t="str">
        <f>IF(Tabla1[[#This Row],[Tiempo solución max (hrs)]]&lt;&gt;"",IF(Tabla1[[#This Row],[Tiempo solución max (hrs)]]&gt;=Tabla1[[#This Row],[Tiempo
(Hrs 00/100)]],"cumple","no cumple"),"")</f>
        <v>cumple</v>
      </c>
      <c r="W1785" s="376" t="s">
        <v>2418</v>
      </c>
      <c r="X1785" s="611" t="str">
        <f t="shared" si="174"/>
        <v>SCI</v>
      </c>
      <c r="Y1785" s="612" t="str">
        <f>SUBSTITUTE(Tabla1[[#This Row],[Descripción]],CHAR(10),"    I    ")</f>
        <v>descarga e instalación de herramienta para su utilización durante las pruebas</v>
      </c>
      <c r="Z1785" s="613">
        <f>VLOOKUP(Tabla1[[#This Row],[Perfil]],Catalogos!$B$75:$D$100,3,FALSE)*Tabla1[[#This Row],[Tiempo
(Hrs 00/100)]]*1.16</f>
        <v>3769.9999999999995</v>
      </c>
    </row>
    <row r="1786" spans="1:26" ht="15" customHeight="1" x14ac:dyDescent="0.3">
      <c r="A1786" s="373" t="s">
        <v>2642</v>
      </c>
      <c r="B1786" s="373" t="s">
        <v>63</v>
      </c>
      <c r="C1786" s="373" t="s">
        <v>2643</v>
      </c>
      <c r="D1786" s="373"/>
      <c r="E1786" s="373" t="s">
        <v>2644</v>
      </c>
      <c r="F1786" s="184" t="s">
        <v>23</v>
      </c>
      <c r="G1786" s="622" t="s">
        <v>2668</v>
      </c>
      <c r="H1786" s="538" t="s">
        <v>2678</v>
      </c>
      <c r="I1786" s="538" t="s">
        <v>2679</v>
      </c>
      <c r="J1786" s="729">
        <v>45181</v>
      </c>
      <c r="K1786" s="772">
        <v>0.375</v>
      </c>
      <c r="L1786" s="729">
        <v>45181</v>
      </c>
      <c r="M1786" s="772">
        <v>0.5</v>
      </c>
      <c r="N1786" s="373">
        <v>3</v>
      </c>
      <c r="O1786" s="184" t="s">
        <v>17</v>
      </c>
      <c r="P1786" s="623" t="s">
        <v>2673</v>
      </c>
      <c r="Q1786" s="179" t="s">
        <v>2649</v>
      </c>
      <c r="R1786" s="624" t="s">
        <v>2650</v>
      </c>
      <c r="S1786" s="31" t="s">
        <v>273</v>
      </c>
      <c r="T1786" s="31" t="s">
        <v>273</v>
      </c>
      <c r="U1786" s="31">
        <f>IFERROR(VLOOKUP(CONCATENATE(Tabla1[[#This Row],[Severidad]]," ",Tabla1[[#This Row],[Complejidad]]),Catalogos!E$120:G$128,3,FALSE),"")</f>
        <v>64</v>
      </c>
      <c r="V1786" s="31" t="str">
        <f>IF(Tabla1[[#This Row],[Tiempo solución max (hrs)]]&lt;&gt;"",IF(Tabla1[[#This Row],[Tiempo solución max (hrs)]]&gt;=Tabla1[[#This Row],[Tiempo
(Hrs 00/100)]],"cumple","no cumple"),"")</f>
        <v>cumple</v>
      </c>
      <c r="W1786" s="376" t="s">
        <v>2418</v>
      </c>
      <c r="X1786" s="611" t="str">
        <f t="shared" si="174"/>
        <v>SCI</v>
      </c>
      <c r="Y1786" s="612" t="str">
        <f>SUBSTITUTE(Tabla1[[#This Row],[Descripción]],CHAR(10),"    I    ")</f>
        <v>Se da de alta la base de datos para el seguimiento de la OT</v>
      </c>
      <c r="Z1786" s="613">
        <f>VLOOKUP(Tabla1[[#This Row],[Perfil]],Catalogos!$B$75:$D$100,3,FALSE)*Tabla1[[#This Row],[Tiempo
(Hrs 00/100)]]*1.16</f>
        <v>1739.9999999999998</v>
      </c>
    </row>
    <row r="1787" spans="1:26" ht="15" customHeight="1" x14ac:dyDescent="0.3">
      <c r="A1787" s="373" t="s">
        <v>2642</v>
      </c>
      <c r="B1787" s="373" t="s">
        <v>21</v>
      </c>
      <c r="C1787" s="373" t="s">
        <v>2643</v>
      </c>
      <c r="D1787" s="373"/>
      <c r="E1787" s="373" t="s">
        <v>2644</v>
      </c>
      <c r="F1787" s="184" t="s">
        <v>75</v>
      </c>
      <c r="G1787" s="622" t="s">
        <v>2671</v>
      </c>
      <c r="H1787" s="538" t="s">
        <v>2681</v>
      </c>
      <c r="I1787" s="538" t="s">
        <v>2682</v>
      </c>
      <c r="J1787" s="729">
        <v>45181</v>
      </c>
      <c r="K1787" s="772">
        <v>0.5</v>
      </c>
      <c r="L1787" s="729">
        <v>45181</v>
      </c>
      <c r="M1787" s="772">
        <v>0.79166666666666663</v>
      </c>
      <c r="N1787" s="373">
        <v>5.5</v>
      </c>
      <c r="O1787" s="184" t="s">
        <v>17</v>
      </c>
      <c r="P1787" s="623" t="s">
        <v>2673</v>
      </c>
      <c r="Q1787" s="179" t="s">
        <v>2649</v>
      </c>
      <c r="R1787" s="624" t="s">
        <v>2650</v>
      </c>
      <c r="S1787" s="31" t="s">
        <v>273</v>
      </c>
      <c r="T1787" s="31" t="s">
        <v>273</v>
      </c>
      <c r="U1787" s="31">
        <f>IFERROR(VLOOKUP(CONCATENATE(Tabla1[[#This Row],[Severidad]]," ",Tabla1[[#This Row],[Complejidad]]),Catalogos!E$120:G$128,3,FALSE),"")</f>
        <v>64</v>
      </c>
      <c r="V1787" s="31" t="str">
        <f>IF(Tabla1[[#This Row],[Tiempo solución max (hrs)]]&lt;&gt;"",IF(Tabla1[[#This Row],[Tiempo solución max (hrs)]]&gt;=Tabla1[[#This Row],[Tiempo
(Hrs 00/100)]],"cumple","no cumple"),"")</f>
        <v>cumple</v>
      </c>
      <c r="W1787" s="376" t="s">
        <v>2418</v>
      </c>
      <c r="X1787" s="611" t="str">
        <f t="shared" si="174"/>
        <v>SCI</v>
      </c>
      <c r="Y1787" s="612" t="str">
        <f>SUBSTITUTE(Tabla1[[#This Row],[Descripción]],CHAR(10),"    I    ")</f>
        <v>Se detectó un tema sobre las versiones de las bases de datos</v>
      </c>
      <c r="Z1787" s="613">
        <f>VLOOKUP(Tabla1[[#This Row],[Perfil]],Catalogos!$B$75:$D$100,3,FALSE)*Tabla1[[#This Row],[Tiempo
(Hrs 00/100)]]*1.16</f>
        <v>3190</v>
      </c>
    </row>
    <row r="1788" spans="1:26" ht="15" customHeight="1" x14ac:dyDescent="0.3">
      <c r="A1788" s="373" t="s">
        <v>2642</v>
      </c>
      <c r="B1788" s="373" t="s">
        <v>305</v>
      </c>
      <c r="C1788" s="373" t="s">
        <v>2643</v>
      </c>
      <c r="D1788" s="373"/>
      <c r="E1788" s="373" t="s">
        <v>375</v>
      </c>
      <c r="F1788" s="184" t="s">
        <v>72</v>
      </c>
      <c r="G1788" s="622" t="s">
        <v>2674</v>
      </c>
      <c r="H1788" s="538" t="s">
        <v>2684</v>
      </c>
      <c r="I1788" s="538" t="s">
        <v>2647</v>
      </c>
      <c r="J1788" s="729">
        <v>45182</v>
      </c>
      <c r="K1788" s="772">
        <v>0.375</v>
      </c>
      <c r="L1788" s="729">
        <v>45182</v>
      </c>
      <c r="M1788" s="772">
        <v>0.41666666666666669</v>
      </c>
      <c r="N1788" s="373">
        <v>1</v>
      </c>
      <c r="O1788" s="184" t="s">
        <v>17</v>
      </c>
      <c r="P1788" s="623" t="s">
        <v>2673</v>
      </c>
      <c r="Q1788" s="179" t="s">
        <v>2649</v>
      </c>
      <c r="R1788" s="624" t="s">
        <v>2650</v>
      </c>
      <c r="S1788" s="31" t="s">
        <v>273</v>
      </c>
      <c r="T1788" s="31" t="s">
        <v>273</v>
      </c>
      <c r="U1788" s="31">
        <f>IFERROR(VLOOKUP(CONCATENATE(Tabla1[[#This Row],[Severidad]]," ",Tabla1[[#This Row],[Complejidad]]),Catalogos!E$120:G$128,3,FALSE),"")</f>
        <v>64</v>
      </c>
      <c r="V1788" s="31" t="str">
        <f>IF(Tabla1[[#This Row],[Tiempo solución max (hrs)]]&lt;&gt;"",IF(Tabla1[[#This Row],[Tiempo solución max (hrs)]]&gt;=Tabla1[[#This Row],[Tiempo
(Hrs 00/100)]],"cumple","no cumple"),"")</f>
        <v>cumple</v>
      </c>
      <c r="W1788" s="376" t="s">
        <v>2418</v>
      </c>
      <c r="X1788" s="611" t="str">
        <f t="shared" si="174"/>
        <v>SCI</v>
      </c>
      <c r="Y1788" s="612" t="str">
        <f>SUBSTITUTE(Tabla1[[#This Row],[Descripción]],CHAR(10),"    I    ")</f>
        <v>Correo con el contenido de la orden de trabajo con la cual se trabajará</v>
      </c>
      <c r="Z1788" s="613">
        <f>VLOOKUP(Tabla1[[#This Row],[Perfil]],Catalogos!$B$75:$D$100,3,FALSE)*Tabla1[[#This Row],[Tiempo
(Hrs 00/100)]]*1.16</f>
        <v>580</v>
      </c>
    </row>
    <row r="1789" spans="1:26" ht="15" customHeight="1" x14ac:dyDescent="0.3">
      <c r="A1789" s="373" t="s">
        <v>2642</v>
      </c>
      <c r="B1789" s="373" t="s">
        <v>63</v>
      </c>
      <c r="C1789" s="373" t="s">
        <v>2643</v>
      </c>
      <c r="D1789" s="373"/>
      <c r="E1789" s="373" t="s">
        <v>375</v>
      </c>
      <c r="F1789" s="184" t="s">
        <v>74</v>
      </c>
      <c r="G1789" s="622" t="s">
        <v>2677</v>
      </c>
      <c r="H1789" s="538" t="s">
        <v>2686</v>
      </c>
      <c r="I1789" s="538" t="s">
        <v>2687</v>
      </c>
      <c r="J1789" s="729">
        <v>45182</v>
      </c>
      <c r="K1789" s="772">
        <v>0.41666666666666669</v>
      </c>
      <c r="L1789" s="729">
        <v>45182</v>
      </c>
      <c r="M1789" s="772">
        <v>0.52083333333333337</v>
      </c>
      <c r="N1789" s="373">
        <v>2.5</v>
      </c>
      <c r="O1789" s="184" t="s">
        <v>17</v>
      </c>
      <c r="P1789" s="623" t="s">
        <v>2673</v>
      </c>
      <c r="Q1789" s="179" t="s">
        <v>2649</v>
      </c>
      <c r="R1789" s="624" t="s">
        <v>2650</v>
      </c>
      <c r="S1789" s="31" t="s">
        <v>273</v>
      </c>
      <c r="T1789" s="31" t="s">
        <v>273</v>
      </c>
      <c r="U1789" s="31">
        <f>IFERROR(VLOOKUP(CONCATENATE(Tabla1[[#This Row],[Severidad]]," ",Tabla1[[#This Row],[Complejidad]]),Catalogos!E$120:G$128,3,FALSE),"")</f>
        <v>64</v>
      </c>
      <c r="V1789" s="31" t="str">
        <f>IF(Tabla1[[#This Row],[Tiempo solución max (hrs)]]&lt;&gt;"",IF(Tabla1[[#This Row],[Tiempo solución max (hrs)]]&gt;=Tabla1[[#This Row],[Tiempo
(Hrs 00/100)]],"cumple","no cumple"),"")</f>
        <v>cumple</v>
      </c>
      <c r="W1789" s="376" t="s">
        <v>2418</v>
      </c>
      <c r="X1789" s="377" t="str">
        <f t="shared" ref="X1789:X1816" si="175">IF(C1789&lt;&gt;"",C1789,D1789)</f>
        <v>SCI</v>
      </c>
      <c r="Y1789" t="str">
        <f>SUBSTITUTE(Tabla1[[#This Row],[Descripción]],CHAR(10),"    I    ")</f>
        <v>seguimiento de la solicitud hecha al equipo de desarrollo para obtener la url faltante en las pruebas</v>
      </c>
      <c r="Z1789" s="142">
        <f>VLOOKUP(Tabla1[[#This Row],[Perfil]],Catalogos!$B$75:$D$100,3,FALSE)*Tabla1[[#This Row],[Tiempo
(Hrs 00/100)]]*1.16</f>
        <v>1450</v>
      </c>
    </row>
    <row r="1790" spans="1:26" ht="15" customHeight="1" x14ac:dyDescent="0.3">
      <c r="A1790" s="373" t="s">
        <v>2642</v>
      </c>
      <c r="B1790" s="373" t="s">
        <v>63</v>
      </c>
      <c r="C1790" s="373" t="s">
        <v>2643</v>
      </c>
      <c r="D1790" s="373"/>
      <c r="E1790" s="373" t="s">
        <v>375</v>
      </c>
      <c r="F1790" s="184" t="s">
        <v>74</v>
      </c>
      <c r="G1790" s="622" t="s">
        <v>2680</v>
      </c>
      <c r="H1790" s="538" t="s">
        <v>2689</v>
      </c>
      <c r="I1790" s="538" t="s">
        <v>2676</v>
      </c>
      <c r="J1790" s="729">
        <v>45182</v>
      </c>
      <c r="K1790" s="772">
        <v>0.52083333333333337</v>
      </c>
      <c r="L1790" s="729">
        <v>45182</v>
      </c>
      <c r="M1790" s="772">
        <v>0.79166666666666663</v>
      </c>
      <c r="N1790" s="373">
        <v>5</v>
      </c>
      <c r="O1790" s="184" t="s">
        <v>17</v>
      </c>
      <c r="P1790" s="623" t="s">
        <v>2673</v>
      </c>
      <c r="Q1790" s="179" t="s">
        <v>2649</v>
      </c>
      <c r="R1790" s="624" t="s">
        <v>2650</v>
      </c>
      <c r="S1790" s="31" t="s">
        <v>273</v>
      </c>
      <c r="T1790" s="31" t="s">
        <v>273</v>
      </c>
      <c r="U1790" s="31">
        <f>IFERROR(VLOOKUP(CONCATENATE(Tabla1[[#This Row],[Severidad]]," ",Tabla1[[#This Row],[Complejidad]]),Catalogos!E$120:G$128,3,FALSE),"")</f>
        <v>64</v>
      </c>
      <c r="V1790" s="31" t="str">
        <f>IF(Tabla1[[#This Row],[Tiempo solución max (hrs)]]&lt;&gt;"",IF(Tabla1[[#This Row],[Tiempo solución max (hrs)]]&gt;=Tabla1[[#This Row],[Tiempo
(Hrs 00/100)]],"cumple","no cumple"),"")</f>
        <v>cumple</v>
      </c>
      <c r="W1790" s="376" t="s">
        <v>2418</v>
      </c>
      <c r="X1790" s="377" t="str">
        <f t="shared" si="175"/>
        <v>SCI</v>
      </c>
      <c r="Y1790" t="str">
        <f>SUBSTITUTE(Tabla1[[#This Row],[Descripción]],CHAR(10),"    I    ")</f>
        <v>descarga e instalación de herramienta para su utilización durante las pruebas</v>
      </c>
      <c r="Z1790" s="142">
        <f>VLOOKUP(Tabla1[[#This Row],[Perfil]],Catalogos!$B$75:$D$100,3,FALSE)*Tabla1[[#This Row],[Tiempo
(Hrs 00/100)]]*1.16</f>
        <v>2900</v>
      </c>
    </row>
    <row r="1791" spans="1:26" ht="15" customHeight="1" x14ac:dyDescent="0.3">
      <c r="A1791" s="373" t="s">
        <v>2642</v>
      </c>
      <c r="B1791" s="373" t="s">
        <v>305</v>
      </c>
      <c r="C1791" s="373" t="s">
        <v>2643</v>
      </c>
      <c r="D1791" s="373"/>
      <c r="E1791" s="373" t="s">
        <v>375</v>
      </c>
      <c r="F1791" s="184" t="s">
        <v>74</v>
      </c>
      <c r="G1791" s="622" t="s">
        <v>2683</v>
      </c>
      <c r="H1791" s="538" t="s">
        <v>2691</v>
      </c>
      <c r="I1791" s="538" t="s">
        <v>2692</v>
      </c>
      <c r="J1791" s="729">
        <v>45183</v>
      </c>
      <c r="K1791" s="772">
        <v>0.375</v>
      </c>
      <c r="L1791" s="729">
        <v>45183</v>
      </c>
      <c r="M1791" s="772">
        <v>0.5</v>
      </c>
      <c r="N1791" s="373">
        <v>3</v>
      </c>
      <c r="O1791" s="184" t="s">
        <v>17</v>
      </c>
      <c r="P1791" s="623" t="s">
        <v>2673</v>
      </c>
      <c r="Q1791" s="179" t="s">
        <v>2649</v>
      </c>
      <c r="R1791" s="624" t="s">
        <v>2650</v>
      </c>
      <c r="S1791" s="31" t="s">
        <v>273</v>
      </c>
      <c r="T1791" s="31" t="s">
        <v>273</v>
      </c>
      <c r="U1791" s="31">
        <f>IFERROR(VLOOKUP(CONCATENATE(Tabla1[[#This Row],[Severidad]]," ",Tabla1[[#This Row],[Complejidad]]),Catalogos!E$120:G$128,3,FALSE),"")</f>
        <v>64</v>
      </c>
      <c r="V1791" s="31" t="str">
        <f>IF(Tabla1[[#This Row],[Tiempo solución max (hrs)]]&lt;&gt;"",IF(Tabla1[[#This Row],[Tiempo solución max (hrs)]]&gt;=Tabla1[[#This Row],[Tiempo
(Hrs 00/100)]],"cumple","no cumple"),"")</f>
        <v>cumple</v>
      </c>
      <c r="W1791" s="376" t="s">
        <v>2418</v>
      </c>
      <c r="X1791" s="377" t="str">
        <f t="shared" si="175"/>
        <v>SCI</v>
      </c>
      <c r="Y1791" t="str">
        <f>SUBSTITUTE(Tabla1[[#This Row],[Descripción]],CHAR(10),"    I    ")</f>
        <v>Se hace la solicitud para dar de alta el usuario miguel.lopez para accesar a los repositorios SVN</v>
      </c>
      <c r="Z1791" s="142">
        <f>VLOOKUP(Tabla1[[#This Row],[Perfil]],Catalogos!$B$75:$D$100,3,FALSE)*Tabla1[[#This Row],[Tiempo
(Hrs 00/100)]]*1.16</f>
        <v>1739.9999999999998</v>
      </c>
    </row>
    <row r="1792" spans="1:26" ht="15" customHeight="1" x14ac:dyDescent="0.3">
      <c r="A1792" s="373" t="s">
        <v>2642</v>
      </c>
      <c r="B1792" s="373" t="s">
        <v>63</v>
      </c>
      <c r="C1792" s="373" t="s">
        <v>2643</v>
      </c>
      <c r="D1792" s="373"/>
      <c r="E1792" s="373" t="s">
        <v>375</v>
      </c>
      <c r="F1792" s="184" t="s">
        <v>74</v>
      </c>
      <c r="G1792" s="622" t="s">
        <v>2685</v>
      </c>
      <c r="H1792" s="538" t="s">
        <v>2694</v>
      </c>
      <c r="I1792" s="538" t="s">
        <v>2676</v>
      </c>
      <c r="J1792" s="729">
        <v>45183</v>
      </c>
      <c r="K1792" s="772">
        <v>0.5</v>
      </c>
      <c r="L1792" s="729">
        <v>45183</v>
      </c>
      <c r="M1792" s="772">
        <v>0.66666666666666663</v>
      </c>
      <c r="N1792" s="373">
        <v>2</v>
      </c>
      <c r="O1792" s="184" t="s">
        <v>17</v>
      </c>
      <c r="P1792" s="623" t="s">
        <v>2673</v>
      </c>
      <c r="Q1792" s="179" t="s">
        <v>2649</v>
      </c>
      <c r="R1792" s="624" t="s">
        <v>2650</v>
      </c>
      <c r="S1792" s="31" t="s">
        <v>273</v>
      </c>
      <c r="T1792" s="31" t="s">
        <v>273</v>
      </c>
      <c r="U1792" s="31">
        <f>IFERROR(VLOOKUP(CONCATENATE(Tabla1[[#This Row],[Severidad]]," ",Tabla1[[#This Row],[Complejidad]]),Catalogos!E$120:G$128,3,FALSE),"")</f>
        <v>64</v>
      </c>
      <c r="V1792" s="31" t="str">
        <f>IF(Tabla1[[#This Row],[Tiempo solución max (hrs)]]&lt;&gt;"",IF(Tabla1[[#This Row],[Tiempo solución max (hrs)]]&gt;=Tabla1[[#This Row],[Tiempo
(Hrs 00/100)]],"cumple","no cumple"),"")</f>
        <v>cumple</v>
      </c>
      <c r="W1792" s="376" t="s">
        <v>2418</v>
      </c>
      <c r="X1792" s="377" t="str">
        <f t="shared" si="175"/>
        <v>SCI</v>
      </c>
      <c r="Y1792" t="str">
        <f>SUBSTITUTE(Tabla1[[#This Row],[Descripción]],CHAR(10),"    I    ")</f>
        <v>descarga e instalación de herramienta para su utilización durante las pruebas</v>
      </c>
      <c r="Z1792" s="142">
        <f>VLOOKUP(Tabla1[[#This Row],[Perfil]],Catalogos!$B$75:$D$100,3,FALSE)*Tabla1[[#This Row],[Tiempo
(Hrs 00/100)]]*1.16</f>
        <v>1160</v>
      </c>
    </row>
    <row r="1793" spans="1:27" ht="15" customHeight="1" x14ac:dyDescent="0.3">
      <c r="A1793" s="373" t="s">
        <v>2642</v>
      </c>
      <c r="B1793" s="373" t="s">
        <v>21</v>
      </c>
      <c r="C1793" s="373" t="s">
        <v>2643</v>
      </c>
      <c r="D1793" s="373"/>
      <c r="E1793" s="373" t="s">
        <v>375</v>
      </c>
      <c r="F1793" s="184" t="s">
        <v>72</v>
      </c>
      <c r="G1793" s="622" t="s">
        <v>2688</v>
      </c>
      <c r="H1793" s="538" t="s">
        <v>2696</v>
      </c>
      <c r="I1793" s="538" t="s">
        <v>2697</v>
      </c>
      <c r="J1793" s="729">
        <v>45183</v>
      </c>
      <c r="K1793" s="772">
        <v>0.66666666666666663</v>
      </c>
      <c r="L1793" s="729">
        <v>45183</v>
      </c>
      <c r="M1793" s="772">
        <v>0.79166666666666663</v>
      </c>
      <c r="N1793" s="373">
        <v>3.5</v>
      </c>
      <c r="O1793" s="184" t="s">
        <v>17</v>
      </c>
      <c r="P1793" s="623" t="s">
        <v>2673</v>
      </c>
      <c r="Q1793" s="179" t="s">
        <v>2649</v>
      </c>
      <c r="R1793" s="624" t="s">
        <v>2650</v>
      </c>
      <c r="S1793" s="31" t="s">
        <v>273</v>
      </c>
      <c r="T1793" s="31" t="s">
        <v>273</v>
      </c>
      <c r="U1793" s="31">
        <f>IFERROR(VLOOKUP(CONCATENATE(Tabla1[[#This Row],[Severidad]]," ",Tabla1[[#This Row],[Complejidad]]),Catalogos!E$120:G$128,3,FALSE),"")</f>
        <v>64</v>
      </c>
      <c r="V1793" s="31" t="str">
        <f>IF(Tabla1[[#This Row],[Tiempo solución max (hrs)]]&lt;&gt;"",IF(Tabla1[[#This Row],[Tiempo solución max (hrs)]]&gt;=Tabla1[[#This Row],[Tiempo
(Hrs 00/100)]],"cumple","no cumple"),"")</f>
        <v>cumple</v>
      </c>
      <c r="W1793" s="376" t="s">
        <v>2418</v>
      </c>
      <c r="X1793" s="377" t="str">
        <f t="shared" si="175"/>
        <v>SCI</v>
      </c>
      <c r="Y1793" t="str">
        <f>SUBSTITUTE(Tabla1[[#This Row],[Descripción]],CHAR(10),"    I    ")</f>
        <v>Se encontró tema sobre la instalación de angular y estos ya fueron resueltos</v>
      </c>
      <c r="Z1793" s="142">
        <f>VLOOKUP(Tabla1[[#This Row],[Perfil]],Catalogos!$B$75:$D$100,3,FALSE)*Tabla1[[#This Row],[Tiempo
(Hrs 00/100)]]*1.16</f>
        <v>2029.9999999999998</v>
      </c>
    </row>
    <row r="1794" spans="1:27" s="35" customFormat="1" ht="15" customHeight="1" x14ac:dyDescent="0.3">
      <c r="A1794" s="373" t="s">
        <v>2642</v>
      </c>
      <c r="B1794" s="373" t="s">
        <v>63</v>
      </c>
      <c r="C1794" s="373" t="s">
        <v>2643</v>
      </c>
      <c r="D1794" s="373"/>
      <c r="E1794" s="373" t="s">
        <v>375</v>
      </c>
      <c r="F1794" s="184" t="s">
        <v>74</v>
      </c>
      <c r="G1794" s="622" t="s">
        <v>2690</v>
      </c>
      <c r="H1794" s="538" t="s">
        <v>2699</v>
      </c>
      <c r="I1794" s="538" t="s">
        <v>2676</v>
      </c>
      <c r="J1794" s="729">
        <v>45184</v>
      </c>
      <c r="K1794" s="772">
        <v>0.375</v>
      </c>
      <c r="L1794" s="729">
        <v>45184</v>
      </c>
      <c r="M1794" s="772">
        <v>0.625</v>
      </c>
      <c r="N1794" s="373">
        <v>6</v>
      </c>
      <c r="O1794" s="184" t="s">
        <v>17</v>
      </c>
      <c r="P1794" s="623" t="s">
        <v>2673</v>
      </c>
      <c r="Q1794" s="179" t="s">
        <v>2649</v>
      </c>
      <c r="R1794" s="624" t="s">
        <v>2650</v>
      </c>
      <c r="S1794" s="31" t="s">
        <v>273</v>
      </c>
      <c r="T1794" s="31" t="s">
        <v>273</v>
      </c>
      <c r="U1794" s="31">
        <f>IFERROR(VLOOKUP(CONCATENATE(Tabla1[[#This Row],[Severidad]]," ",Tabla1[[#This Row],[Complejidad]]),Catalogos!E$120:G$128,3,FALSE),"")</f>
        <v>64</v>
      </c>
      <c r="V1794" s="31" t="str">
        <f>IF(Tabla1[[#This Row],[Tiempo solución max (hrs)]]&lt;&gt;"",IF(Tabla1[[#This Row],[Tiempo solución max (hrs)]]&gt;=Tabla1[[#This Row],[Tiempo
(Hrs 00/100)]],"cumple","no cumple"),"")</f>
        <v>cumple</v>
      </c>
      <c r="W1794" s="376" t="s">
        <v>2418</v>
      </c>
      <c r="X1794" s="377" t="str">
        <f t="shared" si="175"/>
        <v>SCI</v>
      </c>
      <c r="Y1794" t="str">
        <f>SUBSTITUTE(Tabla1[[#This Row],[Descripción]],CHAR(10),"    I    ")</f>
        <v>descarga e instalación de herramienta para su utilización durante las pruebas</v>
      </c>
      <c r="Z1794" s="142">
        <f>VLOOKUP(Tabla1[[#This Row],[Perfil]],Catalogos!$B$75:$D$100,3,FALSE)*Tabla1[[#This Row],[Tiempo
(Hrs 00/100)]]*1.16</f>
        <v>3479.9999999999995</v>
      </c>
      <c r="AA1794"/>
    </row>
    <row r="1795" spans="1:27" ht="15" customHeight="1" x14ac:dyDescent="0.3">
      <c r="A1795" s="373" t="s">
        <v>2642</v>
      </c>
      <c r="B1795" s="373" t="s">
        <v>63</v>
      </c>
      <c r="C1795" s="373" t="s">
        <v>2643</v>
      </c>
      <c r="D1795" s="373"/>
      <c r="E1795" s="373" t="s">
        <v>375</v>
      </c>
      <c r="F1795" s="184" t="s">
        <v>74</v>
      </c>
      <c r="G1795" s="622" t="s">
        <v>2693</v>
      </c>
      <c r="H1795" s="538" t="s">
        <v>2701</v>
      </c>
      <c r="I1795" s="538" t="s">
        <v>2702</v>
      </c>
      <c r="J1795" s="729">
        <v>45187</v>
      </c>
      <c r="K1795" s="772">
        <v>0.375</v>
      </c>
      <c r="L1795" s="729">
        <v>45187</v>
      </c>
      <c r="M1795" s="772">
        <v>0.54166666666666663</v>
      </c>
      <c r="N1795" s="373">
        <v>4</v>
      </c>
      <c r="O1795" s="184" t="s">
        <v>17</v>
      </c>
      <c r="P1795" s="623" t="s">
        <v>2703</v>
      </c>
      <c r="Q1795" s="179" t="s">
        <v>2649</v>
      </c>
      <c r="R1795" s="624" t="s">
        <v>2650</v>
      </c>
      <c r="S1795" s="31" t="s">
        <v>273</v>
      </c>
      <c r="T1795" s="31" t="s">
        <v>273</v>
      </c>
      <c r="U1795" s="31">
        <f>IFERROR(VLOOKUP(CONCATENATE(Tabla1[[#This Row],[Severidad]]," ",Tabla1[[#This Row],[Complejidad]]),Catalogos!E$120:G$128,3,FALSE),"")</f>
        <v>64</v>
      </c>
      <c r="V1795" s="31" t="str">
        <f>IF(Tabla1[[#This Row],[Tiempo solución max (hrs)]]&lt;&gt;"",IF(Tabla1[[#This Row],[Tiempo solución max (hrs)]]&gt;=Tabla1[[#This Row],[Tiempo
(Hrs 00/100)]],"cumple","no cumple"),"")</f>
        <v>cumple</v>
      </c>
      <c r="W1795" s="376" t="s">
        <v>2418</v>
      </c>
      <c r="X1795" s="377" t="str">
        <f t="shared" si="175"/>
        <v>SCI</v>
      </c>
      <c r="Y1795" t="str">
        <f>SUBSTITUTE(Tabla1[[#This Row],[Descripción]],CHAR(10),"    I    ")</f>
        <v>Se da de alta el usuario miguel.lopez para poder ingresar a los repositorios del archivo FRONT</v>
      </c>
      <c r="Z1795" s="142">
        <f>VLOOKUP(Tabla1[[#This Row],[Perfil]],Catalogos!$B$75:$D$100,3,FALSE)*Tabla1[[#This Row],[Tiempo
(Hrs 00/100)]]*1.16</f>
        <v>2320</v>
      </c>
    </row>
    <row r="1796" spans="1:27" ht="15" customHeight="1" x14ac:dyDescent="0.3">
      <c r="A1796" s="373" t="s">
        <v>2642</v>
      </c>
      <c r="B1796" s="373" t="s">
        <v>63</v>
      </c>
      <c r="C1796" s="373" t="s">
        <v>2643</v>
      </c>
      <c r="D1796" s="373"/>
      <c r="E1796" s="373" t="s">
        <v>375</v>
      </c>
      <c r="F1796" s="184" t="s">
        <v>74</v>
      </c>
      <c r="G1796" s="622" t="s">
        <v>2695</v>
      </c>
      <c r="H1796" s="538" t="s">
        <v>2705</v>
      </c>
      <c r="I1796" s="538" t="s">
        <v>2667</v>
      </c>
      <c r="J1796" s="729">
        <v>45187</v>
      </c>
      <c r="K1796" s="772">
        <v>0.625</v>
      </c>
      <c r="L1796" s="729">
        <v>45187</v>
      </c>
      <c r="M1796" s="772">
        <v>0.79166666666666663</v>
      </c>
      <c r="N1796" s="373">
        <v>4.5</v>
      </c>
      <c r="O1796" s="184" t="s">
        <v>17</v>
      </c>
      <c r="P1796" s="623" t="s">
        <v>2703</v>
      </c>
      <c r="Q1796" s="179" t="s">
        <v>2649</v>
      </c>
      <c r="R1796" s="624" t="s">
        <v>2650</v>
      </c>
      <c r="S1796" s="31" t="s">
        <v>273</v>
      </c>
      <c r="T1796" s="31" t="s">
        <v>273</v>
      </c>
      <c r="U1796" s="31">
        <f>IFERROR(VLOOKUP(CONCATENATE(Tabla1[[#This Row],[Severidad]]," ",Tabla1[[#This Row],[Complejidad]]),Catalogos!E$120:G$128,3,FALSE),"")</f>
        <v>64</v>
      </c>
      <c r="V1796" s="31" t="str">
        <f>IF(Tabla1[[#This Row],[Tiempo solución max (hrs)]]&lt;&gt;"",IF(Tabla1[[#This Row],[Tiempo solución max (hrs)]]&gt;=Tabla1[[#This Row],[Tiempo
(Hrs 00/100)]],"cumple","no cumple"),"")</f>
        <v>cumple</v>
      </c>
      <c r="W1796" s="376" t="s">
        <v>2418</v>
      </c>
      <c r="X1796" s="377" t="str">
        <f t="shared" si="175"/>
        <v>SCI</v>
      </c>
      <c r="Y1796" t="str">
        <f>SUBSTITUTE(Tabla1[[#This Row],[Descripción]],CHAR(10),"    I    ")</f>
        <v>se hace la instalación de las paqueterías de la OT para su funcionamiento</v>
      </c>
      <c r="Z1796" s="142">
        <f>VLOOKUP(Tabla1[[#This Row],[Perfil]],Catalogos!$B$75:$D$100,3,FALSE)*Tabla1[[#This Row],[Tiempo
(Hrs 00/100)]]*1.16</f>
        <v>2610</v>
      </c>
    </row>
    <row r="1797" spans="1:27" ht="15" customHeight="1" x14ac:dyDescent="0.3">
      <c r="A1797" s="373" t="s">
        <v>2642</v>
      </c>
      <c r="B1797" s="373" t="s">
        <v>21</v>
      </c>
      <c r="C1797" s="373" t="s">
        <v>2643</v>
      </c>
      <c r="D1797" s="373"/>
      <c r="E1797" s="373" t="s">
        <v>375</v>
      </c>
      <c r="F1797" s="184" t="s">
        <v>72</v>
      </c>
      <c r="G1797" s="622" t="s">
        <v>2698</v>
      </c>
      <c r="H1797" s="538" t="s">
        <v>2707</v>
      </c>
      <c r="I1797" s="538" t="s">
        <v>2708</v>
      </c>
      <c r="J1797" s="729">
        <v>45188</v>
      </c>
      <c r="K1797" s="772">
        <v>0.375</v>
      </c>
      <c r="L1797" s="729">
        <v>45188</v>
      </c>
      <c r="M1797" s="772">
        <v>0.5</v>
      </c>
      <c r="N1797" s="373">
        <v>3</v>
      </c>
      <c r="O1797" s="184" t="s">
        <v>17</v>
      </c>
      <c r="P1797" s="623" t="s">
        <v>2703</v>
      </c>
      <c r="Q1797" s="179" t="s">
        <v>2649</v>
      </c>
      <c r="R1797" s="624" t="s">
        <v>2650</v>
      </c>
      <c r="S1797" s="31" t="s">
        <v>273</v>
      </c>
      <c r="T1797" s="31" t="s">
        <v>273</v>
      </c>
      <c r="U1797" s="31">
        <f>IFERROR(VLOOKUP(CONCATENATE(Tabla1[[#This Row],[Severidad]]," ",Tabla1[[#This Row],[Complejidad]]),Catalogos!E$120:G$128,3,FALSE),"")</f>
        <v>64</v>
      </c>
      <c r="V1797" s="31" t="str">
        <f>IF(Tabla1[[#This Row],[Tiempo solución max (hrs)]]&lt;&gt;"",IF(Tabla1[[#This Row],[Tiempo solución max (hrs)]]&gt;=Tabla1[[#This Row],[Tiempo
(Hrs 00/100)]],"cumple","no cumple"),"")</f>
        <v>cumple</v>
      </c>
      <c r="W1797" s="376" t="s">
        <v>2418</v>
      </c>
      <c r="X1797" s="377" t="str">
        <f t="shared" si="175"/>
        <v>SCI</v>
      </c>
      <c r="Y1797" t="str">
        <f>SUBSTITUTE(Tabla1[[#This Row],[Descripción]],CHAR(10),"    I    ")</f>
        <v>Se hizo el envío de la URL faltante de la solicitud realizada al equipo de desarrollo para poder continuar con las pruebas</v>
      </c>
      <c r="Z1797" s="142">
        <f>VLOOKUP(Tabla1[[#This Row],[Perfil]],Catalogos!$B$75:$D$100,3,FALSE)*Tabla1[[#This Row],[Tiempo
(Hrs 00/100)]]*1.16</f>
        <v>1739.9999999999998</v>
      </c>
    </row>
    <row r="1798" spans="1:27" ht="15" customHeight="1" x14ac:dyDescent="0.3">
      <c r="A1798" s="373" t="s">
        <v>2642</v>
      </c>
      <c r="B1798" s="373" t="s">
        <v>68</v>
      </c>
      <c r="C1798" s="373" t="s">
        <v>2643</v>
      </c>
      <c r="D1798" s="373"/>
      <c r="E1798" s="373" t="s">
        <v>375</v>
      </c>
      <c r="F1798" s="184" t="s">
        <v>23</v>
      </c>
      <c r="G1798" s="622" t="s">
        <v>2700</v>
      </c>
      <c r="H1798" s="538" t="s">
        <v>2710</v>
      </c>
      <c r="I1798" s="538" t="s">
        <v>2667</v>
      </c>
      <c r="J1798" s="729">
        <v>45188</v>
      </c>
      <c r="K1798" s="772">
        <v>0.5</v>
      </c>
      <c r="L1798" s="729">
        <v>45188</v>
      </c>
      <c r="M1798" s="772">
        <v>0.625</v>
      </c>
      <c r="N1798" s="373">
        <v>3</v>
      </c>
      <c r="O1798" s="184" t="s">
        <v>17</v>
      </c>
      <c r="P1798" s="623" t="s">
        <v>2703</v>
      </c>
      <c r="Q1798" s="179" t="s">
        <v>2649</v>
      </c>
      <c r="R1798" s="624" t="s">
        <v>2650</v>
      </c>
      <c r="S1798" s="31" t="s">
        <v>273</v>
      </c>
      <c r="T1798" s="31" t="s">
        <v>273</v>
      </c>
      <c r="U1798" s="31">
        <f>IFERROR(VLOOKUP(CONCATENATE(Tabla1[[#This Row],[Severidad]]," ",Tabla1[[#This Row],[Complejidad]]),Catalogos!E$120:G$128,3,FALSE),"")</f>
        <v>64</v>
      </c>
      <c r="V1798" s="31" t="str">
        <f>IF(Tabla1[[#This Row],[Tiempo solución max (hrs)]]&lt;&gt;"",IF(Tabla1[[#This Row],[Tiempo solución max (hrs)]]&gt;=Tabla1[[#This Row],[Tiempo
(Hrs 00/100)]],"cumple","no cumple"),"")</f>
        <v>cumple</v>
      </c>
      <c r="W1798" s="376" t="s">
        <v>2418</v>
      </c>
      <c r="X1798" s="377" t="str">
        <f t="shared" si="175"/>
        <v>SCI</v>
      </c>
      <c r="Y1798" t="str">
        <f>SUBSTITUTE(Tabla1[[#This Row],[Descripción]],CHAR(10),"    I    ")</f>
        <v>se hace la instalación de las paqueterías de la OT para su funcionamiento</v>
      </c>
      <c r="Z1798" s="142">
        <f>VLOOKUP(Tabla1[[#This Row],[Perfil]],Catalogos!$B$75:$D$100,3,FALSE)*Tabla1[[#This Row],[Tiempo
(Hrs 00/100)]]*1.16</f>
        <v>1739.9999999999998</v>
      </c>
    </row>
    <row r="1799" spans="1:27" ht="15" customHeight="1" x14ac:dyDescent="0.3">
      <c r="A1799" s="373" t="s">
        <v>2642</v>
      </c>
      <c r="B1799" s="373" t="s">
        <v>68</v>
      </c>
      <c r="C1799" s="373" t="s">
        <v>2643</v>
      </c>
      <c r="D1799" s="373"/>
      <c r="E1799" s="373" t="s">
        <v>375</v>
      </c>
      <c r="F1799" s="184" t="s">
        <v>75</v>
      </c>
      <c r="G1799" s="622" t="s">
        <v>2704</v>
      </c>
      <c r="H1799" s="538" t="s">
        <v>2712</v>
      </c>
      <c r="I1799" s="538" t="s">
        <v>2713</v>
      </c>
      <c r="J1799" s="729">
        <v>45188</v>
      </c>
      <c r="K1799" s="772">
        <v>0.66666666666666663</v>
      </c>
      <c r="L1799" s="729">
        <v>45188</v>
      </c>
      <c r="M1799" s="772">
        <v>0.79166666666666663</v>
      </c>
      <c r="N1799" s="373">
        <v>2.5</v>
      </c>
      <c r="O1799" s="184" t="s">
        <v>17</v>
      </c>
      <c r="P1799" s="623" t="s">
        <v>2703</v>
      </c>
      <c r="Q1799" s="179" t="s">
        <v>2649</v>
      </c>
      <c r="R1799" s="624" t="s">
        <v>2650</v>
      </c>
      <c r="S1799" s="31" t="s">
        <v>273</v>
      </c>
      <c r="T1799" s="31" t="s">
        <v>273</v>
      </c>
      <c r="U1799" s="31">
        <f>IFERROR(VLOOKUP(CONCATENATE(Tabla1[[#This Row],[Severidad]]," ",Tabla1[[#This Row],[Complejidad]]),Catalogos!E$120:G$128,3,FALSE),"")</f>
        <v>64</v>
      </c>
      <c r="V1799" s="31" t="str">
        <f>IF(Tabla1[[#This Row],[Tiempo solución max (hrs)]]&lt;&gt;"",IF(Tabla1[[#This Row],[Tiempo solución max (hrs)]]&gt;=Tabla1[[#This Row],[Tiempo
(Hrs 00/100)]],"cumple","no cumple"),"")</f>
        <v>cumple</v>
      </c>
      <c r="W1799" s="376" t="s">
        <v>2418</v>
      </c>
      <c r="X1799" s="377" t="str">
        <f t="shared" si="175"/>
        <v>SCI</v>
      </c>
      <c r="Y1799" t="str">
        <f>SUBSTITUTE(Tabla1[[#This Row],[Descripción]],CHAR(10),"    I    ")</f>
        <v>Registro de evidencias en su formato correspondiente</v>
      </c>
      <c r="Z1799" s="142">
        <f>VLOOKUP(Tabla1[[#This Row],[Perfil]],Catalogos!$B$75:$D$100,3,FALSE)*Tabla1[[#This Row],[Tiempo
(Hrs 00/100)]]*1.16</f>
        <v>1450</v>
      </c>
    </row>
    <row r="1800" spans="1:27" ht="15" customHeight="1" x14ac:dyDescent="0.3">
      <c r="A1800" s="373" t="s">
        <v>2642</v>
      </c>
      <c r="B1800" s="373" t="s">
        <v>21</v>
      </c>
      <c r="C1800" s="373" t="s">
        <v>2643</v>
      </c>
      <c r="D1800" s="373"/>
      <c r="E1800" s="373" t="s">
        <v>2644</v>
      </c>
      <c r="F1800" s="184" t="s">
        <v>75</v>
      </c>
      <c r="G1800" s="622" t="s">
        <v>2706</v>
      </c>
      <c r="H1800" s="538" t="s">
        <v>2715</v>
      </c>
      <c r="I1800" s="538" t="s">
        <v>2716</v>
      </c>
      <c r="J1800" s="729">
        <v>45189</v>
      </c>
      <c r="K1800" s="772">
        <v>0.375</v>
      </c>
      <c r="L1800" s="729">
        <v>45189</v>
      </c>
      <c r="M1800" s="772">
        <v>0.5</v>
      </c>
      <c r="N1800" s="373">
        <v>3</v>
      </c>
      <c r="O1800" s="184" t="s">
        <v>17</v>
      </c>
      <c r="P1800" s="623" t="s">
        <v>2703</v>
      </c>
      <c r="Q1800" s="179" t="s">
        <v>2649</v>
      </c>
      <c r="R1800" s="624" t="s">
        <v>2650</v>
      </c>
      <c r="S1800" s="31" t="s">
        <v>273</v>
      </c>
      <c r="T1800" s="31" t="s">
        <v>273</v>
      </c>
      <c r="U1800" s="31">
        <f>IFERROR(VLOOKUP(CONCATENATE(Tabla1[[#This Row],[Severidad]]," ",Tabla1[[#This Row],[Complejidad]]),Catalogos!E$120:G$128,3,FALSE),"")</f>
        <v>64</v>
      </c>
      <c r="V1800" s="31" t="str">
        <f>IF(Tabla1[[#This Row],[Tiempo solución max (hrs)]]&lt;&gt;"",IF(Tabla1[[#This Row],[Tiempo solución max (hrs)]]&gt;=Tabla1[[#This Row],[Tiempo
(Hrs 00/100)]],"cumple","no cumple"),"")</f>
        <v>cumple</v>
      </c>
      <c r="W1800" s="376" t="s">
        <v>2418</v>
      </c>
      <c r="X1800" s="377" t="str">
        <f t="shared" si="175"/>
        <v>SCI</v>
      </c>
      <c r="Y1800" t="str">
        <f>SUBSTITUTE(Tabla1[[#This Row],[Descripción]],CHAR(10),"    I    ")</f>
        <v>Resolución de la versión de la base de datos ServicioProfesional con la versión correcta de la misma</v>
      </c>
      <c r="Z1800" s="142">
        <f>VLOOKUP(Tabla1[[#This Row],[Perfil]],Catalogos!$B$75:$D$100,3,FALSE)*Tabla1[[#This Row],[Tiempo
(Hrs 00/100)]]*1.16</f>
        <v>1739.9999999999998</v>
      </c>
    </row>
    <row r="1801" spans="1:27" ht="15" customHeight="1" x14ac:dyDescent="0.3">
      <c r="A1801" s="373" t="s">
        <v>2642</v>
      </c>
      <c r="B1801" s="373" t="s">
        <v>68</v>
      </c>
      <c r="C1801" s="373" t="s">
        <v>2643</v>
      </c>
      <c r="D1801" s="373"/>
      <c r="E1801" s="373" t="s">
        <v>2644</v>
      </c>
      <c r="F1801" s="184" t="s">
        <v>75</v>
      </c>
      <c r="G1801" s="622" t="s">
        <v>2709</v>
      </c>
      <c r="H1801" s="538" t="s">
        <v>2718</v>
      </c>
      <c r="I1801" s="538" t="s">
        <v>2719</v>
      </c>
      <c r="J1801" s="729">
        <v>45189</v>
      </c>
      <c r="K1801" s="772">
        <v>0.5</v>
      </c>
      <c r="L1801" s="729">
        <v>45189</v>
      </c>
      <c r="M1801" s="772">
        <v>0.60416666666666663</v>
      </c>
      <c r="N1801" s="373">
        <v>2.5</v>
      </c>
      <c r="O1801" s="184" t="s">
        <v>17</v>
      </c>
      <c r="P1801" s="623" t="s">
        <v>2703</v>
      </c>
      <c r="Q1801" s="179" t="s">
        <v>2649</v>
      </c>
      <c r="R1801" s="624" t="s">
        <v>2650</v>
      </c>
      <c r="S1801" s="31" t="s">
        <v>273</v>
      </c>
      <c r="T1801" s="31" t="s">
        <v>273</v>
      </c>
      <c r="U1801" s="31">
        <f>IFERROR(VLOOKUP(CONCATENATE(Tabla1[[#This Row],[Severidad]]," ",Tabla1[[#This Row],[Complejidad]]),Catalogos!E$120:G$128,3,FALSE),"")</f>
        <v>64</v>
      </c>
      <c r="V1801" s="31" t="str">
        <f>IF(Tabla1[[#This Row],[Tiempo solución max (hrs)]]&lt;&gt;"",IF(Tabla1[[#This Row],[Tiempo solución max (hrs)]]&gt;=Tabla1[[#This Row],[Tiempo
(Hrs 00/100)]],"cumple","no cumple"),"")</f>
        <v>cumple</v>
      </c>
      <c r="W1801" s="376" t="s">
        <v>2418</v>
      </c>
      <c r="X1801" s="377" t="str">
        <f t="shared" si="175"/>
        <v>SCI</v>
      </c>
      <c r="Y1801" t="str">
        <f>SUBSTITUTE(Tabla1[[#This Row],[Descripción]],CHAR(10),"    I    ")</f>
        <v>Se hace la ejecución completa del sitio ServicioProfesional con toda su paquetería y su ejecución en portal</v>
      </c>
      <c r="Z1801" s="142">
        <f>VLOOKUP(Tabla1[[#This Row],[Perfil]],Catalogos!$B$75:$D$100,3,FALSE)*Tabla1[[#This Row],[Tiempo
(Hrs 00/100)]]*1.16</f>
        <v>1450</v>
      </c>
    </row>
    <row r="1802" spans="1:27" ht="15" customHeight="1" x14ac:dyDescent="0.3">
      <c r="A1802" s="373" t="s">
        <v>2642</v>
      </c>
      <c r="B1802" s="373" t="s">
        <v>68</v>
      </c>
      <c r="C1802" s="373" t="s">
        <v>2643</v>
      </c>
      <c r="D1802" s="373"/>
      <c r="E1802" s="373" t="s">
        <v>2644</v>
      </c>
      <c r="F1802" s="184" t="s">
        <v>75</v>
      </c>
      <c r="G1802" s="622" t="s">
        <v>2711</v>
      </c>
      <c r="H1802" s="538" t="s">
        <v>2721</v>
      </c>
      <c r="I1802" s="538" t="s">
        <v>2713</v>
      </c>
      <c r="J1802" s="729">
        <v>45189</v>
      </c>
      <c r="K1802" s="772">
        <v>0.66666666666666663</v>
      </c>
      <c r="L1802" s="729">
        <v>45189</v>
      </c>
      <c r="M1802" s="772">
        <v>0.79166666666666663</v>
      </c>
      <c r="N1802" s="373">
        <v>3</v>
      </c>
      <c r="O1802" s="184" t="s">
        <v>17</v>
      </c>
      <c r="P1802" s="623" t="s">
        <v>2703</v>
      </c>
      <c r="Q1802" s="179" t="s">
        <v>2649</v>
      </c>
      <c r="R1802" s="624" t="s">
        <v>2650</v>
      </c>
      <c r="S1802" s="31" t="s">
        <v>273</v>
      </c>
      <c r="T1802" s="31" t="s">
        <v>273</v>
      </c>
      <c r="U1802" s="31">
        <f>IFERROR(VLOOKUP(CONCATENATE(Tabla1[[#This Row],[Severidad]]," ",Tabla1[[#This Row],[Complejidad]]),Catalogos!E$120:G$128,3,FALSE),"")</f>
        <v>64</v>
      </c>
      <c r="V1802" s="31" t="str">
        <f>IF(Tabla1[[#This Row],[Tiempo solución max (hrs)]]&lt;&gt;"",IF(Tabla1[[#This Row],[Tiempo solución max (hrs)]]&gt;=Tabla1[[#This Row],[Tiempo
(Hrs 00/100)]],"cumple","no cumple"),"")</f>
        <v>cumple</v>
      </c>
      <c r="W1802" s="376" t="s">
        <v>2418</v>
      </c>
      <c r="X1802" s="377" t="str">
        <f t="shared" si="175"/>
        <v>SCI</v>
      </c>
      <c r="Y1802" t="str">
        <f>SUBSTITUTE(Tabla1[[#This Row],[Descripción]],CHAR(10),"    I    ")</f>
        <v>Registro de evidencias en su formato correspondiente</v>
      </c>
      <c r="Z1802" s="142">
        <f>VLOOKUP(Tabla1[[#This Row],[Perfil]],Catalogos!$B$75:$D$100,3,FALSE)*Tabla1[[#This Row],[Tiempo
(Hrs 00/100)]]*1.16</f>
        <v>1739.9999999999998</v>
      </c>
    </row>
    <row r="1803" spans="1:27" ht="15" customHeight="1" x14ac:dyDescent="0.3">
      <c r="A1803" s="373" t="s">
        <v>2642</v>
      </c>
      <c r="B1803" s="373" t="s">
        <v>68</v>
      </c>
      <c r="C1803" s="373" t="s">
        <v>2643</v>
      </c>
      <c r="D1803" s="373"/>
      <c r="E1803" s="373" t="s">
        <v>2644</v>
      </c>
      <c r="F1803" s="184" t="s">
        <v>75</v>
      </c>
      <c r="G1803" s="622" t="s">
        <v>2714</v>
      </c>
      <c r="H1803" s="538" t="s">
        <v>2723</v>
      </c>
      <c r="I1803" s="538" t="s">
        <v>2713</v>
      </c>
      <c r="J1803" s="729">
        <v>45190</v>
      </c>
      <c r="K1803" s="772">
        <v>0.375</v>
      </c>
      <c r="L1803" s="729">
        <v>45190</v>
      </c>
      <c r="M1803" s="772">
        <v>0.60416666666666663</v>
      </c>
      <c r="N1803" s="373">
        <v>5.5</v>
      </c>
      <c r="O1803" s="184" t="s">
        <v>17</v>
      </c>
      <c r="P1803" s="623" t="s">
        <v>2703</v>
      </c>
      <c r="Q1803" s="179" t="s">
        <v>2649</v>
      </c>
      <c r="R1803" s="624" t="s">
        <v>2650</v>
      </c>
      <c r="S1803" s="31" t="s">
        <v>273</v>
      </c>
      <c r="T1803" s="31" t="s">
        <v>273</v>
      </c>
      <c r="U1803" s="31">
        <f>IFERROR(VLOOKUP(CONCATENATE(Tabla1[[#This Row],[Severidad]]," ",Tabla1[[#This Row],[Complejidad]]),Catalogos!E$120:G$128,3,FALSE),"")</f>
        <v>64</v>
      </c>
      <c r="V1803" s="31" t="str">
        <f>IF(Tabla1[[#This Row],[Tiempo solución max (hrs)]]&lt;&gt;"",IF(Tabla1[[#This Row],[Tiempo solución max (hrs)]]&gt;=Tabla1[[#This Row],[Tiempo
(Hrs 00/100)]],"cumple","no cumple"),"")</f>
        <v>cumple</v>
      </c>
      <c r="W1803" s="376" t="s">
        <v>2418</v>
      </c>
      <c r="X1803" s="377" t="str">
        <f t="shared" si="175"/>
        <v>SCI</v>
      </c>
      <c r="Y1803" t="str">
        <f>SUBSTITUTE(Tabla1[[#This Row],[Descripción]],CHAR(10),"    I    ")</f>
        <v>Registro de evidencias en su formato correspondiente</v>
      </c>
      <c r="Z1803" s="142">
        <f>VLOOKUP(Tabla1[[#This Row],[Perfil]],Catalogos!$B$75:$D$100,3,FALSE)*Tabla1[[#This Row],[Tiempo
(Hrs 00/100)]]*1.16</f>
        <v>3190</v>
      </c>
    </row>
    <row r="1804" spans="1:27" ht="15" customHeight="1" x14ac:dyDescent="0.3">
      <c r="A1804" s="373" t="s">
        <v>2642</v>
      </c>
      <c r="B1804" s="373" t="s">
        <v>68</v>
      </c>
      <c r="C1804" s="373" t="s">
        <v>2643</v>
      </c>
      <c r="D1804" s="373"/>
      <c r="E1804" s="373" t="s">
        <v>375</v>
      </c>
      <c r="F1804" s="184" t="s">
        <v>75</v>
      </c>
      <c r="G1804" s="622" t="s">
        <v>2717</v>
      </c>
      <c r="H1804" s="538" t="s">
        <v>2725</v>
      </c>
      <c r="I1804" s="538" t="s">
        <v>2713</v>
      </c>
      <c r="J1804" s="729">
        <v>45190</v>
      </c>
      <c r="K1804" s="772">
        <v>0.66666666666666663</v>
      </c>
      <c r="L1804" s="729">
        <v>45190</v>
      </c>
      <c r="M1804" s="772">
        <v>0.79166666666666663</v>
      </c>
      <c r="N1804" s="373">
        <v>3</v>
      </c>
      <c r="O1804" s="184" t="s">
        <v>17</v>
      </c>
      <c r="P1804" s="623" t="s">
        <v>2703</v>
      </c>
      <c r="Q1804" s="179" t="s">
        <v>2649</v>
      </c>
      <c r="R1804" s="624" t="s">
        <v>2650</v>
      </c>
      <c r="S1804" s="31" t="s">
        <v>273</v>
      </c>
      <c r="T1804" s="31" t="s">
        <v>273</v>
      </c>
      <c r="U1804" s="31">
        <f>IFERROR(VLOOKUP(CONCATENATE(Tabla1[[#This Row],[Severidad]]," ",Tabla1[[#This Row],[Complejidad]]),Catalogos!E$120:G$128,3,FALSE),"")</f>
        <v>64</v>
      </c>
      <c r="V1804" s="31" t="str">
        <f>IF(Tabla1[[#This Row],[Tiempo solución max (hrs)]]&lt;&gt;"",IF(Tabla1[[#This Row],[Tiempo solución max (hrs)]]&gt;=Tabla1[[#This Row],[Tiempo
(Hrs 00/100)]],"cumple","no cumple"),"")</f>
        <v>cumple</v>
      </c>
      <c r="W1804" s="376" t="s">
        <v>2418</v>
      </c>
      <c r="X1804" s="377" t="str">
        <f t="shared" si="175"/>
        <v>SCI</v>
      </c>
      <c r="Y1804" t="str">
        <f>SUBSTITUTE(Tabla1[[#This Row],[Descripción]],CHAR(10),"    I    ")</f>
        <v>Registro de evidencias en su formato correspondiente</v>
      </c>
      <c r="Z1804" s="142">
        <f>VLOOKUP(Tabla1[[#This Row],[Perfil]],Catalogos!$B$75:$D$100,3,FALSE)*Tabla1[[#This Row],[Tiempo
(Hrs 00/100)]]*1.16</f>
        <v>1739.9999999999998</v>
      </c>
    </row>
    <row r="1805" spans="1:27" ht="15" customHeight="1" x14ac:dyDescent="0.3">
      <c r="A1805" s="373" t="s">
        <v>2642</v>
      </c>
      <c r="B1805" s="373" t="s">
        <v>68</v>
      </c>
      <c r="C1805" s="373" t="s">
        <v>2643</v>
      </c>
      <c r="D1805" s="373"/>
      <c r="E1805" s="373" t="s">
        <v>2726</v>
      </c>
      <c r="F1805" s="184" t="s">
        <v>72</v>
      </c>
      <c r="G1805" s="622" t="s">
        <v>2720</v>
      </c>
      <c r="H1805" s="538" t="s">
        <v>2728</v>
      </c>
      <c r="I1805" s="538" t="s">
        <v>2647</v>
      </c>
      <c r="J1805" s="729">
        <v>45191</v>
      </c>
      <c r="K1805" s="772">
        <v>0.375</v>
      </c>
      <c r="L1805" s="729">
        <v>45191</v>
      </c>
      <c r="M1805" s="772">
        <v>0.45833333333333331</v>
      </c>
      <c r="N1805" s="373">
        <v>2</v>
      </c>
      <c r="O1805" s="184" t="s">
        <v>17</v>
      </c>
      <c r="P1805" s="623" t="s">
        <v>2703</v>
      </c>
      <c r="Q1805" s="179" t="s">
        <v>2649</v>
      </c>
      <c r="R1805" s="624" t="s">
        <v>2650</v>
      </c>
      <c r="S1805" s="31" t="s">
        <v>273</v>
      </c>
      <c r="T1805" s="31" t="s">
        <v>273</v>
      </c>
      <c r="U1805" s="31">
        <f>IFERROR(VLOOKUP(CONCATENATE(Tabla1[[#This Row],[Severidad]]," ",Tabla1[[#This Row],[Complejidad]]),Catalogos!E$120:G$128,3,FALSE),"")</f>
        <v>64</v>
      </c>
      <c r="V1805" s="31" t="str">
        <f>IF(Tabla1[[#This Row],[Tiempo solución max (hrs)]]&lt;&gt;"",IF(Tabla1[[#This Row],[Tiempo solución max (hrs)]]&gt;=Tabla1[[#This Row],[Tiempo
(Hrs 00/100)]],"cumple","no cumple"),"")</f>
        <v>cumple</v>
      </c>
      <c r="W1805" s="376" t="s">
        <v>2418</v>
      </c>
      <c r="X1805" s="377" t="str">
        <f t="shared" si="175"/>
        <v>SCI</v>
      </c>
      <c r="Y1805" t="str">
        <f>SUBSTITUTE(Tabla1[[#This Row],[Descripción]],CHAR(10),"    I    ")</f>
        <v>Correo con el contenido de la orden de trabajo con la cual se trabajará</v>
      </c>
      <c r="Z1805" s="142">
        <f>VLOOKUP(Tabla1[[#This Row],[Perfil]],Catalogos!$B$75:$D$100,3,FALSE)*Tabla1[[#This Row],[Tiempo
(Hrs 00/100)]]*1.16</f>
        <v>1160</v>
      </c>
    </row>
    <row r="1806" spans="1:27" ht="15" customHeight="1" x14ac:dyDescent="0.3">
      <c r="A1806" s="373" t="s">
        <v>2642</v>
      </c>
      <c r="B1806" s="373" t="s">
        <v>305</v>
      </c>
      <c r="C1806" s="373" t="s">
        <v>2643</v>
      </c>
      <c r="D1806" s="373"/>
      <c r="E1806" s="373" t="s">
        <v>2726</v>
      </c>
      <c r="F1806" s="184" t="s">
        <v>77</v>
      </c>
      <c r="G1806" s="622" t="s">
        <v>2722</v>
      </c>
      <c r="H1806" s="538" t="s">
        <v>2730</v>
      </c>
      <c r="I1806" s="538" t="s">
        <v>2731</v>
      </c>
      <c r="J1806" s="729">
        <v>45191</v>
      </c>
      <c r="K1806" s="772">
        <v>0.45833333333333331</v>
      </c>
      <c r="L1806" s="729">
        <v>45191</v>
      </c>
      <c r="M1806" s="772">
        <v>0.625</v>
      </c>
      <c r="N1806" s="373">
        <v>4</v>
      </c>
      <c r="O1806" s="184" t="s">
        <v>17</v>
      </c>
      <c r="P1806" s="623" t="s">
        <v>2703</v>
      </c>
      <c r="Q1806" s="179" t="s">
        <v>2649</v>
      </c>
      <c r="R1806" s="624" t="s">
        <v>2650</v>
      </c>
      <c r="S1806" s="31" t="s">
        <v>273</v>
      </c>
      <c r="T1806" s="31" t="s">
        <v>273</v>
      </c>
      <c r="U1806" s="31">
        <f>IFERROR(VLOOKUP(CONCATENATE(Tabla1[[#This Row],[Severidad]]," ",Tabla1[[#This Row],[Complejidad]]),Catalogos!E$120:G$128,3,FALSE),"")</f>
        <v>64</v>
      </c>
      <c r="V1806" s="31" t="str">
        <f>IF(Tabla1[[#This Row],[Tiempo solución max (hrs)]]&lt;&gt;"",IF(Tabla1[[#This Row],[Tiempo solución max (hrs)]]&gt;=Tabla1[[#This Row],[Tiempo
(Hrs 00/100)]],"cumple","no cumple"),"")</f>
        <v>cumple</v>
      </c>
      <c r="W1806" s="376" t="s">
        <v>2418</v>
      </c>
      <c r="X1806" s="377" t="str">
        <f t="shared" si="175"/>
        <v>SCI</v>
      </c>
      <c r="Y1806" t="str">
        <f>SUBSTITUTE(Tabla1[[#This Row],[Descripción]],CHAR(10),"    I    ")</f>
        <v>Registro de evidencias e incidencias sobre los temas encontrados durante su ejecución</v>
      </c>
      <c r="Z1806" s="142">
        <f>VLOOKUP(Tabla1[[#This Row],[Perfil]],Catalogos!$B$75:$D$100,3,FALSE)*Tabla1[[#This Row],[Tiempo
(Hrs 00/100)]]*1.16</f>
        <v>2320</v>
      </c>
    </row>
    <row r="1807" spans="1:27" ht="15" customHeight="1" x14ac:dyDescent="0.3">
      <c r="A1807" s="373" t="s">
        <v>2642</v>
      </c>
      <c r="B1807" s="373" t="s">
        <v>63</v>
      </c>
      <c r="C1807" s="373" t="s">
        <v>2643</v>
      </c>
      <c r="D1807" s="373"/>
      <c r="E1807" s="373" t="s">
        <v>2726</v>
      </c>
      <c r="F1807" s="184" t="s">
        <v>23</v>
      </c>
      <c r="G1807" s="622" t="s">
        <v>2724</v>
      </c>
      <c r="H1807" s="461" t="s">
        <v>2733</v>
      </c>
      <c r="I1807" s="538" t="s">
        <v>2667</v>
      </c>
      <c r="J1807" s="729">
        <v>45194</v>
      </c>
      <c r="K1807" s="772">
        <v>0.375</v>
      </c>
      <c r="L1807" s="729">
        <v>45194</v>
      </c>
      <c r="M1807" s="772">
        <v>0.54166666666666663</v>
      </c>
      <c r="N1807" s="373">
        <v>4</v>
      </c>
      <c r="O1807" s="184" t="s">
        <v>17</v>
      </c>
      <c r="P1807" s="367" t="s">
        <v>2734</v>
      </c>
      <c r="Q1807" s="179" t="s">
        <v>2649</v>
      </c>
      <c r="R1807" s="624" t="s">
        <v>2650</v>
      </c>
      <c r="S1807" s="31" t="s">
        <v>273</v>
      </c>
      <c r="T1807" s="31" t="s">
        <v>273</v>
      </c>
      <c r="U1807" s="31">
        <f>IFERROR(VLOOKUP(CONCATENATE(Tabla1[[#This Row],[Severidad]]," ",Tabla1[[#This Row],[Complejidad]]),Catalogos!E$120:G$128,3,FALSE),"")</f>
        <v>64</v>
      </c>
      <c r="V1807" s="31" t="str">
        <f>IF(Tabla1[[#This Row],[Tiempo solución max (hrs)]]&lt;&gt;"",IF(Tabla1[[#This Row],[Tiempo solución max (hrs)]]&gt;=Tabla1[[#This Row],[Tiempo
(Hrs 00/100)]],"cumple","no cumple"),"")</f>
        <v>cumple</v>
      </c>
      <c r="W1807" s="376" t="s">
        <v>2418</v>
      </c>
      <c r="X1807" s="377" t="str">
        <f t="shared" si="175"/>
        <v>SCI</v>
      </c>
      <c r="Y1807" t="str">
        <f>SUBSTITUTE(Tabla1[[#This Row],[Descripción]],CHAR(10),"    I    ")</f>
        <v>se hace la instalación de las paqueterías de la OT para su funcionamiento</v>
      </c>
      <c r="Z1807" s="142">
        <f>VLOOKUP(Tabla1[[#This Row],[Perfil]],Catalogos!$B$75:$D$100,3,FALSE)*Tabla1[[#This Row],[Tiempo
(Hrs 00/100)]]*1.16</f>
        <v>2320</v>
      </c>
    </row>
    <row r="1808" spans="1:27" ht="15" customHeight="1" x14ac:dyDescent="0.3">
      <c r="A1808" s="373" t="s">
        <v>2642</v>
      </c>
      <c r="B1808" s="373" t="s">
        <v>68</v>
      </c>
      <c r="C1808" s="373" t="s">
        <v>2643</v>
      </c>
      <c r="D1808" s="373"/>
      <c r="E1808" s="373" t="s">
        <v>2726</v>
      </c>
      <c r="F1808" s="184" t="s">
        <v>75</v>
      </c>
      <c r="G1808" s="622" t="s">
        <v>2727</v>
      </c>
      <c r="H1808" s="461" t="s">
        <v>2736</v>
      </c>
      <c r="I1808" s="538" t="s">
        <v>2713</v>
      </c>
      <c r="J1808" s="729">
        <v>45194</v>
      </c>
      <c r="K1808" s="772">
        <v>0.54166666666666663</v>
      </c>
      <c r="L1808" s="729">
        <v>45194</v>
      </c>
      <c r="M1808" s="772">
        <v>0.60416666666666663</v>
      </c>
      <c r="N1808" s="373">
        <v>1.5</v>
      </c>
      <c r="O1808" s="184" t="s">
        <v>17</v>
      </c>
      <c r="P1808" s="367" t="s">
        <v>2734</v>
      </c>
      <c r="Q1808" s="179" t="s">
        <v>2649</v>
      </c>
      <c r="R1808" s="624" t="s">
        <v>2650</v>
      </c>
      <c r="S1808" s="31" t="s">
        <v>273</v>
      </c>
      <c r="T1808" s="31" t="s">
        <v>273</v>
      </c>
      <c r="U1808" s="31">
        <f>IFERROR(VLOOKUP(CONCATENATE(Tabla1[[#This Row],[Severidad]]," ",Tabla1[[#This Row],[Complejidad]]),Catalogos!E$120:G$128,3,FALSE),"")</f>
        <v>64</v>
      </c>
      <c r="V1808" s="31" t="str">
        <f>IF(Tabla1[[#This Row],[Tiempo solución max (hrs)]]&lt;&gt;"",IF(Tabla1[[#This Row],[Tiempo solución max (hrs)]]&gt;=Tabla1[[#This Row],[Tiempo
(Hrs 00/100)]],"cumple","no cumple"),"")</f>
        <v>cumple</v>
      </c>
      <c r="W1808" s="376" t="s">
        <v>2418</v>
      </c>
      <c r="X1808" s="377" t="str">
        <f t="shared" si="175"/>
        <v>SCI</v>
      </c>
      <c r="Y1808" t="str">
        <f>SUBSTITUTE(Tabla1[[#This Row],[Descripción]],CHAR(10),"    I    ")</f>
        <v>Registro de evidencias en su formato correspondiente</v>
      </c>
      <c r="Z1808" s="142">
        <f>VLOOKUP(Tabla1[[#This Row],[Perfil]],Catalogos!$B$75:$D$100,3,FALSE)*Tabla1[[#This Row],[Tiempo
(Hrs 00/100)]]*1.16</f>
        <v>869.99999999999989</v>
      </c>
    </row>
    <row r="1809" spans="1:26" ht="15" customHeight="1" x14ac:dyDescent="0.3">
      <c r="A1809" s="373" t="s">
        <v>2642</v>
      </c>
      <c r="B1809" s="373" t="s">
        <v>63</v>
      </c>
      <c r="C1809" s="373" t="s">
        <v>2643</v>
      </c>
      <c r="D1809" s="373"/>
      <c r="E1809" s="373" t="s">
        <v>2726</v>
      </c>
      <c r="F1809" s="184" t="s">
        <v>74</v>
      </c>
      <c r="G1809" s="622" t="s">
        <v>2729</v>
      </c>
      <c r="H1809" s="461" t="s">
        <v>2738</v>
      </c>
      <c r="I1809" s="538" t="s">
        <v>2739</v>
      </c>
      <c r="J1809" s="729">
        <v>45194</v>
      </c>
      <c r="K1809" s="772">
        <v>0.66666666666666663</v>
      </c>
      <c r="L1809" s="729">
        <v>45194</v>
      </c>
      <c r="M1809" s="772">
        <v>0.79166666666666663</v>
      </c>
      <c r="N1809" s="373">
        <v>3</v>
      </c>
      <c r="O1809" s="184" t="s">
        <v>17</v>
      </c>
      <c r="P1809" s="367" t="s">
        <v>2734</v>
      </c>
      <c r="Q1809" s="179" t="s">
        <v>2649</v>
      </c>
      <c r="R1809" s="624" t="s">
        <v>2650</v>
      </c>
      <c r="S1809" s="31" t="s">
        <v>273</v>
      </c>
      <c r="T1809" s="31" t="s">
        <v>273</v>
      </c>
      <c r="U1809" s="31">
        <f>IFERROR(VLOOKUP(CONCATENATE(Tabla1[[#This Row],[Severidad]]," ",Tabla1[[#This Row],[Complejidad]]),Catalogos!E$120:G$128,3,FALSE),"")</f>
        <v>64</v>
      </c>
      <c r="V1809" s="31" t="str">
        <f>IF(Tabla1[[#This Row],[Tiempo solución max (hrs)]]&lt;&gt;"",IF(Tabla1[[#This Row],[Tiempo solución max (hrs)]]&gt;=Tabla1[[#This Row],[Tiempo
(Hrs 00/100)]],"cumple","no cumple"),"")</f>
        <v>cumple</v>
      </c>
      <c r="W1809" s="376" t="s">
        <v>2418</v>
      </c>
      <c r="X1809" s="377" t="str">
        <f t="shared" si="175"/>
        <v>SCI</v>
      </c>
      <c r="Y1809" t="str">
        <f>SUBSTITUTE(Tabla1[[#This Row],[Descripción]],CHAR(10),"    I    ")</f>
        <v xml:space="preserve">Creación de usuario para registro de incidencias </v>
      </c>
      <c r="Z1809" s="142">
        <f>VLOOKUP(Tabla1[[#This Row],[Perfil]],Catalogos!$B$75:$D$100,3,FALSE)*Tabla1[[#This Row],[Tiempo
(Hrs 00/100)]]*1.16</f>
        <v>1739.9999999999998</v>
      </c>
    </row>
    <row r="1810" spans="1:26" ht="15" customHeight="1" x14ac:dyDescent="0.3">
      <c r="A1810" s="373" t="s">
        <v>2642</v>
      </c>
      <c r="B1810" s="373" t="s">
        <v>61</v>
      </c>
      <c r="C1810" s="373" t="s">
        <v>2643</v>
      </c>
      <c r="D1810" s="373"/>
      <c r="E1810" s="373" t="s">
        <v>2726</v>
      </c>
      <c r="F1810" s="184" t="s">
        <v>72</v>
      </c>
      <c r="G1810" s="622" t="s">
        <v>2732</v>
      </c>
      <c r="H1810" s="461" t="s">
        <v>2741</v>
      </c>
      <c r="I1810" s="538" t="s">
        <v>2742</v>
      </c>
      <c r="J1810" s="729">
        <v>45195</v>
      </c>
      <c r="K1810" s="772">
        <v>0.375</v>
      </c>
      <c r="L1810" s="729">
        <v>45195</v>
      </c>
      <c r="M1810" s="772">
        <v>0.60416666666666663</v>
      </c>
      <c r="N1810" s="373">
        <v>5.5</v>
      </c>
      <c r="O1810" s="184" t="s">
        <v>17</v>
      </c>
      <c r="P1810" s="367" t="s">
        <v>2734</v>
      </c>
      <c r="Q1810" s="179" t="s">
        <v>2649</v>
      </c>
      <c r="R1810" s="624" t="s">
        <v>2650</v>
      </c>
      <c r="S1810" s="31" t="s">
        <v>273</v>
      </c>
      <c r="T1810" s="31" t="s">
        <v>273</v>
      </c>
      <c r="U1810" s="31">
        <f>IFERROR(VLOOKUP(CONCATENATE(Tabla1[[#This Row],[Severidad]]," ",Tabla1[[#This Row],[Complejidad]]),Catalogos!E$120:G$128,3,FALSE),"")</f>
        <v>64</v>
      </c>
      <c r="V1810" s="31" t="str">
        <f>IF(Tabla1[[#This Row],[Tiempo solución max (hrs)]]&lt;&gt;"",IF(Tabla1[[#This Row],[Tiempo solución max (hrs)]]&gt;=Tabla1[[#This Row],[Tiempo
(Hrs 00/100)]],"cumple","no cumple"),"")</f>
        <v>cumple</v>
      </c>
      <c r="W1810" s="376" t="s">
        <v>2418</v>
      </c>
      <c r="X1810" s="377" t="str">
        <f t="shared" si="175"/>
        <v>SCI</v>
      </c>
      <c r="Y1810" t="str">
        <f>SUBSTITUTE(Tabla1[[#This Row],[Descripción]],CHAR(10),"    I    ")</f>
        <v>busqueda de manuales, tutoriales sobre el uso de mantis para realizar el registro de incidencias</v>
      </c>
      <c r="Z1810" s="142">
        <f>VLOOKUP(Tabla1[[#This Row],[Perfil]],Catalogos!$B$75:$D$100,3,FALSE)*Tabla1[[#This Row],[Tiempo
(Hrs 00/100)]]*1.16</f>
        <v>3190</v>
      </c>
    </row>
    <row r="1811" spans="1:26" ht="15" customHeight="1" x14ac:dyDescent="0.3">
      <c r="A1811" s="373" t="s">
        <v>2642</v>
      </c>
      <c r="B1811" s="373" t="s">
        <v>21</v>
      </c>
      <c r="C1811" s="373" t="s">
        <v>2643</v>
      </c>
      <c r="D1811" s="373"/>
      <c r="E1811" s="373" t="s">
        <v>2726</v>
      </c>
      <c r="F1811" s="184" t="s">
        <v>75</v>
      </c>
      <c r="G1811" s="622" t="s">
        <v>2735</v>
      </c>
      <c r="H1811" s="461" t="s">
        <v>2744</v>
      </c>
      <c r="I1811" s="538" t="s">
        <v>2731</v>
      </c>
      <c r="J1811" s="729">
        <v>45195</v>
      </c>
      <c r="K1811" s="772">
        <v>0.66666666666666663</v>
      </c>
      <c r="L1811" s="729">
        <v>45195</v>
      </c>
      <c r="M1811" s="772">
        <v>0.79166666666666663</v>
      </c>
      <c r="N1811" s="373">
        <v>3</v>
      </c>
      <c r="O1811" s="184" t="s">
        <v>17</v>
      </c>
      <c r="P1811" s="367" t="s">
        <v>2734</v>
      </c>
      <c r="Q1811" s="179" t="s">
        <v>2649</v>
      </c>
      <c r="R1811" s="624" t="s">
        <v>2650</v>
      </c>
      <c r="S1811" s="31" t="s">
        <v>273</v>
      </c>
      <c r="T1811" s="31" t="s">
        <v>273</v>
      </c>
      <c r="U1811" s="31">
        <f>IFERROR(VLOOKUP(CONCATENATE(Tabla1[[#This Row],[Severidad]]," ",Tabla1[[#This Row],[Complejidad]]),Catalogos!E$120:G$128,3,FALSE),"")</f>
        <v>64</v>
      </c>
      <c r="V1811" s="31" t="str">
        <f>IF(Tabla1[[#This Row],[Tiempo solución max (hrs)]]&lt;&gt;"",IF(Tabla1[[#This Row],[Tiempo solución max (hrs)]]&gt;=Tabla1[[#This Row],[Tiempo
(Hrs 00/100)]],"cumple","no cumple"),"")</f>
        <v>cumple</v>
      </c>
      <c r="W1811" s="376" t="s">
        <v>2418</v>
      </c>
      <c r="X1811" s="377" t="str">
        <f t="shared" si="175"/>
        <v>SCI</v>
      </c>
      <c r="Y1811" t="str">
        <f>SUBSTITUTE(Tabla1[[#This Row],[Descripción]],CHAR(10),"    I    ")</f>
        <v>Registro de evidencias e incidencias sobre los temas encontrados durante su ejecución</v>
      </c>
      <c r="Z1811" s="142">
        <f>VLOOKUP(Tabla1[[#This Row],[Perfil]],Catalogos!$B$75:$D$100,3,FALSE)*Tabla1[[#This Row],[Tiempo
(Hrs 00/100)]]*1.16</f>
        <v>1739.9999999999998</v>
      </c>
    </row>
    <row r="1812" spans="1:26" ht="15" customHeight="1" x14ac:dyDescent="0.3">
      <c r="A1812" s="373" t="s">
        <v>2642</v>
      </c>
      <c r="B1812" s="373" t="s">
        <v>21</v>
      </c>
      <c r="C1812" s="373" t="s">
        <v>2643</v>
      </c>
      <c r="D1812" s="373"/>
      <c r="E1812" s="373" t="s">
        <v>2726</v>
      </c>
      <c r="F1812" s="184" t="s">
        <v>75</v>
      </c>
      <c r="G1812" s="622" t="s">
        <v>2737</v>
      </c>
      <c r="H1812" s="461" t="s">
        <v>2745</v>
      </c>
      <c r="I1812" s="538" t="s">
        <v>2731</v>
      </c>
      <c r="J1812" s="729">
        <v>45196</v>
      </c>
      <c r="K1812" s="772">
        <v>0.375</v>
      </c>
      <c r="L1812" s="729">
        <v>45196</v>
      </c>
      <c r="M1812" s="772">
        <v>0.79166666666666663</v>
      </c>
      <c r="N1812" s="373">
        <v>8.5</v>
      </c>
      <c r="O1812" s="184" t="s">
        <v>17</v>
      </c>
      <c r="P1812" s="367" t="s">
        <v>2734</v>
      </c>
      <c r="Q1812" s="179" t="s">
        <v>2649</v>
      </c>
      <c r="R1812" s="624" t="s">
        <v>2650</v>
      </c>
      <c r="S1812" s="31" t="s">
        <v>273</v>
      </c>
      <c r="T1812" s="31" t="s">
        <v>273</v>
      </c>
      <c r="U1812" s="31">
        <f>IFERROR(VLOOKUP(CONCATENATE(Tabla1[[#This Row],[Severidad]]," ",Tabla1[[#This Row],[Complejidad]]),Catalogos!E$120:G$128,3,FALSE),"")</f>
        <v>64</v>
      </c>
      <c r="V1812" s="31" t="str">
        <f>IF(Tabla1[[#This Row],[Tiempo solución max (hrs)]]&lt;&gt;"",IF(Tabla1[[#This Row],[Tiempo solución max (hrs)]]&gt;=Tabla1[[#This Row],[Tiempo
(Hrs 00/100)]],"cumple","no cumple"),"")</f>
        <v>cumple</v>
      </c>
      <c r="W1812" s="376" t="s">
        <v>2418</v>
      </c>
      <c r="X1812" s="377" t="str">
        <f t="shared" si="175"/>
        <v>SCI</v>
      </c>
      <c r="Y1812" t="str">
        <f>SUBSTITUTE(Tabla1[[#This Row],[Descripción]],CHAR(10),"    I    ")</f>
        <v>Registro de evidencias e incidencias sobre los temas encontrados durante su ejecución</v>
      </c>
      <c r="Z1812" s="142">
        <f>VLOOKUP(Tabla1[[#This Row],[Perfil]],Catalogos!$B$75:$D$100,3,FALSE)*Tabla1[[#This Row],[Tiempo
(Hrs 00/100)]]*1.16</f>
        <v>4930</v>
      </c>
    </row>
    <row r="1813" spans="1:26" ht="15" customHeight="1" x14ac:dyDescent="0.3">
      <c r="A1813" s="373" t="s">
        <v>2642</v>
      </c>
      <c r="B1813" s="373" t="s">
        <v>21</v>
      </c>
      <c r="C1813" s="373" t="s">
        <v>2643</v>
      </c>
      <c r="D1813" s="373"/>
      <c r="E1813" s="373" t="s">
        <v>2726</v>
      </c>
      <c r="F1813" s="184" t="s">
        <v>75</v>
      </c>
      <c r="G1813" s="622" t="s">
        <v>2740</v>
      </c>
      <c r="H1813" s="461" t="s">
        <v>2746</v>
      </c>
      <c r="I1813" s="538" t="s">
        <v>2747</v>
      </c>
      <c r="J1813" s="729">
        <v>45197</v>
      </c>
      <c r="K1813" s="772">
        <v>0.375</v>
      </c>
      <c r="L1813" s="729">
        <v>45197</v>
      </c>
      <c r="M1813" s="772">
        <v>0.79166666666666663</v>
      </c>
      <c r="N1813" s="373">
        <v>8.5</v>
      </c>
      <c r="O1813" s="184" t="s">
        <v>17</v>
      </c>
      <c r="P1813" s="367" t="s">
        <v>2734</v>
      </c>
      <c r="Q1813" s="179" t="s">
        <v>2649</v>
      </c>
      <c r="R1813" s="624" t="s">
        <v>2650</v>
      </c>
      <c r="S1813" s="31" t="s">
        <v>273</v>
      </c>
      <c r="T1813" s="31" t="s">
        <v>273</v>
      </c>
      <c r="U1813" s="31">
        <f>IFERROR(VLOOKUP(CONCATENATE(Tabla1[[#This Row],[Severidad]]," ",Tabla1[[#This Row],[Complejidad]]),Catalogos!E$120:G$128,3,FALSE),"")</f>
        <v>64</v>
      </c>
      <c r="V1813" s="31" t="str">
        <f>IF(Tabla1[[#This Row],[Tiempo solución max (hrs)]]&lt;&gt;"",IF(Tabla1[[#This Row],[Tiempo solución max (hrs)]]&gt;=Tabla1[[#This Row],[Tiempo
(Hrs 00/100)]],"cumple","no cumple"),"")</f>
        <v>cumple</v>
      </c>
      <c r="W1813" s="376" t="s">
        <v>2418</v>
      </c>
      <c r="X1813" s="377" t="str">
        <f t="shared" si="175"/>
        <v>SCI</v>
      </c>
      <c r="Y1813" t="str">
        <f>SUBSTITUTE(Tabla1[[#This Row],[Descripción]],CHAR(10),"    I    ")</f>
        <v>incidencias encontradas en el funcionamiento y uso del sistema de Inventarios</v>
      </c>
      <c r="Z1813" s="142">
        <f>VLOOKUP(Tabla1[[#This Row],[Perfil]],Catalogos!$B$75:$D$100,3,FALSE)*Tabla1[[#This Row],[Tiempo
(Hrs 00/100)]]*1.16</f>
        <v>4930</v>
      </c>
    </row>
    <row r="1814" spans="1:26" ht="15" customHeight="1" x14ac:dyDescent="0.3">
      <c r="A1814" s="373" t="s">
        <v>2642</v>
      </c>
      <c r="B1814" s="373" t="s">
        <v>61</v>
      </c>
      <c r="C1814" s="373" t="s">
        <v>2643</v>
      </c>
      <c r="D1814" s="373"/>
      <c r="E1814" s="373" t="s">
        <v>2726</v>
      </c>
      <c r="F1814" s="184" t="s">
        <v>75</v>
      </c>
      <c r="G1814" s="622" t="s">
        <v>2743</v>
      </c>
      <c r="H1814" s="461" t="s">
        <v>2748</v>
      </c>
      <c r="I1814" s="538" t="s">
        <v>2749</v>
      </c>
      <c r="J1814" s="729">
        <v>45198</v>
      </c>
      <c r="K1814" s="772">
        <v>0.375</v>
      </c>
      <c r="L1814" s="729">
        <v>45198</v>
      </c>
      <c r="M1814" s="772">
        <v>0.625</v>
      </c>
      <c r="N1814" s="373">
        <v>6</v>
      </c>
      <c r="O1814" s="184" t="s">
        <v>17</v>
      </c>
      <c r="P1814" s="367" t="s">
        <v>2734</v>
      </c>
      <c r="Q1814" s="179" t="s">
        <v>2649</v>
      </c>
      <c r="R1814" s="624" t="s">
        <v>2650</v>
      </c>
      <c r="S1814" s="31" t="s">
        <v>273</v>
      </c>
      <c r="T1814" s="31" t="s">
        <v>273</v>
      </c>
      <c r="U1814" s="31">
        <f>IFERROR(VLOOKUP(CONCATENATE(Tabla1[[#This Row],[Severidad]]," ",Tabla1[[#This Row],[Complejidad]]),Catalogos!E$120:G$128,3,FALSE),"")</f>
        <v>64</v>
      </c>
      <c r="V1814" s="31" t="str">
        <f>IF(Tabla1[[#This Row],[Tiempo solución max (hrs)]]&lt;&gt;"",IF(Tabla1[[#This Row],[Tiempo solución max (hrs)]]&gt;=Tabla1[[#This Row],[Tiempo
(Hrs 00/100)]],"cumple","no cumple"),"")</f>
        <v>cumple</v>
      </c>
      <c r="W1814" s="376" t="s">
        <v>2418</v>
      </c>
      <c r="X1814" s="377" t="str">
        <f t="shared" si="175"/>
        <v>SCI</v>
      </c>
      <c r="Y1814" t="str">
        <f>SUBSTITUTE(Tabla1[[#This Row],[Descripción]],CHAR(10),"    I    ")</f>
        <v xml:space="preserve">Registro de las actividades realizadas durante el mes para su </v>
      </c>
      <c r="Z1814" s="142">
        <f>VLOOKUP(Tabla1[[#This Row],[Perfil]],Catalogos!$B$75:$D$100,3,FALSE)*Tabla1[[#This Row],[Tiempo
(Hrs 00/100)]]*1.16</f>
        <v>3479.9999999999995</v>
      </c>
    </row>
    <row r="1815" spans="1:26" ht="15" customHeight="1" x14ac:dyDescent="0.3">
      <c r="A1815" s="614" t="s">
        <v>22</v>
      </c>
      <c r="B1815" s="373" t="s">
        <v>305</v>
      </c>
      <c r="C1815" s="373" t="s">
        <v>257</v>
      </c>
      <c r="D1815" s="373"/>
      <c r="E1815" s="373" t="s">
        <v>408</v>
      </c>
      <c r="F1815" s="373" t="s">
        <v>72</v>
      </c>
      <c r="G1815" s="373" t="s">
        <v>2753</v>
      </c>
      <c r="H1815" s="461" t="s">
        <v>2754</v>
      </c>
      <c r="I1815" s="538" t="s">
        <v>2755</v>
      </c>
      <c r="J1815" s="729">
        <v>45170</v>
      </c>
      <c r="K1815" s="772">
        <v>0.375</v>
      </c>
      <c r="L1815" s="729">
        <v>45170</v>
      </c>
      <c r="M1815" s="772">
        <v>0.39583333333333331</v>
      </c>
      <c r="N1815" s="373">
        <v>0.5</v>
      </c>
      <c r="O1815" s="184" t="s">
        <v>17</v>
      </c>
      <c r="P1815" s="375" t="s">
        <v>3285</v>
      </c>
      <c r="Q1815" s="179" t="s">
        <v>1441</v>
      </c>
      <c r="R1815" s="31" t="s">
        <v>95</v>
      </c>
      <c r="S1815" s="31" t="s">
        <v>273</v>
      </c>
      <c r="T1815" s="31" t="s">
        <v>273</v>
      </c>
      <c r="U1815" s="31">
        <f>IFERROR(VLOOKUP(CONCATENATE(Tabla1[[#This Row],[Severidad]]," ",Tabla1[[#This Row],[Complejidad]]),Catalogos!E$120:G$128,3,FALSE),"")</f>
        <v>64</v>
      </c>
      <c r="V1815" s="31" t="str">
        <f>IF(Tabla1[[#This Row],[Tiempo solución max (hrs)]]&lt;&gt;"",IF(Tabla1[[#This Row],[Tiempo solución max (hrs)]]&gt;=Tabla1[[#This Row],[Tiempo
(Hrs 00/100)]],"cumple","no cumple"),"")</f>
        <v>cumple</v>
      </c>
      <c r="W1815" s="376" t="s">
        <v>2418</v>
      </c>
      <c r="X1815" s="377" t="str">
        <f t="shared" si="175"/>
        <v>SSI</v>
      </c>
      <c r="Y1815" t="str">
        <f>SUBSTITUTE(Tabla1[[#This Row],[Descripción]],CHAR(10),"    I    ")</f>
        <v>Se revisó documentación '7.7 Key Column Assignment Method' de liga compartida de Simple Oracle Document Access (SODA)</v>
      </c>
      <c r="Z1815" s="142">
        <f>VLOOKUP(Tabla1[[#This Row],[Perfil]],Catalogos!$B$75:$D$100,3,FALSE)*Tabla1[[#This Row],[Tiempo
(Hrs 00/100)]]*1.16</f>
        <v>348</v>
      </c>
    </row>
    <row r="1816" spans="1:26" ht="15" customHeight="1" x14ac:dyDescent="0.3">
      <c r="A1816" s="617" t="s">
        <v>22</v>
      </c>
      <c r="B1816" s="373" t="s">
        <v>305</v>
      </c>
      <c r="C1816" s="373" t="s">
        <v>257</v>
      </c>
      <c r="D1816" s="373"/>
      <c r="E1816" s="373" t="s">
        <v>408</v>
      </c>
      <c r="F1816" s="373" t="s">
        <v>72</v>
      </c>
      <c r="G1816" s="373" t="s">
        <v>2786</v>
      </c>
      <c r="H1816" s="461" t="s">
        <v>2756</v>
      </c>
      <c r="I1816" s="538" t="s">
        <v>2757</v>
      </c>
      <c r="J1816" s="729">
        <v>45170</v>
      </c>
      <c r="K1816" s="772">
        <v>0.39583333333333331</v>
      </c>
      <c r="L1816" s="729">
        <v>45170</v>
      </c>
      <c r="M1816" s="772">
        <v>0.41666666666666669</v>
      </c>
      <c r="N1816" s="373">
        <v>0.5</v>
      </c>
      <c r="O1816" s="184" t="s">
        <v>17</v>
      </c>
      <c r="P1816" s="375" t="s">
        <v>3285</v>
      </c>
      <c r="Q1816" s="179" t="s">
        <v>1441</v>
      </c>
      <c r="R1816" s="31" t="s">
        <v>95</v>
      </c>
      <c r="S1816" s="31" t="s">
        <v>273</v>
      </c>
      <c r="T1816" s="31" t="s">
        <v>273</v>
      </c>
      <c r="U1816" s="31">
        <f>IFERROR(VLOOKUP(CONCATENATE(Tabla1[[#This Row],[Severidad]]," ",Tabla1[[#This Row],[Complejidad]]),Catalogos!E$120:G$128,3,FALSE),"")</f>
        <v>64</v>
      </c>
      <c r="V1816" s="31" t="str">
        <f>IF(Tabla1[[#This Row],[Tiempo solución max (hrs)]]&lt;&gt;"",IF(Tabla1[[#This Row],[Tiempo solución max (hrs)]]&gt;=Tabla1[[#This Row],[Tiempo
(Hrs 00/100)]],"cumple","no cumple"),"")</f>
        <v>cumple</v>
      </c>
      <c r="W1816" s="376" t="s">
        <v>2418</v>
      </c>
      <c r="X1816" s="377" t="str">
        <f t="shared" si="175"/>
        <v>SSI</v>
      </c>
      <c r="Y1816" t="str">
        <f>SUBSTITUTE(Tabla1[[#This Row],[Descripción]],CHAR(10),"    I    ")</f>
        <v>Se revisó documentación '7.8 Key Column Path' de liga compartida de Simple Oracle Document Access (SODA)</v>
      </c>
      <c r="Z1816" s="142">
        <f>VLOOKUP(Tabla1[[#This Row],[Perfil]],Catalogos!$B$75:$D$100,3,FALSE)*Tabla1[[#This Row],[Tiempo
(Hrs 00/100)]]*1.16</f>
        <v>348</v>
      </c>
    </row>
    <row r="1817" spans="1:26" ht="15" customHeight="1" x14ac:dyDescent="0.3">
      <c r="A1817" s="619" t="s">
        <v>22</v>
      </c>
      <c r="B1817" s="373" t="s">
        <v>305</v>
      </c>
      <c r="C1817" s="373" t="s">
        <v>257</v>
      </c>
      <c r="D1817" s="373"/>
      <c r="E1817" s="373" t="s">
        <v>408</v>
      </c>
      <c r="F1817" s="373" t="s">
        <v>72</v>
      </c>
      <c r="G1817" s="373" t="s">
        <v>2819</v>
      </c>
      <c r="H1817" s="461" t="s">
        <v>2758</v>
      </c>
      <c r="I1817" s="538" t="s">
        <v>2759</v>
      </c>
      <c r="J1817" s="729">
        <v>45170</v>
      </c>
      <c r="K1817" s="772">
        <v>0.41666666666666669</v>
      </c>
      <c r="L1817" s="729">
        <v>45170</v>
      </c>
      <c r="M1817" s="772">
        <v>0.4375</v>
      </c>
      <c r="N1817" s="373">
        <v>0.5</v>
      </c>
      <c r="O1817" s="184" t="s">
        <v>17</v>
      </c>
      <c r="P1817" s="375" t="s">
        <v>3285</v>
      </c>
      <c r="Q1817" s="179" t="s">
        <v>1441</v>
      </c>
      <c r="R1817" s="31" t="s">
        <v>95</v>
      </c>
      <c r="S1817" s="31" t="s">
        <v>273</v>
      </c>
      <c r="T1817" s="31" t="s">
        <v>273</v>
      </c>
      <c r="U1817" s="31">
        <f>IFERROR(VLOOKUP(CONCATENATE(Tabla1[[#This Row],[Severidad]]," ",Tabla1[[#This Row],[Complejidad]]),Catalogos!E$120:G$128,3,FALSE),"")</f>
        <v>64</v>
      </c>
      <c r="V1817" s="31" t="str">
        <f>IF(Tabla1[[#This Row],[Tiempo solución max (hrs)]]&lt;&gt;"",IF(Tabla1[[#This Row],[Tiempo solución max (hrs)]]&gt;=Tabla1[[#This Row],[Tiempo
(Hrs 00/100)]],"cumple","no cumple"),"")</f>
        <v>cumple</v>
      </c>
      <c r="W1817" s="376" t="s">
        <v>2418</v>
      </c>
      <c r="X1817" s="377" t="str">
        <f t="shared" ref="X1817:X1848" si="176">IF(C1817&lt;&gt;"",C1817,D1817)</f>
        <v>SSI</v>
      </c>
      <c r="Y1817" t="str">
        <f>SUBSTITUTE(Tabla1[[#This Row],[Descripción]],CHAR(10),"    I    ")</f>
        <v>Se revisó documentación '7.9 Key Column Sequence Name' de liga compartida de Simple Oracle Document Access (SODA)</v>
      </c>
      <c r="Z1817" s="142">
        <f>VLOOKUP(Tabla1[[#This Row],[Perfil]],Catalogos!$B$75:$D$100,3,FALSE)*Tabla1[[#This Row],[Tiempo
(Hrs 00/100)]]*1.16</f>
        <v>348</v>
      </c>
    </row>
    <row r="1818" spans="1:26" ht="15" customHeight="1" x14ac:dyDescent="0.3">
      <c r="A1818" s="373" t="s">
        <v>22</v>
      </c>
      <c r="B1818" s="373" t="s">
        <v>305</v>
      </c>
      <c r="C1818" s="373" t="s">
        <v>257</v>
      </c>
      <c r="D1818" s="373"/>
      <c r="E1818" s="373" t="s">
        <v>408</v>
      </c>
      <c r="F1818" s="373" t="s">
        <v>72</v>
      </c>
      <c r="G1818" s="373" t="s">
        <v>2840</v>
      </c>
      <c r="H1818" s="461" t="s">
        <v>2760</v>
      </c>
      <c r="I1818" s="538" t="s">
        <v>2761</v>
      </c>
      <c r="J1818" s="729">
        <v>45170</v>
      </c>
      <c r="K1818" s="772">
        <v>0.4375</v>
      </c>
      <c r="L1818" s="729">
        <v>45170</v>
      </c>
      <c r="M1818" s="772">
        <v>0.45833333333333331</v>
      </c>
      <c r="N1818" s="373">
        <v>0.5</v>
      </c>
      <c r="O1818" s="184" t="s">
        <v>17</v>
      </c>
      <c r="P1818" s="375" t="s">
        <v>3285</v>
      </c>
      <c r="Q1818" s="179" t="s">
        <v>1441</v>
      </c>
      <c r="R1818" s="31" t="s">
        <v>95</v>
      </c>
      <c r="S1818" s="31" t="s">
        <v>273</v>
      </c>
      <c r="T1818" s="31" t="s">
        <v>273</v>
      </c>
      <c r="U1818" s="31">
        <f>IFERROR(VLOOKUP(CONCATENATE(Tabla1[[#This Row],[Severidad]]," ",Tabla1[[#This Row],[Complejidad]]),Catalogos!E$120:G$128,3,FALSE),"")</f>
        <v>64</v>
      </c>
      <c r="V1818" s="31" t="str">
        <f>IF(Tabla1[[#This Row],[Tiempo solución max (hrs)]]&lt;&gt;"",IF(Tabla1[[#This Row],[Tiempo solución max (hrs)]]&gt;=Tabla1[[#This Row],[Tiempo
(Hrs 00/100)]],"cumple","no cumple"),"")</f>
        <v>cumple</v>
      </c>
      <c r="W1818" s="376" t="s">
        <v>2418</v>
      </c>
      <c r="X1818" s="377" t="str">
        <f t="shared" si="176"/>
        <v>SSI</v>
      </c>
      <c r="Y1818" t="str">
        <f>SUBSTITUTE(Tabla1[[#This Row],[Descripción]],CHAR(10),"    I    ")</f>
        <v>Se revisó documentación '7.10 Content Column Name' de liga compartida de Simple Oracle Document Access (SODA)</v>
      </c>
      <c r="Z1818" s="142">
        <f>VLOOKUP(Tabla1[[#This Row],[Perfil]],Catalogos!$B$75:$D$100,3,FALSE)*Tabla1[[#This Row],[Tiempo
(Hrs 00/100)]]*1.16</f>
        <v>348</v>
      </c>
    </row>
    <row r="1819" spans="1:26" ht="15" customHeight="1" x14ac:dyDescent="0.3">
      <c r="A1819" s="373" t="s">
        <v>22</v>
      </c>
      <c r="B1819" s="373" t="s">
        <v>305</v>
      </c>
      <c r="C1819" s="373" t="s">
        <v>257</v>
      </c>
      <c r="D1819" s="373"/>
      <c r="E1819" s="373" t="s">
        <v>408</v>
      </c>
      <c r="F1819" s="373" t="s">
        <v>72</v>
      </c>
      <c r="G1819" s="373" t="s">
        <v>3090</v>
      </c>
      <c r="H1819" s="461" t="s">
        <v>2762</v>
      </c>
      <c r="I1819" s="538" t="s">
        <v>2763</v>
      </c>
      <c r="J1819" s="729">
        <v>45170</v>
      </c>
      <c r="K1819" s="772">
        <v>0.45833333333333331</v>
      </c>
      <c r="L1819" s="729">
        <v>45170</v>
      </c>
      <c r="M1819" s="772">
        <v>0.47916666666666669</v>
      </c>
      <c r="N1819" s="373">
        <v>0.5</v>
      </c>
      <c r="O1819" s="184" t="s">
        <v>17</v>
      </c>
      <c r="P1819" s="375" t="s">
        <v>3285</v>
      </c>
      <c r="Q1819" s="179" t="s">
        <v>1441</v>
      </c>
      <c r="R1819" s="31" t="s">
        <v>95</v>
      </c>
      <c r="S1819" s="31" t="s">
        <v>273</v>
      </c>
      <c r="T1819" s="31" t="s">
        <v>273</v>
      </c>
      <c r="U1819" s="31">
        <f>IFERROR(VLOOKUP(CONCATENATE(Tabla1[[#This Row],[Severidad]]," ",Tabla1[[#This Row],[Complejidad]]),Catalogos!E$120:G$128,3,FALSE),"")</f>
        <v>64</v>
      </c>
      <c r="V1819" s="31" t="str">
        <f>IF(Tabla1[[#This Row],[Tiempo solución max (hrs)]]&lt;&gt;"",IF(Tabla1[[#This Row],[Tiempo solución max (hrs)]]&gt;=Tabla1[[#This Row],[Tiempo
(Hrs 00/100)]],"cumple","no cumple"),"")</f>
        <v>cumple</v>
      </c>
      <c r="W1819" s="376" t="s">
        <v>2418</v>
      </c>
      <c r="X1819" s="377" t="str">
        <f t="shared" si="176"/>
        <v>SSI</v>
      </c>
      <c r="Y1819" t="str">
        <f>SUBSTITUTE(Tabla1[[#This Row],[Descripción]],CHAR(10),"    I    ")</f>
        <v>Se revisó documentación '7.11 Content Column Type' de liga compartida de Simple Oracle Document Access (SODA)</v>
      </c>
      <c r="Z1819" s="142">
        <f>VLOOKUP(Tabla1[[#This Row],[Perfil]],Catalogos!$B$75:$D$100,3,FALSE)*Tabla1[[#This Row],[Tiempo
(Hrs 00/100)]]*1.16</f>
        <v>348</v>
      </c>
    </row>
    <row r="1820" spans="1:26" ht="15" customHeight="1" x14ac:dyDescent="0.3">
      <c r="A1820" s="373" t="s">
        <v>22</v>
      </c>
      <c r="B1820" s="373" t="s">
        <v>305</v>
      </c>
      <c r="C1820" s="373" t="s">
        <v>257</v>
      </c>
      <c r="D1820" s="373"/>
      <c r="E1820" s="373" t="s">
        <v>408</v>
      </c>
      <c r="F1820" s="373" t="s">
        <v>72</v>
      </c>
      <c r="G1820" s="373" t="s">
        <v>3091</v>
      </c>
      <c r="H1820" s="461" t="s">
        <v>2764</v>
      </c>
      <c r="I1820" s="538" t="s">
        <v>2765</v>
      </c>
      <c r="J1820" s="729">
        <v>45170</v>
      </c>
      <c r="K1820" s="772">
        <v>0.47916666666666669</v>
      </c>
      <c r="L1820" s="729">
        <v>45170</v>
      </c>
      <c r="M1820" s="772">
        <v>0.5</v>
      </c>
      <c r="N1820" s="373">
        <v>0.5</v>
      </c>
      <c r="O1820" s="184" t="s">
        <v>17</v>
      </c>
      <c r="P1820" s="375" t="s">
        <v>3285</v>
      </c>
      <c r="Q1820" s="179" t="s">
        <v>1441</v>
      </c>
      <c r="R1820" s="31" t="s">
        <v>95</v>
      </c>
      <c r="S1820" s="31" t="s">
        <v>273</v>
      </c>
      <c r="T1820" s="31" t="s">
        <v>273</v>
      </c>
      <c r="U1820" s="31">
        <f>IFERROR(VLOOKUP(CONCATENATE(Tabla1[[#This Row],[Severidad]]," ",Tabla1[[#This Row],[Complejidad]]),Catalogos!E$120:G$128,3,FALSE),"")</f>
        <v>64</v>
      </c>
      <c r="V1820" s="31" t="str">
        <f>IF(Tabla1[[#This Row],[Tiempo solución max (hrs)]]&lt;&gt;"",IF(Tabla1[[#This Row],[Tiempo solución max (hrs)]]&gt;=Tabla1[[#This Row],[Tiempo
(Hrs 00/100)]],"cumple","no cumple"),"")</f>
        <v>cumple</v>
      </c>
      <c r="W1820" s="376" t="s">
        <v>2418</v>
      </c>
      <c r="X1820" s="377" t="str">
        <f t="shared" si="176"/>
        <v>SSI</v>
      </c>
      <c r="Y1820" t="str">
        <f>SUBSTITUTE(Tabla1[[#This Row],[Descripción]],CHAR(10),"    I    ")</f>
        <v>Se revisó documentación '7.12 Content Column Format' de liga compartida de Simple Oracle Document Access (SODA)</v>
      </c>
      <c r="Z1820" s="142">
        <f>VLOOKUP(Tabla1[[#This Row],[Perfil]],Catalogos!$B$75:$D$100,3,FALSE)*Tabla1[[#This Row],[Tiempo
(Hrs 00/100)]]*1.16</f>
        <v>348</v>
      </c>
    </row>
    <row r="1821" spans="1:26" ht="15" customHeight="1" x14ac:dyDescent="0.3">
      <c r="A1821" s="373" t="s">
        <v>22</v>
      </c>
      <c r="B1821" s="373" t="s">
        <v>305</v>
      </c>
      <c r="C1821" s="373" t="s">
        <v>257</v>
      </c>
      <c r="D1821" s="373"/>
      <c r="E1821" s="373" t="s">
        <v>408</v>
      </c>
      <c r="F1821" s="373" t="s">
        <v>72</v>
      </c>
      <c r="G1821" s="373" t="s">
        <v>3092</v>
      </c>
      <c r="H1821" s="461" t="s">
        <v>2766</v>
      </c>
      <c r="I1821" s="538" t="s">
        <v>2767</v>
      </c>
      <c r="J1821" s="729">
        <v>45170</v>
      </c>
      <c r="K1821" s="772">
        <v>0.5</v>
      </c>
      <c r="L1821" s="729">
        <v>45170</v>
      </c>
      <c r="M1821" s="772">
        <v>0.52083333333333337</v>
      </c>
      <c r="N1821" s="373">
        <v>0.5</v>
      </c>
      <c r="O1821" s="184" t="s">
        <v>17</v>
      </c>
      <c r="P1821" s="375" t="s">
        <v>3285</v>
      </c>
      <c r="Q1821" s="179" t="s">
        <v>1441</v>
      </c>
      <c r="R1821" s="31" t="s">
        <v>95</v>
      </c>
      <c r="S1821" s="31" t="s">
        <v>273</v>
      </c>
      <c r="T1821" s="31" t="s">
        <v>273</v>
      </c>
      <c r="U1821" s="31">
        <f>IFERROR(VLOOKUP(CONCATENATE(Tabla1[[#This Row],[Severidad]]," ",Tabla1[[#This Row],[Complejidad]]),Catalogos!E$120:G$128,3,FALSE),"")</f>
        <v>64</v>
      </c>
      <c r="V1821" s="31" t="str">
        <f>IF(Tabla1[[#This Row],[Tiempo solución max (hrs)]]&lt;&gt;"",IF(Tabla1[[#This Row],[Tiempo solución max (hrs)]]&gt;=Tabla1[[#This Row],[Tiempo
(Hrs 00/100)]],"cumple","no cumple"),"")</f>
        <v>cumple</v>
      </c>
      <c r="W1821" s="376" t="s">
        <v>2418</v>
      </c>
      <c r="X1821" s="377" t="str">
        <f t="shared" si="176"/>
        <v>SSI</v>
      </c>
      <c r="Y1821" t="str">
        <f>SUBSTITUTE(Tabla1[[#This Row],[Descripción]],CHAR(10),"    I    ")</f>
        <v>Se revisó documentación '7.13 Content Column Max Length' de liga compartida de Simple Oracle Document Access (SODA)</v>
      </c>
      <c r="Z1821" s="142">
        <f>VLOOKUP(Tabla1[[#This Row],[Perfil]],Catalogos!$B$75:$D$100,3,FALSE)*Tabla1[[#This Row],[Tiempo
(Hrs 00/100)]]*1.16</f>
        <v>348</v>
      </c>
    </row>
    <row r="1822" spans="1:26" ht="15" customHeight="1" x14ac:dyDescent="0.3">
      <c r="A1822" s="373" t="s">
        <v>22</v>
      </c>
      <c r="B1822" s="373" t="s">
        <v>305</v>
      </c>
      <c r="C1822" s="373" t="s">
        <v>257</v>
      </c>
      <c r="D1822" s="373"/>
      <c r="E1822" s="373" t="s">
        <v>408</v>
      </c>
      <c r="F1822" s="373" t="s">
        <v>72</v>
      </c>
      <c r="G1822" s="373" t="s">
        <v>3093</v>
      </c>
      <c r="H1822" s="461" t="s">
        <v>2768</v>
      </c>
      <c r="I1822" s="538" t="s">
        <v>2769</v>
      </c>
      <c r="J1822" s="729">
        <v>45170</v>
      </c>
      <c r="K1822" s="772">
        <v>0.52083333333333337</v>
      </c>
      <c r="L1822" s="729">
        <v>45170</v>
      </c>
      <c r="M1822" s="772">
        <v>0.54166666666666663</v>
      </c>
      <c r="N1822" s="373">
        <v>0.5</v>
      </c>
      <c r="O1822" s="184" t="s">
        <v>17</v>
      </c>
      <c r="P1822" s="375" t="s">
        <v>3285</v>
      </c>
      <c r="Q1822" s="179" t="s">
        <v>1441</v>
      </c>
      <c r="R1822" s="31" t="s">
        <v>95</v>
      </c>
      <c r="S1822" s="31" t="s">
        <v>273</v>
      </c>
      <c r="T1822" s="31" t="s">
        <v>273</v>
      </c>
      <c r="U1822" s="31">
        <f>IFERROR(VLOOKUP(CONCATENATE(Tabla1[[#This Row],[Severidad]]," ",Tabla1[[#This Row],[Complejidad]]),Catalogos!E$120:G$128,3,FALSE),"")</f>
        <v>64</v>
      </c>
      <c r="V1822" s="31" t="str">
        <f>IF(Tabla1[[#This Row],[Tiempo solución max (hrs)]]&lt;&gt;"",IF(Tabla1[[#This Row],[Tiempo solución max (hrs)]]&gt;=Tabla1[[#This Row],[Tiempo
(Hrs 00/100)]],"cumple","no cumple"),"")</f>
        <v>cumple</v>
      </c>
      <c r="W1822" s="376" t="s">
        <v>2418</v>
      </c>
      <c r="X1822" s="377" t="str">
        <f t="shared" si="176"/>
        <v>SSI</v>
      </c>
      <c r="Y1822" t="str">
        <f>SUBSTITUTE(Tabla1[[#This Row],[Descripción]],CHAR(10),"    I    ")</f>
        <v>Se revisó documentación '7.14 Content Column JSON Validation' de liga compartida de Simple Oracle Document Access (SODA)</v>
      </c>
      <c r="Z1822" s="142">
        <f>VLOOKUP(Tabla1[[#This Row],[Perfil]],Catalogos!$B$75:$D$100,3,FALSE)*Tabla1[[#This Row],[Tiempo
(Hrs 00/100)]]*1.16</f>
        <v>348</v>
      </c>
    </row>
    <row r="1823" spans="1:26" ht="15" customHeight="1" x14ac:dyDescent="0.3">
      <c r="A1823" s="373" t="s">
        <v>22</v>
      </c>
      <c r="B1823" s="373" t="s">
        <v>305</v>
      </c>
      <c r="C1823" s="373" t="s">
        <v>257</v>
      </c>
      <c r="D1823" s="373"/>
      <c r="E1823" s="373" t="s">
        <v>408</v>
      </c>
      <c r="F1823" s="373" t="s">
        <v>72</v>
      </c>
      <c r="G1823" s="373" t="s">
        <v>3094</v>
      </c>
      <c r="H1823" s="461" t="s">
        <v>2770</v>
      </c>
      <c r="I1823" s="538" t="s">
        <v>2771</v>
      </c>
      <c r="J1823" s="729">
        <v>45170</v>
      </c>
      <c r="K1823" s="772">
        <v>0.54166666666666663</v>
      </c>
      <c r="L1823" s="729">
        <v>45170</v>
      </c>
      <c r="M1823" s="772">
        <v>0.5625</v>
      </c>
      <c r="N1823" s="373">
        <v>0.5</v>
      </c>
      <c r="O1823" s="184" t="s">
        <v>17</v>
      </c>
      <c r="P1823" s="375" t="s">
        <v>3285</v>
      </c>
      <c r="Q1823" s="179" t="s">
        <v>1441</v>
      </c>
      <c r="R1823" s="31" t="s">
        <v>95</v>
      </c>
      <c r="S1823" s="31" t="s">
        <v>273</v>
      </c>
      <c r="T1823" s="31" t="s">
        <v>273</v>
      </c>
      <c r="U1823" s="31">
        <f>IFERROR(VLOOKUP(CONCATENATE(Tabla1[[#This Row],[Severidad]]," ",Tabla1[[#This Row],[Complejidad]]),Catalogos!E$120:G$128,3,FALSE),"")</f>
        <v>64</v>
      </c>
      <c r="V1823" s="31" t="str">
        <f>IF(Tabla1[[#This Row],[Tiempo solución max (hrs)]]&lt;&gt;"",IF(Tabla1[[#This Row],[Tiempo solución max (hrs)]]&gt;=Tabla1[[#This Row],[Tiempo
(Hrs 00/100)]],"cumple","no cumple"),"")</f>
        <v>cumple</v>
      </c>
      <c r="W1823" s="376" t="s">
        <v>2418</v>
      </c>
      <c r="X1823" s="377" t="str">
        <f t="shared" si="176"/>
        <v>SSI</v>
      </c>
      <c r="Y1823" t="str">
        <f>SUBSTITUTE(Tabla1[[#This Row],[Descripción]],CHAR(10),"    I    ")</f>
        <v>Se revisó documentación '7.15 Content Column SecureFiles LOB Compression' de liga compartida de Simple Oracle Document Access (SODA)</v>
      </c>
      <c r="Z1823" s="142">
        <f>VLOOKUP(Tabla1[[#This Row],[Perfil]],Catalogos!$B$75:$D$100,3,FALSE)*Tabla1[[#This Row],[Tiempo
(Hrs 00/100)]]*1.16</f>
        <v>348</v>
      </c>
    </row>
    <row r="1824" spans="1:26" ht="15" customHeight="1" x14ac:dyDescent="0.3">
      <c r="A1824" s="373" t="s">
        <v>22</v>
      </c>
      <c r="B1824" s="373" t="s">
        <v>305</v>
      </c>
      <c r="C1824" s="373" t="s">
        <v>257</v>
      </c>
      <c r="D1824" s="373"/>
      <c r="E1824" s="373" t="s">
        <v>408</v>
      </c>
      <c r="F1824" s="373" t="s">
        <v>72</v>
      </c>
      <c r="G1824" s="373" t="s">
        <v>3095</v>
      </c>
      <c r="H1824" s="461" t="s">
        <v>2772</v>
      </c>
      <c r="I1824" s="538" t="s">
        <v>2773</v>
      </c>
      <c r="J1824" s="729">
        <v>45170</v>
      </c>
      <c r="K1824" s="772">
        <v>0.60416666666666663</v>
      </c>
      <c r="L1824" s="729">
        <v>45170</v>
      </c>
      <c r="M1824" s="772">
        <v>0.625</v>
      </c>
      <c r="N1824" s="373">
        <v>0.5</v>
      </c>
      <c r="O1824" s="184" t="s">
        <v>17</v>
      </c>
      <c r="P1824" s="375" t="s">
        <v>3285</v>
      </c>
      <c r="Q1824" s="179" t="s">
        <v>1441</v>
      </c>
      <c r="R1824" s="31" t="s">
        <v>95</v>
      </c>
      <c r="S1824" s="31" t="s">
        <v>273</v>
      </c>
      <c r="T1824" s="31" t="s">
        <v>273</v>
      </c>
      <c r="U1824" s="31">
        <f>IFERROR(VLOOKUP(CONCATENATE(Tabla1[[#This Row],[Severidad]]," ",Tabla1[[#This Row],[Complejidad]]),Catalogos!E$120:G$128,3,FALSE),"")</f>
        <v>64</v>
      </c>
      <c r="V1824" s="31" t="str">
        <f>IF(Tabla1[[#This Row],[Tiempo solución max (hrs)]]&lt;&gt;"",IF(Tabla1[[#This Row],[Tiempo solución max (hrs)]]&gt;=Tabla1[[#This Row],[Tiempo
(Hrs 00/100)]],"cumple","no cumple"),"")</f>
        <v>cumple</v>
      </c>
      <c r="W1824" s="376" t="s">
        <v>2418</v>
      </c>
      <c r="X1824" s="377" t="str">
        <f t="shared" si="176"/>
        <v>SSI</v>
      </c>
      <c r="Y1824" t="str">
        <f>SUBSTITUTE(Tabla1[[#This Row],[Descripción]],CHAR(10),"    I    ")</f>
        <v>Se revisó documentación '7.16 Content Column SecureFiles LOB Cache' de liga compartida de Simple Oracle Document Access (SODA)</v>
      </c>
      <c r="Z1824" s="142">
        <f>VLOOKUP(Tabla1[[#This Row],[Perfil]],Catalogos!$B$75:$D$100,3,FALSE)*Tabla1[[#This Row],[Tiempo
(Hrs 00/100)]]*1.16</f>
        <v>348</v>
      </c>
    </row>
    <row r="1825" spans="1:26" ht="15" customHeight="1" x14ac:dyDescent="0.3">
      <c r="A1825" s="373" t="s">
        <v>22</v>
      </c>
      <c r="B1825" s="373" t="s">
        <v>305</v>
      </c>
      <c r="C1825" s="373" t="s">
        <v>257</v>
      </c>
      <c r="D1825" s="373"/>
      <c r="E1825" s="373" t="s">
        <v>408</v>
      </c>
      <c r="F1825" s="373" t="s">
        <v>72</v>
      </c>
      <c r="G1825" s="373" t="s">
        <v>3096</v>
      </c>
      <c r="H1825" s="461" t="s">
        <v>2774</v>
      </c>
      <c r="I1825" s="538" t="s">
        <v>2775</v>
      </c>
      <c r="J1825" s="729">
        <v>45170</v>
      </c>
      <c r="K1825" s="772">
        <v>0.625</v>
      </c>
      <c r="L1825" s="729">
        <v>45170</v>
      </c>
      <c r="M1825" s="772">
        <v>0.64583333333333337</v>
      </c>
      <c r="N1825" s="373">
        <v>0.5</v>
      </c>
      <c r="O1825" s="184" t="s">
        <v>17</v>
      </c>
      <c r="P1825" s="375" t="s">
        <v>3285</v>
      </c>
      <c r="Q1825" s="179" t="s">
        <v>1441</v>
      </c>
      <c r="R1825" s="31" t="s">
        <v>95</v>
      </c>
      <c r="S1825" s="31" t="s">
        <v>273</v>
      </c>
      <c r="T1825" s="31" t="s">
        <v>273</v>
      </c>
      <c r="U1825" s="31">
        <f>IFERROR(VLOOKUP(CONCATENATE(Tabla1[[#This Row],[Severidad]]," ",Tabla1[[#This Row],[Complejidad]]),Catalogos!E$120:G$128,3,FALSE),"")</f>
        <v>64</v>
      </c>
      <c r="V1825" s="31" t="str">
        <f>IF(Tabla1[[#This Row],[Tiempo solución max (hrs)]]&lt;&gt;"",IF(Tabla1[[#This Row],[Tiempo solución max (hrs)]]&gt;=Tabla1[[#This Row],[Tiempo
(Hrs 00/100)]],"cumple","no cumple"),"")</f>
        <v>cumple</v>
      </c>
      <c r="W1825" s="376" t="s">
        <v>2418</v>
      </c>
      <c r="X1825" s="377" t="str">
        <f t="shared" si="176"/>
        <v>SSI</v>
      </c>
      <c r="Y1825" t="str">
        <f>SUBSTITUTE(Tabla1[[#This Row],[Descripción]],CHAR(10),"    I    ")</f>
        <v>Se revisó documentación '7.17 Content Column SecureFiles LOB Encryption' de liga compartida de Simple Oracle Document Access (SODA)</v>
      </c>
      <c r="Z1825" s="142">
        <f>VLOOKUP(Tabla1[[#This Row],[Perfil]],Catalogos!$B$75:$D$100,3,FALSE)*Tabla1[[#This Row],[Tiempo
(Hrs 00/100)]]*1.16</f>
        <v>348</v>
      </c>
    </row>
    <row r="1826" spans="1:26" ht="15" customHeight="1" x14ac:dyDescent="0.3">
      <c r="A1826" s="373" t="s">
        <v>22</v>
      </c>
      <c r="B1826" s="373" t="s">
        <v>305</v>
      </c>
      <c r="C1826" s="373" t="s">
        <v>257</v>
      </c>
      <c r="D1826" s="373"/>
      <c r="E1826" s="373" t="s">
        <v>408</v>
      </c>
      <c r="F1826" s="373" t="s">
        <v>72</v>
      </c>
      <c r="G1826" s="373" t="s">
        <v>3097</v>
      </c>
      <c r="H1826" s="461" t="s">
        <v>2776</v>
      </c>
      <c r="I1826" s="538" t="s">
        <v>2777</v>
      </c>
      <c r="J1826" s="729">
        <v>45170</v>
      </c>
      <c r="K1826" s="772">
        <v>0.64583333333333337</v>
      </c>
      <c r="L1826" s="729">
        <v>45170</v>
      </c>
      <c r="M1826" s="772">
        <v>0.66666666666666663</v>
      </c>
      <c r="N1826" s="373">
        <v>0.5</v>
      </c>
      <c r="O1826" s="184" t="s">
        <v>17</v>
      </c>
      <c r="P1826" s="375" t="s">
        <v>3285</v>
      </c>
      <c r="Q1826" s="179" t="s">
        <v>1441</v>
      </c>
      <c r="R1826" s="31" t="s">
        <v>95</v>
      </c>
      <c r="S1826" s="31" t="s">
        <v>273</v>
      </c>
      <c r="T1826" s="31" t="s">
        <v>273</v>
      </c>
      <c r="U1826" s="31">
        <f>IFERROR(VLOOKUP(CONCATENATE(Tabla1[[#This Row],[Severidad]]," ",Tabla1[[#This Row],[Complejidad]]),Catalogos!E$120:G$128,3,FALSE),"")</f>
        <v>64</v>
      </c>
      <c r="V1826" s="31" t="str">
        <f>IF(Tabla1[[#This Row],[Tiempo solución max (hrs)]]&lt;&gt;"",IF(Tabla1[[#This Row],[Tiempo solución max (hrs)]]&gt;=Tabla1[[#This Row],[Tiempo
(Hrs 00/100)]],"cumple","no cumple"),"")</f>
        <v>cumple</v>
      </c>
      <c r="W1826" s="376" t="s">
        <v>2418</v>
      </c>
      <c r="X1826" s="377" t="str">
        <f t="shared" si="176"/>
        <v>SSI</v>
      </c>
      <c r="Y1826" t="str">
        <f>SUBSTITUTE(Tabla1[[#This Row],[Descripción]],CHAR(10),"    I    ")</f>
        <v>Se revisó documentación '7.18 Version Column Name' de liga compartida de Simple Oracle Document Access (SODA)</v>
      </c>
      <c r="Z1826" s="142">
        <f>VLOOKUP(Tabla1[[#This Row],[Perfil]],Catalogos!$B$75:$D$100,3,FALSE)*Tabla1[[#This Row],[Tiempo
(Hrs 00/100)]]*1.16</f>
        <v>348</v>
      </c>
    </row>
    <row r="1827" spans="1:26" ht="15" customHeight="1" x14ac:dyDescent="0.3">
      <c r="A1827" s="373" t="s">
        <v>22</v>
      </c>
      <c r="B1827" s="373" t="s">
        <v>305</v>
      </c>
      <c r="C1827" s="373" t="s">
        <v>257</v>
      </c>
      <c r="D1827" s="373"/>
      <c r="E1827" s="373" t="s">
        <v>408</v>
      </c>
      <c r="F1827" s="373" t="s">
        <v>72</v>
      </c>
      <c r="G1827" s="373" t="s">
        <v>3098</v>
      </c>
      <c r="H1827" s="461" t="s">
        <v>2778</v>
      </c>
      <c r="I1827" s="538" t="s">
        <v>2779</v>
      </c>
      <c r="J1827" s="729">
        <v>45170</v>
      </c>
      <c r="K1827" s="772">
        <v>0.66666666666666663</v>
      </c>
      <c r="L1827" s="729">
        <v>45170</v>
      </c>
      <c r="M1827" s="772">
        <v>0.6875</v>
      </c>
      <c r="N1827" s="373">
        <v>0.5</v>
      </c>
      <c r="O1827" s="184" t="s">
        <v>17</v>
      </c>
      <c r="P1827" s="375" t="s">
        <v>3285</v>
      </c>
      <c r="Q1827" s="179" t="s">
        <v>1441</v>
      </c>
      <c r="R1827" s="31" t="s">
        <v>95</v>
      </c>
      <c r="S1827" s="31" t="s">
        <v>273</v>
      </c>
      <c r="T1827" s="31" t="s">
        <v>273</v>
      </c>
      <c r="U1827" s="31">
        <f>IFERROR(VLOOKUP(CONCATENATE(Tabla1[[#This Row],[Severidad]]," ",Tabla1[[#This Row],[Complejidad]]),Catalogos!E$120:G$128,3,FALSE),"")</f>
        <v>64</v>
      </c>
      <c r="V1827" s="31" t="str">
        <f>IF(Tabla1[[#This Row],[Tiempo solución max (hrs)]]&lt;&gt;"",IF(Tabla1[[#This Row],[Tiempo solución max (hrs)]]&gt;=Tabla1[[#This Row],[Tiempo
(Hrs 00/100)]],"cumple","no cumple"),"")</f>
        <v>cumple</v>
      </c>
      <c r="W1827" s="376" t="s">
        <v>2418</v>
      </c>
      <c r="X1827" s="377" t="str">
        <f t="shared" si="176"/>
        <v>SSI</v>
      </c>
      <c r="Y1827" t="str">
        <f>SUBSTITUTE(Tabla1[[#This Row],[Descripción]],CHAR(10),"    I    ")</f>
        <v>Se revisó documentación '7.19 Version Column Generation Method' de liga compartida de Simple Oracle Document Access (SODA)</v>
      </c>
      <c r="Z1827" s="142">
        <f>VLOOKUP(Tabla1[[#This Row],[Perfil]],Catalogos!$B$75:$D$100,3,FALSE)*Tabla1[[#This Row],[Tiempo
(Hrs 00/100)]]*1.16</f>
        <v>348</v>
      </c>
    </row>
    <row r="1828" spans="1:26" ht="15" customHeight="1" x14ac:dyDescent="0.3">
      <c r="A1828" s="373" t="s">
        <v>22</v>
      </c>
      <c r="B1828" s="373" t="s">
        <v>305</v>
      </c>
      <c r="C1828" s="373" t="s">
        <v>257</v>
      </c>
      <c r="D1828" s="373"/>
      <c r="E1828" s="373" t="s">
        <v>408</v>
      </c>
      <c r="F1828" s="373" t="s">
        <v>72</v>
      </c>
      <c r="G1828" s="373" t="s">
        <v>3099</v>
      </c>
      <c r="H1828" s="461" t="s">
        <v>2780</v>
      </c>
      <c r="I1828" s="538" t="s">
        <v>2781</v>
      </c>
      <c r="J1828" s="729">
        <v>45170</v>
      </c>
      <c r="K1828" s="772">
        <v>0.6875</v>
      </c>
      <c r="L1828" s="729">
        <v>45170</v>
      </c>
      <c r="M1828" s="772">
        <v>0.70833333333333337</v>
      </c>
      <c r="N1828" s="373">
        <v>0.5</v>
      </c>
      <c r="O1828" s="184" t="s">
        <v>17</v>
      </c>
      <c r="P1828" s="375" t="s">
        <v>3285</v>
      </c>
      <c r="Q1828" s="179" t="s">
        <v>1441</v>
      </c>
      <c r="R1828" s="31" t="s">
        <v>95</v>
      </c>
      <c r="S1828" s="31" t="s">
        <v>273</v>
      </c>
      <c r="T1828" s="31" t="s">
        <v>273</v>
      </c>
      <c r="U1828" s="31">
        <f>IFERROR(VLOOKUP(CONCATENATE(Tabla1[[#This Row],[Severidad]]," ",Tabla1[[#This Row],[Complejidad]]),Catalogos!E$120:G$128,3,FALSE),"")</f>
        <v>64</v>
      </c>
      <c r="V1828" s="31" t="str">
        <f>IF(Tabla1[[#This Row],[Tiempo solución max (hrs)]]&lt;&gt;"",IF(Tabla1[[#This Row],[Tiempo solución max (hrs)]]&gt;=Tabla1[[#This Row],[Tiempo
(Hrs 00/100)]],"cumple","no cumple"),"")</f>
        <v>cumple</v>
      </c>
      <c r="W1828" s="376" t="s">
        <v>2418</v>
      </c>
      <c r="X1828" s="377" t="str">
        <f t="shared" si="176"/>
        <v>SSI</v>
      </c>
      <c r="Y1828" t="str">
        <f>SUBSTITUTE(Tabla1[[#This Row],[Descripción]],CHAR(10),"    I    ")</f>
        <v>Se revisó documentación '7.20 Last-Modified Time Stamp Column Name' de liga compartida de Simple Oracle Document Access (SODA)</v>
      </c>
      <c r="Z1828" s="142">
        <f>VLOOKUP(Tabla1[[#This Row],[Perfil]],Catalogos!$B$75:$D$100,3,FALSE)*Tabla1[[#This Row],[Tiempo
(Hrs 00/100)]]*1.16</f>
        <v>348</v>
      </c>
    </row>
    <row r="1829" spans="1:26" ht="15" customHeight="1" x14ac:dyDescent="0.3">
      <c r="A1829" s="373" t="s">
        <v>22</v>
      </c>
      <c r="B1829" s="373" t="s">
        <v>305</v>
      </c>
      <c r="C1829" s="373" t="s">
        <v>257</v>
      </c>
      <c r="D1829" s="373"/>
      <c r="E1829" s="373" t="s">
        <v>408</v>
      </c>
      <c r="F1829" s="373" t="s">
        <v>72</v>
      </c>
      <c r="G1829" s="373" t="s">
        <v>3100</v>
      </c>
      <c r="H1829" s="461" t="s">
        <v>2782</v>
      </c>
      <c r="I1829" s="538" t="s">
        <v>2783</v>
      </c>
      <c r="J1829" s="729">
        <v>45170</v>
      </c>
      <c r="K1829" s="772">
        <v>0.70833333333333337</v>
      </c>
      <c r="L1829" s="729">
        <v>45170</v>
      </c>
      <c r="M1829" s="772">
        <v>0.72916666666666663</v>
      </c>
      <c r="N1829" s="373">
        <v>0.5</v>
      </c>
      <c r="O1829" s="184" t="s">
        <v>17</v>
      </c>
      <c r="P1829" s="375" t="s">
        <v>3285</v>
      </c>
      <c r="Q1829" s="179" t="s">
        <v>1441</v>
      </c>
      <c r="R1829" s="31" t="s">
        <v>95</v>
      </c>
      <c r="S1829" s="31" t="s">
        <v>273</v>
      </c>
      <c r="T1829" s="31" t="s">
        <v>273</v>
      </c>
      <c r="U1829" s="31">
        <f>IFERROR(VLOOKUP(CONCATENATE(Tabla1[[#This Row],[Severidad]]," ",Tabla1[[#This Row],[Complejidad]]),Catalogos!E$120:G$128,3,FALSE),"")</f>
        <v>64</v>
      </c>
      <c r="V1829" s="31" t="str">
        <f>IF(Tabla1[[#This Row],[Tiempo solución max (hrs)]]&lt;&gt;"",IF(Tabla1[[#This Row],[Tiempo solución max (hrs)]]&gt;=Tabla1[[#This Row],[Tiempo
(Hrs 00/100)]],"cumple","no cumple"),"")</f>
        <v>cumple</v>
      </c>
      <c r="W1829" s="376" t="s">
        <v>2418</v>
      </c>
      <c r="X1829" s="377" t="str">
        <f t="shared" si="176"/>
        <v>SSI</v>
      </c>
      <c r="Y1829" t="str">
        <f>SUBSTITUTE(Tabla1[[#This Row],[Descripción]],CHAR(10),"    I    ")</f>
        <v>Se revisó documentación '7.21 Last-Modified Column Index Name' de liga compartida de Simple Oracle Document Access (SODA)</v>
      </c>
      <c r="Z1829" s="142">
        <f>VLOOKUP(Tabla1[[#This Row],[Perfil]],Catalogos!$B$75:$D$100,3,FALSE)*Tabla1[[#This Row],[Tiempo
(Hrs 00/100)]]*1.16</f>
        <v>348</v>
      </c>
    </row>
    <row r="1830" spans="1:26" ht="15" customHeight="1" x14ac:dyDescent="0.3">
      <c r="A1830" s="373" t="s">
        <v>22</v>
      </c>
      <c r="B1830" s="373" t="s">
        <v>305</v>
      </c>
      <c r="C1830" s="373" t="s">
        <v>257</v>
      </c>
      <c r="D1830" s="373"/>
      <c r="E1830" s="373" t="s">
        <v>408</v>
      </c>
      <c r="F1830" s="373" t="s">
        <v>72</v>
      </c>
      <c r="G1830" s="373" t="s">
        <v>3101</v>
      </c>
      <c r="H1830" s="461" t="s">
        <v>2784</v>
      </c>
      <c r="I1830" s="538" t="s">
        <v>2785</v>
      </c>
      <c r="J1830" s="729">
        <v>45170</v>
      </c>
      <c r="K1830" s="772">
        <v>0.72916666666666663</v>
      </c>
      <c r="L1830" s="729">
        <v>45170</v>
      </c>
      <c r="M1830" s="772">
        <v>0.75</v>
      </c>
      <c r="N1830" s="373">
        <v>0.5</v>
      </c>
      <c r="O1830" s="184" t="s">
        <v>17</v>
      </c>
      <c r="P1830" s="375" t="s">
        <v>3285</v>
      </c>
      <c r="Q1830" s="179" t="s">
        <v>1441</v>
      </c>
      <c r="R1830" s="31" t="s">
        <v>95</v>
      </c>
      <c r="S1830" s="31" t="s">
        <v>273</v>
      </c>
      <c r="T1830" s="31" t="s">
        <v>273</v>
      </c>
      <c r="U1830" s="31">
        <f>IFERROR(VLOOKUP(CONCATENATE(Tabla1[[#This Row],[Severidad]]," ",Tabla1[[#This Row],[Complejidad]]),Catalogos!E$120:G$128,3,FALSE),"")</f>
        <v>64</v>
      </c>
      <c r="V1830" s="31" t="str">
        <f>IF(Tabla1[[#This Row],[Tiempo solución max (hrs)]]&lt;&gt;"",IF(Tabla1[[#This Row],[Tiempo solución max (hrs)]]&gt;=Tabla1[[#This Row],[Tiempo
(Hrs 00/100)]],"cumple","no cumple"),"")</f>
        <v>cumple</v>
      </c>
      <c r="W1830" s="376" t="s">
        <v>2418</v>
      </c>
      <c r="X1830" s="377" t="str">
        <f t="shared" si="176"/>
        <v>SSI</v>
      </c>
      <c r="Y1830" t="str">
        <f>SUBSTITUTE(Tabla1[[#This Row],[Descripción]],CHAR(10),"    I    ")</f>
        <v>Se revisó documentación '7.22 Creation Time Stamp Column Name' de liga compartida de Simple Oracle Document Access (SODA)</v>
      </c>
      <c r="Z1830" s="142">
        <f>VLOOKUP(Tabla1[[#This Row],[Perfil]],Catalogos!$B$75:$D$100,3,FALSE)*Tabla1[[#This Row],[Tiempo
(Hrs 00/100)]]*1.16</f>
        <v>348</v>
      </c>
    </row>
    <row r="1831" spans="1:26" ht="15" customHeight="1" x14ac:dyDescent="0.3">
      <c r="A1831" s="373" t="s">
        <v>22</v>
      </c>
      <c r="B1831" s="373" t="s">
        <v>305</v>
      </c>
      <c r="C1831" s="373" t="s">
        <v>257</v>
      </c>
      <c r="D1831" s="373"/>
      <c r="E1831" s="373" t="s">
        <v>408</v>
      </c>
      <c r="F1831" s="373" t="s">
        <v>72</v>
      </c>
      <c r="G1831" s="373" t="s">
        <v>3102</v>
      </c>
      <c r="H1831" s="461" t="s">
        <v>2787</v>
      </c>
      <c r="I1831" s="538" t="s">
        <v>2788</v>
      </c>
      <c r="J1831" s="729">
        <v>45173</v>
      </c>
      <c r="K1831" s="772">
        <v>0.375</v>
      </c>
      <c r="L1831" s="729">
        <v>45173</v>
      </c>
      <c r="M1831" s="772">
        <v>0.39583333333333331</v>
      </c>
      <c r="N1831" s="373">
        <v>0.5</v>
      </c>
      <c r="O1831" s="184" t="s">
        <v>17</v>
      </c>
      <c r="P1831" s="375" t="s">
        <v>3285</v>
      </c>
      <c r="Q1831" s="179" t="s">
        <v>1441</v>
      </c>
      <c r="R1831" s="31" t="s">
        <v>95</v>
      </c>
      <c r="S1831" s="31" t="s">
        <v>273</v>
      </c>
      <c r="T1831" s="31" t="s">
        <v>273</v>
      </c>
      <c r="U1831" s="31">
        <f>IFERROR(VLOOKUP(CONCATENATE(Tabla1[[#This Row],[Severidad]]," ",Tabla1[[#This Row],[Complejidad]]),Catalogos!E$120:G$128,3,FALSE),"")</f>
        <v>64</v>
      </c>
      <c r="V1831" s="31" t="str">
        <f>IF(Tabla1[[#This Row],[Tiempo solución max (hrs)]]&lt;&gt;"",IF(Tabla1[[#This Row],[Tiempo solución max (hrs)]]&gt;=Tabla1[[#This Row],[Tiempo
(Hrs 00/100)]],"cumple","no cumple"),"")</f>
        <v>cumple</v>
      </c>
      <c r="W1831" s="376" t="s">
        <v>2418</v>
      </c>
      <c r="X1831" s="377" t="str">
        <f t="shared" si="176"/>
        <v>SSI</v>
      </c>
      <c r="Y1831" t="str">
        <f>SUBSTITUTE(Tabla1[[#This Row],[Descripción]],CHAR(10),"    I    ")</f>
        <v>Se revisó documentación '7.23 Media Type Column Name' de liga compartida de Simple Oracle Document Access (SODA)</v>
      </c>
      <c r="Z1831" s="142">
        <f>VLOOKUP(Tabla1[[#This Row],[Perfil]],Catalogos!$B$75:$D$100,3,FALSE)*Tabla1[[#This Row],[Tiempo
(Hrs 00/100)]]*1.16</f>
        <v>348</v>
      </c>
    </row>
    <row r="1832" spans="1:26" ht="15" customHeight="1" x14ac:dyDescent="0.3">
      <c r="A1832" s="373" t="s">
        <v>22</v>
      </c>
      <c r="B1832" s="373" t="s">
        <v>305</v>
      </c>
      <c r="C1832" s="373" t="s">
        <v>257</v>
      </c>
      <c r="D1832" s="373"/>
      <c r="E1832" s="373" t="s">
        <v>408</v>
      </c>
      <c r="F1832" s="373" t="s">
        <v>72</v>
      </c>
      <c r="G1832" s="373" t="s">
        <v>3103</v>
      </c>
      <c r="H1832" s="461" t="s">
        <v>2789</v>
      </c>
      <c r="I1832" s="538" t="s">
        <v>2790</v>
      </c>
      <c r="J1832" s="729">
        <v>45173</v>
      </c>
      <c r="K1832" s="772">
        <v>0.39583333333333331</v>
      </c>
      <c r="L1832" s="729">
        <v>45173</v>
      </c>
      <c r="M1832" s="772">
        <v>0.41666666666666669</v>
      </c>
      <c r="N1832" s="373">
        <v>0.5</v>
      </c>
      <c r="O1832" s="184" t="s">
        <v>17</v>
      </c>
      <c r="P1832" s="375" t="s">
        <v>3285</v>
      </c>
      <c r="Q1832" s="179" t="s">
        <v>1441</v>
      </c>
      <c r="R1832" s="31" t="s">
        <v>95</v>
      </c>
      <c r="S1832" s="31" t="s">
        <v>273</v>
      </c>
      <c r="T1832" s="31" t="s">
        <v>273</v>
      </c>
      <c r="U1832" s="31">
        <f>IFERROR(VLOOKUP(CONCATENATE(Tabla1[[#This Row],[Severidad]]," ",Tabla1[[#This Row],[Complejidad]]),Catalogos!E$120:G$128,3,FALSE),"")</f>
        <v>64</v>
      </c>
      <c r="V1832" s="31" t="str">
        <f>IF(Tabla1[[#This Row],[Tiempo solución max (hrs)]]&lt;&gt;"",IF(Tabla1[[#This Row],[Tiempo solución max (hrs)]]&gt;=Tabla1[[#This Row],[Tiempo
(Hrs 00/100)]],"cumple","no cumple"),"")</f>
        <v>cumple</v>
      </c>
      <c r="W1832" s="376" t="s">
        <v>2418</v>
      </c>
      <c r="X1832" s="377" t="str">
        <f t="shared" si="176"/>
        <v>SSI</v>
      </c>
      <c r="Y1832" t="str">
        <f>SUBSTITUTE(Tabla1[[#This Row],[Descripción]],CHAR(10),"    I    ")</f>
        <v>Se revisó documentación '7.24 Read Only' de liga compartida de Simple Oracle Document Access (SODA)</v>
      </c>
      <c r="Z1832" s="142">
        <f>VLOOKUP(Tabla1[[#This Row],[Perfil]],Catalogos!$B$75:$D$100,3,FALSE)*Tabla1[[#This Row],[Tiempo
(Hrs 00/100)]]*1.16</f>
        <v>348</v>
      </c>
    </row>
    <row r="1833" spans="1:26" ht="15" customHeight="1" x14ac:dyDescent="0.3">
      <c r="A1833" s="373" t="s">
        <v>22</v>
      </c>
      <c r="B1833" s="373" t="s">
        <v>305</v>
      </c>
      <c r="C1833" s="373" t="s">
        <v>257</v>
      </c>
      <c r="D1833" s="373"/>
      <c r="E1833" s="373" t="s">
        <v>408</v>
      </c>
      <c r="F1833" s="373" t="s">
        <v>72</v>
      </c>
      <c r="G1833" s="373" t="s">
        <v>3104</v>
      </c>
      <c r="H1833" s="461" t="s">
        <v>2791</v>
      </c>
      <c r="I1833" s="538" t="s">
        <v>2792</v>
      </c>
      <c r="J1833" s="729">
        <v>45173</v>
      </c>
      <c r="K1833" s="772">
        <v>0.41666666666666669</v>
      </c>
      <c r="L1833" s="729">
        <v>45173</v>
      </c>
      <c r="M1833" s="772">
        <v>0.4375</v>
      </c>
      <c r="N1833" s="373">
        <v>0.5</v>
      </c>
      <c r="O1833" s="184" t="s">
        <v>17</v>
      </c>
      <c r="P1833" s="375" t="s">
        <v>3285</v>
      </c>
      <c r="Q1833" s="179" t="s">
        <v>1441</v>
      </c>
      <c r="R1833" s="31" t="s">
        <v>95</v>
      </c>
      <c r="S1833" s="31" t="s">
        <v>273</v>
      </c>
      <c r="T1833" s="31" t="s">
        <v>273</v>
      </c>
      <c r="U1833" s="31">
        <f>IFERROR(VLOOKUP(CONCATENATE(Tabla1[[#This Row],[Severidad]]," ",Tabla1[[#This Row],[Complejidad]]),Catalogos!E$120:G$128,3,FALSE),"")</f>
        <v>64</v>
      </c>
      <c r="V1833" s="31" t="str">
        <f>IF(Tabla1[[#This Row],[Tiempo solución max (hrs)]]&lt;&gt;"",IF(Tabla1[[#This Row],[Tiempo solución max (hrs)]]&gt;=Tabla1[[#This Row],[Tiempo
(Hrs 00/100)]],"cumple","no cumple"),"")</f>
        <v>cumple</v>
      </c>
      <c r="W1833" s="376" t="s">
        <v>2418</v>
      </c>
      <c r="X1833" s="377" t="str">
        <f t="shared" si="176"/>
        <v>SSI</v>
      </c>
      <c r="Y1833" t="str">
        <f>SUBSTITUTE(Tabla1[[#This Row],[Descripción]],CHAR(10),"    I    ")</f>
        <v>Se revisó documentación '3 Overview of SODA Indexing' de liga compartida de Simple Oracle Document Access (SODA)</v>
      </c>
      <c r="Z1833" s="142">
        <f>VLOOKUP(Tabla1[[#This Row],[Perfil]],Catalogos!$B$75:$D$100,3,FALSE)*Tabla1[[#This Row],[Tiempo
(Hrs 00/100)]]*1.16</f>
        <v>348</v>
      </c>
    </row>
    <row r="1834" spans="1:26" ht="15" customHeight="1" x14ac:dyDescent="0.3">
      <c r="A1834" s="373" t="s">
        <v>22</v>
      </c>
      <c r="B1834" s="373" t="s">
        <v>305</v>
      </c>
      <c r="C1834" s="373" t="s">
        <v>257</v>
      </c>
      <c r="D1834" s="373"/>
      <c r="E1834" s="373" t="s">
        <v>408</v>
      </c>
      <c r="F1834" s="373" t="s">
        <v>72</v>
      </c>
      <c r="G1834" s="373" t="s">
        <v>3105</v>
      </c>
      <c r="H1834" s="461" t="s">
        <v>2793</v>
      </c>
      <c r="I1834" s="538" t="s">
        <v>2794</v>
      </c>
      <c r="J1834" s="729">
        <v>45173</v>
      </c>
      <c r="K1834" s="772">
        <v>0.4375</v>
      </c>
      <c r="L1834" s="729">
        <v>45173</v>
      </c>
      <c r="M1834" s="772">
        <v>0.45833333333333331</v>
      </c>
      <c r="N1834" s="373">
        <v>0.5</v>
      </c>
      <c r="O1834" s="184" t="s">
        <v>17</v>
      </c>
      <c r="P1834" s="375" t="s">
        <v>3285</v>
      </c>
      <c r="Q1834" s="179" t="s">
        <v>1441</v>
      </c>
      <c r="R1834" s="31" t="s">
        <v>95</v>
      </c>
      <c r="S1834" s="31" t="s">
        <v>273</v>
      </c>
      <c r="T1834" s="31" t="s">
        <v>273</v>
      </c>
      <c r="U1834" s="31">
        <f>IFERROR(VLOOKUP(CONCATENATE(Tabla1[[#This Row],[Severidad]]," ",Tabla1[[#This Row],[Complejidad]]),Catalogos!E$120:G$128,3,FALSE),"")</f>
        <v>64</v>
      </c>
      <c r="V1834" s="31" t="str">
        <f>IF(Tabla1[[#This Row],[Tiempo solución max (hrs)]]&lt;&gt;"",IF(Tabla1[[#This Row],[Tiempo solución max (hrs)]]&gt;=Tabla1[[#This Row],[Tiempo
(Hrs 00/100)]],"cumple","no cumple"),"")</f>
        <v>cumple</v>
      </c>
      <c r="W1834" s="376" t="s">
        <v>2418</v>
      </c>
      <c r="X1834" s="377" t="str">
        <f t="shared" si="176"/>
        <v>SSI</v>
      </c>
      <c r="Y1834" t="str">
        <f>SUBSTITUTE(Tabla1[[#This Row],[Descripción]],CHAR(10),"    I    ")</f>
        <v>Se revisó documentación '5 SODA Filter Specifications (Reference)' de liga compartida de Simple Oracle Document Access (SODA)</v>
      </c>
      <c r="Z1834" s="142">
        <f>VLOOKUP(Tabla1[[#This Row],[Perfil]],Catalogos!$B$75:$D$100,3,FALSE)*Tabla1[[#This Row],[Tiempo
(Hrs 00/100)]]*1.16</f>
        <v>348</v>
      </c>
    </row>
    <row r="1835" spans="1:26" ht="15" customHeight="1" x14ac:dyDescent="0.3">
      <c r="A1835" s="373" t="s">
        <v>22</v>
      </c>
      <c r="B1835" s="373" t="s">
        <v>305</v>
      </c>
      <c r="C1835" s="373" t="s">
        <v>257</v>
      </c>
      <c r="D1835" s="373"/>
      <c r="E1835" s="373" t="s">
        <v>408</v>
      </c>
      <c r="F1835" s="373" t="s">
        <v>72</v>
      </c>
      <c r="G1835" s="373" t="s">
        <v>3106</v>
      </c>
      <c r="H1835" s="461" t="s">
        <v>2795</v>
      </c>
      <c r="I1835" s="538" t="s">
        <v>2796</v>
      </c>
      <c r="J1835" s="729">
        <v>45173</v>
      </c>
      <c r="K1835" s="772">
        <v>0.45833333333333331</v>
      </c>
      <c r="L1835" s="729">
        <v>45173</v>
      </c>
      <c r="M1835" s="772">
        <v>0.47916666666666669</v>
      </c>
      <c r="N1835" s="373">
        <v>0.5</v>
      </c>
      <c r="O1835" s="184" t="s">
        <v>17</v>
      </c>
      <c r="P1835" s="375" t="s">
        <v>3285</v>
      </c>
      <c r="Q1835" s="179" t="s">
        <v>1441</v>
      </c>
      <c r="R1835" s="31" t="s">
        <v>95</v>
      </c>
      <c r="S1835" s="31" t="s">
        <v>273</v>
      </c>
      <c r="T1835" s="31" t="s">
        <v>273</v>
      </c>
      <c r="U1835" s="31">
        <f>IFERROR(VLOOKUP(CONCATENATE(Tabla1[[#This Row],[Severidad]]," ",Tabla1[[#This Row],[Complejidad]]),Catalogos!E$120:G$128,3,FALSE),"")</f>
        <v>64</v>
      </c>
      <c r="V1835" s="31" t="str">
        <f>IF(Tabla1[[#This Row],[Tiempo solución max (hrs)]]&lt;&gt;"",IF(Tabla1[[#This Row],[Tiempo solución max (hrs)]]&gt;=Tabla1[[#This Row],[Tiempo
(Hrs 00/100)]],"cumple","no cumple"),"")</f>
        <v>cumple</v>
      </c>
      <c r="W1835" s="376" t="s">
        <v>2418</v>
      </c>
      <c r="X1835" s="377" t="str">
        <f t="shared" si="176"/>
        <v>SSI</v>
      </c>
      <c r="Y1835" t="str">
        <f>SUBSTITUTE(Tabla1[[#This Row],[Descripción]],CHAR(10),"    I    ")</f>
        <v>Se revisó documentación '5.1 Composite Filters (Reference)' de liga compartida de Simple Oracle Document Access (SODA)</v>
      </c>
      <c r="Z1835" s="142">
        <f>VLOOKUP(Tabla1[[#This Row],[Perfil]],Catalogos!$B$75:$D$100,3,FALSE)*Tabla1[[#This Row],[Tiempo
(Hrs 00/100)]]*1.16</f>
        <v>348</v>
      </c>
    </row>
    <row r="1836" spans="1:26" ht="15" customHeight="1" x14ac:dyDescent="0.3">
      <c r="A1836" s="373" t="s">
        <v>22</v>
      </c>
      <c r="B1836" s="373" t="s">
        <v>305</v>
      </c>
      <c r="C1836" s="373" t="s">
        <v>257</v>
      </c>
      <c r="D1836" s="373"/>
      <c r="E1836" s="373" t="s">
        <v>408</v>
      </c>
      <c r="F1836" s="373" t="s">
        <v>72</v>
      </c>
      <c r="G1836" s="373" t="s">
        <v>3107</v>
      </c>
      <c r="H1836" s="461" t="s">
        <v>2797</v>
      </c>
      <c r="I1836" s="538" t="s">
        <v>2798</v>
      </c>
      <c r="J1836" s="729">
        <v>45173</v>
      </c>
      <c r="K1836" s="772">
        <v>0.47916666666666669</v>
      </c>
      <c r="L1836" s="729">
        <v>45173</v>
      </c>
      <c r="M1836" s="772">
        <v>0.5</v>
      </c>
      <c r="N1836" s="373">
        <v>0.5</v>
      </c>
      <c r="O1836" s="184" t="s">
        <v>17</v>
      </c>
      <c r="P1836" s="375" t="s">
        <v>3285</v>
      </c>
      <c r="Q1836" s="179" t="s">
        <v>1441</v>
      </c>
      <c r="R1836" s="31" t="s">
        <v>95</v>
      </c>
      <c r="S1836" s="31" t="s">
        <v>273</v>
      </c>
      <c r="T1836" s="31" t="s">
        <v>273</v>
      </c>
      <c r="U1836" s="31">
        <f>IFERROR(VLOOKUP(CONCATENATE(Tabla1[[#This Row],[Severidad]]," ",Tabla1[[#This Row],[Complejidad]]),Catalogos!E$120:G$128,3,FALSE),"")</f>
        <v>64</v>
      </c>
      <c r="V1836" s="31" t="str">
        <f>IF(Tabla1[[#This Row],[Tiempo solución max (hrs)]]&lt;&gt;"",IF(Tabla1[[#This Row],[Tiempo solución max (hrs)]]&gt;=Tabla1[[#This Row],[Tiempo
(Hrs 00/100)]],"cumple","no cumple"),"")</f>
        <v>cumple</v>
      </c>
      <c r="W1836" s="376" t="s">
        <v>2418</v>
      </c>
      <c r="X1836" s="377" t="str">
        <f t="shared" si="176"/>
        <v>SSI</v>
      </c>
      <c r="Y1836" t="str">
        <f>SUBSTITUTE(Tabla1[[#This Row],[Descripción]],CHAR(10),"    I    ")</f>
        <v>Se revisó documentación '5.1.1 Orderby Clause Sorts Selected Objects' de liga compartida de Simple Oracle Document Access (SODA)</v>
      </c>
      <c r="Z1836" s="142">
        <f>VLOOKUP(Tabla1[[#This Row],[Perfil]],Catalogos!$B$75:$D$100,3,FALSE)*Tabla1[[#This Row],[Tiempo
(Hrs 00/100)]]*1.16</f>
        <v>348</v>
      </c>
    </row>
    <row r="1837" spans="1:26" ht="15" customHeight="1" x14ac:dyDescent="0.3">
      <c r="A1837" s="373" t="s">
        <v>22</v>
      </c>
      <c r="B1837" s="373" t="s">
        <v>305</v>
      </c>
      <c r="C1837" s="373" t="s">
        <v>257</v>
      </c>
      <c r="D1837" s="373"/>
      <c r="E1837" s="373" t="s">
        <v>408</v>
      </c>
      <c r="F1837" s="373" t="s">
        <v>72</v>
      </c>
      <c r="G1837" s="373" t="s">
        <v>3108</v>
      </c>
      <c r="H1837" s="461" t="s">
        <v>2799</v>
      </c>
      <c r="I1837" s="538" t="s">
        <v>2800</v>
      </c>
      <c r="J1837" s="729">
        <v>45173</v>
      </c>
      <c r="K1837" s="772">
        <v>0.5</v>
      </c>
      <c r="L1837" s="729">
        <v>45173</v>
      </c>
      <c r="M1837" s="772">
        <v>0.52083333333333337</v>
      </c>
      <c r="N1837" s="373">
        <v>0.5</v>
      </c>
      <c r="O1837" s="184" t="s">
        <v>17</v>
      </c>
      <c r="P1837" s="375" t="s">
        <v>3285</v>
      </c>
      <c r="Q1837" s="179" t="s">
        <v>1441</v>
      </c>
      <c r="R1837" s="31" t="s">
        <v>95</v>
      </c>
      <c r="S1837" s="31" t="s">
        <v>273</v>
      </c>
      <c r="T1837" s="31" t="s">
        <v>273</v>
      </c>
      <c r="U1837" s="31">
        <f>IFERROR(VLOOKUP(CONCATENATE(Tabla1[[#This Row],[Severidad]]," ",Tabla1[[#This Row],[Complejidad]]),Catalogos!E$120:G$128,3,FALSE),"")</f>
        <v>64</v>
      </c>
      <c r="V1837" s="31" t="str">
        <f>IF(Tabla1[[#This Row],[Tiempo solución max (hrs)]]&lt;&gt;"",IF(Tabla1[[#This Row],[Tiempo solución max (hrs)]]&gt;=Tabla1[[#This Row],[Tiempo
(Hrs 00/100)]],"cumple","no cumple"),"")</f>
        <v>cumple</v>
      </c>
      <c r="W1837" s="376" t="s">
        <v>2418</v>
      </c>
      <c r="X1837" s="377" t="str">
        <f t="shared" si="176"/>
        <v>SSI</v>
      </c>
      <c r="Y1837" t="str">
        <f>SUBSTITUTE(Tabla1[[#This Row],[Descripción]],CHAR(10),"    I    ")</f>
        <v>Se revisó documentación '5.2 Filter Conditions (Reference)' de liga compartida de Simple Oracle Document Access (SODA)</v>
      </c>
      <c r="Z1837" s="142">
        <f>VLOOKUP(Tabla1[[#This Row],[Perfil]],Catalogos!$B$75:$D$100,3,FALSE)*Tabla1[[#This Row],[Tiempo
(Hrs 00/100)]]*1.16</f>
        <v>348</v>
      </c>
    </row>
    <row r="1838" spans="1:26" ht="15" customHeight="1" x14ac:dyDescent="0.3">
      <c r="A1838" s="373" t="s">
        <v>22</v>
      </c>
      <c r="B1838" s="373" t="s">
        <v>305</v>
      </c>
      <c r="C1838" s="373" t="s">
        <v>257</v>
      </c>
      <c r="D1838" s="373"/>
      <c r="E1838" s="373" t="s">
        <v>408</v>
      </c>
      <c r="F1838" s="373" t="s">
        <v>72</v>
      </c>
      <c r="G1838" s="373" t="s">
        <v>3109</v>
      </c>
      <c r="H1838" s="461" t="s">
        <v>2801</v>
      </c>
      <c r="I1838" s="538" t="s">
        <v>2802</v>
      </c>
      <c r="J1838" s="729">
        <v>45173</v>
      </c>
      <c r="K1838" s="772">
        <v>0.52083333333333337</v>
      </c>
      <c r="L1838" s="729">
        <v>45173</v>
      </c>
      <c r="M1838" s="772">
        <v>0.54166666666666663</v>
      </c>
      <c r="N1838" s="373">
        <v>0.5</v>
      </c>
      <c r="O1838" s="184" t="s">
        <v>17</v>
      </c>
      <c r="P1838" s="375" t="s">
        <v>3285</v>
      </c>
      <c r="Q1838" s="179" t="s">
        <v>1441</v>
      </c>
      <c r="R1838" s="31" t="s">
        <v>95</v>
      </c>
      <c r="S1838" s="31" t="s">
        <v>273</v>
      </c>
      <c r="T1838" s="31" t="s">
        <v>273</v>
      </c>
      <c r="U1838" s="31">
        <f>IFERROR(VLOOKUP(CONCATENATE(Tabla1[[#This Row],[Severidad]]," ",Tabla1[[#This Row],[Complejidad]]),Catalogos!E$120:G$128,3,FALSE),"")</f>
        <v>64</v>
      </c>
      <c r="V1838" s="31" t="str">
        <f>IF(Tabla1[[#This Row],[Tiempo solución max (hrs)]]&lt;&gt;"",IF(Tabla1[[#This Row],[Tiempo solución max (hrs)]]&gt;=Tabla1[[#This Row],[Tiempo
(Hrs 00/100)]],"cumple","no cumple"),"")</f>
        <v>cumple</v>
      </c>
      <c r="W1838" s="376" t="s">
        <v>2418</v>
      </c>
      <c r="X1838" s="377" t="str">
        <f t="shared" si="176"/>
        <v>SSI</v>
      </c>
      <c r="Y1838" t="str">
        <f>SUBSTITUTE(Tabla1[[#This Row],[Descripción]],CHAR(10),"    I    ")</f>
        <v>Se revisó documentación '5.2.1 Scalar-Equality Clause (Reference)' de liga compartida de Simple Oracle Document Access (SODA)</v>
      </c>
      <c r="Z1838" s="142">
        <f>VLOOKUP(Tabla1[[#This Row],[Perfil]],Catalogos!$B$75:$D$100,3,FALSE)*Tabla1[[#This Row],[Tiempo
(Hrs 00/100)]]*1.16</f>
        <v>348</v>
      </c>
    </row>
    <row r="1839" spans="1:26" ht="15" customHeight="1" x14ac:dyDescent="0.3">
      <c r="A1839" s="373" t="s">
        <v>22</v>
      </c>
      <c r="B1839" s="373" t="s">
        <v>305</v>
      </c>
      <c r="C1839" s="373" t="s">
        <v>257</v>
      </c>
      <c r="D1839" s="373"/>
      <c r="E1839" s="373" t="s">
        <v>408</v>
      </c>
      <c r="F1839" s="373" t="s">
        <v>72</v>
      </c>
      <c r="G1839" s="373" t="s">
        <v>3110</v>
      </c>
      <c r="H1839" s="461" t="s">
        <v>2803</v>
      </c>
      <c r="I1839" s="538" t="s">
        <v>2804</v>
      </c>
      <c r="J1839" s="729">
        <v>45173</v>
      </c>
      <c r="K1839" s="772">
        <v>0.54166666666666663</v>
      </c>
      <c r="L1839" s="729">
        <v>45173</v>
      </c>
      <c r="M1839" s="772">
        <v>0.5625</v>
      </c>
      <c r="N1839" s="373">
        <v>0.5</v>
      </c>
      <c r="O1839" s="184" t="s">
        <v>17</v>
      </c>
      <c r="P1839" s="375" t="s">
        <v>3285</v>
      </c>
      <c r="Q1839" s="179" t="s">
        <v>1441</v>
      </c>
      <c r="R1839" s="31" t="s">
        <v>95</v>
      </c>
      <c r="S1839" s="31" t="s">
        <v>273</v>
      </c>
      <c r="T1839" s="31" t="s">
        <v>273</v>
      </c>
      <c r="U1839" s="31">
        <f>IFERROR(VLOOKUP(CONCATENATE(Tabla1[[#This Row],[Severidad]]," ",Tabla1[[#This Row],[Complejidad]]),Catalogos!E$120:G$128,3,FALSE),"")</f>
        <v>64</v>
      </c>
      <c r="V1839" s="31" t="str">
        <f>IF(Tabla1[[#This Row],[Tiempo solución max (hrs)]]&lt;&gt;"",IF(Tabla1[[#This Row],[Tiempo solución max (hrs)]]&gt;=Tabla1[[#This Row],[Tiempo
(Hrs 00/100)]],"cumple","no cumple"),"")</f>
        <v>cumple</v>
      </c>
      <c r="W1839" s="376" t="s">
        <v>2418</v>
      </c>
      <c r="X1839" s="377" t="str">
        <f t="shared" si="176"/>
        <v>SSI</v>
      </c>
      <c r="Y1839" t="str">
        <f>SUBSTITUTE(Tabla1[[#This Row],[Descripción]],CHAR(10),"    I    ")</f>
        <v>Se revisó documentación '5.2.2 Field-Condition Clause (Reference)' de liga compartida de Simple Oracle Document Access (SODA)</v>
      </c>
      <c r="Z1839" s="142">
        <f>VLOOKUP(Tabla1[[#This Row],[Perfil]],Catalogos!$B$75:$D$100,3,FALSE)*Tabla1[[#This Row],[Tiempo
(Hrs 00/100)]]*1.16</f>
        <v>348</v>
      </c>
    </row>
    <row r="1840" spans="1:26" ht="15" customHeight="1" x14ac:dyDescent="0.3">
      <c r="A1840" s="373" t="s">
        <v>22</v>
      </c>
      <c r="B1840" s="373" t="s">
        <v>305</v>
      </c>
      <c r="C1840" s="373" t="s">
        <v>257</v>
      </c>
      <c r="D1840" s="373"/>
      <c r="E1840" s="373" t="s">
        <v>408</v>
      </c>
      <c r="F1840" s="373" t="s">
        <v>72</v>
      </c>
      <c r="G1840" s="373" t="s">
        <v>3111</v>
      </c>
      <c r="H1840" s="461" t="s">
        <v>2805</v>
      </c>
      <c r="I1840" s="538" t="s">
        <v>2806</v>
      </c>
      <c r="J1840" s="729">
        <v>45173</v>
      </c>
      <c r="K1840" s="772">
        <v>0.60416666666666663</v>
      </c>
      <c r="L1840" s="729">
        <v>45173</v>
      </c>
      <c r="M1840" s="772">
        <v>0.625</v>
      </c>
      <c r="N1840" s="373">
        <v>0.5</v>
      </c>
      <c r="O1840" s="184" t="s">
        <v>17</v>
      </c>
      <c r="P1840" s="375" t="s">
        <v>3285</v>
      </c>
      <c r="Q1840" s="179" t="s">
        <v>1441</v>
      </c>
      <c r="R1840" s="31" t="s">
        <v>95</v>
      </c>
      <c r="S1840" s="31" t="s">
        <v>273</v>
      </c>
      <c r="T1840" s="31" t="s">
        <v>273</v>
      </c>
      <c r="U1840" s="31">
        <f>IFERROR(VLOOKUP(CONCATENATE(Tabla1[[#This Row],[Severidad]]," ",Tabla1[[#This Row],[Complejidad]]),Catalogos!E$120:G$128,3,FALSE),"")</f>
        <v>64</v>
      </c>
      <c r="V1840" s="31" t="str">
        <f>IF(Tabla1[[#This Row],[Tiempo solución max (hrs)]]&lt;&gt;"",IF(Tabla1[[#This Row],[Tiempo solución max (hrs)]]&gt;=Tabla1[[#This Row],[Tiempo
(Hrs 00/100)]],"cumple","no cumple"),"")</f>
        <v>cumple</v>
      </c>
      <c r="W1840" s="376" t="s">
        <v>2418</v>
      </c>
      <c r="X1840" s="377" t="str">
        <f t="shared" si="176"/>
        <v>SSI</v>
      </c>
      <c r="Y1840" t="str">
        <f>SUBSTITUTE(Tabla1[[#This Row],[Descripción]],CHAR(10),"    I    ")</f>
        <v>Se revisó documentación '5.2.2.1 Comparison Clause (Reference)' de liga compartida de Simple Oracle Document Access (SODA)</v>
      </c>
      <c r="Z1840" s="142">
        <f>VLOOKUP(Tabla1[[#This Row],[Perfil]],Catalogos!$B$75:$D$100,3,FALSE)*Tabla1[[#This Row],[Tiempo
(Hrs 00/100)]]*1.16</f>
        <v>348</v>
      </c>
    </row>
    <row r="1841" spans="1:26" ht="15" customHeight="1" x14ac:dyDescent="0.3">
      <c r="A1841" s="373" t="s">
        <v>22</v>
      </c>
      <c r="B1841" s="373" t="s">
        <v>305</v>
      </c>
      <c r="C1841" s="373" t="s">
        <v>257</v>
      </c>
      <c r="D1841" s="373"/>
      <c r="E1841" s="373" t="s">
        <v>408</v>
      </c>
      <c r="F1841" s="373" t="s">
        <v>72</v>
      </c>
      <c r="G1841" s="373" t="s">
        <v>3112</v>
      </c>
      <c r="H1841" s="461" t="s">
        <v>2807</v>
      </c>
      <c r="I1841" s="538" t="s">
        <v>2808</v>
      </c>
      <c r="J1841" s="729">
        <v>45173</v>
      </c>
      <c r="K1841" s="772">
        <v>0.625</v>
      </c>
      <c r="L1841" s="729">
        <v>45173</v>
      </c>
      <c r="M1841" s="772">
        <v>0.64583333333333337</v>
      </c>
      <c r="N1841" s="373">
        <v>0.5</v>
      </c>
      <c r="O1841" s="184" t="s">
        <v>17</v>
      </c>
      <c r="P1841" s="375" t="s">
        <v>3285</v>
      </c>
      <c r="Q1841" s="179" t="s">
        <v>1441</v>
      </c>
      <c r="R1841" s="31" t="s">
        <v>95</v>
      </c>
      <c r="S1841" s="31" t="s">
        <v>273</v>
      </c>
      <c r="T1841" s="31" t="s">
        <v>273</v>
      </c>
      <c r="U1841" s="31">
        <f>IFERROR(VLOOKUP(CONCATENATE(Tabla1[[#This Row],[Severidad]]," ",Tabla1[[#This Row],[Complejidad]]),Catalogos!E$120:G$128,3,FALSE),"")</f>
        <v>64</v>
      </c>
      <c r="V1841" s="31" t="str">
        <f>IF(Tabla1[[#This Row],[Tiempo solución max (hrs)]]&lt;&gt;"",IF(Tabla1[[#This Row],[Tiempo solución max (hrs)]]&gt;=Tabla1[[#This Row],[Tiempo
(Hrs 00/100)]],"cumple","no cumple"),"")</f>
        <v>cumple</v>
      </c>
      <c r="W1841" s="376" t="s">
        <v>2418</v>
      </c>
      <c r="X1841" s="377" t="str">
        <f t="shared" si="176"/>
        <v>SSI</v>
      </c>
      <c r="Y1841" t="str">
        <f>SUBSTITUTE(Tabla1[[#This Row],[Descripción]],CHAR(10),"    I    ")</f>
        <v>Se revisó documentación '5.2.2.2 Not Clause (Reference)' de liga compartida de Simple Oracle Document Access (SODA)</v>
      </c>
      <c r="Z1841" s="142">
        <f>VLOOKUP(Tabla1[[#This Row],[Perfil]],Catalogos!$B$75:$D$100,3,FALSE)*Tabla1[[#This Row],[Tiempo
(Hrs 00/100)]]*1.16</f>
        <v>348</v>
      </c>
    </row>
    <row r="1842" spans="1:26" ht="15" customHeight="1" x14ac:dyDescent="0.3">
      <c r="A1842" s="373" t="s">
        <v>22</v>
      </c>
      <c r="B1842" s="373" t="s">
        <v>305</v>
      </c>
      <c r="C1842" s="373" t="s">
        <v>257</v>
      </c>
      <c r="D1842" s="373"/>
      <c r="E1842" s="373" t="s">
        <v>408</v>
      </c>
      <c r="F1842" s="373" t="s">
        <v>72</v>
      </c>
      <c r="G1842" s="373" t="s">
        <v>3113</v>
      </c>
      <c r="H1842" s="461" t="s">
        <v>2809</v>
      </c>
      <c r="I1842" s="538" t="s">
        <v>2810</v>
      </c>
      <c r="J1842" s="729">
        <v>45173</v>
      </c>
      <c r="K1842" s="772">
        <v>0.64583333333333337</v>
      </c>
      <c r="L1842" s="729">
        <v>45173</v>
      </c>
      <c r="M1842" s="772">
        <v>0.66666666666666663</v>
      </c>
      <c r="N1842" s="373">
        <v>0.5</v>
      </c>
      <c r="O1842" s="184" t="s">
        <v>17</v>
      </c>
      <c r="P1842" s="375" t="s">
        <v>3285</v>
      </c>
      <c r="Q1842" s="179" t="s">
        <v>1441</v>
      </c>
      <c r="R1842" s="31" t="s">
        <v>95</v>
      </c>
      <c r="S1842" s="31" t="s">
        <v>273</v>
      </c>
      <c r="T1842" s="31" t="s">
        <v>273</v>
      </c>
      <c r="U1842" s="31">
        <f>IFERROR(VLOOKUP(CONCATENATE(Tabla1[[#This Row],[Severidad]]," ",Tabla1[[#This Row],[Complejidad]]),Catalogos!E$120:G$128,3,FALSE),"")</f>
        <v>64</v>
      </c>
      <c r="V1842" s="31" t="str">
        <f>IF(Tabla1[[#This Row],[Tiempo solución max (hrs)]]&lt;&gt;"",IF(Tabla1[[#This Row],[Tiempo solución max (hrs)]]&gt;=Tabla1[[#This Row],[Tiempo
(Hrs 00/100)]],"cumple","no cumple"),"")</f>
        <v>cumple</v>
      </c>
      <c r="W1842" s="376" t="s">
        <v>2418</v>
      </c>
      <c r="X1842" s="377" t="str">
        <f t="shared" si="176"/>
        <v>SSI</v>
      </c>
      <c r="Y1842" t="str">
        <f>SUBSTITUTE(Tabla1[[#This Row],[Descripción]],CHAR(10),"    I    ")</f>
        <v>Se revisó documentación '5.2.2.3 Item-Method Clause (Reference)' de liga compartida de Simple Oracle Document Access (SODA)</v>
      </c>
      <c r="Z1842" s="142">
        <f>VLOOKUP(Tabla1[[#This Row],[Perfil]],Catalogos!$B$75:$D$100,3,FALSE)*Tabla1[[#This Row],[Tiempo
(Hrs 00/100)]]*1.16</f>
        <v>348</v>
      </c>
    </row>
    <row r="1843" spans="1:26" ht="15" customHeight="1" x14ac:dyDescent="0.3">
      <c r="A1843" s="373" t="s">
        <v>22</v>
      </c>
      <c r="B1843" s="373" t="s">
        <v>305</v>
      </c>
      <c r="C1843" s="373" t="s">
        <v>257</v>
      </c>
      <c r="D1843" s="373"/>
      <c r="E1843" s="373" t="s">
        <v>408</v>
      </c>
      <c r="F1843" s="373" t="s">
        <v>72</v>
      </c>
      <c r="G1843" s="373" t="s">
        <v>3114</v>
      </c>
      <c r="H1843" s="461" t="s">
        <v>2811</v>
      </c>
      <c r="I1843" s="538" t="s">
        <v>2812</v>
      </c>
      <c r="J1843" s="729">
        <v>45173</v>
      </c>
      <c r="K1843" s="772">
        <v>0.66666666666666663</v>
      </c>
      <c r="L1843" s="729">
        <v>45173</v>
      </c>
      <c r="M1843" s="772">
        <v>0.6875</v>
      </c>
      <c r="N1843" s="373">
        <v>0.5</v>
      </c>
      <c r="O1843" s="184" t="s">
        <v>17</v>
      </c>
      <c r="P1843" s="375" t="s">
        <v>3285</v>
      </c>
      <c r="Q1843" s="179" t="s">
        <v>1441</v>
      </c>
      <c r="R1843" s="31" t="s">
        <v>95</v>
      </c>
      <c r="S1843" s="31" t="s">
        <v>273</v>
      </c>
      <c r="T1843" s="31" t="s">
        <v>273</v>
      </c>
      <c r="U1843" s="31">
        <f>IFERROR(VLOOKUP(CONCATENATE(Tabla1[[#This Row],[Severidad]]," ",Tabla1[[#This Row],[Complejidad]]),Catalogos!E$120:G$128,3,FALSE),"")</f>
        <v>64</v>
      </c>
      <c r="V1843" s="31" t="str">
        <f>IF(Tabla1[[#This Row],[Tiempo solución max (hrs)]]&lt;&gt;"",IF(Tabla1[[#This Row],[Tiempo solución max (hrs)]]&gt;=Tabla1[[#This Row],[Tiempo
(Hrs 00/100)]],"cumple","no cumple"),"")</f>
        <v>cumple</v>
      </c>
      <c r="W1843" s="376" t="s">
        <v>2418</v>
      </c>
      <c r="X1843" s="377" t="str">
        <f t="shared" si="176"/>
        <v>SSI</v>
      </c>
      <c r="Y1843" t="str">
        <f>SUBSTITUTE(Tabla1[[#This Row],[Descripción]],CHAR(10),"    I    ")</f>
        <v>Se revisó documentación '5.2.2.4 ISO 8601 Date, Time, and Duration Support' de liga compartida de Simple Oracle Document Access (SODA)</v>
      </c>
      <c r="Z1843" s="142">
        <f>VLOOKUP(Tabla1[[#This Row],[Perfil]],Catalogos!$B$75:$D$100,3,FALSE)*Tabla1[[#This Row],[Tiempo
(Hrs 00/100)]]*1.16</f>
        <v>348</v>
      </c>
    </row>
    <row r="1844" spans="1:26" ht="15" customHeight="1" x14ac:dyDescent="0.3">
      <c r="A1844" s="373" t="s">
        <v>22</v>
      </c>
      <c r="B1844" s="373" t="s">
        <v>305</v>
      </c>
      <c r="C1844" s="373" t="s">
        <v>257</v>
      </c>
      <c r="D1844" s="373"/>
      <c r="E1844" s="373" t="s">
        <v>408</v>
      </c>
      <c r="F1844" s="373" t="s">
        <v>72</v>
      </c>
      <c r="G1844" s="373" t="s">
        <v>3115</v>
      </c>
      <c r="H1844" s="461" t="s">
        <v>2813</v>
      </c>
      <c r="I1844" s="538" t="s">
        <v>2814</v>
      </c>
      <c r="J1844" s="729">
        <v>45173</v>
      </c>
      <c r="K1844" s="772">
        <v>0.6875</v>
      </c>
      <c r="L1844" s="729">
        <v>45173</v>
      </c>
      <c r="M1844" s="772">
        <v>0.70833333333333337</v>
      </c>
      <c r="N1844" s="373">
        <v>0.5</v>
      </c>
      <c r="O1844" s="184" t="s">
        <v>17</v>
      </c>
      <c r="P1844" s="375" t="s">
        <v>3285</v>
      </c>
      <c r="Q1844" s="179" t="s">
        <v>1441</v>
      </c>
      <c r="R1844" s="31" t="s">
        <v>95</v>
      </c>
      <c r="S1844" s="31" t="s">
        <v>273</v>
      </c>
      <c r="T1844" s="31" t="s">
        <v>273</v>
      </c>
      <c r="U1844" s="31">
        <f>IFERROR(VLOOKUP(CONCATENATE(Tabla1[[#This Row],[Severidad]]," ",Tabla1[[#This Row],[Complejidad]]),Catalogos!E$120:G$128,3,FALSE),"")</f>
        <v>64</v>
      </c>
      <c r="V1844" s="31" t="str">
        <f>IF(Tabla1[[#This Row],[Tiempo solución max (hrs)]]&lt;&gt;"",IF(Tabla1[[#This Row],[Tiempo solución max (hrs)]]&gt;=Tabla1[[#This Row],[Tiempo
(Hrs 00/100)]],"cumple","no cumple"),"")</f>
        <v>cumple</v>
      </c>
      <c r="W1844" s="376" t="s">
        <v>2418</v>
      </c>
      <c r="X1844" s="377" t="str">
        <f t="shared" si="176"/>
        <v>SSI</v>
      </c>
      <c r="Y1844" t="str">
        <f>SUBSTITUTE(Tabla1[[#This Row],[Descripción]],CHAR(10),"    I    ")</f>
        <v>Se revisó documentación '5.2.3 Logical Combining Clause (Reference)' de liga compartida de Simple Oracle Document Access (SODA)</v>
      </c>
      <c r="Z1844" s="142">
        <f>VLOOKUP(Tabla1[[#This Row],[Perfil]],Catalogos!$B$75:$D$100,3,FALSE)*Tabla1[[#This Row],[Tiempo
(Hrs 00/100)]]*1.16</f>
        <v>348</v>
      </c>
    </row>
    <row r="1845" spans="1:26" ht="15" customHeight="1" x14ac:dyDescent="0.3">
      <c r="A1845" s="373" t="s">
        <v>22</v>
      </c>
      <c r="B1845" s="373" t="s">
        <v>305</v>
      </c>
      <c r="C1845" s="373" t="s">
        <v>257</v>
      </c>
      <c r="D1845" s="373"/>
      <c r="E1845" s="373" t="s">
        <v>408</v>
      </c>
      <c r="F1845" s="373" t="s">
        <v>72</v>
      </c>
      <c r="G1845" s="373" t="s">
        <v>3116</v>
      </c>
      <c r="H1845" s="461" t="s">
        <v>2815</v>
      </c>
      <c r="I1845" s="538" t="s">
        <v>2816</v>
      </c>
      <c r="J1845" s="729">
        <v>45173</v>
      </c>
      <c r="K1845" s="772">
        <v>0.70833333333333337</v>
      </c>
      <c r="L1845" s="729">
        <v>45173</v>
      </c>
      <c r="M1845" s="772">
        <v>0.72916666666666663</v>
      </c>
      <c r="N1845" s="373">
        <v>0.5</v>
      </c>
      <c r="O1845" s="184" t="s">
        <v>17</v>
      </c>
      <c r="P1845" s="375" t="s">
        <v>3285</v>
      </c>
      <c r="Q1845" s="179" t="s">
        <v>1441</v>
      </c>
      <c r="R1845" s="31" t="s">
        <v>95</v>
      </c>
      <c r="S1845" s="31" t="s">
        <v>273</v>
      </c>
      <c r="T1845" s="31" t="s">
        <v>273</v>
      </c>
      <c r="U1845" s="31">
        <f>IFERROR(VLOOKUP(CONCATENATE(Tabla1[[#This Row],[Severidad]]," ",Tabla1[[#This Row],[Complejidad]]),Catalogos!E$120:G$128,3,FALSE),"")</f>
        <v>64</v>
      </c>
      <c r="V1845" s="31" t="str">
        <f>IF(Tabla1[[#This Row],[Tiempo solución max (hrs)]]&lt;&gt;"",IF(Tabla1[[#This Row],[Tiempo solución max (hrs)]]&gt;=Tabla1[[#This Row],[Tiempo
(Hrs 00/100)]],"cumple","no cumple"),"")</f>
        <v>cumple</v>
      </c>
      <c r="W1845" s="376" t="s">
        <v>2418</v>
      </c>
      <c r="X1845" s="377" t="str">
        <f t="shared" si="176"/>
        <v>SSI</v>
      </c>
      <c r="Y1845" t="str">
        <f>SUBSTITUTE(Tabla1[[#This Row],[Descripción]],CHAR(10),"    I    ")</f>
        <v>Se revisó documentación '5.2.3.1 Omitting $and' de liga compartida de Simple Oracle Document Access (SODA)</v>
      </c>
      <c r="Z1845" s="142">
        <f>VLOOKUP(Tabla1[[#This Row],[Perfil]],Catalogos!$B$75:$D$100,3,FALSE)*Tabla1[[#This Row],[Tiempo
(Hrs 00/100)]]*1.16</f>
        <v>348</v>
      </c>
    </row>
    <row r="1846" spans="1:26" ht="15" customHeight="1" x14ac:dyDescent="0.3">
      <c r="A1846" s="373" t="s">
        <v>22</v>
      </c>
      <c r="B1846" s="373" t="s">
        <v>305</v>
      </c>
      <c r="C1846" s="373" t="s">
        <v>257</v>
      </c>
      <c r="D1846" s="373"/>
      <c r="E1846" s="373" t="s">
        <v>408</v>
      </c>
      <c r="F1846" s="373" t="s">
        <v>72</v>
      </c>
      <c r="G1846" s="373" t="s">
        <v>3117</v>
      </c>
      <c r="H1846" s="461" t="s">
        <v>2817</v>
      </c>
      <c r="I1846" s="538" t="s">
        <v>2818</v>
      </c>
      <c r="J1846" s="729">
        <v>45173</v>
      </c>
      <c r="K1846" s="772">
        <v>0.72916666666666663</v>
      </c>
      <c r="L1846" s="729">
        <v>45173</v>
      </c>
      <c r="M1846" s="772">
        <v>0.75</v>
      </c>
      <c r="N1846" s="373">
        <v>0.5</v>
      </c>
      <c r="O1846" s="184" t="s">
        <v>17</v>
      </c>
      <c r="P1846" s="375" t="s">
        <v>3285</v>
      </c>
      <c r="Q1846" s="179" t="s">
        <v>1441</v>
      </c>
      <c r="R1846" s="31" t="s">
        <v>95</v>
      </c>
      <c r="S1846" s="31" t="s">
        <v>273</v>
      </c>
      <c r="T1846" s="31" t="s">
        <v>273</v>
      </c>
      <c r="U1846" s="31">
        <f>IFERROR(VLOOKUP(CONCATENATE(Tabla1[[#This Row],[Severidad]]," ",Tabla1[[#This Row],[Complejidad]]),Catalogos!E$120:G$128,3,FALSE),"")</f>
        <v>64</v>
      </c>
      <c r="V1846" s="31" t="str">
        <f>IF(Tabla1[[#This Row],[Tiempo solución max (hrs)]]&lt;&gt;"",IF(Tabla1[[#This Row],[Tiempo solución max (hrs)]]&gt;=Tabla1[[#This Row],[Tiempo
(Hrs 00/100)]],"cumple","no cumple"),"")</f>
        <v>cumple</v>
      </c>
      <c r="W1846" s="376" t="s">
        <v>2418</v>
      </c>
      <c r="X1846" s="377" t="str">
        <f t="shared" si="176"/>
        <v>SSI</v>
      </c>
      <c r="Y1846" t="str">
        <f>SUBSTITUTE(Tabla1[[#This Row],[Descripción]],CHAR(10),"    I    ")</f>
        <v>Se revisó documentación '5.2.4 Nested-Condition Clause (Reference)' de liga compartida de Simple Oracle Document Access (SODA)</v>
      </c>
      <c r="Z1846" s="142">
        <f>VLOOKUP(Tabla1[[#This Row],[Perfil]],Catalogos!$B$75:$D$100,3,FALSE)*Tabla1[[#This Row],[Tiempo
(Hrs 00/100)]]*1.16</f>
        <v>348</v>
      </c>
    </row>
    <row r="1847" spans="1:26" ht="15" customHeight="1" x14ac:dyDescent="0.3">
      <c r="A1847" s="373" t="s">
        <v>22</v>
      </c>
      <c r="B1847" s="373" t="s">
        <v>305</v>
      </c>
      <c r="C1847" s="373" t="s">
        <v>257</v>
      </c>
      <c r="D1847" s="373"/>
      <c r="E1847" s="373" t="s">
        <v>408</v>
      </c>
      <c r="F1847" s="373" t="s">
        <v>72</v>
      </c>
      <c r="G1847" s="373" t="s">
        <v>3118</v>
      </c>
      <c r="H1847" s="461" t="s">
        <v>2820</v>
      </c>
      <c r="I1847" s="538" t="s">
        <v>2821</v>
      </c>
      <c r="J1847" s="729">
        <v>45174</v>
      </c>
      <c r="K1847" s="772">
        <v>0.375</v>
      </c>
      <c r="L1847" s="729">
        <v>45174</v>
      </c>
      <c r="M1847" s="772">
        <v>0.39583333333333331</v>
      </c>
      <c r="N1847" s="373">
        <v>0.5</v>
      </c>
      <c r="O1847" s="184" t="s">
        <v>17</v>
      </c>
      <c r="P1847" s="375" t="s">
        <v>3285</v>
      </c>
      <c r="Q1847" s="179" t="s">
        <v>1441</v>
      </c>
      <c r="R1847" s="31" t="s">
        <v>95</v>
      </c>
      <c r="S1847" s="31" t="s">
        <v>273</v>
      </c>
      <c r="T1847" s="31" t="s">
        <v>273</v>
      </c>
      <c r="U1847" s="31">
        <f>IFERROR(VLOOKUP(CONCATENATE(Tabla1[[#This Row],[Severidad]]," ",Tabla1[[#This Row],[Complejidad]]),Catalogos!E$120:G$128,3,FALSE),"")</f>
        <v>64</v>
      </c>
      <c r="V1847" s="31" t="str">
        <f>IF(Tabla1[[#This Row],[Tiempo solución max (hrs)]]&lt;&gt;"",IF(Tabla1[[#This Row],[Tiempo solución max (hrs)]]&gt;=Tabla1[[#This Row],[Tiempo
(Hrs 00/100)]],"cumple","no cumple"),"")</f>
        <v>cumple</v>
      </c>
      <c r="W1847" s="376" t="s">
        <v>2418</v>
      </c>
      <c r="X1847" s="377" t="str">
        <f t="shared" si="176"/>
        <v>SSI</v>
      </c>
      <c r="Y1847" t="str">
        <f>SUBSTITUTE(Tabla1[[#This Row],[Descripción]],CHAR(10),"    I    ")</f>
        <v>Se revisó documentación '5.2.5 ID Clause (Reference)' de liga compartida de Simple Oracle Document Access (SODA)</v>
      </c>
      <c r="Z1847" s="142">
        <f>VLOOKUP(Tabla1[[#This Row],[Perfil]],Catalogos!$B$75:$D$100,3,FALSE)*Tabla1[[#This Row],[Tiempo
(Hrs 00/100)]]*1.16</f>
        <v>348</v>
      </c>
    </row>
    <row r="1848" spans="1:26" ht="15" customHeight="1" x14ac:dyDescent="0.3">
      <c r="A1848" s="373" t="s">
        <v>22</v>
      </c>
      <c r="B1848" s="373" t="s">
        <v>305</v>
      </c>
      <c r="C1848" s="373" t="s">
        <v>257</v>
      </c>
      <c r="D1848" s="373"/>
      <c r="E1848" s="373" t="s">
        <v>408</v>
      </c>
      <c r="F1848" s="373" t="s">
        <v>72</v>
      </c>
      <c r="G1848" s="373" t="s">
        <v>3119</v>
      </c>
      <c r="H1848" s="461" t="s">
        <v>2822</v>
      </c>
      <c r="I1848" s="538" t="s">
        <v>2823</v>
      </c>
      <c r="J1848" s="729">
        <v>45174</v>
      </c>
      <c r="K1848" s="772">
        <v>0.39583333333333331</v>
      </c>
      <c r="L1848" s="729">
        <v>45174</v>
      </c>
      <c r="M1848" s="772">
        <v>0.41666666666666669</v>
      </c>
      <c r="N1848" s="373">
        <v>0.5</v>
      </c>
      <c r="O1848" s="184" t="s">
        <v>17</v>
      </c>
      <c r="P1848" s="375" t="s">
        <v>3285</v>
      </c>
      <c r="Q1848" s="179" t="s">
        <v>1441</v>
      </c>
      <c r="R1848" s="31" t="s">
        <v>95</v>
      </c>
      <c r="S1848" s="31" t="s">
        <v>273</v>
      </c>
      <c r="T1848" s="31" t="s">
        <v>273</v>
      </c>
      <c r="U1848" s="31">
        <f>IFERROR(VLOOKUP(CONCATENATE(Tabla1[[#This Row],[Severidad]]," ",Tabla1[[#This Row],[Complejidad]]),Catalogos!E$120:G$128,3,FALSE),"")</f>
        <v>64</v>
      </c>
      <c r="V1848" s="31" t="str">
        <f>IF(Tabla1[[#This Row],[Tiempo solución max (hrs)]]&lt;&gt;"",IF(Tabla1[[#This Row],[Tiempo solución max (hrs)]]&gt;=Tabla1[[#This Row],[Tiempo
(Hrs 00/100)]],"cumple","no cumple"),"")</f>
        <v>cumple</v>
      </c>
      <c r="W1848" s="376" t="s">
        <v>2418</v>
      </c>
      <c r="X1848" s="377" t="str">
        <f t="shared" si="176"/>
        <v>SSI</v>
      </c>
      <c r="Y1848" t="str">
        <f>SUBSTITUTE(Tabla1[[#This Row],[Descripción]],CHAR(10),"    I    ")</f>
        <v>Se revisó documentación '5.2.6 Text-Contains Clause (Reference)' de liga compartida de Simple Oracle Document Access (SODA)</v>
      </c>
      <c r="Z1848" s="142">
        <f>VLOOKUP(Tabla1[[#This Row],[Perfil]],Catalogos!$B$75:$D$100,3,FALSE)*Tabla1[[#This Row],[Tiempo
(Hrs 00/100)]]*1.16</f>
        <v>348</v>
      </c>
    </row>
    <row r="1849" spans="1:26" ht="15" customHeight="1" x14ac:dyDescent="0.3">
      <c r="A1849" s="373" t="s">
        <v>22</v>
      </c>
      <c r="B1849" s="373" t="s">
        <v>305</v>
      </c>
      <c r="C1849" s="373" t="s">
        <v>257</v>
      </c>
      <c r="D1849" s="373"/>
      <c r="E1849" s="373" t="s">
        <v>408</v>
      </c>
      <c r="F1849" s="373" t="s">
        <v>72</v>
      </c>
      <c r="G1849" s="373" t="s">
        <v>3120</v>
      </c>
      <c r="H1849" s="461" t="s">
        <v>2824</v>
      </c>
      <c r="I1849" s="538" t="s">
        <v>2825</v>
      </c>
      <c r="J1849" s="729">
        <v>45174</v>
      </c>
      <c r="K1849" s="772">
        <v>0.41666666666666669</v>
      </c>
      <c r="L1849" s="729">
        <v>45174</v>
      </c>
      <c r="M1849" s="772">
        <v>0.4375</v>
      </c>
      <c r="N1849" s="373">
        <v>0.5</v>
      </c>
      <c r="O1849" s="184" t="s">
        <v>17</v>
      </c>
      <c r="P1849" s="375" t="s">
        <v>3285</v>
      </c>
      <c r="Q1849" s="179" t="s">
        <v>1441</v>
      </c>
      <c r="R1849" s="31" t="s">
        <v>95</v>
      </c>
      <c r="S1849" s="31" t="s">
        <v>273</v>
      </c>
      <c r="T1849" s="31" t="s">
        <v>273</v>
      </c>
      <c r="U1849" s="31">
        <f>IFERROR(VLOOKUP(CONCATENATE(Tabla1[[#This Row],[Severidad]]," ",Tabla1[[#This Row],[Complejidad]]),Catalogos!E$120:G$128,3,FALSE),"")</f>
        <v>64</v>
      </c>
      <c r="V1849" s="31" t="str">
        <f>IF(Tabla1[[#This Row],[Tiempo solución max (hrs)]]&lt;&gt;"",IF(Tabla1[[#This Row],[Tiempo solución max (hrs)]]&gt;=Tabla1[[#This Row],[Tiempo
(Hrs 00/100)]],"cumple","no cumple"),"")</f>
        <v>cumple</v>
      </c>
      <c r="W1849" s="376" t="s">
        <v>2418</v>
      </c>
      <c r="X1849" s="377" t="str">
        <f t="shared" ref="X1849:X1880" si="177">IF(C1849&lt;&gt;"",C1849,D1849)</f>
        <v>SSI</v>
      </c>
      <c r="Y1849" t="str">
        <f>SUBSTITUTE(Tabla1[[#This Row],[Descripción]],CHAR(10),"    I    ")</f>
        <v>Se revisó documentación '5.2.7 Special-Criterion Clause (Reference)' de liga compartida de Simple Oracle Document Access (SODA)</v>
      </c>
      <c r="Z1849" s="142">
        <f>VLOOKUP(Tabla1[[#This Row],[Perfil]],Catalogos!$B$75:$D$100,3,FALSE)*Tabla1[[#This Row],[Tiempo
(Hrs 00/100)]]*1.16</f>
        <v>348</v>
      </c>
    </row>
    <row r="1850" spans="1:26" ht="15" customHeight="1" x14ac:dyDescent="0.3">
      <c r="A1850" s="373" t="s">
        <v>22</v>
      </c>
      <c r="B1850" s="373" t="s">
        <v>305</v>
      </c>
      <c r="C1850" s="373" t="s">
        <v>257</v>
      </c>
      <c r="D1850" s="373"/>
      <c r="E1850" s="373" t="s">
        <v>408</v>
      </c>
      <c r="F1850" s="373" t="s">
        <v>72</v>
      </c>
      <c r="G1850" s="373" t="s">
        <v>3121</v>
      </c>
      <c r="H1850" s="461" t="s">
        <v>2826</v>
      </c>
      <c r="I1850" s="538" t="s">
        <v>2827</v>
      </c>
      <c r="J1850" s="729">
        <v>45174</v>
      </c>
      <c r="K1850" s="772">
        <v>0.4375</v>
      </c>
      <c r="L1850" s="729">
        <v>45174</v>
      </c>
      <c r="M1850" s="772">
        <v>0.45833333333333331</v>
      </c>
      <c r="N1850" s="373">
        <v>0.5</v>
      </c>
      <c r="O1850" s="184" t="s">
        <v>17</v>
      </c>
      <c r="P1850" s="375" t="s">
        <v>3285</v>
      </c>
      <c r="Q1850" s="179" t="s">
        <v>1441</v>
      </c>
      <c r="R1850" s="31" t="s">
        <v>95</v>
      </c>
      <c r="S1850" s="31" t="s">
        <v>273</v>
      </c>
      <c r="T1850" s="31" t="s">
        <v>273</v>
      </c>
      <c r="U1850" s="31">
        <f>IFERROR(VLOOKUP(CONCATENATE(Tabla1[[#This Row],[Severidad]]," ",Tabla1[[#This Row],[Complejidad]]),Catalogos!E$120:G$128,3,FALSE),"")</f>
        <v>64</v>
      </c>
      <c r="V1850" s="31" t="str">
        <f>IF(Tabla1[[#This Row],[Tiempo solución max (hrs)]]&lt;&gt;"",IF(Tabla1[[#This Row],[Tiempo solución max (hrs)]]&gt;=Tabla1[[#This Row],[Tiempo
(Hrs 00/100)]],"cumple","no cumple"),"")</f>
        <v>cumple</v>
      </c>
      <c r="W1850" s="376" t="s">
        <v>2418</v>
      </c>
      <c r="X1850" s="377" t="str">
        <f t="shared" si="177"/>
        <v>SSI</v>
      </c>
      <c r="Y1850" t="str">
        <f>SUBSTITUTE(Tabla1[[#This Row],[Descripción]],CHAR(10),"    I    ")</f>
        <v>Se revisó documentación '5.2.7.1 Spatial Clause (Reference)' de liga compartida de Simple Oracle Document Access (SODA)</v>
      </c>
      <c r="Z1850" s="142">
        <f>VLOOKUP(Tabla1[[#This Row],[Perfil]],Catalogos!$B$75:$D$100,3,FALSE)*Tabla1[[#This Row],[Tiempo
(Hrs 00/100)]]*1.16</f>
        <v>348</v>
      </c>
    </row>
    <row r="1851" spans="1:26" ht="15" customHeight="1" x14ac:dyDescent="0.3">
      <c r="A1851" s="373" t="s">
        <v>22</v>
      </c>
      <c r="B1851" s="373" t="s">
        <v>305</v>
      </c>
      <c r="C1851" s="373" t="s">
        <v>257</v>
      </c>
      <c r="D1851" s="373"/>
      <c r="E1851" s="373" t="s">
        <v>408</v>
      </c>
      <c r="F1851" s="373" t="s">
        <v>72</v>
      </c>
      <c r="G1851" s="373" t="s">
        <v>3122</v>
      </c>
      <c r="H1851" s="461" t="s">
        <v>2828</v>
      </c>
      <c r="I1851" s="538" t="s">
        <v>2829</v>
      </c>
      <c r="J1851" s="729">
        <v>45174</v>
      </c>
      <c r="K1851" s="772">
        <v>0.45833333333333331</v>
      </c>
      <c r="L1851" s="729">
        <v>45174</v>
      </c>
      <c r="M1851" s="772">
        <v>0.47916666666666669</v>
      </c>
      <c r="N1851" s="373">
        <v>0.5</v>
      </c>
      <c r="O1851" s="184" t="s">
        <v>17</v>
      </c>
      <c r="P1851" s="375" t="s">
        <v>3285</v>
      </c>
      <c r="Q1851" s="179" t="s">
        <v>1441</v>
      </c>
      <c r="R1851" s="31" t="s">
        <v>95</v>
      </c>
      <c r="S1851" s="31" t="s">
        <v>273</v>
      </c>
      <c r="T1851" s="31" t="s">
        <v>273</v>
      </c>
      <c r="U1851" s="31">
        <f>IFERROR(VLOOKUP(CONCATENATE(Tabla1[[#This Row],[Severidad]]," ",Tabla1[[#This Row],[Complejidad]]),Catalogos!E$120:G$128,3,FALSE),"")</f>
        <v>64</v>
      </c>
      <c r="V1851" s="31" t="str">
        <f>IF(Tabla1[[#This Row],[Tiempo solución max (hrs)]]&lt;&gt;"",IF(Tabla1[[#This Row],[Tiempo solución max (hrs)]]&gt;=Tabla1[[#This Row],[Tiempo
(Hrs 00/100)]],"cumple","no cumple"),"")</f>
        <v>cumple</v>
      </c>
      <c r="W1851" s="376" t="s">
        <v>2418</v>
      </c>
      <c r="X1851" s="377" t="str">
        <f t="shared" si="177"/>
        <v>SSI</v>
      </c>
      <c r="Y1851" t="str">
        <f>SUBSTITUTE(Tabla1[[#This Row],[Descripción]],CHAR(10),"    I    ")</f>
        <v>Se revisó documentación '5.2.7.2 Contains Clause (Reference)' de liga compartida de Simple Oracle Document Access (SODA)</v>
      </c>
      <c r="Z1851" s="142">
        <f>VLOOKUP(Tabla1[[#This Row],[Perfil]],Catalogos!$B$75:$D$100,3,FALSE)*Tabla1[[#This Row],[Tiempo
(Hrs 00/100)]]*1.16</f>
        <v>348</v>
      </c>
    </row>
    <row r="1852" spans="1:26" ht="15" customHeight="1" x14ac:dyDescent="0.3">
      <c r="A1852" s="373" t="s">
        <v>22</v>
      </c>
      <c r="B1852" s="373" t="s">
        <v>305</v>
      </c>
      <c r="C1852" s="373" t="s">
        <v>257</v>
      </c>
      <c r="D1852" s="373"/>
      <c r="E1852" s="373" t="s">
        <v>408</v>
      </c>
      <c r="F1852" s="373" t="s">
        <v>72</v>
      </c>
      <c r="G1852" s="373" t="s">
        <v>3123</v>
      </c>
      <c r="H1852" s="461" t="s">
        <v>2830</v>
      </c>
      <c r="I1852" s="538" t="s">
        <v>2831</v>
      </c>
      <c r="J1852" s="729">
        <v>45174</v>
      </c>
      <c r="K1852" s="772">
        <v>0.47916666666666669</v>
      </c>
      <c r="L1852" s="729">
        <v>45174</v>
      </c>
      <c r="M1852" s="772">
        <v>0.52083333333333337</v>
      </c>
      <c r="N1852" s="373">
        <v>1</v>
      </c>
      <c r="O1852" s="184" t="s">
        <v>17</v>
      </c>
      <c r="P1852" s="375" t="s">
        <v>3285</v>
      </c>
      <c r="Q1852" s="179" t="s">
        <v>1441</v>
      </c>
      <c r="R1852" s="31" t="s">
        <v>95</v>
      </c>
      <c r="S1852" s="31" t="s">
        <v>273</v>
      </c>
      <c r="T1852" s="31" t="s">
        <v>273</v>
      </c>
      <c r="U1852" s="31">
        <f>IFERROR(VLOOKUP(CONCATENATE(Tabla1[[#This Row],[Severidad]]," ",Tabla1[[#This Row],[Complejidad]]),Catalogos!E$120:G$128,3,FALSE),"")</f>
        <v>64</v>
      </c>
      <c r="V1852" s="31" t="str">
        <f>IF(Tabla1[[#This Row],[Tiempo solución max (hrs)]]&lt;&gt;"",IF(Tabla1[[#This Row],[Tiempo solución max (hrs)]]&gt;=Tabla1[[#This Row],[Tiempo
(Hrs 00/100)]],"cumple","no cumple"),"")</f>
        <v>cumple</v>
      </c>
      <c r="W1852" s="376" t="s">
        <v>2418</v>
      </c>
      <c r="X1852" s="377" t="str">
        <f t="shared" si="177"/>
        <v>SSI</v>
      </c>
      <c r="Y1852" t="str">
        <f>SUBSTITUTE(Tabla1[[#This Row],[Descripción]],CHAR(10),"    I    ")</f>
        <v>Se revisó documentación '8 SODA Drivers' de liga compartida de Simple Oracle Document Access (SODA)</v>
      </c>
      <c r="Z1852" s="142">
        <f>VLOOKUP(Tabla1[[#This Row],[Perfil]],Catalogos!$B$75:$D$100,3,FALSE)*Tabla1[[#This Row],[Tiempo
(Hrs 00/100)]]*1.16</f>
        <v>696</v>
      </c>
    </row>
    <row r="1853" spans="1:26" ht="15" customHeight="1" x14ac:dyDescent="0.3">
      <c r="A1853" s="373" t="s">
        <v>22</v>
      </c>
      <c r="B1853" s="373" t="s">
        <v>305</v>
      </c>
      <c r="C1853" s="373" t="s">
        <v>257</v>
      </c>
      <c r="D1853" s="373"/>
      <c r="E1853" s="373" t="s">
        <v>408</v>
      </c>
      <c r="F1853" s="373" t="s">
        <v>72</v>
      </c>
      <c r="G1853" s="373" t="s">
        <v>3124</v>
      </c>
      <c r="H1853" s="461" t="s">
        <v>2832</v>
      </c>
      <c r="I1853" s="538" t="s">
        <v>2833</v>
      </c>
      <c r="J1853" s="729">
        <v>45174</v>
      </c>
      <c r="K1853" s="772">
        <v>0.52083333333333337</v>
      </c>
      <c r="L1853" s="729">
        <v>45174</v>
      </c>
      <c r="M1853" s="772">
        <v>0.5625</v>
      </c>
      <c r="N1853" s="373">
        <v>1</v>
      </c>
      <c r="O1853" s="184" t="s">
        <v>17</v>
      </c>
      <c r="P1853" s="375" t="s">
        <v>3285</v>
      </c>
      <c r="Q1853" s="179" t="s">
        <v>1441</v>
      </c>
      <c r="R1853" s="31" t="s">
        <v>95</v>
      </c>
      <c r="S1853" s="31" t="s">
        <v>273</v>
      </c>
      <c r="T1853" s="31" t="s">
        <v>273</v>
      </c>
      <c r="U1853" s="31">
        <f>IFERROR(VLOOKUP(CONCATENATE(Tabla1[[#This Row],[Severidad]]," ",Tabla1[[#This Row],[Complejidad]]),Catalogos!E$120:G$128,3,FALSE),"")</f>
        <v>64</v>
      </c>
      <c r="V1853" s="31" t="str">
        <f>IF(Tabla1[[#This Row],[Tiempo solución max (hrs)]]&lt;&gt;"",IF(Tabla1[[#This Row],[Tiempo solución max (hrs)]]&gt;=Tabla1[[#This Row],[Tiempo
(Hrs 00/100)]],"cumple","no cumple"),"")</f>
        <v>cumple</v>
      </c>
      <c r="W1853" s="376" t="s">
        <v>2418</v>
      </c>
      <c r="X1853" s="377" t="str">
        <f t="shared" si="177"/>
        <v>SSI</v>
      </c>
      <c r="Y1853" t="str">
        <f>SUBSTITUTE(Tabla1[[#This Row],[Descripción]],CHAR(10),"    I    ")</f>
        <v>Se revisó documentación '9 SODA Feature Support' de liga compartida de Simple Oracle Document Access (SODA)</v>
      </c>
      <c r="Z1853" s="142">
        <f>VLOOKUP(Tabla1[[#This Row],[Perfil]],Catalogos!$B$75:$D$100,3,FALSE)*Tabla1[[#This Row],[Tiempo
(Hrs 00/100)]]*1.16</f>
        <v>696</v>
      </c>
    </row>
    <row r="1854" spans="1:26" ht="15" customHeight="1" x14ac:dyDescent="0.3">
      <c r="A1854" s="373" t="s">
        <v>22</v>
      </c>
      <c r="B1854" s="373" t="s">
        <v>305</v>
      </c>
      <c r="C1854" s="373" t="s">
        <v>257</v>
      </c>
      <c r="D1854" s="373"/>
      <c r="E1854" s="373" t="s">
        <v>408</v>
      </c>
      <c r="F1854" s="373" t="s">
        <v>72</v>
      </c>
      <c r="G1854" s="373" t="s">
        <v>3125</v>
      </c>
      <c r="H1854" s="461" t="s">
        <v>2834</v>
      </c>
      <c r="I1854" s="538" t="s">
        <v>2835</v>
      </c>
      <c r="J1854" s="729">
        <v>45174</v>
      </c>
      <c r="K1854" s="772">
        <v>0.60416666666666663</v>
      </c>
      <c r="L1854" s="729">
        <v>45174</v>
      </c>
      <c r="M1854" s="772">
        <v>0.64583333333333337</v>
      </c>
      <c r="N1854" s="373">
        <v>1</v>
      </c>
      <c r="O1854" s="184" t="s">
        <v>17</v>
      </c>
      <c r="P1854" s="375" t="s">
        <v>3285</v>
      </c>
      <c r="Q1854" s="179" t="s">
        <v>1441</v>
      </c>
      <c r="R1854" s="31" t="s">
        <v>95</v>
      </c>
      <c r="S1854" s="31" t="s">
        <v>273</v>
      </c>
      <c r="T1854" s="31" t="s">
        <v>273</v>
      </c>
      <c r="U1854" s="31">
        <f>IFERROR(VLOOKUP(CONCATENATE(Tabla1[[#This Row],[Severidad]]," ",Tabla1[[#This Row],[Complejidad]]),Catalogos!E$120:G$128,3,FALSE),"")</f>
        <v>64</v>
      </c>
      <c r="V1854" s="31" t="str">
        <f>IF(Tabla1[[#This Row],[Tiempo solución max (hrs)]]&lt;&gt;"",IF(Tabla1[[#This Row],[Tiempo solución max (hrs)]]&gt;=Tabla1[[#This Row],[Tiempo
(Hrs 00/100)]],"cumple","no cumple"),"")</f>
        <v>cumple</v>
      </c>
      <c r="W1854" s="376" t="s">
        <v>2418</v>
      </c>
      <c r="X1854" s="377" t="str">
        <f t="shared" si="177"/>
        <v>SSI</v>
      </c>
      <c r="Y1854" t="str">
        <f>SUBSTITUTE(Tabla1[[#This Row],[Descripción]],CHAR(10),"    I    ")</f>
        <v>Se revisó documentación '10 SODA Guidelines and Restrictions' de liga compartida de Simple Oracle Document Access (SODA)</v>
      </c>
      <c r="Z1854" s="142">
        <f>VLOOKUP(Tabla1[[#This Row],[Perfil]],Catalogos!$B$75:$D$100,3,FALSE)*Tabla1[[#This Row],[Tiempo
(Hrs 00/100)]]*1.16</f>
        <v>696</v>
      </c>
    </row>
    <row r="1855" spans="1:26" ht="15" customHeight="1" x14ac:dyDescent="0.3">
      <c r="A1855" s="373" t="s">
        <v>22</v>
      </c>
      <c r="B1855" s="373" t="s">
        <v>305</v>
      </c>
      <c r="C1855" s="373" t="s">
        <v>257</v>
      </c>
      <c r="D1855" s="373"/>
      <c r="E1855" s="373" t="s">
        <v>408</v>
      </c>
      <c r="F1855" s="373" t="s">
        <v>72</v>
      </c>
      <c r="G1855" s="373" t="s">
        <v>3126</v>
      </c>
      <c r="H1855" s="461" t="s">
        <v>2836</v>
      </c>
      <c r="I1855" s="538" t="s">
        <v>2837</v>
      </c>
      <c r="J1855" s="729">
        <v>45174</v>
      </c>
      <c r="K1855" s="772">
        <v>0.64583333333333337</v>
      </c>
      <c r="L1855" s="729">
        <v>45174</v>
      </c>
      <c r="M1855" s="772">
        <v>0.70833333333333337</v>
      </c>
      <c r="N1855" s="373">
        <v>1.5</v>
      </c>
      <c r="O1855" s="184" t="s">
        <v>17</v>
      </c>
      <c r="P1855" s="375" t="s">
        <v>3287</v>
      </c>
      <c r="Q1855" s="179" t="s">
        <v>1441</v>
      </c>
      <c r="R1855" s="31" t="s">
        <v>95</v>
      </c>
      <c r="S1855" s="31" t="s">
        <v>273</v>
      </c>
      <c r="T1855" s="31" t="s">
        <v>273</v>
      </c>
      <c r="U1855" s="31">
        <f>IFERROR(VLOOKUP(CONCATENATE(Tabla1[[#This Row],[Severidad]]," ",Tabla1[[#This Row],[Complejidad]]),Catalogos!E$120:G$128,3,FALSE),"")</f>
        <v>64</v>
      </c>
      <c r="V1855" s="31" t="str">
        <f>IF(Tabla1[[#This Row],[Tiempo solución max (hrs)]]&lt;&gt;"",IF(Tabla1[[#This Row],[Tiempo solución max (hrs)]]&gt;=Tabla1[[#This Row],[Tiempo
(Hrs 00/100)]],"cumple","no cumple"),"")</f>
        <v>cumple</v>
      </c>
      <c r="W1855" s="376" t="s">
        <v>2418</v>
      </c>
      <c r="X1855" s="377" t="str">
        <f t="shared" si="177"/>
        <v>SSI</v>
      </c>
      <c r="Y1855" t="str">
        <f>SUBSTITUTE(Tabla1[[#This Row],[Descripción]],CHAR(10),"    I    ")</f>
        <v>Se revisó información de 'MongoDB : todo sobre la base de datos NoSQL orientada a documentos' en portales de internet</v>
      </c>
      <c r="Z1855" s="142">
        <f>VLOOKUP(Tabla1[[#This Row],[Perfil]],Catalogos!$B$75:$D$100,3,FALSE)*Tabla1[[#This Row],[Tiempo
(Hrs 00/100)]]*1.16</f>
        <v>1044</v>
      </c>
    </row>
    <row r="1856" spans="1:26" ht="15" customHeight="1" x14ac:dyDescent="0.3">
      <c r="A1856" s="373" t="s">
        <v>22</v>
      </c>
      <c r="B1856" s="373" t="s">
        <v>305</v>
      </c>
      <c r="C1856" s="373" t="s">
        <v>257</v>
      </c>
      <c r="D1856" s="373"/>
      <c r="E1856" s="373" t="s">
        <v>408</v>
      </c>
      <c r="F1856" s="373" t="s">
        <v>72</v>
      </c>
      <c r="G1856" s="373" t="s">
        <v>3127</v>
      </c>
      <c r="H1856" s="461" t="s">
        <v>2838</v>
      </c>
      <c r="I1856" s="538" t="s">
        <v>2839</v>
      </c>
      <c r="J1856" s="729">
        <v>45174</v>
      </c>
      <c r="K1856" s="772">
        <v>0.70833333333333337</v>
      </c>
      <c r="L1856" s="729">
        <v>45174</v>
      </c>
      <c r="M1856" s="772">
        <v>0.75</v>
      </c>
      <c r="N1856" s="373">
        <v>1</v>
      </c>
      <c r="O1856" s="184" t="s">
        <v>17</v>
      </c>
      <c r="P1856" s="375" t="s">
        <v>3287</v>
      </c>
      <c r="Q1856" s="179" t="s">
        <v>1441</v>
      </c>
      <c r="R1856" s="31" t="s">
        <v>95</v>
      </c>
      <c r="S1856" s="31" t="s">
        <v>273</v>
      </c>
      <c r="T1856" s="31" t="s">
        <v>273</v>
      </c>
      <c r="U1856" s="31">
        <f>IFERROR(VLOOKUP(CONCATENATE(Tabla1[[#This Row],[Severidad]]," ",Tabla1[[#This Row],[Complejidad]]),Catalogos!E$120:G$128,3,FALSE),"")</f>
        <v>64</v>
      </c>
      <c r="V1856" s="31" t="str">
        <f>IF(Tabla1[[#This Row],[Tiempo solución max (hrs)]]&lt;&gt;"",IF(Tabla1[[#This Row],[Tiempo solución max (hrs)]]&gt;=Tabla1[[#This Row],[Tiempo
(Hrs 00/100)]],"cumple","no cumple"),"")</f>
        <v>cumple</v>
      </c>
      <c r="W1856" s="376" t="s">
        <v>2418</v>
      </c>
      <c r="X1856" s="377" t="str">
        <f t="shared" si="177"/>
        <v>SSI</v>
      </c>
      <c r="Y1856" t="str">
        <f>SUBSTITUTE(Tabla1[[#This Row],[Descripción]],CHAR(10),"    I    ")</f>
        <v xml:space="preserve">Se visualizó video de 'MongoDB in 5 minutes with Eliot Horowitz' de portales de internet </v>
      </c>
      <c r="Z1856" s="142">
        <f>VLOOKUP(Tabla1[[#This Row],[Perfil]],Catalogos!$B$75:$D$100,3,FALSE)*Tabla1[[#This Row],[Tiempo
(Hrs 00/100)]]*1.16</f>
        <v>696</v>
      </c>
    </row>
    <row r="1857" spans="1:26" ht="15" customHeight="1" x14ac:dyDescent="0.3">
      <c r="A1857" s="373" t="s">
        <v>22</v>
      </c>
      <c r="B1857" s="373" t="s">
        <v>305</v>
      </c>
      <c r="C1857" s="373" t="s">
        <v>257</v>
      </c>
      <c r="D1857" s="373"/>
      <c r="E1857" s="373" t="s">
        <v>408</v>
      </c>
      <c r="F1857" s="373" t="s">
        <v>72</v>
      </c>
      <c r="G1857" s="373" t="s">
        <v>3128</v>
      </c>
      <c r="H1857" s="461" t="s">
        <v>2841</v>
      </c>
      <c r="I1857" s="538" t="s">
        <v>2842</v>
      </c>
      <c r="J1857" s="729">
        <v>45175</v>
      </c>
      <c r="K1857" s="772">
        <v>0.375</v>
      </c>
      <c r="L1857" s="729">
        <v>45175</v>
      </c>
      <c r="M1857" s="772">
        <v>0.41666666666666669</v>
      </c>
      <c r="N1857" s="373">
        <v>1</v>
      </c>
      <c r="O1857" s="184" t="s">
        <v>17</v>
      </c>
      <c r="P1857" s="375" t="s">
        <v>3287</v>
      </c>
      <c r="Q1857" s="179" t="s">
        <v>1441</v>
      </c>
      <c r="R1857" s="31" t="s">
        <v>95</v>
      </c>
      <c r="S1857" s="31" t="s">
        <v>273</v>
      </c>
      <c r="T1857" s="31" t="s">
        <v>273</v>
      </c>
      <c r="U1857" s="31">
        <f>IFERROR(VLOOKUP(CONCATENATE(Tabla1[[#This Row],[Severidad]]," ",Tabla1[[#This Row],[Complejidad]]),Catalogos!E$120:G$128,3,FALSE),"")</f>
        <v>64</v>
      </c>
      <c r="V1857" s="31" t="str">
        <f>IF(Tabla1[[#This Row],[Tiempo solución max (hrs)]]&lt;&gt;"",IF(Tabla1[[#This Row],[Tiempo solución max (hrs)]]&gt;=Tabla1[[#This Row],[Tiempo
(Hrs 00/100)]],"cumple","no cumple"),"")</f>
        <v>cumple</v>
      </c>
      <c r="W1857" s="376" t="s">
        <v>2418</v>
      </c>
      <c r="X1857" s="377" t="str">
        <f t="shared" si="177"/>
        <v>SSI</v>
      </c>
      <c r="Y1857" t="str">
        <f>SUBSTITUTE(Tabla1[[#This Row],[Descripción]],CHAR(10),"    I    ")</f>
        <v xml:space="preserve">Se visualizó video de 'How do NoSQL database work? Simply Explained!' de portales de internet </v>
      </c>
      <c r="Z1857" s="142">
        <f>VLOOKUP(Tabla1[[#This Row],[Perfil]],Catalogos!$B$75:$D$100,3,FALSE)*Tabla1[[#This Row],[Tiempo
(Hrs 00/100)]]*1.16</f>
        <v>696</v>
      </c>
    </row>
    <row r="1858" spans="1:26" ht="15" customHeight="1" x14ac:dyDescent="0.3">
      <c r="A1858" s="373" t="s">
        <v>22</v>
      </c>
      <c r="B1858" s="373" t="s">
        <v>305</v>
      </c>
      <c r="C1858" s="373" t="s">
        <v>257</v>
      </c>
      <c r="D1858" s="373"/>
      <c r="E1858" s="373" t="s">
        <v>408</v>
      </c>
      <c r="F1858" s="373" t="s">
        <v>72</v>
      </c>
      <c r="G1858" s="373" t="s">
        <v>3129</v>
      </c>
      <c r="H1858" s="461" t="s">
        <v>2843</v>
      </c>
      <c r="I1858" s="538" t="s">
        <v>2844</v>
      </c>
      <c r="J1858" s="729">
        <v>45175</v>
      </c>
      <c r="K1858" s="772">
        <v>0.41666666666666669</v>
      </c>
      <c r="L1858" s="729">
        <v>45175</v>
      </c>
      <c r="M1858" s="772">
        <v>0.45833333333333331</v>
      </c>
      <c r="N1858" s="373">
        <v>1</v>
      </c>
      <c r="O1858" s="184" t="s">
        <v>17</v>
      </c>
      <c r="P1858" s="375" t="s">
        <v>3287</v>
      </c>
      <c r="Q1858" s="179" t="s">
        <v>1441</v>
      </c>
      <c r="R1858" s="31" t="s">
        <v>95</v>
      </c>
      <c r="S1858" s="31" t="s">
        <v>273</v>
      </c>
      <c r="T1858" s="31" t="s">
        <v>273</v>
      </c>
      <c r="U1858" s="31">
        <f>IFERROR(VLOOKUP(CONCATENATE(Tabla1[[#This Row],[Severidad]]," ",Tabla1[[#This Row],[Complejidad]]),Catalogos!E$120:G$128,3,FALSE),"")</f>
        <v>64</v>
      </c>
      <c r="V1858" s="31" t="str">
        <f>IF(Tabla1[[#This Row],[Tiempo solución max (hrs)]]&lt;&gt;"",IF(Tabla1[[#This Row],[Tiempo solución max (hrs)]]&gt;=Tabla1[[#This Row],[Tiempo
(Hrs 00/100)]],"cumple","no cumple"),"")</f>
        <v>cumple</v>
      </c>
      <c r="W1858" s="376" t="s">
        <v>2418</v>
      </c>
      <c r="X1858" s="377" t="str">
        <f t="shared" si="177"/>
        <v>SSI</v>
      </c>
      <c r="Y1858" t="str">
        <f>SUBSTITUTE(Tabla1[[#This Row],[Descripción]],CHAR(10),"    I    ")</f>
        <v xml:space="preserve">Se visualizó video de 'Hystory of Data Bases' de portales de internet' de portales de internet  </v>
      </c>
      <c r="Z1858" s="142">
        <f>VLOOKUP(Tabla1[[#This Row],[Perfil]],Catalogos!$B$75:$D$100,3,FALSE)*Tabla1[[#This Row],[Tiempo
(Hrs 00/100)]]*1.16</f>
        <v>696</v>
      </c>
    </row>
    <row r="1859" spans="1:26" ht="15" customHeight="1" x14ac:dyDescent="0.3">
      <c r="A1859" s="373" t="s">
        <v>22</v>
      </c>
      <c r="B1859" s="373" t="s">
        <v>305</v>
      </c>
      <c r="C1859" s="373" t="s">
        <v>257</v>
      </c>
      <c r="D1859" s="373"/>
      <c r="E1859" s="373" t="s">
        <v>408</v>
      </c>
      <c r="F1859" s="373" t="s">
        <v>72</v>
      </c>
      <c r="G1859" s="373" t="s">
        <v>3130</v>
      </c>
      <c r="H1859" s="461" t="s">
        <v>2845</v>
      </c>
      <c r="I1859" s="538" t="s">
        <v>2846</v>
      </c>
      <c r="J1859" s="729">
        <v>45175</v>
      </c>
      <c r="K1859" s="772">
        <v>0.45833333333333331</v>
      </c>
      <c r="L1859" s="729">
        <v>45175</v>
      </c>
      <c r="M1859" s="772">
        <v>0.5</v>
      </c>
      <c r="N1859" s="373">
        <v>1</v>
      </c>
      <c r="O1859" s="184" t="s">
        <v>17</v>
      </c>
      <c r="P1859" s="375" t="s">
        <v>3286</v>
      </c>
      <c r="Q1859" s="179" t="s">
        <v>1441</v>
      </c>
      <c r="R1859" s="31" t="s">
        <v>95</v>
      </c>
      <c r="S1859" s="31" t="s">
        <v>273</v>
      </c>
      <c r="T1859" s="31" t="s">
        <v>273</v>
      </c>
      <c r="U1859" s="31">
        <f>IFERROR(VLOOKUP(CONCATENATE(Tabla1[[#This Row],[Severidad]]," ",Tabla1[[#This Row],[Complejidad]]),Catalogos!E$120:G$128,3,FALSE),"")</f>
        <v>64</v>
      </c>
      <c r="V1859" s="31" t="str">
        <f>IF(Tabla1[[#This Row],[Tiempo solución max (hrs)]]&lt;&gt;"",IF(Tabla1[[#This Row],[Tiempo solución max (hrs)]]&gt;=Tabla1[[#This Row],[Tiempo
(Hrs 00/100)]],"cumple","no cumple"),"")</f>
        <v>cumple</v>
      </c>
      <c r="W1859" s="376" t="s">
        <v>2418</v>
      </c>
      <c r="X1859" s="377" t="str">
        <f t="shared" si="177"/>
        <v>SSI</v>
      </c>
      <c r="Y1859" t="str">
        <f>SUBSTITUTE(Tabla1[[#This Row],[Descripción]],CHAR(10),"    I    ")</f>
        <v>Se revisó información de 'BASES DE DATOS NO ESTRUCTURADAS - MONGODB' en portales de internet</v>
      </c>
      <c r="Z1859" s="142">
        <f>VLOOKUP(Tabla1[[#This Row],[Perfil]],Catalogos!$B$75:$D$100,3,FALSE)*Tabla1[[#This Row],[Tiempo
(Hrs 00/100)]]*1.16</f>
        <v>696</v>
      </c>
    </row>
    <row r="1860" spans="1:26" ht="15" customHeight="1" x14ac:dyDescent="0.3">
      <c r="A1860" s="373" t="s">
        <v>22</v>
      </c>
      <c r="B1860" s="373" t="s">
        <v>305</v>
      </c>
      <c r="C1860" s="373" t="s">
        <v>257</v>
      </c>
      <c r="D1860" s="373"/>
      <c r="E1860" s="373" t="s">
        <v>408</v>
      </c>
      <c r="F1860" s="373" t="s">
        <v>72</v>
      </c>
      <c r="G1860" s="373" t="s">
        <v>3131</v>
      </c>
      <c r="H1860" s="461" t="s">
        <v>2847</v>
      </c>
      <c r="I1860" s="538" t="s">
        <v>2848</v>
      </c>
      <c r="J1860" s="729">
        <v>45175</v>
      </c>
      <c r="K1860" s="772">
        <v>0.5</v>
      </c>
      <c r="L1860" s="729">
        <v>45175</v>
      </c>
      <c r="M1860" s="772">
        <v>0.54166666666666663</v>
      </c>
      <c r="N1860" s="373">
        <v>1</v>
      </c>
      <c r="O1860" s="184" t="s">
        <v>17</v>
      </c>
      <c r="P1860" s="375" t="s">
        <v>3286</v>
      </c>
      <c r="Q1860" s="179" t="s">
        <v>1441</v>
      </c>
      <c r="R1860" s="31" t="s">
        <v>95</v>
      </c>
      <c r="S1860" s="31" t="s">
        <v>273</v>
      </c>
      <c r="T1860" s="31" t="s">
        <v>273</v>
      </c>
      <c r="U1860" s="31">
        <f>IFERROR(VLOOKUP(CONCATENATE(Tabla1[[#This Row],[Severidad]]," ",Tabla1[[#This Row],[Complejidad]]),Catalogos!E$120:G$128,3,FALSE),"")</f>
        <v>64</v>
      </c>
      <c r="V1860" s="31" t="str">
        <f>IF(Tabla1[[#This Row],[Tiempo solución max (hrs)]]&lt;&gt;"",IF(Tabla1[[#This Row],[Tiempo solución max (hrs)]]&gt;=Tabla1[[#This Row],[Tiempo
(Hrs 00/100)]],"cumple","no cumple"),"")</f>
        <v>cumple</v>
      </c>
      <c r="W1860" s="376" t="s">
        <v>2418</v>
      </c>
      <c r="X1860" s="377" t="str">
        <f t="shared" si="177"/>
        <v>SSI</v>
      </c>
      <c r="Y1860" t="str">
        <f>SUBSTITUTE(Tabla1[[#This Row],[Descripción]],CHAR(10),"    I    ")</f>
        <v>Se revisó información de 'Descripción MongoDB' en portales de internet</v>
      </c>
      <c r="Z1860" s="142">
        <f>VLOOKUP(Tabla1[[#This Row],[Perfil]],Catalogos!$B$75:$D$100,3,FALSE)*Tabla1[[#This Row],[Tiempo
(Hrs 00/100)]]*1.16</f>
        <v>696</v>
      </c>
    </row>
    <row r="1861" spans="1:26" ht="15" customHeight="1" x14ac:dyDescent="0.3">
      <c r="A1861" s="373" t="s">
        <v>22</v>
      </c>
      <c r="B1861" s="373" t="s">
        <v>305</v>
      </c>
      <c r="C1861" s="373" t="s">
        <v>257</v>
      </c>
      <c r="D1861" s="373"/>
      <c r="E1861" s="373" t="s">
        <v>408</v>
      </c>
      <c r="F1861" s="373" t="s">
        <v>72</v>
      </c>
      <c r="G1861" s="373" t="s">
        <v>3132</v>
      </c>
      <c r="H1861" s="461" t="s">
        <v>2849</v>
      </c>
      <c r="I1861" s="538" t="s">
        <v>2850</v>
      </c>
      <c r="J1861" s="729">
        <v>45175</v>
      </c>
      <c r="K1861" s="772">
        <v>0.54166666666666663</v>
      </c>
      <c r="L1861" s="729">
        <v>45175</v>
      </c>
      <c r="M1861" s="772">
        <v>0.5625</v>
      </c>
      <c r="N1861" s="373">
        <v>0.5</v>
      </c>
      <c r="O1861" s="184" t="s">
        <v>17</v>
      </c>
      <c r="P1861" s="375" t="s">
        <v>3286</v>
      </c>
      <c r="Q1861" s="179" t="s">
        <v>1441</v>
      </c>
      <c r="R1861" s="31" t="s">
        <v>95</v>
      </c>
      <c r="S1861" s="31" t="s">
        <v>273</v>
      </c>
      <c r="T1861" s="31" t="s">
        <v>273</v>
      </c>
      <c r="U1861" s="31">
        <f>IFERROR(VLOOKUP(CONCATENATE(Tabla1[[#This Row],[Severidad]]," ",Tabla1[[#This Row],[Complejidad]]),Catalogos!E$120:G$128,3,FALSE),"")</f>
        <v>64</v>
      </c>
      <c r="V1861" s="31" t="str">
        <f>IF(Tabla1[[#This Row],[Tiempo solución max (hrs)]]&lt;&gt;"",IF(Tabla1[[#This Row],[Tiempo solución max (hrs)]]&gt;=Tabla1[[#This Row],[Tiempo
(Hrs 00/100)]],"cumple","no cumple"),"")</f>
        <v>cumple</v>
      </c>
      <c r="W1861" s="376" t="s">
        <v>2418</v>
      </c>
      <c r="X1861" s="377" t="str">
        <f t="shared" si="177"/>
        <v>SSI</v>
      </c>
      <c r="Y1861" t="str">
        <f>SUBSTITUTE(Tabla1[[#This Row],[Descripción]],CHAR(10),"    I    ")</f>
        <v>Se revisó información de 'Alternativas a Mongo DB' en portales de internet</v>
      </c>
      <c r="Z1861" s="142">
        <f>VLOOKUP(Tabla1[[#This Row],[Perfil]],Catalogos!$B$75:$D$100,3,FALSE)*Tabla1[[#This Row],[Tiempo
(Hrs 00/100)]]*1.16</f>
        <v>348</v>
      </c>
    </row>
    <row r="1862" spans="1:26" ht="15" customHeight="1" x14ac:dyDescent="0.3">
      <c r="A1862" s="373" t="s">
        <v>22</v>
      </c>
      <c r="B1862" s="373" t="s">
        <v>305</v>
      </c>
      <c r="C1862" s="373" t="s">
        <v>257</v>
      </c>
      <c r="D1862" s="373"/>
      <c r="E1862" s="373" t="s">
        <v>408</v>
      </c>
      <c r="F1862" s="373" t="s">
        <v>72</v>
      </c>
      <c r="G1862" s="373" t="s">
        <v>3133</v>
      </c>
      <c r="H1862" s="461" t="s">
        <v>2851</v>
      </c>
      <c r="I1862" s="538" t="s">
        <v>2852</v>
      </c>
      <c r="J1862" s="729">
        <v>45175</v>
      </c>
      <c r="K1862" s="772">
        <v>0.60416666666666663</v>
      </c>
      <c r="L1862" s="729">
        <v>45175</v>
      </c>
      <c r="M1862" s="772">
        <v>0.625</v>
      </c>
      <c r="N1862" s="373">
        <v>0.5</v>
      </c>
      <c r="O1862" s="184" t="s">
        <v>17</v>
      </c>
      <c r="P1862" s="375" t="s">
        <v>3286</v>
      </c>
      <c r="Q1862" s="179" t="s">
        <v>1441</v>
      </c>
      <c r="R1862" s="31" t="s">
        <v>95</v>
      </c>
      <c r="S1862" s="31" t="s">
        <v>273</v>
      </c>
      <c r="T1862" s="31" t="s">
        <v>273</v>
      </c>
      <c r="U1862" s="31">
        <f>IFERROR(VLOOKUP(CONCATENATE(Tabla1[[#This Row],[Severidad]]," ",Tabla1[[#This Row],[Complejidad]]),Catalogos!E$120:G$128,3,FALSE),"")</f>
        <v>64</v>
      </c>
      <c r="V1862" s="31" t="str">
        <f>IF(Tabla1[[#This Row],[Tiempo solución max (hrs)]]&lt;&gt;"",IF(Tabla1[[#This Row],[Tiempo solución max (hrs)]]&gt;=Tabla1[[#This Row],[Tiempo
(Hrs 00/100)]],"cumple","no cumple"),"")</f>
        <v>cumple</v>
      </c>
      <c r="W1862" s="376" t="s">
        <v>2418</v>
      </c>
      <c r="X1862" s="377" t="str">
        <f t="shared" si="177"/>
        <v>SSI</v>
      </c>
      <c r="Y1862" t="str">
        <f>SUBSTITUTE(Tabla1[[#This Row],[Descripción]],CHAR(10),"    I    ")</f>
        <v>Se revisó información de 'Descarga de Mongo DB' en portales de internet</v>
      </c>
      <c r="Z1862" s="142">
        <f>VLOOKUP(Tabla1[[#This Row],[Perfil]],Catalogos!$B$75:$D$100,3,FALSE)*Tabla1[[#This Row],[Tiempo
(Hrs 00/100)]]*1.16</f>
        <v>348</v>
      </c>
    </row>
    <row r="1863" spans="1:26" ht="15" customHeight="1" x14ac:dyDescent="0.3">
      <c r="A1863" s="373" t="s">
        <v>22</v>
      </c>
      <c r="B1863" s="373" t="s">
        <v>305</v>
      </c>
      <c r="C1863" s="373" t="s">
        <v>257</v>
      </c>
      <c r="D1863" s="373"/>
      <c r="E1863" s="373" t="s">
        <v>408</v>
      </c>
      <c r="F1863" s="373" t="s">
        <v>72</v>
      </c>
      <c r="G1863" s="373" t="s">
        <v>3134</v>
      </c>
      <c r="H1863" s="461" t="s">
        <v>2853</v>
      </c>
      <c r="I1863" s="538" t="s">
        <v>2854</v>
      </c>
      <c r="J1863" s="729">
        <v>45175</v>
      </c>
      <c r="K1863" s="772">
        <v>0.625</v>
      </c>
      <c r="L1863" s="729">
        <v>45175</v>
      </c>
      <c r="M1863" s="772">
        <v>0.64583333333333337</v>
      </c>
      <c r="N1863" s="373">
        <v>0.5</v>
      </c>
      <c r="O1863" s="184" t="s">
        <v>17</v>
      </c>
      <c r="P1863" s="375" t="s">
        <v>3286</v>
      </c>
      <c r="Q1863" s="179" t="s">
        <v>1441</v>
      </c>
      <c r="R1863" s="31" t="s">
        <v>95</v>
      </c>
      <c r="S1863" s="31" t="s">
        <v>273</v>
      </c>
      <c r="T1863" s="31" t="s">
        <v>273</v>
      </c>
      <c r="U1863" s="31">
        <f>IFERROR(VLOOKUP(CONCATENATE(Tabla1[[#This Row],[Severidad]]," ",Tabla1[[#This Row],[Complejidad]]),Catalogos!E$120:G$128,3,FALSE),"")</f>
        <v>64</v>
      </c>
      <c r="V1863" s="31" t="str">
        <f>IF(Tabla1[[#This Row],[Tiempo solución max (hrs)]]&lt;&gt;"",IF(Tabla1[[#This Row],[Tiempo solución max (hrs)]]&gt;=Tabla1[[#This Row],[Tiempo
(Hrs 00/100)]],"cumple","no cumple"),"")</f>
        <v>cumple</v>
      </c>
      <c r="W1863" s="376" t="s">
        <v>2418</v>
      </c>
      <c r="X1863" s="377" t="str">
        <f t="shared" si="177"/>
        <v>SSI</v>
      </c>
      <c r="Y1863" t="str">
        <f>SUBSTITUTE(Tabla1[[#This Row],[Descripción]],CHAR(10),"    I    ")</f>
        <v>Se revisó información de 'MongoDB en Consola' en portales de internet</v>
      </c>
      <c r="Z1863" s="142">
        <f>VLOOKUP(Tabla1[[#This Row],[Perfil]],Catalogos!$B$75:$D$100,3,FALSE)*Tabla1[[#This Row],[Tiempo
(Hrs 00/100)]]*1.16</f>
        <v>348</v>
      </c>
    </row>
    <row r="1864" spans="1:26" ht="15" customHeight="1" x14ac:dyDescent="0.3">
      <c r="A1864" s="373" t="s">
        <v>22</v>
      </c>
      <c r="B1864" s="373" t="s">
        <v>305</v>
      </c>
      <c r="C1864" s="373" t="s">
        <v>257</v>
      </c>
      <c r="D1864" s="373"/>
      <c r="E1864" s="373" t="s">
        <v>408</v>
      </c>
      <c r="F1864" s="373" t="s">
        <v>72</v>
      </c>
      <c r="G1864" s="373" t="s">
        <v>3135</v>
      </c>
      <c r="H1864" s="461" t="s">
        <v>2855</v>
      </c>
      <c r="I1864" s="538" t="s">
        <v>2856</v>
      </c>
      <c r="J1864" s="729">
        <v>45175</v>
      </c>
      <c r="K1864" s="772">
        <v>0.64583333333333337</v>
      </c>
      <c r="L1864" s="729">
        <v>45175</v>
      </c>
      <c r="M1864" s="772">
        <v>0.66666666666666663</v>
      </c>
      <c r="N1864" s="373">
        <v>0.5</v>
      </c>
      <c r="O1864" s="184" t="s">
        <v>17</v>
      </c>
      <c r="P1864" s="375" t="s">
        <v>3286</v>
      </c>
      <c r="Q1864" s="179" t="s">
        <v>1441</v>
      </c>
      <c r="R1864" s="31" t="s">
        <v>95</v>
      </c>
      <c r="S1864" s="31" t="s">
        <v>273</v>
      </c>
      <c r="T1864" s="31" t="s">
        <v>273</v>
      </c>
      <c r="U1864" s="31">
        <f>IFERROR(VLOOKUP(CONCATENATE(Tabla1[[#This Row],[Severidad]]," ",Tabla1[[#This Row],[Complejidad]]),Catalogos!E$120:G$128,3,FALSE),"")</f>
        <v>64</v>
      </c>
      <c r="V1864" s="31" t="str">
        <f>IF(Tabla1[[#This Row],[Tiempo solución max (hrs)]]&lt;&gt;"",IF(Tabla1[[#This Row],[Tiempo solución max (hrs)]]&gt;=Tabla1[[#This Row],[Tiempo
(Hrs 00/100)]],"cumple","no cumple"),"")</f>
        <v>cumple</v>
      </c>
      <c r="W1864" s="376" t="s">
        <v>2418</v>
      </c>
      <c r="X1864" s="377" t="str">
        <f t="shared" si="177"/>
        <v>SSI</v>
      </c>
      <c r="Y1864" t="str">
        <f>SUBSTITUTE(Tabla1[[#This Row],[Descripción]],CHAR(10),"    I    ")</f>
        <v>Se revisó información de 'MONGODB' en portales de internet</v>
      </c>
      <c r="Z1864" s="142">
        <f>VLOOKUP(Tabla1[[#This Row],[Perfil]],Catalogos!$B$75:$D$100,3,FALSE)*Tabla1[[#This Row],[Tiempo
(Hrs 00/100)]]*1.16</f>
        <v>348</v>
      </c>
    </row>
    <row r="1865" spans="1:26" ht="15" customHeight="1" x14ac:dyDescent="0.3">
      <c r="A1865" s="373" t="s">
        <v>22</v>
      </c>
      <c r="B1865" s="373" t="s">
        <v>305</v>
      </c>
      <c r="C1865" s="373" t="s">
        <v>257</v>
      </c>
      <c r="D1865" s="373"/>
      <c r="E1865" s="373" t="s">
        <v>408</v>
      </c>
      <c r="F1865" s="373" t="s">
        <v>72</v>
      </c>
      <c r="G1865" s="373" t="s">
        <v>3136</v>
      </c>
      <c r="H1865" s="461" t="s">
        <v>2857</v>
      </c>
      <c r="I1865" s="538" t="s">
        <v>2858</v>
      </c>
      <c r="J1865" s="729">
        <v>45175</v>
      </c>
      <c r="K1865" s="772">
        <v>0.66666666666666663</v>
      </c>
      <c r="L1865" s="729">
        <v>45175</v>
      </c>
      <c r="M1865" s="772">
        <v>0.72916666666666663</v>
      </c>
      <c r="N1865" s="373">
        <v>1.5</v>
      </c>
      <c r="O1865" s="184" t="s">
        <v>17</v>
      </c>
      <c r="P1865" s="375" t="s">
        <v>3286</v>
      </c>
      <c r="Q1865" s="179" t="s">
        <v>1441</v>
      </c>
      <c r="R1865" s="31" t="s">
        <v>95</v>
      </c>
      <c r="S1865" s="31" t="s">
        <v>273</v>
      </c>
      <c r="T1865" s="31" t="s">
        <v>273</v>
      </c>
      <c r="U1865" s="31">
        <f>IFERROR(VLOOKUP(CONCATENATE(Tabla1[[#This Row],[Severidad]]," ",Tabla1[[#This Row],[Complejidad]]),Catalogos!E$120:G$128,3,FALSE),"")</f>
        <v>64</v>
      </c>
      <c r="V1865" s="31" t="str">
        <f>IF(Tabla1[[#This Row],[Tiempo solución max (hrs)]]&lt;&gt;"",IF(Tabla1[[#This Row],[Tiempo solución max (hrs)]]&gt;=Tabla1[[#This Row],[Tiempo
(Hrs 00/100)]],"cumple","no cumple"),"")</f>
        <v>cumple</v>
      </c>
      <c r="W1865" s="376" t="s">
        <v>2418</v>
      </c>
      <c r="X1865" s="377" t="str">
        <f t="shared" si="177"/>
        <v>SSI</v>
      </c>
      <c r="Y1865" t="str">
        <f>SUBSTITUTE(Tabla1[[#This Row],[Descripción]],CHAR(10),"    I    ")</f>
        <v>Se revisó información de 'Algunos comandos MongoDB' en portales de internet</v>
      </c>
      <c r="Z1865" s="142">
        <f>VLOOKUP(Tabla1[[#This Row],[Perfil]],Catalogos!$B$75:$D$100,3,FALSE)*Tabla1[[#This Row],[Tiempo
(Hrs 00/100)]]*1.16</f>
        <v>1044</v>
      </c>
    </row>
    <row r="1866" spans="1:26" ht="15" customHeight="1" x14ac:dyDescent="0.3">
      <c r="A1866" s="373" t="s">
        <v>22</v>
      </c>
      <c r="B1866" s="373" t="s">
        <v>305</v>
      </c>
      <c r="C1866" s="373" t="s">
        <v>257</v>
      </c>
      <c r="D1866" s="373"/>
      <c r="E1866" s="373" t="s">
        <v>408</v>
      </c>
      <c r="F1866" s="373" t="s">
        <v>72</v>
      </c>
      <c r="G1866" s="373" t="s">
        <v>3137</v>
      </c>
      <c r="H1866" s="461" t="s">
        <v>2859</v>
      </c>
      <c r="I1866" s="538" t="s">
        <v>2860</v>
      </c>
      <c r="J1866" s="729">
        <v>45175</v>
      </c>
      <c r="K1866" s="772">
        <v>0.72916666666666663</v>
      </c>
      <c r="L1866" s="729">
        <v>45175</v>
      </c>
      <c r="M1866" s="772">
        <v>0.75</v>
      </c>
      <c r="N1866" s="373">
        <v>0.5</v>
      </c>
      <c r="O1866" s="184" t="s">
        <v>17</v>
      </c>
      <c r="P1866" s="375" t="s">
        <v>3286</v>
      </c>
      <c r="Q1866" s="179" t="s">
        <v>1441</v>
      </c>
      <c r="R1866" s="31" t="s">
        <v>95</v>
      </c>
      <c r="S1866" s="31" t="s">
        <v>273</v>
      </c>
      <c r="T1866" s="31" t="s">
        <v>273</v>
      </c>
      <c r="U1866" s="31">
        <f>IFERROR(VLOOKUP(CONCATENATE(Tabla1[[#This Row],[Severidad]]," ",Tabla1[[#This Row],[Complejidad]]),Catalogos!E$120:G$128,3,FALSE),"")</f>
        <v>64</v>
      </c>
      <c r="V1866" s="31" t="str">
        <f>IF(Tabla1[[#This Row],[Tiempo solución max (hrs)]]&lt;&gt;"",IF(Tabla1[[#This Row],[Tiempo solución max (hrs)]]&gt;=Tabla1[[#This Row],[Tiempo
(Hrs 00/100)]],"cumple","no cumple"),"")</f>
        <v>cumple</v>
      </c>
      <c r="W1866" s="376" t="s">
        <v>2418</v>
      </c>
      <c r="X1866" s="377" t="str">
        <f t="shared" si="177"/>
        <v>SSI</v>
      </c>
      <c r="Y1866" t="str">
        <f>SUBSTITUTE(Tabla1[[#This Row],[Descripción]],CHAR(10),"    I    ")</f>
        <v>Se revisó información de 'MongoDB Compass' en portales de internet</v>
      </c>
      <c r="Z1866" s="142">
        <f>VLOOKUP(Tabla1[[#This Row],[Perfil]],Catalogos!$B$75:$D$100,3,FALSE)*Tabla1[[#This Row],[Tiempo
(Hrs 00/100)]]*1.16</f>
        <v>348</v>
      </c>
    </row>
    <row r="1867" spans="1:26" ht="15" customHeight="1" x14ac:dyDescent="0.3">
      <c r="A1867" s="373" t="s">
        <v>22</v>
      </c>
      <c r="B1867" s="373" t="s">
        <v>305</v>
      </c>
      <c r="C1867" s="373" t="s">
        <v>257</v>
      </c>
      <c r="D1867" s="373"/>
      <c r="E1867" s="373" t="s">
        <v>408</v>
      </c>
      <c r="F1867" s="373" t="s">
        <v>72</v>
      </c>
      <c r="G1867" s="373" t="s">
        <v>3138</v>
      </c>
      <c r="H1867" s="461" t="s">
        <v>2861</v>
      </c>
      <c r="I1867" s="538" t="s">
        <v>2862</v>
      </c>
      <c r="J1867" s="729">
        <v>45175</v>
      </c>
      <c r="K1867" s="772">
        <v>0.75</v>
      </c>
      <c r="L1867" s="729">
        <v>45175</v>
      </c>
      <c r="M1867" s="772">
        <v>0.79166666666666663</v>
      </c>
      <c r="N1867" s="373">
        <v>1</v>
      </c>
      <c r="O1867" s="184" t="s">
        <v>17</v>
      </c>
      <c r="P1867" s="375" t="s">
        <v>3286</v>
      </c>
      <c r="Q1867" s="179" t="s">
        <v>1441</v>
      </c>
      <c r="R1867" s="31" t="s">
        <v>95</v>
      </c>
      <c r="S1867" s="31" t="s">
        <v>273</v>
      </c>
      <c r="T1867" s="31" t="s">
        <v>273</v>
      </c>
      <c r="U1867" s="31">
        <f>IFERROR(VLOOKUP(CONCATENATE(Tabla1[[#This Row],[Severidad]]," ",Tabla1[[#This Row],[Complejidad]]),Catalogos!E$120:G$128,3,FALSE),"")</f>
        <v>64</v>
      </c>
      <c r="V1867" s="31" t="str">
        <f>IF(Tabla1[[#This Row],[Tiempo solución max (hrs)]]&lt;&gt;"",IF(Tabla1[[#This Row],[Tiempo solución max (hrs)]]&gt;=Tabla1[[#This Row],[Tiempo
(Hrs 00/100)]],"cumple","no cumple"),"")</f>
        <v>cumple</v>
      </c>
      <c r="W1867" s="376" t="s">
        <v>2418</v>
      </c>
      <c r="X1867" s="377" t="str">
        <f t="shared" si="177"/>
        <v>SSI</v>
      </c>
      <c r="Y1867" t="str">
        <f>SUBSTITUTE(Tabla1[[#This Row],[Descripción]],CHAR(10),"    I    ")</f>
        <v>Se revisó información de 'Bases de datos y colecciones' en portales de internet</v>
      </c>
      <c r="Z1867" s="142">
        <f>VLOOKUP(Tabla1[[#This Row],[Perfil]],Catalogos!$B$75:$D$100,3,FALSE)*Tabla1[[#This Row],[Tiempo
(Hrs 00/100)]]*1.16</f>
        <v>696</v>
      </c>
    </row>
    <row r="1868" spans="1:26" ht="15" customHeight="1" x14ac:dyDescent="0.3">
      <c r="A1868" s="373" t="s">
        <v>22</v>
      </c>
      <c r="B1868" s="373" t="s">
        <v>305</v>
      </c>
      <c r="C1868" s="373" t="s">
        <v>257</v>
      </c>
      <c r="D1868" s="373"/>
      <c r="E1868" s="373" t="s">
        <v>408</v>
      </c>
      <c r="F1868" s="373" t="s">
        <v>72</v>
      </c>
      <c r="G1868" s="373" t="s">
        <v>3139</v>
      </c>
      <c r="H1868" s="461" t="s">
        <v>2863</v>
      </c>
      <c r="I1868" s="538" t="s">
        <v>2864</v>
      </c>
      <c r="J1868" s="729">
        <v>45176</v>
      </c>
      <c r="K1868" s="772">
        <v>0.375</v>
      </c>
      <c r="L1868" s="729">
        <v>45176</v>
      </c>
      <c r="M1868" s="772">
        <v>0.4375</v>
      </c>
      <c r="N1868" s="373">
        <v>1.5</v>
      </c>
      <c r="O1868" s="184" t="s">
        <v>17</v>
      </c>
      <c r="P1868" s="375" t="s">
        <v>2865</v>
      </c>
      <c r="Q1868" s="179" t="s">
        <v>1441</v>
      </c>
      <c r="R1868" s="31" t="s">
        <v>95</v>
      </c>
      <c r="S1868" s="31" t="s">
        <v>273</v>
      </c>
      <c r="T1868" s="31" t="s">
        <v>273</v>
      </c>
      <c r="U1868" s="31">
        <f>IFERROR(VLOOKUP(CONCATENATE(Tabla1[[#This Row],[Severidad]]," ",Tabla1[[#This Row],[Complejidad]]),Catalogos!E$120:G$128,3,FALSE),"")</f>
        <v>64</v>
      </c>
      <c r="V1868" s="31" t="str">
        <f>IF(Tabla1[[#This Row],[Tiempo solución max (hrs)]]&lt;&gt;"",IF(Tabla1[[#This Row],[Tiempo solución max (hrs)]]&gt;=Tabla1[[#This Row],[Tiempo
(Hrs 00/100)]],"cumple","no cumple"),"")</f>
        <v>cumple</v>
      </c>
      <c r="W1868" s="376" t="s">
        <v>2418</v>
      </c>
      <c r="X1868" s="377" t="str">
        <f t="shared" si="177"/>
        <v>SSI</v>
      </c>
      <c r="Y1868" t="str">
        <f>SUBSTITUTE(Tabla1[[#This Row],[Descripción]],CHAR(10),"    I    ")</f>
        <v>Se revisó el archivo 'Querys_Estadisiticas_Totales' proporcionado por Samuel</v>
      </c>
      <c r="Z1868" s="142">
        <f>VLOOKUP(Tabla1[[#This Row],[Perfil]],Catalogos!$B$75:$D$100,3,FALSE)*Tabla1[[#This Row],[Tiempo
(Hrs 00/100)]]*1.16</f>
        <v>1044</v>
      </c>
    </row>
    <row r="1869" spans="1:26" ht="15" customHeight="1" x14ac:dyDescent="0.3">
      <c r="A1869" s="373" t="s">
        <v>22</v>
      </c>
      <c r="B1869" s="373" t="s">
        <v>305</v>
      </c>
      <c r="C1869" s="373" t="s">
        <v>257</v>
      </c>
      <c r="D1869" s="373"/>
      <c r="E1869" s="373" t="s">
        <v>408</v>
      </c>
      <c r="F1869" s="373" t="s">
        <v>77</v>
      </c>
      <c r="G1869" s="373" t="s">
        <v>3140</v>
      </c>
      <c r="H1869" s="461" t="s">
        <v>2866</v>
      </c>
      <c r="I1869" s="538" t="s">
        <v>2867</v>
      </c>
      <c r="J1869" s="729">
        <v>45176</v>
      </c>
      <c r="K1869" s="772">
        <v>0.4375</v>
      </c>
      <c r="L1869" s="729">
        <v>45176</v>
      </c>
      <c r="M1869" s="772">
        <v>0.45833333333333331</v>
      </c>
      <c r="N1869" s="373">
        <v>0.5</v>
      </c>
      <c r="O1869" s="184" t="s">
        <v>17</v>
      </c>
      <c r="P1869" s="375"/>
      <c r="Q1869" s="179" t="s">
        <v>1441</v>
      </c>
      <c r="R1869" s="31" t="s">
        <v>95</v>
      </c>
      <c r="S1869" s="31" t="s">
        <v>273</v>
      </c>
      <c r="T1869" s="31" t="s">
        <v>273</v>
      </c>
      <c r="U1869" s="31">
        <f>IFERROR(VLOOKUP(CONCATENATE(Tabla1[[#This Row],[Severidad]]," ",Tabla1[[#This Row],[Complejidad]]),Catalogos!E$120:G$128,3,FALSE),"")</f>
        <v>64</v>
      </c>
      <c r="V1869" s="31" t="str">
        <f>IF(Tabla1[[#This Row],[Tiempo solución max (hrs)]]&lt;&gt;"",IF(Tabla1[[#This Row],[Tiempo solución max (hrs)]]&gt;=Tabla1[[#This Row],[Tiempo
(Hrs 00/100)]],"cumple","no cumple"),"")</f>
        <v>cumple</v>
      </c>
      <c r="W1869" s="376" t="s">
        <v>2418</v>
      </c>
      <c r="X1869" s="377" t="str">
        <f t="shared" si="177"/>
        <v>SSI</v>
      </c>
      <c r="Y1869" t="str">
        <f>SUBSTITUTE(Tabla1[[#This Row],[Descripción]],CHAR(10),"    I    ")</f>
        <v>Se dio retroalimentación rapida a Samuel sobre cuantos querys se van a trabajar del archivo 'Querys_Estadisiticas_Totales'</v>
      </c>
      <c r="Z1869" s="142">
        <f>VLOOKUP(Tabla1[[#This Row],[Perfil]],Catalogos!$B$75:$D$100,3,FALSE)*Tabla1[[#This Row],[Tiempo
(Hrs 00/100)]]*1.16</f>
        <v>348</v>
      </c>
    </row>
    <row r="1870" spans="1:26" ht="15" customHeight="1" x14ac:dyDescent="0.3">
      <c r="A1870" s="373" t="s">
        <v>22</v>
      </c>
      <c r="B1870" s="373" t="s">
        <v>305</v>
      </c>
      <c r="C1870" s="373" t="s">
        <v>257</v>
      </c>
      <c r="D1870" s="373"/>
      <c r="E1870" s="373" t="s">
        <v>408</v>
      </c>
      <c r="F1870" s="373" t="s">
        <v>72</v>
      </c>
      <c r="G1870" s="373" t="s">
        <v>3141</v>
      </c>
      <c r="H1870" s="461" t="s">
        <v>2868</v>
      </c>
      <c r="I1870" s="538" t="s">
        <v>2869</v>
      </c>
      <c r="J1870" s="729">
        <v>45176</v>
      </c>
      <c r="K1870" s="772">
        <v>0.45833333333333331</v>
      </c>
      <c r="L1870" s="729">
        <v>45176</v>
      </c>
      <c r="M1870" s="772">
        <v>0.52083333333333337</v>
      </c>
      <c r="N1870" s="373">
        <v>1.5</v>
      </c>
      <c r="O1870" s="184" t="s">
        <v>17</v>
      </c>
      <c r="P1870" s="375" t="s">
        <v>2870</v>
      </c>
      <c r="Q1870" s="179" t="s">
        <v>1441</v>
      </c>
      <c r="R1870" s="31" t="s">
        <v>95</v>
      </c>
      <c r="S1870" s="31" t="s">
        <v>273</v>
      </c>
      <c r="T1870" s="31" t="s">
        <v>273</v>
      </c>
      <c r="U1870" s="31">
        <f>IFERROR(VLOOKUP(CONCATENATE(Tabla1[[#This Row],[Severidad]]," ",Tabla1[[#This Row],[Complejidad]]),Catalogos!E$120:G$128,3,FALSE),"")</f>
        <v>64</v>
      </c>
      <c r="V1870" s="31" t="str">
        <f>IF(Tabla1[[#This Row],[Tiempo solución max (hrs)]]&lt;&gt;"",IF(Tabla1[[#This Row],[Tiempo solución max (hrs)]]&gt;=Tabla1[[#This Row],[Tiempo
(Hrs 00/100)]],"cumple","no cumple"),"")</f>
        <v>cumple</v>
      </c>
      <c r="W1870" s="376" t="s">
        <v>2418</v>
      </c>
      <c r="X1870" s="377" t="str">
        <f t="shared" si="177"/>
        <v>SSI</v>
      </c>
      <c r="Y1870" t="str">
        <f>SUBSTITUTE(Tabla1[[#This Row],[Descripción]],CHAR(10),"    I    ")</f>
        <v>Se revisó el archivo 'Final Ficha estadística 2023' proporcionado por Samuel</v>
      </c>
      <c r="Z1870" s="142">
        <f>VLOOKUP(Tabla1[[#This Row],[Perfil]],Catalogos!$B$75:$D$100,3,FALSE)*Tabla1[[#This Row],[Tiempo
(Hrs 00/100)]]*1.16</f>
        <v>1044</v>
      </c>
    </row>
    <row r="1871" spans="1:26" ht="15" customHeight="1" x14ac:dyDescent="0.3">
      <c r="A1871" s="373" t="s">
        <v>22</v>
      </c>
      <c r="B1871" s="373" t="s">
        <v>305</v>
      </c>
      <c r="C1871" s="373" t="s">
        <v>257</v>
      </c>
      <c r="D1871" s="373"/>
      <c r="E1871" s="373" t="s">
        <v>408</v>
      </c>
      <c r="F1871" s="373" t="s">
        <v>77</v>
      </c>
      <c r="G1871" s="373" t="s">
        <v>3142</v>
      </c>
      <c r="H1871" s="461" t="s">
        <v>2871</v>
      </c>
      <c r="I1871" s="538" t="s">
        <v>2872</v>
      </c>
      <c r="J1871" s="729">
        <v>45176</v>
      </c>
      <c r="K1871" s="772">
        <v>0.52083333333333337</v>
      </c>
      <c r="L1871" s="729">
        <v>45176</v>
      </c>
      <c r="M1871" s="772">
        <v>0.54166666666666663</v>
      </c>
      <c r="N1871" s="373">
        <v>0.5</v>
      </c>
      <c r="O1871" s="184" t="s">
        <v>17</v>
      </c>
      <c r="P1871" s="375"/>
      <c r="Q1871" s="179" t="s">
        <v>1441</v>
      </c>
      <c r="R1871" s="31" t="s">
        <v>95</v>
      </c>
      <c r="S1871" s="31" t="s">
        <v>273</v>
      </c>
      <c r="T1871" s="31" t="s">
        <v>273</v>
      </c>
      <c r="U1871" s="31">
        <f>IFERROR(VLOOKUP(CONCATENATE(Tabla1[[#This Row],[Severidad]]," ",Tabla1[[#This Row],[Complejidad]]),Catalogos!E$120:G$128,3,FALSE),"")</f>
        <v>64</v>
      </c>
      <c r="V1871" s="31" t="str">
        <f>IF(Tabla1[[#This Row],[Tiempo solución max (hrs)]]&lt;&gt;"",IF(Tabla1[[#This Row],[Tiempo solución max (hrs)]]&gt;=Tabla1[[#This Row],[Tiempo
(Hrs 00/100)]],"cumple","no cumple"),"")</f>
        <v>cumple</v>
      </c>
      <c r="W1871" s="376" t="s">
        <v>2418</v>
      </c>
      <c r="X1871" s="377" t="str">
        <f t="shared" si="177"/>
        <v>SSI</v>
      </c>
      <c r="Y1871" t="str">
        <f>SUBSTITUTE(Tabla1[[#This Row],[Descripción]],CHAR(10),"    I    ")</f>
        <v>Se dio retroalimentación rapida a Samuel sobre cuantos querys se van a trabajar del archivo 'Final Ficha estadística 2023'</v>
      </c>
      <c r="Z1871" s="142">
        <f>VLOOKUP(Tabla1[[#This Row],[Perfil]],Catalogos!$B$75:$D$100,3,FALSE)*Tabla1[[#This Row],[Tiempo
(Hrs 00/100)]]*1.16</f>
        <v>348</v>
      </c>
    </row>
    <row r="1872" spans="1:26" ht="15" customHeight="1" x14ac:dyDescent="0.3">
      <c r="A1872" s="373" t="s">
        <v>22</v>
      </c>
      <c r="B1872" s="373" t="s">
        <v>305</v>
      </c>
      <c r="C1872" s="373" t="s">
        <v>257</v>
      </c>
      <c r="D1872" s="373"/>
      <c r="E1872" s="373" t="s">
        <v>408</v>
      </c>
      <c r="F1872" s="373" t="s">
        <v>73</v>
      </c>
      <c r="G1872" s="373" t="s">
        <v>3143</v>
      </c>
      <c r="H1872" s="461" t="s">
        <v>2873</v>
      </c>
      <c r="I1872" s="538" t="s">
        <v>2874</v>
      </c>
      <c r="J1872" s="729">
        <v>45176</v>
      </c>
      <c r="K1872" s="772">
        <v>0.54166666666666663</v>
      </c>
      <c r="L1872" s="729">
        <v>45176</v>
      </c>
      <c r="M1872" s="772">
        <v>0.5625</v>
      </c>
      <c r="N1872" s="373">
        <v>0.5</v>
      </c>
      <c r="O1872" s="184" t="s">
        <v>17</v>
      </c>
      <c r="P1872" s="375" t="s">
        <v>2865</v>
      </c>
      <c r="Q1872" s="179" t="s">
        <v>1441</v>
      </c>
      <c r="R1872" s="31" t="s">
        <v>95</v>
      </c>
      <c r="S1872" s="31" t="s">
        <v>273</v>
      </c>
      <c r="T1872" s="31" t="s">
        <v>273</v>
      </c>
      <c r="U1872" s="31">
        <f>IFERROR(VLOOKUP(CONCATENATE(Tabla1[[#This Row],[Severidad]]," ",Tabla1[[#This Row],[Complejidad]]),Catalogos!E$120:G$128,3,FALSE),"")</f>
        <v>64</v>
      </c>
      <c r="V1872" s="31" t="str">
        <f>IF(Tabla1[[#This Row],[Tiempo solución max (hrs)]]&lt;&gt;"",IF(Tabla1[[#This Row],[Tiempo solución max (hrs)]]&gt;=Tabla1[[#This Row],[Tiempo
(Hrs 00/100)]],"cumple","no cumple"),"")</f>
        <v>cumple</v>
      </c>
      <c r="W1872" s="376" t="s">
        <v>2418</v>
      </c>
      <c r="X1872" s="377" t="str">
        <f t="shared" si="177"/>
        <v>SSI</v>
      </c>
      <c r="Y1872" t="str">
        <f>SUBSTITUTE(Tabla1[[#This Row],[Descripción]],CHAR(10),"    I    ")</f>
        <v>Se revisó el query 1 de 'TOTAL DE SOLICITUDES DE INFORMACIÓN' del archivo 'Querys_Estadisiticas_Totales' de forma general, para verificar si no hay dudas a revisar con Samuel</v>
      </c>
      <c r="Z1872" s="142">
        <f>VLOOKUP(Tabla1[[#This Row],[Perfil]],Catalogos!$B$75:$D$100,3,FALSE)*Tabla1[[#This Row],[Tiempo
(Hrs 00/100)]]*1.16</f>
        <v>348</v>
      </c>
    </row>
    <row r="1873" spans="1:26" ht="15" customHeight="1" x14ac:dyDescent="0.3">
      <c r="A1873" s="373" t="s">
        <v>22</v>
      </c>
      <c r="B1873" s="373" t="s">
        <v>305</v>
      </c>
      <c r="C1873" s="373" t="s">
        <v>257</v>
      </c>
      <c r="D1873" s="373"/>
      <c r="E1873" s="373" t="s">
        <v>408</v>
      </c>
      <c r="F1873" s="373" t="s">
        <v>73</v>
      </c>
      <c r="G1873" s="373" t="s">
        <v>3144</v>
      </c>
      <c r="H1873" s="461" t="s">
        <v>2875</v>
      </c>
      <c r="I1873" s="538" t="s">
        <v>2876</v>
      </c>
      <c r="J1873" s="729">
        <v>45176</v>
      </c>
      <c r="K1873" s="772">
        <v>0.60416666666666663</v>
      </c>
      <c r="L1873" s="729">
        <v>45176</v>
      </c>
      <c r="M1873" s="772">
        <v>0.625</v>
      </c>
      <c r="N1873" s="373">
        <v>0.5</v>
      </c>
      <c r="O1873" s="184" t="s">
        <v>17</v>
      </c>
      <c r="P1873" s="375" t="s">
        <v>2865</v>
      </c>
      <c r="Q1873" s="179" t="s">
        <v>1441</v>
      </c>
      <c r="R1873" s="31" t="s">
        <v>95</v>
      </c>
      <c r="S1873" s="31" t="s">
        <v>273</v>
      </c>
      <c r="T1873" s="31" t="s">
        <v>273</v>
      </c>
      <c r="U1873" s="31">
        <f>IFERROR(VLOOKUP(CONCATENATE(Tabla1[[#This Row],[Severidad]]," ",Tabla1[[#This Row],[Complejidad]]),Catalogos!E$120:G$128,3,FALSE),"")</f>
        <v>64</v>
      </c>
      <c r="V1873" s="31" t="str">
        <f>IF(Tabla1[[#This Row],[Tiempo solución max (hrs)]]&lt;&gt;"",IF(Tabla1[[#This Row],[Tiempo solución max (hrs)]]&gt;=Tabla1[[#This Row],[Tiempo
(Hrs 00/100)]],"cumple","no cumple"),"")</f>
        <v>cumple</v>
      </c>
      <c r="W1873" s="376" t="s">
        <v>2418</v>
      </c>
      <c r="X1873" s="377" t="str">
        <f t="shared" si="177"/>
        <v>SSI</v>
      </c>
      <c r="Y1873" t="str">
        <f>SUBSTITUTE(Tabla1[[#This Row],[Descripción]],CHAR(10),"    I    ")</f>
        <v>Se revisó el query 1 de 'TOTAL DE RECURSOS DE REVISIÓN INGRESADOS ' del archivo 'Querys_Estadisiticas_Totales' de forma general, para verificar si no hay dudas a revisar con Samuel</v>
      </c>
      <c r="Z1873" s="142">
        <f>VLOOKUP(Tabla1[[#This Row],[Perfil]],Catalogos!$B$75:$D$100,3,FALSE)*Tabla1[[#This Row],[Tiempo
(Hrs 00/100)]]*1.16</f>
        <v>348</v>
      </c>
    </row>
    <row r="1874" spans="1:26" ht="15" customHeight="1" x14ac:dyDescent="0.3">
      <c r="A1874" s="373" t="s">
        <v>22</v>
      </c>
      <c r="B1874" s="373" t="s">
        <v>305</v>
      </c>
      <c r="C1874" s="373" t="s">
        <v>257</v>
      </c>
      <c r="D1874" s="373"/>
      <c r="E1874" s="373" t="s">
        <v>408</v>
      </c>
      <c r="F1874" s="373" t="s">
        <v>73</v>
      </c>
      <c r="G1874" s="373" t="s">
        <v>3145</v>
      </c>
      <c r="H1874" s="461" t="s">
        <v>2877</v>
      </c>
      <c r="I1874" s="538" t="s">
        <v>2878</v>
      </c>
      <c r="J1874" s="729">
        <v>45176</v>
      </c>
      <c r="K1874" s="772">
        <v>0.625</v>
      </c>
      <c r="L1874" s="729">
        <v>45176</v>
      </c>
      <c r="M1874" s="772">
        <v>0.64583333333333337</v>
      </c>
      <c r="N1874" s="373">
        <v>0.5</v>
      </c>
      <c r="O1874" s="184" t="s">
        <v>17</v>
      </c>
      <c r="P1874" s="375" t="s">
        <v>2865</v>
      </c>
      <c r="Q1874" s="179" t="s">
        <v>1441</v>
      </c>
      <c r="R1874" s="31" t="s">
        <v>95</v>
      </c>
      <c r="S1874" s="31" t="s">
        <v>273</v>
      </c>
      <c r="T1874" s="31" t="s">
        <v>273</v>
      </c>
      <c r="U1874" s="31">
        <f>IFERROR(VLOOKUP(CONCATENATE(Tabla1[[#This Row],[Severidad]]," ",Tabla1[[#This Row],[Complejidad]]),Catalogos!E$120:G$128,3,FALSE),"")</f>
        <v>64</v>
      </c>
      <c r="V1874" s="31" t="str">
        <f>IF(Tabla1[[#This Row],[Tiempo solución max (hrs)]]&lt;&gt;"",IF(Tabla1[[#This Row],[Tiempo solución max (hrs)]]&gt;=Tabla1[[#This Row],[Tiempo
(Hrs 00/100)]],"cumple","no cumple"),"")</f>
        <v>cumple</v>
      </c>
      <c r="W1874" s="376" t="s">
        <v>2418</v>
      </c>
      <c r="X1874" s="377" t="str">
        <f t="shared" si="177"/>
        <v>SSI</v>
      </c>
      <c r="Y1874" t="str">
        <f>SUBSTITUTE(Tabla1[[#This Row],[Descripción]],CHAR(10),"    I    ")</f>
        <v>Se revisó el query 2 de 'TOTAL DE RECURSOS DE REVISIÓN INGRESADOS ' del archivo 'Querys_Estadisiticas_Totales' de forma general, para verificar si no hay dudas a revisar con Samuel</v>
      </c>
      <c r="Z1874" s="142">
        <f>VLOOKUP(Tabla1[[#This Row],[Perfil]],Catalogos!$B$75:$D$100,3,FALSE)*Tabla1[[#This Row],[Tiempo
(Hrs 00/100)]]*1.16</f>
        <v>348</v>
      </c>
    </row>
    <row r="1875" spans="1:26" ht="15" customHeight="1" x14ac:dyDescent="0.3">
      <c r="A1875" s="373" t="s">
        <v>22</v>
      </c>
      <c r="B1875" s="373" t="s">
        <v>305</v>
      </c>
      <c r="C1875" s="373" t="s">
        <v>257</v>
      </c>
      <c r="D1875" s="373"/>
      <c r="E1875" s="373" t="s">
        <v>408</v>
      </c>
      <c r="F1875" s="373" t="s">
        <v>73</v>
      </c>
      <c r="G1875" s="373" t="s">
        <v>3146</v>
      </c>
      <c r="H1875" s="461" t="s">
        <v>2879</v>
      </c>
      <c r="I1875" s="538" t="s">
        <v>2880</v>
      </c>
      <c r="J1875" s="729">
        <v>45176</v>
      </c>
      <c r="K1875" s="772">
        <v>0.64583333333333337</v>
      </c>
      <c r="L1875" s="729">
        <v>45176</v>
      </c>
      <c r="M1875" s="772">
        <v>0.66666666666666663</v>
      </c>
      <c r="N1875" s="373">
        <v>0.5</v>
      </c>
      <c r="O1875" s="184" t="s">
        <v>17</v>
      </c>
      <c r="P1875" s="375" t="s">
        <v>2865</v>
      </c>
      <c r="Q1875" s="179" t="s">
        <v>1441</v>
      </c>
      <c r="R1875" s="31" t="s">
        <v>95</v>
      </c>
      <c r="S1875" s="31" t="s">
        <v>273</v>
      </c>
      <c r="T1875" s="31" t="s">
        <v>273</v>
      </c>
      <c r="U1875" s="31">
        <f>IFERROR(VLOOKUP(CONCATENATE(Tabla1[[#This Row],[Severidad]]," ",Tabla1[[#This Row],[Complejidad]]),Catalogos!E$120:G$128,3,FALSE),"")</f>
        <v>64</v>
      </c>
      <c r="V1875" s="31" t="str">
        <f>IF(Tabla1[[#This Row],[Tiempo solución max (hrs)]]&lt;&gt;"",IF(Tabla1[[#This Row],[Tiempo solución max (hrs)]]&gt;=Tabla1[[#This Row],[Tiempo
(Hrs 00/100)]],"cumple","no cumple"),"")</f>
        <v>cumple</v>
      </c>
      <c r="W1875" s="376" t="s">
        <v>2418</v>
      </c>
      <c r="X1875" s="377" t="str">
        <f t="shared" si="177"/>
        <v>SSI</v>
      </c>
      <c r="Y1875" t="str">
        <f>SUBSTITUTE(Tabla1[[#This Row],[Descripción]],CHAR(10),"    I    ")</f>
        <v>Se revisó el query 3 de 'TOTAL DE RECURSOS DE REVISIÓN INGRESADOS ' del archivo 'Querys_Estadisiticas_Totales' de forma general, para verificar si no hay dudas a revisar con Samuel</v>
      </c>
      <c r="Z1875" s="142">
        <f>VLOOKUP(Tabla1[[#This Row],[Perfil]],Catalogos!$B$75:$D$100,3,FALSE)*Tabla1[[#This Row],[Tiempo
(Hrs 00/100)]]*1.16</f>
        <v>348</v>
      </c>
    </row>
    <row r="1876" spans="1:26" ht="15" customHeight="1" x14ac:dyDescent="0.3">
      <c r="A1876" s="373" t="s">
        <v>22</v>
      </c>
      <c r="B1876" s="373" t="s">
        <v>305</v>
      </c>
      <c r="C1876" s="373" t="s">
        <v>257</v>
      </c>
      <c r="D1876" s="373"/>
      <c r="E1876" s="373" t="s">
        <v>408</v>
      </c>
      <c r="F1876" s="373" t="s">
        <v>73</v>
      </c>
      <c r="G1876" s="373" t="s">
        <v>3147</v>
      </c>
      <c r="H1876" s="461" t="s">
        <v>2881</v>
      </c>
      <c r="I1876" s="538" t="s">
        <v>2882</v>
      </c>
      <c r="J1876" s="729">
        <v>45176</v>
      </c>
      <c r="K1876" s="772">
        <v>0.66666666666666663</v>
      </c>
      <c r="L1876" s="729">
        <v>45176</v>
      </c>
      <c r="M1876" s="772">
        <v>0.6875</v>
      </c>
      <c r="N1876" s="373">
        <v>0.5</v>
      </c>
      <c r="O1876" s="184" t="s">
        <v>17</v>
      </c>
      <c r="P1876" s="375" t="s">
        <v>2865</v>
      </c>
      <c r="Q1876" s="179" t="s">
        <v>1441</v>
      </c>
      <c r="R1876" s="31" t="s">
        <v>95</v>
      </c>
      <c r="S1876" s="31" t="s">
        <v>273</v>
      </c>
      <c r="T1876" s="31" t="s">
        <v>273</v>
      </c>
      <c r="U1876" s="31">
        <f>IFERROR(VLOOKUP(CONCATENATE(Tabla1[[#This Row],[Severidad]]," ",Tabla1[[#This Row],[Complejidad]]),Catalogos!E$120:G$128,3,FALSE),"")</f>
        <v>64</v>
      </c>
      <c r="V1876" s="31" t="str">
        <f>IF(Tabla1[[#This Row],[Tiempo solución max (hrs)]]&lt;&gt;"",IF(Tabla1[[#This Row],[Tiempo solución max (hrs)]]&gt;=Tabla1[[#This Row],[Tiempo
(Hrs 00/100)]],"cumple","no cumple"),"")</f>
        <v>cumple</v>
      </c>
      <c r="W1876" s="376" t="s">
        <v>2418</v>
      </c>
      <c r="X1876" s="377" t="str">
        <f t="shared" si="177"/>
        <v>SSI</v>
      </c>
      <c r="Y1876" t="str">
        <f>SUBSTITUTE(Tabla1[[#This Row],[Descripción]],CHAR(10),"    I    ")</f>
        <v>Se revisó el query 1 de 'TOTAL DE RECURSOS DE REVISIÓN GESTIONADOS' del archivo 'Querys_Estadisiticas_Totales' de forma general, para verificar si no hay dudas a revisar con Samuel</v>
      </c>
      <c r="Z1876" s="142">
        <f>VLOOKUP(Tabla1[[#This Row],[Perfil]],Catalogos!$B$75:$D$100,3,FALSE)*Tabla1[[#This Row],[Tiempo
(Hrs 00/100)]]*1.16</f>
        <v>348</v>
      </c>
    </row>
    <row r="1877" spans="1:26" ht="15" customHeight="1" x14ac:dyDescent="0.3">
      <c r="A1877" s="373" t="s">
        <v>22</v>
      </c>
      <c r="B1877" s="373" t="s">
        <v>305</v>
      </c>
      <c r="C1877" s="373" t="s">
        <v>257</v>
      </c>
      <c r="D1877" s="373"/>
      <c r="E1877" s="373" t="s">
        <v>408</v>
      </c>
      <c r="F1877" s="373" t="s">
        <v>73</v>
      </c>
      <c r="G1877" s="373" t="s">
        <v>3148</v>
      </c>
      <c r="H1877" s="461" t="s">
        <v>2883</v>
      </c>
      <c r="I1877" s="538" t="s">
        <v>2884</v>
      </c>
      <c r="J1877" s="729">
        <v>45176</v>
      </c>
      <c r="K1877" s="772">
        <v>0.6875</v>
      </c>
      <c r="L1877" s="729">
        <v>45176</v>
      </c>
      <c r="M1877" s="772">
        <v>0.70833333333333337</v>
      </c>
      <c r="N1877" s="373">
        <v>0.5</v>
      </c>
      <c r="O1877" s="184" t="s">
        <v>17</v>
      </c>
      <c r="P1877" s="375" t="s">
        <v>2865</v>
      </c>
      <c r="Q1877" s="179" t="s">
        <v>1441</v>
      </c>
      <c r="R1877" s="31" t="s">
        <v>95</v>
      </c>
      <c r="S1877" s="31" t="s">
        <v>273</v>
      </c>
      <c r="T1877" s="31" t="s">
        <v>273</v>
      </c>
      <c r="U1877" s="31">
        <f>IFERROR(VLOOKUP(CONCATENATE(Tabla1[[#This Row],[Severidad]]," ",Tabla1[[#This Row],[Complejidad]]),Catalogos!E$120:G$128,3,FALSE),"")</f>
        <v>64</v>
      </c>
      <c r="V1877" s="31" t="str">
        <f>IF(Tabla1[[#This Row],[Tiempo solución max (hrs)]]&lt;&gt;"",IF(Tabla1[[#This Row],[Tiempo solución max (hrs)]]&gt;=Tabla1[[#This Row],[Tiempo
(Hrs 00/100)]],"cumple","no cumple"),"")</f>
        <v>cumple</v>
      </c>
      <c r="W1877" s="376" t="s">
        <v>2418</v>
      </c>
      <c r="X1877" s="377" t="str">
        <f t="shared" si="177"/>
        <v>SSI</v>
      </c>
      <c r="Y1877" t="str">
        <f>SUBSTITUTE(Tabla1[[#This Row],[Descripción]],CHAR(10),"    I    ")</f>
        <v>Se revisó el query 1 de 'TOTAL DE OBLIGACIONES DE TRANSPARENCIA' del archivo 'Querys_Estadisiticas_Totales' de forma general, para verificar si no hay dudas a revisar con Samuel</v>
      </c>
      <c r="Z1877" s="142">
        <f>VLOOKUP(Tabla1[[#This Row],[Perfil]],Catalogos!$B$75:$D$100,3,FALSE)*Tabla1[[#This Row],[Tiempo
(Hrs 00/100)]]*1.16</f>
        <v>348</v>
      </c>
    </row>
    <row r="1878" spans="1:26" ht="15" customHeight="1" x14ac:dyDescent="0.3">
      <c r="A1878" s="373" t="s">
        <v>22</v>
      </c>
      <c r="B1878" s="373" t="s">
        <v>305</v>
      </c>
      <c r="C1878" s="373" t="s">
        <v>257</v>
      </c>
      <c r="D1878" s="373"/>
      <c r="E1878" s="373" t="s">
        <v>408</v>
      </c>
      <c r="F1878" s="373" t="s">
        <v>73</v>
      </c>
      <c r="G1878" s="373" t="s">
        <v>3149</v>
      </c>
      <c r="H1878" s="461" t="s">
        <v>2885</v>
      </c>
      <c r="I1878" s="538" t="s">
        <v>2886</v>
      </c>
      <c r="J1878" s="729">
        <v>45176</v>
      </c>
      <c r="K1878" s="772">
        <v>0.70833333333333337</v>
      </c>
      <c r="L1878" s="729">
        <v>45176</v>
      </c>
      <c r="M1878" s="772">
        <v>0.72916666666666663</v>
      </c>
      <c r="N1878" s="373">
        <v>0.5</v>
      </c>
      <c r="O1878" s="184" t="s">
        <v>17</v>
      </c>
      <c r="P1878" s="375" t="s">
        <v>2865</v>
      </c>
      <c r="Q1878" s="179" t="s">
        <v>1441</v>
      </c>
      <c r="R1878" s="31" t="s">
        <v>95</v>
      </c>
      <c r="S1878" s="31" t="s">
        <v>273</v>
      </c>
      <c r="T1878" s="31" t="s">
        <v>273</v>
      </c>
      <c r="U1878" s="31">
        <f>IFERROR(VLOOKUP(CONCATENATE(Tabla1[[#This Row],[Severidad]]," ",Tabla1[[#This Row],[Complejidad]]),Catalogos!E$120:G$128,3,FALSE),"")</f>
        <v>64</v>
      </c>
      <c r="V1878" s="31" t="str">
        <f>IF(Tabla1[[#This Row],[Tiempo solución max (hrs)]]&lt;&gt;"",IF(Tabla1[[#This Row],[Tiempo solución max (hrs)]]&gt;=Tabla1[[#This Row],[Tiempo
(Hrs 00/100)]],"cumple","no cumple"),"")</f>
        <v>cumple</v>
      </c>
      <c r="W1878" s="376" t="s">
        <v>2418</v>
      </c>
      <c r="X1878" s="377" t="str">
        <f t="shared" si="177"/>
        <v>SSI</v>
      </c>
      <c r="Y1878" t="str">
        <f>SUBSTITUTE(Tabla1[[#This Row],[Descripción]],CHAR(10),"    I    ")</f>
        <v>Se revisó el query 1 de 'TOTAL CONSULTA EN LOS BUSCADORES' del archivo 'Querys_Estadisiticas_Totales' de forma general, para verificar si no hay dudas a revisar con Samuel</v>
      </c>
      <c r="Z1878" s="142">
        <f>VLOOKUP(Tabla1[[#This Row],[Perfil]],Catalogos!$B$75:$D$100,3,FALSE)*Tabla1[[#This Row],[Tiempo
(Hrs 00/100)]]*1.16</f>
        <v>348</v>
      </c>
    </row>
    <row r="1879" spans="1:26" ht="15" customHeight="1" x14ac:dyDescent="0.3">
      <c r="A1879" s="373" t="s">
        <v>22</v>
      </c>
      <c r="B1879" s="373" t="s">
        <v>305</v>
      </c>
      <c r="C1879" s="373" t="s">
        <v>257</v>
      </c>
      <c r="D1879" s="373"/>
      <c r="E1879" s="373" t="s">
        <v>408</v>
      </c>
      <c r="F1879" s="373" t="s">
        <v>73</v>
      </c>
      <c r="G1879" s="373" t="s">
        <v>3150</v>
      </c>
      <c r="H1879" s="461" t="s">
        <v>2887</v>
      </c>
      <c r="I1879" s="538" t="s">
        <v>2888</v>
      </c>
      <c r="J1879" s="729">
        <v>45176</v>
      </c>
      <c r="K1879" s="772">
        <v>0.72916666666666663</v>
      </c>
      <c r="L1879" s="729">
        <v>45176</v>
      </c>
      <c r="M1879" s="772">
        <v>0.75</v>
      </c>
      <c r="N1879" s="373">
        <v>0.5</v>
      </c>
      <c r="O1879" s="184" t="s">
        <v>17</v>
      </c>
      <c r="P1879" s="375" t="s">
        <v>2865</v>
      </c>
      <c r="Q1879" s="179" t="s">
        <v>1441</v>
      </c>
      <c r="R1879" s="31" t="s">
        <v>95</v>
      </c>
      <c r="S1879" s="31" t="s">
        <v>273</v>
      </c>
      <c r="T1879" s="31" t="s">
        <v>273</v>
      </c>
      <c r="U1879" s="31">
        <f>IFERROR(VLOOKUP(CONCATENATE(Tabla1[[#This Row],[Severidad]]," ",Tabla1[[#This Row],[Complejidad]]),Catalogos!E$120:G$128,3,FALSE),"")</f>
        <v>64</v>
      </c>
      <c r="V1879" s="31" t="str">
        <f>IF(Tabla1[[#This Row],[Tiempo solución max (hrs)]]&lt;&gt;"",IF(Tabla1[[#This Row],[Tiempo solución max (hrs)]]&gt;=Tabla1[[#This Row],[Tiempo
(Hrs 00/100)]],"cumple","no cumple"),"")</f>
        <v>cumple</v>
      </c>
      <c r="W1879" s="376" t="s">
        <v>2418</v>
      </c>
      <c r="X1879" s="377" t="str">
        <f t="shared" si="177"/>
        <v>SSI</v>
      </c>
      <c r="Y1879" t="str">
        <f>SUBSTITUTE(Tabla1[[#This Row],[Descripción]],CHAR(10),"    I    ")</f>
        <v>Se revisó el query 2 de 'TOTAL CONSULTA EN LOS BUSCADORES' del archivo 'Querys_Estadisiticas_Totales' de forma general, para verificar si no hay dudas a revisar con Samuel</v>
      </c>
      <c r="Z1879" s="142">
        <f>VLOOKUP(Tabla1[[#This Row],[Perfil]],Catalogos!$B$75:$D$100,3,FALSE)*Tabla1[[#This Row],[Tiempo
(Hrs 00/100)]]*1.16</f>
        <v>348</v>
      </c>
    </row>
    <row r="1880" spans="1:26" ht="15" customHeight="1" x14ac:dyDescent="0.3">
      <c r="A1880" s="373" t="s">
        <v>22</v>
      </c>
      <c r="B1880" s="373" t="s">
        <v>305</v>
      </c>
      <c r="C1880" s="373" t="s">
        <v>257</v>
      </c>
      <c r="D1880" s="373"/>
      <c r="E1880" s="373" t="s">
        <v>408</v>
      </c>
      <c r="F1880" s="373" t="s">
        <v>73</v>
      </c>
      <c r="G1880" s="373" t="s">
        <v>3151</v>
      </c>
      <c r="H1880" s="461" t="s">
        <v>2889</v>
      </c>
      <c r="I1880" s="538" t="s">
        <v>2890</v>
      </c>
      <c r="J1880" s="729">
        <v>45177</v>
      </c>
      <c r="K1880" s="772">
        <v>0.375</v>
      </c>
      <c r="L1880" s="729">
        <v>45177</v>
      </c>
      <c r="M1880" s="772">
        <v>0.41666666666666669</v>
      </c>
      <c r="N1880" s="373">
        <v>1</v>
      </c>
      <c r="O1880" s="184" t="s">
        <v>17</v>
      </c>
      <c r="P1880" s="375" t="s">
        <v>2870</v>
      </c>
      <c r="Q1880" s="179" t="s">
        <v>1441</v>
      </c>
      <c r="R1880" s="31" t="s">
        <v>95</v>
      </c>
      <c r="S1880" s="31" t="s">
        <v>273</v>
      </c>
      <c r="T1880" s="31" t="s">
        <v>273</v>
      </c>
      <c r="U1880" s="31">
        <f>IFERROR(VLOOKUP(CONCATENATE(Tabla1[[#This Row],[Severidad]]," ",Tabla1[[#This Row],[Complejidad]]),Catalogos!E$120:G$128,3,FALSE),"")</f>
        <v>64</v>
      </c>
      <c r="V1880" s="31" t="str">
        <f>IF(Tabla1[[#This Row],[Tiempo solución max (hrs)]]&lt;&gt;"",IF(Tabla1[[#This Row],[Tiempo solución max (hrs)]]&gt;=Tabla1[[#This Row],[Tiempo
(Hrs 00/100)]],"cumple","no cumple"),"")</f>
        <v>cumple</v>
      </c>
      <c r="W1880" s="376" t="s">
        <v>2418</v>
      </c>
      <c r="X1880" s="377" t="str">
        <f t="shared" si="177"/>
        <v>SSI</v>
      </c>
      <c r="Y1880" t="str">
        <f>SUBSTITUTE(Tabla1[[#This Row],[Descripción]],CHAR(10),"    I    ")</f>
        <v>Se revisó el query 1 de 'En la Plataforma Nacional de Transparencia, las obligaciones más consultadas por los ciudadanos' del archivo 'Final Ficha estadística 2023' de forma general, para verificar si no hay dudas a revisar con Samuel</v>
      </c>
      <c r="Z1880" s="142">
        <f>VLOOKUP(Tabla1[[#This Row],[Perfil]],Catalogos!$B$75:$D$100,3,FALSE)*Tabla1[[#This Row],[Tiempo
(Hrs 00/100)]]*1.16</f>
        <v>696</v>
      </c>
    </row>
    <row r="1881" spans="1:26" ht="15" customHeight="1" x14ac:dyDescent="0.3">
      <c r="A1881" s="373" t="s">
        <v>22</v>
      </c>
      <c r="B1881" s="373" t="s">
        <v>305</v>
      </c>
      <c r="C1881" s="373" t="s">
        <v>257</v>
      </c>
      <c r="D1881" s="373"/>
      <c r="E1881" s="373" t="s">
        <v>408</v>
      </c>
      <c r="F1881" s="373" t="s">
        <v>73</v>
      </c>
      <c r="G1881" s="373" t="s">
        <v>3152</v>
      </c>
      <c r="H1881" s="461" t="s">
        <v>2891</v>
      </c>
      <c r="I1881" s="538" t="s">
        <v>2892</v>
      </c>
      <c r="J1881" s="729">
        <v>45177</v>
      </c>
      <c r="K1881" s="772">
        <v>0.41666666666666669</v>
      </c>
      <c r="L1881" s="729">
        <v>45177</v>
      </c>
      <c r="M1881" s="772">
        <v>0.4375</v>
      </c>
      <c r="N1881" s="373">
        <v>0.5</v>
      </c>
      <c r="O1881" s="184" t="s">
        <v>17</v>
      </c>
      <c r="P1881" s="375" t="s">
        <v>2870</v>
      </c>
      <c r="Q1881" s="179" t="s">
        <v>1441</v>
      </c>
      <c r="R1881" s="31" t="s">
        <v>95</v>
      </c>
      <c r="S1881" s="31" t="s">
        <v>273</v>
      </c>
      <c r="T1881" s="31" t="s">
        <v>273</v>
      </c>
      <c r="U1881" s="31">
        <f>IFERROR(VLOOKUP(CONCATENATE(Tabla1[[#This Row],[Severidad]]," ",Tabla1[[#This Row],[Complejidad]]),Catalogos!E$120:G$128,3,FALSE),"")</f>
        <v>64</v>
      </c>
      <c r="V1881" s="31" t="str">
        <f>IF(Tabla1[[#This Row],[Tiempo solución max (hrs)]]&lt;&gt;"",IF(Tabla1[[#This Row],[Tiempo solución max (hrs)]]&gt;=Tabla1[[#This Row],[Tiempo
(Hrs 00/100)]],"cumple","no cumple"),"")</f>
        <v>cumple</v>
      </c>
      <c r="W1881" s="376" t="s">
        <v>2418</v>
      </c>
      <c r="X1881" s="377" t="str">
        <f t="shared" ref="X1881:X1912" si="178">IF(C1881&lt;&gt;"",C1881,D1881)</f>
        <v>SSI</v>
      </c>
      <c r="Y1881" t="str">
        <f>SUBSTITUTE(Tabla1[[#This Row],[Descripción]],CHAR(10),"    I    ")</f>
        <v>Se revisó el query 1 de 'Términos más utilizados en el Buscador Nacional' del archivo 'Final Ficha estadística 2023' de forma general, para verificar si no hay dudas a revisar con Samuel</v>
      </c>
      <c r="Z1881" s="142">
        <f>VLOOKUP(Tabla1[[#This Row],[Perfil]],Catalogos!$B$75:$D$100,3,FALSE)*Tabla1[[#This Row],[Tiempo
(Hrs 00/100)]]*1.16</f>
        <v>348</v>
      </c>
    </row>
    <row r="1882" spans="1:26" ht="15" customHeight="1" x14ac:dyDescent="0.3">
      <c r="A1882" s="373" t="s">
        <v>22</v>
      </c>
      <c r="B1882" s="373" t="s">
        <v>305</v>
      </c>
      <c r="C1882" s="373" t="s">
        <v>257</v>
      </c>
      <c r="D1882" s="373"/>
      <c r="E1882" s="373" t="s">
        <v>408</v>
      </c>
      <c r="F1882" s="373" t="s">
        <v>73</v>
      </c>
      <c r="G1882" s="373" t="s">
        <v>3153</v>
      </c>
      <c r="H1882" s="461" t="s">
        <v>2893</v>
      </c>
      <c r="I1882" s="538" t="s">
        <v>2894</v>
      </c>
      <c r="J1882" s="729">
        <v>45177</v>
      </c>
      <c r="K1882" s="772">
        <v>0.4375</v>
      </c>
      <c r="L1882" s="729">
        <v>45177</v>
      </c>
      <c r="M1882" s="772">
        <v>0.45833333333333331</v>
      </c>
      <c r="N1882" s="373">
        <v>1</v>
      </c>
      <c r="O1882" s="184" t="s">
        <v>17</v>
      </c>
      <c r="P1882" s="375" t="s">
        <v>2870</v>
      </c>
      <c r="Q1882" s="179" t="s">
        <v>1441</v>
      </c>
      <c r="R1882" s="31" t="s">
        <v>95</v>
      </c>
      <c r="S1882" s="31" t="s">
        <v>273</v>
      </c>
      <c r="T1882" s="31" t="s">
        <v>273</v>
      </c>
      <c r="U1882" s="31">
        <f>IFERROR(VLOOKUP(CONCATENATE(Tabla1[[#This Row],[Severidad]]," ",Tabla1[[#This Row],[Complejidad]]),Catalogos!E$120:G$128,3,FALSE),"")</f>
        <v>64</v>
      </c>
      <c r="V1882" s="31" t="str">
        <f>IF(Tabla1[[#This Row],[Tiempo solución max (hrs)]]&lt;&gt;"",IF(Tabla1[[#This Row],[Tiempo solución max (hrs)]]&gt;=Tabla1[[#This Row],[Tiempo
(Hrs 00/100)]],"cumple","no cumple"),"")</f>
        <v>cumple</v>
      </c>
      <c r="W1882" s="376" t="s">
        <v>2418</v>
      </c>
      <c r="X1882" s="377" t="str">
        <f t="shared" si="178"/>
        <v>SSI</v>
      </c>
      <c r="Y1882" t="str">
        <f>SUBSTITUTE(Tabla1[[#This Row],[Descripción]],CHAR(10),"    I    ")</f>
        <v>Se revisó el query 1 de 'Los temas más consultados en la PNT de Sujetos Obligados Federales' del archivo 'Final Ficha estadística 2023' de forma general, para verificar si no hay dudas a revisar con Samuel</v>
      </c>
      <c r="Z1882" s="142">
        <f>VLOOKUP(Tabla1[[#This Row],[Perfil]],Catalogos!$B$75:$D$100,3,FALSE)*Tabla1[[#This Row],[Tiempo
(Hrs 00/100)]]*1.16</f>
        <v>696</v>
      </c>
    </row>
    <row r="1883" spans="1:26" ht="15" customHeight="1" x14ac:dyDescent="0.3">
      <c r="A1883" s="373" t="s">
        <v>22</v>
      </c>
      <c r="B1883" s="373" t="s">
        <v>305</v>
      </c>
      <c r="C1883" s="373" t="s">
        <v>257</v>
      </c>
      <c r="D1883" s="373"/>
      <c r="E1883" s="373" t="s">
        <v>408</v>
      </c>
      <c r="F1883" s="373" t="s">
        <v>73</v>
      </c>
      <c r="G1883" s="373" t="s">
        <v>3154</v>
      </c>
      <c r="H1883" s="461" t="s">
        <v>2895</v>
      </c>
      <c r="I1883" s="538" t="s">
        <v>2896</v>
      </c>
      <c r="J1883" s="729">
        <v>45177</v>
      </c>
      <c r="K1883" s="772">
        <v>0.45833333333333331</v>
      </c>
      <c r="L1883" s="729">
        <v>45177</v>
      </c>
      <c r="M1883" s="772">
        <v>0.5</v>
      </c>
      <c r="N1883" s="373">
        <v>1</v>
      </c>
      <c r="O1883" s="184" t="s">
        <v>17</v>
      </c>
      <c r="P1883" s="375" t="s">
        <v>2870</v>
      </c>
      <c r="Q1883" s="179" t="s">
        <v>1441</v>
      </c>
      <c r="R1883" s="31" t="s">
        <v>95</v>
      </c>
      <c r="S1883" s="31" t="s">
        <v>273</v>
      </c>
      <c r="T1883" s="31" t="s">
        <v>273</v>
      </c>
      <c r="U1883" s="31">
        <f>IFERROR(VLOOKUP(CONCATENATE(Tabla1[[#This Row],[Severidad]]," ",Tabla1[[#This Row],[Complejidad]]),Catalogos!E$120:G$128,3,FALSE),"")</f>
        <v>64</v>
      </c>
      <c r="V1883" s="31" t="str">
        <f>IF(Tabla1[[#This Row],[Tiempo solución max (hrs)]]&lt;&gt;"",IF(Tabla1[[#This Row],[Tiempo solución max (hrs)]]&gt;=Tabla1[[#This Row],[Tiempo
(Hrs 00/100)]],"cumple","no cumple"),"")</f>
        <v>cumple</v>
      </c>
      <c r="W1883" s="376" t="s">
        <v>2418</v>
      </c>
      <c r="X1883" s="377" t="str">
        <f t="shared" si="178"/>
        <v>SSI</v>
      </c>
      <c r="Y1883" t="str">
        <f>SUBSTITUTE(Tabla1[[#This Row],[Descripción]],CHAR(10),"    I    ")</f>
        <v>Se revisó el query 1 de 'Sujetos Obligados federales con más obligaciones cargadas' del archivo 'Final Ficha estadística 2023' de forma general, para verificar si no hay dudas a revisar con Samuel</v>
      </c>
      <c r="Z1883" s="142">
        <f>VLOOKUP(Tabla1[[#This Row],[Perfil]],Catalogos!$B$75:$D$100,3,FALSE)*Tabla1[[#This Row],[Tiempo
(Hrs 00/100)]]*1.16</f>
        <v>696</v>
      </c>
    </row>
    <row r="1884" spans="1:26" ht="15" customHeight="1" x14ac:dyDescent="0.3">
      <c r="A1884" s="373" t="s">
        <v>22</v>
      </c>
      <c r="B1884" s="373" t="s">
        <v>305</v>
      </c>
      <c r="C1884" s="373" t="s">
        <v>257</v>
      </c>
      <c r="D1884" s="373"/>
      <c r="E1884" s="373" t="s">
        <v>408</v>
      </c>
      <c r="F1884" s="373" t="s">
        <v>73</v>
      </c>
      <c r="G1884" s="373" t="s">
        <v>3155</v>
      </c>
      <c r="H1884" s="461" t="s">
        <v>2897</v>
      </c>
      <c r="I1884" s="538" t="s">
        <v>2898</v>
      </c>
      <c r="J1884" s="729">
        <v>45177</v>
      </c>
      <c r="K1884" s="772">
        <v>0.5</v>
      </c>
      <c r="L1884" s="729">
        <v>45177</v>
      </c>
      <c r="M1884" s="772">
        <v>0.52083333333333337</v>
      </c>
      <c r="N1884" s="373">
        <v>0.5</v>
      </c>
      <c r="O1884" s="184" t="s">
        <v>17</v>
      </c>
      <c r="P1884" s="375" t="s">
        <v>2870</v>
      </c>
      <c r="Q1884" s="179" t="s">
        <v>1441</v>
      </c>
      <c r="R1884" s="31" t="s">
        <v>95</v>
      </c>
      <c r="S1884" s="31" t="s">
        <v>273</v>
      </c>
      <c r="T1884" s="31" t="s">
        <v>273</v>
      </c>
      <c r="U1884" s="31">
        <f>IFERROR(VLOOKUP(CONCATENATE(Tabla1[[#This Row],[Severidad]]," ",Tabla1[[#This Row],[Complejidad]]),Catalogos!E$120:G$128,3,FALSE),"")</f>
        <v>64</v>
      </c>
      <c r="V1884" s="31" t="str">
        <f>IF(Tabla1[[#This Row],[Tiempo solución max (hrs)]]&lt;&gt;"",IF(Tabla1[[#This Row],[Tiempo solución max (hrs)]]&gt;=Tabla1[[#This Row],[Tiempo
(Hrs 00/100)]],"cumple","no cumple"),"")</f>
        <v>cumple</v>
      </c>
      <c r="W1884" s="376" t="s">
        <v>2418</v>
      </c>
      <c r="X1884" s="377" t="str">
        <f t="shared" si="178"/>
        <v>SSI</v>
      </c>
      <c r="Y1884" t="str">
        <f>SUBSTITUTE(Tabla1[[#This Row],[Descripción]],CHAR(10),"    I    ")</f>
        <v>Se revisó el query 1 de 'Sujetos Obligados federales con más solicitudes de información' del archivo 'Final Ficha estadística 2023' de forma general, para verificar si no hay dudas a revisar con Samuel</v>
      </c>
      <c r="Z1884" s="142">
        <f>VLOOKUP(Tabla1[[#This Row],[Perfil]],Catalogos!$B$75:$D$100,3,FALSE)*Tabla1[[#This Row],[Tiempo
(Hrs 00/100)]]*1.16</f>
        <v>348</v>
      </c>
    </row>
    <row r="1885" spans="1:26" ht="15" customHeight="1" x14ac:dyDescent="0.3">
      <c r="A1885" s="373" t="s">
        <v>22</v>
      </c>
      <c r="B1885" s="373" t="s">
        <v>305</v>
      </c>
      <c r="C1885" s="373" t="s">
        <v>257</v>
      </c>
      <c r="D1885" s="373"/>
      <c r="E1885" s="373" t="s">
        <v>408</v>
      </c>
      <c r="F1885" s="373" t="s">
        <v>73</v>
      </c>
      <c r="G1885" s="373" t="s">
        <v>3156</v>
      </c>
      <c r="H1885" s="461" t="s">
        <v>2899</v>
      </c>
      <c r="I1885" s="538" t="s">
        <v>2900</v>
      </c>
      <c r="J1885" s="729">
        <v>45177</v>
      </c>
      <c r="K1885" s="772">
        <v>0.52083333333333337</v>
      </c>
      <c r="L1885" s="729">
        <v>45177</v>
      </c>
      <c r="M1885" s="772">
        <v>0.5625</v>
      </c>
      <c r="N1885" s="373">
        <v>1</v>
      </c>
      <c r="O1885" s="184" t="s">
        <v>17</v>
      </c>
      <c r="P1885" s="375" t="s">
        <v>2870</v>
      </c>
      <c r="Q1885" s="179" t="s">
        <v>1441</v>
      </c>
      <c r="R1885" s="31" t="s">
        <v>95</v>
      </c>
      <c r="S1885" s="31" t="s">
        <v>273</v>
      </c>
      <c r="T1885" s="31" t="s">
        <v>273</v>
      </c>
      <c r="U1885" s="31">
        <f>IFERROR(VLOOKUP(CONCATENATE(Tabla1[[#This Row],[Severidad]]," ",Tabla1[[#This Row],[Complejidad]]),Catalogos!E$120:G$128,3,FALSE),"")</f>
        <v>64</v>
      </c>
      <c r="V1885" s="31" t="str">
        <f>IF(Tabla1[[#This Row],[Tiempo solución max (hrs)]]&lt;&gt;"",IF(Tabla1[[#This Row],[Tiempo solución max (hrs)]]&gt;=Tabla1[[#This Row],[Tiempo
(Hrs 00/100)]],"cumple","no cumple"),"")</f>
        <v>cumple</v>
      </c>
      <c r="W1885" s="376" t="s">
        <v>2418</v>
      </c>
      <c r="X1885" s="377" t="str">
        <f t="shared" si="178"/>
        <v>SSI</v>
      </c>
      <c r="Y1885" t="str">
        <f>SUBSTITUTE(Tabla1[[#This Row],[Descripción]],CHAR(10),"    I    ")</f>
        <v>Se revisó el query 1 de 'Sujetos Obligados federales con más recursos de revisión' del archivo 'Final Ficha estadística 2023' de forma general, para verificar si no hay dudas a revisar con Samuel</v>
      </c>
      <c r="Z1885" s="142">
        <f>VLOOKUP(Tabla1[[#This Row],[Perfil]],Catalogos!$B$75:$D$100,3,FALSE)*Tabla1[[#This Row],[Tiempo
(Hrs 00/100)]]*1.16</f>
        <v>696</v>
      </c>
    </row>
    <row r="1886" spans="1:26" ht="15" customHeight="1" x14ac:dyDescent="0.3">
      <c r="A1886" s="373" t="s">
        <v>22</v>
      </c>
      <c r="B1886" s="373" t="s">
        <v>305</v>
      </c>
      <c r="C1886" s="373" t="s">
        <v>257</v>
      </c>
      <c r="D1886" s="373"/>
      <c r="E1886" s="373" t="s">
        <v>408</v>
      </c>
      <c r="F1886" s="373" t="s">
        <v>73</v>
      </c>
      <c r="G1886" s="373" t="s">
        <v>3157</v>
      </c>
      <c r="H1886" s="461" t="s">
        <v>2901</v>
      </c>
      <c r="I1886" s="538" t="s">
        <v>2902</v>
      </c>
      <c r="J1886" s="729">
        <v>45177</v>
      </c>
      <c r="K1886" s="772">
        <v>0.5625</v>
      </c>
      <c r="L1886" s="729">
        <v>45177</v>
      </c>
      <c r="M1886" s="772">
        <v>0.58333333333333337</v>
      </c>
      <c r="N1886" s="373">
        <v>0.5</v>
      </c>
      <c r="O1886" s="184" t="s">
        <v>17</v>
      </c>
      <c r="P1886" s="375" t="s">
        <v>2870</v>
      </c>
      <c r="Q1886" s="179" t="s">
        <v>1441</v>
      </c>
      <c r="R1886" s="31" t="s">
        <v>95</v>
      </c>
      <c r="S1886" s="31" t="s">
        <v>273</v>
      </c>
      <c r="T1886" s="31" t="s">
        <v>273</v>
      </c>
      <c r="U1886" s="31">
        <f>IFERROR(VLOOKUP(CONCATENATE(Tabla1[[#This Row],[Severidad]]," ",Tabla1[[#This Row],[Complejidad]]),Catalogos!E$120:G$128,3,FALSE),"")</f>
        <v>64</v>
      </c>
      <c r="V1886" s="31" t="str">
        <f>IF(Tabla1[[#This Row],[Tiempo solución max (hrs)]]&lt;&gt;"",IF(Tabla1[[#This Row],[Tiempo solución max (hrs)]]&gt;=Tabla1[[#This Row],[Tiempo
(Hrs 00/100)]],"cumple","no cumple"),"")</f>
        <v>cumple</v>
      </c>
      <c r="W1886" s="376" t="s">
        <v>2418</v>
      </c>
      <c r="X1886" s="377" t="str">
        <f t="shared" si="178"/>
        <v>SSI</v>
      </c>
      <c r="Y1886" t="str">
        <f>SUBSTITUTE(Tabla1[[#This Row],[Descripción]],CHAR(10),"    I    ")</f>
        <v>Se revisó el query 1 de 'Total de consultas realizadas a los buscadores temáticos' del archivo 'Final Ficha estadística 2023' de forma general, para verificar si no hay dudas a revisar con Samuel</v>
      </c>
      <c r="Z1886" s="142">
        <f>VLOOKUP(Tabla1[[#This Row],[Perfil]],Catalogos!$B$75:$D$100,3,FALSE)*Tabla1[[#This Row],[Tiempo
(Hrs 00/100)]]*1.16</f>
        <v>348</v>
      </c>
    </row>
    <row r="1887" spans="1:26" ht="15" customHeight="1" x14ac:dyDescent="0.3">
      <c r="A1887" s="373" t="s">
        <v>22</v>
      </c>
      <c r="B1887" s="373" t="s">
        <v>305</v>
      </c>
      <c r="C1887" s="373" t="s">
        <v>257</v>
      </c>
      <c r="D1887" s="373"/>
      <c r="E1887" s="373" t="s">
        <v>408</v>
      </c>
      <c r="F1887" s="373" t="s">
        <v>73</v>
      </c>
      <c r="G1887" s="373" t="s">
        <v>3158</v>
      </c>
      <c r="H1887" s="461" t="s">
        <v>2903</v>
      </c>
      <c r="I1887" s="538" t="s">
        <v>2904</v>
      </c>
      <c r="J1887" s="729">
        <v>45177</v>
      </c>
      <c r="K1887" s="772">
        <v>0.625</v>
      </c>
      <c r="L1887" s="729">
        <v>45177</v>
      </c>
      <c r="M1887" s="772">
        <v>0.64583333333333337</v>
      </c>
      <c r="N1887" s="373">
        <v>0.5</v>
      </c>
      <c r="O1887" s="184" t="s">
        <v>17</v>
      </c>
      <c r="P1887" s="375" t="s">
        <v>2870</v>
      </c>
      <c r="Q1887" s="179" t="s">
        <v>1441</v>
      </c>
      <c r="R1887" s="31" t="s">
        <v>95</v>
      </c>
      <c r="S1887" s="31" t="s">
        <v>273</v>
      </c>
      <c r="T1887" s="31" t="s">
        <v>273</v>
      </c>
      <c r="U1887" s="31">
        <f>IFERROR(VLOOKUP(CONCATENATE(Tabla1[[#This Row],[Severidad]]," ",Tabla1[[#This Row],[Complejidad]]),Catalogos!E$120:G$128,3,FALSE),"")</f>
        <v>64</v>
      </c>
      <c r="V1887" s="31" t="str">
        <f>IF(Tabla1[[#This Row],[Tiempo solución max (hrs)]]&lt;&gt;"",IF(Tabla1[[#This Row],[Tiempo solución max (hrs)]]&gt;=Tabla1[[#This Row],[Tiempo
(Hrs 00/100)]],"cumple","no cumple"),"")</f>
        <v>cumple</v>
      </c>
      <c r="W1887" s="376" t="s">
        <v>2418</v>
      </c>
      <c r="X1887" s="377" t="str">
        <f t="shared" si="178"/>
        <v>SSI</v>
      </c>
      <c r="Y1887" t="str">
        <f>SUBSTITUTE(Tabla1[[#This Row],[Descripción]],CHAR(10),"    I    ")</f>
        <v>Se revisó el query 2 de 'Total de consultas realizadas a los buscadores temáticos' del archivo 'Final Ficha estadística 2023' de forma general, para verificar si no hay dudas a revisar con Samuel</v>
      </c>
      <c r="Z1887" s="142">
        <f>VLOOKUP(Tabla1[[#This Row],[Perfil]],Catalogos!$B$75:$D$100,3,FALSE)*Tabla1[[#This Row],[Tiempo
(Hrs 00/100)]]*1.16</f>
        <v>348</v>
      </c>
    </row>
    <row r="1888" spans="1:26" ht="15" customHeight="1" x14ac:dyDescent="0.3">
      <c r="A1888" s="373" t="s">
        <v>22</v>
      </c>
      <c r="B1888" s="373" t="s">
        <v>305</v>
      </c>
      <c r="C1888" s="373" t="s">
        <v>257</v>
      </c>
      <c r="D1888" s="373"/>
      <c r="E1888" s="373" t="s">
        <v>408</v>
      </c>
      <c r="F1888" s="373" t="s">
        <v>73</v>
      </c>
      <c r="G1888" s="373" t="s">
        <v>3159</v>
      </c>
      <c r="H1888" s="461" t="s">
        <v>2905</v>
      </c>
      <c r="I1888" s="538" t="s">
        <v>2906</v>
      </c>
      <c r="J1888" s="729">
        <v>45177</v>
      </c>
      <c r="K1888" s="772">
        <v>0.64583333333333337</v>
      </c>
      <c r="L1888" s="729">
        <v>45177</v>
      </c>
      <c r="M1888" s="772">
        <v>0.6875</v>
      </c>
      <c r="N1888" s="373">
        <v>1</v>
      </c>
      <c r="O1888" s="184" t="s">
        <v>17</v>
      </c>
      <c r="P1888" s="375" t="s">
        <v>2870</v>
      </c>
      <c r="Q1888" s="179" t="s">
        <v>1441</v>
      </c>
      <c r="R1888" s="31" t="s">
        <v>95</v>
      </c>
      <c r="S1888" s="31" t="s">
        <v>273</v>
      </c>
      <c r="T1888" s="31" t="s">
        <v>273</v>
      </c>
      <c r="U1888" s="31">
        <f>IFERROR(VLOOKUP(CONCATENATE(Tabla1[[#This Row],[Severidad]]," ",Tabla1[[#This Row],[Complejidad]]),Catalogos!E$120:G$128,3,FALSE),"")</f>
        <v>64</v>
      </c>
      <c r="V1888" s="31" t="str">
        <f>IF(Tabla1[[#This Row],[Tiempo solución max (hrs)]]&lt;&gt;"",IF(Tabla1[[#This Row],[Tiempo solución max (hrs)]]&gt;=Tabla1[[#This Row],[Tiempo
(Hrs 00/100)]],"cumple","no cumple"),"")</f>
        <v>cumple</v>
      </c>
      <c r="W1888" s="376" t="s">
        <v>2418</v>
      </c>
      <c r="X1888" s="377" t="str">
        <f t="shared" si="178"/>
        <v>SSI</v>
      </c>
      <c r="Y1888" t="str">
        <f>SUBSTITUTE(Tabla1[[#This Row],[Descripción]],CHAR(10),"    I    ")</f>
        <v>Se revisó el query 1 de 'Consulta a los módulos de la PNT en el buscador Nacional' del archivo 'Final Ficha estadística 2023' de forma general, para verificar si no hay dudas a revisar con Samuel</v>
      </c>
      <c r="Z1888" s="142">
        <f>VLOOKUP(Tabla1[[#This Row],[Perfil]],Catalogos!$B$75:$D$100,3,FALSE)*Tabla1[[#This Row],[Tiempo
(Hrs 00/100)]]*1.16</f>
        <v>696</v>
      </c>
    </row>
    <row r="1889" spans="1:26" ht="15" customHeight="1" x14ac:dyDescent="0.3">
      <c r="A1889" s="373" t="s">
        <v>22</v>
      </c>
      <c r="B1889" s="373" t="s">
        <v>23</v>
      </c>
      <c r="C1889" s="373" t="s">
        <v>257</v>
      </c>
      <c r="D1889" s="373"/>
      <c r="E1889" s="373" t="s">
        <v>408</v>
      </c>
      <c r="F1889" s="373" t="s">
        <v>72</v>
      </c>
      <c r="G1889" s="373" t="s">
        <v>3160</v>
      </c>
      <c r="H1889" s="461" t="s">
        <v>2907</v>
      </c>
      <c r="I1889" s="538" t="s">
        <v>2908</v>
      </c>
      <c r="J1889" s="729">
        <v>45177</v>
      </c>
      <c r="K1889" s="772">
        <v>0.6875</v>
      </c>
      <c r="L1889" s="729">
        <v>45177</v>
      </c>
      <c r="M1889" s="772">
        <v>0.77083333333333337</v>
      </c>
      <c r="N1889" s="373">
        <v>2</v>
      </c>
      <c r="O1889" s="184" t="s">
        <v>411</v>
      </c>
      <c r="P1889" s="375" t="s">
        <v>2909</v>
      </c>
      <c r="Q1889" s="179" t="s">
        <v>1441</v>
      </c>
      <c r="R1889" s="31" t="s">
        <v>95</v>
      </c>
      <c r="S1889" s="31" t="s">
        <v>273</v>
      </c>
      <c r="T1889" s="31" t="s">
        <v>273</v>
      </c>
      <c r="U1889" s="31">
        <f>IFERROR(VLOOKUP(CONCATENATE(Tabla1[[#This Row],[Severidad]]," ",Tabla1[[#This Row],[Complejidad]]),Catalogos!E$120:G$128,3,FALSE),"")</f>
        <v>64</v>
      </c>
      <c r="V1889" s="31" t="str">
        <f>IF(Tabla1[[#This Row],[Tiempo solución max (hrs)]]&lt;&gt;"",IF(Tabla1[[#This Row],[Tiempo solución max (hrs)]]&gt;=Tabla1[[#This Row],[Tiempo
(Hrs 00/100)]],"cumple","no cumple"),"")</f>
        <v>cumple</v>
      </c>
      <c r="W1889" s="376" t="s">
        <v>2418</v>
      </c>
      <c r="X1889" s="377" t="str">
        <f t="shared" si="178"/>
        <v>SSI</v>
      </c>
      <c r="Y1889" t="str">
        <f>SUBSTITUTE(Tabla1[[#This Row],[Descripción]],CHAR(10),"    I    ")</f>
        <v>Se comenzó a trabajar con el query 1 'TOTAL DE SOLICITUDES DE INFORMACIÓN' del archivo 'Querys_Estadisiticas_Totales', validando información para analizar forma de mejorar lo</v>
      </c>
      <c r="Z1889" s="142">
        <f>VLOOKUP(Tabla1[[#This Row],[Perfil]],Catalogos!$B$75:$D$100,3,FALSE)*Tabla1[[#This Row],[Tiempo
(Hrs 00/100)]]*1.16</f>
        <v>1392</v>
      </c>
    </row>
    <row r="1890" spans="1:26" ht="15" customHeight="1" x14ac:dyDescent="0.3">
      <c r="A1890" s="373" t="s">
        <v>22</v>
      </c>
      <c r="B1890" s="373" t="s">
        <v>23</v>
      </c>
      <c r="C1890" s="373" t="s">
        <v>257</v>
      </c>
      <c r="D1890" s="373"/>
      <c r="E1890" s="373" t="s">
        <v>408</v>
      </c>
      <c r="F1890" s="373" t="s">
        <v>23</v>
      </c>
      <c r="G1890" s="373" t="s">
        <v>3161</v>
      </c>
      <c r="H1890" s="461" t="s">
        <v>2910</v>
      </c>
      <c r="I1890" s="538" t="s">
        <v>2911</v>
      </c>
      <c r="J1890" s="729">
        <v>45180</v>
      </c>
      <c r="K1890" s="772">
        <v>0.375</v>
      </c>
      <c r="L1890" s="729">
        <v>45180</v>
      </c>
      <c r="M1890" s="772">
        <v>0.4375</v>
      </c>
      <c r="N1890" s="373">
        <v>1.5</v>
      </c>
      <c r="O1890" s="184" t="s">
        <v>17</v>
      </c>
      <c r="P1890" s="375"/>
      <c r="Q1890" s="179" t="s">
        <v>1441</v>
      </c>
      <c r="R1890" s="31" t="s">
        <v>95</v>
      </c>
      <c r="S1890" s="31" t="s">
        <v>273</v>
      </c>
      <c r="T1890" s="31" t="s">
        <v>273</v>
      </c>
      <c r="U1890" s="31">
        <f>IFERROR(VLOOKUP(CONCATENATE(Tabla1[[#This Row],[Severidad]]," ",Tabla1[[#This Row],[Complejidad]]),Catalogos!E$120:G$128,3,FALSE),"")</f>
        <v>64</v>
      </c>
      <c r="V1890" s="31" t="str">
        <f>IF(Tabla1[[#This Row],[Tiempo solución max (hrs)]]&lt;&gt;"",IF(Tabla1[[#This Row],[Tiempo solución max (hrs)]]&gt;=Tabla1[[#This Row],[Tiempo
(Hrs 00/100)]],"cumple","no cumple"),"")</f>
        <v>cumple</v>
      </c>
      <c r="W1890" s="376" t="s">
        <v>2418</v>
      </c>
      <c r="X1890" s="377" t="str">
        <f t="shared" si="178"/>
        <v>SSI</v>
      </c>
      <c r="Y1890" t="str">
        <f>SUBSTITUTE(Tabla1[[#This Row],[Descripción]],CHAR(10),"    I    ")</f>
        <v>Se trabajó con el Header del Nuevo Paquete 'SISAI.PACK_SISAI3' y se crea con el usuario SIAI</v>
      </c>
      <c r="Z1890" s="142">
        <f>VLOOKUP(Tabla1[[#This Row],[Perfil]],Catalogos!$B$75:$D$100,3,FALSE)*Tabla1[[#This Row],[Tiempo
(Hrs 00/100)]]*1.16</f>
        <v>1044</v>
      </c>
    </row>
    <row r="1891" spans="1:26" ht="15" customHeight="1" x14ac:dyDescent="0.3">
      <c r="A1891" s="373" t="s">
        <v>22</v>
      </c>
      <c r="B1891" s="373" t="s">
        <v>23</v>
      </c>
      <c r="C1891" s="373" t="s">
        <v>257</v>
      </c>
      <c r="D1891" s="373"/>
      <c r="E1891" s="373" t="s">
        <v>408</v>
      </c>
      <c r="F1891" s="373" t="s">
        <v>23</v>
      </c>
      <c r="G1891" s="373" t="s">
        <v>3162</v>
      </c>
      <c r="H1891" s="461" t="s">
        <v>2912</v>
      </c>
      <c r="I1891" s="538" t="s">
        <v>2913</v>
      </c>
      <c r="J1891" s="729">
        <v>45180</v>
      </c>
      <c r="K1891" s="772">
        <v>0.4375</v>
      </c>
      <c r="L1891" s="729">
        <v>45180</v>
      </c>
      <c r="M1891" s="772">
        <v>0.5</v>
      </c>
      <c r="N1891" s="373">
        <v>1.5</v>
      </c>
      <c r="O1891" s="184" t="s">
        <v>17</v>
      </c>
      <c r="P1891" s="375"/>
      <c r="Q1891" s="179" t="s">
        <v>1441</v>
      </c>
      <c r="R1891" s="31" t="s">
        <v>95</v>
      </c>
      <c r="S1891" s="31" t="s">
        <v>273</v>
      </c>
      <c r="T1891" s="31" t="s">
        <v>273</v>
      </c>
      <c r="U1891" s="31">
        <f>IFERROR(VLOOKUP(CONCATENATE(Tabla1[[#This Row],[Severidad]]," ",Tabla1[[#This Row],[Complejidad]]),Catalogos!E$120:G$128,3,FALSE),"")</f>
        <v>64</v>
      </c>
      <c r="V1891" s="31" t="str">
        <f>IF(Tabla1[[#This Row],[Tiempo solución max (hrs)]]&lt;&gt;"",IF(Tabla1[[#This Row],[Tiempo solución max (hrs)]]&gt;=Tabla1[[#This Row],[Tiempo
(Hrs 00/100)]],"cumple","no cumple"),"")</f>
        <v>cumple</v>
      </c>
      <c r="W1891" s="376" t="s">
        <v>2418</v>
      </c>
      <c r="X1891" s="377" t="str">
        <f t="shared" si="178"/>
        <v>SSI</v>
      </c>
      <c r="Y1891" t="str">
        <f>SUBSTITUTE(Tabla1[[#This Row],[Descripción]],CHAR(10),"    I    ")</f>
        <v>Se trabajó con el Body del Nuevo Paquete 'SISAI.PACK_SISAI3' y se crea con el usuario SISAI</v>
      </c>
      <c r="Z1891" s="142">
        <f>VLOOKUP(Tabla1[[#This Row],[Perfil]],Catalogos!$B$75:$D$100,3,FALSE)*Tabla1[[#This Row],[Tiempo
(Hrs 00/100)]]*1.16</f>
        <v>1044</v>
      </c>
    </row>
    <row r="1892" spans="1:26" ht="15" customHeight="1" x14ac:dyDescent="0.3">
      <c r="A1892" s="373" t="s">
        <v>22</v>
      </c>
      <c r="B1892" s="373" t="s">
        <v>305</v>
      </c>
      <c r="C1892" s="373" t="s">
        <v>257</v>
      </c>
      <c r="D1892" s="373"/>
      <c r="E1892" s="373" t="s">
        <v>408</v>
      </c>
      <c r="F1892" s="373" t="s">
        <v>72</v>
      </c>
      <c r="G1892" s="373" t="s">
        <v>3163</v>
      </c>
      <c r="H1892" s="461" t="s">
        <v>2914</v>
      </c>
      <c r="I1892" s="538" t="s">
        <v>2915</v>
      </c>
      <c r="J1892" s="729">
        <v>45180</v>
      </c>
      <c r="K1892" s="772">
        <v>0.5</v>
      </c>
      <c r="L1892" s="729">
        <v>45180</v>
      </c>
      <c r="M1892" s="772">
        <v>0.54166666666666663</v>
      </c>
      <c r="N1892" s="373">
        <v>1</v>
      </c>
      <c r="O1892" s="184" t="s">
        <v>17</v>
      </c>
      <c r="P1892" s="375" t="s">
        <v>2916</v>
      </c>
      <c r="Q1892" s="179" t="s">
        <v>1441</v>
      </c>
      <c r="R1892" s="31" t="s">
        <v>95</v>
      </c>
      <c r="S1892" s="31" t="s">
        <v>273</v>
      </c>
      <c r="T1892" s="31" t="s">
        <v>273</v>
      </c>
      <c r="U1892" s="31">
        <f>IFERROR(VLOOKUP(CONCATENATE(Tabla1[[#This Row],[Severidad]]," ",Tabla1[[#This Row],[Complejidad]]),Catalogos!E$120:G$128,3,FALSE),"")</f>
        <v>64</v>
      </c>
      <c r="V1892" s="31" t="str">
        <f>IF(Tabla1[[#This Row],[Tiempo solución max (hrs)]]&lt;&gt;"",IF(Tabla1[[#This Row],[Tiempo solución max (hrs)]]&gt;=Tabla1[[#This Row],[Tiempo
(Hrs 00/100)]],"cumple","no cumple"),"")</f>
        <v>cumple</v>
      </c>
      <c r="W1892" s="376" t="s">
        <v>2418</v>
      </c>
      <c r="X1892" s="377" t="str">
        <f t="shared" si="178"/>
        <v>SSI</v>
      </c>
      <c r="Y1892" t="str">
        <f>SUBSTITUTE(Tabla1[[#This Row],[Descripción]],CHAR(10),"    I    ")</f>
        <v>Se revisó el Query #1 del archivo FFE23 para la Funcionalidad 1 'En la Plataforma Nacional de Transparencia, las obligaciones más consultadas por los ciudadanos', se hicieron las primeras ejecuciones con los parámetros para entender su funcionamiento</v>
      </c>
      <c r="Z1892" s="142">
        <f>VLOOKUP(Tabla1[[#This Row],[Perfil]],Catalogos!$B$75:$D$100,3,FALSE)*Tabla1[[#This Row],[Tiempo
(Hrs 00/100)]]*1.16</f>
        <v>696</v>
      </c>
    </row>
    <row r="1893" spans="1:26" ht="15" customHeight="1" x14ac:dyDescent="0.3">
      <c r="A1893" s="373" t="s">
        <v>22</v>
      </c>
      <c r="B1893" s="373" t="s">
        <v>23</v>
      </c>
      <c r="C1893" s="373" t="s">
        <v>257</v>
      </c>
      <c r="D1893" s="373"/>
      <c r="E1893" s="373" t="s">
        <v>408</v>
      </c>
      <c r="F1893" s="373" t="s">
        <v>23</v>
      </c>
      <c r="G1893" s="373" t="s">
        <v>3164</v>
      </c>
      <c r="H1893" s="461" t="s">
        <v>2917</v>
      </c>
      <c r="I1893" s="538" t="s">
        <v>2918</v>
      </c>
      <c r="J1893" s="729">
        <v>45180</v>
      </c>
      <c r="K1893" s="772">
        <v>0.58333333333333337</v>
      </c>
      <c r="L1893" s="729">
        <v>45180</v>
      </c>
      <c r="M1893" s="772">
        <v>0.70833333333333337</v>
      </c>
      <c r="N1893" s="373">
        <v>3</v>
      </c>
      <c r="O1893" s="184" t="s">
        <v>17</v>
      </c>
      <c r="P1893" s="375" t="s">
        <v>2916</v>
      </c>
      <c r="Q1893" s="179" t="s">
        <v>1441</v>
      </c>
      <c r="R1893" s="31" t="s">
        <v>95</v>
      </c>
      <c r="S1893" s="31" t="s">
        <v>273</v>
      </c>
      <c r="T1893" s="31" t="s">
        <v>273</v>
      </c>
      <c r="U1893" s="31">
        <f>IFERROR(VLOOKUP(CONCATENATE(Tabla1[[#This Row],[Severidad]]," ",Tabla1[[#This Row],[Complejidad]]),Catalogos!E$120:G$128,3,FALSE),"")</f>
        <v>64</v>
      </c>
      <c r="V1893" s="31" t="str">
        <f>IF(Tabla1[[#This Row],[Tiempo solución max (hrs)]]&lt;&gt;"",IF(Tabla1[[#This Row],[Tiempo solución max (hrs)]]&gt;=Tabla1[[#This Row],[Tiempo
(Hrs 00/100)]],"cumple","no cumple"),"")</f>
        <v>cumple</v>
      </c>
      <c r="W1893" s="376" t="s">
        <v>2418</v>
      </c>
      <c r="X1893" s="377" t="str">
        <f t="shared" si="178"/>
        <v>SSI</v>
      </c>
      <c r="Y1893" t="str">
        <f>SUBSTITUTE(Tabla1[[#This Row],[Descripción]],CHAR(10),"    I    ")</f>
        <v>Se optimizó el Query #1 del archivo FFE23 (Funcionalidad 1) para tener una versión mejorada en tiempo de respuesta y costo</v>
      </c>
      <c r="Z1893" s="142">
        <f>VLOOKUP(Tabla1[[#This Row],[Perfil]],Catalogos!$B$75:$D$100,3,FALSE)*Tabla1[[#This Row],[Tiempo
(Hrs 00/100)]]*1.16</f>
        <v>2088</v>
      </c>
    </row>
    <row r="1894" spans="1:26" ht="15" customHeight="1" x14ac:dyDescent="0.3">
      <c r="A1894" s="373" t="s">
        <v>22</v>
      </c>
      <c r="B1894" s="373" t="s">
        <v>23</v>
      </c>
      <c r="C1894" s="373" t="s">
        <v>257</v>
      </c>
      <c r="D1894" s="373"/>
      <c r="E1894" s="373" t="s">
        <v>408</v>
      </c>
      <c r="F1894" s="373" t="s">
        <v>23</v>
      </c>
      <c r="G1894" s="373" t="s">
        <v>3165</v>
      </c>
      <c r="H1894" s="461" t="s">
        <v>2919</v>
      </c>
      <c r="I1894" s="538" t="s">
        <v>2920</v>
      </c>
      <c r="J1894" s="729">
        <v>45180</v>
      </c>
      <c r="K1894" s="772">
        <v>0.70833333333333337</v>
      </c>
      <c r="L1894" s="729">
        <v>45180</v>
      </c>
      <c r="M1894" s="772">
        <v>0.75</v>
      </c>
      <c r="N1894" s="373">
        <v>1</v>
      </c>
      <c r="O1894" s="184" t="s">
        <v>17</v>
      </c>
      <c r="P1894" s="375" t="s">
        <v>2916</v>
      </c>
      <c r="Q1894" s="179" t="s">
        <v>1441</v>
      </c>
      <c r="R1894" s="31" t="s">
        <v>95</v>
      </c>
      <c r="S1894" s="31" t="s">
        <v>273</v>
      </c>
      <c r="T1894" s="31" t="s">
        <v>273</v>
      </c>
      <c r="U1894" s="31">
        <f>IFERROR(VLOOKUP(CONCATENATE(Tabla1[[#This Row],[Severidad]]," ",Tabla1[[#This Row],[Complejidad]]),Catalogos!E$120:G$128,3,FALSE),"")</f>
        <v>64</v>
      </c>
      <c r="V1894" s="31" t="str">
        <f>IF(Tabla1[[#This Row],[Tiempo solución max (hrs)]]&lt;&gt;"",IF(Tabla1[[#This Row],[Tiempo solución max (hrs)]]&gt;=Tabla1[[#This Row],[Tiempo
(Hrs 00/100)]],"cumple","no cumple"),"")</f>
        <v>cumple</v>
      </c>
      <c r="W1894" s="376" t="s">
        <v>2418</v>
      </c>
      <c r="X1894" s="377" t="str">
        <f t="shared" si="178"/>
        <v>SSI</v>
      </c>
      <c r="Y1894" t="str">
        <f>SUBSTITUTE(Tabla1[[#This Row],[Descripción]],CHAR(10),"    I    ")</f>
        <v>Se creó el nuevo procedimiento 'FUNC1_PLATANACTRANSPAOBLICONSULTQ1' en el paquete 'PACK_SISAI3', con la funcionalidad del Query #1</v>
      </c>
      <c r="Z1894" s="142">
        <f>VLOOKUP(Tabla1[[#This Row],[Perfil]],Catalogos!$B$75:$D$100,3,FALSE)*Tabla1[[#This Row],[Tiempo
(Hrs 00/100)]]*1.16</f>
        <v>696</v>
      </c>
    </row>
    <row r="1895" spans="1:26" ht="15" customHeight="1" x14ac:dyDescent="0.3">
      <c r="A1895" s="373" t="s">
        <v>22</v>
      </c>
      <c r="B1895" s="373" t="s">
        <v>23</v>
      </c>
      <c r="C1895" s="373" t="s">
        <v>257</v>
      </c>
      <c r="D1895" s="373"/>
      <c r="E1895" s="373" t="s">
        <v>408</v>
      </c>
      <c r="F1895" s="373" t="s">
        <v>23</v>
      </c>
      <c r="G1895" s="373" t="s">
        <v>3166</v>
      </c>
      <c r="H1895" s="461" t="s">
        <v>2921</v>
      </c>
      <c r="I1895" s="538" t="s">
        <v>2922</v>
      </c>
      <c r="J1895" s="729">
        <v>45180</v>
      </c>
      <c r="K1895" s="772">
        <v>0.75</v>
      </c>
      <c r="L1895" s="729">
        <v>45180</v>
      </c>
      <c r="M1895" s="772">
        <v>0.79166666666666663</v>
      </c>
      <c r="N1895" s="373">
        <v>1</v>
      </c>
      <c r="O1895" s="184" t="s">
        <v>17</v>
      </c>
      <c r="P1895" s="375" t="s">
        <v>2916</v>
      </c>
      <c r="Q1895" s="179" t="s">
        <v>1441</v>
      </c>
      <c r="R1895" s="31" t="s">
        <v>95</v>
      </c>
      <c r="S1895" s="31" t="s">
        <v>273</v>
      </c>
      <c r="T1895" s="31" t="s">
        <v>273</v>
      </c>
      <c r="U1895" s="31">
        <f>IFERROR(VLOOKUP(CONCATENATE(Tabla1[[#This Row],[Severidad]]," ",Tabla1[[#This Row],[Complejidad]]),Catalogos!E$120:G$128,3,FALSE),"")</f>
        <v>64</v>
      </c>
      <c r="V1895" s="31" t="str">
        <f>IF(Tabla1[[#This Row],[Tiempo solución max (hrs)]]&lt;&gt;"",IF(Tabla1[[#This Row],[Tiempo solución max (hrs)]]&gt;=Tabla1[[#This Row],[Tiempo
(Hrs 00/100)]],"cumple","no cumple"),"")</f>
        <v>cumple</v>
      </c>
      <c r="W1895" s="376" t="s">
        <v>2418</v>
      </c>
      <c r="X1895" s="377" t="str">
        <f t="shared" si="178"/>
        <v>SSI</v>
      </c>
      <c r="Y1895" t="str">
        <f>SUBSTITUTE(Tabla1[[#This Row],[Descripción]],CHAR(10),"    I    ")</f>
        <v>Se verificó campo por campo del query 1 de la Funcionalidad 1, validando el tipo de dato y longitud exactos</v>
      </c>
      <c r="Z1895" s="142">
        <f>VLOOKUP(Tabla1[[#This Row],[Perfil]],Catalogos!$B$75:$D$100,3,FALSE)*Tabla1[[#This Row],[Tiempo
(Hrs 00/100)]]*1.16</f>
        <v>696</v>
      </c>
    </row>
    <row r="1896" spans="1:26" ht="15" customHeight="1" x14ac:dyDescent="0.3">
      <c r="A1896" s="373" t="s">
        <v>22</v>
      </c>
      <c r="B1896" s="373" t="s">
        <v>23</v>
      </c>
      <c r="C1896" s="373" t="s">
        <v>257</v>
      </c>
      <c r="D1896" s="373"/>
      <c r="E1896" s="373" t="s">
        <v>408</v>
      </c>
      <c r="F1896" s="373" t="s">
        <v>23</v>
      </c>
      <c r="G1896" s="373" t="s">
        <v>3167</v>
      </c>
      <c r="H1896" s="461" t="s">
        <v>2923</v>
      </c>
      <c r="I1896" s="538" t="s">
        <v>2923</v>
      </c>
      <c r="J1896" s="729">
        <v>45180</v>
      </c>
      <c r="K1896" s="772">
        <v>0.79166666666666663</v>
      </c>
      <c r="L1896" s="729">
        <v>45180</v>
      </c>
      <c r="M1896" s="772">
        <v>0.83333333333333337</v>
      </c>
      <c r="N1896" s="373">
        <v>1</v>
      </c>
      <c r="O1896" s="184" t="s">
        <v>17</v>
      </c>
      <c r="P1896" s="375" t="s">
        <v>2916</v>
      </c>
      <c r="Q1896" s="179" t="s">
        <v>1441</v>
      </c>
      <c r="R1896" s="31" t="s">
        <v>95</v>
      </c>
      <c r="S1896" s="31" t="s">
        <v>273</v>
      </c>
      <c r="T1896" s="31" t="s">
        <v>273</v>
      </c>
      <c r="U1896" s="31">
        <f>IFERROR(VLOOKUP(CONCATENATE(Tabla1[[#This Row],[Severidad]]," ",Tabla1[[#This Row],[Complejidad]]),Catalogos!E$120:G$128,3,FALSE),"")</f>
        <v>64</v>
      </c>
      <c r="V1896" s="31" t="str">
        <f>IF(Tabla1[[#This Row],[Tiempo solución max (hrs)]]&lt;&gt;"",IF(Tabla1[[#This Row],[Tiempo solución max (hrs)]]&gt;=Tabla1[[#This Row],[Tiempo
(Hrs 00/100)]],"cumple","no cumple"),"")</f>
        <v>cumple</v>
      </c>
      <c r="W1896" s="376" t="s">
        <v>2418</v>
      </c>
      <c r="X1896" s="377" t="str">
        <f t="shared" si="178"/>
        <v>SSI</v>
      </c>
      <c r="Y1896" t="str">
        <f>SUBSTITUTE(Tabla1[[#This Row],[Descripción]],CHAR(10),"    I    ")</f>
        <v>Se declararon las variables en bloque anónimo con validación exacta de tamaños de tipos de datos, del query 1 de la Funcionalidad 1</v>
      </c>
      <c r="Z1896" s="142">
        <f>VLOOKUP(Tabla1[[#This Row],[Perfil]],Catalogos!$B$75:$D$100,3,FALSE)*Tabla1[[#This Row],[Tiempo
(Hrs 00/100)]]*1.16</f>
        <v>696</v>
      </c>
    </row>
    <row r="1897" spans="1:26" ht="15" customHeight="1" x14ac:dyDescent="0.3">
      <c r="A1897" s="373" t="s">
        <v>22</v>
      </c>
      <c r="B1897" s="373" t="s">
        <v>66</v>
      </c>
      <c r="C1897" s="373" t="s">
        <v>257</v>
      </c>
      <c r="D1897" s="373"/>
      <c r="E1897" s="373" t="s">
        <v>408</v>
      </c>
      <c r="F1897" s="373" t="s">
        <v>75</v>
      </c>
      <c r="G1897" s="373" t="s">
        <v>3168</v>
      </c>
      <c r="H1897" s="461" t="s">
        <v>2924</v>
      </c>
      <c r="I1897" s="538" t="s">
        <v>2925</v>
      </c>
      <c r="J1897" s="729">
        <v>45181</v>
      </c>
      <c r="K1897" s="772">
        <v>0.375</v>
      </c>
      <c r="L1897" s="729">
        <v>45181</v>
      </c>
      <c r="M1897" s="772">
        <v>0.41666666666666669</v>
      </c>
      <c r="N1897" s="373">
        <v>1</v>
      </c>
      <c r="O1897" s="184" t="s">
        <v>17</v>
      </c>
      <c r="P1897" s="375" t="s">
        <v>2916</v>
      </c>
      <c r="Q1897" s="179" t="s">
        <v>1441</v>
      </c>
      <c r="R1897" s="31" t="s">
        <v>95</v>
      </c>
      <c r="S1897" s="31" t="s">
        <v>273</v>
      </c>
      <c r="T1897" s="31" t="s">
        <v>273</v>
      </c>
      <c r="U1897" s="31">
        <f>IFERROR(VLOOKUP(CONCATENATE(Tabla1[[#This Row],[Severidad]]," ",Tabla1[[#This Row],[Complejidad]]),Catalogos!E$120:G$128,3,FALSE),"")</f>
        <v>64</v>
      </c>
      <c r="V1897" s="31" t="str">
        <f>IF(Tabla1[[#This Row],[Tiempo solución max (hrs)]]&lt;&gt;"",IF(Tabla1[[#This Row],[Tiempo solución max (hrs)]]&gt;=Tabla1[[#This Row],[Tiempo
(Hrs 00/100)]],"cumple","no cumple"),"")</f>
        <v>cumple</v>
      </c>
      <c r="W1897" s="376" t="s">
        <v>2418</v>
      </c>
      <c r="X1897" s="377" t="str">
        <f t="shared" si="178"/>
        <v>SSI</v>
      </c>
      <c r="Y1897" t="str">
        <f>SUBSTITUTE(Tabla1[[#This Row],[Descripción]],CHAR(10),"    I    ")</f>
        <v xml:space="preserve">Se validó el paquete-procedimiento de la funcionalidad 1 - Query # 1 con el bloque anónimo correcto y se tuvo un resultado exitoso con la salida del cursor completo </v>
      </c>
      <c r="Z1897" s="142">
        <f>VLOOKUP(Tabla1[[#This Row],[Perfil]],Catalogos!$B$75:$D$100,3,FALSE)*Tabla1[[#This Row],[Tiempo
(Hrs 00/100)]]*1.16</f>
        <v>696</v>
      </c>
    </row>
    <row r="1898" spans="1:26" ht="15" customHeight="1" x14ac:dyDescent="0.3">
      <c r="A1898" s="373" t="s">
        <v>22</v>
      </c>
      <c r="B1898" s="373" t="s">
        <v>21</v>
      </c>
      <c r="C1898" s="373" t="s">
        <v>257</v>
      </c>
      <c r="D1898" s="373"/>
      <c r="E1898" s="373" t="s">
        <v>408</v>
      </c>
      <c r="F1898" s="373" t="s">
        <v>73</v>
      </c>
      <c r="G1898" s="373" t="s">
        <v>3169</v>
      </c>
      <c r="H1898" s="461" t="s">
        <v>2926</v>
      </c>
      <c r="I1898" s="538" t="s">
        <v>2926</v>
      </c>
      <c r="J1898" s="729">
        <v>45181</v>
      </c>
      <c r="K1898" s="772">
        <v>0.41666666666666669</v>
      </c>
      <c r="L1898" s="729">
        <v>45181</v>
      </c>
      <c r="M1898" s="772">
        <v>0.4375</v>
      </c>
      <c r="N1898" s="373">
        <v>0.5</v>
      </c>
      <c r="O1898" s="184" t="s">
        <v>17</v>
      </c>
      <c r="P1898" s="375" t="s">
        <v>2916</v>
      </c>
      <c r="Q1898" s="179" t="s">
        <v>1441</v>
      </c>
      <c r="R1898" s="31" t="s">
        <v>95</v>
      </c>
      <c r="S1898" s="31" t="s">
        <v>273</v>
      </c>
      <c r="T1898" s="31" t="s">
        <v>273</v>
      </c>
      <c r="U1898" s="31">
        <f>IFERROR(VLOOKUP(CONCATENATE(Tabla1[[#This Row],[Severidad]]," ",Tabla1[[#This Row],[Complejidad]]),Catalogos!E$120:G$128,3,FALSE),"")</f>
        <v>64</v>
      </c>
      <c r="V1898" s="31" t="str">
        <f>IF(Tabla1[[#This Row],[Tiempo solución max (hrs)]]&lt;&gt;"",IF(Tabla1[[#This Row],[Tiempo solución max (hrs)]]&gt;=Tabla1[[#This Row],[Tiempo
(Hrs 00/100)]],"cumple","no cumple"),"")</f>
        <v>cumple</v>
      </c>
      <c r="W1898" s="376" t="s">
        <v>2418</v>
      </c>
      <c r="X1898" s="377" t="str">
        <f t="shared" si="178"/>
        <v>SSI</v>
      </c>
      <c r="Y1898" t="str">
        <f>SUBSTITUTE(Tabla1[[#This Row],[Descripción]],CHAR(10),"    I    ")</f>
        <v>Se actualizó el documento 'Final Ficha estadística 2023' con los comentarios sobre el Query 1 de la Funcionalidad 1</v>
      </c>
      <c r="Z1898" s="142">
        <f>VLOOKUP(Tabla1[[#This Row],[Perfil]],Catalogos!$B$75:$D$100,3,FALSE)*Tabla1[[#This Row],[Tiempo
(Hrs 00/100)]]*1.16</f>
        <v>348</v>
      </c>
    </row>
    <row r="1899" spans="1:26" ht="15" customHeight="1" x14ac:dyDescent="0.3">
      <c r="A1899" s="373" t="s">
        <v>22</v>
      </c>
      <c r="B1899" s="373" t="s">
        <v>305</v>
      </c>
      <c r="C1899" s="373" t="s">
        <v>257</v>
      </c>
      <c r="D1899" s="373"/>
      <c r="E1899" s="373" t="s">
        <v>408</v>
      </c>
      <c r="F1899" s="373" t="s">
        <v>72</v>
      </c>
      <c r="G1899" s="373" t="s">
        <v>3170</v>
      </c>
      <c r="H1899" s="461" t="s">
        <v>2927</v>
      </c>
      <c r="I1899" s="538" t="s">
        <v>2928</v>
      </c>
      <c r="J1899" s="729">
        <v>45181</v>
      </c>
      <c r="K1899" s="772">
        <v>0.4375</v>
      </c>
      <c r="L1899" s="729">
        <v>45181</v>
      </c>
      <c r="M1899" s="772">
        <v>0.47916666666666669</v>
      </c>
      <c r="N1899" s="373">
        <v>1</v>
      </c>
      <c r="O1899" s="184" t="s">
        <v>17</v>
      </c>
      <c r="P1899" s="375" t="s">
        <v>2916</v>
      </c>
      <c r="Q1899" s="179" t="s">
        <v>1441</v>
      </c>
      <c r="R1899" s="31" t="s">
        <v>95</v>
      </c>
      <c r="S1899" s="31" t="s">
        <v>273</v>
      </c>
      <c r="T1899" s="31" t="s">
        <v>273</v>
      </c>
      <c r="U1899" s="31">
        <f>IFERROR(VLOOKUP(CONCATENATE(Tabla1[[#This Row],[Severidad]]," ",Tabla1[[#This Row],[Complejidad]]),Catalogos!E$120:G$128,3,FALSE),"")</f>
        <v>64</v>
      </c>
      <c r="V1899" s="31" t="str">
        <f>IF(Tabla1[[#This Row],[Tiempo solución max (hrs)]]&lt;&gt;"",IF(Tabla1[[#This Row],[Tiempo solución max (hrs)]]&gt;=Tabla1[[#This Row],[Tiempo
(Hrs 00/100)]],"cumple","no cumple"),"")</f>
        <v>cumple</v>
      </c>
      <c r="W1899" s="376" t="s">
        <v>2418</v>
      </c>
      <c r="X1899" s="377" t="str">
        <f t="shared" si="178"/>
        <v>SSI</v>
      </c>
      <c r="Y1899" t="str">
        <f>SUBSTITUTE(Tabla1[[#This Row],[Descripción]],CHAR(10),"    I    ")</f>
        <v>Se revisó el Query #1 del archivo FFE23 para la Funcionalidad 2 'Términos más utilizados en el Buscador Nacional', se hicieron las primeras ejecuciones con los parámetros para entender su funcionamiento</v>
      </c>
      <c r="Z1899" s="142">
        <f>VLOOKUP(Tabla1[[#This Row],[Perfil]],Catalogos!$B$75:$D$100,3,FALSE)*Tabla1[[#This Row],[Tiempo
(Hrs 00/100)]]*1.16</f>
        <v>696</v>
      </c>
    </row>
    <row r="1900" spans="1:26" ht="15" customHeight="1" x14ac:dyDescent="0.3">
      <c r="A1900" s="373" t="s">
        <v>22</v>
      </c>
      <c r="B1900" s="373" t="s">
        <v>23</v>
      </c>
      <c r="C1900" s="373" t="s">
        <v>257</v>
      </c>
      <c r="D1900" s="373"/>
      <c r="E1900" s="373" t="s">
        <v>408</v>
      </c>
      <c r="F1900" s="373" t="s">
        <v>23</v>
      </c>
      <c r="G1900" s="373" t="s">
        <v>3171</v>
      </c>
      <c r="H1900" s="461" t="s">
        <v>2929</v>
      </c>
      <c r="I1900" s="538" t="s">
        <v>2930</v>
      </c>
      <c r="J1900" s="729">
        <v>45181</v>
      </c>
      <c r="K1900" s="772">
        <v>0.47916666666666669</v>
      </c>
      <c r="L1900" s="729">
        <v>45181</v>
      </c>
      <c r="M1900" s="772">
        <v>0.60416666666666663</v>
      </c>
      <c r="N1900" s="373">
        <v>3</v>
      </c>
      <c r="O1900" s="184" t="s">
        <v>17</v>
      </c>
      <c r="P1900" s="375" t="s">
        <v>2916</v>
      </c>
      <c r="Q1900" s="179" t="s">
        <v>1441</v>
      </c>
      <c r="R1900" s="31" t="s">
        <v>95</v>
      </c>
      <c r="S1900" s="31" t="s">
        <v>273</v>
      </c>
      <c r="T1900" s="31" t="s">
        <v>273</v>
      </c>
      <c r="U1900" s="31">
        <f>IFERROR(VLOOKUP(CONCATENATE(Tabla1[[#This Row],[Severidad]]," ",Tabla1[[#This Row],[Complejidad]]),Catalogos!E$120:G$128,3,FALSE),"")</f>
        <v>64</v>
      </c>
      <c r="V1900" s="31" t="str">
        <f>IF(Tabla1[[#This Row],[Tiempo solución max (hrs)]]&lt;&gt;"",IF(Tabla1[[#This Row],[Tiempo solución max (hrs)]]&gt;=Tabla1[[#This Row],[Tiempo
(Hrs 00/100)]],"cumple","no cumple"),"")</f>
        <v>cumple</v>
      </c>
      <c r="W1900" s="376" t="s">
        <v>2418</v>
      </c>
      <c r="X1900" s="377" t="str">
        <f t="shared" si="178"/>
        <v>SSI</v>
      </c>
      <c r="Y1900" t="str">
        <f>SUBSTITUTE(Tabla1[[#This Row],[Descripción]],CHAR(10),"    I    ")</f>
        <v>Se optimizó el Query #1 del archivo FFE23 (Funcionalidad 2) para tener una versión mejorada en tiempo de respuesta y costo</v>
      </c>
      <c r="Z1900" s="142">
        <f>VLOOKUP(Tabla1[[#This Row],[Perfil]],Catalogos!$B$75:$D$100,3,FALSE)*Tabla1[[#This Row],[Tiempo
(Hrs 00/100)]]*1.16</f>
        <v>2088</v>
      </c>
    </row>
    <row r="1901" spans="1:26" ht="15" customHeight="1" x14ac:dyDescent="0.3">
      <c r="A1901" s="373" t="s">
        <v>22</v>
      </c>
      <c r="B1901" s="373" t="s">
        <v>23</v>
      </c>
      <c r="C1901" s="373" t="s">
        <v>257</v>
      </c>
      <c r="D1901" s="373"/>
      <c r="E1901" s="373" t="s">
        <v>408</v>
      </c>
      <c r="F1901" s="373" t="s">
        <v>23</v>
      </c>
      <c r="G1901" s="373" t="s">
        <v>3172</v>
      </c>
      <c r="H1901" s="461" t="s">
        <v>2931</v>
      </c>
      <c r="I1901" s="538" t="s">
        <v>2932</v>
      </c>
      <c r="J1901" s="729">
        <v>45181</v>
      </c>
      <c r="K1901" s="772">
        <v>0.64583333333333337</v>
      </c>
      <c r="L1901" s="729">
        <v>45181</v>
      </c>
      <c r="M1901" s="772">
        <v>0.6875</v>
      </c>
      <c r="N1901" s="373">
        <v>1</v>
      </c>
      <c r="O1901" s="184" t="s">
        <v>17</v>
      </c>
      <c r="P1901" s="375" t="s">
        <v>2916</v>
      </c>
      <c r="Q1901" s="179" t="s">
        <v>1441</v>
      </c>
      <c r="R1901" s="31" t="s">
        <v>95</v>
      </c>
      <c r="S1901" s="31" t="s">
        <v>273</v>
      </c>
      <c r="T1901" s="31" t="s">
        <v>273</v>
      </c>
      <c r="U1901" s="31">
        <f>IFERROR(VLOOKUP(CONCATENATE(Tabla1[[#This Row],[Severidad]]," ",Tabla1[[#This Row],[Complejidad]]),Catalogos!E$120:G$128,3,FALSE),"")</f>
        <v>64</v>
      </c>
      <c r="V1901" s="31" t="str">
        <f>IF(Tabla1[[#This Row],[Tiempo solución max (hrs)]]&lt;&gt;"",IF(Tabla1[[#This Row],[Tiempo solución max (hrs)]]&gt;=Tabla1[[#This Row],[Tiempo
(Hrs 00/100)]],"cumple","no cumple"),"")</f>
        <v>cumple</v>
      </c>
      <c r="W1901" s="376" t="s">
        <v>2418</v>
      </c>
      <c r="X1901" s="377" t="str">
        <f t="shared" si="178"/>
        <v>SSI</v>
      </c>
      <c r="Y1901" t="str">
        <f>SUBSTITUTE(Tabla1[[#This Row],[Descripción]],CHAR(10),"    I    ")</f>
        <v>Se creó el nuevo procedimiento 'FUNC2_TERMASUTILBUSCNAC' en el paquete 'PACK_SISAI3', con la funcionalidad del Query #1</v>
      </c>
      <c r="Z1901" s="142">
        <f>VLOOKUP(Tabla1[[#This Row],[Perfil]],Catalogos!$B$75:$D$100,3,FALSE)*Tabla1[[#This Row],[Tiempo
(Hrs 00/100)]]*1.16</f>
        <v>696</v>
      </c>
    </row>
    <row r="1902" spans="1:26" ht="15" customHeight="1" x14ac:dyDescent="0.3">
      <c r="A1902" s="373" t="s">
        <v>22</v>
      </c>
      <c r="B1902" s="373" t="s">
        <v>23</v>
      </c>
      <c r="C1902" s="373" t="s">
        <v>257</v>
      </c>
      <c r="D1902" s="373"/>
      <c r="E1902" s="373" t="s">
        <v>408</v>
      </c>
      <c r="F1902" s="373" t="s">
        <v>23</v>
      </c>
      <c r="G1902" s="373" t="s">
        <v>3173</v>
      </c>
      <c r="H1902" s="461" t="s">
        <v>2933</v>
      </c>
      <c r="I1902" s="538" t="s">
        <v>2934</v>
      </c>
      <c r="J1902" s="729">
        <v>45181</v>
      </c>
      <c r="K1902" s="772">
        <v>0.6875</v>
      </c>
      <c r="L1902" s="729">
        <v>45181</v>
      </c>
      <c r="M1902" s="772">
        <v>0.72916666666666663</v>
      </c>
      <c r="N1902" s="373">
        <v>1</v>
      </c>
      <c r="O1902" s="184" t="s">
        <v>17</v>
      </c>
      <c r="P1902" s="375" t="s">
        <v>2916</v>
      </c>
      <c r="Q1902" s="179" t="s">
        <v>1441</v>
      </c>
      <c r="R1902" s="31" t="s">
        <v>95</v>
      </c>
      <c r="S1902" s="31" t="s">
        <v>273</v>
      </c>
      <c r="T1902" s="31" t="s">
        <v>273</v>
      </c>
      <c r="U1902" s="31">
        <f>IFERROR(VLOOKUP(CONCATENATE(Tabla1[[#This Row],[Severidad]]," ",Tabla1[[#This Row],[Complejidad]]),Catalogos!E$120:G$128,3,FALSE),"")</f>
        <v>64</v>
      </c>
      <c r="V1902" s="31" t="str">
        <f>IF(Tabla1[[#This Row],[Tiempo solución max (hrs)]]&lt;&gt;"",IF(Tabla1[[#This Row],[Tiempo solución max (hrs)]]&gt;=Tabla1[[#This Row],[Tiempo
(Hrs 00/100)]],"cumple","no cumple"),"")</f>
        <v>cumple</v>
      </c>
      <c r="W1902" s="376" t="s">
        <v>2418</v>
      </c>
      <c r="X1902" s="377" t="str">
        <f t="shared" si="178"/>
        <v>SSI</v>
      </c>
      <c r="Y1902" t="str">
        <f>SUBSTITUTE(Tabla1[[#This Row],[Descripción]],CHAR(10),"    I    ")</f>
        <v>Se verificó campo por campo del query 1 de la Funcionalidad 2, validando el tipo de dato y longitud exactos</v>
      </c>
      <c r="Z1902" s="142">
        <f>VLOOKUP(Tabla1[[#This Row],[Perfil]],Catalogos!$B$75:$D$100,3,FALSE)*Tabla1[[#This Row],[Tiempo
(Hrs 00/100)]]*1.16</f>
        <v>696</v>
      </c>
    </row>
    <row r="1903" spans="1:26" ht="15" customHeight="1" x14ac:dyDescent="0.3">
      <c r="A1903" s="373" t="s">
        <v>22</v>
      </c>
      <c r="B1903" s="373" t="s">
        <v>23</v>
      </c>
      <c r="C1903" s="373" t="s">
        <v>257</v>
      </c>
      <c r="D1903" s="373"/>
      <c r="E1903" s="373" t="s">
        <v>408</v>
      </c>
      <c r="F1903" s="373" t="s">
        <v>23</v>
      </c>
      <c r="G1903" s="373" t="s">
        <v>3174</v>
      </c>
      <c r="H1903" s="461" t="s">
        <v>2935</v>
      </c>
      <c r="I1903" s="538" t="s">
        <v>2935</v>
      </c>
      <c r="J1903" s="729">
        <v>45181</v>
      </c>
      <c r="K1903" s="772">
        <v>0.72916666666666663</v>
      </c>
      <c r="L1903" s="729">
        <v>45181</v>
      </c>
      <c r="M1903" s="772">
        <v>0.77083333333333337</v>
      </c>
      <c r="N1903" s="373">
        <v>1</v>
      </c>
      <c r="O1903" s="184" t="s">
        <v>17</v>
      </c>
      <c r="P1903" s="375" t="s">
        <v>2916</v>
      </c>
      <c r="Q1903" s="179" t="s">
        <v>1441</v>
      </c>
      <c r="R1903" s="31" t="s">
        <v>95</v>
      </c>
      <c r="S1903" s="31" t="s">
        <v>273</v>
      </c>
      <c r="T1903" s="31" t="s">
        <v>273</v>
      </c>
      <c r="U1903" s="31">
        <f>IFERROR(VLOOKUP(CONCATENATE(Tabla1[[#This Row],[Severidad]]," ",Tabla1[[#This Row],[Complejidad]]),Catalogos!E$120:G$128,3,FALSE),"")</f>
        <v>64</v>
      </c>
      <c r="V1903" s="31" t="str">
        <f>IF(Tabla1[[#This Row],[Tiempo solución max (hrs)]]&lt;&gt;"",IF(Tabla1[[#This Row],[Tiempo solución max (hrs)]]&gt;=Tabla1[[#This Row],[Tiempo
(Hrs 00/100)]],"cumple","no cumple"),"")</f>
        <v>cumple</v>
      </c>
      <c r="W1903" s="376" t="s">
        <v>2418</v>
      </c>
      <c r="X1903" s="377" t="str">
        <f t="shared" si="178"/>
        <v>SSI</v>
      </c>
      <c r="Y1903" t="str">
        <f>SUBSTITUTE(Tabla1[[#This Row],[Descripción]],CHAR(10),"    I    ")</f>
        <v>Se declararon las variables en bloque anónimo con validación exacta de tamaños de tipos de datos, del query 1 de la Funcionalidad 2</v>
      </c>
      <c r="Z1903" s="142">
        <f>VLOOKUP(Tabla1[[#This Row],[Perfil]],Catalogos!$B$75:$D$100,3,FALSE)*Tabla1[[#This Row],[Tiempo
(Hrs 00/100)]]*1.16</f>
        <v>696</v>
      </c>
    </row>
    <row r="1904" spans="1:26" ht="15" customHeight="1" x14ac:dyDescent="0.3">
      <c r="A1904" s="373" t="s">
        <v>22</v>
      </c>
      <c r="B1904" s="373" t="s">
        <v>66</v>
      </c>
      <c r="C1904" s="373" t="s">
        <v>257</v>
      </c>
      <c r="D1904" s="373"/>
      <c r="E1904" s="373" t="s">
        <v>408</v>
      </c>
      <c r="F1904" s="373" t="s">
        <v>75</v>
      </c>
      <c r="G1904" s="373" t="s">
        <v>3175</v>
      </c>
      <c r="H1904" s="461" t="s">
        <v>2936</v>
      </c>
      <c r="I1904" s="538" t="s">
        <v>2937</v>
      </c>
      <c r="J1904" s="729">
        <v>45181</v>
      </c>
      <c r="K1904" s="772">
        <v>0.77083333333333337</v>
      </c>
      <c r="L1904" s="729">
        <v>45181</v>
      </c>
      <c r="M1904" s="772">
        <v>0.8125</v>
      </c>
      <c r="N1904" s="373">
        <v>1</v>
      </c>
      <c r="O1904" s="184" t="s">
        <v>17</v>
      </c>
      <c r="P1904" s="375" t="s">
        <v>2916</v>
      </c>
      <c r="Q1904" s="179" t="s">
        <v>1441</v>
      </c>
      <c r="R1904" s="31" t="s">
        <v>95</v>
      </c>
      <c r="S1904" s="31" t="s">
        <v>273</v>
      </c>
      <c r="T1904" s="31" t="s">
        <v>273</v>
      </c>
      <c r="U1904" s="31">
        <f>IFERROR(VLOOKUP(CONCATENATE(Tabla1[[#This Row],[Severidad]]," ",Tabla1[[#This Row],[Complejidad]]),Catalogos!E$120:G$128,3,FALSE),"")</f>
        <v>64</v>
      </c>
      <c r="V1904" s="31" t="str">
        <f>IF(Tabla1[[#This Row],[Tiempo solución max (hrs)]]&lt;&gt;"",IF(Tabla1[[#This Row],[Tiempo solución max (hrs)]]&gt;=Tabla1[[#This Row],[Tiempo
(Hrs 00/100)]],"cumple","no cumple"),"")</f>
        <v>cumple</v>
      </c>
      <c r="W1904" s="376" t="s">
        <v>2418</v>
      </c>
      <c r="X1904" s="377" t="str">
        <f t="shared" si="178"/>
        <v>SSI</v>
      </c>
      <c r="Y1904" t="str">
        <f>SUBSTITUTE(Tabla1[[#This Row],[Descripción]],CHAR(10),"    I    ")</f>
        <v xml:space="preserve">Se validó el paquete-procedimiento de la funcionalidad 2 - Query # 1 con el bloque anónimo correcto y se tuvo un resultado exitoso con la salida del cursor completo </v>
      </c>
      <c r="Z1904" s="142">
        <f>VLOOKUP(Tabla1[[#This Row],[Perfil]],Catalogos!$B$75:$D$100,3,FALSE)*Tabla1[[#This Row],[Tiempo
(Hrs 00/100)]]*1.16</f>
        <v>696</v>
      </c>
    </row>
    <row r="1905" spans="1:26" ht="15" customHeight="1" x14ac:dyDescent="0.3">
      <c r="A1905" s="373" t="s">
        <v>22</v>
      </c>
      <c r="B1905" s="373" t="s">
        <v>21</v>
      </c>
      <c r="C1905" s="373" t="s">
        <v>257</v>
      </c>
      <c r="D1905" s="373"/>
      <c r="E1905" s="373" t="s">
        <v>408</v>
      </c>
      <c r="F1905" s="373" t="s">
        <v>73</v>
      </c>
      <c r="G1905" s="373" t="s">
        <v>3176</v>
      </c>
      <c r="H1905" s="461" t="s">
        <v>2938</v>
      </c>
      <c r="I1905" s="538" t="s">
        <v>2938</v>
      </c>
      <c r="J1905" s="729">
        <v>45182</v>
      </c>
      <c r="K1905" s="772">
        <v>0.375</v>
      </c>
      <c r="L1905" s="729">
        <v>45182</v>
      </c>
      <c r="M1905" s="772">
        <v>0.39583333333333331</v>
      </c>
      <c r="N1905" s="373">
        <v>0.5</v>
      </c>
      <c r="O1905" s="184" t="s">
        <v>17</v>
      </c>
      <c r="P1905" s="375" t="s">
        <v>2916</v>
      </c>
      <c r="Q1905" s="179" t="s">
        <v>1441</v>
      </c>
      <c r="R1905" s="31" t="s">
        <v>95</v>
      </c>
      <c r="S1905" s="31" t="s">
        <v>273</v>
      </c>
      <c r="T1905" s="31" t="s">
        <v>273</v>
      </c>
      <c r="U1905" s="31">
        <f>IFERROR(VLOOKUP(CONCATENATE(Tabla1[[#This Row],[Severidad]]," ",Tabla1[[#This Row],[Complejidad]]),Catalogos!E$120:G$128,3,FALSE),"")</f>
        <v>64</v>
      </c>
      <c r="V1905" s="31" t="str">
        <f>IF(Tabla1[[#This Row],[Tiempo solución max (hrs)]]&lt;&gt;"",IF(Tabla1[[#This Row],[Tiempo solución max (hrs)]]&gt;=Tabla1[[#This Row],[Tiempo
(Hrs 00/100)]],"cumple","no cumple"),"")</f>
        <v>cumple</v>
      </c>
      <c r="W1905" s="376" t="s">
        <v>2418</v>
      </c>
      <c r="X1905" s="377" t="str">
        <f t="shared" si="178"/>
        <v>SSI</v>
      </c>
      <c r="Y1905" t="str">
        <f>SUBSTITUTE(Tabla1[[#This Row],[Descripción]],CHAR(10),"    I    ")</f>
        <v>Se actualizó el documento 'Final Ficha estadística 2023' con los comentarios sobre el Query 1 de la Funcionalidad 2</v>
      </c>
      <c r="Z1905" s="142">
        <f>VLOOKUP(Tabla1[[#This Row],[Perfil]],Catalogos!$B$75:$D$100,3,FALSE)*Tabla1[[#This Row],[Tiempo
(Hrs 00/100)]]*1.16</f>
        <v>348</v>
      </c>
    </row>
    <row r="1906" spans="1:26" ht="15" customHeight="1" x14ac:dyDescent="0.3">
      <c r="A1906" s="373" t="s">
        <v>22</v>
      </c>
      <c r="B1906" s="373" t="s">
        <v>305</v>
      </c>
      <c r="C1906" s="373" t="s">
        <v>257</v>
      </c>
      <c r="D1906" s="373"/>
      <c r="E1906" s="373" t="s">
        <v>408</v>
      </c>
      <c r="F1906" s="373" t="s">
        <v>72</v>
      </c>
      <c r="G1906" s="373" t="s">
        <v>3177</v>
      </c>
      <c r="H1906" s="461" t="s">
        <v>2939</v>
      </c>
      <c r="I1906" s="538" t="s">
        <v>2940</v>
      </c>
      <c r="J1906" s="729">
        <v>45182</v>
      </c>
      <c r="K1906" s="772">
        <v>0.39583333333333331</v>
      </c>
      <c r="L1906" s="729">
        <v>45182</v>
      </c>
      <c r="M1906" s="772">
        <v>0.4375</v>
      </c>
      <c r="N1906" s="373">
        <v>1</v>
      </c>
      <c r="O1906" s="184" t="s">
        <v>17</v>
      </c>
      <c r="P1906" s="375" t="s">
        <v>2916</v>
      </c>
      <c r="Q1906" s="179" t="s">
        <v>1441</v>
      </c>
      <c r="R1906" s="31" t="s">
        <v>95</v>
      </c>
      <c r="S1906" s="31" t="s">
        <v>273</v>
      </c>
      <c r="T1906" s="31" t="s">
        <v>273</v>
      </c>
      <c r="U1906" s="31">
        <f>IFERROR(VLOOKUP(CONCATENATE(Tabla1[[#This Row],[Severidad]]," ",Tabla1[[#This Row],[Complejidad]]),Catalogos!E$120:G$128,3,FALSE),"")</f>
        <v>64</v>
      </c>
      <c r="V1906" s="31" t="str">
        <f>IF(Tabla1[[#This Row],[Tiempo solución max (hrs)]]&lt;&gt;"",IF(Tabla1[[#This Row],[Tiempo solución max (hrs)]]&gt;=Tabla1[[#This Row],[Tiempo
(Hrs 00/100)]],"cumple","no cumple"),"")</f>
        <v>cumple</v>
      </c>
      <c r="W1906" s="376" t="s">
        <v>2418</v>
      </c>
      <c r="X1906" s="377" t="str">
        <f t="shared" si="178"/>
        <v>SSI</v>
      </c>
      <c r="Y1906" t="str">
        <f>SUBSTITUTE(Tabla1[[#This Row],[Descripción]],CHAR(10),"    I    ")</f>
        <v>Se revisó el Query #1 del archivo FFE23 para la Funcionalidad 3 'Los temas más consultados en la PNT de Sujetos Obligados Federales', se hicieron las primeras ejecuciones con los parámetros para entender su funcionamiento</v>
      </c>
      <c r="Z1906" s="142">
        <f>VLOOKUP(Tabla1[[#This Row],[Perfil]],Catalogos!$B$75:$D$100,3,FALSE)*Tabla1[[#This Row],[Tiempo
(Hrs 00/100)]]*1.16</f>
        <v>696</v>
      </c>
    </row>
    <row r="1907" spans="1:26" ht="15" customHeight="1" x14ac:dyDescent="0.3">
      <c r="A1907" s="373" t="s">
        <v>22</v>
      </c>
      <c r="B1907" s="373" t="s">
        <v>23</v>
      </c>
      <c r="C1907" s="373" t="s">
        <v>257</v>
      </c>
      <c r="D1907" s="373"/>
      <c r="E1907" s="373" t="s">
        <v>408</v>
      </c>
      <c r="F1907" s="373" t="s">
        <v>23</v>
      </c>
      <c r="G1907" s="373" t="s">
        <v>3178</v>
      </c>
      <c r="H1907" s="461" t="s">
        <v>2941</v>
      </c>
      <c r="I1907" s="538" t="s">
        <v>2942</v>
      </c>
      <c r="J1907" s="729">
        <v>45182</v>
      </c>
      <c r="K1907" s="772">
        <v>0.4375</v>
      </c>
      <c r="L1907" s="729">
        <v>45182</v>
      </c>
      <c r="M1907" s="772">
        <v>0.5625</v>
      </c>
      <c r="N1907" s="373">
        <v>3</v>
      </c>
      <c r="O1907" s="184" t="s">
        <v>17</v>
      </c>
      <c r="P1907" s="375" t="s">
        <v>2916</v>
      </c>
      <c r="Q1907" s="179" t="s">
        <v>1441</v>
      </c>
      <c r="R1907" s="31" t="s">
        <v>95</v>
      </c>
      <c r="S1907" s="31" t="s">
        <v>273</v>
      </c>
      <c r="T1907" s="31" t="s">
        <v>273</v>
      </c>
      <c r="U1907" s="31">
        <f>IFERROR(VLOOKUP(CONCATENATE(Tabla1[[#This Row],[Severidad]]," ",Tabla1[[#This Row],[Complejidad]]),Catalogos!E$120:G$128,3,FALSE),"")</f>
        <v>64</v>
      </c>
      <c r="V1907" s="31" t="str">
        <f>IF(Tabla1[[#This Row],[Tiempo solución max (hrs)]]&lt;&gt;"",IF(Tabla1[[#This Row],[Tiempo solución max (hrs)]]&gt;=Tabla1[[#This Row],[Tiempo
(Hrs 00/100)]],"cumple","no cumple"),"")</f>
        <v>cumple</v>
      </c>
      <c r="W1907" s="376" t="s">
        <v>2418</v>
      </c>
      <c r="X1907" s="377" t="str">
        <f t="shared" si="178"/>
        <v>SSI</v>
      </c>
      <c r="Y1907" t="str">
        <f>SUBSTITUTE(Tabla1[[#This Row],[Descripción]],CHAR(10),"    I    ")</f>
        <v>Se optimizó el Query #1 del archivo FFE23 (Funcionalidad 3) para tener una versión mejorada en tiempo de respuesta y costo</v>
      </c>
      <c r="Z1907" s="142">
        <f>VLOOKUP(Tabla1[[#This Row],[Perfil]],Catalogos!$B$75:$D$100,3,FALSE)*Tabla1[[#This Row],[Tiempo
(Hrs 00/100)]]*1.16</f>
        <v>2088</v>
      </c>
    </row>
    <row r="1908" spans="1:26" ht="15" customHeight="1" x14ac:dyDescent="0.3">
      <c r="A1908" s="373" t="s">
        <v>22</v>
      </c>
      <c r="B1908" s="373" t="s">
        <v>23</v>
      </c>
      <c r="C1908" s="373" t="s">
        <v>257</v>
      </c>
      <c r="D1908" s="373"/>
      <c r="E1908" s="373" t="s">
        <v>408</v>
      </c>
      <c r="F1908" s="373" t="s">
        <v>23</v>
      </c>
      <c r="G1908" s="373" t="s">
        <v>3179</v>
      </c>
      <c r="H1908" s="461" t="s">
        <v>2943</v>
      </c>
      <c r="I1908" s="538" t="s">
        <v>2944</v>
      </c>
      <c r="J1908" s="729">
        <v>45182</v>
      </c>
      <c r="K1908" s="772">
        <v>0.60416666666666663</v>
      </c>
      <c r="L1908" s="729">
        <v>45182</v>
      </c>
      <c r="M1908" s="772">
        <v>0.64583333333333337</v>
      </c>
      <c r="N1908" s="373">
        <v>1</v>
      </c>
      <c r="O1908" s="184" t="s">
        <v>17</v>
      </c>
      <c r="P1908" s="375" t="s">
        <v>2916</v>
      </c>
      <c r="Q1908" s="179" t="s">
        <v>1441</v>
      </c>
      <c r="R1908" s="31" t="s">
        <v>95</v>
      </c>
      <c r="S1908" s="31" t="s">
        <v>273</v>
      </c>
      <c r="T1908" s="31" t="s">
        <v>273</v>
      </c>
      <c r="U1908" s="31">
        <f>IFERROR(VLOOKUP(CONCATENATE(Tabla1[[#This Row],[Severidad]]," ",Tabla1[[#This Row],[Complejidad]]),Catalogos!E$120:G$128,3,FALSE),"")</f>
        <v>64</v>
      </c>
      <c r="V1908" s="31" t="str">
        <f>IF(Tabla1[[#This Row],[Tiempo solución max (hrs)]]&lt;&gt;"",IF(Tabla1[[#This Row],[Tiempo solución max (hrs)]]&gt;=Tabla1[[#This Row],[Tiempo
(Hrs 00/100)]],"cumple","no cumple"),"")</f>
        <v>cumple</v>
      </c>
      <c r="W1908" s="376" t="s">
        <v>2418</v>
      </c>
      <c r="X1908" s="377" t="str">
        <f t="shared" si="178"/>
        <v>SSI</v>
      </c>
      <c r="Y1908" t="str">
        <f>SUBSTITUTE(Tabla1[[#This Row],[Descripción]],CHAR(10),"    I    ")</f>
        <v>Se creó el nuevo procedimiento 'FUNC3_TEMASCONSULPNTSUJOBLIFED' en el paquete 'PACK_SISAI3', con la funcionalidad del Query #1</v>
      </c>
      <c r="Z1908" s="142">
        <f>VLOOKUP(Tabla1[[#This Row],[Perfil]],Catalogos!$B$75:$D$100,3,FALSE)*Tabla1[[#This Row],[Tiempo
(Hrs 00/100)]]*1.16</f>
        <v>696</v>
      </c>
    </row>
    <row r="1909" spans="1:26" ht="15" customHeight="1" x14ac:dyDescent="0.3">
      <c r="A1909" s="373" t="s">
        <v>22</v>
      </c>
      <c r="B1909" s="373" t="s">
        <v>23</v>
      </c>
      <c r="C1909" s="373" t="s">
        <v>257</v>
      </c>
      <c r="D1909" s="373"/>
      <c r="E1909" s="373" t="s">
        <v>408</v>
      </c>
      <c r="F1909" s="373" t="s">
        <v>23</v>
      </c>
      <c r="G1909" s="373" t="s">
        <v>3180</v>
      </c>
      <c r="H1909" s="461" t="s">
        <v>2945</v>
      </c>
      <c r="I1909" s="538" t="s">
        <v>2946</v>
      </c>
      <c r="J1909" s="729">
        <v>45182</v>
      </c>
      <c r="K1909" s="772">
        <v>0.64583333333333337</v>
      </c>
      <c r="L1909" s="729">
        <v>45182</v>
      </c>
      <c r="M1909" s="772">
        <v>0.6875</v>
      </c>
      <c r="N1909" s="373">
        <v>1</v>
      </c>
      <c r="O1909" s="184" t="s">
        <v>17</v>
      </c>
      <c r="P1909" s="375" t="s">
        <v>2916</v>
      </c>
      <c r="Q1909" s="179" t="s">
        <v>1441</v>
      </c>
      <c r="R1909" s="31" t="s">
        <v>95</v>
      </c>
      <c r="S1909" s="31" t="s">
        <v>273</v>
      </c>
      <c r="T1909" s="31" t="s">
        <v>273</v>
      </c>
      <c r="U1909" s="31">
        <f>IFERROR(VLOOKUP(CONCATENATE(Tabla1[[#This Row],[Severidad]]," ",Tabla1[[#This Row],[Complejidad]]),Catalogos!E$120:G$128,3,FALSE),"")</f>
        <v>64</v>
      </c>
      <c r="V1909" s="31" t="str">
        <f>IF(Tabla1[[#This Row],[Tiempo solución max (hrs)]]&lt;&gt;"",IF(Tabla1[[#This Row],[Tiempo solución max (hrs)]]&gt;=Tabla1[[#This Row],[Tiempo
(Hrs 00/100)]],"cumple","no cumple"),"")</f>
        <v>cumple</v>
      </c>
      <c r="W1909" s="376" t="s">
        <v>2418</v>
      </c>
      <c r="X1909" s="377" t="str">
        <f t="shared" si="178"/>
        <v>SSI</v>
      </c>
      <c r="Y1909" t="str">
        <f>SUBSTITUTE(Tabla1[[#This Row],[Descripción]],CHAR(10),"    I    ")</f>
        <v>Se verificó campo por campo del query 1 de la Funcionalidad 3, validando el tipo de dato y longitud exactos</v>
      </c>
      <c r="Z1909" s="142">
        <f>VLOOKUP(Tabla1[[#This Row],[Perfil]],Catalogos!$B$75:$D$100,3,FALSE)*Tabla1[[#This Row],[Tiempo
(Hrs 00/100)]]*1.16</f>
        <v>696</v>
      </c>
    </row>
    <row r="1910" spans="1:26" ht="15" customHeight="1" x14ac:dyDescent="0.3">
      <c r="A1910" s="373" t="s">
        <v>22</v>
      </c>
      <c r="B1910" s="373" t="s">
        <v>23</v>
      </c>
      <c r="C1910" s="373" t="s">
        <v>257</v>
      </c>
      <c r="D1910" s="373"/>
      <c r="E1910" s="373" t="s">
        <v>408</v>
      </c>
      <c r="F1910" s="373" t="s">
        <v>23</v>
      </c>
      <c r="G1910" s="373" t="s">
        <v>3181</v>
      </c>
      <c r="H1910" s="461" t="s">
        <v>2947</v>
      </c>
      <c r="I1910" s="538" t="s">
        <v>2947</v>
      </c>
      <c r="J1910" s="729">
        <v>45182</v>
      </c>
      <c r="K1910" s="772">
        <v>0.6875</v>
      </c>
      <c r="L1910" s="729">
        <v>45182</v>
      </c>
      <c r="M1910" s="772">
        <v>0.72916666666666663</v>
      </c>
      <c r="N1910" s="373">
        <v>1</v>
      </c>
      <c r="O1910" s="184" t="s">
        <v>17</v>
      </c>
      <c r="P1910" s="375" t="s">
        <v>2916</v>
      </c>
      <c r="Q1910" s="179" t="s">
        <v>1441</v>
      </c>
      <c r="R1910" s="31" t="s">
        <v>95</v>
      </c>
      <c r="S1910" s="31" t="s">
        <v>273</v>
      </c>
      <c r="T1910" s="31" t="s">
        <v>273</v>
      </c>
      <c r="U1910" s="31">
        <f>IFERROR(VLOOKUP(CONCATENATE(Tabla1[[#This Row],[Severidad]]," ",Tabla1[[#This Row],[Complejidad]]),Catalogos!E$120:G$128,3,FALSE),"")</f>
        <v>64</v>
      </c>
      <c r="V1910" s="31" t="str">
        <f>IF(Tabla1[[#This Row],[Tiempo solución max (hrs)]]&lt;&gt;"",IF(Tabla1[[#This Row],[Tiempo solución max (hrs)]]&gt;=Tabla1[[#This Row],[Tiempo
(Hrs 00/100)]],"cumple","no cumple"),"")</f>
        <v>cumple</v>
      </c>
      <c r="W1910" s="376" t="s">
        <v>2418</v>
      </c>
      <c r="X1910" s="377" t="str">
        <f t="shared" si="178"/>
        <v>SSI</v>
      </c>
      <c r="Y1910" t="str">
        <f>SUBSTITUTE(Tabla1[[#This Row],[Descripción]],CHAR(10),"    I    ")</f>
        <v>Se declararon las variables en bloque anónimo con validación exacta de tamaños de tipos de datos, del query 1 de la Funcionalidad 3</v>
      </c>
      <c r="Z1910" s="142">
        <f>VLOOKUP(Tabla1[[#This Row],[Perfil]],Catalogos!$B$75:$D$100,3,FALSE)*Tabla1[[#This Row],[Tiempo
(Hrs 00/100)]]*1.16</f>
        <v>696</v>
      </c>
    </row>
    <row r="1911" spans="1:26" ht="15" customHeight="1" x14ac:dyDescent="0.3">
      <c r="A1911" s="373" t="s">
        <v>22</v>
      </c>
      <c r="B1911" s="373" t="s">
        <v>66</v>
      </c>
      <c r="C1911" s="373" t="s">
        <v>257</v>
      </c>
      <c r="D1911" s="373"/>
      <c r="E1911" s="373" t="s">
        <v>408</v>
      </c>
      <c r="F1911" s="373" t="s">
        <v>75</v>
      </c>
      <c r="G1911" s="373" t="s">
        <v>3182</v>
      </c>
      <c r="H1911" s="461" t="s">
        <v>2948</v>
      </c>
      <c r="I1911" s="538" t="s">
        <v>2949</v>
      </c>
      <c r="J1911" s="729">
        <v>45182</v>
      </c>
      <c r="K1911" s="772">
        <v>0.72916666666666663</v>
      </c>
      <c r="L1911" s="729">
        <v>45182</v>
      </c>
      <c r="M1911" s="772">
        <v>0.77083333333333337</v>
      </c>
      <c r="N1911" s="373">
        <v>1</v>
      </c>
      <c r="O1911" s="184" t="s">
        <v>17</v>
      </c>
      <c r="P1911" s="375" t="s">
        <v>2916</v>
      </c>
      <c r="Q1911" s="179" t="s">
        <v>1441</v>
      </c>
      <c r="R1911" s="31" t="s">
        <v>95</v>
      </c>
      <c r="S1911" s="31" t="s">
        <v>273</v>
      </c>
      <c r="T1911" s="31" t="s">
        <v>273</v>
      </c>
      <c r="U1911" s="31">
        <f>IFERROR(VLOOKUP(CONCATENATE(Tabla1[[#This Row],[Severidad]]," ",Tabla1[[#This Row],[Complejidad]]),Catalogos!E$120:G$128,3,FALSE),"")</f>
        <v>64</v>
      </c>
      <c r="V1911" s="31" t="str">
        <f>IF(Tabla1[[#This Row],[Tiempo solución max (hrs)]]&lt;&gt;"",IF(Tabla1[[#This Row],[Tiempo solución max (hrs)]]&gt;=Tabla1[[#This Row],[Tiempo
(Hrs 00/100)]],"cumple","no cumple"),"")</f>
        <v>cumple</v>
      </c>
      <c r="W1911" s="376" t="s">
        <v>2418</v>
      </c>
      <c r="X1911" s="377" t="str">
        <f t="shared" si="178"/>
        <v>SSI</v>
      </c>
      <c r="Y1911" t="str">
        <f>SUBSTITUTE(Tabla1[[#This Row],[Descripción]],CHAR(10),"    I    ")</f>
        <v xml:space="preserve">Se validó el paquete-procedimiento de la funcionalidad 3 - Query # 1 con el bloque anónimo correcto y se tuvo un resultado exitoso con la salida del cursor completo </v>
      </c>
      <c r="Z1911" s="142">
        <f>VLOOKUP(Tabla1[[#This Row],[Perfil]],Catalogos!$B$75:$D$100,3,FALSE)*Tabla1[[#This Row],[Tiempo
(Hrs 00/100)]]*1.16</f>
        <v>696</v>
      </c>
    </row>
    <row r="1912" spans="1:26" ht="15" customHeight="1" x14ac:dyDescent="0.3">
      <c r="A1912" s="373" t="s">
        <v>22</v>
      </c>
      <c r="B1912" s="373" t="s">
        <v>21</v>
      </c>
      <c r="C1912" s="373" t="s">
        <v>257</v>
      </c>
      <c r="D1912" s="373"/>
      <c r="E1912" s="373" t="s">
        <v>408</v>
      </c>
      <c r="F1912" s="373" t="s">
        <v>73</v>
      </c>
      <c r="G1912" s="373" t="s">
        <v>3183</v>
      </c>
      <c r="H1912" s="461" t="s">
        <v>2950</v>
      </c>
      <c r="I1912" s="538" t="s">
        <v>2950</v>
      </c>
      <c r="J1912" s="729">
        <v>45182</v>
      </c>
      <c r="K1912" s="772">
        <v>0.77083333333333337</v>
      </c>
      <c r="L1912" s="729">
        <v>45182</v>
      </c>
      <c r="M1912" s="772">
        <v>0.79166666666666663</v>
      </c>
      <c r="N1912" s="373">
        <v>0.5</v>
      </c>
      <c r="O1912" s="184" t="s">
        <v>17</v>
      </c>
      <c r="P1912" s="375" t="s">
        <v>2916</v>
      </c>
      <c r="Q1912" s="179" t="s">
        <v>1441</v>
      </c>
      <c r="R1912" s="31" t="s">
        <v>95</v>
      </c>
      <c r="S1912" s="31" t="s">
        <v>273</v>
      </c>
      <c r="T1912" s="31" t="s">
        <v>273</v>
      </c>
      <c r="U1912" s="31">
        <f>IFERROR(VLOOKUP(CONCATENATE(Tabla1[[#This Row],[Severidad]]," ",Tabla1[[#This Row],[Complejidad]]),Catalogos!E$120:G$128,3,FALSE),"")</f>
        <v>64</v>
      </c>
      <c r="V1912" s="31" t="str">
        <f>IF(Tabla1[[#This Row],[Tiempo solución max (hrs)]]&lt;&gt;"",IF(Tabla1[[#This Row],[Tiempo solución max (hrs)]]&gt;=Tabla1[[#This Row],[Tiempo
(Hrs 00/100)]],"cumple","no cumple"),"")</f>
        <v>cumple</v>
      </c>
      <c r="W1912" s="376" t="s">
        <v>2418</v>
      </c>
      <c r="X1912" s="377" t="str">
        <f t="shared" si="178"/>
        <v>SSI</v>
      </c>
      <c r="Y1912" t="str">
        <f>SUBSTITUTE(Tabla1[[#This Row],[Descripción]],CHAR(10),"    I    ")</f>
        <v>Se actualizó el documento 'Final Ficha estadística 2023' con los comentarios sobre el Query 1 de la Funcionalidad 3</v>
      </c>
      <c r="Z1912" s="142">
        <f>VLOOKUP(Tabla1[[#This Row],[Perfil]],Catalogos!$B$75:$D$100,3,FALSE)*Tabla1[[#This Row],[Tiempo
(Hrs 00/100)]]*1.16</f>
        <v>348</v>
      </c>
    </row>
    <row r="1913" spans="1:26" ht="15" customHeight="1" x14ac:dyDescent="0.3">
      <c r="A1913" s="373" t="s">
        <v>22</v>
      </c>
      <c r="B1913" s="373" t="s">
        <v>305</v>
      </c>
      <c r="C1913" s="373" t="s">
        <v>257</v>
      </c>
      <c r="D1913" s="373"/>
      <c r="E1913" s="373" t="s">
        <v>408</v>
      </c>
      <c r="F1913" s="373" t="s">
        <v>72</v>
      </c>
      <c r="G1913" s="373" t="s">
        <v>3184</v>
      </c>
      <c r="H1913" s="461" t="s">
        <v>2951</v>
      </c>
      <c r="I1913" s="538" t="s">
        <v>2952</v>
      </c>
      <c r="J1913" s="729">
        <v>45183</v>
      </c>
      <c r="K1913" s="772">
        <v>0.375</v>
      </c>
      <c r="L1913" s="729">
        <v>45183</v>
      </c>
      <c r="M1913" s="772">
        <v>0.41666666666666669</v>
      </c>
      <c r="N1913" s="373">
        <v>1</v>
      </c>
      <c r="O1913" s="184" t="s">
        <v>17</v>
      </c>
      <c r="P1913" s="375" t="s">
        <v>2916</v>
      </c>
      <c r="Q1913" s="179" t="s">
        <v>1441</v>
      </c>
      <c r="R1913" s="31" t="s">
        <v>95</v>
      </c>
      <c r="S1913" s="31" t="s">
        <v>273</v>
      </c>
      <c r="T1913" s="31" t="s">
        <v>273</v>
      </c>
      <c r="U1913" s="31">
        <f>IFERROR(VLOOKUP(CONCATENATE(Tabla1[[#This Row],[Severidad]]," ",Tabla1[[#This Row],[Complejidad]]),Catalogos!E$120:G$128,3,FALSE),"")</f>
        <v>64</v>
      </c>
      <c r="V1913" s="31" t="str">
        <f>IF(Tabla1[[#This Row],[Tiempo solución max (hrs)]]&lt;&gt;"",IF(Tabla1[[#This Row],[Tiempo solución max (hrs)]]&gt;=Tabla1[[#This Row],[Tiempo
(Hrs 00/100)]],"cumple","no cumple"),"")</f>
        <v>cumple</v>
      </c>
      <c r="W1913" s="376" t="s">
        <v>2418</v>
      </c>
      <c r="X1913" s="377" t="str">
        <f t="shared" ref="X1913:X1949" si="179">IF(C1913&lt;&gt;"",C1913,D1913)</f>
        <v>SSI</v>
      </c>
      <c r="Y1913" t="str">
        <f>SUBSTITUTE(Tabla1[[#This Row],[Descripción]],CHAR(10),"    I    ")</f>
        <v>Se revisó el Query #1 del archivo FFE23 para la Funcionalidad 4 'Sujetos Obligados federales con más obligaciones cargadas', se hicieron las primeras ejecuciones con los parámetros para entender su funcionamiento</v>
      </c>
      <c r="Z1913" s="142">
        <f>VLOOKUP(Tabla1[[#This Row],[Perfil]],Catalogos!$B$75:$D$100,3,FALSE)*Tabla1[[#This Row],[Tiempo
(Hrs 00/100)]]*1.16</f>
        <v>696</v>
      </c>
    </row>
    <row r="1914" spans="1:26" ht="15" customHeight="1" x14ac:dyDescent="0.3">
      <c r="A1914" s="373" t="s">
        <v>22</v>
      </c>
      <c r="B1914" s="373" t="s">
        <v>23</v>
      </c>
      <c r="C1914" s="373" t="s">
        <v>257</v>
      </c>
      <c r="D1914" s="373"/>
      <c r="E1914" s="373" t="s">
        <v>408</v>
      </c>
      <c r="F1914" s="373" t="s">
        <v>23</v>
      </c>
      <c r="G1914" s="373" t="s">
        <v>3185</v>
      </c>
      <c r="H1914" s="461" t="s">
        <v>2953</v>
      </c>
      <c r="I1914" s="538" t="s">
        <v>2954</v>
      </c>
      <c r="J1914" s="729">
        <v>45183</v>
      </c>
      <c r="K1914" s="772">
        <v>0.41666666666666669</v>
      </c>
      <c r="L1914" s="729">
        <v>45183</v>
      </c>
      <c r="M1914" s="772">
        <v>0.54166666666666663</v>
      </c>
      <c r="N1914" s="373">
        <v>3</v>
      </c>
      <c r="O1914" s="184" t="s">
        <v>17</v>
      </c>
      <c r="P1914" s="375" t="s">
        <v>2916</v>
      </c>
      <c r="Q1914" s="179" t="s">
        <v>1441</v>
      </c>
      <c r="R1914" s="31" t="s">
        <v>95</v>
      </c>
      <c r="S1914" s="31" t="s">
        <v>273</v>
      </c>
      <c r="T1914" s="31" t="s">
        <v>273</v>
      </c>
      <c r="U1914" s="31">
        <f>IFERROR(VLOOKUP(CONCATENATE(Tabla1[[#This Row],[Severidad]]," ",Tabla1[[#This Row],[Complejidad]]),Catalogos!E$120:G$128,3,FALSE),"")</f>
        <v>64</v>
      </c>
      <c r="V1914" s="31" t="str">
        <f>IF(Tabla1[[#This Row],[Tiempo solución max (hrs)]]&lt;&gt;"",IF(Tabla1[[#This Row],[Tiempo solución max (hrs)]]&gt;=Tabla1[[#This Row],[Tiempo
(Hrs 00/100)]],"cumple","no cumple"),"")</f>
        <v>cumple</v>
      </c>
      <c r="W1914" s="376" t="s">
        <v>2418</v>
      </c>
      <c r="X1914" s="377" t="str">
        <f t="shared" si="179"/>
        <v>SSI</v>
      </c>
      <c r="Y1914" t="str">
        <f>SUBSTITUTE(Tabla1[[#This Row],[Descripción]],CHAR(10),"    I    ")</f>
        <v>Se optimizó el Query #1 del archivo FFE23 (Funcionalidad 4) para tener una versión mejorada en tiempo de respuesta y costo</v>
      </c>
      <c r="Z1914" s="142">
        <f>VLOOKUP(Tabla1[[#This Row],[Perfil]],Catalogos!$B$75:$D$100,3,FALSE)*Tabla1[[#This Row],[Tiempo
(Hrs 00/100)]]*1.16</f>
        <v>2088</v>
      </c>
    </row>
    <row r="1915" spans="1:26" ht="15" customHeight="1" x14ac:dyDescent="0.3">
      <c r="A1915" s="373" t="s">
        <v>22</v>
      </c>
      <c r="B1915" s="373" t="s">
        <v>23</v>
      </c>
      <c r="C1915" s="373" t="s">
        <v>257</v>
      </c>
      <c r="D1915" s="373"/>
      <c r="E1915" s="373" t="s">
        <v>408</v>
      </c>
      <c r="F1915" s="373" t="s">
        <v>23</v>
      </c>
      <c r="G1915" s="373" t="s">
        <v>3186</v>
      </c>
      <c r="H1915" s="461" t="s">
        <v>2955</v>
      </c>
      <c r="I1915" s="538" t="s">
        <v>2956</v>
      </c>
      <c r="J1915" s="729">
        <v>45183</v>
      </c>
      <c r="K1915" s="772">
        <v>0.54166666666666663</v>
      </c>
      <c r="L1915" s="729">
        <v>45183</v>
      </c>
      <c r="M1915" s="772">
        <v>0.58333333333333337</v>
      </c>
      <c r="N1915" s="373">
        <v>1</v>
      </c>
      <c r="O1915" s="184" t="s">
        <v>17</v>
      </c>
      <c r="P1915" s="375" t="s">
        <v>2916</v>
      </c>
      <c r="Q1915" s="179" t="s">
        <v>1441</v>
      </c>
      <c r="R1915" s="31" t="s">
        <v>95</v>
      </c>
      <c r="S1915" s="31" t="s">
        <v>273</v>
      </c>
      <c r="T1915" s="31" t="s">
        <v>273</v>
      </c>
      <c r="U1915" s="31">
        <f>IFERROR(VLOOKUP(CONCATENATE(Tabla1[[#This Row],[Severidad]]," ",Tabla1[[#This Row],[Complejidad]]),Catalogos!E$120:G$128,3,FALSE),"")</f>
        <v>64</v>
      </c>
      <c r="V1915" s="31" t="str">
        <f>IF(Tabla1[[#This Row],[Tiempo solución max (hrs)]]&lt;&gt;"",IF(Tabla1[[#This Row],[Tiempo solución max (hrs)]]&gt;=Tabla1[[#This Row],[Tiempo
(Hrs 00/100)]],"cumple","no cumple"),"")</f>
        <v>cumple</v>
      </c>
      <c r="W1915" s="376" t="s">
        <v>2418</v>
      </c>
      <c r="X1915" s="377" t="str">
        <f t="shared" si="179"/>
        <v>SSI</v>
      </c>
      <c r="Y1915" t="str">
        <f>SUBSTITUTE(Tabla1[[#This Row],[Descripción]],CHAR(10),"    I    ")</f>
        <v>Se creó el nuevo procedimiento 'FUNC4_SUJOBLIFEDEMASOBLICARGA' en el paquete 'PACK_SISAI3', con la funcionalidad del Query #1</v>
      </c>
      <c r="Z1915" s="142">
        <f>VLOOKUP(Tabla1[[#This Row],[Perfil]],Catalogos!$B$75:$D$100,3,FALSE)*Tabla1[[#This Row],[Tiempo
(Hrs 00/100)]]*1.16</f>
        <v>696</v>
      </c>
    </row>
    <row r="1916" spans="1:26" ht="15" customHeight="1" x14ac:dyDescent="0.3">
      <c r="A1916" s="373" t="s">
        <v>22</v>
      </c>
      <c r="B1916" s="373" t="s">
        <v>23</v>
      </c>
      <c r="C1916" s="373" t="s">
        <v>257</v>
      </c>
      <c r="D1916" s="373"/>
      <c r="E1916" s="373" t="s">
        <v>408</v>
      </c>
      <c r="F1916" s="373" t="s">
        <v>23</v>
      </c>
      <c r="G1916" s="373" t="s">
        <v>3187</v>
      </c>
      <c r="H1916" s="461" t="s">
        <v>2957</v>
      </c>
      <c r="I1916" s="538" t="s">
        <v>2957</v>
      </c>
      <c r="J1916" s="729">
        <v>45183</v>
      </c>
      <c r="K1916" s="772">
        <v>0.625</v>
      </c>
      <c r="L1916" s="729">
        <v>45183</v>
      </c>
      <c r="M1916" s="772">
        <v>0.66666666666666663</v>
      </c>
      <c r="N1916" s="373">
        <v>1</v>
      </c>
      <c r="O1916" s="184" t="s">
        <v>17</v>
      </c>
      <c r="P1916" s="375" t="s">
        <v>2916</v>
      </c>
      <c r="Q1916" s="179" t="s">
        <v>1441</v>
      </c>
      <c r="R1916" s="31" t="s">
        <v>95</v>
      </c>
      <c r="S1916" s="31" t="s">
        <v>273</v>
      </c>
      <c r="T1916" s="31" t="s">
        <v>273</v>
      </c>
      <c r="U1916" s="31">
        <f>IFERROR(VLOOKUP(CONCATENATE(Tabla1[[#This Row],[Severidad]]," ",Tabla1[[#This Row],[Complejidad]]),Catalogos!E$120:G$128,3,FALSE),"")</f>
        <v>64</v>
      </c>
      <c r="V1916" s="31" t="str">
        <f>IF(Tabla1[[#This Row],[Tiempo solución max (hrs)]]&lt;&gt;"",IF(Tabla1[[#This Row],[Tiempo solución max (hrs)]]&gt;=Tabla1[[#This Row],[Tiempo
(Hrs 00/100)]],"cumple","no cumple"),"")</f>
        <v>cumple</v>
      </c>
      <c r="W1916" s="376" t="s">
        <v>2418</v>
      </c>
      <c r="X1916" s="377" t="str">
        <f t="shared" si="179"/>
        <v>SSI</v>
      </c>
      <c r="Y1916" t="str">
        <f>SUBSTITUTE(Tabla1[[#This Row],[Descripción]],CHAR(10),"    I    ")</f>
        <v>Se verificó campo por campo del query 1 de la Funcionalidad 4, validando el tipo de dato y longitud exactos</v>
      </c>
      <c r="Z1916" s="142">
        <f>VLOOKUP(Tabla1[[#This Row],[Perfil]],Catalogos!$B$75:$D$100,3,FALSE)*Tabla1[[#This Row],[Tiempo
(Hrs 00/100)]]*1.16</f>
        <v>696</v>
      </c>
    </row>
    <row r="1917" spans="1:26" ht="15" customHeight="1" x14ac:dyDescent="0.3">
      <c r="A1917" s="373" t="s">
        <v>22</v>
      </c>
      <c r="B1917" s="373" t="s">
        <v>23</v>
      </c>
      <c r="C1917" s="373" t="s">
        <v>257</v>
      </c>
      <c r="D1917" s="373"/>
      <c r="E1917" s="373" t="s">
        <v>408</v>
      </c>
      <c r="F1917" s="373" t="s">
        <v>23</v>
      </c>
      <c r="G1917" s="373" t="s">
        <v>3188</v>
      </c>
      <c r="H1917" s="461" t="s">
        <v>2958</v>
      </c>
      <c r="I1917" s="538" t="s">
        <v>2958</v>
      </c>
      <c r="J1917" s="729">
        <v>45183</v>
      </c>
      <c r="K1917" s="772">
        <v>0.66666666666666663</v>
      </c>
      <c r="L1917" s="729">
        <v>45183</v>
      </c>
      <c r="M1917" s="772">
        <v>0.70833333333333337</v>
      </c>
      <c r="N1917" s="373">
        <v>1</v>
      </c>
      <c r="O1917" s="184" t="s">
        <v>17</v>
      </c>
      <c r="P1917" s="375" t="s">
        <v>2916</v>
      </c>
      <c r="Q1917" s="179" t="s">
        <v>1441</v>
      </c>
      <c r="R1917" s="31" t="s">
        <v>95</v>
      </c>
      <c r="S1917" s="31" t="s">
        <v>273</v>
      </c>
      <c r="T1917" s="31" t="s">
        <v>273</v>
      </c>
      <c r="U1917" s="31">
        <f>IFERROR(VLOOKUP(CONCATENATE(Tabla1[[#This Row],[Severidad]]," ",Tabla1[[#This Row],[Complejidad]]),Catalogos!E$120:G$128,3,FALSE),"")</f>
        <v>64</v>
      </c>
      <c r="V1917" s="31" t="str">
        <f>IF(Tabla1[[#This Row],[Tiempo solución max (hrs)]]&lt;&gt;"",IF(Tabla1[[#This Row],[Tiempo solución max (hrs)]]&gt;=Tabla1[[#This Row],[Tiempo
(Hrs 00/100)]],"cumple","no cumple"),"")</f>
        <v>cumple</v>
      </c>
      <c r="W1917" s="376" t="s">
        <v>2418</v>
      </c>
      <c r="X1917" s="377" t="str">
        <f t="shared" si="179"/>
        <v>SSI</v>
      </c>
      <c r="Y1917" t="str">
        <f>SUBSTITUTE(Tabla1[[#This Row],[Descripción]],CHAR(10),"    I    ")</f>
        <v>Se declararon las variables en bloque anónimo con validación exacta de tamaños de tipos de datos, del query 1 de la Funcionalidad 4</v>
      </c>
      <c r="Z1917" s="142">
        <f>VLOOKUP(Tabla1[[#This Row],[Perfil]],Catalogos!$B$75:$D$100,3,FALSE)*Tabla1[[#This Row],[Tiempo
(Hrs 00/100)]]*1.16</f>
        <v>696</v>
      </c>
    </row>
    <row r="1918" spans="1:26" ht="15" customHeight="1" x14ac:dyDescent="0.3">
      <c r="A1918" s="373" t="s">
        <v>22</v>
      </c>
      <c r="B1918" s="373" t="s">
        <v>66</v>
      </c>
      <c r="C1918" s="373" t="s">
        <v>257</v>
      </c>
      <c r="D1918" s="373"/>
      <c r="E1918" s="373" t="s">
        <v>408</v>
      </c>
      <c r="F1918" s="373" t="s">
        <v>75</v>
      </c>
      <c r="G1918" s="373" t="s">
        <v>3189</v>
      </c>
      <c r="H1918" s="461" t="s">
        <v>2959</v>
      </c>
      <c r="I1918" s="538" t="s">
        <v>2960</v>
      </c>
      <c r="J1918" s="729">
        <v>45183</v>
      </c>
      <c r="K1918" s="772">
        <v>0.70833333333333337</v>
      </c>
      <c r="L1918" s="729">
        <v>45198</v>
      </c>
      <c r="M1918" s="772">
        <v>0.75</v>
      </c>
      <c r="N1918" s="373">
        <v>1</v>
      </c>
      <c r="O1918" s="184" t="s">
        <v>17</v>
      </c>
      <c r="P1918" s="375" t="s">
        <v>2916</v>
      </c>
      <c r="Q1918" s="179" t="s">
        <v>1441</v>
      </c>
      <c r="R1918" s="31" t="s">
        <v>95</v>
      </c>
      <c r="S1918" s="31" t="s">
        <v>273</v>
      </c>
      <c r="T1918" s="31" t="s">
        <v>273</v>
      </c>
      <c r="U1918" s="31">
        <f>IFERROR(VLOOKUP(CONCATENATE(Tabla1[[#This Row],[Severidad]]," ",Tabla1[[#This Row],[Complejidad]]),Catalogos!E$120:G$128,3,FALSE),"")</f>
        <v>64</v>
      </c>
      <c r="V1918" s="31" t="str">
        <f>IF(Tabla1[[#This Row],[Tiempo solución max (hrs)]]&lt;&gt;"",IF(Tabla1[[#This Row],[Tiempo solución max (hrs)]]&gt;=Tabla1[[#This Row],[Tiempo
(Hrs 00/100)]],"cumple","no cumple"),"")</f>
        <v>cumple</v>
      </c>
      <c r="W1918" s="376" t="s">
        <v>2418</v>
      </c>
      <c r="X1918" s="377" t="str">
        <f t="shared" si="179"/>
        <v>SSI</v>
      </c>
      <c r="Y1918" t="str">
        <f>SUBSTITUTE(Tabla1[[#This Row],[Descripción]],CHAR(10),"    I    ")</f>
        <v xml:space="preserve">Se validó el paquete-procedimiento de la funcionalidad 4 - Query # 1 con el bloque anónimo correcto y se tuvo un resultado exitoso con la salida del cursor completo </v>
      </c>
      <c r="Z1918" s="142">
        <f>VLOOKUP(Tabla1[[#This Row],[Perfil]],Catalogos!$B$75:$D$100,3,FALSE)*Tabla1[[#This Row],[Tiempo
(Hrs 00/100)]]*1.16</f>
        <v>696</v>
      </c>
    </row>
    <row r="1919" spans="1:26" ht="15" customHeight="1" x14ac:dyDescent="0.3">
      <c r="A1919" s="373" t="s">
        <v>22</v>
      </c>
      <c r="B1919" s="373" t="s">
        <v>21</v>
      </c>
      <c r="C1919" s="373" t="s">
        <v>257</v>
      </c>
      <c r="D1919" s="373"/>
      <c r="E1919" s="373" t="s">
        <v>408</v>
      </c>
      <c r="F1919" s="373" t="s">
        <v>73</v>
      </c>
      <c r="G1919" s="373" t="s">
        <v>3190</v>
      </c>
      <c r="H1919" s="461" t="s">
        <v>2961</v>
      </c>
      <c r="I1919" s="538" t="s">
        <v>2961</v>
      </c>
      <c r="J1919" s="729">
        <v>45183</v>
      </c>
      <c r="K1919" s="772">
        <v>0.75</v>
      </c>
      <c r="L1919" s="729">
        <v>45183</v>
      </c>
      <c r="M1919" s="772">
        <v>0.77083333333333337</v>
      </c>
      <c r="N1919" s="373">
        <v>0.5</v>
      </c>
      <c r="O1919" s="184" t="s">
        <v>17</v>
      </c>
      <c r="P1919" s="375" t="s">
        <v>2916</v>
      </c>
      <c r="Q1919" s="179" t="s">
        <v>1441</v>
      </c>
      <c r="R1919" s="31" t="s">
        <v>95</v>
      </c>
      <c r="S1919" s="31" t="s">
        <v>273</v>
      </c>
      <c r="T1919" s="31" t="s">
        <v>273</v>
      </c>
      <c r="U1919" s="31">
        <f>IFERROR(VLOOKUP(CONCATENATE(Tabla1[[#This Row],[Severidad]]," ",Tabla1[[#This Row],[Complejidad]]),Catalogos!E$120:G$128,3,FALSE),"")</f>
        <v>64</v>
      </c>
      <c r="V1919" s="31" t="str">
        <f>IF(Tabla1[[#This Row],[Tiempo solución max (hrs)]]&lt;&gt;"",IF(Tabla1[[#This Row],[Tiempo solución max (hrs)]]&gt;=Tabla1[[#This Row],[Tiempo
(Hrs 00/100)]],"cumple","no cumple"),"")</f>
        <v>cumple</v>
      </c>
      <c r="W1919" s="376" t="s">
        <v>2418</v>
      </c>
      <c r="X1919" s="377" t="str">
        <f t="shared" si="179"/>
        <v>SSI</v>
      </c>
      <c r="Y1919" t="str">
        <f>SUBSTITUTE(Tabla1[[#This Row],[Descripción]],CHAR(10),"    I    ")</f>
        <v>Se actualizó el documento 'Final Ficha estadística 2023' con los comentarios sobre el Query 1 de la Funcionalidad 4</v>
      </c>
      <c r="Z1919" s="142">
        <f>VLOOKUP(Tabla1[[#This Row],[Perfil]],Catalogos!$B$75:$D$100,3,FALSE)*Tabla1[[#This Row],[Tiempo
(Hrs 00/100)]]*1.16</f>
        <v>348</v>
      </c>
    </row>
    <row r="1920" spans="1:26" ht="15" customHeight="1" x14ac:dyDescent="0.3">
      <c r="A1920" s="373" t="s">
        <v>22</v>
      </c>
      <c r="B1920" s="373" t="s">
        <v>305</v>
      </c>
      <c r="C1920" s="373" t="s">
        <v>257</v>
      </c>
      <c r="D1920" s="373"/>
      <c r="E1920" s="373" t="s">
        <v>408</v>
      </c>
      <c r="F1920" s="373" t="s">
        <v>72</v>
      </c>
      <c r="G1920" s="373" t="s">
        <v>3191</v>
      </c>
      <c r="H1920" s="461" t="s">
        <v>2962</v>
      </c>
      <c r="I1920" s="538" t="s">
        <v>2963</v>
      </c>
      <c r="J1920" s="729">
        <v>45183</v>
      </c>
      <c r="K1920" s="772">
        <v>0.77083333333333337</v>
      </c>
      <c r="L1920" s="729">
        <v>45183</v>
      </c>
      <c r="M1920" s="772">
        <v>0.8125</v>
      </c>
      <c r="N1920" s="373">
        <v>1</v>
      </c>
      <c r="O1920" s="184" t="s">
        <v>17</v>
      </c>
      <c r="P1920" s="375" t="s">
        <v>2916</v>
      </c>
      <c r="Q1920" s="179" t="s">
        <v>1441</v>
      </c>
      <c r="R1920" s="31" t="s">
        <v>95</v>
      </c>
      <c r="S1920" s="31" t="s">
        <v>273</v>
      </c>
      <c r="T1920" s="31" t="s">
        <v>273</v>
      </c>
      <c r="U1920" s="31">
        <f>IFERROR(VLOOKUP(CONCATENATE(Tabla1[[#This Row],[Severidad]]," ",Tabla1[[#This Row],[Complejidad]]),Catalogos!E$120:G$128,3,FALSE),"")</f>
        <v>64</v>
      </c>
      <c r="V1920" s="31" t="str">
        <f>IF(Tabla1[[#This Row],[Tiempo solución max (hrs)]]&lt;&gt;"",IF(Tabla1[[#This Row],[Tiempo solución max (hrs)]]&gt;=Tabla1[[#This Row],[Tiempo
(Hrs 00/100)]],"cumple","no cumple"),"")</f>
        <v>cumple</v>
      </c>
      <c r="W1920" s="376" t="s">
        <v>2418</v>
      </c>
      <c r="X1920" s="377" t="str">
        <f t="shared" si="179"/>
        <v>SSI</v>
      </c>
      <c r="Y1920" t="str">
        <f>SUBSTITUTE(Tabla1[[#This Row],[Descripción]],CHAR(10),"    I    ")</f>
        <v>Se revisó el Query #1 del archivo FFE23 para la Funcionalidad 5 'Sujetos Obligados federales con más solicitudes de información', se hicieron las primeras ejecuciones con los parámetros para entender su funcionamiento</v>
      </c>
      <c r="Z1920" s="142">
        <f>VLOOKUP(Tabla1[[#This Row],[Perfil]],Catalogos!$B$75:$D$100,3,FALSE)*Tabla1[[#This Row],[Tiempo
(Hrs 00/100)]]*1.16</f>
        <v>696</v>
      </c>
    </row>
    <row r="1921" spans="1:26" ht="15" customHeight="1" x14ac:dyDescent="0.3">
      <c r="A1921" s="373" t="s">
        <v>22</v>
      </c>
      <c r="B1921" s="373" t="s">
        <v>23</v>
      </c>
      <c r="C1921" s="373" t="s">
        <v>257</v>
      </c>
      <c r="D1921" s="373"/>
      <c r="E1921" s="373" t="s">
        <v>408</v>
      </c>
      <c r="F1921" s="373" t="s">
        <v>23</v>
      </c>
      <c r="G1921" s="373" t="s">
        <v>3192</v>
      </c>
      <c r="H1921" s="461" t="s">
        <v>2964</v>
      </c>
      <c r="I1921" s="538" t="s">
        <v>2965</v>
      </c>
      <c r="J1921" s="729">
        <v>45184</v>
      </c>
      <c r="K1921" s="772">
        <v>0.375</v>
      </c>
      <c r="L1921" s="729">
        <v>45184</v>
      </c>
      <c r="M1921" s="772">
        <v>0.5</v>
      </c>
      <c r="N1921" s="373">
        <v>3</v>
      </c>
      <c r="O1921" s="184" t="s">
        <v>17</v>
      </c>
      <c r="P1921" s="375" t="s">
        <v>2916</v>
      </c>
      <c r="Q1921" s="179" t="s">
        <v>1441</v>
      </c>
      <c r="R1921" s="31" t="s">
        <v>95</v>
      </c>
      <c r="S1921" s="31" t="s">
        <v>273</v>
      </c>
      <c r="T1921" s="31" t="s">
        <v>273</v>
      </c>
      <c r="U1921" s="31">
        <f>IFERROR(VLOOKUP(CONCATENATE(Tabla1[[#This Row],[Severidad]]," ",Tabla1[[#This Row],[Complejidad]]),Catalogos!E$120:G$128,3,FALSE),"")</f>
        <v>64</v>
      </c>
      <c r="V1921" s="31" t="str">
        <f>IF(Tabla1[[#This Row],[Tiempo solución max (hrs)]]&lt;&gt;"",IF(Tabla1[[#This Row],[Tiempo solución max (hrs)]]&gt;=Tabla1[[#This Row],[Tiempo
(Hrs 00/100)]],"cumple","no cumple"),"")</f>
        <v>cumple</v>
      </c>
      <c r="W1921" s="376" t="s">
        <v>2418</v>
      </c>
      <c r="X1921" s="377" t="str">
        <f t="shared" si="179"/>
        <v>SSI</v>
      </c>
      <c r="Y1921" t="str">
        <f>SUBSTITUTE(Tabla1[[#This Row],[Descripción]],CHAR(10),"    I    ")</f>
        <v>Se optimizó el Query #1 del archivo FFE23 (Funcionalidad 5) para tener una versión mejorada en tiempo de respuesta y costo</v>
      </c>
      <c r="Z1921" s="142">
        <f>VLOOKUP(Tabla1[[#This Row],[Perfil]],Catalogos!$B$75:$D$100,3,FALSE)*Tabla1[[#This Row],[Tiempo
(Hrs 00/100)]]*1.16</f>
        <v>2088</v>
      </c>
    </row>
    <row r="1922" spans="1:26" ht="15" customHeight="1" x14ac:dyDescent="0.3">
      <c r="A1922" s="373" t="s">
        <v>22</v>
      </c>
      <c r="B1922" s="373" t="s">
        <v>23</v>
      </c>
      <c r="C1922" s="373" t="s">
        <v>257</v>
      </c>
      <c r="D1922" s="373"/>
      <c r="E1922" s="373" t="s">
        <v>408</v>
      </c>
      <c r="F1922" s="373" t="s">
        <v>23</v>
      </c>
      <c r="G1922" s="373" t="s">
        <v>3193</v>
      </c>
      <c r="H1922" s="461" t="s">
        <v>2966</v>
      </c>
      <c r="I1922" s="538" t="s">
        <v>2966</v>
      </c>
      <c r="J1922" s="729">
        <v>45184</v>
      </c>
      <c r="K1922" s="772">
        <v>0.5</v>
      </c>
      <c r="L1922" s="729">
        <v>45184</v>
      </c>
      <c r="M1922" s="772">
        <v>0.54166666666666663</v>
      </c>
      <c r="N1922" s="373">
        <v>1</v>
      </c>
      <c r="O1922" s="184" t="s">
        <v>17</v>
      </c>
      <c r="P1922" s="375" t="s">
        <v>2916</v>
      </c>
      <c r="Q1922" s="179" t="s">
        <v>1441</v>
      </c>
      <c r="R1922" s="31" t="s">
        <v>95</v>
      </c>
      <c r="S1922" s="31" t="s">
        <v>273</v>
      </c>
      <c r="T1922" s="31" t="s">
        <v>273</v>
      </c>
      <c r="U1922" s="31">
        <f>IFERROR(VLOOKUP(CONCATENATE(Tabla1[[#This Row],[Severidad]]," ",Tabla1[[#This Row],[Complejidad]]),Catalogos!E$120:G$128,3,FALSE),"")</f>
        <v>64</v>
      </c>
      <c r="V1922" s="31" t="str">
        <f>IF(Tabla1[[#This Row],[Tiempo solución max (hrs)]]&lt;&gt;"",IF(Tabla1[[#This Row],[Tiempo solución max (hrs)]]&gt;=Tabla1[[#This Row],[Tiempo
(Hrs 00/100)]],"cumple","no cumple"),"")</f>
        <v>cumple</v>
      </c>
      <c r="W1922" s="376" t="s">
        <v>2418</v>
      </c>
      <c r="X1922" s="377" t="str">
        <f t="shared" si="179"/>
        <v>SSI</v>
      </c>
      <c r="Y1922" t="str">
        <f>SUBSTITUTE(Tabla1[[#This Row],[Descripción]],CHAR(10),"    I    ")</f>
        <v>Se creó el nuevo procedimiento 'FUNC5_SUJOBLIFEDMASSOLICINFO' en el paquete 'PACK_SISAI3', con la funcionalidad del Query #1</v>
      </c>
      <c r="Z1922" s="142">
        <f>VLOOKUP(Tabla1[[#This Row],[Perfil]],Catalogos!$B$75:$D$100,3,FALSE)*Tabla1[[#This Row],[Tiempo
(Hrs 00/100)]]*1.16</f>
        <v>696</v>
      </c>
    </row>
    <row r="1923" spans="1:26" ht="15" customHeight="1" x14ac:dyDescent="0.3">
      <c r="A1923" s="373" t="s">
        <v>22</v>
      </c>
      <c r="B1923" s="373" t="s">
        <v>23</v>
      </c>
      <c r="C1923" s="373" t="s">
        <v>257</v>
      </c>
      <c r="D1923" s="373"/>
      <c r="E1923" s="373" t="s">
        <v>408</v>
      </c>
      <c r="F1923" s="373" t="s">
        <v>23</v>
      </c>
      <c r="G1923" s="373" t="s">
        <v>3194</v>
      </c>
      <c r="H1923" s="461" t="s">
        <v>2967</v>
      </c>
      <c r="I1923" s="538" t="s">
        <v>2967</v>
      </c>
      <c r="J1923" s="729">
        <v>45184</v>
      </c>
      <c r="K1923" s="772">
        <v>0.54166666666666663</v>
      </c>
      <c r="L1923" s="729">
        <v>45184</v>
      </c>
      <c r="M1923" s="772">
        <v>0.58333333333333337</v>
      </c>
      <c r="N1923" s="373">
        <v>1</v>
      </c>
      <c r="O1923" s="184" t="s">
        <v>17</v>
      </c>
      <c r="P1923" s="375" t="s">
        <v>2916</v>
      </c>
      <c r="Q1923" s="179" t="s">
        <v>1441</v>
      </c>
      <c r="R1923" s="31" t="s">
        <v>95</v>
      </c>
      <c r="S1923" s="31" t="s">
        <v>273</v>
      </c>
      <c r="T1923" s="31" t="s">
        <v>273</v>
      </c>
      <c r="U1923" s="31">
        <f>IFERROR(VLOOKUP(CONCATENATE(Tabla1[[#This Row],[Severidad]]," ",Tabla1[[#This Row],[Complejidad]]),Catalogos!E$120:G$128,3,FALSE),"")</f>
        <v>64</v>
      </c>
      <c r="V1923" s="31" t="str">
        <f>IF(Tabla1[[#This Row],[Tiempo solución max (hrs)]]&lt;&gt;"",IF(Tabla1[[#This Row],[Tiempo solución max (hrs)]]&gt;=Tabla1[[#This Row],[Tiempo
(Hrs 00/100)]],"cumple","no cumple"),"")</f>
        <v>cumple</v>
      </c>
      <c r="W1923" s="376" t="s">
        <v>2418</v>
      </c>
      <c r="X1923" s="377" t="str">
        <f t="shared" si="179"/>
        <v>SSI</v>
      </c>
      <c r="Y1923" t="str">
        <f>SUBSTITUTE(Tabla1[[#This Row],[Descripción]],CHAR(10),"    I    ")</f>
        <v>Se verificó campo por campo del query 1 de la Funcionalidad 5, validando el tipo de dato y longitud exactos</v>
      </c>
      <c r="Z1923" s="142">
        <f>VLOOKUP(Tabla1[[#This Row],[Perfil]],Catalogos!$B$75:$D$100,3,FALSE)*Tabla1[[#This Row],[Tiempo
(Hrs 00/100)]]*1.16</f>
        <v>696</v>
      </c>
    </row>
    <row r="1924" spans="1:26" ht="15" customHeight="1" x14ac:dyDescent="0.3">
      <c r="A1924" s="373" t="s">
        <v>22</v>
      </c>
      <c r="B1924" s="373" t="s">
        <v>23</v>
      </c>
      <c r="C1924" s="373" t="s">
        <v>257</v>
      </c>
      <c r="D1924" s="373"/>
      <c r="E1924" s="373" t="s">
        <v>408</v>
      </c>
      <c r="F1924" s="373" t="s">
        <v>23</v>
      </c>
      <c r="G1924" s="373" t="s">
        <v>3195</v>
      </c>
      <c r="H1924" s="461" t="s">
        <v>2968</v>
      </c>
      <c r="I1924" s="538" t="s">
        <v>2968</v>
      </c>
      <c r="J1924" s="729">
        <v>45184</v>
      </c>
      <c r="K1924" s="772">
        <v>0.625</v>
      </c>
      <c r="L1924" s="729">
        <v>45184</v>
      </c>
      <c r="M1924" s="772">
        <v>0.66666666666666663</v>
      </c>
      <c r="N1924" s="373">
        <v>1</v>
      </c>
      <c r="O1924" s="184" t="s">
        <v>17</v>
      </c>
      <c r="P1924" s="375" t="s">
        <v>2916</v>
      </c>
      <c r="Q1924" s="179" t="s">
        <v>1441</v>
      </c>
      <c r="R1924" s="31" t="s">
        <v>95</v>
      </c>
      <c r="S1924" s="31" t="s">
        <v>273</v>
      </c>
      <c r="T1924" s="31" t="s">
        <v>273</v>
      </c>
      <c r="U1924" s="31">
        <f>IFERROR(VLOOKUP(CONCATENATE(Tabla1[[#This Row],[Severidad]]," ",Tabla1[[#This Row],[Complejidad]]),Catalogos!E$120:G$128,3,FALSE),"")</f>
        <v>64</v>
      </c>
      <c r="V1924" s="31" t="str">
        <f>IF(Tabla1[[#This Row],[Tiempo solución max (hrs)]]&lt;&gt;"",IF(Tabla1[[#This Row],[Tiempo solución max (hrs)]]&gt;=Tabla1[[#This Row],[Tiempo
(Hrs 00/100)]],"cumple","no cumple"),"")</f>
        <v>cumple</v>
      </c>
      <c r="W1924" s="376" t="s">
        <v>2418</v>
      </c>
      <c r="X1924" s="377" t="str">
        <f t="shared" si="179"/>
        <v>SSI</v>
      </c>
      <c r="Y1924" t="str">
        <f>SUBSTITUTE(Tabla1[[#This Row],[Descripción]],CHAR(10),"    I    ")</f>
        <v>Se declararon las variables en bloque anónimo con validación exacta de tamaños de tipos de datos, del query 1 de la Funcionalidad 5</v>
      </c>
      <c r="Z1924" s="142">
        <f>VLOOKUP(Tabla1[[#This Row],[Perfil]],Catalogos!$B$75:$D$100,3,FALSE)*Tabla1[[#This Row],[Tiempo
(Hrs 00/100)]]*1.16</f>
        <v>696</v>
      </c>
    </row>
    <row r="1925" spans="1:26" ht="15" customHeight="1" x14ac:dyDescent="0.3">
      <c r="A1925" s="373" t="s">
        <v>22</v>
      </c>
      <c r="B1925" s="373" t="s">
        <v>66</v>
      </c>
      <c r="C1925" s="373" t="s">
        <v>257</v>
      </c>
      <c r="D1925" s="373"/>
      <c r="E1925" s="373" t="s">
        <v>408</v>
      </c>
      <c r="F1925" s="373" t="s">
        <v>75</v>
      </c>
      <c r="G1925" s="373" t="s">
        <v>3196</v>
      </c>
      <c r="H1925" s="461" t="s">
        <v>2969</v>
      </c>
      <c r="I1925" s="538" t="s">
        <v>2970</v>
      </c>
      <c r="J1925" s="729">
        <v>45184</v>
      </c>
      <c r="K1925" s="772">
        <v>0.66666666666666663</v>
      </c>
      <c r="L1925" s="729">
        <v>45184</v>
      </c>
      <c r="M1925" s="772">
        <v>0.70833333333333337</v>
      </c>
      <c r="N1925" s="373">
        <v>1</v>
      </c>
      <c r="O1925" s="184" t="s">
        <v>17</v>
      </c>
      <c r="P1925" s="375" t="s">
        <v>2916</v>
      </c>
      <c r="Q1925" s="179" t="s">
        <v>1441</v>
      </c>
      <c r="R1925" s="31" t="s">
        <v>95</v>
      </c>
      <c r="S1925" s="31" t="s">
        <v>273</v>
      </c>
      <c r="T1925" s="31" t="s">
        <v>273</v>
      </c>
      <c r="U1925" s="31">
        <f>IFERROR(VLOOKUP(CONCATENATE(Tabla1[[#This Row],[Severidad]]," ",Tabla1[[#This Row],[Complejidad]]),Catalogos!E$120:G$128,3,FALSE),"")</f>
        <v>64</v>
      </c>
      <c r="V1925" s="31" t="str">
        <f>IF(Tabla1[[#This Row],[Tiempo solución max (hrs)]]&lt;&gt;"",IF(Tabla1[[#This Row],[Tiempo solución max (hrs)]]&gt;=Tabla1[[#This Row],[Tiempo
(Hrs 00/100)]],"cumple","no cumple"),"")</f>
        <v>cumple</v>
      </c>
      <c r="W1925" s="376" t="s">
        <v>2418</v>
      </c>
      <c r="X1925" s="377" t="str">
        <f t="shared" si="179"/>
        <v>SSI</v>
      </c>
      <c r="Y1925" t="str">
        <f>SUBSTITUTE(Tabla1[[#This Row],[Descripción]],CHAR(10),"    I    ")</f>
        <v xml:space="preserve">Se validó el paquete-procedimiento de la funcionalidad 5 - Query # 1 con el bloque anónimo correcto y se tuvo un resultado exitoso con la salida del cursor completo </v>
      </c>
      <c r="Z1925" s="142">
        <f>VLOOKUP(Tabla1[[#This Row],[Perfil]],Catalogos!$B$75:$D$100,3,FALSE)*Tabla1[[#This Row],[Tiempo
(Hrs 00/100)]]*1.16</f>
        <v>696</v>
      </c>
    </row>
    <row r="1926" spans="1:26" ht="15" customHeight="1" x14ac:dyDescent="0.3">
      <c r="A1926" s="373" t="s">
        <v>22</v>
      </c>
      <c r="B1926" s="373" t="s">
        <v>21</v>
      </c>
      <c r="C1926" s="373" t="s">
        <v>257</v>
      </c>
      <c r="D1926" s="373"/>
      <c r="E1926" s="373" t="s">
        <v>408</v>
      </c>
      <c r="F1926" s="373" t="s">
        <v>73</v>
      </c>
      <c r="G1926" s="373" t="s">
        <v>3197</v>
      </c>
      <c r="H1926" s="461" t="s">
        <v>2971</v>
      </c>
      <c r="I1926" s="538" t="s">
        <v>2971</v>
      </c>
      <c r="J1926" s="729">
        <v>45184</v>
      </c>
      <c r="K1926" s="772">
        <v>0.70833333333333337</v>
      </c>
      <c r="L1926" s="729">
        <v>45184</v>
      </c>
      <c r="M1926" s="772">
        <v>0.72916666666666663</v>
      </c>
      <c r="N1926" s="373">
        <v>0.5</v>
      </c>
      <c r="O1926" s="184" t="s">
        <v>17</v>
      </c>
      <c r="P1926" s="375" t="s">
        <v>2916</v>
      </c>
      <c r="Q1926" s="179" t="s">
        <v>1441</v>
      </c>
      <c r="R1926" s="31" t="s">
        <v>95</v>
      </c>
      <c r="S1926" s="31" t="s">
        <v>273</v>
      </c>
      <c r="T1926" s="31" t="s">
        <v>273</v>
      </c>
      <c r="U1926" s="31">
        <f>IFERROR(VLOOKUP(CONCATENATE(Tabla1[[#This Row],[Severidad]]," ",Tabla1[[#This Row],[Complejidad]]),Catalogos!E$120:G$128,3,FALSE),"")</f>
        <v>64</v>
      </c>
      <c r="V1926" s="31" t="str">
        <f>IF(Tabla1[[#This Row],[Tiempo solución max (hrs)]]&lt;&gt;"",IF(Tabla1[[#This Row],[Tiempo solución max (hrs)]]&gt;=Tabla1[[#This Row],[Tiempo
(Hrs 00/100)]],"cumple","no cumple"),"")</f>
        <v>cumple</v>
      </c>
      <c r="W1926" s="376" t="s">
        <v>2418</v>
      </c>
      <c r="X1926" s="377" t="str">
        <f t="shared" si="179"/>
        <v>SSI</v>
      </c>
      <c r="Y1926" t="str">
        <f>SUBSTITUTE(Tabla1[[#This Row],[Descripción]],CHAR(10),"    I    ")</f>
        <v>Se actualizó el documento 'Final Ficha estadística 2023' con los comentarios sobre el Query 1 de la Funcionalidad 5</v>
      </c>
      <c r="Z1926" s="142">
        <f>VLOOKUP(Tabla1[[#This Row],[Perfil]],Catalogos!$B$75:$D$100,3,FALSE)*Tabla1[[#This Row],[Tiempo
(Hrs 00/100)]]*1.16</f>
        <v>348</v>
      </c>
    </row>
    <row r="1927" spans="1:26" ht="15" customHeight="1" x14ac:dyDescent="0.3">
      <c r="A1927" s="373" t="s">
        <v>22</v>
      </c>
      <c r="B1927" s="373" t="s">
        <v>305</v>
      </c>
      <c r="C1927" s="373" t="s">
        <v>257</v>
      </c>
      <c r="D1927" s="373"/>
      <c r="E1927" s="373" t="s">
        <v>408</v>
      </c>
      <c r="F1927" s="373" t="s">
        <v>72</v>
      </c>
      <c r="G1927" s="373" t="s">
        <v>3198</v>
      </c>
      <c r="H1927" s="461" t="s">
        <v>2972</v>
      </c>
      <c r="I1927" s="538" t="s">
        <v>2973</v>
      </c>
      <c r="J1927" s="729">
        <v>45184</v>
      </c>
      <c r="K1927" s="772">
        <v>0.72916666666666663</v>
      </c>
      <c r="L1927" s="729">
        <v>45184</v>
      </c>
      <c r="M1927" s="772">
        <v>0.77083333333333337</v>
      </c>
      <c r="N1927" s="373">
        <v>1</v>
      </c>
      <c r="O1927" s="184" t="s">
        <v>17</v>
      </c>
      <c r="P1927" s="375" t="s">
        <v>2916</v>
      </c>
      <c r="Q1927" s="179" t="s">
        <v>1441</v>
      </c>
      <c r="R1927" s="31" t="s">
        <v>95</v>
      </c>
      <c r="S1927" s="31" t="s">
        <v>273</v>
      </c>
      <c r="T1927" s="31" t="s">
        <v>273</v>
      </c>
      <c r="U1927" s="31">
        <f>IFERROR(VLOOKUP(CONCATENATE(Tabla1[[#This Row],[Severidad]]," ",Tabla1[[#This Row],[Complejidad]]),Catalogos!E$120:G$128,3,FALSE),"")</f>
        <v>64</v>
      </c>
      <c r="V1927" s="31" t="str">
        <f>IF(Tabla1[[#This Row],[Tiempo solución max (hrs)]]&lt;&gt;"",IF(Tabla1[[#This Row],[Tiempo solución max (hrs)]]&gt;=Tabla1[[#This Row],[Tiempo
(Hrs 00/100)]],"cumple","no cumple"),"")</f>
        <v>cumple</v>
      </c>
      <c r="W1927" s="376" t="s">
        <v>2418</v>
      </c>
      <c r="X1927" s="377" t="str">
        <f t="shared" si="179"/>
        <v>SSI</v>
      </c>
      <c r="Y1927" t="str">
        <f>SUBSTITUTE(Tabla1[[#This Row],[Descripción]],CHAR(10),"    I    ")</f>
        <v>Se revisó el Query #1 del archivo FFE23 para la Funcionalidad 6 'Sujetos Obligados federales con más recursos de revisión', se hicieron las primeras ejecuciones con los parámetros para entender su funcionamiento</v>
      </c>
      <c r="Z1927" s="142">
        <f>VLOOKUP(Tabla1[[#This Row],[Perfil]],Catalogos!$B$75:$D$100,3,FALSE)*Tabla1[[#This Row],[Tiempo
(Hrs 00/100)]]*1.16</f>
        <v>696</v>
      </c>
    </row>
    <row r="1928" spans="1:26" ht="15" customHeight="1" x14ac:dyDescent="0.3">
      <c r="A1928" s="373" t="s">
        <v>22</v>
      </c>
      <c r="B1928" s="373" t="s">
        <v>23</v>
      </c>
      <c r="C1928" s="373" t="s">
        <v>257</v>
      </c>
      <c r="D1928" s="373"/>
      <c r="E1928" s="373" t="s">
        <v>408</v>
      </c>
      <c r="F1928" s="373" t="s">
        <v>23</v>
      </c>
      <c r="G1928" s="373" t="s">
        <v>3199</v>
      </c>
      <c r="H1928" s="461" t="s">
        <v>2974</v>
      </c>
      <c r="I1928" s="538" t="s">
        <v>2975</v>
      </c>
      <c r="J1928" s="729">
        <v>45187</v>
      </c>
      <c r="K1928" s="772">
        <v>0.375</v>
      </c>
      <c r="L1928" s="729">
        <v>45187</v>
      </c>
      <c r="M1928" s="772">
        <v>0.47916666666666669</v>
      </c>
      <c r="N1928" s="373">
        <v>2.5</v>
      </c>
      <c r="O1928" s="184" t="s">
        <v>17</v>
      </c>
      <c r="P1928" s="375" t="s">
        <v>2916</v>
      </c>
      <c r="Q1928" s="179" t="s">
        <v>1441</v>
      </c>
      <c r="R1928" s="31" t="s">
        <v>95</v>
      </c>
      <c r="S1928" s="31" t="s">
        <v>273</v>
      </c>
      <c r="T1928" s="31" t="s">
        <v>273</v>
      </c>
      <c r="U1928" s="31">
        <f>IFERROR(VLOOKUP(CONCATENATE(Tabla1[[#This Row],[Severidad]]," ",Tabla1[[#This Row],[Complejidad]]),Catalogos!E$120:G$128,3,FALSE),"")</f>
        <v>64</v>
      </c>
      <c r="V1928" s="31" t="str">
        <f>IF(Tabla1[[#This Row],[Tiempo solución max (hrs)]]&lt;&gt;"",IF(Tabla1[[#This Row],[Tiempo solución max (hrs)]]&gt;=Tabla1[[#This Row],[Tiempo
(Hrs 00/100)]],"cumple","no cumple"),"")</f>
        <v>cumple</v>
      </c>
      <c r="W1928" s="376" t="s">
        <v>2418</v>
      </c>
      <c r="X1928" s="377" t="str">
        <f t="shared" si="179"/>
        <v>SSI</v>
      </c>
      <c r="Y1928" t="str">
        <f>SUBSTITUTE(Tabla1[[#This Row],[Descripción]],CHAR(10),"    I    ")</f>
        <v>Se optimizó el Query #1 del archivo FFE23 (Funcionalidad 6) para tener una versión mejorada en tiempo de respuesta y costo</v>
      </c>
      <c r="Z1928" s="142">
        <f>VLOOKUP(Tabla1[[#This Row],[Perfil]],Catalogos!$B$75:$D$100,3,FALSE)*Tabla1[[#This Row],[Tiempo
(Hrs 00/100)]]*1.16</f>
        <v>1739.9999999999998</v>
      </c>
    </row>
    <row r="1929" spans="1:26" ht="15" customHeight="1" x14ac:dyDescent="0.3">
      <c r="A1929" s="373" t="s">
        <v>22</v>
      </c>
      <c r="B1929" s="373" t="s">
        <v>23</v>
      </c>
      <c r="C1929" s="373" t="s">
        <v>257</v>
      </c>
      <c r="D1929" s="373"/>
      <c r="E1929" s="373" t="s">
        <v>408</v>
      </c>
      <c r="F1929" s="373" t="s">
        <v>23</v>
      </c>
      <c r="G1929" s="373" t="s">
        <v>3200</v>
      </c>
      <c r="H1929" s="461" t="s">
        <v>2976</v>
      </c>
      <c r="I1929" s="538" t="s">
        <v>2977</v>
      </c>
      <c r="J1929" s="729">
        <v>45187</v>
      </c>
      <c r="K1929" s="772">
        <v>0.47916666666666669</v>
      </c>
      <c r="L1929" s="729">
        <v>45187</v>
      </c>
      <c r="M1929" s="772">
        <v>0.52083333333333337</v>
      </c>
      <c r="N1929" s="373">
        <v>1</v>
      </c>
      <c r="O1929" s="184" t="s">
        <v>17</v>
      </c>
      <c r="P1929" s="375" t="s">
        <v>2916</v>
      </c>
      <c r="Q1929" s="179" t="s">
        <v>1441</v>
      </c>
      <c r="R1929" s="31" t="s">
        <v>95</v>
      </c>
      <c r="S1929" s="31" t="s">
        <v>273</v>
      </c>
      <c r="T1929" s="31" t="s">
        <v>273</v>
      </c>
      <c r="U1929" s="31">
        <f>IFERROR(VLOOKUP(CONCATENATE(Tabla1[[#This Row],[Severidad]]," ",Tabla1[[#This Row],[Complejidad]]),Catalogos!E$120:G$128,3,FALSE),"")</f>
        <v>64</v>
      </c>
      <c r="V1929" s="31" t="str">
        <f>IF(Tabla1[[#This Row],[Tiempo solución max (hrs)]]&lt;&gt;"",IF(Tabla1[[#This Row],[Tiempo solución max (hrs)]]&gt;=Tabla1[[#This Row],[Tiempo
(Hrs 00/100)]],"cumple","no cumple"),"")</f>
        <v>cumple</v>
      </c>
      <c r="W1929" s="376" t="s">
        <v>2418</v>
      </c>
      <c r="X1929" s="377" t="str">
        <f t="shared" si="179"/>
        <v>SSI</v>
      </c>
      <c r="Y1929" t="str">
        <f>SUBSTITUTE(Tabla1[[#This Row],[Descripción]],CHAR(10),"    I    ")</f>
        <v>Se creó el nuevo procedimiento 'FUNC6_SUJOBLIFEDMASRECREVI' en el paquete 'PACK_SISAI3', con la funcionalidad del Query #1</v>
      </c>
      <c r="Z1929" s="142">
        <f>VLOOKUP(Tabla1[[#This Row],[Perfil]],Catalogos!$B$75:$D$100,3,FALSE)*Tabla1[[#This Row],[Tiempo
(Hrs 00/100)]]*1.16</f>
        <v>696</v>
      </c>
    </row>
    <row r="1930" spans="1:26" ht="15" customHeight="1" x14ac:dyDescent="0.3">
      <c r="A1930" s="373" t="s">
        <v>22</v>
      </c>
      <c r="B1930" s="373" t="s">
        <v>23</v>
      </c>
      <c r="C1930" s="373" t="s">
        <v>257</v>
      </c>
      <c r="D1930" s="373"/>
      <c r="E1930" s="373" t="s">
        <v>408</v>
      </c>
      <c r="F1930" s="373" t="s">
        <v>23</v>
      </c>
      <c r="G1930" s="373" t="s">
        <v>3201</v>
      </c>
      <c r="H1930" s="461" t="s">
        <v>2978</v>
      </c>
      <c r="I1930" s="538" t="s">
        <v>2978</v>
      </c>
      <c r="J1930" s="729">
        <v>45187</v>
      </c>
      <c r="K1930" s="772">
        <v>0.52083333333333337</v>
      </c>
      <c r="L1930" s="729">
        <v>45187</v>
      </c>
      <c r="M1930" s="772">
        <v>0.5625</v>
      </c>
      <c r="N1930" s="373">
        <v>1</v>
      </c>
      <c r="O1930" s="184" t="s">
        <v>17</v>
      </c>
      <c r="P1930" s="375" t="s">
        <v>2916</v>
      </c>
      <c r="Q1930" s="179" t="s">
        <v>1441</v>
      </c>
      <c r="R1930" s="31" t="s">
        <v>95</v>
      </c>
      <c r="S1930" s="31" t="s">
        <v>273</v>
      </c>
      <c r="T1930" s="31" t="s">
        <v>273</v>
      </c>
      <c r="U1930" s="31">
        <f>IFERROR(VLOOKUP(CONCATENATE(Tabla1[[#This Row],[Severidad]]," ",Tabla1[[#This Row],[Complejidad]]),Catalogos!E$120:G$128,3,FALSE),"")</f>
        <v>64</v>
      </c>
      <c r="V1930" s="31" t="str">
        <f>IF(Tabla1[[#This Row],[Tiempo solución max (hrs)]]&lt;&gt;"",IF(Tabla1[[#This Row],[Tiempo solución max (hrs)]]&gt;=Tabla1[[#This Row],[Tiempo
(Hrs 00/100)]],"cumple","no cumple"),"")</f>
        <v>cumple</v>
      </c>
      <c r="W1930" s="376" t="s">
        <v>2418</v>
      </c>
      <c r="X1930" s="377" t="str">
        <f t="shared" si="179"/>
        <v>SSI</v>
      </c>
      <c r="Y1930" t="str">
        <f>SUBSTITUTE(Tabla1[[#This Row],[Descripción]],CHAR(10),"    I    ")</f>
        <v>Se verificó campo por campo del query 1 de la Funcionalidad 6, validando el tipo de dato y longitud exactos</v>
      </c>
      <c r="Z1930" s="142">
        <f>VLOOKUP(Tabla1[[#This Row],[Perfil]],Catalogos!$B$75:$D$100,3,FALSE)*Tabla1[[#This Row],[Tiempo
(Hrs 00/100)]]*1.16</f>
        <v>696</v>
      </c>
    </row>
    <row r="1931" spans="1:26" ht="15" customHeight="1" x14ac:dyDescent="0.3">
      <c r="A1931" s="373" t="s">
        <v>22</v>
      </c>
      <c r="B1931" s="373" t="s">
        <v>23</v>
      </c>
      <c r="C1931" s="373" t="s">
        <v>257</v>
      </c>
      <c r="D1931" s="373"/>
      <c r="E1931" s="373" t="s">
        <v>408</v>
      </c>
      <c r="F1931" s="373" t="s">
        <v>23</v>
      </c>
      <c r="G1931" s="373" t="s">
        <v>3202</v>
      </c>
      <c r="H1931" s="461" t="s">
        <v>2979</v>
      </c>
      <c r="I1931" s="538" t="s">
        <v>2979</v>
      </c>
      <c r="J1931" s="729">
        <v>45187</v>
      </c>
      <c r="K1931" s="772">
        <v>0.60416666666666663</v>
      </c>
      <c r="L1931" s="729">
        <v>45187</v>
      </c>
      <c r="M1931" s="772">
        <v>0.64583333333333337</v>
      </c>
      <c r="N1931" s="373">
        <v>1</v>
      </c>
      <c r="O1931" s="184" t="s">
        <v>17</v>
      </c>
      <c r="P1931" s="375" t="s">
        <v>2916</v>
      </c>
      <c r="Q1931" s="179" t="s">
        <v>1441</v>
      </c>
      <c r="R1931" s="31" t="s">
        <v>95</v>
      </c>
      <c r="S1931" s="31" t="s">
        <v>273</v>
      </c>
      <c r="T1931" s="31" t="s">
        <v>273</v>
      </c>
      <c r="U1931" s="31">
        <f>IFERROR(VLOOKUP(CONCATENATE(Tabla1[[#This Row],[Severidad]]," ",Tabla1[[#This Row],[Complejidad]]),Catalogos!E$120:G$128,3,FALSE),"")</f>
        <v>64</v>
      </c>
      <c r="V1931" s="31" t="str">
        <f>IF(Tabla1[[#This Row],[Tiempo solución max (hrs)]]&lt;&gt;"",IF(Tabla1[[#This Row],[Tiempo solución max (hrs)]]&gt;=Tabla1[[#This Row],[Tiempo
(Hrs 00/100)]],"cumple","no cumple"),"")</f>
        <v>cumple</v>
      </c>
      <c r="W1931" s="376" t="s">
        <v>2418</v>
      </c>
      <c r="X1931" s="377" t="str">
        <f t="shared" si="179"/>
        <v>SSI</v>
      </c>
      <c r="Y1931" t="str">
        <f>SUBSTITUTE(Tabla1[[#This Row],[Descripción]],CHAR(10),"    I    ")</f>
        <v>Se declararon las variables en bloque anónimo con validación exacta de tamaños de tipos de datos, del query 1 de la Funcionalidad 6</v>
      </c>
      <c r="Z1931" s="142">
        <f>VLOOKUP(Tabla1[[#This Row],[Perfil]],Catalogos!$B$75:$D$100,3,FALSE)*Tabla1[[#This Row],[Tiempo
(Hrs 00/100)]]*1.16</f>
        <v>696</v>
      </c>
    </row>
    <row r="1932" spans="1:26" ht="15" customHeight="1" x14ac:dyDescent="0.3">
      <c r="A1932" s="373" t="s">
        <v>22</v>
      </c>
      <c r="B1932" s="373" t="s">
        <v>66</v>
      </c>
      <c r="C1932" s="373" t="s">
        <v>257</v>
      </c>
      <c r="D1932" s="373"/>
      <c r="E1932" s="373" t="s">
        <v>408</v>
      </c>
      <c r="F1932" s="373" t="s">
        <v>75</v>
      </c>
      <c r="G1932" s="373" t="s">
        <v>3203</v>
      </c>
      <c r="H1932" s="461" t="s">
        <v>2980</v>
      </c>
      <c r="I1932" s="538" t="s">
        <v>2981</v>
      </c>
      <c r="J1932" s="729">
        <v>45187</v>
      </c>
      <c r="K1932" s="772">
        <v>0.64583333333333337</v>
      </c>
      <c r="L1932" s="729">
        <v>45187</v>
      </c>
      <c r="M1932" s="772">
        <v>0.6875</v>
      </c>
      <c r="N1932" s="373">
        <v>1</v>
      </c>
      <c r="O1932" s="184" t="s">
        <v>17</v>
      </c>
      <c r="P1932" s="375" t="s">
        <v>2916</v>
      </c>
      <c r="Q1932" s="179" t="s">
        <v>1441</v>
      </c>
      <c r="R1932" s="31" t="s">
        <v>95</v>
      </c>
      <c r="S1932" s="31" t="s">
        <v>273</v>
      </c>
      <c r="T1932" s="31" t="s">
        <v>273</v>
      </c>
      <c r="U1932" s="31">
        <f>IFERROR(VLOOKUP(CONCATENATE(Tabla1[[#This Row],[Severidad]]," ",Tabla1[[#This Row],[Complejidad]]),Catalogos!E$120:G$128,3,FALSE),"")</f>
        <v>64</v>
      </c>
      <c r="V1932" s="31" t="str">
        <f>IF(Tabla1[[#This Row],[Tiempo solución max (hrs)]]&lt;&gt;"",IF(Tabla1[[#This Row],[Tiempo solución max (hrs)]]&gt;=Tabla1[[#This Row],[Tiempo
(Hrs 00/100)]],"cumple","no cumple"),"")</f>
        <v>cumple</v>
      </c>
      <c r="W1932" s="376" t="s">
        <v>2418</v>
      </c>
      <c r="X1932" s="377" t="str">
        <f t="shared" si="179"/>
        <v>SSI</v>
      </c>
      <c r="Y1932" t="str">
        <f>SUBSTITUTE(Tabla1[[#This Row],[Descripción]],CHAR(10),"    I    ")</f>
        <v xml:space="preserve">Se validó el paquete-procedimiento de la funcionalidad 6 - Query # 1 con el bloque anónimo correcto y se tuvo un resultado exitoso con la salida del cursor completo </v>
      </c>
      <c r="Z1932" s="142">
        <f>VLOOKUP(Tabla1[[#This Row],[Perfil]],Catalogos!$B$75:$D$100,3,FALSE)*Tabla1[[#This Row],[Tiempo
(Hrs 00/100)]]*1.16</f>
        <v>696</v>
      </c>
    </row>
    <row r="1933" spans="1:26" ht="15" customHeight="1" x14ac:dyDescent="0.3">
      <c r="A1933" s="373" t="s">
        <v>22</v>
      </c>
      <c r="B1933" s="373" t="s">
        <v>21</v>
      </c>
      <c r="C1933" s="373" t="s">
        <v>257</v>
      </c>
      <c r="D1933" s="373"/>
      <c r="E1933" s="373" t="s">
        <v>408</v>
      </c>
      <c r="F1933" s="373" t="s">
        <v>73</v>
      </c>
      <c r="G1933" s="373" t="s">
        <v>3204</v>
      </c>
      <c r="H1933" s="461" t="s">
        <v>2982</v>
      </c>
      <c r="I1933" s="538" t="s">
        <v>2983</v>
      </c>
      <c r="J1933" s="729">
        <v>45187</v>
      </c>
      <c r="K1933" s="772">
        <v>0.6875</v>
      </c>
      <c r="L1933" s="729">
        <v>45187</v>
      </c>
      <c r="M1933" s="772">
        <v>0.70833333333333337</v>
      </c>
      <c r="N1933" s="373">
        <v>0.5</v>
      </c>
      <c r="O1933" s="184" t="s">
        <v>17</v>
      </c>
      <c r="P1933" s="375" t="s">
        <v>2916</v>
      </c>
      <c r="Q1933" s="179" t="s">
        <v>1441</v>
      </c>
      <c r="R1933" s="31" t="s">
        <v>95</v>
      </c>
      <c r="S1933" s="31" t="s">
        <v>273</v>
      </c>
      <c r="T1933" s="31" t="s">
        <v>273</v>
      </c>
      <c r="U1933" s="31">
        <f>IFERROR(VLOOKUP(CONCATENATE(Tabla1[[#This Row],[Severidad]]," ",Tabla1[[#This Row],[Complejidad]]),Catalogos!E$120:G$128,3,FALSE),"")</f>
        <v>64</v>
      </c>
      <c r="V1933" s="31" t="str">
        <f>IF(Tabla1[[#This Row],[Tiempo solución max (hrs)]]&lt;&gt;"",IF(Tabla1[[#This Row],[Tiempo solución max (hrs)]]&gt;=Tabla1[[#This Row],[Tiempo
(Hrs 00/100)]],"cumple","no cumple"),"")</f>
        <v>cumple</v>
      </c>
      <c r="W1933" s="376" t="s">
        <v>2418</v>
      </c>
      <c r="X1933" s="377" t="str">
        <f t="shared" si="179"/>
        <v>SSI</v>
      </c>
      <c r="Y1933" t="str">
        <f>SUBSTITUTE(Tabla1[[#This Row],[Descripción]],CHAR(10),"    I    ")</f>
        <v>Se actualizó el documento 'Final Ficha estadística 2023' con los comentarios sobre el Query 1 de la Funcionalidad 6</v>
      </c>
      <c r="Z1933" s="142">
        <f>VLOOKUP(Tabla1[[#This Row],[Perfil]],Catalogos!$B$75:$D$100,3,FALSE)*Tabla1[[#This Row],[Tiempo
(Hrs 00/100)]]*1.16</f>
        <v>348</v>
      </c>
    </row>
    <row r="1934" spans="1:26" ht="15" customHeight="1" x14ac:dyDescent="0.3">
      <c r="A1934" s="373" t="s">
        <v>22</v>
      </c>
      <c r="B1934" s="373" t="s">
        <v>305</v>
      </c>
      <c r="C1934" s="373" t="s">
        <v>257</v>
      </c>
      <c r="D1934" s="373"/>
      <c r="E1934" s="373" t="s">
        <v>408</v>
      </c>
      <c r="F1934" s="373" t="s">
        <v>72</v>
      </c>
      <c r="G1934" s="373" t="s">
        <v>3205</v>
      </c>
      <c r="H1934" s="461" t="s">
        <v>2984</v>
      </c>
      <c r="I1934" s="538" t="s">
        <v>2985</v>
      </c>
      <c r="J1934" s="729">
        <v>45187</v>
      </c>
      <c r="K1934" s="772">
        <v>0.70833333333333337</v>
      </c>
      <c r="L1934" s="729">
        <v>45187</v>
      </c>
      <c r="M1934" s="772">
        <v>0.75</v>
      </c>
      <c r="N1934" s="373">
        <v>1</v>
      </c>
      <c r="O1934" s="184" t="s">
        <v>17</v>
      </c>
      <c r="P1934" s="375" t="s">
        <v>2916</v>
      </c>
      <c r="Q1934" s="179" t="s">
        <v>1441</v>
      </c>
      <c r="R1934" s="31" t="s">
        <v>95</v>
      </c>
      <c r="S1934" s="31" t="s">
        <v>273</v>
      </c>
      <c r="T1934" s="31" t="s">
        <v>273</v>
      </c>
      <c r="U1934" s="31">
        <f>IFERROR(VLOOKUP(CONCATENATE(Tabla1[[#This Row],[Severidad]]," ",Tabla1[[#This Row],[Complejidad]]),Catalogos!E$120:G$128,3,FALSE),"")</f>
        <v>64</v>
      </c>
      <c r="V1934" s="31" t="str">
        <f>IF(Tabla1[[#This Row],[Tiempo solución max (hrs)]]&lt;&gt;"",IF(Tabla1[[#This Row],[Tiempo solución max (hrs)]]&gt;=Tabla1[[#This Row],[Tiempo
(Hrs 00/100)]],"cumple","no cumple"),"")</f>
        <v>cumple</v>
      </c>
      <c r="W1934" s="376" t="s">
        <v>2418</v>
      </c>
      <c r="X1934" s="377" t="str">
        <f t="shared" si="179"/>
        <v>SSI</v>
      </c>
      <c r="Y1934" t="str">
        <f>SUBSTITUTE(Tabla1[[#This Row],[Descripción]],CHAR(10),"    I    ")</f>
        <v>Se revisó el Query #1 del archivo FFE23 para la Funcionalidad 7 'Total de consultas realizadas a los buscadores temáticos', se hicieron las primeras ejecuciones con los parámetros para entender su funcionamiento</v>
      </c>
      <c r="Z1934" s="142">
        <f>VLOOKUP(Tabla1[[#This Row],[Perfil]],Catalogos!$B$75:$D$100,3,FALSE)*Tabla1[[#This Row],[Tiempo
(Hrs 00/100)]]*1.16</f>
        <v>696</v>
      </c>
    </row>
    <row r="1935" spans="1:26" ht="15" customHeight="1" x14ac:dyDescent="0.3">
      <c r="A1935" s="373" t="s">
        <v>22</v>
      </c>
      <c r="B1935" s="373" t="s">
        <v>23</v>
      </c>
      <c r="C1935" s="373" t="s">
        <v>257</v>
      </c>
      <c r="D1935" s="373"/>
      <c r="E1935" s="373" t="s">
        <v>408</v>
      </c>
      <c r="F1935" s="373" t="s">
        <v>23</v>
      </c>
      <c r="G1935" s="373" t="s">
        <v>3206</v>
      </c>
      <c r="H1935" s="461" t="s">
        <v>2986</v>
      </c>
      <c r="I1935" s="538" t="s">
        <v>2987</v>
      </c>
      <c r="J1935" s="729">
        <v>45187</v>
      </c>
      <c r="K1935" s="772">
        <v>0.75</v>
      </c>
      <c r="L1935" s="729">
        <v>45187</v>
      </c>
      <c r="M1935" s="772">
        <v>0.8125</v>
      </c>
      <c r="N1935" s="373">
        <v>2.5</v>
      </c>
      <c r="O1935" s="184" t="s">
        <v>17</v>
      </c>
      <c r="P1935" s="375" t="s">
        <v>2916</v>
      </c>
      <c r="Q1935" s="179" t="s">
        <v>1441</v>
      </c>
      <c r="R1935" s="31" t="s">
        <v>95</v>
      </c>
      <c r="S1935" s="31" t="s">
        <v>273</v>
      </c>
      <c r="T1935" s="31" t="s">
        <v>273</v>
      </c>
      <c r="U1935" s="31">
        <f>IFERROR(VLOOKUP(CONCATENATE(Tabla1[[#This Row],[Severidad]]," ",Tabla1[[#This Row],[Complejidad]]),Catalogos!E$120:G$128,3,FALSE),"")</f>
        <v>64</v>
      </c>
      <c r="V1935" s="31" t="str">
        <f>IF(Tabla1[[#This Row],[Tiempo solución max (hrs)]]&lt;&gt;"",IF(Tabla1[[#This Row],[Tiempo solución max (hrs)]]&gt;=Tabla1[[#This Row],[Tiempo
(Hrs 00/100)]],"cumple","no cumple"),"")</f>
        <v>cumple</v>
      </c>
      <c r="W1935" s="376" t="s">
        <v>2418</v>
      </c>
      <c r="X1935" s="377" t="str">
        <f t="shared" si="179"/>
        <v>SSI</v>
      </c>
      <c r="Y1935" t="str">
        <f>SUBSTITUTE(Tabla1[[#This Row],[Descripción]],CHAR(10),"    I    ")</f>
        <v>Se optimizó el Query #1 del archivo FFE23 (Funcionalidad 7) para tener una versión mejorada en tiempo de respuesta y costo</v>
      </c>
      <c r="Z1935" s="142">
        <f>VLOOKUP(Tabla1[[#This Row],[Perfil]],Catalogos!$B$75:$D$100,3,FALSE)*Tabla1[[#This Row],[Tiempo
(Hrs 00/100)]]*1.16</f>
        <v>1739.9999999999998</v>
      </c>
    </row>
    <row r="1936" spans="1:26" ht="15" customHeight="1" x14ac:dyDescent="0.3">
      <c r="A1936" s="373" t="s">
        <v>22</v>
      </c>
      <c r="B1936" s="373" t="s">
        <v>23</v>
      </c>
      <c r="C1936" s="373" t="s">
        <v>257</v>
      </c>
      <c r="D1936" s="373"/>
      <c r="E1936" s="373" t="s">
        <v>408</v>
      </c>
      <c r="F1936" s="373" t="s">
        <v>23</v>
      </c>
      <c r="G1936" s="373" t="s">
        <v>3207</v>
      </c>
      <c r="H1936" s="461" t="s">
        <v>2988</v>
      </c>
      <c r="I1936" s="538" t="s">
        <v>2989</v>
      </c>
      <c r="J1936" s="729">
        <v>45188</v>
      </c>
      <c r="K1936" s="772">
        <v>0.375</v>
      </c>
      <c r="L1936" s="729">
        <v>45188</v>
      </c>
      <c r="M1936" s="772">
        <v>0.41666666666666669</v>
      </c>
      <c r="N1936" s="373">
        <v>1</v>
      </c>
      <c r="O1936" s="184" t="s">
        <v>17</v>
      </c>
      <c r="P1936" s="375" t="s">
        <v>2916</v>
      </c>
      <c r="Q1936" s="179" t="s">
        <v>1441</v>
      </c>
      <c r="R1936" s="31" t="s">
        <v>95</v>
      </c>
      <c r="S1936" s="31" t="s">
        <v>273</v>
      </c>
      <c r="T1936" s="31" t="s">
        <v>273</v>
      </c>
      <c r="U1936" s="31">
        <f>IFERROR(VLOOKUP(CONCATENATE(Tabla1[[#This Row],[Severidad]]," ",Tabla1[[#This Row],[Complejidad]]),Catalogos!E$120:G$128,3,FALSE),"")</f>
        <v>64</v>
      </c>
      <c r="V1936" s="31" t="str">
        <f>IF(Tabla1[[#This Row],[Tiempo solución max (hrs)]]&lt;&gt;"",IF(Tabla1[[#This Row],[Tiempo solución max (hrs)]]&gt;=Tabla1[[#This Row],[Tiempo
(Hrs 00/100)]],"cumple","no cumple"),"")</f>
        <v>cumple</v>
      </c>
      <c r="W1936" s="376" t="s">
        <v>2418</v>
      </c>
      <c r="X1936" s="377" t="str">
        <f t="shared" si="179"/>
        <v>SSI</v>
      </c>
      <c r="Y1936" t="str">
        <f>SUBSTITUTE(Tabla1[[#This Row],[Descripción]],CHAR(10),"    I    ")</f>
        <v>Se creó el nuevo procedimiento 'FUNC7_TOTCONSREABUSCATEMAQ1' en el paquete 'PACK_SISAI3', con la funcionalidad del Query #1</v>
      </c>
      <c r="Z1936" s="142">
        <f>VLOOKUP(Tabla1[[#This Row],[Perfil]],Catalogos!$B$75:$D$100,3,FALSE)*Tabla1[[#This Row],[Tiempo
(Hrs 00/100)]]*1.16</f>
        <v>696</v>
      </c>
    </row>
    <row r="1937" spans="1:26" ht="15" customHeight="1" x14ac:dyDescent="0.3">
      <c r="A1937" s="373" t="s">
        <v>22</v>
      </c>
      <c r="B1937" s="373" t="s">
        <v>23</v>
      </c>
      <c r="C1937" s="373" t="s">
        <v>257</v>
      </c>
      <c r="D1937" s="373"/>
      <c r="E1937" s="373" t="s">
        <v>408</v>
      </c>
      <c r="F1937" s="373" t="s">
        <v>23</v>
      </c>
      <c r="G1937" s="373" t="s">
        <v>3208</v>
      </c>
      <c r="H1937" s="461" t="s">
        <v>2990</v>
      </c>
      <c r="I1937" s="538" t="s">
        <v>2990</v>
      </c>
      <c r="J1937" s="729">
        <v>45188</v>
      </c>
      <c r="K1937" s="772">
        <v>0.41666666666666669</v>
      </c>
      <c r="L1937" s="729">
        <v>45188</v>
      </c>
      <c r="M1937" s="772">
        <v>0.45833333333333331</v>
      </c>
      <c r="N1937" s="373">
        <v>1</v>
      </c>
      <c r="O1937" s="184" t="s">
        <v>17</v>
      </c>
      <c r="P1937" s="375" t="s">
        <v>2916</v>
      </c>
      <c r="Q1937" s="179" t="s">
        <v>1441</v>
      </c>
      <c r="R1937" s="31" t="s">
        <v>95</v>
      </c>
      <c r="S1937" s="31" t="s">
        <v>273</v>
      </c>
      <c r="T1937" s="31" t="s">
        <v>273</v>
      </c>
      <c r="U1937" s="31">
        <f>IFERROR(VLOOKUP(CONCATENATE(Tabla1[[#This Row],[Severidad]]," ",Tabla1[[#This Row],[Complejidad]]),Catalogos!E$120:G$128,3,FALSE),"")</f>
        <v>64</v>
      </c>
      <c r="V1937" s="31" t="str">
        <f>IF(Tabla1[[#This Row],[Tiempo solución max (hrs)]]&lt;&gt;"",IF(Tabla1[[#This Row],[Tiempo solución max (hrs)]]&gt;=Tabla1[[#This Row],[Tiempo
(Hrs 00/100)]],"cumple","no cumple"),"")</f>
        <v>cumple</v>
      </c>
      <c r="W1937" s="376" t="s">
        <v>2418</v>
      </c>
      <c r="X1937" s="377" t="str">
        <f t="shared" si="179"/>
        <v>SSI</v>
      </c>
      <c r="Y1937" t="str">
        <f>SUBSTITUTE(Tabla1[[#This Row],[Descripción]],CHAR(10),"    I    ")</f>
        <v>Se verificó campo por campo del query 1 de la Funcionalidad 7, validando el tipo de dato y longitud exactos</v>
      </c>
      <c r="Z1937" s="142">
        <f>VLOOKUP(Tabla1[[#This Row],[Perfil]],Catalogos!$B$75:$D$100,3,FALSE)*Tabla1[[#This Row],[Tiempo
(Hrs 00/100)]]*1.16</f>
        <v>696</v>
      </c>
    </row>
    <row r="1938" spans="1:26" ht="15" customHeight="1" x14ac:dyDescent="0.3">
      <c r="A1938" s="373" t="s">
        <v>22</v>
      </c>
      <c r="B1938" s="373" t="s">
        <v>23</v>
      </c>
      <c r="C1938" s="373" t="s">
        <v>257</v>
      </c>
      <c r="D1938" s="373"/>
      <c r="E1938" s="373" t="s">
        <v>408</v>
      </c>
      <c r="F1938" s="373" t="s">
        <v>23</v>
      </c>
      <c r="G1938" s="373" t="s">
        <v>3209</v>
      </c>
      <c r="H1938" s="461" t="s">
        <v>2991</v>
      </c>
      <c r="I1938" s="538" t="s">
        <v>2991</v>
      </c>
      <c r="J1938" s="729">
        <v>45188</v>
      </c>
      <c r="K1938" s="772">
        <v>0.45833333333333331</v>
      </c>
      <c r="L1938" s="729">
        <v>45188</v>
      </c>
      <c r="M1938" s="772">
        <v>0.5</v>
      </c>
      <c r="N1938" s="373">
        <v>1</v>
      </c>
      <c r="O1938" s="184" t="s">
        <v>17</v>
      </c>
      <c r="P1938" s="375" t="s">
        <v>2916</v>
      </c>
      <c r="Q1938" s="179" t="s">
        <v>1441</v>
      </c>
      <c r="R1938" s="31" t="s">
        <v>95</v>
      </c>
      <c r="S1938" s="31" t="s">
        <v>273</v>
      </c>
      <c r="T1938" s="31" t="s">
        <v>273</v>
      </c>
      <c r="U1938" s="31">
        <f>IFERROR(VLOOKUP(CONCATENATE(Tabla1[[#This Row],[Severidad]]," ",Tabla1[[#This Row],[Complejidad]]),Catalogos!E$120:G$128,3,FALSE),"")</f>
        <v>64</v>
      </c>
      <c r="V1938" s="31" t="str">
        <f>IF(Tabla1[[#This Row],[Tiempo solución max (hrs)]]&lt;&gt;"",IF(Tabla1[[#This Row],[Tiempo solución max (hrs)]]&gt;=Tabla1[[#This Row],[Tiempo
(Hrs 00/100)]],"cumple","no cumple"),"")</f>
        <v>cumple</v>
      </c>
      <c r="W1938" s="376" t="s">
        <v>2418</v>
      </c>
      <c r="X1938" s="377" t="str">
        <f t="shared" si="179"/>
        <v>SSI</v>
      </c>
      <c r="Y1938" t="str">
        <f>SUBSTITUTE(Tabla1[[#This Row],[Descripción]],CHAR(10),"    I    ")</f>
        <v>Se declararon las variables en bloque anónimo con validación exacta de tamaños de tipos de datos, del query 1 de la Funcionalidad 7</v>
      </c>
      <c r="Z1938" s="142">
        <f>VLOOKUP(Tabla1[[#This Row],[Perfil]],Catalogos!$B$75:$D$100,3,FALSE)*Tabla1[[#This Row],[Tiempo
(Hrs 00/100)]]*1.16</f>
        <v>696</v>
      </c>
    </row>
    <row r="1939" spans="1:26" ht="15" customHeight="1" x14ac:dyDescent="0.3">
      <c r="A1939" s="373" t="s">
        <v>22</v>
      </c>
      <c r="B1939" s="373" t="s">
        <v>66</v>
      </c>
      <c r="C1939" s="373" t="s">
        <v>257</v>
      </c>
      <c r="D1939" s="373"/>
      <c r="E1939" s="373" t="s">
        <v>408</v>
      </c>
      <c r="F1939" s="373" t="s">
        <v>75</v>
      </c>
      <c r="G1939" s="373" t="s">
        <v>3210</v>
      </c>
      <c r="H1939" s="461" t="s">
        <v>2992</v>
      </c>
      <c r="I1939" s="538" t="s">
        <v>2993</v>
      </c>
      <c r="J1939" s="729">
        <v>45188</v>
      </c>
      <c r="K1939" s="772">
        <v>0.5</v>
      </c>
      <c r="L1939" s="729">
        <v>45188</v>
      </c>
      <c r="M1939" s="772">
        <v>0.54166666666666663</v>
      </c>
      <c r="N1939" s="373">
        <v>1</v>
      </c>
      <c r="O1939" s="184" t="s">
        <v>17</v>
      </c>
      <c r="P1939" s="375" t="s">
        <v>2916</v>
      </c>
      <c r="Q1939" s="179" t="s">
        <v>1441</v>
      </c>
      <c r="R1939" s="31" t="s">
        <v>95</v>
      </c>
      <c r="S1939" s="31" t="s">
        <v>273</v>
      </c>
      <c r="T1939" s="31" t="s">
        <v>273</v>
      </c>
      <c r="U1939" s="31">
        <f>IFERROR(VLOOKUP(CONCATENATE(Tabla1[[#This Row],[Severidad]]," ",Tabla1[[#This Row],[Complejidad]]),Catalogos!E$120:G$128,3,FALSE),"")</f>
        <v>64</v>
      </c>
      <c r="V1939" s="31" t="str">
        <f>IF(Tabla1[[#This Row],[Tiempo solución max (hrs)]]&lt;&gt;"",IF(Tabla1[[#This Row],[Tiempo solución max (hrs)]]&gt;=Tabla1[[#This Row],[Tiempo
(Hrs 00/100)]],"cumple","no cumple"),"")</f>
        <v>cumple</v>
      </c>
      <c r="W1939" s="376" t="s">
        <v>2418</v>
      </c>
      <c r="X1939" s="377" t="str">
        <f t="shared" si="179"/>
        <v>SSI</v>
      </c>
      <c r="Y1939" t="str">
        <f>SUBSTITUTE(Tabla1[[#This Row],[Descripción]],CHAR(10),"    I    ")</f>
        <v xml:space="preserve">Se validó el paquete-procedimiento de la funcionalidad 7 - Query # 1 con el bloque anónimo correcto y se tuvo un resultado exitoso con la salida del cursor completo </v>
      </c>
      <c r="Z1939" s="142">
        <f>VLOOKUP(Tabla1[[#This Row],[Perfil]],Catalogos!$B$75:$D$100,3,FALSE)*Tabla1[[#This Row],[Tiempo
(Hrs 00/100)]]*1.16</f>
        <v>696</v>
      </c>
    </row>
    <row r="1940" spans="1:26" ht="15" customHeight="1" x14ac:dyDescent="0.3">
      <c r="A1940" s="373" t="s">
        <v>22</v>
      </c>
      <c r="B1940" s="373" t="s">
        <v>21</v>
      </c>
      <c r="C1940" s="373" t="s">
        <v>257</v>
      </c>
      <c r="D1940" s="373"/>
      <c r="E1940" s="373" t="s">
        <v>408</v>
      </c>
      <c r="F1940" s="373" t="s">
        <v>73</v>
      </c>
      <c r="G1940" s="373" t="s">
        <v>3211</v>
      </c>
      <c r="H1940" s="461" t="s">
        <v>2994</v>
      </c>
      <c r="I1940" s="538" t="s">
        <v>2994</v>
      </c>
      <c r="J1940" s="729">
        <v>45188</v>
      </c>
      <c r="K1940" s="772">
        <v>0.54166666666666663</v>
      </c>
      <c r="L1940" s="729">
        <v>45188</v>
      </c>
      <c r="M1940" s="772">
        <v>0.5625</v>
      </c>
      <c r="N1940" s="373">
        <v>0.5</v>
      </c>
      <c r="O1940" s="184" t="s">
        <v>17</v>
      </c>
      <c r="P1940" s="375" t="s">
        <v>2916</v>
      </c>
      <c r="Q1940" s="179" t="s">
        <v>1441</v>
      </c>
      <c r="R1940" s="31" t="s">
        <v>95</v>
      </c>
      <c r="S1940" s="31" t="s">
        <v>273</v>
      </c>
      <c r="T1940" s="31" t="s">
        <v>273</v>
      </c>
      <c r="U1940" s="31">
        <f>IFERROR(VLOOKUP(CONCATENATE(Tabla1[[#This Row],[Severidad]]," ",Tabla1[[#This Row],[Complejidad]]),Catalogos!E$120:G$128,3,FALSE),"")</f>
        <v>64</v>
      </c>
      <c r="V1940" s="31" t="str">
        <f>IF(Tabla1[[#This Row],[Tiempo solución max (hrs)]]&lt;&gt;"",IF(Tabla1[[#This Row],[Tiempo solución max (hrs)]]&gt;=Tabla1[[#This Row],[Tiempo
(Hrs 00/100)]],"cumple","no cumple"),"")</f>
        <v>cumple</v>
      </c>
      <c r="W1940" s="376" t="s">
        <v>2418</v>
      </c>
      <c r="X1940" s="377" t="str">
        <f t="shared" si="179"/>
        <v>SSI</v>
      </c>
      <c r="Y1940" t="str">
        <f>SUBSTITUTE(Tabla1[[#This Row],[Descripción]],CHAR(10),"    I    ")</f>
        <v>Se actualizó el documento 'Final Ficha estadística 2023' con los comentarios sobre el Query 1 de la Funcionalidad 7</v>
      </c>
      <c r="Z1940" s="142">
        <f>VLOOKUP(Tabla1[[#This Row],[Perfil]],Catalogos!$B$75:$D$100,3,FALSE)*Tabla1[[#This Row],[Tiempo
(Hrs 00/100)]]*1.16</f>
        <v>348</v>
      </c>
    </row>
    <row r="1941" spans="1:26" ht="15" customHeight="1" x14ac:dyDescent="0.3">
      <c r="A1941" s="373" t="s">
        <v>22</v>
      </c>
      <c r="B1941" s="373" t="s">
        <v>305</v>
      </c>
      <c r="C1941" s="373" t="s">
        <v>257</v>
      </c>
      <c r="D1941" s="373"/>
      <c r="E1941" s="373" t="s">
        <v>408</v>
      </c>
      <c r="F1941" s="373" t="s">
        <v>72</v>
      </c>
      <c r="G1941" s="373" t="s">
        <v>3212</v>
      </c>
      <c r="H1941" s="461" t="s">
        <v>2995</v>
      </c>
      <c r="I1941" s="538" t="s">
        <v>2996</v>
      </c>
      <c r="J1941" s="729">
        <v>45188</v>
      </c>
      <c r="K1941" s="772">
        <v>0.60416666666666663</v>
      </c>
      <c r="L1941" s="729">
        <v>45188</v>
      </c>
      <c r="M1941" s="772">
        <v>0.64583333333333337</v>
      </c>
      <c r="N1941" s="373">
        <v>1</v>
      </c>
      <c r="O1941" s="184" t="s">
        <v>17</v>
      </c>
      <c r="P1941" s="375" t="s">
        <v>2916</v>
      </c>
      <c r="Q1941" s="179" t="s">
        <v>1441</v>
      </c>
      <c r="R1941" s="31" t="s">
        <v>95</v>
      </c>
      <c r="S1941" s="31" t="s">
        <v>273</v>
      </c>
      <c r="T1941" s="31" t="s">
        <v>273</v>
      </c>
      <c r="U1941" s="31">
        <f>IFERROR(VLOOKUP(CONCATENATE(Tabla1[[#This Row],[Severidad]]," ",Tabla1[[#This Row],[Complejidad]]),Catalogos!E$120:G$128,3,FALSE),"")</f>
        <v>64</v>
      </c>
      <c r="V1941" s="31" t="str">
        <f>IF(Tabla1[[#This Row],[Tiempo solución max (hrs)]]&lt;&gt;"",IF(Tabla1[[#This Row],[Tiempo solución max (hrs)]]&gt;=Tabla1[[#This Row],[Tiempo
(Hrs 00/100)]],"cumple","no cumple"),"")</f>
        <v>cumple</v>
      </c>
      <c r="W1941" s="376" t="s">
        <v>2418</v>
      </c>
      <c r="X1941" s="377" t="str">
        <f t="shared" si="179"/>
        <v>SSI</v>
      </c>
      <c r="Y1941" t="str">
        <f>SUBSTITUTE(Tabla1[[#This Row],[Descripción]],CHAR(10),"    I    ")</f>
        <v>Se revisó el Query #2 del archivo FFE23 para la Funcionalidad 7 'Total de consultas realizadas a los buscadores temáticos', se hicieron las primeras ejecuciones con los parámetros para entender su funcionamiento</v>
      </c>
      <c r="Z1941" s="142">
        <f>VLOOKUP(Tabla1[[#This Row],[Perfil]],Catalogos!$B$75:$D$100,3,FALSE)*Tabla1[[#This Row],[Tiempo
(Hrs 00/100)]]*1.16</f>
        <v>696</v>
      </c>
    </row>
    <row r="1942" spans="1:26" ht="15" customHeight="1" x14ac:dyDescent="0.3">
      <c r="A1942" s="373" t="s">
        <v>22</v>
      </c>
      <c r="B1942" s="373" t="s">
        <v>23</v>
      </c>
      <c r="C1942" s="373" t="s">
        <v>257</v>
      </c>
      <c r="D1942" s="373"/>
      <c r="E1942" s="373" t="s">
        <v>408</v>
      </c>
      <c r="F1942" s="373" t="s">
        <v>23</v>
      </c>
      <c r="G1942" s="373" t="s">
        <v>3213</v>
      </c>
      <c r="H1942" s="461" t="s">
        <v>2997</v>
      </c>
      <c r="I1942" s="538" t="s">
        <v>2998</v>
      </c>
      <c r="J1942" s="729">
        <v>45188</v>
      </c>
      <c r="K1942" s="772">
        <v>0.64583333333333337</v>
      </c>
      <c r="L1942" s="729">
        <v>45188</v>
      </c>
      <c r="M1942" s="772">
        <v>0.75</v>
      </c>
      <c r="N1942" s="373">
        <v>2.5</v>
      </c>
      <c r="O1942" s="184" t="s">
        <v>17</v>
      </c>
      <c r="P1942" s="375" t="s">
        <v>2916</v>
      </c>
      <c r="Q1942" s="179" t="s">
        <v>1441</v>
      </c>
      <c r="R1942" s="31" t="s">
        <v>95</v>
      </c>
      <c r="S1942" s="31" t="s">
        <v>273</v>
      </c>
      <c r="T1942" s="31" t="s">
        <v>273</v>
      </c>
      <c r="U1942" s="31">
        <f>IFERROR(VLOOKUP(CONCATENATE(Tabla1[[#This Row],[Severidad]]," ",Tabla1[[#This Row],[Complejidad]]),Catalogos!E$120:G$128,3,FALSE),"")</f>
        <v>64</v>
      </c>
      <c r="V1942" s="31" t="str">
        <f>IF(Tabla1[[#This Row],[Tiempo solución max (hrs)]]&lt;&gt;"",IF(Tabla1[[#This Row],[Tiempo solución max (hrs)]]&gt;=Tabla1[[#This Row],[Tiempo
(Hrs 00/100)]],"cumple","no cumple"),"")</f>
        <v>cumple</v>
      </c>
      <c r="W1942" s="376" t="s">
        <v>2418</v>
      </c>
      <c r="X1942" s="377" t="str">
        <f t="shared" si="179"/>
        <v>SSI</v>
      </c>
      <c r="Y1942" t="str">
        <f>SUBSTITUTE(Tabla1[[#This Row],[Descripción]],CHAR(10),"    I    ")</f>
        <v>Se optimizó el Query #2 del archivo FFE23 (Funcionalidad 7) para tener una versión mejorada en tiempo de respuesta y costo</v>
      </c>
      <c r="Z1942" s="142">
        <f>VLOOKUP(Tabla1[[#This Row],[Perfil]],Catalogos!$B$75:$D$100,3,FALSE)*Tabla1[[#This Row],[Tiempo
(Hrs 00/100)]]*1.16</f>
        <v>1739.9999999999998</v>
      </c>
    </row>
    <row r="1943" spans="1:26" ht="15" customHeight="1" x14ac:dyDescent="0.3">
      <c r="A1943" s="373" t="s">
        <v>22</v>
      </c>
      <c r="B1943" s="373" t="s">
        <v>23</v>
      </c>
      <c r="C1943" s="373" t="s">
        <v>257</v>
      </c>
      <c r="D1943" s="373"/>
      <c r="E1943" s="373" t="s">
        <v>408</v>
      </c>
      <c r="F1943" s="373" t="s">
        <v>23</v>
      </c>
      <c r="G1943" s="373" t="s">
        <v>3214</v>
      </c>
      <c r="H1943" s="461" t="s">
        <v>2999</v>
      </c>
      <c r="I1943" s="538" t="s">
        <v>3000</v>
      </c>
      <c r="J1943" s="729">
        <v>45188</v>
      </c>
      <c r="K1943" s="772">
        <v>0.75</v>
      </c>
      <c r="L1943" s="729">
        <v>45188</v>
      </c>
      <c r="M1943" s="772">
        <v>0.79166666666666663</v>
      </c>
      <c r="N1943" s="373">
        <v>1</v>
      </c>
      <c r="O1943" s="184" t="s">
        <v>17</v>
      </c>
      <c r="P1943" s="375" t="s">
        <v>2916</v>
      </c>
      <c r="Q1943" s="179" t="s">
        <v>1441</v>
      </c>
      <c r="R1943" s="31" t="s">
        <v>95</v>
      </c>
      <c r="S1943" s="31" t="s">
        <v>273</v>
      </c>
      <c r="T1943" s="31" t="s">
        <v>273</v>
      </c>
      <c r="U1943" s="31">
        <f>IFERROR(VLOOKUP(CONCATENATE(Tabla1[[#This Row],[Severidad]]," ",Tabla1[[#This Row],[Complejidad]]),Catalogos!E$120:G$128,3,FALSE),"")</f>
        <v>64</v>
      </c>
      <c r="V1943" s="31" t="str">
        <f>IF(Tabla1[[#This Row],[Tiempo solución max (hrs)]]&lt;&gt;"",IF(Tabla1[[#This Row],[Tiempo solución max (hrs)]]&gt;=Tabla1[[#This Row],[Tiempo
(Hrs 00/100)]],"cumple","no cumple"),"")</f>
        <v>cumple</v>
      </c>
      <c r="W1943" s="376" t="s">
        <v>2418</v>
      </c>
      <c r="X1943" s="377" t="str">
        <f t="shared" si="179"/>
        <v>SSI</v>
      </c>
      <c r="Y1943" t="str">
        <f>SUBSTITUTE(Tabla1[[#This Row],[Descripción]],CHAR(10),"    I    ")</f>
        <v>Se creó el nuevo procedimiento 'FUNC7_TOTCONSREABUSCATEMAQ2' en el paquete 'PACK_SISAI3', con la funcionalidad del Query #2</v>
      </c>
      <c r="Z1943" s="142">
        <f>VLOOKUP(Tabla1[[#This Row],[Perfil]],Catalogos!$B$75:$D$100,3,FALSE)*Tabla1[[#This Row],[Tiempo
(Hrs 00/100)]]*1.16</f>
        <v>696</v>
      </c>
    </row>
    <row r="1944" spans="1:26" ht="15" customHeight="1" x14ac:dyDescent="0.3">
      <c r="A1944" s="373" t="s">
        <v>22</v>
      </c>
      <c r="B1944" s="373" t="s">
        <v>23</v>
      </c>
      <c r="C1944" s="373" t="s">
        <v>257</v>
      </c>
      <c r="D1944" s="373"/>
      <c r="E1944" s="373" t="s">
        <v>408</v>
      </c>
      <c r="F1944" s="373" t="s">
        <v>23</v>
      </c>
      <c r="G1944" s="373" t="s">
        <v>3215</v>
      </c>
      <c r="H1944" s="461" t="s">
        <v>3001</v>
      </c>
      <c r="I1944" s="538" t="s">
        <v>3001</v>
      </c>
      <c r="J1944" s="729">
        <v>45189</v>
      </c>
      <c r="K1944" s="772">
        <v>0.375</v>
      </c>
      <c r="L1944" s="729">
        <v>45189</v>
      </c>
      <c r="M1944" s="772">
        <v>0.41666666666666669</v>
      </c>
      <c r="N1944" s="373">
        <v>1</v>
      </c>
      <c r="O1944" s="184" t="s">
        <v>17</v>
      </c>
      <c r="P1944" s="375" t="s">
        <v>2916</v>
      </c>
      <c r="Q1944" s="179" t="s">
        <v>1441</v>
      </c>
      <c r="R1944" s="31" t="s">
        <v>95</v>
      </c>
      <c r="S1944" s="31" t="s">
        <v>273</v>
      </c>
      <c r="T1944" s="31" t="s">
        <v>273</v>
      </c>
      <c r="U1944" s="31">
        <f>IFERROR(VLOOKUP(CONCATENATE(Tabla1[[#This Row],[Severidad]]," ",Tabla1[[#This Row],[Complejidad]]),Catalogos!E$120:G$128,3,FALSE),"")</f>
        <v>64</v>
      </c>
      <c r="V1944" s="31" t="str">
        <f>IF(Tabla1[[#This Row],[Tiempo solución max (hrs)]]&lt;&gt;"",IF(Tabla1[[#This Row],[Tiempo solución max (hrs)]]&gt;=Tabla1[[#This Row],[Tiempo
(Hrs 00/100)]],"cumple","no cumple"),"")</f>
        <v>cumple</v>
      </c>
      <c r="W1944" s="376" t="s">
        <v>2418</v>
      </c>
      <c r="X1944" s="377" t="str">
        <f t="shared" si="179"/>
        <v>SSI</v>
      </c>
      <c r="Y1944" t="str">
        <f>SUBSTITUTE(Tabla1[[#This Row],[Descripción]],CHAR(10),"    I    ")</f>
        <v>Se verificó campo por campo del query 2 de la Funcionalidad 7, validando el tipo de dato y longitud exactos</v>
      </c>
      <c r="Z1944" s="142">
        <f>VLOOKUP(Tabla1[[#This Row],[Perfil]],Catalogos!$B$75:$D$100,3,FALSE)*Tabla1[[#This Row],[Tiempo
(Hrs 00/100)]]*1.16</f>
        <v>696</v>
      </c>
    </row>
    <row r="1945" spans="1:26" ht="15" customHeight="1" x14ac:dyDescent="0.3">
      <c r="A1945" s="373" t="s">
        <v>22</v>
      </c>
      <c r="B1945" s="373" t="s">
        <v>23</v>
      </c>
      <c r="C1945" s="373" t="s">
        <v>257</v>
      </c>
      <c r="D1945" s="373"/>
      <c r="E1945" s="373" t="s">
        <v>408</v>
      </c>
      <c r="F1945" s="373" t="s">
        <v>23</v>
      </c>
      <c r="G1945" s="373" t="s">
        <v>3216</v>
      </c>
      <c r="H1945" s="461" t="s">
        <v>3002</v>
      </c>
      <c r="I1945" s="538" t="s">
        <v>3002</v>
      </c>
      <c r="J1945" s="729">
        <v>45189</v>
      </c>
      <c r="K1945" s="772">
        <v>0.41666666666666669</v>
      </c>
      <c r="L1945" s="729">
        <v>45189</v>
      </c>
      <c r="M1945" s="772">
        <v>0.45833333333333331</v>
      </c>
      <c r="N1945" s="373">
        <v>1</v>
      </c>
      <c r="O1945" s="184" t="s">
        <v>17</v>
      </c>
      <c r="P1945" s="375" t="s">
        <v>2916</v>
      </c>
      <c r="Q1945" s="179" t="s">
        <v>1441</v>
      </c>
      <c r="R1945" s="31" t="s">
        <v>95</v>
      </c>
      <c r="S1945" s="31" t="s">
        <v>273</v>
      </c>
      <c r="T1945" s="31" t="s">
        <v>273</v>
      </c>
      <c r="U1945" s="31">
        <f>IFERROR(VLOOKUP(CONCATENATE(Tabla1[[#This Row],[Severidad]]," ",Tabla1[[#This Row],[Complejidad]]),Catalogos!E$120:G$128,3,FALSE),"")</f>
        <v>64</v>
      </c>
      <c r="V1945" s="31" t="str">
        <f>IF(Tabla1[[#This Row],[Tiempo solución max (hrs)]]&lt;&gt;"",IF(Tabla1[[#This Row],[Tiempo solución max (hrs)]]&gt;=Tabla1[[#This Row],[Tiempo
(Hrs 00/100)]],"cumple","no cumple"),"")</f>
        <v>cumple</v>
      </c>
      <c r="W1945" s="376" t="s">
        <v>2418</v>
      </c>
      <c r="X1945" s="377" t="str">
        <f t="shared" si="179"/>
        <v>SSI</v>
      </c>
      <c r="Y1945" t="str">
        <f>SUBSTITUTE(Tabla1[[#This Row],[Descripción]],CHAR(10),"    I    ")</f>
        <v>Se declararon las variables en bloque anónimo con validación exacta de tamaños de tipos de datos, del query 2 de la Funcionalidad 7</v>
      </c>
      <c r="Z1945" s="142">
        <f>VLOOKUP(Tabla1[[#This Row],[Perfil]],Catalogos!$B$75:$D$100,3,FALSE)*Tabla1[[#This Row],[Tiempo
(Hrs 00/100)]]*1.16</f>
        <v>696</v>
      </c>
    </row>
    <row r="1946" spans="1:26" ht="15" customHeight="1" x14ac:dyDescent="0.3">
      <c r="A1946" s="373" t="s">
        <v>22</v>
      </c>
      <c r="B1946" s="373" t="s">
        <v>66</v>
      </c>
      <c r="C1946" s="373" t="s">
        <v>257</v>
      </c>
      <c r="D1946" s="373"/>
      <c r="E1946" s="373" t="s">
        <v>408</v>
      </c>
      <c r="F1946" s="373" t="s">
        <v>75</v>
      </c>
      <c r="G1946" s="373" t="s">
        <v>3217</v>
      </c>
      <c r="H1946" s="461" t="s">
        <v>3003</v>
      </c>
      <c r="I1946" s="538" t="s">
        <v>3004</v>
      </c>
      <c r="J1946" s="729">
        <v>45189</v>
      </c>
      <c r="K1946" s="772">
        <v>0.45833333333333331</v>
      </c>
      <c r="L1946" s="729">
        <v>45189</v>
      </c>
      <c r="M1946" s="772">
        <v>0.5</v>
      </c>
      <c r="N1946" s="373">
        <v>1</v>
      </c>
      <c r="O1946" s="184" t="s">
        <v>17</v>
      </c>
      <c r="P1946" s="375" t="s">
        <v>2916</v>
      </c>
      <c r="Q1946" s="179" t="s">
        <v>1441</v>
      </c>
      <c r="R1946" s="31" t="s">
        <v>95</v>
      </c>
      <c r="S1946" s="31" t="s">
        <v>273</v>
      </c>
      <c r="T1946" s="31" t="s">
        <v>273</v>
      </c>
      <c r="U1946" s="31">
        <f>IFERROR(VLOOKUP(CONCATENATE(Tabla1[[#This Row],[Severidad]]," ",Tabla1[[#This Row],[Complejidad]]),Catalogos!E$120:G$128,3,FALSE),"")</f>
        <v>64</v>
      </c>
      <c r="V1946" s="31" t="str">
        <f>IF(Tabla1[[#This Row],[Tiempo solución max (hrs)]]&lt;&gt;"",IF(Tabla1[[#This Row],[Tiempo solución max (hrs)]]&gt;=Tabla1[[#This Row],[Tiempo
(Hrs 00/100)]],"cumple","no cumple"),"")</f>
        <v>cumple</v>
      </c>
      <c r="W1946" s="376" t="s">
        <v>2418</v>
      </c>
      <c r="X1946" s="377" t="str">
        <f t="shared" si="179"/>
        <v>SSI</v>
      </c>
      <c r="Y1946" t="str">
        <f>SUBSTITUTE(Tabla1[[#This Row],[Descripción]],CHAR(10),"    I    ")</f>
        <v xml:space="preserve">Se validó el paquete-procedimiento de la funcionalidad 7 - Query # 2 con el bloque anónimo correcto y se tuvo un resultado exitoso con la salida del cursor completo </v>
      </c>
      <c r="Z1946" s="142">
        <f>VLOOKUP(Tabla1[[#This Row],[Perfil]],Catalogos!$B$75:$D$100,3,FALSE)*Tabla1[[#This Row],[Tiempo
(Hrs 00/100)]]*1.16</f>
        <v>696</v>
      </c>
    </row>
    <row r="1947" spans="1:26" ht="15" customHeight="1" x14ac:dyDescent="0.3">
      <c r="A1947" s="373" t="s">
        <v>22</v>
      </c>
      <c r="B1947" s="373" t="s">
        <v>21</v>
      </c>
      <c r="C1947" s="373" t="s">
        <v>257</v>
      </c>
      <c r="D1947" s="373"/>
      <c r="E1947" s="373" t="s">
        <v>408</v>
      </c>
      <c r="F1947" s="373" t="s">
        <v>73</v>
      </c>
      <c r="G1947" s="373" t="s">
        <v>3218</v>
      </c>
      <c r="H1947" s="461" t="s">
        <v>3005</v>
      </c>
      <c r="I1947" s="538" t="s">
        <v>3005</v>
      </c>
      <c r="J1947" s="729">
        <v>45189</v>
      </c>
      <c r="K1947" s="772">
        <v>0.5</v>
      </c>
      <c r="L1947" s="729">
        <v>45189</v>
      </c>
      <c r="M1947" s="772">
        <v>0.52083333333333337</v>
      </c>
      <c r="N1947" s="373">
        <v>0.5</v>
      </c>
      <c r="O1947" s="184" t="s">
        <v>17</v>
      </c>
      <c r="P1947" s="375" t="s">
        <v>2916</v>
      </c>
      <c r="Q1947" s="179" t="s">
        <v>1441</v>
      </c>
      <c r="R1947" s="31" t="s">
        <v>95</v>
      </c>
      <c r="S1947" s="31" t="s">
        <v>273</v>
      </c>
      <c r="T1947" s="31" t="s">
        <v>273</v>
      </c>
      <c r="U1947" s="31">
        <f>IFERROR(VLOOKUP(CONCATENATE(Tabla1[[#This Row],[Severidad]]," ",Tabla1[[#This Row],[Complejidad]]),Catalogos!E$120:G$128,3,FALSE),"")</f>
        <v>64</v>
      </c>
      <c r="V1947" s="31" t="str">
        <f>IF(Tabla1[[#This Row],[Tiempo solución max (hrs)]]&lt;&gt;"",IF(Tabla1[[#This Row],[Tiempo solución max (hrs)]]&gt;=Tabla1[[#This Row],[Tiempo
(Hrs 00/100)]],"cumple","no cumple"),"")</f>
        <v>cumple</v>
      </c>
      <c r="W1947" s="376" t="s">
        <v>2418</v>
      </c>
      <c r="X1947" s="377" t="str">
        <f t="shared" si="179"/>
        <v>SSI</v>
      </c>
      <c r="Y1947" t="str">
        <f>SUBSTITUTE(Tabla1[[#This Row],[Descripción]],CHAR(10),"    I    ")</f>
        <v>Se actualizó el documento 'Final Ficha estadística 2023' con los comentarios sobre el Query 2 de la Funcionalidad 7</v>
      </c>
      <c r="Z1947" s="142">
        <f>VLOOKUP(Tabla1[[#This Row],[Perfil]],Catalogos!$B$75:$D$100,3,FALSE)*Tabla1[[#This Row],[Tiempo
(Hrs 00/100)]]*1.16</f>
        <v>348</v>
      </c>
    </row>
    <row r="1948" spans="1:26" ht="15" customHeight="1" x14ac:dyDescent="0.3">
      <c r="A1948" s="373" t="s">
        <v>22</v>
      </c>
      <c r="B1948" s="373" t="s">
        <v>305</v>
      </c>
      <c r="C1948" s="373" t="s">
        <v>257</v>
      </c>
      <c r="D1948" s="373"/>
      <c r="E1948" s="373" t="s">
        <v>408</v>
      </c>
      <c r="F1948" s="373" t="s">
        <v>72</v>
      </c>
      <c r="G1948" s="373" t="s">
        <v>3219</v>
      </c>
      <c r="H1948" s="461" t="s">
        <v>3006</v>
      </c>
      <c r="I1948" s="538" t="s">
        <v>3007</v>
      </c>
      <c r="J1948" s="729">
        <v>45189</v>
      </c>
      <c r="K1948" s="772">
        <v>0.52083333333333337</v>
      </c>
      <c r="L1948" s="729">
        <v>45189</v>
      </c>
      <c r="M1948" s="772">
        <v>0.5625</v>
      </c>
      <c r="N1948" s="373">
        <v>1</v>
      </c>
      <c r="O1948" s="184" t="s">
        <v>17</v>
      </c>
      <c r="P1948" s="375" t="s">
        <v>2916</v>
      </c>
      <c r="Q1948" s="179" t="s">
        <v>1441</v>
      </c>
      <c r="R1948" s="31" t="s">
        <v>95</v>
      </c>
      <c r="S1948" s="31" t="s">
        <v>273</v>
      </c>
      <c r="T1948" s="31" t="s">
        <v>273</v>
      </c>
      <c r="U1948" s="31">
        <f>IFERROR(VLOOKUP(CONCATENATE(Tabla1[[#This Row],[Severidad]]," ",Tabla1[[#This Row],[Complejidad]]),Catalogos!E$120:G$128,3,FALSE),"")</f>
        <v>64</v>
      </c>
      <c r="V1948" s="31" t="str">
        <f>IF(Tabla1[[#This Row],[Tiempo solución max (hrs)]]&lt;&gt;"",IF(Tabla1[[#This Row],[Tiempo solución max (hrs)]]&gt;=Tabla1[[#This Row],[Tiempo
(Hrs 00/100)]],"cumple","no cumple"),"")</f>
        <v>cumple</v>
      </c>
      <c r="W1948" s="376" t="s">
        <v>2418</v>
      </c>
      <c r="X1948" s="377" t="str">
        <f t="shared" si="179"/>
        <v>SSI</v>
      </c>
      <c r="Y1948" t="str">
        <f>SUBSTITUTE(Tabla1[[#This Row],[Descripción]],CHAR(10),"    I    ")</f>
        <v>Se revisó el Query #1 del archivo FFE23 para la Funcionalidad 8 'Consulta a los módulos de la PNT en el buscador Nacional', se hicieron las primeras ejecuciones con los parámetros para entender su funcionamiento</v>
      </c>
      <c r="Z1948" s="142">
        <f>VLOOKUP(Tabla1[[#This Row],[Perfil]],Catalogos!$B$75:$D$100,3,FALSE)*Tabla1[[#This Row],[Tiempo
(Hrs 00/100)]]*1.16</f>
        <v>696</v>
      </c>
    </row>
    <row r="1949" spans="1:26" ht="15" customHeight="1" x14ac:dyDescent="0.3">
      <c r="A1949" s="373" t="s">
        <v>22</v>
      </c>
      <c r="B1949" s="373" t="s">
        <v>23</v>
      </c>
      <c r="C1949" s="373" t="s">
        <v>257</v>
      </c>
      <c r="D1949" s="373"/>
      <c r="E1949" s="373" t="s">
        <v>408</v>
      </c>
      <c r="F1949" s="373" t="s">
        <v>23</v>
      </c>
      <c r="G1949" s="373" t="s">
        <v>3220</v>
      </c>
      <c r="H1949" s="461" t="s">
        <v>3008</v>
      </c>
      <c r="I1949" s="538" t="s">
        <v>3009</v>
      </c>
      <c r="J1949" s="729">
        <v>45189</v>
      </c>
      <c r="K1949" s="772">
        <v>0.60416666666666663</v>
      </c>
      <c r="L1949" s="729">
        <v>45189</v>
      </c>
      <c r="M1949" s="772">
        <v>0.70833333333333337</v>
      </c>
      <c r="N1949" s="373">
        <v>2.5</v>
      </c>
      <c r="O1949" s="184" t="s">
        <v>17</v>
      </c>
      <c r="P1949" s="375" t="s">
        <v>2916</v>
      </c>
      <c r="Q1949" s="179" t="s">
        <v>1441</v>
      </c>
      <c r="R1949" s="31" t="s">
        <v>95</v>
      </c>
      <c r="S1949" s="31" t="s">
        <v>273</v>
      </c>
      <c r="T1949" s="31" t="s">
        <v>273</v>
      </c>
      <c r="U1949" s="31">
        <f>IFERROR(VLOOKUP(CONCATENATE(Tabla1[[#This Row],[Severidad]]," ",Tabla1[[#This Row],[Complejidad]]),Catalogos!E$120:G$128,3,FALSE),"")</f>
        <v>64</v>
      </c>
      <c r="V1949" s="31" t="str">
        <f>IF(Tabla1[[#This Row],[Tiempo solución max (hrs)]]&lt;&gt;"",IF(Tabla1[[#This Row],[Tiempo solución max (hrs)]]&gt;=Tabla1[[#This Row],[Tiempo
(Hrs 00/100)]],"cumple","no cumple"),"")</f>
        <v>cumple</v>
      </c>
      <c r="W1949" s="376" t="s">
        <v>2418</v>
      </c>
      <c r="X1949" s="377" t="str">
        <f t="shared" si="179"/>
        <v>SSI</v>
      </c>
      <c r="Y1949" t="str">
        <f>SUBSTITUTE(Tabla1[[#This Row],[Descripción]],CHAR(10),"    I    ")</f>
        <v>Se optimizó el Query #1 del archivo FFE23 (Funcionalidad 8) para tener una versión mejorada en tiempo de respuesta y costo</v>
      </c>
      <c r="Z1949" s="142">
        <f>VLOOKUP(Tabla1[[#This Row],[Perfil]],Catalogos!$B$75:$D$100,3,FALSE)*Tabla1[[#This Row],[Tiempo
(Hrs 00/100)]]*1.16</f>
        <v>1739.9999999999998</v>
      </c>
    </row>
    <row r="1950" spans="1:26" ht="15" customHeight="1" x14ac:dyDescent="0.3">
      <c r="A1950" s="373" t="s">
        <v>22</v>
      </c>
      <c r="B1950" s="373" t="s">
        <v>23</v>
      </c>
      <c r="C1950" s="373" t="s">
        <v>257</v>
      </c>
      <c r="D1950" s="373"/>
      <c r="E1950" s="373" t="s">
        <v>408</v>
      </c>
      <c r="F1950" s="373" t="s">
        <v>23</v>
      </c>
      <c r="G1950" s="373" t="s">
        <v>3221</v>
      </c>
      <c r="H1950" s="461" t="s">
        <v>3010</v>
      </c>
      <c r="I1950" s="538" t="s">
        <v>3008</v>
      </c>
      <c r="J1950" s="729">
        <v>45189</v>
      </c>
      <c r="K1950" s="772">
        <v>0.70833333333333337</v>
      </c>
      <c r="L1950" s="729">
        <v>45189</v>
      </c>
      <c r="M1950" s="772">
        <v>0.75</v>
      </c>
      <c r="N1950" s="373">
        <v>1</v>
      </c>
      <c r="O1950" s="184" t="s">
        <v>17</v>
      </c>
      <c r="P1950" s="375" t="s">
        <v>2916</v>
      </c>
      <c r="Q1950" s="179" t="s">
        <v>1441</v>
      </c>
      <c r="R1950" s="31" t="s">
        <v>95</v>
      </c>
      <c r="S1950" s="31" t="s">
        <v>273</v>
      </c>
      <c r="T1950" s="31" t="s">
        <v>273</v>
      </c>
      <c r="U1950" s="31">
        <f>IFERROR(VLOOKUP(CONCATENATE(Tabla1[[#This Row],[Severidad]]," ",Tabla1[[#This Row],[Complejidad]]),Catalogos!E$120:G$128,3,FALSE),"")</f>
        <v>64</v>
      </c>
      <c r="V1950" s="31" t="str">
        <f>IF(Tabla1[[#This Row],[Tiempo solución max (hrs)]]&lt;&gt;"",IF(Tabla1[[#This Row],[Tiempo solución max (hrs)]]&gt;=Tabla1[[#This Row],[Tiempo
(Hrs 00/100)]],"cumple","no cumple"),"")</f>
        <v>cumple</v>
      </c>
      <c r="W1950" s="376" t="s">
        <v>2418</v>
      </c>
      <c r="X1950" s="377" t="str">
        <f t="shared" ref="X1950:X1972" si="180">IF(C1950&lt;&gt;"",C1950,D1950)</f>
        <v>SSI</v>
      </c>
      <c r="Y1950" t="str">
        <f>SUBSTITUTE(Tabla1[[#This Row],[Descripción]],CHAR(10),"    I    ")</f>
        <v>Se creó el nuevo procedimiento 'FUNC8_CONSMODPNTBUSCNACQ1' en el paquete 'PACK_SISAI3', con la funcionalidad del Query #1</v>
      </c>
      <c r="Z1950" s="142">
        <f>VLOOKUP(Tabla1[[#This Row],[Perfil]],Catalogos!$B$75:$D$100,3,FALSE)*Tabla1[[#This Row],[Tiempo
(Hrs 00/100)]]*1.16</f>
        <v>696</v>
      </c>
    </row>
    <row r="1951" spans="1:26" ht="15" customHeight="1" x14ac:dyDescent="0.3">
      <c r="A1951" s="373" t="s">
        <v>22</v>
      </c>
      <c r="B1951" s="373" t="s">
        <v>23</v>
      </c>
      <c r="C1951" s="373" t="s">
        <v>257</v>
      </c>
      <c r="D1951" s="373"/>
      <c r="E1951" s="373" t="s">
        <v>408</v>
      </c>
      <c r="F1951" s="373" t="s">
        <v>23</v>
      </c>
      <c r="G1951" s="373" t="s">
        <v>3222</v>
      </c>
      <c r="H1951" s="461" t="s">
        <v>3011</v>
      </c>
      <c r="I1951" s="538" t="s">
        <v>3011</v>
      </c>
      <c r="J1951" s="729">
        <v>45189</v>
      </c>
      <c r="K1951" s="772">
        <v>0.75</v>
      </c>
      <c r="L1951" s="729">
        <v>45189</v>
      </c>
      <c r="M1951" s="772">
        <v>0.79166666666666663</v>
      </c>
      <c r="N1951" s="373">
        <v>1</v>
      </c>
      <c r="O1951" s="184" t="s">
        <v>17</v>
      </c>
      <c r="P1951" s="375" t="s">
        <v>2916</v>
      </c>
      <c r="Q1951" s="179" t="s">
        <v>1441</v>
      </c>
      <c r="R1951" s="31" t="s">
        <v>95</v>
      </c>
      <c r="S1951" s="31" t="s">
        <v>273</v>
      </c>
      <c r="T1951" s="31" t="s">
        <v>273</v>
      </c>
      <c r="U1951" s="31">
        <f>IFERROR(VLOOKUP(CONCATENATE(Tabla1[[#This Row],[Severidad]]," ",Tabla1[[#This Row],[Complejidad]]),Catalogos!E$120:G$128,3,FALSE),"")</f>
        <v>64</v>
      </c>
      <c r="V1951" s="31" t="str">
        <f>IF(Tabla1[[#This Row],[Tiempo solución max (hrs)]]&lt;&gt;"",IF(Tabla1[[#This Row],[Tiempo solución max (hrs)]]&gt;=Tabla1[[#This Row],[Tiempo
(Hrs 00/100)]],"cumple","no cumple"),"")</f>
        <v>cumple</v>
      </c>
      <c r="W1951" s="376" t="s">
        <v>2418</v>
      </c>
      <c r="X1951" s="377" t="str">
        <f t="shared" si="180"/>
        <v>SSI</v>
      </c>
      <c r="Y1951" t="str">
        <f>SUBSTITUTE(Tabla1[[#This Row],[Descripción]],CHAR(10),"    I    ")</f>
        <v>Se verificó campo por campo del query 1 de la Funcionalidad 8, validando el tipo de dato y longitud exactos</v>
      </c>
      <c r="Z1951" s="142">
        <f>VLOOKUP(Tabla1[[#This Row],[Perfil]],Catalogos!$B$75:$D$100,3,FALSE)*Tabla1[[#This Row],[Tiempo
(Hrs 00/100)]]*1.16</f>
        <v>696</v>
      </c>
    </row>
    <row r="1952" spans="1:26" ht="15" customHeight="1" x14ac:dyDescent="0.3">
      <c r="A1952" s="373" t="s">
        <v>22</v>
      </c>
      <c r="B1952" s="373" t="s">
        <v>23</v>
      </c>
      <c r="C1952" s="373" t="s">
        <v>257</v>
      </c>
      <c r="D1952" s="373"/>
      <c r="E1952" s="373" t="s">
        <v>408</v>
      </c>
      <c r="F1952" s="373" t="s">
        <v>23</v>
      </c>
      <c r="G1952" s="373" t="s">
        <v>3223</v>
      </c>
      <c r="H1952" s="461" t="s">
        <v>3012</v>
      </c>
      <c r="I1952" s="538" t="s">
        <v>3012</v>
      </c>
      <c r="J1952" s="729">
        <v>45190</v>
      </c>
      <c r="K1952" s="772">
        <v>0.375</v>
      </c>
      <c r="L1952" s="729">
        <v>45190</v>
      </c>
      <c r="M1952" s="772">
        <v>0.41666666666666669</v>
      </c>
      <c r="N1952" s="373">
        <v>1</v>
      </c>
      <c r="O1952" s="184" t="s">
        <v>17</v>
      </c>
      <c r="P1952" s="375" t="s">
        <v>2916</v>
      </c>
      <c r="Q1952" s="179" t="s">
        <v>1441</v>
      </c>
      <c r="R1952" s="31" t="s">
        <v>95</v>
      </c>
      <c r="S1952" s="31" t="s">
        <v>273</v>
      </c>
      <c r="T1952" s="31" t="s">
        <v>273</v>
      </c>
      <c r="U1952" s="31">
        <f>IFERROR(VLOOKUP(CONCATENATE(Tabla1[[#This Row],[Severidad]]," ",Tabla1[[#This Row],[Complejidad]]),Catalogos!E$120:G$128,3,FALSE),"")</f>
        <v>64</v>
      </c>
      <c r="V1952" s="31" t="str">
        <f>IF(Tabla1[[#This Row],[Tiempo solución max (hrs)]]&lt;&gt;"",IF(Tabla1[[#This Row],[Tiempo solución max (hrs)]]&gt;=Tabla1[[#This Row],[Tiempo
(Hrs 00/100)]],"cumple","no cumple"),"")</f>
        <v>cumple</v>
      </c>
      <c r="W1952" s="376" t="s">
        <v>2418</v>
      </c>
      <c r="X1952" s="377" t="str">
        <f t="shared" si="180"/>
        <v>SSI</v>
      </c>
      <c r="Y1952" t="str">
        <f>SUBSTITUTE(Tabla1[[#This Row],[Descripción]],CHAR(10),"    I    ")</f>
        <v>Se declararon las variables en bloque anónimo con validación exacta de tamaños de tipos de datos, del query 1 de la Funcionalidad 8</v>
      </c>
      <c r="Z1952" s="142">
        <f>VLOOKUP(Tabla1[[#This Row],[Perfil]],Catalogos!$B$75:$D$100,3,FALSE)*Tabla1[[#This Row],[Tiempo
(Hrs 00/100)]]*1.16</f>
        <v>696</v>
      </c>
    </row>
    <row r="1953" spans="1:26" ht="15" customHeight="1" x14ac:dyDescent="0.3">
      <c r="A1953" s="373" t="s">
        <v>22</v>
      </c>
      <c r="B1953" s="373" t="s">
        <v>66</v>
      </c>
      <c r="C1953" s="373" t="s">
        <v>257</v>
      </c>
      <c r="D1953" s="373"/>
      <c r="E1953" s="373" t="s">
        <v>408</v>
      </c>
      <c r="F1953" s="373" t="s">
        <v>75</v>
      </c>
      <c r="G1953" s="373" t="s">
        <v>3224</v>
      </c>
      <c r="H1953" s="461" t="s">
        <v>3013</v>
      </c>
      <c r="I1953" s="538" t="s">
        <v>3014</v>
      </c>
      <c r="J1953" s="729">
        <v>45190</v>
      </c>
      <c r="K1953" s="772">
        <v>0.41666666666666669</v>
      </c>
      <c r="L1953" s="729">
        <v>45190</v>
      </c>
      <c r="M1953" s="772">
        <v>0.45833333333333331</v>
      </c>
      <c r="N1953" s="373">
        <v>1</v>
      </c>
      <c r="O1953" s="184" t="s">
        <v>17</v>
      </c>
      <c r="P1953" s="375" t="s">
        <v>2916</v>
      </c>
      <c r="Q1953" s="179" t="s">
        <v>1441</v>
      </c>
      <c r="R1953" s="31" t="s">
        <v>95</v>
      </c>
      <c r="S1953" s="31" t="s">
        <v>273</v>
      </c>
      <c r="T1953" s="31" t="s">
        <v>273</v>
      </c>
      <c r="U1953" s="31">
        <f>IFERROR(VLOOKUP(CONCATENATE(Tabla1[[#This Row],[Severidad]]," ",Tabla1[[#This Row],[Complejidad]]),Catalogos!E$120:G$128,3,FALSE),"")</f>
        <v>64</v>
      </c>
      <c r="V1953" s="31" t="str">
        <f>IF(Tabla1[[#This Row],[Tiempo solución max (hrs)]]&lt;&gt;"",IF(Tabla1[[#This Row],[Tiempo solución max (hrs)]]&gt;=Tabla1[[#This Row],[Tiempo
(Hrs 00/100)]],"cumple","no cumple"),"")</f>
        <v>cumple</v>
      </c>
      <c r="W1953" s="376" t="s">
        <v>2418</v>
      </c>
      <c r="X1953" s="377" t="str">
        <f t="shared" si="180"/>
        <v>SSI</v>
      </c>
      <c r="Y1953" t="str">
        <f>SUBSTITUTE(Tabla1[[#This Row],[Descripción]],CHAR(10),"    I    ")</f>
        <v xml:space="preserve">Se validó el paquete-procedimiento de la funcionalidad 8 - Query # 1 con el bloque anónimo correcto y se tuvo un resultado exitoso con la salida del cursor completo </v>
      </c>
      <c r="Z1953" s="142">
        <f>VLOOKUP(Tabla1[[#This Row],[Perfil]],Catalogos!$B$75:$D$100,3,FALSE)*Tabla1[[#This Row],[Tiempo
(Hrs 00/100)]]*1.16</f>
        <v>696</v>
      </c>
    </row>
    <row r="1954" spans="1:26" ht="15" customHeight="1" x14ac:dyDescent="0.3">
      <c r="A1954" s="373" t="s">
        <v>22</v>
      </c>
      <c r="B1954" s="373" t="s">
        <v>21</v>
      </c>
      <c r="C1954" s="373" t="s">
        <v>257</v>
      </c>
      <c r="D1954" s="373"/>
      <c r="E1954" s="373" t="s">
        <v>408</v>
      </c>
      <c r="F1954" s="373" t="s">
        <v>73</v>
      </c>
      <c r="G1954" s="373" t="s">
        <v>3225</v>
      </c>
      <c r="H1954" s="461" t="s">
        <v>3015</v>
      </c>
      <c r="I1954" s="538" t="s">
        <v>3015</v>
      </c>
      <c r="J1954" s="729">
        <v>45190</v>
      </c>
      <c r="K1954" s="772">
        <v>0.45833333333333331</v>
      </c>
      <c r="L1954" s="729">
        <v>45190</v>
      </c>
      <c r="M1954" s="772">
        <v>0.47916666666666669</v>
      </c>
      <c r="N1954" s="373">
        <v>0.5</v>
      </c>
      <c r="O1954" s="184" t="s">
        <v>17</v>
      </c>
      <c r="P1954" s="375" t="s">
        <v>2916</v>
      </c>
      <c r="Q1954" s="179" t="s">
        <v>1441</v>
      </c>
      <c r="R1954" s="31" t="s">
        <v>95</v>
      </c>
      <c r="S1954" s="31" t="s">
        <v>273</v>
      </c>
      <c r="T1954" s="31" t="s">
        <v>273</v>
      </c>
      <c r="U1954" s="31">
        <f>IFERROR(VLOOKUP(CONCATENATE(Tabla1[[#This Row],[Severidad]]," ",Tabla1[[#This Row],[Complejidad]]),Catalogos!E$120:G$128,3,FALSE),"")</f>
        <v>64</v>
      </c>
      <c r="V1954" s="31" t="str">
        <f>IF(Tabla1[[#This Row],[Tiempo solución max (hrs)]]&lt;&gt;"",IF(Tabla1[[#This Row],[Tiempo solución max (hrs)]]&gt;=Tabla1[[#This Row],[Tiempo
(Hrs 00/100)]],"cumple","no cumple"),"")</f>
        <v>cumple</v>
      </c>
      <c r="W1954" s="376" t="s">
        <v>2418</v>
      </c>
      <c r="X1954" s="377" t="str">
        <f t="shared" si="180"/>
        <v>SSI</v>
      </c>
      <c r="Y1954" t="str">
        <f>SUBSTITUTE(Tabla1[[#This Row],[Descripción]],CHAR(10),"    I    ")</f>
        <v>Se actualizó el documento 'Final Ficha estadística 2023' con los comentarios sobre el Query 1 de la Funcionalidad 8</v>
      </c>
      <c r="Z1954" s="142">
        <f>VLOOKUP(Tabla1[[#This Row],[Perfil]],Catalogos!$B$75:$D$100,3,FALSE)*Tabla1[[#This Row],[Tiempo
(Hrs 00/100)]]*1.16</f>
        <v>348</v>
      </c>
    </row>
    <row r="1955" spans="1:26" ht="15" customHeight="1" x14ac:dyDescent="0.3">
      <c r="A1955" s="373" t="s">
        <v>22</v>
      </c>
      <c r="B1955" s="373" t="s">
        <v>305</v>
      </c>
      <c r="C1955" s="373" t="s">
        <v>257</v>
      </c>
      <c r="D1955" s="373"/>
      <c r="E1955" s="373" t="s">
        <v>408</v>
      </c>
      <c r="F1955" s="373" t="s">
        <v>72</v>
      </c>
      <c r="G1955" s="373" t="s">
        <v>3226</v>
      </c>
      <c r="H1955" s="461" t="s">
        <v>3016</v>
      </c>
      <c r="I1955" s="538" t="s">
        <v>3017</v>
      </c>
      <c r="J1955" s="729">
        <v>45190</v>
      </c>
      <c r="K1955" s="772">
        <v>0.47916666666666669</v>
      </c>
      <c r="L1955" s="729">
        <v>45190</v>
      </c>
      <c r="M1955" s="772">
        <v>0.52083333333333337</v>
      </c>
      <c r="N1955" s="373">
        <v>1</v>
      </c>
      <c r="O1955" s="184" t="s">
        <v>17</v>
      </c>
      <c r="P1955" s="375" t="s">
        <v>2909</v>
      </c>
      <c r="Q1955" s="179" t="s">
        <v>1441</v>
      </c>
      <c r="R1955" s="31" t="s">
        <v>95</v>
      </c>
      <c r="S1955" s="31" t="s">
        <v>273</v>
      </c>
      <c r="T1955" s="31" t="s">
        <v>273</v>
      </c>
      <c r="U1955" s="31">
        <f>IFERROR(VLOOKUP(CONCATENATE(Tabla1[[#This Row],[Severidad]]," ",Tabla1[[#This Row],[Complejidad]]),Catalogos!E$120:G$128,3,FALSE),"")</f>
        <v>64</v>
      </c>
      <c r="V1955" s="31" t="str">
        <f>IF(Tabla1[[#This Row],[Tiempo solución max (hrs)]]&lt;&gt;"",IF(Tabla1[[#This Row],[Tiempo solución max (hrs)]]&gt;=Tabla1[[#This Row],[Tiempo
(Hrs 00/100)]],"cumple","no cumple"),"")</f>
        <v>cumple</v>
      </c>
      <c r="W1955" s="376" t="s">
        <v>2418</v>
      </c>
      <c r="X1955" s="377" t="str">
        <f t="shared" si="180"/>
        <v>SSI</v>
      </c>
      <c r="Y1955" t="str">
        <f>SUBSTITUTE(Tabla1[[#This Row],[Descripción]],CHAR(10),"    I    ")</f>
        <v>Se revisó el Query #1 del archivo IEDEPNI para la Funcionalidad 1 'TOTAL DE SOLICITUDES DE INFORMACIÓN', se hicieron las primeras ejecuciones con los parámetros para entender su funcionamiento</v>
      </c>
      <c r="Z1955" s="142">
        <f>VLOOKUP(Tabla1[[#This Row],[Perfil]],Catalogos!$B$75:$D$100,3,FALSE)*Tabla1[[#This Row],[Tiempo
(Hrs 00/100)]]*1.16</f>
        <v>696</v>
      </c>
    </row>
    <row r="1956" spans="1:26" ht="15" customHeight="1" x14ac:dyDescent="0.3">
      <c r="A1956" s="373" t="s">
        <v>22</v>
      </c>
      <c r="B1956" s="373" t="s">
        <v>23</v>
      </c>
      <c r="C1956" s="373" t="s">
        <v>257</v>
      </c>
      <c r="D1956" s="373"/>
      <c r="E1956" s="373" t="s">
        <v>408</v>
      </c>
      <c r="F1956" s="373" t="s">
        <v>23</v>
      </c>
      <c r="G1956" s="373" t="s">
        <v>3227</v>
      </c>
      <c r="H1956" s="461" t="s">
        <v>3018</v>
      </c>
      <c r="I1956" s="538" t="s">
        <v>3019</v>
      </c>
      <c r="J1956" s="729">
        <v>45190</v>
      </c>
      <c r="K1956" s="772">
        <v>0.52083333333333337</v>
      </c>
      <c r="L1956" s="729">
        <v>45190</v>
      </c>
      <c r="M1956" s="772">
        <v>0.625</v>
      </c>
      <c r="N1956" s="373">
        <v>2.5</v>
      </c>
      <c r="O1956" s="184" t="s">
        <v>17</v>
      </c>
      <c r="P1956" s="375" t="s">
        <v>2909</v>
      </c>
      <c r="Q1956" s="179" t="s">
        <v>1441</v>
      </c>
      <c r="R1956" s="31" t="s">
        <v>95</v>
      </c>
      <c r="S1956" s="31" t="s">
        <v>273</v>
      </c>
      <c r="T1956" s="31" t="s">
        <v>273</v>
      </c>
      <c r="U1956" s="31">
        <f>IFERROR(VLOOKUP(CONCATENATE(Tabla1[[#This Row],[Severidad]]," ",Tabla1[[#This Row],[Complejidad]]),Catalogos!E$120:G$128,3,FALSE),"")</f>
        <v>64</v>
      </c>
      <c r="V1956" s="31" t="str">
        <f>IF(Tabla1[[#This Row],[Tiempo solución max (hrs)]]&lt;&gt;"",IF(Tabla1[[#This Row],[Tiempo solución max (hrs)]]&gt;=Tabla1[[#This Row],[Tiempo
(Hrs 00/100)]],"cumple","no cumple"),"")</f>
        <v>cumple</v>
      </c>
      <c r="W1956" s="376" t="s">
        <v>2418</v>
      </c>
      <c r="X1956" s="377" t="str">
        <f t="shared" si="180"/>
        <v>SSI</v>
      </c>
      <c r="Y1956" t="str">
        <f>SUBSTITUTE(Tabla1[[#This Row],[Descripción]],CHAR(10),"    I    ")</f>
        <v>Se optimizó el Query #1 del archivo IEDEPNI (Funcionalidad 1) para tener una versión mejorada en tiempo de respuesta y costo</v>
      </c>
      <c r="Z1956" s="142">
        <f>VLOOKUP(Tabla1[[#This Row],[Perfil]],Catalogos!$B$75:$D$100,3,FALSE)*Tabla1[[#This Row],[Tiempo
(Hrs 00/100)]]*1.16</f>
        <v>1739.9999999999998</v>
      </c>
    </row>
    <row r="1957" spans="1:26" ht="15" customHeight="1" x14ac:dyDescent="0.3">
      <c r="A1957" s="373" t="s">
        <v>22</v>
      </c>
      <c r="B1957" s="373" t="s">
        <v>23</v>
      </c>
      <c r="C1957" s="373" t="s">
        <v>257</v>
      </c>
      <c r="D1957" s="373"/>
      <c r="E1957" s="373" t="s">
        <v>408</v>
      </c>
      <c r="F1957" s="373" t="s">
        <v>23</v>
      </c>
      <c r="G1957" s="373" t="s">
        <v>3228</v>
      </c>
      <c r="H1957" s="461" t="s">
        <v>3020</v>
      </c>
      <c r="I1957" s="538" t="s">
        <v>3021</v>
      </c>
      <c r="J1957" s="729">
        <v>45190</v>
      </c>
      <c r="K1957" s="772">
        <v>0.66666666666666663</v>
      </c>
      <c r="L1957" s="729">
        <v>45190</v>
      </c>
      <c r="M1957" s="772">
        <v>0.70833333333333337</v>
      </c>
      <c r="N1957" s="373">
        <v>1</v>
      </c>
      <c r="O1957" s="184" t="s">
        <v>17</v>
      </c>
      <c r="P1957" s="375" t="s">
        <v>2909</v>
      </c>
      <c r="Q1957" s="179" t="s">
        <v>1441</v>
      </c>
      <c r="R1957" s="31" t="s">
        <v>95</v>
      </c>
      <c r="S1957" s="31" t="s">
        <v>273</v>
      </c>
      <c r="T1957" s="31" t="s">
        <v>273</v>
      </c>
      <c r="U1957" s="31">
        <f>IFERROR(VLOOKUP(CONCATENATE(Tabla1[[#This Row],[Severidad]]," ",Tabla1[[#This Row],[Complejidad]]),Catalogos!E$120:G$128,3,FALSE),"")</f>
        <v>64</v>
      </c>
      <c r="V1957" s="31" t="str">
        <f>IF(Tabla1[[#This Row],[Tiempo solución max (hrs)]]&lt;&gt;"",IF(Tabla1[[#This Row],[Tiempo solución max (hrs)]]&gt;=Tabla1[[#This Row],[Tiempo
(Hrs 00/100)]],"cumple","no cumple"),"")</f>
        <v>cumple</v>
      </c>
      <c r="W1957" s="376" t="s">
        <v>2418</v>
      </c>
      <c r="X1957" s="377" t="str">
        <f t="shared" si="180"/>
        <v>SSI</v>
      </c>
      <c r="Y1957" t="str">
        <f>SUBSTITUTE(Tabla1[[#This Row],[Descripción]],CHAR(10),"    I    ")</f>
        <v>Se creó el nuevo procedimiento 'FUNC1_TOTSOLDEINFOQ1' en el paquete 'PACK_SISAI3', con la funcionalidad del Query #1</v>
      </c>
      <c r="Z1957" s="142">
        <f>VLOOKUP(Tabla1[[#This Row],[Perfil]],Catalogos!$B$75:$D$100,3,FALSE)*Tabla1[[#This Row],[Tiempo
(Hrs 00/100)]]*1.16</f>
        <v>696</v>
      </c>
    </row>
    <row r="1958" spans="1:26" ht="15" customHeight="1" x14ac:dyDescent="0.3">
      <c r="A1958" s="373" t="s">
        <v>22</v>
      </c>
      <c r="B1958" s="373" t="s">
        <v>23</v>
      </c>
      <c r="C1958" s="373" t="s">
        <v>257</v>
      </c>
      <c r="D1958" s="373"/>
      <c r="E1958" s="373" t="s">
        <v>408</v>
      </c>
      <c r="F1958" s="373" t="s">
        <v>23</v>
      </c>
      <c r="G1958" s="373" t="s">
        <v>3229</v>
      </c>
      <c r="H1958" s="461" t="s">
        <v>2922</v>
      </c>
      <c r="I1958" s="538" t="s">
        <v>2922</v>
      </c>
      <c r="J1958" s="729">
        <v>45190</v>
      </c>
      <c r="K1958" s="772">
        <v>0.70833333333333337</v>
      </c>
      <c r="L1958" s="729">
        <v>45190</v>
      </c>
      <c r="M1958" s="772">
        <v>0.75</v>
      </c>
      <c r="N1958" s="373">
        <v>1</v>
      </c>
      <c r="O1958" s="184" t="s">
        <v>17</v>
      </c>
      <c r="P1958" s="375" t="s">
        <v>2909</v>
      </c>
      <c r="Q1958" s="179" t="s">
        <v>1441</v>
      </c>
      <c r="R1958" s="31" t="s">
        <v>95</v>
      </c>
      <c r="S1958" s="31" t="s">
        <v>273</v>
      </c>
      <c r="T1958" s="31" t="s">
        <v>273</v>
      </c>
      <c r="U1958" s="31">
        <f>IFERROR(VLOOKUP(CONCATENATE(Tabla1[[#This Row],[Severidad]]," ",Tabla1[[#This Row],[Complejidad]]),Catalogos!E$120:G$128,3,FALSE),"")</f>
        <v>64</v>
      </c>
      <c r="V1958" s="31" t="str">
        <f>IF(Tabla1[[#This Row],[Tiempo solución max (hrs)]]&lt;&gt;"",IF(Tabla1[[#This Row],[Tiempo solución max (hrs)]]&gt;=Tabla1[[#This Row],[Tiempo
(Hrs 00/100)]],"cumple","no cumple"),"")</f>
        <v>cumple</v>
      </c>
      <c r="W1958" s="376" t="s">
        <v>2418</v>
      </c>
      <c r="X1958" s="377" t="str">
        <f t="shared" si="180"/>
        <v>SSI</v>
      </c>
      <c r="Y1958" t="str">
        <f>SUBSTITUTE(Tabla1[[#This Row],[Descripción]],CHAR(10),"    I    ")</f>
        <v>Se verificó campo por campo del query 1 de la Funcionalidad 1, validando el tipo de dato y longitud exactos</v>
      </c>
      <c r="Z1958" s="142">
        <f>VLOOKUP(Tabla1[[#This Row],[Perfil]],Catalogos!$B$75:$D$100,3,FALSE)*Tabla1[[#This Row],[Tiempo
(Hrs 00/100)]]*1.16</f>
        <v>696</v>
      </c>
    </row>
    <row r="1959" spans="1:26" ht="15" customHeight="1" x14ac:dyDescent="0.3">
      <c r="A1959" s="373" t="s">
        <v>58</v>
      </c>
      <c r="B1959" s="373" t="s">
        <v>305</v>
      </c>
      <c r="C1959" s="373" t="s">
        <v>257</v>
      </c>
      <c r="D1959" s="373"/>
      <c r="E1959" s="373" t="s">
        <v>408</v>
      </c>
      <c r="F1959" s="373" t="s">
        <v>72</v>
      </c>
      <c r="G1959" s="373" t="s">
        <v>3230</v>
      </c>
      <c r="H1959" s="461" t="s">
        <v>3022</v>
      </c>
      <c r="I1959" s="538" t="s">
        <v>3023</v>
      </c>
      <c r="J1959" s="729">
        <v>45190</v>
      </c>
      <c r="K1959" s="772">
        <v>0.75</v>
      </c>
      <c r="L1959" s="729">
        <v>45190</v>
      </c>
      <c r="M1959" s="772">
        <v>0.79166666666666663</v>
      </c>
      <c r="N1959" s="373">
        <v>1</v>
      </c>
      <c r="O1959" s="184" t="s">
        <v>17</v>
      </c>
      <c r="P1959" s="375"/>
      <c r="Q1959" s="179" t="s">
        <v>1441</v>
      </c>
      <c r="R1959" s="31" t="s">
        <v>95</v>
      </c>
      <c r="S1959" s="31" t="s">
        <v>273</v>
      </c>
      <c r="T1959" s="31" t="s">
        <v>273</v>
      </c>
      <c r="U1959" s="31">
        <f>IFERROR(VLOOKUP(CONCATENATE(Tabla1[[#This Row],[Severidad]]," ",Tabla1[[#This Row],[Complejidad]]),Catalogos!E$120:G$128,3,FALSE),"")</f>
        <v>64</v>
      </c>
      <c r="V1959" s="31" t="str">
        <f>IF(Tabla1[[#This Row],[Tiempo solución max (hrs)]]&lt;&gt;"",IF(Tabla1[[#This Row],[Tiempo solución max (hrs)]]&gt;=Tabla1[[#This Row],[Tiempo
(Hrs 00/100)]],"cumple","no cumple"),"")</f>
        <v>cumple</v>
      </c>
      <c r="W1959" s="376" t="s">
        <v>2418</v>
      </c>
      <c r="X1959" s="377" t="str">
        <f t="shared" si="180"/>
        <v>SSI</v>
      </c>
      <c r="Y1959" t="str">
        <f>SUBSTITUTE(Tabla1[[#This Row],[Descripción]],CHAR(10),"    I    ")</f>
        <v>Se tuvó sesión con Samuel para revisar las herramientas de tuneo que se utilizan y el proceso que llevo para optimizar los queries que he trabajado</v>
      </c>
      <c r="Z1959" s="142">
        <f>VLOOKUP(Tabla1[[#This Row],[Perfil]],Catalogos!$B$75:$D$100,3,FALSE)*Tabla1[[#This Row],[Tiempo
(Hrs 00/100)]]*1.16</f>
        <v>696</v>
      </c>
    </row>
    <row r="1960" spans="1:26" ht="15" customHeight="1" x14ac:dyDescent="0.3">
      <c r="A1960" s="373" t="s">
        <v>22</v>
      </c>
      <c r="B1960" s="373" t="s">
        <v>23</v>
      </c>
      <c r="C1960" s="373" t="s">
        <v>257</v>
      </c>
      <c r="D1960" s="373"/>
      <c r="E1960" s="373" t="s">
        <v>408</v>
      </c>
      <c r="F1960" s="373" t="s">
        <v>23</v>
      </c>
      <c r="G1960" s="373" t="s">
        <v>3231</v>
      </c>
      <c r="H1960" s="461" t="s">
        <v>2923</v>
      </c>
      <c r="I1960" s="538" t="s">
        <v>2923</v>
      </c>
      <c r="J1960" s="729">
        <v>45191</v>
      </c>
      <c r="K1960" s="772">
        <v>0.375</v>
      </c>
      <c r="L1960" s="729">
        <v>45191</v>
      </c>
      <c r="M1960" s="772">
        <v>0.41666666666666669</v>
      </c>
      <c r="N1960" s="373">
        <v>1</v>
      </c>
      <c r="O1960" s="184" t="s">
        <v>17</v>
      </c>
      <c r="P1960" s="375" t="s">
        <v>2909</v>
      </c>
      <c r="Q1960" s="179" t="s">
        <v>1441</v>
      </c>
      <c r="R1960" s="31" t="s">
        <v>95</v>
      </c>
      <c r="S1960" s="31" t="s">
        <v>273</v>
      </c>
      <c r="T1960" s="31" t="s">
        <v>273</v>
      </c>
      <c r="U1960" s="31">
        <f>IFERROR(VLOOKUP(CONCATENATE(Tabla1[[#This Row],[Severidad]]," ",Tabla1[[#This Row],[Complejidad]]),Catalogos!E$120:G$128,3,FALSE),"")</f>
        <v>64</v>
      </c>
      <c r="V1960" s="31" t="str">
        <f>IF(Tabla1[[#This Row],[Tiempo solución max (hrs)]]&lt;&gt;"",IF(Tabla1[[#This Row],[Tiempo solución max (hrs)]]&gt;=Tabla1[[#This Row],[Tiempo
(Hrs 00/100)]],"cumple","no cumple"),"")</f>
        <v>cumple</v>
      </c>
      <c r="W1960" s="376" t="s">
        <v>2418</v>
      </c>
      <c r="X1960" s="377" t="str">
        <f t="shared" si="180"/>
        <v>SSI</v>
      </c>
      <c r="Y1960" t="str">
        <f>SUBSTITUTE(Tabla1[[#This Row],[Descripción]],CHAR(10),"    I    ")</f>
        <v>Se declararon las variables en bloque anónimo con validación exacta de tamaños de tipos de datos, del query 1 de la Funcionalidad 1</v>
      </c>
      <c r="Z1960" s="142">
        <f>VLOOKUP(Tabla1[[#This Row],[Perfil]],Catalogos!$B$75:$D$100,3,FALSE)*Tabla1[[#This Row],[Tiempo
(Hrs 00/100)]]*1.16</f>
        <v>696</v>
      </c>
    </row>
    <row r="1961" spans="1:26" ht="15" customHeight="1" x14ac:dyDescent="0.3">
      <c r="A1961" s="373" t="s">
        <v>22</v>
      </c>
      <c r="B1961" s="373" t="s">
        <v>66</v>
      </c>
      <c r="C1961" s="373" t="s">
        <v>257</v>
      </c>
      <c r="D1961" s="373"/>
      <c r="E1961" s="373" t="s">
        <v>408</v>
      </c>
      <c r="F1961" s="373" t="s">
        <v>75</v>
      </c>
      <c r="G1961" s="373" t="s">
        <v>3232</v>
      </c>
      <c r="H1961" s="461" t="s">
        <v>3024</v>
      </c>
      <c r="I1961" s="538" t="s">
        <v>2925</v>
      </c>
      <c r="J1961" s="729">
        <v>45191</v>
      </c>
      <c r="K1961" s="772">
        <v>0.41666666666666669</v>
      </c>
      <c r="L1961" s="729">
        <v>45191</v>
      </c>
      <c r="M1961" s="772">
        <v>0.4375</v>
      </c>
      <c r="N1961" s="373">
        <v>0.5</v>
      </c>
      <c r="O1961" s="184" t="s">
        <v>17</v>
      </c>
      <c r="P1961" s="375" t="s">
        <v>2909</v>
      </c>
      <c r="Q1961" s="179" t="s">
        <v>1441</v>
      </c>
      <c r="R1961" s="31" t="s">
        <v>95</v>
      </c>
      <c r="S1961" s="31" t="s">
        <v>273</v>
      </c>
      <c r="T1961" s="31" t="s">
        <v>273</v>
      </c>
      <c r="U1961" s="31">
        <f>IFERROR(VLOOKUP(CONCATENATE(Tabla1[[#This Row],[Severidad]]," ",Tabla1[[#This Row],[Complejidad]]),Catalogos!E$120:G$128,3,FALSE),"")</f>
        <v>64</v>
      </c>
      <c r="V1961" s="31" t="str">
        <f>IF(Tabla1[[#This Row],[Tiempo solución max (hrs)]]&lt;&gt;"",IF(Tabla1[[#This Row],[Tiempo solución max (hrs)]]&gt;=Tabla1[[#This Row],[Tiempo
(Hrs 00/100)]],"cumple","no cumple"),"")</f>
        <v>cumple</v>
      </c>
      <c r="W1961" s="376" t="s">
        <v>2418</v>
      </c>
      <c r="X1961" s="377" t="str">
        <f t="shared" si="180"/>
        <v>SSI</v>
      </c>
      <c r="Y1961" t="str">
        <f>SUBSTITUTE(Tabla1[[#This Row],[Descripción]],CHAR(10),"    I    ")</f>
        <v xml:space="preserve">Se validó el paquete-procedimiento de la funcionalidad 1 - Query # 1 con el bloque anónimo correcto y se tuvo un resultado exitoso con la salida del cursor completo </v>
      </c>
      <c r="Z1961" s="142">
        <f>VLOOKUP(Tabla1[[#This Row],[Perfil]],Catalogos!$B$75:$D$100,3,FALSE)*Tabla1[[#This Row],[Tiempo
(Hrs 00/100)]]*1.16</f>
        <v>348</v>
      </c>
    </row>
    <row r="1962" spans="1:26" ht="15" customHeight="1" x14ac:dyDescent="0.3">
      <c r="A1962" s="373" t="s">
        <v>22</v>
      </c>
      <c r="B1962" s="373" t="s">
        <v>21</v>
      </c>
      <c r="C1962" s="373" t="s">
        <v>257</v>
      </c>
      <c r="D1962" s="373"/>
      <c r="E1962" s="373" t="s">
        <v>408</v>
      </c>
      <c r="F1962" s="373" t="s">
        <v>73</v>
      </c>
      <c r="G1962" s="373" t="s">
        <v>3233</v>
      </c>
      <c r="H1962" s="461" t="s">
        <v>3025</v>
      </c>
      <c r="I1962" s="538" t="s">
        <v>3025</v>
      </c>
      <c r="J1962" s="729">
        <v>45191</v>
      </c>
      <c r="K1962" s="772">
        <v>0.4375</v>
      </c>
      <c r="L1962" s="729">
        <v>45191</v>
      </c>
      <c r="M1962" s="772">
        <v>0.47916666666666669</v>
      </c>
      <c r="N1962" s="373">
        <v>1</v>
      </c>
      <c r="O1962" s="184" t="s">
        <v>17</v>
      </c>
      <c r="P1962" s="375" t="s">
        <v>2909</v>
      </c>
      <c r="Q1962" s="179" t="s">
        <v>1441</v>
      </c>
      <c r="R1962" s="31" t="s">
        <v>95</v>
      </c>
      <c r="S1962" s="31" t="s">
        <v>273</v>
      </c>
      <c r="T1962" s="31" t="s">
        <v>273</v>
      </c>
      <c r="U1962" s="31">
        <f>IFERROR(VLOOKUP(CONCATENATE(Tabla1[[#This Row],[Severidad]]," ",Tabla1[[#This Row],[Complejidad]]),Catalogos!E$120:G$128,3,FALSE),"")</f>
        <v>64</v>
      </c>
      <c r="V1962" s="31" t="str">
        <f>IF(Tabla1[[#This Row],[Tiempo solución max (hrs)]]&lt;&gt;"",IF(Tabla1[[#This Row],[Tiempo solución max (hrs)]]&gt;=Tabla1[[#This Row],[Tiempo
(Hrs 00/100)]],"cumple","no cumple"),"")</f>
        <v>cumple</v>
      </c>
      <c r="W1962" s="376" t="s">
        <v>2418</v>
      </c>
      <c r="X1962" s="377" t="str">
        <f t="shared" si="180"/>
        <v>SSI</v>
      </c>
      <c r="Y1962" t="str">
        <f>SUBSTITUTE(Tabla1[[#This Row],[Descripción]],CHAR(10),"    I    ")</f>
        <v>Se actualizó el documento 'Querys_Estadisiticas_Totales' con los comentarios sobre el Query 1 de la Funcionalidad 1</v>
      </c>
      <c r="Z1962" s="142">
        <f>VLOOKUP(Tabla1[[#This Row],[Perfil]],Catalogos!$B$75:$D$100,3,FALSE)*Tabla1[[#This Row],[Tiempo
(Hrs 00/100)]]*1.16</f>
        <v>696</v>
      </c>
    </row>
    <row r="1963" spans="1:26" ht="15" customHeight="1" x14ac:dyDescent="0.3">
      <c r="A1963" s="373" t="s">
        <v>22</v>
      </c>
      <c r="B1963" s="373" t="s">
        <v>305</v>
      </c>
      <c r="C1963" s="373" t="s">
        <v>257</v>
      </c>
      <c r="D1963" s="373"/>
      <c r="E1963" s="373" t="s">
        <v>408</v>
      </c>
      <c r="F1963" s="373" t="s">
        <v>72</v>
      </c>
      <c r="G1963" s="373" t="s">
        <v>3234</v>
      </c>
      <c r="H1963" s="461" t="s">
        <v>3026</v>
      </c>
      <c r="I1963" s="538" t="s">
        <v>3027</v>
      </c>
      <c r="J1963" s="729">
        <v>45191</v>
      </c>
      <c r="K1963" s="772">
        <v>0.47916666666666669</v>
      </c>
      <c r="L1963" s="729">
        <v>45191</v>
      </c>
      <c r="M1963" s="772">
        <v>0.5625</v>
      </c>
      <c r="N1963" s="373">
        <v>2</v>
      </c>
      <c r="O1963" s="184" t="s">
        <v>17</v>
      </c>
      <c r="P1963" s="375" t="s">
        <v>2909</v>
      </c>
      <c r="Q1963" s="179" t="s">
        <v>1441</v>
      </c>
      <c r="R1963" s="31" t="s">
        <v>95</v>
      </c>
      <c r="S1963" s="31" t="s">
        <v>273</v>
      </c>
      <c r="T1963" s="31" t="s">
        <v>273</v>
      </c>
      <c r="U1963" s="31">
        <f>IFERROR(VLOOKUP(CONCATENATE(Tabla1[[#This Row],[Severidad]]," ",Tabla1[[#This Row],[Complejidad]]),Catalogos!E$120:G$128,3,FALSE),"")</f>
        <v>64</v>
      </c>
      <c r="V1963" s="31" t="str">
        <f>IF(Tabla1[[#This Row],[Tiempo solución max (hrs)]]&lt;&gt;"",IF(Tabla1[[#This Row],[Tiempo solución max (hrs)]]&gt;=Tabla1[[#This Row],[Tiempo
(Hrs 00/100)]],"cumple","no cumple"),"")</f>
        <v>cumple</v>
      </c>
      <c r="W1963" s="376" t="s">
        <v>2418</v>
      </c>
      <c r="X1963" s="377" t="str">
        <f t="shared" si="180"/>
        <v>SSI</v>
      </c>
      <c r="Y1963" t="str">
        <f>SUBSTITUTE(Tabla1[[#This Row],[Descripción]],CHAR(10),"    I    ")</f>
        <v>Se revisó el Query #1 del archivo IEDEPNI para la Funcionalidad 2 'TOTAL DE RECURSOS DE REVISIÓN INGRESADOS - Recursos de HCOM E INFOMEX', se hicieron las primeras ejecuciones con los parámetros para entender su funcionamiento</v>
      </c>
      <c r="Z1963" s="142">
        <f>VLOOKUP(Tabla1[[#This Row],[Perfil]],Catalogos!$B$75:$D$100,3,FALSE)*Tabla1[[#This Row],[Tiempo
(Hrs 00/100)]]*1.16</f>
        <v>1392</v>
      </c>
    </row>
    <row r="1964" spans="1:26" ht="15" customHeight="1" x14ac:dyDescent="0.3">
      <c r="A1964" s="373" t="s">
        <v>22</v>
      </c>
      <c r="B1964" s="373" t="s">
        <v>23</v>
      </c>
      <c r="C1964" s="373" t="s">
        <v>257</v>
      </c>
      <c r="D1964" s="373"/>
      <c r="E1964" s="373" t="s">
        <v>408</v>
      </c>
      <c r="F1964" s="373" t="s">
        <v>23</v>
      </c>
      <c r="G1964" s="373" t="s">
        <v>3235</v>
      </c>
      <c r="H1964" s="461" t="s">
        <v>3028</v>
      </c>
      <c r="I1964" s="538" t="s">
        <v>3029</v>
      </c>
      <c r="J1964" s="729">
        <v>45191</v>
      </c>
      <c r="K1964" s="772">
        <v>0.60416666666666663</v>
      </c>
      <c r="L1964" s="729">
        <v>45191</v>
      </c>
      <c r="M1964" s="772">
        <v>0.6875</v>
      </c>
      <c r="N1964" s="373">
        <v>2</v>
      </c>
      <c r="O1964" s="184" t="s">
        <v>17</v>
      </c>
      <c r="P1964" s="375" t="s">
        <v>2909</v>
      </c>
      <c r="Q1964" s="179" t="s">
        <v>1441</v>
      </c>
      <c r="R1964" s="31" t="s">
        <v>95</v>
      </c>
      <c r="S1964" s="31" t="s">
        <v>273</v>
      </c>
      <c r="T1964" s="31" t="s">
        <v>273</v>
      </c>
      <c r="U1964" s="31">
        <f>IFERROR(VLOOKUP(CONCATENATE(Tabla1[[#This Row],[Severidad]]," ",Tabla1[[#This Row],[Complejidad]]),Catalogos!E$120:G$128,3,FALSE),"")</f>
        <v>64</v>
      </c>
      <c r="V1964" s="31" t="str">
        <f>IF(Tabla1[[#This Row],[Tiempo solución max (hrs)]]&lt;&gt;"",IF(Tabla1[[#This Row],[Tiempo solución max (hrs)]]&gt;=Tabla1[[#This Row],[Tiempo
(Hrs 00/100)]],"cumple","no cumple"),"")</f>
        <v>cumple</v>
      </c>
      <c r="W1964" s="376" t="s">
        <v>2418</v>
      </c>
      <c r="X1964" s="377" t="str">
        <f t="shared" si="180"/>
        <v>SSI</v>
      </c>
      <c r="Y1964" t="str">
        <f>SUBSTITUTE(Tabla1[[#This Row],[Descripción]],CHAR(10),"    I    ")</f>
        <v>Se optimizó el Query #1 del archivo IEDEPNI (Funcionalidad 2) para tener una versión mejorada en tiempo de respuesta y costo</v>
      </c>
      <c r="Z1964" s="142">
        <f>VLOOKUP(Tabla1[[#This Row],[Perfil]],Catalogos!$B$75:$D$100,3,FALSE)*Tabla1[[#This Row],[Tiempo
(Hrs 00/100)]]*1.16</f>
        <v>1392</v>
      </c>
    </row>
    <row r="1965" spans="1:26" ht="15" customHeight="1" x14ac:dyDescent="0.3">
      <c r="A1965" s="373" t="s">
        <v>22</v>
      </c>
      <c r="B1965" s="373" t="s">
        <v>23</v>
      </c>
      <c r="C1965" s="373" t="s">
        <v>257</v>
      </c>
      <c r="D1965" s="373"/>
      <c r="E1965" s="373" t="s">
        <v>408</v>
      </c>
      <c r="F1965" s="373" t="s">
        <v>23</v>
      </c>
      <c r="G1965" s="373" t="s">
        <v>3236</v>
      </c>
      <c r="H1965" s="461" t="s">
        <v>3030</v>
      </c>
      <c r="I1965" s="538" t="s">
        <v>3031</v>
      </c>
      <c r="J1965" s="729">
        <v>45191</v>
      </c>
      <c r="K1965" s="772">
        <v>0.6875</v>
      </c>
      <c r="L1965" s="729">
        <v>45191</v>
      </c>
      <c r="M1965" s="772">
        <v>0.72916666666666663</v>
      </c>
      <c r="N1965" s="373">
        <v>1</v>
      </c>
      <c r="O1965" s="184" t="s">
        <v>17</v>
      </c>
      <c r="P1965" s="375" t="s">
        <v>2909</v>
      </c>
      <c r="Q1965" s="179" t="s">
        <v>1441</v>
      </c>
      <c r="R1965" s="31" t="s">
        <v>95</v>
      </c>
      <c r="S1965" s="31" t="s">
        <v>273</v>
      </c>
      <c r="T1965" s="31" t="s">
        <v>273</v>
      </c>
      <c r="U1965" s="31">
        <f>IFERROR(VLOOKUP(CONCATENATE(Tabla1[[#This Row],[Severidad]]," ",Tabla1[[#This Row],[Complejidad]]),Catalogos!E$120:G$128,3,FALSE),"")</f>
        <v>64</v>
      </c>
      <c r="V1965" s="31" t="str">
        <f>IF(Tabla1[[#This Row],[Tiempo solución max (hrs)]]&lt;&gt;"",IF(Tabla1[[#This Row],[Tiempo solución max (hrs)]]&gt;=Tabla1[[#This Row],[Tiempo
(Hrs 00/100)]],"cumple","no cumple"),"")</f>
        <v>cumple</v>
      </c>
      <c r="W1965" s="376" t="s">
        <v>2418</v>
      </c>
      <c r="X1965" s="377" t="str">
        <f t="shared" si="180"/>
        <v>SSI</v>
      </c>
      <c r="Y1965" t="str">
        <f>SUBSTITUTE(Tabla1[[#This Row],[Descripción]],CHAR(10),"    I    ")</f>
        <v>Se creó el nuevo procedimiento 'FUNC2_TOTRRIHCOMEINFOMEXQ1' en el paquete 'PACK_SISAI3', con la funcionalidad del Query #1</v>
      </c>
      <c r="Z1965" s="142">
        <f>VLOOKUP(Tabla1[[#This Row],[Perfil]],Catalogos!$B$75:$D$100,3,FALSE)*Tabla1[[#This Row],[Tiempo
(Hrs 00/100)]]*1.16</f>
        <v>696</v>
      </c>
    </row>
    <row r="1966" spans="1:26" ht="15" customHeight="1" x14ac:dyDescent="0.3">
      <c r="A1966" s="373" t="s">
        <v>22</v>
      </c>
      <c r="B1966" s="373" t="s">
        <v>23</v>
      </c>
      <c r="C1966" s="373" t="s">
        <v>257</v>
      </c>
      <c r="D1966" s="373"/>
      <c r="E1966" s="373" t="s">
        <v>408</v>
      </c>
      <c r="F1966" s="373" t="s">
        <v>23</v>
      </c>
      <c r="G1966" s="373" t="s">
        <v>3237</v>
      </c>
      <c r="H1966" s="461" t="s">
        <v>2934</v>
      </c>
      <c r="I1966" s="538" t="s">
        <v>2934</v>
      </c>
      <c r="J1966" s="729">
        <v>45191</v>
      </c>
      <c r="K1966" s="772">
        <v>0.72916666666666663</v>
      </c>
      <c r="L1966" s="729">
        <v>45191</v>
      </c>
      <c r="M1966" s="772">
        <v>0.77083333333333337</v>
      </c>
      <c r="N1966" s="373">
        <v>1</v>
      </c>
      <c r="O1966" s="184" t="s">
        <v>17</v>
      </c>
      <c r="P1966" s="375" t="s">
        <v>2909</v>
      </c>
      <c r="Q1966" s="179" t="s">
        <v>1441</v>
      </c>
      <c r="R1966" s="31" t="s">
        <v>95</v>
      </c>
      <c r="S1966" s="31" t="s">
        <v>273</v>
      </c>
      <c r="T1966" s="31" t="s">
        <v>273</v>
      </c>
      <c r="U1966" s="31">
        <f>IFERROR(VLOOKUP(CONCATENATE(Tabla1[[#This Row],[Severidad]]," ",Tabla1[[#This Row],[Complejidad]]),Catalogos!E$120:G$128,3,FALSE),"")</f>
        <v>64</v>
      </c>
      <c r="V1966" s="31" t="str">
        <f>IF(Tabla1[[#This Row],[Tiempo solución max (hrs)]]&lt;&gt;"",IF(Tabla1[[#This Row],[Tiempo solución max (hrs)]]&gt;=Tabla1[[#This Row],[Tiempo
(Hrs 00/100)]],"cumple","no cumple"),"")</f>
        <v>cumple</v>
      </c>
      <c r="W1966" s="376" t="s">
        <v>2418</v>
      </c>
      <c r="X1966" s="377" t="str">
        <f t="shared" si="180"/>
        <v>SSI</v>
      </c>
      <c r="Y1966" t="str">
        <f>SUBSTITUTE(Tabla1[[#This Row],[Descripción]],CHAR(10),"    I    ")</f>
        <v>Se verificó campo por campo del query 1 de la Funcionalidad 2, validando el tipo de dato y longitud exactos</v>
      </c>
      <c r="Z1966" s="142">
        <f>VLOOKUP(Tabla1[[#This Row],[Perfil]],Catalogos!$B$75:$D$100,3,FALSE)*Tabla1[[#This Row],[Tiempo
(Hrs 00/100)]]*1.16</f>
        <v>696</v>
      </c>
    </row>
    <row r="1967" spans="1:26" ht="15" customHeight="1" x14ac:dyDescent="0.3">
      <c r="A1967" s="373" t="s">
        <v>22</v>
      </c>
      <c r="B1967" s="373" t="s">
        <v>23</v>
      </c>
      <c r="C1967" s="373" t="s">
        <v>257</v>
      </c>
      <c r="D1967" s="373"/>
      <c r="E1967" s="373" t="s">
        <v>408</v>
      </c>
      <c r="F1967" s="373" t="s">
        <v>23</v>
      </c>
      <c r="G1967" s="373" t="s">
        <v>3238</v>
      </c>
      <c r="H1967" s="461" t="s">
        <v>2935</v>
      </c>
      <c r="I1967" s="538" t="s">
        <v>2935</v>
      </c>
      <c r="J1967" s="729">
        <v>45191</v>
      </c>
      <c r="K1967" s="772">
        <v>0.77083333333333337</v>
      </c>
      <c r="L1967" s="729">
        <v>45191</v>
      </c>
      <c r="M1967" s="772">
        <v>0.8125</v>
      </c>
      <c r="N1967" s="373">
        <v>1</v>
      </c>
      <c r="O1967" s="184" t="s">
        <v>17</v>
      </c>
      <c r="P1967" s="375" t="s">
        <v>2909</v>
      </c>
      <c r="Q1967" s="179" t="s">
        <v>1441</v>
      </c>
      <c r="R1967" s="31" t="s">
        <v>95</v>
      </c>
      <c r="S1967" s="31" t="s">
        <v>273</v>
      </c>
      <c r="T1967" s="31" t="s">
        <v>273</v>
      </c>
      <c r="U1967" s="31">
        <f>IFERROR(VLOOKUP(CONCATENATE(Tabla1[[#This Row],[Severidad]]," ",Tabla1[[#This Row],[Complejidad]]),Catalogos!E$120:G$128,3,FALSE),"")</f>
        <v>64</v>
      </c>
      <c r="V1967" s="31" t="str">
        <f>IF(Tabla1[[#This Row],[Tiempo solución max (hrs)]]&lt;&gt;"",IF(Tabla1[[#This Row],[Tiempo solución max (hrs)]]&gt;=Tabla1[[#This Row],[Tiempo
(Hrs 00/100)]],"cumple","no cumple"),"")</f>
        <v>cumple</v>
      </c>
      <c r="W1967" s="376" t="s">
        <v>2418</v>
      </c>
      <c r="X1967" s="377" t="str">
        <f t="shared" si="180"/>
        <v>SSI</v>
      </c>
      <c r="Y1967" t="str">
        <f>SUBSTITUTE(Tabla1[[#This Row],[Descripción]],CHAR(10),"    I    ")</f>
        <v>Se declararon las variables en bloque anónimo con validación exacta de tamaños de tipos de datos, del query 1 de la Funcionalidad 2</v>
      </c>
      <c r="Z1967" s="142">
        <f>VLOOKUP(Tabla1[[#This Row],[Perfil]],Catalogos!$B$75:$D$100,3,FALSE)*Tabla1[[#This Row],[Tiempo
(Hrs 00/100)]]*1.16</f>
        <v>696</v>
      </c>
    </row>
    <row r="1968" spans="1:26" ht="15" customHeight="1" x14ac:dyDescent="0.3">
      <c r="A1968" s="373" t="s">
        <v>22</v>
      </c>
      <c r="B1968" s="373" t="s">
        <v>66</v>
      </c>
      <c r="C1968" s="373" t="s">
        <v>257</v>
      </c>
      <c r="D1968" s="373"/>
      <c r="E1968" s="373" t="s">
        <v>408</v>
      </c>
      <c r="F1968" s="373" t="s">
        <v>75</v>
      </c>
      <c r="G1968" s="373" t="s">
        <v>3239</v>
      </c>
      <c r="H1968" s="461" t="s">
        <v>3032</v>
      </c>
      <c r="I1968" s="538" t="s">
        <v>2937</v>
      </c>
      <c r="J1968" s="729">
        <v>45194</v>
      </c>
      <c r="K1968" s="772">
        <v>0.375</v>
      </c>
      <c r="L1968" s="729">
        <v>45194</v>
      </c>
      <c r="M1968" s="772">
        <v>0.41666666666666669</v>
      </c>
      <c r="N1968" s="373">
        <v>1</v>
      </c>
      <c r="O1968" s="184" t="s">
        <v>17</v>
      </c>
      <c r="P1968" s="375" t="s">
        <v>2909</v>
      </c>
      <c r="Q1968" s="179" t="s">
        <v>1441</v>
      </c>
      <c r="R1968" s="31" t="s">
        <v>95</v>
      </c>
      <c r="S1968" s="31" t="s">
        <v>273</v>
      </c>
      <c r="T1968" s="31" t="s">
        <v>273</v>
      </c>
      <c r="U1968" s="31">
        <f>IFERROR(VLOOKUP(CONCATENATE(Tabla1[[#This Row],[Severidad]]," ",Tabla1[[#This Row],[Complejidad]]),Catalogos!E$120:G$128,3,FALSE),"")</f>
        <v>64</v>
      </c>
      <c r="V1968" s="31" t="str">
        <f>IF(Tabla1[[#This Row],[Tiempo solución max (hrs)]]&lt;&gt;"",IF(Tabla1[[#This Row],[Tiempo solución max (hrs)]]&gt;=Tabla1[[#This Row],[Tiempo
(Hrs 00/100)]],"cumple","no cumple"),"")</f>
        <v>cumple</v>
      </c>
      <c r="W1968" s="376" t="s">
        <v>2418</v>
      </c>
      <c r="X1968" s="377" t="str">
        <f t="shared" si="180"/>
        <v>SSI</v>
      </c>
      <c r="Y1968" t="str">
        <f>SUBSTITUTE(Tabla1[[#This Row],[Descripción]],CHAR(10),"    I    ")</f>
        <v xml:space="preserve">Se validó el paquete-procedimiento de la funcionalidad 2 - Query # 1 con el bloque anónimo correcto y se tuvo un resultado exitoso con la salida del cursor completo </v>
      </c>
      <c r="Z1968" s="142">
        <f>VLOOKUP(Tabla1[[#This Row],[Perfil]],Catalogos!$B$75:$D$100,3,FALSE)*Tabla1[[#This Row],[Tiempo
(Hrs 00/100)]]*1.16</f>
        <v>696</v>
      </c>
    </row>
    <row r="1969" spans="1:26" ht="15" customHeight="1" x14ac:dyDescent="0.3">
      <c r="A1969" s="373" t="s">
        <v>22</v>
      </c>
      <c r="B1969" s="373" t="s">
        <v>21</v>
      </c>
      <c r="C1969" s="373" t="s">
        <v>257</v>
      </c>
      <c r="D1969" s="373"/>
      <c r="E1969" s="373" t="s">
        <v>408</v>
      </c>
      <c r="F1969" s="373" t="s">
        <v>73</v>
      </c>
      <c r="G1969" s="373" t="s">
        <v>3240</v>
      </c>
      <c r="H1969" s="461" t="s">
        <v>3033</v>
      </c>
      <c r="I1969" s="538" t="s">
        <v>3033</v>
      </c>
      <c r="J1969" s="729">
        <v>45194</v>
      </c>
      <c r="K1969" s="772">
        <v>0.41666666666666669</v>
      </c>
      <c r="L1969" s="729">
        <v>45194</v>
      </c>
      <c r="M1969" s="772">
        <v>0.4375</v>
      </c>
      <c r="N1969" s="373">
        <v>0.5</v>
      </c>
      <c r="O1969" s="184" t="s">
        <v>17</v>
      </c>
      <c r="P1969" s="375" t="s">
        <v>2909</v>
      </c>
      <c r="Q1969" s="179" t="s">
        <v>1441</v>
      </c>
      <c r="R1969" s="31" t="s">
        <v>95</v>
      </c>
      <c r="S1969" s="31" t="s">
        <v>273</v>
      </c>
      <c r="T1969" s="31" t="s">
        <v>273</v>
      </c>
      <c r="U1969" s="31">
        <f>IFERROR(VLOOKUP(CONCATENATE(Tabla1[[#This Row],[Severidad]]," ",Tabla1[[#This Row],[Complejidad]]),Catalogos!E$120:G$128,3,FALSE),"")</f>
        <v>64</v>
      </c>
      <c r="V1969" s="31" t="str">
        <f>IF(Tabla1[[#This Row],[Tiempo solución max (hrs)]]&lt;&gt;"",IF(Tabla1[[#This Row],[Tiempo solución max (hrs)]]&gt;=Tabla1[[#This Row],[Tiempo
(Hrs 00/100)]],"cumple","no cumple"),"")</f>
        <v>cumple</v>
      </c>
      <c r="W1969" s="376" t="s">
        <v>2418</v>
      </c>
      <c r="X1969" s="377" t="str">
        <f t="shared" si="180"/>
        <v>SSI</v>
      </c>
      <c r="Y1969" t="str">
        <f>SUBSTITUTE(Tabla1[[#This Row],[Descripción]],CHAR(10),"    I    ")</f>
        <v>Se actualizó el documento 'Querys_Estadisiticas_Totales' con los comentarios sobre el Query 1 de la Funcionalidad 2</v>
      </c>
      <c r="Z1969" s="142">
        <f>VLOOKUP(Tabla1[[#This Row],[Perfil]],Catalogos!$B$75:$D$100,3,FALSE)*Tabla1[[#This Row],[Tiempo
(Hrs 00/100)]]*1.16</f>
        <v>348</v>
      </c>
    </row>
    <row r="1970" spans="1:26" ht="15" customHeight="1" x14ac:dyDescent="0.3">
      <c r="A1970" s="373" t="s">
        <v>22</v>
      </c>
      <c r="B1970" s="373" t="s">
        <v>305</v>
      </c>
      <c r="C1970" s="373" t="s">
        <v>257</v>
      </c>
      <c r="D1970" s="373"/>
      <c r="E1970" s="373" t="s">
        <v>408</v>
      </c>
      <c r="F1970" s="373" t="s">
        <v>72</v>
      </c>
      <c r="G1970" s="373" t="s">
        <v>3241</v>
      </c>
      <c r="H1970" s="461" t="s">
        <v>3034</v>
      </c>
      <c r="I1970" s="538" t="s">
        <v>3035</v>
      </c>
      <c r="J1970" s="729">
        <v>45194</v>
      </c>
      <c r="K1970" s="772">
        <v>0.4375</v>
      </c>
      <c r="L1970" s="729">
        <v>45194</v>
      </c>
      <c r="M1970" s="772">
        <v>0.47916666666666669</v>
      </c>
      <c r="N1970" s="373">
        <v>1</v>
      </c>
      <c r="O1970" s="184" t="s">
        <v>17</v>
      </c>
      <c r="P1970" s="375" t="s">
        <v>2909</v>
      </c>
      <c r="Q1970" s="179" t="s">
        <v>1441</v>
      </c>
      <c r="R1970" s="31" t="s">
        <v>95</v>
      </c>
      <c r="S1970" s="31" t="s">
        <v>273</v>
      </c>
      <c r="T1970" s="31" t="s">
        <v>273</v>
      </c>
      <c r="U1970" s="31">
        <f>IFERROR(VLOOKUP(CONCATENATE(Tabla1[[#This Row],[Severidad]]," ",Tabla1[[#This Row],[Complejidad]]),Catalogos!E$120:G$128,3,FALSE),"")</f>
        <v>64</v>
      </c>
      <c r="V1970" s="31" t="str">
        <f>IF(Tabla1[[#This Row],[Tiempo solución max (hrs)]]&lt;&gt;"",IF(Tabla1[[#This Row],[Tiempo solución max (hrs)]]&gt;=Tabla1[[#This Row],[Tiempo
(Hrs 00/100)]],"cumple","no cumple"),"")</f>
        <v>cumple</v>
      </c>
      <c r="W1970" s="376" t="s">
        <v>2418</v>
      </c>
      <c r="X1970" s="377" t="str">
        <f t="shared" si="180"/>
        <v>SSI</v>
      </c>
      <c r="Y1970" t="str">
        <f>SUBSTITUTE(Tabla1[[#This Row],[Descripción]],CHAR(10),"    I    ")</f>
        <v>Se revisó el Query #2 del archivo IEDEPNI para la Funcionalidad 2 'TOTAL DE RECURSOS DE REVISIÓN INGRESADOS - Obtiene los recursos de revisión interpuestos', se hicieron las primeras ejecuciones con los parámetros para entender su funcionamiento</v>
      </c>
      <c r="Z1970" s="142">
        <f>VLOOKUP(Tabla1[[#This Row],[Perfil]],Catalogos!$B$75:$D$100,3,FALSE)*Tabla1[[#This Row],[Tiempo
(Hrs 00/100)]]*1.16</f>
        <v>696</v>
      </c>
    </row>
    <row r="1971" spans="1:26" ht="15" customHeight="1" x14ac:dyDescent="0.3">
      <c r="A1971" s="373" t="s">
        <v>22</v>
      </c>
      <c r="B1971" s="373" t="s">
        <v>23</v>
      </c>
      <c r="C1971" s="373" t="s">
        <v>257</v>
      </c>
      <c r="D1971" s="373"/>
      <c r="E1971" s="373" t="s">
        <v>408</v>
      </c>
      <c r="F1971" s="373" t="s">
        <v>23</v>
      </c>
      <c r="G1971" s="373" t="s">
        <v>3242</v>
      </c>
      <c r="H1971" s="461" t="s">
        <v>3036</v>
      </c>
      <c r="I1971" s="538" t="s">
        <v>3037</v>
      </c>
      <c r="J1971" s="729">
        <v>45194</v>
      </c>
      <c r="K1971" s="772">
        <v>0.47916666666666669</v>
      </c>
      <c r="L1971" s="729">
        <v>45194</v>
      </c>
      <c r="M1971" s="772">
        <v>0.58333333333333337</v>
      </c>
      <c r="N1971" s="373">
        <v>2.5</v>
      </c>
      <c r="O1971" s="184" t="s">
        <v>17</v>
      </c>
      <c r="P1971" s="375" t="s">
        <v>2909</v>
      </c>
      <c r="Q1971" s="179" t="s">
        <v>1441</v>
      </c>
      <c r="R1971" s="31" t="s">
        <v>95</v>
      </c>
      <c r="S1971" s="31" t="s">
        <v>273</v>
      </c>
      <c r="T1971" s="31" t="s">
        <v>273</v>
      </c>
      <c r="U1971" s="31">
        <f>IFERROR(VLOOKUP(CONCATENATE(Tabla1[[#This Row],[Severidad]]," ",Tabla1[[#This Row],[Complejidad]]),Catalogos!E$120:G$128,3,FALSE),"")</f>
        <v>64</v>
      </c>
      <c r="V1971" s="31" t="str">
        <f>IF(Tabla1[[#This Row],[Tiempo solución max (hrs)]]&lt;&gt;"",IF(Tabla1[[#This Row],[Tiempo solución max (hrs)]]&gt;=Tabla1[[#This Row],[Tiempo
(Hrs 00/100)]],"cumple","no cumple"),"")</f>
        <v>cumple</v>
      </c>
      <c r="W1971" s="376" t="s">
        <v>2418</v>
      </c>
      <c r="X1971" s="377" t="str">
        <f t="shared" si="180"/>
        <v>SSI</v>
      </c>
      <c r="Y1971" t="str">
        <f>SUBSTITUTE(Tabla1[[#This Row],[Descripción]],CHAR(10),"    I    ")</f>
        <v>Se optimizó el Query #2 del archivo IEDEPNI (Funcionalidad 2) para tener una versión mejorada en tiempo de respuesta y costo</v>
      </c>
      <c r="Z1971" s="142">
        <f>VLOOKUP(Tabla1[[#This Row],[Perfil]],Catalogos!$B$75:$D$100,3,FALSE)*Tabla1[[#This Row],[Tiempo
(Hrs 00/100)]]*1.16</f>
        <v>1739.9999999999998</v>
      </c>
    </row>
    <row r="1972" spans="1:26" ht="15" customHeight="1" x14ac:dyDescent="0.3">
      <c r="A1972" s="373" t="s">
        <v>22</v>
      </c>
      <c r="B1972" s="373" t="s">
        <v>23</v>
      </c>
      <c r="C1972" s="373" t="s">
        <v>257</v>
      </c>
      <c r="D1972" s="373"/>
      <c r="E1972" s="373" t="s">
        <v>408</v>
      </c>
      <c r="F1972" s="373" t="s">
        <v>23</v>
      </c>
      <c r="G1972" s="373" t="s">
        <v>3243</v>
      </c>
      <c r="H1972" s="461" t="s">
        <v>3038</v>
      </c>
      <c r="I1972" s="538" t="s">
        <v>3039</v>
      </c>
      <c r="J1972" s="729">
        <v>45194</v>
      </c>
      <c r="K1972" s="772">
        <v>0.625</v>
      </c>
      <c r="L1972" s="729">
        <v>45194</v>
      </c>
      <c r="M1972" s="772">
        <v>0.66666666666666663</v>
      </c>
      <c r="N1972" s="373">
        <v>1</v>
      </c>
      <c r="O1972" s="184" t="s">
        <v>17</v>
      </c>
      <c r="P1972" s="375" t="s">
        <v>2909</v>
      </c>
      <c r="Q1972" s="179" t="s">
        <v>1441</v>
      </c>
      <c r="R1972" s="31" t="s">
        <v>95</v>
      </c>
      <c r="S1972" s="31" t="s">
        <v>273</v>
      </c>
      <c r="T1972" s="31" t="s">
        <v>273</v>
      </c>
      <c r="U1972" s="31">
        <f>IFERROR(VLOOKUP(CONCATENATE(Tabla1[[#This Row],[Severidad]]," ",Tabla1[[#This Row],[Complejidad]]),Catalogos!E$120:G$128,3,FALSE),"")</f>
        <v>64</v>
      </c>
      <c r="V1972" s="31" t="str">
        <f>IF(Tabla1[[#This Row],[Tiempo solución max (hrs)]]&lt;&gt;"",IF(Tabla1[[#This Row],[Tiempo solución max (hrs)]]&gt;=Tabla1[[#This Row],[Tiempo
(Hrs 00/100)]],"cumple","no cumple"),"")</f>
        <v>cumple</v>
      </c>
      <c r="W1972" s="376" t="s">
        <v>2418</v>
      </c>
      <c r="X1972" s="377" t="str">
        <f t="shared" si="180"/>
        <v>SSI</v>
      </c>
      <c r="Y1972" t="str">
        <f>SUBSTITUTE(Tabla1[[#This Row],[Descripción]],CHAR(10),"    I    ")</f>
        <v>Se creó el nuevo procedimiento 'FUNC2_TOTRRIOBTRECREVINTERPUQ2' en el paquete 'PACK_SISAI3', con la funcionalidad del Query #2</v>
      </c>
      <c r="Z1972" s="142">
        <f>VLOOKUP(Tabla1[[#This Row],[Perfil]],Catalogos!$B$75:$D$100,3,FALSE)*Tabla1[[#This Row],[Tiempo
(Hrs 00/100)]]*1.16</f>
        <v>696</v>
      </c>
    </row>
    <row r="1973" spans="1:26" ht="40.5" customHeight="1" x14ac:dyDescent="0.3">
      <c r="A1973" s="373" t="s">
        <v>22</v>
      </c>
      <c r="B1973" s="373" t="s">
        <v>23</v>
      </c>
      <c r="C1973" s="373" t="s">
        <v>257</v>
      </c>
      <c r="D1973" s="373"/>
      <c r="E1973" s="373" t="s">
        <v>408</v>
      </c>
      <c r="F1973" s="373" t="s">
        <v>23</v>
      </c>
      <c r="G1973" s="373" t="s">
        <v>3244</v>
      </c>
      <c r="H1973" s="461" t="s">
        <v>3040</v>
      </c>
      <c r="I1973" s="538" t="s">
        <v>3040</v>
      </c>
      <c r="J1973" s="729">
        <v>45194</v>
      </c>
      <c r="K1973" s="772">
        <v>0.66666666666666663</v>
      </c>
      <c r="L1973" s="729">
        <v>45194</v>
      </c>
      <c r="M1973" s="772">
        <v>0.70833333333333337</v>
      </c>
      <c r="N1973" s="373">
        <v>1</v>
      </c>
      <c r="O1973" s="184" t="s">
        <v>17</v>
      </c>
      <c r="P1973" s="375" t="s">
        <v>2909</v>
      </c>
      <c r="Q1973" s="179" t="s">
        <v>1441</v>
      </c>
      <c r="R1973" s="31" t="s">
        <v>95</v>
      </c>
      <c r="S1973" s="31" t="s">
        <v>273</v>
      </c>
      <c r="T1973" s="31" t="s">
        <v>273</v>
      </c>
      <c r="U1973" s="31">
        <f>IFERROR(VLOOKUP(CONCATENATE(Tabla1[[#This Row],[Severidad]]," ",Tabla1[[#This Row],[Complejidad]]),Catalogos!E$120:G$128,3,FALSE),"")</f>
        <v>64</v>
      </c>
      <c r="V1973" s="31" t="str">
        <f>IF(Tabla1[[#This Row],[Tiempo solución max (hrs)]]&lt;&gt;"",IF(Tabla1[[#This Row],[Tiempo solución max (hrs)]]&gt;=Tabla1[[#This Row],[Tiempo
(Hrs 00/100)]],"cumple","no cumple"),"")</f>
        <v>cumple</v>
      </c>
      <c r="W1973" s="376" t="s">
        <v>2418</v>
      </c>
      <c r="X1973" s="377" t="str">
        <f t="shared" ref="X1973:X2023" si="181">IF(C1973&lt;&gt;"",C1973,D1973)</f>
        <v>SSI</v>
      </c>
      <c r="Y1973" t="str">
        <f>SUBSTITUTE(Tabla1[[#This Row],[Descripción]],CHAR(10),"    I    ")</f>
        <v>Se verificó campo por campo del query 2 de la Funcionalidad 2, validando el tipo de dato y longitud exactos</v>
      </c>
      <c r="Z1973" s="142">
        <f>VLOOKUP(Tabla1[[#This Row],[Perfil]],Catalogos!$B$75:$D$100,3,FALSE)*Tabla1[[#This Row],[Tiempo
(Hrs 00/100)]]*1.16</f>
        <v>696</v>
      </c>
    </row>
    <row r="1974" spans="1:26" ht="40.5" customHeight="1" x14ac:dyDescent="0.3">
      <c r="A1974" s="373" t="s">
        <v>22</v>
      </c>
      <c r="B1974" s="373" t="s">
        <v>23</v>
      </c>
      <c r="C1974" s="373" t="s">
        <v>257</v>
      </c>
      <c r="D1974" s="373"/>
      <c r="E1974" s="373" t="s">
        <v>408</v>
      </c>
      <c r="F1974" s="373" t="s">
        <v>23</v>
      </c>
      <c r="G1974" s="373" t="s">
        <v>3245</v>
      </c>
      <c r="H1974" s="461" t="s">
        <v>3041</v>
      </c>
      <c r="I1974" s="538" t="s">
        <v>3041</v>
      </c>
      <c r="J1974" s="729">
        <v>45194</v>
      </c>
      <c r="K1974" s="772">
        <v>0.70833333333333337</v>
      </c>
      <c r="L1974" s="729">
        <v>45194</v>
      </c>
      <c r="M1974" s="772">
        <v>0.75</v>
      </c>
      <c r="N1974" s="373">
        <v>1</v>
      </c>
      <c r="O1974" s="184" t="s">
        <v>17</v>
      </c>
      <c r="P1974" s="375" t="s">
        <v>2909</v>
      </c>
      <c r="Q1974" s="179" t="s">
        <v>1441</v>
      </c>
      <c r="R1974" s="31" t="s">
        <v>95</v>
      </c>
      <c r="S1974" s="31" t="s">
        <v>273</v>
      </c>
      <c r="T1974" s="31" t="s">
        <v>273</v>
      </c>
      <c r="U1974" s="31">
        <f>IFERROR(VLOOKUP(CONCATENATE(Tabla1[[#This Row],[Severidad]]," ",Tabla1[[#This Row],[Complejidad]]),Catalogos!E$120:G$128,3,FALSE),"")</f>
        <v>64</v>
      </c>
      <c r="V1974" s="31" t="str">
        <f>IF(Tabla1[[#This Row],[Tiempo solución max (hrs)]]&lt;&gt;"",IF(Tabla1[[#This Row],[Tiempo solución max (hrs)]]&gt;=Tabla1[[#This Row],[Tiempo
(Hrs 00/100)]],"cumple","no cumple"),"")</f>
        <v>cumple</v>
      </c>
      <c r="W1974" s="376" t="s">
        <v>2418</v>
      </c>
      <c r="X1974" s="377" t="str">
        <f t="shared" si="181"/>
        <v>SSI</v>
      </c>
      <c r="Y1974" t="str">
        <f>SUBSTITUTE(Tabla1[[#This Row],[Descripción]],CHAR(10),"    I    ")</f>
        <v>Se declararon las variables en bloque anónimo con validación exacta de tamaños de tipos de datos, del query 2 de la Funcionalidad 2</v>
      </c>
      <c r="Z1974" s="142">
        <f>VLOOKUP(Tabla1[[#This Row],[Perfil]],Catalogos!$B$75:$D$100,3,FALSE)*Tabla1[[#This Row],[Tiempo
(Hrs 00/100)]]*1.16</f>
        <v>696</v>
      </c>
    </row>
    <row r="1975" spans="1:26" ht="40.5" customHeight="1" x14ac:dyDescent="0.3">
      <c r="A1975" s="373" t="s">
        <v>22</v>
      </c>
      <c r="B1975" s="373" t="s">
        <v>66</v>
      </c>
      <c r="C1975" s="373" t="s">
        <v>257</v>
      </c>
      <c r="D1975" s="373"/>
      <c r="E1975" s="373" t="s">
        <v>408</v>
      </c>
      <c r="F1975" s="373" t="s">
        <v>75</v>
      </c>
      <c r="G1975" s="373" t="s">
        <v>3246</v>
      </c>
      <c r="H1975" s="461" t="s">
        <v>3042</v>
      </c>
      <c r="I1975" s="538" t="s">
        <v>3043</v>
      </c>
      <c r="J1975" s="729">
        <v>45194</v>
      </c>
      <c r="K1975" s="772">
        <v>0.75</v>
      </c>
      <c r="L1975" s="729">
        <v>45194</v>
      </c>
      <c r="M1975" s="772">
        <v>0.79166666666666663</v>
      </c>
      <c r="N1975" s="373">
        <v>1</v>
      </c>
      <c r="O1975" s="184" t="s">
        <v>17</v>
      </c>
      <c r="P1975" s="375" t="s">
        <v>2909</v>
      </c>
      <c r="Q1975" s="179" t="s">
        <v>1441</v>
      </c>
      <c r="R1975" s="31" t="s">
        <v>95</v>
      </c>
      <c r="S1975" s="31" t="s">
        <v>273</v>
      </c>
      <c r="T1975" s="31" t="s">
        <v>273</v>
      </c>
      <c r="U1975" s="31">
        <f>IFERROR(VLOOKUP(CONCATENATE(Tabla1[[#This Row],[Severidad]]," ",Tabla1[[#This Row],[Complejidad]]),Catalogos!E$120:G$128,3,FALSE),"")</f>
        <v>64</v>
      </c>
      <c r="V1975" s="31" t="str">
        <f>IF(Tabla1[[#This Row],[Tiempo solución max (hrs)]]&lt;&gt;"",IF(Tabla1[[#This Row],[Tiempo solución max (hrs)]]&gt;=Tabla1[[#This Row],[Tiempo
(Hrs 00/100)]],"cumple","no cumple"),"")</f>
        <v>cumple</v>
      </c>
      <c r="W1975" s="376" t="s">
        <v>2418</v>
      </c>
      <c r="X1975" s="377" t="str">
        <f t="shared" si="181"/>
        <v>SSI</v>
      </c>
      <c r="Y1975" t="str">
        <f>SUBSTITUTE(Tabla1[[#This Row],[Descripción]],CHAR(10),"    I    ")</f>
        <v xml:space="preserve">Se validó el paquete-procedimiento de la funcionalidad 2 - Query # 2 con el bloque anónimo correcto y se tuvo un resultado exitoso con la salida del cursor completo </v>
      </c>
      <c r="Z1975" s="142">
        <f>VLOOKUP(Tabla1[[#This Row],[Perfil]],Catalogos!$B$75:$D$100,3,FALSE)*Tabla1[[#This Row],[Tiempo
(Hrs 00/100)]]*1.16</f>
        <v>696</v>
      </c>
    </row>
    <row r="1976" spans="1:26" ht="40.5" customHeight="1" x14ac:dyDescent="0.3">
      <c r="A1976" s="373" t="s">
        <v>22</v>
      </c>
      <c r="B1976" s="373" t="s">
        <v>21</v>
      </c>
      <c r="C1976" s="373" t="s">
        <v>257</v>
      </c>
      <c r="D1976" s="373"/>
      <c r="E1976" s="373" t="s">
        <v>408</v>
      </c>
      <c r="F1976" s="373" t="s">
        <v>73</v>
      </c>
      <c r="G1976" s="373" t="s">
        <v>3247</v>
      </c>
      <c r="H1976" s="461" t="s">
        <v>3044</v>
      </c>
      <c r="I1976" s="538" t="s">
        <v>3044</v>
      </c>
      <c r="J1976" s="729">
        <v>45195</v>
      </c>
      <c r="K1976" s="772">
        <v>0.375</v>
      </c>
      <c r="L1976" s="729">
        <v>45195</v>
      </c>
      <c r="M1976" s="772">
        <v>0.39583333333333331</v>
      </c>
      <c r="N1976" s="373">
        <v>0.5</v>
      </c>
      <c r="O1976" s="184" t="s">
        <v>17</v>
      </c>
      <c r="P1976" s="375" t="s">
        <v>2909</v>
      </c>
      <c r="Q1976" s="179" t="s">
        <v>1441</v>
      </c>
      <c r="R1976" s="31" t="s">
        <v>95</v>
      </c>
      <c r="S1976" s="31" t="s">
        <v>273</v>
      </c>
      <c r="T1976" s="31" t="s">
        <v>273</v>
      </c>
      <c r="U1976" s="31">
        <f>IFERROR(VLOOKUP(CONCATENATE(Tabla1[[#This Row],[Severidad]]," ",Tabla1[[#This Row],[Complejidad]]),Catalogos!E$120:G$128,3,FALSE),"")</f>
        <v>64</v>
      </c>
      <c r="V1976" s="31" t="str">
        <f>IF(Tabla1[[#This Row],[Tiempo solución max (hrs)]]&lt;&gt;"",IF(Tabla1[[#This Row],[Tiempo solución max (hrs)]]&gt;=Tabla1[[#This Row],[Tiempo
(Hrs 00/100)]],"cumple","no cumple"),"")</f>
        <v>cumple</v>
      </c>
      <c r="W1976" s="376" t="s">
        <v>2418</v>
      </c>
      <c r="X1976" s="377" t="str">
        <f t="shared" si="181"/>
        <v>SSI</v>
      </c>
      <c r="Y1976" t="str">
        <f>SUBSTITUTE(Tabla1[[#This Row],[Descripción]],CHAR(10),"    I    ")</f>
        <v>Se actualizó el documento 'Querys_Estadisiticas_Totales' con los comentarios sobre el Query 2 de la Funcionalidad 2</v>
      </c>
      <c r="Z1976" s="142">
        <f>VLOOKUP(Tabla1[[#This Row],[Perfil]],Catalogos!$B$75:$D$100,3,FALSE)*Tabla1[[#This Row],[Tiempo
(Hrs 00/100)]]*1.16</f>
        <v>348</v>
      </c>
    </row>
    <row r="1977" spans="1:26" ht="40.5" customHeight="1" x14ac:dyDescent="0.3">
      <c r="A1977" s="373" t="s">
        <v>22</v>
      </c>
      <c r="B1977" s="373" t="s">
        <v>305</v>
      </c>
      <c r="C1977" s="373" t="s">
        <v>257</v>
      </c>
      <c r="D1977" s="373"/>
      <c r="E1977" s="373" t="s">
        <v>408</v>
      </c>
      <c r="F1977" s="373" t="s">
        <v>72</v>
      </c>
      <c r="G1977" s="373" t="s">
        <v>3248</v>
      </c>
      <c r="H1977" s="461" t="s">
        <v>3045</v>
      </c>
      <c r="I1977" s="538" t="s">
        <v>3046</v>
      </c>
      <c r="J1977" s="729">
        <v>45195</v>
      </c>
      <c r="K1977" s="772">
        <v>0.39583333333333331</v>
      </c>
      <c r="L1977" s="729">
        <v>45195</v>
      </c>
      <c r="M1977" s="772">
        <v>0.4375</v>
      </c>
      <c r="N1977" s="373">
        <v>1</v>
      </c>
      <c r="O1977" s="184" t="s">
        <v>17</v>
      </c>
      <c r="P1977" s="375" t="s">
        <v>2909</v>
      </c>
      <c r="Q1977" s="179" t="s">
        <v>1441</v>
      </c>
      <c r="R1977" s="31" t="s">
        <v>95</v>
      </c>
      <c r="S1977" s="31" t="s">
        <v>273</v>
      </c>
      <c r="T1977" s="31" t="s">
        <v>273</v>
      </c>
      <c r="U1977" s="31">
        <f>IFERROR(VLOOKUP(CONCATENATE(Tabla1[[#This Row],[Severidad]]," ",Tabla1[[#This Row],[Complejidad]]),Catalogos!E$120:G$128,3,FALSE),"")</f>
        <v>64</v>
      </c>
      <c r="V1977" s="31" t="str">
        <f>IF(Tabla1[[#This Row],[Tiempo solución max (hrs)]]&lt;&gt;"",IF(Tabla1[[#This Row],[Tiempo solución max (hrs)]]&gt;=Tabla1[[#This Row],[Tiempo
(Hrs 00/100)]],"cumple","no cumple"),"")</f>
        <v>cumple</v>
      </c>
      <c r="W1977" s="376" t="s">
        <v>2418</v>
      </c>
      <c r="X1977" s="377" t="str">
        <f t="shared" si="181"/>
        <v>SSI</v>
      </c>
      <c r="Y1977" t="str">
        <f>SUBSTITUTE(Tabla1[[#This Row],[Descripción]],CHAR(10),"    I    ")</f>
        <v>Se revisó el Query #3 del archivo IEDEPNI para la Funcionalidad 2 'TOTAL DE RECURSOS DE REVISIÓN INGRESADOS - Obtiene los recursos de revisión gestionados fuera', se hicieron las primeras ejecuciones con los parámetros para entender su funcionamiento</v>
      </c>
      <c r="Z1977" s="142">
        <f>VLOOKUP(Tabla1[[#This Row],[Perfil]],Catalogos!$B$75:$D$100,3,FALSE)*Tabla1[[#This Row],[Tiempo
(Hrs 00/100)]]*1.16</f>
        <v>696</v>
      </c>
    </row>
    <row r="1978" spans="1:26" ht="40.5" customHeight="1" x14ac:dyDescent="0.3">
      <c r="A1978" s="373" t="s">
        <v>22</v>
      </c>
      <c r="B1978" s="373" t="s">
        <v>23</v>
      </c>
      <c r="C1978" s="373" t="s">
        <v>257</v>
      </c>
      <c r="D1978" s="373"/>
      <c r="E1978" s="373" t="s">
        <v>408</v>
      </c>
      <c r="F1978" s="373" t="s">
        <v>23</v>
      </c>
      <c r="G1978" s="373" t="s">
        <v>3249</v>
      </c>
      <c r="H1978" s="461" t="s">
        <v>3047</v>
      </c>
      <c r="I1978" s="538" t="s">
        <v>3048</v>
      </c>
      <c r="J1978" s="729">
        <v>45195</v>
      </c>
      <c r="K1978" s="772">
        <v>0.4375</v>
      </c>
      <c r="L1978" s="729">
        <v>45195</v>
      </c>
      <c r="M1978" s="772">
        <v>0.54166666666666663</v>
      </c>
      <c r="N1978" s="373">
        <v>2.5</v>
      </c>
      <c r="O1978" s="184" t="s">
        <v>17</v>
      </c>
      <c r="P1978" s="375" t="s">
        <v>2909</v>
      </c>
      <c r="Q1978" s="179" t="s">
        <v>1441</v>
      </c>
      <c r="R1978" s="31" t="s">
        <v>95</v>
      </c>
      <c r="S1978" s="31" t="s">
        <v>273</v>
      </c>
      <c r="T1978" s="31" t="s">
        <v>273</v>
      </c>
      <c r="U1978" s="31">
        <f>IFERROR(VLOOKUP(CONCATENATE(Tabla1[[#This Row],[Severidad]]," ",Tabla1[[#This Row],[Complejidad]]),Catalogos!E$120:G$128,3,FALSE),"")</f>
        <v>64</v>
      </c>
      <c r="V1978" s="31" t="str">
        <f>IF(Tabla1[[#This Row],[Tiempo solución max (hrs)]]&lt;&gt;"",IF(Tabla1[[#This Row],[Tiempo solución max (hrs)]]&gt;=Tabla1[[#This Row],[Tiempo
(Hrs 00/100)]],"cumple","no cumple"),"")</f>
        <v>cumple</v>
      </c>
      <c r="W1978" s="376" t="s">
        <v>2418</v>
      </c>
      <c r="X1978" s="377" t="str">
        <f t="shared" si="181"/>
        <v>SSI</v>
      </c>
      <c r="Y1978" t="str">
        <f>SUBSTITUTE(Tabla1[[#This Row],[Descripción]],CHAR(10),"    I    ")</f>
        <v>Se optimizó el Query #3 del archivo IEDEPNI (Funcionalidad 2) para tener una versión mejorada en tiempo de respuesta y costo</v>
      </c>
      <c r="Z1978" s="142">
        <f>VLOOKUP(Tabla1[[#This Row],[Perfil]],Catalogos!$B$75:$D$100,3,FALSE)*Tabla1[[#This Row],[Tiempo
(Hrs 00/100)]]*1.16</f>
        <v>1739.9999999999998</v>
      </c>
    </row>
    <row r="1979" spans="1:26" ht="40.5" customHeight="1" x14ac:dyDescent="0.3">
      <c r="A1979" s="373" t="s">
        <v>22</v>
      </c>
      <c r="B1979" s="373" t="s">
        <v>23</v>
      </c>
      <c r="C1979" s="373" t="s">
        <v>257</v>
      </c>
      <c r="D1979" s="373"/>
      <c r="E1979" s="373" t="s">
        <v>408</v>
      </c>
      <c r="F1979" s="373" t="s">
        <v>23</v>
      </c>
      <c r="G1979" s="373" t="s">
        <v>3250</v>
      </c>
      <c r="H1979" s="461" t="s">
        <v>3049</v>
      </c>
      <c r="I1979" s="538" t="s">
        <v>3050</v>
      </c>
      <c r="J1979" s="729">
        <v>45195</v>
      </c>
      <c r="K1979" s="772">
        <v>0.54166666666666663</v>
      </c>
      <c r="L1979" s="729">
        <v>45195</v>
      </c>
      <c r="M1979" s="772">
        <v>0.58333333333333337</v>
      </c>
      <c r="N1979" s="373">
        <v>1</v>
      </c>
      <c r="O1979" s="184" t="s">
        <v>17</v>
      </c>
      <c r="P1979" s="375" t="s">
        <v>2909</v>
      </c>
      <c r="Q1979" s="179" t="s">
        <v>1441</v>
      </c>
      <c r="R1979" s="31" t="s">
        <v>95</v>
      </c>
      <c r="S1979" s="31" t="s">
        <v>273</v>
      </c>
      <c r="T1979" s="31" t="s">
        <v>273</v>
      </c>
      <c r="U1979" s="31">
        <f>IFERROR(VLOOKUP(CONCATENATE(Tabla1[[#This Row],[Severidad]]," ",Tabla1[[#This Row],[Complejidad]]),Catalogos!E$120:G$128,3,FALSE),"")</f>
        <v>64</v>
      </c>
      <c r="V1979" s="31" t="str">
        <f>IF(Tabla1[[#This Row],[Tiempo solución max (hrs)]]&lt;&gt;"",IF(Tabla1[[#This Row],[Tiempo solución max (hrs)]]&gt;=Tabla1[[#This Row],[Tiempo
(Hrs 00/100)]],"cumple","no cumple"),"")</f>
        <v>cumple</v>
      </c>
      <c r="W1979" s="376" t="s">
        <v>2418</v>
      </c>
      <c r="X1979" s="377" t="str">
        <f t="shared" si="181"/>
        <v>SSI</v>
      </c>
      <c r="Y1979" t="str">
        <f>SUBSTITUTE(Tabla1[[#This Row],[Descripción]],CHAR(10),"    I    ")</f>
        <v>Se creó el nuevo procedimiento 'FUNC2_TOTRRIOBTRECREVGESTFUEQ3' en el paquete 'PACK_SISAI3', con la funcionalidad del Query #3</v>
      </c>
      <c r="Z1979" s="142">
        <f>VLOOKUP(Tabla1[[#This Row],[Perfil]],Catalogos!$B$75:$D$100,3,FALSE)*Tabla1[[#This Row],[Tiempo
(Hrs 00/100)]]*1.16</f>
        <v>696</v>
      </c>
    </row>
    <row r="1980" spans="1:26" ht="40.5" customHeight="1" x14ac:dyDescent="0.3">
      <c r="A1980" s="373" t="s">
        <v>22</v>
      </c>
      <c r="B1980" s="373" t="s">
        <v>23</v>
      </c>
      <c r="C1980" s="373" t="s">
        <v>257</v>
      </c>
      <c r="D1980" s="373"/>
      <c r="E1980" s="373" t="s">
        <v>408</v>
      </c>
      <c r="F1980" s="373" t="s">
        <v>23</v>
      </c>
      <c r="G1980" s="373" t="s">
        <v>3251</v>
      </c>
      <c r="H1980" s="461" t="s">
        <v>3051</v>
      </c>
      <c r="I1980" s="538" t="s">
        <v>3051</v>
      </c>
      <c r="J1980" s="729">
        <v>45195</v>
      </c>
      <c r="K1980" s="772">
        <v>0.625</v>
      </c>
      <c r="L1980" s="729">
        <v>45195</v>
      </c>
      <c r="M1980" s="772">
        <v>0.66666666666666663</v>
      </c>
      <c r="N1980" s="373">
        <v>1</v>
      </c>
      <c r="O1980" s="184" t="s">
        <v>17</v>
      </c>
      <c r="P1980" s="375" t="s">
        <v>2909</v>
      </c>
      <c r="Q1980" s="179" t="s">
        <v>1441</v>
      </c>
      <c r="R1980" s="31" t="s">
        <v>95</v>
      </c>
      <c r="S1980" s="31" t="s">
        <v>273</v>
      </c>
      <c r="T1980" s="31" t="s">
        <v>273</v>
      </c>
      <c r="U1980" s="31">
        <f>IFERROR(VLOOKUP(CONCATENATE(Tabla1[[#This Row],[Severidad]]," ",Tabla1[[#This Row],[Complejidad]]),Catalogos!E$120:G$128,3,FALSE),"")</f>
        <v>64</v>
      </c>
      <c r="V1980" s="31" t="str">
        <f>IF(Tabla1[[#This Row],[Tiempo solución max (hrs)]]&lt;&gt;"",IF(Tabla1[[#This Row],[Tiempo solución max (hrs)]]&gt;=Tabla1[[#This Row],[Tiempo
(Hrs 00/100)]],"cumple","no cumple"),"")</f>
        <v>cumple</v>
      </c>
      <c r="W1980" s="376" t="s">
        <v>2418</v>
      </c>
      <c r="X1980" s="377" t="str">
        <f t="shared" si="181"/>
        <v>SSI</v>
      </c>
      <c r="Y1980" t="str">
        <f>SUBSTITUTE(Tabla1[[#This Row],[Descripción]],CHAR(10),"    I    ")</f>
        <v>Se verificó campo por campo del query 3 de la Funcionalidad 2, validando el tipo de dato y longitud exactos</v>
      </c>
      <c r="Z1980" s="142">
        <f>VLOOKUP(Tabla1[[#This Row],[Perfil]],Catalogos!$B$75:$D$100,3,FALSE)*Tabla1[[#This Row],[Tiempo
(Hrs 00/100)]]*1.16</f>
        <v>696</v>
      </c>
    </row>
    <row r="1981" spans="1:26" ht="40.5" customHeight="1" x14ac:dyDescent="0.3">
      <c r="A1981" s="373" t="s">
        <v>22</v>
      </c>
      <c r="B1981" s="373" t="s">
        <v>23</v>
      </c>
      <c r="C1981" s="373" t="s">
        <v>257</v>
      </c>
      <c r="D1981" s="373"/>
      <c r="E1981" s="373" t="s">
        <v>408</v>
      </c>
      <c r="F1981" s="373" t="s">
        <v>23</v>
      </c>
      <c r="G1981" s="373" t="s">
        <v>3252</v>
      </c>
      <c r="H1981" s="461" t="s">
        <v>3052</v>
      </c>
      <c r="I1981" s="538" t="s">
        <v>3052</v>
      </c>
      <c r="J1981" s="729">
        <v>45195</v>
      </c>
      <c r="K1981" s="772">
        <v>0.66666666666666663</v>
      </c>
      <c r="L1981" s="729">
        <v>45195</v>
      </c>
      <c r="M1981" s="772">
        <v>0.70833333333333337</v>
      </c>
      <c r="N1981" s="373">
        <v>1</v>
      </c>
      <c r="O1981" s="184" t="s">
        <v>17</v>
      </c>
      <c r="P1981" s="375" t="s">
        <v>2909</v>
      </c>
      <c r="Q1981" s="179" t="s">
        <v>1441</v>
      </c>
      <c r="R1981" s="31" t="s">
        <v>95</v>
      </c>
      <c r="S1981" s="31" t="s">
        <v>273</v>
      </c>
      <c r="T1981" s="31" t="s">
        <v>273</v>
      </c>
      <c r="U1981" s="31">
        <f>IFERROR(VLOOKUP(CONCATENATE(Tabla1[[#This Row],[Severidad]]," ",Tabla1[[#This Row],[Complejidad]]),Catalogos!E$120:G$128,3,FALSE),"")</f>
        <v>64</v>
      </c>
      <c r="V1981" s="31" t="str">
        <f>IF(Tabla1[[#This Row],[Tiempo solución max (hrs)]]&lt;&gt;"",IF(Tabla1[[#This Row],[Tiempo solución max (hrs)]]&gt;=Tabla1[[#This Row],[Tiempo
(Hrs 00/100)]],"cumple","no cumple"),"")</f>
        <v>cumple</v>
      </c>
      <c r="W1981" s="376" t="s">
        <v>2418</v>
      </c>
      <c r="X1981" s="377" t="str">
        <f t="shared" si="181"/>
        <v>SSI</v>
      </c>
      <c r="Y1981" t="str">
        <f>SUBSTITUTE(Tabla1[[#This Row],[Descripción]],CHAR(10),"    I    ")</f>
        <v>Se declararon las variables en bloque anónimo con validación exacta de tamaños de tipos de datos, del query 3 de la Funcionalidad 2</v>
      </c>
      <c r="Z1981" s="142">
        <f>VLOOKUP(Tabla1[[#This Row],[Perfil]],Catalogos!$B$75:$D$100,3,FALSE)*Tabla1[[#This Row],[Tiempo
(Hrs 00/100)]]*1.16</f>
        <v>696</v>
      </c>
    </row>
    <row r="1982" spans="1:26" ht="40.5" customHeight="1" x14ac:dyDescent="0.3">
      <c r="A1982" s="373" t="s">
        <v>22</v>
      </c>
      <c r="B1982" s="373" t="s">
        <v>66</v>
      </c>
      <c r="C1982" s="373" t="s">
        <v>257</v>
      </c>
      <c r="D1982" s="373"/>
      <c r="E1982" s="373" t="s">
        <v>408</v>
      </c>
      <c r="F1982" s="373" t="s">
        <v>75</v>
      </c>
      <c r="G1982" s="373" t="s">
        <v>3253</v>
      </c>
      <c r="H1982" s="461" t="s">
        <v>3053</v>
      </c>
      <c r="I1982" s="538" t="s">
        <v>3054</v>
      </c>
      <c r="J1982" s="729">
        <v>45195</v>
      </c>
      <c r="K1982" s="772">
        <v>0.70833333333333337</v>
      </c>
      <c r="L1982" s="729">
        <v>45195</v>
      </c>
      <c r="M1982" s="772">
        <v>0.75</v>
      </c>
      <c r="N1982" s="373">
        <v>1</v>
      </c>
      <c r="O1982" s="184" t="s">
        <v>17</v>
      </c>
      <c r="P1982" s="375" t="s">
        <v>2909</v>
      </c>
      <c r="Q1982" s="179" t="s">
        <v>1441</v>
      </c>
      <c r="R1982" s="31" t="s">
        <v>95</v>
      </c>
      <c r="S1982" s="31" t="s">
        <v>273</v>
      </c>
      <c r="T1982" s="31" t="s">
        <v>273</v>
      </c>
      <c r="U1982" s="31">
        <f>IFERROR(VLOOKUP(CONCATENATE(Tabla1[[#This Row],[Severidad]]," ",Tabla1[[#This Row],[Complejidad]]),Catalogos!E$120:G$128,3,FALSE),"")</f>
        <v>64</v>
      </c>
      <c r="V1982" s="31" t="str">
        <f>IF(Tabla1[[#This Row],[Tiempo solución max (hrs)]]&lt;&gt;"",IF(Tabla1[[#This Row],[Tiempo solución max (hrs)]]&gt;=Tabla1[[#This Row],[Tiempo
(Hrs 00/100)]],"cumple","no cumple"),"")</f>
        <v>cumple</v>
      </c>
      <c r="W1982" s="376" t="s">
        <v>2418</v>
      </c>
      <c r="X1982" s="377" t="str">
        <f t="shared" si="181"/>
        <v>SSI</v>
      </c>
      <c r="Y1982" t="str">
        <f>SUBSTITUTE(Tabla1[[#This Row],[Descripción]],CHAR(10),"    I    ")</f>
        <v xml:space="preserve">Se validó el paquete-procedimiento de la funcionalidad 2 - Query # 3 con el bloque anónimo correcto y se tuvo un resultado exitoso con la salida del cursor completo </v>
      </c>
      <c r="Z1982" s="142">
        <f>VLOOKUP(Tabla1[[#This Row],[Perfil]],Catalogos!$B$75:$D$100,3,FALSE)*Tabla1[[#This Row],[Tiempo
(Hrs 00/100)]]*1.16</f>
        <v>696</v>
      </c>
    </row>
    <row r="1983" spans="1:26" ht="40.5" customHeight="1" x14ac:dyDescent="0.3">
      <c r="A1983" s="373" t="s">
        <v>22</v>
      </c>
      <c r="B1983" s="373" t="s">
        <v>21</v>
      </c>
      <c r="C1983" s="373" t="s">
        <v>257</v>
      </c>
      <c r="D1983" s="373"/>
      <c r="E1983" s="373" t="s">
        <v>408</v>
      </c>
      <c r="F1983" s="373" t="s">
        <v>73</v>
      </c>
      <c r="G1983" s="373" t="s">
        <v>3254</v>
      </c>
      <c r="H1983" s="461" t="s">
        <v>3055</v>
      </c>
      <c r="I1983" s="538" t="s">
        <v>3055</v>
      </c>
      <c r="J1983" s="729">
        <v>45195</v>
      </c>
      <c r="K1983" s="772">
        <v>0.75</v>
      </c>
      <c r="L1983" s="729">
        <v>45195</v>
      </c>
      <c r="M1983" s="772">
        <v>0.77083333333333337</v>
      </c>
      <c r="N1983" s="373">
        <v>0.5</v>
      </c>
      <c r="O1983" s="184" t="s">
        <v>17</v>
      </c>
      <c r="P1983" s="375" t="s">
        <v>2909</v>
      </c>
      <c r="Q1983" s="179" t="s">
        <v>1441</v>
      </c>
      <c r="R1983" s="31" t="s">
        <v>95</v>
      </c>
      <c r="S1983" s="31" t="s">
        <v>273</v>
      </c>
      <c r="T1983" s="31" t="s">
        <v>273</v>
      </c>
      <c r="U1983" s="31">
        <f>IFERROR(VLOOKUP(CONCATENATE(Tabla1[[#This Row],[Severidad]]," ",Tabla1[[#This Row],[Complejidad]]),Catalogos!E$120:G$128,3,FALSE),"")</f>
        <v>64</v>
      </c>
      <c r="V1983" s="31" t="str">
        <f>IF(Tabla1[[#This Row],[Tiempo solución max (hrs)]]&lt;&gt;"",IF(Tabla1[[#This Row],[Tiempo solución max (hrs)]]&gt;=Tabla1[[#This Row],[Tiempo
(Hrs 00/100)]],"cumple","no cumple"),"")</f>
        <v>cumple</v>
      </c>
      <c r="W1983" s="376" t="s">
        <v>2418</v>
      </c>
      <c r="X1983" s="377" t="str">
        <f t="shared" si="181"/>
        <v>SSI</v>
      </c>
      <c r="Y1983" t="str">
        <f>SUBSTITUTE(Tabla1[[#This Row],[Descripción]],CHAR(10),"    I    ")</f>
        <v>Se actualizó el documento 'Querys_Estadisiticas_Totales' con los comentarios sobre el Query 3 de la Funcionalidad 2</v>
      </c>
      <c r="Z1983" s="142">
        <f>VLOOKUP(Tabla1[[#This Row],[Perfil]],Catalogos!$B$75:$D$100,3,FALSE)*Tabla1[[#This Row],[Tiempo
(Hrs 00/100)]]*1.16</f>
        <v>348</v>
      </c>
    </row>
    <row r="1984" spans="1:26" ht="40.5" customHeight="1" x14ac:dyDescent="0.3">
      <c r="A1984" s="373" t="s">
        <v>22</v>
      </c>
      <c r="B1984" s="373" t="s">
        <v>305</v>
      </c>
      <c r="C1984" s="373" t="s">
        <v>257</v>
      </c>
      <c r="D1984" s="373"/>
      <c r="E1984" s="373" t="s">
        <v>408</v>
      </c>
      <c r="F1984" s="373" t="s">
        <v>72</v>
      </c>
      <c r="G1984" s="373" t="s">
        <v>3255</v>
      </c>
      <c r="H1984" s="461" t="s">
        <v>3056</v>
      </c>
      <c r="I1984" s="538" t="s">
        <v>3057</v>
      </c>
      <c r="J1984" s="729">
        <v>45196</v>
      </c>
      <c r="K1984" s="772">
        <v>0.375</v>
      </c>
      <c r="L1984" s="729">
        <v>45196</v>
      </c>
      <c r="M1984" s="772">
        <v>0.41666666666666669</v>
      </c>
      <c r="N1984" s="373">
        <v>1</v>
      </c>
      <c r="O1984" s="184" t="s">
        <v>17</v>
      </c>
      <c r="P1984" s="375" t="s">
        <v>2909</v>
      </c>
      <c r="Q1984" s="179" t="s">
        <v>1441</v>
      </c>
      <c r="R1984" s="31" t="s">
        <v>95</v>
      </c>
      <c r="S1984" s="31" t="s">
        <v>273</v>
      </c>
      <c r="T1984" s="31" t="s">
        <v>273</v>
      </c>
      <c r="U1984" s="31">
        <f>IFERROR(VLOOKUP(CONCATENATE(Tabla1[[#This Row],[Severidad]]," ",Tabla1[[#This Row],[Complejidad]]),Catalogos!E$120:G$128,3,FALSE),"")</f>
        <v>64</v>
      </c>
      <c r="V1984" s="31" t="str">
        <f>IF(Tabla1[[#This Row],[Tiempo solución max (hrs)]]&lt;&gt;"",IF(Tabla1[[#This Row],[Tiempo solución max (hrs)]]&gt;=Tabla1[[#This Row],[Tiempo
(Hrs 00/100)]],"cumple","no cumple"),"")</f>
        <v>cumple</v>
      </c>
      <c r="W1984" s="376" t="s">
        <v>2418</v>
      </c>
      <c r="X1984" s="377" t="str">
        <f t="shared" si="181"/>
        <v>SSI</v>
      </c>
      <c r="Y1984" t="str">
        <f>SUBSTITUTE(Tabla1[[#This Row],[Descripción]],CHAR(10),"    I    ")</f>
        <v>Se revisó el Query #1 del archivo IEDEPNI para la Funcionalidad 3 'TOTAL DE RECURSOS DE REVISIÓN GESTIONADOS', se hicieron las primeras ejecuciones con los parámetros para entender su funcionamiento</v>
      </c>
      <c r="Z1984" s="142">
        <f>VLOOKUP(Tabla1[[#This Row],[Perfil]],Catalogos!$B$75:$D$100,3,FALSE)*Tabla1[[#This Row],[Tiempo
(Hrs 00/100)]]*1.16</f>
        <v>696</v>
      </c>
    </row>
    <row r="1985" spans="1:26" ht="40.5" customHeight="1" x14ac:dyDescent="0.3">
      <c r="A1985" s="373" t="s">
        <v>22</v>
      </c>
      <c r="B1985" s="373" t="s">
        <v>23</v>
      </c>
      <c r="C1985" s="373" t="s">
        <v>257</v>
      </c>
      <c r="D1985" s="373"/>
      <c r="E1985" s="373" t="s">
        <v>408</v>
      </c>
      <c r="F1985" s="373" t="s">
        <v>23</v>
      </c>
      <c r="G1985" s="373" t="s">
        <v>3256</v>
      </c>
      <c r="H1985" s="461" t="s">
        <v>3058</v>
      </c>
      <c r="I1985" s="538" t="s">
        <v>3059</v>
      </c>
      <c r="J1985" s="729">
        <v>45196</v>
      </c>
      <c r="K1985" s="772">
        <v>0.41666666666666669</v>
      </c>
      <c r="L1985" s="729">
        <v>45196</v>
      </c>
      <c r="M1985" s="772">
        <v>0.5</v>
      </c>
      <c r="N1985" s="373">
        <v>2</v>
      </c>
      <c r="O1985" s="184" t="s">
        <v>17</v>
      </c>
      <c r="P1985" s="375" t="s">
        <v>2909</v>
      </c>
      <c r="Q1985" s="179" t="s">
        <v>1441</v>
      </c>
      <c r="R1985" s="31" t="s">
        <v>95</v>
      </c>
      <c r="S1985" s="31" t="s">
        <v>273</v>
      </c>
      <c r="T1985" s="31" t="s">
        <v>273</v>
      </c>
      <c r="U1985" s="31">
        <f>IFERROR(VLOOKUP(CONCATENATE(Tabla1[[#This Row],[Severidad]]," ",Tabla1[[#This Row],[Complejidad]]),Catalogos!E$120:G$128,3,FALSE),"")</f>
        <v>64</v>
      </c>
      <c r="V1985" s="31" t="str">
        <f>IF(Tabla1[[#This Row],[Tiempo solución max (hrs)]]&lt;&gt;"",IF(Tabla1[[#This Row],[Tiempo solución max (hrs)]]&gt;=Tabla1[[#This Row],[Tiempo
(Hrs 00/100)]],"cumple","no cumple"),"")</f>
        <v>cumple</v>
      </c>
      <c r="W1985" s="376" t="s">
        <v>2418</v>
      </c>
      <c r="X1985" s="377" t="str">
        <f t="shared" si="181"/>
        <v>SSI</v>
      </c>
      <c r="Y1985" t="str">
        <f>SUBSTITUTE(Tabla1[[#This Row],[Descripción]],CHAR(10),"    I    ")</f>
        <v>Se optimizó el Query #1 del archivo IEDEPNI (Funcionalidad 3) para tener una versión mejorada en tiempo de respuesta y costo</v>
      </c>
      <c r="Z1985" s="142">
        <f>VLOOKUP(Tabla1[[#This Row],[Perfil]],Catalogos!$B$75:$D$100,3,FALSE)*Tabla1[[#This Row],[Tiempo
(Hrs 00/100)]]*1.16</f>
        <v>1392</v>
      </c>
    </row>
    <row r="1986" spans="1:26" ht="40.5" customHeight="1" x14ac:dyDescent="0.3">
      <c r="A1986" s="373" t="s">
        <v>22</v>
      </c>
      <c r="B1986" s="373" t="s">
        <v>23</v>
      </c>
      <c r="C1986" s="373" t="s">
        <v>257</v>
      </c>
      <c r="D1986" s="373"/>
      <c r="E1986" s="373" t="s">
        <v>408</v>
      </c>
      <c r="F1986" s="373" t="s">
        <v>23</v>
      </c>
      <c r="G1986" s="373" t="s">
        <v>3257</v>
      </c>
      <c r="H1986" s="461" t="s">
        <v>3060</v>
      </c>
      <c r="I1986" s="538" t="s">
        <v>3061</v>
      </c>
      <c r="J1986" s="729">
        <v>45196</v>
      </c>
      <c r="K1986" s="772">
        <v>0.5</v>
      </c>
      <c r="L1986" s="729">
        <v>45196</v>
      </c>
      <c r="M1986" s="772">
        <v>0.54166666666666663</v>
      </c>
      <c r="N1986" s="373">
        <v>1</v>
      </c>
      <c r="O1986" s="184" t="s">
        <v>17</v>
      </c>
      <c r="P1986" s="375" t="s">
        <v>2909</v>
      </c>
      <c r="Q1986" s="179" t="s">
        <v>1441</v>
      </c>
      <c r="R1986" s="31" t="s">
        <v>95</v>
      </c>
      <c r="S1986" s="31" t="s">
        <v>273</v>
      </c>
      <c r="T1986" s="31" t="s">
        <v>273</v>
      </c>
      <c r="U1986" s="31">
        <f>IFERROR(VLOOKUP(CONCATENATE(Tabla1[[#This Row],[Severidad]]," ",Tabla1[[#This Row],[Complejidad]]),Catalogos!E$120:G$128,3,FALSE),"")</f>
        <v>64</v>
      </c>
      <c r="V1986" s="31" t="str">
        <f>IF(Tabla1[[#This Row],[Tiempo solución max (hrs)]]&lt;&gt;"",IF(Tabla1[[#This Row],[Tiempo solución max (hrs)]]&gt;=Tabla1[[#This Row],[Tiempo
(Hrs 00/100)]],"cumple","no cumple"),"")</f>
        <v>cumple</v>
      </c>
      <c r="W1986" s="376" t="s">
        <v>2418</v>
      </c>
      <c r="X1986" s="377" t="str">
        <f t="shared" si="181"/>
        <v>SSI</v>
      </c>
      <c r="Y1986" t="str">
        <f>SUBSTITUTE(Tabla1[[#This Row],[Descripción]],CHAR(10),"    I    ")</f>
        <v>Se creó el nuevo procedimiento 'FUNC3_TOTRECREVGESTIOQ1' en el paquete 'PACK_SISAI3', con la funcionalidad del Query #1</v>
      </c>
      <c r="Z1986" s="142">
        <f>VLOOKUP(Tabla1[[#This Row],[Perfil]],Catalogos!$B$75:$D$100,3,FALSE)*Tabla1[[#This Row],[Tiempo
(Hrs 00/100)]]*1.16</f>
        <v>696</v>
      </c>
    </row>
    <row r="1987" spans="1:26" ht="40.5" customHeight="1" x14ac:dyDescent="0.3">
      <c r="A1987" s="373" t="s">
        <v>22</v>
      </c>
      <c r="B1987" s="373" t="s">
        <v>23</v>
      </c>
      <c r="C1987" s="373" t="s">
        <v>257</v>
      </c>
      <c r="D1987" s="373"/>
      <c r="E1987" s="373" t="s">
        <v>408</v>
      </c>
      <c r="F1987" s="373" t="s">
        <v>23</v>
      </c>
      <c r="G1987" s="373" t="s">
        <v>3258</v>
      </c>
      <c r="H1987" s="461" t="s">
        <v>2946</v>
      </c>
      <c r="I1987" s="538" t="s">
        <v>2946</v>
      </c>
      <c r="J1987" s="729">
        <v>45196</v>
      </c>
      <c r="K1987" s="772">
        <v>0.54166666666666663</v>
      </c>
      <c r="L1987" s="729">
        <v>45196</v>
      </c>
      <c r="M1987" s="772">
        <v>0.58333333333333337</v>
      </c>
      <c r="N1987" s="373">
        <v>1</v>
      </c>
      <c r="O1987" s="184" t="s">
        <v>17</v>
      </c>
      <c r="P1987" s="375" t="s">
        <v>2909</v>
      </c>
      <c r="Q1987" s="179" t="s">
        <v>1441</v>
      </c>
      <c r="R1987" s="31" t="s">
        <v>95</v>
      </c>
      <c r="S1987" s="31" t="s">
        <v>273</v>
      </c>
      <c r="T1987" s="31" t="s">
        <v>273</v>
      </c>
      <c r="U1987" s="31">
        <f>IFERROR(VLOOKUP(CONCATENATE(Tabla1[[#This Row],[Severidad]]," ",Tabla1[[#This Row],[Complejidad]]),Catalogos!E$120:G$128,3,FALSE),"")</f>
        <v>64</v>
      </c>
      <c r="V1987" s="31" t="str">
        <f>IF(Tabla1[[#This Row],[Tiempo solución max (hrs)]]&lt;&gt;"",IF(Tabla1[[#This Row],[Tiempo solución max (hrs)]]&gt;=Tabla1[[#This Row],[Tiempo
(Hrs 00/100)]],"cumple","no cumple"),"")</f>
        <v>cumple</v>
      </c>
      <c r="W1987" s="376" t="s">
        <v>2418</v>
      </c>
      <c r="X1987" s="377" t="str">
        <f t="shared" si="181"/>
        <v>SSI</v>
      </c>
      <c r="Y1987" t="str">
        <f>SUBSTITUTE(Tabla1[[#This Row],[Descripción]],CHAR(10),"    I    ")</f>
        <v>Se verificó campo por campo del query 1 de la Funcionalidad 3, validando el tipo de dato y longitud exactos</v>
      </c>
      <c r="Z1987" s="142">
        <f>VLOOKUP(Tabla1[[#This Row],[Perfil]],Catalogos!$B$75:$D$100,3,FALSE)*Tabla1[[#This Row],[Tiempo
(Hrs 00/100)]]*1.16</f>
        <v>696</v>
      </c>
    </row>
    <row r="1988" spans="1:26" ht="40.5" customHeight="1" x14ac:dyDescent="0.3">
      <c r="A1988" s="373" t="s">
        <v>22</v>
      </c>
      <c r="B1988" s="373" t="s">
        <v>23</v>
      </c>
      <c r="C1988" s="373" t="s">
        <v>257</v>
      </c>
      <c r="D1988" s="373"/>
      <c r="E1988" s="373" t="s">
        <v>408</v>
      </c>
      <c r="F1988" s="373" t="s">
        <v>23</v>
      </c>
      <c r="G1988" s="373" t="s">
        <v>3259</v>
      </c>
      <c r="H1988" s="461" t="s">
        <v>2947</v>
      </c>
      <c r="I1988" s="538" t="s">
        <v>2947</v>
      </c>
      <c r="J1988" s="729">
        <v>45196</v>
      </c>
      <c r="K1988" s="772">
        <v>0.625</v>
      </c>
      <c r="L1988" s="729">
        <v>45196</v>
      </c>
      <c r="M1988" s="772">
        <v>0.66666666666666663</v>
      </c>
      <c r="N1988" s="373">
        <v>1</v>
      </c>
      <c r="O1988" s="184" t="s">
        <v>17</v>
      </c>
      <c r="P1988" s="375" t="s">
        <v>2909</v>
      </c>
      <c r="Q1988" s="179" t="s">
        <v>1441</v>
      </c>
      <c r="R1988" s="31" t="s">
        <v>95</v>
      </c>
      <c r="S1988" s="31" t="s">
        <v>273</v>
      </c>
      <c r="T1988" s="31" t="s">
        <v>273</v>
      </c>
      <c r="U1988" s="31">
        <f>IFERROR(VLOOKUP(CONCATENATE(Tabla1[[#This Row],[Severidad]]," ",Tabla1[[#This Row],[Complejidad]]),Catalogos!E$120:G$128,3,FALSE),"")</f>
        <v>64</v>
      </c>
      <c r="V1988" s="31" t="str">
        <f>IF(Tabla1[[#This Row],[Tiempo solución max (hrs)]]&lt;&gt;"",IF(Tabla1[[#This Row],[Tiempo solución max (hrs)]]&gt;=Tabla1[[#This Row],[Tiempo
(Hrs 00/100)]],"cumple","no cumple"),"")</f>
        <v>cumple</v>
      </c>
      <c r="W1988" s="376" t="s">
        <v>2418</v>
      </c>
      <c r="X1988" s="377" t="str">
        <f t="shared" si="181"/>
        <v>SSI</v>
      </c>
      <c r="Y1988" t="str">
        <f>SUBSTITUTE(Tabla1[[#This Row],[Descripción]],CHAR(10),"    I    ")</f>
        <v>Se declararon las variables en bloque anónimo con validación exacta de tamaños de tipos de datos, del query 1 de la Funcionalidad 3</v>
      </c>
      <c r="Z1988" s="142">
        <f>VLOOKUP(Tabla1[[#This Row],[Perfil]],Catalogos!$B$75:$D$100,3,FALSE)*Tabla1[[#This Row],[Tiempo
(Hrs 00/100)]]*1.16</f>
        <v>696</v>
      </c>
    </row>
    <row r="1989" spans="1:26" ht="40.5" customHeight="1" x14ac:dyDescent="0.3">
      <c r="A1989" s="373" t="s">
        <v>22</v>
      </c>
      <c r="B1989" s="373" t="s">
        <v>66</v>
      </c>
      <c r="C1989" s="373" t="s">
        <v>257</v>
      </c>
      <c r="D1989" s="373"/>
      <c r="E1989" s="373" t="s">
        <v>408</v>
      </c>
      <c r="F1989" s="373" t="s">
        <v>75</v>
      </c>
      <c r="G1989" s="373" t="s">
        <v>3260</v>
      </c>
      <c r="H1989" s="461" t="s">
        <v>3062</v>
      </c>
      <c r="I1989" s="538" t="s">
        <v>2949</v>
      </c>
      <c r="J1989" s="729">
        <v>45196</v>
      </c>
      <c r="K1989" s="772">
        <v>0.66666666666666663</v>
      </c>
      <c r="L1989" s="729">
        <v>45196</v>
      </c>
      <c r="M1989" s="772">
        <v>0.70833333333333337</v>
      </c>
      <c r="N1989" s="373">
        <v>1</v>
      </c>
      <c r="O1989" s="184" t="s">
        <v>17</v>
      </c>
      <c r="P1989" s="375" t="s">
        <v>2909</v>
      </c>
      <c r="Q1989" s="179" t="s">
        <v>1441</v>
      </c>
      <c r="R1989" s="31" t="s">
        <v>95</v>
      </c>
      <c r="S1989" s="31" t="s">
        <v>273</v>
      </c>
      <c r="T1989" s="31" t="s">
        <v>273</v>
      </c>
      <c r="U1989" s="31">
        <f>IFERROR(VLOOKUP(CONCATENATE(Tabla1[[#This Row],[Severidad]]," ",Tabla1[[#This Row],[Complejidad]]),Catalogos!E$120:G$128,3,FALSE),"")</f>
        <v>64</v>
      </c>
      <c r="V1989" s="31" t="str">
        <f>IF(Tabla1[[#This Row],[Tiempo solución max (hrs)]]&lt;&gt;"",IF(Tabla1[[#This Row],[Tiempo solución max (hrs)]]&gt;=Tabla1[[#This Row],[Tiempo
(Hrs 00/100)]],"cumple","no cumple"),"")</f>
        <v>cumple</v>
      </c>
      <c r="W1989" s="376" t="s">
        <v>2418</v>
      </c>
      <c r="X1989" s="377" t="str">
        <f t="shared" si="181"/>
        <v>SSI</v>
      </c>
      <c r="Y1989" t="str">
        <f>SUBSTITUTE(Tabla1[[#This Row],[Descripción]],CHAR(10),"    I    ")</f>
        <v xml:space="preserve">Se validó el paquete-procedimiento de la funcionalidad 3 - Query # 1 con el bloque anónimo correcto y se tuvo un resultado exitoso con la salida del cursor completo </v>
      </c>
      <c r="Z1989" s="142">
        <f>VLOOKUP(Tabla1[[#This Row],[Perfil]],Catalogos!$B$75:$D$100,3,FALSE)*Tabla1[[#This Row],[Tiempo
(Hrs 00/100)]]*1.16</f>
        <v>696</v>
      </c>
    </row>
    <row r="1990" spans="1:26" ht="40.5" customHeight="1" x14ac:dyDescent="0.3">
      <c r="A1990" s="373" t="s">
        <v>22</v>
      </c>
      <c r="B1990" s="373" t="s">
        <v>21</v>
      </c>
      <c r="C1990" s="373" t="s">
        <v>257</v>
      </c>
      <c r="D1990" s="373"/>
      <c r="E1990" s="373" t="s">
        <v>408</v>
      </c>
      <c r="F1990" s="373" t="s">
        <v>73</v>
      </c>
      <c r="G1990" s="373" t="s">
        <v>3261</v>
      </c>
      <c r="H1990" s="461" t="s">
        <v>3063</v>
      </c>
      <c r="I1990" s="538" t="s">
        <v>3063</v>
      </c>
      <c r="J1990" s="729">
        <v>45196</v>
      </c>
      <c r="K1990" s="772">
        <v>0.70833333333333337</v>
      </c>
      <c r="L1990" s="729">
        <v>45196</v>
      </c>
      <c r="M1990" s="772">
        <v>0.72916666666666663</v>
      </c>
      <c r="N1990" s="373">
        <v>0.5</v>
      </c>
      <c r="O1990" s="184" t="s">
        <v>17</v>
      </c>
      <c r="P1990" s="375" t="s">
        <v>2909</v>
      </c>
      <c r="Q1990" s="179" t="s">
        <v>1441</v>
      </c>
      <c r="R1990" s="31" t="s">
        <v>95</v>
      </c>
      <c r="S1990" s="31" t="s">
        <v>273</v>
      </c>
      <c r="T1990" s="31" t="s">
        <v>273</v>
      </c>
      <c r="U1990" s="31">
        <f>IFERROR(VLOOKUP(CONCATENATE(Tabla1[[#This Row],[Severidad]]," ",Tabla1[[#This Row],[Complejidad]]),Catalogos!E$120:G$128,3,FALSE),"")</f>
        <v>64</v>
      </c>
      <c r="V1990" s="31" t="str">
        <f>IF(Tabla1[[#This Row],[Tiempo solución max (hrs)]]&lt;&gt;"",IF(Tabla1[[#This Row],[Tiempo solución max (hrs)]]&gt;=Tabla1[[#This Row],[Tiempo
(Hrs 00/100)]],"cumple","no cumple"),"")</f>
        <v>cumple</v>
      </c>
      <c r="W1990" s="376" t="s">
        <v>2418</v>
      </c>
      <c r="X1990" s="377" t="str">
        <f t="shared" si="181"/>
        <v>SSI</v>
      </c>
      <c r="Y1990" t="str">
        <f>SUBSTITUTE(Tabla1[[#This Row],[Descripción]],CHAR(10),"    I    ")</f>
        <v>Se actualizó el documento 'Querys_Estadisiticas_Totales' con los comentarios sobre el Query 1 de la Funcionalidad 3</v>
      </c>
      <c r="Z1990" s="142">
        <f>VLOOKUP(Tabla1[[#This Row],[Perfil]],Catalogos!$B$75:$D$100,3,FALSE)*Tabla1[[#This Row],[Tiempo
(Hrs 00/100)]]*1.16</f>
        <v>348</v>
      </c>
    </row>
    <row r="1991" spans="1:26" ht="40.5" customHeight="1" x14ac:dyDescent="0.3">
      <c r="A1991" s="373" t="s">
        <v>22</v>
      </c>
      <c r="B1991" s="373" t="s">
        <v>305</v>
      </c>
      <c r="C1991" s="373" t="s">
        <v>257</v>
      </c>
      <c r="D1991" s="373"/>
      <c r="E1991" s="373" t="s">
        <v>408</v>
      </c>
      <c r="F1991" s="373" t="s">
        <v>72</v>
      </c>
      <c r="G1991" s="373" t="s">
        <v>3262</v>
      </c>
      <c r="H1991" s="461" t="s">
        <v>3064</v>
      </c>
      <c r="I1991" s="538" t="s">
        <v>3065</v>
      </c>
      <c r="J1991" s="729">
        <v>45196</v>
      </c>
      <c r="K1991" s="772">
        <v>0.72916666666666663</v>
      </c>
      <c r="L1991" s="729">
        <v>45196</v>
      </c>
      <c r="M1991" s="772">
        <v>0.77083333333333337</v>
      </c>
      <c r="N1991" s="373">
        <v>1</v>
      </c>
      <c r="O1991" s="184" t="s">
        <v>17</v>
      </c>
      <c r="P1991" s="375" t="s">
        <v>2909</v>
      </c>
      <c r="Q1991" s="179" t="s">
        <v>1441</v>
      </c>
      <c r="R1991" s="31" t="s">
        <v>95</v>
      </c>
      <c r="S1991" s="31" t="s">
        <v>273</v>
      </c>
      <c r="T1991" s="31" t="s">
        <v>273</v>
      </c>
      <c r="U1991" s="31">
        <f>IFERROR(VLOOKUP(CONCATENATE(Tabla1[[#This Row],[Severidad]]," ",Tabla1[[#This Row],[Complejidad]]),Catalogos!E$120:G$128,3,FALSE),"")</f>
        <v>64</v>
      </c>
      <c r="V1991" s="31" t="str">
        <f>IF(Tabla1[[#This Row],[Tiempo solución max (hrs)]]&lt;&gt;"",IF(Tabla1[[#This Row],[Tiempo solución max (hrs)]]&gt;=Tabla1[[#This Row],[Tiempo
(Hrs 00/100)]],"cumple","no cumple"),"")</f>
        <v>cumple</v>
      </c>
      <c r="W1991" s="376" t="s">
        <v>2418</v>
      </c>
      <c r="X1991" s="377" t="str">
        <f t="shared" si="181"/>
        <v>SSI</v>
      </c>
      <c r="Y1991" t="str">
        <f>SUBSTITUTE(Tabla1[[#This Row],[Descripción]],CHAR(10),"    I    ")</f>
        <v>Se revisó el Query #1 del archivo IEDEPNI para la Funcionalidad 4 'TOTAL DE OBLIGACIONES DE TRANSPARENCIA', se hicieron las primeras ejecuciones con los parámetros para entender su funcionamiento</v>
      </c>
      <c r="Z1991" s="142">
        <f>VLOOKUP(Tabla1[[#This Row],[Perfil]],Catalogos!$B$75:$D$100,3,FALSE)*Tabla1[[#This Row],[Tiempo
(Hrs 00/100)]]*1.16</f>
        <v>696</v>
      </c>
    </row>
    <row r="1992" spans="1:26" ht="40.5" customHeight="1" x14ac:dyDescent="0.3">
      <c r="A1992" s="373" t="s">
        <v>22</v>
      </c>
      <c r="B1992" s="373" t="s">
        <v>23</v>
      </c>
      <c r="C1992" s="373" t="s">
        <v>257</v>
      </c>
      <c r="D1992" s="373"/>
      <c r="E1992" s="373" t="s">
        <v>408</v>
      </c>
      <c r="F1992" s="373" t="s">
        <v>23</v>
      </c>
      <c r="G1992" s="373" t="s">
        <v>3263</v>
      </c>
      <c r="H1992" s="461" t="s">
        <v>3066</v>
      </c>
      <c r="I1992" s="538" t="s">
        <v>3067</v>
      </c>
      <c r="J1992" s="729">
        <v>45197</v>
      </c>
      <c r="K1992" s="772">
        <v>0.375</v>
      </c>
      <c r="L1992" s="729">
        <v>45197</v>
      </c>
      <c r="M1992" s="772">
        <v>0.45833333333333331</v>
      </c>
      <c r="N1992" s="373">
        <v>2</v>
      </c>
      <c r="O1992" s="184" t="s">
        <v>17</v>
      </c>
      <c r="P1992" s="375" t="s">
        <v>2909</v>
      </c>
      <c r="Q1992" s="179" t="s">
        <v>1441</v>
      </c>
      <c r="R1992" s="31" t="s">
        <v>95</v>
      </c>
      <c r="S1992" s="31" t="s">
        <v>273</v>
      </c>
      <c r="T1992" s="31" t="s">
        <v>273</v>
      </c>
      <c r="U1992" s="31">
        <f>IFERROR(VLOOKUP(CONCATENATE(Tabla1[[#This Row],[Severidad]]," ",Tabla1[[#This Row],[Complejidad]]),Catalogos!E$120:G$128,3,FALSE),"")</f>
        <v>64</v>
      </c>
      <c r="V1992" s="31" t="str">
        <f>IF(Tabla1[[#This Row],[Tiempo solución max (hrs)]]&lt;&gt;"",IF(Tabla1[[#This Row],[Tiempo solución max (hrs)]]&gt;=Tabla1[[#This Row],[Tiempo
(Hrs 00/100)]],"cumple","no cumple"),"")</f>
        <v>cumple</v>
      </c>
      <c r="W1992" s="376" t="s">
        <v>2418</v>
      </c>
      <c r="X1992" s="377" t="str">
        <f t="shared" si="181"/>
        <v>SSI</v>
      </c>
      <c r="Y1992" t="str">
        <f>SUBSTITUTE(Tabla1[[#This Row],[Descripción]],CHAR(10),"    I    ")</f>
        <v>Se optimizó el Query #1 del archivo IEDEPNI (Funcionalidad 4) para tener una versión mejorada en tiempo de respuesta y costo</v>
      </c>
      <c r="Z1992" s="142">
        <f>VLOOKUP(Tabla1[[#This Row],[Perfil]],Catalogos!$B$75:$D$100,3,FALSE)*Tabla1[[#This Row],[Tiempo
(Hrs 00/100)]]*1.16</f>
        <v>1392</v>
      </c>
    </row>
    <row r="1993" spans="1:26" ht="40.5" customHeight="1" x14ac:dyDescent="0.3">
      <c r="A1993" s="373" t="s">
        <v>22</v>
      </c>
      <c r="B1993" s="373" t="s">
        <v>23</v>
      </c>
      <c r="C1993" s="373" t="s">
        <v>257</v>
      </c>
      <c r="D1993" s="373"/>
      <c r="E1993" s="373" t="s">
        <v>408</v>
      </c>
      <c r="F1993" s="373" t="s">
        <v>23</v>
      </c>
      <c r="G1993" s="373" t="s">
        <v>3264</v>
      </c>
      <c r="H1993" s="461" t="s">
        <v>3068</v>
      </c>
      <c r="I1993" s="538" t="s">
        <v>3069</v>
      </c>
      <c r="J1993" s="729">
        <v>45197</v>
      </c>
      <c r="K1993" s="772">
        <v>0.45833333333333331</v>
      </c>
      <c r="L1993" s="729">
        <v>45197</v>
      </c>
      <c r="M1993" s="772">
        <v>0.5</v>
      </c>
      <c r="N1993" s="373">
        <v>1</v>
      </c>
      <c r="O1993" s="184" t="s">
        <v>17</v>
      </c>
      <c r="P1993" s="375" t="s">
        <v>2909</v>
      </c>
      <c r="Q1993" s="179" t="s">
        <v>1441</v>
      </c>
      <c r="R1993" s="31" t="s">
        <v>95</v>
      </c>
      <c r="S1993" s="31" t="s">
        <v>273</v>
      </c>
      <c r="T1993" s="31" t="s">
        <v>273</v>
      </c>
      <c r="U1993" s="31">
        <f>IFERROR(VLOOKUP(CONCATENATE(Tabla1[[#This Row],[Severidad]]," ",Tabla1[[#This Row],[Complejidad]]),Catalogos!E$120:G$128,3,FALSE),"")</f>
        <v>64</v>
      </c>
      <c r="V1993" s="31" t="str">
        <f>IF(Tabla1[[#This Row],[Tiempo solución max (hrs)]]&lt;&gt;"",IF(Tabla1[[#This Row],[Tiempo solución max (hrs)]]&gt;=Tabla1[[#This Row],[Tiempo
(Hrs 00/100)]],"cumple","no cumple"),"")</f>
        <v>cumple</v>
      </c>
      <c r="W1993" s="376" t="s">
        <v>2418</v>
      </c>
      <c r="X1993" s="377" t="str">
        <f t="shared" si="181"/>
        <v>SSI</v>
      </c>
      <c r="Y1993" t="str">
        <f>SUBSTITUTE(Tabla1[[#This Row],[Descripción]],CHAR(10),"    I    ")</f>
        <v>Se creó el nuevo procedimiento 'FUNC4_TOTOBLTRANSPAQ1' en el paquete 'PACK_SISAI3', con la funcionalidad del Query #1</v>
      </c>
      <c r="Z1993" s="142">
        <f>VLOOKUP(Tabla1[[#This Row],[Perfil]],Catalogos!$B$75:$D$100,3,FALSE)*Tabla1[[#This Row],[Tiempo
(Hrs 00/100)]]*1.16</f>
        <v>696</v>
      </c>
    </row>
    <row r="1994" spans="1:26" ht="40.5" customHeight="1" x14ac:dyDescent="0.3">
      <c r="A1994" s="373" t="s">
        <v>22</v>
      </c>
      <c r="B1994" s="373" t="s">
        <v>23</v>
      </c>
      <c r="C1994" s="373" t="s">
        <v>257</v>
      </c>
      <c r="D1994" s="373"/>
      <c r="E1994" s="373" t="s">
        <v>408</v>
      </c>
      <c r="F1994" s="373" t="s">
        <v>23</v>
      </c>
      <c r="G1994" s="373" t="s">
        <v>3265</v>
      </c>
      <c r="H1994" s="461" t="s">
        <v>2957</v>
      </c>
      <c r="I1994" s="538" t="s">
        <v>2957</v>
      </c>
      <c r="J1994" s="729">
        <v>45197</v>
      </c>
      <c r="K1994" s="772">
        <v>0.5</v>
      </c>
      <c r="L1994" s="729">
        <v>45197</v>
      </c>
      <c r="M1994" s="772">
        <v>0.54166666666666663</v>
      </c>
      <c r="N1994" s="373">
        <v>1</v>
      </c>
      <c r="O1994" s="184" t="s">
        <v>17</v>
      </c>
      <c r="P1994" s="375" t="s">
        <v>2909</v>
      </c>
      <c r="Q1994" s="179" t="s">
        <v>1441</v>
      </c>
      <c r="R1994" s="31" t="s">
        <v>95</v>
      </c>
      <c r="S1994" s="31" t="s">
        <v>273</v>
      </c>
      <c r="T1994" s="31" t="s">
        <v>273</v>
      </c>
      <c r="U1994" s="31">
        <f>IFERROR(VLOOKUP(CONCATENATE(Tabla1[[#This Row],[Severidad]]," ",Tabla1[[#This Row],[Complejidad]]),Catalogos!E$120:G$128,3,FALSE),"")</f>
        <v>64</v>
      </c>
      <c r="V1994" s="31" t="str">
        <f>IF(Tabla1[[#This Row],[Tiempo solución max (hrs)]]&lt;&gt;"",IF(Tabla1[[#This Row],[Tiempo solución max (hrs)]]&gt;=Tabla1[[#This Row],[Tiempo
(Hrs 00/100)]],"cumple","no cumple"),"")</f>
        <v>cumple</v>
      </c>
      <c r="W1994" s="376" t="s">
        <v>2418</v>
      </c>
      <c r="X1994" s="377" t="str">
        <f t="shared" si="181"/>
        <v>SSI</v>
      </c>
      <c r="Y1994" t="str">
        <f>SUBSTITUTE(Tabla1[[#This Row],[Descripción]],CHAR(10),"    I    ")</f>
        <v>Se verificó campo por campo del query 1 de la Funcionalidad 4, validando el tipo de dato y longitud exactos</v>
      </c>
      <c r="Z1994" s="142">
        <f>VLOOKUP(Tabla1[[#This Row],[Perfil]],Catalogos!$B$75:$D$100,3,FALSE)*Tabla1[[#This Row],[Tiempo
(Hrs 00/100)]]*1.16</f>
        <v>696</v>
      </c>
    </row>
    <row r="1995" spans="1:26" ht="40.5" customHeight="1" x14ac:dyDescent="0.3">
      <c r="A1995" s="373" t="s">
        <v>22</v>
      </c>
      <c r="B1995" s="373" t="s">
        <v>23</v>
      </c>
      <c r="C1995" s="373" t="s">
        <v>257</v>
      </c>
      <c r="D1995" s="373"/>
      <c r="E1995" s="373" t="s">
        <v>408</v>
      </c>
      <c r="F1995" s="373" t="s">
        <v>23</v>
      </c>
      <c r="G1995" s="373" t="s">
        <v>3266</v>
      </c>
      <c r="H1995" s="461" t="s">
        <v>2958</v>
      </c>
      <c r="I1995" s="538" t="s">
        <v>2958</v>
      </c>
      <c r="J1995" s="729">
        <v>45197</v>
      </c>
      <c r="K1995" s="772">
        <v>0.54166666666666663</v>
      </c>
      <c r="L1995" s="729">
        <v>45197</v>
      </c>
      <c r="M1995" s="772">
        <v>0.58333333333333337</v>
      </c>
      <c r="N1995" s="373">
        <v>1</v>
      </c>
      <c r="O1995" s="184" t="s">
        <v>17</v>
      </c>
      <c r="P1995" s="375" t="s">
        <v>2909</v>
      </c>
      <c r="Q1995" s="179" t="s">
        <v>1441</v>
      </c>
      <c r="R1995" s="31" t="s">
        <v>95</v>
      </c>
      <c r="S1995" s="31" t="s">
        <v>273</v>
      </c>
      <c r="T1995" s="31" t="s">
        <v>273</v>
      </c>
      <c r="U1995" s="31">
        <f>IFERROR(VLOOKUP(CONCATENATE(Tabla1[[#This Row],[Severidad]]," ",Tabla1[[#This Row],[Complejidad]]),Catalogos!E$120:G$128,3,FALSE),"")</f>
        <v>64</v>
      </c>
      <c r="V1995" s="31" t="str">
        <f>IF(Tabla1[[#This Row],[Tiempo solución max (hrs)]]&lt;&gt;"",IF(Tabla1[[#This Row],[Tiempo solución max (hrs)]]&gt;=Tabla1[[#This Row],[Tiempo
(Hrs 00/100)]],"cumple","no cumple"),"")</f>
        <v>cumple</v>
      </c>
      <c r="W1995" s="376" t="s">
        <v>2418</v>
      </c>
      <c r="X1995" s="377" t="str">
        <f t="shared" si="181"/>
        <v>SSI</v>
      </c>
      <c r="Y1995" t="str">
        <f>SUBSTITUTE(Tabla1[[#This Row],[Descripción]],CHAR(10),"    I    ")</f>
        <v>Se declararon las variables en bloque anónimo con validación exacta de tamaños de tipos de datos, del query 1 de la Funcionalidad 4</v>
      </c>
      <c r="Z1995" s="142">
        <f>VLOOKUP(Tabla1[[#This Row],[Perfil]],Catalogos!$B$75:$D$100,3,FALSE)*Tabla1[[#This Row],[Tiempo
(Hrs 00/100)]]*1.16</f>
        <v>696</v>
      </c>
    </row>
    <row r="1996" spans="1:26" ht="40.5" customHeight="1" x14ac:dyDescent="0.3">
      <c r="A1996" s="373" t="s">
        <v>22</v>
      </c>
      <c r="B1996" s="373" t="s">
        <v>66</v>
      </c>
      <c r="C1996" s="373" t="s">
        <v>257</v>
      </c>
      <c r="D1996" s="373"/>
      <c r="E1996" s="373" t="s">
        <v>408</v>
      </c>
      <c r="F1996" s="373" t="s">
        <v>75</v>
      </c>
      <c r="G1996" s="373" t="s">
        <v>3267</v>
      </c>
      <c r="H1996" s="461" t="s">
        <v>3070</v>
      </c>
      <c r="I1996" s="538" t="s">
        <v>2960</v>
      </c>
      <c r="J1996" s="729">
        <v>45197</v>
      </c>
      <c r="K1996" s="772">
        <v>0.625</v>
      </c>
      <c r="L1996" s="729">
        <v>45197</v>
      </c>
      <c r="M1996" s="772">
        <v>0.66666666666666663</v>
      </c>
      <c r="N1996" s="373">
        <v>1</v>
      </c>
      <c r="O1996" s="184" t="s">
        <v>17</v>
      </c>
      <c r="P1996" s="375" t="s">
        <v>2909</v>
      </c>
      <c r="Q1996" s="179" t="s">
        <v>1441</v>
      </c>
      <c r="R1996" s="31" t="s">
        <v>95</v>
      </c>
      <c r="S1996" s="31" t="s">
        <v>273</v>
      </c>
      <c r="T1996" s="31" t="s">
        <v>273</v>
      </c>
      <c r="U1996" s="31">
        <f>IFERROR(VLOOKUP(CONCATENATE(Tabla1[[#This Row],[Severidad]]," ",Tabla1[[#This Row],[Complejidad]]),Catalogos!E$120:G$128,3,FALSE),"")</f>
        <v>64</v>
      </c>
      <c r="V1996" s="31" t="str">
        <f>IF(Tabla1[[#This Row],[Tiempo solución max (hrs)]]&lt;&gt;"",IF(Tabla1[[#This Row],[Tiempo solución max (hrs)]]&gt;=Tabla1[[#This Row],[Tiempo
(Hrs 00/100)]],"cumple","no cumple"),"")</f>
        <v>cumple</v>
      </c>
      <c r="W1996" s="376" t="s">
        <v>2418</v>
      </c>
      <c r="X1996" s="377" t="str">
        <f t="shared" si="181"/>
        <v>SSI</v>
      </c>
      <c r="Y1996" t="str">
        <f>SUBSTITUTE(Tabla1[[#This Row],[Descripción]],CHAR(10),"    I    ")</f>
        <v xml:space="preserve">Se validó el paquete-procedimiento de la funcionalidad 4 - Query # 1 con el bloque anónimo correcto y se tuvo un resultado exitoso con la salida del cursor completo </v>
      </c>
      <c r="Z1996" s="142">
        <f>VLOOKUP(Tabla1[[#This Row],[Perfil]],Catalogos!$B$75:$D$100,3,FALSE)*Tabla1[[#This Row],[Tiempo
(Hrs 00/100)]]*1.16</f>
        <v>696</v>
      </c>
    </row>
    <row r="1997" spans="1:26" ht="40.5" customHeight="1" x14ac:dyDescent="0.3">
      <c r="A1997" s="373" t="s">
        <v>22</v>
      </c>
      <c r="B1997" s="373" t="s">
        <v>21</v>
      </c>
      <c r="C1997" s="373" t="s">
        <v>257</v>
      </c>
      <c r="D1997" s="373"/>
      <c r="E1997" s="373" t="s">
        <v>408</v>
      </c>
      <c r="F1997" s="373" t="s">
        <v>73</v>
      </c>
      <c r="G1997" s="373" t="s">
        <v>3268</v>
      </c>
      <c r="H1997" s="461" t="s">
        <v>3071</v>
      </c>
      <c r="I1997" s="538" t="s">
        <v>3071</v>
      </c>
      <c r="J1997" s="729">
        <v>45197</v>
      </c>
      <c r="K1997" s="772">
        <v>0.66666666666666663</v>
      </c>
      <c r="L1997" s="729">
        <v>45197</v>
      </c>
      <c r="M1997" s="772">
        <v>0.6875</v>
      </c>
      <c r="N1997" s="373">
        <v>0.5</v>
      </c>
      <c r="O1997" s="184" t="s">
        <v>17</v>
      </c>
      <c r="P1997" s="375" t="s">
        <v>2909</v>
      </c>
      <c r="Q1997" s="179" t="s">
        <v>1441</v>
      </c>
      <c r="R1997" s="31" t="s">
        <v>95</v>
      </c>
      <c r="S1997" s="31" t="s">
        <v>273</v>
      </c>
      <c r="T1997" s="31" t="s">
        <v>273</v>
      </c>
      <c r="U1997" s="31">
        <f>IFERROR(VLOOKUP(CONCATENATE(Tabla1[[#This Row],[Severidad]]," ",Tabla1[[#This Row],[Complejidad]]),Catalogos!E$120:G$128,3,FALSE),"")</f>
        <v>64</v>
      </c>
      <c r="V1997" s="31" t="str">
        <f>IF(Tabla1[[#This Row],[Tiempo solución max (hrs)]]&lt;&gt;"",IF(Tabla1[[#This Row],[Tiempo solución max (hrs)]]&gt;=Tabla1[[#This Row],[Tiempo
(Hrs 00/100)]],"cumple","no cumple"),"")</f>
        <v>cumple</v>
      </c>
      <c r="W1997" s="376" t="s">
        <v>2418</v>
      </c>
      <c r="X1997" s="377" t="str">
        <f t="shared" si="181"/>
        <v>SSI</v>
      </c>
      <c r="Y1997" t="str">
        <f>SUBSTITUTE(Tabla1[[#This Row],[Descripción]],CHAR(10),"    I    ")</f>
        <v>Se actualizó el documento 'Querys_Estadisiticas_Totales' con los comentarios sobre el Query 1 de la Funcionalidad 4</v>
      </c>
      <c r="Z1997" s="142">
        <f>VLOOKUP(Tabla1[[#This Row],[Perfil]],Catalogos!$B$75:$D$100,3,FALSE)*Tabla1[[#This Row],[Tiempo
(Hrs 00/100)]]*1.16</f>
        <v>348</v>
      </c>
    </row>
    <row r="1998" spans="1:26" ht="40.5" customHeight="1" x14ac:dyDescent="0.3">
      <c r="A1998" s="373" t="s">
        <v>22</v>
      </c>
      <c r="B1998" s="373" t="s">
        <v>305</v>
      </c>
      <c r="C1998" s="373" t="s">
        <v>257</v>
      </c>
      <c r="D1998" s="373"/>
      <c r="E1998" s="373" t="s">
        <v>408</v>
      </c>
      <c r="F1998" s="373" t="s">
        <v>72</v>
      </c>
      <c r="G1998" s="373" t="s">
        <v>3269</v>
      </c>
      <c r="H1998" s="461" t="s">
        <v>3072</v>
      </c>
      <c r="I1998" s="538" t="s">
        <v>3073</v>
      </c>
      <c r="J1998" s="729">
        <v>45197</v>
      </c>
      <c r="K1998" s="772">
        <v>0.6875</v>
      </c>
      <c r="L1998" s="729">
        <v>45197</v>
      </c>
      <c r="M1998" s="772">
        <v>0.72916666666666663</v>
      </c>
      <c r="N1998" s="373">
        <v>1</v>
      </c>
      <c r="O1998" s="184" t="s">
        <v>17</v>
      </c>
      <c r="P1998" s="375" t="s">
        <v>2909</v>
      </c>
      <c r="Q1998" s="179" t="s">
        <v>1441</v>
      </c>
      <c r="R1998" s="31" t="s">
        <v>95</v>
      </c>
      <c r="S1998" s="31" t="s">
        <v>273</v>
      </c>
      <c r="T1998" s="31" t="s">
        <v>273</v>
      </c>
      <c r="U1998" s="31">
        <f>IFERROR(VLOOKUP(CONCATENATE(Tabla1[[#This Row],[Severidad]]," ",Tabla1[[#This Row],[Complejidad]]),Catalogos!E$120:G$128,3,FALSE),"")</f>
        <v>64</v>
      </c>
      <c r="V1998" s="31" t="str">
        <f>IF(Tabla1[[#This Row],[Tiempo solución max (hrs)]]&lt;&gt;"",IF(Tabla1[[#This Row],[Tiempo solución max (hrs)]]&gt;=Tabla1[[#This Row],[Tiempo
(Hrs 00/100)]],"cumple","no cumple"),"")</f>
        <v>cumple</v>
      </c>
      <c r="W1998" s="376" t="s">
        <v>2418</v>
      </c>
      <c r="X1998" s="377" t="str">
        <f t="shared" si="181"/>
        <v>SSI</v>
      </c>
      <c r="Y1998" t="str">
        <f>SUBSTITUTE(Tabla1[[#This Row],[Descripción]],CHAR(10),"    I    ")</f>
        <v>Se revisó el Query #1 del archivo IEDEPNI para la Funcionalidad 5 'TOTAL CONSULTA EN LOS BUSCADORES - Buscador Nacional', se hicieron las primeras ejecuciones con los parámetros para entender su funcionamiento</v>
      </c>
      <c r="Z1998" s="142">
        <f>VLOOKUP(Tabla1[[#This Row],[Perfil]],Catalogos!$B$75:$D$100,3,FALSE)*Tabla1[[#This Row],[Tiempo
(Hrs 00/100)]]*1.16</f>
        <v>696</v>
      </c>
    </row>
    <row r="1999" spans="1:26" ht="40.5" customHeight="1" x14ac:dyDescent="0.3">
      <c r="A1999" s="373" t="s">
        <v>22</v>
      </c>
      <c r="B1999" s="373" t="s">
        <v>23</v>
      </c>
      <c r="C1999" s="373" t="s">
        <v>257</v>
      </c>
      <c r="D1999" s="373"/>
      <c r="E1999" s="373" t="s">
        <v>408</v>
      </c>
      <c r="F1999" s="373" t="s">
        <v>23</v>
      </c>
      <c r="G1999" s="373" t="s">
        <v>3270</v>
      </c>
      <c r="H1999" s="461" t="s">
        <v>3074</v>
      </c>
      <c r="I1999" s="538" t="s">
        <v>3075</v>
      </c>
      <c r="J1999" s="729">
        <v>45197</v>
      </c>
      <c r="K1999" s="772">
        <v>0.72916666666666663</v>
      </c>
      <c r="L1999" s="729">
        <v>45197</v>
      </c>
      <c r="M1999" s="772">
        <v>0.8125</v>
      </c>
      <c r="N1999" s="373">
        <v>2</v>
      </c>
      <c r="O1999" s="184" t="s">
        <v>17</v>
      </c>
      <c r="P1999" s="375" t="s">
        <v>2909</v>
      </c>
      <c r="Q1999" s="179" t="s">
        <v>1441</v>
      </c>
      <c r="R1999" s="31" t="s">
        <v>95</v>
      </c>
      <c r="S1999" s="31" t="s">
        <v>273</v>
      </c>
      <c r="T1999" s="31" t="s">
        <v>273</v>
      </c>
      <c r="U1999" s="31">
        <f>IFERROR(VLOOKUP(CONCATENATE(Tabla1[[#This Row],[Severidad]]," ",Tabla1[[#This Row],[Complejidad]]),Catalogos!E$120:G$128,3,FALSE),"")</f>
        <v>64</v>
      </c>
      <c r="V1999" s="31" t="str">
        <f>IF(Tabla1[[#This Row],[Tiempo solución max (hrs)]]&lt;&gt;"",IF(Tabla1[[#This Row],[Tiempo solución max (hrs)]]&gt;=Tabla1[[#This Row],[Tiempo
(Hrs 00/100)]],"cumple","no cumple"),"")</f>
        <v>cumple</v>
      </c>
      <c r="W1999" s="376" t="s">
        <v>2418</v>
      </c>
      <c r="X1999" s="377" t="str">
        <f t="shared" si="181"/>
        <v>SSI</v>
      </c>
      <c r="Y1999" t="str">
        <f>SUBSTITUTE(Tabla1[[#This Row],[Descripción]],CHAR(10),"    I    ")</f>
        <v>Se optimizó el Query #1 del archivo IEDEPNI (Funcionalidad 5) para tener una versión mejorada en tiempo de respuesta y costo</v>
      </c>
      <c r="Z1999" s="142">
        <f>VLOOKUP(Tabla1[[#This Row],[Perfil]],Catalogos!$B$75:$D$100,3,FALSE)*Tabla1[[#This Row],[Tiempo
(Hrs 00/100)]]*1.16</f>
        <v>1392</v>
      </c>
    </row>
    <row r="2000" spans="1:26" ht="40.5" customHeight="1" x14ac:dyDescent="0.3">
      <c r="A2000" s="373" t="s">
        <v>22</v>
      </c>
      <c r="B2000" s="373" t="s">
        <v>23</v>
      </c>
      <c r="C2000" s="373" t="s">
        <v>257</v>
      </c>
      <c r="D2000" s="373"/>
      <c r="E2000" s="373" t="s">
        <v>408</v>
      </c>
      <c r="F2000" s="373" t="s">
        <v>23</v>
      </c>
      <c r="G2000" s="373" t="s">
        <v>3271</v>
      </c>
      <c r="H2000" s="461" t="s">
        <v>3076</v>
      </c>
      <c r="I2000" s="538" t="s">
        <v>3077</v>
      </c>
      <c r="J2000" s="729">
        <v>45198</v>
      </c>
      <c r="K2000" s="772">
        <v>0.375</v>
      </c>
      <c r="L2000" s="729">
        <v>45198</v>
      </c>
      <c r="M2000" s="772">
        <v>0.41666666666666669</v>
      </c>
      <c r="N2000" s="373">
        <v>1</v>
      </c>
      <c r="O2000" s="184" t="s">
        <v>17</v>
      </c>
      <c r="P2000" s="375" t="s">
        <v>2909</v>
      </c>
      <c r="Q2000" s="179" t="s">
        <v>1441</v>
      </c>
      <c r="R2000" s="31" t="s">
        <v>95</v>
      </c>
      <c r="S2000" s="31" t="s">
        <v>273</v>
      </c>
      <c r="T2000" s="31" t="s">
        <v>273</v>
      </c>
      <c r="U2000" s="31">
        <f>IFERROR(VLOOKUP(CONCATENATE(Tabla1[[#This Row],[Severidad]]," ",Tabla1[[#This Row],[Complejidad]]),Catalogos!E$120:G$128,3,FALSE),"")</f>
        <v>64</v>
      </c>
      <c r="V2000" s="31" t="str">
        <f>IF(Tabla1[[#This Row],[Tiempo solución max (hrs)]]&lt;&gt;"",IF(Tabla1[[#This Row],[Tiempo solución max (hrs)]]&gt;=Tabla1[[#This Row],[Tiempo
(Hrs 00/100)]],"cumple","no cumple"),"")</f>
        <v>cumple</v>
      </c>
      <c r="W2000" s="376" t="s">
        <v>2418</v>
      </c>
      <c r="X2000" s="377" t="str">
        <f t="shared" si="181"/>
        <v>SSI</v>
      </c>
      <c r="Y2000" t="str">
        <f>SUBSTITUTE(Tabla1[[#This Row],[Descripción]],CHAR(10),"    I    ")</f>
        <v>Se creó el nuevo procedimiento 'FUNC5_TOTCONSBUSCADONACQ1' en el paquete 'PACK_SISAI3', con la funcionalidad del Query #1</v>
      </c>
      <c r="Z2000" s="142">
        <f>VLOOKUP(Tabla1[[#This Row],[Perfil]],Catalogos!$B$75:$D$100,3,FALSE)*Tabla1[[#This Row],[Tiempo
(Hrs 00/100)]]*1.16</f>
        <v>696</v>
      </c>
    </row>
    <row r="2001" spans="1:26" ht="40.5" customHeight="1" x14ac:dyDescent="0.3">
      <c r="A2001" s="373" t="s">
        <v>22</v>
      </c>
      <c r="B2001" s="373" t="s">
        <v>23</v>
      </c>
      <c r="C2001" s="373" t="s">
        <v>257</v>
      </c>
      <c r="D2001" s="373"/>
      <c r="E2001" s="373" t="s">
        <v>408</v>
      </c>
      <c r="F2001" s="373" t="s">
        <v>23</v>
      </c>
      <c r="G2001" s="373" t="s">
        <v>3272</v>
      </c>
      <c r="H2001" s="461" t="s">
        <v>2967</v>
      </c>
      <c r="I2001" s="538" t="s">
        <v>2967</v>
      </c>
      <c r="J2001" s="729">
        <v>45198</v>
      </c>
      <c r="K2001" s="772">
        <v>0.41666666666666669</v>
      </c>
      <c r="L2001" s="729">
        <v>45198</v>
      </c>
      <c r="M2001" s="772">
        <v>0.45833333333333331</v>
      </c>
      <c r="N2001" s="373">
        <v>1</v>
      </c>
      <c r="O2001" s="184" t="s">
        <v>17</v>
      </c>
      <c r="P2001" s="375" t="s">
        <v>2909</v>
      </c>
      <c r="Q2001" s="179" t="s">
        <v>1441</v>
      </c>
      <c r="R2001" s="31" t="s">
        <v>95</v>
      </c>
      <c r="S2001" s="31" t="s">
        <v>273</v>
      </c>
      <c r="T2001" s="31" t="s">
        <v>273</v>
      </c>
      <c r="U2001" s="31">
        <f>IFERROR(VLOOKUP(CONCATENATE(Tabla1[[#This Row],[Severidad]]," ",Tabla1[[#This Row],[Complejidad]]),Catalogos!E$120:G$128,3,FALSE),"")</f>
        <v>64</v>
      </c>
      <c r="V2001" s="31" t="str">
        <f>IF(Tabla1[[#This Row],[Tiempo solución max (hrs)]]&lt;&gt;"",IF(Tabla1[[#This Row],[Tiempo solución max (hrs)]]&gt;=Tabla1[[#This Row],[Tiempo
(Hrs 00/100)]],"cumple","no cumple"),"")</f>
        <v>cumple</v>
      </c>
      <c r="W2001" s="376" t="s">
        <v>2418</v>
      </c>
      <c r="X2001" s="377" t="str">
        <f t="shared" si="181"/>
        <v>SSI</v>
      </c>
      <c r="Y2001" t="str">
        <f>SUBSTITUTE(Tabla1[[#This Row],[Descripción]],CHAR(10),"    I    ")</f>
        <v>Se verificó campo por campo del query 1 de la Funcionalidad 5, validando el tipo de dato y longitud exactos</v>
      </c>
      <c r="Z2001" s="142">
        <f>VLOOKUP(Tabla1[[#This Row],[Perfil]],Catalogos!$B$75:$D$100,3,FALSE)*Tabla1[[#This Row],[Tiempo
(Hrs 00/100)]]*1.16</f>
        <v>696</v>
      </c>
    </row>
    <row r="2002" spans="1:26" ht="40.5" customHeight="1" x14ac:dyDescent="0.3">
      <c r="A2002" s="373" t="s">
        <v>22</v>
      </c>
      <c r="B2002" s="373" t="s">
        <v>23</v>
      </c>
      <c r="C2002" s="373" t="s">
        <v>257</v>
      </c>
      <c r="D2002" s="373"/>
      <c r="E2002" s="373" t="s">
        <v>408</v>
      </c>
      <c r="F2002" s="373" t="s">
        <v>23</v>
      </c>
      <c r="G2002" s="373" t="s">
        <v>3273</v>
      </c>
      <c r="H2002" s="461" t="s">
        <v>2968</v>
      </c>
      <c r="I2002" s="538" t="s">
        <v>2968</v>
      </c>
      <c r="J2002" s="729">
        <v>45198</v>
      </c>
      <c r="K2002" s="772">
        <v>0.45833333333333331</v>
      </c>
      <c r="L2002" s="729">
        <v>45198</v>
      </c>
      <c r="M2002" s="772">
        <v>0.5</v>
      </c>
      <c r="N2002" s="373">
        <v>1</v>
      </c>
      <c r="O2002" s="184" t="s">
        <v>17</v>
      </c>
      <c r="P2002" s="375" t="s">
        <v>2909</v>
      </c>
      <c r="Q2002" s="179" t="s">
        <v>1441</v>
      </c>
      <c r="R2002" s="31" t="s">
        <v>95</v>
      </c>
      <c r="S2002" s="31" t="s">
        <v>273</v>
      </c>
      <c r="T2002" s="31" t="s">
        <v>273</v>
      </c>
      <c r="U2002" s="31">
        <f>IFERROR(VLOOKUP(CONCATENATE(Tabla1[[#This Row],[Severidad]]," ",Tabla1[[#This Row],[Complejidad]]),Catalogos!E$120:G$128,3,FALSE),"")</f>
        <v>64</v>
      </c>
      <c r="V2002" s="31" t="str">
        <f>IF(Tabla1[[#This Row],[Tiempo solución max (hrs)]]&lt;&gt;"",IF(Tabla1[[#This Row],[Tiempo solución max (hrs)]]&gt;=Tabla1[[#This Row],[Tiempo
(Hrs 00/100)]],"cumple","no cumple"),"")</f>
        <v>cumple</v>
      </c>
      <c r="W2002" s="376" t="s">
        <v>2418</v>
      </c>
      <c r="X2002" s="377" t="str">
        <f t="shared" si="181"/>
        <v>SSI</v>
      </c>
      <c r="Y2002" t="str">
        <f>SUBSTITUTE(Tabla1[[#This Row],[Descripción]],CHAR(10),"    I    ")</f>
        <v>Se declararon las variables en bloque anónimo con validación exacta de tamaños de tipos de datos, del query 1 de la Funcionalidad 5</v>
      </c>
      <c r="Z2002" s="142">
        <f>VLOOKUP(Tabla1[[#This Row],[Perfil]],Catalogos!$B$75:$D$100,3,FALSE)*Tabla1[[#This Row],[Tiempo
(Hrs 00/100)]]*1.16</f>
        <v>696</v>
      </c>
    </row>
    <row r="2003" spans="1:26" ht="40.5" customHeight="1" x14ac:dyDescent="0.3">
      <c r="A2003" s="373" t="s">
        <v>22</v>
      </c>
      <c r="B2003" s="373" t="s">
        <v>66</v>
      </c>
      <c r="C2003" s="373" t="s">
        <v>257</v>
      </c>
      <c r="D2003" s="373"/>
      <c r="E2003" s="373" t="s">
        <v>408</v>
      </c>
      <c r="F2003" s="373" t="s">
        <v>75</v>
      </c>
      <c r="G2003" s="373" t="s">
        <v>3274</v>
      </c>
      <c r="H2003" s="461" t="s">
        <v>3078</v>
      </c>
      <c r="I2003" s="538" t="s">
        <v>2970</v>
      </c>
      <c r="J2003" s="729">
        <v>45198</v>
      </c>
      <c r="K2003" s="772">
        <v>0.5</v>
      </c>
      <c r="L2003" s="729">
        <v>45198</v>
      </c>
      <c r="M2003" s="772">
        <v>0.54166666666666663</v>
      </c>
      <c r="N2003" s="373">
        <v>1</v>
      </c>
      <c r="O2003" s="184" t="s">
        <v>17</v>
      </c>
      <c r="P2003" s="375" t="s">
        <v>2909</v>
      </c>
      <c r="Q2003" s="179" t="s">
        <v>1441</v>
      </c>
      <c r="R2003" s="31" t="s">
        <v>95</v>
      </c>
      <c r="S2003" s="31" t="s">
        <v>273</v>
      </c>
      <c r="T2003" s="31" t="s">
        <v>273</v>
      </c>
      <c r="U2003" s="31">
        <f>IFERROR(VLOOKUP(CONCATENATE(Tabla1[[#This Row],[Severidad]]," ",Tabla1[[#This Row],[Complejidad]]),Catalogos!E$120:G$128,3,FALSE),"")</f>
        <v>64</v>
      </c>
      <c r="V2003" s="31" t="str">
        <f>IF(Tabla1[[#This Row],[Tiempo solución max (hrs)]]&lt;&gt;"",IF(Tabla1[[#This Row],[Tiempo solución max (hrs)]]&gt;=Tabla1[[#This Row],[Tiempo
(Hrs 00/100)]],"cumple","no cumple"),"")</f>
        <v>cumple</v>
      </c>
      <c r="W2003" s="376" t="s">
        <v>2418</v>
      </c>
      <c r="X2003" s="377" t="str">
        <f t="shared" si="181"/>
        <v>SSI</v>
      </c>
      <c r="Y2003" t="str">
        <f>SUBSTITUTE(Tabla1[[#This Row],[Descripción]],CHAR(10),"    I    ")</f>
        <v xml:space="preserve">Se validó el paquete-procedimiento de la funcionalidad 5 - Query # 1 con el bloque anónimo correcto y se tuvo un resultado exitoso con la salida del cursor completo </v>
      </c>
      <c r="Z2003" s="142">
        <f>VLOOKUP(Tabla1[[#This Row],[Perfil]],Catalogos!$B$75:$D$100,3,FALSE)*Tabla1[[#This Row],[Tiempo
(Hrs 00/100)]]*1.16</f>
        <v>696</v>
      </c>
    </row>
    <row r="2004" spans="1:26" ht="40.5" customHeight="1" x14ac:dyDescent="0.3">
      <c r="A2004" s="373" t="s">
        <v>22</v>
      </c>
      <c r="B2004" s="373" t="s">
        <v>21</v>
      </c>
      <c r="C2004" s="373" t="s">
        <v>257</v>
      </c>
      <c r="D2004" s="373"/>
      <c r="E2004" s="373" t="s">
        <v>408</v>
      </c>
      <c r="F2004" s="373" t="s">
        <v>73</v>
      </c>
      <c r="G2004" s="373" t="s">
        <v>3275</v>
      </c>
      <c r="H2004" s="461" t="s">
        <v>3079</v>
      </c>
      <c r="I2004" s="538" t="s">
        <v>3079</v>
      </c>
      <c r="J2004" s="729">
        <v>45198</v>
      </c>
      <c r="K2004" s="772">
        <v>0.54166666666666663</v>
      </c>
      <c r="L2004" s="729">
        <v>45198</v>
      </c>
      <c r="M2004" s="772">
        <v>0.5625</v>
      </c>
      <c r="N2004" s="373">
        <v>0.5</v>
      </c>
      <c r="O2004" s="184" t="s">
        <v>17</v>
      </c>
      <c r="P2004" s="375" t="s">
        <v>2909</v>
      </c>
      <c r="Q2004" s="179" t="s">
        <v>1441</v>
      </c>
      <c r="R2004" s="31" t="s">
        <v>95</v>
      </c>
      <c r="S2004" s="31" t="s">
        <v>273</v>
      </c>
      <c r="T2004" s="31" t="s">
        <v>273</v>
      </c>
      <c r="U2004" s="31">
        <f>IFERROR(VLOOKUP(CONCATENATE(Tabla1[[#This Row],[Severidad]]," ",Tabla1[[#This Row],[Complejidad]]),Catalogos!E$120:G$128,3,FALSE),"")</f>
        <v>64</v>
      </c>
      <c r="V2004" s="31" t="str">
        <f>IF(Tabla1[[#This Row],[Tiempo solución max (hrs)]]&lt;&gt;"",IF(Tabla1[[#This Row],[Tiempo solución max (hrs)]]&gt;=Tabla1[[#This Row],[Tiempo
(Hrs 00/100)]],"cumple","no cumple"),"")</f>
        <v>cumple</v>
      </c>
      <c r="W2004" s="376" t="s">
        <v>2418</v>
      </c>
      <c r="X2004" s="377" t="str">
        <f t="shared" si="181"/>
        <v>SSI</v>
      </c>
      <c r="Y2004" t="str">
        <f>SUBSTITUTE(Tabla1[[#This Row],[Descripción]],CHAR(10),"    I    ")</f>
        <v>Se actualizó el documento 'Querys_Estadisiticas_Totales' con los comentarios sobre el Query 1 de la Funcionalidad 5</v>
      </c>
      <c r="Z2004" s="142">
        <f>VLOOKUP(Tabla1[[#This Row],[Perfil]],Catalogos!$B$75:$D$100,3,FALSE)*Tabla1[[#This Row],[Tiempo
(Hrs 00/100)]]*1.16</f>
        <v>348</v>
      </c>
    </row>
    <row r="2005" spans="1:26" ht="40.5" customHeight="1" x14ac:dyDescent="0.3">
      <c r="A2005" s="373" t="s">
        <v>22</v>
      </c>
      <c r="B2005" s="373" t="s">
        <v>305</v>
      </c>
      <c r="C2005" s="373" t="s">
        <v>257</v>
      </c>
      <c r="D2005" s="373"/>
      <c r="E2005" s="373" t="s">
        <v>408</v>
      </c>
      <c r="F2005" s="373" t="s">
        <v>72</v>
      </c>
      <c r="G2005" s="373" t="s">
        <v>3276</v>
      </c>
      <c r="H2005" s="461" t="s">
        <v>3080</v>
      </c>
      <c r="I2005" s="538" t="s">
        <v>3081</v>
      </c>
      <c r="J2005" s="729">
        <v>45198</v>
      </c>
      <c r="K2005" s="772">
        <v>0.60416666666666663</v>
      </c>
      <c r="L2005" s="729">
        <v>45198</v>
      </c>
      <c r="M2005" s="772">
        <v>0.64583333333333337</v>
      </c>
      <c r="N2005" s="373">
        <v>1</v>
      </c>
      <c r="O2005" s="184" t="s">
        <v>17</v>
      </c>
      <c r="P2005" s="375" t="s">
        <v>2909</v>
      </c>
      <c r="Q2005" s="179" t="s">
        <v>1441</v>
      </c>
      <c r="R2005" s="31" t="s">
        <v>95</v>
      </c>
      <c r="S2005" s="31" t="s">
        <v>273</v>
      </c>
      <c r="T2005" s="31" t="s">
        <v>273</v>
      </c>
      <c r="U2005" s="31">
        <f>IFERROR(VLOOKUP(CONCATENATE(Tabla1[[#This Row],[Severidad]]," ",Tabla1[[#This Row],[Complejidad]]),Catalogos!E$120:G$128,3,FALSE),"")</f>
        <v>64</v>
      </c>
      <c r="V2005" s="31" t="str">
        <f>IF(Tabla1[[#This Row],[Tiempo solución max (hrs)]]&lt;&gt;"",IF(Tabla1[[#This Row],[Tiempo solución max (hrs)]]&gt;=Tabla1[[#This Row],[Tiempo
(Hrs 00/100)]],"cumple","no cumple"),"")</f>
        <v>cumple</v>
      </c>
      <c r="W2005" s="376" t="s">
        <v>2418</v>
      </c>
      <c r="X2005" s="377" t="str">
        <f t="shared" si="181"/>
        <v>SSI</v>
      </c>
      <c r="Y2005" t="str">
        <f>SUBSTITUTE(Tabla1[[#This Row],[Descripción]],CHAR(10),"    I    ")</f>
        <v>Se revisó el Query #2 del archivo IEDEPNI para la Funcionalidad 5 'TOTAL CONSULTA EN LOS BUSCADORES - Buscadores temáticos', se hicieron las primeras ejecuciones con los parámetros para entender su funcionamiento</v>
      </c>
      <c r="Z2005" s="142">
        <f>VLOOKUP(Tabla1[[#This Row],[Perfil]],Catalogos!$B$75:$D$100,3,FALSE)*Tabla1[[#This Row],[Tiempo
(Hrs 00/100)]]*1.16</f>
        <v>696</v>
      </c>
    </row>
    <row r="2006" spans="1:26" ht="40.5" customHeight="1" x14ac:dyDescent="0.3">
      <c r="A2006" s="373" t="s">
        <v>22</v>
      </c>
      <c r="B2006" s="373" t="s">
        <v>23</v>
      </c>
      <c r="C2006" s="373" t="s">
        <v>257</v>
      </c>
      <c r="D2006" s="373"/>
      <c r="E2006" s="373" t="s">
        <v>408</v>
      </c>
      <c r="F2006" s="373" t="s">
        <v>23</v>
      </c>
      <c r="G2006" s="373" t="s">
        <v>3277</v>
      </c>
      <c r="H2006" s="461" t="s">
        <v>3082</v>
      </c>
      <c r="I2006" s="538" t="s">
        <v>3083</v>
      </c>
      <c r="J2006" s="729">
        <v>45198</v>
      </c>
      <c r="K2006" s="772">
        <v>0.64583333333333337</v>
      </c>
      <c r="L2006" s="729">
        <v>45198</v>
      </c>
      <c r="M2006" s="772">
        <v>0.72916666666666663</v>
      </c>
      <c r="N2006" s="373">
        <v>2</v>
      </c>
      <c r="O2006" s="184" t="s">
        <v>17</v>
      </c>
      <c r="P2006" s="375" t="s">
        <v>2909</v>
      </c>
      <c r="Q2006" s="179" t="s">
        <v>1441</v>
      </c>
      <c r="R2006" s="31" t="s">
        <v>95</v>
      </c>
      <c r="S2006" s="31" t="s">
        <v>273</v>
      </c>
      <c r="T2006" s="31" t="s">
        <v>273</v>
      </c>
      <c r="U2006" s="31">
        <f>IFERROR(VLOOKUP(CONCATENATE(Tabla1[[#This Row],[Severidad]]," ",Tabla1[[#This Row],[Complejidad]]),Catalogos!E$120:G$128,3,FALSE),"")</f>
        <v>64</v>
      </c>
      <c r="V2006" s="31" t="str">
        <f>IF(Tabla1[[#This Row],[Tiempo solución max (hrs)]]&lt;&gt;"",IF(Tabla1[[#This Row],[Tiempo solución max (hrs)]]&gt;=Tabla1[[#This Row],[Tiempo
(Hrs 00/100)]],"cumple","no cumple"),"")</f>
        <v>cumple</v>
      </c>
      <c r="W2006" s="376" t="s">
        <v>2418</v>
      </c>
      <c r="X2006" s="377" t="str">
        <f t="shared" si="181"/>
        <v>SSI</v>
      </c>
      <c r="Y2006" t="str">
        <f>SUBSTITUTE(Tabla1[[#This Row],[Descripción]],CHAR(10),"    I    ")</f>
        <v>Se optimizó el Query #2 del archivo IEDEPNI (Funcionalidad 5) para tener una versión mejorada en tiempo de respuesta y costo</v>
      </c>
      <c r="Z2006" s="142">
        <f>VLOOKUP(Tabla1[[#This Row],[Perfil]],Catalogos!$B$75:$D$100,3,FALSE)*Tabla1[[#This Row],[Tiempo
(Hrs 00/100)]]*1.16</f>
        <v>1392</v>
      </c>
    </row>
    <row r="2007" spans="1:26" ht="40.5" customHeight="1" x14ac:dyDescent="0.3">
      <c r="A2007" s="373" t="s">
        <v>22</v>
      </c>
      <c r="B2007" s="373" t="s">
        <v>23</v>
      </c>
      <c r="C2007" s="373" t="s">
        <v>257</v>
      </c>
      <c r="D2007" s="373"/>
      <c r="E2007" s="373" t="s">
        <v>408</v>
      </c>
      <c r="F2007" s="373" t="s">
        <v>23</v>
      </c>
      <c r="G2007" s="373" t="s">
        <v>3278</v>
      </c>
      <c r="H2007" s="461" t="s">
        <v>3084</v>
      </c>
      <c r="I2007" s="538" t="s">
        <v>3085</v>
      </c>
      <c r="J2007" s="729">
        <v>45198</v>
      </c>
      <c r="K2007" s="772">
        <v>0.72916666666666663</v>
      </c>
      <c r="L2007" s="729">
        <v>45198</v>
      </c>
      <c r="M2007" s="772">
        <v>0.77083333333333337</v>
      </c>
      <c r="N2007" s="373">
        <v>1</v>
      </c>
      <c r="O2007" s="184" t="s">
        <v>17</v>
      </c>
      <c r="P2007" s="375" t="s">
        <v>2909</v>
      </c>
      <c r="Q2007" s="179" t="s">
        <v>1441</v>
      </c>
      <c r="R2007" s="31" t="s">
        <v>95</v>
      </c>
      <c r="S2007" s="31" t="s">
        <v>273</v>
      </c>
      <c r="T2007" s="31" t="s">
        <v>273</v>
      </c>
      <c r="U2007" s="31">
        <f>IFERROR(VLOOKUP(CONCATENATE(Tabla1[[#This Row],[Severidad]]," ",Tabla1[[#This Row],[Complejidad]]),Catalogos!E$120:G$128,3,FALSE),"")</f>
        <v>64</v>
      </c>
      <c r="V2007" s="31" t="str">
        <f>IF(Tabla1[[#This Row],[Tiempo solución max (hrs)]]&lt;&gt;"",IF(Tabla1[[#This Row],[Tiempo solución max (hrs)]]&gt;=Tabla1[[#This Row],[Tiempo
(Hrs 00/100)]],"cumple","no cumple"),"")</f>
        <v>cumple</v>
      </c>
      <c r="W2007" s="376" t="s">
        <v>2418</v>
      </c>
      <c r="X2007" s="377" t="str">
        <f t="shared" si="181"/>
        <v>SSI</v>
      </c>
      <c r="Y2007" t="str">
        <f>SUBSTITUTE(Tabla1[[#This Row],[Descripción]],CHAR(10),"    I    ")</f>
        <v>Se creó el nuevo procedimiento 'FUNC5_TOTCONSBUSCADOTEMATICOQ2' en el paquete 'PACK_SISAI3', con la funcionalidad del Query #2</v>
      </c>
      <c r="Z2007" s="142">
        <f>VLOOKUP(Tabla1[[#This Row],[Perfil]],Catalogos!$B$75:$D$100,3,FALSE)*Tabla1[[#This Row],[Tiempo
(Hrs 00/100)]]*1.16</f>
        <v>696</v>
      </c>
    </row>
    <row r="2008" spans="1:26" ht="40.5" customHeight="1" x14ac:dyDescent="0.3">
      <c r="A2008" s="373" t="s">
        <v>22</v>
      </c>
      <c r="B2008" s="373" t="s">
        <v>23</v>
      </c>
      <c r="C2008" s="373" t="s">
        <v>257</v>
      </c>
      <c r="D2008" s="373"/>
      <c r="E2008" s="373" t="s">
        <v>408</v>
      </c>
      <c r="F2008" s="373" t="s">
        <v>23</v>
      </c>
      <c r="G2008" s="373" t="s">
        <v>3279</v>
      </c>
      <c r="H2008" s="461" t="s">
        <v>3086</v>
      </c>
      <c r="I2008" s="538" t="s">
        <v>3086</v>
      </c>
      <c r="J2008" s="729">
        <v>45198</v>
      </c>
      <c r="K2008" s="772">
        <v>0.77083333333333337</v>
      </c>
      <c r="L2008" s="729">
        <v>45198</v>
      </c>
      <c r="M2008" s="772">
        <v>0.8125</v>
      </c>
      <c r="N2008" s="373">
        <v>1</v>
      </c>
      <c r="O2008" s="184" t="s">
        <v>17</v>
      </c>
      <c r="P2008" s="375" t="s">
        <v>2909</v>
      </c>
      <c r="Q2008" s="179" t="s">
        <v>1441</v>
      </c>
      <c r="R2008" s="31" t="s">
        <v>95</v>
      </c>
      <c r="S2008" s="31" t="s">
        <v>273</v>
      </c>
      <c r="T2008" s="31" t="s">
        <v>273</v>
      </c>
      <c r="U2008" s="31">
        <f>IFERROR(VLOOKUP(CONCATENATE(Tabla1[[#This Row],[Severidad]]," ",Tabla1[[#This Row],[Complejidad]]),Catalogos!E$120:G$128,3,FALSE),"")</f>
        <v>64</v>
      </c>
      <c r="V2008" s="31" t="str">
        <f>IF(Tabla1[[#This Row],[Tiempo solución max (hrs)]]&lt;&gt;"",IF(Tabla1[[#This Row],[Tiempo solución max (hrs)]]&gt;=Tabla1[[#This Row],[Tiempo
(Hrs 00/100)]],"cumple","no cumple"),"")</f>
        <v>cumple</v>
      </c>
      <c r="W2008" s="376" t="s">
        <v>2418</v>
      </c>
      <c r="X2008" s="377" t="str">
        <f t="shared" si="181"/>
        <v>SSI</v>
      </c>
      <c r="Y2008" t="str">
        <f>SUBSTITUTE(Tabla1[[#This Row],[Descripción]],CHAR(10),"    I    ")</f>
        <v>Se verificó campo por campo del query 2 de la Funcionalidad 5, validando el tipo de dato y longitud exactos</v>
      </c>
      <c r="Z2008" s="142">
        <f>VLOOKUP(Tabla1[[#This Row],[Perfil]],Catalogos!$B$75:$D$100,3,FALSE)*Tabla1[[#This Row],[Tiempo
(Hrs 00/100)]]*1.16</f>
        <v>696</v>
      </c>
    </row>
    <row r="2009" spans="1:26" ht="40.5" customHeight="1" x14ac:dyDescent="0.3">
      <c r="A2009" s="373" t="s">
        <v>22</v>
      </c>
      <c r="B2009" s="373" t="s">
        <v>23</v>
      </c>
      <c r="C2009" s="373" t="s">
        <v>257</v>
      </c>
      <c r="D2009" s="373"/>
      <c r="E2009" s="373" t="s">
        <v>408</v>
      </c>
      <c r="F2009" s="373" t="s">
        <v>23</v>
      </c>
      <c r="G2009" s="373" t="s">
        <v>3280</v>
      </c>
      <c r="H2009" s="461" t="s">
        <v>3087</v>
      </c>
      <c r="I2009" s="538" t="s">
        <v>3087</v>
      </c>
      <c r="J2009" s="729">
        <v>45198</v>
      </c>
      <c r="K2009" s="772">
        <v>0.8125</v>
      </c>
      <c r="L2009" s="729">
        <v>45198</v>
      </c>
      <c r="M2009" s="772">
        <v>0.85416666666666663</v>
      </c>
      <c r="N2009" s="373">
        <v>1</v>
      </c>
      <c r="O2009" s="184" t="s">
        <v>17</v>
      </c>
      <c r="P2009" s="375" t="s">
        <v>2909</v>
      </c>
      <c r="Q2009" s="179" t="s">
        <v>1441</v>
      </c>
      <c r="R2009" s="31" t="s">
        <v>95</v>
      </c>
      <c r="S2009" s="31" t="s">
        <v>273</v>
      </c>
      <c r="T2009" s="31" t="s">
        <v>273</v>
      </c>
      <c r="U2009" s="31">
        <f>IFERROR(VLOOKUP(CONCATENATE(Tabla1[[#This Row],[Severidad]]," ",Tabla1[[#This Row],[Complejidad]]),Catalogos!E$120:G$128,3,FALSE),"")</f>
        <v>64</v>
      </c>
      <c r="V2009" s="31" t="str">
        <f>IF(Tabla1[[#This Row],[Tiempo solución max (hrs)]]&lt;&gt;"",IF(Tabla1[[#This Row],[Tiempo solución max (hrs)]]&gt;=Tabla1[[#This Row],[Tiempo
(Hrs 00/100)]],"cumple","no cumple"),"")</f>
        <v>cumple</v>
      </c>
      <c r="W2009" s="376" t="s">
        <v>2418</v>
      </c>
      <c r="X2009" s="377" t="str">
        <f t="shared" si="181"/>
        <v>SSI</v>
      </c>
      <c r="Y2009" t="str">
        <f>SUBSTITUTE(Tabla1[[#This Row],[Descripción]],CHAR(10),"    I    ")</f>
        <v>Se declararon las variables en bloque anónimo con validación exacta de tamaños de tipos de datos, del query 2 de la Funcionalidad 5</v>
      </c>
      <c r="Z2009" s="142">
        <f>VLOOKUP(Tabla1[[#This Row],[Perfil]],Catalogos!$B$75:$D$100,3,FALSE)*Tabla1[[#This Row],[Tiempo
(Hrs 00/100)]]*1.16</f>
        <v>696</v>
      </c>
    </row>
    <row r="2010" spans="1:26" ht="40.5" customHeight="1" x14ac:dyDescent="0.3">
      <c r="A2010" s="373" t="s">
        <v>22</v>
      </c>
      <c r="B2010" s="373" t="s">
        <v>66</v>
      </c>
      <c r="C2010" s="373" t="s">
        <v>257</v>
      </c>
      <c r="D2010" s="373"/>
      <c r="E2010" s="373" t="s">
        <v>408</v>
      </c>
      <c r="F2010" s="373" t="s">
        <v>75</v>
      </c>
      <c r="G2010" s="373" t="s">
        <v>3281</v>
      </c>
      <c r="H2010" s="461" t="s">
        <v>3088</v>
      </c>
      <c r="I2010" s="538" t="s">
        <v>3089</v>
      </c>
      <c r="J2010" s="729">
        <v>45198</v>
      </c>
      <c r="K2010" s="772">
        <v>0.85416666666666663</v>
      </c>
      <c r="L2010" s="729">
        <v>45198</v>
      </c>
      <c r="M2010" s="772">
        <v>0.89583333333333337</v>
      </c>
      <c r="N2010" s="373">
        <v>1</v>
      </c>
      <c r="O2010" s="184" t="s">
        <v>17</v>
      </c>
      <c r="P2010" s="375" t="s">
        <v>2909</v>
      </c>
      <c r="Q2010" s="179" t="s">
        <v>1441</v>
      </c>
      <c r="R2010" s="31" t="s">
        <v>95</v>
      </c>
      <c r="S2010" s="31" t="s">
        <v>273</v>
      </c>
      <c r="T2010" s="31" t="s">
        <v>273</v>
      </c>
      <c r="U2010" s="31">
        <f>IFERROR(VLOOKUP(CONCATENATE(Tabla1[[#This Row],[Severidad]]," ",Tabla1[[#This Row],[Complejidad]]),Catalogos!E$120:G$128,3,FALSE),"")</f>
        <v>64</v>
      </c>
      <c r="V2010" s="31" t="str">
        <f>IF(Tabla1[[#This Row],[Tiempo solución max (hrs)]]&lt;&gt;"",IF(Tabla1[[#This Row],[Tiempo solución max (hrs)]]&gt;=Tabla1[[#This Row],[Tiempo
(Hrs 00/100)]],"cumple","no cumple"),"")</f>
        <v>cumple</v>
      </c>
      <c r="W2010" s="376" t="s">
        <v>2418</v>
      </c>
      <c r="X2010" s="377" t="str">
        <f t="shared" si="181"/>
        <v>SSI</v>
      </c>
      <c r="Y2010" t="str">
        <f>SUBSTITUTE(Tabla1[[#This Row],[Descripción]],CHAR(10),"    I    ")</f>
        <v xml:space="preserve">Se validó el paquete-procedimiento de la funcionalidad 5 - Query # 2 con el bloque anónimo correcto y se tuvo un resultado exitoso con la salida del cursor completo </v>
      </c>
      <c r="Z2010" s="142">
        <f>VLOOKUP(Tabla1[[#This Row],[Perfil]],Catalogos!$B$75:$D$100,3,FALSE)*Tabla1[[#This Row],[Tiempo
(Hrs 00/100)]]*1.16</f>
        <v>696</v>
      </c>
    </row>
    <row r="2011" spans="1:26" ht="40.5" customHeight="1" x14ac:dyDescent="0.3">
      <c r="A2011" s="530" t="s">
        <v>22</v>
      </c>
      <c r="B2011" s="530" t="s">
        <v>23</v>
      </c>
      <c r="C2011" s="205" t="s">
        <v>155</v>
      </c>
      <c r="D2011" s="373"/>
      <c r="E2011" s="373" t="s">
        <v>375</v>
      </c>
      <c r="F2011" s="370" t="s">
        <v>23</v>
      </c>
      <c r="G2011" s="370" t="s">
        <v>3326</v>
      </c>
      <c r="H2011" s="461" t="s">
        <v>405</v>
      </c>
      <c r="I2011" s="383" t="s">
        <v>3335</v>
      </c>
      <c r="J2011" s="369">
        <v>45201</v>
      </c>
      <c r="K2011" s="747">
        <v>0.375</v>
      </c>
      <c r="L2011" s="369">
        <v>45201</v>
      </c>
      <c r="M2011" s="753">
        <v>0.79166666666666663</v>
      </c>
      <c r="N2011" s="210">
        <v>8.5</v>
      </c>
      <c r="O2011" s="184" t="s">
        <v>411</v>
      </c>
      <c r="P2011" s="305" t="s">
        <v>462</v>
      </c>
      <c r="Q2011" s="541" t="s">
        <v>1120</v>
      </c>
      <c r="R2011" s="202" t="s">
        <v>40</v>
      </c>
      <c r="S2011" s="31" t="s">
        <v>273</v>
      </c>
      <c r="T2011" s="31" t="s">
        <v>273</v>
      </c>
      <c r="U2011" s="31">
        <f>IFERROR(VLOOKUP(CONCATENATE(Tabla1[[#This Row],[Severidad]]," ",Tabla1[[#This Row],[Complejidad]]),Catalogos!E$120:G$128,3,FALSE),"")</f>
        <v>64</v>
      </c>
      <c r="V2011" s="31" t="str">
        <f>IF(Tabla1[[#This Row],[Tiempo solución max (hrs)]]&lt;&gt;"",IF(Tabla1[[#This Row],[Tiempo solución max (hrs)]]&gt;=Tabla1[[#This Row],[Tiempo
(Hrs 00/100)]],"cumple","no cumple"),"")</f>
        <v>cumple</v>
      </c>
      <c r="W2011" s="376" t="s">
        <v>3327</v>
      </c>
      <c r="X2011" s="377" t="str">
        <f t="shared" si="181"/>
        <v>DS</v>
      </c>
      <c r="Y2011" t="str">
        <f>SUBSTITUTE(Tabla1[[#This Row],[Descripción]],CHAR(10),"    I    ")</f>
        <v>Pantalla para estadísticas de solicitudes</v>
      </c>
      <c r="Z2011" s="142">
        <f>VLOOKUP(Tabla1[[#This Row],[Perfil]],Catalogos!$B$75:$D$100,3,FALSE)*Tabla1[[#This Row],[Tiempo
(Hrs 00/100)]]*1.16</f>
        <v>6901.9999999999991</v>
      </c>
    </row>
    <row r="2012" spans="1:26" ht="40.5" customHeight="1" x14ac:dyDescent="0.3">
      <c r="A2012" s="530" t="s">
        <v>22</v>
      </c>
      <c r="B2012" s="530" t="s">
        <v>23</v>
      </c>
      <c r="C2012" s="205" t="s">
        <v>155</v>
      </c>
      <c r="D2012" s="373"/>
      <c r="E2012" s="373" t="s">
        <v>375</v>
      </c>
      <c r="F2012" s="370" t="s">
        <v>23</v>
      </c>
      <c r="G2012" s="370" t="s">
        <v>3326</v>
      </c>
      <c r="H2012" s="461" t="s">
        <v>405</v>
      </c>
      <c r="I2012" s="383" t="s">
        <v>3335</v>
      </c>
      <c r="J2012" s="369">
        <v>45202</v>
      </c>
      <c r="K2012" s="747">
        <v>0.375</v>
      </c>
      <c r="L2012" s="369">
        <v>45202</v>
      </c>
      <c r="M2012" s="753">
        <v>0.79166666666666663</v>
      </c>
      <c r="N2012" s="210">
        <v>8.5</v>
      </c>
      <c r="O2012" s="184" t="s">
        <v>411</v>
      </c>
      <c r="P2012" s="305" t="s">
        <v>462</v>
      </c>
      <c r="Q2012" s="541" t="s">
        <v>1120</v>
      </c>
      <c r="R2012" s="202" t="s">
        <v>40</v>
      </c>
      <c r="S2012" s="31" t="s">
        <v>273</v>
      </c>
      <c r="T2012" s="31" t="s">
        <v>273</v>
      </c>
      <c r="U2012" s="31">
        <f>IFERROR(VLOOKUP(CONCATENATE(Tabla1[[#This Row],[Severidad]]," ",Tabla1[[#This Row],[Complejidad]]),Catalogos!E$120:G$128,3,FALSE),"")</f>
        <v>64</v>
      </c>
      <c r="V2012" s="31" t="str">
        <f>IF(Tabla1[[#This Row],[Tiempo solución max (hrs)]]&lt;&gt;"",IF(Tabla1[[#This Row],[Tiempo solución max (hrs)]]&gt;=Tabla1[[#This Row],[Tiempo
(Hrs 00/100)]],"cumple","no cumple"),"")</f>
        <v>cumple</v>
      </c>
      <c r="W2012" s="376" t="s">
        <v>3327</v>
      </c>
      <c r="X2012" s="377" t="str">
        <f t="shared" ref="X2012" si="182">IF(C2012&lt;&gt;"",C2012,D2012)</f>
        <v>DS</v>
      </c>
      <c r="Y2012" t="str">
        <f>SUBSTITUTE(Tabla1[[#This Row],[Descripción]],CHAR(10),"    I    ")</f>
        <v>Pantalla para estadísticas de solicitudes</v>
      </c>
      <c r="Z2012" s="142">
        <f>VLOOKUP(Tabla1[[#This Row],[Perfil]],Catalogos!$B$75:$D$100,3,FALSE)*Tabla1[[#This Row],[Tiempo
(Hrs 00/100)]]*1.16</f>
        <v>6901.9999999999991</v>
      </c>
    </row>
    <row r="2013" spans="1:26" ht="40.5" customHeight="1" x14ac:dyDescent="0.3">
      <c r="A2013" s="530" t="s">
        <v>22</v>
      </c>
      <c r="B2013" s="530" t="s">
        <v>23</v>
      </c>
      <c r="C2013" s="205" t="s">
        <v>155</v>
      </c>
      <c r="D2013" s="373"/>
      <c r="E2013" s="373" t="s">
        <v>375</v>
      </c>
      <c r="F2013" s="370" t="s">
        <v>23</v>
      </c>
      <c r="G2013" s="370" t="s">
        <v>3326</v>
      </c>
      <c r="H2013" s="461" t="s">
        <v>405</v>
      </c>
      <c r="I2013" s="383" t="s">
        <v>3335</v>
      </c>
      <c r="J2013" s="369">
        <v>45203</v>
      </c>
      <c r="K2013" s="747">
        <v>0.375</v>
      </c>
      <c r="L2013" s="369">
        <v>45203</v>
      </c>
      <c r="M2013" s="753">
        <v>0.79166666666666663</v>
      </c>
      <c r="N2013" s="210">
        <v>8.5</v>
      </c>
      <c r="O2013" s="184" t="s">
        <v>17</v>
      </c>
      <c r="P2013" s="305" t="s">
        <v>462</v>
      </c>
      <c r="Q2013" s="541" t="s">
        <v>1120</v>
      </c>
      <c r="R2013" s="202" t="s">
        <v>40</v>
      </c>
      <c r="S2013" s="31" t="s">
        <v>273</v>
      </c>
      <c r="T2013" s="31" t="s">
        <v>273</v>
      </c>
      <c r="U2013" s="31">
        <f>IFERROR(VLOOKUP(CONCATENATE(Tabla1[[#This Row],[Severidad]]," ",Tabla1[[#This Row],[Complejidad]]),Catalogos!E$120:G$128,3,FALSE),"")</f>
        <v>64</v>
      </c>
      <c r="V2013" s="31" t="str">
        <f>IF(Tabla1[[#This Row],[Tiempo solución max (hrs)]]&lt;&gt;"",IF(Tabla1[[#This Row],[Tiempo solución max (hrs)]]&gt;=Tabla1[[#This Row],[Tiempo
(Hrs 00/100)]],"cumple","no cumple"),"")</f>
        <v>cumple</v>
      </c>
      <c r="W2013" s="376" t="s">
        <v>3327</v>
      </c>
      <c r="X2013" s="377" t="str">
        <f t="shared" ref="X2013" si="183">IF(C2013&lt;&gt;"",C2013,D2013)</f>
        <v>DS</v>
      </c>
      <c r="Y2013" t="str">
        <f>SUBSTITUTE(Tabla1[[#This Row],[Descripción]],CHAR(10),"    I    ")</f>
        <v>Pantalla para estadísticas de solicitudes</v>
      </c>
      <c r="Z2013" s="142">
        <f>VLOOKUP(Tabla1[[#This Row],[Perfil]],Catalogos!$B$75:$D$100,3,FALSE)*Tabla1[[#This Row],[Tiempo
(Hrs 00/100)]]*1.16</f>
        <v>6901.9999999999991</v>
      </c>
    </row>
    <row r="2014" spans="1:26" ht="40.5" customHeight="1" x14ac:dyDescent="0.3">
      <c r="A2014" s="530" t="s">
        <v>22</v>
      </c>
      <c r="B2014" s="530" t="s">
        <v>23</v>
      </c>
      <c r="C2014" s="205" t="s">
        <v>155</v>
      </c>
      <c r="D2014" s="373"/>
      <c r="E2014" s="373" t="s">
        <v>375</v>
      </c>
      <c r="F2014" s="370" t="s">
        <v>23</v>
      </c>
      <c r="G2014" s="370" t="s">
        <v>3329</v>
      </c>
      <c r="H2014" s="461" t="s">
        <v>405</v>
      </c>
      <c r="I2014" s="383" t="s">
        <v>3336</v>
      </c>
      <c r="J2014" s="369">
        <v>45204</v>
      </c>
      <c r="K2014" s="747">
        <v>0.375</v>
      </c>
      <c r="L2014" s="369">
        <v>45204</v>
      </c>
      <c r="M2014" s="753">
        <v>0.79166666666666663</v>
      </c>
      <c r="N2014" s="210">
        <v>8.5</v>
      </c>
      <c r="O2014" s="184" t="s">
        <v>411</v>
      </c>
      <c r="P2014" s="305" t="s">
        <v>462</v>
      </c>
      <c r="Q2014" s="541" t="s">
        <v>1120</v>
      </c>
      <c r="R2014" s="202" t="s">
        <v>40</v>
      </c>
      <c r="S2014" s="31" t="s">
        <v>273</v>
      </c>
      <c r="T2014" s="31" t="s">
        <v>273</v>
      </c>
      <c r="U2014" s="31">
        <f>IFERROR(VLOOKUP(CONCATENATE(Tabla1[[#This Row],[Severidad]]," ",Tabla1[[#This Row],[Complejidad]]),Catalogos!E$120:G$128,3,FALSE),"")</f>
        <v>64</v>
      </c>
      <c r="V2014" s="31" t="str">
        <f>IF(Tabla1[[#This Row],[Tiempo solución max (hrs)]]&lt;&gt;"",IF(Tabla1[[#This Row],[Tiempo solución max (hrs)]]&gt;=Tabla1[[#This Row],[Tiempo
(Hrs 00/100)]],"cumple","no cumple"),"")</f>
        <v>cumple</v>
      </c>
      <c r="W2014" s="376" t="s">
        <v>3327</v>
      </c>
      <c r="X2014" s="377" t="str">
        <f t="shared" si="181"/>
        <v>DS</v>
      </c>
      <c r="Y2014" t="str">
        <f>SUBSTITUTE(Tabla1[[#This Row],[Descripción]],CHAR(10),"    I    ")</f>
        <v>Pantalla para estadísticas de quejas</v>
      </c>
      <c r="Z2014" s="142">
        <f>VLOOKUP(Tabla1[[#This Row],[Perfil]],Catalogos!$B$75:$D$100,3,FALSE)*Tabla1[[#This Row],[Tiempo
(Hrs 00/100)]]*1.16</f>
        <v>6901.9999999999991</v>
      </c>
    </row>
    <row r="2015" spans="1:26" ht="40.5" customHeight="1" x14ac:dyDescent="0.3">
      <c r="A2015" s="530" t="s">
        <v>22</v>
      </c>
      <c r="B2015" s="530" t="s">
        <v>23</v>
      </c>
      <c r="C2015" s="205" t="s">
        <v>155</v>
      </c>
      <c r="D2015" s="373"/>
      <c r="E2015" s="373" t="s">
        <v>375</v>
      </c>
      <c r="F2015" s="370" t="s">
        <v>23</v>
      </c>
      <c r="G2015" s="370" t="s">
        <v>3329</v>
      </c>
      <c r="H2015" s="461" t="s">
        <v>405</v>
      </c>
      <c r="I2015" s="383" t="s">
        <v>3336</v>
      </c>
      <c r="J2015" s="369">
        <v>45205</v>
      </c>
      <c r="K2015" s="747">
        <v>0.375</v>
      </c>
      <c r="L2015" s="369">
        <v>45205</v>
      </c>
      <c r="M2015" s="753">
        <v>0.625</v>
      </c>
      <c r="N2015" s="210">
        <v>6</v>
      </c>
      <c r="O2015" s="184" t="s">
        <v>411</v>
      </c>
      <c r="P2015" s="305" t="s">
        <v>462</v>
      </c>
      <c r="Q2015" s="541" t="s">
        <v>1120</v>
      </c>
      <c r="R2015" s="202" t="s">
        <v>40</v>
      </c>
      <c r="S2015" s="31" t="s">
        <v>273</v>
      </c>
      <c r="T2015" s="31" t="s">
        <v>273</v>
      </c>
      <c r="U2015" s="31">
        <f>IFERROR(VLOOKUP(CONCATENATE(Tabla1[[#This Row],[Severidad]]," ",Tabla1[[#This Row],[Complejidad]]),Catalogos!E$120:G$128,3,FALSE),"")</f>
        <v>64</v>
      </c>
      <c r="V2015" s="31" t="str">
        <f>IF(Tabla1[[#This Row],[Tiempo solución max (hrs)]]&lt;&gt;"",IF(Tabla1[[#This Row],[Tiempo solución max (hrs)]]&gt;=Tabla1[[#This Row],[Tiempo
(Hrs 00/100)]],"cumple","no cumple"),"")</f>
        <v>cumple</v>
      </c>
      <c r="W2015" s="376" t="s">
        <v>3327</v>
      </c>
      <c r="X2015" s="377" t="str">
        <f t="shared" ref="X2015" si="184">IF(C2015&lt;&gt;"",C2015,D2015)</f>
        <v>DS</v>
      </c>
      <c r="Y2015" t="str">
        <f>SUBSTITUTE(Tabla1[[#This Row],[Descripción]],CHAR(10),"    I    ")</f>
        <v>Pantalla para estadísticas de quejas</v>
      </c>
      <c r="Z2015" s="142">
        <f>VLOOKUP(Tabla1[[#This Row],[Perfil]],Catalogos!$B$75:$D$100,3,FALSE)*Tabla1[[#This Row],[Tiempo
(Hrs 00/100)]]*1.16</f>
        <v>4872</v>
      </c>
    </row>
    <row r="2016" spans="1:26" ht="40.5" customHeight="1" x14ac:dyDescent="0.3">
      <c r="A2016" s="530" t="s">
        <v>22</v>
      </c>
      <c r="B2016" s="530" t="s">
        <v>23</v>
      </c>
      <c r="C2016" s="205" t="s">
        <v>155</v>
      </c>
      <c r="D2016" s="373"/>
      <c r="E2016" s="373" t="s">
        <v>375</v>
      </c>
      <c r="F2016" s="370" t="s">
        <v>23</v>
      </c>
      <c r="G2016" s="370" t="s">
        <v>3329</v>
      </c>
      <c r="H2016" s="461" t="s">
        <v>405</v>
      </c>
      <c r="I2016" s="383" t="s">
        <v>3336</v>
      </c>
      <c r="J2016" s="369">
        <v>45208</v>
      </c>
      <c r="K2016" s="747">
        <v>0.375</v>
      </c>
      <c r="L2016" s="369">
        <v>45208</v>
      </c>
      <c r="M2016" s="753">
        <v>0.79166666666666663</v>
      </c>
      <c r="N2016" s="210">
        <v>8.5</v>
      </c>
      <c r="O2016" s="184" t="s">
        <v>17</v>
      </c>
      <c r="P2016" s="305" t="s">
        <v>462</v>
      </c>
      <c r="Q2016" s="541" t="s">
        <v>1120</v>
      </c>
      <c r="R2016" s="202" t="s">
        <v>40</v>
      </c>
      <c r="S2016" s="31" t="s">
        <v>273</v>
      </c>
      <c r="T2016" s="31" t="s">
        <v>273</v>
      </c>
      <c r="U2016" s="31">
        <f>IFERROR(VLOOKUP(CONCATENATE(Tabla1[[#This Row],[Severidad]]," ",Tabla1[[#This Row],[Complejidad]]),Catalogos!E$120:G$128,3,FALSE),"")</f>
        <v>64</v>
      </c>
      <c r="V2016" s="31" t="str">
        <f>IF(Tabla1[[#This Row],[Tiempo solución max (hrs)]]&lt;&gt;"",IF(Tabla1[[#This Row],[Tiempo solución max (hrs)]]&gt;=Tabla1[[#This Row],[Tiempo
(Hrs 00/100)]],"cumple","no cumple"),"")</f>
        <v>cumple</v>
      </c>
      <c r="W2016" s="376" t="s">
        <v>3327</v>
      </c>
      <c r="X2016" s="377" t="str">
        <f t="shared" ref="X2016" si="185">IF(C2016&lt;&gt;"",C2016,D2016)</f>
        <v>DS</v>
      </c>
      <c r="Y2016" t="str">
        <f>SUBSTITUTE(Tabla1[[#This Row],[Descripción]],CHAR(10),"    I    ")</f>
        <v>Pantalla para estadísticas de quejas</v>
      </c>
      <c r="Z2016" s="142">
        <f>VLOOKUP(Tabla1[[#This Row],[Perfil]],Catalogos!$B$75:$D$100,3,FALSE)*Tabla1[[#This Row],[Tiempo
(Hrs 00/100)]]*1.16</f>
        <v>6901.9999999999991</v>
      </c>
    </row>
    <row r="2017" spans="1:26" ht="40.5" customHeight="1" x14ac:dyDescent="0.3">
      <c r="A2017" s="530" t="s">
        <v>22</v>
      </c>
      <c r="B2017" s="530" t="s">
        <v>23</v>
      </c>
      <c r="C2017" s="205" t="s">
        <v>155</v>
      </c>
      <c r="D2017" s="373"/>
      <c r="E2017" s="373" t="s">
        <v>375</v>
      </c>
      <c r="F2017" s="370" t="s">
        <v>23</v>
      </c>
      <c r="G2017" s="370" t="s">
        <v>3330</v>
      </c>
      <c r="H2017" s="461" t="s">
        <v>405</v>
      </c>
      <c r="I2017" s="383" t="s">
        <v>3337</v>
      </c>
      <c r="J2017" s="369">
        <v>45209</v>
      </c>
      <c r="K2017" s="747">
        <v>0.375</v>
      </c>
      <c r="L2017" s="369">
        <v>45209</v>
      </c>
      <c r="M2017" s="753">
        <v>0.79166666666666663</v>
      </c>
      <c r="N2017" s="210">
        <v>8.5</v>
      </c>
      <c r="O2017" s="184" t="s">
        <v>411</v>
      </c>
      <c r="P2017" s="305" t="s">
        <v>462</v>
      </c>
      <c r="Q2017" s="541" t="s">
        <v>1120</v>
      </c>
      <c r="R2017" s="202" t="s">
        <v>40</v>
      </c>
      <c r="S2017" s="31" t="s">
        <v>273</v>
      </c>
      <c r="T2017" s="31" t="s">
        <v>273</v>
      </c>
      <c r="U2017" s="31">
        <f>IFERROR(VLOOKUP(CONCATENATE(Tabla1[[#This Row],[Severidad]]," ",Tabla1[[#This Row],[Complejidad]]),Catalogos!E$120:G$128,3,FALSE),"")</f>
        <v>64</v>
      </c>
      <c r="V2017" s="31" t="str">
        <f>IF(Tabla1[[#This Row],[Tiempo solución max (hrs)]]&lt;&gt;"",IF(Tabla1[[#This Row],[Tiempo solución max (hrs)]]&gt;=Tabla1[[#This Row],[Tiempo
(Hrs 00/100)]],"cumple","no cumple"),"")</f>
        <v>cumple</v>
      </c>
      <c r="W2017" s="376" t="s">
        <v>3327</v>
      </c>
      <c r="X2017" s="377" t="str">
        <f t="shared" si="181"/>
        <v>DS</v>
      </c>
      <c r="Y2017" t="str">
        <f>SUBSTITUTE(Tabla1[[#This Row],[Descripción]],CHAR(10),"    I    ")</f>
        <v>Pantalla para estadísticas de resoluciones</v>
      </c>
      <c r="Z2017" s="142">
        <f>VLOOKUP(Tabla1[[#This Row],[Perfil]],Catalogos!$B$75:$D$100,3,FALSE)*Tabla1[[#This Row],[Tiempo
(Hrs 00/100)]]*1.16</f>
        <v>6901.9999999999991</v>
      </c>
    </row>
    <row r="2018" spans="1:26" ht="40.5" customHeight="1" x14ac:dyDescent="0.3">
      <c r="A2018" s="530" t="s">
        <v>22</v>
      </c>
      <c r="B2018" s="530" t="s">
        <v>23</v>
      </c>
      <c r="C2018" s="205" t="s">
        <v>155</v>
      </c>
      <c r="D2018" s="373"/>
      <c r="E2018" s="373" t="s">
        <v>375</v>
      </c>
      <c r="F2018" s="370" t="s">
        <v>23</v>
      </c>
      <c r="G2018" s="370" t="s">
        <v>3330</v>
      </c>
      <c r="H2018" s="461" t="s">
        <v>405</v>
      </c>
      <c r="I2018" s="383" t="s">
        <v>3337</v>
      </c>
      <c r="J2018" s="369">
        <v>45210</v>
      </c>
      <c r="K2018" s="747">
        <v>0.375</v>
      </c>
      <c r="L2018" s="369">
        <v>45210</v>
      </c>
      <c r="M2018" s="753">
        <v>0.79166666666666663</v>
      </c>
      <c r="N2018" s="210">
        <v>8.5</v>
      </c>
      <c r="O2018" s="184" t="s">
        <v>411</v>
      </c>
      <c r="P2018" s="305" t="s">
        <v>462</v>
      </c>
      <c r="Q2018" s="541" t="s">
        <v>1120</v>
      </c>
      <c r="R2018" s="202" t="s">
        <v>40</v>
      </c>
      <c r="S2018" s="31" t="s">
        <v>273</v>
      </c>
      <c r="T2018" s="31" t="s">
        <v>273</v>
      </c>
      <c r="U2018" s="31">
        <f>IFERROR(VLOOKUP(CONCATENATE(Tabla1[[#This Row],[Severidad]]," ",Tabla1[[#This Row],[Complejidad]]),Catalogos!E$120:G$128,3,FALSE),"")</f>
        <v>64</v>
      </c>
      <c r="V2018" s="31" t="str">
        <f>IF(Tabla1[[#This Row],[Tiempo solución max (hrs)]]&lt;&gt;"",IF(Tabla1[[#This Row],[Tiempo solución max (hrs)]]&gt;=Tabla1[[#This Row],[Tiempo
(Hrs 00/100)]],"cumple","no cumple"),"")</f>
        <v>cumple</v>
      </c>
      <c r="W2018" s="376" t="s">
        <v>3327</v>
      </c>
      <c r="X2018" s="377" t="str">
        <f t="shared" ref="X2018" si="186">IF(C2018&lt;&gt;"",C2018,D2018)</f>
        <v>DS</v>
      </c>
      <c r="Y2018" t="str">
        <f>SUBSTITUTE(Tabla1[[#This Row],[Descripción]],CHAR(10),"    I    ")</f>
        <v>Pantalla para estadísticas de resoluciones</v>
      </c>
      <c r="Z2018" s="142">
        <f>VLOOKUP(Tabla1[[#This Row],[Perfil]],Catalogos!$B$75:$D$100,3,FALSE)*Tabla1[[#This Row],[Tiempo
(Hrs 00/100)]]*1.16</f>
        <v>6901.9999999999991</v>
      </c>
    </row>
    <row r="2019" spans="1:26" ht="40.5" customHeight="1" x14ac:dyDescent="0.3">
      <c r="A2019" s="530" t="s">
        <v>22</v>
      </c>
      <c r="B2019" s="530" t="s">
        <v>23</v>
      </c>
      <c r="C2019" s="205" t="s">
        <v>155</v>
      </c>
      <c r="D2019" s="373"/>
      <c r="E2019" s="373" t="s">
        <v>375</v>
      </c>
      <c r="F2019" s="370" t="s">
        <v>23</v>
      </c>
      <c r="G2019" s="370" t="s">
        <v>3330</v>
      </c>
      <c r="H2019" s="461" t="s">
        <v>405</v>
      </c>
      <c r="I2019" s="383" t="s">
        <v>3337</v>
      </c>
      <c r="J2019" s="369">
        <v>45211</v>
      </c>
      <c r="K2019" s="747">
        <v>0.375</v>
      </c>
      <c r="L2019" s="369">
        <v>45211</v>
      </c>
      <c r="M2019" s="753">
        <v>0.79166666666666663</v>
      </c>
      <c r="N2019" s="210">
        <v>8.5</v>
      </c>
      <c r="O2019" s="184" t="s">
        <v>17</v>
      </c>
      <c r="P2019" s="305" t="s">
        <v>462</v>
      </c>
      <c r="Q2019" s="541" t="s">
        <v>1120</v>
      </c>
      <c r="R2019" s="202" t="s">
        <v>40</v>
      </c>
      <c r="S2019" s="31" t="s">
        <v>273</v>
      </c>
      <c r="T2019" s="31" t="s">
        <v>273</v>
      </c>
      <c r="U2019" s="31">
        <f>IFERROR(VLOOKUP(CONCATENATE(Tabla1[[#This Row],[Severidad]]," ",Tabla1[[#This Row],[Complejidad]]),Catalogos!E$120:G$128,3,FALSE),"")</f>
        <v>64</v>
      </c>
      <c r="V2019" s="31" t="str">
        <f>IF(Tabla1[[#This Row],[Tiempo solución max (hrs)]]&lt;&gt;"",IF(Tabla1[[#This Row],[Tiempo solución max (hrs)]]&gt;=Tabla1[[#This Row],[Tiempo
(Hrs 00/100)]],"cumple","no cumple"),"")</f>
        <v>cumple</v>
      </c>
      <c r="W2019" s="376" t="s">
        <v>3327</v>
      </c>
      <c r="X2019" s="377" t="str">
        <f t="shared" ref="X2019" si="187">IF(C2019&lt;&gt;"",C2019,D2019)</f>
        <v>DS</v>
      </c>
      <c r="Y2019" t="str">
        <f>SUBSTITUTE(Tabla1[[#This Row],[Descripción]],CHAR(10),"    I    ")</f>
        <v>Pantalla para estadísticas de resoluciones</v>
      </c>
      <c r="Z2019" s="142">
        <f>VLOOKUP(Tabla1[[#This Row],[Perfil]],Catalogos!$B$75:$D$100,3,FALSE)*Tabla1[[#This Row],[Tiempo
(Hrs 00/100)]]*1.16</f>
        <v>6901.9999999999991</v>
      </c>
    </row>
    <row r="2020" spans="1:26" ht="40.5" customHeight="1" x14ac:dyDescent="0.3">
      <c r="A2020" s="530" t="s">
        <v>22</v>
      </c>
      <c r="B2020" s="530" t="s">
        <v>23</v>
      </c>
      <c r="C2020" s="205" t="s">
        <v>155</v>
      </c>
      <c r="D2020" s="373"/>
      <c r="E2020" s="373" t="s">
        <v>375</v>
      </c>
      <c r="F2020" s="370" t="s">
        <v>23</v>
      </c>
      <c r="G2020" s="370" t="s">
        <v>3331</v>
      </c>
      <c r="H2020" s="461" t="s">
        <v>405</v>
      </c>
      <c r="I2020" s="420" t="s">
        <v>3328</v>
      </c>
      <c r="J2020" s="369">
        <v>45212</v>
      </c>
      <c r="K2020" s="747">
        <v>0.375</v>
      </c>
      <c r="L2020" s="369">
        <v>45212</v>
      </c>
      <c r="M2020" s="753">
        <v>0.625</v>
      </c>
      <c r="N2020" s="210">
        <v>6</v>
      </c>
      <c r="O2020" s="184" t="s">
        <v>411</v>
      </c>
      <c r="P2020" s="305" t="s">
        <v>462</v>
      </c>
      <c r="Q2020" s="541" t="s">
        <v>1120</v>
      </c>
      <c r="R2020" s="202" t="s">
        <v>40</v>
      </c>
      <c r="S2020" s="31" t="s">
        <v>273</v>
      </c>
      <c r="T2020" s="31" t="s">
        <v>273</v>
      </c>
      <c r="U2020" s="31">
        <f>IFERROR(VLOOKUP(CONCATENATE(Tabla1[[#This Row],[Severidad]]," ",Tabla1[[#This Row],[Complejidad]]),Catalogos!E$120:G$128,3,FALSE),"")</f>
        <v>64</v>
      </c>
      <c r="V2020" s="31" t="str">
        <f>IF(Tabla1[[#This Row],[Tiempo solución max (hrs)]]&lt;&gt;"",IF(Tabla1[[#This Row],[Tiempo solución max (hrs)]]&gt;=Tabla1[[#This Row],[Tiempo
(Hrs 00/100)]],"cumple","no cumple"),"")</f>
        <v>cumple</v>
      </c>
      <c r="W2020" s="376" t="s">
        <v>3327</v>
      </c>
      <c r="X2020" s="377" t="str">
        <f t="shared" si="181"/>
        <v>DS</v>
      </c>
      <c r="Y2020" t="str">
        <f>SUBSTITUTE(Tabla1[[#This Row],[Descripción]],CHAR(10),"    I    ")</f>
        <v>Modificar pantallas para implementar combos de selección múltiple</v>
      </c>
      <c r="Z2020" s="142">
        <f>VLOOKUP(Tabla1[[#This Row],[Perfil]],Catalogos!$B$75:$D$100,3,FALSE)*Tabla1[[#This Row],[Tiempo
(Hrs 00/100)]]*1.16</f>
        <v>4872</v>
      </c>
    </row>
    <row r="2021" spans="1:26" ht="40.5" customHeight="1" x14ac:dyDescent="0.3">
      <c r="A2021" s="530" t="s">
        <v>22</v>
      </c>
      <c r="B2021" s="530" t="s">
        <v>23</v>
      </c>
      <c r="C2021" s="205" t="s">
        <v>155</v>
      </c>
      <c r="D2021" s="373"/>
      <c r="E2021" s="373" t="s">
        <v>375</v>
      </c>
      <c r="F2021" s="370" t="s">
        <v>23</v>
      </c>
      <c r="G2021" s="370" t="s">
        <v>3331</v>
      </c>
      <c r="H2021" s="461" t="s">
        <v>405</v>
      </c>
      <c r="I2021" s="420" t="s">
        <v>3328</v>
      </c>
      <c r="J2021" s="369">
        <v>45215</v>
      </c>
      <c r="K2021" s="747">
        <v>0.375</v>
      </c>
      <c r="L2021" s="369">
        <v>45215</v>
      </c>
      <c r="M2021" s="753">
        <v>0.79166666666666663</v>
      </c>
      <c r="N2021" s="210">
        <v>8.5</v>
      </c>
      <c r="O2021" s="184" t="s">
        <v>411</v>
      </c>
      <c r="P2021" s="305" t="s">
        <v>462</v>
      </c>
      <c r="Q2021" s="541" t="s">
        <v>1120</v>
      </c>
      <c r="R2021" s="202" t="s">
        <v>40</v>
      </c>
      <c r="S2021" s="31" t="s">
        <v>273</v>
      </c>
      <c r="T2021" s="31" t="s">
        <v>273</v>
      </c>
      <c r="U2021" s="31">
        <f>IFERROR(VLOOKUP(CONCATENATE(Tabla1[[#This Row],[Severidad]]," ",Tabla1[[#This Row],[Complejidad]]),Catalogos!E$120:G$128,3,FALSE),"")</f>
        <v>64</v>
      </c>
      <c r="V2021" s="31" t="str">
        <f>IF(Tabla1[[#This Row],[Tiempo solución max (hrs)]]&lt;&gt;"",IF(Tabla1[[#This Row],[Tiempo solución max (hrs)]]&gt;=Tabla1[[#This Row],[Tiempo
(Hrs 00/100)]],"cumple","no cumple"),"")</f>
        <v>cumple</v>
      </c>
      <c r="W2021" s="376" t="s">
        <v>3327</v>
      </c>
      <c r="X2021" s="377" t="str">
        <f t="shared" ref="X2021:X2022" si="188">IF(C2021&lt;&gt;"",C2021,D2021)</f>
        <v>DS</v>
      </c>
      <c r="Y2021" t="str">
        <f>SUBSTITUTE(Tabla1[[#This Row],[Descripción]],CHAR(10),"    I    ")</f>
        <v>Modificar pantallas para implementar combos de selección múltiple</v>
      </c>
      <c r="Z2021" s="142">
        <f>VLOOKUP(Tabla1[[#This Row],[Perfil]],Catalogos!$B$75:$D$100,3,FALSE)*Tabla1[[#This Row],[Tiempo
(Hrs 00/100)]]*1.16</f>
        <v>6901.9999999999991</v>
      </c>
    </row>
    <row r="2022" spans="1:26" ht="40.5" customHeight="1" x14ac:dyDescent="0.3">
      <c r="A2022" s="530" t="s">
        <v>22</v>
      </c>
      <c r="B2022" s="530" t="s">
        <v>23</v>
      </c>
      <c r="C2022" s="205" t="s">
        <v>155</v>
      </c>
      <c r="D2022" s="373"/>
      <c r="E2022" s="373" t="s">
        <v>375</v>
      </c>
      <c r="F2022" s="370" t="s">
        <v>23</v>
      </c>
      <c r="G2022" s="370" t="s">
        <v>3331</v>
      </c>
      <c r="H2022" s="461" t="s">
        <v>405</v>
      </c>
      <c r="I2022" s="420" t="s">
        <v>3328</v>
      </c>
      <c r="J2022" s="369">
        <v>45216</v>
      </c>
      <c r="K2022" s="747">
        <v>0.375</v>
      </c>
      <c r="L2022" s="369">
        <v>45216</v>
      </c>
      <c r="M2022" s="753">
        <v>0.79166666666666663</v>
      </c>
      <c r="N2022" s="210">
        <v>8.5</v>
      </c>
      <c r="O2022" s="184" t="s">
        <v>17</v>
      </c>
      <c r="P2022" s="305" t="s">
        <v>462</v>
      </c>
      <c r="Q2022" s="541" t="s">
        <v>1120</v>
      </c>
      <c r="R2022" s="202" t="s">
        <v>40</v>
      </c>
      <c r="S2022" s="31" t="s">
        <v>273</v>
      </c>
      <c r="T2022" s="31" t="s">
        <v>273</v>
      </c>
      <c r="U2022" s="31">
        <f>IFERROR(VLOOKUP(CONCATENATE(Tabla1[[#This Row],[Severidad]]," ",Tabla1[[#This Row],[Complejidad]]),Catalogos!E$120:G$128,3,FALSE),"")</f>
        <v>64</v>
      </c>
      <c r="V2022" s="31" t="str">
        <f>IF(Tabla1[[#This Row],[Tiempo solución max (hrs)]]&lt;&gt;"",IF(Tabla1[[#This Row],[Tiempo solución max (hrs)]]&gt;=Tabla1[[#This Row],[Tiempo
(Hrs 00/100)]],"cumple","no cumple"),"")</f>
        <v>cumple</v>
      </c>
      <c r="W2022" s="376" t="s">
        <v>3327</v>
      </c>
      <c r="X2022" s="377" t="str">
        <f t="shared" si="188"/>
        <v>DS</v>
      </c>
      <c r="Y2022" t="str">
        <f>SUBSTITUTE(Tabla1[[#This Row],[Descripción]],CHAR(10),"    I    ")</f>
        <v>Modificar pantallas para implementar combos de selección múltiple</v>
      </c>
      <c r="Z2022" s="142">
        <f>VLOOKUP(Tabla1[[#This Row],[Perfil]],Catalogos!$B$75:$D$100,3,FALSE)*Tabla1[[#This Row],[Tiempo
(Hrs 00/100)]]*1.16</f>
        <v>6901.9999999999991</v>
      </c>
    </row>
    <row r="2023" spans="1:26" ht="40.5" customHeight="1" x14ac:dyDescent="0.3">
      <c r="A2023" s="530" t="s">
        <v>22</v>
      </c>
      <c r="B2023" s="530" t="s">
        <v>23</v>
      </c>
      <c r="C2023" s="205" t="s">
        <v>155</v>
      </c>
      <c r="D2023" s="373"/>
      <c r="E2023" s="373" t="s">
        <v>375</v>
      </c>
      <c r="F2023" s="370" t="s">
        <v>23</v>
      </c>
      <c r="G2023" s="370" t="s">
        <v>3332</v>
      </c>
      <c r="H2023" s="461" t="s">
        <v>405</v>
      </c>
      <c r="I2023" s="383" t="s">
        <v>3338</v>
      </c>
      <c r="J2023" s="369">
        <v>45217</v>
      </c>
      <c r="K2023" s="747">
        <v>0.375</v>
      </c>
      <c r="L2023" s="369">
        <v>45217</v>
      </c>
      <c r="M2023" s="753">
        <v>0.79166666666666663</v>
      </c>
      <c r="N2023" s="210">
        <v>8.5</v>
      </c>
      <c r="O2023" s="184" t="s">
        <v>411</v>
      </c>
      <c r="P2023" s="305" t="s">
        <v>462</v>
      </c>
      <c r="Q2023" s="541" t="s">
        <v>1120</v>
      </c>
      <c r="R2023" s="202" t="s">
        <v>40</v>
      </c>
      <c r="S2023" s="31" t="s">
        <v>273</v>
      </c>
      <c r="T2023" s="31" t="s">
        <v>273</v>
      </c>
      <c r="U2023" s="31">
        <f>IFERROR(VLOOKUP(CONCATENATE(Tabla1[[#This Row],[Severidad]]," ",Tabla1[[#This Row],[Complejidad]]),Catalogos!E$120:G$128,3,FALSE),"")</f>
        <v>64</v>
      </c>
      <c r="V2023" s="31" t="str">
        <f>IF(Tabla1[[#This Row],[Tiempo solución max (hrs)]]&lt;&gt;"",IF(Tabla1[[#This Row],[Tiempo solución max (hrs)]]&gt;=Tabla1[[#This Row],[Tiempo
(Hrs 00/100)]],"cumple","no cumple"),"")</f>
        <v>cumple</v>
      </c>
      <c r="W2023" s="376" t="s">
        <v>3327</v>
      </c>
      <c r="X2023" s="377" t="str">
        <f t="shared" si="181"/>
        <v>DS</v>
      </c>
      <c r="Y2023" t="str">
        <f>SUBSTITUTE(Tabla1[[#This Row],[Descripción]],CHAR(10),"    I    ")</f>
        <v>Pantalla para estadísticas por usuario/solicitudes</v>
      </c>
      <c r="Z2023" s="142">
        <f>VLOOKUP(Tabla1[[#This Row],[Perfil]],Catalogos!$B$75:$D$100,3,FALSE)*Tabla1[[#This Row],[Tiempo
(Hrs 00/100)]]*1.16</f>
        <v>6901.9999999999991</v>
      </c>
    </row>
    <row r="2024" spans="1:26" ht="40.5" customHeight="1" x14ac:dyDescent="0.3">
      <c r="A2024" s="530" t="s">
        <v>22</v>
      </c>
      <c r="B2024" s="530" t="s">
        <v>23</v>
      </c>
      <c r="C2024" s="205" t="s">
        <v>155</v>
      </c>
      <c r="D2024" s="373"/>
      <c r="E2024" s="373" t="s">
        <v>375</v>
      </c>
      <c r="F2024" s="370" t="s">
        <v>23</v>
      </c>
      <c r="G2024" s="370" t="s">
        <v>3332</v>
      </c>
      <c r="H2024" s="461" t="s">
        <v>405</v>
      </c>
      <c r="I2024" s="383" t="s">
        <v>3338</v>
      </c>
      <c r="J2024" s="369">
        <v>45218</v>
      </c>
      <c r="K2024" s="747">
        <v>0.375</v>
      </c>
      <c r="L2024" s="369">
        <v>45218</v>
      </c>
      <c r="M2024" s="753">
        <v>0.79166666666666663</v>
      </c>
      <c r="N2024" s="210">
        <v>8.5</v>
      </c>
      <c r="O2024" s="184" t="s">
        <v>411</v>
      </c>
      <c r="P2024" s="305" t="s">
        <v>462</v>
      </c>
      <c r="Q2024" s="541" t="s">
        <v>1120</v>
      </c>
      <c r="R2024" s="202" t="s">
        <v>40</v>
      </c>
      <c r="S2024" s="31" t="s">
        <v>273</v>
      </c>
      <c r="T2024" s="31" t="s">
        <v>273</v>
      </c>
      <c r="U2024" s="31">
        <f>IFERROR(VLOOKUP(CONCATENATE(Tabla1[[#This Row],[Severidad]]," ",Tabla1[[#This Row],[Complejidad]]),Catalogos!E$120:G$128,3,FALSE),"")</f>
        <v>64</v>
      </c>
      <c r="V2024" s="31" t="str">
        <f>IF(Tabla1[[#This Row],[Tiempo solución max (hrs)]]&lt;&gt;"",IF(Tabla1[[#This Row],[Tiempo solución max (hrs)]]&gt;=Tabla1[[#This Row],[Tiempo
(Hrs 00/100)]],"cumple","no cumple"),"")</f>
        <v>cumple</v>
      </c>
      <c r="W2024" s="376" t="s">
        <v>3327</v>
      </c>
      <c r="X2024" s="377" t="str">
        <f t="shared" ref="X2024:X2025" si="189">IF(C2024&lt;&gt;"",C2024,D2024)</f>
        <v>DS</v>
      </c>
      <c r="Y2024" t="str">
        <f>SUBSTITUTE(Tabla1[[#This Row],[Descripción]],CHAR(10),"    I    ")</f>
        <v>Pantalla para estadísticas por usuario/solicitudes</v>
      </c>
      <c r="Z2024" s="142">
        <f>VLOOKUP(Tabla1[[#This Row],[Perfil]],Catalogos!$B$75:$D$100,3,FALSE)*Tabla1[[#This Row],[Tiempo
(Hrs 00/100)]]*1.16</f>
        <v>6901.9999999999991</v>
      </c>
    </row>
    <row r="2025" spans="1:26" ht="40.5" customHeight="1" x14ac:dyDescent="0.3">
      <c r="A2025" s="530" t="s">
        <v>22</v>
      </c>
      <c r="B2025" s="530" t="s">
        <v>23</v>
      </c>
      <c r="C2025" s="205" t="s">
        <v>155</v>
      </c>
      <c r="D2025" s="373"/>
      <c r="E2025" s="373" t="s">
        <v>375</v>
      </c>
      <c r="F2025" s="370" t="s">
        <v>23</v>
      </c>
      <c r="G2025" s="370" t="s">
        <v>3332</v>
      </c>
      <c r="H2025" s="461" t="s">
        <v>405</v>
      </c>
      <c r="I2025" s="383" t="s">
        <v>3338</v>
      </c>
      <c r="J2025" s="369">
        <v>45219</v>
      </c>
      <c r="K2025" s="747">
        <v>0.375</v>
      </c>
      <c r="L2025" s="369">
        <v>45219</v>
      </c>
      <c r="M2025" s="753">
        <v>0.625</v>
      </c>
      <c r="N2025" s="210">
        <v>6</v>
      </c>
      <c r="O2025" s="184" t="s">
        <v>17</v>
      </c>
      <c r="P2025" s="305" t="s">
        <v>462</v>
      </c>
      <c r="Q2025" s="541" t="s">
        <v>1120</v>
      </c>
      <c r="R2025" s="202" t="s">
        <v>40</v>
      </c>
      <c r="S2025" s="31" t="s">
        <v>273</v>
      </c>
      <c r="T2025" s="31" t="s">
        <v>273</v>
      </c>
      <c r="U2025" s="31">
        <f>IFERROR(VLOOKUP(CONCATENATE(Tabla1[[#This Row],[Severidad]]," ",Tabla1[[#This Row],[Complejidad]]),Catalogos!E$120:G$128,3,FALSE),"")</f>
        <v>64</v>
      </c>
      <c r="V2025" s="31" t="str">
        <f>IF(Tabla1[[#This Row],[Tiempo solución max (hrs)]]&lt;&gt;"",IF(Tabla1[[#This Row],[Tiempo solución max (hrs)]]&gt;=Tabla1[[#This Row],[Tiempo
(Hrs 00/100)]],"cumple","no cumple"),"")</f>
        <v>cumple</v>
      </c>
      <c r="W2025" s="376" t="s">
        <v>3327</v>
      </c>
      <c r="X2025" s="377" t="str">
        <f t="shared" si="189"/>
        <v>DS</v>
      </c>
      <c r="Y2025" t="str">
        <f>SUBSTITUTE(Tabla1[[#This Row],[Descripción]],CHAR(10),"    I    ")</f>
        <v>Pantalla para estadísticas por usuario/solicitudes</v>
      </c>
      <c r="Z2025" s="142">
        <f>VLOOKUP(Tabla1[[#This Row],[Perfil]],Catalogos!$B$75:$D$100,3,FALSE)*Tabla1[[#This Row],[Tiempo
(Hrs 00/100)]]*1.16</f>
        <v>4872</v>
      </c>
    </row>
    <row r="2026" spans="1:26" ht="15" customHeight="1" x14ac:dyDescent="0.3">
      <c r="A2026" s="530" t="s">
        <v>22</v>
      </c>
      <c r="B2026" s="530" t="s">
        <v>23</v>
      </c>
      <c r="C2026" s="205" t="s">
        <v>155</v>
      </c>
      <c r="D2026" s="373"/>
      <c r="E2026" s="373" t="s">
        <v>375</v>
      </c>
      <c r="F2026" s="370" t="s">
        <v>23</v>
      </c>
      <c r="G2026" s="370" t="s">
        <v>3333</v>
      </c>
      <c r="H2026" s="461" t="s">
        <v>405</v>
      </c>
      <c r="I2026" s="383" t="s">
        <v>3339</v>
      </c>
      <c r="J2026" s="369">
        <v>45222</v>
      </c>
      <c r="K2026" s="747">
        <v>0.375</v>
      </c>
      <c r="L2026" s="369">
        <v>45222</v>
      </c>
      <c r="M2026" s="753">
        <v>0.79166666666666663</v>
      </c>
      <c r="N2026" s="210">
        <v>8.5</v>
      </c>
      <c r="O2026" s="184" t="s">
        <v>411</v>
      </c>
      <c r="P2026" s="305" t="s">
        <v>462</v>
      </c>
      <c r="Q2026" s="541" t="s">
        <v>1120</v>
      </c>
      <c r="R2026" s="202" t="s">
        <v>40</v>
      </c>
      <c r="S2026" s="31" t="s">
        <v>273</v>
      </c>
      <c r="T2026" s="31" t="s">
        <v>273</v>
      </c>
      <c r="U2026" s="31">
        <f>IFERROR(VLOOKUP(CONCATENATE(Tabla1[[#This Row],[Severidad]]," ",Tabla1[[#This Row],[Complejidad]]),Catalogos!E$120:G$128,3,FALSE),"")</f>
        <v>64</v>
      </c>
      <c r="V2026" s="31" t="str">
        <f>IF(Tabla1[[#This Row],[Tiempo solución max (hrs)]]&lt;&gt;"",IF(Tabla1[[#This Row],[Tiempo solución max (hrs)]]&gt;=Tabla1[[#This Row],[Tiempo
(Hrs 00/100)]],"cumple","no cumple"),"")</f>
        <v>cumple</v>
      </c>
      <c r="W2026" s="376" t="s">
        <v>3327</v>
      </c>
      <c r="X2026" s="377" t="str">
        <f t="shared" ref="X2026:X2059" si="190">IF(C2026&lt;&gt;"",C2026,D2026)</f>
        <v>DS</v>
      </c>
      <c r="Y2026" t="str">
        <f>SUBSTITUTE(Tabla1[[#This Row],[Descripción]],CHAR(10),"    I    ")</f>
        <v>Pantalla para estadísticas por usuario/quejas</v>
      </c>
      <c r="Z2026" s="142">
        <f>VLOOKUP(Tabla1[[#This Row],[Perfil]],Catalogos!$B$75:$D$100,3,FALSE)*Tabla1[[#This Row],[Tiempo
(Hrs 00/100)]]*1.16</f>
        <v>6901.9999999999991</v>
      </c>
    </row>
    <row r="2027" spans="1:26" ht="15" customHeight="1" x14ac:dyDescent="0.3">
      <c r="A2027" s="530" t="s">
        <v>22</v>
      </c>
      <c r="B2027" s="530" t="s">
        <v>23</v>
      </c>
      <c r="C2027" s="205" t="s">
        <v>155</v>
      </c>
      <c r="D2027" s="373"/>
      <c r="E2027" s="373" t="s">
        <v>375</v>
      </c>
      <c r="F2027" s="370" t="s">
        <v>23</v>
      </c>
      <c r="G2027" s="370" t="s">
        <v>3333</v>
      </c>
      <c r="H2027" s="461" t="s">
        <v>405</v>
      </c>
      <c r="I2027" s="383" t="s">
        <v>3339</v>
      </c>
      <c r="J2027" s="369">
        <v>45223</v>
      </c>
      <c r="K2027" s="747">
        <v>0.375</v>
      </c>
      <c r="L2027" s="369">
        <v>45223</v>
      </c>
      <c r="M2027" s="753">
        <v>0.79166666666666663</v>
      </c>
      <c r="N2027" s="210">
        <v>8.5</v>
      </c>
      <c r="O2027" s="184" t="s">
        <v>411</v>
      </c>
      <c r="P2027" s="305" t="s">
        <v>462</v>
      </c>
      <c r="Q2027" s="541" t="s">
        <v>1120</v>
      </c>
      <c r="R2027" s="202" t="s">
        <v>40</v>
      </c>
      <c r="S2027" s="31" t="s">
        <v>273</v>
      </c>
      <c r="T2027" s="31" t="s">
        <v>273</v>
      </c>
      <c r="U2027" s="31">
        <f>IFERROR(VLOOKUP(CONCATENATE(Tabla1[[#This Row],[Severidad]]," ",Tabla1[[#This Row],[Complejidad]]),Catalogos!E$120:G$128,3,FALSE),"")</f>
        <v>64</v>
      </c>
      <c r="V2027" s="31" t="str">
        <f>IF(Tabla1[[#This Row],[Tiempo solución max (hrs)]]&lt;&gt;"",IF(Tabla1[[#This Row],[Tiempo solución max (hrs)]]&gt;=Tabla1[[#This Row],[Tiempo
(Hrs 00/100)]],"cumple","no cumple"),"")</f>
        <v>cumple</v>
      </c>
      <c r="W2027" s="376" t="s">
        <v>3327</v>
      </c>
      <c r="X2027" s="377" t="str">
        <f t="shared" ref="X2027:X2028" si="191">IF(C2027&lt;&gt;"",C2027,D2027)</f>
        <v>DS</v>
      </c>
      <c r="Y2027" t="str">
        <f>SUBSTITUTE(Tabla1[[#This Row],[Descripción]],CHAR(10),"    I    ")</f>
        <v>Pantalla para estadísticas por usuario/quejas</v>
      </c>
      <c r="Z2027" s="142">
        <f>VLOOKUP(Tabla1[[#This Row],[Perfil]],Catalogos!$B$75:$D$100,3,FALSE)*Tabla1[[#This Row],[Tiempo
(Hrs 00/100)]]*1.16</f>
        <v>6901.9999999999991</v>
      </c>
    </row>
    <row r="2028" spans="1:26" ht="15" customHeight="1" x14ac:dyDescent="0.3">
      <c r="A2028" s="530" t="s">
        <v>22</v>
      </c>
      <c r="B2028" s="530" t="s">
        <v>23</v>
      </c>
      <c r="C2028" s="205" t="s">
        <v>155</v>
      </c>
      <c r="D2028" s="373"/>
      <c r="E2028" s="373" t="s">
        <v>375</v>
      </c>
      <c r="F2028" s="370" t="s">
        <v>23</v>
      </c>
      <c r="G2028" s="370" t="s">
        <v>3333</v>
      </c>
      <c r="H2028" s="461" t="s">
        <v>405</v>
      </c>
      <c r="I2028" s="383" t="s">
        <v>3339</v>
      </c>
      <c r="J2028" s="369">
        <v>45224</v>
      </c>
      <c r="K2028" s="747">
        <v>0.375</v>
      </c>
      <c r="L2028" s="369">
        <v>45224</v>
      </c>
      <c r="M2028" s="753">
        <v>0.79166666666666663</v>
      </c>
      <c r="N2028" s="210">
        <v>8.5</v>
      </c>
      <c r="O2028" s="184" t="s">
        <v>411</v>
      </c>
      <c r="P2028" s="305" t="s">
        <v>462</v>
      </c>
      <c r="Q2028" s="541" t="s">
        <v>1120</v>
      </c>
      <c r="R2028" s="202" t="s">
        <v>40</v>
      </c>
      <c r="S2028" s="31" t="s">
        <v>273</v>
      </c>
      <c r="T2028" s="31" t="s">
        <v>273</v>
      </c>
      <c r="U2028" s="31">
        <f>IFERROR(VLOOKUP(CONCATENATE(Tabla1[[#This Row],[Severidad]]," ",Tabla1[[#This Row],[Complejidad]]),Catalogos!E$120:G$128,3,FALSE),"")</f>
        <v>64</v>
      </c>
      <c r="V2028" s="31" t="str">
        <f>IF(Tabla1[[#This Row],[Tiempo solución max (hrs)]]&lt;&gt;"",IF(Tabla1[[#This Row],[Tiempo solución max (hrs)]]&gt;=Tabla1[[#This Row],[Tiempo
(Hrs 00/100)]],"cumple","no cumple"),"")</f>
        <v>cumple</v>
      </c>
      <c r="W2028" s="376" t="s">
        <v>3327</v>
      </c>
      <c r="X2028" s="377" t="str">
        <f t="shared" si="191"/>
        <v>DS</v>
      </c>
      <c r="Y2028" t="str">
        <f>SUBSTITUTE(Tabla1[[#This Row],[Descripción]],CHAR(10),"    I    ")</f>
        <v>Pantalla para estadísticas por usuario/quejas</v>
      </c>
      <c r="Z2028" s="142">
        <f>VLOOKUP(Tabla1[[#This Row],[Perfil]],Catalogos!$B$75:$D$100,3,FALSE)*Tabla1[[#This Row],[Tiempo
(Hrs 00/100)]]*1.16</f>
        <v>6901.9999999999991</v>
      </c>
    </row>
    <row r="2029" spans="1:26" ht="15" customHeight="1" x14ac:dyDescent="0.3">
      <c r="A2029" s="530" t="s">
        <v>22</v>
      </c>
      <c r="B2029" s="530" t="s">
        <v>23</v>
      </c>
      <c r="C2029" s="205" t="s">
        <v>155</v>
      </c>
      <c r="D2029" s="373"/>
      <c r="E2029" s="373" t="s">
        <v>375</v>
      </c>
      <c r="F2029" s="370" t="s">
        <v>23</v>
      </c>
      <c r="G2029" s="370" t="s">
        <v>3333</v>
      </c>
      <c r="H2029" s="461" t="s">
        <v>405</v>
      </c>
      <c r="I2029" s="383" t="s">
        <v>3339</v>
      </c>
      <c r="J2029" s="369">
        <v>45225</v>
      </c>
      <c r="K2029" s="747">
        <v>0.375</v>
      </c>
      <c r="L2029" s="369">
        <v>45225</v>
      </c>
      <c r="M2029" s="753">
        <v>0.79166666666666663</v>
      </c>
      <c r="N2029" s="210">
        <v>8.5</v>
      </c>
      <c r="O2029" s="184" t="s">
        <v>17</v>
      </c>
      <c r="P2029" s="305" t="s">
        <v>462</v>
      </c>
      <c r="Q2029" s="541" t="s">
        <v>1120</v>
      </c>
      <c r="R2029" s="202" t="s">
        <v>40</v>
      </c>
      <c r="S2029" s="31" t="s">
        <v>273</v>
      </c>
      <c r="T2029" s="31" t="s">
        <v>273</v>
      </c>
      <c r="U2029" s="31">
        <f>IFERROR(VLOOKUP(CONCATENATE(Tabla1[[#This Row],[Severidad]]," ",Tabla1[[#This Row],[Complejidad]]),Catalogos!E$120:G$128,3,FALSE),"")</f>
        <v>64</v>
      </c>
      <c r="V2029" s="31" t="str">
        <f>IF(Tabla1[[#This Row],[Tiempo solución max (hrs)]]&lt;&gt;"",IF(Tabla1[[#This Row],[Tiempo solución max (hrs)]]&gt;=Tabla1[[#This Row],[Tiempo
(Hrs 00/100)]],"cumple","no cumple"),"")</f>
        <v>cumple</v>
      </c>
      <c r="W2029" s="376" t="s">
        <v>3327</v>
      </c>
      <c r="X2029" s="377" t="str">
        <f t="shared" ref="X2029" si="192">IF(C2029&lt;&gt;"",C2029,D2029)</f>
        <v>DS</v>
      </c>
      <c r="Y2029" t="str">
        <f>SUBSTITUTE(Tabla1[[#This Row],[Descripción]],CHAR(10),"    I    ")</f>
        <v>Pantalla para estadísticas por usuario/quejas</v>
      </c>
      <c r="Z2029" s="142">
        <f>VLOOKUP(Tabla1[[#This Row],[Perfil]],Catalogos!$B$75:$D$100,3,FALSE)*Tabla1[[#This Row],[Tiempo
(Hrs 00/100)]]*1.16</f>
        <v>6901.9999999999991</v>
      </c>
    </row>
    <row r="2030" spans="1:26" ht="15" customHeight="1" x14ac:dyDescent="0.3">
      <c r="A2030" s="530" t="s">
        <v>22</v>
      </c>
      <c r="B2030" s="530" t="s">
        <v>23</v>
      </c>
      <c r="C2030" s="205" t="s">
        <v>155</v>
      </c>
      <c r="D2030" s="373"/>
      <c r="E2030" s="373" t="s">
        <v>375</v>
      </c>
      <c r="F2030" s="370" t="s">
        <v>23</v>
      </c>
      <c r="G2030" s="370" t="s">
        <v>3334</v>
      </c>
      <c r="H2030" s="461" t="s">
        <v>405</v>
      </c>
      <c r="I2030" s="538" t="s">
        <v>3340</v>
      </c>
      <c r="J2030" s="369">
        <v>45226</v>
      </c>
      <c r="K2030" s="747">
        <v>0.375</v>
      </c>
      <c r="L2030" s="369">
        <v>45226</v>
      </c>
      <c r="M2030" s="753">
        <v>0.625</v>
      </c>
      <c r="N2030" s="210">
        <v>6</v>
      </c>
      <c r="O2030" s="184" t="s">
        <v>411</v>
      </c>
      <c r="P2030" s="305" t="s">
        <v>462</v>
      </c>
      <c r="Q2030" s="541" t="s">
        <v>1120</v>
      </c>
      <c r="R2030" s="202" t="s">
        <v>40</v>
      </c>
      <c r="S2030" s="31" t="s">
        <v>273</v>
      </c>
      <c r="T2030" s="31" t="s">
        <v>273</v>
      </c>
      <c r="U2030" s="31">
        <f>IFERROR(VLOOKUP(CONCATENATE(Tabla1[[#This Row],[Severidad]]," ",Tabla1[[#This Row],[Complejidad]]),Catalogos!E$120:G$128,3,FALSE),"")</f>
        <v>64</v>
      </c>
      <c r="V2030" s="31" t="str">
        <f>IF(Tabla1[[#This Row],[Tiempo solución max (hrs)]]&lt;&gt;"",IF(Tabla1[[#This Row],[Tiempo solución max (hrs)]]&gt;=Tabla1[[#This Row],[Tiempo
(Hrs 00/100)]],"cumple","no cumple"),"")</f>
        <v>cumple</v>
      </c>
      <c r="W2030" s="376" t="s">
        <v>3327</v>
      </c>
      <c r="X2030" s="377" t="str">
        <f t="shared" ref="X2030:X2033" si="193">IF(C2030&lt;&gt;"",C2030,D2030)</f>
        <v>DS</v>
      </c>
      <c r="Y2030" t="str">
        <f>SUBSTITUTE(Tabla1[[#This Row],[Descripción]],CHAR(10),"    I    ")</f>
        <v>Pantalla para estadísticas por usuario/resoluciones</v>
      </c>
      <c r="Z2030" s="142">
        <f>VLOOKUP(Tabla1[[#This Row],[Perfil]],Catalogos!$B$75:$D$100,3,FALSE)*Tabla1[[#This Row],[Tiempo
(Hrs 00/100)]]*1.16</f>
        <v>4872</v>
      </c>
    </row>
    <row r="2031" spans="1:26" ht="15" customHeight="1" x14ac:dyDescent="0.3">
      <c r="A2031" s="530" t="s">
        <v>22</v>
      </c>
      <c r="B2031" s="530" t="s">
        <v>23</v>
      </c>
      <c r="C2031" s="205" t="s">
        <v>155</v>
      </c>
      <c r="D2031" s="373"/>
      <c r="E2031" s="373" t="s">
        <v>375</v>
      </c>
      <c r="F2031" s="370" t="s">
        <v>23</v>
      </c>
      <c r="G2031" s="370" t="s">
        <v>3334</v>
      </c>
      <c r="H2031" s="461" t="s">
        <v>405</v>
      </c>
      <c r="I2031" s="538" t="s">
        <v>3340</v>
      </c>
      <c r="J2031" s="369">
        <v>45229</v>
      </c>
      <c r="K2031" s="747">
        <v>0.375</v>
      </c>
      <c r="L2031" s="369">
        <v>45229</v>
      </c>
      <c r="M2031" s="753">
        <v>0.79166666666666663</v>
      </c>
      <c r="N2031" s="210">
        <v>8.5</v>
      </c>
      <c r="O2031" s="184" t="s">
        <v>411</v>
      </c>
      <c r="P2031" s="305" t="s">
        <v>462</v>
      </c>
      <c r="Q2031" s="541" t="s">
        <v>1120</v>
      </c>
      <c r="R2031" s="202" t="s">
        <v>40</v>
      </c>
      <c r="S2031" s="31" t="s">
        <v>273</v>
      </c>
      <c r="T2031" s="31" t="s">
        <v>273</v>
      </c>
      <c r="U2031" s="31">
        <f>IFERROR(VLOOKUP(CONCATENATE(Tabla1[[#This Row],[Severidad]]," ",Tabla1[[#This Row],[Complejidad]]),Catalogos!E$120:G$128,3,FALSE),"")</f>
        <v>64</v>
      </c>
      <c r="V2031" s="31" t="str">
        <f>IF(Tabla1[[#This Row],[Tiempo solución max (hrs)]]&lt;&gt;"",IF(Tabla1[[#This Row],[Tiempo solución max (hrs)]]&gt;=Tabla1[[#This Row],[Tiempo
(Hrs 00/100)]],"cumple","no cumple"),"")</f>
        <v>cumple</v>
      </c>
      <c r="W2031" s="376" t="s">
        <v>3327</v>
      </c>
      <c r="X2031" s="377" t="str">
        <f t="shared" si="193"/>
        <v>DS</v>
      </c>
      <c r="Y2031" t="str">
        <f>SUBSTITUTE(Tabla1[[#This Row],[Descripción]],CHAR(10),"    I    ")</f>
        <v>Pantalla para estadísticas por usuario/resoluciones</v>
      </c>
      <c r="Z2031" s="142">
        <f>VLOOKUP(Tabla1[[#This Row],[Perfil]],Catalogos!$B$75:$D$100,3,FALSE)*Tabla1[[#This Row],[Tiempo
(Hrs 00/100)]]*1.16</f>
        <v>6901.9999999999991</v>
      </c>
    </row>
    <row r="2032" spans="1:26" ht="15" customHeight="1" x14ac:dyDescent="0.3">
      <c r="A2032" s="530" t="s">
        <v>22</v>
      </c>
      <c r="B2032" s="530" t="s">
        <v>23</v>
      </c>
      <c r="C2032" s="205" t="s">
        <v>155</v>
      </c>
      <c r="D2032" s="373"/>
      <c r="E2032" s="373" t="s">
        <v>375</v>
      </c>
      <c r="F2032" s="370" t="s">
        <v>23</v>
      </c>
      <c r="G2032" s="370" t="s">
        <v>3334</v>
      </c>
      <c r="H2032" s="461" t="s">
        <v>405</v>
      </c>
      <c r="I2032" s="538" t="s">
        <v>3340</v>
      </c>
      <c r="J2032" s="369">
        <v>45230</v>
      </c>
      <c r="K2032" s="747">
        <v>0.375</v>
      </c>
      <c r="L2032" s="369">
        <v>45230</v>
      </c>
      <c r="M2032" s="753">
        <v>0.79166666666666663</v>
      </c>
      <c r="N2032" s="210">
        <v>8.5</v>
      </c>
      <c r="O2032" s="184" t="s">
        <v>17</v>
      </c>
      <c r="P2032" s="305" t="s">
        <v>462</v>
      </c>
      <c r="Q2032" s="541" t="s">
        <v>1120</v>
      </c>
      <c r="R2032" s="202" t="s">
        <v>40</v>
      </c>
      <c r="S2032" s="31" t="s">
        <v>273</v>
      </c>
      <c r="T2032" s="31" t="s">
        <v>273</v>
      </c>
      <c r="U2032" s="31">
        <f>IFERROR(VLOOKUP(CONCATENATE(Tabla1[[#This Row],[Severidad]]," ",Tabla1[[#This Row],[Complejidad]]),Catalogos!E$120:G$128,3,FALSE),"")</f>
        <v>64</v>
      </c>
      <c r="V2032" s="31" t="str">
        <f>IF(Tabla1[[#This Row],[Tiempo solución max (hrs)]]&lt;&gt;"",IF(Tabla1[[#This Row],[Tiempo solución max (hrs)]]&gt;=Tabla1[[#This Row],[Tiempo
(Hrs 00/100)]],"cumple","no cumple"),"")</f>
        <v>cumple</v>
      </c>
      <c r="W2032" s="376" t="s">
        <v>3327</v>
      </c>
      <c r="X2032" s="377" t="str">
        <f t="shared" si="193"/>
        <v>DS</v>
      </c>
      <c r="Y2032" t="str">
        <f>SUBSTITUTE(Tabla1[[#This Row],[Descripción]],CHAR(10),"    I    ")</f>
        <v>Pantalla para estadísticas por usuario/resoluciones</v>
      </c>
      <c r="Z2032" s="142">
        <f>VLOOKUP(Tabla1[[#This Row],[Perfil]],Catalogos!$B$75:$D$100,3,FALSE)*Tabla1[[#This Row],[Tiempo
(Hrs 00/100)]]*1.16</f>
        <v>6901.9999999999991</v>
      </c>
    </row>
    <row r="2033" spans="1:26" s="287" customFormat="1" ht="40.5" customHeight="1" x14ac:dyDescent="0.3">
      <c r="A2033" s="625" t="s">
        <v>22</v>
      </c>
      <c r="B2033" s="625" t="s">
        <v>23</v>
      </c>
      <c r="C2033" s="205" t="s">
        <v>155</v>
      </c>
      <c r="D2033" s="373"/>
      <c r="E2033" s="373" t="s">
        <v>375</v>
      </c>
      <c r="F2033" s="370" t="s">
        <v>23</v>
      </c>
      <c r="G2033" s="370" t="s">
        <v>3341</v>
      </c>
      <c r="H2033" s="461" t="s">
        <v>405</v>
      </c>
      <c r="I2033" s="626" t="s">
        <v>3342</v>
      </c>
      <c r="J2033" s="369">
        <v>45201</v>
      </c>
      <c r="K2033" s="747">
        <v>0.375</v>
      </c>
      <c r="L2033" s="369">
        <v>45201</v>
      </c>
      <c r="M2033" s="753">
        <v>0.54166666666666663</v>
      </c>
      <c r="N2033" s="210">
        <v>4</v>
      </c>
      <c r="O2033" s="184" t="s">
        <v>411</v>
      </c>
      <c r="P2033" s="375" t="s">
        <v>412</v>
      </c>
      <c r="Q2033" s="627" t="s">
        <v>208</v>
      </c>
      <c r="R2033" s="628" t="s">
        <v>40</v>
      </c>
      <c r="S2033" s="31" t="s">
        <v>273</v>
      </c>
      <c r="T2033" s="31" t="s">
        <v>273</v>
      </c>
      <c r="U2033" s="31">
        <f>IFERROR(VLOOKUP(CONCATENATE(Tabla1[[#This Row],[Severidad]]," ",Tabla1[[#This Row],[Complejidad]]),Catalogos!E$120:G$128,3,FALSE),"")</f>
        <v>64</v>
      </c>
      <c r="V2033" s="31" t="str">
        <f>IF(Tabla1[[#This Row],[Tiempo solución max (hrs)]]&lt;&gt;"",IF(Tabla1[[#This Row],[Tiempo solución max (hrs)]]&gt;=Tabla1[[#This Row],[Tiempo
(Hrs 00/100)]],"cumple","no cumple"),"")</f>
        <v>cumple</v>
      </c>
      <c r="W2033" s="629" t="s">
        <v>3327</v>
      </c>
      <c r="X2033" s="31" t="str">
        <f t="shared" si="193"/>
        <v>DS</v>
      </c>
      <c r="Y2033" s="287" t="str">
        <f>SUBSTITUTE(Tabla1[[#This Row],[Descripción]],CHAR(10),"    I    ")</f>
        <v>Back para estadísticas de solicitudes</v>
      </c>
      <c r="Z2033" s="630">
        <f>VLOOKUP(Tabla1[[#This Row],[Perfil]],Catalogos!$B$75:$D$100,3,FALSE)*Tabla1[[#This Row],[Tiempo
(Hrs 00/100)]]*1.16</f>
        <v>3248</v>
      </c>
    </row>
    <row r="2034" spans="1:26" ht="15" customHeight="1" x14ac:dyDescent="0.3">
      <c r="A2034" s="625" t="s">
        <v>22</v>
      </c>
      <c r="B2034" s="625" t="s">
        <v>23</v>
      </c>
      <c r="C2034" s="205" t="s">
        <v>155</v>
      </c>
      <c r="D2034" s="373"/>
      <c r="E2034" s="373" t="s">
        <v>375</v>
      </c>
      <c r="F2034" s="370" t="s">
        <v>23</v>
      </c>
      <c r="G2034" s="370" t="s">
        <v>3341</v>
      </c>
      <c r="H2034" s="461" t="s">
        <v>405</v>
      </c>
      <c r="I2034" s="626" t="s">
        <v>3342</v>
      </c>
      <c r="J2034" s="369">
        <v>45202</v>
      </c>
      <c r="K2034" s="747">
        <v>0.375</v>
      </c>
      <c r="L2034" s="369">
        <v>45202</v>
      </c>
      <c r="M2034" s="753">
        <v>0.54166666666666663</v>
      </c>
      <c r="N2034" s="210">
        <v>4</v>
      </c>
      <c r="O2034" s="184" t="s">
        <v>411</v>
      </c>
      <c r="P2034" s="375" t="s">
        <v>412</v>
      </c>
      <c r="Q2034" s="627" t="s">
        <v>208</v>
      </c>
      <c r="R2034" s="628" t="s">
        <v>40</v>
      </c>
      <c r="S2034" s="31" t="s">
        <v>273</v>
      </c>
      <c r="T2034" s="31" t="s">
        <v>273</v>
      </c>
      <c r="U2034" s="31">
        <f>IFERROR(VLOOKUP(CONCATENATE(Tabla1[[#This Row],[Severidad]]," ",Tabla1[[#This Row],[Complejidad]]),Catalogos!E$120:G$128,3,FALSE),"")</f>
        <v>64</v>
      </c>
      <c r="V2034" s="31" t="str">
        <f>IF(Tabla1[[#This Row],[Tiempo solución max (hrs)]]&lt;&gt;"",IF(Tabla1[[#This Row],[Tiempo solución max (hrs)]]&gt;=Tabla1[[#This Row],[Tiempo
(Hrs 00/100)]],"cumple","no cumple"),"")</f>
        <v>cumple</v>
      </c>
      <c r="W2034" s="629" t="s">
        <v>3327</v>
      </c>
      <c r="X2034" s="377" t="str">
        <f t="shared" si="190"/>
        <v>DS</v>
      </c>
      <c r="Y2034" t="str">
        <f>SUBSTITUTE(Tabla1[[#This Row],[Descripción]],CHAR(10),"    I    ")</f>
        <v>Back para estadísticas de solicitudes</v>
      </c>
      <c r="Z2034" s="142">
        <f>VLOOKUP(Tabla1[[#This Row],[Perfil]],Catalogos!$B$75:$D$100,3,FALSE)*Tabla1[[#This Row],[Tiempo
(Hrs 00/100)]]*1.16</f>
        <v>3248</v>
      </c>
    </row>
    <row r="2035" spans="1:26" ht="15" customHeight="1" x14ac:dyDescent="0.3">
      <c r="A2035" s="625" t="s">
        <v>22</v>
      </c>
      <c r="B2035" s="625" t="s">
        <v>23</v>
      </c>
      <c r="C2035" s="205" t="s">
        <v>155</v>
      </c>
      <c r="D2035" s="373"/>
      <c r="E2035" s="373" t="s">
        <v>375</v>
      </c>
      <c r="F2035" s="370" t="s">
        <v>23</v>
      </c>
      <c r="G2035" s="370" t="s">
        <v>3341</v>
      </c>
      <c r="H2035" s="461" t="s">
        <v>405</v>
      </c>
      <c r="I2035" s="626" t="s">
        <v>3342</v>
      </c>
      <c r="J2035" s="369">
        <v>45203</v>
      </c>
      <c r="K2035" s="747">
        <v>0.375</v>
      </c>
      <c r="L2035" s="369">
        <v>45203</v>
      </c>
      <c r="M2035" s="753">
        <v>0.54166666666666663</v>
      </c>
      <c r="N2035" s="210">
        <v>4</v>
      </c>
      <c r="O2035" s="184" t="s">
        <v>17</v>
      </c>
      <c r="P2035" s="375" t="s">
        <v>412</v>
      </c>
      <c r="Q2035" s="627" t="s">
        <v>208</v>
      </c>
      <c r="R2035" s="628" t="s">
        <v>40</v>
      </c>
      <c r="S2035" s="31" t="s">
        <v>273</v>
      </c>
      <c r="T2035" s="31" t="s">
        <v>273</v>
      </c>
      <c r="U2035" s="31">
        <f>IFERROR(VLOOKUP(CONCATENATE(Tabla1[[#This Row],[Severidad]]," ",Tabla1[[#This Row],[Complejidad]]),Catalogos!E$120:G$128,3,FALSE),"")</f>
        <v>64</v>
      </c>
      <c r="V2035" s="31" t="str">
        <f>IF(Tabla1[[#This Row],[Tiempo solución max (hrs)]]&lt;&gt;"",IF(Tabla1[[#This Row],[Tiempo solución max (hrs)]]&gt;=Tabla1[[#This Row],[Tiempo
(Hrs 00/100)]],"cumple","no cumple"),"")</f>
        <v>cumple</v>
      </c>
      <c r="W2035" s="629" t="s">
        <v>3327</v>
      </c>
      <c r="X2035" s="377" t="str">
        <f t="shared" si="190"/>
        <v>DS</v>
      </c>
      <c r="Y2035" t="str">
        <f>SUBSTITUTE(Tabla1[[#This Row],[Descripción]],CHAR(10),"    I    ")</f>
        <v>Back para estadísticas de solicitudes</v>
      </c>
      <c r="Z2035" s="142">
        <f>VLOOKUP(Tabla1[[#This Row],[Perfil]],Catalogos!$B$75:$D$100,3,FALSE)*Tabla1[[#This Row],[Tiempo
(Hrs 00/100)]]*1.16</f>
        <v>3248</v>
      </c>
    </row>
    <row r="2036" spans="1:26" ht="15" customHeight="1" x14ac:dyDescent="0.3">
      <c r="A2036" s="625" t="s">
        <v>22</v>
      </c>
      <c r="B2036" s="625" t="s">
        <v>23</v>
      </c>
      <c r="C2036" s="205" t="s">
        <v>155</v>
      </c>
      <c r="D2036" s="373"/>
      <c r="E2036" s="373" t="s">
        <v>375</v>
      </c>
      <c r="F2036" s="370" t="s">
        <v>23</v>
      </c>
      <c r="G2036" s="370" t="s">
        <v>3349</v>
      </c>
      <c r="H2036" s="461" t="s">
        <v>405</v>
      </c>
      <c r="I2036" s="383" t="s">
        <v>3343</v>
      </c>
      <c r="J2036" s="369">
        <v>45204</v>
      </c>
      <c r="K2036" s="747">
        <v>0.375</v>
      </c>
      <c r="L2036" s="369">
        <v>45204</v>
      </c>
      <c r="M2036" s="753">
        <v>0.54166666666666663</v>
      </c>
      <c r="N2036" s="210">
        <v>4</v>
      </c>
      <c r="O2036" s="184" t="s">
        <v>411</v>
      </c>
      <c r="P2036" s="375" t="s">
        <v>412</v>
      </c>
      <c r="Q2036" s="627" t="s">
        <v>208</v>
      </c>
      <c r="R2036" s="628" t="s">
        <v>40</v>
      </c>
      <c r="S2036" s="31" t="s">
        <v>273</v>
      </c>
      <c r="T2036" s="31" t="s">
        <v>273</v>
      </c>
      <c r="U2036" s="31">
        <f>IFERROR(VLOOKUP(CONCATENATE(Tabla1[[#This Row],[Severidad]]," ",Tabla1[[#This Row],[Complejidad]]),Catalogos!E$120:G$128,3,FALSE),"")</f>
        <v>64</v>
      </c>
      <c r="V2036" s="31" t="str">
        <f>IF(Tabla1[[#This Row],[Tiempo solución max (hrs)]]&lt;&gt;"",IF(Tabla1[[#This Row],[Tiempo solución max (hrs)]]&gt;=Tabla1[[#This Row],[Tiempo
(Hrs 00/100)]],"cumple","no cumple"),"")</f>
        <v>cumple</v>
      </c>
      <c r="W2036" s="629" t="s">
        <v>3327</v>
      </c>
      <c r="X2036" s="377" t="str">
        <f t="shared" si="190"/>
        <v>DS</v>
      </c>
      <c r="Y2036" t="str">
        <f>SUBSTITUTE(Tabla1[[#This Row],[Descripción]],CHAR(10),"    I    ")</f>
        <v>Back para estadísticas de quejas</v>
      </c>
      <c r="Z2036" s="142">
        <f>VLOOKUP(Tabla1[[#This Row],[Perfil]],Catalogos!$B$75:$D$100,3,FALSE)*Tabla1[[#This Row],[Tiempo
(Hrs 00/100)]]*1.16</f>
        <v>3248</v>
      </c>
    </row>
    <row r="2037" spans="1:26" ht="15" customHeight="1" x14ac:dyDescent="0.3">
      <c r="A2037" s="625" t="s">
        <v>22</v>
      </c>
      <c r="B2037" s="625" t="s">
        <v>23</v>
      </c>
      <c r="C2037" s="205" t="s">
        <v>155</v>
      </c>
      <c r="D2037" s="373"/>
      <c r="E2037" s="373" t="s">
        <v>375</v>
      </c>
      <c r="F2037" s="370" t="s">
        <v>23</v>
      </c>
      <c r="G2037" s="370" t="s">
        <v>3349</v>
      </c>
      <c r="H2037" s="461" t="s">
        <v>405</v>
      </c>
      <c r="I2037" s="383" t="s">
        <v>3343</v>
      </c>
      <c r="J2037" s="369">
        <v>45205</v>
      </c>
      <c r="K2037" s="747">
        <v>0.375</v>
      </c>
      <c r="L2037" s="369">
        <v>45205</v>
      </c>
      <c r="M2037" s="753">
        <v>0.54166666666666663</v>
      </c>
      <c r="N2037" s="210">
        <v>4</v>
      </c>
      <c r="O2037" s="184" t="s">
        <v>17</v>
      </c>
      <c r="P2037" s="375" t="s">
        <v>412</v>
      </c>
      <c r="Q2037" s="627" t="s">
        <v>208</v>
      </c>
      <c r="R2037" s="628" t="s">
        <v>40</v>
      </c>
      <c r="S2037" s="31" t="s">
        <v>273</v>
      </c>
      <c r="T2037" s="31" t="s">
        <v>273</v>
      </c>
      <c r="U2037" s="31">
        <f>IFERROR(VLOOKUP(CONCATENATE(Tabla1[[#This Row],[Severidad]]," ",Tabla1[[#This Row],[Complejidad]]),Catalogos!E$120:G$128,3,FALSE),"")</f>
        <v>64</v>
      </c>
      <c r="V2037" s="31" t="str">
        <f>IF(Tabla1[[#This Row],[Tiempo solución max (hrs)]]&lt;&gt;"",IF(Tabla1[[#This Row],[Tiempo solución max (hrs)]]&gt;=Tabla1[[#This Row],[Tiempo
(Hrs 00/100)]],"cumple","no cumple"),"")</f>
        <v>cumple</v>
      </c>
      <c r="W2037" s="629" t="s">
        <v>3327</v>
      </c>
      <c r="X2037" s="377" t="str">
        <f t="shared" si="190"/>
        <v>DS</v>
      </c>
      <c r="Y2037" t="str">
        <f>SUBSTITUTE(Tabla1[[#This Row],[Descripción]],CHAR(10),"    I    ")</f>
        <v>Back para estadísticas de quejas</v>
      </c>
      <c r="Z2037" s="142">
        <f>VLOOKUP(Tabla1[[#This Row],[Perfil]],Catalogos!$B$75:$D$100,3,FALSE)*Tabla1[[#This Row],[Tiempo
(Hrs 00/100)]]*1.16</f>
        <v>3248</v>
      </c>
    </row>
    <row r="2038" spans="1:26" ht="15" customHeight="1" x14ac:dyDescent="0.3">
      <c r="A2038" s="625" t="s">
        <v>22</v>
      </c>
      <c r="B2038" s="625" t="s">
        <v>23</v>
      </c>
      <c r="C2038" s="205" t="s">
        <v>155</v>
      </c>
      <c r="D2038" s="373"/>
      <c r="E2038" s="373" t="s">
        <v>375</v>
      </c>
      <c r="F2038" s="370" t="s">
        <v>23</v>
      </c>
      <c r="G2038" s="370" t="s">
        <v>3350</v>
      </c>
      <c r="H2038" s="461" t="s">
        <v>405</v>
      </c>
      <c r="I2038" s="383" t="s">
        <v>3344</v>
      </c>
      <c r="J2038" s="369">
        <v>45208</v>
      </c>
      <c r="K2038" s="747">
        <v>0.375</v>
      </c>
      <c r="L2038" s="369">
        <v>45208</v>
      </c>
      <c r="M2038" s="753">
        <v>0.54166666666666663</v>
      </c>
      <c r="N2038" s="210">
        <v>4</v>
      </c>
      <c r="O2038" s="184" t="s">
        <v>411</v>
      </c>
      <c r="P2038" s="375" t="s">
        <v>412</v>
      </c>
      <c r="Q2038" s="627" t="s">
        <v>208</v>
      </c>
      <c r="R2038" s="628" t="s">
        <v>40</v>
      </c>
      <c r="S2038" s="31" t="s">
        <v>273</v>
      </c>
      <c r="T2038" s="31" t="s">
        <v>273</v>
      </c>
      <c r="U2038" s="31">
        <f>IFERROR(VLOOKUP(CONCATENATE(Tabla1[[#This Row],[Severidad]]," ",Tabla1[[#This Row],[Complejidad]]),Catalogos!E$120:G$128,3,FALSE),"")</f>
        <v>64</v>
      </c>
      <c r="V2038" s="31" t="str">
        <f>IF(Tabla1[[#This Row],[Tiempo solución max (hrs)]]&lt;&gt;"",IF(Tabla1[[#This Row],[Tiempo solución max (hrs)]]&gt;=Tabla1[[#This Row],[Tiempo
(Hrs 00/100)]],"cumple","no cumple"),"")</f>
        <v>cumple</v>
      </c>
      <c r="W2038" s="629" t="s">
        <v>3327</v>
      </c>
      <c r="X2038" s="377" t="str">
        <f t="shared" si="190"/>
        <v>DS</v>
      </c>
      <c r="Y2038" t="str">
        <f>SUBSTITUTE(Tabla1[[#This Row],[Descripción]],CHAR(10),"    I    ")</f>
        <v>Back para estadísticas de resoluciones</v>
      </c>
      <c r="Z2038" s="142">
        <f>VLOOKUP(Tabla1[[#This Row],[Perfil]],Catalogos!$B$75:$D$100,3,FALSE)*Tabla1[[#This Row],[Tiempo
(Hrs 00/100)]]*1.16</f>
        <v>3248</v>
      </c>
    </row>
    <row r="2039" spans="1:26" ht="15" customHeight="1" x14ac:dyDescent="0.3">
      <c r="A2039" s="625" t="s">
        <v>22</v>
      </c>
      <c r="B2039" s="625" t="s">
        <v>23</v>
      </c>
      <c r="C2039" s="205" t="s">
        <v>155</v>
      </c>
      <c r="D2039" s="373"/>
      <c r="E2039" s="373" t="s">
        <v>375</v>
      </c>
      <c r="F2039" s="370" t="s">
        <v>23</v>
      </c>
      <c r="G2039" s="631" t="s">
        <v>3350</v>
      </c>
      <c r="H2039" s="461" t="s">
        <v>405</v>
      </c>
      <c r="I2039" s="632" t="s">
        <v>3344</v>
      </c>
      <c r="J2039" s="369">
        <v>45209</v>
      </c>
      <c r="K2039" s="747">
        <v>0.375</v>
      </c>
      <c r="L2039" s="369">
        <v>45209</v>
      </c>
      <c r="M2039" s="753">
        <v>0.54166666666666663</v>
      </c>
      <c r="N2039" s="210">
        <v>4</v>
      </c>
      <c r="O2039" s="633" t="s">
        <v>17</v>
      </c>
      <c r="P2039" s="375" t="s">
        <v>412</v>
      </c>
      <c r="Q2039" s="627" t="s">
        <v>208</v>
      </c>
      <c r="R2039" s="628" t="s">
        <v>40</v>
      </c>
      <c r="S2039" s="31" t="s">
        <v>273</v>
      </c>
      <c r="T2039" s="31" t="s">
        <v>273</v>
      </c>
      <c r="U2039" s="31">
        <f>IFERROR(VLOOKUP(CONCATENATE(Tabla1[[#This Row],[Severidad]]," ",Tabla1[[#This Row],[Complejidad]]),Catalogos!E$120:G$128,3,FALSE),"")</f>
        <v>64</v>
      </c>
      <c r="V2039" s="31" t="str">
        <f>IF(Tabla1[[#This Row],[Tiempo solución max (hrs)]]&lt;&gt;"",IF(Tabla1[[#This Row],[Tiempo solución max (hrs)]]&gt;=Tabla1[[#This Row],[Tiempo
(Hrs 00/100)]],"cumple","no cumple"),"")</f>
        <v>cumple</v>
      </c>
      <c r="W2039" s="629" t="s">
        <v>3327</v>
      </c>
      <c r="X2039" s="377" t="str">
        <f t="shared" si="190"/>
        <v>DS</v>
      </c>
      <c r="Y2039" t="str">
        <f>SUBSTITUTE(Tabla1[[#This Row],[Descripción]],CHAR(10),"    I    ")</f>
        <v>Back para estadísticas de resoluciones</v>
      </c>
      <c r="Z2039" s="142">
        <f>VLOOKUP(Tabla1[[#This Row],[Perfil]],Catalogos!$B$75:$D$100,3,FALSE)*Tabla1[[#This Row],[Tiempo
(Hrs 00/100)]]*1.16</f>
        <v>3248</v>
      </c>
    </row>
    <row r="2040" spans="1:26" ht="15" customHeight="1" x14ac:dyDescent="0.3">
      <c r="A2040" s="625" t="s">
        <v>22</v>
      </c>
      <c r="B2040" s="625" t="s">
        <v>23</v>
      </c>
      <c r="C2040" s="205" t="s">
        <v>155</v>
      </c>
      <c r="D2040" s="373"/>
      <c r="E2040" s="373" t="s">
        <v>375</v>
      </c>
      <c r="F2040" s="370" t="s">
        <v>23</v>
      </c>
      <c r="G2040" s="631" t="s">
        <v>3351</v>
      </c>
      <c r="H2040" s="461" t="s">
        <v>405</v>
      </c>
      <c r="I2040" s="634" t="s">
        <v>3348</v>
      </c>
      <c r="J2040" s="369">
        <v>45210</v>
      </c>
      <c r="K2040" s="747">
        <v>0.375</v>
      </c>
      <c r="L2040" s="369">
        <v>45210</v>
      </c>
      <c r="M2040" s="753">
        <v>0.54166666666666663</v>
      </c>
      <c r="N2040" s="210">
        <v>4</v>
      </c>
      <c r="O2040" s="633" t="s">
        <v>411</v>
      </c>
      <c r="P2040" s="375" t="s">
        <v>412</v>
      </c>
      <c r="Q2040" s="627" t="s">
        <v>208</v>
      </c>
      <c r="R2040" s="628" t="s">
        <v>40</v>
      </c>
      <c r="S2040" s="31" t="s">
        <v>273</v>
      </c>
      <c r="T2040" s="31" t="s">
        <v>273</v>
      </c>
      <c r="U2040" s="31">
        <f>IFERROR(VLOOKUP(CONCATENATE(Tabla1[[#This Row],[Severidad]]," ",Tabla1[[#This Row],[Complejidad]]),Catalogos!E$120:G$128,3,FALSE),"")</f>
        <v>64</v>
      </c>
      <c r="V2040" s="31" t="str">
        <f>IF(Tabla1[[#This Row],[Tiempo solución max (hrs)]]&lt;&gt;"",IF(Tabla1[[#This Row],[Tiempo solución max (hrs)]]&gt;=Tabla1[[#This Row],[Tiempo
(Hrs 00/100)]],"cumple","no cumple"),"")</f>
        <v>cumple</v>
      </c>
      <c r="W2040" s="629" t="s">
        <v>3327</v>
      </c>
      <c r="X2040" s="377" t="str">
        <f t="shared" si="190"/>
        <v>DS</v>
      </c>
      <c r="Y2040" t="str">
        <f>SUBSTITUTE(Tabla1[[#This Row],[Descripción]],CHAR(10),"    I    ")</f>
        <v>Backs para implementar combos de selección múltiple</v>
      </c>
      <c r="Z2040" s="142">
        <f>VLOOKUP(Tabla1[[#This Row],[Perfil]],Catalogos!$B$75:$D$100,3,FALSE)*Tabla1[[#This Row],[Tiempo
(Hrs 00/100)]]*1.16</f>
        <v>3248</v>
      </c>
    </row>
    <row r="2041" spans="1:26" ht="15" customHeight="1" x14ac:dyDescent="0.3">
      <c r="A2041" s="625" t="s">
        <v>22</v>
      </c>
      <c r="B2041" s="625" t="s">
        <v>23</v>
      </c>
      <c r="C2041" s="205" t="s">
        <v>155</v>
      </c>
      <c r="D2041" s="373"/>
      <c r="E2041" s="373" t="s">
        <v>375</v>
      </c>
      <c r="F2041" s="370" t="s">
        <v>23</v>
      </c>
      <c r="G2041" s="631" t="s">
        <v>3351</v>
      </c>
      <c r="H2041" s="461" t="s">
        <v>405</v>
      </c>
      <c r="I2041" s="634" t="s">
        <v>3348</v>
      </c>
      <c r="J2041" s="369">
        <v>45211</v>
      </c>
      <c r="K2041" s="747">
        <v>0.375</v>
      </c>
      <c r="L2041" s="369">
        <v>45211</v>
      </c>
      <c r="M2041" s="753">
        <v>0.54166666666666663</v>
      </c>
      <c r="N2041" s="210">
        <v>4</v>
      </c>
      <c r="O2041" s="633" t="s">
        <v>17</v>
      </c>
      <c r="P2041" s="375" t="s">
        <v>412</v>
      </c>
      <c r="Q2041" s="627" t="s">
        <v>208</v>
      </c>
      <c r="R2041" s="628" t="s">
        <v>40</v>
      </c>
      <c r="S2041" s="31" t="s">
        <v>273</v>
      </c>
      <c r="T2041" s="31" t="s">
        <v>273</v>
      </c>
      <c r="U2041" s="31">
        <f>IFERROR(VLOOKUP(CONCATENATE(Tabla1[[#This Row],[Severidad]]," ",Tabla1[[#This Row],[Complejidad]]),Catalogos!E$120:G$128,3,FALSE),"")</f>
        <v>64</v>
      </c>
      <c r="V2041" s="31" t="str">
        <f>IF(Tabla1[[#This Row],[Tiempo solución max (hrs)]]&lt;&gt;"",IF(Tabla1[[#This Row],[Tiempo solución max (hrs)]]&gt;=Tabla1[[#This Row],[Tiempo
(Hrs 00/100)]],"cumple","no cumple"),"")</f>
        <v>cumple</v>
      </c>
      <c r="W2041" s="629" t="s">
        <v>3327</v>
      </c>
      <c r="X2041" s="377" t="str">
        <f t="shared" si="190"/>
        <v>DS</v>
      </c>
      <c r="Y2041" t="str">
        <f>SUBSTITUTE(Tabla1[[#This Row],[Descripción]],CHAR(10),"    I    ")</f>
        <v>Backs para implementar combos de selección múltiple</v>
      </c>
      <c r="Z2041" s="142">
        <f>VLOOKUP(Tabla1[[#This Row],[Perfil]],Catalogos!$B$75:$D$100,3,FALSE)*Tabla1[[#This Row],[Tiempo
(Hrs 00/100)]]*1.16</f>
        <v>3248</v>
      </c>
    </row>
    <row r="2042" spans="1:26" ht="15" customHeight="1" x14ac:dyDescent="0.3">
      <c r="A2042" s="625" t="s">
        <v>22</v>
      </c>
      <c r="B2042" s="625" t="s">
        <v>23</v>
      </c>
      <c r="C2042" s="205" t="s">
        <v>155</v>
      </c>
      <c r="D2042" s="373"/>
      <c r="E2042" s="373" t="s">
        <v>375</v>
      </c>
      <c r="F2042" s="370" t="s">
        <v>23</v>
      </c>
      <c r="G2042" s="631" t="s">
        <v>3352</v>
      </c>
      <c r="H2042" s="461" t="s">
        <v>405</v>
      </c>
      <c r="I2042" s="632" t="s">
        <v>3345</v>
      </c>
      <c r="J2042" s="369">
        <v>45212</v>
      </c>
      <c r="K2042" s="747">
        <v>0.375</v>
      </c>
      <c r="L2042" s="369">
        <v>45212</v>
      </c>
      <c r="M2042" s="753">
        <v>0.54166666666666663</v>
      </c>
      <c r="N2042" s="210">
        <v>4</v>
      </c>
      <c r="O2042" s="633" t="s">
        <v>411</v>
      </c>
      <c r="P2042" s="375" t="s">
        <v>412</v>
      </c>
      <c r="Q2042" s="627" t="s">
        <v>208</v>
      </c>
      <c r="R2042" s="628" t="s">
        <v>40</v>
      </c>
      <c r="S2042" s="31" t="s">
        <v>273</v>
      </c>
      <c r="T2042" s="31" t="s">
        <v>273</v>
      </c>
      <c r="U2042" s="31">
        <f>IFERROR(VLOOKUP(CONCATENATE(Tabla1[[#This Row],[Severidad]]," ",Tabla1[[#This Row],[Complejidad]]),Catalogos!E$120:G$128,3,FALSE),"")</f>
        <v>64</v>
      </c>
      <c r="V2042" s="31" t="str">
        <f>IF(Tabla1[[#This Row],[Tiempo solución max (hrs)]]&lt;&gt;"",IF(Tabla1[[#This Row],[Tiempo solución max (hrs)]]&gt;=Tabla1[[#This Row],[Tiempo
(Hrs 00/100)]],"cumple","no cumple"),"")</f>
        <v>cumple</v>
      </c>
      <c r="W2042" s="629" t="s">
        <v>3327</v>
      </c>
      <c r="X2042" s="377" t="str">
        <f t="shared" si="190"/>
        <v>DS</v>
      </c>
      <c r="Y2042" t="str">
        <f>SUBSTITUTE(Tabla1[[#This Row],[Descripción]],CHAR(10),"    I    ")</f>
        <v>Back para estadísticas por usuario/solicitudes</v>
      </c>
      <c r="Z2042" s="142">
        <f>VLOOKUP(Tabla1[[#This Row],[Perfil]],Catalogos!$B$75:$D$100,3,FALSE)*Tabla1[[#This Row],[Tiempo
(Hrs 00/100)]]*1.16</f>
        <v>3248</v>
      </c>
    </row>
    <row r="2043" spans="1:26" ht="15" customHeight="1" x14ac:dyDescent="0.3">
      <c r="A2043" s="625" t="s">
        <v>22</v>
      </c>
      <c r="B2043" s="625" t="s">
        <v>23</v>
      </c>
      <c r="C2043" s="205" t="s">
        <v>155</v>
      </c>
      <c r="D2043" s="373"/>
      <c r="E2043" s="373" t="s">
        <v>375</v>
      </c>
      <c r="F2043" s="370" t="s">
        <v>23</v>
      </c>
      <c r="G2043" s="631" t="s">
        <v>3352</v>
      </c>
      <c r="H2043" s="461" t="s">
        <v>405</v>
      </c>
      <c r="I2043" s="632" t="s">
        <v>3345</v>
      </c>
      <c r="J2043" s="369">
        <v>45215</v>
      </c>
      <c r="K2043" s="747">
        <v>0.375</v>
      </c>
      <c r="L2043" s="369">
        <v>45215</v>
      </c>
      <c r="M2043" s="753">
        <v>0.54166666666666663</v>
      </c>
      <c r="N2043" s="210">
        <v>4</v>
      </c>
      <c r="O2043" s="633" t="s">
        <v>17</v>
      </c>
      <c r="P2043" s="375" t="s">
        <v>412</v>
      </c>
      <c r="Q2043" s="627" t="s">
        <v>208</v>
      </c>
      <c r="R2043" s="628" t="s">
        <v>40</v>
      </c>
      <c r="S2043" s="31" t="s">
        <v>273</v>
      </c>
      <c r="T2043" s="31" t="s">
        <v>273</v>
      </c>
      <c r="U2043" s="31">
        <f>IFERROR(VLOOKUP(CONCATENATE(Tabla1[[#This Row],[Severidad]]," ",Tabla1[[#This Row],[Complejidad]]),Catalogos!E$120:G$128,3,FALSE),"")</f>
        <v>64</v>
      </c>
      <c r="V2043" s="31" t="str">
        <f>IF(Tabla1[[#This Row],[Tiempo solución max (hrs)]]&lt;&gt;"",IF(Tabla1[[#This Row],[Tiempo solución max (hrs)]]&gt;=Tabla1[[#This Row],[Tiempo
(Hrs 00/100)]],"cumple","no cumple"),"")</f>
        <v>cumple</v>
      </c>
      <c r="W2043" s="629" t="s">
        <v>3327</v>
      </c>
      <c r="X2043" s="377" t="str">
        <f t="shared" si="190"/>
        <v>DS</v>
      </c>
      <c r="Y2043" t="str">
        <f>SUBSTITUTE(Tabla1[[#This Row],[Descripción]],CHAR(10),"    I    ")</f>
        <v>Back para estadísticas por usuario/solicitudes</v>
      </c>
      <c r="Z2043" s="142">
        <f>VLOOKUP(Tabla1[[#This Row],[Perfil]],Catalogos!$B$75:$D$100,3,FALSE)*Tabla1[[#This Row],[Tiempo
(Hrs 00/100)]]*1.16</f>
        <v>3248</v>
      </c>
    </row>
    <row r="2044" spans="1:26" ht="15" customHeight="1" x14ac:dyDescent="0.3">
      <c r="A2044" s="625" t="s">
        <v>22</v>
      </c>
      <c r="B2044" s="625" t="s">
        <v>23</v>
      </c>
      <c r="C2044" s="205" t="s">
        <v>155</v>
      </c>
      <c r="D2044" s="373"/>
      <c r="E2044" s="373" t="s">
        <v>375</v>
      </c>
      <c r="F2044" s="370" t="s">
        <v>23</v>
      </c>
      <c r="G2044" s="631" t="s">
        <v>3353</v>
      </c>
      <c r="H2044" s="461" t="s">
        <v>405</v>
      </c>
      <c r="I2044" s="632" t="s">
        <v>3346</v>
      </c>
      <c r="J2044" s="369">
        <v>45216</v>
      </c>
      <c r="K2044" s="747">
        <v>0.375</v>
      </c>
      <c r="L2044" s="369">
        <v>45216</v>
      </c>
      <c r="M2044" s="753">
        <v>0.54166666666666663</v>
      </c>
      <c r="N2044" s="210">
        <v>4</v>
      </c>
      <c r="O2044" s="633" t="s">
        <v>411</v>
      </c>
      <c r="P2044" s="375" t="s">
        <v>412</v>
      </c>
      <c r="Q2044" s="627" t="s">
        <v>208</v>
      </c>
      <c r="R2044" s="628" t="s">
        <v>40</v>
      </c>
      <c r="S2044" s="31" t="s">
        <v>273</v>
      </c>
      <c r="T2044" s="31" t="s">
        <v>273</v>
      </c>
      <c r="U2044" s="31">
        <f>IFERROR(VLOOKUP(CONCATENATE(Tabla1[[#This Row],[Severidad]]," ",Tabla1[[#This Row],[Complejidad]]),Catalogos!E$120:G$128,3,FALSE),"")</f>
        <v>64</v>
      </c>
      <c r="V2044" s="31" t="str">
        <f>IF(Tabla1[[#This Row],[Tiempo solución max (hrs)]]&lt;&gt;"",IF(Tabla1[[#This Row],[Tiempo solución max (hrs)]]&gt;=Tabla1[[#This Row],[Tiempo
(Hrs 00/100)]],"cumple","no cumple"),"")</f>
        <v>cumple</v>
      </c>
      <c r="W2044" s="629" t="s">
        <v>3327</v>
      </c>
      <c r="X2044" s="377" t="str">
        <f t="shared" si="190"/>
        <v>DS</v>
      </c>
      <c r="Y2044" t="str">
        <f>SUBSTITUTE(Tabla1[[#This Row],[Descripción]],CHAR(10),"    I    ")</f>
        <v>Back para estadísticas por usuario/quejas</v>
      </c>
      <c r="Z2044" s="142">
        <f>VLOOKUP(Tabla1[[#This Row],[Perfil]],Catalogos!$B$75:$D$100,3,FALSE)*Tabla1[[#This Row],[Tiempo
(Hrs 00/100)]]*1.16</f>
        <v>3248</v>
      </c>
    </row>
    <row r="2045" spans="1:26" ht="15" customHeight="1" x14ac:dyDescent="0.3">
      <c r="A2045" s="625" t="s">
        <v>22</v>
      </c>
      <c r="B2045" s="625" t="s">
        <v>23</v>
      </c>
      <c r="C2045" s="205" t="s">
        <v>155</v>
      </c>
      <c r="D2045" s="373"/>
      <c r="E2045" s="373" t="s">
        <v>375</v>
      </c>
      <c r="F2045" s="370" t="s">
        <v>23</v>
      </c>
      <c r="G2045" s="631" t="s">
        <v>3353</v>
      </c>
      <c r="H2045" s="461" t="s">
        <v>405</v>
      </c>
      <c r="I2045" s="632" t="s">
        <v>3346</v>
      </c>
      <c r="J2045" s="369">
        <v>45217</v>
      </c>
      <c r="K2045" s="747">
        <v>0.375</v>
      </c>
      <c r="L2045" s="369">
        <v>45217</v>
      </c>
      <c r="M2045" s="753">
        <v>0.54166666666666663</v>
      </c>
      <c r="N2045" s="210">
        <v>4</v>
      </c>
      <c r="O2045" s="633" t="s">
        <v>411</v>
      </c>
      <c r="P2045" s="375" t="s">
        <v>412</v>
      </c>
      <c r="Q2045" s="627" t="s">
        <v>208</v>
      </c>
      <c r="R2045" s="628" t="s">
        <v>40</v>
      </c>
      <c r="S2045" s="31" t="s">
        <v>273</v>
      </c>
      <c r="T2045" s="31" t="s">
        <v>273</v>
      </c>
      <c r="U2045" s="31">
        <f>IFERROR(VLOOKUP(CONCATENATE(Tabla1[[#This Row],[Severidad]]," ",Tabla1[[#This Row],[Complejidad]]),Catalogos!E$120:G$128,3,FALSE),"")</f>
        <v>64</v>
      </c>
      <c r="V2045" s="31" t="str">
        <f>IF(Tabla1[[#This Row],[Tiempo solución max (hrs)]]&lt;&gt;"",IF(Tabla1[[#This Row],[Tiempo solución max (hrs)]]&gt;=Tabla1[[#This Row],[Tiempo
(Hrs 00/100)]],"cumple","no cumple"),"")</f>
        <v>cumple</v>
      </c>
      <c r="W2045" s="629" t="s">
        <v>3327</v>
      </c>
      <c r="X2045" s="377" t="str">
        <f t="shared" si="190"/>
        <v>DS</v>
      </c>
      <c r="Y2045" t="str">
        <f>SUBSTITUTE(Tabla1[[#This Row],[Descripción]],CHAR(10),"    I    ")</f>
        <v>Back para estadísticas por usuario/quejas</v>
      </c>
      <c r="Z2045" s="142">
        <f>VLOOKUP(Tabla1[[#This Row],[Perfil]],Catalogos!$B$75:$D$100,3,FALSE)*Tabla1[[#This Row],[Tiempo
(Hrs 00/100)]]*1.16</f>
        <v>3248</v>
      </c>
    </row>
    <row r="2046" spans="1:26" ht="15" customHeight="1" x14ac:dyDescent="0.3">
      <c r="A2046" s="625" t="s">
        <v>22</v>
      </c>
      <c r="B2046" s="625" t="s">
        <v>23</v>
      </c>
      <c r="C2046" s="205" t="s">
        <v>155</v>
      </c>
      <c r="D2046" s="373"/>
      <c r="E2046" s="373" t="s">
        <v>375</v>
      </c>
      <c r="F2046" s="370" t="s">
        <v>23</v>
      </c>
      <c r="G2046" s="631" t="s">
        <v>3353</v>
      </c>
      <c r="H2046" s="461" t="s">
        <v>405</v>
      </c>
      <c r="I2046" s="632" t="s">
        <v>3346</v>
      </c>
      <c r="J2046" s="369">
        <v>45218</v>
      </c>
      <c r="K2046" s="747">
        <v>0.375</v>
      </c>
      <c r="L2046" s="369">
        <v>45218</v>
      </c>
      <c r="M2046" s="753">
        <v>0.54166666666666663</v>
      </c>
      <c r="N2046" s="210">
        <v>4</v>
      </c>
      <c r="O2046" s="633" t="s">
        <v>17</v>
      </c>
      <c r="P2046" s="375" t="s">
        <v>412</v>
      </c>
      <c r="Q2046" s="627" t="s">
        <v>208</v>
      </c>
      <c r="R2046" s="628" t="s">
        <v>40</v>
      </c>
      <c r="S2046" s="31" t="s">
        <v>273</v>
      </c>
      <c r="T2046" s="31" t="s">
        <v>273</v>
      </c>
      <c r="U2046" s="31">
        <f>IFERROR(VLOOKUP(CONCATENATE(Tabla1[[#This Row],[Severidad]]," ",Tabla1[[#This Row],[Complejidad]]),Catalogos!E$120:G$128,3,FALSE),"")</f>
        <v>64</v>
      </c>
      <c r="V2046" s="31" t="str">
        <f>IF(Tabla1[[#This Row],[Tiempo solución max (hrs)]]&lt;&gt;"",IF(Tabla1[[#This Row],[Tiempo solución max (hrs)]]&gt;=Tabla1[[#This Row],[Tiempo
(Hrs 00/100)]],"cumple","no cumple"),"")</f>
        <v>cumple</v>
      </c>
      <c r="W2046" s="629" t="s">
        <v>3327</v>
      </c>
      <c r="X2046" s="377" t="str">
        <f t="shared" si="190"/>
        <v>DS</v>
      </c>
      <c r="Y2046" t="str">
        <f>SUBSTITUTE(Tabla1[[#This Row],[Descripción]],CHAR(10),"    I    ")</f>
        <v>Back para estadísticas por usuario/quejas</v>
      </c>
      <c r="Z2046" s="142">
        <f>VLOOKUP(Tabla1[[#This Row],[Perfil]],Catalogos!$B$75:$D$100,3,FALSE)*Tabla1[[#This Row],[Tiempo
(Hrs 00/100)]]*1.16</f>
        <v>3248</v>
      </c>
    </row>
    <row r="2047" spans="1:26" ht="15" customHeight="1" x14ac:dyDescent="0.3">
      <c r="A2047" s="625" t="s">
        <v>22</v>
      </c>
      <c r="B2047" s="625" t="s">
        <v>23</v>
      </c>
      <c r="C2047" s="205" t="s">
        <v>155</v>
      </c>
      <c r="D2047" s="373"/>
      <c r="E2047" s="373" t="s">
        <v>375</v>
      </c>
      <c r="F2047" s="370" t="s">
        <v>23</v>
      </c>
      <c r="G2047" s="631" t="s">
        <v>3354</v>
      </c>
      <c r="H2047" s="461" t="s">
        <v>405</v>
      </c>
      <c r="I2047" s="635" t="s">
        <v>3347</v>
      </c>
      <c r="J2047" s="369">
        <v>45219</v>
      </c>
      <c r="K2047" s="747">
        <v>0.375</v>
      </c>
      <c r="L2047" s="369">
        <v>45219</v>
      </c>
      <c r="M2047" s="753">
        <v>0.54166666666666663</v>
      </c>
      <c r="N2047" s="210">
        <v>4</v>
      </c>
      <c r="O2047" s="633" t="s">
        <v>411</v>
      </c>
      <c r="P2047" s="375" t="s">
        <v>412</v>
      </c>
      <c r="Q2047" s="627" t="s">
        <v>208</v>
      </c>
      <c r="R2047" s="628" t="s">
        <v>40</v>
      </c>
      <c r="S2047" s="31" t="s">
        <v>273</v>
      </c>
      <c r="T2047" s="31" t="s">
        <v>273</v>
      </c>
      <c r="U2047" s="31">
        <f>IFERROR(VLOOKUP(CONCATENATE(Tabla1[[#This Row],[Severidad]]," ",Tabla1[[#This Row],[Complejidad]]),Catalogos!E$120:G$128,3,FALSE),"")</f>
        <v>64</v>
      </c>
      <c r="V2047" s="31" t="str">
        <f>IF(Tabla1[[#This Row],[Tiempo solución max (hrs)]]&lt;&gt;"",IF(Tabla1[[#This Row],[Tiempo solución max (hrs)]]&gt;=Tabla1[[#This Row],[Tiempo
(Hrs 00/100)]],"cumple","no cumple"),"")</f>
        <v>cumple</v>
      </c>
      <c r="W2047" s="629" t="s">
        <v>3327</v>
      </c>
      <c r="X2047" s="377" t="str">
        <f t="shared" si="190"/>
        <v>DS</v>
      </c>
      <c r="Y2047" t="str">
        <f>SUBSTITUTE(Tabla1[[#This Row],[Descripción]],CHAR(10),"    I    ")</f>
        <v>Back para estadísticas por usuario/resoluciones</v>
      </c>
      <c r="Z2047" s="142">
        <f>VLOOKUP(Tabla1[[#This Row],[Perfil]],Catalogos!$B$75:$D$100,3,FALSE)*Tabla1[[#This Row],[Tiempo
(Hrs 00/100)]]*1.16</f>
        <v>3248</v>
      </c>
    </row>
    <row r="2048" spans="1:26" ht="15" customHeight="1" x14ac:dyDescent="0.3">
      <c r="A2048" s="625" t="s">
        <v>22</v>
      </c>
      <c r="B2048" s="625" t="s">
        <v>23</v>
      </c>
      <c r="C2048" s="205" t="s">
        <v>155</v>
      </c>
      <c r="D2048" s="373"/>
      <c r="E2048" s="373" t="s">
        <v>375</v>
      </c>
      <c r="F2048" s="370" t="s">
        <v>23</v>
      </c>
      <c r="G2048" s="631" t="s">
        <v>3354</v>
      </c>
      <c r="H2048" s="461" t="s">
        <v>405</v>
      </c>
      <c r="I2048" s="635" t="s">
        <v>3347</v>
      </c>
      <c r="J2048" s="369">
        <v>45222</v>
      </c>
      <c r="K2048" s="747">
        <v>0.375</v>
      </c>
      <c r="L2048" s="369">
        <v>45222</v>
      </c>
      <c r="M2048" s="753">
        <v>0.54166666666666663</v>
      </c>
      <c r="N2048" s="210">
        <v>4</v>
      </c>
      <c r="O2048" s="633" t="s">
        <v>411</v>
      </c>
      <c r="P2048" s="375" t="s">
        <v>412</v>
      </c>
      <c r="Q2048" s="627" t="s">
        <v>208</v>
      </c>
      <c r="R2048" s="628" t="s">
        <v>40</v>
      </c>
      <c r="S2048" s="31" t="s">
        <v>273</v>
      </c>
      <c r="T2048" s="31" t="s">
        <v>273</v>
      </c>
      <c r="U2048" s="31">
        <f>IFERROR(VLOOKUP(CONCATENATE(Tabla1[[#This Row],[Severidad]]," ",Tabla1[[#This Row],[Complejidad]]),Catalogos!E$120:G$128,3,FALSE),"")</f>
        <v>64</v>
      </c>
      <c r="V2048" s="31" t="str">
        <f>IF(Tabla1[[#This Row],[Tiempo solución max (hrs)]]&lt;&gt;"",IF(Tabla1[[#This Row],[Tiempo solución max (hrs)]]&gt;=Tabla1[[#This Row],[Tiempo
(Hrs 00/100)]],"cumple","no cumple"),"")</f>
        <v>cumple</v>
      </c>
      <c r="W2048" s="629" t="s">
        <v>3327</v>
      </c>
      <c r="X2048" s="377" t="str">
        <f t="shared" si="190"/>
        <v>DS</v>
      </c>
      <c r="Y2048" t="str">
        <f>SUBSTITUTE(Tabla1[[#This Row],[Descripción]],CHAR(10),"    I    ")</f>
        <v>Back para estadísticas por usuario/resoluciones</v>
      </c>
      <c r="Z2048" s="142">
        <f>VLOOKUP(Tabla1[[#This Row],[Perfil]],Catalogos!$B$75:$D$100,3,FALSE)*Tabla1[[#This Row],[Tiempo
(Hrs 00/100)]]*1.16</f>
        <v>3248</v>
      </c>
    </row>
    <row r="2049" spans="1:26" ht="15" customHeight="1" x14ac:dyDescent="0.3">
      <c r="A2049" s="625" t="s">
        <v>22</v>
      </c>
      <c r="B2049" s="625" t="s">
        <v>23</v>
      </c>
      <c r="C2049" s="205" t="s">
        <v>155</v>
      </c>
      <c r="D2049" s="373"/>
      <c r="E2049" s="373" t="s">
        <v>375</v>
      </c>
      <c r="F2049" s="370" t="s">
        <v>23</v>
      </c>
      <c r="G2049" s="631" t="s">
        <v>3354</v>
      </c>
      <c r="H2049" s="461" t="s">
        <v>405</v>
      </c>
      <c r="I2049" s="635" t="s">
        <v>3347</v>
      </c>
      <c r="J2049" s="369">
        <v>45223</v>
      </c>
      <c r="K2049" s="747">
        <v>0.375</v>
      </c>
      <c r="L2049" s="369">
        <v>45223</v>
      </c>
      <c r="M2049" s="753">
        <v>0.54166666666666663</v>
      </c>
      <c r="N2049" s="210">
        <v>4</v>
      </c>
      <c r="O2049" s="633" t="s">
        <v>17</v>
      </c>
      <c r="P2049" s="375" t="s">
        <v>412</v>
      </c>
      <c r="Q2049" s="627" t="s">
        <v>208</v>
      </c>
      <c r="R2049" s="628" t="s">
        <v>40</v>
      </c>
      <c r="S2049" s="31" t="s">
        <v>273</v>
      </c>
      <c r="T2049" s="31" t="s">
        <v>273</v>
      </c>
      <c r="U2049" s="31">
        <f>IFERROR(VLOOKUP(CONCATENATE(Tabla1[[#This Row],[Severidad]]," ",Tabla1[[#This Row],[Complejidad]]),Catalogos!E$120:G$128,3,FALSE),"")</f>
        <v>64</v>
      </c>
      <c r="V2049" s="31" t="str">
        <f>IF(Tabla1[[#This Row],[Tiempo solución max (hrs)]]&lt;&gt;"",IF(Tabla1[[#This Row],[Tiempo solución max (hrs)]]&gt;=Tabla1[[#This Row],[Tiempo
(Hrs 00/100)]],"cumple","no cumple"),"")</f>
        <v>cumple</v>
      </c>
      <c r="W2049" s="629" t="s">
        <v>3327</v>
      </c>
      <c r="X2049" s="377" t="str">
        <f t="shared" si="190"/>
        <v>DS</v>
      </c>
      <c r="Y2049" t="str">
        <f>SUBSTITUTE(Tabla1[[#This Row],[Descripción]],CHAR(10),"    I    ")</f>
        <v>Back para estadísticas por usuario/resoluciones</v>
      </c>
      <c r="Z2049" s="142">
        <f>VLOOKUP(Tabla1[[#This Row],[Perfil]],Catalogos!$B$75:$D$100,3,FALSE)*Tabla1[[#This Row],[Tiempo
(Hrs 00/100)]]*1.16</f>
        <v>3248</v>
      </c>
    </row>
    <row r="2050" spans="1:26" ht="15" customHeight="1" x14ac:dyDescent="0.3">
      <c r="A2050" s="614" t="s">
        <v>22</v>
      </c>
      <c r="B2050" s="373" t="s">
        <v>23</v>
      </c>
      <c r="C2050" s="373" t="s">
        <v>45</v>
      </c>
      <c r="D2050" s="373"/>
      <c r="E2050" s="373" t="s">
        <v>375</v>
      </c>
      <c r="F2050" s="373" t="s">
        <v>72</v>
      </c>
      <c r="G2050" s="373" t="s">
        <v>3406</v>
      </c>
      <c r="H2050" s="461" t="s">
        <v>3363</v>
      </c>
      <c r="I2050" s="178" t="s">
        <v>3364</v>
      </c>
      <c r="J2050" s="729">
        <v>45201</v>
      </c>
      <c r="K2050" s="773">
        <v>0.375</v>
      </c>
      <c r="L2050" s="729">
        <v>45201</v>
      </c>
      <c r="M2050" s="773">
        <v>0.79166666666666663</v>
      </c>
      <c r="N2050" s="373">
        <v>8</v>
      </c>
      <c r="O2050" s="184" t="s">
        <v>17</v>
      </c>
      <c r="P2050" s="375" t="s">
        <v>3365</v>
      </c>
      <c r="Q2050" s="179" t="s">
        <v>2415</v>
      </c>
      <c r="R2050" s="171" t="s">
        <v>40</v>
      </c>
      <c r="S2050" s="31" t="s">
        <v>273</v>
      </c>
      <c r="T2050" s="31" t="s">
        <v>273</v>
      </c>
      <c r="U2050" s="31">
        <f>IFERROR(VLOOKUP(CONCATENATE(Tabla1[[#This Row],[Severidad]]," ",Tabla1[[#This Row],[Complejidad]]),Catalogos!E$120:G$128,3,FALSE),"")</f>
        <v>64</v>
      </c>
      <c r="V2050" s="31" t="str">
        <f>IF(Tabla1[[#This Row],[Tiempo solución max (hrs)]]&lt;&gt;"",IF(Tabla1[[#This Row],[Tiempo solución max (hrs)]]&gt;=Tabla1[[#This Row],[Tiempo
(Hrs 00/100)]],"cumple","no cumple"),"")</f>
        <v>cumple</v>
      </c>
      <c r="W2050" s="629" t="s">
        <v>3327</v>
      </c>
      <c r="X2050" s="377" t="str">
        <f t="shared" si="190"/>
        <v>SPD</v>
      </c>
      <c r="Y2050" t="str">
        <f>SUBSTITUTE(Tabla1[[#This Row],[Descripción]],CHAR(10),"    I    ")</f>
        <v>Analizar los requerimientos para el proyecto de estadisticos</v>
      </c>
      <c r="Z2050" s="142">
        <f>VLOOKUP(Tabla1[[#This Row],[Perfil]],Catalogos!$B$75:$D$100,3,FALSE)*Tabla1[[#This Row],[Tiempo
(Hrs 00/100)]]*1.16</f>
        <v>6496</v>
      </c>
    </row>
    <row r="2051" spans="1:26" ht="15" customHeight="1" x14ac:dyDescent="0.3">
      <c r="A2051" s="614" t="s">
        <v>22</v>
      </c>
      <c r="B2051" s="373" t="s">
        <v>23</v>
      </c>
      <c r="C2051" s="373" t="s">
        <v>45</v>
      </c>
      <c r="D2051" s="373"/>
      <c r="E2051" s="373" t="s">
        <v>375</v>
      </c>
      <c r="F2051" s="373" t="s">
        <v>72</v>
      </c>
      <c r="G2051" s="373" t="s">
        <v>3853</v>
      </c>
      <c r="H2051" s="461" t="s">
        <v>3366</v>
      </c>
      <c r="I2051" s="178" t="s">
        <v>3367</v>
      </c>
      <c r="J2051" s="729">
        <v>45202</v>
      </c>
      <c r="K2051" s="773">
        <v>0.375</v>
      </c>
      <c r="L2051" s="729">
        <v>45202</v>
      </c>
      <c r="M2051" s="773">
        <v>0.79166666666666663</v>
      </c>
      <c r="N2051" s="373">
        <v>8</v>
      </c>
      <c r="O2051" s="184" t="s">
        <v>17</v>
      </c>
      <c r="P2051" s="375" t="s">
        <v>3365</v>
      </c>
      <c r="Q2051" s="179" t="s">
        <v>2415</v>
      </c>
      <c r="R2051" s="171" t="s">
        <v>40</v>
      </c>
      <c r="S2051" s="31" t="s">
        <v>273</v>
      </c>
      <c r="T2051" s="31" t="s">
        <v>273</v>
      </c>
      <c r="U2051" s="31">
        <f>IFERROR(VLOOKUP(CONCATENATE(Tabla1[[#This Row],[Severidad]]," ",Tabla1[[#This Row],[Complejidad]]),Catalogos!E$120:G$128,3,FALSE),"")</f>
        <v>64</v>
      </c>
      <c r="V2051" s="31" t="str">
        <f>IF(Tabla1[[#This Row],[Tiempo solución max (hrs)]]&lt;&gt;"",IF(Tabla1[[#This Row],[Tiempo solución max (hrs)]]&gt;=Tabla1[[#This Row],[Tiempo
(Hrs 00/100)]],"cumple","no cumple"),"")</f>
        <v>cumple</v>
      </c>
      <c r="W2051" s="629" t="s">
        <v>3327</v>
      </c>
      <c r="X2051" s="377" t="str">
        <f t="shared" si="190"/>
        <v>SPD</v>
      </c>
      <c r="Y2051" t="str">
        <f>SUBSTITUTE(Tabla1[[#This Row],[Descripción]],CHAR(10),"    I    ")</f>
        <v>Analizar la obtención de los resultados de los procesos de base de datos</v>
      </c>
      <c r="Z2051" s="142">
        <f>VLOOKUP(Tabla1[[#This Row],[Perfil]],Catalogos!$B$75:$D$100,3,FALSE)*Tabla1[[#This Row],[Tiempo
(Hrs 00/100)]]*1.16</f>
        <v>6496</v>
      </c>
    </row>
    <row r="2052" spans="1:26" ht="15" customHeight="1" x14ac:dyDescent="0.3">
      <c r="A2052" s="614" t="s">
        <v>22</v>
      </c>
      <c r="B2052" s="373" t="s">
        <v>23</v>
      </c>
      <c r="C2052" s="373" t="s">
        <v>45</v>
      </c>
      <c r="D2052" s="373"/>
      <c r="E2052" s="373" t="s">
        <v>375</v>
      </c>
      <c r="F2052" s="373" t="s">
        <v>72</v>
      </c>
      <c r="G2052" s="373" t="s">
        <v>3854</v>
      </c>
      <c r="H2052" s="461" t="s">
        <v>3368</v>
      </c>
      <c r="I2052" s="178" t="s">
        <v>3369</v>
      </c>
      <c r="J2052" s="729">
        <v>45203</v>
      </c>
      <c r="K2052" s="773">
        <v>0.375</v>
      </c>
      <c r="L2052" s="729">
        <v>45203</v>
      </c>
      <c r="M2052" s="773">
        <v>0.79166666666666663</v>
      </c>
      <c r="N2052" s="373">
        <v>8</v>
      </c>
      <c r="O2052" s="184" t="s">
        <v>17</v>
      </c>
      <c r="P2052" s="375" t="s">
        <v>3365</v>
      </c>
      <c r="Q2052" s="179" t="s">
        <v>2415</v>
      </c>
      <c r="R2052" s="171" t="s">
        <v>40</v>
      </c>
      <c r="S2052" s="31" t="s">
        <v>273</v>
      </c>
      <c r="T2052" s="31" t="s">
        <v>273</v>
      </c>
      <c r="U2052" s="31">
        <f>IFERROR(VLOOKUP(CONCATENATE(Tabla1[[#This Row],[Severidad]]," ",Tabla1[[#This Row],[Complejidad]]),Catalogos!E$120:G$128,3,FALSE),"")</f>
        <v>64</v>
      </c>
      <c r="V2052" s="31" t="str">
        <f>IF(Tabla1[[#This Row],[Tiempo solución max (hrs)]]&lt;&gt;"",IF(Tabla1[[#This Row],[Tiempo solución max (hrs)]]&gt;=Tabla1[[#This Row],[Tiempo
(Hrs 00/100)]],"cumple","no cumple"),"")</f>
        <v>cumple</v>
      </c>
      <c r="W2052" s="629" t="s">
        <v>3327</v>
      </c>
      <c r="X2052" s="377" t="str">
        <f t="shared" si="190"/>
        <v>SPD</v>
      </c>
      <c r="Y2052" t="str">
        <f>SUBSTITUTE(Tabla1[[#This Row],[Descripción]],CHAR(10),"    I    ")</f>
        <v>Analizar la respuesta de los servicios que consumen los procesos de la base de datos</v>
      </c>
      <c r="Z2052" s="142">
        <f>VLOOKUP(Tabla1[[#This Row],[Perfil]],Catalogos!$B$75:$D$100,3,FALSE)*Tabla1[[#This Row],[Tiempo
(Hrs 00/100)]]*1.16</f>
        <v>6496</v>
      </c>
    </row>
    <row r="2053" spans="1:26" ht="15" customHeight="1" x14ac:dyDescent="0.3">
      <c r="A2053" s="614" t="s">
        <v>22</v>
      </c>
      <c r="B2053" s="373" t="s">
        <v>23</v>
      </c>
      <c r="C2053" s="373" t="s">
        <v>45</v>
      </c>
      <c r="D2053" s="373"/>
      <c r="E2053" s="373" t="s">
        <v>375</v>
      </c>
      <c r="F2053" s="373" t="s">
        <v>23</v>
      </c>
      <c r="G2053" s="373" t="s">
        <v>3855</v>
      </c>
      <c r="H2053" s="461" t="s">
        <v>3370</v>
      </c>
      <c r="I2053" s="178" t="s">
        <v>3371</v>
      </c>
      <c r="J2053" s="729">
        <v>45204</v>
      </c>
      <c r="K2053" s="773">
        <v>0.375</v>
      </c>
      <c r="L2053" s="729">
        <v>45204</v>
      </c>
      <c r="M2053" s="773">
        <v>0.79166666666666663</v>
      </c>
      <c r="N2053" s="373">
        <v>8</v>
      </c>
      <c r="O2053" s="184" t="s">
        <v>17</v>
      </c>
      <c r="P2053" s="375" t="s">
        <v>3365</v>
      </c>
      <c r="Q2053" s="179" t="s">
        <v>2415</v>
      </c>
      <c r="R2053" s="171" t="s">
        <v>40</v>
      </c>
      <c r="S2053" s="31" t="s">
        <v>273</v>
      </c>
      <c r="T2053" s="31" t="s">
        <v>273</v>
      </c>
      <c r="U2053" s="31">
        <f>IFERROR(VLOOKUP(CONCATENATE(Tabla1[[#This Row],[Severidad]]," ",Tabla1[[#This Row],[Complejidad]]),Catalogos!E$120:G$128,3,FALSE),"")</f>
        <v>64</v>
      </c>
      <c r="V2053" s="31" t="str">
        <f>IF(Tabla1[[#This Row],[Tiempo solución max (hrs)]]&lt;&gt;"",IF(Tabla1[[#This Row],[Tiempo solución max (hrs)]]&gt;=Tabla1[[#This Row],[Tiempo
(Hrs 00/100)]],"cumple","no cumple"),"")</f>
        <v>cumple</v>
      </c>
      <c r="W2053" s="629" t="s">
        <v>3327</v>
      </c>
      <c r="X2053" s="377" t="str">
        <f t="shared" si="190"/>
        <v>SPD</v>
      </c>
      <c r="Y2053" t="str">
        <f>SUBSTITUTE(Tabla1[[#This Row],[Descripción]],CHAR(10),"    I    ")</f>
        <v>Mapear las tablas de los catálogos de la base de datos en el proyecto de estadisticos</v>
      </c>
      <c r="Z2053" s="142">
        <f>VLOOKUP(Tabla1[[#This Row],[Perfil]],Catalogos!$B$75:$D$100,3,FALSE)*Tabla1[[#This Row],[Tiempo
(Hrs 00/100)]]*1.16</f>
        <v>6496</v>
      </c>
    </row>
    <row r="2054" spans="1:26" ht="15" customHeight="1" x14ac:dyDescent="0.3">
      <c r="A2054" s="614" t="s">
        <v>22</v>
      </c>
      <c r="B2054" s="373" t="s">
        <v>23</v>
      </c>
      <c r="C2054" s="373" t="s">
        <v>45</v>
      </c>
      <c r="D2054" s="373"/>
      <c r="E2054" s="373" t="s">
        <v>375</v>
      </c>
      <c r="F2054" s="373" t="s">
        <v>23</v>
      </c>
      <c r="G2054" s="373" t="s">
        <v>3856</v>
      </c>
      <c r="H2054" s="461" t="s">
        <v>3372</v>
      </c>
      <c r="I2054" s="178" t="s">
        <v>3373</v>
      </c>
      <c r="J2054" s="729">
        <v>45205</v>
      </c>
      <c r="K2054" s="773">
        <v>0.375</v>
      </c>
      <c r="L2054" s="729">
        <v>45205</v>
      </c>
      <c r="M2054" s="773">
        <v>0.79166666666666663</v>
      </c>
      <c r="N2054" s="373">
        <v>8</v>
      </c>
      <c r="O2054" s="184" t="s">
        <v>17</v>
      </c>
      <c r="P2054" s="375" t="s">
        <v>3365</v>
      </c>
      <c r="Q2054" s="179" t="s">
        <v>2415</v>
      </c>
      <c r="R2054" s="171" t="s">
        <v>40</v>
      </c>
      <c r="S2054" s="31" t="s">
        <v>273</v>
      </c>
      <c r="T2054" s="31" t="s">
        <v>273</v>
      </c>
      <c r="U2054" s="31">
        <f>IFERROR(VLOOKUP(CONCATENATE(Tabla1[[#This Row],[Severidad]]," ",Tabla1[[#This Row],[Complejidad]]),Catalogos!E$120:G$128,3,FALSE),"")</f>
        <v>64</v>
      </c>
      <c r="V2054" s="31" t="str">
        <f>IF(Tabla1[[#This Row],[Tiempo solución max (hrs)]]&lt;&gt;"",IF(Tabla1[[#This Row],[Tiempo solución max (hrs)]]&gt;=Tabla1[[#This Row],[Tiempo
(Hrs 00/100)]],"cumple","no cumple"),"")</f>
        <v>cumple</v>
      </c>
      <c r="W2054" s="629" t="s">
        <v>3327</v>
      </c>
      <c r="X2054" s="377" t="str">
        <f t="shared" si="190"/>
        <v>SPD</v>
      </c>
      <c r="Y2054" t="str">
        <f>SUBSTITUTE(Tabla1[[#This Row],[Descripción]],CHAR(10),"    I    ")</f>
        <v>Mapear las tablas de los objetos de solicitudes de base de datos para invocar los procesos almacenados.</v>
      </c>
      <c r="Z2054" s="142">
        <f>VLOOKUP(Tabla1[[#This Row],[Perfil]],Catalogos!$B$75:$D$100,3,FALSE)*Tabla1[[#This Row],[Tiempo
(Hrs 00/100)]]*1.16</f>
        <v>6496</v>
      </c>
    </row>
    <row r="2055" spans="1:26" ht="15" customHeight="1" x14ac:dyDescent="0.3">
      <c r="A2055" s="614" t="s">
        <v>22</v>
      </c>
      <c r="B2055" s="373" t="s">
        <v>23</v>
      </c>
      <c r="C2055" s="373" t="s">
        <v>45</v>
      </c>
      <c r="D2055" s="373"/>
      <c r="E2055" s="373" t="s">
        <v>375</v>
      </c>
      <c r="F2055" s="373" t="s">
        <v>23</v>
      </c>
      <c r="G2055" s="373" t="s">
        <v>3857</v>
      </c>
      <c r="H2055" s="461" t="s">
        <v>3374</v>
      </c>
      <c r="I2055" s="178" t="s">
        <v>3375</v>
      </c>
      <c r="J2055" s="729">
        <v>45208</v>
      </c>
      <c r="K2055" s="773">
        <v>0.375</v>
      </c>
      <c r="L2055" s="729">
        <v>45208</v>
      </c>
      <c r="M2055" s="773">
        <v>0.79166666666666663</v>
      </c>
      <c r="N2055" s="373">
        <v>8</v>
      </c>
      <c r="O2055" s="184" t="s">
        <v>17</v>
      </c>
      <c r="P2055" s="375" t="s">
        <v>3365</v>
      </c>
      <c r="Q2055" s="179" t="s">
        <v>2415</v>
      </c>
      <c r="R2055" s="171" t="s">
        <v>40</v>
      </c>
      <c r="S2055" s="31" t="s">
        <v>273</v>
      </c>
      <c r="T2055" s="31" t="s">
        <v>273</v>
      </c>
      <c r="U2055" s="31">
        <f>IFERROR(VLOOKUP(CONCATENATE(Tabla1[[#This Row],[Severidad]]," ",Tabla1[[#This Row],[Complejidad]]),Catalogos!E$120:G$128,3,FALSE),"")</f>
        <v>64</v>
      </c>
      <c r="V2055" s="31" t="str">
        <f>IF(Tabla1[[#This Row],[Tiempo solución max (hrs)]]&lt;&gt;"",IF(Tabla1[[#This Row],[Tiempo solución max (hrs)]]&gt;=Tabla1[[#This Row],[Tiempo
(Hrs 00/100)]],"cumple","no cumple"),"")</f>
        <v>cumple</v>
      </c>
      <c r="W2055" s="629" t="s">
        <v>3327</v>
      </c>
      <c r="X2055" s="377" t="str">
        <f t="shared" si="190"/>
        <v>SPD</v>
      </c>
      <c r="Y2055" t="str">
        <f>SUBSTITUTE(Tabla1[[#This Row],[Descripción]],CHAR(10),"    I    ")</f>
        <v>Desarrollo e implementación de los metódos para la invocación del proceso para obtener la graficas de solicitudes</v>
      </c>
      <c r="Z2055" s="142">
        <f>VLOOKUP(Tabla1[[#This Row],[Perfil]],Catalogos!$B$75:$D$100,3,FALSE)*Tabla1[[#This Row],[Tiempo
(Hrs 00/100)]]*1.16</f>
        <v>6496</v>
      </c>
    </row>
    <row r="2056" spans="1:26" ht="15" customHeight="1" x14ac:dyDescent="0.3">
      <c r="A2056" s="614" t="s">
        <v>22</v>
      </c>
      <c r="B2056" s="373" t="s">
        <v>23</v>
      </c>
      <c r="C2056" s="373" t="s">
        <v>45</v>
      </c>
      <c r="D2056" s="373"/>
      <c r="E2056" s="373" t="s">
        <v>375</v>
      </c>
      <c r="F2056" s="373" t="s">
        <v>23</v>
      </c>
      <c r="G2056" s="373" t="s">
        <v>3858</v>
      </c>
      <c r="H2056" s="461" t="s">
        <v>3376</v>
      </c>
      <c r="I2056" s="178" t="s">
        <v>3377</v>
      </c>
      <c r="J2056" s="729">
        <v>45209</v>
      </c>
      <c r="K2056" s="773">
        <v>0.375</v>
      </c>
      <c r="L2056" s="729">
        <v>45209</v>
      </c>
      <c r="M2056" s="773">
        <v>0.79166666666666663</v>
      </c>
      <c r="N2056" s="373">
        <v>8</v>
      </c>
      <c r="O2056" s="184" t="s">
        <v>17</v>
      </c>
      <c r="P2056" s="375" t="s">
        <v>3365</v>
      </c>
      <c r="Q2056" s="179" t="s">
        <v>2415</v>
      </c>
      <c r="R2056" s="171" t="s">
        <v>40</v>
      </c>
      <c r="S2056" s="31" t="s">
        <v>273</v>
      </c>
      <c r="T2056" s="31" t="s">
        <v>273</v>
      </c>
      <c r="U2056" s="31">
        <f>IFERROR(VLOOKUP(CONCATENATE(Tabla1[[#This Row],[Severidad]]," ",Tabla1[[#This Row],[Complejidad]]),Catalogos!E$120:G$128,3,FALSE),"")</f>
        <v>64</v>
      </c>
      <c r="V2056" s="31" t="str">
        <f>IF(Tabla1[[#This Row],[Tiempo solución max (hrs)]]&lt;&gt;"",IF(Tabla1[[#This Row],[Tiempo solución max (hrs)]]&gt;=Tabla1[[#This Row],[Tiempo
(Hrs 00/100)]],"cumple","no cumple"),"")</f>
        <v>cumple</v>
      </c>
      <c r="W2056" s="629" t="s">
        <v>3327</v>
      </c>
      <c r="X2056" s="377" t="str">
        <f t="shared" si="190"/>
        <v>SPD</v>
      </c>
      <c r="Y2056" t="str">
        <f>SUBSTITUTE(Tabla1[[#This Row],[Descripción]],CHAR(10),"    I    ")</f>
        <v>Desarrollar los servicios para mostrar los catálogos de las solicitudes</v>
      </c>
      <c r="Z2056" s="142">
        <f>VLOOKUP(Tabla1[[#This Row],[Perfil]],Catalogos!$B$75:$D$100,3,FALSE)*Tabla1[[#This Row],[Tiempo
(Hrs 00/100)]]*1.16</f>
        <v>6496</v>
      </c>
    </row>
    <row r="2057" spans="1:26" ht="15" customHeight="1" x14ac:dyDescent="0.3">
      <c r="A2057" s="614" t="s">
        <v>22</v>
      </c>
      <c r="B2057" s="373" t="s">
        <v>23</v>
      </c>
      <c r="C2057" s="373" t="s">
        <v>45</v>
      </c>
      <c r="D2057" s="373"/>
      <c r="E2057" s="373" t="s">
        <v>375</v>
      </c>
      <c r="F2057" s="373" t="s">
        <v>23</v>
      </c>
      <c r="G2057" s="373" t="s">
        <v>3859</v>
      </c>
      <c r="H2057" s="461" t="s">
        <v>3378</v>
      </c>
      <c r="I2057" s="178" t="s">
        <v>3379</v>
      </c>
      <c r="J2057" s="729">
        <v>45210</v>
      </c>
      <c r="K2057" s="773">
        <v>0.375</v>
      </c>
      <c r="L2057" s="729">
        <v>45210</v>
      </c>
      <c r="M2057" s="773">
        <v>0.79166666666666663</v>
      </c>
      <c r="N2057" s="373">
        <v>8</v>
      </c>
      <c r="O2057" s="184" t="s">
        <v>17</v>
      </c>
      <c r="P2057" s="375" t="s">
        <v>3365</v>
      </c>
      <c r="Q2057" s="179" t="s">
        <v>2415</v>
      </c>
      <c r="R2057" s="171" t="s">
        <v>40</v>
      </c>
      <c r="S2057" s="31" t="s">
        <v>273</v>
      </c>
      <c r="T2057" s="31" t="s">
        <v>273</v>
      </c>
      <c r="U2057" s="31">
        <f>IFERROR(VLOOKUP(CONCATENATE(Tabla1[[#This Row],[Severidad]]," ",Tabla1[[#This Row],[Complejidad]]),Catalogos!E$120:G$128,3,FALSE),"")</f>
        <v>64</v>
      </c>
      <c r="V2057" s="31" t="str">
        <f>IF(Tabla1[[#This Row],[Tiempo solución max (hrs)]]&lt;&gt;"",IF(Tabla1[[#This Row],[Tiempo solución max (hrs)]]&gt;=Tabla1[[#This Row],[Tiempo
(Hrs 00/100)]],"cumple","no cumple"),"")</f>
        <v>cumple</v>
      </c>
      <c r="W2057" s="629" t="s">
        <v>3327</v>
      </c>
      <c r="X2057" s="377" t="str">
        <f t="shared" si="190"/>
        <v>SPD</v>
      </c>
      <c r="Y2057" t="str">
        <f>SUBSTITUTE(Tabla1[[#This Row],[Descripción]],CHAR(10),"    I    ")</f>
        <v>Desarrollar los servicios para mostrar los catálogos de las quejas</v>
      </c>
      <c r="Z2057" s="142">
        <f>VLOOKUP(Tabla1[[#This Row],[Perfil]],Catalogos!$B$75:$D$100,3,FALSE)*Tabla1[[#This Row],[Tiempo
(Hrs 00/100)]]*1.16</f>
        <v>6496</v>
      </c>
    </row>
    <row r="2058" spans="1:26" ht="15" customHeight="1" x14ac:dyDescent="0.3">
      <c r="A2058" s="614" t="s">
        <v>22</v>
      </c>
      <c r="B2058" s="373" t="s">
        <v>23</v>
      </c>
      <c r="C2058" s="373" t="s">
        <v>45</v>
      </c>
      <c r="D2058" s="373"/>
      <c r="E2058" s="373" t="s">
        <v>375</v>
      </c>
      <c r="F2058" s="373" t="s">
        <v>23</v>
      </c>
      <c r="G2058" s="373" t="s">
        <v>3860</v>
      </c>
      <c r="H2058" s="461" t="s">
        <v>3380</v>
      </c>
      <c r="I2058" s="178" t="s">
        <v>3381</v>
      </c>
      <c r="J2058" s="729">
        <v>45211</v>
      </c>
      <c r="K2058" s="773">
        <v>0.375</v>
      </c>
      <c r="L2058" s="729">
        <v>45211</v>
      </c>
      <c r="M2058" s="773">
        <v>0.79166666666666663</v>
      </c>
      <c r="N2058" s="373">
        <v>8</v>
      </c>
      <c r="O2058" s="184" t="s">
        <v>17</v>
      </c>
      <c r="P2058" s="375" t="s">
        <v>3365</v>
      </c>
      <c r="Q2058" s="179" t="s">
        <v>2415</v>
      </c>
      <c r="R2058" s="171" t="s">
        <v>40</v>
      </c>
      <c r="S2058" s="31" t="s">
        <v>273</v>
      </c>
      <c r="T2058" s="31" t="s">
        <v>273</v>
      </c>
      <c r="U2058" s="31">
        <f>IFERROR(VLOOKUP(CONCATENATE(Tabla1[[#This Row],[Severidad]]," ",Tabla1[[#This Row],[Complejidad]]),Catalogos!E$120:G$128,3,FALSE),"")</f>
        <v>64</v>
      </c>
      <c r="V2058" s="31" t="str">
        <f>IF(Tabla1[[#This Row],[Tiempo solución max (hrs)]]&lt;&gt;"",IF(Tabla1[[#This Row],[Tiempo solución max (hrs)]]&gt;=Tabla1[[#This Row],[Tiempo
(Hrs 00/100)]],"cumple","no cumple"),"")</f>
        <v>cumple</v>
      </c>
      <c r="W2058" s="629" t="s">
        <v>3327</v>
      </c>
      <c r="X2058" s="377" t="str">
        <f t="shared" si="190"/>
        <v>SPD</v>
      </c>
      <c r="Y2058" t="str">
        <f>SUBSTITUTE(Tabla1[[#This Row],[Descripción]],CHAR(10),"    I    ")</f>
        <v>Desarrollar los metódos genericos para consumir los procesos almacenados para generar las gráficas de solicitudes</v>
      </c>
      <c r="Z2058" s="142">
        <f>VLOOKUP(Tabla1[[#This Row],[Perfil]],Catalogos!$B$75:$D$100,3,FALSE)*Tabla1[[#This Row],[Tiempo
(Hrs 00/100)]]*1.16</f>
        <v>6496</v>
      </c>
    </row>
    <row r="2059" spans="1:26" ht="15" customHeight="1" x14ac:dyDescent="0.3">
      <c r="A2059" s="614" t="s">
        <v>22</v>
      </c>
      <c r="B2059" s="373" t="s">
        <v>23</v>
      </c>
      <c r="C2059" s="373" t="s">
        <v>45</v>
      </c>
      <c r="D2059" s="373"/>
      <c r="E2059" s="373" t="s">
        <v>375</v>
      </c>
      <c r="F2059" s="373" t="s">
        <v>23</v>
      </c>
      <c r="G2059" s="373" t="s">
        <v>3861</v>
      </c>
      <c r="H2059" s="461" t="s">
        <v>3382</v>
      </c>
      <c r="I2059" s="178" t="s">
        <v>3383</v>
      </c>
      <c r="J2059" s="729">
        <v>45212</v>
      </c>
      <c r="K2059" s="773">
        <v>0.375</v>
      </c>
      <c r="L2059" s="729">
        <v>45212</v>
      </c>
      <c r="M2059" s="773">
        <v>0.79166666666666663</v>
      </c>
      <c r="N2059" s="373">
        <v>8</v>
      </c>
      <c r="O2059" s="184" t="s">
        <v>17</v>
      </c>
      <c r="P2059" s="375" t="s">
        <v>3365</v>
      </c>
      <c r="Q2059" s="179" t="s">
        <v>2415</v>
      </c>
      <c r="R2059" s="171" t="s">
        <v>40</v>
      </c>
      <c r="S2059" s="31" t="s">
        <v>273</v>
      </c>
      <c r="T2059" s="31" t="s">
        <v>273</v>
      </c>
      <c r="U2059" s="31">
        <f>IFERROR(VLOOKUP(CONCATENATE(Tabla1[[#This Row],[Severidad]]," ",Tabla1[[#This Row],[Complejidad]]),Catalogos!E$120:G$128,3,FALSE),"")</f>
        <v>64</v>
      </c>
      <c r="V2059" s="31" t="str">
        <f>IF(Tabla1[[#This Row],[Tiempo solución max (hrs)]]&lt;&gt;"",IF(Tabla1[[#This Row],[Tiempo solución max (hrs)]]&gt;=Tabla1[[#This Row],[Tiempo
(Hrs 00/100)]],"cumple","no cumple"),"")</f>
        <v>cumple</v>
      </c>
      <c r="W2059" s="629" t="s">
        <v>3327</v>
      </c>
      <c r="X2059" s="377" t="str">
        <f t="shared" si="190"/>
        <v>SPD</v>
      </c>
      <c r="Y2059" t="str">
        <f>SUBSTITUTE(Tabla1[[#This Row],[Descripción]],CHAR(10),"    I    ")</f>
        <v>Desarrollo e implementación de los servicios para exponer los resultados de los procesos almacenados para generar las gráficas</v>
      </c>
      <c r="Z2059" s="142">
        <f>VLOOKUP(Tabla1[[#This Row],[Perfil]],Catalogos!$B$75:$D$100,3,FALSE)*Tabla1[[#This Row],[Tiempo
(Hrs 00/100)]]*1.16</f>
        <v>6496</v>
      </c>
    </row>
    <row r="2060" spans="1:26" ht="15" customHeight="1" x14ac:dyDescent="0.3">
      <c r="A2060" s="614" t="s">
        <v>22</v>
      </c>
      <c r="B2060" s="373" t="s">
        <v>23</v>
      </c>
      <c r="C2060" s="373" t="s">
        <v>45</v>
      </c>
      <c r="D2060" s="373"/>
      <c r="E2060" s="373" t="s">
        <v>375</v>
      </c>
      <c r="F2060" s="373" t="s">
        <v>23</v>
      </c>
      <c r="G2060" s="373" t="s">
        <v>3862</v>
      </c>
      <c r="H2060" s="461" t="s">
        <v>3384</v>
      </c>
      <c r="I2060" s="178" t="s">
        <v>3385</v>
      </c>
      <c r="J2060" s="729">
        <v>45215</v>
      </c>
      <c r="K2060" s="773">
        <v>0.375</v>
      </c>
      <c r="L2060" s="729">
        <v>45215</v>
      </c>
      <c r="M2060" s="773">
        <v>0.79166666666666663</v>
      </c>
      <c r="N2060" s="373">
        <v>8</v>
      </c>
      <c r="O2060" s="184" t="s">
        <v>17</v>
      </c>
      <c r="P2060" s="375" t="s">
        <v>3365</v>
      </c>
      <c r="Q2060" s="179" t="s">
        <v>2415</v>
      </c>
      <c r="R2060" s="171" t="s">
        <v>40</v>
      </c>
      <c r="S2060" s="31" t="s">
        <v>273</v>
      </c>
      <c r="T2060" s="31" t="s">
        <v>273</v>
      </c>
      <c r="U2060" s="31">
        <f>IFERROR(VLOOKUP(CONCATENATE(Tabla1[[#This Row],[Severidad]]," ",Tabla1[[#This Row],[Complejidad]]),Catalogos!E$120:G$128,3,FALSE),"")</f>
        <v>64</v>
      </c>
      <c r="V2060" s="31" t="str">
        <f>IF(Tabla1[[#This Row],[Tiempo solución max (hrs)]]&lt;&gt;"",IF(Tabla1[[#This Row],[Tiempo solución max (hrs)]]&gt;=Tabla1[[#This Row],[Tiempo
(Hrs 00/100)]],"cumple","no cumple"),"")</f>
        <v>cumple</v>
      </c>
      <c r="W2060" s="629" t="s">
        <v>3327</v>
      </c>
      <c r="X2060" s="377" t="str">
        <f t="shared" ref="X2060:X2093" si="194">IF(C2060&lt;&gt;"",C2060,D2060)</f>
        <v>SPD</v>
      </c>
      <c r="Y2060" t="str">
        <f>SUBSTITUTE(Tabla1[[#This Row],[Descripción]],CHAR(10),"    I    ")</f>
        <v>Mapear las tablas de los objetos de quejas de base de datos para invocar los procesos almacenados.</v>
      </c>
      <c r="Z2060" s="142">
        <f>VLOOKUP(Tabla1[[#This Row],[Perfil]],Catalogos!$B$75:$D$100,3,FALSE)*Tabla1[[#This Row],[Tiempo
(Hrs 00/100)]]*1.16</f>
        <v>6496</v>
      </c>
    </row>
    <row r="2061" spans="1:26" ht="15" customHeight="1" x14ac:dyDescent="0.3">
      <c r="A2061" s="614" t="s">
        <v>22</v>
      </c>
      <c r="B2061" s="373" t="s">
        <v>23</v>
      </c>
      <c r="C2061" s="373" t="s">
        <v>45</v>
      </c>
      <c r="D2061" s="373"/>
      <c r="E2061" s="373" t="s">
        <v>375</v>
      </c>
      <c r="F2061" s="373" t="s">
        <v>23</v>
      </c>
      <c r="G2061" s="373" t="s">
        <v>3863</v>
      </c>
      <c r="H2061" s="461" t="s">
        <v>3386</v>
      </c>
      <c r="I2061" s="178" t="s">
        <v>3387</v>
      </c>
      <c r="J2061" s="729">
        <v>45216</v>
      </c>
      <c r="K2061" s="773">
        <v>0.375</v>
      </c>
      <c r="L2061" s="729">
        <v>45216</v>
      </c>
      <c r="M2061" s="773">
        <v>0.79166666666666663</v>
      </c>
      <c r="N2061" s="373">
        <v>8</v>
      </c>
      <c r="O2061" s="184" t="s">
        <v>17</v>
      </c>
      <c r="P2061" s="375" t="s">
        <v>3365</v>
      </c>
      <c r="Q2061" s="179" t="s">
        <v>2415</v>
      </c>
      <c r="R2061" s="171" t="s">
        <v>40</v>
      </c>
      <c r="S2061" s="31" t="s">
        <v>273</v>
      </c>
      <c r="T2061" s="31" t="s">
        <v>273</v>
      </c>
      <c r="U2061" s="31">
        <f>IFERROR(VLOOKUP(CONCATENATE(Tabla1[[#This Row],[Severidad]]," ",Tabla1[[#This Row],[Complejidad]]),Catalogos!E$120:G$128,3,FALSE),"")</f>
        <v>64</v>
      </c>
      <c r="V2061" s="31" t="str">
        <f>IF(Tabla1[[#This Row],[Tiempo solución max (hrs)]]&lt;&gt;"",IF(Tabla1[[#This Row],[Tiempo solución max (hrs)]]&gt;=Tabla1[[#This Row],[Tiempo
(Hrs 00/100)]],"cumple","no cumple"),"")</f>
        <v>cumple</v>
      </c>
      <c r="W2061" s="629" t="s">
        <v>3327</v>
      </c>
      <c r="X2061" s="377" t="str">
        <f t="shared" si="194"/>
        <v>SPD</v>
      </c>
      <c r="Y2061" t="str">
        <f>SUBSTITUTE(Tabla1[[#This Row],[Descripción]],CHAR(10),"    I    ")</f>
        <v>Desarrollo e implementación de los metódos para la invocación del proceso para obtener la graficas de quejas</v>
      </c>
      <c r="Z2061" s="142">
        <f>VLOOKUP(Tabla1[[#This Row],[Perfil]],Catalogos!$B$75:$D$100,3,FALSE)*Tabla1[[#This Row],[Tiempo
(Hrs 00/100)]]*1.16</f>
        <v>6496</v>
      </c>
    </row>
    <row r="2062" spans="1:26" ht="15" customHeight="1" x14ac:dyDescent="0.3">
      <c r="A2062" s="614" t="s">
        <v>22</v>
      </c>
      <c r="B2062" s="373" t="s">
        <v>23</v>
      </c>
      <c r="C2062" s="373" t="s">
        <v>45</v>
      </c>
      <c r="D2062" s="373"/>
      <c r="E2062" s="373" t="s">
        <v>375</v>
      </c>
      <c r="F2062" s="373" t="s">
        <v>23</v>
      </c>
      <c r="G2062" s="373" t="s">
        <v>3864</v>
      </c>
      <c r="H2062" s="461" t="s">
        <v>3388</v>
      </c>
      <c r="I2062" s="538" t="s">
        <v>3389</v>
      </c>
      <c r="J2062" s="729">
        <v>45217</v>
      </c>
      <c r="K2062" s="773">
        <v>0.375</v>
      </c>
      <c r="L2062" s="729">
        <v>45217</v>
      </c>
      <c r="M2062" s="773">
        <v>0.79166666666666663</v>
      </c>
      <c r="N2062" s="373">
        <v>8</v>
      </c>
      <c r="O2062" s="184" t="s">
        <v>17</v>
      </c>
      <c r="P2062" s="375" t="s">
        <v>647</v>
      </c>
      <c r="Q2062" s="179" t="s">
        <v>2415</v>
      </c>
      <c r="R2062" s="171" t="s">
        <v>40</v>
      </c>
      <c r="S2062" s="31" t="s">
        <v>273</v>
      </c>
      <c r="T2062" s="31" t="s">
        <v>273</v>
      </c>
      <c r="U2062" s="31">
        <f>IFERROR(VLOOKUP(CONCATENATE(Tabla1[[#This Row],[Severidad]]," ",Tabla1[[#This Row],[Complejidad]]),Catalogos!E$120:G$128,3,FALSE),"")</f>
        <v>64</v>
      </c>
      <c r="V2062" s="31" t="str">
        <f>IF(Tabla1[[#This Row],[Tiempo solución max (hrs)]]&lt;&gt;"",IF(Tabla1[[#This Row],[Tiempo solución max (hrs)]]&gt;=Tabla1[[#This Row],[Tiempo
(Hrs 00/100)]],"cumple","no cumple"),"")</f>
        <v>cumple</v>
      </c>
      <c r="W2062" s="629" t="s">
        <v>3327</v>
      </c>
      <c r="X2062" s="377" t="str">
        <f t="shared" si="194"/>
        <v>SPD</v>
      </c>
      <c r="Y2062" t="str">
        <f>SUBSTITUTE(Tabla1[[#This Row],[Descripción]],CHAR(10),"    I    ")</f>
        <v>Codificar la funcionalidad para consultar la ultima respuesta de una solicitud de información en SISAI y registrar su referencia en el sistema de SIGEMI</v>
      </c>
      <c r="Z2062" s="142">
        <f>VLOOKUP(Tabla1[[#This Row],[Perfil]],Catalogos!$B$75:$D$100,3,FALSE)*Tabla1[[#This Row],[Tiempo
(Hrs 00/100)]]*1.16</f>
        <v>6496</v>
      </c>
    </row>
    <row r="2063" spans="1:26" ht="15" customHeight="1" x14ac:dyDescent="0.3">
      <c r="A2063" s="614" t="s">
        <v>22</v>
      </c>
      <c r="B2063" s="373" t="s">
        <v>23</v>
      </c>
      <c r="C2063" s="373" t="s">
        <v>45</v>
      </c>
      <c r="D2063" s="373"/>
      <c r="E2063" s="373" t="s">
        <v>375</v>
      </c>
      <c r="F2063" s="373" t="s">
        <v>23</v>
      </c>
      <c r="G2063" s="373" t="s">
        <v>3865</v>
      </c>
      <c r="H2063" s="461" t="s">
        <v>3390</v>
      </c>
      <c r="I2063" s="538" t="s">
        <v>3391</v>
      </c>
      <c r="J2063" s="729">
        <v>45218</v>
      </c>
      <c r="K2063" s="773">
        <v>0.375</v>
      </c>
      <c r="L2063" s="729">
        <v>45218</v>
      </c>
      <c r="M2063" s="773">
        <v>0.79166666666666663</v>
      </c>
      <c r="N2063" s="373">
        <v>8</v>
      </c>
      <c r="O2063" s="184" t="s">
        <v>17</v>
      </c>
      <c r="P2063" s="375" t="s">
        <v>647</v>
      </c>
      <c r="Q2063" s="179" t="s">
        <v>2415</v>
      </c>
      <c r="R2063" s="171" t="s">
        <v>40</v>
      </c>
      <c r="S2063" s="31" t="s">
        <v>273</v>
      </c>
      <c r="T2063" s="31" t="s">
        <v>273</v>
      </c>
      <c r="U2063" s="31">
        <f>IFERROR(VLOOKUP(CONCATENATE(Tabla1[[#This Row],[Severidad]]," ",Tabla1[[#This Row],[Complejidad]]),Catalogos!E$120:G$128,3,FALSE),"")</f>
        <v>64</v>
      </c>
      <c r="V2063" s="31" t="str">
        <f>IF(Tabla1[[#This Row],[Tiempo solución max (hrs)]]&lt;&gt;"",IF(Tabla1[[#This Row],[Tiempo solución max (hrs)]]&gt;=Tabla1[[#This Row],[Tiempo
(Hrs 00/100)]],"cumple","no cumple"),"")</f>
        <v>cumple</v>
      </c>
      <c r="W2063" s="629" t="s">
        <v>3327</v>
      </c>
      <c r="X2063" s="377" t="str">
        <f t="shared" si="194"/>
        <v>SPD</v>
      </c>
      <c r="Y2063" t="str">
        <f>SUBSTITUTE(Tabla1[[#This Row],[Descripción]],CHAR(10),"    I    ")</f>
        <v>Codificar la funionalidad para registrar en la bitacora de registro de documentos de una queja, la generación del acuse de recepción de una queja</v>
      </c>
      <c r="Z2063" s="142">
        <f>VLOOKUP(Tabla1[[#This Row],[Perfil]],Catalogos!$B$75:$D$100,3,FALSE)*Tabla1[[#This Row],[Tiempo
(Hrs 00/100)]]*1.16</f>
        <v>6496</v>
      </c>
    </row>
    <row r="2064" spans="1:26" ht="15" customHeight="1" x14ac:dyDescent="0.3">
      <c r="A2064" s="614" t="s">
        <v>22</v>
      </c>
      <c r="B2064" s="373" t="s">
        <v>23</v>
      </c>
      <c r="C2064" s="373" t="s">
        <v>45</v>
      </c>
      <c r="D2064" s="373"/>
      <c r="E2064" s="373" t="s">
        <v>375</v>
      </c>
      <c r="F2064" s="373" t="s">
        <v>23</v>
      </c>
      <c r="G2064" s="373" t="s">
        <v>3866</v>
      </c>
      <c r="H2064" s="461" t="s">
        <v>3392</v>
      </c>
      <c r="I2064" s="538" t="s">
        <v>3393</v>
      </c>
      <c r="J2064" s="729">
        <v>45219</v>
      </c>
      <c r="K2064" s="773">
        <v>0.375</v>
      </c>
      <c r="L2064" s="729">
        <v>45219</v>
      </c>
      <c r="M2064" s="773">
        <v>0.79166666666666663</v>
      </c>
      <c r="N2064" s="373">
        <v>8</v>
      </c>
      <c r="O2064" s="184" t="s">
        <v>17</v>
      </c>
      <c r="P2064" s="375" t="s">
        <v>647</v>
      </c>
      <c r="Q2064" s="179" t="s">
        <v>2415</v>
      </c>
      <c r="R2064" s="171" t="s">
        <v>40</v>
      </c>
      <c r="S2064" s="31" t="s">
        <v>273</v>
      </c>
      <c r="T2064" s="31" t="s">
        <v>273</v>
      </c>
      <c r="U2064" s="31">
        <f>IFERROR(VLOOKUP(CONCATENATE(Tabla1[[#This Row],[Severidad]]," ",Tabla1[[#This Row],[Complejidad]]),Catalogos!E$120:G$128,3,FALSE),"")</f>
        <v>64</v>
      </c>
      <c r="V2064" s="31" t="str">
        <f>IF(Tabla1[[#This Row],[Tiempo solución max (hrs)]]&lt;&gt;"",IF(Tabla1[[#This Row],[Tiempo solución max (hrs)]]&gt;=Tabla1[[#This Row],[Tiempo
(Hrs 00/100)]],"cumple","no cumple"),"")</f>
        <v>cumple</v>
      </c>
      <c r="W2064" s="629" t="s">
        <v>3327</v>
      </c>
      <c r="X2064" s="377" t="str">
        <f t="shared" si="194"/>
        <v>SPD</v>
      </c>
      <c r="Y2064" t="str">
        <f>SUBSTITUTE(Tabla1[[#This Row],[Descripción]],CHAR(10),"    I    ")</f>
        <v>Corrección de incidencia que no permitia consumir algunos subreportes que se requieren para generar acuses de registro de quejas</v>
      </c>
      <c r="Z2064" s="142">
        <f>VLOOKUP(Tabla1[[#This Row],[Perfil]],Catalogos!$B$75:$D$100,3,FALSE)*Tabla1[[#This Row],[Tiempo
(Hrs 00/100)]]*1.16</f>
        <v>6496</v>
      </c>
    </row>
    <row r="2065" spans="1:27" ht="15" customHeight="1" x14ac:dyDescent="0.3">
      <c r="A2065" s="614" t="s">
        <v>22</v>
      </c>
      <c r="B2065" s="373" t="s">
        <v>23</v>
      </c>
      <c r="C2065" s="373" t="s">
        <v>45</v>
      </c>
      <c r="D2065" s="373"/>
      <c r="E2065" s="373" t="s">
        <v>375</v>
      </c>
      <c r="F2065" s="373" t="s">
        <v>23</v>
      </c>
      <c r="G2065" s="373" t="s">
        <v>3867</v>
      </c>
      <c r="H2065" s="461" t="s">
        <v>3394</v>
      </c>
      <c r="I2065" s="538" t="s">
        <v>3395</v>
      </c>
      <c r="J2065" s="729">
        <v>45222</v>
      </c>
      <c r="K2065" s="773">
        <v>0.375</v>
      </c>
      <c r="L2065" s="729">
        <v>45222</v>
      </c>
      <c r="M2065" s="773">
        <v>0.79166666666666663</v>
      </c>
      <c r="N2065" s="373">
        <v>8</v>
      </c>
      <c r="O2065" s="184" t="s">
        <v>17</v>
      </c>
      <c r="P2065" s="375" t="s">
        <v>647</v>
      </c>
      <c r="Q2065" s="179" t="s">
        <v>2415</v>
      </c>
      <c r="R2065" s="171" t="s">
        <v>40</v>
      </c>
      <c r="S2065" s="31" t="s">
        <v>273</v>
      </c>
      <c r="T2065" s="31" t="s">
        <v>273</v>
      </c>
      <c r="U2065" s="31">
        <f>IFERROR(VLOOKUP(CONCATENATE(Tabla1[[#This Row],[Severidad]]," ",Tabla1[[#This Row],[Complejidad]]),Catalogos!E$120:G$128,3,FALSE),"")</f>
        <v>64</v>
      </c>
      <c r="V2065" s="31" t="str">
        <f>IF(Tabla1[[#This Row],[Tiempo solución max (hrs)]]&lt;&gt;"",IF(Tabla1[[#This Row],[Tiempo solución max (hrs)]]&gt;=Tabla1[[#This Row],[Tiempo
(Hrs 00/100)]],"cumple","no cumple"),"")</f>
        <v>cumple</v>
      </c>
      <c r="W2065" s="629" t="s">
        <v>3327</v>
      </c>
      <c r="X2065" s="377" t="str">
        <f t="shared" si="194"/>
        <v>SPD</v>
      </c>
      <c r="Y2065" t="str">
        <f>SUBSTITUTE(Tabla1[[#This Row],[Descripción]],CHAR(10),"    I    ")</f>
        <v>Codificación del requerimiento para registrar uno o más RIA's  asociados a una queja</v>
      </c>
      <c r="Z2065" s="142">
        <f>VLOOKUP(Tabla1[[#This Row],[Perfil]],Catalogos!$B$75:$D$100,3,FALSE)*Tabla1[[#This Row],[Tiempo
(Hrs 00/100)]]*1.16</f>
        <v>6496</v>
      </c>
    </row>
    <row r="2066" spans="1:27" ht="15" customHeight="1" x14ac:dyDescent="0.3">
      <c r="A2066" s="614" t="s">
        <v>22</v>
      </c>
      <c r="B2066" s="373" t="s">
        <v>23</v>
      </c>
      <c r="C2066" s="373" t="s">
        <v>45</v>
      </c>
      <c r="D2066" s="373"/>
      <c r="E2066" s="373" t="s">
        <v>375</v>
      </c>
      <c r="F2066" s="373" t="s">
        <v>23</v>
      </c>
      <c r="G2066" s="373" t="s">
        <v>3868</v>
      </c>
      <c r="H2066" s="461" t="s">
        <v>3396</v>
      </c>
      <c r="I2066" s="538" t="s">
        <v>3397</v>
      </c>
      <c r="J2066" s="729">
        <v>45223</v>
      </c>
      <c r="K2066" s="773">
        <v>0.375</v>
      </c>
      <c r="L2066" s="729">
        <v>45223</v>
      </c>
      <c r="M2066" s="773">
        <v>0.79166666666666663</v>
      </c>
      <c r="N2066" s="373">
        <v>8</v>
      </c>
      <c r="O2066" s="184" t="s">
        <v>17</v>
      </c>
      <c r="P2066" s="375" t="s">
        <v>647</v>
      </c>
      <c r="Q2066" s="179" t="s">
        <v>2415</v>
      </c>
      <c r="R2066" s="171" t="s">
        <v>40</v>
      </c>
      <c r="S2066" s="31" t="s">
        <v>273</v>
      </c>
      <c r="T2066" s="31" t="s">
        <v>273</v>
      </c>
      <c r="U2066" s="31">
        <f>IFERROR(VLOOKUP(CONCATENATE(Tabla1[[#This Row],[Severidad]]," ",Tabla1[[#This Row],[Complejidad]]),Catalogos!E$120:G$128,3,FALSE),"")</f>
        <v>64</v>
      </c>
      <c r="V2066" s="31" t="str">
        <f>IF(Tabla1[[#This Row],[Tiempo solución max (hrs)]]&lt;&gt;"",IF(Tabla1[[#This Row],[Tiempo solución max (hrs)]]&gt;=Tabla1[[#This Row],[Tiempo
(Hrs 00/100)]],"cumple","no cumple"),"")</f>
        <v>cumple</v>
      </c>
      <c r="W2066" s="629" t="s">
        <v>3327</v>
      </c>
      <c r="X2066" s="377" t="str">
        <f t="shared" si="194"/>
        <v>SPD</v>
      </c>
      <c r="Y2066" t="str">
        <f>SUBSTITUTE(Tabla1[[#This Row],[Descripción]],CHAR(10),"    I    ")</f>
        <v>Codificar la funcionalidad para generar acuses de respuesta a RIA's</v>
      </c>
      <c r="Z2066" s="142">
        <f>VLOOKUP(Tabla1[[#This Row],[Perfil]],Catalogos!$B$75:$D$100,3,FALSE)*Tabla1[[#This Row],[Tiempo
(Hrs 00/100)]]*1.16</f>
        <v>6496</v>
      </c>
    </row>
    <row r="2067" spans="1:27" ht="15" customHeight="1" x14ac:dyDescent="0.3">
      <c r="A2067" s="614" t="s">
        <v>22</v>
      </c>
      <c r="B2067" s="373" t="s">
        <v>23</v>
      </c>
      <c r="C2067" s="373" t="s">
        <v>45</v>
      </c>
      <c r="D2067" s="373"/>
      <c r="E2067" s="373" t="s">
        <v>375</v>
      </c>
      <c r="F2067" s="373" t="s">
        <v>23</v>
      </c>
      <c r="G2067" s="373" t="s">
        <v>3869</v>
      </c>
      <c r="H2067" s="461" t="s">
        <v>3398</v>
      </c>
      <c r="I2067" s="538" t="s">
        <v>3399</v>
      </c>
      <c r="J2067" s="729">
        <v>45224</v>
      </c>
      <c r="K2067" s="773">
        <v>0.375</v>
      </c>
      <c r="L2067" s="729">
        <v>45224</v>
      </c>
      <c r="M2067" s="773">
        <v>0.79166666666666663</v>
      </c>
      <c r="N2067" s="373">
        <v>8</v>
      </c>
      <c r="O2067" s="184" t="s">
        <v>17</v>
      </c>
      <c r="P2067" s="375" t="s">
        <v>647</v>
      </c>
      <c r="Q2067" s="179" t="s">
        <v>2415</v>
      </c>
      <c r="R2067" s="171" t="s">
        <v>40</v>
      </c>
      <c r="S2067" s="31" t="s">
        <v>273</v>
      </c>
      <c r="T2067" s="31" t="s">
        <v>273</v>
      </c>
      <c r="U2067" s="31">
        <f>IFERROR(VLOOKUP(CONCATENATE(Tabla1[[#This Row],[Severidad]]," ",Tabla1[[#This Row],[Complejidad]]),Catalogos!E$120:G$128,3,FALSE),"")</f>
        <v>64</v>
      </c>
      <c r="V2067" s="31" t="str">
        <f>IF(Tabla1[[#This Row],[Tiempo solución max (hrs)]]&lt;&gt;"",IF(Tabla1[[#This Row],[Tiempo solución max (hrs)]]&gt;=Tabla1[[#This Row],[Tiempo
(Hrs 00/100)]],"cumple","no cumple"),"")</f>
        <v>cumple</v>
      </c>
      <c r="W2067" s="629" t="s">
        <v>3327</v>
      </c>
      <c r="X2067" s="377" t="str">
        <f t="shared" si="194"/>
        <v>SPD</v>
      </c>
      <c r="Y2067" t="str">
        <f>SUBSTITUTE(Tabla1[[#This Row],[Descripción]],CHAR(10),"    I    ")</f>
        <v>Registro de las respuestas de las notificaciones enviadas por un organo garante y respondidas por un solicitante</v>
      </c>
      <c r="Z2067" s="142">
        <f>VLOOKUP(Tabla1[[#This Row],[Perfil]],Catalogos!$B$75:$D$100,3,FALSE)*Tabla1[[#This Row],[Tiempo
(Hrs 00/100)]]*1.16</f>
        <v>6496</v>
      </c>
    </row>
    <row r="2068" spans="1:27" ht="15" customHeight="1" x14ac:dyDescent="0.3">
      <c r="A2068" s="614" t="s">
        <v>22</v>
      </c>
      <c r="B2068" s="373" t="s">
        <v>23</v>
      </c>
      <c r="C2068" s="373" t="s">
        <v>45</v>
      </c>
      <c r="D2068" s="373"/>
      <c r="E2068" s="373" t="s">
        <v>375</v>
      </c>
      <c r="F2068" s="373" t="s">
        <v>23</v>
      </c>
      <c r="G2068" s="373" t="s">
        <v>3870</v>
      </c>
      <c r="H2068" s="461" t="s">
        <v>3400</v>
      </c>
      <c r="I2068" s="538" t="s">
        <v>3401</v>
      </c>
      <c r="J2068" s="729">
        <v>45225</v>
      </c>
      <c r="K2068" s="773">
        <v>0.375</v>
      </c>
      <c r="L2068" s="729">
        <v>45225</v>
      </c>
      <c r="M2068" s="773">
        <v>0.79166666666666663</v>
      </c>
      <c r="N2068" s="373">
        <v>8</v>
      </c>
      <c r="O2068" s="184" t="s">
        <v>17</v>
      </c>
      <c r="P2068" s="375" t="s">
        <v>647</v>
      </c>
      <c r="Q2068" s="179" t="s">
        <v>2415</v>
      </c>
      <c r="R2068" s="171" t="s">
        <v>40</v>
      </c>
      <c r="S2068" s="31" t="s">
        <v>273</v>
      </c>
      <c r="T2068" s="31" t="s">
        <v>273</v>
      </c>
      <c r="U2068" s="31">
        <f>IFERROR(VLOOKUP(CONCATENATE(Tabla1[[#This Row],[Severidad]]," ",Tabla1[[#This Row],[Complejidad]]),Catalogos!E$120:G$128,3,FALSE),"")</f>
        <v>64</v>
      </c>
      <c r="V2068" s="31" t="str">
        <f>IF(Tabla1[[#This Row],[Tiempo solución max (hrs)]]&lt;&gt;"",IF(Tabla1[[#This Row],[Tiempo solución max (hrs)]]&gt;=Tabla1[[#This Row],[Tiempo
(Hrs 00/100)]],"cumple","no cumple"),"")</f>
        <v>cumple</v>
      </c>
      <c r="W2068" s="629" t="s">
        <v>3327</v>
      </c>
      <c r="X2068" s="377" t="str">
        <f t="shared" si="194"/>
        <v>SPD</v>
      </c>
      <c r="Y2068" t="str">
        <f>SUBSTITUTE(Tabla1[[#This Row],[Descripción]],CHAR(10),"    I    ")</f>
        <v>Codificar la funcionalidad para generar acuses de respuesta a notificaciones</v>
      </c>
      <c r="Z2068" s="142">
        <f>VLOOKUP(Tabla1[[#This Row],[Perfil]],Catalogos!$B$75:$D$100,3,FALSE)*Tabla1[[#This Row],[Tiempo
(Hrs 00/100)]]*1.16</f>
        <v>6496</v>
      </c>
    </row>
    <row r="2069" spans="1:27" ht="15" customHeight="1" x14ac:dyDescent="0.3">
      <c r="A2069" s="614" t="s">
        <v>22</v>
      </c>
      <c r="B2069" s="373" t="s">
        <v>23</v>
      </c>
      <c r="C2069" s="373" t="s">
        <v>45</v>
      </c>
      <c r="D2069" s="373"/>
      <c r="E2069" s="373" t="s">
        <v>375</v>
      </c>
      <c r="F2069" s="373" t="s">
        <v>23</v>
      </c>
      <c r="G2069" s="373" t="s">
        <v>3871</v>
      </c>
      <c r="H2069" s="461" t="s">
        <v>3402</v>
      </c>
      <c r="I2069" s="538" t="s">
        <v>3403</v>
      </c>
      <c r="J2069" s="729">
        <v>45226</v>
      </c>
      <c r="K2069" s="773">
        <v>0.375</v>
      </c>
      <c r="L2069" s="729">
        <v>45226</v>
      </c>
      <c r="M2069" s="773">
        <v>0.79166666666666663</v>
      </c>
      <c r="N2069" s="373">
        <v>8</v>
      </c>
      <c r="O2069" s="184" t="s">
        <v>17</v>
      </c>
      <c r="P2069" s="375" t="s">
        <v>647</v>
      </c>
      <c r="Q2069" s="179" t="s">
        <v>2415</v>
      </c>
      <c r="R2069" s="171" t="s">
        <v>40</v>
      </c>
      <c r="S2069" s="31" t="s">
        <v>273</v>
      </c>
      <c r="T2069" s="31" t="s">
        <v>273</v>
      </c>
      <c r="U2069" s="31">
        <f>IFERROR(VLOOKUP(CONCATENATE(Tabla1[[#This Row],[Severidad]]," ",Tabla1[[#This Row],[Complejidad]]),Catalogos!E$120:G$128,3,FALSE),"")</f>
        <v>64</v>
      </c>
      <c r="V2069" s="31" t="str">
        <f>IF(Tabla1[[#This Row],[Tiempo solución max (hrs)]]&lt;&gt;"",IF(Tabla1[[#This Row],[Tiempo solución max (hrs)]]&gt;=Tabla1[[#This Row],[Tiempo
(Hrs 00/100)]],"cumple","no cumple"),"")</f>
        <v>cumple</v>
      </c>
      <c r="W2069" s="629" t="s">
        <v>3327</v>
      </c>
      <c r="X2069" s="377" t="str">
        <f t="shared" si="194"/>
        <v>SPD</v>
      </c>
      <c r="Y2069" t="str">
        <f>SUBSTITUTE(Tabla1[[#This Row],[Descripción]],CHAR(10),"    I    ")</f>
        <v>Modifiación de servicio rest para registrar los requerimientos de comunicación por parte del organismo garante</v>
      </c>
      <c r="Z2069" s="142">
        <f>VLOOKUP(Tabla1[[#This Row],[Perfil]],Catalogos!$B$75:$D$100,3,FALSE)*Tabla1[[#This Row],[Tiempo
(Hrs 00/100)]]*1.16</f>
        <v>6496</v>
      </c>
    </row>
    <row r="2070" spans="1:27" ht="15" customHeight="1" x14ac:dyDescent="0.3">
      <c r="A2070" s="614" t="s">
        <v>22</v>
      </c>
      <c r="B2070" s="373" t="s">
        <v>23</v>
      </c>
      <c r="C2070" s="373" t="s">
        <v>45</v>
      </c>
      <c r="D2070" s="373"/>
      <c r="E2070" s="373" t="s">
        <v>375</v>
      </c>
      <c r="F2070" s="373" t="s">
        <v>23</v>
      </c>
      <c r="G2070" s="373" t="s">
        <v>3872</v>
      </c>
      <c r="H2070" s="461" t="s">
        <v>3404</v>
      </c>
      <c r="I2070" s="538" t="s">
        <v>3405</v>
      </c>
      <c r="J2070" s="729">
        <v>45229</v>
      </c>
      <c r="K2070" s="773">
        <v>0.375</v>
      </c>
      <c r="L2070" s="729">
        <v>45229</v>
      </c>
      <c r="M2070" s="773">
        <v>0.79166666666666663</v>
      </c>
      <c r="N2070" s="373">
        <v>8</v>
      </c>
      <c r="O2070" s="184" t="s">
        <v>17</v>
      </c>
      <c r="P2070" s="375" t="s">
        <v>647</v>
      </c>
      <c r="Q2070" s="179" t="s">
        <v>2415</v>
      </c>
      <c r="R2070" s="171" t="s">
        <v>40</v>
      </c>
      <c r="S2070" s="31" t="s">
        <v>273</v>
      </c>
      <c r="T2070" s="31" t="s">
        <v>273</v>
      </c>
      <c r="U2070" s="31">
        <f>IFERROR(VLOOKUP(CONCATENATE(Tabla1[[#This Row],[Severidad]]," ",Tabla1[[#This Row],[Complejidad]]),Catalogos!E$120:G$128,3,FALSE),"")</f>
        <v>64</v>
      </c>
      <c r="V2070" s="31" t="str">
        <f>IF(Tabla1[[#This Row],[Tiempo solución max (hrs)]]&lt;&gt;"",IF(Tabla1[[#This Row],[Tiempo solución max (hrs)]]&gt;=Tabla1[[#This Row],[Tiempo
(Hrs 00/100)]],"cumple","no cumple"),"")</f>
        <v>cumple</v>
      </c>
      <c r="W2070" s="629" t="s">
        <v>3327</v>
      </c>
      <c r="X2070" s="377" t="str">
        <f t="shared" si="194"/>
        <v>SPD</v>
      </c>
      <c r="Y2070" t="str">
        <f>SUBSTITUTE(Tabla1[[#This Row],[Descripción]],CHAR(10),"    I    ")</f>
        <v>Desarrollo del servicio que permite registrar los requerimientos de comunicación responidos por el solicitante</v>
      </c>
      <c r="Z2070" s="142">
        <f>VLOOKUP(Tabla1[[#This Row],[Perfil]],Catalogos!$B$75:$D$100,3,FALSE)*Tabla1[[#This Row],[Tiempo
(Hrs 00/100)]]*1.16</f>
        <v>6496</v>
      </c>
    </row>
    <row r="2071" spans="1:27" ht="15" customHeight="1" x14ac:dyDescent="0.3">
      <c r="A2071" s="614" t="s">
        <v>22</v>
      </c>
      <c r="B2071" s="373" t="s">
        <v>23</v>
      </c>
      <c r="C2071" s="373" t="s">
        <v>45</v>
      </c>
      <c r="D2071" s="373"/>
      <c r="E2071" s="373" t="s">
        <v>375</v>
      </c>
      <c r="F2071" s="373" t="s">
        <v>23</v>
      </c>
      <c r="G2071" s="373" t="s">
        <v>3873</v>
      </c>
      <c r="H2071" s="461" t="s">
        <v>3407</v>
      </c>
      <c r="I2071" s="538" t="s">
        <v>3408</v>
      </c>
      <c r="J2071" s="729">
        <v>45230</v>
      </c>
      <c r="K2071" s="773">
        <v>0.375</v>
      </c>
      <c r="L2071" s="729">
        <v>45230</v>
      </c>
      <c r="M2071" s="773">
        <v>0.79166666666666663</v>
      </c>
      <c r="N2071" s="373">
        <v>8</v>
      </c>
      <c r="O2071" s="184" t="s">
        <v>17</v>
      </c>
      <c r="P2071" s="375" t="s">
        <v>647</v>
      </c>
      <c r="Q2071" s="179" t="s">
        <v>2415</v>
      </c>
      <c r="R2071" s="171" t="s">
        <v>40</v>
      </c>
      <c r="S2071" s="31" t="s">
        <v>273</v>
      </c>
      <c r="T2071" s="31" t="s">
        <v>273</v>
      </c>
      <c r="U2071" s="31">
        <f>IFERROR(VLOOKUP(CONCATENATE(Tabla1[[#This Row],[Severidad]]," ",Tabla1[[#This Row],[Complejidad]]),Catalogos!E$120:G$128,3,FALSE),"")</f>
        <v>64</v>
      </c>
      <c r="V2071" s="31" t="str">
        <f>IF(Tabla1[[#This Row],[Tiempo solución max (hrs)]]&lt;&gt;"",IF(Tabla1[[#This Row],[Tiempo solución max (hrs)]]&gt;=Tabla1[[#This Row],[Tiempo
(Hrs 00/100)]],"cumple","no cumple"),"")</f>
        <v>cumple</v>
      </c>
      <c r="W2071" s="629" t="s">
        <v>3327</v>
      </c>
      <c r="X2071" s="377" t="str">
        <f t="shared" si="194"/>
        <v>SPD</v>
      </c>
      <c r="Y2071" t="str">
        <f>SUBSTITUTE(Tabla1[[#This Row],[Descripción]],CHAR(10),"    I    ")</f>
        <v>Desarrollo del servicio que permite generar el acuse de registro de "comunicación"</v>
      </c>
      <c r="Z2071" s="142">
        <f>VLOOKUP(Tabla1[[#This Row],[Perfil]],Catalogos!$B$75:$D$100,3,FALSE)*Tabla1[[#This Row],[Tiempo
(Hrs 00/100)]]*1.16</f>
        <v>6496</v>
      </c>
    </row>
    <row r="2072" spans="1:27" ht="15" customHeight="1" x14ac:dyDescent="0.3">
      <c r="A2072" s="636" t="s">
        <v>22</v>
      </c>
      <c r="B2072" s="637" t="s">
        <v>23</v>
      </c>
      <c r="C2072" s="637" t="s">
        <v>45</v>
      </c>
      <c r="D2072" s="637"/>
      <c r="E2072" s="637" t="s">
        <v>3874</v>
      </c>
      <c r="F2072" s="637" t="s">
        <v>23</v>
      </c>
      <c r="G2072" s="637" t="s">
        <v>3430</v>
      </c>
      <c r="H2072" s="638" t="s">
        <v>3431</v>
      </c>
      <c r="I2072" s="639" t="s">
        <v>3432</v>
      </c>
      <c r="J2072" s="730">
        <v>45215</v>
      </c>
      <c r="K2072" s="774">
        <v>0.375</v>
      </c>
      <c r="L2072" s="730">
        <v>45215</v>
      </c>
      <c r="M2072" s="774">
        <v>0.79166666666666663</v>
      </c>
      <c r="N2072" s="640">
        <v>8.5</v>
      </c>
      <c r="O2072" s="641" t="s">
        <v>17</v>
      </c>
      <c r="P2072" s="375" t="s">
        <v>3433</v>
      </c>
      <c r="Q2072" s="642" t="s">
        <v>3434</v>
      </c>
      <c r="R2072" s="643" t="s">
        <v>40</v>
      </c>
      <c r="S2072" s="31" t="s">
        <v>273</v>
      </c>
      <c r="T2072" s="31" t="s">
        <v>273</v>
      </c>
      <c r="U2072" s="31">
        <f>IFERROR(VLOOKUP(CONCATENATE(Tabla1[[#This Row],[Severidad]]," ",Tabla1[[#This Row],[Complejidad]]),Catalogos!E$120:G$128,3,FALSE),"")</f>
        <v>64</v>
      </c>
      <c r="V2072" s="31" t="str">
        <f>IF(Tabla1[[#This Row],[Tiempo solución max (hrs)]]&lt;&gt;"",IF(Tabla1[[#This Row],[Tiempo solución max (hrs)]]&gt;=Tabla1[[#This Row],[Tiempo
(Hrs 00/100)]],"cumple","no cumple"),"")</f>
        <v>cumple</v>
      </c>
      <c r="W2072" s="629" t="s">
        <v>3327</v>
      </c>
      <c r="X2072" s="377" t="str">
        <f t="shared" si="194"/>
        <v>SPD</v>
      </c>
      <c r="Y2072" t="str">
        <f>SUBSTITUTE(Tabla1[[#This Row],[Descripción]],CHAR(10),"    I    ")</f>
        <v>Explicación del proyecto, tecnologias a utilizar y lectura de documentación</v>
      </c>
      <c r="Z2072" s="142">
        <f>VLOOKUP(Tabla1[[#This Row],[Perfil]],Catalogos!$B$75:$D$100,3,FALSE)*Tabla1[[#This Row],[Tiempo
(Hrs 00/100)]]*1.16</f>
        <v>6901.9999999999991</v>
      </c>
      <c r="AA2072" t="s">
        <v>3356</v>
      </c>
    </row>
    <row r="2073" spans="1:27" ht="15" customHeight="1" x14ac:dyDescent="0.3">
      <c r="A2073" s="636" t="s">
        <v>22</v>
      </c>
      <c r="B2073" s="637" t="s">
        <v>23</v>
      </c>
      <c r="C2073" s="637" t="s">
        <v>45</v>
      </c>
      <c r="D2073" s="637"/>
      <c r="E2073" s="637" t="s">
        <v>3874</v>
      </c>
      <c r="F2073" s="637" t="s">
        <v>23</v>
      </c>
      <c r="G2073" s="637" t="s">
        <v>3435</v>
      </c>
      <c r="H2073" s="638" t="s">
        <v>3436</v>
      </c>
      <c r="I2073" s="639" t="s">
        <v>3437</v>
      </c>
      <c r="J2073" s="730">
        <v>45216</v>
      </c>
      <c r="K2073" s="774">
        <v>0.375</v>
      </c>
      <c r="L2073" s="730">
        <v>45216</v>
      </c>
      <c r="M2073" s="774">
        <v>0.79166666666666663</v>
      </c>
      <c r="N2073" s="640">
        <v>8.5</v>
      </c>
      <c r="O2073" s="641" t="s">
        <v>17</v>
      </c>
      <c r="P2073" s="375" t="s">
        <v>3433</v>
      </c>
      <c r="Q2073" s="642" t="s">
        <v>3434</v>
      </c>
      <c r="R2073" s="643" t="s">
        <v>40</v>
      </c>
      <c r="S2073" s="31" t="s">
        <v>273</v>
      </c>
      <c r="T2073" s="31" t="s">
        <v>273</v>
      </c>
      <c r="U2073" s="31">
        <f>IFERROR(VLOOKUP(CONCATENATE(Tabla1[[#This Row],[Severidad]]," ",Tabla1[[#This Row],[Complejidad]]),Catalogos!E$120:G$128,3,FALSE),"")</f>
        <v>64</v>
      </c>
      <c r="V2073" s="31" t="str">
        <f>IF(Tabla1[[#This Row],[Tiempo solución max (hrs)]]&lt;&gt;"",IF(Tabla1[[#This Row],[Tiempo solución max (hrs)]]&gt;=Tabla1[[#This Row],[Tiempo
(Hrs 00/100)]],"cumple","no cumple"),"")</f>
        <v>cumple</v>
      </c>
      <c r="W2073" s="629" t="s">
        <v>3327</v>
      </c>
      <c r="X2073" s="377" t="str">
        <f t="shared" si="194"/>
        <v>SPD</v>
      </c>
      <c r="Y2073" t="str">
        <f>SUBSTITUTE(Tabla1[[#This Row],[Descripción]],CHAR(10),"    I    ")</f>
        <v>Se realiza el analisis y la implementación de la librería necesaria para poder realizar la verificacion de consistencia</v>
      </c>
      <c r="Z2073" s="142">
        <f>VLOOKUP(Tabla1[[#This Row],[Perfil]],Catalogos!$B$75:$D$100,3,FALSE)*Tabla1[[#This Row],[Tiempo
(Hrs 00/100)]]*1.16</f>
        <v>6901.9999999999991</v>
      </c>
      <c r="AA2073" t="s">
        <v>3356</v>
      </c>
    </row>
    <row r="2074" spans="1:27" ht="15" customHeight="1" x14ac:dyDescent="0.3">
      <c r="A2074" s="636" t="s">
        <v>22</v>
      </c>
      <c r="B2074" s="637" t="s">
        <v>23</v>
      </c>
      <c r="C2074" s="637" t="s">
        <v>45</v>
      </c>
      <c r="D2074" s="637"/>
      <c r="E2074" s="637" t="s">
        <v>3874</v>
      </c>
      <c r="F2074" s="637" t="s">
        <v>23</v>
      </c>
      <c r="G2074" s="637" t="s">
        <v>3438</v>
      </c>
      <c r="H2074" s="638" t="s">
        <v>3439</v>
      </c>
      <c r="I2074" s="639" t="s">
        <v>3440</v>
      </c>
      <c r="J2074" s="730">
        <v>45217</v>
      </c>
      <c r="K2074" s="774">
        <v>0.375</v>
      </c>
      <c r="L2074" s="730">
        <v>45217</v>
      </c>
      <c r="M2074" s="774">
        <v>0.79166666666666663</v>
      </c>
      <c r="N2074" s="640">
        <v>8.5</v>
      </c>
      <c r="O2074" s="641" t="s">
        <v>17</v>
      </c>
      <c r="P2074" s="375" t="s">
        <v>3433</v>
      </c>
      <c r="Q2074" s="642" t="s">
        <v>3434</v>
      </c>
      <c r="R2074" s="643" t="s">
        <v>40</v>
      </c>
      <c r="S2074" s="31" t="s">
        <v>273</v>
      </c>
      <c r="T2074" s="31" t="s">
        <v>273</v>
      </c>
      <c r="U2074" s="31">
        <f>IFERROR(VLOOKUP(CONCATENATE(Tabla1[[#This Row],[Severidad]]," ",Tabla1[[#This Row],[Complejidad]]),Catalogos!E$120:G$128,3,FALSE),"")</f>
        <v>64</v>
      </c>
      <c r="V2074" s="31" t="str">
        <f>IF(Tabla1[[#This Row],[Tiempo solución max (hrs)]]&lt;&gt;"",IF(Tabla1[[#This Row],[Tiempo solución max (hrs)]]&gt;=Tabla1[[#This Row],[Tiempo
(Hrs 00/100)]],"cumple","no cumple"),"")</f>
        <v>cumple</v>
      </c>
      <c r="W2074" s="629" t="s">
        <v>3327</v>
      </c>
      <c r="X2074" s="377" t="str">
        <f t="shared" si="194"/>
        <v>SPD</v>
      </c>
      <c r="Y2074" t="str">
        <f>SUBSTITUTE(Tabla1[[#This Row],[Descripción]],CHAR(10),"    I    ")</f>
        <v xml:space="preserve">Se realiza utileria para generar hashes de acuerdo al certificado </v>
      </c>
      <c r="Z2074" s="142">
        <f>VLOOKUP(Tabla1[[#This Row],[Perfil]],Catalogos!$B$75:$D$100,3,FALSE)*Tabla1[[#This Row],[Tiempo
(Hrs 00/100)]]*1.16</f>
        <v>6901.9999999999991</v>
      </c>
      <c r="AA2074" t="s">
        <v>3356</v>
      </c>
    </row>
    <row r="2075" spans="1:27" ht="15" customHeight="1" x14ac:dyDescent="0.3">
      <c r="A2075" s="636" t="s">
        <v>22</v>
      </c>
      <c r="B2075" s="637" t="s">
        <v>23</v>
      </c>
      <c r="C2075" s="637" t="s">
        <v>45</v>
      </c>
      <c r="D2075" s="637"/>
      <c r="E2075" s="637" t="s">
        <v>3874</v>
      </c>
      <c r="F2075" s="637" t="s">
        <v>23</v>
      </c>
      <c r="G2075" s="637" t="s">
        <v>3441</v>
      </c>
      <c r="H2075" s="638" t="s">
        <v>3442</v>
      </c>
      <c r="I2075" s="639" t="s">
        <v>3443</v>
      </c>
      <c r="J2075" s="730">
        <v>45218</v>
      </c>
      <c r="K2075" s="774">
        <v>0.375</v>
      </c>
      <c r="L2075" s="730">
        <v>45218</v>
      </c>
      <c r="M2075" s="774">
        <v>0.79166666666666663</v>
      </c>
      <c r="N2075" s="640">
        <v>8.5</v>
      </c>
      <c r="O2075" s="641" t="s">
        <v>17</v>
      </c>
      <c r="P2075" s="375" t="s">
        <v>3433</v>
      </c>
      <c r="Q2075" s="642" t="s">
        <v>3434</v>
      </c>
      <c r="R2075" s="643" t="s">
        <v>40</v>
      </c>
      <c r="S2075" s="31" t="s">
        <v>273</v>
      </c>
      <c r="T2075" s="31" t="s">
        <v>273</v>
      </c>
      <c r="U2075" s="31">
        <f>IFERROR(VLOOKUP(CONCATENATE(Tabla1[[#This Row],[Severidad]]," ",Tabla1[[#This Row],[Complejidad]]),Catalogos!E$120:G$128,3,FALSE),"")</f>
        <v>64</v>
      </c>
      <c r="V2075" s="31" t="str">
        <f>IF(Tabla1[[#This Row],[Tiempo solución max (hrs)]]&lt;&gt;"",IF(Tabla1[[#This Row],[Tiempo solución max (hrs)]]&gt;=Tabla1[[#This Row],[Tiempo
(Hrs 00/100)]],"cumple","no cumple"),"")</f>
        <v>cumple</v>
      </c>
      <c r="W2075" s="629" t="s">
        <v>3327</v>
      </c>
      <c r="X2075" s="377" t="str">
        <f t="shared" si="194"/>
        <v>SPD</v>
      </c>
      <c r="Y2075" t="str">
        <f>SUBSTITUTE(Tabla1[[#This Row],[Descripción]],CHAR(10),"    I    ")</f>
        <v xml:space="preserve">Se realiza utileria para generar pkcs7 de acuerdo al certificado </v>
      </c>
      <c r="Z2075" s="142">
        <f>VLOOKUP(Tabla1[[#This Row],[Perfil]],Catalogos!$B$75:$D$100,3,FALSE)*Tabla1[[#This Row],[Tiempo
(Hrs 00/100)]]*1.16</f>
        <v>6901.9999999999991</v>
      </c>
      <c r="AA2075" t="s">
        <v>3356</v>
      </c>
    </row>
    <row r="2076" spans="1:27" ht="15" customHeight="1" x14ac:dyDescent="0.3">
      <c r="A2076" s="636" t="s">
        <v>22</v>
      </c>
      <c r="B2076" s="637" t="s">
        <v>23</v>
      </c>
      <c r="C2076" s="637" t="s">
        <v>45</v>
      </c>
      <c r="D2076" s="637"/>
      <c r="E2076" s="637" t="s">
        <v>3874</v>
      </c>
      <c r="F2076" s="637" t="s">
        <v>23</v>
      </c>
      <c r="G2076" s="637" t="s">
        <v>3444</v>
      </c>
      <c r="H2076" s="638" t="s">
        <v>3445</v>
      </c>
      <c r="I2076" s="639" t="s">
        <v>3446</v>
      </c>
      <c r="J2076" s="730">
        <v>45219</v>
      </c>
      <c r="K2076" s="774">
        <v>0.375</v>
      </c>
      <c r="L2076" s="730">
        <v>45219</v>
      </c>
      <c r="M2076" s="774">
        <v>0.54166666666666663</v>
      </c>
      <c r="N2076" s="640">
        <v>4</v>
      </c>
      <c r="O2076" s="641" t="s">
        <v>17</v>
      </c>
      <c r="P2076" s="375" t="s">
        <v>3433</v>
      </c>
      <c r="Q2076" s="642" t="s">
        <v>3434</v>
      </c>
      <c r="R2076" s="643" t="s">
        <v>40</v>
      </c>
      <c r="S2076" s="31" t="s">
        <v>273</v>
      </c>
      <c r="T2076" s="31" t="s">
        <v>273</v>
      </c>
      <c r="U2076" s="31">
        <f>IFERROR(VLOOKUP(CONCATENATE(Tabla1[[#This Row],[Severidad]]," ",Tabla1[[#This Row],[Complejidad]]),Catalogos!E$120:G$128,3,FALSE),"")</f>
        <v>64</v>
      </c>
      <c r="V2076" s="31" t="str">
        <f>IF(Tabla1[[#This Row],[Tiempo solución max (hrs)]]&lt;&gt;"",IF(Tabla1[[#This Row],[Tiempo solución max (hrs)]]&gt;=Tabla1[[#This Row],[Tiempo
(Hrs 00/100)]],"cumple","no cumple"),"")</f>
        <v>cumple</v>
      </c>
      <c r="W2076" s="629" t="s">
        <v>3327</v>
      </c>
      <c r="X2076" s="377" t="str">
        <f t="shared" si="194"/>
        <v>SPD</v>
      </c>
      <c r="Y2076" t="str">
        <f>SUBSTITUTE(Tabla1[[#This Row],[Descripción]],CHAR(10),"    I    ")</f>
        <v>Implementación del servicio para Subir archivos para firma unilateral</v>
      </c>
      <c r="Z2076" s="142">
        <f>VLOOKUP(Tabla1[[#This Row],[Perfil]],Catalogos!$B$75:$D$100,3,FALSE)*Tabla1[[#This Row],[Tiempo
(Hrs 00/100)]]*1.16</f>
        <v>3248</v>
      </c>
      <c r="AA2076" t="s">
        <v>3356</v>
      </c>
    </row>
    <row r="2077" spans="1:27" ht="15" customHeight="1" x14ac:dyDescent="0.3">
      <c r="A2077" s="636" t="s">
        <v>22</v>
      </c>
      <c r="B2077" s="637" t="s">
        <v>23</v>
      </c>
      <c r="C2077" s="637" t="s">
        <v>45</v>
      </c>
      <c r="D2077" s="637"/>
      <c r="E2077" s="637" t="s">
        <v>3874</v>
      </c>
      <c r="F2077" s="637" t="s">
        <v>23</v>
      </c>
      <c r="G2077" s="637" t="s">
        <v>3447</v>
      </c>
      <c r="H2077" s="638" t="s">
        <v>3448</v>
      </c>
      <c r="I2077" s="639" t="s">
        <v>3449</v>
      </c>
      <c r="J2077" s="730">
        <v>45219</v>
      </c>
      <c r="K2077" s="774">
        <v>0.54166666666666663</v>
      </c>
      <c r="L2077" s="730">
        <v>45219</v>
      </c>
      <c r="M2077" s="774">
        <v>0.625</v>
      </c>
      <c r="N2077" s="640">
        <v>2</v>
      </c>
      <c r="O2077" s="641" t="s">
        <v>17</v>
      </c>
      <c r="P2077" s="375" t="s">
        <v>3433</v>
      </c>
      <c r="Q2077" s="642" t="s">
        <v>3434</v>
      </c>
      <c r="R2077" s="643" t="s">
        <v>40</v>
      </c>
      <c r="S2077" s="31" t="s">
        <v>273</v>
      </c>
      <c r="T2077" s="31" t="s">
        <v>273</v>
      </c>
      <c r="U2077" s="31">
        <f>IFERROR(VLOOKUP(CONCATENATE(Tabla1[[#This Row],[Severidad]]," ",Tabla1[[#This Row],[Complejidad]]),Catalogos!E$120:G$128,3,FALSE),"")</f>
        <v>64</v>
      </c>
      <c r="V2077" s="31" t="str">
        <f>IF(Tabla1[[#This Row],[Tiempo solución max (hrs)]]&lt;&gt;"",IF(Tabla1[[#This Row],[Tiempo solución max (hrs)]]&gt;=Tabla1[[#This Row],[Tiempo
(Hrs 00/100)]],"cumple","no cumple"),"")</f>
        <v>cumple</v>
      </c>
      <c r="W2077" s="629" t="s">
        <v>3327</v>
      </c>
      <c r="X2077" s="377" t="str">
        <f t="shared" si="194"/>
        <v>SPD</v>
      </c>
      <c r="Y2077" t="str">
        <f>SUBSTITUTE(Tabla1[[#This Row],[Descripción]],CHAR(10),"    I    ")</f>
        <v>Implementación del servicio para Registrar firma electronica pkcs7</v>
      </c>
      <c r="Z2077" s="142">
        <f>VLOOKUP(Tabla1[[#This Row],[Perfil]],Catalogos!$B$75:$D$100,3,FALSE)*Tabla1[[#This Row],[Tiempo
(Hrs 00/100)]]*1.16</f>
        <v>1624</v>
      </c>
      <c r="AA2077" t="s">
        <v>3356</v>
      </c>
    </row>
    <row r="2078" spans="1:27" ht="15" customHeight="1" x14ac:dyDescent="0.3">
      <c r="A2078" s="636" t="s">
        <v>22</v>
      </c>
      <c r="B2078" s="637" t="s">
        <v>23</v>
      </c>
      <c r="C2078" s="637" t="s">
        <v>45</v>
      </c>
      <c r="D2078" s="637"/>
      <c r="E2078" s="637" t="s">
        <v>3874</v>
      </c>
      <c r="F2078" s="637" t="s">
        <v>23</v>
      </c>
      <c r="G2078" s="637" t="s">
        <v>3450</v>
      </c>
      <c r="H2078" s="638" t="s">
        <v>3451</v>
      </c>
      <c r="I2078" s="639" t="s">
        <v>3452</v>
      </c>
      <c r="J2078" s="730">
        <v>45222</v>
      </c>
      <c r="K2078" s="774">
        <v>0.375</v>
      </c>
      <c r="L2078" s="730">
        <v>45222</v>
      </c>
      <c r="M2078" s="774">
        <v>0.79166666666666663</v>
      </c>
      <c r="N2078" s="640">
        <v>8.5</v>
      </c>
      <c r="O2078" s="641" t="s">
        <v>17</v>
      </c>
      <c r="P2078" s="375" t="s">
        <v>3433</v>
      </c>
      <c r="Q2078" s="642" t="s">
        <v>3434</v>
      </c>
      <c r="R2078" s="643" t="s">
        <v>40</v>
      </c>
      <c r="S2078" s="31" t="s">
        <v>273</v>
      </c>
      <c r="T2078" s="31" t="s">
        <v>273</v>
      </c>
      <c r="U2078" s="31">
        <f>IFERROR(VLOOKUP(CONCATENATE(Tabla1[[#This Row],[Severidad]]," ",Tabla1[[#This Row],[Complejidad]]),Catalogos!E$120:G$128,3,FALSE),"")</f>
        <v>64</v>
      </c>
      <c r="V2078" s="31" t="str">
        <f>IF(Tabla1[[#This Row],[Tiempo solución max (hrs)]]&lt;&gt;"",IF(Tabla1[[#This Row],[Tiempo solución max (hrs)]]&gt;=Tabla1[[#This Row],[Tiempo
(Hrs 00/100)]],"cumple","no cumple"),"")</f>
        <v>cumple</v>
      </c>
      <c r="W2078" s="629" t="s">
        <v>3327</v>
      </c>
      <c r="X2078" s="377" t="str">
        <f t="shared" si="194"/>
        <v>SPD</v>
      </c>
      <c r="Y2078" t="str">
        <f>SUBSTITUTE(Tabla1[[#This Row],[Descripción]],CHAR(10),"    I    ")</f>
        <v>Se implementa servicio para Subir archivos para firma multilateral fin firma asociada</v>
      </c>
      <c r="Z2078" s="142">
        <f>VLOOKUP(Tabla1[[#This Row],[Perfil]],Catalogos!$B$75:$D$100,3,FALSE)*Tabla1[[#This Row],[Tiempo
(Hrs 00/100)]]*1.16</f>
        <v>6901.9999999999991</v>
      </c>
      <c r="AA2078" t="s">
        <v>3356</v>
      </c>
    </row>
    <row r="2079" spans="1:27" ht="15" customHeight="1" x14ac:dyDescent="0.3">
      <c r="A2079" s="636" t="s">
        <v>22</v>
      </c>
      <c r="B2079" s="637" t="s">
        <v>23</v>
      </c>
      <c r="C2079" s="637" t="s">
        <v>45</v>
      </c>
      <c r="D2079" s="637"/>
      <c r="E2079" s="637" t="s">
        <v>3874</v>
      </c>
      <c r="F2079" s="637" t="s">
        <v>23</v>
      </c>
      <c r="G2079" s="637" t="s">
        <v>3453</v>
      </c>
      <c r="H2079" s="638" t="s">
        <v>3454</v>
      </c>
      <c r="I2079" s="639" t="s">
        <v>3455</v>
      </c>
      <c r="J2079" s="730">
        <v>45223</v>
      </c>
      <c r="K2079" s="774">
        <v>0.375</v>
      </c>
      <c r="L2079" s="730">
        <v>45223</v>
      </c>
      <c r="M2079" s="774">
        <v>0.79166666666666663</v>
      </c>
      <c r="N2079" s="640">
        <v>8.5</v>
      </c>
      <c r="O2079" s="641" t="s">
        <v>17</v>
      </c>
      <c r="P2079" s="375" t="s">
        <v>3433</v>
      </c>
      <c r="Q2079" s="642" t="s">
        <v>3434</v>
      </c>
      <c r="R2079" s="643" t="s">
        <v>40</v>
      </c>
      <c r="S2079" s="31" t="s">
        <v>273</v>
      </c>
      <c r="T2079" s="31" t="s">
        <v>273</v>
      </c>
      <c r="U2079" s="31">
        <f>IFERROR(VLOOKUP(CONCATENATE(Tabla1[[#This Row],[Severidad]]," ",Tabla1[[#This Row],[Complejidad]]),Catalogos!E$120:G$128,3,FALSE),"")</f>
        <v>64</v>
      </c>
      <c r="V2079" s="31" t="str">
        <f>IF(Tabla1[[#This Row],[Tiempo solución max (hrs)]]&lt;&gt;"",IF(Tabla1[[#This Row],[Tiempo solución max (hrs)]]&gt;=Tabla1[[#This Row],[Tiempo
(Hrs 00/100)]],"cumple","no cumple"),"")</f>
        <v>cumple</v>
      </c>
      <c r="W2079" s="629" t="s">
        <v>3327</v>
      </c>
      <c r="X2079" s="377" t="str">
        <f t="shared" si="194"/>
        <v>SPD</v>
      </c>
      <c r="Y2079" t="str">
        <f>SUBSTITUTE(Tabla1[[#This Row],[Descripción]],CHAR(10),"    I    ")</f>
        <v>Se implementa servicio para Subir archivos para firma</v>
      </c>
      <c r="Z2079" s="142">
        <f>VLOOKUP(Tabla1[[#This Row],[Perfil]],Catalogos!$B$75:$D$100,3,FALSE)*Tabla1[[#This Row],[Tiempo
(Hrs 00/100)]]*1.16</f>
        <v>6901.9999999999991</v>
      </c>
      <c r="AA2079" t="s">
        <v>3356</v>
      </c>
    </row>
    <row r="2080" spans="1:27" ht="15" customHeight="1" x14ac:dyDescent="0.3">
      <c r="A2080" s="636" t="s">
        <v>22</v>
      </c>
      <c r="B2080" s="637" t="s">
        <v>23</v>
      </c>
      <c r="C2080" s="637" t="s">
        <v>45</v>
      </c>
      <c r="D2080" s="637"/>
      <c r="E2080" s="637" t="s">
        <v>3874</v>
      </c>
      <c r="F2080" s="637" t="s">
        <v>23</v>
      </c>
      <c r="G2080" s="637" t="s">
        <v>3456</v>
      </c>
      <c r="H2080" s="638" t="s">
        <v>3448</v>
      </c>
      <c r="I2080" s="639" t="s">
        <v>3457</v>
      </c>
      <c r="J2080" s="730">
        <v>45224</v>
      </c>
      <c r="K2080" s="774">
        <v>0.375</v>
      </c>
      <c r="L2080" s="730">
        <v>45224</v>
      </c>
      <c r="M2080" s="774">
        <v>0.79166666666666663</v>
      </c>
      <c r="N2080" s="640">
        <v>8.5</v>
      </c>
      <c r="O2080" s="641" t="s">
        <v>17</v>
      </c>
      <c r="P2080" s="375" t="s">
        <v>3433</v>
      </c>
      <c r="Q2080" s="642" t="s">
        <v>3434</v>
      </c>
      <c r="R2080" s="643" t="s">
        <v>40</v>
      </c>
      <c r="S2080" s="31" t="s">
        <v>273</v>
      </c>
      <c r="T2080" s="31" t="s">
        <v>273</v>
      </c>
      <c r="U2080" s="31">
        <f>IFERROR(VLOOKUP(CONCATENATE(Tabla1[[#This Row],[Severidad]]," ",Tabla1[[#This Row],[Complejidad]]),Catalogos!E$120:G$128,3,FALSE),"")</f>
        <v>64</v>
      </c>
      <c r="V2080" s="31" t="str">
        <f>IF(Tabla1[[#This Row],[Tiempo solución max (hrs)]]&lt;&gt;"",IF(Tabla1[[#This Row],[Tiempo solución max (hrs)]]&gt;=Tabla1[[#This Row],[Tiempo
(Hrs 00/100)]],"cumple","no cumple"),"")</f>
        <v>cumple</v>
      </c>
      <c r="W2080" s="629" t="s">
        <v>3327</v>
      </c>
      <c r="X2080" s="377" t="str">
        <f t="shared" si="194"/>
        <v>SPD</v>
      </c>
      <c r="Y2080" t="str">
        <f>SUBSTITUTE(Tabla1[[#This Row],[Descripción]],CHAR(10),"    I    ")</f>
        <v>Implementación de servicio para registrar firma electronica pkcs7</v>
      </c>
      <c r="Z2080" s="142">
        <f>VLOOKUP(Tabla1[[#This Row],[Perfil]],Catalogos!$B$75:$D$100,3,FALSE)*Tabla1[[#This Row],[Tiempo
(Hrs 00/100)]]*1.16</f>
        <v>6901.9999999999991</v>
      </c>
      <c r="AA2080" t="s">
        <v>3356</v>
      </c>
    </row>
    <row r="2081" spans="1:27" ht="15" customHeight="1" x14ac:dyDescent="0.3">
      <c r="A2081" s="636" t="s">
        <v>22</v>
      </c>
      <c r="B2081" s="637" t="s">
        <v>23</v>
      </c>
      <c r="C2081" s="637" t="s">
        <v>45</v>
      </c>
      <c r="D2081" s="637"/>
      <c r="E2081" s="637" t="s">
        <v>3874</v>
      </c>
      <c r="F2081" s="637" t="s">
        <v>23</v>
      </c>
      <c r="G2081" s="637" t="s">
        <v>3458</v>
      </c>
      <c r="H2081" s="638" t="s">
        <v>3459</v>
      </c>
      <c r="I2081" s="639" t="s">
        <v>3460</v>
      </c>
      <c r="J2081" s="730">
        <v>45225</v>
      </c>
      <c r="K2081" s="774">
        <v>0.375</v>
      </c>
      <c r="L2081" s="730">
        <v>45225</v>
      </c>
      <c r="M2081" s="774">
        <v>0.79166666666666663</v>
      </c>
      <c r="N2081" s="640">
        <v>8.5</v>
      </c>
      <c r="O2081" s="641" t="s">
        <v>17</v>
      </c>
      <c r="P2081" s="375" t="s">
        <v>3433</v>
      </c>
      <c r="Q2081" s="642" t="s">
        <v>3434</v>
      </c>
      <c r="R2081" s="643" t="s">
        <v>40</v>
      </c>
      <c r="S2081" s="31" t="s">
        <v>273</v>
      </c>
      <c r="T2081" s="31" t="s">
        <v>273</v>
      </c>
      <c r="U2081" s="31">
        <f>IFERROR(VLOOKUP(CONCATENATE(Tabla1[[#This Row],[Severidad]]," ",Tabla1[[#This Row],[Complejidad]]),Catalogos!E$120:G$128,3,FALSE),"")</f>
        <v>64</v>
      </c>
      <c r="V2081" s="31" t="str">
        <f>IF(Tabla1[[#This Row],[Tiempo solución max (hrs)]]&lt;&gt;"",IF(Tabla1[[#This Row],[Tiempo solución max (hrs)]]&gt;=Tabla1[[#This Row],[Tiempo
(Hrs 00/100)]],"cumple","no cumple"),"")</f>
        <v>cumple</v>
      </c>
      <c r="W2081" s="629" t="s">
        <v>3327</v>
      </c>
      <c r="X2081" s="377" t="str">
        <f>IF(C2081&lt;&gt;"",C2081,D2081)</f>
        <v>SPD</v>
      </c>
      <c r="Y2081" t="str">
        <f>SUBSTITUTE(Tabla1[[#This Row],[Descripción]],CHAR(10),"    I    ")</f>
        <v>Implementacion de servicio para descarga hoja de evidencias</v>
      </c>
      <c r="Z2081" s="142">
        <f>VLOOKUP(Tabla1[[#This Row],[Perfil]],Catalogos!$B$75:$D$100,3,FALSE)*Tabla1[[#This Row],[Tiempo
(Hrs 00/100)]]*1.16</f>
        <v>6901.9999999999991</v>
      </c>
      <c r="AA2081" t="s">
        <v>3356</v>
      </c>
    </row>
    <row r="2082" spans="1:27" ht="15" customHeight="1" x14ac:dyDescent="0.3">
      <c r="A2082" s="636" t="s">
        <v>22</v>
      </c>
      <c r="B2082" s="637" t="s">
        <v>23</v>
      </c>
      <c r="C2082" s="637" t="s">
        <v>45</v>
      </c>
      <c r="D2082" s="637"/>
      <c r="E2082" s="637" t="s">
        <v>3874</v>
      </c>
      <c r="F2082" s="637" t="s">
        <v>23</v>
      </c>
      <c r="G2082" s="637" t="s">
        <v>3461</v>
      </c>
      <c r="H2082" s="638" t="s">
        <v>3462</v>
      </c>
      <c r="I2082" s="639" t="s">
        <v>3463</v>
      </c>
      <c r="J2082" s="730">
        <v>45226</v>
      </c>
      <c r="K2082" s="774">
        <v>0.375</v>
      </c>
      <c r="L2082" s="730">
        <v>45226</v>
      </c>
      <c r="M2082" s="774">
        <v>0.625</v>
      </c>
      <c r="N2082" s="640">
        <v>6</v>
      </c>
      <c r="O2082" s="641" t="s">
        <v>17</v>
      </c>
      <c r="P2082" s="375" t="s">
        <v>3433</v>
      </c>
      <c r="Q2082" s="642" t="s">
        <v>3434</v>
      </c>
      <c r="R2082" s="643" t="s">
        <v>40</v>
      </c>
      <c r="S2082" s="31" t="s">
        <v>273</v>
      </c>
      <c r="T2082" s="31" t="s">
        <v>273</v>
      </c>
      <c r="U2082" s="31">
        <f>IFERROR(VLOOKUP(CONCATENATE(Tabla1[[#This Row],[Severidad]]," ",Tabla1[[#This Row],[Complejidad]]),Catalogos!E$120:G$128,3,FALSE),"")</f>
        <v>64</v>
      </c>
      <c r="V2082" s="31" t="str">
        <f>IF(Tabla1[[#This Row],[Tiempo solución max (hrs)]]&lt;&gt;"",IF(Tabla1[[#This Row],[Tiempo solución max (hrs)]]&gt;=Tabla1[[#This Row],[Tiempo
(Hrs 00/100)]],"cumple","no cumple"),"")</f>
        <v>cumple</v>
      </c>
      <c r="W2082" s="629" t="s">
        <v>3327</v>
      </c>
      <c r="X2082" s="377" t="str">
        <f>IF(C2082&lt;&gt;"",C2082,D2082)</f>
        <v>SPD</v>
      </c>
      <c r="Y2082" t="str">
        <f>SUBSTITUTE(Tabla1[[#This Row],[Descripción]],CHAR(10),"    I    ")</f>
        <v>Implementacion de servicio para descarga documento firmado</v>
      </c>
      <c r="Z2082" s="142">
        <f>VLOOKUP(Tabla1[[#This Row],[Perfil]],Catalogos!$B$75:$D$100,3,FALSE)*Tabla1[[#This Row],[Tiempo
(Hrs 00/100)]]*1.16</f>
        <v>4872</v>
      </c>
      <c r="AA2082" t="s">
        <v>3356</v>
      </c>
    </row>
    <row r="2083" spans="1:27" ht="15" customHeight="1" x14ac:dyDescent="0.3">
      <c r="A2083" s="636" t="s">
        <v>22</v>
      </c>
      <c r="B2083" s="637" t="s">
        <v>23</v>
      </c>
      <c r="C2083" s="637" t="s">
        <v>45</v>
      </c>
      <c r="D2083" s="637"/>
      <c r="E2083" s="637" t="s">
        <v>3874</v>
      </c>
      <c r="F2083" s="637" t="s">
        <v>23</v>
      </c>
      <c r="G2083" s="637" t="s">
        <v>3464</v>
      </c>
      <c r="H2083" s="638" t="s">
        <v>3465</v>
      </c>
      <c r="I2083" s="639" t="s">
        <v>3466</v>
      </c>
      <c r="J2083" s="730">
        <v>45229</v>
      </c>
      <c r="K2083" s="774">
        <v>0.375</v>
      </c>
      <c r="L2083" s="730">
        <v>45229</v>
      </c>
      <c r="M2083" s="774">
        <v>0.79166666666666663</v>
      </c>
      <c r="N2083" s="640">
        <v>8.5</v>
      </c>
      <c r="O2083" s="641" t="s">
        <v>17</v>
      </c>
      <c r="P2083" s="375" t="s">
        <v>3433</v>
      </c>
      <c r="Q2083" s="642" t="s">
        <v>3434</v>
      </c>
      <c r="R2083" s="643" t="s">
        <v>40</v>
      </c>
      <c r="S2083" s="31" t="s">
        <v>273</v>
      </c>
      <c r="T2083" s="31" t="s">
        <v>273</v>
      </c>
      <c r="U2083" s="31">
        <f>IFERROR(VLOOKUP(CONCATENATE(Tabla1[[#This Row],[Severidad]]," ",Tabla1[[#This Row],[Complejidad]]),Catalogos!E$120:G$128,3,FALSE),"")</f>
        <v>64</v>
      </c>
      <c r="V2083" s="31" t="str">
        <f>IF(Tabla1[[#This Row],[Tiempo solución max (hrs)]]&lt;&gt;"",IF(Tabla1[[#This Row],[Tiempo solución max (hrs)]]&gt;=Tabla1[[#This Row],[Tiempo
(Hrs 00/100)]],"cumple","no cumple"),"")</f>
        <v>cumple</v>
      </c>
      <c r="W2083" s="629" t="s">
        <v>3327</v>
      </c>
      <c r="X2083" s="377" t="str">
        <f t="shared" si="194"/>
        <v>SPD</v>
      </c>
      <c r="Y2083" t="str">
        <f>SUBSTITUTE(Tabla1[[#This Row],[Descripción]],CHAR(10),"    I    ")</f>
        <v>Implementacion de servicio para descarga bloque firmado</v>
      </c>
      <c r="Z2083" s="142">
        <f>VLOOKUP(Tabla1[[#This Row],[Perfil]],Catalogos!$B$75:$D$100,3,FALSE)*Tabla1[[#This Row],[Tiempo
(Hrs 00/100)]]*1.16</f>
        <v>6901.9999999999991</v>
      </c>
      <c r="AA2083" t="s">
        <v>3356</v>
      </c>
    </row>
    <row r="2084" spans="1:27" ht="15" customHeight="1" x14ac:dyDescent="0.3">
      <c r="A2084" s="636" t="s">
        <v>22</v>
      </c>
      <c r="B2084" s="637" t="s">
        <v>23</v>
      </c>
      <c r="C2084" s="637" t="s">
        <v>45</v>
      </c>
      <c r="D2084" s="637"/>
      <c r="E2084" s="637" t="s">
        <v>3874</v>
      </c>
      <c r="F2084" s="637" t="s">
        <v>23</v>
      </c>
      <c r="G2084" s="637" t="s">
        <v>3467</v>
      </c>
      <c r="H2084" s="638" t="s">
        <v>3468</v>
      </c>
      <c r="I2084" s="639" t="s">
        <v>3469</v>
      </c>
      <c r="J2084" s="730">
        <v>45230</v>
      </c>
      <c r="K2084" s="774">
        <v>0.375</v>
      </c>
      <c r="L2084" s="730">
        <v>45230</v>
      </c>
      <c r="M2084" s="774">
        <v>0.79166666666666663</v>
      </c>
      <c r="N2084" s="640">
        <v>8.5</v>
      </c>
      <c r="O2084" s="641" t="s">
        <v>17</v>
      </c>
      <c r="P2084" s="375" t="s">
        <v>3433</v>
      </c>
      <c r="Q2084" s="642" t="s">
        <v>3434</v>
      </c>
      <c r="R2084" s="643" t="s">
        <v>40</v>
      </c>
      <c r="S2084" s="31" t="s">
        <v>273</v>
      </c>
      <c r="T2084" s="31" t="s">
        <v>273</v>
      </c>
      <c r="U2084" s="31">
        <f>IFERROR(VLOOKUP(CONCATENATE(Tabla1[[#This Row],[Severidad]]," ",Tabla1[[#This Row],[Complejidad]]),Catalogos!E$120:G$128,3,FALSE),"")</f>
        <v>64</v>
      </c>
      <c r="V2084" s="31" t="str">
        <f>IF(Tabla1[[#This Row],[Tiempo solución max (hrs)]]&lt;&gt;"",IF(Tabla1[[#This Row],[Tiempo solución max (hrs)]]&gt;=Tabla1[[#This Row],[Tiempo
(Hrs 00/100)]],"cumple","no cumple"),"")</f>
        <v>cumple</v>
      </c>
      <c r="W2084" s="629" t="s">
        <v>3327</v>
      </c>
      <c r="X2084" s="377" t="str">
        <f t="shared" si="194"/>
        <v>SPD</v>
      </c>
      <c r="Y2084" t="str">
        <f>SUBSTITUTE(Tabla1[[#This Row],[Descripción]],CHAR(10),"    I    ")</f>
        <v>Implementación de servicio para cancelar documentos</v>
      </c>
      <c r="Z2084" s="142">
        <f>VLOOKUP(Tabla1[[#This Row],[Perfil]],Catalogos!$B$75:$D$100,3,FALSE)*Tabla1[[#This Row],[Tiempo
(Hrs 00/100)]]*1.16</f>
        <v>6901.9999999999991</v>
      </c>
      <c r="AA2084" t="s">
        <v>3356</v>
      </c>
    </row>
    <row r="2085" spans="1:27" ht="15" customHeight="1" x14ac:dyDescent="0.3">
      <c r="A2085" s="644" t="s">
        <v>22</v>
      </c>
      <c r="B2085" s="637" t="s">
        <v>305</v>
      </c>
      <c r="C2085" s="637" t="s">
        <v>257</v>
      </c>
      <c r="D2085" s="637"/>
      <c r="E2085" s="637" t="s">
        <v>408</v>
      </c>
      <c r="F2085" s="637" t="s">
        <v>72</v>
      </c>
      <c r="G2085" s="637" t="s">
        <v>3875</v>
      </c>
      <c r="H2085" s="638" t="s">
        <v>3470</v>
      </c>
      <c r="I2085" s="645" t="s">
        <v>3471</v>
      </c>
      <c r="J2085" s="731">
        <v>45201</v>
      </c>
      <c r="K2085" s="774">
        <v>0.375</v>
      </c>
      <c r="L2085" s="731">
        <v>45201</v>
      </c>
      <c r="M2085" s="774">
        <v>0.5</v>
      </c>
      <c r="N2085" s="637">
        <v>3</v>
      </c>
      <c r="O2085" s="641" t="s">
        <v>17</v>
      </c>
      <c r="P2085" s="375" t="s">
        <v>2916</v>
      </c>
      <c r="Q2085" s="642" t="s">
        <v>1441</v>
      </c>
      <c r="R2085" s="31" t="s">
        <v>95</v>
      </c>
      <c r="S2085" s="31" t="s">
        <v>273</v>
      </c>
      <c r="T2085" s="31" t="s">
        <v>273</v>
      </c>
      <c r="U2085" s="31">
        <f>IFERROR(VLOOKUP(CONCATENATE(Tabla1[[#This Row],[Severidad]]," ",Tabla1[[#This Row],[Complejidad]]),Catalogos!E$120:G$128,3,FALSE),"")</f>
        <v>64</v>
      </c>
      <c r="V2085" s="31" t="str">
        <f>IF(Tabla1[[#This Row],[Tiempo solución max (hrs)]]&lt;&gt;"",IF(Tabla1[[#This Row],[Tiempo solución max (hrs)]]&gt;=Tabla1[[#This Row],[Tiempo
(Hrs 00/100)]],"cumple","no cumple"),"")</f>
        <v>cumple</v>
      </c>
      <c r="W2085" s="629" t="s">
        <v>3327</v>
      </c>
      <c r="X2085" s="377" t="str">
        <f t="shared" si="194"/>
        <v>SSI</v>
      </c>
      <c r="Y2085" t="str">
        <f>SUBSTITUTE(Tabla1[[#This Row],[Descripción]],CHAR(10),"    I    ")</f>
        <v>Se pulierón todos los procedimientos del documento IEDEPNI</v>
      </c>
      <c r="Z2085" s="142">
        <f>VLOOKUP(Tabla1[[#This Row],[Perfil]],Catalogos!$B$75:$D$100,3,FALSE)*Tabla1[[#This Row],[Tiempo
(Hrs 00/100)]]*1.16</f>
        <v>2088</v>
      </c>
    </row>
    <row r="2086" spans="1:27" ht="15" customHeight="1" x14ac:dyDescent="0.3">
      <c r="A2086" s="636" t="s">
        <v>22</v>
      </c>
      <c r="B2086" s="637" t="s">
        <v>305</v>
      </c>
      <c r="C2086" s="637" t="s">
        <v>257</v>
      </c>
      <c r="D2086" s="637"/>
      <c r="E2086" s="637" t="s">
        <v>408</v>
      </c>
      <c r="F2086" s="637" t="s">
        <v>72</v>
      </c>
      <c r="G2086" s="637" t="s">
        <v>3876</v>
      </c>
      <c r="H2086" s="638" t="s">
        <v>3472</v>
      </c>
      <c r="I2086" s="645" t="s">
        <v>3473</v>
      </c>
      <c r="J2086" s="731">
        <v>45201</v>
      </c>
      <c r="K2086" s="774">
        <v>0.5</v>
      </c>
      <c r="L2086" s="731">
        <v>45201</v>
      </c>
      <c r="M2086" s="774">
        <v>0.5625</v>
      </c>
      <c r="N2086" s="637">
        <v>1.5</v>
      </c>
      <c r="O2086" s="641" t="s">
        <v>17</v>
      </c>
      <c r="P2086" s="375" t="s">
        <v>2909</v>
      </c>
      <c r="Q2086" s="642" t="s">
        <v>1441</v>
      </c>
      <c r="R2086" s="31" t="s">
        <v>95</v>
      </c>
      <c r="S2086" s="31" t="s">
        <v>273</v>
      </c>
      <c r="T2086" s="31" t="s">
        <v>273</v>
      </c>
      <c r="U2086" s="31">
        <f>IFERROR(VLOOKUP(CONCATENATE(Tabla1[[#This Row],[Severidad]]," ",Tabla1[[#This Row],[Complejidad]]),Catalogos!E$120:G$128,3,FALSE),"")</f>
        <v>64</v>
      </c>
      <c r="V2086" s="31" t="str">
        <f>IF(Tabla1[[#This Row],[Tiempo solución max (hrs)]]&lt;&gt;"",IF(Tabla1[[#This Row],[Tiempo solución max (hrs)]]&gt;=Tabla1[[#This Row],[Tiempo
(Hrs 00/100)]],"cumple","no cumple"),"")</f>
        <v>cumple</v>
      </c>
      <c r="W2086" s="629" t="s">
        <v>3327</v>
      </c>
      <c r="X2086" s="377" t="str">
        <f t="shared" si="194"/>
        <v>SSI</v>
      </c>
      <c r="Y2086" t="str">
        <f>SUBSTITUTE(Tabla1[[#This Row],[Descripción]],CHAR(10),"    I    ")</f>
        <v>Se revisó de nuevo el Query #1 del archivo IEDEPNI para la Funcionalidad 1 'TOTAL DE SOLICITUDES DE INFORMACIÓN' para aplicar posibles mejoras</v>
      </c>
      <c r="Z2086" s="142">
        <f>VLOOKUP(Tabla1[[#This Row],[Perfil]],Catalogos!$B$75:$D$100,3,FALSE)*Tabla1[[#This Row],[Tiempo
(Hrs 00/100)]]*1.16</f>
        <v>1044</v>
      </c>
    </row>
    <row r="2087" spans="1:27" ht="15" customHeight="1" x14ac:dyDescent="0.3">
      <c r="A2087" s="646" t="s">
        <v>22</v>
      </c>
      <c r="B2087" s="637" t="s">
        <v>305</v>
      </c>
      <c r="C2087" s="637" t="s">
        <v>257</v>
      </c>
      <c r="D2087" s="637"/>
      <c r="E2087" s="637" t="s">
        <v>408</v>
      </c>
      <c r="F2087" s="637" t="s">
        <v>72</v>
      </c>
      <c r="G2087" s="637" t="s">
        <v>3877</v>
      </c>
      <c r="H2087" s="638" t="s">
        <v>3474</v>
      </c>
      <c r="I2087" s="645" t="s">
        <v>3475</v>
      </c>
      <c r="J2087" s="731">
        <v>45201</v>
      </c>
      <c r="K2087" s="774">
        <v>0.60416666666666663</v>
      </c>
      <c r="L2087" s="731">
        <v>45201</v>
      </c>
      <c r="M2087" s="774">
        <v>0.66666666666666663</v>
      </c>
      <c r="N2087" s="637">
        <v>1.5</v>
      </c>
      <c r="O2087" s="641" t="s">
        <v>17</v>
      </c>
      <c r="P2087" s="375" t="s">
        <v>2909</v>
      </c>
      <c r="Q2087" s="642" t="s">
        <v>1441</v>
      </c>
      <c r="R2087" s="31" t="s">
        <v>95</v>
      </c>
      <c r="S2087" s="31" t="s">
        <v>273</v>
      </c>
      <c r="T2087" s="31" t="s">
        <v>273</v>
      </c>
      <c r="U2087" s="31">
        <f>IFERROR(VLOOKUP(CONCATENATE(Tabla1[[#This Row],[Severidad]]," ",Tabla1[[#This Row],[Complejidad]]),Catalogos!E$120:G$128,3,FALSE),"")</f>
        <v>64</v>
      </c>
      <c r="V2087" s="31" t="str">
        <f>IF(Tabla1[[#This Row],[Tiempo solución max (hrs)]]&lt;&gt;"",IF(Tabla1[[#This Row],[Tiempo solución max (hrs)]]&gt;=Tabla1[[#This Row],[Tiempo
(Hrs 00/100)]],"cumple","no cumple"),"")</f>
        <v>cumple</v>
      </c>
      <c r="W2087" s="629" t="s">
        <v>3327</v>
      </c>
      <c r="X2087" s="377" t="str">
        <f t="shared" si="194"/>
        <v>SSI</v>
      </c>
      <c r="Y2087" t="str">
        <f>SUBSTITUTE(Tabla1[[#This Row],[Descripción]],CHAR(10),"    I    ")</f>
        <v>Se revalidó el procedimiento 'FUNC1_TOTSOLDEINFOQ1' del paquete 'PACK_SISAI3' para afinar detalles finales</v>
      </c>
      <c r="Z2087" s="142">
        <f>VLOOKUP(Tabla1[[#This Row],[Perfil]],Catalogos!$B$75:$D$100,3,FALSE)*Tabla1[[#This Row],[Tiempo
(Hrs 00/100)]]*1.16</f>
        <v>1044</v>
      </c>
    </row>
    <row r="2088" spans="1:27" ht="15" customHeight="1" x14ac:dyDescent="0.3">
      <c r="A2088" s="637" t="s">
        <v>22</v>
      </c>
      <c r="B2088" s="637" t="s">
        <v>305</v>
      </c>
      <c r="C2088" s="637" t="s">
        <v>257</v>
      </c>
      <c r="D2088" s="637"/>
      <c r="E2088" s="637" t="s">
        <v>408</v>
      </c>
      <c r="F2088" s="637" t="s">
        <v>72</v>
      </c>
      <c r="G2088" s="637" t="s">
        <v>3878</v>
      </c>
      <c r="H2088" s="638" t="s">
        <v>3476</v>
      </c>
      <c r="I2088" s="645" t="s">
        <v>3477</v>
      </c>
      <c r="J2088" s="731">
        <v>45201</v>
      </c>
      <c r="K2088" s="774">
        <v>0.66666666666666663</v>
      </c>
      <c r="L2088" s="731">
        <v>45201</v>
      </c>
      <c r="M2088" s="774">
        <v>0.77083333333333337</v>
      </c>
      <c r="N2088" s="637">
        <v>1.5</v>
      </c>
      <c r="O2088" s="641" t="s">
        <v>17</v>
      </c>
      <c r="P2088" s="375" t="s">
        <v>2909</v>
      </c>
      <c r="Q2088" s="642" t="s">
        <v>1441</v>
      </c>
      <c r="R2088" s="31" t="s">
        <v>95</v>
      </c>
      <c r="S2088" s="31" t="s">
        <v>273</v>
      </c>
      <c r="T2088" s="31" t="s">
        <v>273</v>
      </c>
      <c r="U2088" s="31">
        <f>IFERROR(VLOOKUP(CONCATENATE(Tabla1[[#This Row],[Severidad]]," ",Tabla1[[#This Row],[Complejidad]]),Catalogos!E$120:G$128,3,FALSE),"")</f>
        <v>64</v>
      </c>
      <c r="V2088" s="31" t="str">
        <f>IF(Tabla1[[#This Row],[Tiempo solución max (hrs)]]&lt;&gt;"",IF(Tabla1[[#This Row],[Tiempo solución max (hrs)]]&gt;=Tabla1[[#This Row],[Tiempo
(Hrs 00/100)]],"cumple","no cumple"),"")</f>
        <v>cumple</v>
      </c>
      <c r="W2088" s="629" t="s">
        <v>3327</v>
      </c>
      <c r="X2088" s="377" t="str">
        <f t="shared" si="194"/>
        <v>SSI</v>
      </c>
      <c r="Y2088" t="str">
        <f>SUBSTITUTE(Tabla1[[#This Row],[Descripción]],CHAR(10),"    I    ")</f>
        <v>Se revisó de nuevo el Query #1 del archivo IEDEPNI para la Funcionalidad 2 'TOTAL DE RECURSOS DE REVISIÓN INGRESADOS - Recursos de HCOM E INFOMEX' para aplicar posibles mejoras</v>
      </c>
      <c r="Z2088" s="142">
        <f>VLOOKUP(Tabla1[[#This Row],[Perfil]],Catalogos!$B$75:$D$100,3,FALSE)*Tabla1[[#This Row],[Tiempo
(Hrs 00/100)]]*1.16</f>
        <v>1044</v>
      </c>
    </row>
    <row r="2089" spans="1:27" ht="15" customHeight="1" x14ac:dyDescent="0.3">
      <c r="A2089" s="637" t="s">
        <v>22</v>
      </c>
      <c r="B2089" s="637" t="s">
        <v>305</v>
      </c>
      <c r="C2089" s="637" t="s">
        <v>257</v>
      </c>
      <c r="D2089" s="637"/>
      <c r="E2089" s="637" t="s">
        <v>408</v>
      </c>
      <c r="F2089" s="637" t="s">
        <v>72</v>
      </c>
      <c r="G2089" s="637" t="s">
        <v>3879</v>
      </c>
      <c r="H2089" s="638" t="s">
        <v>3478</v>
      </c>
      <c r="I2089" s="645" t="s">
        <v>3479</v>
      </c>
      <c r="J2089" s="731">
        <v>45201</v>
      </c>
      <c r="K2089" s="774">
        <v>0.77083333333333337</v>
      </c>
      <c r="L2089" s="731">
        <v>45201</v>
      </c>
      <c r="M2089" s="774">
        <v>0.83333333333333337</v>
      </c>
      <c r="N2089" s="637">
        <v>1.5</v>
      </c>
      <c r="O2089" s="641" t="s">
        <v>17</v>
      </c>
      <c r="P2089" s="375" t="s">
        <v>2909</v>
      </c>
      <c r="Q2089" s="642" t="s">
        <v>1441</v>
      </c>
      <c r="R2089" s="31" t="s">
        <v>95</v>
      </c>
      <c r="S2089" s="31" t="s">
        <v>273</v>
      </c>
      <c r="T2089" s="31" t="s">
        <v>273</v>
      </c>
      <c r="U2089" s="31">
        <f>IFERROR(VLOOKUP(CONCATENATE(Tabla1[[#This Row],[Severidad]]," ",Tabla1[[#This Row],[Complejidad]]),Catalogos!E$120:G$128,3,FALSE),"")</f>
        <v>64</v>
      </c>
      <c r="V2089" s="31" t="str">
        <f>IF(Tabla1[[#This Row],[Tiempo solución max (hrs)]]&lt;&gt;"",IF(Tabla1[[#This Row],[Tiempo solución max (hrs)]]&gt;=Tabla1[[#This Row],[Tiempo
(Hrs 00/100)]],"cumple","no cumple"),"")</f>
        <v>cumple</v>
      </c>
      <c r="W2089" s="629" t="s">
        <v>3327</v>
      </c>
      <c r="X2089" s="377" t="str">
        <f t="shared" si="194"/>
        <v>SSI</v>
      </c>
      <c r="Y2089" t="str">
        <f>SUBSTITUTE(Tabla1[[#This Row],[Descripción]],CHAR(10),"    I    ")</f>
        <v>Se revalidó el procedimiento 'FUNC2_TOTRRIHCOMEINFOMEXQ1' en el paquete 'PACK_SISAI3' para afinar detalles finales</v>
      </c>
      <c r="Z2089" s="142">
        <f>VLOOKUP(Tabla1[[#This Row],[Perfil]],Catalogos!$B$75:$D$100,3,FALSE)*Tabla1[[#This Row],[Tiempo
(Hrs 00/100)]]*1.16</f>
        <v>1044</v>
      </c>
    </row>
    <row r="2090" spans="1:27" ht="15" customHeight="1" x14ac:dyDescent="0.3">
      <c r="A2090" s="637" t="s">
        <v>22</v>
      </c>
      <c r="B2090" s="637" t="s">
        <v>305</v>
      </c>
      <c r="C2090" s="637" t="s">
        <v>257</v>
      </c>
      <c r="D2090" s="637"/>
      <c r="E2090" s="637" t="s">
        <v>408</v>
      </c>
      <c r="F2090" s="637" t="s">
        <v>72</v>
      </c>
      <c r="G2090" s="637" t="s">
        <v>3880</v>
      </c>
      <c r="H2090" s="638" t="s">
        <v>3480</v>
      </c>
      <c r="I2090" s="645" t="s">
        <v>3481</v>
      </c>
      <c r="J2090" s="731">
        <v>45202</v>
      </c>
      <c r="K2090" s="774">
        <v>0.33333333333333331</v>
      </c>
      <c r="L2090" s="731">
        <v>45202</v>
      </c>
      <c r="M2090" s="774">
        <v>0.41666666666666669</v>
      </c>
      <c r="N2090" s="637">
        <v>2</v>
      </c>
      <c r="O2090" s="641" t="s">
        <v>17</v>
      </c>
      <c r="P2090" s="375" t="s">
        <v>2909</v>
      </c>
      <c r="Q2090" s="642" t="s">
        <v>1441</v>
      </c>
      <c r="R2090" s="31" t="s">
        <v>95</v>
      </c>
      <c r="S2090" s="31" t="s">
        <v>273</v>
      </c>
      <c r="T2090" s="31" t="s">
        <v>273</v>
      </c>
      <c r="U2090" s="31">
        <f>IFERROR(VLOOKUP(CONCATENATE(Tabla1[[#This Row],[Severidad]]," ",Tabla1[[#This Row],[Complejidad]]),Catalogos!E$120:G$128,3,FALSE),"")</f>
        <v>64</v>
      </c>
      <c r="V2090" s="31" t="str">
        <f>IF(Tabla1[[#This Row],[Tiempo solución max (hrs)]]&lt;&gt;"",IF(Tabla1[[#This Row],[Tiempo solución max (hrs)]]&gt;=Tabla1[[#This Row],[Tiempo
(Hrs 00/100)]],"cumple","no cumple"),"")</f>
        <v>cumple</v>
      </c>
      <c r="W2090" s="629" t="s">
        <v>3327</v>
      </c>
      <c r="X2090" s="377" t="str">
        <f t="shared" si="194"/>
        <v>SSI</v>
      </c>
      <c r="Y2090" t="str">
        <f>SUBSTITUTE(Tabla1[[#This Row],[Descripción]],CHAR(10),"    I    ")</f>
        <v>Se revisó de nuevo el Query #2 del archivo IEDEPNI para la Funcionalidad 2 'TOTAL DE RECURSOS DE REVISIÓN INGRESADOS - Obtiene los recursos de revisión interpuestos' para aplicar posibles mejoras</v>
      </c>
      <c r="Z2090" s="142">
        <f>VLOOKUP(Tabla1[[#This Row],[Perfil]],Catalogos!$B$75:$D$100,3,FALSE)*Tabla1[[#This Row],[Tiempo
(Hrs 00/100)]]*1.16</f>
        <v>1392</v>
      </c>
    </row>
    <row r="2091" spans="1:27" ht="15" customHeight="1" x14ac:dyDescent="0.3">
      <c r="A2091" s="637" t="s">
        <v>22</v>
      </c>
      <c r="B2091" s="637" t="s">
        <v>305</v>
      </c>
      <c r="C2091" s="637" t="s">
        <v>257</v>
      </c>
      <c r="D2091" s="637"/>
      <c r="E2091" s="637" t="s">
        <v>408</v>
      </c>
      <c r="F2091" s="637" t="s">
        <v>72</v>
      </c>
      <c r="G2091" s="637" t="s">
        <v>3881</v>
      </c>
      <c r="H2091" s="638" t="s">
        <v>3482</v>
      </c>
      <c r="I2091" s="645" t="s">
        <v>3483</v>
      </c>
      <c r="J2091" s="731">
        <v>45202</v>
      </c>
      <c r="K2091" s="774">
        <v>0.41666666666666669</v>
      </c>
      <c r="L2091" s="731">
        <v>45202</v>
      </c>
      <c r="M2091" s="774">
        <v>0.47916666666666669</v>
      </c>
      <c r="N2091" s="637">
        <v>1.5</v>
      </c>
      <c r="O2091" s="641" t="s">
        <v>17</v>
      </c>
      <c r="P2091" s="375" t="s">
        <v>2909</v>
      </c>
      <c r="Q2091" s="642" t="s">
        <v>1441</v>
      </c>
      <c r="R2091" s="31" t="s">
        <v>95</v>
      </c>
      <c r="S2091" s="31" t="s">
        <v>273</v>
      </c>
      <c r="T2091" s="31" t="s">
        <v>273</v>
      </c>
      <c r="U2091" s="31">
        <f>IFERROR(VLOOKUP(CONCATENATE(Tabla1[[#This Row],[Severidad]]," ",Tabla1[[#This Row],[Complejidad]]),Catalogos!E$120:G$128,3,FALSE),"")</f>
        <v>64</v>
      </c>
      <c r="V2091" s="31" t="str">
        <f>IF(Tabla1[[#This Row],[Tiempo solución max (hrs)]]&lt;&gt;"",IF(Tabla1[[#This Row],[Tiempo solución max (hrs)]]&gt;=Tabla1[[#This Row],[Tiempo
(Hrs 00/100)]],"cumple","no cumple"),"")</f>
        <v>cumple</v>
      </c>
      <c r="W2091" s="629" t="s">
        <v>3327</v>
      </c>
      <c r="X2091" s="377" t="str">
        <f t="shared" si="194"/>
        <v>SSI</v>
      </c>
      <c r="Y2091" t="str">
        <f>SUBSTITUTE(Tabla1[[#This Row],[Descripción]],CHAR(10),"    I    ")</f>
        <v>Se revalidó el procedimiento 'FUNC2_TOTRRIOBTRECREVINTERPUQ2' en el paquete 'PACK_SISAI3' para afinar detalles finales</v>
      </c>
      <c r="Z2091" s="142">
        <f>VLOOKUP(Tabla1[[#This Row],[Perfil]],Catalogos!$B$75:$D$100,3,FALSE)*Tabla1[[#This Row],[Tiempo
(Hrs 00/100)]]*1.16</f>
        <v>1044</v>
      </c>
    </row>
    <row r="2092" spans="1:27" ht="15" customHeight="1" x14ac:dyDescent="0.3">
      <c r="A2092" s="637" t="s">
        <v>22</v>
      </c>
      <c r="B2092" s="637" t="s">
        <v>305</v>
      </c>
      <c r="C2092" s="637" t="s">
        <v>257</v>
      </c>
      <c r="D2092" s="637"/>
      <c r="E2092" s="637" t="s">
        <v>408</v>
      </c>
      <c r="F2092" s="637" t="s">
        <v>72</v>
      </c>
      <c r="G2092" s="637" t="s">
        <v>3882</v>
      </c>
      <c r="H2092" s="638" t="s">
        <v>3484</v>
      </c>
      <c r="I2092" s="645" t="s">
        <v>3485</v>
      </c>
      <c r="J2092" s="731">
        <v>45202</v>
      </c>
      <c r="K2092" s="774">
        <v>0.47916666666666669</v>
      </c>
      <c r="L2092" s="731">
        <v>45202</v>
      </c>
      <c r="M2092" s="774">
        <v>0.5625</v>
      </c>
      <c r="N2092" s="637">
        <v>2</v>
      </c>
      <c r="O2092" s="641" t="s">
        <v>17</v>
      </c>
      <c r="P2092" s="375" t="s">
        <v>2909</v>
      </c>
      <c r="Q2092" s="642" t="s">
        <v>1441</v>
      </c>
      <c r="R2092" s="31" t="s">
        <v>95</v>
      </c>
      <c r="S2092" s="31" t="s">
        <v>273</v>
      </c>
      <c r="T2092" s="31" t="s">
        <v>273</v>
      </c>
      <c r="U2092" s="31">
        <f>IFERROR(VLOOKUP(CONCATENATE(Tabla1[[#This Row],[Severidad]]," ",Tabla1[[#This Row],[Complejidad]]),Catalogos!E$120:G$128,3,FALSE),"")</f>
        <v>64</v>
      </c>
      <c r="V2092" s="31" t="str">
        <f>IF(Tabla1[[#This Row],[Tiempo solución max (hrs)]]&lt;&gt;"",IF(Tabla1[[#This Row],[Tiempo solución max (hrs)]]&gt;=Tabla1[[#This Row],[Tiempo
(Hrs 00/100)]],"cumple","no cumple"),"")</f>
        <v>cumple</v>
      </c>
      <c r="W2092" s="629" t="s">
        <v>3327</v>
      </c>
      <c r="X2092" s="377" t="str">
        <f t="shared" si="194"/>
        <v>SSI</v>
      </c>
      <c r="Y2092" t="str">
        <f>SUBSTITUTE(Tabla1[[#This Row],[Descripción]],CHAR(10),"    I    ")</f>
        <v>Se revisó de nuevo el Query #3 del archivo IEDEPNI para la Funcionalidad 2 'TOTAL DE RECURSOS DE REVISIÓN INGRESADOS - Obtiene los recursos de revisión gestionados fuera' para aplicar posibles mejoras</v>
      </c>
      <c r="Z2092" s="142">
        <f>VLOOKUP(Tabla1[[#This Row],[Perfil]],Catalogos!$B$75:$D$100,3,FALSE)*Tabla1[[#This Row],[Tiempo
(Hrs 00/100)]]*1.16</f>
        <v>1392</v>
      </c>
    </row>
    <row r="2093" spans="1:27" ht="15" customHeight="1" x14ac:dyDescent="0.3">
      <c r="A2093" s="637" t="s">
        <v>22</v>
      </c>
      <c r="B2093" s="637" t="s">
        <v>305</v>
      </c>
      <c r="C2093" s="637" t="s">
        <v>257</v>
      </c>
      <c r="D2093" s="637"/>
      <c r="E2093" s="637" t="s">
        <v>408</v>
      </c>
      <c r="F2093" s="637" t="s">
        <v>72</v>
      </c>
      <c r="G2093" s="637" t="s">
        <v>3883</v>
      </c>
      <c r="H2093" s="638" t="s">
        <v>3486</v>
      </c>
      <c r="I2093" s="645" t="s">
        <v>3487</v>
      </c>
      <c r="J2093" s="731">
        <v>45202</v>
      </c>
      <c r="K2093" s="774">
        <v>0.60416666666666663</v>
      </c>
      <c r="L2093" s="731">
        <v>45202</v>
      </c>
      <c r="M2093" s="774">
        <v>0.66666666666666663</v>
      </c>
      <c r="N2093" s="637">
        <v>1.5</v>
      </c>
      <c r="O2093" s="641" t="s">
        <v>17</v>
      </c>
      <c r="P2093" s="375" t="s">
        <v>2909</v>
      </c>
      <c r="Q2093" s="642" t="s">
        <v>1441</v>
      </c>
      <c r="R2093" s="31" t="s">
        <v>95</v>
      </c>
      <c r="S2093" s="31" t="s">
        <v>273</v>
      </c>
      <c r="T2093" s="31" t="s">
        <v>273</v>
      </c>
      <c r="U2093" s="31">
        <f>IFERROR(VLOOKUP(CONCATENATE(Tabla1[[#This Row],[Severidad]]," ",Tabla1[[#This Row],[Complejidad]]),Catalogos!E$120:G$128,3,FALSE),"")</f>
        <v>64</v>
      </c>
      <c r="V2093" s="31" t="str">
        <f>IF(Tabla1[[#This Row],[Tiempo solución max (hrs)]]&lt;&gt;"",IF(Tabla1[[#This Row],[Tiempo solución max (hrs)]]&gt;=Tabla1[[#This Row],[Tiempo
(Hrs 00/100)]],"cumple","no cumple"),"")</f>
        <v>cumple</v>
      </c>
      <c r="W2093" s="629" t="s">
        <v>3327</v>
      </c>
      <c r="X2093" s="377" t="str">
        <f t="shared" si="194"/>
        <v>SSI</v>
      </c>
      <c r="Y2093" t="str">
        <f>SUBSTITUTE(Tabla1[[#This Row],[Descripción]],CHAR(10),"    I    ")</f>
        <v>Se revalidó el procedimiento 'FUNC2_TOTRRIOBTRECREVGESTFUEQ3' en el paquete 'PACK_SISAI3' para afinar detalles finales</v>
      </c>
      <c r="Z2093" s="142">
        <f>VLOOKUP(Tabla1[[#This Row],[Perfil]],Catalogos!$B$75:$D$100,3,FALSE)*Tabla1[[#This Row],[Tiempo
(Hrs 00/100)]]*1.16</f>
        <v>1044</v>
      </c>
    </row>
    <row r="2094" spans="1:27" ht="15" customHeight="1" x14ac:dyDescent="0.3">
      <c r="A2094" s="637" t="s">
        <v>22</v>
      </c>
      <c r="B2094" s="637" t="s">
        <v>305</v>
      </c>
      <c r="C2094" s="637" t="s">
        <v>257</v>
      </c>
      <c r="D2094" s="637"/>
      <c r="E2094" s="637" t="s">
        <v>408</v>
      </c>
      <c r="F2094" s="637" t="s">
        <v>72</v>
      </c>
      <c r="G2094" s="637" t="s">
        <v>3884</v>
      </c>
      <c r="H2094" s="638" t="s">
        <v>3488</v>
      </c>
      <c r="I2094" s="645" t="s">
        <v>3489</v>
      </c>
      <c r="J2094" s="731">
        <v>45203</v>
      </c>
      <c r="K2094" s="774">
        <v>0.33333333333333331</v>
      </c>
      <c r="L2094" s="731">
        <v>45203</v>
      </c>
      <c r="M2094" s="774">
        <v>0.41666666666666669</v>
      </c>
      <c r="N2094" s="637">
        <v>2</v>
      </c>
      <c r="O2094" s="641" t="s">
        <v>17</v>
      </c>
      <c r="P2094" s="375" t="s">
        <v>2909</v>
      </c>
      <c r="Q2094" s="642" t="s">
        <v>1441</v>
      </c>
      <c r="R2094" s="31" t="s">
        <v>95</v>
      </c>
      <c r="S2094" s="31" t="s">
        <v>273</v>
      </c>
      <c r="T2094" s="31" t="s">
        <v>273</v>
      </c>
      <c r="U2094" s="31">
        <f>IFERROR(VLOOKUP(CONCATENATE(Tabla1[[#This Row],[Severidad]]," ",Tabla1[[#This Row],[Complejidad]]),Catalogos!E$120:G$128,3,FALSE),"")</f>
        <v>64</v>
      </c>
      <c r="V2094" s="31" t="str">
        <f>IF(Tabla1[[#This Row],[Tiempo solución max (hrs)]]&lt;&gt;"",IF(Tabla1[[#This Row],[Tiempo solución max (hrs)]]&gt;=Tabla1[[#This Row],[Tiempo
(Hrs 00/100)]],"cumple","no cumple"),"")</f>
        <v>cumple</v>
      </c>
      <c r="W2094" s="629" t="s">
        <v>3327</v>
      </c>
      <c r="X2094" s="377" t="str">
        <f t="shared" ref="X2094:X2125" si="195">IF(C2094&lt;&gt;"",C2094,D2094)</f>
        <v>SSI</v>
      </c>
      <c r="Y2094" t="str">
        <f>SUBSTITUTE(Tabla1[[#This Row],[Descripción]],CHAR(10),"    I    ")</f>
        <v>Se revisó de nuevo el Query #1 del archivo IEDEPNI para la Funcionalidad 3 'TOTAL DE RECURSOS DE REVISIÓN GESTIONADOS' para aplicar posibles mejoras</v>
      </c>
      <c r="Z2094" s="142">
        <f>VLOOKUP(Tabla1[[#This Row],[Perfil]],Catalogos!$B$75:$D$100,3,FALSE)*Tabla1[[#This Row],[Tiempo
(Hrs 00/100)]]*1.16</f>
        <v>1392</v>
      </c>
    </row>
    <row r="2095" spans="1:27" ht="15" customHeight="1" x14ac:dyDescent="0.3">
      <c r="A2095" s="637" t="s">
        <v>22</v>
      </c>
      <c r="B2095" s="637" t="s">
        <v>305</v>
      </c>
      <c r="C2095" s="637" t="s">
        <v>257</v>
      </c>
      <c r="D2095" s="637"/>
      <c r="E2095" s="637" t="s">
        <v>408</v>
      </c>
      <c r="F2095" s="637" t="s">
        <v>72</v>
      </c>
      <c r="G2095" s="637" t="s">
        <v>3885</v>
      </c>
      <c r="H2095" s="638" t="s">
        <v>3490</v>
      </c>
      <c r="I2095" s="645" t="s">
        <v>3491</v>
      </c>
      <c r="J2095" s="731">
        <v>45203</v>
      </c>
      <c r="K2095" s="774">
        <v>0.41666666666666669</v>
      </c>
      <c r="L2095" s="731">
        <v>45203</v>
      </c>
      <c r="M2095" s="774">
        <v>0.47916666666666669</v>
      </c>
      <c r="N2095" s="637">
        <v>1.5</v>
      </c>
      <c r="O2095" s="641" t="s">
        <v>17</v>
      </c>
      <c r="P2095" s="375" t="s">
        <v>2909</v>
      </c>
      <c r="Q2095" s="642" t="s">
        <v>1441</v>
      </c>
      <c r="R2095" s="31" t="s">
        <v>95</v>
      </c>
      <c r="S2095" s="31" t="s">
        <v>273</v>
      </c>
      <c r="T2095" s="31" t="s">
        <v>273</v>
      </c>
      <c r="U2095" s="31">
        <f>IFERROR(VLOOKUP(CONCATENATE(Tabla1[[#This Row],[Severidad]]," ",Tabla1[[#This Row],[Complejidad]]),Catalogos!E$120:G$128,3,FALSE),"")</f>
        <v>64</v>
      </c>
      <c r="V2095" s="31" t="str">
        <f>IF(Tabla1[[#This Row],[Tiempo solución max (hrs)]]&lt;&gt;"",IF(Tabla1[[#This Row],[Tiempo solución max (hrs)]]&gt;=Tabla1[[#This Row],[Tiempo
(Hrs 00/100)]],"cumple","no cumple"),"")</f>
        <v>cumple</v>
      </c>
      <c r="W2095" s="629" t="s">
        <v>3327</v>
      </c>
      <c r="X2095" s="377" t="str">
        <f t="shared" si="195"/>
        <v>SSI</v>
      </c>
      <c r="Y2095" t="str">
        <f>SUBSTITUTE(Tabla1[[#This Row],[Descripción]],CHAR(10),"    I    ")</f>
        <v>Se revalidó el procedimiento 'FUNC3_TOTRECREVGESTIOQ1' en el paquete 'PACK_SISAI3' para afinar detalles finales</v>
      </c>
      <c r="Z2095" s="142">
        <f>VLOOKUP(Tabla1[[#This Row],[Perfil]],Catalogos!$B$75:$D$100,3,FALSE)*Tabla1[[#This Row],[Tiempo
(Hrs 00/100)]]*1.16</f>
        <v>1044</v>
      </c>
    </row>
    <row r="2096" spans="1:27" ht="15" customHeight="1" x14ac:dyDescent="0.3">
      <c r="A2096" s="637" t="s">
        <v>22</v>
      </c>
      <c r="B2096" s="637" t="s">
        <v>305</v>
      </c>
      <c r="C2096" s="637" t="s">
        <v>257</v>
      </c>
      <c r="D2096" s="637"/>
      <c r="E2096" s="637" t="s">
        <v>408</v>
      </c>
      <c r="F2096" s="637" t="s">
        <v>72</v>
      </c>
      <c r="G2096" s="637" t="s">
        <v>3886</v>
      </c>
      <c r="H2096" s="638" t="s">
        <v>3492</v>
      </c>
      <c r="I2096" s="645" t="s">
        <v>3493</v>
      </c>
      <c r="J2096" s="731">
        <v>45203</v>
      </c>
      <c r="K2096" s="774">
        <v>0.47916666666666669</v>
      </c>
      <c r="L2096" s="731">
        <v>45203</v>
      </c>
      <c r="M2096" s="774">
        <v>0.5625</v>
      </c>
      <c r="N2096" s="637">
        <v>2</v>
      </c>
      <c r="O2096" s="641" t="s">
        <v>17</v>
      </c>
      <c r="P2096" s="375" t="s">
        <v>2909</v>
      </c>
      <c r="Q2096" s="642" t="s">
        <v>1441</v>
      </c>
      <c r="R2096" s="31" t="s">
        <v>95</v>
      </c>
      <c r="S2096" s="31" t="s">
        <v>273</v>
      </c>
      <c r="T2096" s="31" t="s">
        <v>273</v>
      </c>
      <c r="U2096" s="31">
        <f>IFERROR(VLOOKUP(CONCATENATE(Tabla1[[#This Row],[Severidad]]," ",Tabla1[[#This Row],[Complejidad]]),Catalogos!E$120:G$128,3,FALSE),"")</f>
        <v>64</v>
      </c>
      <c r="V2096" s="31" t="str">
        <f>IF(Tabla1[[#This Row],[Tiempo solución max (hrs)]]&lt;&gt;"",IF(Tabla1[[#This Row],[Tiempo solución max (hrs)]]&gt;=Tabla1[[#This Row],[Tiempo
(Hrs 00/100)]],"cumple","no cumple"),"")</f>
        <v>cumple</v>
      </c>
      <c r="W2096" s="629" t="s">
        <v>3327</v>
      </c>
      <c r="X2096" s="377" t="str">
        <f t="shared" si="195"/>
        <v>SSI</v>
      </c>
      <c r="Y2096" t="str">
        <f>SUBSTITUTE(Tabla1[[#This Row],[Descripción]],CHAR(10),"    I    ")</f>
        <v>Se revisó de nuevo el Query #1 del archivo IEDEPNI para la Funcionalidad 4 'TOTAL DE OBLIGACIONES DE TRANSPARENCIA' para aplicar posibles mejoras</v>
      </c>
      <c r="Z2096" s="142">
        <f>VLOOKUP(Tabla1[[#This Row],[Perfil]],Catalogos!$B$75:$D$100,3,FALSE)*Tabla1[[#This Row],[Tiempo
(Hrs 00/100)]]*1.16</f>
        <v>1392</v>
      </c>
    </row>
    <row r="2097" spans="1:26" ht="15" customHeight="1" x14ac:dyDescent="0.3">
      <c r="A2097" s="637" t="s">
        <v>22</v>
      </c>
      <c r="B2097" s="637" t="s">
        <v>305</v>
      </c>
      <c r="C2097" s="637" t="s">
        <v>257</v>
      </c>
      <c r="D2097" s="637"/>
      <c r="E2097" s="637" t="s">
        <v>408</v>
      </c>
      <c r="F2097" s="637" t="s">
        <v>72</v>
      </c>
      <c r="G2097" s="637" t="s">
        <v>3887</v>
      </c>
      <c r="H2097" s="638" t="s">
        <v>3494</v>
      </c>
      <c r="I2097" s="645" t="s">
        <v>3495</v>
      </c>
      <c r="J2097" s="731">
        <v>45203</v>
      </c>
      <c r="K2097" s="774">
        <v>0.60416666666666663</v>
      </c>
      <c r="L2097" s="731">
        <v>45203</v>
      </c>
      <c r="M2097" s="774">
        <v>0.66666666666666663</v>
      </c>
      <c r="N2097" s="637">
        <v>1.5</v>
      </c>
      <c r="O2097" s="641" t="s">
        <v>17</v>
      </c>
      <c r="P2097" s="375" t="s">
        <v>2909</v>
      </c>
      <c r="Q2097" s="642" t="s">
        <v>1441</v>
      </c>
      <c r="R2097" s="31" t="s">
        <v>95</v>
      </c>
      <c r="S2097" s="31" t="s">
        <v>273</v>
      </c>
      <c r="T2097" s="31" t="s">
        <v>273</v>
      </c>
      <c r="U2097" s="31">
        <f>IFERROR(VLOOKUP(CONCATENATE(Tabla1[[#This Row],[Severidad]]," ",Tabla1[[#This Row],[Complejidad]]),Catalogos!E$120:G$128,3,FALSE),"")</f>
        <v>64</v>
      </c>
      <c r="V2097" s="31" t="str">
        <f>IF(Tabla1[[#This Row],[Tiempo solución max (hrs)]]&lt;&gt;"",IF(Tabla1[[#This Row],[Tiempo solución max (hrs)]]&gt;=Tabla1[[#This Row],[Tiempo
(Hrs 00/100)]],"cumple","no cumple"),"")</f>
        <v>cumple</v>
      </c>
      <c r="W2097" s="629" t="s">
        <v>3327</v>
      </c>
      <c r="X2097" s="377" t="str">
        <f t="shared" si="195"/>
        <v>SSI</v>
      </c>
      <c r="Y2097" t="str">
        <f>SUBSTITUTE(Tabla1[[#This Row],[Descripción]],CHAR(10),"    I    ")</f>
        <v>Se revalidó el procedimiento 'FUNC4_TOTOBLTRANSPAQ1' en el paquete 'PACK_SISAI3' para afinar detalles finales</v>
      </c>
      <c r="Z2097" s="142">
        <f>VLOOKUP(Tabla1[[#This Row],[Perfil]],Catalogos!$B$75:$D$100,3,FALSE)*Tabla1[[#This Row],[Tiempo
(Hrs 00/100)]]*1.16</f>
        <v>1044</v>
      </c>
    </row>
    <row r="2098" spans="1:26" ht="15" customHeight="1" x14ac:dyDescent="0.3">
      <c r="A2098" s="637" t="s">
        <v>22</v>
      </c>
      <c r="B2098" s="637" t="s">
        <v>305</v>
      </c>
      <c r="C2098" s="637" t="s">
        <v>257</v>
      </c>
      <c r="D2098" s="637"/>
      <c r="E2098" s="637" t="s">
        <v>408</v>
      </c>
      <c r="F2098" s="637" t="s">
        <v>72</v>
      </c>
      <c r="G2098" s="637" t="s">
        <v>3888</v>
      </c>
      <c r="H2098" s="638" t="s">
        <v>3496</v>
      </c>
      <c r="I2098" s="645" t="s">
        <v>3497</v>
      </c>
      <c r="J2098" s="731">
        <v>45204</v>
      </c>
      <c r="K2098" s="774">
        <v>0.33333333333333331</v>
      </c>
      <c r="L2098" s="731">
        <v>45204</v>
      </c>
      <c r="M2098" s="774">
        <v>0.41666666666666669</v>
      </c>
      <c r="N2098" s="637">
        <v>2</v>
      </c>
      <c r="O2098" s="641" t="s">
        <v>17</v>
      </c>
      <c r="P2098" s="375" t="s">
        <v>2909</v>
      </c>
      <c r="Q2098" s="642" t="s">
        <v>1441</v>
      </c>
      <c r="R2098" s="31" t="s">
        <v>95</v>
      </c>
      <c r="S2098" s="31" t="s">
        <v>273</v>
      </c>
      <c r="T2098" s="31" t="s">
        <v>273</v>
      </c>
      <c r="U2098" s="31">
        <f>IFERROR(VLOOKUP(CONCATENATE(Tabla1[[#This Row],[Severidad]]," ",Tabla1[[#This Row],[Complejidad]]),Catalogos!E$120:G$128,3,FALSE),"")</f>
        <v>64</v>
      </c>
      <c r="V2098" s="31" t="str">
        <f>IF(Tabla1[[#This Row],[Tiempo solución max (hrs)]]&lt;&gt;"",IF(Tabla1[[#This Row],[Tiempo solución max (hrs)]]&gt;=Tabla1[[#This Row],[Tiempo
(Hrs 00/100)]],"cumple","no cumple"),"")</f>
        <v>cumple</v>
      </c>
      <c r="W2098" s="629" t="s">
        <v>3327</v>
      </c>
      <c r="X2098" s="377" t="str">
        <f t="shared" si="195"/>
        <v>SSI</v>
      </c>
      <c r="Y2098" t="str">
        <f>SUBSTITUTE(Tabla1[[#This Row],[Descripción]],CHAR(10),"    I    ")</f>
        <v>Se revisó de nuevo el Query #1 del archivo IEDEPNI para la Funcionalidad 5 'TOTAL CONSULTA EN LOS BUSCADORES - Buscador Nacional' para aplicar posibles mejoras</v>
      </c>
      <c r="Z2098" s="142">
        <f>VLOOKUP(Tabla1[[#This Row],[Perfil]],Catalogos!$B$75:$D$100,3,FALSE)*Tabla1[[#This Row],[Tiempo
(Hrs 00/100)]]*1.16</f>
        <v>1392</v>
      </c>
    </row>
    <row r="2099" spans="1:26" ht="15" customHeight="1" x14ac:dyDescent="0.3">
      <c r="A2099" s="637" t="s">
        <v>22</v>
      </c>
      <c r="B2099" s="637" t="s">
        <v>305</v>
      </c>
      <c r="C2099" s="637" t="s">
        <v>257</v>
      </c>
      <c r="D2099" s="637"/>
      <c r="E2099" s="637" t="s">
        <v>408</v>
      </c>
      <c r="F2099" s="637" t="s">
        <v>72</v>
      </c>
      <c r="G2099" s="637" t="s">
        <v>3889</v>
      </c>
      <c r="H2099" s="638" t="s">
        <v>3498</v>
      </c>
      <c r="I2099" s="645" t="s">
        <v>3499</v>
      </c>
      <c r="J2099" s="731">
        <v>45204</v>
      </c>
      <c r="K2099" s="774">
        <v>0.41666666666666669</v>
      </c>
      <c r="L2099" s="731">
        <v>45204</v>
      </c>
      <c r="M2099" s="774">
        <v>0.47916666666666669</v>
      </c>
      <c r="N2099" s="637">
        <v>1.5</v>
      </c>
      <c r="O2099" s="641" t="s">
        <v>17</v>
      </c>
      <c r="P2099" s="375" t="s">
        <v>2909</v>
      </c>
      <c r="Q2099" s="642" t="s">
        <v>1441</v>
      </c>
      <c r="R2099" s="31" t="s">
        <v>95</v>
      </c>
      <c r="S2099" s="31" t="s">
        <v>273</v>
      </c>
      <c r="T2099" s="31" t="s">
        <v>273</v>
      </c>
      <c r="U2099" s="31">
        <f>IFERROR(VLOOKUP(CONCATENATE(Tabla1[[#This Row],[Severidad]]," ",Tabla1[[#This Row],[Complejidad]]),Catalogos!E$120:G$128,3,FALSE),"")</f>
        <v>64</v>
      </c>
      <c r="V2099" s="31" t="str">
        <f>IF(Tabla1[[#This Row],[Tiempo solución max (hrs)]]&lt;&gt;"",IF(Tabla1[[#This Row],[Tiempo solución max (hrs)]]&gt;=Tabla1[[#This Row],[Tiempo
(Hrs 00/100)]],"cumple","no cumple"),"")</f>
        <v>cumple</v>
      </c>
      <c r="W2099" s="629" t="s">
        <v>3327</v>
      </c>
      <c r="X2099" s="377" t="str">
        <f t="shared" si="195"/>
        <v>SSI</v>
      </c>
      <c r="Y2099" t="str">
        <f>SUBSTITUTE(Tabla1[[#This Row],[Descripción]],CHAR(10),"    I    ")</f>
        <v>Se revalidó el procedimiento 'FUNC5_TOTCONSBUSCADONACQ1' en el paquete 'PACK_SISAI3' para afinar detalles finales</v>
      </c>
      <c r="Z2099" s="142">
        <f>VLOOKUP(Tabla1[[#This Row],[Perfil]],Catalogos!$B$75:$D$100,3,FALSE)*Tabla1[[#This Row],[Tiempo
(Hrs 00/100)]]*1.16</f>
        <v>1044</v>
      </c>
    </row>
    <row r="2100" spans="1:26" ht="15" customHeight="1" x14ac:dyDescent="0.3">
      <c r="A2100" s="637" t="s">
        <v>22</v>
      </c>
      <c r="B2100" s="637" t="s">
        <v>305</v>
      </c>
      <c r="C2100" s="637" t="s">
        <v>257</v>
      </c>
      <c r="D2100" s="637"/>
      <c r="E2100" s="637" t="s">
        <v>408</v>
      </c>
      <c r="F2100" s="637" t="s">
        <v>72</v>
      </c>
      <c r="G2100" s="637" t="s">
        <v>3890</v>
      </c>
      <c r="H2100" s="638" t="s">
        <v>3500</v>
      </c>
      <c r="I2100" s="645" t="s">
        <v>3501</v>
      </c>
      <c r="J2100" s="731">
        <v>45204</v>
      </c>
      <c r="K2100" s="774">
        <v>0.47916666666666669</v>
      </c>
      <c r="L2100" s="731">
        <v>45204</v>
      </c>
      <c r="M2100" s="774">
        <v>0.5625</v>
      </c>
      <c r="N2100" s="637">
        <v>2</v>
      </c>
      <c r="O2100" s="641" t="s">
        <v>17</v>
      </c>
      <c r="P2100" s="375" t="s">
        <v>2909</v>
      </c>
      <c r="Q2100" s="642" t="s">
        <v>1441</v>
      </c>
      <c r="R2100" s="31" t="s">
        <v>95</v>
      </c>
      <c r="S2100" s="31" t="s">
        <v>273</v>
      </c>
      <c r="T2100" s="31" t="s">
        <v>273</v>
      </c>
      <c r="U2100" s="31">
        <f>IFERROR(VLOOKUP(CONCATENATE(Tabla1[[#This Row],[Severidad]]," ",Tabla1[[#This Row],[Complejidad]]),Catalogos!E$120:G$128,3,FALSE),"")</f>
        <v>64</v>
      </c>
      <c r="V2100" s="31" t="str">
        <f>IF(Tabla1[[#This Row],[Tiempo solución max (hrs)]]&lt;&gt;"",IF(Tabla1[[#This Row],[Tiempo solución max (hrs)]]&gt;=Tabla1[[#This Row],[Tiempo
(Hrs 00/100)]],"cumple","no cumple"),"")</f>
        <v>cumple</v>
      </c>
      <c r="W2100" s="629" t="s">
        <v>3327</v>
      </c>
      <c r="X2100" s="377" t="str">
        <f t="shared" si="195"/>
        <v>SSI</v>
      </c>
      <c r="Y2100" t="str">
        <f>SUBSTITUTE(Tabla1[[#This Row],[Descripción]],CHAR(10),"    I    ")</f>
        <v>Se revisó de nuevo el Query #2| del archivo IEDEPNI para la Funcionalidad 5 'TOTAL CONSULTA EN LOS BUSCADORES - Buscadores temáticos' para aplicar posibles mejoras</v>
      </c>
      <c r="Z2100" s="142">
        <f>VLOOKUP(Tabla1[[#This Row],[Perfil]],Catalogos!$B$75:$D$100,3,FALSE)*Tabla1[[#This Row],[Tiempo
(Hrs 00/100)]]*1.16</f>
        <v>1392</v>
      </c>
    </row>
    <row r="2101" spans="1:26" ht="15" customHeight="1" x14ac:dyDescent="0.3">
      <c r="A2101" s="637" t="s">
        <v>22</v>
      </c>
      <c r="B2101" s="637" t="s">
        <v>305</v>
      </c>
      <c r="C2101" s="637" t="s">
        <v>257</v>
      </c>
      <c r="D2101" s="637"/>
      <c r="E2101" s="637" t="s">
        <v>408</v>
      </c>
      <c r="F2101" s="637" t="s">
        <v>72</v>
      </c>
      <c r="G2101" s="637" t="s">
        <v>3891</v>
      </c>
      <c r="H2101" s="638" t="s">
        <v>3502</v>
      </c>
      <c r="I2101" s="645" t="s">
        <v>3503</v>
      </c>
      <c r="J2101" s="731">
        <v>45204</v>
      </c>
      <c r="K2101" s="774">
        <v>0.60416666666666663</v>
      </c>
      <c r="L2101" s="731">
        <v>45204</v>
      </c>
      <c r="M2101" s="774">
        <v>0.66666666666666663</v>
      </c>
      <c r="N2101" s="637">
        <v>1.5</v>
      </c>
      <c r="O2101" s="641" t="s">
        <v>17</v>
      </c>
      <c r="P2101" s="375" t="s">
        <v>2909</v>
      </c>
      <c r="Q2101" s="642" t="s">
        <v>1441</v>
      </c>
      <c r="R2101" s="31" t="s">
        <v>95</v>
      </c>
      <c r="S2101" s="31" t="s">
        <v>273</v>
      </c>
      <c r="T2101" s="31" t="s">
        <v>273</v>
      </c>
      <c r="U2101" s="31">
        <f>IFERROR(VLOOKUP(CONCATENATE(Tabla1[[#This Row],[Severidad]]," ",Tabla1[[#This Row],[Complejidad]]),Catalogos!E$120:G$128,3,FALSE),"")</f>
        <v>64</v>
      </c>
      <c r="V2101" s="31" t="str">
        <f>IF(Tabla1[[#This Row],[Tiempo solución max (hrs)]]&lt;&gt;"",IF(Tabla1[[#This Row],[Tiempo solución max (hrs)]]&gt;=Tabla1[[#This Row],[Tiempo
(Hrs 00/100)]],"cumple","no cumple"),"")</f>
        <v>cumple</v>
      </c>
      <c r="W2101" s="629" t="s">
        <v>3327</v>
      </c>
      <c r="X2101" s="377" t="str">
        <f t="shared" si="195"/>
        <v>SSI</v>
      </c>
      <c r="Y2101" t="str">
        <f>SUBSTITUTE(Tabla1[[#This Row],[Descripción]],CHAR(10),"    I    ")</f>
        <v>Se revalidó el procedimiento 'FUNC5_TOTCONSBUSCADOTEMATICOQ2' en el paquete 'PACK_SISAI3' para afinar detalles finales</v>
      </c>
      <c r="Z2101" s="142">
        <f>VLOOKUP(Tabla1[[#This Row],[Perfil]],Catalogos!$B$75:$D$100,3,FALSE)*Tabla1[[#This Row],[Tiempo
(Hrs 00/100)]]*1.16</f>
        <v>1044</v>
      </c>
    </row>
    <row r="2102" spans="1:26" ht="15" customHeight="1" x14ac:dyDescent="0.3">
      <c r="A2102" s="637" t="s">
        <v>22</v>
      </c>
      <c r="B2102" s="637" t="s">
        <v>305</v>
      </c>
      <c r="C2102" s="637" t="s">
        <v>257</v>
      </c>
      <c r="D2102" s="637"/>
      <c r="E2102" s="637" t="s">
        <v>408</v>
      </c>
      <c r="F2102" s="637" t="s">
        <v>73</v>
      </c>
      <c r="G2102" s="637" t="s">
        <v>3892</v>
      </c>
      <c r="H2102" s="638" t="s">
        <v>3504</v>
      </c>
      <c r="I2102" s="645" t="s">
        <v>3504</v>
      </c>
      <c r="J2102" s="731">
        <v>45205</v>
      </c>
      <c r="K2102" s="774">
        <v>0.33333333333333331</v>
      </c>
      <c r="L2102" s="731">
        <v>45205</v>
      </c>
      <c r="M2102" s="774">
        <v>0.41666666666666669</v>
      </c>
      <c r="N2102" s="637">
        <v>2</v>
      </c>
      <c r="O2102" s="641" t="s">
        <v>17</v>
      </c>
      <c r="P2102" s="375" t="s">
        <v>2916</v>
      </c>
      <c r="Q2102" s="642" t="s">
        <v>1441</v>
      </c>
      <c r="R2102" s="31" t="s">
        <v>95</v>
      </c>
      <c r="S2102" s="31" t="s">
        <v>273</v>
      </c>
      <c r="T2102" s="31" t="s">
        <v>273</v>
      </c>
      <c r="U2102" s="31">
        <f>IFERROR(VLOOKUP(CONCATENATE(Tabla1[[#This Row],[Severidad]]," ",Tabla1[[#This Row],[Complejidad]]),Catalogos!E$120:G$128,3,FALSE),"")</f>
        <v>64</v>
      </c>
      <c r="V2102" s="31" t="str">
        <f>IF(Tabla1[[#This Row],[Tiempo solución max (hrs)]]&lt;&gt;"",IF(Tabla1[[#This Row],[Tiempo solución max (hrs)]]&gt;=Tabla1[[#This Row],[Tiempo
(Hrs 00/100)]],"cumple","no cumple"),"")</f>
        <v>cumple</v>
      </c>
      <c r="W2102" s="629" t="s">
        <v>3327</v>
      </c>
      <c r="X2102" s="377" t="str">
        <f t="shared" si="195"/>
        <v>SSI</v>
      </c>
      <c r="Y2102" t="str">
        <f>SUBSTITUTE(Tabla1[[#This Row],[Descripción]],CHAR(10),"    I    ")</f>
        <v>Se afinó el documento 'Final Ficha estadística 2023' con todos los detalles trabajados</v>
      </c>
      <c r="Z2102" s="142">
        <f>VLOOKUP(Tabla1[[#This Row],[Perfil]],Catalogos!$B$75:$D$100,3,FALSE)*Tabla1[[#This Row],[Tiempo
(Hrs 00/100)]]*1.16</f>
        <v>1392</v>
      </c>
    </row>
    <row r="2103" spans="1:26" ht="15" customHeight="1" x14ac:dyDescent="0.3">
      <c r="A2103" s="637" t="s">
        <v>22</v>
      </c>
      <c r="B2103" s="637" t="s">
        <v>305</v>
      </c>
      <c r="C2103" s="637" t="s">
        <v>257</v>
      </c>
      <c r="D2103" s="637"/>
      <c r="E2103" s="637" t="s">
        <v>408</v>
      </c>
      <c r="F2103" s="637" t="s">
        <v>76</v>
      </c>
      <c r="G2103" s="637" t="s">
        <v>3893</v>
      </c>
      <c r="H2103" s="638" t="s">
        <v>3505</v>
      </c>
      <c r="I2103" s="645" t="s">
        <v>3506</v>
      </c>
      <c r="J2103" s="731">
        <v>45205</v>
      </c>
      <c r="K2103" s="774">
        <v>0.41666666666666669</v>
      </c>
      <c r="L2103" s="731">
        <v>45205</v>
      </c>
      <c r="M2103" s="774">
        <v>0.47916666666666669</v>
      </c>
      <c r="N2103" s="637">
        <v>1.5</v>
      </c>
      <c r="O2103" s="641" t="s">
        <v>17</v>
      </c>
      <c r="P2103" s="375" t="s">
        <v>2916</v>
      </c>
      <c r="Q2103" s="642" t="s">
        <v>1441</v>
      </c>
      <c r="R2103" s="31" t="s">
        <v>95</v>
      </c>
      <c r="S2103" s="31" t="s">
        <v>273</v>
      </c>
      <c r="T2103" s="31" t="s">
        <v>273</v>
      </c>
      <c r="U2103" s="31">
        <f>IFERROR(VLOOKUP(CONCATENATE(Tabla1[[#This Row],[Severidad]]," ",Tabla1[[#This Row],[Complejidad]]),Catalogos!E$120:G$128,3,FALSE),"")</f>
        <v>64</v>
      </c>
      <c r="V2103" s="31" t="str">
        <f>IF(Tabla1[[#This Row],[Tiempo solución max (hrs)]]&lt;&gt;"",IF(Tabla1[[#This Row],[Tiempo solución max (hrs)]]&gt;=Tabla1[[#This Row],[Tiempo
(Hrs 00/100)]],"cumple","no cumple"),"")</f>
        <v>cumple</v>
      </c>
      <c r="W2103" s="629" t="s">
        <v>3327</v>
      </c>
      <c r="X2103" s="377" t="str">
        <f t="shared" si="195"/>
        <v>SSI</v>
      </c>
      <c r="Y2103" t="str">
        <f>SUBSTITUTE(Tabla1[[#This Row],[Descripción]],CHAR(10),"    I    ")</f>
        <v>Se compartio el documento FFE23 a lider de TI con el detalle de todo lo trabajo</v>
      </c>
      <c r="Z2103" s="142">
        <f>VLOOKUP(Tabla1[[#This Row],[Perfil]],Catalogos!$B$75:$D$100,3,FALSE)*Tabla1[[#This Row],[Tiempo
(Hrs 00/100)]]*1.16</f>
        <v>1044</v>
      </c>
    </row>
    <row r="2104" spans="1:26" ht="15" customHeight="1" x14ac:dyDescent="0.3">
      <c r="A2104" s="637" t="s">
        <v>22</v>
      </c>
      <c r="B2104" s="637" t="s">
        <v>305</v>
      </c>
      <c r="C2104" s="637" t="s">
        <v>257</v>
      </c>
      <c r="D2104" s="637"/>
      <c r="E2104" s="637" t="s">
        <v>408</v>
      </c>
      <c r="F2104" s="637" t="s">
        <v>73</v>
      </c>
      <c r="G2104" s="637" t="s">
        <v>3894</v>
      </c>
      <c r="H2104" s="638" t="s">
        <v>3507</v>
      </c>
      <c r="I2104" s="645" t="s">
        <v>3507</v>
      </c>
      <c r="J2104" s="731">
        <v>45208</v>
      </c>
      <c r="K2104" s="774">
        <v>0.33333333333333331</v>
      </c>
      <c r="L2104" s="731">
        <v>45208</v>
      </c>
      <c r="M2104" s="774">
        <v>0.41666666666666669</v>
      </c>
      <c r="N2104" s="637">
        <v>2</v>
      </c>
      <c r="O2104" s="641" t="s">
        <v>17</v>
      </c>
      <c r="P2104" s="375" t="s">
        <v>2909</v>
      </c>
      <c r="Q2104" s="642" t="s">
        <v>1441</v>
      </c>
      <c r="R2104" s="31" t="s">
        <v>95</v>
      </c>
      <c r="S2104" s="31" t="s">
        <v>273</v>
      </c>
      <c r="T2104" s="31" t="s">
        <v>273</v>
      </c>
      <c r="U2104" s="31">
        <f>IFERROR(VLOOKUP(CONCATENATE(Tabla1[[#This Row],[Severidad]]," ",Tabla1[[#This Row],[Complejidad]]),Catalogos!E$120:G$128,3,FALSE),"")</f>
        <v>64</v>
      </c>
      <c r="V2104" s="31" t="str">
        <f>IF(Tabla1[[#This Row],[Tiempo solución max (hrs)]]&lt;&gt;"",IF(Tabla1[[#This Row],[Tiempo solución max (hrs)]]&gt;=Tabla1[[#This Row],[Tiempo
(Hrs 00/100)]],"cumple","no cumple"),"")</f>
        <v>cumple</v>
      </c>
      <c r="W2104" s="629" t="s">
        <v>3327</v>
      </c>
      <c r="X2104" s="377" t="str">
        <f t="shared" si="195"/>
        <v>SSI</v>
      </c>
      <c r="Y2104" t="str">
        <f>SUBSTITUTE(Tabla1[[#This Row],[Descripción]],CHAR(10),"    I    ")</f>
        <v>Se afinó el documento 'Querys_Estadisiticas_Totales' con todos los detalles trabajados</v>
      </c>
      <c r="Z2104" s="142">
        <f>VLOOKUP(Tabla1[[#This Row],[Perfil]],Catalogos!$B$75:$D$100,3,FALSE)*Tabla1[[#This Row],[Tiempo
(Hrs 00/100)]]*1.16</f>
        <v>1392</v>
      </c>
    </row>
    <row r="2105" spans="1:26" ht="15" customHeight="1" x14ac:dyDescent="0.3">
      <c r="A2105" s="637" t="s">
        <v>22</v>
      </c>
      <c r="B2105" s="637" t="s">
        <v>305</v>
      </c>
      <c r="C2105" s="637" t="s">
        <v>257</v>
      </c>
      <c r="D2105" s="637"/>
      <c r="E2105" s="637" t="s">
        <v>408</v>
      </c>
      <c r="F2105" s="637" t="s">
        <v>76</v>
      </c>
      <c r="G2105" s="637" t="s">
        <v>3895</v>
      </c>
      <c r="H2105" s="638" t="s">
        <v>3508</v>
      </c>
      <c r="I2105" s="645" t="s">
        <v>3509</v>
      </c>
      <c r="J2105" s="731">
        <v>45208</v>
      </c>
      <c r="K2105" s="774">
        <v>0.41666666666666669</v>
      </c>
      <c r="L2105" s="731">
        <v>45208</v>
      </c>
      <c r="M2105" s="774">
        <v>0.47916666666666669</v>
      </c>
      <c r="N2105" s="637">
        <v>1.5</v>
      </c>
      <c r="O2105" s="641" t="s">
        <v>17</v>
      </c>
      <c r="P2105" s="375" t="s">
        <v>2909</v>
      </c>
      <c r="Q2105" s="642" t="s">
        <v>1441</v>
      </c>
      <c r="R2105" s="31" t="s">
        <v>95</v>
      </c>
      <c r="S2105" s="31" t="s">
        <v>273</v>
      </c>
      <c r="T2105" s="31" t="s">
        <v>273</v>
      </c>
      <c r="U2105" s="31">
        <f>IFERROR(VLOOKUP(CONCATENATE(Tabla1[[#This Row],[Severidad]]," ",Tabla1[[#This Row],[Complejidad]]),Catalogos!E$120:G$128,3,FALSE),"")</f>
        <v>64</v>
      </c>
      <c r="V2105" s="31" t="str">
        <f>IF(Tabla1[[#This Row],[Tiempo solución max (hrs)]]&lt;&gt;"",IF(Tabla1[[#This Row],[Tiempo solución max (hrs)]]&gt;=Tabla1[[#This Row],[Tiempo
(Hrs 00/100)]],"cumple","no cumple"),"")</f>
        <v>cumple</v>
      </c>
      <c r="W2105" s="629" t="s">
        <v>3327</v>
      </c>
      <c r="X2105" s="377" t="str">
        <f t="shared" si="195"/>
        <v>SSI</v>
      </c>
      <c r="Y2105" t="str">
        <f>SUBSTITUTE(Tabla1[[#This Row],[Descripción]],CHAR(10),"    I    ")</f>
        <v>Se compartio el documento IEDEPNI a lider de TI con el detalle de todo lo trabajo</v>
      </c>
      <c r="Z2105" s="142">
        <f>VLOOKUP(Tabla1[[#This Row],[Perfil]],Catalogos!$B$75:$D$100,3,FALSE)*Tabla1[[#This Row],[Tiempo
(Hrs 00/100)]]*1.16</f>
        <v>1044</v>
      </c>
    </row>
    <row r="2106" spans="1:26" ht="15" customHeight="1" x14ac:dyDescent="0.3">
      <c r="A2106" s="637" t="s">
        <v>22</v>
      </c>
      <c r="B2106" s="637" t="s">
        <v>305</v>
      </c>
      <c r="C2106" s="637" t="s">
        <v>257</v>
      </c>
      <c r="D2106" s="637"/>
      <c r="E2106" s="637" t="s">
        <v>408</v>
      </c>
      <c r="F2106" s="637" t="s">
        <v>72</v>
      </c>
      <c r="G2106" s="637" t="s">
        <v>3896</v>
      </c>
      <c r="H2106" s="638" t="s">
        <v>3510</v>
      </c>
      <c r="I2106" s="645" t="s">
        <v>3510</v>
      </c>
      <c r="J2106" s="731">
        <v>45209</v>
      </c>
      <c r="K2106" s="774">
        <v>0.33333333333333331</v>
      </c>
      <c r="L2106" s="731">
        <v>45209</v>
      </c>
      <c r="M2106" s="774">
        <v>0.4375</v>
      </c>
      <c r="N2106" s="637">
        <v>2.5</v>
      </c>
      <c r="O2106" s="641" t="s">
        <v>17</v>
      </c>
      <c r="P2106" s="375" t="s">
        <v>2909</v>
      </c>
      <c r="Q2106" s="642" t="s">
        <v>1441</v>
      </c>
      <c r="R2106" s="31" t="s">
        <v>95</v>
      </c>
      <c r="S2106" s="31" t="s">
        <v>273</v>
      </c>
      <c r="T2106" s="31" t="s">
        <v>273</v>
      </c>
      <c r="U2106" s="31">
        <f>IFERROR(VLOOKUP(CONCATENATE(Tabla1[[#This Row],[Severidad]]," ",Tabla1[[#This Row],[Complejidad]]),Catalogos!E$120:G$128,3,FALSE),"")</f>
        <v>64</v>
      </c>
      <c r="V2106" s="31" t="str">
        <f>IF(Tabla1[[#This Row],[Tiempo solución max (hrs)]]&lt;&gt;"",IF(Tabla1[[#This Row],[Tiempo solución max (hrs)]]&gt;=Tabla1[[#This Row],[Tiempo
(Hrs 00/100)]],"cumple","no cumple"),"")</f>
        <v>cumple</v>
      </c>
      <c r="W2106" s="629" t="s">
        <v>3327</v>
      </c>
      <c r="X2106" s="377" t="str">
        <f t="shared" si="195"/>
        <v>SSI</v>
      </c>
      <c r="Y2106" t="str">
        <f>SUBSTITUTE(Tabla1[[#This Row],[Descripción]],CHAR(10),"    I    ")</f>
        <v>Se tocó base con Samuel para el proximo requerimiento</v>
      </c>
      <c r="Z2106" s="142">
        <f>VLOOKUP(Tabla1[[#This Row],[Perfil]],Catalogos!$B$75:$D$100,3,FALSE)*Tabla1[[#This Row],[Tiempo
(Hrs 00/100)]]*1.16</f>
        <v>1739.9999999999998</v>
      </c>
    </row>
    <row r="2107" spans="1:26" ht="15" customHeight="1" x14ac:dyDescent="0.3">
      <c r="A2107" s="637" t="s">
        <v>22</v>
      </c>
      <c r="B2107" s="637" t="s">
        <v>305</v>
      </c>
      <c r="C2107" s="637" t="s">
        <v>257</v>
      </c>
      <c r="D2107" s="637"/>
      <c r="E2107" s="637" t="s">
        <v>408</v>
      </c>
      <c r="F2107" s="637" t="s">
        <v>72</v>
      </c>
      <c r="G2107" s="637" t="s">
        <v>3897</v>
      </c>
      <c r="H2107" s="638" t="s">
        <v>3511</v>
      </c>
      <c r="I2107" s="645" t="s">
        <v>3511</v>
      </c>
      <c r="J2107" s="731">
        <v>45210</v>
      </c>
      <c r="K2107" s="774">
        <v>0.33333333333333331</v>
      </c>
      <c r="L2107" s="731">
        <v>45210</v>
      </c>
      <c r="M2107" s="774">
        <v>0.39583333333333331</v>
      </c>
      <c r="N2107" s="637">
        <v>1.5</v>
      </c>
      <c r="O2107" s="641" t="s">
        <v>17</v>
      </c>
      <c r="P2107" s="375" t="s">
        <v>2909</v>
      </c>
      <c r="Q2107" s="642" t="s">
        <v>1441</v>
      </c>
      <c r="R2107" s="31" t="s">
        <v>95</v>
      </c>
      <c r="S2107" s="31" t="s">
        <v>273</v>
      </c>
      <c r="T2107" s="31" t="s">
        <v>273</v>
      </c>
      <c r="U2107" s="31">
        <f>IFERROR(VLOOKUP(CONCATENATE(Tabla1[[#This Row],[Severidad]]," ",Tabla1[[#This Row],[Complejidad]]),Catalogos!E$120:G$128,3,FALSE),"")</f>
        <v>64</v>
      </c>
      <c r="V2107" s="31" t="str">
        <f>IF(Tabla1[[#This Row],[Tiempo solución max (hrs)]]&lt;&gt;"",IF(Tabla1[[#This Row],[Tiempo solución max (hrs)]]&gt;=Tabla1[[#This Row],[Tiempo
(Hrs 00/100)]],"cumple","no cumple"),"")</f>
        <v>cumple</v>
      </c>
      <c r="W2107" s="629" t="s">
        <v>3327</v>
      </c>
      <c r="X2107" s="377" t="str">
        <f t="shared" si="195"/>
        <v>SSI</v>
      </c>
      <c r="Y2107" t="str">
        <f>SUBSTITUTE(Tabla1[[#This Row],[Descripción]],CHAR(10),"    I    ")</f>
        <v>Se tuvo sesion con Annel para conocer el proximo requerimiento</v>
      </c>
      <c r="Z2107" s="142">
        <f>VLOOKUP(Tabla1[[#This Row],[Perfil]],Catalogos!$B$75:$D$100,3,FALSE)*Tabla1[[#This Row],[Tiempo
(Hrs 00/100)]]*1.16</f>
        <v>1044</v>
      </c>
    </row>
    <row r="2108" spans="1:26" ht="15" customHeight="1" x14ac:dyDescent="0.3">
      <c r="A2108" s="637" t="s">
        <v>22</v>
      </c>
      <c r="B2108" s="637" t="s">
        <v>305</v>
      </c>
      <c r="C2108" s="637" t="s">
        <v>257</v>
      </c>
      <c r="D2108" s="637"/>
      <c r="E2108" s="637" t="s">
        <v>408</v>
      </c>
      <c r="F2108" s="637" t="s">
        <v>72</v>
      </c>
      <c r="G2108" s="637" t="s">
        <v>3898</v>
      </c>
      <c r="H2108" s="638" t="s">
        <v>3512</v>
      </c>
      <c r="I2108" s="645" t="s">
        <v>3513</v>
      </c>
      <c r="J2108" s="731">
        <v>45210</v>
      </c>
      <c r="K2108" s="774">
        <v>0.39583333333333331</v>
      </c>
      <c r="L2108" s="731">
        <v>45210</v>
      </c>
      <c r="M2108" s="774">
        <v>0.5</v>
      </c>
      <c r="N2108" s="637">
        <v>2.5</v>
      </c>
      <c r="O2108" s="641" t="s">
        <v>17</v>
      </c>
      <c r="P2108" s="375" t="s">
        <v>2909</v>
      </c>
      <c r="Q2108" s="642" t="s">
        <v>1441</v>
      </c>
      <c r="R2108" s="31" t="s">
        <v>95</v>
      </c>
      <c r="S2108" s="31" t="s">
        <v>273</v>
      </c>
      <c r="T2108" s="31" t="s">
        <v>273</v>
      </c>
      <c r="U2108" s="31">
        <f>IFERROR(VLOOKUP(CONCATENATE(Tabla1[[#This Row],[Severidad]]," ",Tabla1[[#This Row],[Complejidad]]),Catalogos!E$120:G$128,3,FALSE),"")</f>
        <v>64</v>
      </c>
      <c r="V2108" s="31" t="str">
        <f>IF(Tabla1[[#This Row],[Tiempo solución max (hrs)]]&lt;&gt;"",IF(Tabla1[[#This Row],[Tiempo solución max (hrs)]]&gt;=Tabla1[[#This Row],[Tiempo
(Hrs 00/100)]],"cumple","no cumple"),"")</f>
        <v>cumple</v>
      </c>
      <c r="W2108" s="629" t="s">
        <v>3327</v>
      </c>
      <c r="X2108" s="377" t="str">
        <f t="shared" si="195"/>
        <v>SSI</v>
      </c>
      <c r="Y2108" t="str">
        <f>SUBSTITUTE(Tabla1[[#This Row],[Descripción]],CHAR(10),"    I    ")</f>
        <v>Se revisarón las 2 vistas materializadas proporcionadas por Annel para entender el funcionamiento de estas</v>
      </c>
      <c r="Z2108" s="142">
        <f>VLOOKUP(Tabla1[[#This Row],[Perfil]],Catalogos!$B$75:$D$100,3,FALSE)*Tabla1[[#This Row],[Tiempo
(Hrs 00/100)]]*1.16</f>
        <v>1739.9999999999998</v>
      </c>
    </row>
    <row r="2109" spans="1:26" ht="15" customHeight="1" x14ac:dyDescent="0.3">
      <c r="A2109" s="637" t="s">
        <v>22</v>
      </c>
      <c r="B2109" s="637" t="s">
        <v>305</v>
      </c>
      <c r="C2109" s="637" t="s">
        <v>257</v>
      </c>
      <c r="D2109" s="637"/>
      <c r="E2109" s="637" t="s">
        <v>408</v>
      </c>
      <c r="F2109" s="637" t="s">
        <v>72</v>
      </c>
      <c r="G2109" s="637" t="s">
        <v>3899</v>
      </c>
      <c r="H2109" s="638" t="s">
        <v>3514</v>
      </c>
      <c r="I2109" s="645" t="s">
        <v>3515</v>
      </c>
      <c r="J2109" s="731">
        <v>45211</v>
      </c>
      <c r="K2109" s="774">
        <v>0.33333333333333331</v>
      </c>
      <c r="L2109" s="731">
        <v>45211</v>
      </c>
      <c r="M2109" s="774">
        <v>0.4375</v>
      </c>
      <c r="N2109" s="637">
        <v>2.5</v>
      </c>
      <c r="O2109" s="641" t="s">
        <v>17</v>
      </c>
      <c r="P2109" s="375" t="s">
        <v>2909</v>
      </c>
      <c r="Q2109" s="642" t="s">
        <v>1441</v>
      </c>
      <c r="R2109" s="31" t="s">
        <v>95</v>
      </c>
      <c r="S2109" s="31" t="s">
        <v>273</v>
      </c>
      <c r="T2109" s="31" t="s">
        <v>273</v>
      </c>
      <c r="U2109" s="31">
        <f>IFERROR(VLOOKUP(CONCATENATE(Tabla1[[#This Row],[Severidad]]," ",Tabla1[[#This Row],[Complejidad]]),Catalogos!E$120:G$128,3,FALSE),"")</f>
        <v>64</v>
      </c>
      <c r="V2109" s="31" t="str">
        <f>IF(Tabla1[[#This Row],[Tiempo solución max (hrs)]]&lt;&gt;"",IF(Tabla1[[#This Row],[Tiempo solución max (hrs)]]&gt;=Tabla1[[#This Row],[Tiempo
(Hrs 00/100)]],"cumple","no cumple"),"")</f>
        <v>cumple</v>
      </c>
      <c r="W2109" s="629" t="s">
        <v>3327</v>
      </c>
      <c r="X2109" s="377" t="str">
        <f t="shared" si="195"/>
        <v>SSI</v>
      </c>
      <c r="Y2109" t="str">
        <f>SUBSTITUTE(Tabla1[[#This Row],[Descripción]],CHAR(10),"    I    ")</f>
        <v>Se consultó con Samuel cuales serian los proximos entregables para el tema de los Dashboards que van a requerir los procedimientos</v>
      </c>
      <c r="Z2109" s="142">
        <f>VLOOKUP(Tabla1[[#This Row],[Perfil]],Catalogos!$B$75:$D$100,3,FALSE)*Tabla1[[#This Row],[Tiempo
(Hrs 00/100)]]*1.16</f>
        <v>1739.9999999999998</v>
      </c>
    </row>
    <row r="2110" spans="1:26" ht="15" customHeight="1" x14ac:dyDescent="0.3">
      <c r="A2110" s="637" t="s">
        <v>22</v>
      </c>
      <c r="B2110" s="637" t="s">
        <v>305</v>
      </c>
      <c r="C2110" s="637" t="s">
        <v>257</v>
      </c>
      <c r="D2110" s="637"/>
      <c r="E2110" s="637" t="s">
        <v>408</v>
      </c>
      <c r="F2110" s="637" t="s">
        <v>72</v>
      </c>
      <c r="G2110" s="637" t="s">
        <v>3900</v>
      </c>
      <c r="H2110" s="638" t="s">
        <v>3516</v>
      </c>
      <c r="I2110" s="645" t="s">
        <v>3517</v>
      </c>
      <c r="J2110" s="731">
        <v>45212</v>
      </c>
      <c r="K2110" s="774">
        <v>0.33333333333333331</v>
      </c>
      <c r="L2110" s="731">
        <v>45212</v>
      </c>
      <c r="M2110" s="774">
        <v>0.375</v>
      </c>
      <c r="N2110" s="637">
        <v>1</v>
      </c>
      <c r="O2110" s="641" t="s">
        <v>17</v>
      </c>
      <c r="P2110" s="375" t="s">
        <v>2909</v>
      </c>
      <c r="Q2110" s="642" t="s">
        <v>1441</v>
      </c>
      <c r="R2110" s="31" t="s">
        <v>95</v>
      </c>
      <c r="S2110" s="31" t="s">
        <v>273</v>
      </c>
      <c r="T2110" s="31" t="s">
        <v>273</v>
      </c>
      <c r="U2110" s="31">
        <f>IFERROR(VLOOKUP(CONCATENATE(Tabla1[[#This Row],[Severidad]]," ",Tabla1[[#This Row],[Complejidad]]),Catalogos!E$120:G$128,3,FALSE),"")</f>
        <v>64</v>
      </c>
      <c r="V2110" s="31" t="str">
        <f>IF(Tabla1[[#This Row],[Tiempo solución max (hrs)]]&lt;&gt;"",IF(Tabla1[[#This Row],[Tiempo solución max (hrs)]]&gt;=Tabla1[[#This Row],[Tiempo
(Hrs 00/100)]],"cumple","no cumple"),"")</f>
        <v>cumple</v>
      </c>
      <c r="W2110" s="629" t="s">
        <v>3327</v>
      </c>
      <c r="X2110" s="377" t="str">
        <f t="shared" si="195"/>
        <v>SSI</v>
      </c>
      <c r="Y2110" t="str">
        <f>SUBSTITUTE(Tabla1[[#This Row],[Descripción]],CHAR(10),"    I    ")</f>
        <v>Se tuvo sesion con Samuel para revisar la estructura de las tablas 'BI_VWM_SOLICITUDES_ESTADISTICAS' y 'BI_VWM_SOLICITUDES_ESTADISTICAS_DETALLE'</v>
      </c>
      <c r="Z2110" s="142">
        <f>VLOOKUP(Tabla1[[#This Row],[Perfil]],Catalogos!$B$75:$D$100,3,FALSE)*Tabla1[[#This Row],[Tiempo
(Hrs 00/100)]]*1.16</f>
        <v>696</v>
      </c>
    </row>
    <row r="2111" spans="1:26" ht="15" customHeight="1" x14ac:dyDescent="0.3">
      <c r="A2111" s="637" t="s">
        <v>22</v>
      </c>
      <c r="B2111" s="637" t="s">
        <v>305</v>
      </c>
      <c r="C2111" s="637" t="s">
        <v>257</v>
      </c>
      <c r="D2111" s="637"/>
      <c r="E2111" s="637" t="s">
        <v>408</v>
      </c>
      <c r="F2111" s="637" t="s">
        <v>72</v>
      </c>
      <c r="G2111" s="637" t="s">
        <v>3901</v>
      </c>
      <c r="H2111" s="638" t="s">
        <v>3518</v>
      </c>
      <c r="I2111" s="645" t="s">
        <v>3519</v>
      </c>
      <c r="J2111" s="731">
        <v>45212</v>
      </c>
      <c r="K2111" s="774">
        <v>0.375</v>
      </c>
      <c r="L2111" s="731">
        <v>45212</v>
      </c>
      <c r="M2111" s="774">
        <v>0.4375</v>
      </c>
      <c r="N2111" s="637">
        <v>1.5</v>
      </c>
      <c r="O2111" s="641" t="s">
        <v>17</v>
      </c>
      <c r="P2111" s="375" t="s">
        <v>2909</v>
      </c>
      <c r="Q2111" s="642" t="s">
        <v>1441</v>
      </c>
      <c r="R2111" s="31" t="s">
        <v>95</v>
      </c>
      <c r="S2111" s="31" t="s">
        <v>273</v>
      </c>
      <c r="T2111" s="31" t="s">
        <v>273</v>
      </c>
      <c r="U2111" s="31">
        <f>IFERROR(VLOOKUP(CONCATENATE(Tabla1[[#This Row],[Severidad]]," ",Tabla1[[#This Row],[Complejidad]]),Catalogos!E$120:G$128,3,FALSE),"")</f>
        <v>64</v>
      </c>
      <c r="V2111" s="31" t="str">
        <f>IF(Tabla1[[#This Row],[Tiempo solución max (hrs)]]&lt;&gt;"",IF(Tabla1[[#This Row],[Tiempo solución max (hrs)]]&gt;=Tabla1[[#This Row],[Tiempo
(Hrs 00/100)]],"cumple","no cumple"),"")</f>
        <v>cumple</v>
      </c>
      <c r="W2111" s="629" t="s">
        <v>3327</v>
      </c>
      <c r="X2111" s="377" t="str">
        <f t="shared" si="195"/>
        <v>SSI</v>
      </c>
      <c r="Y2111" t="str">
        <f>SUBSTITUTE(Tabla1[[#This Row],[Descripción]],CHAR(10),"    I    ")</f>
        <v>Se tuvo sesión con Samuel y el equipo para conocer el alcance del requerimiento y lo que tengo que comenzar a desarrollar, los entregables a trabajar</v>
      </c>
      <c r="Z2111" s="142">
        <f>VLOOKUP(Tabla1[[#This Row],[Perfil]],Catalogos!$B$75:$D$100,3,FALSE)*Tabla1[[#This Row],[Tiempo
(Hrs 00/100)]]*1.16</f>
        <v>1044</v>
      </c>
    </row>
    <row r="2112" spans="1:26" ht="15" customHeight="1" x14ac:dyDescent="0.3">
      <c r="A2112" s="637" t="s">
        <v>22</v>
      </c>
      <c r="B2112" s="637" t="s">
        <v>305</v>
      </c>
      <c r="C2112" s="637" t="s">
        <v>257</v>
      </c>
      <c r="D2112" s="637"/>
      <c r="E2112" s="637" t="s">
        <v>408</v>
      </c>
      <c r="F2112" s="637" t="s">
        <v>72</v>
      </c>
      <c r="G2112" s="637" t="s">
        <v>3902</v>
      </c>
      <c r="H2112" s="638" t="s">
        <v>3520</v>
      </c>
      <c r="I2112" s="645" t="s">
        <v>3521</v>
      </c>
      <c r="J2112" s="731">
        <v>45212</v>
      </c>
      <c r="K2112" s="774">
        <v>0.4375</v>
      </c>
      <c r="L2112" s="731">
        <v>45212</v>
      </c>
      <c r="M2112" s="774">
        <v>0.47916666666666669</v>
      </c>
      <c r="N2112" s="637">
        <v>1</v>
      </c>
      <c r="O2112" s="641" t="s">
        <v>17</v>
      </c>
      <c r="P2112" s="375" t="s">
        <v>2909</v>
      </c>
      <c r="Q2112" s="642" t="s">
        <v>1441</v>
      </c>
      <c r="R2112" s="31" t="s">
        <v>95</v>
      </c>
      <c r="S2112" s="31" t="s">
        <v>273</v>
      </c>
      <c r="T2112" s="31" t="s">
        <v>273</v>
      </c>
      <c r="U2112" s="31">
        <f>IFERROR(VLOOKUP(CONCATENATE(Tabla1[[#This Row],[Severidad]]," ",Tabla1[[#This Row],[Complejidad]]),Catalogos!E$120:G$128,3,FALSE),"")</f>
        <v>64</v>
      </c>
      <c r="V2112" s="31" t="str">
        <f>IF(Tabla1[[#This Row],[Tiempo solución max (hrs)]]&lt;&gt;"",IF(Tabla1[[#This Row],[Tiempo solución max (hrs)]]&gt;=Tabla1[[#This Row],[Tiempo
(Hrs 00/100)]],"cumple","no cumple"),"")</f>
        <v>cumple</v>
      </c>
      <c r="W2112" s="629" t="s">
        <v>3327</v>
      </c>
      <c r="X2112" s="377" t="str">
        <f t="shared" si="195"/>
        <v>SSI</v>
      </c>
      <c r="Y2112" t="str">
        <f>SUBSTITUTE(Tabla1[[#This Row],[Descripción]],CHAR(10),"    I    ")</f>
        <v>Se tomó nota del como se deben poner los nombres de los procedimientos, así como las variables de entrada y salida</v>
      </c>
      <c r="Z2112" s="142">
        <f>VLOOKUP(Tabla1[[#This Row],[Perfil]],Catalogos!$B$75:$D$100,3,FALSE)*Tabla1[[#This Row],[Tiempo
(Hrs 00/100)]]*1.16</f>
        <v>696</v>
      </c>
    </row>
    <row r="2113" spans="1:26" ht="15" customHeight="1" x14ac:dyDescent="0.3">
      <c r="A2113" s="637" t="s">
        <v>22</v>
      </c>
      <c r="B2113" s="637" t="s">
        <v>305</v>
      </c>
      <c r="C2113" s="637" t="s">
        <v>257</v>
      </c>
      <c r="D2113" s="637"/>
      <c r="E2113" s="637" t="s">
        <v>408</v>
      </c>
      <c r="F2113" s="637" t="s">
        <v>72</v>
      </c>
      <c r="G2113" s="637" t="s">
        <v>3903</v>
      </c>
      <c r="H2113" s="638" t="s">
        <v>3522</v>
      </c>
      <c r="I2113" s="645" t="s">
        <v>3523</v>
      </c>
      <c r="J2113" s="731">
        <v>45212</v>
      </c>
      <c r="K2113" s="774">
        <v>0.47916666666666669</v>
      </c>
      <c r="L2113" s="731">
        <v>45212</v>
      </c>
      <c r="M2113" s="774">
        <v>0.52083333333333337</v>
      </c>
      <c r="N2113" s="637">
        <v>1</v>
      </c>
      <c r="O2113" s="641" t="s">
        <v>17</v>
      </c>
      <c r="P2113" s="375" t="s">
        <v>2909</v>
      </c>
      <c r="Q2113" s="642" t="s">
        <v>1441</v>
      </c>
      <c r="R2113" s="31" t="s">
        <v>95</v>
      </c>
      <c r="S2113" s="31" t="s">
        <v>273</v>
      </c>
      <c r="T2113" s="31" t="s">
        <v>273</v>
      </c>
      <c r="U2113" s="31">
        <f>IFERROR(VLOOKUP(CONCATENATE(Tabla1[[#This Row],[Severidad]]," ",Tabla1[[#This Row],[Complejidad]]),Catalogos!E$120:G$128,3,FALSE),"")</f>
        <v>64</v>
      </c>
      <c r="V2113" s="31" t="str">
        <f>IF(Tabla1[[#This Row],[Tiempo solución max (hrs)]]&lt;&gt;"",IF(Tabla1[[#This Row],[Tiempo solución max (hrs)]]&gt;=Tabla1[[#This Row],[Tiempo
(Hrs 00/100)]],"cumple","no cumple"),"")</f>
        <v>cumple</v>
      </c>
      <c r="W2113" s="629" t="s">
        <v>3327</v>
      </c>
      <c r="X2113" s="377" t="str">
        <f t="shared" si="195"/>
        <v>SSI</v>
      </c>
      <c r="Y2113" t="str">
        <f>SUBSTITUTE(Tabla1[[#This Row],[Descripción]],CHAR(10),"    I    ")</f>
        <v>Se tomó pantalla de la maqueta de procedimientos inicial que es con la cual se validara el total de los procedimientos</v>
      </c>
      <c r="Z2113" s="142">
        <f>VLOOKUP(Tabla1[[#This Row],[Perfil]],Catalogos!$B$75:$D$100,3,FALSE)*Tabla1[[#This Row],[Tiempo
(Hrs 00/100)]]*1.16</f>
        <v>696</v>
      </c>
    </row>
    <row r="2114" spans="1:26" ht="15" customHeight="1" x14ac:dyDescent="0.3">
      <c r="A2114" s="637" t="s">
        <v>22</v>
      </c>
      <c r="B2114" s="637" t="s">
        <v>305</v>
      </c>
      <c r="C2114" s="637" t="s">
        <v>257</v>
      </c>
      <c r="D2114" s="637"/>
      <c r="E2114" s="637" t="s">
        <v>408</v>
      </c>
      <c r="F2114" s="637" t="s">
        <v>72</v>
      </c>
      <c r="G2114" s="637" t="s">
        <v>3904</v>
      </c>
      <c r="H2114" s="638" t="s">
        <v>3524</v>
      </c>
      <c r="I2114" s="645" t="s">
        <v>3525</v>
      </c>
      <c r="J2114" s="731">
        <v>45212</v>
      </c>
      <c r="K2114" s="774">
        <v>0.52083333333333337</v>
      </c>
      <c r="L2114" s="731">
        <v>45212</v>
      </c>
      <c r="M2114" s="774">
        <v>0.5625</v>
      </c>
      <c r="N2114" s="637">
        <v>1</v>
      </c>
      <c r="O2114" s="641" t="s">
        <v>17</v>
      </c>
      <c r="P2114" s="375" t="s">
        <v>2909</v>
      </c>
      <c r="Q2114" s="642" t="s">
        <v>1441</v>
      </c>
      <c r="R2114" s="31" t="s">
        <v>95</v>
      </c>
      <c r="S2114" s="31" t="s">
        <v>273</v>
      </c>
      <c r="T2114" s="31" t="s">
        <v>273</v>
      </c>
      <c r="U2114" s="31">
        <f>IFERROR(VLOOKUP(CONCATENATE(Tabla1[[#This Row],[Severidad]]," ",Tabla1[[#This Row],[Complejidad]]),Catalogos!E$120:G$128,3,FALSE),"")</f>
        <v>64</v>
      </c>
      <c r="V2114" s="31" t="str">
        <f>IF(Tabla1[[#This Row],[Tiempo solución max (hrs)]]&lt;&gt;"",IF(Tabla1[[#This Row],[Tiempo solución max (hrs)]]&gt;=Tabla1[[#This Row],[Tiempo
(Hrs 00/100)]],"cumple","no cumple"),"")</f>
        <v>cumple</v>
      </c>
      <c r="W2114" s="629" t="s">
        <v>3327</v>
      </c>
      <c r="X2114" s="377" t="str">
        <f t="shared" si="195"/>
        <v>SSI</v>
      </c>
      <c r="Y2114" t="str">
        <f>SUBSTITUTE(Tabla1[[#This Row],[Descripción]],CHAR(10),"    I    ")</f>
        <v>Se validó conexión con el usuario BI y se comprueba que si tenga acceso a las vistas del requerimiento</v>
      </c>
      <c r="Z2114" s="142">
        <f>VLOOKUP(Tabla1[[#This Row],[Perfil]],Catalogos!$B$75:$D$100,3,FALSE)*Tabla1[[#This Row],[Tiempo
(Hrs 00/100)]]*1.16</f>
        <v>696</v>
      </c>
    </row>
    <row r="2115" spans="1:26" ht="15" customHeight="1" x14ac:dyDescent="0.3">
      <c r="A2115" s="637" t="s">
        <v>22</v>
      </c>
      <c r="B2115" s="637" t="s">
        <v>305</v>
      </c>
      <c r="C2115" s="637" t="s">
        <v>257</v>
      </c>
      <c r="D2115" s="637"/>
      <c r="E2115" s="637" t="s">
        <v>408</v>
      </c>
      <c r="F2115" s="637" t="s">
        <v>72</v>
      </c>
      <c r="G2115" s="637" t="s">
        <v>3905</v>
      </c>
      <c r="H2115" s="638" t="s">
        <v>3526</v>
      </c>
      <c r="I2115" s="645" t="s">
        <v>3527</v>
      </c>
      <c r="J2115" s="731">
        <v>45212</v>
      </c>
      <c r="K2115" s="774">
        <v>0.60416666666666663</v>
      </c>
      <c r="L2115" s="731">
        <v>45212</v>
      </c>
      <c r="M2115" s="774">
        <v>0.64583333333333337</v>
      </c>
      <c r="N2115" s="637">
        <v>1</v>
      </c>
      <c r="O2115" s="641" t="s">
        <v>17</v>
      </c>
      <c r="P2115" s="375" t="s">
        <v>2909</v>
      </c>
      <c r="Q2115" s="642" t="s">
        <v>1441</v>
      </c>
      <c r="R2115" s="31" t="s">
        <v>95</v>
      </c>
      <c r="S2115" s="31" t="s">
        <v>273</v>
      </c>
      <c r="T2115" s="31" t="s">
        <v>273</v>
      </c>
      <c r="U2115" s="31">
        <f>IFERROR(VLOOKUP(CONCATENATE(Tabla1[[#This Row],[Severidad]]," ",Tabla1[[#This Row],[Complejidad]]),Catalogos!E$120:G$128,3,FALSE),"")</f>
        <v>64</v>
      </c>
      <c r="V2115" s="31" t="str">
        <f>IF(Tabla1[[#This Row],[Tiempo solución max (hrs)]]&lt;&gt;"",IF(Tabla1[[#This Row],[Tiempo solución max (hrs)]]&gt;=Tabla1[[#This Row],[Tiempo
(Hrs 00/100)]],"cumple","no cumple"),"")</f>
        <v>cumple</v>
      </c>
      <c r="W2115" s="629" t="s">
        <v>3327</v>
      </c>
      <c r="X2115" s="377" t="str">
        <f t="shared" si="195"/>
        <v>SSI</v>
      </c>
      <c r="Y2115" t="str">
        <f>SUBSTITUTE(Tabla1[[#This Row],[Descripción]],CHAR(10),"    I    ")</f>
        <v>Se definio el total de procedimientos y se le da un nombre a cada uno para comenzar a desarrollar el paquete</v>
      </c>
      <c r="Z2115" s="142">
        <f>VLOOKUP(Tabla1[[#This Row],[Perfil]],Catalogos!$B$75:$D$100,3,FALSE)*Tabla1[[#This Row],[Tiempo
(Hrs 00/100)]]*1.16</f>
        <v>696</v>
      </c>
    </row>
    <row r="2116" spans="1:26" ht="15" customHeight="1" x14ac:dyDescent="0.3">
      <c r="A2116" s="637" t="s">
        <v>22</v>
      </c>
      <c r="B2116" s="637" t="s">
        <v>23</v>
      </c>
      <c r="C2116" s="637" t="s">
        <v>257</v>
      </c>
      <c r="D2116" s="637"/>
      <c r="E2116" s="637" t="s">
        <v>408</v>
      </c>
      <c r="F2116" s="637" t="s">
        <v>23</v>
      </c>
      <c r="G2116" s="637" t="s">
        <v>3906</v>
      </c>
      <c r="H2116" s="638" t="s">
        <v>3528</v>
      </c>
      <c r="I2116" s="645" t="s">
        <v>3529</v>
      </c>
      <c r="J2116" s="731">
        <v>45212</v>
      </c>
      <c r="K2116" s="774">
        <v>0.64583333333333337</v>
      </c>
      <c r="L2116" s="731">
        <v>45212</v>
      </c>
      <c r="M2116" s="774">
        <v>0.6875</v>
      </c>
      <c r="N2116" s="637">
        <v>1</v>
      </c>
      <c r="O2116" s="641" t="s">
        <v>17</v>
      </c>
      <c r="P2116" s="375" t="s">
        <v>2909</v>
      </c>
      <c r="Q2116" s="642" t="s">
        <v>1441</v>
      </c>
      <c r="R2116" s="31" t="s">
        <v>95</v>
      </c>
      <c r="S2116" s="31" t="s">
        <v>273</v>
      </c>
      <c r="T2116" s="31" t="s">
        <v>273</v>
      </c>
      <c r="U2116" s="31">
        <f>IFERROR(VLOOKUP(CONCATENATE(Tabla1[[#This Row],[Severidad]]," ",Tabla1[[#This Row],[Complejidad]]),Catalogos!E$120:G$128,3,FALSE),"")</f>
        <v>64</v>
      </c>
      <c r="V2116" s="31" t="str">
        <f>IF(Tabla1[[#This Row],[Tiempo solución max (hrs)]]&lt;&gt;"",IF(Tabla1[[#This Row],[Tiempo solución max (hrs)]]&gt;=Tabla1[[#This Row],[Tiempo
(Hrs 00/100)]],"cumple","no cumple"),"")</f>
        <v>cumple</v>
      </c>
      <c r="W2116" s="629" t="s">
        <v>3327</v>
      </c>
      <c r="X2116" s="377" t="str">
        <f t="shared" si="195"/>
        <v>SSI</v>
      </c>
      <c r="Y2116" t="str">
        <f>SUBSTITUTE(Tabla1[[#This Row],[Descripción]],CHAR(10),"    I    ")</f>
        <v>Se creó paquete de la BD 'BI.PACK_SOLICITUDES_ESTADISTICAS' de forma general con su header y su body</v>
      </c>
      <c r="Z2116" s="142">
        <f>VLOOKUP(Tabla1[[#This Row],[Perfil]],Catalogos!$B$75:$D$100,3,FALSE)*Tabla1[[#This Row],[Tiempo
(Hrs 00/100)]]*1.16</f>
        <v>696</v>
      </c>
    </row>
    <row r="2117" spans="1:26" ht="15" customHeight="1" x14ac:dyDescent="0.3">
      <c r="A2117" s="637" t="s">
        <v>22</v>
      </c>
      <c r="B2117" s="637" t="s">
        <v>23</v>
      </c>
      <c r="C2117" s="637" t="s">
        <v>257</v>
      </c>
      <c r="D2117" s="637"/>
      <c r="E2117" s="637" t="s">
        <v>408</v>
      </c>
      <c r="F2117" s="637" t="s">
        <v>23</v>
      </c>
      <c r="G2117" s="637" t="s">
        <v>3907</v>
      </c>
      <c r="H2117" s="638" t="s">
        <v>3530</v>
      </c>
      <c r="I2117" s="645" t="s">
        <v>3531</v>
      </c>
      <c r="J2117" s="731">
        <v>45212</v>
      </c>
      <c r="K2117" s="774">
        <v>0.6875</v>
      </c>
      <c r="L2117" s="731">
        <v>45212</v>
      </c>
      <c r="M2117" s="774">
        <v>0.75</v>
      </c>
      <c r="N2117" s="637">
        <v>1.5</v>
      </c>
      <c r="O2117" s="641" t="s">
        <v>17</v>
      </c>
      <c r="P2117" s="375" t="s">
        <v>2909</v>
      </c>
      <c r="Q2117" s="642" t="s">
        <v>1441</v>
      </c>
      <c r="R2117" s="31" t="s">
        <v>95</v>
      </c>
      <c r="S2117" s="31" t="s">
        <v>273</v>
      </c>
      <c r="T2117" s="31" t="s">
        <v>273</v>
      </c>
      <c r="U2117" s="31">
        <f>IFERROR(VLOOKUP(CONCATENATE(Tabla1[[#This Row],[Severidad]]," ",Tabla1[[#This Row],[Complejidad]]),Catalogos!E$120:G$128,3,FALSE),"")</f>
        <v>64</v>
      </c>
      <c r="V2117" s="31" t="str">
        <f>IF(Tabla1[[#This Row],[Tiempo solución max (hrs)]]&lt;&gt;"",IF(Tabla1[[#This Row],[Tiempo solución max (hrs)]]&gt;=Tabla1[[#This Row],[Tiempo
(Hrs 00/100)]],"cumple","no cumple"),"")</f>
        <v>cumple</v>
      </c>
      <c r="W2117" s="629" t="s">
        <v>3327</v>
      </c>
      <c r="X2117" s="377" t="str">
        <f t="shared" si="195"/>
        <v>SSI</v>
      </c>
      <c r="Y2117" t="str">
        <f>SUBSTITUTE(Tabla1[[#This Row],[Descripción]],CHAR(10),"    I    ")</f>
        <v>Se creó el esqueleto de los 15 procedimientos indentificados inicialmente con los parametros de entrada de los IDs de la tabla 'BI_VWM_SOLICITUDES_ESTADISTICAS_DETALLE' y con su respectivo parametro de cursor para la salida</v>
      </c>
      <c r="Z2117" s="142">
        <f>VLOOKUP(Tabla1[[#This Row],[Perfil]],Catalogos!$B$75:$D$100,3,FALSE)*Tabla1[[#This Row],[Tiempo
(Hrs 00/100)]]*1.16</f>
        <v>1044</v>
      </c>
    </row>
    <row r="2118" spans="1:26" ht="15" customHeight="1" x14ac:dyDescent="0.3">
      <c r="A2118" s="637" t="s">
        <v>22</v>
      </c>
      <c r="B2118" s="637" t="s">
        <v>23</v>
      </c>
      <c r="C2118" s="637" t="s">
        <v>257</v>
      </c>
      <c r="D2118" s="637"/>
      <c r="E2118" s="637" t="s">
        <v>408</v>
      </c>
      <c r="F2118" s="637" t="s">
        <v>23</v>
      </c>
      <c r="G2118" s="637" t="s">
        <v>3908</v>
      </c>
      <c r="H2118" s="638" t="s">
        <v>3532</v>
      </c>
      <c r="I2118" s="645" t="s">
        <v>3533</v>
      </c>
      <c r="J2118" s="731">
        <v>45212</v>
      </c>
      <c r="K2118" s="774">
        <v>0.75</v>
      </c>
      <c r="L2118" s="731">
        <v>45212</v>
      </c>
      <c r="M2118" s="774">
        <v>0.8125</v>
      </c>
      <c r="N2118" s="637">
        <v>1.5</v>
      </c>
      <c r="O2118" s="641" t="s">
        <v>17</v>
      </c>
      <c r="P2118" s="375" t="s">
        <v>2909</v>
      </c>
      <c r="Q2118" s="642" t="s">
        <v>1441</v>
      </c>
      <c r="R2118" s="31" t="s">
        <v>95</v>
      </c>
      <c r="S2118" s="31" t="s">
        <v>273</v>
      </c>
      <c r="T2118" s="31" t="s">
        <v>273</v>
      </c>
      <c r="U2118" s="31">
        <f>IFERROR(VLOOKUP(CONCATENATE(Tabla1[[#This Row],[Severidad]]," ",Tabla1[[#This Row],[Complejidad]]),Catalogos!E$120:G$128,3,FALSE),"")</f>
        <v>64</v>
      </c>
      <c r="V2118" s="31" t="str">
        <f>IF(Tabla1[[#This Row],[Tiempo solución max (hrs)]]&lt;&gt;"",IF(Tabla1[[#This Row],[Tiempo solución max (hrs)]]&gt;=Tabla1[[#This Row],[Tiempo
(Hrs 00/100)]],"cumple","no cumple"),"")</f>
        <v>cumple</v>
      </c>
      <c r="W2118" s="629" t="s">
        <v>3327</v>
      </c>
      <c r="X2118" s="377" t="str">
        <f t="shared" si="195"/>
        <v>SSI</v>
      </c>
      <c r="Y2118" t="str">
        <f>SUBSTITUTE(Tabla1[[#This Row],[Descripción]],CHAR(10),"    I    ")</f>
        <v>Se creó el contenido del procedimiento #1 OBTENER_TIPO_SOLICITUD con la consulta que va a retornar el total por el Tipo de Solicitud de la tabla 'BI_VWM_SOLICITUDES_ESTADISTICAS_DETALLE' con la relación de su respectivo Catalogo para obtener su descripción</v>
      </c>
      <c r="Z2118" s="142">
        <f>VLOOKUP(Tabla1[[#This Row],[Perfil]],Catalogos!$B$75:$D$100,3,FALSE)*Tabla1[[#This Row],[Tiempo
(Hrs 00/100)]]*1.16</f>
        <v>1044</v>
      </c>
    </row>
    <row r="2119" spans="1:26" ht="15" customHeight="1" x14ac:dyDescent="0.3">
      <c r="A2119" s="637" t="s">
        <v>22</v>
      </c>
      <c r="B2119" s="637" t="s">
        <v>23</v>
      </c>
      <c r="C2119" s="637" t="s">
        <v>257</v>
      </c>
      <c r="D2119" s="637"/>
      <c r="E2119" s="637" t="s">
        <v>408</v>
      </c>
      <c r="F2119" s="637" t="s">
        <v>23</v>
      </c>
      <c r="G2119" s="637" t="s">
        <v>3909</v>
      </c>
      <c r="H2119" s="638" t="s">
        <v>3534</v>
      </c>
      <c r="I2119" s="645" t="s">
        <v>3535</v>
      </c>
      <c r="J2119" s="731">
        <v>45212</v>
      </c>
      <c r="K2119" s="774">
        <v>0.8125</v>
      </c>
      <c r="L2119" s="731">
        <v>45212</v>
      </c>
      <c r="M2119" s="774">
        <v>0.85416666666666663</v>
      </c>
      <c r="N2119" s="637">
        <v>1</v>
      </c>
      <c r="O2119" s="641" t="s">
        <v>17</v>
      </c>
      <c r="P2119" s="375" t="s">
        <v>2909</v>
      </c>
      <c r="Q2119" s="642" t="s">
        <v>1441</v>
      </c>
      <c r="R2119" s="31" t="s">
        <v>95</v>
      </c>
      <c r="S2119" s="31" t="s">
        <v>273</v>
      </c>
      <c r="T2119" s="31" t="s">
        <v>273</v>
      </c>
      <c r="U2119" s="31">
        <f>IFERROR(VLOOKUP(CONCATENATE(Tabla1[[#This Row],[Severidad]]," ",Tabla1[[#This Row],[Complejidad]]),Catalogos!E$120:G$128,3,FALSE),"")</f>
        <v>64</v>
      </c>
      <c r="V2119" s="31" t="str">
        <f>IF(Tabla1[[#This Row],[Tiempo solución max (hrs)]]&lt;&gt;"",IF(Tabla1[[#This Row],[Tiempo solución max (hrs)]]&gt;=Tabla1[[#This Row],[Tiempo
(Hrs 00/100)]],"cumple","no cumple"),"")</f>
        <v>cumple</v>
      </c>
      <c r="W2119" s="629" t="s">
        <v>3327</v>
      </c>
      <c r="X2119" s="377" t="str">
        <f t="shared" si="195"/>
        <v>SSI</v>
      </c>
      <c r="Y2119" t="str">
        <f>SUBSTITUTE(Tabla1[[#This Row],[Descripción]],CHAR(10),"    I    ")</f>
        <v>Se compiló paquete con la primer versión del 1er procedimiento y se valida que no tenga errores</v>
      </c>
      <c r="Z2119" s="142">
        <f>VLOOKUP(Tabla1[[#This Row],[Perfil]],Catalogos!$B$75:$D$100,3,FALSE)*Tabla1[[#This Row],[Tiempo
(Hrs 00/100)]]*1.16</f>
        <v>696</v>
      </c>
    </row>
    <row r="2120" spans="1:26" ht="15" customHeight="1" x14ac:dyDescent="0.3">
      <c r="A2120" s="637" t="s">
        <v>22</v>
      </c>
      <c r="B2120" s="637" t="s">
        <v>23</v>
      </c>
      <c r="C2120" s="637" t="s">
        <v>257</v>
      </c>
      <c r="D2120" s="637"/>
      <c r="E2120" s="637" t="s">
        <v>408</v>
      </c>
      <c r="F2120" s="637" t="s">
        <v>23</v>
      </c>
      <c r="G2120" s="637" t="s">
        <v>3910</v>
      </c>
      <c r="H2120" s="638" t="s">
        <v>3536</v>
      </c>
      <c r="I2120" s="645" t="s">
        <v>3537</v>
      </c>
      <c r="J2120" s="731">
        <v>45212</v>
      </c>
      <c r="K2120" s="774">
        <v>0.85416666666666663</v>
      </c>
      <c r="L2120" s="731">
        <v>45212</v>
      </c>
      <c r="M2120" s="774">
        <v>0.89583333333333337</v>
      </c>
      <c r="N2120" s="637">
        <v>1</v>
      </c>
      <c r="O2120" s="641" t="s">
        <v>17</v>
      </c>
      <c r="P2120" s="375" t="s">
        <v>2909</v>
      </c>
      <c r="Q2120" s="642" t="s">
        <v>1441</v>
      </c>
      <c r="R2120" s="31" t="s">
        <v>95</v>
      </c>
      <c r="S2120" s="31" t="s">
        <v>273</v>
      </c>
      <c r="T2120" s="31" t="s">
        <v>273</v>
      </c>
      <c r="U2120" s="31">
        <f>IFERROR(VLOOKUP(CONCATENATE(Tabla1[[#This Row],[Severidad]]," ",Tabla1[[#This Row],[Complejidad]]),Catalogos!E$120:G$128,3,FALSE),"")</f>
        <v>64</v>
      </c>
      <c r="V2120" s="31" t="str">
        <f>IF(Tabla1[[#This Row],[Tiempo solución max (hrs)]]&lt;&gt;"",IF(Tabla1[[#This Row],[Tiempo solución max (hrs)]]&gt;=Tabla1[[#This Row],[Tiempo
(Hrs 00/100)]],"cumple","no cumple"),"")</f>
        <v>cumple</v>
      </c>
      <c r="W2120" s="629" t="s">
        <v>3327</v>
      </c>
      <c r="X2120" s="377" t="str">
        <f t="shared" si="195"/>
        <v>SSI</v>
      </c>
      <c r="Y2120" t="str">
        <f>SUBSTITUTE(Tabla1[[#This Row],[Descripción]],CHAR(10),"    I    ")</f>
        <v>Se declararón las variables en bloque anónimo con validación exacta de tamaños de tipos de datos, del query del procdimiento OBTENER_TIPO_SOLICITUD</v>
      </c>
      <c r="Z2120" s="142">
        <f>VLOOKUP(Tabla1[[#This Row],[Perfil]],Catalogos!$B$75:$D$100,3,FALSE)*Tabla1[[#This Row],[Tiempo
(Hrs 00/100)]]*1.16</f>
        <v>696</v>
      </c>
    </row>
    <row r="2121" spans="1:26" ht="15" customHeight="1" x14ac:dyDescent="0.3">
      <c r="A2121" s="637" t="s">
        <v>22</v>
      </c>
      <c r="B2121" s="637" t="s">
        <v>23</v>
      </c>
      <c r="C2121" s="637" t="s">
        <v>257</v>
      </c>
      <c r="D2121" s="637"/>
      <c r="E2121" s="637" t="s">
        <v>408</v>
      </c>
      <c r="F2121" s="637" t="s">
        <v>75</v>
      </c>
      <c r="G2121" s="637" t="s">
        <v>3911</v>
      </c>
      <c r="H2121" s="638" t="s">
        <v>3538</v>
      </c>
      <c r="I2121" s="645" t="s">
        <v>3539</v>
      </c>
      <c r="J2121" s="731">
        <v>45212</v>
      </c>
      <c r="K2121" s="774">
        <v>0.89583333333333337</v>
      </c>
      <c r="L2121" s="731">
        <v>45212</v>
      </c>
      <c r="M2121" s="774">
        <v>0.91666666666666663</v>
      </c>
      <c r="N2121" s="637">
        <v>0.5</v>
      </c>
      <c r="O2121" s="641" t="s">
        <v>17</v>
      </c>
      <c r="P2121" s="375" t="s">
        <v>2909</v>
      </c>
      <c r="Q2121" s="642" t="s">
        <v>1441</v>
      </c>
      <c r="R2121" s="31" t="s">
        <v>95</v>
      </c>
      <c r="S2121" s="31" t="s">
        <v>273</v>
      </c>
      <c r="T2121" s="31" t="s">
        <v>273</v>
      </c>
      <c r="U2121" s="31">
        <f>IFERROR(VLOOKUP(CONCATENATE(Tabla1[[#This Row],[Severidad]]," ",Tabla1[[#This Row],[Complejidad]]),Catalogos!E$120:G$128,3,FALSE),"")</f>
        <v>64</v>
      </c>
      <c r="V2121" s="31" t="str">
        <f>IF(Tabla1[[#This Row],[Tiempo solución max (hrs)]]&lt;&gt;"",IF(Tabla1[[#This Row],[Tiempo solución max (hrs)]]&gt;=Tabla1[[#This Row],[Tiempo
(Hrs 00/100)]],"cumple","no cumple"),"")</f>
        <v>cumple</v>
      </c>
      <c r="W2121" s="629" t="s">
        <v>3327</v>
      </c>
      <c r="X2121" s="377" t="str">
        <f t="shared" si="195"/>
        <v>SSI</v>
      </c>
      <c r="Y2121" t="str">
        <f>SUBSTITUTE(Tabla1[[#This Row],[Descripción]],CHAR(10),"    I    ")</f>
        <v xml:space="preserve">Se validó el paquete-procedimiento 'OBTENER_TIPO_SOLICITUD' con el bloque anónimo correcto y se tuvo un resultado exitoso con la salida del cursor completo </v>
      </c>
      <c r="Z2121" s="142">
        <f>VLOOKUP(Tabla1[[#This Row],[Perfil]],Catalogos!$B$75:$D$100,3,FALSE)*Tabla1[[#This Row],[Tiempo
(Hrs 00/100)]]*1.16</f>
        <v>348</v>
      </c>
    </row>
    <row r="2122" spans="1:26" ht="15" customHeight="1" x14ac:dyDescent="0.3">
      <c r="A2122" s="637" t="s">
        <v>22</v>
      </c>
      <c r="B2122" s="637" t="s">
        <v>305</v>
      </c>
      <c r="C2122" s="637" t="s">
        <v>257</v>
      </c>
      <c r="D2122" s="637"/>
      <c r="E2122" s="637" t="s">
        <v>408</v>
      </c>
      <c r="F2122" s="637" t="s">
        <v>72</v>
      </c>
      <c r="G2122" s="637" t="s">
        <v>3912</v>
      </c>
      <c r="H2122" s="638" t="s">
        <v>3540</v>
      </c>
      <c r="I2122" s="645" t="s">
        <v>3541</v>
      </c>
      <c r="J2122" s="731">
        <v>45215</v>
      </c>
      <c r="K2122" s="774">
        <v>0.33333333333333331</v>
      </c>
      <c r="L2122" s="731">
        <v>45215</v>
      </c>
      <c r="M2122" s="774">
        <v>0.39583333333333331</v>
      </c>
      <c r="N2122" s="637">
        <v>1.5</v>
      </c>
      <c r="O2122" s="641" t="s">
        <v>17</v>
      </c>
      <c r="P2122" s="375" t="s">
        <v>2909</v>
      </c>
      <c r="Q2122" s="642" t="s">
        <v>1441</v>
      </c>
      <c r="R2122" s="31" t="s">
        <v>95</v>
      </c>
      <c r="S2122" s="31" t="s">
        <v>273</v>
      </c>
      <c r="T2122" s="31" t="s">
        <v>273</v>
      </c>
      <c r="U2122" s="31">
        <f>IFERROR(VLOOKUP(CONCATENATE(Tabla1[[#This Row],[Severidad]]," ",Tabla1[[#This Row],[Complejidad]]),Catalogos!E$120:G$128,3,FALSE),"")</f>
        <v>64</v>
      </c>
      <c r="V2122" s="31" t="str">
        <f>IF(Tabla1[[#This Row],[Tiempo solución max (hrs)]]&lt;&gt;"",IF(Tabla1[[#This Row],[Tiempo solución max (hrs)]]&gt;=Tabla1[[#This Row],[Tiempo
(Hrs 00/100)]],"cumple","no cumple"),"")</f>
        <v>cumple</v>
      </c>
      <c r="W2122" s="629" t="s">
        <v>3327</v>
      </c>
      <c r="X2122" s="377" t="str">
        <f t="shared" si="195"/>
        <v>SSI</v>
      </c>
      <c r="Y2122" t="str">
        <f>SUBSTITUTE(Tabla1[[#This Row],[Descripción]],CHAR(10),"    I    ")</f>
        <v>Se tuvo sesión con equipo para mostrar avances del paquete y procedimientos creados y para aclarar dudas para continuar avanzando</v>
      </c>
      <c r="Z2122" s="142">
        <f>VLOOKUP(Tabla1[[#This Row],[Perfil]],Catalogos!$B$75:$D$100,3,FALSE)*Tabla1[[#This Row],[Tiempo
(Hrs 00/100)]]*1.16</f>
        <v>1044</v>
      </c>
    </row>
    <row r="2123" spans="1:26" ht="15" customHeight="1" x14ac:dyDescent="0.3">
      <c r="A2123" s="637" t="s">
        <v>22</v>
      </c>
      <c r="B2123" s="637" t="s">
        <v>305</v>
      </c>
      <c r="C2123" s="637" t="s">
        <v>257</v>
      </c>
      <c r="D2123" s="637"/>
      <c r="E2123" s="637" t="s">
        <v>408</v>
      </c>
      <c r="F2123" s="637" t="s">
        <v>72</v>
      </c>
      <c r="G2123" s="637" t="s">
        <v>3913</v>
      </c>
      <c r="H2123" s="638" t="s">
        <v>3542</v>
      </c>
      <c r="I2123" s="645" t="s">
        <v>3543</v>
      </c>
      <c r="J2123" s="731">
        <v>45215</v>
      </c>
      <c r="K2123" s="774">
        <v>0.39583333333333331</v>
      </c>
      <c r="L2123" s="731">
        <v>45215</v>
      </c>
      <c r="M2123" s="774">
        <v>0.4375</v>
      </c>
      <c r="N2123" s="637">
        <v>1</v>
      </c>
      <c r="O2123" s="641" t="s">
        <v>17</v>
      </c>
      <c r="P2123" s="375" t="s">
        <v>2909</v>
      </c>
      <c r="Q2123" s="642" t="s">
        <v>1441</v>
      </c>
      <c r="R2123" s="31" t="s">
        <v>95</v>
      </c>
      <c r="S2123" s="31" t="s">
        <v>273</v>
      </c>
      <c r="T2123" s="31" t="s">
        <v>273</v>
      </c>
      <c r="U2123" s="31">
        <f>IFERROR(VLOOKUP(CONCATENATE(Tabla1[[#This Row],[Severidad]]," ",Tabla1[[#This Row],[Complejidad]]),Catalogos!E$120:G$128,3,FALSE),"")</f>
        <v>64</v>
      </c>
      <c r="V2123" s="31" t="str">
        <f>IF(Tabla1[[#This Row],[Tiempo solución max (hrs)]]&lt;&gt;"",IF(Tabla1[[#This Row],[Tiempo solución max (hrs)]]&gt;=Tabla1[[#This Row],[Tiempo
(Hrs 00/100)]],"cumple","no cumple"),"")</f>
        <v>cumple</v>
      </c>
      <c r="W2123" s="629" t="s">
        <v>3327</v>
      </c>
      <c r="X2123" s="377" t="str">
        <f t="shared" si="195"/>
        <v>SSI</v>
      </c>
      <c r="Y2123" t="str">
        <f>SUBSTITUTE(Tabla1[[#This Row],[Descripción]],CHAR(10),"    I    ")</f>
        <v>Se concluyó que seran un total de 12 procedimientos y se le comparten al equipo los nombres de los procedimientos</v>
      </c>
      <c r="Z2123" s="142">
        <f>VLOOKUP(Tabla1[[#This Row],[Perfil]],Catalogos!$B$75:$D$100,3,FALSE)*Tabla1[[#This Row],[Tiempo
(Hrs 00/100)]]*1.16</f>
        <v>696</v>
      </c>
    </row>
    <row r="2124" spans="1:26" ht="15" customHeight="1" x14ac:dyDescent="0.3">
      <c r="A2124" s="637" t="s">
        <v>22</v>
      </c>
      <c r="B2124" s="637" t="s">
        <v>305</v>
      </c>
      <c r="C2124" s="637" t="s">
        <v>257</v>
      </c>
      <c r="D2124" s="637"/>
      <c r="E2124" s="637" t="s">
        <v>408</v>
      </c>
      <c r="F2124" s="637" t="s">
        <v>72</v>
      </c>
      <c r="G2124" s="637" t="s">
        <v>3914</v>
      </c>
      <c r="H2124" s="638" t="s">
        <v>3544</v>
      </c>
      <c r="I2124" s="645" t="s">
        <v>3545</v>
      </c>
      <c r="J2124" s="731">
        <v>45215</v>
      </c>
      <c r="K2124" s="774">
        <v>0.4375</v>
      </c>
      <c r="L2124" s="731">
        <v>45215</v>
      </c>
      <c r="M2124" s="774">
        <v>0.47916666666666669</v>
      </c>
      <c r="N2124" s="637">
        <v>1</v>
      </c>
      <c r="O2124" s="641" t="s">
        <v>17</v>
      </c>
      <c r="P2124" s="375" t="s">
        <v>2909</v>
      </c>
      <c r="Q2124" s="642" t="s">
        <v>1441</v>
      </c>
      <c r="R2124" s="31" t="s">
        <v>95</v>
      </c>
      <c r="S2124" s="31" t="s">
        <v>273</v>
      </c>
      <c r="T2124" s="31" t="s">
        <v>273</v>
      </c>
      <c r="U2124" s="31">
        <f>IFERROR(VLOOKUP(CONCATENATE(Tabla1[[#This Row],[Severidad]]," ",Tabla1[[#This Row],[Complejidad]]),Catalogos!E$120:G$128,3,FALSE),"")</f>
        <v>64</v>
      </c>
      <c r="V2124" s="31" t="str">
        <f>IF(Tabla1[[#This Row],[Tiempo solución max (hrs)]]&lt;&gt;"",IF(Tabla1[[#This Row],[Tiempo solución max (hrs)]]&gt;=Tabla1[[#This Row],[Tiempo
(Hrs 00/100)]],"cumple","no cumple"),"")</f>
        <v>cumple</v>
      </c>
      <c r="W2124" s="629" t="s">
        <v>3327</v>
      </c>
      <c r="X2124" s="377" t="str">
        <f t="shared" si="195"/>
        <v>SSI</v>
      </c>
      <c r="Y2124" t="str">
        <f>SUBSTITUTE(Tabla1[[#This Row],[Descripción]],CHAR(10),"    I    ")</f>
        <v>Se validó el acceso al video de sesión pasada del viernes 13 para poder visualizar y aclarar cualquier duda</v>
      </c>
      <c r="Z2124" s="142">
        <f>VLOOKUP(Tabla1[[#This Row],[Perfil]],Catalogos!$B$75:$D$100,3,FALSE)*Tabla1[[#This Row],[Tiempo
(Hrs 00/100)]]*1.16</f>
        <v>696</v>
      </c>
    </row>
    <row r="2125" spans="1:26" ht="15" customHeight="1" x14ac:dyDescent="0.3">
      <c r="A2125" s="637" t="s">
        <v>22</v>
      </c>
      <c r="B2125" s="637" t="s">
        <v>305</v>
      </c>
      <c r="C2125" s="637" t="s">
        <v>257</v>
      </c>
      <c r="D2125" s="637"/>
      <c r="E2125" s="637" t="s">
        <v>408</v>
      </c>
      <c r="F2125" s="637" t="s">
        <v>72</v>
      </c>
      <c r="G2125" s="637" t="s">
        <v>3915</v>
      </c>
      <c r="H2125" s="638" t="s">
        <v>3546</v>
      </c>
      <c r="I2125" s="645" t="s">
        <v>3547</v>
      </c>
      <c r="J2125" s="731">
        <v>45215</v>
      </c>
      <c r="K2125" s="774">
        <v>0.47916666666666669</v>
      </c>
      <c r="L2125" s="731">
        <v>45215</v>
      </c>
      <c r="M2125" s="774">
        <v>0.52083333333333337</v>
      </c>
      <c r="N2125" s="637">
        <v>1</v>
      </c>
      <c r="O2125" s="641" t="s">
        <v>17</v>
      </c>
      <c r="P2125" s="375" t="s">
        <v>2909</v>
      </c>
      <c r="Q2125" s="642" t="s">
        <v>1441</v>
      </c>
      <c r="R2125" s="31" t="s">
        <v>95</v>
      </c>
      <c r="S2125" s="31" t="s">
        <v>273</v>
      </c>
      <c r="T2125" s="31" t="s">
        <v>273</v>
      </c>
      <c r="U2125" s="31">
        <f>IFERROR(VLOOKUP(CONCATENATE(Tabla1[[#This Row],[Severidad]]," ",Tabla1[[#This Row],[Complejidad]]),Catalogos!E$120:G$128,3,FALSE),"")</f>
        <v>64</v>
      </c>
      <c r="V2125" s="31" t="str">
        <f>IF(Tabla1[[#This Row],[Tiempo solución max (hrs)]]&lt;&gt;"",IF(Tabla1[[#This Row],[Tiempo solución max (hrs)]]&gt;=Tabla1[[#This Row],[Tiempo
(Hrs 00/100)]],"cumple","no cumple"),"")</f>
        <v>cumple</v>
      </c>
      <c r="W2125" s="629" t="s">
        <v>3327</v>
      </c>
      <c r="X2125" s="377" t="str">
        <f t="shared" si="195"/>
        <v>SSI</v>
      </c>
      <c r="Y2125" t="str">
        <f>SUBSTITUTE(Tabla1[[#This Row],[Descripción]],CHAR(10),"    I    ")</f>
        <v>Se compartió con el DBA un error en el explain plan que se obtiene al validar el costo de las consultas</v>
      </c>
      <c r="Z2125" s="142">
        <f>VLOOKUP(Tabla1[[#This Row],[Perfil]],Catalogos!$B$75:$D$100,3,FALSE)*Tabla1[[#This Row],[Tiempo
(Hrs 00/100)]]*1.16</f>
        <v>696</v>
      </c>
    </row>
    <row r="2126" spans="1:26" ht="15" customHeight="1" x14ac:dyDescent="0.3">
      <c r="A2126" s="637" t="s">
        <v>22</v>
      </c>
      <c r="B2126" s="637" t="s">
        <v>305</v>
      </c>
      <c r="C2126" s="637" t="s">
        <v>257</v>
      </c>
      <c r="D2126" s="637"/>
      <c r="E2126" s="637" t="s">
        <v>408</v>
      </c>
      <c r="F2126" s="637" t="s">
        <v>72</v>
      </c>
      <c r="G2126" s="637" t="s">
        <v>3916</v>
      </c>
      <c r="H2126" s="638" t="s">
        <v>3548</v>
      </c>
      <c r="I2126" s="645" t="s">
        <v>3549</v>
      </c>
      <c r="J2126" s="731">
        <v>45215</v>
      </c>
      <c r="K2126" s="774">
        <v>0.52083333333333337</v>
      </c>
      <c r="L2126" s="731">
        <v>45215</v>
      </c>
      <c r="M2126" s="774">
        <v>0.58333333333333337</v>
      </c>
      <c r="N2126" s="637">
        <v>1.5</v>
      </c>
      <c r="O2126" s="641" t="s">
        <v>17</v>
      </c>
      <c r="P2126" s="375" t="s">
        <v>2909</v>
      </c>
      <c r="Q2126" s="642" t="s">
        <v>1441</v>
      </c>
      <c r="R2126" s="31" t="s">
        <v>95</v>
      </c>
      <c r="S2126" s="31" t="s">
        <v>273</v>
      </c>
      <c r="T2126" s="31" t="s">
        <v>273</v>
      </c>
      <c r="U2126" s="31">
        <f>IFERROR(VLOOKUP(CONCATENATE(Tabla1[[#This Row],[Severidad]]," ",Tabla1[[#This Row],[Complejidad]]),Catalogos!E$120:G$128,3,FALSE),"")</f>
        <v>64</v>
      </c>
      <c r="V2126" s="31" t="str">
        <f>IF(Tabla1[[#This Row],[Tiempo solución max (hrs)]]&lt;&gt;"",IF(Tabla1[[#This Row],[Tiempo solución max (hrs)]]&gt;=Tabla1[[#This Row],[Tiempo
(Hrs 00/100)]],"cumple","no cumple"),"")</f>
        <v>cumple</v>
      </c>
      <c r="W2126" s="629" t="s">
        <v>3327</v>
      </c>
      <c r="X2126" s="377" t="str">
        <f t="shared" ref="X2126:X2157" si="196">IF(C2126&lt;&gt;"",C2126,D2126)</f>
        <v>SSI</v>
      </c>
      <c r="Y2126" t="str">
        <f>SUBSTITUTE(Tabla1[[#This Row],[Descripción]],CHAR(10),"    I    ")</f>
        <v>Se tuvo sesión con equipo solo con Horacio y Antonio y se explicaron algunos cambios a considerar</v>
      </c>
      <c r="Z2126" s="142">
        <f>VLOOKUP(Tabla1[[#This Row],[Perfil]],Catalogos!$B$75:$D$100,3,FALSE)*Tabla1[[#This Row],[Tiempo
(Hrs 00/100)]]*1.16</f>
        <v>1044</v>
      </c>
    </row>
    <row r="2127" spans="1:26" ht="15" customHeight="1" x14ac:dyDescent="0.3">
      <c r="A2127" s="637" t="s">
        <v>22</v>
      </c>
      <c r="B2127" s="637" t="s">
        <v>305</v>
      </c>
      <c r="C2127" s="637" t="s">
        <v>257</v>
      </c>
      <c r="D2127" s="637"/>
      <c r="E2127" s="637" t="s">
        <v>408</v>
      </c>
      <c r="F2127" s="637" t="s">
        <v>72</v>
      </c>
      <c r="G2127" s="637" t="s">
        <v>3917</v>
      </c>
      <c r="H2127" s="638" t="s">
        <v>3550</v>
      </c>
      <c r="I2127" s="645" t="s">
        <v>3551</v>
      </c>
      <c r="J2127" s="731">
        <v>45216</v>
      </c>
      <c r="K2127" s="774">
        <v>0.33333333333333331</v>
      </c>
      <c r="L2127" s="731">
        <v>45216</v>
      </c>
      <c r="M2127" s="774">
        <v>0.375</v>
      </c>
      <c r="N2127" s="637">
        <v>1</v>
      </c>
      <c r="O2127" s="641" t="s">
        <v>17</v>
      </c>
      <c r="P2127" s="375" t="s">
        <v>2909</v>
      </c>
      <c r="Q2127" s="642" t="s">
        <v>1441</v>
      </c>
      <c r="R2127" s="31" t="s">
        <v>95</v>
      </c>
      <c r="S2127" s="31" t="s">
        <v>273</v>
      </c>
      <c r="T2127" s="31" t="s">
        <v>273</v>
      </c>
      <c r="U2127" s="31">
        <f>IFERROR(VLOOKUP(CONCATENATE(Tabla1[[#This Row],[Severidad]]," ",Tabla1[[#This Row],[Complejidad]]),Catalogos!E$120:G$128,3,FALSE),"")</f>
        <v>64</v>
      </c>
      <c r="V2127" s="31" t="str">
        <f>IF(Tabla1[[#This Row],[Tiempo solución max (hrs)]]&lt;&gt;"",IF(Tabla1[[#This Row],[Tiempo solución max (hrs)]]&gt;=Tabla1[[#This Row],[Tiempo
(Hrs 00/100)]],"cumple","no cumple"),"")</f>
        <v>cumple</v>
      </c>
      <c r="W2127" s="629" t="s">
        <v>3327</v>
      </c>
      <c r="X2127" s="377" t="str">
        <f t="shared" si="196"/>
        <v>SSI</v>
      </c>
      <c r="Y2127" t="str">
        <f>SUBSTITUTE(Tabla1[[#This Row],[Descripción]],CHAR(10),"    I    ")</f>
        <v>Se tuvo sesión con Samuel y con equipo para nuevos cambios a considerar, se nos compartio que los cambios para la construcción de los procedimientos ya que ahora los parametros de entrada deben recibir mas de 1 valor</v>
      </c>
      <c r="Z2127" s="142">
        <f>VLOOKUP(Tabla1[[#This Row],[Perfil]],Catalogos!$B$75:$D$100,3,FALSE)*Tabla1[[#This Row],[Tiempo
(Hrs 00/100)]]*1.16</f>
        <v>696</v>
      </c>
    </row>
    <row r="2128" spans="1:26" ht="15" customHeight="1" x14ac:dyDescent="0.3">
      <c r="A2128" s="637" t="s">
        <v>22</v>
      </c>
      <c r="B2128" s="637" t="s">
        <v>305</v>
      </c>
      <c r="C2128" s="637" t="s">
        <v>257</v>
      </c>
      <c r="D2128" s="637"/>
      <c r="E2128" s="637" t="s">
        <v>408</v>
      </c>
      <c r="F2128" s="637" t="s">
        <v>72</v>
      </c>
      <c r="G2128" s="637" t="s">
        <v>3918</v>
      </c>
      <c r="H2128" s="638" t="s">
        <v>3552</v>
      </c>
      <c r="I2128" s="645" t="s">
        <v>3552</v>
      </c>
      <c r="J2128" s="731">
        <v>45216</v>
      </c>
      <c r="K2128" s="774">
        <v>0.375</v>
      </c>
      <c r="L2128" s="731">
        <v>45216</v>
      </c>
      <c r="M2128" s="774">
        <v>0.45833333333333331</v>
      </c>
      <c r="N2128" s="637">
        <v>2</v>
      </c>
      <c r="O2128" s="641" t="s">
        <v>17</v>
      </c>
      <c r="P2128" s="375" t="s">
        <v>2909</v>
      </c>
      <c r="Q2128" s="642" t="s">
        <v>1441</v>
      </c>
      <c r="R2128" s="31" t="s">
        <v>95</v>
      </c>
      <c r="S2128" s="31" t="s">
        <v>273</v>
      </c>
      <c r="T2128" s="31" t="s">
        <v>273</v>
      </c>
      <c r="U2128" s="31">
        <f>IFERROR(VLOOKUP(CONCATENATE(Tabla1[[#This Row],[Severidad]]," ",Tabla1[[#This Row],[Complejidad]]),Catalogos!E$120:G$128,3,FALSE),"")</f>
        <v>64</v>
      </c>
      <c r="V2128" s="31" t="str">
        <f>IF(Tabla1[[#This Row],[Tiempo solución max (hrs)]]&lt;&gt;"",IF(Tabla1[[#This Row],[Tiempo solución max (hrs)]]&gt;=Tabla1[[#This Row],[Tiempo
(Hrs 00/100)]],"cumple","no cumple"),"")</f>
        <v>cumple</v>
      </c>
      <c r="W2128" s="629" t="s">
        <v>3327</v>
      </c>
      <c r="X2128" s="377" t="str">
        <f t="shared" si="196"/>
        <v>SSI</v>
      </c>
      <c r="Y2128" t="str">
        <f>SUBSTITUTE(Tabla1[[#This Row],[Descripción]],CHAR(10),"    I    ")</f>
        <v>Se revisó un ejemplo proporcionado por Annel para entender el funcionamiento de los objetos del tipo TAB</v>
      </c>
      <c r="Z2128" s="142">
        <f>VLOOKUP(Tabla1[[#This Row],[Perfil]],Catalogos!$B$75:$D$100,3,FALSE)*Tabla1[[#This Row],[Tiempo
(Hrs 00/100)]]*1.16</f>
        <v>1392</v>
      </c>
    </row>
    <row r="2129" spans="1:26" ht="15" customHeight="1" x14ac:dyDescent="0.3">
      <c r="A2129" s="637" t="s">
        <v>22</v>
      </c>
      <c r="B2129" s="637" t="s">
        <v>305</v>
      </c>
      <c r="C2129" s="637" t="s">
        <v>257</v>
      </c>
      <c r="D2129" s="637"/>
      <c r="E2129" s="637" t="s">
        <v>408</v>
      </c>
      <c r="F2129" s="637" t="s">
        <v>72</v>
      </c>
      <c r="G2129" s="637" t="s">
        <v>3919</v>
      </c>
      <c r="H2129" s="638" t="s">
        <v>3553</v>
      </c>
      <c r="I2129" s="645" t="s">
        <v>3554</v>
      </c>
      <c r="J2129" s="731">
        <v>45216</v>
      </c>
      <c r="K2129" s="774">
        <v>0.45833333333333331</v>
      </c>
      <c r="L2129" s="731">
        <v>45216</v>
      </c>
      <c r="M2129" s="774">
        <v>0.66666666666666663</v>
      </c>
      <c r="N2129" s="637">
        <v>5</v>
      </c>
      <c r="O2129" s="641" t="s">
        <v>17</v>
      </c>
      <c r="P2129" s="375" t="s">
        <v>2909</v>
      </c>
      <c r="Q2129" s="642" t="s">
        <v>1441</v>
      </c>
      <c r="R2129" s="31" t="s">
        <v>95</v>
      </c>
      <c r="S2129" s="31" t="s">
        <v>273</v>
      </c>
      <c r="T2129" s="31" t="s">
        <v>273</v>
      </c>
      <c r="U2129" s="31">
        <f>IFERROR(VLOOKUP(CONCATENATE(Tabla1[[#This Row],[Severidad]]," ",Tabla1[[#This Row],[Complejidad]]),Catalogos!E$120:G$128,3,FALSE),"")</f>
        <v>64</v>
      </c>
      <c r="V2129" s="31" t="str">
        <f>IF(Tabla1[[#This Row],[Tiempo solución max (hrs)]]&lt;&gt;"",IF(Tabla1[[#This Row],[Tiempo solución max (hrs)]]&gt;=Tabla1[[#This Row],[Tiempo
(Hrs 00/100)]],"cumple","no cumple"),"")</f>
        <v>cumple</v>
      </c>
      <c r="W2129" s="629" t="s">
        <v>3327</v>
      </c>
      <c r="X2129" s="377" t="str">
        <f t="shared" si="196"/>
        <v>SSI</v>
      </c>
      <c r="Y2129" t="str">
        <f>SUBSTITUTE(Tabla1[[#This Row],[Descripción]],CHAR(10),"    I    ")</f>
        <v>Se consultó mas detalle sobre el funcionamiento de los objetos TAB para entender el como se declaran</v>
      </c>
      <c r="Z2129" s="142">
        <f>VLOOKUP(Tabla1[[#This Row],[Perfil]],Catalogos!$B$75:$D$100,3,FALSE)*Tabla1[[#This Row],[Tiempo
(Hrs 00/100)]]*1.16</f>
        <v>3479.9999999999995</v>
      </c>
    </row>
    <row r="2130" spans="1:26" ht="15" customHeight="1" x14ac:dyDescent="0.3">
      <c r="A2130" s="637" t="s">
        <v>22</v>
      </c>
      <c r="B2130" s="637" t="s">
        <v>23</v>
      </c>
      <c r="C2130" s="637" t="s">
        <v>257</v>
      </c>
      <c r="D2130" s="637"/>
      <c r="E2130" s="637" t="s">
        <v>408</v>
      </c>
      <c r="F2130" s="637" t="s">
        <v>23</v>
      </c>
      <c r="G2130" s="637" t="s">
        <v>3920</v>
      </c>
      <c r="H2130" s="638" t="s">
        <v>3555</v>
      </c>
      <c r="I2130" s="645" t="s">
        <v>3555</v>
      </c>
      <c r="J2130" s="731">
        <v>45216</v>
      </c>
      <c r="K2130" s="774">
        <v>0.6875</v>
      </c>
      <c r="L2130" s="731">
        <v>45216</v>
      </c>
      <c r="M2130" s="774">
        <v>0.77083333333333337</v>
      </c>
      <c r="N2130" s="637">
        <v>2</v>
      </c>
      <c r="O2130" s="641" t="s">
        <v>17</v>
      </c>
      <c r="P2130" s="375" t="s">
        <v>2909</v>
      </c>
      <c r="Q2130" s="642" t="s">
        <v>1441</v>
      </c>
      <c r="R2130" s="31" t="s">
        <v>95</v>
      </c>
      <c r="S2130" s="31" t="s">
        <v>273</v>
      </c>
      <c r="T2130" s="31" t="s">
        <v>273</v>
      </c>
      <c r="U2130" s="31">
        <f>IFERROR(VLOOKUP(CONCATENATE(Tabla1[[#This Row],[Severidad]]," ",Tabla1[[#This Row],[Complejidad]]),Catalogos!E$120:G$128,3,FALSE),"")</f>
        <v>64</v>
      </c>
      <c r="V2130" s="31" t="str">
        <f>IF(Tabla1[[#This Row],[Tiempo solución max (hrs)]]&lt;&gt;"",IF(Tabla1[[#This Row],[Tiempo solución max (hrs)]]&gt;=Tabla1[[#This Row],[Tiempo
(Hrs 00/100)]],"cumple","no cumple"),"")</f>
        <v>cumple</v>
      </c>
      <c r="W2130" s="629" t="s">
        <v>3327</v>
      </c>
      <c r="X2130" s="377" t="str">
        <f t="shared" si="196"/>
        <v>SSI</v>
      </c>
      <c r="Y2130" t="str">
        <f>SUBSTITUTE(Tabla1[[#This Row],[Descripción]],CHAR(10),"    I    ")</f>
        <v>Se trabajó en declarar los objetos de tipo TAB en el 1er procedimiento</v>
      </c>
      <c r="Z2130" s="142">
        <f>VLOOKUP(Tabla1[[#This Row],[Perfil]],Catalogos!$B$75:$D$100,3,FALSE)*Tabla1[[#This Row],[Tiempo
(Hrs 00/100)]]*1.16</f>
        <v>1392</v>
      </c>
    </row>
    <row r="2131" spans="1:26" ht="15" customHeight="1" x14ac:dyDescent="0.3">
      <c r="A2131" s="637" t="s">
        <v>22</v>
      </c>
      <c r="B2131" s="637" t="s">
        <v>23</v>
      </c>
      <c r="C2131" s="637" t="s">
        <v>257</v>
      </c>
      <c r="D2131" s="637"/>
      <c r="E2131" s="637" t="s">
        <v>408</v>
      </c>
      <c r="F2131" s="637" t="s">
        <v>23</v>
      </c>
      <c r="G2131" s="637" t="s">
        <v>3921</v>
      </c>
      <c r="H2131" s="638" t="s">
        <v>3556</v>
      </c>
      <c r="I2131" s="645" t="s">
        <v>3556</v>
      </c>
      <c r="J2131" s="731">
        <v>45216</v>
      </c>
      <c r="K2131" s="774">
        <v>0.77083333333333337</v>
      </c>
      <c r="L2131" s="731">
        <v>45216</v>
      </c>
      <c r="M2131" s="774">
        <v>0.9375</v>
      </c>
      <c r="N2131" s="637">
        <v>4</v>
      </c>
      <c r="O2131" s="641" t="s">
        <v>17</v>
      </c>
      <c r="P2131" s="375" t="s">
        <v>2909</v>
      </c>
      <c r="Q2131" s="642" t="s">
        <v>1441</v>
      </c>
      <c r="R2131" s="31" t="s">
        <v>95</v>
      </c>
      <c r="S2131" s="31" t="s">
        <v>273</v>
      </c>
      <c r="T2131" s="31" t="s">
        <v>273</v>
      </c>
      <c r="U2131" s="31">
        <f>IFERROR(VLOOKUP(CONCATENATE(Tabla1[[#This Row],[Severidad]]," ",Tabla1[[#This Row],[Complejidad]]),Catalogos!E$120:G$128,3,FALSE),"")</f>
        <v>64</v>
      </c>
      <c r="V2131" s="31" t="str">
        <f>IF(Tabla1[[#This Row],[Tiempo solución max (hrs)]]&lt;&gt;"",IF(Tabla1[[#This Row],[Tiempo solución max (hrs)]]&gt;=Tabla1[[#This Row],[Tiempo
(Hrs 00/100)]],"cumple","no cumple"),"")</f>
        <v>cumple</v>
      </c>
      <c r="W2131" s="629" t="s">
        <v>3327</v>
      </c>
      <c r="X2131" s="377" t="str">
        <f t="shared" si="196"/>
        <v>SSI</v>
      </c>
      <c r="Y2131" t="str">
        <f>SUBSTITUTE(Tabla1[[#This Row],[Descripción]],CHAR(10),"    I    ")</f>
        <v>Se revisaron los errores encontrados y se identifico que el problema es porque hace falta crearlos en la BD como objetos de tipo TIPE y como Colecciones -</v>
      </c>
      <c r="Z2131" s="142">
        <f>VLOOKUP(Tabla1[[#This Row],[Perfil]],Catalogos!$B$75:$D$100,3,FALSE)*Tabla1[[#This Row],[Tiempo
(Hrs 00/100)]]*1.16</f>
        <v>2784</v>
      </c>
    </row>
    <row r="2132" spans="1:26" ht="15" customHeight="1" x14ac:dyDescent="0.3">
      <c r="A2132" s="637" t="s">
        <v>22</v>
      </c>
      <c r="B2132" s="637" t="s">
        <v>23</v>
      </c>
      <c r="C2132" s="637" t="s">
        <v>257</v>
      </c>
      <c r="D2132" s="637"/>
      <c r="E2132" s="637" t="s">
        <v>408</v>
      </c>
      <c r="F2132" s="637" t="s">
        <v>23</v>
      </c>
      <c r="G2132" s="637" t="s">
        <v>3922</v>
      </c>
      <c r="H2132" s="638" t="s">
        <v>3557</v>
      </c>
      <c r="I2132" s="645" t="s">
        <v>3558</v>
      </c>
      <c r="J2132" s="731">
        <v>45217</v>
      </c>
      <c r="K2132" s="774">
        <v>0.33333333333333331</v>
      </c>
      <c r="L2132" s="731">
        <v>45217</v>
      </c>
      <c r="M2132" s="774">
        <v>0.375</v>
      </c>
      <c r="N2132" s="637">
        <v>1</v>
      </c>
      <c r="O2132" s="641" t="s">
        <v>17</v>
      </c>
      <c r="P2132" s="375" t="s">
        <v>2909</v>
      </c>
      <c r="Q2132" s="642" t="s">
        <v>1441</v>
      </c>
      <c r="R2132" s="31" t="s">
        <v>95</v>
      </c>
      <c r="S2132" s="31" t="s">
        <v>273</v>
      </c>
      <c r="T2132" s="31" t="s">
        <v>273</v>
      </c>
      <c r="U2132" s="31">
        <f>IFERROR(VLOOKUP(CONCATENATE(Tabla1[[#This Row],[Severidad]]," ",Tabla1[[#This Row],[Complejidad]]),Catalogos!E$120:G$128,3,FALSE),"")</f>
        <v>64</v>
      </c>
      <c r="V2132" s="31" t="str">
        <f>IF(Tabla1[[#This Row],[Tiempo solución max (hrs)]]&lt;&gt;"",IF(Tabla1[[#This Row],[Tiempo solución max (hrs)]]&gt;=Tabla1[[#This Row],[Tiempo
(Hrs 00/100)]],"cumple","no cumple"),"")</f>
        <v>cumple</v>
      </c>
      <c r="W2132" s="629" t="s">
        <v>3327</v>
      </c>
      <c r="X2132" s="377" t="str">
        <f t="shared" si="196"/>
        <v>SSI</v>
      </c>
      <c r="Y2132" t="str">
        <f>SUBSTITUTE(Tabla1[[#This Row],[Descripción]],CHAR(10),"    I    ")</f>
        <v>Se crearon todos los objetos del tipo TYPE y Collection Type para poder consumirlos en c/u de los procedimientos</v>
      </c>
      <c r="Z2132" s="142">
        <f>VLOOKUP(Tabla1[[#This Row],[Perfil]],Catalogos!$B$75:$D$100,3,FALSE)*Tabla1[[#This Row],[Tiempo
(Hrs 00/100)]]*1.16</f>
        <v>696</v>
      </c>
    </row>
    <row r="2133" spans="1:26" ht="15" customHeight="1" x14ac:dyDescent="0.3">
      <c r="A2133" s="637" t="s">
        <v>22</v>
      </c>
      <c r="B2133" s="637" t="s">
        <v>305</v>
      </c>
      <c r="C2133" s="637" t="s">
        <v>257</v>
      </c>
      <c r="D2133" s="637"/>
      <c r="E2133" s="637" t="s">
        <v>408</v>
      </c>
      <c r="F2133" s="637" t="s">
        <v>72</v>
      </c>
      <c r="G2133" s="637" t="s">
        <v>3923</v>
      </c>
      <c r="H2133" s="638" t="s">
        <v>3559</v>
      </c>
      <c r="I2133" s="645" t="s">
        <v>3560</v>
      </c>
      <c r="J2133" s="731">
        <v>45217</v>
      </c>
      <c r="K2133" s="774">
        <v>0.375</v>
      </c>
      <c r="L2133" s="731">
        <v>45217</v>
      </c>
      <c r="M2133" s="774">
        <v>0.41666666666666669</v>
      </c>
      <c r="N2133" s="637">
        <v>1</v>
      </c>
      <c r="O2133" s="641" t="s">
        <v>17</v>
      </c>
      <c r="P2133" s="375" t="s">
        <v>2909</v>
      </c>
      <c r="Q2133" s="642" t="s">
        <v>1441</v>
      </c>
      <c r="R2133" s="31" t="s">
        <v>95</v>
      </c>
      <c r="S2133" s="31" t="s">
        <v>273</v>
      </c>
      <c r="T2133" s="31" t="s">
        <v>273</v>
      </c>
      <c r="U2133" s="31">
        <f>IFERROR(VLOOKUP(CONCATENATE(Tabla1[[#This Row],[Severidad]]," ",Tabla1[[#This Row],[Complejidad]]),Catalogos!E$120:G$128,3,FALSE),"")</f>
        <v>64</v>
      </c>
      <c r="V2133" s="31" t="str">
        <f>IF(Tabla1[[#This Row],[Tiempo solución max (hrs)]]&lt;&gt;"",IF(Tabla1[[#This Row],[Tiempo solución max (hrs)]]&gt;=Tabla1[[#This Row],[Tiempo
(Hrs 00/100)]],"cumple","no cumple"),"")</f>
        <v>cumple</v>
      </c>
      <c r="W2133" s="629" t="s">
        <v>3327</v>
      </c>
      <c r="X2133" s="377" t="str">
        <f t="shared" si="196"/>
        <v>SSI</v>
      </c>
      <c r="Y2133" t="str">
        <f>SUBSTITUTE(Tabla1[[#This Row],[Descripción]],CHAR(10),"    I    ")</f>
        <v>Se tocó base con Antonio para validar los nombres de los nuevos objetos y se ajustan algunos de ellos</v>
      </c>
      <c r="Z2133" s="142">
        <f>VLOOKUP(Tabla1[[#This Row],[Perfil]],Catalogos!$B$75:$D$100,3,FALSE)*Tabla1[[#This Row],[Tiempo
(Hrs 00/100)]]*1.16</f>
        <v>696</v>
      </c>
    </row>
    <row r="2134" spans="1:26" ht="15" customHeight="1" x14ac:dyDescent="0.3">
      <c r="A2134" s="637" t="s">
        <v>22</v>
      </c>
      <c r="B2134" s="637" t="s">
        <v>305</v>
      </c>
      <c r="C2134" s="637" t="s">
        <v>257</v>
      </c>
      <c r="D2134" s="637"/>
      <c r="E2134" s="637" t="s">
        <v>408</v>
      </c>
      <c r="F2134" s="637" t="s">
        <v>72</v>
      </c>
      <c r="G2134" s="637" t="s">
        <v>3924</v>
      </c>
      <c r="H2134" s="638" t="s">
        <v>3561</v>
      </c>
      <c r="I2134" s="645" t="s">
        <v>3562</v>
      </c>
      <c r="J2134" s="731">
        <v>45217</v>
      </c>
      <c r="K2134" s="774">
        <v>0.41666666666666669</v>
      </c>
      <c r="L2134" s="731">
        <v>45217</v>
      </c>
      <c r="M2134" s="774">
        <v>0.45833333333333331</v>
      </c>
      <c r="N2134" s="637">
        <v>1</v>
      </c>
      <c r="O2134" s="641" t="s">
        <v>17</v>
      </c>
      <c r="P2134" s="375" t="s">
        <v>2909</v>
      </c>
      <c r="Q2134" s="642" t="s">
        <v>1441</v>
      </c>
      <c r="R2134" s="31" t="s">
        <v>95</v>
      </c>
      <c r="S2134" s="31" t="s">
        <v>273</v>
      </c>
      <c r="T2134" s="31" t="s">
        <v>273</v>
      </c>
      <c r="U2134" s="31">
        <f>IFERROR(VLOOKUP(CONCATENATE(Tabla1[[#This Row],[Severidad]]," ",Tabla1[[#This Row],[Complejidad]]),Catalogos!E$120:G$128,3,FALSE),"")</f>
        <v>64</v>
      </c>
      <c r="V2134" s="31" t="str">
        <f>IF(Tabla1[[#This Row],[Tiempo solución max (hrs)]]&lt;&gt;"",IF(Tabla1[[#This Row],[Tiempo solución max (hrs)]]&gt;=Tabla1[[#This Row],[Tiempo
(Hrs 00/100)]],"cumple","no cumple"),"")</f>
        <v>cumple</v>
      </c>
      <c r="W2134" s="629" t="s">
        <v>3327</v>
      </c>
      <c r="X2134" s="377" t="str">
        <f t="shared" si="196"/>
        <v>SSI</v>
      </c>
      <c r="Y2134" t="str">
        <f>SUBSTITUTE(Tabla1[[#This Row],[Descripción]],CHAR(10),"    I    ")</f>
        <v>Se tuvo sesión con Samuel y Horacio para revisar los avances hasta el momento</v>
      </c>
      <c r="Z2134" s="142">
        <f>VLOOKUP(Tabla1[[#This Row],[Perfil]],Catalogos!$B$75:$D$100,3,FALSE)*Tabla1[[#This Row],[Tiempo
(Hrs 00/100)]]*1.16</f>
        <v>696</v>
      </c>
    </row>
    <row r="2135" spans="1:26" ht="15" customHeight="1" x14ac:dyDescent="0.3">
      <c r="A2135" s="637" t="s">
        <v>22</v>
      </c>
      <c r="B2135" s="637" t="s">
        <v>23</v>
      </c>
      <c r="C2135" s="637" t="s">
        <v>257</v>
      </c>
      <c r="D2135" s="637"/>
      <c r="E2135" s="637" t="s">
        <v>408</v>
      </c>
      <c r="F2135" s="637" t="s">
        <v>23</v>
      </c>
      <c r="G2135" s="637" t="s">
        <v>3925</v>
      </c>
      <c r="H2135" s="638" t="s">
        <v>3563</v>
      </c>
      <c r="I2135" s="645" t="s">
        <v>3564</v>
      </c>
      <c r="J2135" s="731">
        <v>45218</v>
      </c>
      <c r="K2135" s="774">
        <v>0.33333333333333331</v>
      </c>
      <c r="L2135" s="731">
        <v>45218</v>
      </c>
      <c r="M2135" s="774">
        <v>0.4375</v>
      </c>
      <c r="N2135" s="637">
        <v>2.5</v>
      </c>
      <c r="O2135" s="641" t="s">
        <v>17</v>
      </c>
      <c r="P2135" s="375" t="s">
        <v>2909</v>
      </c>
      <c r="Q2135" s="642" t="s">
        <v>1441</v>
      </c>
      <c r="R2135" s="31" t="s">
        <v>95</v>
      </c>
      <c r="S2135" s="31" t="s">
        <v>273</v>
      </c>
      <c r="T2135" s="31" t="s">
        <v>273</v>
      </c>
      <c r="U2135" s="31">
        <f>IFERROR(VLOOKUP(CONCATENATE(Tabla1[[#This Row],[Severidad]]," ",Tabla1[[#This Row],[Complejidad]]),Catalogos!E$120:G$128,3,FALSE),"")</f>
        <v>64</v>
      </c>
      <c r="V2135" s="31" t="str">
        <f>IF(Tabla1[[#This Row],[Tiempo solución max (hrs)]]&lt;&gt;"",IF(Tabla1[[#This Row],[Tiempo solución max (hrs)]]&gt;=Tabla1[[#This Row],[Tiempo
(Hrs 00/100)]],"cumple","no cumple"),"")</f>
        <v>cumple</v>
      </c>
      <c r="W2135" s="629" t="s">
        <v>3327</v>
      </c>
      <c r="X2135" s="377" t="str">
        <f t="shared" si="196"/>
        <v>SSI</v>
      </c>
      <c r="Y2135" t="str">
        <f>SUBSTITUTE(Tabla1[[#This Row],[Descripción]],CHAR(10),"    I    ")</f>
        <v>Se actualizó el procedimiento para manejar todos los nuevos objetos del tipo TAB</v>
      </c>
      <c r="Z2135" s="142">
        <f>VLOOKUP(Tabla1[[#This Row],[Perfil]],Catalogos!$B$75:$D$100,3,FALSE)*Tabla1[[#This Row],[Tiempo
(Hrs 00/100)]]*1.16</f>
        <v>1739.9999999999998</v>
      </c>
    </row>
    <row r="2136" spans="1:26" ht="15" customHeight="1" x14ac:dyDescent="0.3">
      <c r="A2136" s="637" t="s">
        <v>22</v>
      </c>
      <c r="B2136" s="637" t="s">
        <v>23</v>
      </c>
      <c r="C2136" s="637" t="s">
        <v>257</v>
      </c>
      <c r="D2136" s="637"/>
      <c r="E2136" s="637" t="s">
        <v>408</v>
      </c>
      <c r="F2136" s="637" t="s">
        <v>23</v>
      </c>
      <c r="G2136" s="637" t="s">
        <v>3926</v>
      </c>
      <c r="H2136" s="638" t="s">
        <v>3565</v>
      </c>
      <c r="I2136" s="645" t="s">
        <v>3566</v>
      </c>
      <c r="J2136" s="731">
        <v>45218</v>
      </c>
      <c r="K2136" s="774">
        <v>0.4375</v>
      </c>
      <c r="L2136" s="731">
        <v>45218</v>
      </c>
      <c r="M2136" s="774">
        <v>4.1666666666666664E-2</v>
      </c>
      <c r="N2136" s="637">
        <v>2.5</v>
      </c>
      <c r="O2136" s="641" t="s">
        <v>17</v>
      </c>
      <c r="P2136" s="375" t="s">
        <v>2909</v>
      </c>
      <c r="Q2136" s="642" t="s">
        <v>1441</v>
      </c>
      <c r="R2136" s="31" t="s">
        <v>95</v>
      </c>
      <c r="S2136" s="31" t="s">
        <v>273</v>
      </c>
      <c r="T2136" s="31" t="s">
        <v>273</v>
      </c>
      <c r="U2136" s="31">
        <f>IFERROR(VLOOKUP(CONCATENATE(Tabla1[[#This Row],[Severidad]]," ",Tabla1[[#This Row],[Complejidad]]),Catalogos!E$120:G$128,3,FALSE),"")</f>
        <v>64</v>
      </c>
      <c r="V2136" s="31" t="str">
        <f>IF(Tabla1[[#This Row],[Tiempo solución max (hrs)]]&lt;&gt;"",IF(Tabla1[[#This Row],[Tiempo solución max (hrs)]]&gt;=Tabla1[[#This Row],[Tiempo
(Hrs 00/100)]],"cumple","no cumple"),"")</f>
        <v>cumple</v>
      </c>
      <c r="W2136" s="629" t="s">
        <v>3327</v>
      </c>
      <c r="X2136" s="377" t="str">
        <f t="shared" si="196"/>
        <v>SSI</v>
      </c>
      <c r="Y2136" t="str">
        <f>SUBSTITUTE(Tabla1[[#This Row],[Descripción]],CHAR(10),"    I    ")</f>
        <v>Se trabajó en el procedimiento 'OBTENER_TIPO_SOLICITUD' para lograr que funcione con un 1er parametro de tipo TAB declarado</v>
      </c>
      <c r="Z2136" s="142">
        <f>VLOOKUP(Tabla1[[#This Row],[Perfil]],Catalogos!$B$75:$D$100,3,FALSE)*Tabla1[[#This Row],[Tiempo
(Hrs 00/100)]]*1.16</f>
        <v>1739.9999999999998</v>
      </c>
    </row>
    <row r="2137" spans="1:26" ht="15" customHeight="1" x14ac:dyDescent="0.3">
      <c r="A2137" s="637" t="s">
        <v>22</v>
      </c>
      <c r="B2137" s="637" t="s">
        <v>23</v>
      </c>
      <c r="C2137" s="637" t="s">
        <v>257</v>
      </c>
      <c r="D2137" s="637"/>
      <c r="E2137" s="637" t="s">
        <v>408</v>
      </c>
      <c r="F2137" s="637" t="s">
        <v>75</v>
      </c>
      <c r="G2137" s="637" t="s">
        <v>3927</v>
      </c>
      <c r="H2137" s="638" t="s">
        <v>3567</v>
      </c>
      <c r="I2137" s="645" t="s">
        <v>3568</v>
      </c>
      <c r="J2137" s="731">
        <v>45218</v>
      </c>
      <c r="K2137" s="774">
        <v>4.1666666666666664E-2</v>
      </c>
      <c r="L2137" s="731">
        <v>45218</v>
      </c>
      <c r="M2137" s="774">
        <v>8.3333333333333329E-2</v>
      </c>
      <c r="N2137" s="637">
        <v>1</v>
      </c>
      <c r="O2137" s="641" t="s">
        <v>17</v>
      </c>
      <c r="P2137" s="375" t="s">
        <v>2909</v>
      </c>
      <c r="Q2137" s="642" t="s">
        <v>1441</v>
      </c>
      <c r="R2137" s="31" t="s">
        <v>95</v>
      </c>
      <c r="S2137" s="31" t="s">
        <v>273</v>
      </c>
      <c r="T2137" s="31" t="s">
        <v>273</v>
      </c>
      <c r="U2137" s="31">
        <f>IFERROR(VLOOKUP(CONCATENATE(Tabla1[[#This Row],[Severidad]]," ",Tabla1[[#This Row],[Complejidad]]),Catalogos!E$120:G$128,3,FALSE),"")</f>
        <v>64</v>
      </c>
      <c r="V2137" s="31" t="str">
        <f>IF(Tabla1[[#This Row],[Tiempo solución max (hrs)]]&lt;&gt;"",IF(Tabla1[[#This Row],[Tiempo solución max (hrs)]]&gt;=Tabla1[[#This Row],[Tiempo
(Hrs 00/100)]],"cumple","no cumple"),"")</f>
        <v>cumple</v>
      </c>
      <c r="W2137" s="629" t="s">
        <v>3327</v>
      </c>
      <c r="X2137" s="377" t="str">
        <f t="shared" si="196"/>
        <v>SSI</v>
      </c>
      <c r="Y2137" t="str">
        <f>SUBSTITUTE(Tabla1[[#This Row],[Descripción]],CHAR(10),"    I    ")</f>
        <v>Se validó el paquete-procedimiento 'OBTENER_TIPO_SOLICITUD' con el bloque anónimo pero se encuentran errores en la salida del cursor</v>
      </c>
      <c r="Z2137" s="142">
        <f>VLOOKUP(Tabla1[[#This Row],[Perfil]],Catalogos!$B$75:$D$100,3,FALSE)*Tabla1[[#This Row],[Tiempo
(Hrs 00/100)]]*1.16</f>
        <v>696</v>
      </c>
    </row>
    <row r="2138" spans="1:26" ht="15" customHeight="1" x14ac:dyDescent="0.3">
      <c r="A2138" s="637" t="s">
        <v>22</v>
      </c>
      <c r="B2138" s="637" t="s">
        <v>23</v>
      </c>
      <c r="C2138" s="637" t="s">
        <v>257</v>
      </c>
      <c r="D2138" s="637"/>
      <c r="E2138" s="637" t="s">
        <v>408</v>
      </c>
      <c r="F2138" s="637" t="s">
        <v>72</v>
      </c>
      <c r="G2138" s="637" t="s">
        <v>3928</v>
      </c>
      <c r="H2138" s="638" t="s">
        <v>3569</v>
      </c>
      <c r="I2138" s="645" t="s">
        <v>3570</v>
      </c>
      <c r="J2138" s="731">
        <v>45219</v>
      </c>
      <c r="K2138" s="774">
        <v>0.33333333333333331</v>
      </c>
      <c r="L2138" s="731">
        <v>45219</v>
      </c>
      <c r="M2138" s="774">
        <v>0.4375</v>
      </c>
      <c r="N2138" s="637">
        <v>2.5</v>
      </c>
      <c r="O2138" s="641" t="s">
        <v>17</v>
      </c>
      <c r="P2138" s="375" t="s">
        <v>2909</v>
      </c>
      <c r="Q2138" s="642" t="s">
        <v>1441</v>
      </c>
      <c r="R2138" s="31" t="s">
        <v>95</v>
      </c>
      <c r="S2138" s="31" t="s">
        <v>273</v>
      </c>
      <c r="T2138" s="31" t="s">
        <v>273</v>
      </c>
      <c r="U2138" s="31">
        <f>IFERROR(VLOOKUP(CONCATENATE(Tabla1[[#This Row],[Severidad]]," ",Tabla1[[#This Row],[Complejidad]]),Catalogos!E$120:G$128,3,FALSE),"")</f>
        <v>64</v>
      </c>
      <c r="V2138" s="31" t="str">
        <f>IF(Tabla1[[#This Row],[Tiempo solución max (hrs)]]&lt;&gt;"",IF(Tabla1[[#This Row],[Tiempo solución max (hrs)]]&gt;=Tabla1[[#This Row],[Tiempo
(Hrs 00/100)]],"cumple","no cumple"),"")</f>
        <v>cumple</v>
      </c>
      <c r="W2138" s="629" t="s">
        <v>3327</v>
      </c>
      <c r="X2138" s="377" t="str">
        <f t="shared" si="196"/>
        <v>SSI</v>
      </c>
      <c r="Y2138" t="str">
        <f>SUBSTITUTE(Tabla1[[#This Row],[Descripción]],CHAR(10),"    I    ")</f>
        <v>Se revisó a detalle para identificar los posibles errores y encontrar la solución</v>
      </c>
      <c r="Z2138" s="142">
        <f>VLOOKUP(Tabla1[[#This Row],[Perfil]],Catalogos!$B$75:$D$100,3,FALSE)*Tabla1[[#This Row],[Tiempo
(Hrs 00/100)]]*1.16</f>
        <v>1739.9999999999998</v>
      </c>
    </row>
    <row r="2139" spans="1:26" ht="15" customHeight="1" x14ac:dyDescent="0.3">
      <c r="A2139" s="637" t="s">
        <v>22</v>
      </c>
      <c r="B2139" s="637" t="s">
        <v>23</v>
      </c>
      <c r="C2139" s="637" t="s">
        <v>257</v>
      </c>
      <c r="D2139" s="637"/>
      <c r="E2139" s="637" t="s">
        <v>408</v>
      </c>
      <c r="F2139" s="637" t="s">
        <v>72</v>
      </c>
      <c r="G2139" s="637" t="s">
        <v>3929</v>
      </c>
      <c r="H2139" s="638" t="s">
        <v>3571</v>
      </c>
      <c r="I2139" s="645" t="s">
        <v>3572</v>
      </c>
      <c r="J2139" s="731">
        <v>45219</v>
      </c>
      <c r="K2139" s="774">
        <v>0.4375</v>
      </c>
      <c r="L2139" s="731">
        <v>45219</v>
      </c>
      <c r="M2139" s="774">
        <v>0.5</v>
      </c>
      <c r="N2139" s="637">
        <v>1.5</v>
      </c>
      <c r="O2139" s="641" t="s">
        <v>17</v>
      </c>
      <c r="P2139" s="375" t="s">
        <v>2909</v>
      </c>
      <c r="Q2139" s="642" t="s">
        <v>1441</v>
      </c>
      <c r="R2139" s="31" t="s">
        <v>95</v>
      </c>
      <c r="S2139" s="31" t="s">
        <v>273</v>
      </c>
      <c r="T2139" s="31" t="s">
        <v>273</v>
      </c>
      <c r="U2139" s="31">
        <f>IFERROR(VLOOKUP(CONCATENATE(Tabla1[[#This Row],[Severidad]]," ",Tabla1[[#This Row],[Complejidad]]),Catalogos!E$120:G$128,3,FALSE),"")</f>
        <v>64</v>
      </c>
      <c r="V2139" s="31" t="str">
        <f>IF(Tabla1[[#This Row],[Tiempo solución max (hrs)]]&lt;&gt;"",IF(Tabla1[[#This Row],[Tiempo solución max (hrs)]]&gt;=Tabla1[[#This Row],[Tiempo
(Hrs 00/100)]],"cumple","no cumple"),"")</f>
        <v>cumple</v>
      </c>
      <c r="W2139" s="629" t="s">
        <v>3327</v>
      </c>
      <c r="X2139" s="377" t="str">
        <f t="shared" si="196"/>
        <v>SSI</v>
      </c>
      <c r="Y2139" t="str">
        <f>SUBSTITUTE(Tabla1[[#This Row],[Descripción]],CHAR(10),"    I    ")</f>
        <v>Se identificó problema con la inicialización de las variables TAB al validar con el bloque anonimo</v>
      </c>
      <c r="Z2139" s="142">
        <f>VLOOKUP(Tabla1[[#This Row],[Perfil]],Catalogos!$B$75:$D$100,3,FALSE)*Tabla1[[#This Row],[Tiempo
(Hrs 00/100)]]*1.16</f>
        <v>1044</v>
      </c>
    </row>
    <row r="2140" spans="1:26" ht="15" customHeight="1" x14ac:dyDescent="0.3">
      <c r="A2140" s="637" t="s">
        <v>22</v>
      </c>
      <c r="B2140" s="637" t="s">
        <v>23</v>
      </c>
      <c r="C2140" s="637" t="s">
        <v>257</v>
      </c>
      <c r="D2140" s="637"/>
      <c r="E2140" s="637" t="s">
        <v>408</v>
      </c>
      <c r="F2140" s="637" t="s">
        <v>75</v>
      </c>
      <c r="G2140" s="637" t="s">
        <v>3930</v>
      </c>
      <c r="H2140" s="638" t="s">
        <v>3573</v>
      </c>
      <c r="I2140" s="645" t="s">
        <v>3574</v>
      </c>
      <c r="J2140" s="731">
        <v>45219</v>
      </c>
      <c r="K2140" s="774">
        <v>0.5</v>
      </c>
      <c r="L2140" s="731">
        <v>45219</v>
      </c>
      <c r="M2140" s="774">
        <v>0.5625</v>
      </c>
      <c r="N2140" s="637">
        <v>1.5</v>
      </c>
      <c r="O2140" s="641" t="s">
        <v>17</v>
      </c>
      <c r="P2140" s="375" t="s">
        <v>2909</v>
      </c>
      <c r="Q2140" s="642" t="s">
        <v>1441</v>
      </c>
      <c r="R2140" s="31" t="s">
        <v>95</v>
      </c>
      <c r="S2140" s="31" t="s">
        <v>273</v>
      </c>
      <c r="T2140" s="31" t="s">
        <v>273</v>
      </c>
      <c r="U2140" s="31">
        <f>IFERROR(VLOOKUP(CONCATENATE(Tabla1[[#This Row],[Severidad]]," ",Tabla1[[#This Row],[Complejidad]]),Catalogos!E$120:G$128,3,FALSE),"")</f>
        <v>64</v>
      </c>
      <c r="V2140" s="31" t="str">
        <f>IF(Tabla1[[#This Row],[Tiempo solución max (hrs)]]&lt;&gt;"",IF(Tabla1[[#This Row],[Tiempo solución max (hrs)]]&gt;=Tabla1[[#This Row],[Tiempo
(Hrs 00/100)]],"cumple","no cumple"),"")</f>
        <v>cumple</v>
      </c>
      <c r="W2140" s="629" t="s">
        <v>3327</v>
      </c>
      <c r="X2140" s="377" t="str">
        <f t="shared" si="196"/>
        <v>SSI</v>
      </c>
      <c r="Y2140" t="str">
        <f>SUBSTITUTE(Tabla1[[#This Row],[Descripción]],CHAR(10),"    I    ")</f>
        <v>Se actualizó bloque anonimo con la forma correcta de inicializar la variable e irle dando los valores que tendra la colección</v>
      </c>
      <c r="Z2140" s="142">
        <f>VLOOKUP(Tabla1[[#This Row],[Perfil]],Catalogos!$B$75:$D$100,3,FALSE)*Tabla1[[#This Row],[Tiempo
(Hrs 00/100)]]*1.16</f>
        <v>1044</v>
      </c>
    </row>
    <row r="2141" spans="1:26" ht="15" customHeight="1" x14ac:dyDescent="0.3">
      <c r="A2141" s="637" t="s">
        <v>22</v>
      </c>
      <c r="B2141" s="637" t="s">
        <v>23</v>
      </c>
      <c r="C2141" s="637" t="s">
        <v>257</v>
      </c>
      <c r="D2141" s="637"/>
      <c r="E2141" s="637" t="s">
        <v>408</v>
      </c>
      <c r="F2141" s="637" t="s">
        <v>75</v>
      </c>
      <c r="G2141" s="637" t="s">
        <v>3931</v>
      </c>
      <c r="H2141" s="638" t="s">
        <v>3575</v>
      </c>
      <c r="I2141" s="645" t="s">
        <v>3576</v>
      </c>
      <c r="J2141" s="731">
        <v>45219</v>
      </c>
      <c r="K2141" s="774">
        <v>0.60416666666666663</v>
      </c>
      <c r="L2141" s="731">
        <v>45219</v>
      </c>
      <c r="M2141" s="774">
        <v>0.64583333333333337</v>
      </c>
      <c r="N2141" s="637">
        <v>1</v>
      </c>
      <c r="O2141" s="641" t="s">
        <v>17</v>
      </c>
      <c r="P2141" s="375" t="s">
        <v>2909</v>
      </c>
      <c r="Q2141" s="642" t="s">
        <v>1441</v>
      </c>
      <c r="R2141" s="31" t="s">
        <v>95</v>
      </c>
      <c r="S2141" s="31" t="s">
        <v>273</v>
      </c>
      <c r="T2141" s="31" t="s">
        <v>273</v>
      </c>
      <c r="U2141" s="31">
        <f>IFERROR(VLOOKUP(CONCATENATE(Tabla1[[#This Row],[Severidad]]," ",Tabla1[[#This Row],[Complejidad]]),Catalogos!E$120:G$128,3,FALSE),"")</f>
        <v>64</v>
      </c>
      <c r="V2141" s="31" t="str">
        <f>IF(Tabla1[[#This Row],[Tiempo solución max (hrs)]]&lt;&gt;"",IF(Tabla1[[#This Row],[Tiempo solución max (hrs)]]&gt;=Tabla1[[#This Row],[Tiempo
(Hrs 00/100)]],"cumple","no cumple"),"")</f>
        <v>cumple</v>
      </c>
      <c r="W2141" s="629" t="s">
        <v>3327</v>
      </c>
      <c r="X2141" s="377" t="str">
        <f t="shared" si="196"/>
        <v>SSI</v>
      </c>
      <c r="Y2141" t="str">
        <f>SUBSTITUTE(Tabla1[[#This Row],[Descripción]],CHAR(10),"    I    ")</f>
        <v>Se logró validar de forma exitosa el procedimiento con el 1er parametro de tipo TAB 'TAB_ENTIDADFEDERATIVA'</v>
      </c>
      <c r="Z2141" s="142">
        <f>VLOOKUP(Tabla1[[#This Row],[Perfil]],Catalogos!$B$75:$D$100,3,FALSE)*Tabla1[[#This Row],[Tiempo
(Hrs 00/100)]]*1.16</f>
        <v>696</v>
      </c>
    </row>
    <row r="2142" spans="1:26" ht="15" customHeight="1" x14ac:dyDescent="0.3">
      <c r="A2142" s="637" t="s">
        <v>22</v>
      </c>
      <c r="B2142" s="637" t="s">
        <v>305</v>
      </c>
      <c r="C2142" s="637" t="s">
        <v>257</v>
      </c>
      <c r="D2142" s="637"/>
      <c r="E2142" s="637" t="s">
        <v>408</v>
      </c>
      <c r="F2142" s="637" t="s">
        <v>72</v>
      </c>
      <c r="G2142" s="637" t="s">
        <v>3932</v>
      </c>
      <c r="H2142" s="638" t="s">
        <v>3577</v>
      </c>
      <c r="I2142" s="645" t="s">
        <v>3577</v>
      </c>
      <c r="J2142" s="731">
        <v>45219</v>
      </c>
      <c r="K2142" s="774">
        <v>0.64583333333333337</v>
      </c>
      <c r="L2142" s="731">
        <v>45219</v>
      </c>
      <c r="M2142" s="774">
        <v>0.66666666666666663</v>
      </c>
      <c r="N2142" s="637">
        <v>0.5</v>
      </c>
      <c r="O2142" s="641" t="s">
        <v>17</v>
      </c>
      <c r="P2142" s="375" t="s">
        <v>2909</v>
      </c>
      <c r="Q2142" s="642" t="s">
        <v>1441</v>
      </c>
      <c r="R2142" s="31" t="s">
        <v>95</v>
      </c>
      <c r="S2142" s="31" t="s">
        <v>273</v>
      </c>
      <c r="T2142" s="31" t="s">
        <v>273</v>
      </c>
      <c r="U2142" s="31">
        <f>IFERROR(VLOOKUP(CONCATENATE(Tabla1[[#This Row],[Severidad]]," ",Tabla1[[#This Row],[Complejidad]]),Catalogos!E$120:G$128,3,FALSE),"")</f>
        <v>64</v>
      </c>
      <c r="V2142" s="31" t="str">
        <f>IF(Tabla1[[#This Row],[Tiempo solución max (hrs)]]&lt;&gt;"",IF(Tabla1[[#This Row],[Tiempo solución max (hrs)]]&gt;=Tabla1[[#This Row],[Tiempo
(Hrs 00/100)]],"cumple","no cumple"),"")</f>
        <v>cumple</v>
      </c>
      <c r="W2142" s="629" t="s">
        <v>3327</v>
      </c>
      <c r="X2142" s="377" t="str">
        <f t="shared" si="196"/>
        <v>SSI</v>
      </c>
      <c r="Y2142" t="str">
        <f>SUBSTITUTE(Tabla1[[#This Row],[Descripción]],CHAR(10),"    I    ")</f>
        <v>Se tuvo sesión con Samuel para revisar los avances hasta el momento</v>
      </c>
      <c r="Z2142" s="142">
        <f>VLOOKUP(Tabla1[[#This Row],[Perfil]],Catalogos!$B$75:$D$100,3,FALSE)*Tabla1[[#This Row],[Tiempo
(Hrs 00/100)]]*1.16</f>
        <v>348</v>
      </c>
    </row>
    <row r="2143" spans="1:26" ht="15" customHeight="1" x14ac:dyDescent="0.3">
      <c r="A2143" s="637" t="s">
        <v>22</v>
      </c>
      <c r="B2143" s="637" t="s">
        <v>23</v>
      </c>
      <c r="C2143" s="637" t="s">
        <v>257</v>
      </c>
      <c r="D2143" s="637"/>
      <c r="E2143" s="637" t="s">
        <v>408</v>
      </c>
      <c r="F2143" s="637" t="s">
        <v>23</v>
      </c>
      <c r="G2143" s="637" t="s">
        <v>3933</v>
      </c>
      <c r="H2143" s="638" t="s">
        <v>3578</v>
      </c>
      <c r="I2143" s="645" t="s">
        <v>3579</v>
      </c>
      <c r="J2143" s="731">
        <v>45219</v>
      </c>
      <c r="K2143" s="774">
        <v>0.66666666666666663</v>
      </c>
      <c r="L2143" s="731">
        <v>45219</v>
      </c>
      <c r="M2143" s="774">
        <v>0.70833333333333337</v>
      </c>
      <c r="N2143" s="637">
        <v>1</v>
      </c>
      <c r="O2143" s="641" t="s">
        <v>17</v>
      </c>
      <c r="P2143" s="375" t="s">
        <v>2909</v>
      </c>
      <c r="Q2143" s="642" t="s">
        <v>1441</v>
      </c>
      <c r="R2143" s="31" t="s">
        <v>95</v>
      </c>
      <c r="S2143" s="31" t="s">
        <v>273</v>
      </c>
      <c r="T2143" s="31" t="s">
        <v>273</v>
      </c>
      <c r="U2143" s="31">
        <f>IFERROR(VLOOKUP(CONCATENATE(Tabla1[[#This Row],[Severidad]]," ",Tabla1[[#This Row],[Complejidad]]),Catalogos!E$120:G$128,3,FALSE),"")</f>
        <v>64</v>
      </c>
      <c r="V2143" s="31" t="str">
        <f>IF(Tabla1[[#This Row],[Tiempo solución max (hrs)]]&lt;&gt;"",IF(Tabla1[[#This Row],[Tiempo solución max (hrs)]]&gt;=Tabla1[[#This Row],[Tiempo
(Hrs 00/100)]],"cumple","no cumple"),"")</f>
        <v>cumple</v>
      </c>
      <c r="W2143" s="629" t="s">
        <v>3327</v>
      </c>
      <c r="X2143" s="377" t="str">
        <f t="shared" si="196"/>
        <v>SSI</v>
      </c>
      <c r="Y2143" t="str">
        <f>SUBSTITUTE(Tabla1[[#This Row],[Descripción]],CHAR(10),"    I    ")</f>
        <v>Se actualizó procedimiento 'OBTENER_TIPO_SOLICITUD' con todas las variables de tipo TAB</v>
      </c>
      <c r="Z2143" s="142">
        <f>VLOOKUP(Tabla1[[#This Row],[Perfil]],Catalogos!$B$75:$D$100,3,FALSE)*Tabla1[[#This Row],[Tiempo
(Hrs 00/100)]]*1.16</f>
        <v>696</v>
      </c>
    </row>
    <row r="2144" spans="1:26" ht="15" customHeight="1" x14ac:dyDescent="0.3">
      <c r="A2144" s="637" t="s">
        <v>22</v>
      </c>
      <c r="B2144" s="637" t="s">
        <v>23</v>
      </c>
      <c r="C2144" s="637" t="s">
        <v>257</v>
      </c>
      <c r="D2144" s="637"/>
      <c r="E2144" s="637" t="s">
        <v>408</v>
      </c>
      <c r="F2144" s="637" t="s">
        <v>75</v>
      </c>
      <c r="G2144" s="637" t="s">
        <v>3934</v>
      </c>
      <c r="H2144" s="638" t="s">
        <v>3567</v>
      </c>
      <c r="I2144" s="645" t="s">
        <v>3580</v>
      </c>
      <c r="J2144" s="731">
        <v>45219</v>
      </c>
      <c r="K2144" s="774">
        <v>0.70833333333333337</v>
      </c>
      <c r="L2144" s="731">
        <v>45219</v>
      </c>
      <c r="M2144" s="774">
        <v>0.77083333333333337</v>
      </c>
      <c r="N2144" s="637">
        <v>1.5</v>
      </c>
      <c r="O2144" s="641" t="s">
        <v>17</v>
      </c>
      <c r="P2144" s="375" t="s">
        <v>2909</v>
      </c>
      <c r="Q2144" s="642" t="s">
        <v>1441</v>
      </c>
      <c r="R2144" s="31" t="s">
        <v>95</v>
      </c>
      <c r="S2144" s="31" t="s">
        <v>273</v>
      </c>
      <c r="T2144" s="31" t="s">
        <v>273</v>
      </c>
      <c r="U2144" s="31">
        <f>IFERROR(VLOOKUP(CONCATENATE(Tabla1[[#This Row],[Severidad]]," ",Tabla1[[#This Row],[Complejidad]]),Catalogos!E$120:G$128,3,FALSE),"")</f>
        <v>64</v>
      </c>
      <c r="V2144" s="31" t="str">
        <f>IF(Tabla1[[#This Row],[Tiempo solución max (hrs)]]&lt;&gt;"",IF(Tabla1[[#This Row],[Tiempo solución max (hrs)]]&gt;=Tabla1[[#This Row],[Tiempo
(Hrs 00/100)]],"cumple","no cumple"),"")</f>
        <v>cumple</v>
      </c>
      <c r="W2144" s="629" t="s">
        <v>3327</v>
      </c>
      <c r="X2144" s="377" t="str">
        <f t="shared" si="196"/>
        <v>SSI</v>
      </c>
      <c r="Y2144" t="str">
        <f>SUBSTITUTE(Tabla1[[#This Row],[Descripción]],CHAR(10),"    I    ")</f>
        <v>Se validó el paquete-procedimiento 'OBTENER_TIPO_SOLICITUD' con el bloque anónimo pero se encuentran nuevos errores en la salida del cursor</v>
      </c>
      <c r="Z2144" s="142">
        <f>VLOOKUP(Tabla1[[#This Row],[Perfil]],Catalogos!$B$75:$D$100,3,FALSE)*Tabla1[[#This Row],[Tiempo
(Hrs 00/100)]]*1.16</f>
        <v>1044</v>
      </c>
    </row>
    <row r="2145" spans="1:26" ht="15" customHeight="1" x14ac:dyDescent="0.3">
      <c r="A2145" s="637" t="s">
        <v>22</v>
      </c>
      <c r="B2145" s="637" t="s">
        <v>23</v>
      </c>
      <c r="C2145" s="637" t="s">
        <v>257</v>
      </c>
      <c r="D2145" s="637"/>
      <c r="E2145" s="637" t="s">
        <v>408</v>
      </c>
      <c r="F2145" s="637" t="s">
        <v>72</v>
      </c>
      <c r="G2145" s="637" t="s">
        <v>3935</v>
      </c>
      <c r="H2145" s="638" t="s">
        <v>3581</v>
      </c>
      <c r="I2145" s="645" t="s">
        <v>3582</v>
      </c>
      <c r="J2145" s="731">
        <v>45222</v>
      </c>
      <c r="K2145" s="774">
        <v>0.33333333333333331</v>
      </c>
      <c r="L2145" s="731">
        <v>45222</v>
      </c>
      <c r="M2145" s="774">
        <v>0.39583333333333331</v>
      </c>
      <c r="N2145" s="637">
        <v>1.5</v>
      </c>
      <c r="O2145" s="641" t="s">
        <v>17</v>
      </c>
      <c r="P2145" s="375" t="s">
        <v>2909</v>
      </c>
      <c r="Q2145" s="642" t="s">
        <v>1441</v>
      </c>
      <c r="R2145" s="31" t="s">
        <v>95</v>
      </c>
      <c r="S2145" s="31" t="s">
        <v>273</v>
      </c>
      <c r="T2145" s="31" t="s">
        <v>273</v>
      </c>
      <c r="U2145" s="31">
        <f>IFERROR(VLOOKUP(CONCATENATE(Tabla1[[#This Row],[Severidad]]," ",Tabla1[[#This Row],[Complejidad]]),Catalogos!E$120:G$128,3,FALSE),"")</f>
        <v>64</v>
      </c>
      <c r="V2145" s="31" t="str">
        <f>IF(Tabla1[[#This Row],[Tiempo solución max (hrs)]]&lt;&gt;"",IF(Tabla1[[#This Row],[Tiempo solución max (hrs)]]&gt;=Tabla1[[#This Row],[Tiempo
(Hrs 00/100)]],"cumple","no cumple"),"")</f>
        <v>cumple</v>
      </c>
      <c r="W2145" s="629" t="s">
        <v>3327</v>
      </c>
      <c r="X2145" s="377" t="str">
        <f t="shared" si="196"/>
        <v>SSI</v>
      </c>
      <c r="Y2145" t="str">
        <f>SUBSTITUTE(Tabla1[[#This Row],[Descripción]],CHAR(10),"    I    ")</f>
        <v>Se identificaron los errores en el procedimiento 'OBTENER_TIPO_SOLICITUD' ya que hay variables del tipo TAB que no se consideraran y esas se tienen que tratar distinto</v>
      </c>
      <c r="Z2145" s="142">
        <f>VLOOKUP(Tabla1[[#This Row],[Perfil]],Catalogos!$B$75:$D$100,3,FALSE)*Tabla1[[#This Row],[Tiempo
(Hrs 00/100)]]*1.16</f>
        <v>1044</v>
      </c>
    </row>
    <row r="2146" spans="1:26" ht="15" customHeight="1" x14ac:dyDescent="0.3">
      <c r="A2146" s="637" t="s">
        <v>22</v>
      </c>
      <c r="B2146" s="637" t="s">
        <v>23</v>
      </c>
      <c r="C2146" s="637" t="s">
        <v>257</v>
      </c>
      <c r="D2146" s="637"/>
      <c r="E2146" s="637" t="s">
        <v>408</v>
      </c>
      <c r="F2146" s="637" t="s">
        <v>23</v>
      </c>
      <c r="G2146" s="637" t="s">
        <v>3936</v>
      </c>
      <c r="H2146" s="638" t="s">
        <v>3583</v>
      </c>
      <c r="I2146" s="645" t="s">
        <v>3584</v>
      </c>
      <c r="J2146" s="731">
        <v>45222</v>
      </c>
      <c r="K2146" s="774">
        <v>0.39583333333333331</v>
      </c>
      <c r="L2146" s="731">
        <v>45222</v>
      </c>
      <c r="M2146" s="774">
        <v>0.45833333333333331</v>
      </c>
      <c r="N2146" s="637">
        <v>1.5</v>
      </c>
      <c r="O2146" s="641" t="s">
        <v>17</v>
      </c>
      <c r="P2146" s="375" t="s">
        <v>2909</v>
      </c>
      <c r="Q2146" s="642" t="s">
        <v>1441</v>
      </c>
      <c r="R2146" s="31" t="s">
        <v>95</v>
      </c>
      <c r="S2146" s="31" t="s">
        <v>273</v>
      </c>
      <c r="T2146" s="31" t="s">
        <v>273</v>
      </c>
      <c r="U2146" s="31">
        <f>IFERROR(VLOOKUP(CONCATENATE(Tabla1[[#This Row],[Severidad]]," ",Tabla1[[#This Row],[Complejidad]]),Catalogos!E$120:G$128,3,FALSE),"")</f>
        <v>64</v>
      </c>
      <c r="V2146" s="31" t="str">
        <f>IF(Tabla1[[#This Row],[Tiempo solución max (hrs)]]&lt;&gt;"",IF(Tabla1[[#This Row],[Tiempo solución max (hrs)]]&gt;=Tabla1[[#This Row],[Tiempo
(Hrs 00/100)]],"cumple","no cumple"),"")</f>
        <v>cumple</v>
      </c>
      <c r="W2146" s="629" t="s">
        <v>3327</v>
      </c>
      <c r="X2146" s="377" t="str">
        <f t="shared" si="196"/>
        <v>SSI</v>
      </c>
      <c r="Y2146" t="str">
        <f>SUBSTITUTE(Tabla1[[#This Row],[Descripción]],CHAR(10),"    I    ")</f>
        <v>Se ajustó el procedimiento 'OBTENER_TIPO_SOLICITUD' con estas recientes mejoras identificaras y se compila paquete sin errores</v>
      </c>
      <c r="Z2146" s="142">
        <f>VLOOKUP(Tabla1[[#This Row],[Perfil]],Catalogos!$B$75:$D$100,3,FALSE)*Tabla1[[#This Row],[Tiempo
(Hrs 00/100)]]*1.16</f>
        <v>1044</v>
      </c>
    </row>
    <row r="2147" spans="1:26" ht="15" customHeight="1" x14ac:dyDescent="0.3">
      <c r="A2147" s="637" t="s">
        <v>22</v>
      </c>
      <c r="B2147" s="637" t="s">
        <v>23</v>
      </c>
      <c r="C2147" s="637" t="s">
        <v>257</v>
      </c>
      <c r="D2147" s="637"/>
      <c r="E2147" s="637" t="s">
        <v>408</v>
      </c>
      <c r="F2147" s="637" t="s">
        <v>75</v>
      </c>
      <c r="G2147" s="637" t="s">
        <v>3937</v>
      </c>
      <c r="H2147" s="638" t="s">
        <v>3567</v>
      </c>
      <c r="I2147" s="645" t="s">
        <v>3585</v>
      </c>
      <c r="J2147" s="731">
        <v>45222</v>
      </c>
      <c r="K2147" s="774">
        <v>0.45833333333333331</v>
      </c>
      <c r="L2147" s="731">
        <v>45222</v>
      </c>
      <c r="M2147" s="774">
        <v>0.5</v>
      </c>
      <c r="N2147" s="637">
        <v>1</v>
      </c>
      <c r="O2147" s="641" t="s">
        <v>17</v>
      </c>
      <c r="P2147" s="375" t="s">
        <v>2909</v>
      </c>
      <c r="Q2147" s="642" t="s">
        <v>1441</v>
      </c>
      <c r="R2147" s="31" t="s">
        <v>95</v>
      </c>
      <c r="S2147" s="31" t="s">
        <v>273</v>
      </c>
      <c r="T2147" s="31" t="s">
        <v>273</v>
      </c>
      <c r="U2147" s="31">
        <f>IFERROR(VLOOKUP(CONCATENATE(Tabla1[[#This Row],[Severidad]]," ",Tabla1[[#This Row],[Complejidad]]),Catalogos!E$120:G$128,3,FALSE),"")</f>
        <v>64</v>
      </c>
      <c r="V2147" s="31" t="str">
        <f>IF(Tabla1[[#This Row],[Tiempo solución max (hrs)]]&lt;&gt;"",IF(Tabla1[[#This Row],[Tiempo solución max (hrs)]]&gt;=Tabla1[[#This Row],[Tiempo
(Hrs 00/100)]],"cumple","no cumple"),"")</f>
        <v>cumple</v>
      </c>
      <c r="W2147" s="629" t="s">
        <v>3327</v>
      </c>
      <c r="X2147" s="377" t="str">
        <f t="shared" si="196"/>
        <v>SSI</v>
      </c>
      <c r="Y2147" t="str">
        <f>SUBSTITUTE(Tabla1[[#This Row],[Descripción]],CHAR(10),"    I    ")</f>
        <v>Se validó el paquete-procedimiento 'OBTENER_TIPO_SOLICITUD' con el bloque anónimo y se comprueba salida con informacion correcta del cursor</v>
      </c>
      <c r="Z2147" s="142">
        <f>VLOOKUP(Tabla1[[#This Row],[Perfil]],Catalogos!$B$75:$D$100,3,FALSE)*Tabla1[[#This Row],[Tiempo
(Hrs 00/100)]]*1.16</f>
        <v>696</v>
      </c>
    </row>
    <row r="2148" spans="1:26" ht="15" customHeight="1" x14ac:dyDescent="0.3">
      <c r="A2148" s="637" t="s">
        <v>22</v>
      </c>
      <c r="B2148" s="637" t="s">
        <v>23</v>
      </c>
      <c r="C2148" s="637" t="s">
        <v>257</v>
      </c>
      <c r="D2148" s="637"/>
      <c r="E2148" s="637" t="s">
        <v>408</v>
      </c>
      <c r="F2148" s="637" t="s">
        <v>75</v>
      </c>
      <c r="G2148" s="637" t="s">
        <v>3938</v>
      </c>
      <c r="H2148" s="638" t="s">
        <v>3586</v>
      </c>
      <c r="I2148" s="645" t="s">
        <v>3587</v>
      </c>
      <c r="J2148" s="731">
        <v>45222</v>
      </c>
      <c r="K2148" s="774">
        <v>0.5</v>
      </c>
      <c r="L2148" s="731">
        <v>45222</v>
      </c>
      <c r="M2148" s="774">
        <v>0.52083333333333337</v>
      </c>
      <c r="N2148" s="637">
        <v>0.5</v>
      </c>
      <c r="O2148" s="641" t="s">
        <v>17</v>
      </c>
      <c r="P2148" s="375" t="s">
        <v>2909</v>
      </c>
      <c r="Q2148" s="642" t="s">
        <v>1441</v>
      </c>
      <c r="R2148" s="31" t="s">
        <v>95</v>
      </c>
      <c r="S2148" s="31" t="s">
        <v>273</v>
      </c>
      <c r="T2148" s="31" t="s">
        <v>273</v>
      </c>
      <c r="U2148" s="31">
        <f>IFERROR(VLOOKUP(CONCATENATE(Tabla1[[#This Row],[Severidad]]," ",Tabla1[[#This Row],[Complejidad]]),Catalogos!E$120:G$128,3,FALSE),"")</f>
        <v>64</v>
      </c>
      <c r="V2148" s="31" t="str">
        <f>IF(Tabla1[[#This Row],[Tiempo solución max (hrs)]]&lt;&gt;"",IF(Tabla1[[#This Row],[Tiempo solución max (hrs)]]&gt;=Tabla1[[#This Row],[Tiempo
(Hrs 00/100)]],"cumple","no cumple"),"")</f>
        <v>cumple</v>
      </c>
      <c r="W2148" s="629" t="s">
        <v>3327</v>
      </c>
      <c r="X2148" s="377" t="str">
        <f t="shared" si="196"/>
        <v>SSI</v>
      </c>
      <c r="Y2148" t="str">
        <f>SUBSTITUTE(Tabla1[[#This Row],[Descripción]],CHAR(10),"    I    ")</f>
        <v>Se le confirmó al equipo que ya esta listo el 1er procedimiento 'OBTENER_TIPO_SOLICITUD' para comenzar a consumirlo con el aplicativo</v>
      </c>
      <c r="Z2148" s="142">
        <f>VLOOKUP(Tabla1[[#This Row],[Perfil]],Catalogos!$B$75:$D$100,3,FALSE)*Tabla1[[#This Row],[Tiempo
(Hrs 00/100)]]*1.16</f>
        <v>348</v>
      </c>
    </row>
    <row r="2149" spans="1:26" ht="15" customHeight="1" x14ac:dyDescent="0.3">
      <c r="A2149" s="637" t="s">
        <v>22</v>
      </c>
      <c r="B2149" s="637" t="s">
        <v>23</v>
      </c>
      <c r="C2149" s="637" t="s">
        <v>257</v>
      </c>
      <c r="D2149" s="637"/>
      <c r="E2149" s="637" t="s">
        <v>408</v>
      </c>
      <c r="F2149" s="637" t="s">
        <v>77</v>
      </c>
      <c r="G2149" s="637" t="s">
        <v>3939</v>
      </c>
      <c r="H2149" s="638" t="s">
        <v>3588</v>
      </c>
      <c r="I2149" s="645" t="s">
        <v>3589</v>
      </c>
      <c r="J2149" s="731">
        <v>45222</v>
      </c>
      <c r="K2149" s="774">
        <v>0.52083333333333337</v>
      </c>
      <c r="L2149" s="731">
        <v>45222</v>
      </c>
      <c r="M2149" s="774">
        <v>0.58333333333333337</v>
      </c>
      <c r="N2149" s="637">
        <v>1.5</v>
      </c>
      <c r="O2149" s="641" t="s">
        <v>17</v>
      </c>
      <c r="P2149" s="375" t="s">
        <v>2909</v>
      </c>
      <c r="Q2149" s="642" t="s">
        <v>1441</v>
      </c>
      <c r="R2149" s="31" t="s">
        <v>95</v>
      </c>
      <c r="S2149" s="31" t="s">
        <v>273</v>
      </c>
      <c r="T2149" s="31" t="s">
        <v>273</v>
      </c>
      <c r="U2149" s="31">
        <f>IFERROR(VLOOKUP(CONCATENATE(Tabla1[[#This Row],[Severidad]]," ",Tabla1[[#This Row],[Complejidad]]),Catalogos!E$120:G$128,3,FALSE),"")</f>
        <v>64</v>
      </c>
      <c r="V2149" s="31" t="str">
        <f>IF(Tabla1[[#This Row],[Tiempo solución max (hrs)]]&lt;&gt;"",IF(Tabla1[[#This Row],[Tiempo solución max (hrs)]]&gt;=Tabla1[[#This Row],[Tiempo
(Hrs 00/100)]],"cumple","no cumple"),"")</f>
        <v>cumple</v>
      </c>
      <c r="W2149" s="629" t="s">
        <v>3327</v>
      </c>
      <c r="X2149" s="377" t="str">
        <f t="shared" si="196"/>
        <v>SSI</v>
      </c>
      <c r="Y2149" t="str">
        <f>SUBSTITUTE(Tabla1[[#This Row],[Descripción]],CHAR(10),"    I    ")</f>
        <v>Se estimaron tiempos de la contrucción de todos los procedimientos nuevos que se deben terminar de construir con las variables del tipo TAB y con sus respectivas validaciones y casos especiales</v>
      </c>
      <c r="Z2149" s="142">
        <f>VLOOKUP(Tabla1[[#This Row],[Perfil]],Catalogos!$B$75:$D$100,3,FALSE)*Tabla1[[#This Row],[Tiempo
(Hrs 00/100)]]*1.16</f>
        <v>1044</v>
      </c>
    </row>
    <row r="2150" spans="1:26" ht="15" customHeight="1" x14ac:dyDescent="0.3">
      <c r="A2150" s="637" t="s">
        <v>22</v>
      </c>
      <c r="B2150" s="637" t="s">
        <v>23</v>
      </c>
      <c r="C2150" s="637" t="s">
        <v>257</v>
      </c>
      <c r="D2150" s="637"/>
      <c r="E2150" s="637" t="s">
        <v>408</v>
      </c>
      <c r="F2150" s="637" t="s">
        <v>23</v>
      </c>
      <c r="G2150" s="637" t="s">
        <v>3940</v>
      </c>
      <c r="H2150" s="638" t="s">
        <v>3590</v>
      </c>
      <c r="I2150" s="645" t="s">
        <v>3591</v>
      </c>
      <c r="J2150" s="731">
        <v>45223</v>
      </c>
      <c r="K2150" s="774">
        <v>0.33333333333333331</v>
      </c>
      <c r="L2150" s="731">
        <v>45223</v>
      </c>
      <c r="M2150" s="774">
        <v>0.41666666666666669</v>
      </c>
      <c r="N2150" s="637">
        <v>2</v>
      </c>
      <c r="O2150" s="641" t="s">
        <v>17</v>
      </c>
      <c r="P2150" s="375" t="s">
        <v>2909</v>
      </c>
      <c r="Q2150" s="642" t="s">
        <v>1441</v>
      </c>
      <c r="R2150" s="31" t="s">
        <v>95</v>
      </c>
      <c r="S2150" s="31" t="s">
        <v>273</v>
      </c>
      <c r="T2150" s="31" t="s">
        <v>273</v>
      </c>
      <c r="U2150" s="31">
        <f>IFERROR(VLOOKUP(CONCATENATE(Tabla1[[#This Row],[Severidad]]," ",Tabla1[[#This Row],[Complejidad]]),Catalogos!E$120:G$128,3,FALSE),"")</f>
        <v>64</v>
      </c>
      <c r="V2150" s="31" t="str">
        <f>IF(Tabla1[[#This Row],[Tiempo solución max (hrs)]]&lt;&gt;"",IF(Tabla1[[#This Row],[Tiempo solución max (hrs)]]&gt;=Tabla1[[#This Row],[Tiempo
(Hrs 00/100)]],"cumple","no cumple"),"")</f>
        <v>cumple</v>
      </c>
      <c r="W2150" s="629" t="s">
        <v>3327</v>
      </c>
      <c r="X2150" s="377" t="str">
        <f t="shared" si="196"/>
        <v>SSI</v>
      </c>
      <c r="Y2150" t="str">
        <f>SUBSTITUTE(Tabla1[[#This Row],[Descripción]],CHAR(10),"    I    ")</f>
        <v>Se construyó la consulta para tratae el 2do procedimiento OBTENER_DERECHO_DP</v>
      </c>
      <c r="Z2150" s="142">
        <f>VLOOKUP(Tabla1[[#This Row],[Perfil]],Catalogos!$B$75:$D$100,3,FALSE)*Tabla1[[#This Row],[Tiempo
(Hrs 00/100)]]*1.16</f>
        <v>1392</v>
      </c>
    </row>
    <row r="2151" spans="1:26" ht="15" customHeight="1" x14ac:dyDescent="0.3">
      <c r="A2151" s="637" t="s">
        <v>22</v>
      </c>
      <c r="B2151" s="637" t="s">
        <v>23</v>
      </c>
      <c r="C2151" s="637" t="s">
        <v>257</v>
      </c>
      <c r="D2151" s="637"/>
      <c r="E2151" s="637" t="s">
        <v>408</v>
      </c>
      <c r="F2151" s="637" t="s">
        <v>23</v>
      </c>
      <c r="G2151" s="637" t="s">
        <v>3941</v>
      </c>
      <c r="H2151" s="638" t="s">
        <v>3592</v>
      </c>
      <c r="I2151" s="645" t="s">
        <v>3593</v>
      </c>
      <c r="J2151" s="731">
        <v>45223</v>
      </c>
      <c r="K2151" s="774">
        <v>0.41666666666666669</v>
      </c>
      <c r="L2151" s="731">
        <v>45223</v>
      </c>
      <c r="M2151" s="774">
        <v>0.45833333333333331</v>
      </c>
      <c r="N2151" s="637">
        <v>1</v>
      </c>
      <c r="O2151" s="641" t="s">
        <v>17</v>
      </c>
      <c r="P2151" s="375" t="s">
        <v>2909</v>
      </c>
      <c r="Q2151" s="642" t="s">
        <v>1441</v>
      </c>
      <c r="R2151" s="31" t="s">
        <v>95</v>
      </c>
      <c r="S2151" s="31" t="s">
        <v>273</v>
      </c>
      <c r="T2151" s="31" t="s">
        <v>273</v>
      </c>
      <c r="U2151" s="31">
        <f>IFERROR(VLOOKUP(CONCATENATE(Tabla1[[#This Row],[Severidad]]," ",Tabla1[[#This Row],[Complejidad]]),Catalogos!E$120:G$128,3,FALSE),"")</f>
        <v>64</v>
      </c>
      <c r="V2151" s="31" t="str">
        <f>IF(Tabla1[[#This Row],[Tiempo solución max (hrs)]]&lt;&gt;"",IF(Tabla1[[#This Row],[Tiempo solución max (hrs)]]&gt;=Tabla1[[#This Row],[Tiempo
(Hrs 00/100)]],"cumple","no cumple"),"")</f>
        <v>cumple</v>
      </c>
      <c r="W2151" s="629" t="s">
        <v>3327</v>
      </c>
      <c r="X2151" s="377" t="str">
        <f t="shared" si="196"/>
        <v>SSI</v>
      </c>
      <c r="Y2151" t="str">
        <f>SUBSTITUTE(Tabla1[[#This Row],[Descripción]],CHAR(10),"    I    ")</f>
        <v>Se validó que la información que retorna la consulta con los distintos parametros sea la correcta</v>
      </c>
      <c r="Z2151" s="142">
        <f>VLOOKUP(Tabla1[[#This Row],[Perfil]],Catalogos!$B$75:$D$100,3,FALSE)*Tabla1[[#This Row],[Tiempo
(Hrs 00/100)]]*1.16</f>
        <v>696</v>
      </c>
    </row>
    <row r="2152" spans="1:26" ht="15" customHeight="1" x14ac:dyDescent="0.3">
      <c r="A2152" s="637" t="s">
        <v>22</v>
      </c>
      <c r="B2152" s="637" t="s">
        <v>23</v>
      </c>
      <c r="C2152" s="637" t="s">
        <v>257</v>
      </c>
      <c r="D2152" s="637"/>
      <c r="E2152" s="637" t="s">
        <v>408</v>
      </c>
      <c r="F2152" s="637" t="s">
        <v>23</v>
      </c>
      <c r="G2152" s="637" t="s">
        <v>3942</v>
      </c>
      <c r="H2152" s="638" t="s">
        <v>3594</v>
      </c>
      <c r="I2152" s="645" t="s">
        <v>3595</v>
      </c>
      <c r="J2152" s="731">
        <v>45223</v>
      </c>
      <c r="K2152" s="774">
        <v>0.45833333333333331</v>
      </c>
      <c r="L2152" s="731">
        <v>45223</v>
      </c>
      <c r="M2152" s="774">
        <v>0.54166666666666663</v>
      </c>
      <c r="N2152" s="637">
        <v>2</v>
      </c>
      <c r="O2152" s="641" t="s">
        <v>17</v>
      </c>
      <c r="P2152" s="375" t="s">
        <v>2909</v>
      </c>
      <c r="Q2152" s="642" t="s">
        <v>1441</v>
      </c>
      <c r="R2152" s="31" t="s">
        <v>95</v>
      </c>
      <c r="S2152" s="31" t="s">
        <v>273</v>
      </c>
      <c r="T2152" s="31" t="s">
        <v>273</v>
      </c>
      <c r="U2152" s="31">
        <f>IFERROR(VLOOKUP(CONCATENATE(Tabla1[[#This Row],[Severidad]]," ",Tabla1[[#This Row],[Complejidad]]),Catalogos!E$120:G$128,3,FALSE),"")</f>
        <v>64</v>
      </c>
      <c r="V2152" s="31" t="str">
        <f>IF(Tabla1[[#This Row],[Tiempo solución max (hrs)]]&lt;&gt;"",IF(Tabla1[[#This Row],[Tiempo solución max (hrs)]]&gt;=Tabla1[[#This Row],[Tiempo
(Hrs 00/100)]],"cumple","no cumple"),"")</f>
        <v>cumple</v>
      </c>
      <c r="W2152" s="629" t="s">
        <v>3327</v>
      </c>
      <c r="X2152" s="377" t="str">
        <f t="shared" si="196"/>
        <v>SSI</v>
      </c>
      <c r="Y2152" t="str">
        <f>SUBSTITUTE(Tabla1[[#This Row],[Descripción]],CHAR(10),"    I    ")</f>
        <v>Se trabajó en el 2do procedimiento 'OBTENER_DERECHO_DP' con sus respectivas variables TAB y con su consulta previamente validada, se compila sin errores</v>
      </c>
      <c r="Z2152" s="142">
        <f>VLOOKUP(Tabla1[[#This Row],[Perfil]],Catalogos!$B$75:$D$100,3,FALSE)*Tabla1[[#This Row],[Tiempo
(Hrs 00/100)]]*1.16</f>
        <v>1392</v>
      </c>
    </row>
    <row r="2153" spans="1:26" ht="15" customHeight="1" x14ac:dyDescent="0.3">
      <c r="A2153" s="637" t="s">
        <v>22</v>
      </c>
      <c r="B2153" s="637" t="s">
        <v>23</v>
      </c>
      <c r="C2153" s="637" t="s">
        <v>257</v>
      </c>
      <c r="D2153" s="637"/>
      <c r="E2153" s="637" t="s">
        <v>408</v>
      </c>
      <c r="F2153" s="637" t="s">
        <v>75</v>
      </c>
      <c r="G2153" s="637" t="s">
        <v>3943</v>
      </c>
      <c r="H2153" s="638" t="s">
        <v>3596</v>
      </c>
      <c r="I2153" s="645" t="s">
        <v>3597</v>
      </c>
      <c r="J2153" s="731">
        <v>45223</v>
      </c>
      <c r="K2153" s="774">
        <v>0.54166666666666663</v>
      </c>
      <c r="L2153" s="731">
        <v>45223</v>
      </c>
      <c r="M2153" s="774">
        <v>0.58333333333333337</v>
      </c>
      <c r="N2153" s="637">
        <v>1</v>
      </c>
      <c r="O2153" s="641" t="s">
        <v>17</v>
      </c>
      <c r="P2153" s="375" t="s">
        <v>2909</v>
      </c>
      <c r="Q2153" s="642" t="s">
        <v>1441</v>
      </c>
      <c r="R2153" s="31" t="s">
        <v>95</v>
      </c>
      <c r="S2153" s="31" t="s">
        <v>273</v>
      </c>
      <c r="T2153" s="31" t="s">
        <v>273</v>
      </c>
      <c r="U2153" s="31">
        <f>IFERROR(VLOOKUP(CONCATENATE(Tabla1[[#This Row],[Severidad]]," ",Tabla1[[#This Row],[Complejidad]]),Catalogos!E$120:G$128,3,FALSE),"")</f>
        <v>64</v>
      </c>
      <c r="V2153" s="31" t="str">
        <f>IF(Tabla1[[#This Row],[Tiempo solución max (hrs)]]&lt;&gt;"",IF(Tabla1[[#This Row],[Tiempo solución max (hrs)]]&gt;=Tabla1[[#This Row],[Tiempo
(Hrs 00/100)]],"cumple","no cumple"),"")</f>
        <v>cumple</v>
      </c>
      <c r="W2153" s="629" t="s">
        <v>3327</v>
      </c>
      <c r="X2153" s="377" t="str">
        <f t="shared" si="196"/>
        <v>SSI</v>
      </c>
      <c r="Y2153" t="str">
        <f>SUBSTITUTE(Tabla1[[#This Row],[Descripción]],CHAR(10),"    I    ")</f>
        <v>Se validó el paquete-procedimiento 'OBTENER_DERECHO_DP' con el bloque anónimo correcto y se tuvo un resultado exitoso con la salida del cursor completo</v>
      </c>
      <c r="Z2153" s="142">
        <f>VLOOKUP(Tabla1[[#This Row],[Perfil]],Catalogos!$B$75:$D$100,3,FALSE)*Tabla1[[#This Row],[Tiempo
(Hrs 00/100)]]*1.16</f>
        <v>696</v>
      </c>
    </row>
    <row r="2154" spans="1:26" ht="15" customHeight="1" x14ac:dyDescent="0.3">
      <c r="A2154" s="637" t="s">
        <v>22</v>
      </c>
      <c r="B2154" s="637" t="s">
        <v>23</v>
      </c>
      <c r="C2154" s="637" t="s">
        <v>257</v>
      </c>
      <c r="D2154" s="637"/>
      <c r="E2154" s="637" t="s">
        <v>408</v>
      </c>
      <c r="F2154" s="637" t="s">
        <v>75</v>
      </c>
      <c r="G2154" s="637" t="s">
        <v>3944</v>
      </c>
      <c r="H2154" s="638" t="s">
        <v>3598</v>
      </c>
      <c r="I2154" s="645" t="s">
        <v>3599</v>
      </c>
      <c r="J2154" s="731">
        <v>45223</v>
      </c>
      <c r="K2154" s="774">
        <v>0.625</v>
      </c>
      <c r="L2154" s="731">
        <v>45223</v>
      </c>
      <c r="M2154" s="774">
        <v>0.64583333333333337</v>
      </c>
      <c r="N2154" s="637">
        <v>0.5</v>
      </c>
      <c r="O2154" s="641" t="s">
        <v>17</v>
      </c>
      <c r="P2154" s="375" t="s">
        <v>2909</v>
      </c>
      <c r="Q2154" s="642" t="s">
        <v>1441</v>
      </c>
      <c r="R2154" s="31" t="s">
        <v>95</v>
      </c>
      <c r="S2154" s="31" t="s">
        <v>273</v>
      </c>
      <c r="T2154" s="31" t="s">
        <v>273</v>
      </c>
      <c r="U2154" s="31">
        <f>IFERROR(VLOOKUP(CONCATENATE(Tabla1[[#This Row],[Severidad]]," ",Tabla1[[#This Row],[Complejidad]]),Catalogos!E$120:G$128,3,FALSE),"")</f>
        <v>64</v>
      </c>
      <c r="V2154" s="31" t="str">
        <f>IF(Tabla1[[#This Row],[Tiempo solución max (hrs)]]&lt;&gt;"",IF(Tabla1[[#This Row],[Tiempo solución max (hrs)]]&gt;=Tabla1[[#This Row],[Tiempo
(Hrs 00/100)]],"cumple","no cumple"),"")</f>
        <v>cumple</v>
      </c>
      <c r="W2154" s="629" t="s">
        <v>3327</v>
      </c>
      <c r="X2154" s="377" t="str">
        <f t="shared" si="196"/>
        <v>SSI</v>
      </c>
      <c r="Y2154" t="str">
        <f>SUBSTITUTE(Tabla1[[#This Row],[Descripción]],CHAR(10),"    I    ")</f>
        <v>Se le informó al equipo que ya esta este 2do procedimiento para que lo revisen y consuman desde el aplicativo</v>
      </c>
      <c r="Z2154" s="142">
        <f>VLOOKUP(Tabla1[[#This Row],[Perfil]],Catalogos!$B$75:$D$100,3,FALSE)*Tabla1[[#This Row],[Tiempo
(Hrs 00/100)]]*1.16</f>
        <v>348</v>
      </c>
    </row>
    <row r="2155" spans="1:26" ht="15" customHeight="1" x14ac:dyDescent="0.3">
      <c r="A2155" s="637" t="s">
        <v>22</v>
      </c>
      <c r="B2155" s="637" t="s">
        <v>23</v>
      </c>
      <c r="C2155" s="637" t="s">
        <v>257</v>
      </c>
      <c r="D2155" s="637"/>
      <c r="E2155" s="637" t="s">
        <v>408</v>
      </c>
      <c r="F2155" s="637" t="s">
        <v>23</v>
      </c>
      <c r="G2155" s="637" t="s">
        <v>3945</v>
      </c>
      <c r="H2155" s="638" t="s">
        <v>3600</v>
      </c>
      <c r="I2155" s="645" t="s">
        <v>3600</v>
      </c>
      <c r="J2155" s="731">
        <v>45223</v>
      </c>
      <c r="K2155" s="774">
        <v>0.64583333333333337</v>
      </c>
      <c r="L2155" s="731">
        <v>45223</v>
      </c>
      <c r="M2155" s="774">
        <v>0.72916666666666663</v>
      </c>
      <c r="N2155" s="637">
        <v>2</v>
      </c>
      <c r="O2155" s="641" t="s">
        <v>17</v>
      </c>
      <c r="P2155" s="375" t="s">
        <v>2909</v>
      </c>
      <c r="Q2155" s="642" t="s">
        <v>1441</v>
      </c>
      <c r="R2155" s="31" t="s">
        <v>95</v>
      </c>
      <c r="S2155" s="31" t="s">
        <v>273</v>
      </c>
      <c r="T2155" s="31" t="s">
        <v>273</v>
      </c>
      <c r="U2155" s="31">
        <f>IFERROR(VLOOKUP(CONCATENATE(Tabla1[[#This Row],[Severidad]]," ",Tabla1[[#This Row],[Complejidad]]),Catalogos!E$120:G$128,3,FALSE),"")</f>
        <v>64</v>
      </c>
      <c r="V2155" s="31" t="str">
        <f>IF(Tabla1[[#This Row],[Tiempo solución max (hrs)]]&lt;&gt;"",IF(Tabla1[[#This Row],[Tiempo solución max (hrs)]]&gt;=Tabla1[[#This Row],[Tiempo
(Hrs 00/100)]],"cumple","no cumple"),"")</f>
        <v>cumple</v>
      </c>
      <c r="W2155" s="629" t="s">
        <v>3327</v>
      </c>
      <c r="X2155" s="377" t="str">
        <f t="shared" si="196"/>
        <v>SSI</v>
      </c>
      <c r="Y2155" t="str">
        <f>SUBSTITUTE(Tabla1[[#This Row],[Descripción]],CHAR(10),"    I    ")</f>
        <v>Se construyó la consulta para tratar el 3er procedimiento OBTENER_MEDIO_ENTRADA</v>
      </c>
      <c r="Z2155" s="142">
        <f>VLOOKUP(Tabla1[[#This Row],[Perfil]],Catalogos!$B$75:$D$100,3,FALSE)*Tabla1[[#This Row],[Tiempo
(Hrs 00/100)]]*1.16</f>
        <v>1392</v>
      </c>
    </row>
    <row r="2156" spans="1:26" ht="15" customHeight="1" x14ac:dyDescent="0.3">
      <c r="A2156" s="637" t="s">
        <v>22</v>
      </c>
      <c r="B2156" s="637" t="s">
        <v>23</v>
      </c>
      <c r="C2156" s="637" t="s">
        <v>257</v>
      </c>
      <c r="D2156" s="637"/>
      <c r="E2156" s="637" t="s">
        <v>408</v>
      </c>
      <c r="F2156" s="637" t="s">
        <v>23</v>
      </c>
      <c r="G2156" s="637" t="s">
        <v>3946</v>
      </c>
      <c r="H2156" s="638" t="s">
        <v>3601</v>
      </c>
      <c r="I2156" s="645" t="s">
        <v>3593</v>
      </c>
      <c r="J2156" s="731">
        <v>45223</v>
      </c>
      <c r="K2156" s="774">
        <v>0.72916666666666663</v>
      </c>
      <c r="L2156" s="731">
        <v>45223</v>
      </c>
      <c r="M2156" s="774">
        <v>0.77083333333333337</v>
      </c>
      <c r="N2156" s="637">
        <v>1</v>
      </c>
      <c r="O2156" s="641" t="s">
        <v>17</v>
      </c>
      <c r="P2156" s="375" t="s">
        <v>2909</v>
      </c>
      <c r="Q2156" s="642" t="s">
        <v>1441</v>
      </c>
      <c r="R2156" s="31" t="s">
        <v>95</v>
      </c>
      <c r="S2156" s="31" t="s">
        <v>273</v>
      </c>
      <c r="T2156" s="31" t="s">
        <v>273</v>
      </c>
      <c r="U2156" s="31">
        <f>IFERROR(VLOOKUP(CONCATENATE(Tabla1[[#This Row],[Severidad]]," ",Tabla1[[#This Row],[Complejidad]]),Catalogos!E$120:G$128,3,FALSE),"")</f>
        <v>64</v>
      </c>
      <c r="V2156" s="31" t="str">
        <f>IF(Tabla1[[#This Row],[Tiempo solución max (hrs)]]&lt;&gt;"",IF(Tabla1[[#This Row],[Tiempo solución max (hrs)]]&gt;=Tabla1[[#This Row],[Tiempo
(Hrs 00/100)]],"cumple","no cumple"),"")</f>
        <v>cumple</v>
      </c>
      <c r="W2156" s="629" t="s">
        <v>3327</v>
      </c>
      <c r="X2156" s="377" t="str">
        <f t="shared" si="196"/>
        <v>SSI</v>
      </c>
      <c r="Y2156" t="str">
        <f>SUBSTITUTE(Tabla1[[#This Row],[Descripción]],CHAR(10),"    I    ")</f>
        <v>Se validó que la información que retorna la consulta con los distintos parametros sea la correcta</v>
      </c>
      <c r="Z2156" s="142">
        <f>VLOOKUP(Tabla1[[#This Row],[Perfil]],Catalogos!$B$75:$D$100,3,FALSE)*Tabla1[[#This Row],[Tiempo
(Hrs 00/100)]]*1.16</f>
        <v>696</v>
      </c>
    </row>
    <row r="2157" spans="1:26" ht="15" customHeight="1" x14ac:dyDescent="0.3">
      <c r="A2157" s="637" t="s">
        <v>22</v>
      </c>
      <c r="B2157" s="637" t="s">
        <v>23</v>
      </c>
      <c r="C2157" s="637" t="s">
        <v>257</v>
      </c>
      <c r="D2157" s="637"/>
      <c r="E2157" s="637" t="s">
        <v>408</v>
      </c>
      <c r="F2157" s="637" t="s">
        <v>23</v>
      </c>
      <c r="G2157" s="637" t="s">
        <v>3947</v>
      </c>
      <c r="H2157" s="638" t="s">
        <v>3602</v>
      </c>
      <c r="I2157" s="645" t="s">
        <v>3603</v>
      </c>
      <c r="J2157" s="731">
        <v>45223</v>
      </c>
      <c r="K2157" s="774">
        <v>0.77083333333333337</v>
      </c>
      <c r="L2157" s="731">
        <v>45223</v>
      </c>
      <c r="M2157" s="774">
        <v>0.85416666666666663</v>
      </c>
      <c r="N2157" s="637">
        <v>2</v>
      </c>
      <c r="O2157" s="641" t="s">
        <v>17</v>
      </c>
      <c r="P2157" s="375" t="s">
        <v>2909</v>
      </c>
      <c r="Q2157" s="642" t="s">
        <v>1441</v>
      </c>
      <c r="R2157" s="31" t="s">
        <v>95</v>
      </c>
      <c r="S2157" s="31" t="s">
        <v>273</v>
      </c>
      <c r="T2157" s="31" t="s">
        <v>273</v>
      </c>
      <c r="U2157" s="31">
        <f>IFERROR(VLOOKUP(CONCATENATE(Tabla1[[#This Row],[Severidad]]," ",Tabla1[[#This Row],[Complejidad]]),Catalogos!E$120:G$128,3,FALSE),"")</f>
        <v>64</v>
      </c>
      <c r="V2157" s="31" t="str">
        <f>IF(Tabla1[[#This Row],[Tiempo solución max (hrs)]]&lt;&gt;"",IF(Tabla1[[#This Row],[Tiempo solución max (hrs)]]&gt;=Tabla1[[#This Row],[Tiempo
(Hrs 00/100)]],"cumple","no cumple"),"")</f>
        <v>cumple</v>
      </c>
      <c r="W2157" s="629" t="s">
        <v>3327</v>
      </c>
      <c r="X2157" s="377" t="str">
        <f t="shared" si="196"/>
        <v>SSI</v>
      </c>
      <c r="Y2157" t="str">
        <f>SUBSTITUTE(Tabla1[[#This Row],[Descripción]],CHAR(10),"    I    ")</f>
        <v>Se trabajó en el 3er procedimiento 'OBTENER_MEDIO_ENTRADA' con sus respectivas variables TAB y con su consulta previamente validada, se compila sin errores</v>
      </c>
      <c r="Z2157" s="142">
        <f>VLOOKUP(Tabla1[[#This Row],[Perfil]],Catalogos!$B$75:$D$100,3,FALSE)*Tabla1[[#This Row],[Tiempo
(Hrs 00/100)]]*1.16</f>
        <v>1392</v>
      </c>
    </row>
    <row r="2158" spans="1:26" ht="15" customHeight="1" x14ac:dyDescent="0.3">
      <c r="A2158" s="637" t="s">
        <v>22</v>
      </c>
      <c r="B2158" s="637" t="s">
        <v>23</v>
      </c>
      <c r="C2158" s="637" t="s">
        <v>257</v>
      </c>
      <c r="D2158" s="637"/>
      <c r="E2158" s="637" t="s">
        <v>408</v>
      </c>
      <c r="F2158" s="637" t="s">
        <v>75</v>
      </c>
      <c r="G2158" s="637" t="s">
        <v>3948</v>
      </c>
      <c r="H2158" s="638" t="s">
        <v>3604</v>
      </c>
      <c r="I2158" s="645" t="s">
        <v>3605</v>
      </c>
      <c r="J2158" s="731">
        <v>45223</v>
      </c>
      <c r="K2158" s="774">
        <v>0.85416666666666663</v>
      </c>
      <c r="L2158" s="731">
        <v>45223</v>
      </c>
      <c r="M2158" s="774">
        <v>0.89583333333333337</v>
      </c>
      <c r="N2158" s="637">
        <v>1</v>
      </c>
      <c r="O2158" s="641" t="s">
        <v>17</v>
      </c>
      <c r="P2158" s="375" t="s">
        <v>2909</v>
      </c>
      <c r="Q2158" s="642" t="s">
        <v>1441</v>
      </c>
      <c r="R2158" s="31" t="s">
        <v>95</v>
      </c>
      <c r="S2158" s="31" t="s">
        <v>273</v>
      </c>
      <c r="T2158" s="31" t="s">
        <v>273</v>
      </c>
      <c r="U2158" s="31">
        <f>IFERROR(VLOOKUP(CONCATENATE(Tabla1[[#This Row],[Severidad]]," ",Tabla1[[#This Row],[Complejidad]]),Catalogos!E$120:G$128,3,FALSE),"")</f>
        <v>64</v>
      </c>
      <c r="V2158" s="31" t="str">
        <f>IF(Tabla1[[#This Row],[Tiempo solución max (hrs)]]&lt;&gt;"",IF(Tabla1[[#This Row],[Tiempo solución max (hrs)]]&gt;=Tabla1[[#This Row],[Tiempo
(Hrs 00/100)]],"cumple","no cumple"),"")</f>
        <v>cumple</v>
      </c>
      <c r="W2158" s="629" t="s">
        <v>3327</v>
      </c>
      <c r="X2158" s="377" t="str">
        <f t="shared" ref="X2158:X2189" si="197">IF(C2158&lt;&gt;"",C2158,D2158)</f>
        <v>SSI</v>
      </c>
      <c r="Y2158" t="str">
        <f>SUBSTITUTE(Tabla1[[#This Row],[Descripción]],CHAR(10),"    I    ")</f>
        <v>Se validó el paquete-procedimiento 'OBTENER_MEDIO_ENTRADA' con el bloque anónimo correcto y se tuvo un resultado exitoso con la salida del cursor completo</v>
      </c>
      <c r="Z2158" s="142">
        <f>VLOOKUP(Tabla1[[#This Row],[Perfil]],Catalogos!$B$75:$D$100,3,FALSE)*Tabla1[[#This Row],[Tiempo
(Hrs 00/100)]]*1.16</f>
        <v>696</v>
      </c>
    </row>
    <row r="2159" spans="1:26" ht="15" customHeight="1" x14ac:dyDescent="0.3">
      <c r="A2159" s="637" t="s">
        <v>22</v>
      </c>
      <c r="B2159" s="637" t="s">
        <v>23</v>
      </c>
      <c r="C2159" s="637" t="s">
        <v>257</v>
      </c>
      <c r="D2159" s="637"/>
      <c r="E2159" s="637" t="s">
        <v>408</v>
      </c>
      <c r="F2159" s="637" t="s">
        <v>75</v>
      </c>
      <c r="G2159" s="637" t="s">
        <v>3949</v>
      </c>
      <c r="H2159" s="638" t="s">
        <v>3606</v>
      </c>
      <c r="I2159" s="645" t="s">
        <v>3607</v>
      </c>
      <c r="J2159" s="731">
        <v>45223</v>
      </c>
      <c r="K2159" s="774">
        <v>0.89583333333333337</v>
      </c>
      <c r="L2159" s="731">
        <v>45223</v>
      </c>
      <c r="M2159" s="774">
        <v>0.91666666666666663</v>
      </c>
      <c r="N2159" s="637">
        <v>0.5</v>
      </c>
      <c r="O2159" s="641" t="s">
        <v>411</v>
      </c>
      <c r="P2159" s="375" t="s">
        <v>2909</v>
      </c>
      <c r="Q2159" s="642" t="s">
        <v>1441</v>
      </c>
      <c r="R2159" s="31" t="s">
        <v>95</v>
      </c>
      <c r="S2159" s="31" t="s">
        <v>273</v>
      </c>
      <c r="T2159" s="31" t="s">
        <v>273</v>
      </c>
      <c r="U2159" s="31">
        <f>IFERROR(VLOOKUP(CONCATENATE(Tabla1[[#This Row],[Severidad]]," ",Tabla1[[#This Row],[Complejidad]]),Catalogos!E$120:G$128,3,FALSE),"")</f>
        <v>64</v>
      </c>
      <c r="V2159" s="31" t="str">
        <f>IF(Tabla1[[#This Row],[Tiempo solución max (hrs)]]&lt;&gt;"",IF(Tabla1[[#This Row],[Tiempo solución max (hrs)]]&gt;=Tabla1[[#This Row],[Tiempo
(Hrs 00/100)]],"cumple","no cumple"),"")</f>
        <v>cumple</v>
      </c>
      <c r="W2159" s="629" t="s">
        <v>3327</v>
      </c>
      <c r="X2159" s="377" t="str">
        <f t="shared" si="197"/>
        <v>SSI</v>
      </c>
      <c r="Y2159" t="str">
        <f>SUBSTITUTE(Tabla1[[#This Row],[Descripción]],CHAR(10),"    I    ")</f>
        <v>Se le informó al equipo que ya esta este 3er procedimiento para que lo revisen y consuman desde el aplicativo</v>
      </c>
      <c r="Z2159" s="142">
        <f>VLOOKUP(Tabla1[[#This Row],[Perfil]],Catalogos!$B$75:$D$100,3,FALSE)*Tabla1[[#This Row],[Tiempo
(Hrs 00/100)]]*1.16</f>
        <v>348</v>
      </c>
    </row>
    <row r="2160" spans="1:26" ht="15" customHeight="1" x14ac:dyDescent="0.3">
      <c r="A2160" s="637" t="s">
        <v>22</v>
      </c>
      <c r="B2160" s="637" t="s">
        <v>23</v>
      </c>
      <c r="C2160" s="637" t="s">
        <v>257</v>
      </c>
      <c r="D2160" s="637"/>
      <c r="E2160" s="637" t="s">
        <v>408</v>
      </c>
      <c r="F2160" s="637" t="s">
        <v>23</v>
      </c>
      <c r="G2160" s="637" t="s">
        <v>3950</v>
      </c>
      <c r="H2160" s="638" t="s">
        <v>3608</v>
      </c>
      <c r="I2160" s="645" t="s">
        <v>3608</v>
      </c>
      <c r="J2160" s="731">
        <v>45224</v>
      </c>
      <c r="K2160" s="774">
        <v>0.27083333333333331</v>
      </c>
      <c r="L2160" s="731">
        <v>45224</v>
      </c>
      <c r="M2160" s="774">
        <v>0.35416666666666669</v>
      </c>
      <c r="N2160" s="637">
        <v>2</v>
      </c>
      <c r="O2160" s="641" t="s">
        <v>17</v>
      </c>
      <c r="P2160" s="375" t="s">
        <v>2909</v>
      </c>
      <c r="Q2160" s="642" t="s">
        <v>1441</v>
      </c>
      <c r="R2160" s="31" t="s">
        <v>95</v>
      </c>
      <c r="S2160" s="31" t="s">
        <v>273</v>
      </c>
      <c r="T2160" s="31" t="s">
        <v>273</v>
      </c>
      <c r="U2160" s="31">
        <f>IFERROR(VLOOKUP(CONCATENATE(Tabla1[[#This Row],[Severidad]]," ",Tabla1[[#This Row],[Complejidad]]),Catalogos!E$120:G$128,3,FALSE),"")</f>
        <v>64</v>
      </c>
      <c r="V2160" s="31" t="str">
        <f>IF(Tabla1[[#This Row],[Tiempo solución max (hrs)]]&lt;&gt;"",IF(Tabla1[[#This Row],[Tiempo solución max (hrs)]]&gt;=Tabla1[[#This Row],[Tiempo
(Hrs 00/100)]],"cumple","no cumple"),"")</f>
        <v>cumple</v>
      </c>
      <c r="W2160" s="629" t="s">
        <v>3327</v>
      </c>
      <c r="X2160" s="377" t="str">
        <f t="shared" si="197"/>
        <v>SSI</v>
      </c>
      <c r="Y2160" t="str">
        <f>SUBSTITUTE(Tabla1[[#This Row],[Descripción]],CHAR(10),"    I    ")</f>
        <v>Se construyó la consulta para tratar el 4to procedimiento OBTENER_MODALIDAD_ENTREGA</v>
      </c>
      <c r="Z2160" s="142">
        <f>VLOOKUP(Tabla1[[#This Row],[Perfil]],Catalogos!$B$75:$D$100,3,FALSE)*Tabla1[[#This Row],[Tiempo
(Hrs 00/100)]]*1.16</f>
        <v>1392</v>
      </c>
    </row>
    <row r="2161" spans="1:26" ht="15" customHeight="1" x14ac:dyDescent="0.3">
      <c r="A2161" s="637" t="s">
        <v>22</v>
      </c>
      <c r="B2161" s="637" t="s">
        <v>23</v>
      </c>
      <c r="C2161" s="637" t="s">
        <v>257</v>
      </c>
      <c r="D2161" s="637"/>
      <c r="E2161" s="637" t="s">
        <v>408</v>
      </c>
      <c r="F2161" s="637" t="s">
        <v>23</v>
      </c>
      <c r="G2161" s="637" t="s">
        <v>3951</v>
      </c>
      <c r="H2161" s="638" t="s">
        <v>3601</v>
      </c>
      <c r="I2161" s="645" t="s">
        <v>3593</v>
      </c>
      <c r="J2161" s="731">
        <v>45224</v>
      </c>
      <c r="K2161" s="774">
        <v>0.35416666666666669</v>
      </c>
      <c r="L2161" s="731">
        <v>45224</v>
      </c>
      <c r="M2161" s="774">
        <v>0.39583333333333331</v>
      </c>
      <c r="N2161" s="637">
        <v>1</v>
      </c>
      <c r="O2161" s="641" t="s">
        <v>17</v>
      </c>
      <c r="P2161" s="375" t="s">
        <v>2909</v>
      </c>
      <c r="Q2161" s="642" t="s">
        <v>1441</v>
      </c>
      <c r="R2161" s="31" t="s">
        <v>95</v>
      </c>
      <c r="S2161" s="31" t="s">
        <v>273</v>
      </c>
      <c r="T2161" s="31" t="s">
        <v>273</v>
      </c>
      <c r="U2161" s="31">
        <f>IFERROR(VLOOKUP(CONCATENATE(Tabla1[[#This Row],[Severidad]]," ",Tabla1[[#This Row],[Complejidad]]),Catalogos!E$120:G$128,3,FALSE),"")</f>
        <v>64</v>
      </c>
      <c r="V2161" s="31" t="str">
        <f>IF(Tabla1[[#This Row],[Tiempo solución max (hrs)]]&lt;&gt;"",IF(Tabla1[[#This Row],[Tiempo solución max (hrs)]]&gt;=Tabla1[[#This Row],[Tiempo
(Hrs 00/100)]],"cumple","no cumple"),"")</f>
        <v>cumple</v>
      </c>
      <c r="W2161" s="629" t="s">
        <v>3327</v>
      </c>
      <c r="X2161" s="377" t="str">
        <f t="shared" si="197"/>
        <v>SSI</v>
      </c>
      <c r="Y2161" t="str">
        <f>SUBSTITUTE(Tabla1[[#This Row],[Descripción]],CHAR(10),"    I    ")</f>
        <v>Se validó que la información que retorna la consulta con los distintos parametros sea la correcta</v>
      </c>
      <c r="Z2161" s="142">
        <f>VLOOKUP(Tabla1[[#This Row],[Perfil]],Catalogos!$B$75:$D$100,3,FALSE)*Tabla1[[#This Row],[Tiempo
(Hrs 00/100)]]*1.16</f>
        <v>696</v>
      </c>
    </row>
    <row r="2162" spans="1:26" ht="15" customHeight="1" x14ac:dyDescent="0.3">
      <c r="A2162" s="637" t="s">
        <v>22</v>
      </c>
      <c r="B2162" s="637" t="s">
        <v>305</v>
      </c>
      <c r="C2162" s="637" t="s">
        <v>257</v>
      </c>
      <c r="D2162" s="637"/>
      <c r="E2162" s="637" t="s">
        <v>408</v>
      </c>
      <c r="F2162" s="637" t="s">
        <v>72</v>
      </c>
      <c r="G2162" s="637" t="s">
        <v>3952</v>
      </c>
      <c r="H2162" s="638" t="s">
        <v>3609</v>
      </c>
      <c r="I2162" s="645" t="s">
        <v>3610</v>
      </c>
      <c r="J2162" s="731">
        <v>45224</v>
      </c>
      <c r="K2162" s="774">
        <v>0.39583333333333331</v>
      </c>
      <c r="L2162" s="731">
        <v>45224</v>
      </c>
      <c r="M2162" s="774">
        <v>0.47916666666666669</v>
      </c>
      <c r="N2162" s="637">
        <v>2</v>
      </c>
      <c r="O2162" s="641" t="s">
        <v>17</v>
      </c>
      <c r="P2162" s="375" t="s">
        <v>2909</v>
      </c>
      <c r="Q2162" s="642" t="s">
        <v>1441</v>
      </c>
      <c r="R2162" s="31" t="s">
        <v>95</v>
      </c>
      <c r="S2162" s="31" t="s">
        <v>273</v>
      </c>
      <c r="T2162" s="31" t="s">
        <v>273</v>
      </c>
      <c r="U2162" s="31">
        <f>IFERROR(VLOOKUP(CONCATENATE(Tabla1[[#This Row],[Severidad]]," ",Tabla1[[#This Row],[Complejidad]]),Catalogos!E$120:G$128,3,FALSE),"")</f>
        <v>64</v>
      </c>
      <c r="V2162" s="31" t="str">
        <f>IF(Tabla1[[#This Row],[Tiempo solución max (hrs)]]&lt;&gt;"",IF(Tabla1[[#This Row],[Tiempo solución max (hrs)]]&gt;=Tabla1[[#This Row],[Tiempo
(Hrs 00/100)]],"cumple","no cumple"),"")</f>
        <v>cumple</v>
      </c>
      <c r="W2162" s="629" t="s">
        <v>3327</v>
      </c>
      <c r="X2162" s="377" t="str">
        <f t="shared" si="197"/>
        <v>SSI</v>
      </c>
      <c r="Y2162" t="str">
        <f>SUBSTITUTE(Tabla1[[#This Row],[Descripción]],CHAR(10),"    I    ")</f>
        <v>Se trabajó en el 4to procedimiento 'OBTENER_MODALIDAD_ENTREGA' con sus respectivas variables TAB y con su consulta previamente validada, se compila sin errores</v>
      </c>
      <c r="Z2162" s="142">
        <f>VLOOKUP(Tabla1[[#This Row],[Perfil]],Catalogos!$B$75:$D$100,3,FALSE)*Tabla1[[#This Row],[Tiempo
(Hrs 00/100)]]*1.16</f>
        <v>1392</v>
      </c>
    </row>
    <row r="2163" spans="1:26" ht="15" customHeight="1" x14ac:dyDescent="0.3">
      <c r="A2163" s="637" t="s">
        <v>22</v>
      </c>
      <c r="B2163" s="637" t="s">
        <v>23</v>
      </c>
      <c r="C2163" s="637" t="s">
        <v>257</v>
      </c>
      <c r="D2163" s="637"/>
      <c r="E2163" s="637" t="s">
        <v>408</v>
      </c>
      <c r="F2163" s="637" t="s">
        <v>23</v>
      </c>
      <c r="G2163" s="637" t="s">
        <v>3953</v>
      </c>
      <c r="H2163" s="638" t="s">
        <v>3611</v>
      </c>
      <c r="I2163" s="645" t="s">
        <v>3612</v>
      </c>
      <c r="J2163" s="731">
        <v>45224</v>
      </c>
      <c r="K2163" s="774">
        <v>0.47916666666666669</v>
      </c>
      <c r="L2163" s="731">
        <v>45224</v>
      </c>
      <c r="M2163" s="774">
        <v>0.52083333333333337</v>
      </c>
      <c r="N2163" s="637">
        <v>1</v>
      </c>
      <c r="O2163" s="641" t="s">
        <v>17</v>
      </c>
      <c r="P2163" s="375" t="s">
        <v>2909</v>
      </c>
      <c r="Q2163" s="642" t="s">
        <v>1441</v>
      </c>
      <c r="R2163" s="31" t="s">
        <v>95</v>
      </c>
      <c r="S2163" s="31" t="s">
        <v>273</v>
      </c>
      <c r="T2163" s="31" t="s">
        <v>273</v>
      </c>
      <c r="U2163" s="31">
        <f>IFERROR(VLOOKUP(CONCATENATE(Tabla1[[#This Row],[Severidad]]," ",Tabla1[[#This Row],[Complejidad]]),Catalogos!E$120:G$128,3,FALSE),"")</f>
        <v>64</v>
      </c>
      <c r="V2163" s="31" t="str">
        <f>IF(Tabla1[[#This Row],[Tiempo solución max (hrs)]]&lt;&gt;"",IF(Tabla1[[#This Row],[Tiempo solución max (hrs)]]&gt;=Tabla1[[#This Row],[Tiempo
(Hrs 00/100)]],"cumple","no cumple"),"")</f>
        <v>cumple</v>
      </c>
      <c r="W2163" s="629" t="s">
        <v>3327</v>
      </c>
      <c r="X2163" s="377" t="str">
        <f t="shared" si="197"/>
        <v>SSI</v>
      </c>
      <c r="Y2163" t="str">
        <f>SUBSTITUTE(Tabla1[[#This Row],[Descripción]],CHAR(10),"    I    ")</f>
        <v>Se validó el paquete-procedimiento 'OBTENER_MODALIDAD_ENTREGA' con el bloque anónimo correcto y se tuvo un resultado exitoso con la salida del cursor completo</v>
      </c>
      <c r="Z2163" s="142">
        <f>VLOOKUP(Tabla1[[#This Row],[Perfil]],Catalogos!$B$75:$D$100,3,FALSE)*Tabla1[[#This Row],[Tiempo
(Hrs 00/100)]]*1.16</f>
        <v>696</v>
      </c>
    </row>
    <row r="2164" spans="1:26" ht="15" customHeight="1" x14ac:dyDescent="0.3">
      <c r="A2164" s="637" t="s">
        <v>22</v>
      </c>
      <c r="B2164" s="637" t="s">
        <v>23</v>
      </c>
      <c r="C2164" s="637" t="s">
        <v>257</v>
      </c>
      <c r="D2164" s="637"/>
      <c r="E2164" s="637" t="s">
        <v>408</v>
      </c>
      <c r="F2164" s="637" t="s">
        <v>23</v>
      </c>
      <c r="G2164" s="637" t="s">
        <v>3954</v>
      </c>
      <c r="H2164" s="638" t="s">
        <v>3613</v>
      </c>
      <c r="I2164" s="645" t="s">
        <v>3614</v>
      </c>
      <c r="J2164" s="731">
        <v>45224</v>
      </c>
      <c r="K2164" s="774">
        <v>0.52083333333333337</v>
      </c>
      <c r="L2164" s="731">
        <v>45224</v>
      </c>
      <c r="M2164" s="774">
        <v>0.54166666666666663</v>
      </c>
      <c r="N2164" s="637">
        <v>0.5</v>
      </c>
      <c r="O2164" s="641" t="s">
        <v>17</v>
      </c>
      <c r="P2164" s="375" t="s">
        <v>2909</v>
      </c>
      <c r="Q2164" s="642" t="s">
        <v>1441</v>
      </c>
      <c r="R2164" s="31" t="s">
        <v>95</v>
      </c>
      <c r="S2164" s="31" t="s">
        <v>273</v>
      </c>
      <c r="T2164" s="31" t="s">
        <v>273</v>
      </c>
      <c r="U2164" s="31">
        <f>IFERROR(VLOOKUP(CONCATENATE(Tabla1[[#This Row],[Severidad]]," ",Tabla1[[#This Row],[Complejidad]]),Catalogos!E$120:G$128,3,FALSE),"")</f>
        <v>64</v>
      </c>
      <c r="V2164" s="31" t="str">
        <f>IF(Tabla1[[#This Row],[Tiempo solución max (hrs)]]&lt;&gt;"",IF(Tabla1[[#This Row],[Tiempo solución max (hrs)]]&gt;=Tabla1[[#This Row],[Tiempo
(Hrs 00/100)]],"cumple","no cumple"),"")</f>
        <v>cumple</v>
      </c>
      <c r="W2164" s="629" t="s">
        <v>3327</v>
      </c>
      <c r="X2164" s="377" t="str">
        <f t="shared" si="197"/>
        <v>SSI</v>
      </c>
      <c r="Y2164" t="str">
        <f>SUBSTITUTE(Tabla1[[#This Row],[Descripción]],CHAR(10),"    I    ")</f>
        <v>Se le informó al equipo que ya esta este 4to procedimiento para que lo revisen y consuman desde el aplicativo</v>
      </c>
      <c r="Z2164" s="142">
        <f>VLOOKUP(Tabla1[[#This Row],[Perfil]],Catalogos!$B$75:$D$100,3,FALSE)*Tabla1[[#This Row],[Tiempo
(Hrs 00/100)]]*1.16</f>
        <v>348</v>
      </c>
    </row>
    <row r="2165" spans="1:26" ht="15" customHeight="1" x14ac:dyDescent="0.3">
      <c r="A2165" s="637" t="s">
        <v>22</v>
      </c>
      <c r="B2165" s="637" t="s">
        <v>23</v>
      </c>
      <c r="C2165" s="637" t="s">
        <v>257</v>
      </c>
      <c r="D2165" s="637"/>
      <c r="E2165" s="637" t="s">
        <v>408</v>
      </c>
      <c r="F2165" s="637" t="s">
        <v>23</v>
      </c>
      <c r="G2165" s="637" t="s">
        <v>3955</v>
      </c>
      <c r="H2165" s="638" t="s">
        <v>3615</v>
      </c>
      <c r="I2165" s="645" t="s">
        <v>3615</v>
      </c>
      <c r="J2165" s="731">
        <v>45224</v>
      </c>
      <c r="K2165" s="774">
        <v>0.5625</v>
      </c>
      <c r="L2165" s="731">
        <v>45224</v>
      </c>
      <c r="M2165" s="774">
        <v>0.64583333333333337</v>
      </c>
      <c r="N2165" s="637">
        <v>2</v>
      </c>
      <c r="O2165" s="641" t="s">
        <v>17</v>
      </c>
      <c r="P2165" s="375" t="s">
        <v>2909</v>
      </c>
      <c r="Q2165" s="642" t="s">
        <v>1441</v>
      </c>
      <c r="R2165" s="31" t="s">
        <v>95</v>
      </c>
      <c r="S2165" s="31" t="s">
        <v>273</v>
      </c>
      <c r="T2165" s="31" t="s">
        <v>273</v>
      </c>
      <c r="U2165" s="31">
        <f>IFERROR(VLOOKUP(CONCATENATE(Tabla1[[#This Row],[Severidad]]," ",Tabla1[[#This Row],[Complejidad]]),Catalogos!E$120:G$128,3,FALSE),"")</f>
        <v>64</v>
      </c>
      <c r="V2165" s="31" t="str">
        <f>IF(Tabla1[[#This Row],[Tiempo solución max (hrs)]]&lt;&gt;"",IF(Tabla1[[#This Row],[Tiempo solución max (hrs)]]&gt;=Tabla1[[#This Row],[Tiempo
(Hrs 00/100)]],"cumple","no cumple"),"")</f>
        <v>cumple</v>
      </c>
      <c r="W2165" s="629" t="s">
        <v>3327</v>
      </c>
      <c r="X2165" s="377" t="str">
        <f t="shared" si="197"/>
        <v>SSI</v>
      </c>
      <c r="Y2165" t="str">
        <f>SUBSTITUTE(Tabla1[[#This Row],[Descripción]],CHAR(10),"    I    ")</f>
        <v>Se construyó la consulta para tratar el 5to procedimiento OBTENER_RECIBO_NOTIFICACION</v>
      </c>
      <c r="Z2165" s="142">
        <f>VLOOKUP(Tabla1[[#This Row],[Perfil]],Catalogos!$B$75:$D$100,3,FALSE)*Tabla1[[#This Row],[Tiempo
(Hrs 00/100)]]*1.16</f>
        <v>1392</v>
      </c>
    </row>
    <row r="2166" spans="1:26" ht="15" customHeight="1" x14ac:dyDescent="0.3">
      <c r="A2166" s="637" t="s">
        <v>22</v>
      </c>
      <c r="B2166" s="637" t="s">
        <v>23</v>
      </c>
      <c r="C2166" s="637" t="s">
        <v>257</v>
      </c>
      <c r="D2166" s="637"/>
      <c r="E2166" s="637" t="s">
        <v>408</v>
      </c>
      <c r="F2166" s="637" t="s">
        <v>23</v>
      </c>
      <c r="G2166" s="637" t="s">
        <v>3956</v>
      </c>
      <c r="H2166" s="638" t="s">
        <v>3601</v>
      </c>
      <c r="I2166" s="645" t="s">
        <v>3593</v>
      </c>
      <c r="J2166" s="731">
        <v>45224</v>
      </c>
      <c r="K2166" s="774">
        <v>0.64583333333333337</v>
      </c>
      <c r="L2166" s="731">
        <v>45224</v>
      </c>
      <c r="M2166" s="774">
        <v>0.6875</v>
      </c>
      <c r="N2166" s="637">
        <v>1</v>
      </c>
      <c r="O2166" s="641" t="s">
        <v>17</v>
      </c>
      <c r="P2166" s="375" t="s">
        <v>2909</v>
      </c>
      <c r="Q2166" s="642" t="s">
        <v>1441</v>
      </c>
      <c r="R2166" s="31" t="s">
        <v>95</v>
      </c>
      <c r="S2166" s="31" t="s">
        <v>273</v>
      </c>
      <c r="T2166" s="31" t="s">
        <v>273</v>
      </c>
      <c r="U2166" s="31">
        <f>IFERROR(VLOOKUP(CONCATENATE(Tabla1[[#This Row],[Severidad]]," ",Tabla1[[#This Row],[Complejidad]]),Catalogos!E$120:G$128,3,FALSE),"")</f>
        <v>64</v>
      </c>
      <c r="V2166" s="31" t="str">
        <f>IF(Tabla1[[#This Row],[Tiempo solución max (hrs)]]&lt;&gt;"",IF(Tabla1[[#This Row],[Tiempo solución max (hrs)]]&gt;=Tabla1[[#This Row],[Tiempo
(Hrs 00/100)]],"cumple","no cumple"),"")</f>
        <v>cumple</v>
      </c>
      <c r="W2166" s="629" t="s">
        <v>3327</v>
      </c>
      <c r="X2166" s="377" t="str">
        <f t="shared" si="197"/>
        <v>SSI</v>
      </c>
      <c r="Y2166" t="str">
        <f>SUBSTITUTE(Tabla1[[#This Row],[Descripción]],CHAR(10),"    I    ")</f>
        <v>Se validó que la información que retorna la consulta con los distintos parametros sea la correcta</v>
      </c>
      <c r="Z2166" s="142">
        <f>VLOOKUP(Tabla1[[#This Row],[Perfil]],Catalogos!$B$75:$D$100,3,FALSE)*Tabla1[[#This Row],[Tiempo
(Hrs 00/100)]]*1.16</f>
        <v>696</v>
      </c>
    </row>
    <row r="2167" spans="1:26" ht="15" customHeight="1" x14ac:dyDescent="0.3">
      <c r="A2167" s="637" t="s">
        <v>22</v>
      </c>
      <c r="B2167" s="637" t="s">
        <v>66</v>
      </c>
      <c r="C2167" s="637" t="s">
        <v>257</v>
      </c>
      <c r="D2167" s="637"/>
      <c r="E2167" s="637" t="s">
        <v>408</v>
      </c>
      <c r="F2167" s="637" t="s">
        <v>75</v>
      </c>
      <c r="G2167" s="637" t="s">
        <v>3957</v>
      </c>
      <c r="H2167" s="638" t="s">
        <v>3616</v>
      </c>
      <c r="I2167" s="645" t="s">
        <v>3617</v>
      </c>
      <c r="J2167" s="731">
        <v>45224</v>
      </c>
      <c r="K2167" s="774">
        <v>0.6875</v>
      </c>
      <c r="L2167" s="731">
        <v>45224</v>
      </c>
      <c r="M2167" s="774">
        <v>0.77083333333333337</v>
      </c>
      <c r="N2167" s="637">
        <v>2</v>
      </c>
      <c r="O2167" s="641" t="s">
        <v>17</v>
      </c>
      <c r="P2167" s="375" t="s">
        <v>2909</v>
      </c>
      <c r="Q2167" s="642" t="s">
        <v>1441</v>
      </c>
      <c r="R2167" s="31" t="s">
        <v>95</v>
      </c>
      <c r="S2167" s="31" t="s">
        <v>273</v>
      </c>
      <c r="T2167" s="31" t="s">
        <v>273</v>
      </c>
      <c r="U2167" s="31">
        <f>IFERROR(VLOOKUP(CONCATENATE(Tabla1[[#This Row],[Severidad]]," ",Tabla1[[#This Row],[Complejidad]]),Catalogos!E$120:G$128,3,FALSE),"")</f>
        <v>64</v>
      </c>
      <c r="V2167" s="31" t="str">
        <f>IF(Tabla1[[#This Row],[Tiempo solución max (hrs)]]&lt;&gt;"",IF(Tabla1[[#This Row],[Tiempo solución max (hrs)]]&gt;=Tabla1[[#This Row],[Tiempo
(Hrs 00/100)]],"cumple","no cumple"),"")</f>
        <v>cumple</v>
      </c>
      <c r="W2167" s="629" t="s">
        <v>3327</v>
      </c>
      <c r="X2167" s="377" t="str">
        <f t="shared" si="197"/>
        <v>SSI</v>
      </c>
      <c r="Y2167" t="str">
        <f>SUBSTITUTE(Tabla1[[#This Row],[Descripción]],CHAR(10),"    I    ")</f>
        <v>Se trabajó en el 5to procedimiento 'OBTENER_RECIBO_NOTIFICACION' con sus respectivas variables TAB y con su consulta previamente validada, se compila sin errores</v>
      </c>
      <c r="Z2167" s="142">
        <f>VLOOKUP(Tabla1[[#This Row],[Perfil]],Catalogos!$B$75:$D$100,3,FALSE)*Tabla1[[#This Row],[Tiempo
(Hrs 00/100)]]*1.16</f>
        <v>1392</v>
      </c>
    </row>
    <row r="2168" spans="1:26" ht="15" customHeight="1" x14ac:dyDescent="0.3">
      <c r="A2168" s="637" t="s">
        <v>22</v>
      </c>
      <c r="B2168" s="637" t="s">
        <v>21</v>
      </c>
      <c r="C2168" s="637" t="s">
        <v>257</v>
      </c>
      <c r="D2168" s="637"/>
      <c r="E2168" s="637" t="s">
        <v>408</v>
      </c>
      <c r="F2168" s="637" t="s">
        <v>73</v>
      </c>
      <c r="G2168" s="637" t="s">
        <v>3958</v>
      </c>
      <c r="H2168" s="638" t="s">
        <v>3618</v>
      </c>
      <c r="I2168" s="645" t="s">
        <v>3619</v>
      </c>
      <c r="J2168" s="731">
        <v>45224</v>
      </c>
      <c r="K2168" s="774">
        <v>0.77083333333333337</v>
      </c>
      <c r="L2168" s="731">
        <v>45224</v>
      </c>
      <c r="M2168" s="774">
        <v>0.8125</v>
      </c>
      <c r="N2168" s="637">
        <v>1</v>
      </c>
      <c r="O2168" s="641" t="s">
        <v>17</v>
      </c>
      <c r="P2168" s="375" t="s">
        <v>2909</v>
      </c>
      <c r="Q2168" s="642" t="s">
        <v>1441</v>
      </c>
      <c r="R2168" s="31" t="s">
        <v>95</v>
      </c>
      <c r="S2168" s="31" t="s">
        <v>273</v>
      </c>
      <c r="T2168" s="31" t="s">
        <v>273</v>
      </c>
      <c r="U2168" s="31">
        <f>IFERROR(VLOOKUP(CONCATENATE(Tabla1[[#This Row],[Severidad]]," ",Tabla1[[#This Row],[Complejidad]]),Catalogos!E$120:G$128,3,FALSE),"")</f>
        <v>64</v>
      </c>
      <c r="V2168" s="31" t="str">
        <f>IF(Tabla1[[#This Row],[Tiempo solución max (hrs)]]&lt;&gt;"",IF(Tabla1[[#This Row],[Tiempo solución max (hrs)]]&gt;=Tabla1[[#This Row],[Tiempo
(Hrs 00/100)]],"cumple","no cumple"),"")</f>
        <v>cumple</v>
      </c>
      <c r="W2168" s="629" t="s">
        <v>3327</v>
      </c>
      <c r="X2168" s="377" t="str">
        <f t="shared" si="197"/>
        <v>SSI</v>
      </c>
      <c r="Y2168" t="str">
        <f>SUBSTITUTE(Tabla1[[#This Row],[Descripción]],CHAR(10),"    I    ")</f>
        <v>Se validó el paquete-procedimiento 'OBTENER_RECIBO_NOTIFICACION' con el bloque anónimo correcto y se tuvo un resultado exitoso con la salida del cursor completo</v>
      </c>
      <c r="Z2168" s="142">
        <f>VLOOKUP(Tabla1[[#This Row],[Perfil]],Catalogos!$B$75:$D$100,3,FALSE)*Tabla1[[#This Row],[Tiempo
(Hrs 00/100)]]*1.16</f>
        <v>696</v>
      </c>
    </row>
    <row r="2169" spans="1:26" ht="15" customHeight="1" x14ac:dyDescent="0.3">
      <c r="A2169" s="637" t="s">
        <v>22</v>
      </c>
      <c r="B2169" s="637" t="s">
        <v>305</v>
      </c>
      <c r="C2169" s="637" t="s">
        <v>257</v>
      </c>
      <c r="D2169" s="637"/>
      <c r="E2169" s="637" t="s">
        <v>408</v>
      </c>
      <c r="F2169" s="637" t="s">
        <v>72</v>
      </c>
      <c r="G2169" s="637" t="s">
        <v>3959</v>
      </c>
      <c r="H2169" s="638" t="s">
        <v>3620</v>
      </c>
      <c r="I2169" s="645" t="s">
        <v>3621</v>
      </c>
      <c r="J2169" s="731">
        <v>45224</v>
      </c>
      <c r="K2169" s="774">
        <v>0.8125</v>
      </c>
      <c r="L2169" s="731">
        <v>45224</v>
      </c>
      <c r="M2169" s="774">
        <v>0.83333333333333337</v>
      </c>
      <c r="N2169" s="637">
        <v>0.5</v>
      </c>
      <c r="O2169" s="641" t="s">
        <v>17</v>
      </c>
      <c r="P2169" s="375" t="s">
        <v>2909</v>
      </c>
      <c r="Q2169" s="642" t="s">
        <v>1441</v>
      </c>
      <c r="R2169" s="31" t="s">
        <v>95</v>
      </c>
      <c r="S2169" s="31" t="s">
        <v>273</v>
      </c>
      <c r="T2169" s="31" t="s">
        <v>273</v>
      </c>
      <c r="U2169" s="31">
        <f>IFERROR(VLOOKUP(CONCATENATE(Tabla1[[#This Row],[Severidad]]," ",Tabla1[[#This Row],[Complejidad]]),Catalogos!E$120:G$128,3,FALSE),"")</f>
        <v>64</v>
      </c>
      <c r="V2169" s="31" t="str">
        <f>IF(Tabla1[[#This Row],[Tiempo solución max (hrs)]]&lt;&gt;"",IF(Tabla1[[#This Row],[Tiempo solución max (hrs)]]&gt;=Tabla1[[#This Row],[Tiempo
(Hrs 00/100)]],"cumple","no cumple"),"")</f>
        <v>cumple</v>
      </c>
      <c r="W2169" s="629" t="s">
        <v>3327</v>
      </c>
      <c r="X2169" s="377" t="str">
        <f t="shared" si="197"/>
        <v>SSI</v>
      </c>
      <c r="Y2169" t="str">
        <f>SUBSTITUTE(Tabla1[[#This Row],[Descripción]],CHAR(10),"    I    ")</f>
        <v>Se le informó al equipo que ya esta este 5to procedimiento para que lo revisen y consuman desde el aplicativo</v>
      </c>
      <c r="Z2169" s="142">
        <f>VLOOKUP(Tabla1[[#This Row],[Perfil]],Catalogos!$B$75:$D$100,3,FALSE)*Tabla1[[#This Row],[Tiempo
(Hrs 00/100)]]*1.16</f>
        <v>348</v>
      </c>
    </row>
    <row r="2170" spans="1:26" ht="15" customHeight="1" x14ac:dyDescent="0.3">
      <c r="A2170" s="637" t="s">
        <v>22</v>
      </c>
      <c r="B2170" s="637" t="s">
        <v>23</v>
      </c>
      <c r="C2170" s="637" t="s">
        <v>257</v>
      </c>
      <c r="D2170" s="637"/>
      <c r="E2170" s="637" t="s">
        <v>408</v>
      </c>
      <c r="F2170" s="637" t="s">
        <v>23</v>
      </c>
      <c r="G2170" s="637" t="s">
        <v>3960</v>
      </c>
      <c r="H2170" s="638" t="s">
        <v>3622</v>
      </c>
      <c r="I2170" s="645" t="s">
        <v>3623</v>
      </c>
      <c r="J2170" s="731">
        <v>45224</v>
      </c>
      <c r="K2170" s="774">
        <v>0.83333333333333337</v>
      </c>
      <c r="L2170" s="731">
        <v>45224</v>
      </c>
      <c r="M2170" s="774">
        <v>0.875</v>
      </c>
      <c r="N2170" s="637">
        <v>1</v>
      </c>
      <c r="O2170" s="641" t="s">
        <v>17</v>
      </c>
      <c r="P2170" s="375" t="s">
        <v>2909</v>
      </c>
      <c r="Q2170" s="642" t="s">
        <v>1441</v>
      </c>
      <c r="R2170" s="31" t="s">
        <v>95</v>
      </c>
      <c r="S2170" s="31" t="s">
        <v>273</v>
      </c>
      <c r="T2170" s="31" t="s">
        <v>273</v>
      </c>
      <c r="U2170" s="31">
        <f>IFERROR(VLOOKUP(CONCATENATE(Tabla1[[#This Row],[Severidad]]," ",Tabla1[[#This Row],[Complejidad]]),Catalogos!E$120:G$128,3,FALSE),"")</f>
        <v>64</v>
      </c>
      <c r="V2170" s="31" t="str">
        <f>IF(Tabla1[[#This Row],[Tiempo solución max (hrs)]]&lt;&gt;"",IF(Tabla1[[#This Row],[Tiempo solución max (hrs)]]&gt;=Tabla1[[#This Row],[Tiempo
(Hrs 00/100)]],"cumple","no cumple"),"")</f>
        <v>cumple</v>
      </c>
      <c r="W2170" s="629" t="s">
        <v>3327</v>
      </c>
      <c r="X2170" s="377" t="str">
        <f t="shared" si="197"/>
        <v>SSI</v>
      </c>
      <c r="Y2170" t="str">
        <f>SUBSTITUTE(Tabla1[[#This Row],[Descripción]],CHAR(10),"    I    ")</f>
        <v>Se tuvo platica con Antonio para aplicar mejoras a la forma de validar los objetos TAB y contruir los querys dinamicos</v>
      </c>
      <c r="Z2170" s="142">
        <f>VLOOKUP(Tabla1[[#This Row],[Perfil]],Catalogos!$B$75:$D$100,3,FALSE)*Tabla1[[#This Row],[Tiempo
(Hrs 00/100)]]*1.16</f>
        <v>696</v>
      </c>
    </row>
    <row r="2171" spans="1:26" ht="15" customHeight="1" x14ac:dyDescent="0.3">
      <c r="A2171" s="637" t="s">
        <v>22</v>
      </c>
      <c r="B2171" s="637" t="s">
        <v>23</v>
      </c>
      <c r="C2171" s="637" t="s">
        <v>257</v>
      </c>
      <c r="D2171" s="637"/>
      <c r="E2171" s="637" t="s">
        <v>408</v>
      </c>
      <c r="F2171" s="637" t="s">
        <v>23</v>
      </c>
      <c r="G2171" s="637" t="s">
        <v>3961</v>
      </c>
      <c r="H2171" s="638" t="s">
        <v>3624</v>
      </c>
      <c r="I2171" s="645" t="s">
        <v>3625</v>
      </c>
      <c r="J2171" s="731">
        <v>45224</v>
      </c>
      <c r="K2171" s="774">
        <v>0.875</v>
      </c>
      <c r="L2171" s="731">
        <v>45224</v>
      </c>
      <c r="M2171" s="774">
        <v>0.89583333333333337</v>
      </c>
      <c r="N2171" s="637">
        <v>0.5</v>
      </c>
      <c r="O2171" s="641" t="s">
        <v>17</v>
      </c>
      <c r="P2171" s="375" t="s">
        <v>2909</v>
      </c>
      <c r="Q2171" s="642" t="s">
        <v>1441</v>
      </c>
      <c r="R2171" s="31" t="s">
        <v>95</v>
      </c>
      <c r="S2171" s="31" t="s">
        <v>273</v>
      </c>
      <c r="T2171" s="31" t="s">
        <v>273</v>
      </c>
      <c r="U2171" s="31">
        <f>IFERROR(VLOOKUP(CONCATENATE(Tabla1[[#This Row],[Severidad]]," ",Tabla1[[#This Row],[Complejidad]]),Catalogos!E$120:G$128,3,FALSE),"")</f>
        <v>64</v>
      </c>
      <c r="V2171" s="31" t="str">
        <f>IF(Tabla1[[#This Row],[Tiempo solución max (hrs)]]&lt;&gt;"",IF(Tabla1[[#This Row],[Tiempo solución max (hrs)]]&gt;=Tabla1[[#This Row],[Tiempo
(Hrs 00/100)]],"cumple","no cumple"),"")</f>
        <v>cumple</v>
      </c>
      <c r="W2171" s="629" t="s">
        <v>3327</v>
      </c>
      <c r="X2171" s="377" t="str">
        <f t="shared" si="197"/>
        <v>SSI</v>
      </c>
      <c r="Y2171" t="str">
        <f>SUBSTITUTE(Tabla1[[#This Row],[Descripción]],CHAR(10),"    I    ")</f>
        <v>Se solicitaron cambios en las consultas que contienen los diversos procedimientos para manejarlos como subquerys</v>
      </c>
      <c r="Z2171" s="142">
        <f>VLOOKUP(Tabla1[[#This Row],[Perfil]],Catalogos!$B$75:$D$100,3,FALSE)*Tabla1[[#This Row],[Tiempo
(Hrs 00/100)]]*1.16</f>
        <v>348</v>
      </c>
    </row>
    <row r="2172" spans="1:26" ht="15" customHeight="1" x14ac:dyDescent="0.3">
      <c r="A2172" s="637" t="s">
        <v>22</v>
      </c>
      <c r="B2172" s="637" t="s">
        <v>23</v>
      </c>
      <c r="C2172" s="637" t="s">
        <v>257</v>
      </c>
      <c r="D2172" s="637"/>
      <c r="E2172" s="637" t="s">
        <v>408</v>
      </c>
      <c r="F2172" s="637" t="s">
        <v>23</v>
      </c>
      <c r="G2172" s="637" t="s">
        <v>3962</v>
      </c>
      <c r="H2172" s="638" t="s">
        <v>3626</v>
      </c>
      <c r="I2172" s="645" t="s">
        <v>3627</v>
      </c>
      <c r="J2172" s="731">
        <v>45224</v>
      </c>
      <c r="K2172" s="774">
        <v>0.89583333333333337</v>
      </c>
      <c r="L2172" s="731">
        <v>45224</v>
      </c>
      <c r="M2172" s="774">
        <v>0.95833333333333337</v>
      </c>
      <c r="N2172" s="637">
        <v>1.5</v>
      </c>
      <c r="O2172" s="641" t="s">
        <v>17</v>
      </c>
      <c r="P2172" s="375" t="s">
        <v>2909</v>
      </c>
      <c r="Q2172" s="642" t="s">
        <v>1441</v>
      </c>
      <c r="R2172" s="31" t="s">
        <v>95</v>
      </c>
      <c r="S2172" s="31" t="s">
        <v>273</v>
      </c>
      <c r="T2172" s="31" t="s">
        <v>273</v>
      </c>
      <c r="U2172" s="31">
        <f>IFERROR(VLOOKUP(CONCATENATE(Tabla1[[#This Row],[Severidad]]," ",Tabla1[[#This Row],[Complejidad]]),Catalogos!E$120:G$128,3,FALSE),"")</f>
        <v>64</v>
      </c>
      <c r="V2172" s="31" t="str">
        <f>IF(Tabla1[[#This Row],[Tiempo solución max (hrs)]]&lt;&gt;"",IF(Tabla1[[#This Row],[Tiempo solución max (hrs)]]&gt;=Tabla1[[#This Row],[Tiempo
(Hrs 00/100)]],"cumple","no cumple"),"")</f>
        <v>cumple</v>
      </c>
      <c r="W2172" s="629" t="s">
        <v>3327</v>
      </c>
      <c r="X2172" s="377" t="str">
        <f t="shared" si="197"/>
        <v>SSI</v>
      </c>
      <c r="Y2172" t="str">
        <f>SUBSTITUTE(Tabla1[[#This Row],[Descripción]],CHAR(10),"    I    ")</f>
        <v>Se hicieron pruebas de paquete de prueba de Antonio para validar que las mejoras propuestas si retornan información correcta</v>
      </c>
      <c r="Z2172" s="142">
        <f>VLOOKUP(Tabla1[[#This Row],[Perfil]],Catalogos!$B$75:$D$100,3,FALSE)*Tabla1[[#This Row],[Tiempo
(Hrs 00/100)]]*1.16</f>
        <v>1044</v>
      </c>
    </row>
    <row r="2173" spans="1:26" ht="15" customHeight="1" x14ac:dyDescent="0.3">
      <c r="A2173" s="637" t="s">
        <v>22</v>
      </c>
      <c r="B2173" s="637" t="s">
        <v>23</v>
      </c>
      <c r="C2173" s="637" t="s">
        <v>257</v>
      </c>
      <c r="D2173" s="637"/>
      <c r="E2173" s="637" t="s">
        <v>408</v>
      </c>
      <c r="F2173" s="637" t="s">
        <v>23</v>
      </c>
      <c r="G2173" s="637" t="s">
        <v>3963</v>
      </c>
      <c r="H2173" s="638" t="s">
        <v>3628</v>
      </c>
      <c r="I2173" s="645" t="s">
        <v>3629</v>
      </c>
      <c r="J2173" s="731">
        <v>45224</v>
      </c>
      <c r="K2173" s="774">
        <v>0.95833333333333337</v>
      </c>
      <c r="L2173" s="731">
        <v>45224</v>
      </c>
      <c r="M2173" s="774">
        <v>0</v>
      </c>
      <c r="N2173" s="637">
        <v>1.5</v>
      </c>
      <c r="O2173" s="641" t="s">
        <v>17</v>
      </c>
      <c r="P2173" s="375" t="s">
        <v>2909</v>
      </c>
      <c r="Q2173" s="642" t="s">
        <v>1441</v>
      </c>
      <c r="R2173" s="31" t="s">
        <v>95</v>
      </c>
      <c r="S2173" s="31" t="s">
        <v>273</v>
      </c>
      <c r="T2173" s="31" t="s">
        <v>273</v>
      </c>
      <c r="U2173" s="31">
        <f>IFERROR(VLOOKUP(CONCATENATE(Tabla1[[#This Row],[Severidad]]," ",Tabla1[[#This Row],[Complejidad]]),Catalogos!E$120:G$128,3,FALSE),"")</f>
        <v>64</v>
      </c>
      <c r="V2173" s="31" t="str">
        <f>IF(Tabla1[[#This Row],[Tiempo solución max (hrs)]]&lt;&gt;"",IF(Tabla1[[#This Row],[Tiempo solución max (hrs)]]&gt;=Tabla1[[#This Row],[Tiempo
(Hrs 00/100)]],"cumple","no cumple"),"")</f>
        <v>cumple</v>
      </c>
      <c r="W2173" s="629" t="s">
        <v>3327</v>
      </c>
      <c r="X2173" s="377" t="str">
        <f t="shared" si="197"/>
        <v>SSI</v>
      </c>
      <c r="Y2173" t="str">
        <f>SUBSTITUTE(Tabla1[[#This Row],[Descripción]],CHAR(10),"    I    ")</f>
        <v>Se aplicaron mejoras propuestas al 5to procedimiento y se valida que la información resultante sea correcta</v>
      </c>
      <c r="Z2173" s="142">
        <f>VLOOKUP(Tabla1[[#This Row],[Perfil]],Catalogos!$B$75:$D$100,3,FALSE)*Tabla1[[#This Row],[Tiempo
(Hrs 00/100)]]*1.16</f>
        <v>1044</v>
      </c>
    </row>
    <row r="2174" spans="1:26" ht="15" customHeight="1" x14ac:dyDescent="0.3">
      <c r="A2174" s="637" t="s">
        <v>22</v>
      </c>
      <c r="B2174" s="637" t="s">
        <v>23</v>
      </c>
      <c r="C2174" s="637" t="s">
        <v>257</v>
      </c>
      <c r="D2174" s="637"/>
      <c r="E2174" s="637" t="s">
        <v>408</v>
      </c>
      <c r="F2174" s="637" t="s">
        <v>23</v>
      </c>
      <c r="G2174" s="637" t="s">
        <v>3964</v>
      </c>
      <c r="H2174" s="638" t="s">
        <v>3630</v>
      </c>
      <c r="I2174" s="645" t="s">
        <v>3630</v>
      </c>
      <c r="J2174" s="731">
        <v>45225</v>
      </c>
      <c r="K2174" s="774">
        <v>0.20833333333333334</v>
      </c>
      <c r="L2174" s="731">
        <v>45225</v>
      </c>
      <c r="M2174" s="774">
        <v>0.29166666666666669</v>
      </c>
      <c r="N2174" s="637">
        <v>2</v>
      </c>
      <c r="O2174" s="641" t="s">
        <v>17</v>
      </c>
      <c r="P2174" s="375" t="s">
        <v>2909</v>
      </c>
      <c r="Q2174" s="642" t="s">
        <v>1441</v>
      </c>
      <c r="R2174" s="31" t="s">
        <v>95</v>
      </c>
      <c r="S2174" s="31" t="s">
        <v>273</v>
      </c>
      <c r="T2174" s="31" t="s">
        <v>273</v>
      </c>
      <c r="U2174" s="31">
        <f>IFERROR(VLOOKUP(CONCATENATE(Tabla1[[#This Row],[Severidad]]," ",Tabla1[[#This Row],[Complejidad]]),Catalogos!E$120:G$128,3,FALSE),"")</f>
        <v>64</v>
      </c>
      <c r="V2174" s="31" t="str">
        <f>IF(Tabla1[[#This Row],[Tiempo solución max (hrs)]]&lt;&gt;"",IF(Tabla1[[#This Row],[Tiempo solución max (hrs)]]&gt;=Tabla1[[#This Row],[Tiempo
(Hrs 00/100)]],"cumple","no cumple"),"")</f>
        <v>cumple</v>
      </c>
      <c r="W2174" s="629" t="s">
        <v>3327</v>
      </c>
      <c r="X2174" s="377" t="str">
        <f t="shared" si="197"/>
        <v>SSI</v>
      </c>
      <c r="Y2174" t="str">
        <f>SUBSTITUTE(Tabla1[[#This Row],[Descripción]],CHAR(10),"    I    ")</f>
        <v>Se construyó la consulta para tratar el 6to procedimiento OBTENER_FG_PRORROGA</v>
      </c>
      <c r="Z2174" s="142">
        <f>VLOOKUP(Tabla1[[#This Row],[Perfil]],Catalogos!$B$75:$D$100,3,FALSE)*Tabla1[[#This Row],[Tiempo
(Hrs 00/100)]]*1.16</f>
        <v>1392</v>
      </c>
    </row>
    <row r="2175" spans="1:26" ht="15" customHeight="1" x14ac:dyDescent="0.3">
      <c r="A2175" s="637" t="s">
        <v>22</v>
      </c>
      <c r="B2175" s="637" t="s">
        <v>23</v>
      </c>
      <c r="C2175" s="637" t="s">
        <v>257</v>
      </c>
      <c r="D2175" s="637"/>
      <c r="E2175" s="637" t="s">
        <v>408</v>
      </c>
      <c r="F2175" s="637" t="s">
        <v>23</v>
      </c>
      <c r="G2175" s="637" t="s">
        <v>3965</v>
      </c>
      <c r="H2175" s="638" t="s">
        <v>3601</v>
      </c>
      <c r="I2175" s="645" t="s">
        <v>3593</v>
      </c>
      <c r="J2175" s="731">
        <v>45225</v>
      </c>
      <c r="K2175" s="774">
        <v>0.29166666666666669</v>
      </c>
      <c r="L2175" s="731">
        <v>45225</v>
      </c>
      <c r="M2175" s="774">
        <v>0.33333333333333331</v>
      </c>
      <c r="N2175" s="637">
        <v>1</v>
      </c>
      <c r="O2175" s="641" t="s">
        <v>17</v>
      </c>
      <c r="P2175" s="375" t="s">
        <v>2909</v>
      </c>
      <c r="Q2175" s="642" t="s">
        <v>1441</v>
      </c>
      <c r="R2175" s="31" t="s">
        <v>95</v>
      </c>
      <c r="S2175" s="31" t="s">
        <v>273</v>
      </c>
      <c r="T2175" s="31" t="s">
        <v>273</v>
      </c>
      <c r="U2175" s="31">
        <f>IFERROR(VLOOKUP(CONCATENATE(Tabla1[[#This Row],[Severidad]]," ",Tabla1[[#This Row],[Complejidad]]),Catalogos!E$120:G$128,3,FALSE),"")</f>
        <v>64</v>
      </c>
      <c r="V2175" s="31" t="str">
        <f>IF(Tabla1[[#This Row],[Tiempo solución max (hrs)]]&lt;&gt;"",IF(Tabla1[[#This Row],[Tiempo solución max (hrs)]]&gt;=Tabla1[[#This Row],[Tiempo
(Hrs 00/100)]],"cumple","no cumple"),"")</f>
        <v>cumple</v>
      </c>
      <c r="W2175" s="629" t="s">
        <v>3327</v>
      </c>
      <c r="X2175" s="377" t="str">
        <f t="shared" si="197"/>
        <v>SSI</v>
      </c>
      <c r="Y2175" t="str">
        <f>SUBSTITUTE(Tabla1[[#This Row],[Descripción]],CHAR(10),"    I    ")</f>
        <v>Se validó que la información que retorna la consulta con los distintos parametros sea la correcta</v>
      </c>
      <c r="Z2175" s="142">
        <f>VLOOKUP(Tabla1[[#This Row],[Perfil]],Catalogos!$B$75:$D$100,3,FALSE)*Tabla1[[#This Row],[Tiempo
(Hrs 00/100)]]*1.16</f>
        <v>696</v>
      </c>
    </row>
    <row r="2176" spans="1:26" ht="15" customHeight="1" x14ac:dyDescent="0.3">
      <c r="A2176" s="637" t="s">
        <v>22</v>
      </c>
      <c r="B2176" s="637" t="s">
        <v>23</v>
      </c>
      <c r="C2176" s="637" t="s">
        <v>257</v>
      </c>
      <c r="D2176" s="637"/>
      <c r="E2176" s="637" t="s">
        <v>408</v>
      </c>
      <c r="F2176" s="637" t="s">
        <v>23</v>
      </c>
      <c r="G2176" s="637" t="s">
        <v>3966</v>
      </c>
      <c r="H2176" s="638" t="s">
        <v>3631</v>
      </c>
      <c r="I2176" s="645" t="s">
        <v>3632</v>
      </c>
      <c r="J2176" s="731">
        <v>45225</v>
      </c>
      <c r="K2176" s="774">
        <v>0.33333333333333331</v>
      </c>
      <c r="L2176" s="731">
        <v>45225</v>
      </c>
      <c r="M2176" s="774">
        <v>0.41666666666666669</v>
      </c>
      <c r="N2176" s="637">
        <v>2</v>
      </c>
      <c r="O2176" s="641" t="s">
        <v>17</v>
      </c>
      <c r="P2176" s="375" t="s">
        <v>2909</v>
      </c>
      <c r="Q2176" s="642" t="s">
        <v>1441</v>
      </c>
      <c r="R2176" s="31" t="s">
        <v>95</v>
      </c>
      <c r="S2176" s="31" t="s">
        <v>273</v>
      </c>
      <c r="T2176" s="31" t="s">
        <v>273</v>
      </c>
      <c r="U2176" s="31">
        <f>IFERROR(VLOOKUP(CONCATENATE(Tabla1[[#This Row],[Severidad]]," ",Tabla1[[#This Row],[Complejidad]]),Catalogos!E$120:G$128,3,FALSE),"")</f>
        <v>64</v>
      </c>
      <c r="V2176" s="31" t="str">
        <f>IF(Tabla1[[#This Row],[Tiempo solución max (hrs)]]&lt;&gt;"",IF(Tabla1[[#This Row],[Tiempo solución max (hrs)]]&gt;=Tabla1[[#This Row],[Tiempo
(Hrs 00/100)]],"cumple","no cumple"),"")</f>
        <v>cumple</v>
      </c>
      <c r="W2176" s="629" t="s">
        <v>3327</v>
      </c>
      <c r="X2176" s="377" t="str">
        <f t="shared" si="197"/>
        <v>SSI</v>
      </c>
      <c r="Y2176" t="str">
        <f>SUBSTITUTE(Tabla1[[#This Row],[Descripción]],CHAR(10),"    I    ")</f>
        <v>Se trabajó en el 6to procedimiento 'OBTENER_FG_PRORROGA' con sus respectivas variables TAB y con su consulta previamente validada, se compila sin errores</v>
      </c>
      <c r="Z2176" s="142">
        <f>VLOOKUP(Tabla1[[#This Row],[Perfil]],Catalogos!$B$75:$D$100,3,FALSE)*Tabla1[[#This Row],[Tiempo
(Hrs 00/100)]]*1.16</f>
        <v>1392</v>
      </c>
    </row>
    <row r="2177" spans="1:26" ht="15" customHeight="1" x14ac:dyDescent="0.3">
      <c r="A2177" s="637" t="s">
        <v>22</v>
      </c>
      <c r="B2177" s="637" t="s">
        <v>23</v>
      </c>
      <c r="C2177" s="637" t="s">
        <v>257</v>
      </c>
      <c r="D2177" s="637"/>
      <c r="E2177" s="637" t="s">
        <v>408</v>
      </c>
      <c r="F2177" s="637" t="s">
        <v>75</v>
      </c>
      <c r="G2177" s="637" t="s">
        <v>3967</v>
      </c>
      <c r="H2177" s="638" t="s">
        <v>3633</v>
      </c>
      <c r="I2177" s="645" t="s">
        <v>3634</v>
      </c>
      <c r="J2177" s="731">
        <v>45225</v>
      </c>
      <c r="K2177" s="774">
        <v>0.41666666666666669</v>
      </c>
      <c r="L2177" s="731">
        <v>45225</v>
      </c>
      <c r="M2177" s="774">
        <v>0.45833333333333331</v>
      </c>
      <c r="N2177" s="637">
        <v>1</v>
      </c>
      <c r="O2177" s="641" t="s">
        <v>17</v>
      </c>
      <c r="P2177" s="375" t="s">
        <v>2909</v>
      </c>
      <c r="Q2177" s="642" t="s">
        <v>1441</v>
      </c>
      <c r="R2177" s="31" t="s">
        <v>95</v>
      </c>
      <c r="S2177" s="31" t="s">
        <v>273</v>
      </c>
      <c r="T2177" s="31" t="s">
        <v>273</v>
      </c>
      <c r="U2177" s="31">
        <f>IFERROR(VLOOKUP(CONCATENATE(Tabla1[[#This Row],[Severidad]]," ",Tabla1[[#This Row],[Complejidad]]),Catalogos!E$120:G$128,3,FALSE),"")</f>
        <v>64</v>
      </c>
      <c r="V2177" s="31" t="str">
        <f>IF(Tabla1[[#This Row],[Tiempo solución max (hrs)]]&lt;&gt;"",IF(Tabla1[[#This Row],[Tiempo solución max (hrs)]]&gt;=Tabla1[[#This Row],[Tiempo
(Hrs 00/100)]],"cumple","no cumple"),"")</f>
        <v>cumple</v>
      </c>
      <c r="W2177" s="629" t="s">
        <v>3327</v>
      </c>
      <c r="X2177" s="377" t="str">
        <f t="shared" si="197"/>
        <v>SSI</v>
      </c>
      <c r="Y2177" t="str">
        <f>SUBSTITUTE(Tabla1[[#This Row],[Descripción]],CHAR(10),"    I    ")</f>
        <v>Se validó el paquete-procedimiento 'OBTENER_FG_PRORROGA' con el bloque anónimo correcto y se tuvo un resultado exitoso con la salida del cursor completo</v>
      </c>
      <c r="Z2177" s="142">
        <f>VLOOKUP(Tabla1[[#This Row],[Perfil]],Catalogos!$B$75:$D$100,3,FALSE)*Tabla1[[#This Row],[Tiempo
(Hrs 00/100)]]*1.16</f>
        <v>696</v>
      </c>
    </row>
    <row r="2178" spans="1:26" ht="15" customHeight="1" x14ac:dyDescent="0.3">
      <c r="A2178" s="637" t="s">
        <v>22</v>
      </c>
      <c r="B2178" s="637" t="s">
        <v>23</v>
      </c>
      <c r="C2178" s="637" t="s">
        <v>257</v>
      </c>
      <c r="D2178" s="637"/>
      <c r="E2178" s="637" t="s">
        <v>408</v>
      </c>
      <c r="F2178" s="637" t="s">
        <v>75</v>
      </c>
      <c r="G2178" s="637" t="s">
        <v>3968</v>
      </c>
      <c r="H2178" s="638" t="s">
        <v>3635</v>
      </c>
      <c r="I2178" s="645" t="s">
        <v>3636</v>
      </c>
      <c r="J2178" s="731">
        <v>45225</v>
      </c>
      <c r="K2178" s="774">
        <v>0.45833333333333331</v>
      </c>
      <c r="L2178" s="731">
        <v>45225</v>
      </c>
      <c r="M2178" s="774">
        <v>0.47916666666666669</v>
      </c>
      <c r="N2178" s="637">
        <v>0.5</v>
      </c>
      <c r="O2178" s="641" t="s">
        <v>17</v>
      </c>
      <c r="P2178" s="375" t="s">
        <v>2909</v>
      </c>
      <c r="Q2178" s="642" t="s">
        <v>1441</v>
      </c>
      <c r="R2178" s="31" t="s">
        <v>95</v>
      </c>
      <c r="S2178" s="31" t="s">
        <v>273</v>
      </c>
      <c r="T2178" s="31" t="s">
        <v>273</v>
      </c>
      <c r="U2178" s="31">
        <f>IFERROR(VLOOKUP(CONCATENATE(Tabla1[[#This Row],[Severidad]]," ",Tabla1[[#This Row],[Complejidad]]),Catalogos!E$120:G$128,3,FALSE),"")</f>
        <v>64</v>
      </c>
      <c r="V2178" s="31" t="str">
        <f>IF(Tabla1[[#This Row],[Tiempo solución max (hrs)]]&lt;&gt;"",IF(Tabla1[[#This Row],[Tiempo solución max (hrs)]]&gt;=Tabla1[[#This Row],[Tiempo
(Hrs 00/100)]],"cumple","no cumple"),"")</f>
        <v>cumple</v>
      </c>
      <c r="W2178" s="629" t="s">
        <v>3327</v>
      </c>
      <c r="X2178" s="377" t="str">
        <f t="shared" si="197"/>
        <v>SSI</v>
      </c>
      <c r="Y2178" t="str">
        <f>SUBSTITUTE(Tabla1[[#This Row],[Descripción]],CHAR(10),"    I    ")</f>
        <v>Se le informó al equipo que ya esta este 6to procedimiento para que lo revisen y consuman desde el aplicativo</v>
      </c>
      <c r="Z2178" s="142">
        <f>VLOOKUP(Tabla1[[#This Row],[Perfil]],Catalogos!$B$75:$D$100,3,FALSE)*Tabla1[[#This Row],[Tiempo
(Hrs 00/100)]]*1.16</f>
        <v>348</v>
      </c>
    </row>
    <row r="2179" spans="1:26" ht="15" customHeight="1" x14ac:dyDescent="0.3">
      <c r="A2179" s="637" t="s">
        <v>22</v>
      </c>
      <c r="B2179" s="637" t="s">
        <v>23</v>
      </c>
      <c r="C2179" s="637" t="s">
        <v>257</v>
      </c>
      <c r="D2179" s="637"/>
      <c r="E2179" s="637" t="s">
        <v>408</v>
      </c>
      <c r="F2179" s="637" t="s">
        <v>23</v>
      </c>
      <c r="G2179" s="637" t="s">
        <v>3969</v>
      </c>
      <c r="H2179" s="638" t="s">
        <v>3637</v>
      </c>
      <c r="I2179" s="645" t="s">
        <v>3637</v>
      </c>
      <c r="J2179" s="731">
        <v>45225</v>
      </c>
      <c r="K2179" s="774">
        <v>0.47916666666666669</v>
      </c>
      <c r="L2179" s="731">
        <v>45225</v>
      </c>
      <c r="M2179" s="774">
        <v>0.54166666666666663</v>
      </c>
      <c r="N2179" s="637">
        <v>2</v>
      </c>
      <c r="O2179" s="641" t="s">
        <v>17</v>
      </c>
      <c r="P2179" s="375" t="s">
        <v>2909</v>
      </c>
      <c r="Q2179" s="642" t="s">
        <v>1441</v>
      </c>
      <c r="R2179" s="31" t="s">
        <v>95</v>
      </c>
      <c r="S2179" s="31" t="s">
        <v>273</v>
      </c>
      <c r="T2179" s="31" t="s">
        <v>273</v>
      </c>
      <c r="U2179" s="31">
        <f>IFERROR(VLOOKUP(CONCATENATE(Tabla1[[#This Row],[Severidad]]," ",Tabla1[[#This Row],[Complejidad]]),Catalogos!E$120:G$128,3,FALSE),"")</f>
        <v>64</v>
      </c>
      <c r="V2179" s="31" t="str">
        <f>IF(Tabla1[[#This Row],[Tiempo solución max (hrs)]]&lt;&gt;"",IF(Tabla1[[#This Row],[Tiempo solución max (hrs)]]&gt;=Tabla1[[#This Row],[Tiempo
(Hrs 00/100)]],"cumple","no cumple"),"")</f>
        <v>cumple</v>
      </c>
      <c r="W2179" s="629" t="s">
        <v>3327</v>
      </c>
      <c r="X2179" s="377" t="str">
        <f t="shared" si="197"/>
        <v>SSI</v>
      </c>
      <c r="Y2179" t="str">
        <f>SUBSTITUTE(Tabla1[[#This Row],[Descripción]],CHAR(10),"    I    ")</f>
        <v>Se construyó la consulta para tratar el 7mo procedimiento OBTENER_FG_PREVENCION</v>
      </c>
      <c r="Z2179" s="142">
        <f>VLOOKUP(Tabla1[[#This Row],[Perfil]],Catalogos!$B$75:$D$100,3,FALSE)*Tabla1[[#This Row],[Tiempo
(Hrs 00/100)]]*1.16</f>
        <v>1392</v>
      </c>
    </row>
    <row r="2180" spans="1:26" ht="15" customHeight="1" x14ac:dyDescent="0.3">
      <c r="A2180" s="637" t="s">
        <v>22</v>
      </c>
      <c r="B2180" s="637" t="s">
        <v>23</v>
      </c>
      <c r="C2180" s="637" t="s">
        <v>257</v>
      </c>
      <c r="D2180" s="637"/>
      <c r="E2180" s="637" t="s">
        <v>408</v>
      </c>
      <c r="F2180" s="637" t="s">
        <v>23</v>
      </c>
      <c r="G2180" s="637" t="s">
        <v>3970</v>
      </c>
      <c r="H2180" s="638" t="s">
        <v>3601</v>
      </c>
      <c r="I2180" s="645" t="s">
        <v>3593</v>
      </c>
      <c r="J2180" s="731">
        <v>45225</v>
      </c>
      <c r="K2180" s="774">
        <v>0.54166666666666663</v>
      </c>
      <c r="L2180" s="731">
        <v>45225</v>
      </c>
      <c r="M2180" s="774">
        <v>0.58333333333333337</v>
      </c>
      <c r="N2180" s="637">
        <v>1</v>
      </c>
      <c r="O2180" s="641" t="s">
        <v>17</v>
      </c>
      <c r="P2180" s="375" t="s">
        <v>2909</v>
      </c>
      <c r="Q2180" s="642" t="s">
        <v>1441</v>
      </c>
      <c r="R2180" s="31" t="s">
        <v>95</v>
      </c>
      <c r="S2180" s="31" t="s">
        <v>273</v>
      </c>
      <c r="T2180" s="31" t="s">
        <v>273</v>
      </c>
      <c r="U2180" s="31">
        <f>IFERROR(VLOOKUP(CONCATENATE(Tabla1[[#This Row],[Severidad]]," ",Tabla1[[#This Row],[Complejidad]]),Catalogos!E$120:G$128,3,FALSE),"")</f>
        <v>64</v>
      </c>
      <c r="V2180" s="31" t="str">
        <f>IF(Tabla1[[#This Row],[Tiempo solución max (hrs)]]&lt;&gt;"",IF(Tabla1[[#This Row],[Tiempo solución max (hrs)]]&gt;=Tabla1[[#This Row],[Tiempo
(Hrs 00/100)]],"cumple","no cumple"),"")</f>
        <v>cumple</v>
      </c>
      <c r="W2180" s="629" t="s">
        <v>3327</v>
      </c>
      <c r="X2180" s="377" t="str">
        <f t="shared" si="197"/>
        <v>SSI</v>
      </c>
      <c r="Y2180" t="str">
        <f>SUBSTITUTE(Tabla1[[#This Row],[Descripción]],CHAR(10),"    I    ")</f>
        <v>Se validó que la información que retorna la consulta con los distintos parametros sea la correcta</v>
      </c>
      <c r="Z2180" s="142">
        <f>VLOOKUP(Tabla1[[#This Row],[Perfil]],Catalogos!$B$75:$D$100,3,FALSE)*Tabla1[[#This Row],[Tiempo
(Hrs 00/100)]]*1.16</f>
        <v>696</v>
      </c>
    </row>
    <row r="2181" spans="1:26" ht="15" customHeight="1" x14ac:dyDescent="0.3">
      <c r="A2181" s="637" t="s">
        <v>22</v>
      </c>
      <c r="B2181" s="637" t="s">
        <v>23</v>
      </c>
      <c r="C2181" s="637" t="s">
        <v>257</v>
      </c>
      <c r="D2181" s="637"/>
      <c r="E2181" s="637" t="s">
        <v>408</v>
      </c>
      <c r="F2181" s="637" t="s">
        <v>23</v>
      </c>
      <c r="G2181" s="637" t="s">
        <v>3971</v>
      </c>
      <c r="H2181" s="638" t="s">
        <v>3638</v>
      </c>
      <c r="I2181" s="645" t="s">
        <v>3639</v>
      </c>
      <c r="J2181" s="731">
        <v>45225</v>
      </c>
      <c r="K2181" s="774">
        <v>0.60416666666666663</v>
      </c>
      <c r="L2181" s="731">
        <v>45225</v>
      </c>
      <c r="M2181" s="774">
        <v>0.6875</v>
      </c>
      <c r="N2181" s="637">
        <v>2</v>
      </c>
      <c r="O2181" s="641" t="s">
        <v>17</v>
      </c>
      <c r="P2181" s="375" t="s">
        <v>2909</v>
      </c>
      <c r="Q2181" s="642" t="s">
        <v>1441</v>
      </c>
      <c r="R2181" s="31" t="s">
        <v>95</v>
      </c>
      <c r="S2181" s="31" t="s">
        <v>273</v>
      </c>
      <c r="T2181" s="31" t="s">
        <v>273</v>
      </c>
      <c r="U2181" s="31">
        <f>IFERROR(VLOOKUP(CONCATENATE(Tabla1[[#This Row],[Severidad]]," ",Tabla1[[#This Row],[Complejidad]]),Catalogos!E$120:G$128,3,FALSE),"")</f>
        <v>64</v>
      </c>
      <c r="V2181" s="31" t="str">
        <f>IF(Tabla1[[#This Row],[Tiempo solución max (hrs)]]&lt;&gt;"",IF(Tabla1[[#This Row],[Tiempo solución max (hrs)]]&gt;=Tabla1[[#This Row],[Tiempo
(Hrs 00/100)]],"cumple","no cumple"),"")</f>
        <v>cumple</v>
      </c>
      <c r="W2181" s="629" t="s">
        <v>3327</v>
      </c>
      <c r="X2181" s="377" t="str">
        <f t="shared" si="197"/>
        <v>SSI</v>
      </c>
      <c r="Y2181" t="str">
        <f>SUBSTITUTE(Tabla1[[#This Row],[Descripción]],CHAR(10),"    I    ")</f>
        <v>Se trabajó en el 7mo procedimiento 'OBTENER_FG_PREVENCION' con sus respectivas variables TAB y con su consulta previamente validada, se compila sin errores</v>
      </c>
      <c r="Z2181" s="142">
        <f>VLOOKUP(Tabla1[[#This Row],[Perfil]],Catalogos!$B$75:$D$100,3,FALSE)*Tabla1[[#This Row],[Tiempo
(Hrs 00/100)]]*1.16</f>
        <v>1392</v>
      </c>
    </row>
    <row r="2182" spans="1:26" ht="15" customHeight="1" x14ac:dyDescent="0.3">
      <c r="A2182" s="637" t="s">
        <v>22</v>
      </c>
      <c r="B2182" s="637" t="s">
        <v>23</v>
      </c>
      <c r="C2182" s="637" t="s">
        <v>257</v>
      </c>
      <c r="D2182" s="637"/>
      <c r="E2182" s="637" t="s">
        <v>408</v>
      </c>
      <c r="F2182" s="637" t="s">
        <v>23</v>
      </c>
      <c r="G2182" s="637" t="s">
        <v>3972</v>
      </c>
      <c r="H2182" s="638" t="s">
        <v>3640</v>
      </c>
      <c r="I2182" s="645" t="s">
        <v>3641</v>
      </c>
      <c r="J2182" s="731">
        <v>45225</v>
      </c>
      <c r="K2182" s="774">
        <v>0.6875</v>
      </c>
      <c r="L2182" s="731">
        <v>45225</v>
      </c>
      <c r="M2182" s="774">
        <v>0.72916666666666663</v>
      </c>
      <c r="N2182" s="637">
        <v>1</v>
      </c>
      <c r="O2182" s="641" t="s">
        <v>17</v>
      </c>
      <c r="P2182" s="375" t="s">
        <v>2909</v>
      </c>
      <c r="Q2182" s="642" t="s">
        <v>1441</v>
      </c>
      <c r="R2182" s="31" t="s">
        <v>95</v>
      </c>
      <c r="S2182" s="31" t="s">
        <v>273</v>
      </c>
      <c r="T2182" s="31" t="s">
        <v>273</v>
      </c>
      <c r="U2182" s="31">
        <f>IFERROR(VLOOKUP(CONCATENATE(Tabla1[[#This Row],[Severidad]]," ",Tabla1[[#This Row],[Complejidad]]),Catalogos!E$120:G$128,3,FALSE),"")</f>
        <v>64</v>
      </c>
      <c r="V2182" s="31" t="str">
        <f>IF(Tabla1[[#This Row],[Tiempo solución max (hrs)]]&lt;&gt;"",IF(Tabla1[[#This Row],[Tiempo solución max (hrs)]]&gt;=Tabla1[[#This Row],[Tiempo
(Hrs 00/100)]],"cumple","no cumple"),"")</f>
        <v>cumple</v>
      </c>
      <c r="W2182" s="629" t="s">
        <v>3327</v>
      </c>
      <c r="X2182" s="377" t="str">
        <f t="shared" si="197"/>
        <v>SSI</v>
      </c>
      <c r="Y2182" t="str">
        <f>SUBSTITUTE(Tabla1[[#This Row],[Descripción]],CHAR(10),"    I    ")</f>
        <v>Se validó el paquete-procedimiento 'OBTENER_FG_PREVENCION' con el bloque anónimo correcto y se tuvo un resultado exitoso con la salida del cursor completo</v>
      </c>
      <c r="Z2182" s="142">
        <f>VLOOKUP(Tabla1[[#This Row],[Perfil]],Catalogos!$B$75:$D$100,3,FALSE)*Tabla1[[#This Row],[Tiempo
(Hrs 00/100)]]*1.16</f>
        <v>696</v>
      </c>
    </row>
    <row r="2183" spans="1:26" ht="15" customHeight="1" x14ac:dyDescent="0.3">
      <c r="A2183" s="637" t="s">
        <v>22</v>
      </c>
      <c r="B2183" s="637" t="s">
        <v>23</v>
      </c>
      <c r="C2183" s="637" t="s">
        <v>257</v>
      </c>
      <c r="D2183" s="637"/>
      <c r="E2183" s="637" t="s">
        <v>408</v>
      </c>
      <c r="F2183" s="637" t="s">
        <v>75</v>
      </c>
      <c r="G2183" s="637" t="s">
        <v>3973</v>
      </c>
      <c r="H2183" s="638" t="s">
        <v>3642</v>
      </c>
      <c r="I2183" s="645" t="s">
        <v>3643</v>
      </c>
      <c r="J2183" s="731">
        <v>45225</v>
      </c>
      <c r="K2183" s="774">
        <v>0.72916666666666663</v>
      </c>
      <c r="L2183" s="731">
        <v>45225</v>
      </c>
      <c r="M2183" s="774">
        <v>0.75</v>
      </c>
      <c r="N2183" s="637">
        <v>0.5</v>
      </c>
      <c r="O2183" s="641" t="s">
        <v>17</v>
      </c>
      <c r="P2183" s="375" t="s">
        <v>2909</v>
      </c>
      <c r="Q2183" s="642" t="s">
        <v>1441</v>
      </c>
      <c r="R2183" s="31" t="s">
        <v>95</v>
      </c>
      <c r="S2183" s="31" t="s">
        <v>273</v>
      </c>
      <c r="T2183" s="31" t="s">
        <v>273</v>
      </c>
      <c r="U2183" s="31">
        <f>IFERROR(VLOOKUP(CONCATENATE(Tabla1[[#This Row],[Severidad]]," ",Tabla1[[#This Row],[Complejidad]]),Catalogos!E$120:G$128,3,FALSE),"")</f>
        <v>64</v>
      </c>
      <c r="V2183" s="31" t="str">
        <f>IF(Tabla1[[#This Row],[Tiempo solución max (hrs)]]&lt;&gt;"",IF(Tabla1[[#This Row],[Tiempo solución max (hrs)]]&gt;=Tabla1[[#This Row],[Tiempo
(Hrs 00/100)]],"cumple","no cumple"),"")</f>
        <v>cumple</v>
      </c>
      <c r="W2183" s="629" t="s">
        <v>3327</v>
      </c>
      <c r="X2183" s="377" t="str">
        <f t="shared" si="197"/>
        <v>SSI</v>
      </c>
      <c r="Y2183" t="str">
        <f>SUBSTITUTE(Tabla1[[#This Row],[Descripción]],CHAR(10),"    I    ")</f>
        <v>Se le informó al equipo que ya esta este 7mo procedimiento para que lo revisen y consuman desde el aplicativo</v>
      </c>
      <c r="Z2183" s="142">
        <f>VLOOKUP(Tabla1[[#This Row],[Perfil]],Catalogos!$B$75:$D$100,3,FALSE)*Tabla1[[#This Row],[Tiempo
(Hrs 00/100)]]*1.16</f>
        <v>348</v>
      </c>
    </row>
    <row r="2184" spans="1:26" ht="15" customHeight="1" x14ac:dyDescent="0.3">
      <c r="A2184" s="637" t="s">
        <v>22</v>
      </c>
      <c r="B2184" s="637" t="s">
        <v>23</v>
      </c>
      <c r="C2184" s="637" t="s">
        <v>257</v>
      </c>
      <c r="D2184" s="637"/>
      <c r="E2184" s="637" t="s">
        <v>408</v>
      </c>
      <c r="F2184" s="637" t="s">
        <v>23</v>
      </c>
      <c r="G2184" s="637" t="s">
        <v>3974</v>
      </c>
      <c r="H2184" s="638" t="s">
        <v>3644</v>
      </c>
      <c r="I2184" s="645" t="s">
        <v>3644</v>
      </c>
      <c r="J2184" s="731">
        <v>45225</v>
      </c>
      <c r="K2184" s="774">
        <v>0.75</v>
      </c>
      <c r="L2184" s="731">
        <v>45225</v>
      </c>
      <c r="M2184" s="774">
        <v>0.83333333333333337</v>
      </c>
      <c r="N2184" s="637">
        <v>2</v>
      </c>
      <c r="O2184" s="641" t="s">
        <v>17</v>
      </c>
      <c r="P2184" s="375" t="s">
        <v>2909</v>
      </c>
      <c r="Q2184" s="642" t="s">
        <v>1441</v>
      </c>
      <c r="R2184" s="31" t="s">
        <v>95</v>
      </c>
      <c r="S2184" s="31" t="s">
        <v>273</v>
      </c>
      <c r="T2184" s="31" t="s">
        <v>273</v>
      </c>
      <c r="U2184" s="31">
        <f>IFERROR(VLOOKUP(CONCATENATE(Tabla1[[#This Row],[Severidad]]," ",Tabla1[[#This Row],[Complejidad]]),Catalogos!E$120:G$128,3,FALSE),"")</f>
        <v>64</v>
      </c>
      <c r="V2184" s="31" t="str">
        <f>IF(Tabla1[[#This Row],[Tiempo solución max (hrs)]]&lt;&gt;"",IF(Tabla1[[#This Row],[Tiempo solución max (hrs)]]&gt;=Tabla1[[#This Row],[Tiempo
(Hrs 00/100)]],"cumple","no cumple"),"")</f>
        <v>cumple</v>
      </c>
      <c r="W2184" s="629" t="s">
        <v>3327</v>
      </c>
      <c r="X2184" s="377" t="str">
        <f t="shared" si="197"/>
        <v>SSI</v>
      </c>
      <c r="Y2184" t="str">
        <f>SUBSTITUTE(Tabla1[[#This Row],[Descripción]],CHAR(10),"    I    ")</f>
        <v>Se construyó la consulta para tratar el 8vo procedimiento OBTENER_FG_DISPONIBILIDAD</v>
      </c>
      <c r="Z2184" s="142">
        <f>VLOOKUP(Tabla1[[#This Row],[Perfil]],Catalogos!$B$75:$D$100,3,FALSE)*Tabla1[[#This Row],[Tiempo
(Hrs 00/100)]]*1.16</f>
        <v>1392</v>
      </c>
    </row>
    <row r="2185" spans="1:26" ht="15" customHeight="1" x14ac:dyDescent="0.3">
      <c r="A2185" s="637" t="s">
        <v>22</v>
      </c>
      <c r="B2185" s="637" t="s">
        <v>23</v>
      </c>
      <c r="C2185" s="637" t="s">
        <v>257</v>
      </c>
      <c r="D2185" s="637"/>
      <c r="E2185" s="637" t="s">
        <v>408</v>
      </c>
      <c r="F2185" s="637" t="s">
        <v>23</v>
      </c>
      <c r="G2185" s="637" t="s">
        <v>3975</v>
      </c>
      <c r="H2185" s="638" t="s">
        <v>3601</v>
      </c>
      <c r="I2185" s="645" t="s">
        <v>3593</v>
      </c>
      <c r="J2185" s="731">
        <v>45225</v>
      </c>
      <c r="K2185" s="774">
        <v>0.83333333333333337</v>
      </c>
      <c r="L2185" s="731">
        <v>45225</v>
      </c>
      <c r="M2185" s="774">
        <v>0.875</v>
      </c>
      <c r="N2185" s="637">
        <v>1</v>
      </c>
      <c r="O2185" s="641" t="s">
        <v>17</v>
      </c>
      <c r="P2185" s="375" t="s">
        <v>2909</v>
      </c>
      <c r="Q2185" s="642" t="s">
        <v>1441</v>
      </c>
      <c r="R2185" s="31" t="s">
        <v>95</v>
      </c>
      <c r="S2185" s="31" t="s">
        <v>273</v>
      </c>
      <c r="T2185" s="31" t="s">
        <v>273</v>
      </c>
      <c r="U2185" s="31">
        <f>IFERROR(VLOOKUP(CONCATENATE(Tabla1[[#This Row],[Severidad]]," ",Tabla1[[#This Row],[Complejidad]]),Catalogos!E$120:G$128,3,FALSE),"")</f>
        <v>64</v>
      </c>
      <c r="V2185" s="31" t="str">
        <f>IF(Tabla1[[#This Row],[Tiempo solución max (hrs)]]&lt;&gt;"",IF(Tabla1[[#This Row],[Tiempo solución max (hrs)]]&gt;=Tabla1[[#This Row],[Tiempo
(Hrs 00/100)]],"cumple","no cumple"),"")</f>
        <v>cumple</v>
      </c>
      <c r="W2185" s="629" t="s">
        <v>3327</v>
      </c>
      <c r="X2185" s="377" t="str">
        <f t="shared" si="197"/>
        <v>SSI</v>
      </c>
      <c r="Y2185" t="str">
        <f>SUBSTITUTE(Tabla1[[#This Row],[Descripción]],CHAR(10),"    I    ")</f>
        <v>Se validó que la información que retorna la consulta con los distintos parametros sea la correcta</v>
      </c>
      <c r="Z2185" s="142">
        <f>VLOOKUP(Tabla1[[#This Row],[Perfil]],Catalogos!$B$75:$D$100,3,FALSE)*Tabla1[[#This Row],[Tiempo
(Hrs 00/100)]]*1.16</f>
        <v>696</v>
      </c>
    </row>
    <row r="2186" spans="1:26" ht="15" customHeight="1" x14ac:dyDescent="0.3">
      <c r="A2186" s="637" t="s">
        <v>22</v>
      </c>
      <c r="B2186" s="637" t="s">
        <v>23</v>
      </c>
      <c r="C2186" s="637" t="s">
        <v>257</v>
      </c>
      <c r="D2186" s="637"/>
      <c r="E2186" s="637" t="s">
        <v>408</v>
      </c>
      <c r="F2186" s="637" t="s">
        <v>23</v>
      </c>
      <c r="G2186" s="637" t="s">
        <v>3976</v>
      </c>
      <c r="H2186" s="638" t="s">
        <v>3645</v>
      </c>
      <c r="I2186" s="645" t="s">
        <v>3646</v>
      </c>
      <c r="J2186" s="731">
        <v>45225</v>
      </c>
      <c r="K2186" s="774">
        <v>0.875</v>
      </c>
      <c r="L2186" s="731">
        <v>45225</v>
      </c>
      <c r="M2186" s="774">
        <v>0.95833333333333337</v>
      </c>
      <c r="N2186" s="637">
        <v>2</v>
      </c>
      <c r="O2186" s="641" t="s">
        <v>17</v>
      </c>
      <c r="P2186" s="375" t="s">
        <v>2909</v>
      </c>
      <c r="Q2186" s="642" t="s">
        <v>1441</v>
      </c>
      <c r="R2186" s="31" t="s">
        <v>95</v>
      </c>
      <c r="S2186" s="31" t="s">
        <v>273</v>
      </c>
      <c r="T2186" s="31" t="s">
        <v>273</v>
      </c>
      <c r="U2186" s="31">
        <f>IFERROR(VLOOKUP(CONCATENATE(Tabla1[[#This Row],[Severidad]]," ",Tabla1[[#This Row],[Complejidad]]),Catalogos!E$120:G$128,3,FALSE),"")</f>
        <v>64</v>
      </c>
      <c r="V2186" s="31" t="str">
        <f>IF(Tabla1[[#This Row],[Tiempo solución max (hrs)]]&lt;&gt;"",IF(Tabla1[[#This Row],[Tiempo solución max (hrs)]]&gt;=Tabla1[[#This Row],[Tiempo
(Hrs 00/100)]],"cumple","no cumple"),"")</f>
        <v>cumple</v>
      </c>
      <c r="W2186" s="629" t="s">
        <v>3327</v>
      </c>
      <c r="X2186" s="377" t="str">
        <f t="shared" si="197"/>
        <v>SSI</v>
      </c>
      <c r="Y2186" t="str">
        <f>SUBSTITUTE(Tabla1[[#This Row],[Descripción]],CHAR(10),"    I    ")</f>
        <v>Se trabajó en el 8vo procedimiento 'OBTENER_FG_DISPONIBILIDAD' con sus respectivas variables TAB y con su consulta previamente validada, se compila sin errores</v>
      </c>
      <c r="Z2186" s="142">
        <f>VLOOKUP(Tabla1[[#This Row],[Perfil]],Catalogos!$B$75:$D$100,3,FALSE)*Tabla1[[#This Row],[Tiempo
(Hrs 00/100)]]*1.16</f>
        <v>1392</v>
      </c>
    </row>
    <row r="2187" spans="1:26" ht="15" customHeight="1" x14ac:dyDescent="0.3">
      <c r="A2187" s="637" t="s">
        <v>22</v>
      </c>
      <c r="B2187" s="637" t="s">
        <v>23</v>
      </c>
      <c r="C2187" s="637" t="s">
        <v>257</v>
      </c>
      <c r="D2187" s="637"/>
      <c r="E2187" s="637" t="s">
        <v>408</v>
      </c>
      <c r="F2187" s="637" t="s">
        <v>75</v>
      </c>
      <c r="G2187" s="637" t="s">
        <v>3977</v>
      </c>
      <c r="H2187" s="638" t="s">
        <v>3647</v>
      </c>
      <c r="I2187" s="645" t="s">
        <v>3648</v>
      </c>
      <c r="J2187" s="731">
        <v>45225</v>
      </c>
      <c r="K2187" s="774">
        <v>0.95833333333333337</v>
      </c>
      <c r="L2187" s="731">
        <v>45225</v>
      </c>
      <c r="M2187" s="774">
        <v>0</v>
      </c>
      <c r="N2187" s="637">
        <v>1</v>
      </c>
      <c r="O2187" s="641" t="s">
        <v>17</v>
      </c>
      <c r="P2187" s="375" t="s">
        <v>2909</v>
      </c>
      <c r="Q2187" s="642" t="s">
        <v>1441</v>
      </c>
      <c r="R2187" s="31" t="s">
        <v>95</v>
      </c>
      <c r="S2187" s="31" t="s">
        <v>273</v>
      </c>
      <c r="T2187" s="31" t="s">
        <v>273</v>
      </c>
      <c r="U2187" s="31">
        <f>IFERROR(VLOOKUP(CONCATENATE(Tabla1[[#This Row],[Severidad]]," ",Tabla1[[#This Row],[Complejidad]]),Catalogos!E$120:G$128,3,FALSE),"")</f>
        <v>64</v>
      </c>
      <c r="V2187" s="31" t="str">
        <f>IF(Tabla1[[#This Row],[Tiempo solución max (hrs)]]&lt;&gt;"",IF(Tabla1[[#This Row],[Tiempo solución max (hrs)]]&gt;=Tabla1[[#This Row],[Tiempo
(Hrs 00/100)]],"cumple","no cumple"),"")</f>
        <v>cumple</v>
      </c>
      <c r="W2187" s="629" t="s">
        <v>3327</v>
      </c>
      <c r="X2187" s="377" t="str">
        <f t="shared" si="197"/>
        <v>SSI</v>
      </c>
      <c r="Y2187" t="str">
        <f>SUBSTITUTE(Tabla1[[#This Row],[Descripción]],CHAR(10),"    I    ")</f>
        <v>Se validó el paquete-procedimiento 'OBTENER_FG_DISPONIBILIDAD' con el bloque anónimo correcto y se tuvo un resultado exitoso con la salida del cursor completo</v>
      </c>
      <c r="Z2187" s="142">
        <f>VLOOKUP(Tabla1[[#This Row],[Perfil]],Catalogos!$B$75:$D$100,3,FALSE)*Tabla1[[#This Row],[Tiempo
(Hrs 00/100)]]*1.16</f>
        <v>696</v>
      </c>
    </row>
    <row r="2188" spans="1:26" ht="15" customHeight="1" x14ac:dyDescent="0.3">
      <c r="A2188" s="637" t="s">
        <v>22</v>
      </c>
      <c r="B2188" s="637" t="s">
        <v>23</v>
      </c>
      <c r="C2188" s="637" t="s">
        <v>257</v>
      </c>
      <c r="D2188" s="637"/>
      <c r="E2188" s="637" t="s">
        <v>408</v>
      </c>
      <c r="F2188" s="637" t="s">
        <v>75</v>
      </c>
      <c r="G2188" s="637" t="s">
        <v>3978</v>
      </c>
      <c r="H2188" s="638" t="s">
        <v>3649</v>
      </c>
      <c r="I2188" s="645" t="s">
        <v>3650</v>
      </c>
      <c r="J2188" s="731">
        <v>45225</v>
      </c>
      <c r="K2188" s="774">
        <v>0</v>
      </c>
      <c r="L2188" s="731">
        <v>45226</v>
      </c>
      <c r="M2188" s="774">
        <v>2.0833333333333332E-2</v>
      </c>
      <c r="N2188" s="637">
        <v>0.5</v>
      </c>
      <c r="O2188" s="641" t="s">
        <v>17</v>
      </c>
      <c r="P2188" s="375" t="s">
        <v>2909</v>
      </c>
      <c r="Q2188" s="642" t="s">
        <v>1441</v>
      </c>
      <c r="R2188" s="31" t="s">
        <v>95</v>
      </c>
      <c r="S2188" s="31" t="s">
        <v>273</v>
      </c>
      <c r="T2188" s="31" t="s">
        <v>273</v>
      </c>
      <c r="U2188" s="31">
        <f>IFERROR(VLOOKUP(CONCATENATE(Tabla1[[#This Row],[Severidad]]," ",Tabla1[[#This Row],[Complejidad]]),Catalogos!E$120:G$128,3,FALSE),"")</f>
        <v>64</v>
      </c>
      <c r="V2188" s="31" t="str">
        <f>IF(Tabla1[[#This Row],[Tiempo solución max (hrs)]]&lt;&gt;"",IF(Tabla1[[#This Row],[Tiempo solución max (hrs)]]&gt;=Tabla1[[#This Row],[Tiempo
(Hrs 00/100)]],"cumple","no cumple"),"")</f>
        <v>cumple</v>
      </c>
      <c r="W2188" s="629" t="s">
        <v>3327</v>
      </c>
      <c r="X2188" s="377" t="str">
        <f t="shared" si="197"/>
        <v>SSI</v>
      </c>
      <c r="Y2188" t="str">
        <f>SUBSTITUTE(Tabla1[[#This Row],[Descripción]],CHAR(10),"    I    ")</f>
        <v>Se le informó al equipo que ya esta este 8vo procedimiento para que lo revisen y consuman desde el aplicativo</v>
      </c>
      <c r="Z2188" s="142">
        <f>VLOOKUP(Tabla1[[#This Row],[Perfil]],Catalogos!$B$75:$D$100,3,FALSE)*Tabla1[[#This Row],[Tiempo
(Hrs 00/100)]]*1.16</f>
        <v>348</v>
      </c>
    </row>
    <row r="2189" spans="1:26" ht="15" customHeight="1" x14ac:dyDescent="0.3">
      <c r="A2189" s="637" t="s">
        <v>22</v>
      </c>
      <c r="B2189" s="637" t="s">
        <v>23</v>
      </c>
      <c r="C2189" s="637" t="s">
        <v>257</v>
      </c>
      <c r="D2189" s="637"/>
      <c r="E2189" s="637" t="s">
        <v>408</v>
      </c>
      <c r="F2189" s="637" t="s">
        <v>23</v>
      </c>
      <c r="G2189" s="637" t="s">
        <v>3979</v>
      </c>
      <c r="H2189" s="638" t="s">
        <v>3651</v>
      </c>
      <c r="I2189" s="645" t="s">
        <v>3651</v>
      </c>
      <c r="J2189" s="731">
        <v>45226</v>
      </c>
      <c r="K2189" s="774">
        <v>0.33333333333333331</v>
      </c>
      <c r="L2189" s="731">
        <v>45226</v>
      </c>
      <c r="M2189" s="774">
        <v>0.41666666666666669</v>
      </c>
      <c r="N2189" s="637">
        <v>2</v>
      </c>
      <c r="O2189" s="641" t="s">
        <v>17</v>
      </c>
      <c r="P2189" s="375" t="s">
        <v>2909</v>
      </c>
      <c r="Q2189" s="642" t="s">
        <v>1441</v>
      </c>
      <c r="R2189" s="31" t="s">
        <v>95</v>
      </c>
      <c r="S2189" s="31" t="s">
        <v>273</v>
      </c>
      <c r="T2189" s="31" t="s">
        <v>273</v>
      </c>
      <c r="U2189" s="31">
        <f>IFERROR(VLOOKUP(CONCATENATE(Tabla1[[#This Row],[Severidad]]," ",Tabla1[[#This Row],[Complejidad]]),Catalogos!E$120:G$128,3,FALSE),"")</f>
        <v>64</v>
      </c>
      <c r="V2189" s="31" t="str">
        <f>IF(Tabla1[[#This Row],[Tiempo solución max (hrs)]]&lt;&gt;"",IF(Tabla1[[#This Row],[Tiempo solución max (hrs)]]&gt;=Tabla1[[#This Row],[Tiempo
(Hrs 00/100)]],"cumple","no cumple"),"")</f>
        <v>cumple</v>
      </c>
      <c r="W2189" s="629" t="s">
        <v>3327</v>
      </c>
      <c r="X2189" s="377" t="str">
        <f t="shared" si="197"/>
        <v>SSI</v>
      </c>
      <c r="Y2189" t="str">
        <f>SUBSTITUTE(Tabla1[[#This Row],[Descripción]],CHAR(10),"    I    ")</f>
        <v>Se construyó la consulta para tratar el 9no procedimiento OBTENER_ULTIMA_RESPUESTA</v>
      </c>
      <c r="Z2189" s="142">
        <f>VLOOKUP(Tabla1[[#This Row],[Perfil]],Catalogos!$B$75:$D$100,3,FALSE)*Tabla1[[#This Row],[Tiempo
(Hrs 00/100)]]*1.16</f>
        <v>1392</v>
      </c>
    </row>
    <row r="2190" spans="1:26" ht="15" customHeight="1" x14ac:dyDescent="0.3">
      <c r="A2190" s="637" t="s">
        <v>22</v>
      </c>
      <c r="B2190" s="637" t="s">
        <v>23</v>
      </c>
      <c r="C2190" s="637" t="s">
        <v>257</v>
      </c>
      <c r="D2190" s="637"/>
      <c r="E2190" s="637" t="s">
        <v>408</v>
      </c>
      <c r="F2190" s="637" t="s">
        <v>23</v>
      </c>
      <c r="G2190" s="637" t="s">
        <v>3980</v>
      </c>
      <c r="H2190" s="638" t="s">
        <v>3601</v>
      </c>
      <c r="I2190" s="645" t="s">
        <v>3593</v>
      </c>
      <c r="J2190" s="731">
        <v>45226</v>
      </c>
      <c r="K2190" s="774">
        <v>0.41666666666666669</v>
      </c>
      <c r="L2190" s="731">
        <v>45226</v>
      </c>
      <c r="M2190" s="774">
        <v>0.45833333333333331</v>
      </c>
      <c r="N2190" s="637">
        <v>1</v>
      </c>
      <c r="O2190" s="641" t="s">
        <v>17</v>
      </c>
      <c r="P2190" s="375" t="s">
        <v>2909</v>
      </c>
      <c r="Q2190" s="642" t="s">
        <v>1441</v>
      </c>
      <c r="R2190" s="31" t="s">
        <v>95</v>
      </c>
      <c r="S2190" s="31" t="s">
        <v>273</v>
      </c>
      <c r="T2190" s="31" t="s">
        <v>273</v>
      </c>
      <c r="U2190" s="31">
        <f>IFERROR(VLOOKUP(CONCATENATE(Tabla1[[#This Row],[Severidad]]," ",Tabla1[[#This Row],[Complejidad]]),Catalogos!E$120:G$128,3,FALSE),"")</f>
        <v>64</v>
      </c>
      <c r="V2190" s="31" t="str">
        <f>IF(Tabla1[[#This Row],[Tiempo solución max (hrs)]]&lt;&gt;"",IF(Tabla1[[#This Row],[Tiempo solución max (hrs)]]&gt;=Tabla1[[#This Row],[Tiempo
(Hrs 00/100)]],"cumple","no cumple"),"")</f>
        <v>cumple</v>
      </c>
      <c r="W2190" s="629" t="s">
        <v>3327</v>
      </c>
      <c r="X2190" s="377" t="str">
        <f t="shared" ref="X2190:X2219" si="198">IF(C2190&lt;&gt;"",C2190,D2190)</f>
        <v>SSI</v>
      </c>
      <c r="Y2190" t="str">
        <f>SUBSTITUTE(Tabla1[[#This Row],[Descripción]],CHAR(10),"    I    ")</f>
        <v>Se validó que la información que retorna la consulta con los distintos parametros sea la correcta</v>
      </c>
      <c r="Z2190" s="142">
        <f>VLOOKUP(Tabla1[[#This Row],[Perfil]],Catalogos!$B$75:$D$100,3,FALSE)*Tabla1[[#This Row],[Tiempo
(Hrs 00/100)]]*1.16</f>
        <v>696</v>
      </c>
    </row>
    <row r="2191" spans="1:26" ht="15" customHeight="1" x14ac:dyDescent="0.3">
      <c r="A2191" s="637" t="s">
        <v>22</v>
      </c>
      <c r="B2191" s="637" t="s">
        <v>23</v>
      </c>
      <c r="C2191" s="637" t="s">
        <v>257</v>
      </c>
      <c r="D2191" s="637"/>
      <c r="E2191" s="637" t="s">
        <v>408</v>
      </c>
      <c r="F2191" s="637" t="s">
        <v>23</v>
      </c>
      <c r="G2191" s="637" t="s">
        <v>3981</v>
      </c>
      <c r="H2191" s="638" t="s">
        <v>3652</v>
      </c>
      <c r="I2191" s="645" t="s">
        <v>3653</v>
      </c>
      <c r="J2191" s="731">
        <v>45226</v>
      </c>
      <c r="K2191" s="774">
        <v>0.45833333333333331</v>
      </c>
      <c r="L2191" s="731">
        <v>45226</v>
      </c>
      <c r="M2191" s="774">
        <v>0.54166666666666663</v>
      </c>
      <c r="N2191" s="637">
        <v>2</v>
      </c>
      <c r="O2191" s="641" t="s">
        <v>17</v>
      </c>
      <c r="P2191" s="375" t="s">
        <v>2909</v>
      </c>
      <c r="Q2191" s="642" t="s">
        <v>1441</v>
      </c>
      <c r="R2191" s="31" t="s">
        <v>95</v>
      </c>
      <c r="S2191" s="31" t="s">
        <v>273</v>
      </c>
      <c r="T2191" s="31" t="s">
        <v>273</v>
      </c>
      <c r="U2191" s="31">
        <f>IFERROR(VLOOKUP(CONCATENATE(Tabla1[[#This Row],[Severidad]]," ",Tabla1[[#This Row],[Complejidad]]),Catalogos!E$120:G$128,3,FALSE),"")</f>
        <v>64</v>
      </c>
      <c r="V2191" s="31" t="str">
        <f>IF(Tabla1[[#This Row],[Tiempo solución max (hrs)]]&lt;&gt;"",IF(Tabla1[[#This Row],[Tiempo solución max (hrs)]]&gt;=Tabla1[[#This Row],[Tiempo
(Hrs 00/100)]],"cumple","no cumple"),"")</f>
        <v>cumple</v>
      </c>
      <c r="W2191" s="629" t="s">
        <v>3327</v>
      </c>
      <c r="X2191" s="377" t="str">
        <f t="shared" si="198"/>
        <v>SSI</v>
      </c>
      <c r="Y2191" t="str">
        <f>SUBSTITUTE(Tabla1[[#This Row],[Descripción]],CHAR(10),"    I    ")</f>
        <v>Se trabajó en el 9no procedimiento 'OBTENER_ULTIMA_RESPUESTA' con sus respectivas variables TAB y con su consulta previamente validada, se compila sin errores</v>
      </c>
      <c r="Z2191" s="142">
        <f>VLOOKUP(Tabla1[[#This Row],[Perfil]],Catalogos!$B$75:$D$100,3,FALSE)*Tabla1[[#This Row],[Tiempo
(Hrs 00/100)]]*1.16</f>
        <v>1392</v>
      </c>
    </row>
    <row r="2192" spans="1:26" ht="15" customHeight="1" x14ac:dyDescent="0.3">
      <c r="A2192" s="637" t="s">
        <v>22</v>
      </c>
      <c r="B2192" s="637" t="s">
        <v>23</v>
      </c>
      <c r="C2192" s="637" t="s">
        <v>257</v>
      </c>
      <c r="D2192" s="637"/>
      <c r="E2192" s="637" t="s">
        <v>408</v>
      </c>
      <c r="F2192" s="637" t="s">
        <v>75</v>
      </c>
      <c r="G2192" s="637" t="s">
        <v>3982</v>
      </c>
      <c r="H2192" s="638" t="s">
        <v>3654</v>
      </c>
      <c r="I2192" s="645" t="s">
        <v>3655</v>
      </c>
      <c r="J2192" s="731">
        <v>45226</v>
      </c>
      <c r="K2192" s="774">
        <v>0.54166666666666663</v>
      </c>
      <c r="L2192" s="731">
        <v>45226</v>
      </c>
      <c r="M2192" s="774">
        <v>0.58333333333333337</v>
      </c>
      <c r="N2192" s="637">
        <v>1</v>
      </c>
      <c r="O2192" s="641" t="s">
        <v>17</v>
      </c>
      <c r="P2192" s="375" t="s">
        <v>2909</v>
      </c>
      <c r="Q2192" s="642" t="s">
        <v>1441</v>
      </c>
      <c r="R2192" s="31" t="s">
        <v>95</v>
      </c>
      <c r="S2192" s="31" t="s">
        <v>273</v>
      </c>
      <c r="T2192" s="31" t="s">
        <v>273</v>
      </c>
      <c r="U2192" s="31">
        <f>IFERROR(VLOOKUP(CONCATENATE(Tabla1[[#This Row],[Severidad]]," ",Tabla1[[#This Row],[Complejidad]]),Catalogos!E$120:G$128,3,FALSE),"")</f>
        <v>64</v>
      </c>
      <c r="V2192" s="31" t="str">
        <f>IF(Tabla1[[#This Row],[Tiempo solución max (hrs)]]&lt;&gt;"",IF(Tabla1[[#This Row],[Tiempo solución max (hrs)]]&gt;=Tabla1[[#This Row],[Tiempo
(Hrs 00/100)]],"cumple","no cumple"),"")</f>
        <v>cumple</v>
      </c>
      <c r="W2192" s="629" t="s">
        <v>3327</v>
      </c>
      <c r="X2192" s="377" t="str">
        <f t="shared" si="198"/>
        <v>SSI</v>
      </c>
      <c r="Y2192" t="str">
        <f>SUBSTITUTE(Tabla1[[#This Row],[Descripción]],CHAR(10),"    I    ")</f>
        <v>Se validó el paquete-procedimiento 'OBTENER_ULTIMA_RESPUESTA' con el bloque anónimo correcto y se tuvo un resultado exitoso con la salida del cursor completo</v>
      </c>
      <c r="Z2192" s="142">
        <f>VLOOKUP(Tabla1[[#This Row],[Perfil]],Catalogos!$B$75:$D$100,3,FALSE)*Tabla1[[#This Row],[Tiempo
(Hrs 00/100)]]*1.16</f>
        <v>696</v>
      </c>
    </row>
    <row r="2193" spans="1:26" ht="15" customHeight="1" x14ac:dyDescent="0.3">
      <c r="A2193" s="637" t="s">
        <v>22</v>
      </c>
      <c r="B2193" s="637" t="s">
        <v>23</v>
      </c>
      <c r="C2193" s="637" t="s">
        <v>257</v>
      </c>
      <c r="D2193" s="637"/>
      <c r="E2193" s="637" t="s">
        <v>408</v>
      </c>
      <c r="F2193" s="637" t="s">
        <v>75</v>
      </c>
      <c r="G2193" s="637" t="s">
        <v>3983</v>
      </c>
      <c r="H2193" s="638" t="s">
        <v>3656</v>
      </c>
      <c r="I2193" s="645" t="s">
        <v>3657</v>
      </c>
      <c r="J2193" s="731">
        <v>45226</v>
      </c>
      <c r="K2193" s="774">
        <v>0.60416666666666663</v>
      </c>
      <c r="L2193" s="731">
        <v>45226</v>
      </c>
      <c r="M2193" s="774">
        <v>0.625</v>
      </c>
      <c r="N2193" s="637">
        <v>0.5</v>
      </c>
      <c r="O2193" s="641" t="s">
        <v>17</v>
      </c>
      <c r="P2193" s="375" t="s">
        <v>2909</v>
      </c>
      <c r="Q2193" s="642" t="s">
        <v>1441</v>
      </c>
      <c r="R2193" s="31" t="s">
        <v>95</v>
      </c>
      <c r="S2193" s="31" t="s">
        <v>273</v>
      </c>
      <c r="T2193" s="31" t="s">
        <v>273</v>
      </c>
      <c r="U2193" s="31">
        <f>IFERROR(VLOOKUP(CONCATENATE(Tabla1[[#This Row],[Severidad]]," ",Tabla1[[#This Row],[Complejidad]]),Catalogos!E$120:G$128,3,FALSE),"")</f>
        <v>64</v>
      </c>
      <c r="V2193" s="31" t="str">
        <f>IF(Tabla1[[#This Row],[Tiempo solución max (hrs)]]&lt;&gt;"",IF(Tabla1[[#This Row],[Tiempo solución max (hrs)]]&gt;=Tabla1[[#This Row],[Tiempo
(Hrs 00/100)]],"cumple","no cumple"),"")</f>
        <v>cumple</v>
      </c>
      <c r="W2193" s="629" t="s">
        <v>3327</v>
      </c>
      <c r="X2193" s="377" t="str">
        <f t="shared" si="198"/>
        <v>SSI</v>
      </c>
      <c r="Y2193" t="str">
        <f>SUBSTITUTE(Tabla1[[#This Row],[Descripción]],CHAR(10),"    I    ")</f>
        <v>Se le informó al equipo que ya esta este 9no procedimiento para que lo revisen y consuman desde el aplicativo</v>
      </c>
      <c r="Z2193" s="142">
        <f>VLOOKUP(Tabla1[[#This Row],[Perfil]],Catalogos!$B$75:$D$100,3,FALSE)*Tabla1[[#This Row],[Tiempo
(Hrs 00/100)]]*1.16</f>
        <v>348</v>
      </c>
    </row>
    <row r="2194" spans="1:26" ht="15" customHeight="1" x14ac:dyDescent="0.3">
      <c r="A2194" s="637" t="s">
        <v>22</v>
      </c>
      <c r="B2194" s="637" t="s">
        <v>23</v>
      </c>
      <c r="C2194" s="637" t="s">
        <v>257</v>
      </c>
      <c r="D2194" s="637"/>
      <c r="E2194" s="637" t="s">
        <v>408</v>
      </c>
      <c r="F2194" s="637" t="s">
        <v>23</v>
      </c>
      <c r="G2194" s="637" t="s">
        <v>3984</v>
      </c>
      <c r="H2194" s="638" t="s">
        <v>3658</v>
      </c>
      <c r="I2194" s="645" t="s">
        <v>3658</v>
      </c>
      <c r="J2194" s="731">
        <v>45226</v>
      </c>
      <c r="K2194" s="774">
        <v>0.625</v>
      </c>
      <c r="L2194" s="731">
        <v>45226</v>
      </c>
      <c r="M2194" s="774">
        <v>0.70833333333333337</v>
      </c>
      <c r="N2194" s="637">
        <v>2</v>
      </c>
      <c r="O2194" s="641" t="s">
        <v>17</v>
      </c>
      <c r="P2194" s="375" t="s">
        <v>2909</v>
      </c>
      <c r="Q2194" s="642" t="s">
        <v>1441</v>
      </c>
      <c r="R2194" s="31" t="s">
        <v>95</v>
      </c>
      <c r="S2194" s="31" t="s">
        <v>273</v>
      </c>
      <c r="T2194" s="31" t="s">
        <v>273</v>
      </c>
      <c r="U2194" s="31">
        <f>IFERROR(VLOOKUP(CONCATENATE(Tabla1[[#This Row],[Severidad]]," ",Tabla1[[#This Row],[Complejidad]]),Catalogos!E$120:G$128,3,FALSE),"")</f>
        <v>64</v>
      </c>
      <c r="V2194" s="31" t="str">
        <f>IF(Tabla1[[#This Row],[Tiempo solución max (hrs)]]&lt;&gt;"",IF(Tabla1[[#This Row],[Tiempo solución max (hrs)]]&gt;=Tabla1[[#This Row],[Tiempo
(Hrs 00/100)]],"cumple","no cumple"),"")</f>
        <v>cumple</v>
      </c>
      <c r="W2194" s="629" t="s">
        <v>3327</v>
      </c>
      <c r="X2194" s="377" t="str">
        <f t="shared" si="198"/>
        <v>SSI</v>
      </c>
      <c r="Y2194" t="str">
        <f>SUBSTITUTE(Tabla1[[#This Row],[Descripción]],CHAR(10),"    I    ")</f>
        <v>Se construyó la consulta para tratar el 10mo procedimiento OBTENER_SOLICITUDESXDIA</v>
      </c>
      <c r="Z2194" s="142">
        <f>VLOOKUP(Tabla1[[#This Row],[Perfil]],Catalogos!$B$75:$D$100,3,FALSE)*Tabla1[[#This Row],[Tiempo
(Hrs 00/100)]]*1.16</f>
        <v>1392</v>
      </c>
    </row>
    <row r="2195" spans="1:26" ht="15" customHeight="1" x14ac:dyDescent="0.3">
      <c r="A2195" s="637" t="s">
        <v>22</v>
      </c>
      <c r="B2195" s="637" t="s">
        <v>23</v>
      </c>
      <c r="C2195" s="637" t="s">
        <v>257</v>
      </c>
      <c r="D2195" s="637"/>
      <c r="E2195" s="637" t="s">
        <v>408</v>
      </c>
      <c r="F2195" s="637" t="s">
        <v>23</v>
      </c>
      <c r="G2195" s="637" t="s">
        <v>3985</v>
      </c>
      <c r="H2195" s="638" t="s">
        <v>3601</v>
      </c>
      <c r="I2195" s="645" t="s">
        <v>3593</v>
      </c>
      <c r="J2195" s="731">
        <v>45226</v>
      </c>
      <c r="K2195" s="774">
        <v>0.70833333333333337</v>
      </c>
      <c r="L2195" s="731">
        <v>45226</v>
      </c>
      <c r="M2195" s="774">
        <v>0.75</v>
      </c>
      <c r="N2195" s="637">
        <v>1</v>
      </c>
      <c r="O2195" s="641" t="s">
        <v>17</v>
      </c>
      <c r="P2195" s="375" t="s">
        <v>2909</v>
      </c>
      <c r="Q2195" s="642" t="s">
        <v>1441</v>
      </c>
      <c r="R2195" s="31" t="s">
        <v>95</v>
      </c>
      <c r="S2195" s="31" t="s">
        <v>273</v>
      </c>
      <c r="T2195" s="31" t="s">
        <v>273</v>
      </c>
      <c r="U2195" s="31">
        <f>IFERROR(VLOOKUP(CONCATENATE(Tabla1[[#This Row],[Severidad]]," ",Tabla1[[#This Row],[Complejidad]]),Catalogos!E$120:G$128,3,FALSE),"")</f>
        <v>64</v>
      </c>
      <c r="V2195" s="31" t="str">
        <f>IF(Tabla1[[#This Row],[Tiempo solución max (hrs)]]&lt;&gt;"",IF(Tabla1[[#This Row],[Tiempo solución max (hrs)]]&gt;=Tabla1[[#This Row],[Tiempo
(Hrs 00/100)]],"cumple","no cumple"),"")</f>
        <v>cumple</v>
      </c>
      <c r="W2195" s="629" t="s">
        <v>3327</v>
      </c>
      <c r="X2195" s="377" t="str">
        <f t="shared" si="198"/>
        <v>SSI</v>
      </c>
      <c r="Y2195" t="str">
        <f>SUBSTITUTE(Tabla1[[#This Row],[Descripción]],CHAR(10),"    I    ")</f>
        <v>Se validó que la información que retorna la consulta con los distintos parametros sea la correcta</v>
      </c>
      <c r="Z2195" s="142">
        <f>VLOOKUP(Tabla1[[#This Row],[Perfil]],Catalogos!$B$75:$D$100,3,FALSE)*Tabla1[[#This Row],[Tiempo
(Hrs 00/100)]]*1.16</f>
        <v>696</v>
      </c>
    </row>
    <row r="2196" spans="1:26" ht="15" customHeight="1" x14ac:dyDescent="0.3">
      <c r="A2196" s="637" t="s">
        <v>22</v>
      </c>
      <c r="B2196" s="637" t="s">
        <v>23</v>
      </c>
      <c r="C2196" s="637" t="s">
        <v>257</v>
      </c>
      <c r="D2196" s="637"/>
      <c r="E2196" s="637" t="s">
        <v>408</v>
      </c>
      <c r="F2196" s="637" t="s">
        <v>23</v>
      </c>
      <c r="G2196" s="637" t="s">
        <v>3986</v>
      </c>
      <c r="H2196" s="638" t="s">
        <v>3659</v>
      </c>
      <c r="I2196" s="645" t="s">
        <v>3660</v>
      </c>
      <c r="J2196" s="731">
        <v>45226</v>
      </c>
      <c r="K2196" s="774">
        <v>0.75</v>
      </c>
      <c r="L2196" s="731">
        <v>45226</v>
      </c>
      <c r="M2196" s="774">
        <v>0.83333333333333337</v>
      </c>
      <c r="N2196" s="637">
        <v>2</v>
      </c>
      <c r="O2196" s="641" t="s">
        <v>17</v>
      </c>
      <c r="P2196" s="375" t="s">
        <v>2909</v>
      </c>
      <c r="Q2196" s="642" t="s">
        <v>1441</v>
      </c>
      <c r="R2196" s="31" t="s">
        <v>95</v>
      </c>
      <c r="S2196" s="31" t="s">
        <v>273</v>
      </c>
      <c r="T2196" s="31" t="s">
        <v>273</v>
      </c>
      <c r="U2196" s="31">
        <f>IFERROR(VLOOKUP(CONCATENATE(Tabla1[[#This Row],[Severidad]]," ",Tabla1[[#This Row],[Complejidad]]),Catalogos!E$120:G$128,3,FALSE),"")</f>
        <v>64</v>
      </c>
      <c r="V2196" s="31" t="str">
        <f>IF(Tabla1[[#This Row],[Tiempo solución max (hrs)]]&lt;&gt;"",IF(Tabla1[[#This Row],[Tiempo solución max (hrs)]]&gt;=Tabla1[[#This Row],[Tiempo
(Hrs 00/100)]],"cumple","no cumple"),"")</f>
        <v>cumple</v>
      </c>
      <c r="W2196" s="629" t="s">
        <v>3327</v>
      </c>
      <c r="X2196" s="377" t="str">
        <f t="shared" si="198"/>
        <v>SSI</v>
      </c>
      <c r="Y2196" t="str">
        <f>SUBSTITUTE(Tabla1[[#This Row],[Descripción]],CHAR(10),"    I    ")</f>
        <v>Se trabajó en el 10mo procedimiento 'OBTENER_SOLICITUDESXDIA' con sus respectivas variables TAB y con su consulta previamente validada, se compila sin errores</v>
      </c>
      <c r="Z2196" s="142">
        <f>VLOOKUP(Tabla1[[#This Row],[Perfil]],Catalogos!$B$75:$D$100,3,FALSE)*Tabla1[[#This Row],[Tiempo
(Hrs 00/100)]]*1.16</f>
        <v>1392</v>
      </c>
    </row>
    <row r="2197" spans="1:26" ht="15" customHeight="1" x14ac:dyDescent="0.3">
      <c r="A2197" s="637" t="s">
        <v>22</v>
      </c>
      <c r="B2197" s="637" t="s">
        <v>23</v>
      </c>
      <c r="C2197" s="637" t="s">
        <v>257</v>
      </c>
      <c r="D2197" s="637"/>
      <c r="E2197" s="637" t="s">
        <v>408</v>
      </c>
      <c r="F2197" s="637" t="s">
        <v>75</v>
      </c>
      <c r="G2197" s="637" t="s">
        <v>3987</v>
      </c>
      <c r="H2197" s="638" t="s">
        <v>3661</v>
      </c>
      <c r="I2197" s="645" t="s">
        <v>3662</v>
      </c>
      <c r="J2197" s="731">
        <v>45226</v>
      </c>
      <c r="K2197" s="774">
        <v>0.83333333333333337</v>
      </c>
      <c r="L2197" s="731">
        <v>45226</v>
      </c>
      <c r="M2197" s="774">
        <v>0.875</v>
      </c>
      <c r="N2197" s="637">
        <v>1</v>
      </c>
      <c r="O2197" s="641" t="s">
        <v>17</v>
      </c>
      <c r="P2197" s="375" t="s">
        <v>2909</v>
      </c>
      <c r="Q2197" s="642" t="s">
        <v>1441</v>
      </c>
      <c r="R2197" s="31" t="s">
        <v>95</v>
      </c>
      <c r="S2197" s="31" t="s">
        <v>273</v>
      </c>
      <c r="T2197" s="31" t="s">
        <v>273</v>
      </c>
      <c r="U2197" s="31">
        <f>IFERROR(VLOOKUP(CONCATENATE(Tabla1[[#This Row],[Severidad]]," ",Tabla1[[#This Row],[Complejidad]]),Catalogos!E$120:G$128,3,FALSE),"")</f>
        <v>64</v>
      </c>
      <c r="V2197" s="31" t="str">
        <f>IF(Tabla1[[#This Row],[Tiempo solución max (hrs)]]&lt;&gt;"",IF(Tabla1[[#This Row],[Tiempo solución max (hrs)]]&gt;=Tabla1[[#This Row],[Tiempo
(Hrs 00/100)]],"cumple","no cumple"),"")</f>
        <v>cumple</v>
      </c>
      <c r="W2197" s="629" t="s">
        <v>3327</v>
      </c>
      <c r="X2197" s="377" t="str">
        <f t="shared" si="198"/>
        <v>SSI</v>
      </c>
      <c r="Y2197" t="str">
        <f>SUBSTITUTE(Tabla1[[#This Row],[Descripción]],CHAR(10),"    I    ")</f>
        <v>Se validó el paquete-procedimiento 'OBTENER_SOLICITUDESXDIA' con el bloque anónimo correcto y se tuvo un resultado exitoso con la salida del cursor completo</v>
      </c>
      <c r="Z2197" s="142">
        <f>VLOOKUP(Tabla1[[#This Row],[Perfil]],Catalogos!$B$75:$D$100,3,FALSE)*Tabla1[[#This Row],[Tiempo
(Hrs 00/100)]]*1.16</f>
        <v>696</v>
      </c>
    </row>
    <row r="2198" spans="1:26" ht="15" customHeight="1" x14ac:dyDescent="0.3">
      <c r="A2198" s="637" t="s">
        <v>22</v>
      </c>
      <c r="B2198" s="637" t="s">
        <v>23</v>
      </c>
      <c r="C2198" s="637" t="s">
        <v>257</v>
      </c>
      <c r="D2198" s="637"/>
      <c r="E2198" s="637" t="s">
        <v>408</v>
      </c>
      <c r="F2198" s="637" t="s">
        <v>75</v>
      </c>
      <c r="G2198" s="637" t="s">
        <v>3988</v>
      </c>
      <c r="H2198" s="638" t="s">
        <v>3663</v>
      </c>
      <c r="I2198" s="645" t="s">
        <v>3664</v>
      </c>
      <c r="J2198" s="731">
        <v>45226</v>
      </c>
      <c r="K2198" s="774">
        <v>0.875</v>
      </c>
      <c r="L2198" s="731">
        <v>45226</v>
      </c>
      <c r="M2198" s="774">
        <v>0.89583333333333337</v>
      </c>
      <c r="N2198" s="637">
        <v>0.5</v>
      </c>
      <c r="O2198" s="641" t="s">
        <v>17</v>
      </c>
      <c r="P2198" s="375" t="s">
        <v>2909</v>
      </c>
      <c r="Q2198" s="642" t="s">
        <v>1441</v>
      </c>
      <c r="R2198" s="31" t="s">
        <v>95</v>
      </c>
      <c r="S2198" s="31" t="s">
        <v>273</v>
      </c>
      <c r="T2198" s="31" t="s">
        <v>273</v>
      </c>
      <c r="U2198" s="31">
        <f>IFERROR(VLOOKUP(CONCATENATE(Tabla1[[#This Row],[Severidad]]," ",Tabla1[[#This Row],[Complejidad]]),Catalogos!E$120:G$128,3,FALSE),"")</f>
        <v>64</v>
      </c>
      <c r="V2198" s="31" t="str">
        <f>IF(Tabla1[[#This Row],[Tiempo solución max (hrs)]]&lt;&gt;"",IF(Tabla1[[#This Row],[Tiempo solución max (hrs)]]&gt;=Tabla1[[#This Row],[Tiempo
(Hrs 00/100)]],"cumple","no cumple"),"")</f>
        <v>cumple</v>
      </c>
      <c r="W2198" s="629" t="s">
        <v>3327</v>
      </c>
      <c r="X2198" s="377" t="str">
        <f t="shared" si="198"/>
        <v>SSI</v>
      </c>
      <c r="Y2198" t="str">
        <f>SUBSTITUTE(Tabla1[[#This Row],[Descripción]],CHAR(10),"    I    ")</f>
        <v>Se le informó al equipo que ya esta este 10mo procedimiento para que lo revisen y consuman desde el aplicativo</v>
      </c>
      <c r="Z2198" s="142">
        <f>VLOOKUP(Tabla1[[#This Row],[Perfil]],Catalogos!$B$75:$D$100,3,FALSE)*Tabla1[[#This Row],[Tiempo
(Hrs 00/100)]]*1.16</f>
        <v>348</v>
      </c>
    </row>
    <row r="2199" spans="1:26" ht="15" customHeight="1" x14ac:dyDescent="0.3">
      <c r="A2199" s="637" t="s">
        <v>22</v>
      </c>
      <c r="B2199" s="637" t="s">
        <v>23</v>
      </c>
      <c r="C2199" s="637" t="s">
        <v>257</v>
      </c>
      <c r="D2199" s="637"/>
      <c r="E2199" s="637" t="s">
        <v>408</v>
      </c>
      <c r="F2199" s="637" t="s">
        <v>23</v>
      </c>
      <c r="G2199" s="637" t="s">
        <v>3989</v>
      </c>
      <c r="H2199" s="638" t="s">
        <v>3665</v>
      </c>
      <c r="I2199" s="645" t="s">
        <v>3665</v>
      </c>
      <c r="J2199" s="731">
        <v>45229</v>
      </c>
      <c r="K2199" s="774">
        <v>0.33333333333333331</v>
      </c>
      <c r="L2199" s="731">
        <v>45229</v>
      </c>
      <c r="M2199" s="774">
        <v>0.41666666666666669</v>
      </c>
      <c r="N2199" s="637">
        <v>2</v>
      </c>
      <c r="O2199" s="641" t="s">
        <v>17</v>
      </c>
      <c r="P2199" s="375" t="s">
        <v>2909</v>
      </c>
      <c r="Q2199" s="642" t="s">
        <v>1441</v>
      </c>
      <c r="R2199" s="31" t="s">
        <v>95</v>
      </c>
      <c r="S2199" s="31" t="s">
        <v>273</v>
      </c>
      <c r="T2199" s="31" t="s">
        <v>273</v>
      </c>
      <c r="U2199" s="31">
        <f>IFERROR(VLOOKUP(CONCATENATE(Tabla1[[#This Row],[Severidad]]," ",Tabla1[[#This Row],[Complejidad]]),Catalogos!E$120:G$128,3,FALSE),"")</f>
        <v>64</v>
      </c>
      <c r="V2199" s="31" t="str">
        <f>IF(Tabla1[[#This Row],[Tiempo solución max (hrs)]]&lt;&gt;"",IF(Tabla1[[#This Row],[Tiempo solución max (hrs)]]&gt;=Tabla1[[#This Row],[Tiempo
(Hrs 00/100)]],"cumple","no cumple"),"")</f>
        <v>cumple</v>
      </c>
      <c r="W2199" s="629" t="s">
        <v>3327</v>
      </c>
      <c r="X2199" s="377" t="str">
        <f t="shared" si="198"/>
        <v>SSI</v>
      </c>
      <c r="Y2199" t="str">
        <f>SUBSTITUTE(Tabla1[[#This Row],[Descripción]],CHAR(10),"    I    ")</f>
        <v>Se construyó la consulta para tratar el 11vo procedimiento OBTENER_ESTATUS</v>
      </c>
      <c r="Z2199" s="142">
        <f>VLOOKUP(Tabla1[[#This Row],[Perfil]],Catalogos!$B$75:$D$100,3,FALSE)*Tabla1[[#This Row],[Tiempo
(Hrs 00/100)]]*1.16</f>
        <v>1392</v>
      </c>
    </row>
    <row r="2200" spans="1:26" ht="15" customHeight="1" x14ac:dyDescent="0.3">
      <c r="A2200" s="637" t="s">
        <v>22</v>
      </c>
      <c r="B2200" s="637" t="s">
        <v>23</v>
      </c>
      <c r="C2200" s="637" t="s">
        <v>257</v>
      </c>
      <c r="D2200" s="637"/>
      <c r="E2200" s="637" t="s">
        <v>408</v>
      </c>
      <c r="F2200" s="637" t="s">
        <v>23</v>
      </c>
      <c r="G2200" s="637" t="s">
        <v>3990</v>
      </c>
      <c r="H2200" s="638" t="s">
        <v>3601</v>
      </c>
      <c r="I2200" s="645" t="s">
        <v>3593</v>
      </c>
      <c r="J2200" s="731">
        <v>45229</v>
      </c>
      <c r="K2200" s="774">
        <v>0.41666666666666669</v>
      </c>
      <c r="L2200" s="731">
        <v>45229</v>
      </c>
      <c r="M2200" s="774">
        <v>0.45833333333333331</v>
      </c>
      <c r="N2200" s="637">
        <v>1</v>
      </c>
      <c r="O2200" s="641" t="s">
        <v>17</v>
      </c>
      <c r="P2200" s="375" t="s">
        <v>2909</v>
      </c>
      <c r="Q2200" s="642" t="s">
        <v>1441</v>
      </c>
      <c r="R2200" s="31" t="s">
        <v>95</v>
      </c>
      <c r="S2200" s="31" t="s">
        <v>273</v>
      </c>
      <c r="T2200" s="31" t="s">
        <v>273</v>
      </c>
      <c r="U2200" s="31">
        <f>IFERROR(VLOOKUP(CONCATENATE(Tabla1[[#This Row],[Severidad]]," ",Tabla1[[#This Row],[Complejidad]]),Catalogos!E$120:G$128,3,FALSE),"")</f>
        <v>64</v>
      </c>
      <c r="V2200" s="31" t="str">
        <f>IF(Tabla1[[#This Row],[Tiempo solución max (hrs)]]&lt;&gt;"",IF(Tabla1[[#This Row],[Tiempo solución max (hrs)]]&gt;=Tabla1[[#This Row],[Tiempo
(Hrs 00/100)]],"cumple","no cumple"),"")</f>
        <v>cumple</v>
      </c>
      <c r="W2200" s="629" t="s">
        <v>3327</v>
      </c>
      <c r="X2200" s="377" t="str">
        <f t="shared" si="198"/>
        <v>SSI</v>
      </c>
      <c r="Y2200" t="str">
        <f>SUBSTITUTE(Tabla1[[#This Row],[Descripción]],CHAR(10),"    I    ")</f>
        <v>Se validó que la información que retorna la consulta con los distintos parametros sea la correcta</v>
      </c>
      <c r="Z2200" s="142">
        <f>VLOOKUP(Tabla1[[#This Row],[Perfil]],Catalogos!$B$75:$D$100,3,FALSE)*Tabla1[[#This Row],[Tiempo
(Hrs 00/100)]]*1.16</f>
        <v>696</v>
      </c>
    </row>
    <row r="2201" spans="1:26" ht="15" customHeight="1" x14ac:dyDescent="0.3">
      <c r="A2201" s="637" t="s">
        <v>22</v>
      </c>
      <c r="B2201" s="637" t="s">
        <v>23</v>
      </c>
      <c r="C2201" s="637" t="s">
        <v>257</v>
      </c>
      <c r="D2201" s="637"/>
      <c r="E2201" s="637" t="s">
        <v>408</v>
      </c>
      <c r="F2201" s="637" t="s">
        <v>23</v>
      </c>
      <c r="G2201" s="637" t="s">
        <v>3991</v>
      </c>
      <c r="H2201" s="638" t="s">
        <v>3666</v>
      </c>
      <c r="I2201" s="645" t="s">
        <v>3667</v>
      </c>
      <c r="J2201" s="731">
        <v>45229</v>
      </c>
      <c r="K2201" s="774">
        <v>0.45833333333333331</v>
      </c>
      <c r="L2201" s="731">
        <v>45229</v>
      </c>
      <c r="M2201" s="774">
        <v>0.54166666666666663</v>
      </c>
      <c r="N2201" s="637">
        <v>2</v>
      </c>
      <c r="O2201" s="641" t="s">
        <v>17</v>
      </c>
      <c r="P2201" s="375" t="s">
        <v>2909</v>
      </c>
      <c r="Q2201" s="642" t="s">
        <v>1441</v>
      </c>
      <c r="R2201" s="31" t="s">
        <v>95</v>
      </c>
      <c r="S2201" s="31" t="s">
        <v>273</v>
      </c>
      <c r="T2201" s="31" t="s">
        <v>273</v>
      </c>
      <c r="U2201" s="31">
        <f>IFERROR(VLOOKUP(CONCATENATE(Tabla1[[#This Row],[Severidad]]," ",Tabla1[[#This Row],[Complejidad]]),Catalogos!E$120:G$128,3,FALSE),"")</f>
        <v>64</v>
      </c>
      <c r="V2201" s="31" t="str">
        <f>IF(Tabla1[[#This Row],[Tiempo solución max (hrs)]]&lt;&gt;"",IF(Tabla1[[#This Row],[Tiempo solución max (hrs)]]&gt;=Tabla1[[#This Row],[Tiempo
(Hrs 00/100)]],"cumple","no cumple"),"")</f>
        <v>cumple</v>
      </c>
      <c r="W2201" s="629" t="s">
        <v>3327</v>
      </c>
      <c r="X2201" s="377" t="str">
        <f t="shared" si="198"/>
        <v>SSI</v>
      </c>
      <c r="Y2201" t="str">
        <f>SUBSTITUTE(Tabla1[[#This Row],[Descripción]],CHAR(10),"    I    ")</f>
        <v>Se trabajó en el 11vo procedimiento 'OBTENER_ESTATUS' con sus respectivas variables TAB y con su consulta previamente validada, se compila sin errores</v>
      </c>
      <c r="Z2201" s="142">
        <f>VLOOKUP(Tabla1[[#This Row],[Perfil]],Catalogos!$B$75:$D$100,3,FALSE)*Tabla1[[#This Row],[Tiempo
(Hrs 00/100)]]*1.16</f>
        <v>1392</v>
      </c>
    </row>
    <row r="2202" spans="1:26" ht="15" customHeight="1" x14ac:dyDescent="0.3">
      <c r="A2202" s="637" t="s">
        <v>22</v>
      </c>
      <c r="B2202" s="637" t="s">
        <v>23</v>
      </c>
      <c r="C2202" s="637" t="s">
        <v>257</v>
      </c>
      <c r="D2202" s="637"/>
      <c r="E2202" s="637" t="s">
        <v>408</v>
      </c>
      <c r="F2202" s="637" t="s">
        <v>75</v>
      </c>
      <c r="G2202" s="637" t="s">
        <v>3992</v>
      </c>
      <c r="H2202" s="638" t="s">
        <v>3668</v>
      </c>
      <c r="I2202" s="645" t="s">
        <v>3669</v>
      </c>
      <c r="J2202" s="731">
        <v>45229</v>
      </c>
      <c r="K2202" s="774">
        <v>0.54166666666666663</v>
      </c>
      <c r="L2202" s="731">
        <v>45229</v>
      </c>
      <c r="M2202" s="774">
        <v>0.58333333333333337</v>
      </c>
      <c r="N2202" s="637">
        <v>1</v>
      </c>
      <c r="O2202" s="641" t="s">
        <v>17</v>
      </c>
      <c r="P2202" s="375" t="s">
        <v>2909</v>
      </c>
      <c r="Q2202" s="642" t="s">
        <v>1441</v>
      </c>
      <c r="R2202" s="31" t="s">
        <v>95</v>
      </c>
      <c r="S2202" s="31" t="s">
        <v>273</v>
      </c>
      <c r="T2202" s="31" t="s">
        <v>273</v>
      </c>
      <c r="U2202" s="31">
        <f>IFERROR(VLOOKUP(CONCATENATE(Tabla1[[#This Row],[Severidad]]," ",Tabla1[[#This Row],[Complejidad]]),Catalogos!E$120:G$128,3,FALSE),"")</f>
        <v>64</v>
      </c>
      <c r="V2202" s="31" t="str">
        <f>IF(Tabla1[[#This Row],[Tiempo solución max (hrs)]]&lt;&gt;"",IF(Tabla1[[#This Row],[Tiempo solución max (hrs)]]&gt;=Tabla1[[#This Row],[Tiempo
(Hrs 00/100)]],"cumple","no cumple"),"")</f>
        <v>cumple</v>
      </c>
      <c r="W2202" s="629" t="s">
        <v>3327</v>
      </c>
      <c r="X2202" s="377" t="str">
        <f t="shared" si="198"/>
        <v>SSI</v>
      </c>
      <c r="Y2202" t="str">
        <f>SUBSTITUTE(Tabla1[[#This Row],[Descripción]],CHAR(10),"    I    ")</f>
        <v>Se validó el paquete-procedimiento 'OBTENER_ESTATUS' con el bloque anónimo correcto y se tuvo un resultado exitoso con la salida del cursor completo</v>
      </c>
      <c r="Z2202" s="142">
        <f>VLOOKUP(Tabla1[[#This Row],[Perfil]],Catalogos!$B$75:$D$100,3,FALSE)*Tabla1[[#This Row],[Tiempo
(Hrs 00/100)]]*1.16</f>
        <v>696</v>
      </c>
    </row>
    <row r="2203" spans="1:26" ht="15" customHeight="1" x14ac:dyDescent="0.3">
      <c r="A2203" s="637" t="s">
        <v>22</v>
      </c>
      <c r="B2203" s="637" t="s">
        <v>23</v>
      </c>
      <c r="C2203" s="637" t="s">
        <v>257</v>
      </c>
      <c r="D2203" s="637"/>
      <c r="E2203" s="637" t="s">
        <v>408</v>
      </c>
      <c r="F2203" s="637" t="s">
        <v>75</v>
      </c>
      <c r="G2203" s="637" t="s">
        <v>3993</v>
      </c>
      <c r="H2203" s="638" t="s">
        <v>3670</v>
      </c>
      <c r="I2203" s="645" t="s">
        <v>3671</v>
      </c>
      <c r="J2203" s="731">
        <v>45229</v>
      </c>
      <c r="K2203" s="774">
        <v>0.60416666666666663</v>
      </c>
      <c r="L2203" s="731">
        <v>45229</v>
      </c>
      <c r="M2203" s="774">
        <v>0.625</v>
      </c>
      <c r="N2203" s="637">
        <v>0.5</v>
      </c>
      <c r="O2203" s="641" t="s">
        <v>17</v>
      </c>
      <c r="P2203" s="375" t="s">
        <v>2909</v>
      </c>
      <c r="Q2203" s="642" t="s">
        <v>1441</v>
      </c>
      <c r="R2203" s="31" t="s">
        <v>95</v>
      </c>
      <c r="S2203" s="31" t="s">
        <v>273</v>
      </c>
      <c r="T2203" s="31" t="s">
        <v>273</v>
      </c>
      <c r="U2203" s="31">
        <f>IFERROR(VLOOKUP(CONCATENATE(Tabla1[[#This Row],[Severidad]]," ",Tabla1[[#This Row],[Complejidad]]),Catalogos!E$120:G$128,3,FALSE),"")</f>
        <v>64</v>
      </c>
      <c r="V2203" s="31" t="str">
        <f>IF(Tabla1[[#This Row],[Tiempo solución max (hrs)]]&lt;&gt;"",IF(Tabla1[[#This Row],[Tiempo solución max (hrs)]]&gt;=Tabla1[[#This Row],[Tiempo
(Hrs 00/100)]],"cumple","no cumple"),"")</f>
        <v>cumple</v>
      </c>
      <c r="W2203" s="629" t="s">
        <v>3327</v>
      </c>
      <c r="X2203" s="377" t="str">
        <f t="shared" si="198"/>
        <v>SSI</v>
      </c>
      <c r="Y2203" t="str">
        <f>SUBSTITUTE(Tabla1[[#This Row],[Descripción]],CHAR(10),"    I    ")</f>
        <v>Se le informó al equipo que ya esta este 11vo procedimiento para que lo revisen y consuman desde el aplicativo</v>
      </c>
      <c r="Z2203" s="142">
        <f>VLOOKUP(Tabla1[[#This Row],[Perfil]],Catalogos!$B$75:$D$100,3,FALSE)*Tabla1[[#This Row],[Tiempo
(Hrs 00/100)]]*1.16</f>
        <v>348</v>
      </c>
    </row>
    <row r="2204" spans="1:26" ht="15" customHeight="1" x14ac:dyDescent="0.3">
      <c r="A2204" s="637" t="s">
        <v>22</v>
      </c>
      <c r="B2204" s="637" t="s">
        <v>23</v>
      </c>
      <c r="C2204" s="637" t="s">
        <v>257</v>
      </c>
      <c r="D2204" s="637"/>
      <c r="E2204" s="637" t="s">
        <v>408</v>
      </c>
      <c r="F2204" s="637" t="s">
        <v>73</v>
      </c>
      <c r="G2204" s="637" t="s">
        <v>3994</v>
      </c>
      <c r="H2204" s="638" t="s">
        <v>3672</v>
      </c>
      <c r="I2204" s="645" t="s">
        <v>3673</v>
      </c>
      <c r="J2204" s="731">
        <v>45229</v>
      </c>
      <c r="K2204" s="774">
        <v>0.625</v>
      </c>
      <c r="L2204" s="731">
        <v>45229</v>
      </c>
      <c r="M2204" s="774">
        <v>0.66666666666666663</v>
      </c>
      <c r="N2204" s="637">
        <v>1</v>
      </c>
      <c r="O2204" s="641" t="s">
        <v>17</v>
      </c>
      <c r="P2204" s="375" t="s">
        <v>2909</v>
      </c>
      <c r="Q2204" s="642" t="s">
        <v>1441</v>
      </c>
      <c r="R2204" s="31" t="s">
        <v>95</v>
      </c>
      <c r="S2204" s="31" t="s">
        <v>273</v>
      </c>
      <c r="T2204" s="31" t="s">
        <v>273</v>
      </c>
      <c r="U2204" s="31">
        <f>IFERROR(VLOOKUP(CONCATENATE(Tabla1[[#This Row],[Severidad]]," ",Tabla1[[#This Row],[Complejidad]]),Catalogos!E$120:G$128,3,FALSE),"")</f>
        <v>64</v>
      </c>
      <c r="V2204" s="31" t="str">
        <f>IF(Tabla1[[#This Row],[Tiempo solución max (hrs)]]&lt;&gt;"",IF(Tabla1[[#This Row],[Tiempo solución max (hrs)]]&gt;=Tabla1[[#This Row],[Tiempo
(Hrs 00/100)]],"cumple","no cumple"),"")</f>
        <v>cumple</v>
      </c>
      <c r="W2204" s="629" t="s">
        <v>3327</v>
      </c>
      <c r="X2204" s="377" t="str">
        <f t="shared" si="198"/>
        <v>SSI</v>
      </c>
      <c r="Y2204" t="str">
        <f>SUBSTITUTE(Tabla1[[#This Row],[Descripción]],CHAR(10),"    I    ")</f>
        <v>Se toco base con Samuel para definir el catalogo de Tematicas, me aclaro el punto y segui avanzando sin problema</v>
      </c>
      <c r="Z2204" s="142">
        <f>VLOOKUP(Tabla1[[#This Row],[Perfil]],Catalogos!$B$75:$D$100,3,FALSE)*Tabla1[[#This Row],[Tiempo
(Hrs 00/100)]]*1.16</f>
        <v>696</v>
      </c>
    </row>
    <row r="2205" spans="1:26" ht="15" customHeight="1" x14ac:dyDescent="0.3">
      <c r="A2205" s="637" t="s">
        <v>22</v>
      </c>
      <c r="B2205" s="637" t="s">
        <v>23</v>
      </c>
      <c r="C2205" s="637" t="s">
        <v>257</v>
      </c>
      <c r="D2205" s="637"/>
      <c r="E2205" s="637" t="s">
        <v>408</v>
      </c>
      <c r="F2205" s="637" t="s">
        <v>23</v>
      </c>
      <c r="G2205" s="637" t="s">
        <v>3995</v>
      </c>
      <c r="H2205" s="638" t="s">
        <v>3674</v>
      </c>
      <c r="I2205" s="645" t="s">
        <v>3674</v>
      </c>
      <c r="J2205" s="731">
        <v>45229</v>
      </c>
      <c r="K2205" s="774">
        <v>0.66666666666666663</v>
      </c>
      <c r="L2205" s="731">
        <v>45229</v>
      </c>
      <c r="M2205" s="774">
        <v>0.75</v>
      </c>
      <c r="N2205" s="637">
        <v>2</v>
      </c>
      <c r="O2205" s="641" t="s">
        <v>17</v>
      </c>
      <c r="P2205" s="375" t="s">
        <v>2909</v>
      </c>
      <c r="Q2205" s="642" t="s">
        <v>1441</v>
      </c>
      <c r="R2205" s="31" t="s">
        <v>95</v>
      </c>
      <c r="S2205" s="31" t="s">
        <v>273</v>
      </c>
      <c r="T2205" s="31" t="s">
        <v>273</v>
      </c>
      <c r="U2205" s="31">
        <f>IFERROR(VLOOKUP(CONCATENATE(Tabla1[[#This Row],[Severidad]]," ",Tabla1[[#This Row],[Complejidad]]),Catalogos!E$120:G$128,3,FALSE),"")</f>
        <v>64</v>
      </c>
      <c r="V2205" s="31" t="str">
        <f>IF(Tabla1[[#This Row],[Tiempo solución max (hrs)]]&lt;&gt;"",IF(Tabla1[[#This Row],[Tiempo solución max (hrs)]]&gt;=Tabla1[[#This Row],[Tiempo
(Hrs 00/100)]],"cumple","no cumple"),"")</f>
        <v>cumple</v>
      </c>
      <c r="W2205" s="629" t="s">
        <v>3327</v>
      </c>
      <c r="X2205" s="377" t="str">
        <f t="shared" si="198"/>
        <v>SSI</v>
      </c>
      <c r="Y2205" t="str">
        <f>SUBSTITUTE(Tabla1[[#This Row],[Descripción]],CHAR(10),"    I    ")</f>
        <v>Se construyó la consulta para tratar el 12vo procedimiento OBTENER_TEMATICA</v>
      </c>
      <c r="Z2205" s="142">
        <f>VLOOKUP(Tabla1[[#This Row],[Perfil]],Catalogos!$B$75:$D$100,3,FALSE)*Tabla1[[#This Row],[Tiempo
(Hrs 00/100)]]*1.16</f>
        <v>1392</v>
      </c>
    </row>
    <row r="2206" spans="1:26" ht="15" customHeight="1" x14ac:dyDescent="0.3">
      <c r="A2206" s="637" t="s">
        <v>22</v>
      </c>
      <c r="B2206" s="637" t="s">
        <v>23</v>
      </c>
      <c r="C2206" s="637" t="s">
        <v>257</v>
      </c>
      <c r="D2206" s="637"/>
      <c r="E2206" s="637" t="s">
        <v>408</v>
      </c>
      <c r="F2206" s="637" t="s">
        <v>23</v>
      </c>
      <c r="G2206" s="637" t="s">
        <v>3996</v>
      </c>
      <c r="H2206" s="638" t="s">
        <v>3601</v>
      </c>
      <c r="I2206" s="645" t="s">
        <v>3593</v>
      </c>
      <c r="J2206" s="731">
        <v>45229</v>
      </c>
      <c r="K2206" s="774">
        <v>0.75</v>
      </c>
      <c r="L2206" s="731">
        <v>45229</v>
      </c>
      <c r="M2206" s="774">
        <v>0.79166666666666663</v>
      </c>
      <c r="N2206" s="637">
        <v>1</v>
      </c>
      <c r="O2206" s="641" t="s">
        <v>17</v>
      </c>
      <c r="P2206" s="375" t="s">
        <v>2909</v>
      </c>
      <c r="Q2206" s="642" t="s">
        <v>1441</v>
      </c>
      <c r="R2206" s="31" t="s">
        <v>95</v>
      </c>
      <c r="S2206" s="31" t="s">
        <v>273</v>
      </c>
      <c r="T2206" s="31" t="s">
        <v>273</v>
      </c>
      <c r="U2206" s="31">
        <f>IFERROR(VLOOKUP(CONCATENATE(Tabla1[[#This Row],[Severidad]]," ",Tabla1[[#This Row],[Complejidad]]),Catalogos!E$120:G$128,3,FALSE),"")</f>
        <v>64</v>
      </c>
      <c r="V2206" s="31" t="str">
        <f>IF(Tabla1[[#This Row],[Tiempo solución max (hrs)]]&lt;&gt;"",IF(Tabla1[[#This Row],[Tiempo solución max (hrs)]]&gt;=Tabla1[[#This Row],[Tiempo
(Hrs 00/100)]],"cumple","no cumple"),"")</f>
        <v>cumple</v>
      </c>
      <c r="W2206" s="629" t="s">
        <v>3327</v>
      </c>
      <c r="X2206" s="377" t="str">
        <f t="shared" si="198"/>
        <v>SSI</v>
      </c>
      <c r="Y2206" t="str">
        <f>SUBSTITUTE(Tabla1[[#This Row],[Descripción]],CHAR(10),"    I    ")</f>
        <v>Se validó que la información que retorna la consulta con los distintos parametros sea la correcta</v>
      </c>
      <c r="Z2206" s="142">
        <f>VLOOKUP(Tabla1[[#This Row],[Perfil]],Catalogos!$B$75:$D$100,3,FALSE)*Tabla1[[#This Row],[Tiempo
(Hrs 00/100)]]*1.16</f>
        <v>696</v>
      </c>
    </row>
    <row r="2207" spans="1:26" ht="15" customHeight="1" x14ac:dyDescent="0.3">
      <c r="A2207" s="637" t="s">
        <v>22</v>
      </c>
      <c r="B2207" s="637" t="s">
        <v>23</v>
      </c>
      <c r="C2207" s="637" t="s">
        <v>257</v>
      </c>
      <c r="D2207" s="637"/>
      <c r="E2207" s="637" t="s">
        <v>408</v>
      </c>
      <c r="F2207" s="637" t="s">
        <v>23</v>
      </c>
      <c r="G2207" s="637" t="s">
        <v>3997</v>
      </c>
      <c r="H2207" s="638" t="s">
        <v>3675</v>
      </c>
      <c r="I2207" s="645" t="s">
        <v>3676</v>
      </c>
      <c r="J2207" s="731">
        <v>45229</v>
      </c>
      <c r="K2207" s="774">
        <v>0.79166666666666663</v>
      </c>
      <c r="L2207" s="731">
        <v>45229</v>
      </c>
      <c r="M2207" s="774">
        <v>0.875</v>
      </c>
      <c r="N2207" s="637">
        <v>2</v>
      </c>
      <c r="O2207" s="641" t="s">
        <v>17</v>
      </c>
      <c r="P2207" s="375" t="s">
        <v>2909</v>
      </c>
      <c r="Q2207" s="642" t="s">
        <v>1441</v>
      </c>
      <c r="R2207" s="31" t="s">
        <v>95</v>
      </c>
      <c r="S2207" s="31" t="s">
        <v>273</v>
      </c>
      <c r="T2207" s="31" t="s">
        <v>273</v>
      </c>
      <c r="U2207" s="31">
        <f>IFERROR(VLOOKUP(CONCATENATE(Tabla1[[#This Row],[Severidad]]," ",Tabla1[[#This Row],[Complejidad]]),Catalogos!E$120:G$128,3,FALSE),"")</f>
        <v>64</v>
      </c>
      <c r="V2207" s="31" t="str">
        <f>IF(Tabla1[[#This Row],[Tiempo solución max (hrs)]]&lt;&gt;"",IF(Tabla1[[#This Row],[Tiempo solución max (hrs)]]&gt;=Tabla1[[#This Row],[Tiempo
(Hrs 00/100)]],"cumple","no cumple"),"")</f>
        <v>cumple</v>
      </c>
      <c r="W2207" s="629" t="s">
        <v>3327</v>
      </c>
      <c r="X2207" s="377" t="str">
        <f t="shared" si="198"/>
        <v>SSI</v>
      </c>
      <c r="Y2207" t="str">
        <f>SUBSTITUTE(Tabla1[[#This Row],[Descripción]],CHAR(10),"    I    ")</f>
        <v>Se trabajó en el 12vo procedimiento 'OBTENER_TEMATICA' con sus respectivas variables TAB y con su consulta previamente validada, se compila sin errores</v>
      </c>
      <c r="Z2207" s="142">
        <f>VLOOKUP(Tabla1[[#This Row],[Perfil]],Catalogos!$B$75:$D$100,3,FALSE)*Tabla1[[#This Row],[Tiempo
(Hrs 00/100)]]*1.16</f>
        <v>1392</v>
      </c>
    </row>
    <row r="2208" spans="1:26" ht="15" customHeight="1" x14ac:dyDescent="0.3">
      <c r="A2208" s="637" t="s">
        <v>22</v>
      </c>
      <c r="B2208" s="637" t="s">
        <v>23</v>
      </c>
      <c r="C2208" s="637" t="s">
        <v>257</v>
      </c>
      <c r="D2208" s="637"/>
      <c r="E2208" s="637" t="s">
        <v>408</v>
      </c>
      <c r="F2208" s="637" t="s">
        <v>75</v>
      </c>
      <c r="G2208" s="637" t="s">
        <v>3998</v>
      </c>
      <c r="H2208" s="638" t="s">
        <v>3677</v>
      </c>
      <c r="I2208" s="645" t="s">
        <v>3678</v>
      </c>
      <c r="J2208" s="731">
        <v>45229</v>
      </c>
      <c r="K2208" s="774">
        <v>0.875</v>
      </c>
      <c r="L2208" s="731">
        <v>45229</v>
      </c>
      <c r="M2208" s="774">
        <v>0.91666666666666663</v>
      </c>
      <c r="N2208" s="637">
        <v>1</v>
      </c>
      <c r="O2208" s="641" t="s">
        <v>17</v>
      </c>
      <c r="P2208" s="375" t="s">
        <v>2909</v>
      </c>
      <c r="Q2208" s="642" t="s">
        <v>1441</v>
      </c>
      <c r="R2208" s="31" t="s">
        <v>95</v>
      </c>
      <c r="S2208" s="31" t="s">
        <v>273</v>
      </c>
      <c r="T2208" s="31" t="s">
        <v>273</v>
      </c>
      <c r="U2208" s="31">
        <f>IFERROR(VLOOKUP(CONCATENATE(Tabla1[[#This Row],[Severidad]]," ",Tabla1[[#This Row],[Complejidad]]),Catalogos!E$120:G$128,3,FALSE),"")</f>
        <v>64</v>
      </c>
      <c r="V2208" s="31" t="str">
        <f>IF(Tabla1[[#This Row],[Tiempo solución max (hrs)]]&lt;&gt;"",IF(Tabla1[[#This Row],[Tiempo solución max (hrs)]]&gt;=Tabla1[[#This Row],[Tiempo
(Hrs 00/100)]],"cumple","no cumple"),"")</f>
        <v>cumple</v>
      </c>
      <c r="W2208" s="629" t="s">
        <v>3327</v>
      </c>
      <c r="X2208" s="377" t="str">
        <f t="shared" si="198"/>
        <v>SSI</v>
      </c>
      <c r="Y2208" t="str">
        <f>SUBSTITUTE(Tabla1[[#This Row],[Descripción]],CHAR(10),"    I    ")</f>
        <v>Se validó el paquete-procedimiento 'OBTENER_TEMATICA' con el bloque anónimo correcto y se tuvo un resultado exitoso con la salida del cursor completo</v>
      </c>
      <c r="Z2208" s="142">
        <f>VLOOKUP(Tabla1[[#This Row],[Perfil]],Catalogos!$B$75:$D$100,3,FALSE)*Tabla1[[#This Row],[Tiempo
(Hrs 00/100)]]*1.16</f>
        <v>696</v>
      </c>
    </row>
    <row r="2209" spans="1:26" ht="15" customHeight="1" x14ac:dyDescent="0.3">
      <c r="A2209" s="637" t="s">
        <v>22</v>
      </c>
      <c r="B2209" s="637" t="s">
        <v>23</v>
      </c>
      <c r="C2209" s="637" t="s">
        <v>257</v>
      </c>
      <c r="D2209" s="637"/>
      <c r="E2209" s="637" t="s">
        <v>408</v>
      </c>
      <c r="F2209" s="637" t="s">
        <v>23</v>
      </c>
      <c r="G2209" s="637" t="s">
        <v>3999</v>
      </c>
      <c r="H2209" s="638" t="s">
        <v>3679</v>
      </c>
      <c r="I2209" s="645" t="s">
        <v>3680</v>
      </c>
      <c r="J2209" s="731">
        <v>45229</v>
      </c>
      <c r="K2209" s="774">
        <v>0.91666666666666663</v>
      </c>
      <c r="L2209" s="731">
        <v>45229</v>
      </c>
      <c r="M2209" s="774">
        <v>0.9375</v>
      </c>
      <c r="N2209" s="637">
        <v>0.5</v>
      </c>
      <c r="O2209" s="641" t="s">
        <v>17</v>
      </c>
      <c r="P2209" s="375" t="s">
        <v>2909</v>
      </c>
      <c r="Q2209" s="642" t="s">
        <v>1441</v>
      </c>
      <c r="R2209" s="31" t="s">
        <v>95</v>
      </c>
      <c r="S2209" s="31" t="s">
        <v>273</v>
      </c>
      <c r="T2209" s="31" t="s">
        <v>273</v>
      </c>
      <c r="U2209" s="31">
        <f>IFERROR(VLOOKUP(CONCATENATE(Tabla1[[#This Row],[Severidad]]," ",Tabla1[[#This Row],[Complejidad]]),Catalogos!E$120:G$128,3,FALSE),"")</f>
        <v>64</v>
      </c>
      <c r="V2209" s="31" t="str">
        <f>IF(Tabla1[[#This Row],[Tiempo solución max (hrs)]]&lt;&gt;"",IF(Tabla1[[#This Row],[Tiempo solución max (hrs)]]&gt;=Tabla1[[#This Row],[Tiempo
(Hrs 00/100)]],"cumple","no cumple"),"")</f>
        <v>cumple</v>
      </c>
      <c r="W2209" s="629" t="s">
        <v>3327</v>
      </c>
      <c r="X2209" s="377" t="str">
        <f t="shared" si="198"/>
        <v>SSI</v>
      </c>
      <c r="Y2209" t="str">
        <f>SUBSTITUTE(Tabla1[[#This Row],[Descripción]],CHAR(10),"    I    ")</f>
        <v>Se le informó al equipo que ya esta este 12vo procedimiento para que lo revisen y consuman desde el aplicativo</v>
      </c>
      <c r="Z2209" s="142">
        <f>VLOOKUP(Tabla1[[#This Row],[Perfil]],Catalogos!$B$75:$D$100,3,FALSE)*Tabla1[[#This Row],[Tiempo
(Hrs 00/100)]]*1.16</f>
        <v>348</v>
      </c>
    </row>
    <row r="2210" spans="1:26" ht="15" customHeight="1" x14ac:dyDescent="0.3">
      <c r="A2210" s="637" t="s">
        <v>22</v>
      </c>
      <c r="B2210" s="637" t="s">
        <v>23</v>
      </c>
      <c r="C2210" s="637" t="s">
        <v>257</v>
      </c>
      <c r="D2210" s="637"/>
      <c r="E2210" s="637" t="s">
        <v>408</v>
      </c>
      <c r="F2210" s="637" t="s">
        <v>23</v>
      </c>
      <c r="G2210" s="637" t="s">
        <v>4000</v>
      </c>
      <c r="H2210" s="638" t="s">
        <v>3681</v>
      </c>
      <c r="I2210" s="645" t="s">
        <v>3682</v>
      </c>
      <c r="J2210" s="731">
        <v>45230</v>
      </c>
      <c r="K2210" s="774">
        <v>0.33333333333333331</v>
      </c>
      <c r="L2210" s="731">
        <v>45230</v>
      </c>
      <c r="M2210" s="774">
        <v>0.39583333333333331</v>
      </c>
      <c r="N2210" s="637">
        <v>1.5</v>
      </c>
      <c r="O2210" s="641" t="s">
        <v>17</v>
      </c>
      <c r="P2210" s="375" t="s">
        <v>2909</v>
      </c>
      <c r="Q2210" s="642" t="s">
        <v>1441</v>
      </c>
      <c r="R2210" s="31" t="s">
        <v>95</v>
      </c>
      <c r="S2210" s="31" t="s">
        <v>273</v>
      </c>
      <c r="T2210" s="31" t="s">
        <v>273</v>
      </c>
      <c r="U2210" s="31">
        <f>IFERROR(VLOOKUP(CONCATENATE(Tabla1[[#This Row],[Severidad]]," ",Tabla1[[#This Row],[Complejidad]]),Catalogos!E$120:G$128,3,FALSE),"")</f>
        <v>64</v>
      </c>
      <c r="V2210" s="31" t="str">
        <f>IF(Tabla1[[#This Row],[Tiempo solución max (hrs)]]&lt;&gt;"",IF(Tabla1[[#This Row],[Tiempo solución max (hrs)]]&gt;=Tabla1[[#This Row],[Tiempo
(Hrs 00/100)]],"cumple","no cumple"),"")</f>
        <v>cumple</v>
      </c>
      <c r="W2210" s="629" t="s">
        <v>3327</v>
      </c>
      <c r="X2210" s="377" t="str">
        <f t="shared" si="198"/>
        <v>SSI</v>
      </c>
      <c r="Y2210" t="str">
        <f>SUBSTITUTE(Tabla1[[#This Row],[Descripción]],CHAR(10),"    I    ")</f>
        <v>Se revisaron las consultas de los procedimientos creados para aplicar mejora de subquerys en las consultas que si aplique</v>
      </c>
      <c r="Z2210" s="142">
        <f>VLOOKUP(Tabla1[[#This Row],[Perfil]],Catalogos!$B$75:$D$100,3,FALSE)*Tabla1[[#This Row],[Tiempo
(Hrs 00/100)]]*1.16</f>
        <v>1044</v>
      </c>
    </row>
    <row r="2211" spans="1:26" ht="15" customHeight="1" x14ac:dyDescent="0.3">
      <c r="A2211" s="637" t="s">
        <v>22</v>
      </c>
      <c r="B2211" s="637" t="s">
        <v>23</v>
      </c>
      <c r="C2211" s="637" t="s">
        <v>257</v>
      </c>
      <c r="D2211" s="637"/>
      <c r="E2211" s="637" t="s">
        <v>408</v>
      </c>
      <c r="F2211" s="637" t="s">
        <v>23</v>
      </c>
      <c r="G2211" s="637" t="s">
        <v>4001</v>
      </c>
      <c r="H2211" s="638" t="s">
        <v>3683</v>
      </c>
      <c r="I2211" s="645" t="s">
        <v>3684</v>
      </c>
      <c r="J2211" s="731">
        <v>45230</v>
      </c>
      <c r="K2211" s="774">
        <v>0.39583333333333331</v>
      </c>
      <c r="L2211" s="731">
        <v>45230</v>
      </c>
      <c r="M2211" s="774">
        <v>0.45833333333333331</v>
      </c>
      <c r="N2211" s="637">
        <v>1.5</v>
      </c>
      <c r="O2211" s="641" t="s">
        <v>17</v>
      </c>
      <c r="P2211" s="375" t="s">
        <v>2909</v>
      </c>
      <c r="Q2211" s="642" t="s">
        <v>1441</v>
      </c>
      <c r="R2211" s="31" t="s">
        <v>95</v>
      </c>
      <c r="S2211" s="31" t="s">
        <v>273</v>
      </c>
      <c r="T2211" s="31" t="s">
        <v>273</v>
      </c>
      <c r="U2211" s="31">
        <f>IFERROR(VLOOKUP(CONCATENATE(Tabla1[[#This Row],[Severidad]]," ",Tabla1[[#This Row],[Complejidad]]),Catalogos!E$120:G$128,3,FALSE),"")</f>
        <v>64</v>
      </c>
      <c r="V2211" s="31" t="str">
        <f>IF(Tabla1[[#This Row],[Tiempo solución max (hrs)]]&lt;&gt;"",IF(Tabla1[[#This Row],[Tiempo solución max (hrs)]]&gt;=Tabla1[[#This Row],[Tiempo
(Hrs 00/100)]],"cumple","no cumple"),"")</f>
        <v>cumple</v>
      </c>
      <c r="W2211" s="629" t="s">
        <v>3327</v>
      </c>
      <c r="X2211" s="377" t="str">
        <f t="shared" si="198"/>
        <v>SSI</v>
      </c>
      <c r="Y2211" t="str">
        <f>SUBSTITUTE(Tabla1[[#This Row],[Descripción]],CHAR(10),"    I    ")</f>
        <v>Se aplicó mejora solicitada en todos los procedimientos para no considerar las banderas como parametros</v>
      </c>
      <c r="Z2211" s="142">
        <f>VLOOKUP(Tabla1[[#This Row],[Perfil]],Catalogos!$B$75:$D$100,3,FALSE)*Tabla1[[#This Row],[Tiempo
(Hrs 00/100)]]*1.16</f>
        <v>1044</v>
      </c>
    </row>
    <row r="2212" spans="1:26" ht="15" customHeight="1" x14ac:dyDescent="0.3">
      <c r="A2212" s="637" t="s">
        <v>22</v>
      </c>
      <c r="B2212" s="637" t="s">
        <v>305</v>
      </c>
      <c r="C2212" s="637" t="s">
        <v>257</v>
      </c>
      <c r="D2212" s="637"/>
      <c r="E2212" s="637" t="s">
        <v>408</v>
      </c>
      <c r="F2212" s="637" t="s">
        <v>72</v>
      </c>
      <c r="G2212" s="637" t="s">
        <v>4002</v>
      </c>
      <c r="H2212" s="638" t="s">
        <v>3685</v>
      </c>
      <c r="I2212" s="645" t="s">
        <v>3685</v>
      </c>
      <c r="J2212" s="731">
        <v>45230</v>
      </c>
      <c r="K2212" s="774">
        <v>0.45833333333333331</v>
      </c>
      <c r="L2212" s="731">
        <v>45230</v>
      </c>
      <c r="M2212" s="774">
        <v>0.5</v>
      </c>
      <c r="N2212" s="637">
        <v>1</v>
      </c>
      <c r="O2212" s="641" t="s">
        <v>17</v>
      </c>
      <c r="P2212" s="375" t="s">
        <v>2909</v>
      </c>
      <c r="Q2212" s="642" t="s">
        <v>1441</v>
      </c>
      <c r="R2212" s="31" t="s">
        <v>95</v>
      </c>
      <c r="S2212" s="31" t="s">
        <v>273</v>
      </c>
      <c r="T2212" s="31" t="s">
        <v>273</v>
      </c>
      <c r="U2212" s="31">
        <f>IFERROR(VLOOKUP(CONCATENATE(Tabla1[[#This Row],[Severidad]]," ",Tabla1[[#This Row],[Complejidad]]),Catalogos!E$120:G$128,3,FALSE),"")</f>
        <v>64</v>
      </c>
      <c r="V2212" s="31" t="str">
        <f>IF(Tabla1[[#This Row],[Tiempo solución max (hrs)]]&lt;&gt;"",IF(Tabla1[[#This Row],[Tiempo solución max (hrs)]]&gt;=Tabla1[[#This Row],[Tiempo
(Hrs 00/100)]],"cumple","no cumple"),"")</f>
        <v>cumple</v>
      </c>
      <c r="W2212" s="629" t="s">
        <v>3327</v>
      </c>
      <c r="X2212" s="377" t="str">
        <f t="shared" si="198"/>
        <v>SSI</v>
      </c>
      <c r="Y2212" t="str">
        <f>SUBSTITUTE(Tabla1[[#This Row],[Descripción]],CHAR(10),"    I    ")</f>
        <v>Se tuvo sesión con equipo para nuevos cambios en procedimientos creados</v>
      </c>
      <c r="Z2212" s="142">
        <f>VLOOKUP(Tabla1[[#This Row],[Perfil]],Catalogos!$B$75:$D$100,3,FALSE)*Tabla1[[#This Row],[Tiempo
(Hrs 00/100)]]*1.16</f>
        <v>696</v>
      </c>
    </row>
    <row r="2213" spans="1:26" ht="15" customHeight="1" x14ac:dyDescent="0.3">
      <c r="A2213" s="637" t="s">
        <v>22</v>
      </c>
      <c r="B2213" s="637" t="s">
        <v>305</v>
      </c>
      <c r="C2213" s="637" t="s">
        <v>257</v>
      </c>
      <c r="D2213" s="637"/>
      <c r="E2213" s="637" t="s">
        <v>408</v>
      </c>
      <c r="F2213" s="637" t="s">
        <v>72</v>
      </c>
      <c r="G2213" s="637" t="s">
        <v>4003</v>
      </c>
      <c r="H2213" s="638" t="s">
        <v>3686</v>
      </c>
      <c r="I2213" s="645" t="s">
        <v>3687</v>
      </c>
      <c r="J2213" s="731">
        <v>45230</v>
      </c>
      <c r="K2213" s="774">
        <v>0.5</v>
      </c>
      <c r="L2213" s="731">
        <v>45230</v>
      </c>
      <c r="M2213" s="774">
        <v>0.52083333333333337</v>
      </c>
      <c r="N2213" s="637">
        <v>0.5</v>
      </c>
      <c r="O2213" s="641" t="s">
        <v>17</v>
      </c>
      <c r="P2213" s="375" t="s">
        <v>2909</v>
      </c>
      <c r="Q2213" s="642" t="s">
        <v>1441</v>
      </c>
      <c r="R2213" s="31" t="s">
        <v>95</v>
      </c>
      <c r="S2213" s="31" t="s">
        <v>273</v>
      </c>
      <c r="T2213" s="31" t="s">
        <v>273</v>
      </c>
      <c r="U2213" s="31">
        <f>IFERROR(VLOOKUP(CONCATENATE(Tabla1[[#This Row],[Severidad]]," ",Tabla1[[#This Row],[Complejidad]]),Catalogos!E$120:G$128,3,FALSE),"")</f>
        <v>64</v>
      </c>
      <c r="V2213" s="31" t="str">
        <f>IF(Tabla1[[#This Row],[Tiempo solución max (hrs)]]&lt;&gt;"",IF(Tabla1[[#This Row],[Tiempo solución max (hrs)]]&gt;=Tabla1[[#This Row],[Tiempo
(Hrs 00/100)]],"cumple","no cumple"),"")</f>
        <v>cumple</v>
      </c>
      <c r="W2213" s="629" t="s">
        <v>3327</v>
      </c>
      <c r="X2213" s="377" t="str">
        <f t="shared" si="198"/>
        <v>SSI</v>
      </c>
      <c r="Y2213" t="str">
        <f>SUBSTITUTE(Tabla1[[#This Row],[Descripción]],CHAR(10),"    I    ")</f>
        <v>Se recolectó 1er cambio para modificar los parametros de salida del cursor por el generito 'P_C_RESULTADO'</v>
      </c>
      <c r="Z2213" s="142">
        <f>VLOOKUP(Tabla1[[#This Row],[Perfil]],Catalogos!$B$75:$D$100,3,FALSE)*Tabla1[[#This Row],[Tiempo
(Hrs 00/100)]]*1.16</f>
        <v>348</v>
      </c>
    </row>
    <row r="2214" spans="1:26" ht="15" customHeight="1" x14ac:dyDescent="0.3">
      <c r="A2214" s="637" t="s">
        <v>22</v>
      </c>
      <c r="B2214" s="637" t="s">
        <v>305</v>
      </c>
      <c r="C2214" s="637" t="s">
        <v>257</v>
      </c>
      <c r="D2214" s="637"/>
      <c r="E2214" s="637" t="s">
        <v>408</v>
      </c>
      <c r="F2214" s="637" t="s">
        <v>72</v>
      </c>
      <c r="G2214" s="637" t="s">
        <v>4004</v>
      </c>
      <c r="H2214" s="638" t="s">
        <v>3688</v>
      </c>
      <c r="I2214" s="645" t="s">
        <v>3689</v>
      </c>
      <c r="J2214" s="731">
        <v>45230</v>
      </c>
      <c r="K2214" s="774">
        <v>0.52083333333333337</v>
      </c>
      <c r="L2214" s="731">
        <v>45230</v>
      </c>
      <c r="M2214" s="774">
        <v>0.54166666666666663</v>
      </c>
      <c r="N2214" s="637">
        <v>0.5</v>
      </c>
      <c r="O2214" s="641" t="s">
        <v>17</v>
      </c>
      <c r="P2214" s="375" t="s">
        <v>2909</v>
      </c>
      <c r="Q2214" s="642" t="s">
        <v>1441</v>
      </c>
      <c r="R2214" s="31" t="s">
        <v>95</v>
      </c>
      <c r="S2214" s="31" t="s">
        <v>273</v>
      </c>
      <c r="T2214" s="31" t="s">
        <v>273</v>
      </c>
      <c r="U2214" s="31">
        <f>IFERROR(VLOOKUP(CONCATENATE(Tabla1[[#This Row],[Severidad]]," ",Tabla1[[#This Row],[Complejidad]]),Catalogos!E$120:G$128,3,FALSE),"")</f>
        <v>64</v>
      </c>
      <c r="V2214" s="31" t="str">
        <f>IF(Tabla1[[#This Row],[Tiempo solución max (hrs)]]&lt;&gt;"",IF(Tabla1[[#This Row],[Tiempo solución max (hrs)]]&gt;=Tabla1[[#This Row],[Tiempo
(Hrs 00/100)]],"cumple","no cumple"),"")</f>
        <v>cumple</v>
      </c>
      <c r="W2214" s="629" t="s">
        <v>3327</v>
      </c>
      <c r="X2214" s="377" t="str">
        <f t="shared" si="198"/>
        <v>SSI</v>
      </c>
      <c r="Y2214" t="str">
        <f>SUBSTITUTE(Tabla1[[#This Row],[Descripción]],CHAR(10),"    I    ")</f>
        <v>Se recolectó 2do cambio para unificar las etiquetas de todos los querys a retornar en el cursor, por ID....NOMBRE....TOTAL</v>
      </c>
      <c r="Z2214" s="142">
        <f>VLOOKUP(Tabla1[[#This Row],[Perfil]],Catalogos!$B$75:$D$100,3,FALSE)*Tabla1[[#This Row],[Tiempo
(Hrs 00/100)]]*1.16</f>
        <v>348</v>
      </c>
    </row>
    <row r="2215" spans="1:26" ht="15" customHeight="1" x14ac:dyDescent="0.3">
      <c r="A2215" s="637" t="s">
        <v>22</v>
      </c>
      <c r="B2215" s="637" t="s">
        <v>305</v>
      </c>
      <c r="C2215" s="637" t="s">
        <v>257</v>
      </c>
      <c r="D2215" s="637"/>
      <c r="E2215" s="637" t="s">
        <v>408</v>
      </c>
      <c r="F2215" s="637" t="s">
        <v>72</v>
      </c>
      <c r="G2215" s="637" t="s">
        <v>4005</v>
      </c>
      <c r="H2215" s="638" t="s">
        <v>3690</v>
      </c>
      <c r="I2215" s="645" t="s">
        <v>3690</v>
      </c>
      <c r="J2215" s="731">
        <v>45230</v>
      </c>
      <c r="K2215" s="774">
        <v>0.54166666666666663</v>
      </c>
      <c r="L2215" s="731">
        <v>45230</v>
      </c>
      <c r="M2215" s="774">
        <v>0.5625</v>
      </c>
      <c r="N2215" s="637">
        <v>0.5</v>
      </c>
      <c r="O2215" s="641" t="s">
        <v>17</v>
      </c>
      <c r="P2215" s="375" t="s">
        <v>2909</v>
      </c>
      <c r="Q2215" s="642" t="s">
        <v>1441</v>
      </c>
      <c r="R2215" s="31" t="s">
        <v>95</v>
      </c>
      <c r="S2215" s="31" t="s">
        <v>273</v>
      </c>
      <c r="T2215" s="31" t="s">
        <v>273</v>
      </c>
      <c r="U2215" s="31">
        <f>IFERROR(VLOOKUP(CONCATENATE(Tabla1[[#This Row],[Severidad]]," ",Tabla1[[#This Row],[Complejidad]]),Catalogos!E$120:G$128,3,FALSE),"")</f>
        <v>64</v>
      </c>
      <c r="V2215" s="31" t="str">
        <f>IF(Tabla1[[#This Row],[Tiempo solución max (hrs)]]&lt;&gt;"",IF(Tabla1[[#This Row],[Tiempo solución max (hrs)]]&gt;=Tabla1[[#This Row],[Tiempo
(Hrs 00/100)]],"cumple","no cumple"),"")</f>
        <v>cumple</v>
      </c>
      <c r="W2215" s="629" t="s">
        <v>3327</v>
      </c>
      <c r="X2215" s="377" t="str">
        <f t="shared" si="198"/>
        <v>SSI</v>
      </c>
      <c r="Y2215" t="str">
        <f>SUBSTITUTE(Tabla1[[#This Row],[Descripción]],CHAR(10),"    I    ")</f>
        <v>Se recolectó 3er cambio para incluir el ID en los procedimientos de las Banderas</v>
      </c>
      <c r="Z2215" s="142">
        <f>VLOOKUP(Tabla1[[#This Row],[Perfil]],Catalogos!$B$75:$D$100,3,FALSE)*Tabla1[[#This Row],[Tiempo
(Hrs 00/100)]]*1.16</f>
        <v>348</v>
      </c>
    </row>
    <row r="2216" spans="1:26" ht="15" customHeight="1" x14ac:dyDescent="0.3">
      <c r="A2216" s="637" t="s">
        <v>22</v>
      </c>
      <c r="B2216" s="637" t="s">
        <v>23</v>
      </c>
      <c r="C2216" s="637" t="s">
        <v>257</v>
      </c>
      <c r="D2216" s="637"/>
      <c r="E2216" s="637" t="s">
        <v>408</v>
      </c>
      <c r="F2216" s="637" t="s">
        <v>23</v>
      </c>
      <c r="G2216" s="637" t="s">
        <v>4006</v>
      </c>
      <c r="H2216" s="638" t="s">
        <v>3691</v>
      </c>
      <c r="I2216" s="645" t="s">
        <v>3692</v>
      </c>
      <c r="J2216" s="731">
        <v>45230</v>
      </c>
      <c r="K2216" s="774">
        <v>0.5625</v>
      </c>
      <c r="L2216" s="731">
        <v>45230</v>
      </c>
      <c r="M2216" s="774">
        <v>0.60416666666666663</v>
      </c>
      <c r="N2216" s="637">
        <v>1</v>
      </c>
      <c r="O2216" s="641" t="s">
        <v>17</v>
      </c>
      <c r="P2216" s="375" t="s">
        <v>2909</v>
      </c>
      <c r="Q2216" s="642" t="s">
        <v>1441</v>
      </c>
      <c r="R2216" s="31" t="s">
        <v>95</v>
      </c>
      <c r="S2216" s="31" t="s">
        <v>273</v>
      </c>
      <c r="T2216" s="31" t="s">
        <v>273</v>
      </c>
      <c r="U2216" s="31">
        <f>IFERROR(VLOOKUP(CONCATENATE(Tabla1[[#This Row],[Severidad]]," ",Tabla1[[#This Row],[Complejidad]]),Catalogos!E$120:G$128,3,FALSE),"")</f>
        <v>64</v>
      </c>
      <c r="V2216" s="31" t="str">
        <f>IF(Tabla1[[#This Row],[Tiempo solución max (hrs)]]&lt;&gt;"",IF(Tabla1[[#This Row],[Tiempo solución max (hrs)]]&gt;=Tabla1[[#This Row],[Tiempo
(Hrs 00/100)]],"cumple","no cumple"),"")</f>
        <v>cumple</v>
      </c>
      <c r="W2216" s="629" t="s">
        <v>3327</v>
      </c>
      <c r="X2216" s="377" t="str">
        <f t="shared" si="198"/>
        <v>SSI</v>
      </c>
      <c r="Y2216" t="str">
        <f>SUBSTITUTE(Tabla1[[#This Row],[Descripción]],CHAR(10),"    I    ")</f>
        <v>Se trabajó agregando el 1er cambio a todos los procedimientos y se compiló paquete para comprobar que no hay errores</v>
      </c>
      <c r="Z2216" s="142">
        <f>VLOOKUP(Tabla1[[#This Row],[Perfil]],Catalogos!$B$75:$D$100,3,FALSE)*Tabla1[[#This Row],[Tiempo
(Hrs 00/100)]]*1.16</f>
        <v>696</v>
      </c>
    </row>
    <row r="2217" spans="1:26" ht="15" customHeight="1" x14ac:dyDescent="0.3">
      <c r="A2217" s="637" t="s">
        <v>22</v>
      </c>
      <c r="B2217" s="637" t="s">
        <v>23</v>
      </c>
      <c r="C2217" s="637" t="s">
        <v>257</v>
      </c>
      <c r="D2217" s="637"/>
      <c r="E2217" s="637" t="s">
        <v>408</v>
      </c>
      <c r="F2217" s="637" t="s">
        <v>23</v>
      </c>
      <c r="G2217" s="637" t="s">
        <v>4007</v>
      </c>
      <c r="H2217" s="638" t="s">
        <v>3693</v>
      </c>
      <c r="I2217" s="645" t="s">
        <v>3694</v>
      </c>
      <c r="J2217" s="731">
        <v>45230</v>
      </c>
      <c r="K2217" s="774">
        <v>0.64583333333333337</v>
      </c>
      <c r="L2217" s="731">
        <v>45230</v>
      </c>
      <c r="M2217" s="774">
        <v>0.6875</v>
      </c>
      <c r="N2217" s="637">
        <v>1</v>
      </c>
      <c r="O2217" s="641" t="s">
        <v>17</v>
      </c>
      <c r="P2217" s="375" t="s">
        <v>2909</v>
      </c>
      <c r="Q2217" s="642" t="s">
        <v>1441</v>
      </c>
      <c r="R2217" s="31" t="s">
        <v>95</v>
      </c>
      <c r="S2217" s="31" t="s">
        <v>273</v>
      </c>
      <c r="T2217" s="31" t="s">
        <v>273</v>
      </c>
      <c r="U2217" s="31">
        <f>IFERROR(VLOOKUP(CONCATENATE(Tabla1[[#This Row],[Severidad]]," ",Tabla1[[#This Row],[Complejidad]]),Catalogos!E$120:G$128,3,FALSE),"")</f>
        <v>64</v>
      </c>
      <c r="V2217" s="31" t="str">
        <f>IF(Tabla1[[#This Row],[Tiempo solución max (hrs)]]&lt;&gt;"",IF(Tabla1[[#This Row],[Tiempo solución max (hrs)]]&gt;=Tabla1[[#This Row],[Tiempo
(Hrs 00/100)]],"cumple","no cumple"),"")</f>
        <v>cumple</v>
      </c>
      <c r="W2217" s="629" t="s">
        <v>3327</v>
      </c>
      <c r="X2217" s="377" t="str">
        <f t="shared" si="198"/>
        <v>SSI</v>
      </c>
      <c r="Y2217" t="str">
        <f>SUBSTITUTE(Tabla1[[#This Row],[Descripción]],CHAR(10),"    I    ")</f>
        <v>Se trabajó agregando el 2do cambio a todos los procedimientos y se compiló paquete para comprobar que no hay errores</v>
      </c>
      <c r="Z2217" s="142">
        <f>VLOOKUP(Tabla1[[#This Row],[Perfil]],Catalogos!$B$75:$D$100,3,FALSE)*Tabla1[[#This Row],[Tiempo
(Hrs 00/100)]]*1.16</f>
        <v>696</v>
      </c>
    </row>
    <row r="2218" spans="1:26" ht="15" customHeight="1" x14ac:dyDescent="0.3">
      <c r="A2218" s="637" t="s">
        <v>22</v>
      </c>
      <c r="B2218" s="637" t="s">
        <v>23</v>
      </c>
      <c r="C2218" s="637" t="s">
        <v>257</v>
      </c>
      <c r="D2218" s="637"/>
      <c r="E2218" s="637" t="s">
        <v>408</v>
      </c>
      <c r="F2218" s="637" t="s">
        <v>23</v>
      </c>
      <c r="G2218" s="637" t="s">
        <v>4008</v>
      </c>
      <c r="H2218" s="638" t="s">
        <v>3695</v>
      </c>
      <c r="I2218" s="645" t="s">
        <v>3696</v>
      </c>
      <c r="J2218" s="731">
        <v>45230</v>
      </c>
      <c r="K2218" s="774">
        <v>0.6875</v>
      </c>
      <c r="L2218" s="731">
        <v>45230</v>
      </c>
      <c r="M2218" s="774">
        <v>0.72916666666666663</v>
      </c>
      <c r="N2218" s="637">
        <v>1</v>
      </c>
      <c r="O2218" s="641" t="s">
        <v>17</v>
      </c>
      <c r="P2218" s="375" t="s">
        <v>2909</v>
      </c>
      <c r="Q2218" s="642" t="s">
        <v>1441</v>
      </c>
      <c r="R2218" s="31" t="s">
        <v>95</v>
      </c>
      <c r="S2218" s="31" t="s">
        <v>273</v>
      </c>
      <c r="T2218" s="31" t="s">
        <v>273</v>
      </c>
      <c r="U2218" s="31">
        <f>IFERROR(VLOOKUP(CONCATENATE(Tabla1[[#This Row],[Severidad]]," ",Tabla1[[#This Row],[Complejidad]]),Catalogos!E$120:G$128,3,FALSE),"")</f>
        <v>64</v>
      </c>
      <c r="V2218" s="31" t="str">
        <f>IF(Tabla1[[#This Row],[Tiempo solución max (hrs)]]&lt;&gt;"",IF(Tabla1[[#This Row],[Tiempo solución max (hrs)]]&gt;=Tabla1[[#This Row],[Tiempo
(Hrs 00/100)]],"cumple","no cumple"),"")</f>
        <v>cumple</v>
      </c>
      <c r="W2218" s="629" t="s">
        <v>3327</v>
      </c>
      <c r="X2218" s="377" t="str">
        <f t="shared" si="198"/>
        <v>SSI</v>
      </c>
      <c r="Y2218" t="str">
        <f>SUBSTITUTE(Tabla1[[#This Row],[Descripción]],CHAR(10),"    I    ")</f>
        <v>Se trabajó agregando el 3er cambio a todos los procedimientos y se compiló paquete para comprobar que no hay errores</v>
      </c>
      <c r="Z2218" s="142">
        <f>VLOOKUP(Tabla1[[#This Row],[Perfil]],Catalogos!$B$75:$D$100,3,FALSE)*Tabla1[[#This Row],[Tiempo
(Hrs 00/100)]]*1.16</f>
        <v>696</v>
      </c>
    </row>
    <row r="2219" spans="1:26" ht="15" customHeight="1" x14ac:dyDescent="0.3">
      <c r="A2219" s="637" t="s">
        <v>22</v>
      </c>
      <c r="B2219" s="637" t="s">
        <v>23</v>
      </c>
      <c r="C2219" s="637" t="s">
        <v>257</v>
      </c>
      <c r="D2219" s="637"/>
      <c r="E2219" s="637" t="s">
        <v>408</v>
      </c>
      <c r="F2219" s="637" t="s">
        <v>75</v>
      </c>
      <c r="G2219" s="637" t="s">
        <v>4009</v>
      </c>
      <c r="H2219" s="638" t="s">
        <v>3697</v>
      </c>
      <c r="I2219" s="645" t="s">
        <v>3698</v>
      </c>
      <c r="J2219" s="731">
        <v>45230</v>
      </c>
      <c r="K2219" s="774">
        <v>0.72916666666666663</v>
      </c>
      <c r="L2219" s="731">
        <v>45230</v>
      </c>
      <c r="M2219" s="774">
        <v>0.79166666666666663</v>
      </c>
      <c r="N2219" s="637">
        <v>1.5</v>
      </c>
      <c r="O2219" s="641" t="s">
        <v>17</v>
      </c>
      <c r="P2219" s="375" t="s">
        <v>2909</v>
      </c>
      <c r="Q2219" s="642" t="s">
        <v>1441</v>
      </c>
      <c r="R2219" s="31" t="s">
        <v>95</v>
      </c>
      <c r="S2219" s="31" t="s">
        <v>273</v>
      </c>
      <c r="T2219" s="31" t="s">
        <v>273</v>
      </c>
      <c r="U2219" s="31">
        <f>IFERROR(VLOOKUP(CONCATENATE(Tabla1[[#This Row],[Severidad]]," ",Tabla1[[#This Row],[Complejidad]]),Catalogos!E$120:G$128,3,FALSE),"")</f>
        <v>64</v>
      </c>
      <c r="V2219" s="31" t="str">
        <f>IF(Tabla1[[#This Row],[Tiempo solución max (hrs)]]&lt;&gt;"",IF(Tabla1[[#This Row],[Tiempo solución max (hrs)]]&gt;=Tabla1[[#This Row],[Tiempo
(Hrs 00/100)]],"cumple","no cumple"),"")</f>
        <v>cumple</v>
      </c>
      <c r="W2219" s="629" t="s">
        <v>3327</v>
      </c>
      <c r="X2219" s="377" t="str">
        <f t="shared" si="198"/>
        <v>SSI</v>
      </c>
      <c r="Y2219" t="str">
        <f>SUBSTITUTE(Tabla1[[#This Row],[Descripción]],CHAR(10),"    I    ")</f>
        <v>Se validó nuevamente que todos los procedimientos se puedan invocar a través del bloque anónimo correcto y se tenga resultado exitoso con la salida del cursor completo</v>
      </c>
      <c r="Z2219" s="142">
        <f>VLOOKUP(Tabla1[[#This Row],[Perfil]],Catalogos!$B$75:$D$100,3,FALSE)*Tabla1[[#This Row],[Tiempo
(Hrs 00/100)]]*1.16</f>
        <v>1044</v>
      </c>
    </row>
    <row r="2220" spans="1:26" ht="15" customHeight="1" x14ac:dyDescent="0.3">
      <c r="A2220" s="370" t="s">
        <v>22</v>
      </c>
      <c r="B2220" s="370" t="s">
        <v>68</v>
      </c>
      <c r="C2220" s="418" t="s">
        <v>16</v>
      </c>
      <c r="D2220" s="370"/>
      <c r="E2220" s="370" t="s">
        <v>503</v>
      </c>
      <c r="F2220" s="370" t="s">
        <v>75</v>
      </c>
      <c r="G2220" s="370" t="s">
        <v>3770</v>
      </c>
      <c r="H2220" s="419" t="s">
        <v>436</v>
      </c>
      <c r="I2220" s="420" t="s">
        <v>2561</v>
      </c>
      <c r="J2220" s="369">
        <v>45201</v>
      </c>
      <c r="K2220" s="747">
        <v>0.375</v>
      </c>
      <c r="L2220" s="369">
        <v>45201</v>
      </c>
      <c r="M2220" s="753">
        <v>0.45833333333333331</v>
      </c>
      <c r="N2220" s="210">
        <v>2</v>
      </c>
      <c r="O2220" s="537" t="s">
        <v>17</v>
      </c>
      <c r="P2220" s="375" t="s">
        <v>3711</v>
      </c>
      <c r="Q2220" s="458" t="s">
        <v>258</v>
      </c>
      <c r="R2220" s="202" t="s">
        <v>81</v>
      </c>
      <c r="S2220" s="31" t="s">
        <v>273</v>
      </c>
      <c r="T2220" s="31" t="s">
        <v>273</v>
      </c>
      <c r="U2220" s="31">
        <f>IFERROR(VLOOKUP(CONCATENATE(Tabla1[[#This Row],[Severidad]]," ",Tabla1[[#This Row],[Complejidad]]),Catalogos!E$120:G$128,3,FALSE),"")</f>
        <v>64</v>
      </c>
      <c r="V2220" s="31" t="str">
        <f>IF(Tabla1[[#This Row],[Tiempo solución max (hrs)]]&lt;&gt;"",IF(Tabla1[[#This Row],[Tiempo solución max (hrs)]]&gt;=Tabla1[[#This Row],[Tiempo
(Hrs 00/100)]],"cumple","no cumple"),"")</f>
        <v>cumple</v>
      </c>
      <c r="W2220" s="629" t="s">
        <v>3327</v>
      </c>
      <c r="X2220" s="377" t="str">
        <f t="shared" ref="X2220:X2248" si="199">IF(C2220&lt;&gt;"",C2220,D2220)</f>
        <v>SAW</v>
      </c>
      <c r="Y2220" t="str">
        <f>SUBSTITUTE(Tabla1[[#This Row],[Descripción]],CHAR(10),"    I    ")</f>
        <v xml:space="preserve">actualizacion SACP </v>
      </c>
      <c r="Z2220" s="142">
        <f>VLOOKUP(Tabla1[[#This Row],[Perfil]],Catalogos!$B$75:$D$100,3,FALSE)*Tabla1[[#This Row],[Tiempo
(Hrs 00/100)]]*1.16</f>
        <v>1160</v>
      </c>
    </row>
    <row r="2221" spans="1:26" ht="15" customHeight="1" x14ac:dyDescent="0.3">
      <c r="A2221" s="370" t="s">
        <v>22</v>
      </c>
      <c r="B2221" s="370" t="s">
        <v>68</v>
      </c>
      <c r="C2221" s="418" t="s">
        <v>16</v>
      </c>
      <c r="D2221" s="370"/>
      <c r="E2221" s="370" t="s">
        <v>503</v>
      </c>
      <c r="F2221" s="370" t="s">
        <v>75</v>
      </c>
      <c r="G2221" s="370" t="s">
        <v>3772</v>
      </c>
      <c r="H2221" s="419" t="s">
        <v>436</v>
      </c>
      <c r="I2221" s="420" t="s">
        <v>2544</v>
      </c>
      <c r="J2221" s="369">
        <v>45201</v>
      </c>
      <c r="K2221" s="747">
        <v>0.45833333333333331</v>
      </c>
      <c r="L2221" s="369">
        <v>45201</v>
      </c>
      <c r="M2221" s="753">
        <v>0.60416666666666663</v>
      </c>
      <c r="N2221" s="210">
        <v>3.5</v>
      </c>
      <c r="O2221" s="537" t="s">
        <v>17</v>
      </c>
      <c r="P2221" s="375" t="s">
        <v>3712</v>
      </c>
      <c r="Q2221" s="458" t="s">
        <v>258</v>
      </c>
      <c r="R2221" s="202" t="s">
        <v>81</v>
      </c>
      <c r="S2221" s="31" t="s">
        <v>273</v>
      </c>
      <c r="T2221" s="31" t="s">
        <v>273</v>
      </c>
      <c r="U2221" s="31">
        <f>IFERROR(VLOOKUP(CONCATENATE(Tabla1[[#This Row],[Severidad]]," ",Tabla1[[#This Row],[Complejidad]]),Catalogos!E$120:G$128,3,FALSE),"")</f>
        <v>64</v>
      </c>
      <c r="V2221" s="31" t="str">
        <f>IF(Tabla1[[#This Row],[Tiempo solución max (hrs)]]&lt;&gt;"",IF(Tabla1[[#This Row],[Tiempo solución max (hrs)]]&gt;=Tabla1[[#This Row],[Tiempo
(Hrs 00/100)]],"cumple","no cumple"),"")</f>
        <v>cumple</v>
      </c>
      <c r="W2221" s="629" t="s">
        <v>3327</v>
      </c>
      <c r="X2221" s="377" t="str">
        <f t="shared" si="199"/>
        <v>SAW</v>
      </c>
      <c r="Y2221" t="str">
        <f>SUBSTITUTE(Tabla1[[#This Row],[Descripción]],CHAR(10),"    I    ")</f>
        <v xml:space="preserve">actualizacion pagina consejo consultivo </v>
      </c>
      <c r="Z2221" s="142">
        <f>VLOOKUP(Tabla1[[#This Row],[Perfil]],Catalogos!$B$75:$D$100,3,FALSE)*Tabla1[[#This Row],[Tiempo
(Hrs 00/100)]]*1.16</f>
        <v>2029.9999999999998</v>
      </c>
    </row>
    <row r="2222" spans="1:26" ht="15" customHeight="1" x14ac:dyDescent="0.3">
      <c r="A2222" s="370" t="s">
        <v>22</v>
      </c>
      <c r="B2222" s="370" t="s">
        <v>68</v>
      </c>
      <c r="C2222" s="418" t="s">
        <v>16</v>
      </c>
      <c r="D2222" s="370"/>
      <c r="E2222" s="370" t="s">
        <v>503</v>
      </c>
      <c r="F2222" s="370" t="s">
        <v>75</v>
      </c>
      <c r="G2222" s="370" t="s">
        <v>3773</v>
      </c>
      <c r="H2222" s="419" t="s">
        <v>436</v>
      </c>
      <c r="I2222" s="420" t="s">
        <v>3713</v>
      </c>
      <c r="J2222" s="369">
        <v>45201</v>
      </c>
      <c r="K2222" s="747">
        <v>0.66666666666666663</v>
      </c>
      <c r="L2222" s="369">
        <v>45201</v>
      </c>
      <c r="M2222" s="753">
        <v>0.79166666666666663</v>
      </c>
      <c r="N2222" s="210">
        <v>3</v>
      </c>
      <c r="O2222" s="537" t="s">
        <v>17</v>
      </c>
      <c r="P2222" s="375" t="s">
        <v>3711</v>
      </c>
      <c r="Q2222" s="458" t="s">
        <v>258</v>
      </c>
      <c r="R2222" s="202" t="s">
        <v>81</v>
      </c>
      <c r="S2222" s="31" t="s">
        <v>273</v>
      </c>
      <c r="T2222" s="31" t="s">
        <v>273</v>
      </c>
      <c r="U2222" s="31">
        <f>IFERROR(VLOOKUP(CONCATENATE(Tabla1[[#This Row],[Severidad]]," ",Tabla1[[#This Row],[Complejidad]]),Catalogos!E$120:G$128,3,FALSE),"")</f>
        <v>64</v>
      </c>
      <c r="V2222" s="31" t="str">
        <f>IF(Tabla1[[#This Row],[Tiempo solución max (hrs)]]&lt;&gt;"",IF(Tabla1[[#This Row],[Tiempo solución max (hrs)]]&gt;=Tabla1[[#This Row],[Tiempo
(Hrs 00/100)]],"cumple","no cumple"),"")</f>
        <v>cumple</v>
      </c>
      <c r="W2222" s="629" t="s">
        <v>3327</v>
      </c>
      <c r="X2222" s="377" t="str">
        <f t="shared" si="199"/>
        <v>SAW</v>
      </c>
      <c r="Y2222" t="str">
        <f>SUBSTITUTE(Tabla1[[#This Row],[Descripción]],CHAR(10),"    I    ")</f>
        <v xml:space="preserve">Actualizacion seccion ponente  </v>
      </c>
      <c r="Z2222" s="142">
        <f>VLOOKUP(Tabla1[[#This Row],[Perfil]],Catalogos!$B$75:$D$100,3,FALSE)*Tabla1[[#This Row],[Tiempo
(Hrs 00/100)]]*1.16</f>
        <v>1739.9999999999998</v>
      </c>
    </row>
    <row r="2223" spans="1:26" ht="15" customHeight="1" x14ac:dyDescent="0.3">
      <c r="A2223" s="370" t="s">
        <v>22</v>
      </c>
      <c r="B2223" s="370" t="s">
        <v>68</v>
      </c>
      <c r="C2223" s="418" t="s">
        <v>16</v>
      </c>
      <c r="D2223" s="370"/>
      <c r="E2223" s="370" t="s">
        <v>503</v>
      </c>
      <c r="F2223" s="370" t="s">
        <v>75</v>
      </c>
      <c r="G2223" s="370" t="s">
        <v>3774</v>
      </c>
      <c r="H2223" s="419" t="s">
        <v>436</v>
      </c>
      <c r="I2223" s="420" t="s">
        <v>3714</v>
      </c>
      <c r="J2223" s="369">
        <v>45202</v>
      </c>
      <c r="K2223" s="747">
        <v>0.375</v>
      </c>
      <c r="L2223" s="369">
        <v>45202</v>
      </c>
      <c r="M2223" s="753">
        <v>0.52083333333333337</v>
      </c>
      <c r="N2223" s="210">
        <v>3.5</v>
      </c>
      <c r="O2223" s="537" t="s">
        <v>17</v>
      </c>
      <c r="P2223" s="375" t="s">
        <v>3715</v>
      </c>
      <c r="Q2223" s="458" t="s">
        <v>258</v>
      </c>
      <c r="R2223" s="202" t="s">
        <v>81</v>
      </c>
      <c r="S2223" s="31" t="s">
        <v>273</v>
      </c>
      <c r="T2223" s="31" t="s">
        <v>273</v>
      </c>
      <c r="U2223" s="31">
        <f>IFERROR(VLOOKUP(CONCATENATE(Tabla1[[#This Row],[Severidad]]," ",Tabla1[[#This Row],[Complejidad]]),Catalogos!E$120:G$128,3,FALSE),"")</f>
        <v>64</v>
      </c>
      <c r="V2223" s="31" t="str">
        <f>IF(Tabla1[[#This Row],[Tiempo solución max (hrs)]]&lt;&gt;"",IF(Tabla1[[#This Row],[Tiempo solución max (hrs)]]&gt;=Tabla1[[#This Row],[Tiempo
(Hrs 00/100)]],"cumple","no cumple"),"")</f>
        <v>cumple</v>
      </c>
      <c r="W2223" s="629" t="s">
        <v>3327</v>
      </c>
      <c r="X2223" s="377" t="str">
        <f t="shared" si="199"/>
        <v>SAW</v>
      </c>
      <c r="Y2223" t="str">
        <f>SUBSTITUTE(Tabla1[[#This Row],[Descripción]],CHAR(10),"    I    ")</f>
        <v xml:space="preserve">actualizacion RTA cooperacion </v>
      </c>
      <c r="Z2223" s="142">
        <f>VLOOKUP(Tabla1[[#This Row],[Perfil]],Catalogos!$B$75:$D$100,3,FALSE)*Tabla1[[#This Row],[Tiempo
(Hrs 00/100)]]*1.16</f>
        <v>2029.9999999999998</v>
      </c>
    </row>
    <row r="2224" spans="1:26" ht="15" customHeight="1" x14ac:dyDescent="0.3">
      <c r="A2224" s="370" t="s">
        <v>22</v>
      </c>
      <c r="B2224" s="370" t="s">
        <v>68</v>
      </c>
      <c r="C2224" s="418" t="s">
        <v>16</v>
      </c>
      <c r="D2224" s="370"/>
      <c r="E2224" s="370" t="s">
        <v>503</v>
      </c>
      <c r="F2224" s="370" t="s">
        <v>75</v>
      </c>
      <c r="G2224" s="370" t="s">
        <v>3775</v>
      </c>
      <c r="H2224" s="419" t="s">
        <v>436</v>
      </c>
      <c r="I2224" s="420" t="s">
        <v>3716</v>
      </c>
      <c r="J2224" s="369">
        <v>45202</v>
      </c>
      <c r="K2224" s="747">
        <v>0.52083333333333337</v>
      </c>
      <c r="L2224" s="369">
        <v>45202</v>
      </c>
      <c r="M2224" s="753">
        <v>0.60416666666666663</v>
      </c>
      <c r="N2224" s="210">
        <v>2</v>
      </c>
      <c r="O2224" s="537" t="s">
        <v>17</v>
      </c>
      <c r="P2224" s="375" t="s">
        <v>3717</v>
      </c>
      <c r="Q2224" s="458" t="s">
        <v>258</v>
      </c>
      <c r="R2224" s="202" t="s">
        <v>81</v>
      </c>
      <c r="S2224" s="31" t="s">
        <v>273</v>
      </c>
      <c r="T2224" s="31" t="s">
        <v>273</v>
      </c>
      <c r="U2224" s="31">
        <f>IFERROR(VLOOKUP(CONCATENATE(Tabla1[[#This Row],[Severidad]]," ",Tabla1[[#This Row],[Complejidad]]),Catalogos!E$120:G$128,3,FALSE),"")</f>
        <v>64</v>
      </c>
      <c r="V2224" s="31" t="str">
        <f>IF(Tabla1[[#This Row],[Tiempo solución max (hrs)]]&lt;&gt;"",IF(Tabla1[[#This Row],[Tiempo solución max (hrs)]]&gt;=Tabla1[[#This Row],[Tiempo
(Hrs 00/100)]],"cumple","no cumple"),"")</f>
        <v>cumple</v>
      </c>
      <c r="W2224" s="629" t="s">
        <v>3327</v>
      </c>
      <c r="X2224" s="377" t="str">
        <f t="shared" si="199"/>
        <v>SAW</v>
      </c>
      <c r="Y2224" t="str">
        <f>SUBSTITUTE(Tabla1[[#This Row],[Descripción]],CHAR(10),"    I    ")</f>
        <v xml:space="preserve">actualizacion micrositio RTA observador </v>
      </c>
      <c r="Z2224" s="142">
        <f>VLOOKUP(Tabla1[[#This Row],[Perfil]],Catalogos!$B$75:$D$100,3,FALSE)*Tabla1[[#This Row],[Tiempo
(Hrs 00/100)]]*1.16</f>
        <v>1160</v>
      </c>
    </row>
    <row r="2225" spans="1:26" ht="15" customHeight="1" x14ac:dyDescent="0.3">
      <c r="A2225" s="370" t="s">
        <v>22</v>
      </c>
      <c r="B2225" s="370" t="s">
        <v>68</v>
      </c>
      <c r="C2225" s="418" t="s">
        <v>16</v>
      </c>
      <c r="D2225" s="370"/>
      <c r="E2225" s="370" t="s">
        <v>503</v>
      </c>
      <c r="F2225" s="370" t="s">
        <v>75</v>
      </c>
      <c r="G2225" s="370" t="s">
        <v>3777</v>
      </c>
      <c r="H2225" s="419" t="s">
        <v>436</v>
      </c>
      <c r="I2225" s="420" t="s">
        <v>3718</v>
      </c>
      <c r="J2225" s="369">
        <v>45202</v>
      </c>
      <c r="K2225" s="747">
        <v>0.66666666666666663</v>
      </c>
      <c r="L2225" s="369">
        <v>45202</v>
      </c>
      <c r="M2225" s="753">
        <v>0.79166666666666663</v>
      </c>
      <c r="N2225" s="210">
        <v>3</v>
      </c>
      <c r="O2225" s="537" t="s">
        <v>17</v>
      </c>
      <c r="P2225" s="375" t="s">
        <v>3719</v>
      </c>
      <c r="Q2225" s="458" t="s">
        <v>258</v>
      </c>
      <c r="R2225" s="202" t="s">
        <v>81</v>
      </c>
      <c r="S2225" s="31" t="s">
        <v>273</v>
      </c>
      <c r="T2225" s="31" t="s">
        <v>273</v>
      </c>
      <c r="U2225" s="31">
        <f>IFERROR(VLOOKUP(CONCATENATE(Tabla1[[#This Row],[Severidad]]," ",Tabla1[[#This Row],[Complejidad]]),Catalogos!E$120:G$128,3,FALSE),"")</f>
        <v>64</v>
      </c>
      <c r="V2225" s="31" t="str">
        <f>IF(Tabla1[[#This Row],[Tiempo solución max (hrs)]]&lt;&gt;"",IF(Tabla1[[#This Row],[Tiempo solución max (hrs)]]&gt;=Tabla1[[#This Row],[Tiempo
(Hrs 00/100)]],"cumple","no cumple"),"")</f>
        <v>cumple</v>
      </c>
      <c r="W2225" s="629" t="s">
        <v>3327</v>
      </c>
      <c r="X2225" s="377" t="str">
        <f t="shared" si="199"/>
        <v>SAW</v>
      </c>
      <c r="Y2225" t="str">
        <f>SUBSTITUTE(Tabla1[[#This Row],[Descripción]],CHAR(10),"    I    ")</f>
        <v>actualizacion RTA consejo directivo</v>
      </c>
      <c r="Z2225" s="142">
        <f>VLOOKUP(Tabla1[[#This Row],[Perfil]],Catalogos!$B$75:$D$100,3,FALSE)*Tabla1[[#This Row],[Tiempo
(Hrs 00/100)]]*1.16</f>
        <v>1739.9999999999998</v>
      </c>
    </row>
    <row r="2226" spans="1:26" ht="15" customHeight="1" x14ac:dyDescent="0.3">
      <c r="A2226" s="370" t="s">
        <v>22</v>
      </c>
      <c r="B2226" s="370" t="s">
        <v>68</v>
      </c>
      <c r="C2226" s="418" t="s">
        <v>16</v>
      </c>
      <c r="D2226" s="370"/>
      <c r="E2226" s="370" t="s">
        <v>503</v>
      </c>
      <c r="F2226" s="370" t="s">
        <v>75</v>
      </c>
      <c r="G2226" s="370" t="s">
        <v>3778</v>
      </c>
      <c r="H2226" s="419" t="s">
        <v>436</v>
      </c>
      <c r="I2226" s="420" t="s">
        <v>1470</v>
      </c>
      <c r="J2226" s="369">
        <v>45203</v>
      </c>
      <c r="K2226" s="747">
        <v>0.375</v>
      </c>
      <c r="L2226" s="369">
        <v>45203</v>
      </c>
      <c r="M2226" s="753">
        <v>0.47916666666666669</v>
      </c>
      <c r="N2226" s="210">
        <v>2.5</v>
      </c>
      <c r="O2226" s="537" t="s">
        <v>17</v>
      </c>
      <c r="P2226" s="375" t="s">
        <v>3711</v>
      </c>
      <c r="Q2226" s="458" t="s">
        <v>258</v>
      </c>
      <c r="R2226" s="202" t="s">
        <v>81</v>
      </c>
      <c r="S2226" s="31" t="s">
        <v>273</v>
      </c>
      <c r="T2226" s="31" t="s">
        <v>273</v>
      </c>
      <c r="U2226" s="31">
        <f>IFERROR(VLOOKUP(CONCATENATE(Tabla1[[#This Row],[Severidad]]," ",Tabla1[[#This Row],[Complejidad]]),Catalogos!E$120:G$128,3,FALSE),"")</f>
        <v>64</v>
      </c>
      <c r="V2226" s="31" t="str">
        <f>IF(Tabla1[[#This Row],[Tiempo solución max (hrs)]]&lt;&gt;"",IF(Tabla1[[#This Row],[Tiempo solución max (hrs)]]&gt;=Tabla1[[#This Row],[Tiempo
(Hrs 00/100)]],"cumple","no cumple"),"")</f>
        <v>cumple</v>
      </c>
      <c r="W2226" s="629" t="s">
        <v>3327</v>
      </c>
      <c r="X2226" s="377" t="str">
        <f t="shared" si="199"/>
        <v>SAW</v>
      </c>
      <c r="Y2226" t="str">
        <f>SUBSTITUTE(Tabla1[[#This Row],[Descripción]],CHAR(10),"    I    ")</f>
        <v xml:space="preserve">Actualizacion Requerimiento de aplicaciones web </v>
      </c>
      <c r="Z2226" s="142">
        <f>VLOOKUP(Tabla1[[#This Row],[Perfil]],Catalogos!$B$75:$D$100,3,FALSE)*Tabla1[[#This Row],[Tiempo
(Hrs 00/100)]]*1.16</f>
        <v>1450</v>
      </c>
    </row>
    <row r="2227" spans="1:26" ht="15" customHeight="1" x14ac:dyDescent="0.3">
      <c r="A2227" s="370" t="s">
        <v>22</v>
      </c>
      <c r="B2227" s="370" t="s">
        <v>68</v>
      </c>
      <c r="C2227" s="418" t="s">
        <v>16</v>
      </c>
      <c r="D2227" s="370"/>
      <c r="E2227" s="370" t="s">
        <v>503</v>
      </c>
      <c r="F2227" s="370" t="s">
        <v>75</v>
      </c>
      <c r="G2227" s="370" t="s">
        <v>3780</v>
      </c>
      <c r="H2227" s="419" t="s">
        <v>436</v>
      </c>
      <c r="I2227" s="420" t="s">
        <v>3720</v>
      </c>
      <c r="J2227" s="369">
        <v>45203</v>
      </c>
      <c r="K2227" s="747">
        <v>0.47916666666666669</v>
      </c>
      <c r="L2227" s="369">
        <v>45203</v>
      </c>
      <c r="M2227" s="753">
        <v>0.60416666666666663</v>
      </c>
      <c r="N2227" s="210">
        <v>3</v>
      </c>
      <c r="O2227" s="537" t="s">
        <v>17</v>
      </c>
      <c r="P2227" s="375" t="s">
        <v>3721</v>
      </c>
      <c r="Q2227" s="458" t="s">
        <v>258</v>
      </c>
      <c r="R2227" s="202" t="s">
        <v>81</v>
      </c>
      <c r="S2227" s="31" t="s">
        <v>273</v>
      </c>
      <c r="T2227" s="31" t="s">
        <v>273</v>
      </c>
      <c r="U2227" s="31">
        <f>IFERROR(VLOOKUP(CONCATENATE(Tabla1[[#This Row],[Severidad]]," ",Tabla1[[#This Row],[Complejidad]]),Catalogos!E$120:G$128,3,FALSE),"")</f>
        <v>64</v>
      </c>
      <c r="V2227" s="31" t="str">
        <f>IF(Tabla1[[#This Row],[Tiempo solución max (hrs)]]&lt;&gt;"",IF(Tabla1[[#This Row],[Tiempo solución max (hrs)]]&gt;=Tabla1[[#This Row],[Tiempo
(Hrs 00/100)]],"cumple","no cumple"),"")</f>
        <v>cumple</v>
      </c>
      <c r="W2227" s="629" t="s">
        <v>3327</v>
      </c>
      <c r="X2227" s="377" t="str">
        <f t="shared" si="199"/>
        <v>SAW</v>
      </c>
      <c r="Y2227" t="str">
        <f>SUBSTITUTE(Tabla1[[#This Row],[Descripción]],CHAR(10),"    I    ")</f>
        <v xml:space="preserve">Actualizacion micrositio SNT </v>
      </c>
      <c r="Z2227" s="142">
        <f>VLOOKUP(Tabla1[[#This Row],[Perfil]],Catalogos!$B$75:$D$100,3,FALSE)*Tabla1[[#This Row],[Tiempo
(Hrs 00/100)]]*1.16</f>
        <v>1739.9999999999998</v>
      </c>
    </row>
    <row r="2228" spans="1:26" ht="15" customHeight="1" x14ac:dyDescent="0.3">
      <c r="A2228" s="370" t="s">
        <v>22</v>
      </c>
      <c r="B2228" s="370" t="s">
        <v>68</v>
      </c>
      <c r="C2228" s="418" t="s">
        <v>16</v>
      </c>
      <c r="D2228" s="370"/>
      <c r="E2228" s="370" t="s">
        <v>503</v>
      </c>
      <c r="F2228" s="370" t="s">
        <v>75</v>
      </c>
      <c r="G2228" s="370" t="s">
        <v>3782</v>
      </c>
      <c r="H2228" s="419" t="s">
        <v>436</v>
      </c>
      <c r="I2228" s="420" t="s">
        <v>3722</v>
      </c>
      <c r="J2228" s="369">
        <v>45203</v>
      </c>
      <c r="K2228" s="747">
        <v>0.66666666666666663</v>
      </c>
      <c r="L2228" s="369">
        <v>45203</v>
      </c>
      <c r="M2228" s="753">
        <v>0.79166666666666663</v>
      </c>
      <c r="N2228" s="210">
        <v>3</v>
      </c>
      <c r="O2228" s="537" t="s">
        <v>17</v>
      </c>
      <c r="P2228" s="375" t="s">
        <v>3721</v>
      </c>
      <c r="Q2228" s="458" t="s">
        <v>258</v>
      </c>
      <c r="R2228" s="202" t="s">
        <v>81</v>
      </c>
      <c r="S2228" s="31" t="s">
        <v>273</v>
      </c>
      <c r="T2228" s="31" t="s">
        <v>273</v>
      </c>
      <c r="U2228" s="31">
        <f>IFERROR(VLOOKUP(CONCATENATE(Tabla1[[#This Row],[Severidad]]," ",Tabla1[[#This Row],[Complejidad]]),Catalogos!E$120:G$128,3,FALSE),"")</f>
        <v>64</v>
      </c>
      <c r="V2228" s="31" t="str">
        <f>IF(Tabla1[[#This Row],[Tiempo solución max (hrs)]]&lt;&gt;"",IF(Tabla1[[#This Row],[Tiempo solución max (hrs)]]&gt;=Tabla1[[#This Row],[Tiempo
(Hrs 00/100)]],"cumple","no cumple"),"")</f>
        <v>cumple</v>
      </c>
      <c r="W2228" s="629" t="s">
        <v>3327</v>
      </c>
      <c r="X2228" s="377" t="str">
        <f t="shared" si="199"/>
        <v>SAW</v>
      </c>
      <c r="Y2228" t="str">
        <f>SUBSTITUTE(Tabla1[[#This Row],[Descripción]],CHAR(10),"    I    ")</f>
        <v xml:space="preserve">actualizacion pagina web </v>
      </c>
      <c r="Z2228" s="142">
        <f>VLOOKUP(Tabla1[[#This Row],[Perfil]],Catalogos!$B$75:$D$100,3,FALSE)*Tabla1[[#This Row],[Tiempo
(Hrs 00/100)]]*1.16</f>
        <v>1739.9999999999998</v>
      </c>
    </row>
    <row r="2229" spans="1:26" ht="15" customHeight="1" x14ac:dyDescent="0.3">
      <c r="A2229" s="370" t="s">
        <v>22</v>
      </c>
      <c r="B2229" s="370" t="s">
        <v>68</v>
      </c>
      <c r="C2229" s="418" t="s">
        <v>16</v>
      </c>
      <c r="D2229" s="370"/>
      <c r="E2229" s="370" t="s">
        <v>503</v>
      </c>
      <c r="F2229" s="370" t="s">
        <v>75</v>
      </c>
      <c r="G2229" s="370" t="s">
        <v>3784</v>
      </c>
      <c r="H2229" s="419" t="s">
        <v>436</v>
      </c>
      <c r="I2229" s="420" t="s">
        <v>3723</v>
      </c>
      <c r="J2229" s="369">
        <v>45204</v>
      </c>
      <c r="K2229" s="747">
        <v>0.375</v>
      </c>
      <c r="L2229" s="369">
        <v>45204</v>
      </c>
      <c r="M2229" s="753">
        <v>0.47916666666666669</v>
      </c>
      <c r="N2229" s="210">
        <v>2.5</v>
      </c>
      <c r="O2229" s="537" t="s">
        <v>17</v>
      </c>
      <c r="P2229" s="375" t="s">
        <v>3724</v>
      </c>
      <c r="Q2229" s="458" t="s">
        <v>258</v>
      </c>
      <c r="R2229" s="202" t="s">
        <v>81</v>
      </c>
      <c r="S2229" s="31" t="s">
        <v>273</v>
      </c>
      <c r="T2229" s="31" t="s">
        <v>273</v>
      </c>
      <c r="U2229" s="31">
        <f>IFERROR(VLOOKUP(CONCATENATE(Tabla1[[#This Row],[Severidad]]," ",Tabla1[[#This Row],[Complejidad]]),Catalogos!E$120:G$128,3,FALSE),"")</f>
        <v>64</v>
      </c>
      <c r="V2229" s="31" t="str">
        <f>IF(Tabla1[[#This Row],[Tiempo solución max (hrs)]]&lt;&gt;"",IF(Tabla1[[#This Row],[Tiempo solución max (hrs)]]&gt;=Tabla1[[#This Row],[Tiempo
(Hrs 00/100)]],"cumple","no cumple"),"")</f>
        <v>cumple</v>
      </c>
      <c r="W2229" s="629" t="s">
        <v>3327</v>
      </c>
      <c r="X2229" s="377" t="str">
        <f t="shared" si="199"/>
        <v>SAW</v>
      </c>
      <c r="Y2229" t="str">
        <f>SUBSTITUTE(Tabla1[[#This Row],[Descripción]],CHAR(10),"    I    ")</f>
        <v xml:space="preserve">actualizacion de avance de proyecto </v>
      </c>
      <c r="Z2229" s="142">
        <f>VLOOKUP(Tabla1[[#This Row],[Perfil]],Catalogos!$B$75:$D$100,3,FALSE)*Tabla1[[#This Row],[Tiempo
(Hrs 00/100)]]*1.16</f>
        <v>1450</v>
      </c>
    </row>
    <row r="2230" spans="1:26" ht="15" customHeight="1" x14ac:dyDescent="0.3">
      <c r="A2230" s="370" t="s">
        <v>22</v>
      </c>
      <c r="B2230" s="370" t="s">
        <v>68</v>
      </c>
      <c r="C2230" s="418" t="s">
        <v>16</v>
      </c>
      <c r="D2230" s="370"/>
      <c r="E2230" s="370" t="s">
        <v>503</v>
      </c>
      <c r="F2230" s="370" t="s">
        <v>75</v>
      </c>
      <c r="G2230" s="370" t="s">
        <v>3786</v>
      </c>
      <c r="H2230" s="419" t="s">
        <v>436</v>
      </c>
      <c r="I2230" s="420" t="s">
        <v>3725</v>
      </c>
      <c r="J2230" s="369">
        <v>45204</v>
      </c>
      <c r="K2230" s="747">
        <v>0.47916666666666669</v>
      </c>
      <c r="L2230" s="369">
        <v>45204</v>
      </c>
      <c r="M2230" s="753">
        <v>0.60416666666666663</v>
      </c>
      <c r="N2230" s="210">
        <v>3</v>
      </c>
      <c r="O2230" s="537" t="s">
        <v>17</v>
      </c>
      <c r="P2230" s="375" t="s">
        <v>3726</v>
      </c>
      <c r="Q2230" s="458" t="s">
        <v>258</v>
      </c>
      <c r="R2230" s="202" t="s">
        <v>81</v>
      </c>
      <c r="S2230" s="31" t="s">
        <v>273</v>
      </c>
      <c r="T2230" s="31" t="s">
        <v>273</v>
      </c>
      <c r="U2230" s="31">
        <f>IFERROR(VLOOKUP(CONCATENATE(Tabla1[[#This Row],[Severidad]]," ",Tabla1[[#This Row],[Complejidad]]),Catalogos!E$120:G$128,3,FALSE),"")</f>
        <v>64</v>
      </c>
      <c r="V2230" s="31" t="str">
        <f>IF(Tabla1[[#This Row],[Tiempo solución max (hrs)]]&lt;&gt;"",IF(Tabla1[[#This Row],[Tiempo solución max (hrs)]]&gt;=Tabla1[[#This Row],[Tiempo
(Hrs 00/100)]],"cumple","no cumple"),"")</f>
        <v>cumple</v>
      </c>
      <c r="W2230" s="629" t="s">
        <v>3327</v>
      </c>
      <c r="X2230" s="377" t="str">
        <f t="shared" si="199"/>
        <v>SAW</v>
      </c>
      <c r="Y2230" t="str">
        <f>SUBSTITUTE(Tabla1[[#This Row],[Descripción]],CHAR(10),"    I    ")</f>
        <v xml:space="preserve">actualizacion repositorio </v>
      </c>
      <c r="Z2230" s="142">
        <f>VLOOKUP(Tabla1[[#This Row],[Perfil]],Catalogos!$B$75:$D$100,3,FALSE)*Tabla1[[#This Row],[Tiempo
(Hrs 00/100)]]*1.16</f>
        <v>1739.9999999999998</v>
      </c>
    </row>
    <row r="2231" spans="1:26" ht="15" customHeight="1" x14ac:dyDescent="0.3">
      <c r="A2231" s="370" t="s">
        <v>22</v>
      </c>
      <c r="B2231" s="370" t="s">
        <v>68</v>
      </c>
      <c r="C2231" s="418" t="s">
        <v>16</v>
      </c>
      <c r="D2231" s="370"/>
      <c r="E2231" s="370" t="s">
        <v>503</v>
      </c>
      <c r="F2231" s="370" t="s">
        <v>75</v>
      </c>
      <c r="G2231" s="370" t="s">
        <v>3787</v>
      </c>
      <c r="H2231" s="419" t="s">
        <v>436</v>
      </c>
      <c r="I2231" s="420" t="s">
        <v>2549</v>
      </c>
      <c r="J2231" s="369">
        <v>45204</v>
      </c>
      <c r="K2231" s="747">
        <v>0.66666666666666663</v>
      </c>
      <c r="L2231" s="369">
        <v>45204</v>
      </c>
      <c r="M2231" s="753">
        <v>0.79166666666666663</v>
      </c>
      <c r="N2231" s="210">
        <v>3</v>
      </c>
      <c r="O2231" s="537" t="s">
        <v>17</v>
      </c>
      <c r="P2231" s="375" t="s">
        <v>3711</v>
      </c>
      <c r="Q2231" s="458" t="s">
        <v>258</v>
      </c>
      <c r="R2231" s="202" t="s">
        <v>81</v>
      </c>
      <c r="S2231" s="31" t="s">
        <v>273</v>
      </c>
      <c r="T2231" s="31" t="s">
        <v>273</v>
      </c>
      <c r="U2231" s="31">
        <f>IFERROR(VLOOKUP(CONCATENATE(Tabla1[[#This Row],[Severidad]]," ",Tabla1[[#This Row],[Complejidad]]),Catalogos!E$120:G$128,3,FALSE),"")</f>
        <v>64</v>
      </c>
      <c r="V2231" s="31" t="str">
        <f>IF(Tabla1[[#This Row],[Tiempo solución max (hrs)]]&lt;&gt;"",IF(Tabla1[[#This Row],[Tiempo solución max (hrs)]]&gt;=Tabla1[[#This Row],[Tiempo
(Hrs 00/100)]],"cumple","no cumple"),"")</f>
        <v>cumple</v>
      </c>
      <c r="W2231" s="629" t="s">
        <v>3327</v>
      </c>
      <c r="X2231" s="377" t="str">
        <f t="shared" si="199"/>
        <v>SAW</v>
      </c>
      <c r="Y2231" t="str">
        <f>SUBSTITUTE(Tabla1[[#This Row],[Descripción]],CHAR(10),"    I    ")</f>
        <v>actualizacion acceso de usuarios</v>
      </c>
      <c r="Z2231" s="142">
        <f>VLOOKUP(Tabla1[[#This Row],[Perfil]],Catalogos!$B$75:$D$100,3,FALSE)*Tabla1[[#This Row],[Tiempo
(Hrs 00/100)]]*1.16</f>
        <v>1739.9999999999998</v>
      </c>
    </row>
    <row r="2232" spans="1:26" ht="15" customHeight="1" x14ac:dyDescent="0.3">
      <c r="A2232" s="370" t="s">
        <v>22</v>
      </c>
      <c r="B2232" s="370" t="s">
        <v>68</v>
      </c>
      <c r="C2232" s="418" t="s">
        <v>16</v>
      </c>
      <c r="D2232" s="370"/>
      <c r="E2232" s="370" t="s">
        <v>503</v>
      </c>
      <c r="F2232" s="370" t="s">
        <v>75</v>
      </c>
      <c r="G2232" s="370" t="s">
        <v>4010</v>
      </c>
      <c r="H2232" s="419" t="s">
        <v>436</v>
      </c>
      <c r="I2232" s="420" t="s">
        <v>3727</v>
      </c>
      <c r="J2232" s="369">
        <v>45205</v>
      </c>
      <c r="K2232" s="747">
        <v>0.375</v>
      </c>
      <c r="L2232" s="369">
        <v>45205</v>
      </c>
      <c r="M2232" s="753">
        <v>0.45833333333333331</v>
      </c>
      <c r="N2232" s="210">
        <v>2</v>
      </c>
      <c r="O2232" s="537" t="s">
        <v>17</v>
      </c>
      <c r="P2232" s="375" t="s">
        <v>3728</v>
      </c>
      <c r="Q2232" s="458" t="s">
        <v>258</v>
      </c>
      <c r="R2232" s="202" t="s">
        <v>81</v>
      </c>
      <c r="S2232" s="31" t="s">
        <v>273</v>
      </c>
      <c r="T2232" s="31" t="s">
        <v>273</v>
      </c>
      <c r="U2232" s="31">
        <f>IFERROR(VLOOKUP(CONCATENATE(Tabla1[[#This Row],[Severidad]]," ",Tabla1[[#This Row],[Complejidad]]),Catalogos!E$120:G$128,3,FALSE),"")</f>
        <v>64</v>
      </c>
      <c r="V2232" s="31" t="str">
        <f>IF(Tabla1[[#This Row],[Tiempo solución max (hrs)]]&lt;&gt;"",IF(Tabla1[[#This Row],[Tiempo solución max (hrs)]]&gt;=Tabla1[[#This Row],[Tiempo
(Hrs 00/100)]],"cumple","no cumple"),"")</f>
        <v>cumple</v>
      </c>
      <c r="W2232" s="629" t="s">
        <v>3327</v>
      </c>
      <c r="X2232" s="377" t="str">
        <f t="shared" si="199"/>
        <v>SAW</v>
      </c>
      <c r="Y2232" t="str">
        <f>SUBSTITUTE(Tabla1[[#This Row],[Descripción]],CHAR(10),"    I    ")</f>
        <v xml:space="preserve">actualizacion micrositio </v>
      </c>
      <c r="Z2232" s="142">
        <f>VLOOKUP(Tabla1[[#This Row],[Perfil]],Catalogos!$B$75:$D$100,3,FALSE)*Tabla1[[#This Row],[Tiempo
(Hrs 00/100)]]*1.16</f>
        <v>1160</v>
      </c>
    </row>
    <row r="2233" spans="1:26" ht="15" customHeight="1" x14ac:dyDescent="0.3">
      <c r="A2233" s="370" t="s">
        <v>22</v>
      </c>
      <c r="B2233" s="370" t="s">
        <v>68</v>
      </c>
      <c r="C2233" s="418" t="s">
        <v>16</v>
      </c>
      <c r="D2233" s="370"/>
      <c r="E2233" s="370" t="s">
        <v>503</v>
      </c>
      <c r="F2233" s="370" t="s">
        <v>75</v>
      </c>
      <c r="G2233" s="370" t="s">
        <v>4011</v>
      </c>
      <c r="H2233" s="419" t="s">
        <v>436</v>
      </c>
      <c r="I2233" s="420" t="s">
        <v>3729</v>
      </c>
      <c r="J2233" s="369">
        <v>45205</v>
      </c>
      <c r="K2233" s="747">
        <v>0.45833333333333331</v>
      </c>
      <c r="L2233" s="369">
        <v>45205</v>
      </c>
      <c r="M2233" s="753">
        <v>0.54166666666666663</v>
      </c>
      <c r="N2233" s="210">
        <v>2</v>
      </c>
      <c r="O2233" s="537" t="s">
        <v>17</v>
      </c>
      <c r="P2233" s="375" t="s">
        <v>3721</v>
      </c>
      <c r="Q2233" s="458" t="s">
        <v>258</v>
      </c>
      <c r="R2233" s="202" t="s">
        <v>81</v>
      </c>
      <c r="S2233" s="31" t="s">
        <v>273</v>
      </c>
      <c r="T2233" s="31" t="s">
        <v>273</v>
      </c>
      <c r="U2233" s="31">
        <f>IFERROR(VLOOKUP(CONCATENATE(Tabla1[[#This Row],[Severidad]]," ",Tabla1[[#This Row],[Complejidad]]),Catalogos!E$120:G$128,3,FALSE),"")</f>
        <v>64</v>
      </c>
      <c r="V2233" s="31" t="str">
        <f>IF(Tabla1[[#This Row],[Tiempo solución max (hrs)]]&lt;&gt;"",IF(Tabla1[[#This Row],[Tiempo solución max (hrs)]]&gt;=Tabla1[[#This Row],[Tiempo
(Hrs 00/100)]],"cumple","no cumple"),"")</f>
        <v>cumple</v>
      </c>
      <c r="W2233" s="629" t="s">
        <v>3327</v>
      </c>
      <c r="X2233" s="377" t="str">
        <f t="shared" si="199"/>
        <v>SAW</v>
      </c>
      <c r="Y2233" t="str">
        <f>SUBSTITUTE(Tabla1[[#This Row],[Descripción]],CHAR(10),"    I    ")</f>
        <v xml:space="preserve">actualizacion RTA encuentros </v>
      </c>
      <c r="Z2233" s="142">
        <f>VLOOKUP(Tabla1[[#This Row],[Perfil]],Catalogos!$B$75:$D$100,3,FALSE)*Tabla1[[#This Row],[Tiempo
(Hrs 00/100)]]*1.16</f>
        <v>1160</v>
      </c>
    </row>
    <row r="2234" spans="1:26" ht="15" customHeight="1" x14ac:dyDescent="0.3">
      <c r="A2234" s="370" t="s">
        <v>22</v>
      </c>
      <c r="B2234" s="370" t="s">
        <v>68</v>
      </c>
      <c r="C2234" s="418" t="s">
        <v>16</v>
      </c>
      <c r="D2234" s="370"/>
      <c r="E2234" s="370" t="s">
        <v>503</v>
      </c>
      <c r="F2234" s="370" t="s">
        <v>75</v>
      </c>
      <c r="G2234" s="370" t="s">
        <v>4012</v>
      </c>
      <c r="H2234" s="419" t="s">
        <v>436</v>
      </c>
      <c r="I2234" s="420" t="s">
        <v>2561</v>
      </c>
      <c r="J2234" s="369">
        <v>45205</v>
      </c>
      <c r="K2234" s="747">
        <v>0.54166666666666663</v>
      </c>
      <c r="L2234" s="369">
        <v>45205</v>
      </c>
      <c r="M2234" s="753">
        <v>0.625</v>
      </c>
      <c r="N2234" s="210">
        <v>2</v>
      </c>
      <c r="O2234" s="537" t="s">
        <v>17</v>
      </c>
      <c r="P2234" s="375" t="s">
        <v>3730</v>
      </c>
      <c r="Q2234" s="458" t="s">
        <v>258</v>
      </c>
      <c r="R2234" s="202" t="s">
        <v>81</v>
      </c>
      <c r="S2234" s="31" t="s">
        <v>273</v>
      </c>
      <c r="T2234" s="31" t="s">
        <v>273</v>
      </c>
      <c r="U2234" s="31">
        <f>IFERROR(VLOOKUP(CONCATENATE(Tabla1[[#This Row],[Severidad]]," ",Tabla1[[#This Row],[Complejidad]]),Catalogos!E$120:G$128,3,FALSE),"")</f>
        <v>64</v>
      </c>
      <c r="V2234" s="31" t="str">
        <f>IF(Tabla1[[#This Row],[Tiempo solución max (hrs)]]&lt;&gt;"",IF(Tabla1[[#This Row],[Tiempo solución max (hrs)]]&gt;=Tabla1[[#This Row],[Tiempo
(Hrs 00/100)]],"cumple","no cumple"),"")</f>
        <v>cumple</v>
      </c>
      <c r="W2234" s="629" t="s">
        <v>3327</v>
      </c>
      <c r="X2234" s="377" t="str">
        <f t="shared" si="199"/>
        <v>SAW</v>
      </c>
      <c r="Y2234" t="str">
        <f>SUBSTITUTE(Tabla1[[#This Row],[Descripción]],CHAR(10),"    I    ")</f>
        <v xml:space="preserve">actualizacion SACP </v>
      </c>
      <c r="Z2234" s="142">
        <f>VLOOKUP(Tabla1[[#This Row],[Perfil]],Catalogos!$B$75:$D$100,3,FALSE)*Tabla1[[#This Row],[Tiempo
(Hrs 00/100)]]*1.16</f>
        <v>1160</v>
      </c>
    </row>
    <row r="2235" spans="1:26" ht="15" customHeight="1" x14ac:dyDescent="0.3">
      <c r="A2235" s="370" t="s">
        <v>22</v>
      </c>
      <c r="B2235" s="370" t="s">
        <v>68</v>
      </c>
      <c r="C2235" s="418" t="s">
        <v>16</v>
      </c>
      <c r="D2235" s="370"/>
      <c r="E2235" s="370" t="s">
        <v>503</v>
      </c>
      <c r="F2235" s="370" t="s">
        <v>75</v>
      </c>
      <c r="G2235" s="370" t="s">
        <v>4013</v>
      </c>
      <c r="H2235" s="419" t="s">
        <v>436</v>
      </c>
      <c r="I2235" s="420" t="s">
        <v>3731</v>
      </c>
      <c r="J2235" s="369">
        <v>45208</v>
      </c>
      <c r="K2235" s="747">
        <v>0.375</v>
      </c>
      <c r="L2235" s="369">
        <v>45208</v>
      </c>
      <c r="M2235" s="753">
        <v>0.47916666666666669</v>
      </c>
      <c r="N2235" s="210">
        <v>2.5</v>
      </c>
      <c r="O2235" s="537" t="s">
        <v>17</v>
      </c>
      <c r="P2235" s="375" t="s">
        <v>3711</v>
      </c>
      <c r="Q2235" s="458" t="s">
        <v>258</v>
      </c>
      <c r="R2235" s="202" t="s">
        <v>81</v>
      </c>
      <c r="S2235" s="31" t="s">
        <v>273</v>
      </c>
      <c r="T2235" s="31" t="s">
        <v>273</v>
      </c>
      <c r="U2235" s="31">
        <f>IFERROR(VLOOKUP(CONCATENATE(Tabla1[[#This Row],[Severidad]]," ",Tabla1[[#This Row],[Complejidad]]),Catalogos!E$120:G$128,3,FALSE),"")</f>
        <v>64</v>
      </c>
      <c r="V2235" s="31" t="str">
        <f>IF(Tabla1[[#This Row],[Tiempo solución max (hrs)]]&lt;&gt;"",IF(Tabla1[[#This Row],[Tiempo solución max (hrs)]]&gt;=Tabla1[[#This Row],[Tiempo
(Hrs 00/100)]],"cumple","no cumple"),"")</f>
        <v>cumple</v>
      </c>
      <c r="W2235" s="629" t="s">
        <v>3327</v>
      </c>
      <c r="X2235" s="377" t="str">
        <f t="shared" si="199"/>
        <v>SAW</v>
      </c>
      <c r="Y2235" t="str">
        <f>SUBSTITUTE(Tabla1[[#This Row],[Descripción]],CHAR(10),"    I    ")</f>
        <v xml:space="preserve">actualizacion paginas web </v>
      </c>
      <c r="Z2235" s="142">
        <f>VLOOKUP(Tabla1[[#This Row],[Perfil]],Catalogos!$B$75:$D$100,3,FALSE)*Tabla1[[#This Row],[Tiempo
(Hrs 00/100)]]*1.16</f>
        <v>1450</v>
      </c>
    </row>
    <row r="2236" spans="1:26" ht="15" customHeight="1" x14ac:dyDescent="0.3">
      <c r="A2236" s="370" t="s">
        <v>22</v>
      </c>
      <c r="B2236" s="370" t="s">
        <v>68</v>
      </c>
      <c r="C2236" s="418" t="s">
        <v>16</v>
      </c>
      <c r="D2236" s="370"/>
      <c r="E2236" s="370" t="s">
        <v>503</v>
      </c>
      <c r="F2236" s="370" t="s">
        <v>75</v>
      </c>
      <c r="G2236" s="370" t="s">
        <v>4014</v>
      </c>
      <c r="H2236" s="419" t="s">
        <v>436</v>
      </c>
      <c r="I2236" s="420" t="s">
        <v>3732</v>
      </c>
      <c r="J2236" s="369">
        <v>45208</v>
      </c>
      <c r="K2236" s="747">
        <v>0.47916666666666669</v>
      </c>
      <c r="L2236" s="369">
        <v>45208</v>
      </c>
      <c r="M2236" s="753">
        <v>0.60416666666666663</v>
      </c>
      <c r="N2236" s="210">
        <v>3</v>
      </c>
      <c r="O2236" s="537" t="s">
        <v>17</v>
      </c>
      <c r="P2236" s="375" t="s">
        <v>3726</v>
      </c>
      <c r="Q2236" s="458" t="s">
        <v>258</v>
      </c>
      <c r="R2236" s="202" t="s">
        <v>81</v>
      </c>
      <c r="S2236" s="31" t="s">
        <v>273</v>
      </c>
      <c r="T2236" s="31" t="s">
        <v>273</v>
      </c>
      <c r="U2236" s="31">
        <f>IFERROR(VLOOKUP(CONCATENATE(Tabla1[[#This Row],[Severidad]]," ",Tabla1[[#This Row],[Complejidad]]),Catalogos!E$120:G$128,3,FALSE),"")</f>
        <v>64</v>
      </c>
      <c r="V2236" s="31" t="str">
        <f>IF(Tabla1[[#This Row],[Tiempo solución max (hrs)]]&lt;&gt;"",IF(Tabla1[[#This Row],[Tiempo solución max (hrs)]]&gt;=Tabla1[[#This Row],[Tiempo
(Hrs 00/100)]],"cumple","no cumple"),"")</f>
        <v>cumple</v>
      </c>
      <c r="W2236" s="629" t="s">
        <v>3327</v>
      </c>
      <c r="X2236" s="377" t="str">
        <f t="shared" si="199"/>
        <v>SAW</v>
      </c>
      <c r="Y2236" t="str">
        <f>SUBSTITUTE(Tabla1[[#This Row],[Descripción]],CHAR(10),"    I    ")</f>
        <v>actaulizacion micrositio Repositorio</v>
      </c>
      <c r="Z2236" s="142">
        <f>VLOOKUP(Tabla1[[#This Row],[Perfil]],Catalogos!$B$75:$D$100,3,FALSE)*Tabla1[[#This Row],[Tiempo
(Hrs 00/100)]]*1.16</f>
        <v>1739.9999999999998</v>
      </c>
    </row>
    <row r="2237" spans="1:26" ht="15" customHeight="1" x14ac:dyDescent="0.3">
      <c r="A2237" s="370" t="s">
        <v>22</v>
      </c>
      <c r="B2237" s="370" t="s">
        <v>68</v>
      </c>
      <c r="C2237" s="418" t="s">
        <v>16</v>
      </c>
      <c r="D2237" s="370"/>
      <c r="E2237" s="370" t="s">
        <v>503</v>
      </c>
      <c r="F2237" s="370" t="s">
        <v>75</v>
      </c>
      <c r="G2237" s="370" t="s">
        <v>4015</v>
      </c>
      <c r="H2237" s="419" t="s">
        <v>436</v>
      </c>
      <c r="I2237" s="420" t="s">
        <v>3733</v>
      </c>
      <c r="J2237" s="369">
        <v>45208</v>
      </c>
      <c r="K2237" s="747">
        <v>0.66666666666666663</v>
      </c>
      <c r="L2237" s="369">
        <v>45208</v>
      </c>
      <c r="M2237" s="753">
        <v>0.79166666666666663</v>
      </c>
      <c r="N2237" s="210">
        <v>3</v>
      </c>
      <c r="O2237" s="537" t="s">
        <v>17</v>
      </c>
      <c r="P2237" s="375" t="s">
        <v>3711</v>
      </c>
      <c r="Q2237" s="458" t="s">
        <v>258</v>
      </c>
      <c r="R2237" s="202" t="s">
        <v>81</v>
      </c>
      <c r="S2237" s="31" t="s">
        <v>273</v>
      </c>
      <c r="T2237" s="31" t="s">
        <v>273</v>
      </c>
      <c r="U2237" s="31">
        <f>IFERROR(VLOOKUP(CONCATENATE(Tabla1[[#This Row],[Severidad]]," ",Tabla1[[#This Row],[Complejidad]]),Catalogos!E$120:G$128,3,FALSE),"")</f>
        <v>64</v>
      </c>
      <c r="V2237" s="31" t="str">
        <f>IF(Tabla1[[#This Row],[Tiempo solución max (hrs)]]&lt;&gt;"",IF(Tabla1[[#This Row],[Tiempo solución max (hrs)]]&gt;=Tabla1[[#This Row],[Tiempo
(Hrs 00/100)]],"cumple","no cumple"),"")</f>
        <v>cumple</v>
      </c>
      <c r="W2237" s="629" t="s">
        <v>3327</v>
      </c>
      <c r="X2237" s="377" t="str">
        <f t="shared" si="199"/>
        <v>SAW</v>
      </c>
      <c r="Y2237" t="str">
        <f>SUBSTITUTE(Tabla1[[#This Row],[Descripción]],CHAR(10),"    I    ")</f>
        <v xml:space="preserve">actualizacion  Proyecto micrositio </v>
      </c>
      <c r="Z2237" s="142">
        <f>VLOOKUP(Tabla1[[#This Row],[Perfil]],Catalogos!$B$75:$D$100,3,FALSE)*Tabla1[[#This Row],[Tiempo
(Hrs 00/100)]]*1.16</f>
        <v>1739.9999999999998</v>
      </c>
    </row>
    <row r="2238" spans="1:26" ht="15" customHeight="1" x14ac:dyDescent="0.3">
      <c r="A2238" s="370" t="s">
        <v>22</v>
      </c>
      <c r="B2238" s="370" t="s">
        <v>68</v>
      </c>
      <c r="C2238" s="418" t="s">
        <v>16</v>
      </c>
      <c r="D2238" s="370"/>
      <c r="E2238" s="370" t="s">
        <v>503</v>
      </c>
      <c r="F2238" s="370" t="s">
        <v>75</v>
      </c>
      <c r="G2238" s="370" t="s">
        <v>4016</v>
      </c>
      <c r="H2238" s="419" t="s">
        <v>436</v>
      </c>
      <c r="I2238" s="420" t="s">
        <v>3713</v>
      </c>
      <c r="J2238" s="369">
        <v>45209</v>
      </c>
      <c r="K2238" s="747">
        <v>0.375</v>
      </c>
      <c r="L2238" s="369">
        <v>45209</v>
      </c>
      <c r="M2238" s="753">
        <v>0.45833333333333331</v>
      </c>
      <c r="N2238" s="210">
        <v>2</v>
      </c>
      <c r="O2238" s="537" t="s">
        <v>17</v>
      </c>
      <c r="P2238" s="375" t="s">
        <v>3711</v>
      </c>
      <c r="Q2238" s="458" t="s">
        <v>258</v>
      </c>
      <c r="R2238" s="202" t="s">
        <v>81</v>
      </c>
      <c r="S2238" s="31" t="s">
        <v>273</v>
      </c>
      <c r="T2238" s="31" t="s">
        <v>273</v>
      </c>
      <c r="U2238" s="31">
        <f>IFERROR(VLOOKUP(CONCATENATE(Tabla1[[#This Row],[Severidad]]," ",Tabla1[[#This Row],[Complejidad]]),Catalogos!E$120:G$128,3,FALSE),"")</f>
        <v>64</v>
      </c>
      <c r="V2238" s="31" t="str">
        <f>IF(Tabla1[[#This Row],[Tiempo solución max (hrs)]]&lt;&gt;"",IF(Tabla1[[#This Row],[Tiempo solución max (hrs)]]&gt;=Tabla1[[#This Row],[Tiempo
(Hrs 00/100)]],"cumple","no cumple"),"")</f>
        <v>cumple</v>
      </c>
      <c r="W2238" s="629" t="s">
        <v>3327</v>
      </c>
      <c r="X2238" s="377" t="str">
        <f t="shared" si="199"/>
        <v>SAW</v>
      </c>
      <c r="Y2238" t="str">
        <f>SUBSTITUTE(Tabla1[[#This Row],[Descripción]],CHAR(10),"    I    ")</f>
        <v xml:space="preserve">Actualizacion seccion ponente  </v>
      </c>
      <c r="Z2238" s="142">
        <f>VLOOKUP(Tabla1[[#This Row],[Perfil]],Catalogos!$B$75:$D$100,3,FALSE)*Tabla1[[#This Row],[Tiempo
(Hrs 00/100)]]*1.16</f>
        <v>1160</v>
      </c>
    </row>
    <row r="2239" spans="1:26" ht="15" customHeight="1" x14ac:dyDescent="0.3">
      <c r="A2239" s="370" t="s">
        <v>22</v>
      </c>
      <c r="B2239" s="370" t="s">
        <v>68</v>
      </c>
      <c r="C2239" s="418" t="s">
        <v>16</v>
      </c>
      <c r="D2239" s="370"/>
      <c r="E2239" s="370" t="s">
        <v>503</v>
      </c>
      <c r="F2239" s="370" t="s">
        <v>75</v>
      </c>
      <c r="G2239" s="370" t="s">
        <v>4017</v>
      </c>
      <c r="H2239" s="419" t="s">
        <v>436</v>
      </c>
      <c r="I2239" s="420" t="s">
        <v>2544</v>
      </c>
      <c r="J2239" s="369">
        <v>45209</v>
      </c>
      <c r="K2239" s="747">
        <v>0.45833333333333331</v>
      </c>
      <c r="L2239" s="369">
        <v>45209</v>
      </c>
      <c r="M2239" s="753">
        <v>0.60416666666666663</v>
      </c>
      <c r="N2239" s="210">
        <v>3.5</v>
      </c>
      <c r="O2239" s="537" t="s">
        <v>17</v>
      </c>
      <c r="P2239" s="375" t="s">
        <v>3711</v>
      </c>
      <c r="Q2239" s="458" t="s">
        <v>258</v>
      </c>
      <c r="R2239" s="202" t="s">
        <v>81</v>
      </c>
      <c r="S2239" s="31" t="s">
        <v>273</v>
      </c>
      <c r="T2239" s="31" t="s">
        <v>273</v>
      </c>
      <c r="U2239" s="31">
        <f>IFERROR(VLOOKUP(CONCATENATE(Tabla1[[#This Row],[Severidad]]," ",Tabla1[[#This Row],[Complejidad]]),Catalogos!E$120:G$128,3,FALSE),"")</f>
        <v>64</v>
      </c>
      <c r="V2239" s="31" t="str">
        <f>IF(Tabla1[[#This Row],[Tiempo solución max (hrs)]]&lt;&gt;"",IF(Tabla1[[#This Row],[Tiempo solución max (hrs)]]&gt;=Tabla1[[#This Row],[Tiempo
(Hrs 00/100)]],"cumple","no cumple"),"")</f>
        <v>cumple</v>
      </c>
      <c r="W2239" s="629" t="s">
        <v>3327</v>
      </c>
      <c r="X2239" s="377" t="str">
        <f t="shared" si="199"/>
        <v>SAW</v>
      </c>
      <c r="Y2239" t="str">
        <f>SUBSTITUTE(Tabla1[[#This Row],[Descripción]],CHAR(10),"    I    ")</f>
        <v xml:space="preserve">actualizacion pagina consejo consultivo </v>
      </c>
      <c r="Z2239" s="142">
        <f>VLOOKUP(Tabla1[[#This Row],[Perfil]],Catalogos!$B$75:$D$100,3,FALSE)*Tabla1[[#This Row],[Tiempo
(Hrs 00/100)]]*1.16</f>
        <v>2029.9999999999998</v>
      </c>
    </row>
    <row r="2240" spans="1:26" ht="15" customHeight="1" x14ac:dyDescent="0.3">
      <c r="A2240" s="370" t="s">
        <v>22</v>
      </c>
      <c r="B2240" s="370" t="s">
        <v>68</v>
      </c>
      <c r="C2240" s="418" t="s">
        <v>16</v>
      </c>
      <c r="D2240" s="370"/>
      <c r="E2240" s="370" t="s">
        <v>503</v>
      </c>
      <c r="F2240" s="370" t="s">
        <v>75</v>
      </c>
      <c r="G2240" s="370" t="s">
        <v>4018</v>
      </c>
      <c r="H2240" s="419" t="s">
        <v>436</v>
      </c>
      <c r="I2240" s="420" t="s">
        <v>1470</v>
      </c>
      <c r="J2240" s="369">
        <v>45209</v>
      </c>
      <c r="K2240" s="747">
        <v>0.66666666666666663</v>
      </c>
      <c r="L2240" s="369">
        <v>45209</v>
      </c>
      <c r="M2240" s="753">
        <v>0.79166666666666663</v>
      </c>
      <c r="N2240" s="210">
        <v>3</v>
      </c>
      <c r="O2240" s="537" t="s">
        <v>17</v>
      </c>
      <c r="P2240" s="375" t="s">
        <v>3711</v>
      </c>
      <c r="Q2240" s="458" t="s">
        <v>258</v>
      </c>
      <c r="R2240" s="202" t="s">
        <v>81</v>
      </c>
      <c r="S2240" s="31" t="s">
        <v>273</v>
      </c>
      <c r="T2240" s="31" t="s">
        <v>273</v>
      </c>
      <c r="U2240" s="31">
        <f>IFERROR(VLOOKUP(CONCATENATE(Tabla1[[#This Row],[Severidad]]," ",Tabla1[[#This Row],[Complejidad]]),Catalogos!E$120:G$128,3,FALSE),"")</f>
        <v>64</v>
      </c>
      <c r="V2240" s="31" t="str">
        <f>IF(Tabla1[[#This Row],[Tiempo solución max (hrs)]]&lt;&gt;"",IF(Tabla1[[#This Row],[Tiempo solución max (hrs)]]&gt;=Tabla1[[#This Row],[Tiempo
(Hrs 00/100)]],"cumple","no cumple"),"")</f>
        <v>cumple</v>
      </c>
      <c r="W2240" s="629" t="s">
        <v>3327</v>
      </c>
      <c r="X2240" s="377" t="str">
        <f t="shared" si="199"/>
        <v>SAW</v>
      </c>
      <c r="Y2240" t="str">
        <f>SUBSTITUTE(Tabla1[[#This Row],[Descripción]],CHAR(10),"    I    ")</f>
        <v xml:space="preserve">Actualizacion Requerimiento de aplicaciones web </v>
      </c>
      <c r="Z2240" s="142">
        <f>VLOOKUP(Tabla1[[#This Row],[Perfil]],Catalogos!$B$75:$D$100,3,FALSE)*Tabla1[[#This Row],[Tiempo
(Hrs 00/100)]]*1.16</f>
        <v>1739.9999999999998</v>
      </c>
    </row>
    <row r="2241" spans="1:26" ht="15" customHeight="1" x14ac:dyDescent="0.3">
      <c r="A2241" s="370" t="s">
        <v>22</v>
      </c>
      <c r="B2241" s="370" t="s">
        <v>68</v>
      </c>
      <c r="C2241" s="418" t="s">
        <v>16</v>
      </c>
      <c r="D2241" s="370"/>
      <c r="E2241" s="370" t="s">
        <v>503</v>
      </c>
      <c r="F2241" s="370" t="s">
        <v>75</v>
      </c>
      <c r="G2241" s="370" t="s">
        <v>4019</v>
      </c>
      <c r="H2241" s="419" t="s">
        <v>436</v>
      </c>
      <c r="I2241" s="420" t="s">
        <v>3734</v>
      </c>
      <c r="J2241" s="369">
        <v>45210</v>
      </c>
      <c r="K2241" s="747">
        <v>0.375</v>
      </c>
      <c r="L2241" s="369">
        <v>45210</v>
      </c>
      <c r="M2241" s="753">
        <v>0.45833333333333331</v>
      </c>
      <c r="N2241" s="210">
        <v>2</v>
      </c>
      <c r="O2241" s="537" t="s">
        <v>17</v>
      </c>
      <c r="P2241" s="375" t="s">
        <v>3735</v>
      </c>
      <c r="Q2241" s="458" t="s">
        <v>258</v>
      </c>
      <c r="R2241" s="202" t="s">
        <v>81</v>
      </c>
      <c r="S2241" s="31" t="s">
        <v>273</v>
      </c>
      <c r="T2241" s="31" t="s">
        <v>273</v>
      </c>
      <c r="U2241" s="31">
        <f>IFERROR(VLOOKUP(CONCATENATE(Tabla1[[#This Row],[Severidad]]," ",Tabla1[[#This Row],[Complejidad]]),Catalogos!E$120:G$128,3,FALSE),"")</f>
        <v>64</v>
      </c>
      <c r="V2241" s="31" t="str">
        <f>IF(Tabla1[[#This Row],[Tiempo solución max (hrs)]]&lt;&gt;"",IF(Tabla1[[#This Row],[Tiempo solución max (hrs)]]&gt;=Tabla1[[#This Row],[Tiempo
(Hrs 00/100)]],"cumple","no cumple"),"")</f>
        <v>cumple</v>
      </c>
      <c r="W2241" s="629" t="s">
        <v>3327</v>
      </c>
      <c r="X2241" s="377" t="str">
        <f t="shared" si="199"/>
        <v>SAW</v>
      </c>
      <c r="Y2241" t="str">
        <f>SUBSTITUTE(Tabla1[[#This Row],[Descripción]],CHAR(10),"    I    ")</f>
        <v xml:space="preserve">Actualizacion CIT </v>
      </c>
      <c r="Z2241" s="142">
        <f>VLOOKUP(Tabla1[[#This Row],[Perfil]],Catalogos!$B$75:$D$100,3,FALSE)*Tabla1[[#This Row],[Tiempo
(Hrs 00/100)]]*1.16</f>
        <v>1160</v>
      </c>
    </row>
    <row r="2242" spans="1:26" ht="15" customHeight="1" x14ac:dyDescent="0.3">
      <c r="A2242" s="370" t="s">
        <v>22</v>
      </c>
      <c r="B2242" s="370" t="s">
        <v>68</v>
      </c>
      <c r="C2242" s="418" t="s">
        <v>16</v>
      </c>
      <c r="D2242" s="370"/>
      <c r="E2242" s="370" t="s">
        <v>503</v>
      </c>
      <c r="F2242" s="370" t="s">
        <v>75</v>
      </c>
      <c r="G2242" s="370" t="s">
        <v>4020</v>
      </c>
      <c r="H2242" s="419" t="s">
        <v>436</v>
      </c>
      <c r="I2242" s="420" t="s">
        <v>3736</v>
      </c>
      <c r="J2242" s="369">
        <v>45210</v>
      </c>
      <c r="K2242" s="747">
        <v>0.45833333333333331</v>
      </c>
      <c r="L2242" s="369">
        <v>45210</v>
      </c>
      <c r="M2242" s="753">
        <v>0.60416666666666663</v>
      </c>
      <c r="N2242" s="210">
        <v>3.5</v>
      </c>
      <c r="O2242" s="537" t="s">
        <v>17</v>
      </c>
      <c r="P2242" s="375" t="s">
        <v>3737</v>
      </c>
      <c r="Q2242" s="458" t="s">
        <v>258</v>
      </c>
      <c r="R2242" s="202" t="s">
        <v>81</v>
      </c>
      <c r="S2242" s="31" t="s">
        <v>273</v>
      </c>
      <c r="T2242" s="31" t="s">
        <v>273</v>
      </c>
      <c r="U2242" s="31">
        <f>IFERROR(VLOOKUP(CONCATENATE(Tabla1[[#This Row],[Severidad]]," ",Tabla1[[#This Row],[Complejidad]]),Catalogos!E$120:G$128,3,FALSE),"")</f>
        <v>64</v>
      </c>
      <c r="V2242" s="31" t="str">
        <f>IF(Tabla1[[#This Row],[Tiempo solución max (hrs)]]&lt;&gt;"",IF(Tabla1[[#This Row],[Tiempo solución max (hrs)]]&gt;=Tabla1[[#This Row],[Tiempo
(Hrs 00/100)]],"cumple","no cumple"),"")</f>
        <v>cumple</v>
      </c>
      <c r="W2242" s="629" t="s">
        <v>3327</v>
      </c>
      <c r="X2242" s="377" t="str">
        <f t="shared" si="199"/>
        <v>SAW</v>
      </c>
      <c r="Y2242" t="str">
        <f>SUBSTITUTE(Tabla1[[#This Row],[Descripción]],CHAR(10),"    I    ")</f>
        <v>actualizacion sitios</v>
      </c>
      <c r="Z2242" s="142">
        <f>VLOOKUP(Tabla1[[#This Row],[Perfil]],Catalogos!$B$75:$D$100,3,FALSE)*Tabla1[[#This Row],[Tiempo
(Hrs 00/100)]]*1.16</f>
        <v>2029.9999999999998</v>
      </c>
    </row>
    <row r="2243" spans="1:26" ht="15" customHeight="1" x14ac:dyDescent="0.3">
      <c r="A2243" s="370" t="s">
        <v>22</v>
      </c>
      <c r="B2243" s="370" t="s">
        <v>68</v>
      </c>
      <c r="C2243" s="418" t="s">
        <v>16</v>
      </c>
      <c r="D2243" s="370"/>
      <c r="E2243" s="370" t="s">
        <v>503</v>
      </c>
      <c r="F2243" s="370" t="s">
        <v>75</v>
      </c>
      <c r="G2243" s="370" t="s">
        <v>4021</v>
      </c>
      <c r="H2243" s="419" t="s">
        <v>436</v>
      </c>
      <c r="I2243" s="420" t="s">
        <v>3738</v>
      </c>
      <c r="J2243" s="369">
        <v>45210</v>
      </c>
      <c r="K2243" s="747">
        <v>0.66666666666666663</v>
      </c>
      <c r="L2243" s="369">
        <v>45210</v>
      </c>
      <c r="M2243" s="753">
        <v>0.79166666666666663</v>
      </c>
      <c r="N2243" s="210">
        <v>3</v>
      </c>
      <c r="O2243" s="537" t="s">
        <v>17</v>
      </c>
      <c r="P2243" s="375" t="s">
        <v>3737</v>
      </c>
      <c r="Q2243" s="458" t="s">
        <v>258</v>
      </c>
      <c r="R2243" s="202" t="s">
        <v>81</v>
      </c>
      <c r="S2243" s="31" t="s">
        <v>273</v>
      </c>
      <c r="T2243" s="31" t="s">
        <v>273</v>
      </c>
      <c r="U2243" s="31">
        <f>IFERROR(VLOOKUP(CONCATENATE(Tabla1[[#This Row],[Severidad]]," ",Tabla1[[#This Row],[Complejidad]]),Catalogos!E$120:G$128,3,FALSE),"")</f>
        <v>64</v>
      </c>
      <c r="V2243" s="31" t="str">
        <f>IF(Tabla1[[#This Row],[Tiempo solución max (hrs)]]&lt;&gt;"",IF(Tabla1[[#This Row],[Tiempo solución max (hrs)]]&gt;=Tabla1[[#This Row],[Tiempo
(Hrs 00/100)]],"cumple","no cumple"),"")</f>
        <v>cumple</v>
      </c>
      <c r="W2243" s="629" t="s">
        <v>3327</v>
      </c>
      <c r="X2243" s="377" t="str">
        <f t="shared" si="199"/>
        <v>SAW</v>
      </c>
      <c r="Y2243" t="str">
        <f>SUBSTITUTE(Tabla1[[#This Row],[Descripción]],CHAR(10),"    I    ")</f>
        <v xml:space="preserve">actualizacion contraeña GAP </v>
      </c>
      <c r="Z2243" s="142">
        <f>VLOOKUP(Tabla1[[#This Row],[Perfil]],Catalogos!$B$75:$D$100,3,FALSE)*Tabla1[[#This Row],[Tiempo
(Hrs 00/100)]]*1.16</f>
        <v>1739.9999999999998</v>
      </c>
    </row>
    <row r="2244" spans="1:26" ht="15" customHeight="1" x14ac:dyDescent="0.3">
      <c r="A2244" s="370" t="s">
        <v>22</v>
      </c>
      <c r="B2244" s="370" t="s">
        <v>68</v>
      </c>
      <c r="C2244" s="418" t="s">
        <v>16</v>
      </c>
      <c r="D2244" s="370"/>
      <c r="E2244" s="370" t="s">
        <v>503</v>
      </c>
      <c r="F2244" s="370" t="s">
        <v>75</v>
      </c>
      <c r="G2244" s="370" t="s">
        <v>4022</v>
      </c>
      <c r="H2244" s="419" t="s">
        <v>436</v>
      </c>
      <c r="I2244" s="420" t="s">
        <v>3734</v>
      </c>
      <c r="J2244" s="369">
        <v>45211</v>
      </c>
      <c r="K2244" s="747">
        <v>0.375</v>
      </c>
      <c r="L2244" s="369">
        <v>45211</v>
      </c>
      <c r="M2244" s="753">
        <v>0.52083333333333337</v>
      </c>
      <c r="N2244" s="210">
        <v>3.5</v>
      </c>
      <c r="O2244" s="537" t="s">
        <v>17</v>
      </c>
      <c r="P2244" s="375" t="s">
        <v>3711</v>
      </c>
      <c r="Q2244" s="458" t="s">
        <v>258</v>
      </c>
      <c r="R2244" s="202" t="s">
        <v>81</v>
      </c>
      <c r="S2244" s="31" t="s">
        <v>273</v>
      </c>
      <c r="T2244" s="31" t="s">
        <v>273</v>
      </c>
      <c r="U2244" s="31">
        <f>IFERROR(VLOOKUP(CONCATENATE(Tabla1[[#This Row],[Severidad]]," ",Tabla1[[#This Row],[Complejidad]]),Catalogos!E$120:G$128,3,FALSE),"")</f>
        <v>64</v>
      </c>
      <c r="V2244" s="31" t="str">
        <f>IF(Tabla1[[#This Row],[Tiempo solución max (hrs)]]&lt;&gt;"",IF(Tabla1[[#This Row],[Tiempo solución max (hrs)]]&gt;=Tabla1[[#This Row],[Tiempo
(Hrs 00/100)]],"cumple","no cumple"),"")</f>
        <v>cumple</v>
      </c>
      <c r="W2244" s="629" t="s">
        <v>3327</v>
      </c>
      <c r="X2244" s="377" t="str">
        <f t="shared" si="199"/>
        <v>SAW</v>
      </c>
      <c r="Y2244" t="str">
        <f>SUBSTITUTE(Tabla1[[#This Row],[Descripción]],CHAR(10),"    I    ")</f>
        <v xml:space="preserve">Actualizacion CIT </v>
      </c>
      <c r="Z2244" s="142">
        <f>VLOOKUP(Tabla1[[#This Row],[Perfil]],Catalogos!$B$75:$D$100,3,FALSE)*Tabla1[[#This Row],[Tiempo
(Hrs 00/100)]]*1.16</f>
        <v>2029.9999999999998</v>
      </c>
    </row>
    <row r="2245" spans="1:26" ht="15" customHeight="1" x14ac:dyDescent="0.3">
      <c r="A2245" s="370" t="s">
        <v>22</v>
      </c>
      <c r="B2245" s="370" t="s">
        <v>68</v>
      </c>
      <c r="C2245" s="418" t="s">
        <v>16</v>
      </c>
      <c r="D2245" s="370"/>
      <c r="E2245" s="370" t="s">
        <v>503</v>
      </c>
      <c r="F2245" s="370" t="s">
        <v>75</v>
      </c>
      <c r="G2245" s="370" t="s">
        <v>4023</v>
      </c>
      <c r="H2245" s="419" t="s">
        <v>436</v>
      </c>
      <c r="I2245" s="420" t="s">
        <v>3739</v>
      </c>
      <c r="J2245" s="369">
        <v>45211</v>
      </c>
      <c r="K2245" s="747">
        <v>0.52083333333333337</v>
      </c>
      <c r="L2245" s="369">
        <v>45211</v>
      </c>
      <c r="M2245" s="753">
        <v>0.60416666666666663</v>
      </c>
      <c r="N2245" s="210">
        <v>2</v>
      </c>
      <c r="O2245" s="537" t="s">
        <v>17</v>
      </c>
      <c r="P2245" s="375" t="s">
        <v>3724</v>
      </c>
      <c r="Q2245" s="458" t="s">
        <v>258</v>
      </c>
      <c r="R2245" s="202" t="s">
        <v>81</v>
      </c>
      <c r="S2245" s="31" t="s">
        <v>273</v>
      </c>
      <c r="T2245" s="31" t="s">
        <v>273</v>
      </c>
      <c r="U2245" s="31">
        <f>IFERROR(VLOOKUP(CONCATENATE(Tabla1[[#This Row],[Severidad]]," ",Tabla1[[#This Row],[Complejidad]]),Catalogos!E$120:G$128,3,FALSE),"")</f>
        <v>64</v>
      </c>
      <c r="V2245" s="31" t="str">
        <f>IF(Tabla1[[#This Row],[Tiempo solución max (hrs)]]&lt;&gt;"",IF(Tabla1[[#This Row],[Tiempo solución max (hrs)]]&gt;=Tabla1[[#This Row],[Tiempo
(Hrs 00/100)]],"cumple","no cumple"),"")</f>
        <v>cumple</v>
      </c>
      <c r="W2245" s="629" t="s">
        <v>3327</v>
      </c>
      <c r="X2245" s="377" t="str">
        <f t="shared" si="199"/>
        <v>SAW</v>
      </c>
      <c r="Y2245" t="str">
        <f>SUBSTITUTE(Tabla1[[#This Row],[Descripción]],CHAR(10),"    I    ")</f>
        <v xml:space="preserve">Actualizacion de avance de proyecto </v>
      </c>
      <c r="Z2245" s="142">
        <f>VLOOKUP(Tabla1[[#This Row],[Perfil]],Catalogos!$B$75:$D$100,3,FALSE)*Tabla1[[#This Row],[Tiempo
(Hrs 00/100)]]*1.16</f>
        <v>1160</v>
      </c>
    </row>
    <row r="2246" spans="1:26" ht="15" customHeight="1" x14ac:dyDescent="0.3">
      <c r="A2246" s="370" t="s">
        <v>22</v>
      </c>
      <c r="B2246" s="370" t="s">
        <v>68</v>
      </c>
      <c r="C2246" s="418" t="s">
        <v>16</v>
      </c>
      <c r="D2246" s="370"/>
      <c r="E2246" s="370" t="s">
        <v>503</v>
      </c>
      <c r="F2246" s="370" t="s">
        <v>75</v>
      </c>
      <c r="G2246" s="370" t="s">
        <v>4024</v>
      </c>
      <c r="H2246" s="419" t="s">
        <v>436</v>
      </c>
      <c r="I2246" s="420" t="s">
        <v>3722</v>
      </c>
      <c r="J2246" s="369">
        <v>45211</v>
      </c>
      <c r="K2246" s="747">
        <v>0.66666666666666663</v>
      </c>
      <c r="L2246" s="369">
        <v>45211</v>
      </c>
      <c r="M2246" s="753">
        <v>0.79166666666666663</v>
      </c>
      <c r="N2246" s="210">
        <v>3</v>
      </c>
      <c r="O2246" s="537" t="s">
        <v>17</v>
      </c>
      <c r="P2246" s="375" t="s">
        <v>3711</v>
      </c>
      <c r="Q2246" s="458" t="s">
        <v>258</v>
      </c>
      <c r="R2246" s="202" t="s">
        <v>81</v>
      </c>
      <c r="S2246" s="31" t="s">
        <v>273</v>
      </c>
      <c r="T2246" s="31" t="s">
        <v>273</v>
      </c>
      <c r="U2246" s="31">
        <f>IFERROR(VLOOKUP(CONCATENATE(Tabla1[[#This Row],[Severidad]]," ",Tabla1[[#This Row],[Complejidad]]),Catalogos!E$120:G$128,3,FALSE),"")</f>
        <v>64</v>
      </c>
      <c r="V2246" s="31" t="str">
        <f>IF(Tabla1[[#This Row],[Tiempo solución max (hrs)]]&lt;&gt;"",IF(Tabla1[[#This Row],[Tiempo solución max (hrs)]]&gt;=Tabla1[[#This Row],[Tiempo
(Hrs 00/100)]],"cumple","no cumple"),"")</f>
        <v>cumple</v>
      </c>
      <c r="W2246" s="629" t="s">
        <v>3327</v>
      </c>
      <c r="X2246" s="377" t="str">
        <f t="shared" si="199"/>
        <v>SAW</v>
      </c>
      <c r="Y2246" t="str">
        <f>SUBSTITUTE(Tabla1[[#This Row],[Descripción]],CHAR(10),"    I    ")</f>
        <v xml:space="preserve">actualizacion pagina web </v>
      </c>
      <c r="Z2246" s="142">
        <f>VLOOKUP(Tabla1[[#This Row],[Perfil]],Catalogos!$B$75:$D$100,3,FALSE)*Tabla1[[#This Row],[Tiempo
(Hrs 00/100)]]*1.16</f>
        <v>1739.9999999999998</v>
      </c>
    </row>
    <row r="2247" spans="1:26" ht="15" customHeight="1" x14ac:dyDescent="0.3">
      <c r="A2247" s="370" t="s">
        <v>22</v>
      </c>
      <c r="B2247" s="370" t="s">
        <v>68</v>
      </c>
      <c r="C2247" s="418" t="s">
        <v>16</v>
      </c>
      <c r="D2247" s="370"/>
      <c r="E2247" s="370" t="s">
        <v>503</v>
      </c>
      <c r="F2247" s="370" t="s">
        <v>75</v>
      </c>
      <c r="G2247" s="370" t="s">
        <v>4025</v>
      </c>
      <c r="H2247" s="419" t="s">
        <v>436</v>
      </c>
      <c r="I2247" s="420" t="s">
        <v>2561</v>
      </c>
      <c r="J2247" s="369">
        <v>45212</v>
      </c>
      <c r="K2247" s="747">
        <v>0.375</v>
      </c>
      <c r="L2247" s="369">
        <v>45212</v>
      </c>
      <c r="M2247" s="753">
        <v>0.5</v>
      </c>
      <c r="N2247" s="210">
        <v>3</v>
      </c>
      <c r="O2247" s="537" t="s">
        <v>17</v>
      </c>
      <c r="P2247" s="375" t="s">
        <v>3711</v>
      </c>
      <c r="Q2247" s="458" t="s">
        <v>258</v>
      </c>
      <c r="R2247" s="202" t="s">
        <v>81</v>
      </c>
      <c r="S2247" s="31" t="s">
        <v>273</v>
      </c>
      <c r="T2247" s="31" t="s">
        <v>273</v>
      </c>
      <c r="U2247" s="31">
        <f>IFERROR(VLOOKUP(CONCATENATE(Tabla1[[#This Row],[Severidad]]," ",Tabla1[[#This Row],[Complejidad]]),Catalogos!E$120:G$128,3,FALSE),"")</f>
        <v>64</v>
      </c>
      <c r="V2247" s="31" t="str">
        <f>IF(Tabla1[[#This Row],[Tiempo solución max (hrs)]]&lt;&gt;"",IF(Tabla1[[#This Row],[Tiempo solución max (hrs)]]&gt;=Tabla1[[#This Row],[Tiempo
(Hrs 00/100)]],"cumple","no cumple"),"")</f>
        <v>cumple</v>
      </c>
      <c r="W2247" s="629" t="s">
        <v>3327</v>
      </c>
      <c r="X2247" s="377" t="str">
        <f t="shared" si="199"/>
        <v>SAW</v>
      </c>
      <c r="Y2247" t="str">
        <f>SUBSTITUTE(Tabla1[[#This Row],[Descripción]],CHAR(10),"    I    ")</f>
        <v xml:space="preserve">actualizacion SACP </v>
      </c>
      <c r="Z2247" s="142">
        <f>VLOOKUP(Tabla1[[#This Row],[Perfil]],Catalogos!$B$75:$D$100,3,FALSE)*Tabla1[[#This Row],[Tiempo
(Hrs 00/100)]]*1.16</f>
        <v>1739.9999999999998</v>
      </c>
    </row>
    <row r="2248" spans="1:26" ht="15" customHeight="1" x14ac:dyDescent="0.3">
      <c r="A2248" s="370" t="s">
        <v>22</v>
      </c>
      <c r="B2248" s="370" t="s">
        <v>68</v>
      </c>
      <c r="C2248" s="418" t="s">
        <v>16</v>
      </c>
      <c r="D2248" s="370"/>
      <c r="E2248" s="370" t="s">
        <v>503</v>
      </c>
      <c r="F2248" s="370" t="s">
        <v>75</v>
      </c>
      <c r="G2248" s="370" t="s">
        <v>4026</v>
      </c>
      <c r="H2248" s="419" t="s">
        <v>436</v>
      </c>
      <c r="I2248" s="420" t="s">
        <v>3740</v>
      </c>
      <c r="J2248" s="369">
        <v>45212</v>
      </c>
      <c r="K2248" s="747">
        <v>0.5</v>
      </c>
      <c r="L2248" s="369">
        <v>45212</v>
      </c>
      <c r="M2248" s="753">
        <v>0.54166666666666663</v>
      </c>
      <c r="N2248" s="210">
        <v>1</v>
      </c>
      <c r="O2248" s="537" t="s">
        <v>17</v>
      </c>
      <c r="P2248" s="375" t="s">
        <v>3741</v>
      </c>
      <c r="Q2248" s="458" t="s">
        <v>258</v>
      </c>
      <c r="R2248" s="202" t="s">
        <v>81</v>
      </c>
      <c r="S2248" s="31" t="s">
        <v>273</v>
      </c>
      <c r="T2248" s="31" t="s">
        <v>273</v>
      </c>
      <c r="U2248" s="31">
        <f>IFERROR(VLOOKUP(CONCATENATE(Tabla1[[#This Row],[Severidad]]," ",Tabla1[[#This Row],[Complejidad]]),Catalogos!E$120:G$128,3,FALSE),"")</f>
        <v>64</v>
      </c>
      <c r="V2248" s="31" t="str">
        <f>IF(Tabla1[[#This Row],[Tiempo solución max (hrs)]]&lt;&gt;"",IF(Tabla1[[#This Row],[Tiempo solución max (hrs)]]&gt;=Tabla1[[#This Row],[Tiempo
(Hrs 00/100)]],"cumple","no cumple"),"")</f>
        <v>cumple</v>
      </c>
      <c r="W2248" s="629" t="s">
        <v>3327</v>
      </c>
      <c r="X2248" s="377" t="str">
        <f t="shared" si="199"/>
        <v>SAW</v>
      </c>
      <c r="Y2248" t="str">
        <f>SUBSTITUTE(Tabla1[[#This Row],[Descripción]],CHAR(10),"    I    ")</f>
        <v xml:space="preserve">actualizacion pagina web carga </v>
      </c>
      <c r="Z2248" s="142">
        <f>VLOOKUP(Tabla1[[#This Row],[Perfil]],Catalogos!$B$75:$D$100,3,FALSE)*Tabla1[[#This Row],[Tiempo
(Hrs 00/100)]]*1.16</f>
        <v>580</v>
      </c>
    </row>
    <row r="2249" spans="1:26" ht="15" customHeight="1" x14ac:dyDescent="0.3">
      <c r="A2249" s="370" t="s">
        <v>22</v>
      </c>
      <c r="B2249" s="370" t="s">
        <v>68</v>
      </c>
      <c r="C2249" s="418" t="s">
        <v>16</v>
      </c>
      <c r="D2249" s="370"/>
      <c r="E2249" s="370" t="s">
        <v>503</v>
      </c>
      <c r="F2249" s="370" t="s">
        <v>75</v>
      </c>
      <c r="G2249" s="370" t="s">
        <v>4027</v>
      </c>
      <c r="H2249" s="419" t="s">
        <v>436</v>
      </c>
      <c r="I2249" s="420" t="s">
        <v>3742</v>
      </c>
      <c r="J2249" s="369">
        <v>45212</v>
      </c>
      <c r="K2249" s="747">
        <v>0.54166666666666663</v>
      </c>
      <c r="L2249" s="369">
        <v>45212</v>
      </c>
      <c r="M2249" s="753">
        <v>0.625</v>
      </c>
      <c r="N2249" s="210">
        <v>2</v>
      </c>
      <c r="O2249" s="537" t="s">
        <v>17</v>
      </c>
      <c r="P2249" s="375" t="s">
        <v>3728</v>
      </c>
      <c r="Q2249" s="458" t="s">
        <v>258</v>
      </c>
      <c r="R2249" s="202" t="s">
        <v>81</v>
      </c>
      <c r="S2249" s="31" t="s">
        <v>273</v>
      </c>
      <c r="T2249" s="31" t="s">
        <v>273</v>
      </c>
      <c r="U2249" s="31">
        <f>IFERROR(VLOOKUP(CONCATENATE(Tabla1[[#This Row],[Severidad]]," ",Tabla1[[#This Row],[Complejidad]]),Catalogos!E$120:G$128,3,FALSE),"")</f>
        <v>64</v>
      </c>
      <c r="V2249" s="31" t="str">
        <f>IF(Tabla1[[#This Row],[Tiempo solución max (hrs)]]&lt;&gt;"",IF(Tabla1[[#This Row],[Tiempo solución max (hrs)]]&gt;=Tabla1[[#This Row],[Tiempo
(Hrs 00/100)]],"cumple","no cumple"),"")</f>
        <v>cumple</v>
      </c>
      <c r="W2249" s="629" t="s">
        <v>3327</v>
      </c>
      <c r="X2249" s="377" t="str">
        <f t="shared" ref="X2249:X2280" si="200">IF(C2249&lt;&gt;"",C2249,D2249)</f>
        <v>SAW</v>
      </c>
      <c r="Y2249" t="str">
        <f>SUBSTITUTE(Tabla1[[#This Row],[Descripción]],CHAR(10),"    I    ")</f>
        <v xml:space="preserve">actualizacion micrositios </v>
      </c>
      <c r="Z2249" s="142">
        <f>VLOOKUP(Tabla1[[#This Row],[Perfil]],Catalogos!$B$75:$D$100,3,FALSE)*Tabla1[[#This Row],[Tiempo
(Hrs 00/100)]]*1.16</f>
        <v>1160</v>
      </c>
    </row>
    <row r="2250" spans="1:26" ht="15" customHeight="1" x14ac:dyDescent="0.3">
      <c r="A2250" s="370" t="s">
        <v>22</v>
      </c>
      <c r="B2250" s="370" t="s">
        <v>68</v>
      </c>
      <c r="C2250" s="418" t="s">
        <v>16</v>
      </c>
      <c r="D2250" s="370"/>
      <c r="E2250" s="370" t="s">
        <v>503</v>
      </c>
      <c r="F2250" s="370" t="s">
        <v>75</v>
      </c>
      <c r="G2250" s="370" t="s">
        <v>4028</v>
      </c>
      <c r="H2250" s="419" t="s">
        <v>436</v>
      </c>
      <c r="I2250" s="420" t="s">
        <v>3743</v>
      </c>
      <c r="J2250" s="369">
        <v>45215</v>
      </c>
      <c r="K2250" s="747">
        <v>0.375</v>
      </c>
      <c r="L2250" s="369">
        <v>45215</v>
      </c>
      <c r="M2250" s="753">
        <v>0.52083333333333337</v>
      </c>
      <c r="N2250" s="210">
        <v>3.5</v>
      </c>
      <c r="O2250" s="537" t="s">
        <v>17</v>
      </c>
      <c r="P2250" s="375" t="s">
        <v>3721</v>
      </c>
      <c r="Q2250" s="458" t="s">
        <v>258</v>
      </c>
      <c r="R2250" s="202" t="s">
        <v>81</v>
      </c>
      <c r="S2250" s="31" t="s">
        <v>273</v>
      </c>
      <c r="T2250" s="31" t="s">
        <v>273</v>
      </c>
      <c r="U2250" s="31">
        <f>IFERROR(VLOOKUP(CONCATENATE(Tabla1[[#This Row],[Severidad]]," ",Tabla1[[#This Row],[Complejidad]]),Catalogos!E$120:G$128,3,FALSE),"")</f>
        <v>64</v>
      </c>
      <c r="V2250" s="31" t="str">
        <f>IF(Tabla1[[#This Row],[Tiempo solución max (hrs)]]&lt;&gt;"",IF(Tabla1[[#This Row],[Tiempo solución max (hrs)]]&gt;=Tabla1[[#This Row],[Tiempo
(Hrs 00/100)]],"cumple","no cumple"),"")</f>
        <v>cumple</v>
      </c>
      <c r="W2250" s="629" t="s">
        <v>3327</v>
      </c>
      <c r="X2250" s="377" t="str">
        <f t="shared" si="200"/>
        <v>SAW</v>
      </c>
      <c r="Y2250" t="str">
        <f>SUBSTITUTE(Tabla1[[#This Row],[Descripción]],CHAR(10),"    I    ")</f>
        <v xml:space="preserve">actualizacion contenido INAI </v>
      </c>
      <c r="Z2250" s="142">
        <f>VLOOKUP(Tabla1[[#This Row],[Perfil]],Catalogos!$B$75:$D$100,3,FALSE)*Tabla1[[#This Row],[Tiempo
(Hrs 00/100)]]*1.16</f>
        <v>2029.9999999999998</v>
      </c>
    </row>
    <row r="2251" spans="1:26" ht="15" customHeight="1" x14ac:dyDescent="0.3">
      <c r="A2251" s="370" t="s">
        <v>22</v>
      </c>
      <c r="B2251" s="370" t="s">
        <v>68</v>
      </c>
      <c r="C2251" s="418" t="s">
        <v>16</v>
      </c>
      <c r="D2251" s="370"/>
      <c r="E2251" s="370" t="s">
        <v>503</v>
      </c>
      <c r="F2251" s="370" t="s">
        <v>75</v>
      </c>
      <c r="G2251" s="370" t="s">
        <v>4029</v>
      </c>
      <c r="H2251" s="419" t="s">
        <v>436</v>
      </c>
      <c r="I2251" s="420" t="s">
        <v>3744</v>
      </c>
      <c r="J2251" s="369">
        <v>45215</v>
      </c>
      <c r="K2251" s="747">
        <v>0.52083333333333337</v>
      </c>
      <c r="L2251" s="369">
        <v>45215</v>
      </c>
      <c r="M2251" s="753">
        <v>0.60416666666666663</v>
      </c>
      <c r="N2251" s="210">
        <v>2</v>
      </c>
      <c r="O2251" s="537" t="s">
        <v>17</v>
      </c>
      <c r="P2251" s="375" t="s">
        <v>3728</v>
      </c>
      <c r="Q2251" s="458" t="s">
        <v>258</v>
      </c>
      <c r="R2251" s="202" t="s">
        <v>81</v>
      </c>
      <c r="S2251" s="31" t="s">
        <v>273</v>
      </c>
      <c r="T2251" s="31" t="s">
        <v>273</v>
      </c>
      <c r="U2251" s="31">
        <f>IFERROR(VLOOKUP(CONCATENATE(Tabla1[[#This Row],[Severidad]]," ",Tabla1[[#This Row],[Complejidad]]),Catalogos!E$120:G$128,3,FALSE),"")</f>
        <v>64</v>
      </c>
      <c r="V2251" s="31" t="str">
        <f>IF(Tabla1[[#This Row],[Tiempo solución max (hrs)]]&lt;&gt;"",IF(Tabla1[[#This Row],[Tiempo solución max (hrs)]]&gt;=Tabla1[[#This Row],[Tiempo
(Hrs 00/100)]],"cumple","no cumple"),"")</f>
        <v>cumple</v>
      </c>
      <c r="W2251" s="629" t="s">
        <v>3327</v>
      </c>
      <c r="X2251" s="377" t="str">
        <f t="shared" si="200"/>
        <v>SAW</v>
      </c>
      <c r="Y2251" t="str">
        <f>SUBSTITUTE(Tabla1[[#This Row],[Descripción]],CHAR(10),"    I    ")</f>
        <v xml:space="preserve">actualizacion de inventario micrositio </v>
      </c>
      <c r="Z2251" s="142">
        <f>VLOOKUP(Tabla1[[#This Row],[Perfil]],Catalogos!$B$75:$D$100,3,FALSE)*Tabla1[[#This Row],[Tiempo
(Hrs 00/100)]]*1.16</f>
        <v>1160</v>
      </c>
    </row>
    <row r="2252" spans="1:26" ht="15" customHeight="1" x14ac:dyDescent="0.3">
      <c r="A2252" s="370" t="s">
        <v>22</v>
      </c>
      <c r="B2252" s="370" t="s">
        <v>68</v>
      </c>
      <c r="C2252" s="418" t="s">
        <v>16</v>
      </c>
      <c r="D2252" s="370"/>
      <c r="E2252" s="370" t="s">
        <v>503</v>
      </c>
      <c r="F2252" s="370" t="s">
        <v>75</v>
      </c>
      <c r="G2252" s="370" t="s">
        <v>4030</v>
      </c>
      <c r="H2252" s="419" t="s">
        <v>436</v>
      </c>
      <c r="I2252" s="420" t="s">
        <v>3745</v>
      </c>
      <c r="J2252" s="369">
        <v>45215</v>
      </c>
      <c r="K2252" s="747">
        <v>0.66666666666666663</v>
      </c>
      <c r="L2252" s="369">
        <v>45215</v>
      </c>
      <c r="M2252" s="753">
        <v>0.79166666666666663</v>
      </c>
      <c r="N2252" s="210">
        <v>3</v>
      </c>
      <c r="O2252" s="537" t="s">
        <v>17</v>
      </c>
      <c r="P2252" s="375" t="s">
        <v>3715</v>
      </c>
      <c r="Q2252" s="458" t="s">
        <v>258</v>
      </c>
      <c r="R2252" s="202" t="s">
        <v>81</v>
      </c>
      <c r="S2252" s="31" t="s">
        <v>273</v>
      </c>
      <c r="T2252" s="31" t="s">
        <v>273</v>
      </c>
      <c r="U2252" s="31">
        <f>IFERROR(VLOOKUP(CONCATENATE(Tabla1[[#This Row],[Severidad]]," ",Tabla1[[#This Row],[Complejidad]]),Catalogos!E$120:G$128,3,FALSE),"")</f>
        <v>64</v>
      </c>
      <c r="V2252" s="31" t="str">
        <f>IF(Tabla1[[#This Row],[Tiempo solución max (hrs)]]&lt;&gt;"",IF(Tabla1[[#This Row],[Tiempo solución max (hrs)]]&gt;=Tabla1[[#This Row],[Tiempo
(Hrs 00/100)]],"cumple","no cumple"),"")</f>
        <v>cumple</v>
      </c>
      <c r="W2252" s="629" t="s">
        <v>3327</v>
      </c>
      <c r="X2252" s="377" t="str">
        <f t="shared" si="200"/>
        <v>SAW</v>
      </c>
      <c r="Y2252" t="str">
        <f>SUBSTITUTE(Tabla1[[#This Row],[Descripción]],CHAR(10),"    I    ")</f>
        <v xml:space="preserve">Ajustes sitio RTA </v>
      </c>
      <c r="Z2252" s="142">
        <f>VLOOKUP(Tabla1[[#This Row],[Perfil]],Catalogos!$B$75:$D$100,3,FALSE)*Tabla1[[#This Row],[Tiempo
(Hrs 00/100)]]*1.16</f>
        <v>1739.9999999999998</v>
      </c>
    </row>
    <row r="2253" spans="1:26" ht="15" customHeight="1" x14ac:dyDescent="0.3">
      <c r="A2253" s="370" t="s">
        <v>22</v>
      </c>
      <c r="B2253" s="370" t="s">
        <v>68</v>
      </c>
      <c r="C2253" s="418" t="s">
        <v>16</v>
      </c>
      <c r="D2253" s="370"/>
      <c r="E2253" s="370" t="s">
        <v>503</v>
      </c>
      <c r="F2253" s="370" t="s">
        <v>75</v>
      </c>
      <c r="G2253" s="370" t="s">
        <v>4031</v>
      </c>
      <c r="H2253" s="419" t="s">
        <v>436</v>
      </c>
      <c r="I2253" s="420" t="s">
        <v>3745</v>
      </c>
      <c r="J2253" s="369">
        <v>45216</v>
      </c>
      <c r="K2253" s="747">
        <v>0.375</v>
      </c>
      <c r="L2253" s="369">
        <v>45216</v>
      </c>
      <c r="M2253" s="753">
        <v>0.52083333333333337</v>
      </c>
      <c r="N2253" s="210">
        <v>3.5</v>
      </c>
      <c r="O2253" s="537" t="s">
        <v>17</v>
      </c>
      <c r="P2253" s="375" t="s">
        <v>3715</v>
      </c>
      <c r="Q2253" s="458" t="s">
        <v>258</v>
      </c>
      <c r="R2253" s="202" t="s">
        <v>81</v>
      </c>
      <c r="S2253" s="31" t="s">
        <v>273</v>
      </c>
      <c r="T2253" s="31" t="s">
        <v>273</v>
      </c>
      <c r="U2253" s="31">
        <f>IFERROR(VLOOKUP(CONCATENATE(Tabla1[[#This Row],[Severidad]]," ",Tabla1[[#This Row],[Complejidad]]),Catalogos!E$120:G$128,3,FALSE),"")</f>
        <v>64</v>
      </c>
      <c r="V2253" s="31" t="str">
        <f>IF(Tabla1[[#This Row],[Tiempo solución max (hrs)]]&lt;&gt;"",IF(Tabla1[[#This Row],[Tiempo solución max (hrs)]]&gt;=Tabla1[[#This Row],[Tiempo
(Hrs 00/100)]],"cumple","no cumple"),"")</f>
        <v>cumple</v>
      </c>
      <c r="W2253" s="629" t="s">
        <v>3327</v>
      </c>
      <c r="X2253" s="377" t="str">
        <f t="shared" si="200"/>
        <v>SAW</v>
      </c>
      <c r="Y2253" t="str">
        <f>SUBSTITUTE(Tabla1[[#This Row],[Descripción]],CHAR(10),"    I    ")</f>
        <v xml:space="preserve">Ajustes sitio RTA </v>
      </c>
      <c r="Z2253" s="142">
        <f>VLOOKUP(Tabla1[[#This Row],[Perfil]],Catalogos!$B$75:$D$100,3,FALSE)*Tabla1[[#This Row],[Tiempo
(Hrs 00/100)]]*1.16</f>
        <v>2029.9999999999998</v>
      </c>
    </row>
    <row r="2254" spans="1:26" ht="15" customHeight="1" x14ac:dyDescent="0.3">
      <c r="A2254" s="370" t="s">
        <v>22</v>
      </c>
      <c r="B2254" s="370" t="s">
        <v>68</v>
      </c>
      <c r="C2254" s="418" t="s">
        <v>16</v>
      </c>
      <c r="D2254" s="370"/>
      <c r="E2254" s="370" t="s">
        <v>503</v>
      </c>
      <c r="F2254" s="370" t="s">
        <v>75</v>
      </c>
      <c r="G2254" s="370" t="s">
        <v>4032</v>
      </c>
      <c r="H2254" s="419" t="s">
        <v>436</v>
      </c>
      <c r="I2254" s="420" t="s">
        <v>3746</v>
      </c>
      <c r="J2254" s="369">
        <v>45216</v>
      </c>
      <c r="K2254" s="747">
        <v>0.52083333333333337</v>
      </c>
      <c r="L2254" s="369">
        <v>45216</v>
      </c>
      <c r="M2254" s="753">
        <v>0.60416666666666663</v>
      </c>
      <c r="N2254" s="210">
        <v>2</v>
      </c>
      <c r="O2254" s="537" t="s">
        <v>17</v>
      </c>
      <c r="P2254" s="375" t="s">
        <v>3741</v>
      </c>
      <c r="Q2254" s="458" t="s">
        <v>258</v>
      </c>
      <c r="R2254" s="202" t="s">
        <v>81</v>
      </c>
      <c r="S2254" s="31" t="s">
        <v>273</v>
      </c>
      <c r="T2254" s="31" t="s">
        <v>273</v>
      </c>
      <c r="U2254" s="31">
        <f>IFERROR(VLOOKUP(CONCATENATE(Tabla1[[#This Row],[Severidad]]," ",Tabla1[[#This Row],[Complejidad]]),Catalogos!E$120:G$128,3,FALSE),"")</f>
        <v>64</v>
      </c>
      <c r="V2254" s="31" t="str">
        <f>IF(Tabla1[[#This Row],[Tiempo solución max (hrs)]]&lt;&gt;"",IF(Tabla1[[#This Row],[Tiempo solución max (hrs)]]&gt;=Tabla1[[#This Row],[Tiempo
(Hrs 00/100)]],"cumple","no cumple"),"")</f>
        <v>cumple</v>
      </c>
      <c r="W2254" s="629" t="s">
        <v>3327</v>
      </c>
      <c r="X2254" s="377" t="str">
        <f t="shared" si="200"/>
        <v>SAW</v>
      </c>
      <c r="Y2254" t="str">
        <f>SUBSTITUTE(Tabla1[[#This Row],[Descripción]],CHAR(10),"    I    ")</f>
        <v>Insumos micrositio Criterios del SNT</v>
      </c>
      <c r="Z2254" s="142">
        <f>VLOOKUP(Tabla1[[#This Row],[Perfil]],Catalogos!$B$75:$D$100,3,FALSE)*Tabla1[[#This Row],[Tiempo
(Hrs 00/100)]]*1.16</f>
        <v>1160</v>
      </c>
    </row>
    <row r="2255" spans="1:26" ht="15" customHeight="1" x14ac:dyDescent="0.3">
      <c r="A2255" s="370" t="s">
        <v>22</v>
      </c>
      <c r="B2255" s="370" t="s">
        <v>68</v>
      </c>
      <c r="C2255" s="418" t="s">
        <v>16</v>
      </c>
      <c r="D2255" s="370"/>
      <c r="E2255" s="370" t="s">
        <v>503</v>
      </c>
      <c r="F2255" s="370" t="s">
        <v>75</v>
      </c>
      <c r="G2255" s="370" t="s">
        <v>4033</v>
      </c>
      <c r="H2255" s="419" t="s">
        <v>436</v>
      </c>
      <c r="I2255" s="420" t="s">
        <v>3747</v>
      </c>
      <c r="J2255" s="369">
        <v>45216</v>
      </c>
      <c r="K2255" s="747">
        <v>0.66666666666666663</v>
      </c>
      <c r="L2255" s="369">
        <v>45216</v>
      </c>
      <c r="M2255" s="753">
        <v>0.70833333333333337</v>
      </c>
      <c r="N2255" s="210">
        <v>1</v>
      </c>
      <c r="O2255" s="537" t="s">
        <v>17</v>
      </c>
      <c r="P2255" s="375" t="s">
        <v>3748</v>
      </c>
      <c r="Q2255" s="458" t="s">
        <v>258</v>
      </c>
      <c r="R2255" s="202" t="s">
        <v>81</v>
      </c>
      <c r="S2255" s="31" t="s">
        <v>273</v>
      </c>
      <c r="T2255" s="31" t="s">
        <v>273</v>
      </c>
      <c r="U2255" s="31">
        <f>IFERROR(VLOOKUP(CONCATENATE(Tabla1[[#This Row],[Severidad]]," ",Tabla1[[#This Row],[Complejidad]]),Catalogos!E$120:G$128,3,FALSE),"")</f>
        <v>64</v>
      </c>
      <c r="V2255" s="31" t="str">
        <f>IF(Tabla1[[#This Row],[Tiempo solución max (hrs)]]&lt;&gt;"",IF(Tabla1[[#This Row],[Tiempo solución max (hrs)]]&gt;=Tabla1[[#This Row],[Tiempo
(Hrs 00/100)]],"cumple","no cumple"),"")</f>
        <v>cumple</v>
      </c>
      <c r="W2255" s="629" t="s">
        <v>3327</v>
      </c>
      <c r="X2255" s="377" t="str">
        <f t="shared" si="200"/>
        <v>SAW</v>
      </c>
      <c r="Y2255" t="str">
        <f>SUBSTITUTE(Tabla1[[#This Row],[Descripción]],CHAR(10),"    I    ")</f>
        <v xml:space="preserve">actualizacion cambio de control </v>
      </c>
      <c r="Z2255" s="142">
        <f>VLOOKUP(Tabla1[[#This Row],[Perfil]],Catalogos!$B$75:$D$100,3,FALSE)*Tabla1[[#This Row],[Tiempo
(Hrs 00/100)]]*1.16</f>
        <v>580</v>
      </c>
    </row>
    <row r="2256" spans="1:26" ht="15" customHeight="1" x14ac:dyDescent="0.3">
      <c r="A2256" s="370" t="s">
        <v>22</v>
      </c>
      <c r="B2256" s="370" t="s">
        <v>68</v>
      </c>
      <c r="C2256" s="418" t="s">
        <v>16</v>
      </c>
      <c r="D2256" s="370"/>
      <c r="E2256" s="370" t="s">
        <v>503</v>
      </c>
      <c r="F2256" s="370" t="s">
        <v>75</v>
      </c>
      <c r="G2256" s="370" t="s">
        <v>4034</v>
      </c>
      <c r="H2256" s="419" t="s">
        <v>436</v>
      </c>
      <c r="I2256" s="420" t="s">
        <v>3749</v>
      </c>
      <c r="J2256" s="369">
        <v>45216</v>
      </c>
      <c r="K2256" s="747">
        <v>0.70833333333333337</v>
      </c>
      <c r="L2256" s="369">
        <v>45216</v>
      </c>
      <c r="M2256" s="753">
        <v>0.79166666666666663</v>
      </c>
      <c r="N2256" s="210">
        <v>2</v>
      </c>
      <c r="O2256" s="537" t="s">
        <v>17</v>
      </c>
      <c r="P2256" s="375" t="s">
        <v>3719</v>
      </c>
      <c r="Q2256" s="458" t="s">
        <v>258</v>
      </c>
      <c r="R2256" s="202" t="s">
        <v>81</v>
      </c>
      <c r="S2256" s="31" t="s">
        <v>273</v>
      </c>
      <c r="T2256" s="31" t="s">
        <v>273</v>
      </c>
      <c r="U2256" s="31">
        <f>IFERROR(VLOOKUP(CONCATENATE(Tabla1[[#This Row],[Severidad]]," ",Tabla1[[#This Row],[Complejidad]]),Catalogos!E$120:G$128,3,FALSE),"")</f>
        <v>64</v>
      </c>
      <c r="V2256" s="31" t="str">
        <f>IF(Tabla1[[#This Row],[Tiempo solución max (hrs)]]&lt;&gt;"",IF(Tabla1[[#This Row],[Tiempo solución max (hrs)]]&gt;=Tabla1[[#This Row],[Tiempo
(Hrs 00/100)]],"cumple","no cumple"),"")</f>
        <v>cumple</v>
      </c>
      <c r="W2256" s="629" t="s">
        <v>3327</v>
      </c>
      <c r="X2256" s="377" t="str">
        <f t="shared" si="200"/>
        <v>SAW</v>
      </c>
      <c r="Y2256" t="str">
        <f>SUBSTITUTE(Tabla1[[#This Row],[Descripción]],CHAR(10),"    I    ")</f>
        <v xml:space="preserve">actualizacion consejo directivo </v>
      </c>
      <c r="Z2256" s="142">
        <f>VLOOKUP(Tabla1[[#This Row],[Perfil]],Catalogos!$B$75:$D$100,3,FALSE)*Tabla1[[#This Row],[Tiempo
(Hrs 00/100)]]*1.16</f>
        <v>1160</v>
      </c>
    </row>
    <row r="2257" spans="1:26" ht="15" customHeight="1" x14ac:dyDescent="0.3">
      <c r="A2257" s="370" t="s">
        <v>22</v>
      </c>
      <c r="B2257" s="370" t="s">
        <v>68</v>
      </c>
      <c r="C2257" s="418" t="s">
        <v>16</v>
      </c>
      <c r="D2257" s="370"/>
      <c r="E2257" s="370" t="s">
        <v>503</v>
      </c>
      <c r="F2257" s="370" t="s">
        <v>75</v>
      </c>
      <c r="G2257" s="370" t="s">
        <v>4035</v>
      </c>
      <c r="H2257" s="419" t="s">
        <v>436</v>
      </c>
      <c r="I2257" s="420" t="s">
        <v>3729</v>
      </c>
      <c r="J2257" s="369">
        <v>45217</v>
      </c>
      <c r="K2257" s="747">
        <v>0.375</v>
      </c>
      <c r="L2257" s="369">
        <v>45217</v>
      </c>
      <c r="M2257" s="753">
        <v>0.52083333333333337</v>
      </c>
      <c r="N2257" s="210">
        <v>3.5</v>
      </c>
      <c r="O2257" s="537" t="s">
        <v>17</v>
      </c>
      <c r="P2257" s="375" t="s">
        <v>3721</v>
      </c>
      <c r="Q2257" s="458" t="s">
        <v>258</v>
      </c>
      <c r="R2257" s="202" t="s">
        <v>81</v>
      </c>
      <c r="S2257" s="31" t="s">
        <v>273</v>
      </c>
      <c r="T2257" s="31" t="s">
        <v>273</v>
      </c>
      <c r="U2257" s="31">
        <f>IFERROR(VLOOKUP(CONCATENATE(Tabla1[[#This Row],[Severidad]]," ",Tabla1[[#This Row],[Complejidad]]),Catalogos!E$120:G$128,3,FALSE),"")</f>
        <v>64</v>
      </c>
      <c r="V2257" s="31" t="str">
        <f>IF(Tabla1[[#This Row],[Tiempo solución max (hrs)]]&lt;&gt;"",IF(Tabla1[[#This Row],[Tiempo solución max (hrs)]]&gt;=Tabla1[[#This Row],[Tiempo
(Hrs 00/100)]],"cumple","no cumple"),"")</f>
        <v>cumple</v>
      </c>
      <c r="W2257" s="629" t="s">
        <v>3327</v>
      </c>
      <c r="X2257" s="377" t="str">
        <f t="shared" si="200"/>
        <v>SAW</v>
      </c>
      <c r="Y2257" t="str">
        <f>SUBSTITUTE(Tabla1[[#This Row],[Descripción]],CHAR(10),"    I    ")</f>
        <v xml:space="preserve">actualizacion RTA encuentros </v>
      </c>
      <c r="Z2257" s="142">
        <f>VLOOKUP(Tabla1[[#This Row],[Perfil]],Catalogos!$B$75:$D$100,3,FALSE)*Tabla1[[#This Row],[Tiempo
(Hrs 00/100)]]*1.16</f>
        <v>2029.9999999999998</v>
      </c>
    </row>
    <row r="2258" spans="1:26" ht="15" customHeight="1" x14ac:dyDescent="0.3">
      <c r="A2258" s="370" t="s">
        <v>22</v>
      </c>
      <c r="B2258" s="370" t="s">
        <v>68</v>
      </c>
      <c r="C2258" s="418" t="s">
        <v>16</v>
      </c>
      <c r="D2258" s="370"/>
      <c r="E2258" s="370" t="s">
        <v>503</v>
      </c>
      <c r="F2258" s="370" t="s">
        <v>75</v>
      </c>
      <c r="G2258" s="370" t="s">
        <v>4036</v>
      </c>
      <c r="H2258" s="419" t="s">
        <v>436</v>
      </c>
      <c r="I2258" s="420" t="s">
        <v>3750</v>
      </c>
      <c r="J2258" s="369">
        <v>45217</v>
      </c>
      <c r="K2258" s="747">
        <v>0.52083333333333337</v>
      </c>
      <c r="L2258" s="369">
        <v>45217</v>
      </c>
      <c r="M2258" s="753">
        <v>0.60416666666666663</v>
      </c>
      <c r="N2258" s="210">
        <v>2</v>
      </c>
      <c r="O2258" s="537" t="s">
        <v>17</v>
      </c>
      <c r="P2258" s="375" t="s">
        <v>3721</v>
      </c>
      <c r="Q2258" s="458" t="s">
        <v>258</v>
      </c>
      <c r="R2258" s="202" t="s">
        <v>81</v>
      </c>
      <c r="S2258" s="31" t="s">
        <v>273</v>
      </c>
      <c r="T2258" s="31" t="s">
        <v>273</v>
      </c>
      <c r="U2258" s="31">
        <f>IFERROR(VLOOKUP(CONCATENATE(Tabla1[[#This Row],[Severidad]]," ",Tabla1[[#This Row],[Complejidad]]),Catalogos!E$120:G$128,3,FALSE),"")</f>
        <v>64</v>
      </c>
      <c r="V2258" s="31" t="str">
        <f>IF(Tabla1[[#This Row],[Tiempo solución max (hrs)]]&lt;&gt;"",IF(Tabla1[[#This Row],[Tiempo solución max (hrs)]]&gt;=Tabla1[[#This Row],[Tiempo
(Hrs 00/100)]],"cumple","no cumple"),"")</f>
        <v>cumple</v>
      </c>
      <c r="W2258" s="629" t="s">
        <v>3327</v>
      </c>
      <c r="X2258" s="377" t="str">
        <f t="shared" si="200"/>
        <v>SAW</v>
      </c>
      <c r="Y2258" t="str">
        <f>SUBSTITUTE(Tabla1[[#This Row],[Descripción]],CHAR(10),"    I    ")</f>
        <v xml:space="preserve">actualizacion contraseña GAP </v>
      </c>
      <c r="Z2258" s="142">
        <f>VLOOKUP(Tabla1[[#This Row],[Perfil]],Catalogos!$B$75:$D$100,3,FALSE)*Tabla1[[#This Row],[Tiempo
(Hrs 00/100)]]*1.16</f>
        <v>1160</v>
      </c>
    </row>
    <row r="2259" spans="1:26" ht="15" customHeight="1" x14ac:dyDescent="0.3">
      <c r="A2259" s="370" t="s">
        <v>22</v>
      </c>
      <c r="B2259" s="370" t="s">
        <v>68</v>
      </c>
      <c r="C2259" s="418" t="s">
        <v>16</v>
      </c>
      <c r="D2259" s="370"/>
      <c r="E2259" s="370" t="s">
        <v>503</v>
      </c>
      <c r="F2259" s="370" t="s">
        <v>75</v>
      </c>
      <c r="G2259" s="370" t="s">
        <v>4037</v>
      </c>
      <c r="H2259" s="419" t="s">
        <v>436</v>
      </c>
      <c r="I2259" s="420" t="s">
        <v>3751</v>
      </c>
      <c r="J2259" s="369">
        <v>45217</v>
      </c>
      <c r="K2259" s="747">
        <v>0.66666666666666663</v>
      </c>
      <c r="L2259" s="369">
        <v>45217</v>
      </c>
      <c r="M2259" s="753">
        <v>0.70833333333333337</v>
      </c>
      <c r="N2259" s="210">
        <v>1</v>
      </c>
      <c r="O2259" s="537" t="s">
        <v>17</v>
      </c>
      <c r="P2259" s="375" t="s">
        <v>3737</v>
      </c>
      <c r="Q2259" s="458" t="s">
        <v>258</v>
      </c>
      <c r="R2259" s="202" t="s">
        <v>81</v>
      </c>
      <c r="S2259" s="31" t="s">
        <v>273</v>
      </c>
      <c r="T2259" s="31" t="s">
        <v>273</v>
      </c>
      <c r="U2259" s="31">
        <f>IFERROR(VLOOKUP(CONCATENATE(Tabla1[[#This Row],[Severidad]]," ",Tabla1[[#This Row],[Complejidad]]),Catalogos!E$120:G$128,3,FALSE),"")</f>
        <v>64</v>
      </c>
      <c r="V2259" s="31" t="str">
        <f>IF(Tabla1[[#This Row],[Tiempo solución max (hrs)]]&lt;&gt;"",IF(Tabla1[[#This Row],[Tiempo solución max (hrs)]]&gt;=Tabla1[[#This Row],[Tiempo
(Hrs 00/100)]],"cumple","no cumple"),"")</f>
        <v>cumple</v>
      </c>
      <c r="W2259" s="629" t="s">
        <v>3327</v>
      </c>
      <c r="X2259" s="377" t="str">
        <f t="shared" si="200"/>
        <v>SAW</v>
      </c>
      <c r="Y2259" t="str">
        <f>SUBSTITUTE(Tabla1[[#This Row],[Descripción]],CHAR(10),"    I    ")</f>
        <v xml:space="preserve">actualizaciones estautus de peticiones </v>
      </c>
      <c r="Z2259" s="142">
        <f>VLOOKUP(Tabla1[[#This Row],[Perfil]],Catalogos!$B$75:$D$100,3,FALSE)*Tabla1[[#This Row],[Tiempo
(Hrs 00/100)]]*1.16</f>
        <v>580</v>
      </c>
    </row>
    <row r="2260" spans="1:26" ht="15" customHeight="1" x14ac:dyDescent="0.3">
      <c r="A2260" s="370" t="s">
        <v>22</v>
      </c>
      <c r="B2260" s="370" t="s">
        <v>68</v>
      </c>
      <c r="C2260" s="418" t="s">
        <v>16</v>
      </c>
      <c r="D2260" s="370"/>
      <c r="E2260" s="370" t="s">
        <v>503</v>
      </c>
      <c r="F2260" s="370" t="s">
        <v>75</v>
      </c>
      <c r="G2260" s="370" t="s">
        <v>4038</v>
      </c>
      <c r="H2260" s="419" t="s">
        <v>436</v>
      </c>
      <c r="I2260" s="420" t="s">
        <v>2544</v>
      </c>
      <c r="J2260" s="369">
        <v>45217</v>
      </c>
      <c r="K2260" s="747">
        <v>0.70833333333333337</v>
      </c>
      <c r="L2260" s="369">
        <v>45217</v>
      </c>
      <c r="M2260" s="753">
        <v>0.79166666666666663</v>
      </c>
      <c r="N2260" s="210">
        <v>2</v>
      </c>
      <c r="O2260" s="537" t="s">
        <v>17</v>
      </c>
      <c r="P2260" s="375" t="s">
        <v>3711</v>
      </c>
      <c r="Q2260" s="458" t="s">
        <v>258</v>
      </c>
      <c r="R2260" s="202" t="s">
        <v>81</v>
      </c>
      <c r="S2260" s="31" t="s">
        <v>273</v>
      </c>
      <c r="T2260" s="31" t="s">
        <v>273</v>
      </c>
      <c r="U2260" s="31">
        <f>IFERROR(VLOOKUP(CONCATENATE(Tabla1[[#This Row],[Severidad]]," ",Tabla1[[#This Row],[Complejidad]]),Catalogos!E$120:G$128,3,FALSE),"")</f>
        <v>64</v>
      </c>
      <c r="V2260" s="31" t="str">
        <f>IF(Tabla1[[#This Row],[Tiempo solución max (hrs)]]&lt;&gt;"",IF(Tabla1[[#This Row],[Tiempo solución max (hrs)]]&gt;=Tabla1[[#This Row],[Tiempo
(Hrs 00/100)]],"cumple","no cumple"),"")</f>
        <v>cumple</v>
      </c>
      <c r="W2260" s="629" t="s">
        <v>3327</v>
      </c>
      <c r="X2260" s="377" t="str">
        <f t="shared" si="200"/>
        <v>SAW</v>
      </c>
      <c r="Y2260" t="str">
        <f>SUBSTITUTE(Tabla1[[#This Row],[Descripción]],CHAR(10),"    I    ")</f>
        <v xml:space="preserve">actualizacion pagina consejo consultivo </v>
      </c>
      <c r="Z2260" s="142">
        <f>VLOOKUP(Tabla1[[#This Row],[Perfil]],Catalogos!$B$75:$D$100,3,FALSE)*Tabla1[[#This Row],[Tiempo
(Hrs 00/100)]]*1.16</f>
        <v>1160</v>
      </c>
    </row>
    <row r="2261" spans="1:26" ht="15" customHeight="1" x14ac:dyDescent="0.3">
      <c r="A2261" s="370" t="s">
        <v>22</v>
      </c>
      <c r="B2261" s="370" t="s">
        <v>68</v>
      </c>
      <c r="C2261" s="418" t="s">
        <v>16</v>
      </c>
      <c r="D2261" s="370"/>
      <c r="E2261" s="370" t="s">
        <v>503</v>
      </c>
      <c r="F2261" s="370" t="s">
        <v>75</v>
      </c>
      <c r="G2261" s="370" t="s">
        <v>4039</v>
      </c>
      <c r="H2261" s="419" t="s">
        <v>436</v>
      </c>
      <c r="I2261" s="420" t="s">
        <v>3752</v>
      </c>
      <c r="J2261" s="369">
        <v>45218</v>
      </c>
      <c r="K2261" s="747">
        <v>0.375</v>
      </c>
      <c r="L2261" s="369">
        <v>45218</v>
      </c>
      <c r="M2261" s="753">
        <v>0.47916666666666669</v>
      </c>
      <c r="N2261" s="210">
        <v>2.5</v>
      </c>
      <c r="O2261" s="537" t="s">
        <v>17</v>
      </c>
      <c r="P2261" s="375" t="s">
        <v>3728</v>
      </c>
      <c r="Q2261" s="458" t="s">
        <v>258</v>
      </c>
      <c r="R2261" s="202" t="s">
        <v>81</v>
      </c>
      <c r="S2261" s="31" t="s">
        <v>273</v>
      </c>
      <c r="T2261" s="31" t="s">
        <v>273</v>
      </c>
      <c r="U2261" s="31">
        <f>IFERROR(VLOOKUP(CONCATENATE(Tabla1[[#This Row],[Severidad]]," ",Tabla1[[#This Row],[Complejidad]]),Catalogos!E$120:G$128,3,FALSE),"")</f>
        <v>64</v>
      </c>
      <c r="V2261" s="31" t="str">
        <f>IF(Tabla1[[#This Row],[Tiempo solución max (hrs)]]&lt;&gt;"",IF(Tabla1[[#This Row],[Tiempo solución max (hrs)]]&gt;=Tabla1[[#This Row],[Tiempo
(Hrs 00/100)]],"cumple","no cumple"),"")</f>
        <v>cumple</v>
      </c>
      <c r="W2261" s="629" t="s">
        <v>3327</v>
      </c>
      <c r="X2261" s="377" t="str">
        <f t="shared" si="200"/>
        <v>SAW</v>
      </c>
      <c r="Y2261" t="str">
        <f>SUBSTITUTE(Tabla1[[#This Row],[Descripción]],CHAR(10),"    I    ")</f>
        <v xml:space="preserve">actualizacion inventarios micrositios </v>
      </c>
      <c r="Z2261" s="142">
        <f>VLOOKUP(Tabla1[[#This Row],[Perfil]],Catalogos!$B$75:$D$100,3,FALSE)*Tabla1[[#This Row],[Tiempo
(Hrs 00/100)]]*1.16</f>
        <v>1450</v>
      </c>
    </row>
    <row r="2262" spans="1:26" ht="15" customHeight="1" x14ac:dyDescent="0.3">
      <c r="A2262" s="370" t="s">
        <v>22</v>
      </c>
      <c r="B2262" s="370" t="s">
        <v>68</v>
      </c>
      <c r="C2262" s="418" t="s">
        <v>16</v>
      </c>
      <c r="D2262" s="370"/>
      <c r="E2262" s="370" t="s">
        <v>503</v>
      </c>
      <c r="F2262" s="370" t="s">
        <v>75</v>
      </c>
      <c r="G2262" s="370" t="s">
        <v>4040</v>
      </c>
      <c r="H2262" s="419" t="s">
        <v>436</v>
      </c>
      <c r="I2262" s="420" t="s">
        <v>3753</v>
      </c>
      <c r="J2262" s="369">
        <v>45218</v>
      </c>
      <c r="K2262" s="747">
        <v>0.47916666666666669</v>
      </c>
      <c r="L2262" s="369">
        <v>45218</v>
      </c>
      <c r="M2262" s="753">
        <v>0.5625</v>
      </c>
      <c r="N2262" s="210">
        <v>2</v>
      </c>
      <c r="O2262" s="537" t="s">
        <v>17</v>
      </c>
      <c r="P2262" s="375" t="s">
        <v>3721</v>
      </c>
      <c r="Q2262" s="458" t="s">
        <v>258</v>
      </c>
      <c r="R2262" s="202" t="s">
        <v>81</v>
      </c>
      <c r="S2262" s="31" t="s">
        <v>273</v>
      </c>
      <c r="T2262" s="31" t="s">
        <v>273</v>
      </c>
      <c r="U2262" s="31">
        <f>IFERROR(VLOOKUP(CONCATENATE(Tabla1[[#This Row],[Severidad]]," ",Tabla1[[#This Row],[Complejidad]]),Catalogos!E$120:G$128,3,FALSE),"")</f>
        <v>64</v>
      </c>
      <c r="V2262" s="31" t="str">
        <f>IF(Tabla1[[#This Row],[Tiempo solución max (hrs)]]&lt;&gt;"",IF(Tabla1[[#This Row],[Tiempo solución max (hrs)]]&gt;=Tabla1[[#This Row],[Tiempo
(Hrs 00/100)]],"cumple","no cumple"),"")</f>
        <v>cumple</v>
      </c>
      <c r="W2262" s="629" t="s">
        <v>3327</v>
      </c>
      <c r="X2262" s="377" t="str">
        <f t="shared" si="200"/>
        <v>SAW</v>
      </c>
      <c r="Y2262" t="str">
        <f>SUBSTITUTE(Tabla1[[#This Row],[Descripción]],CHAR(10),"    I    ")</f>
        <v xml:space="preserve">actualizacion resoluciones </v>
      </c>
      <c r="Z2262" s="142">
        <f>VLOOKUP(Tabla1[[#This Row],[Perfil]],Catalogos!$B$75:$D$100,3,FALSE)*Tabla1[[#This Row],[Tiempo
(Hrs 00/100)]]*1.16</f>
        <v>1160</v>
      </c>
    </row>
    <row r="2263" spans="1:26" ht="15" customHeight="1" x14ac:dyDescent="0.3">
      <c r="A2263" s="370" t="s">
        <v>22</v>
      </c>
      <c r="B2263" s="370" t="s">
        <v>68</v>
      </c>
      <c r="C2263" s="418" t="s">
        <v>16</v>
      </c>
      <c r="D2263" s="370"/>
      <c r="E2263" s="370" t="s">
        <v>503</v>
      </c>
      <c r="F2263" s="370" t="s">
        <v>75</v>
      </c>
      <c r="G2263" s="370" t="s">
        <v>4041</v>
      </c>
      <c r="H2263" s="419" t="s">
        <v>436</v>
      </c>
      <c r="I2263" s="420" t="s">
        <v>3723</v>
      </c>
      <c r="J2263" s="369">
        <v>45218</v>
      </c>
      <c r="K2263" s="747">
        <v>0.5625</v>
      </c>
      <c r="L2263" s="369">
        <v>45218</v>
      </c>
      <c r="M2263" s="753">
        <v>0.60416666666666663</v>
      </c>
      <c r="N2263" s="210">
        <v>1</v>
      </c>
      <c r="O2263" s="537" t="s">
        <v>17</v>
      </c>
      <c r="P2263" s="375" t="s">
        <v>3754</v>
      </c>
      <c r="Q2263" s="458" t="s">
        <v>258</v>
      </c>
      <c r="R2263" s="202" t="s">
        <v>81</v>
      </c>
      <c r="S2263" s="31" t="s">
        <v>273</v>
      </c>
      <c r="T2263" s="31" t="s">
        <v>273</v>
      </c>
      <c r="U2263" s="31">
        <f>IFERROR(VLOOKUP(CONCATENATE(Tabla1[[#This Row],[Severidad]]," ",Tabla1[[#This Row],[Complejidad]]),Catalogos!E$120:G$128,3,FALSE),"")</f>
        <v>64</v>
      </c>
      <c r="V2263" s="31" t="str">
        <f>IF(Tabla1[[#This Row],[Tiempo solución max (hrs)]]&lt;&gt;"",IF(Tabla1[[#This Row],[Tiempo solución max (hrs)]]&gt;=Tabla1[[#This Row],[Tiempo
(Hrs 00/100)]],"cumple","no cumple"),"")</f>
        <v>cumple</v>
      </c>
      <c r="W2263" s="629" t="s">
        <v>3327</v>
      </c>
      <c r="X2263" s="377" t="str">
        <f t="shared" si="200"/>
        <v>SAW</v>
      </c>
      <c r="Y2263" t="str">
        <f>SUBSTITUTE(Tabla1[[#This Row],[Descripción]],CHAR(10),"    I    ")</f>
        <v xml:space="preserve">actualizacion de avance de proyecto </v>
      </c>
      <c r="Z2263" s="142">
        <f>VLOOKUP(Tabla1[[#This Row],[Perfil]],Catalogos!$B$75:$D$100,3,FALSE)*Tabla1[[#This Row],[Tiempo
(Hrs 00/100)]]*1.16</f>
        <v>580</v>
      </c>
    </row>
    <row r="2264" spans="1:26" ht="15" customHeight="1" x14ac:dyDescent="0.3">
      <c r="A2264" s="370" t="s">
        <v>22</v>
      </c>
      <c r="B2264" s="370" t="s">
        <v>68</v>
      </c>
      <c r="C2264" s="418" t="s">
        <v>16</v>
      </c>
      <c r="D2264" s="370"/>
      <c r="E2264" s="370" t="s">
        <v>503</v>
      </c>
      <c r="F2264" s="370" t="s">
        <v>75</v>
      </c>
      <c r="G2264" s="370" t="s">
        <v>4042</v>
      </c>
      <c r="H2264" s="419" t="s">
        <v>436</v>
      </c>
      <c r="I2264" s="420" t="s">
        <v>1470</v>
      </c>
      <c r="J2264" s="369">
        <v>45218</v>
      </c>
      <c r="K2264" s="747">
        <v>0.66666666666666663</v>
      </c>
      <c r="L2264" s="369">
        <v>45218</v>
      </c>
      <c r="M2264" s="753">
        <v>0.79166666666666663</v>
      </c>
      <c r="N2264" s="210">
        <v>3</v>
      </c>
      <c r="O2264" s="537" t="s">
        <v>17</v>
      </c>
      <c r="P2264" s="375" t="s">
        <v>3711</v>
      </c>
      <c r="Q2264" s="458" t="s">
        <v>258</v>
      </c>
      <c r="R2264" s="202" t="s">
        <v>81</v>
      </c>
      <c r="S2264" s="31" t="s">
        <v>273</v>
      </c>
      <c r="T2264" s="31" t="s">
        <v>273</v>
      </c>
      <c r="U2264" s="31">
        <f>IFERROR(VLOOKUP(CONCATENATE(Tabla1[[#This Row],[Severidad]]," ",Tabla1[[#This Row],[Complejidad]]),Catalogos!E$120:G$128,3,FALSE),"")</f>
        <v>64</v>
      </c>
      <c r="V2264" s="31" t="str">
        <f>IF(Tabla1[[#This Row],[Tiempo solución max (hrs)]]&lt;&gt;"",IF(Tabla1[[#This Row],[Tiempo solución max (hrs)]]&gt;=Tabla1[[#This Row],[Tiempo
(Hrs 00/100)]],"cumple","no cumple"),"")</f>
        <v>cumple</v>
      </c>
      <c r="W2264" s="629" t="s">
        <v>3327</v>
      </c>
      <c r="X2264" s="377" t="str">
        <f t="shared" si="200"/>
        <v>SAW</v>
      </c>
      <c r="Y2264" t="str">
        <f>SUBSTITUTE(Tabla1[[#This Row],[Descripción]],CHAR(10),"    I    ")</f>
        <v xml:space="preserve">Actualizacion Requerimiento de aplicaciones web </v>
      </c>
      <c r="Z2264" s="142">
        <f>VLOOKUP(Tabla1[[#This Row],[Perfil]],Catalogos!$B$75:$D$100,3,FALSE)*Tabla1[[#This Row],[Tiempo
(Hrs 00/100)]]*1.16</f>
        <v>1739.9999999999998</v>
      </c>
    </row>
    <row r="2265" spans="1:26" ht="15" customHeight="1" x14ac:dyDescent="0.3">
      <c r="A2265" s="370" t="s">
        <v>22</v>
      </c>
      <c r="B2265" s="370" t="s">
        <v>68</v>
      </c>
      <c r="C2265" s="418" t="s">
        <v>16</v>
      </c>
      <c r="D2265" s="370"/>
      <c r="E2265" s="370" t="s">
        <v>503</v>
      </c>
      <c r="F2265" s="370" t="s">
        <v>75</v>
      </c>
      <c r="G2265" s="370" t="s">
        <v>4043</v>
      </c>
      <c r="H2265" s="419" t="s">
        <v>436</v>
      </c>
      <c r="I2265" s="420" t="s">
        <v>3755</v>
      </c>
      <c r="J2265" s="369">
        <v>45219</v>
      </c>
      <c r="K2265" s="747">
        <v>0.375</v>
      </c>
      <c r="L2265" s="369">
        <v>45219</v>
      </c>
      <c r="M2265" s="753">
        <v>0.5</v>
      </c>
      <c r="N2265" s="210">
        <v>3</v>
      </c>
      <c r="O2265" s="537" t="s">
        <v>17</v>
      </c>
      <c r="P2265" s="375" t="s">
        <v>3756</v>
      </c>
      <c r="Q2265" s="458" t="s">
        <v>258</v>
      </c>
      <c r="R2265" s="202" t="s">
        <v>81</v>
      </c>
      <c r="S2265" s="31" t="s">
        <v>273</v>
      </c>
      <c r="T2265" s="31" t="s">
        <v>273</v>
      </c>
      <c r="U2265" s="31">
        <f>IFERROR(VLOOKUP(CONCATENATE(Tabla1[[#This Row],[Severidad]]," ",Tabla1[[#This Row],[Complejidad]]),Catalogos!E$120:G$128,3,FALSE),"")</f>
        <v>64</v>
      </c>
      <c r="V2265" s="31" t="str">
        <f>IF(Tabla1[[#This Row],[Tiempo solución max (hrs)]]&lt;&gt;"",IF(Tabla1[[#This Row],[Tiempo solución max (hrs)]]&gt;=Tabla1[[#This Row],[Tiempo
(Hrs 00/100)]],"cumple","no cumple"),"")</f>
        <v>cumple</v>
      </c>
      <c r="W2265" s="629" t="s">
        <v>3327</v>
      </c>
      <c r="X2265" s="377" t="str">
        <f t="shared" si="200"/>
        <v>SAW</v>
      </c>
      <c r="Y2265" t="str">
        <f>SUBSTITUTE(Tabla1[[#This Row],[Descripción]],CHAR(10),"    I    ")</f>
        <v xml:space="preserve">Actualizacion de estatus de peticiones </v>
      </c>
      <c r="Z2265" s="142">
        <f>VLOOKUP(Tabla1[[#This Row],[Perfil]],Catalogos!$B$75:$D$100,3,FALSE)*Tabla1[[#This Row],[Tiempo
(Hrs 00/100)]]*1.16</f>
        <v>1739.9999999999998</v>
      </c>
    </row>
    <row r="2266" spans="1:26" ht="15" customHeight="1" x14ac:dyDescent="0.3">
      <c r="A2266" s="370" t="s">
        <v>22</v>
      </c>
      <c r="B2266" s="370" t="s">
        <v>68</v>
      </c>
      <c r="C2266" s="418" t="s">
        <v>16</v>
      </c>
      <c r="D2266" s="370"/>
      <c r="E2266" s="370" t="s">
        <v>503</v>
      </c>
      <c r="F2266" s="370" t="s">
        <v>75</v>
      </c>
      <c r="G2266" s="370" t="s">
        <v>4044</v>
      </c>
      <c r="H2266" s="419" t="s">
        <v>436</v>
      </c>
      <c r="I2266" s="420" t="s">
        <v>3757</v>
      </c>
      <c r="J2266" s="369">
        <v>45219</v>
      </c>
      <c r="K2266" s="747">
        <v>0.5</v>
      </c>
      <c r="L2266" s="369">
        <v>45219</v>
      </c>
      <c r="M2266" s="753">
        <v>0.54166666666666663</v>
      </c>
      <c r="N2266" s="210">
        <v>1</v>
      </c>
      <c r="O2266" s="537" t="s">
        <v>17</v>
      </c>
      <c r="P2266" s="375" t="s">
        <v>3758</v>
      </c>
      <c r="Q2266" s="458" t="s">
        <v>258</v>
      </c>
      <c r="R2266" s="202" t="s">
        <v>81</v>
      </c>
      <c r="S2266" s="31" t="s">
        <v>273</v>
      </c>
      <c r="T2266" s="31" t="s">
        <v>273</v>
      </c>
      <c r="U2266" s="31">
        <f>IFERROR(VLOOKUP(CONCATENATE(Tabla1[[#This Row],[Severidad]]," ",Tabla1[[#This Row],[Complejidad]]),Catalogos!E$120:G$128,3,FALSE),"")</f>
        <v>64</v>
      </c>
      <c r="V2266" s="31" t="str">
        <f>IF(Tabla1[[#This Row],[Tiempo solución max (hrs)]]&lt;&gt;"",IF(Tabla1[[#This Row],[Tiempo solución max (hrs)]]&gt;=Tabla1[[#This Row],[Tiempo
(Hrs 00/100)]],"cumple","no cumple"),"")</f>
        <v>cumple</v>
      </c>
      <c r="W2266" s="629" t="s">
        <v>3327</v>
      </c>
      <c r="X2266" s="377" t="str">
        <f t="shared" si="200"/>
        <v>SAW</v>
      </c>
      <c r="Y2266" t="str">
        <f>SUBSTITUTE(Tabla1[[#This Row],[Descripción]],CHAR(10),"    I    ")</f>
        <v xml:space="preserve">Reunion Control Interno </v>
      </c>
      <c r="Z2266" s="142">
        <f>VLOOKUP(Tabla1[[#This Row],[Perfil]],Catalogos!$B$75:$D$100,3,FALSE)*Tabla1[[#This Row],[Tiempo
(Hrs 00/100)]]*1.16</f>
        <v>580</v>
      </c>
    </row>
    <row r="2267" spans="1:26" ht="15" customHeight="1" x14ac:dyDescent="0.3">
      <c r="A2267" s="370" t="s">
        <v>22</v>
      </c>
      <c r="B2267" s="370" t="s">
        <v>68</v>
      </c>
      <c r="C2267" s="418" t="s">
        <v>16</v>
      </c>
      <c r="D2267" s="370"/>
      <c r="E2267" s="370" t="s">
        <v>503</v>
      </c>
      <c r="F2267" s="370" t="s">
        <v>75</v>
      </c>
      <c r="G2267" s="370" t="s">
        <v>4045</v>
      </c>
      <c r="H2267" s="419" t="s">
        <v>436</v>
      </c>
      <c r="I2267" s="420" t="s">
        <v>3759</v>
      </c>
      <c r="J2267" s="369">
        <v>45219</v>
      </c>
      <c r="K2267" s="747">
        <v>0.54166666666666663</v>
      </c>
      <c r="L2267" s="369">
        <v>45219</v>
      </c>
      <c r="M2267" s="753">
        <v>0.58333333333333337</v>
      </c>
      <c r="N2267" s="210">
        <v>1</v>
      </c>
      <c r="O2267" s="537" t="s">
        <v>17</v>
      </c>
      <c r="P2267" s="375" t="s">
        <v>3719</v>
      </c>
      <c r="Q2267" s="458" t="s">
        <v>258</v>
      </c>
      <c r="R2267" s="202" t="s">
        <v>81</v>
      </c>
      <c r="S2267" s="31" t="s">
        <v>273</v>
      </c>
      <c r="T2267" s="31" t="s">
        <v>273</v>
      </c>
      <c r="U2267" s="31">
        <f>IFERROR(VLOOKUP(CONCATENATE(Tabla1[[#This Row],[Severidad]]," ",Tabla1[[#This Row],[Complejidad]]),Catalogos!E$120:G$128,3,FALSE),"")</f>
        <v>64</v>
      </c>
      <c r="V2267" s="31" t="str">
        <f>IF(Tabla1[[#This Row],[Tiempo solución max (hrs)]]&lt;&gt;"",IF(Tabla1[[#This Row],[Tiempo solución max (hrs)]]&gt;=Tabla1[[#This Row],[Tiempo
(Hrs 00/100)]],"cumple","no cumple"),"")</f>
        <v>cumple</v>
      </c>
      <c r="W2267" s="629" t="s">
        <v>3327</v>
      </c>
      <c r="X2267" s="377" t="str">
        <f t="shared" si="200"/>
        <v>SAW</v>
      </c>
      <c r="Y2267" t="str">
        <f>SUBSTITUTE(Tabla1[[#This Row],[Descripción]],CHAR(10),"    I    ")</f>
        <v xml:space="preserve">Actualizacion micrositio RTA consejo directivo </v>
      </c>
      <c r="Z2267" s="142">
        <f>VLOOKUP(Tabla1[[#This Row],[Perfil]],Catalogos!$B$75:$D$100,3,FALSE)*Tabla1[[#This Row],[Tiempo
(Hrs 00/100)]]*1.16</f>
        <v>580</v>
      </c>
    </row>
    <row r="2268" spans="1:26" ht="15" customHeight="1" x14ac:dyDescent="0.3">
      <c r="A2268" s="370" t="s">
        <v>22</v>
      </c>
      <c r="B2268" s="370" t="s">
        <v>68</v>
      </c>
      <c r="C2268" s="418" t="s">
        <v>16</v>
      </c>
      <c r="D2268" s="370"/>
      <c r="E2268" s="370" t="s">
        <v>503</v>
      </c>
      <c r="F2268" s="370" t="s">
        <v>75</v>
      </c>
      <c r="G2268" s="370" t="s">
        <v>4046</v>
      </c>
      <c r="H2268" s="419" t="s">
        <v>436</v>
      </c>
      <c r="I2268" s="420" t="s">
        <v>3760</v>
      </c>
      <c r="J2268" s="369">
        <v>45219</v>
      </c>
      <c r="K2268" s="747">
        <v>0.58333333333333337</v>
      </c>
      <c r="L2268" s="369">
        <v>45219</v>
      </c>
      <c r="M2268" s="753">
        <v>0.625</v>
      </c>
      <c r="N2268" s="210">
        <v>1</v>
      </c>
      <c r="O2268" s="537" t="s">
        <v>17</v>
      </c>
      <c r="P2268" s="375" t="s">
        <v>3728</v>
      </c>
      <c r="Q2268" s="458" t="s">
        <v>258</v>
      </c>
      <c r="R2268" s="202" t="s">
        <v>81</v>
      </c>
      <c r="S2268" s="31" t="s">
        <v>273</v>
      </c>
      <c r="T2268" s="31" t="s">
        <v>273</v>
      </c>
      <c r="U2268" s="31">
        <f>IFERROR(VLOOKUP(CONCATENATE(Tabla1[[#This Row],[Severidad]]," ",Tabla1[[#This Row],[Complejidad]]),Catalogos!E$120:G$128,3,FALSE),"")</f>
        <v>64</v>
      </c>
      <c r="V2268" s="31" t="str">
        <f>IF(Tabla1[[#This Row],[Tiempo solución max (hrs)]]&lt;&gt;"",IF(Tabla1[[#This Row],[Tiempo solución max (hrs)]]&gt;=Tabla1[[#This Row],[Tiempo
(Hrs 00/100)]],"cumple","no cumple"),"")</f>
        <v>cumple</v>
      </c>
      <c r="W2268" s="629" t="s">
        <v>3327</v>
      </c>
      <c r="X2268" s="377" t="str">
        <f t="shared" si="200"/>
        <v>SAW</v>
      </c>
      <c r="Y2268" t="str">
        <f>SUBSTITUTE(Tabla1[[#This Row],[Descripción]],CHAR(10),"    I    ")</f>
        <v>actualizacion de inventarios de micrositio</v>
      </c>
      <c r="Z2268" s="142">
        <f>VLOOKUP(Tabla1[[#This Row],[Perfil]],Catalogos!$B$75:$D$100,3,FALSE)*Tabla1[[#This Row],[Tiempo
(Hrs 00/100)]]*1.16</f>
        <v>580</v>
      </c>
    </row>
    <row r="2269" spans="1:26" ht="15" customHeight="1" x14ac:dyDescent="0.3">
      <c r="A2269" s="370" t="s">
        <v>22</v>
      </c>
      <c r="B2269" s="370" t="s">
        <v>68</v>
      </c>
      <c r="C2269" s="418" t="s">
        <v>16</v>
      </c>
      <c r="D2269" s="370"/>
      <c r="E2269" s="370" t="s">
        <v>503</v>
      </c>
      <c r="F2269" s="370" t="s">
        <v>75</v>
      </c>
      <c r="G2269" s="370" t="s">
        <v>4047</v>
      </c>
      <c r="H2269" s="419" t="s">
        <v>436</v>
      </c>
      <c r="I2269" s="420" t="s">
        <v>3746</v>
      </c>
      <c r="J2269" s="369">
        <v>45222</v>
      </c>
      <c r="K2269" s="747">
        <v>0.375</v>
      </c>
      <c r="L2269" s="369">
        <v>45222</v>
      </c>
      <c r="M2269" s="753">
        <v>0.5</v>
      </c>
      <c r="N2269" s="210">
        <v>3</v>
      </c>
      <c r="O2269" s="537" t="s">
        <v>17</v>
      </c>
      <c r="P2269" s="375" t="s">
        <v>3741</v>
      </c>
      <c r="Q2269" s="458" t="s">
        <v>258</v>
      </c>
      <c r="R2269" s="202" t="s">
        <v>81</v>
      </c>
      <c r="S2269" s="31" t="s">
        <v>273</v>
      </c>
      <c r="T2269" s="31" t="s">
        <v>273</v>
      </c>
      <c r="U2269" s="31">
        <f>IFERROR(VLOOKUP(CONCATENATE(Tabla1[[#This Row],[Severidad]]," ",Tabla1[[#This Row],[Complejidad]]),Catalogos!E$120:G$128,3,FALSE),"")</f>
        <v>64</v>
      </c>
      <c r="V2269" s="31" t="str">
        <f>IF(Tabla1[[#This Row],[Tiempo solución max (hrs)]]&lt;&gt;"",IF(Tabla1[[#This Row],[Tiempo solución max (hrs)]]&gt;=Tabla1[[#This Row],[Tiempo
(Hrs 00/100)]],"cumple","no cumple"),"")</f>
        <v>cumple</v>
      </c>
      <c r="W2269" s="629" t="s">
        <v>3327</v>
      </c>
      <c r="X2269" s="377" t="str">
        <f t="shared" si="200"/>
        <v>SAW</v>
      </c>
      <c r="Y2269" t="str">
        <f>SUBSTITUTE(Tabla1[[#This Row],[Descripción]],CHAR(10),"    I    ")</f>
        <v>Insumos micrositio Criterios del SNT</v>
      </c>
      <c r="Z2269" s="142">
        <f>VLOOKUP(Tabla1[[#This Row],[Perfil]],Catalogos!$B$75:$D$100,3,FALSE)*Tabla1[[#This Row],[Tiempo
(Hrs 00/100)]]*1.16</f>
        <v>1739.9999999999998</v>
      </c>
    </row>
    <row r="2270" spans="1:26" ht="15" customHeight="1" x14ac:dyDescent="0.3">
      <c r="A2270" s="370" t="s">
        <v>22</v>
      </c>
      <c r="B2270" s="370" t="s">
        <v>68</v>
      </c>
      <c r="C2270" s="418" t="s">
        <v>16</v>
      </c>
      <c r="D2270" s="370"/>
      <c r="E2270" s="370" t="s">
        <v>503</v>
      </c>
      <c r="F2270" s="370" t="s">
        <v>75</v>
      </c>
      <c r="G2270" s="370" t="s">
        <v>4048</v>
      </c>
      <c r="H2270" s="419" t="s">
        <v>436</v>
      </c>
      <c r="I2270" s="420" t="s">
        <v>3747</v>
      </c>
      <c r="J2270" s="369">
        <v>45222</v>
      </c>
      <c r="K2270" s="747">
        <v>0.5</v>
      </c>
      <c r="L2270" s="369">
        <v>45222</v>
      </c>
      <c r="M2270" s="753">
        <v>0.60416666666666663</v>
      </c>
      <c r="N2270" s="210">
        <v>2.5</v>
      </c>
      <c r="O2270" s="537" t="s">
        <v>17</v>
      </c>
      <c r="P2270" s="375" t="s">
        <v>3761</v>
      </c>
      <c r="Q2270" s="458" t="s">
        <v>258</v>
      </c>
      <c r="R2270" s="202" t="s">
        <v>81</v>
      </c>
      <c r="S2270" s="31" t="s">
        <v>273</v>
      </c>
      <c r="T2270" s="31" t="s">
        <v>273</v>
      </c>
      <c r="U2270" s="31">
        <f>IFERROR(VLOOKUP(CONCATENATE(Tabla1[[#This Row],[Severidad]]," ",Tabla1[[#This Row],[Complejidad]]),Catalogos!E$120:G$128,3,FALSE),"")</f>
        <v>64</v>
      </c>
      <c r="V2270" s="31" t="str">
        <f>IF(Tabla1[[#This Row],[Tiempo solución max (hrs)]]&lt;&gt;"",IF(Tabla1[[#This Row],[Tiempo solución max (hrs)]]&gt;=Tabla1[[#This Row],[Tiempo
(Hrs 00/100)]],"cumple","no cumple"),"")</f>
        <v>cumple</v>
      </c>
      <c r="W2270" s="629" t="s">
        <v>3327</v>
      </c>
      <c r="X2270" s="377" t="str">
        <f t="shared" si="200"/>
        <v>SAW</v>
      </c>
      <c r="Y2270" t="str">
        <f>SUBSTITUTE(Tabla1[[#This Row],[Descripción]],CHAR(10),"    I    ")</f>
        <v xml:space="preserve">actualizacion cambio de control </v>
      </c>
      <c r="Z2270" s="142">
        <f>VLOOKUP(Tabla1[[#This Row],[Perfil]],Catalogos!$B$75:$D$100,3,FALSE)*Tabla1[[#This Row],[Tiempo
(Hrs 00/100)]]*1.16</f>
        <v>1450</v>
      </c>
    </row>
    <row r="2271" spans="1:26" ht="15" customHeight="1" x14ac:dyDescent="0.3">
      <c r="A2271" s="370" t="s">
        <v>22</v>
      </c>
      <c r="B2271" s="370" t="s">
        <v>68</v>
      </c>
      <c r="C2271" s="418" t="s">
        <v>16</v>
      </c>
      <c r="D2271" s="370"/>
      <c r="E2271" s="370" t="s">
        <v>503</v>
      </c>
      <c r="F2271" s="370" t="s">
        <v>75</v>
      </c>
      <c r="G2271" s="370" t="s">
        <v>4049</v>
      </c>
      <c r="H2271" s="419" t="s">
        <v>436</v>
      </c>
      <c r="I2271" s="420" t="s">
        <v>3725</v>
      </c>
      <c r="J2271" s="369">
        <v>45222</v>
      </c>
      <c r="K2271" s="747">
        <v>0.66666666666666663</v>
      </c>
      <c r="L2271" s="369">
        <v>45222</v>
      </c>
      <c r="M2271" s="753">
        <v>0.79166666666666663</v>
      </c>
      <c r="N2271" s="210">
        <v>3</v>
      </c>
      <c r="O2271" s="537" t="s">
        <v>17</v>
      </c>
      <c r="P2271" s="375" t="s">
        <v>3726</v>
      </c>
      <c r="Q2271" s="458" t="s">
        <v>258</v>
      </c>
      <c r="R2271" s="202" t="s">
        <v>81</v>
      </c>
      <c r="S2271" s="31" t="s">
        <v>273</v>
      </c>
      <c r="T2271" s="31" t="s">
        <v>273</v>
      </c>
      <c r="U2271" s="31">
        <f>IFERROR(VLOOKUP(CONCATENATE(Tabla1[[#This Row],[Severidad]]," ",Tabla1[[#This Row],[Complejidad]]),Catalogos!E$120:G$128,3,FALSE),"")</f>
        <v>64</v>
      </c>
      <c r="V2271" s="31" t="str">
        <f>IF(Tabla1[[#This Row],[Tiempo solución max (hrs)]]&lt;&gt;"",IF(Tabla1[[#This Row],[Tiempo solución max (hrs)]]&gt;=Tabla1[[#This Row],[Tiempo
(Hrs 00/100)]],"cumple","no cumple"),"")</f>
        <v>cumple</v>
      </c>
      <c r="W2271" s="629" t="s">
        <v>3327</v>
      </c>
      <c r="X2271" s="377" t="str">
        <f t="shared" si="200"/>
        <v>SAW</v>
      </c>
      <c r="Y2271" t="str">
        <f>SUBSTITUTE(Tabla1[[#This Row],[Descripción]],CHAR(10),"    I    ")</f>
        <v xml:space="preserve">actualizacion repositorio </v>
      </c>
      <c r="Z2271" s="142">
        <f>VLOOKUP(Tabla1[[#This Row],[Perfil]],Catalogos!$B$75:$D$100,3,FALSE)*Tabla1[[#This Row],[Tiempo
(Hrs 00/100)]]*1.16</f>
        <v>1739.9999999999998</v>
      </c>
    </row>
    <row r="2272" spans="1:26" ht="15" customHeight="1" x14ac:dyDescent="0.3">
      <c r="A2272" s="370" t="s">
        <v>22</v>
      </c>
      <c r="B2272" s="370" t="s">
        <v>68</v>
      </c>
      <c r="C2272" s="418" t="s">
        <v>16</v>
      </c>
      <c r="D2272" s="370"/>
      <c r="E2272" s="370" t="s">
        <v>503</v>
      </c>
      <c r="F2272" s="370" t="s">
        <v>75</v>
      </c>
      <c r="G2272" s="370" t="s">
        <v>4050</v>
      </c>
      <c r="H2272" s="419" t="s">
        <v>436</v>
      </c>
      <c r="I2272" s="420" t="s">
        <v>3762</v>
      </c>
      <c r="J2272" s="369">
        <v>45223</v>
      </c>
      <c r="K2272" s="747">
        <v>0.375</v>
      </c>
      <c r="L2272" s="369">
        <v>45223</v>
      </c>
      <c r="M2272" s="753">
        <v>0.45833333333333331</v>
      </c>
      <c r="N2272" s="210">
        <v>2</v>
      </c>
      <c r="O2272" s="537" t="s">
        <v>17</v>
      </c>
      <c r="P2272" s="375" t="s">
        <v>3711</v>
      </c>
      <c r="Q2272" s="458" t="s">
        <v>258</v>
      </c>
      <c r="R2272" s="202" t="s">
        <v>81</v>
      </c>
      <c r="S2272" s="31" t="s">
        <v>273</v>
      </c>
      <c r="T2272" s="31" t="s">
        <v>273</v>
      </c>
      <c r="U2272" s="31">
        <f>IFERROR(VLOOKUP(CONCATENATE(Tabla1[[#This Row],[Severidad]]," ",Tabla1[[#This Row],[Complejidad]]),Catalogos!E$120:G$128,3,FALSE),"")</f>
        <v>64</v>
      </c>
      <c r="V2272" s="31" t="str">
        <f>IF(Tabla1[[#This Row],[Tiempo solución max (hrs)]]&lt;&gt;"",IF(Tabla1[[#This Row],[Tiempo solución max (hrs)]]&gt;=Tabla1[[#This Row],[Tiempo
(Hrs 00/100)]],"cumple","no cumple"),"")</f>
        <v>cumple</v>
      </c>
      <c r="W2272" s="629" t="s">
        <v>3327</v>
      </c>
      <c r="X2272" s="377" t="str">
        <f t="shared" si="200"/>
        <v>SAW</v>
      </c>
      <c r="Y2272" t="str">
        <f>SUBSTITUTE(Tabla1[[#This Row],[Descripción]],CHAR(10),"    I    ")</f>
        <v>modificacion pagina DGPVS</v>
      </c>
      <c r="Z2272" s="142">
        <f>VLOOKUP(Tabla1[[#This Row],[Perfil]],Catalogos!$B$75:$D$100,3,FALSE)*Tabla1[[#This Row],[Tiempo
(Hrs 00/100)]]*1.16</f>
        <v>1160</v>
      </c>
    </row>
    <row r="2273" spans="1:26" ht="15" customHeight="1" x14ac:dyDescent="0.3">
      <c r="A2273" s="370" t="s">
        <v>22</v>
      </c>
      <c r="B2273" s="370" t="s">
        <v>68</v>
      </c>
      <c r="C2273" s="418" t="s">
        <v>16</v>
      </c>
      <c r="D2273" s="370"/>
      <c r="E2273" s="370" t="s">
        <v>503</v>
      </c>
      <c r="F2273" s="370" t="s">
        <v>75</v>
      </c>
      <c r="G2273" s="370" t="s">
        <v>4051</v>
      </c>
      <c r="H2273" s="419" t="s">
        <v>436</v>
      </c>
      <c r="I2273" s="420" t="s">
        <v>3763</v>
      </c>
      <c r="J2273" s="369">
        <v>45223</v>
      </c>
      <c r="K2273" s="747">
        <v>0.45833333333333331</v>
      </c>
      <c r="L2273" s="369">
        <v>45223</v>
      </c>
      <c r="M2273" s="753">
        <v>0.60416666666666663</v>
      </c>
      <c r="N2273" s="210">
        <v>3.5</v>
      </c>
      <c r="O2273" s="537" t="s">
        <v>17</v>
      </c>
      <c r="P2273" s="375" t="s">
        <v>3711</v>
      </c>
      <c r="Q2273" s="458" t="s">
        <v>258</v>
      </c>
      <c r="R2273" s="202" t="s">
        <v>81</v>
      </c>
      <c r="S2273" s="31" t="s">
        <v>273</v>
      </c>
      <c r="T2273" s="31" t="s">
        <v>273</v>
      </c>
      <c r="U2273" s="31">
        <f>IFERROR(VLOOKUP(CONCATENATE(Tabla1[[#This Row],[Severidad]]," ",Tabla1[[#This Row],[Complejidad]]),Catalogos!E$120:G$128,3,FALSE),"")</f>
        <v>64</v>
      </c>
      <c r="V2273" s="31" t="str">
        <f>IF(Tabla1[[#This Row],[Tiempo solución max (hrs)]]&lt;&gt;"",IF(Tabla1[[#This Row],[Tiempo solución max (hrs)]]&gt;=Tabla1[[#This Row],[Tiempo
(Hrs 00/100)]],"cumple","no cumple"),"")</f>
        <v>cumple</v>
      </c>
      <c r="W2273" s="629" t="s">
        <v>3327</v>
      </c>
      <c r="X2273" s="377" t="str">
        <f t="shared" si="200"/>
        <v>SAW</v>
      </c>
      <c r="Y2273" t="str">
        <f>SUBSTITUTE(Tabla1[[#This Row],[Descripción]],CHAR(10),"    I    ")</f>
        <v xml:space="preserve">actualizacion micrositio sede </v>
      </c>
      <c r="Z2273" s="142">
        <f>VLOOKUP(Tabla1[[#This Row],[Perfil]],Catalogos!$B$75:$D$100,3,FALSE)*Tabla1[[#This Row],[Tiempo
(Hrs 00/100)]]*1.16</f>
        <v>2029.9999999999998</v>
      </c>
    </row>
    <row r="2274" spans="1:26" ht="15" customHeight="1" x14ac:dyDescent="0.3">
      <c r="A2274" s="370" t="s">
        <v>22</v>
      </c>
      <c r="B2274" s="370" t="s">
        <v>68</v>
      </c>
      <c r="C2274" s="418" t="s">
        <v>16</v>
      </c>
      <c r="D2274" s="370"/>
      <c r="E2274" s="370" t="s">
        <v>503</v>
      </c>
      <c r="F2274" s="370" t="s">
        <v>75</v>
      </c>
      <c r="G2274" s="370" t="s">
        <v>4052</v>
      </c>
      <c r="H2274" s="419" t="s">
        <v>436</v>
      </c>
      <c r="I2274" s="420" t="s">
        <v>3764</v>
      </c>
      <c r="J2274" s="369">
        <v>45223</v>
      </c>
      <c r="K2274" s="747">
        <v>0.66666666666666663</v>
      </c>
      <c r="L2274" s="369">
        <v>45223</v>
      </c>
      <c r="M2274" s="753">
        <v>0.79166666666666663</v>
      </c>
      <c r="N2274" s="210">
        <v>3</v>
      </c>
      <c r="O2274" s="537" t="s">
        <v>17</v>
      </c>
      <c r="P2274" s="375" t="s">
        <v>3765</v>
      </c>
      <c r="Q2274" s="458" t="s">
        <v>258</v>
      </c>
      <c r="R2274" s="202" t="s">
        <v>81</v>
      </c>
      <c r="S2274" s="31" t="s">
        <v>273</v>
      </c>
      <c r="T2274" s="31" t="s">
        <v>273</v>
      </c>
      <c r="U2274" s="31">
        <f>IFERROR(VLOOKUP(CONCATENATE(Tabla1[[#This Row],[Severidad]]," ",Tabla1[[#This Row],[Complejidad]]),Catalogos!E$120:G$128,3,FALSE),"")</f>
        <v>64</v>
      </c>
      <c r="V2274" s="31" t="str">
        <f>IF(Tabla1[[#This Row],[Tiempo solución max (hrs)]]&lt;&gt;"",IF(Tabla1[[#This Row],[Tiempo solución max (hrs)]]&gt;=Tabla1[[#This Row],[Tiempo
(Hrs 00/100)]],"cumple","no cumple"),"")</f>
        <v>cumple</v>
      </c>
      <c r="W2274" s="629" t="s">
        <v>3327</v>
      </c>
      <c r="X2274" s="377" t="str">
        <f t="shared" si="200"/>
        <v>SAW</v>
      </c>
      <c r="Y2274" t="str">
        <f>SUBSTITUTE(Tabla1[[#This Row],[Descripción]],CHAR(10),"    I    ")</f>
        <v xml:space="preserve">Insumos graficos micrositio criterios </v>
      </c>
      <c r="Z2274" s="142">
        <f>VLOOKUP(Tabla1[[#This Row],[Perfil]],Catalogos!$B$75:$D$100,3,FALSE)*Tabla1[[#This Row],[Tiempo
(Hrs 00/100)]]*1.16</f>
        <v>1739.9999999999998</v>
      </c>
    </row>
    <row r="2275" spans="1:26" ht="15" customHeight="1" x14ac:dyDescent="0.3">
      <c r="A2275" s="370" t="s">
        <v>22</v>
      </c>
      <c r="B2275" s="370" t="s">
        <v>68</v>
      </c>
      <c r="C2275" s="418" t="s">
        <v>16</v>
      </c>
      <c r="D2275" s="370"/>
      <c r="E2275" s="370" t="s">
        <v>503</v>
      </c>
      <c r="F2275" s="370" t="s">
        <v>75</v>
      </c>
      <c r="G2275" s="370" t="s">
        <v>4053</v>
      </c>
      <c r="H2275" s="419" t="s">
        <v>436</v>
      </c>
      <c r="I2275" s="420" t="s">
        <v>3766</v>
      </c>
      <c r="J2275" s="369">
        <v>45224</v>
      </c>
      <c r="K2275" s="747">
        <v>0.375</v>
      </c>
      <c r="L2275" s="369">
        <v>45224</v>
      </c>
      <c r="M2275" s="753">
        <v>0.47916666666666669</v>
      </c>
      <c r="N2275" s="210">
        <v>2.5</v>
      </c>
      <c r="O2275" s="537" t="s">
        <v>17</v>
      </c>
      <c r="P2275" s="375" t="s">
        <v>3741</v>
      </c>
      <c r="Q2275" s="458" t="s">
        <v>258</v>
      </c>
      <c r="R2275" s="202" t="s">
        <v>81</v>
      </c>
      <c r="S2275" s="31" t="s">
        <v>273</v>
      </c>
      <c r="T2275" s="31" t="s">
        <v>273</v>
      </c>
      <c r="U2275" s="31">
        <f>IFERROR(VLOOKUP(CONCATENATE(Tabla1[[#This Row],[Severidad]]," ",Tabla1[[#This Row],[Complejidad]]),Catalogos!E$120:G$128,3,FALSE),"")</f>
        <v>64</v>
      </c>
      <c r="V2275" s="31" t="str">
        <f>IF(Tabla1[[#This Row],[Tiempo solución max (hrs)]]&lt;&gt;"",IF(Tabla1[[#This Row],[Tiempo solución max (hrs)]]&gt;=Tabla1[[#This Row],[Tiempo
(Hrs 00/100)]],"cumple","no cumple"),"")</f>
        <v>cumple</v>
      </c>
      <c r="W2275" s="629" t="s">
        <v>3327</v>
      </c>
      <c r="X2275" s="377" t="str">
        <f t="shared" si="200"/>
        <v>SAW</v>
      </c>
      <c r="Y2275" t="str">
        <f>SUBSTITUTE(Tabla1[[#This Row],[Descripción]],CHAR(10),"    I    ")</f>
        <v xml:space="preserve">actualizacion criterios SNT </v>
      </c>
      <c r="Z2275" s="142">
        <f>VLOOKUP(Tabla1[[#This Row],[Perfil]],Catalogos!$B$75:$D$100,3,FALSE)*Tabla1[[#This Row],[Tiempo
(Hrs 00/100)]]*1.16</f>
        <v>1450</v>
      </c>
    </row>
    <row r="2276" spans="1:26" ht="15" customHeight="1" x14ac:dyDescent="0.3">
      <c r="A2276" s="370" t="s">
        <v>22</v>
      </c>
      <c r="B2276" s="370" t="s">
        <v>68</v>
      </c>
      <c r="C2276" s="418" t="s">
        <v>16</v>
      </c>
      <c r="D2276" s="370"/>
      <c r="E2276" s="370" t="s">
        <v>503</v>
      </c>
      <c r="F2276" s="370" t="s">
        <v>75</v>
      </c>
      <c r="G2276" s="370" t="s">
        <v>4054</v>
      </c>
      <c r="H2276" s="419" t="s">
        <v>436</v>
      </c>
      <c r="I2276" s="420" t="s">
        <v>3767</v>
      </c>
      <c r="J2276" s="369">
        <v>45224</v>
      </c>
      <c r="K2276" s="747">
        <v>0.47916666666666669</v>
      </c>
      <c r="L2276" s="369">
        <v>45224</v>
      </c>
      <c r="M2276" s="753">
        <v>0.5625</v>
      </c>
      <c r="N2276" s="210">
        <v>2</v>
      </c>
      <c r="O2276" s="537" t="s">
        <v>17</v>
      </c>
      <c r="P2276" s="375" t="s">
        <v>3711</v>
      </c>
      <c r="Q2276" s="458" t="s">
        <v>258</v>
      </c>
      <c r="R2276" s="202" t="s">
        <v>81</v>
      </c>
      <c r="S2276" s="31" t="s">
        <v>273</v>
      </c>
      <c r="T2276" s="31" t="s">
        <v>273</v>
      </c>
      <c r="U2276" s="31">
        <f>IFERROR(VLOOKUP(CONCATENATE(Tabla1[[#This Row],[Severidad]]," ",Tabla1[[#This Row],[Complejidad]]),Catalogos!E$120:G$128,3,FALSE),"")</f>
        <v>64</v>
      </c>
      <c r="V2276" s="31" t="str">
        <f>IF(Tabla1[[#This Row],[Tiempo solución max (hrs)]]&lt;&gt;"",IF(Tabla1[[#This Row],[Tiempo solución max (hrs)]]&gt;=Tabla1[[#This Row],[Tiempo
(Hrs 00/100)]],"cumple","no cumple"),"")</f>
        <v>cumple</v>
      </c>
      <c r="W2276" s="629" t="s">
        <v>3327</v>
      </c>
      <c r="X2276" s="377" t="str">
        <f t="shared" si="200"/>
        <v>SAW</v>
      </c>
      <c r="Y2276" t="str">
        <f>SUBSTITUTE(Tabla1[[#This Row],[Descripción]],CHAR(10),"    I    ")</f>
        <v xml:space="preserve">actualizacion cc </v>
      </c>
      <c r="Z2276" s="142">
        <f>VLOOKUP(Tabla1[[#This Row],[Perfil]],Catalogos!$B$75:$D$100,3,FALSE)*Tabla1[[#This Row],[Tiempo
(Hrs 00/100)]]*1.16</f>
        <v>1160</v>
      </c>
    </row>
    <row r="2277" spans="1:26" ht="15" customHeight="1" x14ac:dyDescent="0.3">
      <c r="A2277" s="370" t="s">
        <v>22</v>
      </c>
      <c r="B2277" s="370" t="s">
        <v>68</v>
      </c>
      <c r="C2277" s="418" t="s">
        <v>16</v>
      </c>
      <c r="D2277" s="370"/>
      <c r="E2277" s="370" t="s">
        <v>503</v>
      </c>
      <c r="F2277" s="370" t="s">
        <v>75</v>
      </c>
      <c r="G2277" s="370" t="s">
        <v>4055</v>
      </c>
      <c r="H2277" s="419" t="s">
        <v>436</v>
      </c>
      <c r="I2277" s="420" t="s">
        <v>3768</v>
      </c>
      <c r="J2277" s="369">
        <v>45224</v>
      </c>
      <c r="K2277" s="747">
        <v>0.5625</v>
      </c>
      <c r="L2277" s="369">
        <v>45224</v>
      </c>
      <c r="M2277" s="753">
        <v>0.60416666666666663</v>
      </c>
      <c r="N2277" s="210">
        <v>1</v>
      </c>
      <c r="O2277" s="537" t="s">
        <v>17</v>
      </c>
      <c r="P2277" s="375" t="s">
        <v>3769</v>
      </c>
      <c r="Q2277" s="458" t="s">
        <v>258</v>
      </c>
      <c r="R2277" s="202" t="s">
        <v>81</v>
      </c>
      <c r="S2277" s="31" t="s">
        <v>273</v>
      </c>
      <c r="T2277" s="31" t="s">
        <v>273</v>
      </c>
      <c r="U2277" s="31">
        <f>IFERROR(VLOOKUP(CONCATENATE(Tabla1[[#This Row],[Severidad]]," ",Tabla1[[#This Row],[Complejidad]]),Catalogos!E$120:G$128,3,FALSE),"")</f>
        <v>64</v>
      </c>
      <c r="V2277" s="31" t="str">
        <f>IF(Tabla1[[#This Row],[Tiempo solución max (hrs)]]&lt;&gt;"",IF(Tabla1[[#This Row],[Tiempo solución max (hrs)]]&gt;=Tabla1[[#This Row],[Tiempo
(Hrs 00/100)]],"cumple","no cumple"),"")</f>
        <v>cumple</v>
      </c>
      <c r="W2277" s="629" t="s">
        <v>3327</v>
      </c>
      <c r="X2277" s="377" t="str">
        <f t="shared" si="200"/>
        <v>SAW</v>
      </c>
      <c r="Y2277" t="str">
        <f>SUBSTITUTE(Tabla1[[#This Row],[Descripción]],CHAR(10),"    I    ")</f>
        <v xml:space="preserve">actualizacion micrositio RTA </v>
      </c>
      <c r="Z2277" s="142">
        <f>VLOOKUP(Tabla1[[#This Row],[Perfil]],Catalogos!$B$75:$D$100,3,FALSE)*Tabla1[[#This Row],[Tiempo
(Hrs 00/100)]]*1.16</f>
        <v>580</v>
      </c>
    </row>
    <row r="2278" spans="1:26" ht="15" customHeight="1" x14ac:dyDescent="0.3">
      <c r="A2278" s="370" t="s">
        <v>22</v>
      </c>
      <c r="B2278" s="370" t="s">
        <v>68</v>
      </c>
      <c r="C2278" s="418" t="s">
        <v>16</v>
      </c>
      <c r="D2278" s="370"/>
      <c r="E2278" s="370" t="s">
        <v>503</v>
      </c>
      <c r="F2278" s="370" t="s">
        <v>75</v>
      </c>
      <c r="G2278" s="370" t="s">
        <v>4056</v>
      </c>
      <c r="H2278" s="419" t="s">
        <v>436</v>
      </c>
      <c r="I2278" s="420" t="s">
        <v>2554</v>
      </c>
      <c r="J2278" s="369">
        <v>45224</v>
      </c>
      <c r="K2278" s="747">
        <v>0.66666666666666663</v>
      </c>
      <c r="L2278" s="369">
        <v>45224</v>
      </c>
      <c r="M2278" s="753">
        <v>0.79166666666666663</v>
      </c>
      <c r="N2278" s="210">
        <v>3</v>
      </c>
      <c r="O2278" s="537" t="s">
        <v>17</v>
      </c>
      <c r="P2278" s="375" t="s">
        <v>3711</v>
      </c>
      <c r="Q2278" s="458" t="s">
        <v>258</v>
      </c>
      <c r="R2278" s="202" t="s">
        <v>81</v>
      </c>
      <c r="S2278" s="31" t="s">
        <v>273</v>
      </c>
      <c r="T2278" s="31" t="s">
        <v>273</v>
      </c>
      <c r="U2278" s="31">
        <f>IFERROR(VLOOKUP(CONCATENATE(Tabla1[[#This Row],[Severidad]]," ",Tabla1[[#This Row],[Complejidad]]),Catalogos!E$120:G$128,3,FALSE),"")</f>
        <v>64</v>
      </c>
      <c r="V2278" s="31" t="str">
        <f>IF(Tabla1[[#This Row],[Tiempo solución max (hrs)]]&lt;&gt;"",IF(Tabla1[[#This Row],[Tiempo solución max (hrs)]]&gt;=Tabla1[[#This Row],[Tiempo
(Hrs 00/100)]],"cumple","no cumple"),"")</f>
        <v>cumple</v>
      </c>
      <c r="W2278" s="629" t="s">
        <v>3327</v>
      </c>
      <c r="X2278" s="377" t="str">
        <f t="shared" si="200"/>
        <v>SAW</v>
      </c>
      <c r="Y2278" t="str">
        <f>SUBSTITUTE(Tabla1[[#This Row],[Descripción]],CHAR(10),"    I    ")</f>
        <v xml:space="preserve">actualizacion control interno </v>
      </c>
      <c r="Z2278" s="142">
        <f>VLOOKUP(Tabla1[[#This Row],[Perfil]],Catalogos!$B$75:$D$100,3,FALSE)*Tabla1[[#This Row],[Tiempo
(Hrs 00/100)]]*1.16</f>
        <v>1739.9999999999998</v>
      </c>
    </row>
    <row r="2279" spans="1:26" ht="15" customHeight="1" x14ac:dyDescent="0.3">
      <c r="A2279" s="370" t="s">
        <v>22</v>
      </c>
      <c r="B2279" s="370" t="s">
        <v>68</v>
      </c>
      <c r="C2279" s="418" t="s">
        <v>16</v>
      </c>
      <c r="D2279" s="370"/>
      <c r="E2279" s="370" t="s">
        <v>503</v>
      </c>
      <c r="F2279" s="370" t="s">
        <v>75</v>
      </c>
      <c r="G2279" s="370" t="s">
        <v>4057</v>
      </c>
      <c r="H2279" s="419" t="s">
        <v>436</v>
      </c>
      <c r="I2279" s="420" t="s">
        <v>2584</v>
      </c>
      <c r="J2279" s="369">
        <v>45225</v>
      </c>
      <c r="K2279" s="747">
        <v>0.375</v>
      </c>
      <c r="L2279" s="369">
        <v>45225</v>
      </c>
      <c r="M2279" s="753">
        <v>0.47916666666666669</v>
      </c>
      <c r="N2279" s="210">
        <v>2.5</v>
      </c>
      <c r="O2279" s="537" t="s">
        <v>17</v>
      </c>
      <c r="P2279" s="375" t="s">
        <v>3712</v>
      </c>
      <c r="Q2279" s="458" t="s">
        <v>258</v>
      </c>
      <c r="R2279" s="202" t="s">
        <v>81</v>
      </c>
      <c r="S2279" s="31" t="s">
        <v>273</v>
      </c>
      <c r="T2279" s="31" t="s">
        <v>273</v>
      </c>
      <c r="U2279" s="31">
        <f>IFERROR(VLOOKUP(CONCATENATE(Tabla1[[#This Row],[Severidad]]," ",Tabla1[[#This Row],[Complejidad]]),Catalogos!E$120:G$128,3,FALSE),"")</f>
        <v>64</v>
      </c>
      <c r="V2279" s="31" t="str">
        <f>IF(Tabla1[[#This Row],[Tiempo solución max (hrs)]]&lt;&gt;"",IF(Tabla1[[#This Row],[Tiempo solución max (hrs)]]&gt;=Tabla1[[#This Row],[Tiempo
(Hrs 00/100)]],"cumple","no cumple"),"")</f>
        <v>cumple</v>
      </c>
      <c r="W2279" s="629" t="s">
        <v>3327</v>
      </c>
      <c r="X2279" s="377" t="str">
        <f t="shared" si="200"/>
        <v>SAW</v>
      </c>
      <c r="Y2279" t="str">
        <f>SUBSTITUTE(Tabla1[[#This Row],[Descripción]],CHAR(10),"    I    ")</f>
        <v xml:space="preserve">actualizacion consejo consultivo </v>
      </c>
      <c r="Z2279" s="142">
        <f>VLOOKUP(Tabla1[[#This Row],[Perfil]],Catalogos!$B$75:$D$100,3,FALSE)*Tabla1[[#This Row],[Tiempo
(Hrs 00/100)]]*1.16</f>
        <v>1450</v>
      </c>
    </row>
    <row r="2280" spans="1:26" ht="15" customHeight="1" x14ac:dyDescent="0.3">
      <c r="A2280" s="370" t="s">
        <v>22</v>
      </c>
      <c r="B2280" s="370" t="s">
        <v>68</v>
      </c>
      <c r="C2280" s="418" t="s">
        <v>16</v>
      </c>
      <c r="D2280" s="370"/>
      <c r="E2280" s="370" t="s">
        <v>503</v>
      </c>
      <c r="F2280" s="370" t="s">
        <v>75</v>
      </c>
      <c r="G2280" s="370" t="s">
        <v>4058</v>
      </c>
      <c r="H2280" s="419" t="s">
        <v>436</v>
      </c>
      <c r="I2280" s="420" t="s">
        <v>3723</v>
      </c>
      <c r="J2280" s="369">
        <v>45225</v>
      </c>
      <c r="K2280" s="747">
        <v>0.47916666666666669</v>
      </c>
      <c r="L2280" s="369">
        <v>45225</v>
      </c>
      <c r="M2280" s="753">
        <v>0.5625</v>
      </c>
      <c r="N2280" s="210">
        <v>2</v>
      </c>
      <c r="O2280" s="537" t="s">
        <v>17</v>
      </c>
      <c r="P2280" s="375" t="s">
        <v>3754</v>
      </c>
      <c r="Q2280" s="458" t="s">
        <v>258</v>
      </c>
      <c r="R2280" s="202" t="s">
        <v>81</v>
      </c>
      <c r="S2280" s="31" t="s">
        <v>273</v>
      </c>
      <c r="T2280" s="31" t="s">
        <v>273</v>
      </c>
      <c r="U2280" s="31">
        <f>IFERROR(VLOOKUP(CONCATENATE(Tabla1[[#This Row],[Severidad]]," ",Tabla1[[#This Row],[Complejidad]]),Catalogos!E$120:G$128,3,FALSE),"")</f>
        <v>64</v>
      </c>
      <c r="V2280" s="31" t="str">
        <f>IF(Tabla1[[#This Row],[Tiempo solución max (hrs)]]&lt;&gt;"",IF(Tabla1[[#This Row],[Tiempo solución max (hrs)]]&gt;=Tabla1[[#This Row],[Tiempo
(Hrs 00/100)]],"cumple","no cumple"),"")</f>
        <v>cumple</v>
      </c>
      <c r="W2280" s="629" t="s">
        <v>3327</v>
      </c>
      <c r="X2280" s="377" t="str">
        <f t="shared" si="200"/>
        <v>SAW</v>
      </c>
      <c r="Y2280" t="str">
        <f>SUBSTITUTE(Tabla1[[#This Row],[Descripción]],CHAR(10),"    I    ")</f>
        <v xml:space="preserve">actualizacion de avance de proyecto </v>
      </c>
      <c r="Z2280" s="142">
        <f>VLOOKUP(Tabla1[[#This Row],[Perfil]],Catalogos!$B$75:$D$100,3,FALSE)*Tabla1[[#This Row],[Tiempo
(Hrs 00/100)]]*1.16</f>
        <v>1160</v>
      </c>
    </row>
    <row r="2281" spans="1:26" ht="15" customHeight="1" x14ac:dyDescent="0.3">
      <c r="A2281" s="370" t="s">
        <v>22</v>
      </c>
      <c r="B2281" s="370" t="s">
        <v>68</v>
      </c>
      <c r="C2281" s="418" t="s">
        <v>16</v>
      </c>
      <c r="D2281" s="370"/>
      <c r="E2281" s="370" t="s">
        <v>503</v>
      </c>
      <c r="F2281" s="370" t="s">
        <v>75</v>
      </c>
      <c r="G2281" s="370" t="s">
        <v>4059</v>
      </c>
      <c r="H2281" s="419" t="s">
        <v>436</v>
      </c>
      <c r="I2281" s="420" t="s">
        <v>3771</v>
      </c>
      <c r="J2281" s="369">
        <v>45225</v>
      </c>
      <c r="K2281" s="747">
        <v>0.5625</v>
      </c>
      <c r="L2281" s="369">
        <v>45225</v>
      </c>
      <c r="M2281" s="753">
        <v>0.60416666666666663</v>
      </c>
      <c r="N2281" s="210">
        <v>1</v>
      </c>
      <c r="O2281" s="537" t="s">
        <v>17</v>
      </c>
      <c r="P2281" s="375" t="s">
        <v>3721</v>
      </c>
      <c r="Q2281" s="458" t="s">
        <v>258</v>
      </c>
      <c r="R2281" s="202" t="s">
        <v>81</v>
      </c>
      <c r="S2281" s="31" t="s">
        <v>273</v>
      </c>
      <c r="T2281" s="31" t="s">
        <v>273</v>
      </c>
      <c r="U2281" s="31">
        <f>IFERROR(VLOOKUP(CONCATENATE(Tabla1[[#This Row],[Severidad]]," ",Tabla1[[#This Row],[Complejidad]]),Catalogos!E$120:G$128,3,FALSE),"")</f>
        <v>64</v>
      </c>
      <c r="V2281" s="31" t="str">
        <f>IF(Tabla1[[#This Row],[Tiempo solución max (hrs)]]&lt;&gt;"",IF(Tabla1[[#This Row],[Tiempo solución max (hrs)]]&gt;=Tabla1[[#This Row],[Tiempo
(Hrs 00/100)]],"cumple","no cumple"),"")</f>
        <v>cumple</v>
      </c>
      <c r="W2281" s="629" t="s">
        <v>3327</v>
      </c>
      <c r="X2281" s="377" t="str">
        <f t="shared" ref="X2281:X2302" si="201">IF(C2281&lt;&gt;"",C2281,D2281)</f>
        <v>SAW</v>
      </c>
      <c r="Y2281" t="str">
        <f>SUBSTITUTE(Tabla1[[#This Row],[Descripción]],CHAR(10),"    I    ")</f>
        <v xml:space="preserve">actualizacion de paginas web </v>
      </c>
      <c r="Z2281" s="142">
        <f>VLOOKUP(Tabla1[[#This Row],[Perfil]],Catalogos!$B$75:$D$100,3,FALSE)*Tabla1[[#This Row],[Tiempo
(Hrs 00/100)]]*1.16</f>
        <v>580</v>
      </c>
    </row>
    <row r="2282" spans="1:26" ht="15" customHeight="1" x14ac:dyDescent="0.3">
      <c r="A2282" s="370" t="s">
        <v>22</v>
      </c>
      <c r="B2282" s="370" t="s">
        <v>68</v>
      </c>
      <c r="C2282" s="418" t="s">
        <v>16</v>
      </c>
      <c r="D2282" s="370"/>
      <c r="E2282" s="370" t="s">
        <v>503</v>
      </c>
      <c r="F2282" s="370" t="s">
        <v>75</v>
      </c>
      <c r="G2282" s="370" t="s">
        <v>4060</v>
      </c>
      <c r="H2282" s="419" t="s">
        <v>436</v>
      </c>
      <c r="I2282" s="420" t="s">
        <v>3720</v>
      </c>
      <c r="J2282" s="369">
        <v>45225</v>
      </c>
      <c r="K2282" s="747">
        <v>0.66666666666666663</v>
      </c>
      <c r="L2282" s="369">
        <v>45225</v>
      </c>
      <c r="M2282" s="753">
        <v>0.79166666666666663</v>
      </c>
      <c r="N2282" s="210">
        <v>3</v>
      </c>
      <c r="O2282" s="537" t="s">
        <v>17</v>
      </c>
      <c r="P2282" s="375" t="s">
        <v>3711</v>
      </c>
      <c r="Q2282" s="458" t="s">
        <v>258</v>
      </c>
      <c r="R2282" s="202" t="s">
        <v>81</v>
      </c>
      <c r="S2282" s="31" t="s">
        <v>273</v>
      </c>
      <c r="T2282" s="31" t="s">
        <v>273</v>
      </c>
      <c r="U2282" s="31">
        <f>IFERROR(VLOOKUP(CONCATENATE(Tabla1[[#This Row],[Severidad]]," ",Tabla1[[#This Row],[Complejidad]]),Catalogos!E$120:G$128,3,FALSE),"")</f>
        <v>64</v>
      </c>
      <c r="V2282" s="31" t="str">
        <f>IF(Tabla1[[#This Row],[Tiempo solución max (hrs)]]&lt;&gt;"",IF(Tabla1[[#This Row],[Tiempo solución max (hrs)]]&gt;=Tabla1[[#This Row],[Tiempo
(Hrs 00/100)]],"cumple","no cumple"),"")</f>
        <v>cumple</v>
      </c>
      <c r="W2282" s="629" t="s">
        <v>3327</v>
      </c>
      <c r="X2282" s="377" t="str">
        <f t="shared" si="201"/>
        <v>SAW</v>
      </c>
      <c r="Y2282" t="str">
        <f>SUBSTITUTE(Tabla1[[#This Row],[Descripción]],CHAR(10),"    I    ")</f>
        <v xml:space="preserve">Actualizacion micrositio SNT </v>
      </c>
      <c r="Z2282" s="142">
        <f>VLOOKUP(Tabla1[[#This Row],[Perfil]],Catalogos!$B$75:$D$100,3,FALSE)*Tabla1[[#This Row],[Tiempo
(Hrs 00/100)]]*1.16</f>
        <v>1739.9999999999998</v>
      </c>
    </row>
    <row r="2283" spans="1:26" ht="15" customHeight="1" x14ac:dyDescent="0.3">
      <c r="A2283" s="370" t="s">
        <v>22</v>
      </c>
      <c r="B2283" s="370" t="s">
        <v>68</v>
      </c>
      <c r="C2283" s="418" t="s">
        <v>16</v>
      </c>
      <c r="D2283" s="370"/>
      <c r="E2283" s="370" t="s">
        <v>503</v>
      </c>
      <c r="F2283" s="370" t="s">
        <v>75</v>
      </c>
      <c r="G2283" s="370" t="s">
        <v>4061</v>
      </c>
      <c r="H2283" s="419" t="s">
        <v>436</v>
      </c>
      <c r="I2283" s="420" t="s">
        <v>2544</v>
      </c>
      <c r="J2283" s="369">
        <v>45226</v>
      </c>
      <c r="K2283" s="747">
        <v>0.375</v>
      </c>
      <c r="L2283" s="369">
        <v>45226</v>
      </c>
      <c r="M2283" s="753">
        <v>0.45833333333333331</v>
      </c>
      <c r="N2283" s="210">
        <v>2</v>
      </c>
      <c r="O2283" s="537" t="s">
        <v>17</v>
      </c>
      <c r="P2283" s="375" t="s">
        <v>3711</v>
      </c>
      <c r="Q2283" s="458" t="s">
        <v>258</v>
      </c>
      <c r="R2283" s="202" t="s">
        <v>81</v>
      </c>
      <c r="S2283" s="31" t="s">
        <v>273</v>
      </c>
      <c r="T2283" s="31" t="s">
        <v>273</v>
      </c>
      <c r="U2283" s="31">
        <f>IFERROR(VLOOKUP(CONCATENATE(Tabla1[[#This Row],[Severidad]]," ",Tabla1[[#This Row],[Complejidad]]),Catalogos!E$120:G$128,3,FALSE),"")</f>
        <v>64</v>
      </c>
      <c r="V2283" s="31" t="str">
        <f>IF(Tabla1[[#This Row],[Tiempo solución max (hrs)]]&lt;&gt;"",IF(Tabla1[[#This Row],[Tiempo solución max (hrs)]]&gt;=Tabla1[[#This Row],[Tiempo
(Hrs 00/100)]],"cumple","no cumple"),"")</f>
        <v>cumple</v>
      </c>
      <c r="W2283" s="629" t="s">
        <v>3327</v>
      </c>
      <c r="X2283" s="377" t="str">
        <f t="shared" si="201"/>
        <v>SAW</v>
      </c>
      <c r="Y2283" t="str">
        <f>SUBSTITUTE(Tabla1[[#This Row],[Descripción]],CHAR(10),"    I    ")</f>
        <v xml:space="preserve">actualizacion pagina consejo consultivo </v>
      </c>
      <c r="Z2283" s="142">
        <f>VLOOKUP(Tabla1[[#This Row],[Perfil]],Catalogos!$B$75:$D$100,3,FALSE)*Tabla1[[#This Row],[Tiempo
(Hrs 00/100)]]*1.16</f>
        <v>1160</v>
      </c>
    </row>
    <row r="2284" spans="1:26" ht="15" customHeight="1" x14ac:dyDescent="0.3">
      <c r="A2284" s="370" t="s">
        <v>22</v>
      </c>
      <c r="B2284" s="370" t="s">
        <v>68</v>
      </c>
      <c r="C2284" s="418" t="s">
        <v>16</v>
      </c>
      <c r="D2284" s="370"/>
      <c r="E2284" s="370" t="s">
        <v>503</v>
      </c>
      <c r="F2284" s="370" t="s">
        <v>75</v>
      </c>
      <c r="G2284" s="370" t="s">
        <v>4062</v>
      </c>
      <c r="H2284" s="419" t="s">
        <v>436</v>
      </c>
      <c r="I2284" s="420" t="s">
        <v>2554</v>
      </c>
      <c r="J2284" s="369">
        <v>45226</v>
      </c>
      <c r="K2284" s="747">
        <v>0.45833333333333331</v>
      </c>
      <c r="L2284" s="369">
        <v>45226</v>
      </c>
      <c r="M2284" s="753">
        <v>9.7222222222222224E-3</v>
      </c>
      <c r="N2284" s="210">
        <v>3</v>
      </c>
      <c r="O2284" s="537" t="s">
        <v>17</v>
      </c>
      <c r="P2284" s="375" t="s">
        <v>3748</v>
      </c>
      <c r="Q2284" s="458" t="s">
        <v>258</v>
      </c>
      <c r="R2284" s="202" t="s">
        <v>81</v>
      </c>
      <c r="S2284" s="31" t="s">
        <v>273</v>
      </c>
      <c r="T2284" s="31" t="s">
        <v>273</v>
      </c>
      <c r="U2284" s="31">
        <f>IFERROR(VLOOKUP(CONCATENATE(Tabla1[[#This Row],[Severidad]]," ",Tabla1[[#This Row],[Complejidad]]),Catalogos!E$120:G$128,3,FALSE),"")</f>
        <v>64</v>
      </c>
      <c r="V2284" s="31" t="str">
        <f>IF(Tabla1[[#This Row],[Tiempo solución max (hrs)]]&lt;&gt;"",IF(Tabla1[[#This Row],[Tiempo solución max (hrs)]]&gt;=Tabla1[[#This Row],[Tiempo
(Hrs 00/100)]],"cumple","no cumple"),"")</f>
        <v>cumple</v>
      </c>
      <c r="W2284" s="629" t="s">
        <v>3327</v>
      </c>
      <c r="X2284" s="377" t="str">
        <f t="shared" si="201"/>
        <v>SAW</v>
      </c>
      <c r="Y2284" t="str">
        <f>SUBSTITUTE(Tabla1[[#This Row],[Descripción]],CHAR(10),"    I    ")</f>
        <v xml:space="preserve">actualizacion control interno </v>
      </c>
      <c r="Z2284" s="142">
        <f>VLOOKUP(Tabla1[[#This Row],[Perfil]],Catalogos!$B$75:$D$100,3,FALSE)*Tabla1[[#This Row],[Tiempo
(Hrs 00/100)]]*1.16</f>
        <v>1739.9999999999998</v>
      </c>
    </row>
    <row r="2285" spans="1:26" ht="15" customHeight="1" x14ac:dyDescent="0.3">
      <c r="A2285" s="370" t="s">
        <v>22</v>
      </c>
      <c r="B2285" s="370" t="s">
        <v>68</v>
      </c>
      <c r="C2285" s="418" t="s">
        <v>16</v>
      </c>
      <c r="D2285" s="370"/>
      <c r="E2285" s="370" t="s">
        <v>503</v>
      </c>
      <c r="F2285" s="370" t="s">
        <v>75</v>
      </c>
      <c r="G2285" s="370" t="s">
        <v>4063</v>
      </c>
      <c r="H2285" s="419" t="s">
        <v>436</v>
      </c>
      <c r="I2285" s="420" t="s">
        <v>3776</v>
      </c>
      <c r="J2285" s="369">
        <v>45226</v>
      </c>
      <c r="K2285" s="747">
        <v>9.7222222222222224E-3</v>
      </c>
      <c r="L2285" s="369">
        <v>45226</v>
      </c>
      <c r="M2285" s="753">
        <v>0.625</v>
      </c>
      <c r="N2285" s="210">
        <v>1</v>
      </c>
      <c r="O2285" s="537" t="s">
        <v>17</v>
      </c>
      <c r="P2285" s="375" t="s">
        <v>3721</v>
      </c>
      <c r="Q2285" s="458" t="s">
        <v>258</v>
      </c>
      <c r="R2285" s="202" t="s">
        <v>81</v>
      </c>
      <c r="S2285" s="31" t="s">
        <v>273</v>
      </c>
      <c r="T2285" s="31" t="s">
        <v>273</v>
      </c>
      <c r="U2285" s="31">
        <f>IFERROR(VLOOKUP(CONCATENATE(Tabla1[[#This Row],[Severidad]]," ",Tabla1[[#This Row],[Complejidad]]),Catalogos!E$120:G$128,3,FALSE),"")</f>
        <v>64</v>
      </c>
      <c r="V2285" s="31" t="str">
        <f>IF(Tabla1[[#This Row],[Tiempo solución max (hrs)]]&lt;&gt;"",IF(Tabla1[[#This Row],[Tiempo solución max (hrs)]]&gt;=Tabla1[[#This Row],[Tiempo
(Hrs 00/100)]],"cumple","no cumple"),"")</f>
        <v>cumple</v>
      </c>
      <c r="W2285" s="629" t="s">
        <v>3327</v>
      </c>
      <c r="X2285" s="377" t="str">
        <f t="shared" si="201"/>
        <v>SAW</v>
      </c>
      <c r="Y2285" t="str">
        <f>SUBSTITUTE(Tabla1[[#This Row],[Descripción]],CHAR(10),"    I    ")</f>
        <v xml:space="preserve">Actualizacionpagina web </v>
      </c>
      <c r="Z2285" s="142">
        <f>VLOOKUP(Tabla1[[#This Row],[Perfil]],Catalogos!$B$75:$D$100,3,FALSE)*Tabla1[[#This Row],[Tiempo
(Hrs 00/100)]]*1.16</f>
        <v>580</v>
      </c>
    </row>
    <row r="2286" spans="1:26" ht="15" customHeight="1" x14ac:dyDescent="0.3">
      <c r="A2286" s="370" t="s">
        <v>22</v>
      </c>
      <c r="B2286" s="370" t="s">
        <v>68</v>
      </c>
      <c r="C2286" s="418" t="s">
        <v>16</v>
      </c>
      <c r="D2286" s="370"/>
      <c r="E2286" s="370" t="s">
        <v>503</v>
      </c>
      <c r="F2286" s="370" t="s">
        <v>75</v>
      </c>
      <c r="G2286" s="370" t="s">
        <v>4064</v>
      </c>
      <c r="H2286" s="419" t="s">
        <v>436</v>
      </c>
      <c r="I2286" s="420" t="s">
        <v>3729</v>
      </c>
      <c r="J2286" s="369">
        <v>45229</v>
      </c>
      <c r="K2286" s="747">
        <v>0.375</v>
      </c>
      <c r="L2286" s="369">
        <v>45229</v>
      </c>
      <c r="M2286" s="753">
        <v>0.52083333333333337</v>
      </c>
      <c r="N2286" s="210">
        <v>3.5</v>
      </c>
      <c r="O2286" s="537" t="s">
        <v>17</v>
      </c>
      <c r="P2286" s="375" t="s">
        <v>3721</v>
      </c>
      <c r="Q2286" s="458" t="s">
        <v>258</v>
      </c>
      <c r="R2286" s="202" t="s">
        <v>81</v>
      </c>
      <c r="S2286" s="31" t="s">
        <v>273</v>
      </c>
      <c r="T2286" s="31" t="s">
        <v>273</v>
      </c>
      <c r="U2286" s="31">
        <f>IFERROR(VLOOKUP(CONCATENATE(Tabla1[[#This Row],[Severidad]]," ",Tabla1[[#This Row],[Complejidad]]),Catalogos!E$120:G$128,3,FALSE),"")</f>
        <v>64</v>
      </c>
      <c r="V2286" s="31" t="str">
        <f>IF(Tabla1[[#This Row],[Tiempo solución max (hrs)]]&lt;&gt;"",IF(Tabla1[[#This Row],[Tiempo solución max (hrs)]]&gt;=Tabla1[[#This Row],[Tiempo
(Hrs 00/100)]],"cumple","no cumple"),"")</f>
        <v>cumple</v>
      </c>
      <c r="W2286" s="629" t="s">
        <v>3327</v>
      </c>
      <c r="X2286" s="377" t="str">
        <f t="shared" si="201"/>
        <v>SAW</v>
      </c>
      <c r="Y2286" t="str">
        <f>SUBSTITUTE(Tabla1[[#This Row],[Descripción]],CHAR(10),"    I    ")</f>
        <v xml:space="preserve">actualizacion RTA encuentros </v>
      </c>
      <c r="Z2286" s="142">
        <f>VLOOKUP(Tabla1[[#This Row],[Perfil]],Catalogos!$B$75:$D$100,3,FALSE)*Tabla1[[#This Row],[Tiempo
(Hrs 00/100)]]*1.16</f>
        <v>2029.9999999999998</v>
      </c>
    </row>
    <row r="2287" spans="1:26" ht="15" customHeight="1" x14ac:dyDescent="0.3">
      <c r="A2287" s="370" t="s">
        <v>22</v>
      </c>
      <c r="B2287" s="370" t="s">
        <v>68</v>
      </c>
      <c r="C2287" s="418" t="s">
        <v>16</v>
      </c>
      <c r="D2287" s="370"/>
      <c r="E2287" s="370" t="s">
        <v>503</v>
      </c>
      <c r="F2287" s="370" t="s">
        <v>75</v>
      </c>
      <c r="G2287" s="370" t="s">
        <v>4065</v>
      </c>
      <c r="H2287" s="419" t="s">
        <v>436</v>
      </c>
      <c r="I2287" s="420" t="s">
        <v>3779</v>
      </c>
      <c r="J2287" s="369">
        <v>45229</v>
      </c>
      <c r="K2287" s="747">
        <v>0.52083333333333337</v>
      </c>
      <c r="L2287" s="369">
        <v>45229</v>
      </c>
      <c r="M2287" s="753">
        <v>0.60416666666666663</v>
      </c>
      <c r="N2287" s="210">
        <v>2</v>
      </c>
      <c r="O2287" s="537" t="s">
        <v>17</v>
      </c>
      <c r="P2287" s="375" t="s">
        <v>3769</v>
      </c>
      <c r="Q2287" s="458" t="s">
        <v>258</v>
      </c>
      <c r="R2287" s="202" t="s">
        <v>81</v>
      </c>
      <c r="S2287" s="31" t="s">
        <v>273</v>
      </c>
      <c r="T2287" s="31" t="s">
        <v>273</v>
      </c>
      <c r="U2287" s="31">
        <f>IFERROR(VLOOKUP(CONCATENATE(Tabla1[[#This Row],[Severidad]]," ",Tabla1[[#This Row],[Complejidad]]),Catalogos!E$120:G$128,3,FALSE),"")</f>
        <v>64</v>
      </c>
      <c r="V2287" s="31" t="str">
        <f>IF(Tabla1[[#This Row],[Tiempo solución max (hrs)]]&lt;&gt;"",IF(Tabla1[[#This Row],[Tiempo solución max (hrs)]]&gt;=Tabla1[[#This Row],[Tiempo
(Hrs 00/100)]],"cumple","no cumple"),"")</f>
        <v>cumple</v>
      </c>
      <c r="W2287" s="629" t="s">
        <v>3327</v>
      </c>
      <c r="X2287" s="377" t="str">
        <f t="shared" si="201"/>
        <v>SAW</v>
      </c>
      <c r="Y2287" t="str">
        <f>SUBSTITUTE(Tabla1[[#This Row],[Descripción]],CHAR(10),"    I    ")</f>
        <v xml:space="preserve">ajuste sitio RTA </v>
      </c>
      <c r="Z2287" s="142">
        <f>VLOOKUP(Tabla1[[#This Row],[Perfil]],Catalogos!$B$75:$D$100,3,FALSE)*Tabla1[[#This Row],[Tiempo
(Hrs 00/100)]]*1.16</f>
        <v>1160</v>
      </c>
    </row>
    <row r="2288" spans="1:26" ht="15" customHeight="1" x14ac:dyDescent="0.3">
      <c r="A2288" s="370" t="s">
        <v>22</v>
      </c>
      <c r="B2288" s="370" t="s">
        <v>68</v>
      </c>
      <c r="C2288" s="418" t="s">
        <v>16</v>
      </c>
      <c r="D2288" s="370"/>
      <c r="E2288" s="370" t="s">
        <v>503</v>
      </c>
      <c r="F2288" s="370" t="s">
        <v>75</v>
      </c>
      <c r="G2288" s="370" t="s">
        <v>4066</v>
      </c>
      <c r="H2288" s="419" t="s">
        <v>436</v>
      </c>
      <c r="I2288" s="420" t="s">
        <v>3781</v>
      </c>
      <c r="J2288" s="369">
        <v>45229</v>
      </c>
      <c r="K2288" s="747">
        <v>0.66666666666666663</v>
      </c>
      <c r="L2288" s="369">
        <v>45229</v>
      </c>
      <c r="M2288" s="753">
        <v>0.79166666666666663</v>
      </c>
      <c r="N2288" s="210">
        <v>3</v>
      </c>
      <c r="O2288" s="537" t="s">
        <v>17</v>
      </c>
      <c r="P2288" s="375" t="s">
        <v>3728</v>
      </c>
      <c r="Q2288" s="458" t="s">
        <v>258</v>
      </c>
      <c r="R2288" s="202" t="s">
        <v>81</v>
      </c>
      <c r="S2288" s="31" t="s">
        <v>273</v>
      </c>
      <c r="T2288" s="31" t="s">
        <v>273</v>
      </c>
      <c r="U2288" s="31">
        <f>IFERROR(VLOOKUP(CONCATENATE(Tabla1[[#This Row],[Severidad]]," ",Tabla1[[#This Row],[Complejidad]]),Catalogos!E$120:G$128,3,FALSE),"")</f>
        <v>64</v>
      </c>
      <c r="V2288" s="31" t="str">
        <f>IF(Tabla1[[#This Row],[Tiempo solución max (hrs)]]&lt;&gt;"",IF(Tabla1[[#This Row],[Tiempo solución max (hrs)]]&gt;=Tabla1[[#This Row],[Tiempo
(Hrs 00/100)]],"cumple","no cumple"),"")</f>
        <v>cumple</v>
      </c>
      <c r="W2288" s="629" t="s">
        <v>3327</v>
      </c>
      <c r="X2288" s="377" t="str">
        <f t="shared" si="201"/>
        <v>SAW</v>
      </c>
      <c r="Y2288" t="str">
        <f>SUBSTITUTE(Tabla1[[#This Row],[Descripción]],CHAR(10),"    I    ")</f>
        <v xml:space="preserve">actualizaciones micrositios </v>
      </c>
      <c r="Z2288" s="142">
        <f>VLOOKUP(Tabla1[[#This Row],[Perfil]],Catalogos!$B$75:$D$100,3,FALSE)*Tabla1[[#This Row],[Tiempo
(Hrs 00/100)]]*1.16</f>
        <v>1739.9999999999998</v>
      </c>
    </row>
    <row r="2289" spans="1:26" ht="15" customHeight="1" x14ac:dyDescent="0.3">
      <c r="A2289" s="370" t="s">
        <v>22</v>
      </c>
      <c r="B2289" s="370" t="s">
        <v>68</v>
      </c>
      <c r="C2289" s="418" t="s">
        <v>16</v>
      </c>
      <c r="D2289" s="370"/>
      <c r="E2289" s="370" t="s">
        <v>503</v>
      </c>
      <c r="F2289" s="370" t="s">
        <v>75</v>
      </c>
      <c r="G2289" s="370" t="s">
        <v>4067</v>
      </c>
      <c r="H2289" s="419" t="s">
        <v>436</v>
      </c>
      <c r="I2289" s="420" t="s">
        <v>3783</v>
      </c>
      <c r="J2289" s="369">
        <v>45230</v>
      </c>
      <c r="K2289" s="747">
        <v>0.375</v>
      </c>
      <c r="L2289" s="369">
        <v>45230</v>
      </c>
      <c r="M2289" s="753">
        <v>0.4375</v>
      </c>
      <c r="N2289" s="210">
        <v>1.5</v>
      </c>
      <c r="O2289" s="537" t="s">
        <v>17</v>
      </c>
      <c r="P2289" s="375" t="s">
        <v>3735</v>
      </c>
      <c r="Q2289" s="458" t="s">
        <v>258</v>
      </c>
      <c r="R2289" s="202" t="s">
        <v>81</v>
      </c>
      <c r="S2289" s="31" t="s">
        <v>273</v>
      </c>
      <c r="T2289" s="31" t="s">
        <v>273</v>
      </c>
      <c r="U2289" s="31">
        <f>IFERROR(VLOOKUP(CONCATENATE(Tabla1[[#This Row],[Severidad]]," ",Tabla1[[#This Row],[Complejidad]]),Catalogos!E$120:G$128,3,FALSE),"")</f>
        <v>64</v>
      </c>
      <c r="V2289" s="31" t="str">
        <f>IF(Tabla1[[#This Row],[Tiempo solución max (hrs)]]&lt;&gt;"",IF(Tabla1[[#This Row],[Tiempo solución max (hrs)]]&gt;=Tabla1[[#This Row],[Tiempo
(Hrs 00/100)]],"cumple","no cumple"),"")</f>
        <v>cumple</v>
      </c>
      <c r="W2289" s="629" t="s">
        <v>3327</v>
      </c>
      <c r="X2289" s="377" t="str">
        <f t="shared" si="201"/>
        <v>SAW</v>
      </c>
      <c r="Y2289" t="str">
        <f>SUBSTITUTE(Tabla1[[#This Row],[Descripción]],CHAR(10),"    I    ")</f>
        <v xml:space="preserve">Actualizacion CIT evaluacion </v>
      </c>
      <c r="Z2289" s="142">
        <f>VLOOKUP(Tabla1[[#This Row],[Perfil]],Catalogos!$B$75:$D$100,3,FALSE)*Tabla1[[#This Row],[Tiempo
(Hrs 00/100)]]*1.16</f>
        <v>869.99999999999989</v>
      </c>
    </row>
    <row r="2290" spans="1:26" ht="15" customHeight="1" x14ac:dyDescent="0.3">
      <c r="A2290" s="370" t="s">
        <v>22</v>
      </c>
      <c r="B2290" s="370" t="s">
        <v>68</v>
      </c>
      <c r="C2290" s="418" t="s">
        <v>16</v>
      </c>
      <c r="D2290" s="370"/>
      <c r="E2290" s="370" t="s">
        <v>503</v>
      </c>
      <c r="F2290" s="370" t="s">
        <v>75</v>
      </c>
      <c r="G2290" s="370" t="s">
        <v>4068</v>
      </c>
      <c r="H2290" s="419" t="s">
        <v>436</v>
      </c>
      <c r="I2290" s="420" t="s">
        <v>3785</v>
      </c>
      <c r="J2290" s="369">
        <v>45230</v>
      </c>
      <c r="K2290" s="747">
        <v>0.4375</v>
      </c>
      <c r="L2290" s="369">
        <v>45230</v>
      </c>
      <c r="M2290" s="753">
        <v>0.52083333333333337</v>
      </c>
      <c r="N2290" s="210">
        <v>2</v>
      </c>
      <c r="O2290" s="537" t="s">
        <v>17</v>
      </c>
      <c r="P2290" s="375" t="s">
        <v>3721</v>
      </c>
      <c r="Q2290" s="458" t="s">
        <v>258</v>
      </c>
      <c r="R2290" s="202" t="s">
        <v>81</v>
      </c>
      <c r="S2290" s="31" t="s">
        <v>273</v>
      </c>
      <c r="T2290" s="31" t="s">
        <v>273</v>
      </c>
      <c r="U2290" s="31">
        <f>IFERROR(VLOOKUP(CONCATENATE(Tabla1[[#This Row],[Severidad]]," ",Tabla1[[#This Row],[Complejidad]]),Catalogos!E$120:G$128,3,FALSE),"")</f>
        <v>64</v>
      </c>
      <c r="V2290" s="31" t="str">
        <f>IF(Tabla1[[#This Row],[Tiempo solución max (hrs)]]&lt;&gt;"",IF(Tabla1[[#This Row],[Tiempo solución max (hrs)]]&gt;=Tabla1[[#This Row],[Tiempo
(Hrs 00/100)]],"cumple","no cumple"),"")</f>
        <v>cumple</v>
      </c>
      <c r="W2290" s="629" t="s">
        <v>3327</v>
      </c>
      <c r="X2290" s="377" t="str">
        <f t="shared" si="201"/>
        <v>SAW</v>
      </c>
      <c r="Y2290" t="str">
        <f>SUBSTITUTE(Tabla1[[#This Row],[Descripción]],CHAR(10),"    I    ")</f>
        <v xml:space="preserve">actualizacioncontraseña GAP </v>
      </c>
      <c r="Z2290" s="142">
        <f>VLOOKUP(Tabla1[[#This Row],[Perfil]],Catalogos!$B$75:$D$100,3,FALSE)*Tabla1[[#This Row],[Tiempo
(Hrs 00/100)]]*1.16</f>
        <v>1160</v>
      </c>
    </row>
    <row r="2291" spans="1:26" ht="15" customHeight="1" x14ac:dyDescent="0.3">
      <c r="A2291" s="370" t="s">
        <v>22</v>
      </c>
      <c r="B2291" s="370" t="s">
        <v>68</v>
      </c>
      <c r="C2291" s="418" t="s">
        <v>16</v>
      </c>
      <c r="D2291" s="370"/>
      <c r="E2291" s="370" t="s">
        <v>503</v>
      </c>
      <c r="F2291" s="370" t="s">
        <v>75</v>
      </c>
      <c r="G2291" s="370" t="s">
        <v>4069</v>
      </c>
      <c r="H2291" s="419" t="s">
        <v>436</v>
      </c>
      <c r="I2291" s="420" t="s">
        <v>3720</v>
      </c>
      <c r="J2291" s="369">
        <v>45230</v>
      </c>
      <c r="K2291" s="747">
        <v>0.52083333333333337</v>
      </c>
      <c r="L2291" s="369">
        <v>45230</v>
      </c>
      <c r="M2291" s="753">
        <v>0.60416666666666663</v>
      </c>
      <c r="N2291" s="210">
        <v>2</v>
      </c>
      <c r="O2291" s="537" t="s">
        <v>17</v>
      </c>
      <c r="P2291" s="375" t="s">
        <v>3711</v>
      </c>
      <c r="Q2291" s="458" t="s">
        <v>258</v>
      </c>
      <c r="R2291" s="202" t="s">
        <v>81</v>
      </c>
      <c r="S2291" s="31" t="s">
        <v>273</v>
      </c>
      <c r="T2291" s="31" t="s">
        <v>273</v>
      </c>
      <c r="U2291" s="31">
        <f>IFERROR(VLOOKUP(CONCATENATE(Tabla1[[#This Row],[Severidad]]," ",Tabla1[[#This Row],[Complejidad]]),Catalogos!E$120:G$128,3,FALSE),"")</f>
        <v>64</v>
      </c>
      <c r="V2291" s="31" t="str">
        <f>IF(Tabla1[[#This Row],[Tiempo solución max (hrs)]]&lt;&gt;"",IF(Tabla1[[#This Row],[Tiempo solución max (hrs)]]&gt;=Tabla1[[#This Row],[Tiempo
(Hrs 00/100)]],"cumple","no cumple"),"")</f>
        <v>cumple</v>
      </c>
      <c r="W2291" s="629" t="s">
        <v>3327</v>
      </c>
      <c r="X2291" s="377" t="str">
        <f t="shared" si="201"/>
        <v>SAW</v>
      </c>
      <c r="Y2291" t="str">
        <f>SUBSTITUTE(Tabla1[[#This Row],[Descripción]],CHAR(10),"    I    ")</f>
        <v xml:space="preserve">Actualizacion micrositio SNT </v>
      </c>
      <c r="Z2291" s="142">
        <f>VLOOKUP(Tabla1[[#This Row],[Perfil]],Catalogos!$B$75:$D$100,3,FALSE)*Tabla1[[#This Row],[Tiempo
(Hrs 00/100)]]*1.16</f>
        <v>1160</v>
      </c>
    </row>
    <row r="2292" spans="1:26" ht="15" customHeight="1" x14ac:dyDescent="0.3">
      <c r="A2292" s="370" t="s">
        <v>22</v>
      </c>
      <c r="B2292" s="370" t="s">
        <v>68</v>
      </c>
      <c r="C2292" s="418" t="s">
        <v>16</v>
      </c>
      <c r="D2292" s="370"/>
      <c r="E2292" s="370" t="s">
        <v>503</v>
      </c>
      <c r="F2292" s="370" t="s">
        <v>75</v>
      </c>
      <c r="G2292" s="370" t="s">
        <v>4070</v>
      </c>
      <c r="H2292" s="419" t="s">
        <v>436</v>
      </c>
      <c r="I2292" s="420" t="s">
        <v>2554</v>
      </c>
      <c r="J2292" s="369">
        <v>45230</v>
      </c>
      <c r="K2292" s="747">
        <v>0.66666666666666663</v>
      </c>
      <c r="L2292" s="369">
        <v>45230</v>
      </c>
      <c r="M2292" s="753">
        <v>0.79166666666666663</v>
      </c>
      <c r="N2292" s="210">
        <v>3</v>
      </c>
      <c r="O2292" s="537" t="s">
        <v>17</v>
      </c>
      <c r="P2292" s="375" t="s">
        <v>3748</v>
      </c>
      <c r="Q2292" s="458" t="s">
        <v>258</v>
      </c>
      <c r="R2292" s="202" t="s">
        <v>81</v>
      </c>
      <c r="S2292" s="31" t="s">
        <v>273</v>
      </c>
      <c r="T2292" s="31" t="s">
        <v>273</v>
      </c>
      <c r="U2292" s="31">
        <f>IFERROR(VLOOKUP(CONCATENATE(Tabla1[[#This Row],[Severidad]]," ",Tabla1[[#This Row],[Complejidad]]),Catalogos!E$120:G$128,3,FALSE),"")</f>
        <v>64</v>
      </c>
      <c r="V2292" s="31" t="str">
        <f>IF(Tabla1[[#This Row],[Tiempo solución max (hrs)]]&lt;&gt;"",IF(Tabla1[[#This Row],[Tiempo solución max (hrs)]]&gt;=Tabla1[[#This Row],[Tiempo
(Hrs 00/100)]],"cumple","no cumple"),"")</f>
        <v>cumple</v>
      </c>
      <c r="W2292" s="629" t="s">
        <v>3327</v>
      </c>
      <c r="X2292" s="377" t="str">
        <f t="shared" si="201"/>
        <v>SAW</v>
      </c>
      <c r="Y2292" t="str">
        <f>SUBSTITUTE(Tabla1[[#This Row],[Descripción]],CHAR(10),"    I    ")</f>
        <v xml:space="preserve">actualizacion control interno </v>
      </c>
      <c r="Z2292" s="142">
        <f>VLOOKUP(Tabla1[[#This Row],[Perfil]],Catalogos!$B$75:$D$100,3,FALSE)*Tabla1[[#This Row],[Tiempo
(Hrs 00/100)]]*1.16</f>
        <v>1739.9999999999998</v>
      </c>
    </row>
    <row r="2293" spans="1:26" ht="15" customHeight="1" x14ac:dyDescent="0.3">
      <c r="A2293" s="614" t="s">
        <v>58</v>
      </c>
      <c r="B2293" s="373" t="s">
        <v>305</v>
      </c>
      <c r="C2293" s="489" t="s">
        <v>155</v>
      </c>
      <c r="D2293" s="373"/>
      <c r="E2293" s="373" t="s">
        <v>1399</v>
      </c>
      <c r="F2293" s="373" t="s">
        <v>74</v>
      </c>
      <c r="G2293" s="373" t="s">
        <v>3429</v>
      </c>
      <c r="H2293" s="461" t="s">
        <v>3409</v>
      </c>
      <c r="I2293" s="538" t="s">
        <v>3410</v>
      </c>
      <c r="J2293" s="527">
        <v>45201</v>
      </c>
      <c r="K2293" s="773">
        <v>0.38055555555555554</v>
      </c>
      <c r="L2293" s="527">
        <v>45201</v>
      </c>
      <c r="M2293" s="773">
        <v>0.79722222222222217</v>
      </c>
      <c r="N2293" s="373">
        <v>9</v>
      </c>
      <c r="O2293" s="184" t="s">
        <v>411</v>
      </c>
      <c r="P2293" s="375" t="s">
        <v>2481</v>
      </c>
      <c r="Q2293" s="615" t="s">
        <v>1442</v>
      </c>
      <c r="R2293" s="616" t="s">
        <v>79</v>
      </c>
      <c r="S2293" s="31" t="s">
        <v>273</v>
      </c>
      <c r="T2293" s="31" t="s">
        <v>273</v>
      </c>
      <c r="U2293" s="31">
        <f>IFERROR(VLOOKUP(CONCATENATE(Tabla1[[#This Row],[Severidad]]," ",Tabla1[[#This Row],[Complejidad]]),Catalogos!E$120:G$128,3,FALSE),"")</f>
        <v>64</v>
      </c>
      <c r="V2293" s="31" t="str">
        <f>IF(Tabla1[[#This Row],[Tiempo solución max (hrs)]]&lt;&gt;"",IF(Tabla1[[#This Row],[Tiempo solución max (hrs)]]&gt;=Tabla1[[#This Row],[Tiempo
(Hrs 00/100)]],"cumple","no cumple"),"")</f>
        <v>cumple</v>
      </c>
      <c r="W2293" s="629" t="s">
        <v>3327</v>
      </c>
      <c r="X2293" s="377" t="str">
        <f t="shared" si="201"/>
        <v>DS</v>
      </c>
      <c r="Y2293" t="str">
        <f>SUBSTITUTE(Tabla1[[#This Row],[Descripción]],CHAR(10),"    I    ")</f>
        <v>Se instalo y configuro la herramienta helm que es un manejador de paquetes para k8s</v>
      </c>
      <c r="Z2293" s="142">
        <f>VLOOKUP(Tabla1[[#This Row],[Perfil]],Catalogos!$B$75:$D$100,3,FALSE)*Tabla1[[#This Row],[Tiempo
(Hrs 00/100)]]*1.16</f>
        <v>6264</v>
      </c>
    </row>
    <row r="2294" spans="1:26" ht="15" customHeight="1" x14ac:dyDescent="0.3">
      <c r="A2294" s="614" t="s">
        <v>58</v>
      </c>
      <c r="B2294" s="373" t="s">
        <v>305</v>
      </c>
      <c r="C2294" s="489" t="s">
        <v>155</v>
      </c>
      <c r="D2294" s="373"/>
      <c r="E2294" s="373" t="s">
        <v>1399</v>
      </c>
      <c r="F2294" s="373" t="s">
        <v>74</v>
      </c>
      <c r="G2294" s="373" t="s">
        <v>3429</v>
      </c>
      <c r="H2294" s="461" t="s">
        <v>3409</v>
      </c>
      <c r="I2294" s="538" t="s">
        <v>3410</v>
      </c>
      <c r="J2294" s="527">
        <v>45202</v>
      </c>
      <c r="K2294" s="773">
        <v>0.375</v>
      </c>
      <c r="L2294" s="527">
        <v>45202</v>
      </c>
      <c r="M2294" s="773">
        <v>0.79166666666666663</v>
      </c>
      <c r="N2294" s="373">
        <v>8.5</v>
      </c>
      <c r="O2294" s="184" t="s">
        <v>411</v>
      </c>
      <c r="P2294" s="375" t="s">
        <v>2481</v>
      </c>
      <c r="Q2294" s="615" t="s">
        <v>1442</v>
      </c>
      <c r="R2294" s="616" t="s">
        <v>79</v>
      </c>
      <c r="S2294" s="31" t="s">
        <v>273</v>
      </c>
      <c r="T2294" s="31" t="s">
        <v>273</v>
      </c>
      <c r="U2294" s="31">
        <f>IFERROR(VLOOKUP(CONCATENATE(Tabla1[[#This Row],[Severidad]]," ",Tabla1[[#This Row],[Complejidad]]),Catalogos!E$120:G$128,3,FALSE),"")</f>
        <v>64</v>
      </c>
      <c r="V2294" s="31" t="str">
        <f>IF(Tabla1[[#This Row],[Tiempo solución max (hrs)]]&lt;&gt;"",IF(Tabla1[[#This Row],[Tiempo solución max (hrs)]]&gt;=Tabla1[[#This Row],[Tiempo
(Hrs 00/100)]],"cumple","no cumple"),"")</f>
        <v>cumple</v>
      </c>
      <c r="W2294" s="629" t="s">
        <v>3327</v>
      </c>
      <c r="X2294" s="377" t="str">
        <f t="shared" si="201"/>
        <v>DS</v>
      </c>
      <c r="Y2294" t="str">
        <f>SUBSTITUTE(Tabla1[[#This Row],[Descripción]],CHAR(10),"    I    ")</f>
        <v>Se instalo y configuro la herramienta helm que es un manejador de paquetes para k8s</v>
      </c>
      <c r="Z2294" s="142">
        <f>VLOOKUP(Tabla1[[#This Row],[Perfil]],Catalogos!$B$75:$D$100,3,FALSE)*Tabla1[[#This Row],[Tiempo
(Hrs 00/100)]]*1.16</f>
        <v>5916</v>
      </c>
    </row>
    <row r="2295" spans="1:26" ht="15" customHeight="1" x14ac:dyDescent="0.3">
      <c r="A2295" s="614" t="s">
        <v>58</v>
      </c>
      <c r="B2295" s="373" t="s">
        <v>305</v>
      </c>
      <c r="C2295" s="489" t="s">
        <v>155</v>
      </c>
      <c r="D2295" s="373"/>
      <c r="E2295" s="373" t="s">
        <v>1399</v>
      </c>
      <c r="F2295" s="373" t="s">
        <v>74</v>
      </c>
      <c r="G2295" s="373" t="s">
        <v>3429</v>
      </c>
      <c r="H2295" s="461" t="s">
        <v>3409</v>
      </c>
      <c r="I2295" s="538" t="s">
        <v>3410</v>
      </c>
      <c r="J2295" s="527">
        <v>45203</v>
      </c>
      <c r="K2295" s="773">
        <v>0.37638888888888888</v>
      </c>
      <c r="L2295" s="527">
        <v>45203</v>
      </c>
      <c r="M2295" s="773">
        <v>0.79305555555555562</v>
      </c>
      <c r="N2295" s="373">
        <v>8.5</v>
      </c>
      <c r="O2295" s="184" t="s">
        <v>411</v>
      </c>
      <c r="P2295" s="375" t="s">
        <v>2481</v>
      </c>
      <c r="Q2295" s="615" t="s">
        <v>1442</v>
      </c>
      <c r="R2295" s="616" t="s">
        <v>79</v>
      </c>
      <c r="S2295" s="31" t="s">
        <v>273</v>
      </c>
      <c r="T2295" s="31" t="s">
        <v>273</v>
      </c>
      <c r="U2295" s="31">
        <f>IFERROR(VLOOKUP(CONCATENATE(Tabla1[[#This Row],[Severidad]]," ",Tabla1[[#This Row],[Complejidad]]),Catalogos!E$120:G$128,3,FALSE),"")</f>
        <v>64</v>
      </c>
      <c r="V2295" s="31" t="str">
        <f>IF(Tabla1[[#This Row],[Tiempo solución max (hrs)]]&lt;&gt;"",IF(Tabla1[[#This Row],[Tiempo solución max (hrs)]]&gt;=Tabla1[[#This Row],[Tiempo
(Hrs 00/100)]],"cumple","no cumple"),"")</f>
        <v>cumple</v>
      </c>
      <c r="W2295" s="629" t="s">
        <v>3327</v>
      </c>
      <c r="X2295" s="377" t="str">
        <f t="shared" si="201"/>
        <v>DS</v>
      </c>
      <c r="Y2295" t="str">
        <f>SUBSTITUTE(Tabla1[[#This Row],[Descripción]],CHAR(10),"    I    ")</f>
        <v>Se instalo y configuro la herramienta helm que es un manejador de paquetes para k8s</v>
      </c>
      <c r="Z2295" s="142">
        <f>VLOOKUP(Tabla1[[#This Row],[Perfil]],Catalogos!$B$75:$D$100,3,FALSE)*Tabla1[[#This Row],[Tiempo
(Hrs 00/100)]]*1.16</f>
        <v>5916</v>
      </c>
    </row>
    <row r="2296" spans="1:26" ht="15" customHeight="1" x14ac:dyDescent="0.3">
      <c r="A2296" s="614" t="s">
        <v>58</v>
      </c>
      <c r="B2296" s="373" t="s">
        <v>305</v>
      </c>
      <c r="C2296" s="489" t="s">
        <v>155</v>
      </c>
      <c r="D2296" s="373"/>
      <c r="E2296" s="373" t="s">
        <v>1399</v>
      </c>
      <c r="F2296" s="373" t="s">
        <v>74</v>
      </c>
      <c r="G2296" s="373" t="s">
        <v>3429</v>
      </c>
      <c r="H2296" s="461" t="s">
        <v>3409</v>
      </c>
      <c r="I2296" s="538" t="s">
        <v>3410</v>
      </c>
      <c r="J2296" s="527">
        <v>45204</v>
      </c>
      <c r="K2296" s="773">
        <v>0.38055555555555554</v>
      </c>
      <c r="L2296" s="527">
        <v>45204</v>
      </c>
      <c r="M2296" s="773">
        <v>0.79722222222222217</v>
      </c>
      <c r="N2296" s="373">
        <v>8.5</v>
      </c>
      <c r="O2296" s="184" t="s">
        <v>411</v>
      </c>
      <c r="P2296" s="375" t="s">
        <v>2481</v>
      </c>
      <c r="Q2296" s="615" t="s">
        <v>1442</v>
      </c>
      <c r="R2296" s="616" t="s">
        <v>79</v>
      </c>
      <c r="S2296" s="31" t="s">
        <v>273</v>
      </c>
      <c r="T2296" s="31" t="s">
        <v>273</v>
      </c>
      <c r="U2296" s="31">
        <f>IFERROR(VLOOKUP(CONCATENATE(Tabla1[[#This Row],[Severidad]]," ",Tabla1[[#This Row],[Complejidad]]),Catalogos!E$120:G$128,3,FALSE),"")</f>
        <v>64</v>
      </c>
      <c r="V2296" s="31" t="str">
        <f>IF(Tabla1[[#This Row],[Tiempo solución max (hrs)]]&lt;&gt;"",IF(Tabla1[[#This Row],[Tiempo solución max (hrs)]]&gt;=Tabla1[[#This Row],[Tiempo
(Hrs 00/100)]],"cumple","no cumple"),"")</f>
        <v>cumple</v>
      </c>
      <c r="W2296" s="629" t="s">
        <v>3327</v>
      </c>
      <c r="X2296" s="377" t="str">
        <f t="shared" si="201"/>
        <v>DS</v>
      </c>
      <c r="Y2296" t="str">
        <f>SUBSTITUTE(Tabla1[[#This Row],[Descripción]],CHAR(10),"    I    ")</f>
        <v>Se instalo y configuro la herramienta helm que es un manejador de paquetes para k8s</v>
      </c>
      <c r="Z2296" s="142">
        <f>VLOOKUP(Tabla1[[#This Row],[Perfil]],Catalogos!$B$75:$D$100,3,FALSE)*Tabla1[[#This Row],[Tiempo
(Hrs 00/100)]]*1.16</f>
        <v>5916</v>
      </c>
    </row>
    <row r="2297" spans="1:26" ht="15" customHeight="1" x14ac:dyDescent="0.3">
      <c r="A2297" s="614" t="s">
        <v>58</v>
      </c>
      <c r="B2297" s="373" t="s">
        <v>305</v>
      </c>
      <c r="C2297" s="489" t="s">
        <v>155</v>
      </c>
      <c r="D2297" s="373"/>
      <c r="E2297" s="373" t="s">
        <v>1399</v>
      </c>
      <c r="F2297" s="373" t="s">
        <v>74</v>
      </c>
      <c r="G2297" s="373" t="s">
        <v>3429</v>
      </c>
      <c r="H2297" s="461" t="s">
        <v>3409</v>
      </c>
      <c r="I2297" s="538" t="s">
        <v>3410</v>
      </c>
      <c r="J2297" s="527">
        <v>45205</v>
      </c>
      <c r="K2297" s="773">
        <v>0.37708333333333338</v>
      </c>
      <c r="L2297" s="527">
        <v>45205</v>
      </c>
      <c r="M2297" s="773">
        <v>0.79375000000000007</v>
      </c>
      <c r="N2297" s="373">
        <v>8.5</v>
      </c>
      <c r="O2297" s="184" t="s">
        <v>17</v>
      </c>
      <c r="P2297" s="375" t="s">
        <v>2481</v>
      </c>
      <c r="Q2297" s="615" t="s">
        <v>1442</v>
      </c>
      <c r="R2297" s="616" t="s">
        <v>79</v>
      </c>
      <c r="S2297" s="31" t="s">
        <v>273</v>
      </c>
      <c r="T2297" s="31" t="s">
        <v>273</v>
      </c>
      <c r="U2297" s="31">
        <f>IFERROR(VLOOKUP(CONCATENATE(Tabla1[[#This Row],[Severidad]]," ",Tabla1[[#This Row],[Complejidad]]),Catalogos!E$120:G$128,3,FALSE),"")</f>
        <v>64</v>
      </c>
      <c r="V2297" s="31" t="str">
        <f>IF(Tabla1[[#This Row],[Tiempo solución max (hrs)]]&lt;&gt;"",IF(Tabla1[[#This Row],[Tiempo solución max (hrs)]]&gt;=Tabla1[[#This Row],[Tiempo
(Hrs 00/100)]],"cumple","no cumple"),"")</f>
        <v>cumple</v>
      </c>
      <c r="W2297" s="629" t="s">
        <v>3327</v>
      </c>
      <c r="X2297" s="377" t="str">
        <f t="shared" si="201"/>
        <v>DS</v>
      </c>
      <c r="Y2297" t="str">
        <f>SUBSTITUTE(Tabla1[[#This Row],[Descripción]],CHAR(10),"    I    ")</f>
        <v>Se instalo y configuro la herramienta helm que es un manejador de paquetes para k8s</v>
      </c>
      <c r="Z2297" s="142">
        <f>VLOOKUP(Tabla1[[#This Row],[Perfil]],Catalogos!$B$75:$D$100,3,FALSE)*Tabla1[[#This Row],[Tiempo
(Hrs 00/100)]]*1.16</f>
        <v>5916</v>
      </c>
    </row>
    <row r="2298" spans="1:26" ht="15" customHeight="1" x14ac:dyDescent="0.3">
      <c r="A2298" s="617" t="s">
        <v>58</v>
      </c>
      <c r="B2298" s="373" t="s">
        <v>305</v>
      </c>
      <c r="C2298" s="489" t="s">
        <v>155</v>
      </c>
      <c r="D2298" s="373"/>
      <c r="E2298" s="373" t="s">
        <v>1399</v>
      </c>
      <c r="F2298" s="373" t="s">
        <v>74</v>
      </c>
      <c r="G2298" s="373" t="s">
        <v>4071</v>
      </c>
      <c r="H2298" s="461" t="s">
        <v>3411</v>
      </c>
      <c r="I2298" s="538" t="s">
        <v>3412</v>
      </c>
      <c r="J2298" s="527">
        <v>45208</v>
      </c>
      <c r="K2298" s="773">
        <v>0.375</v>
      </c>
      <c r="L2298" s="527">
        <v>45208</v>
      </c>
      <c r="M2298" s="773">
        <v>0.79166666666666663</v>
      </c>
      <c r="N2298" s="373">
        <v>9</v>
      </c>
      <c r="O2298" s="184" t="s">
        <v>411</v>
      </c>
      <c r="P2298" s="375" t="s">
        <v>2481</v>
      </c>
      <c r="Q2298" s="615" t="s">
        <v>1442</v>
      </c>
      <c r="R2298" s="616" t="s">
        <v>79</v>
      </c>
      <c r="S2298" s="31" t="s">
        <v>273</v>
      </c>
      <c r="T2298" s="31" t="s">
        <v>273</v>
      </c>
      <c r="U2298" s="31">
        <f>IFERROR(VLOOKUP(CONCATENATE(Tabla1[[#This Row],[Severidad]]," ",Tabla1[[#This Row],[Complejidad]]),Catalogos!E$120:G$128,3,FALSE),"")</f>
        <v>64</v>
      </c>
      <c r="V2298" s="31" t="str">
        <f>IF(Tabla1[[#This Row],[Tiempo solución max (hrs)]]&lt;&gt;"",IF(Tabla1[[#This Row],[Tiempo solución max (hrs)]]&gt;=Tabla1[[#This Row],[Tiempo
(Hrs 00/100)]],"cumple","no cumple"),"")</f>
        <v>cumple</v>
      </c>
      <c r="W2298" s="629" t="s">
        <v>3327</v>
      </c>
      <c r="X2298" s="377" t="str">
        <f t="shared" si="201"/>
        <v>DS</v>
      </c>
      <c r="Y2298" t="str">
        <f>SUBSTITUTE(Tabla1[[#This Row],[Descripción]],CHAR(10),"    I    ")</f>
        <v>Se instalo y configuro el controller ingress traefik para poder controlar todos las salidas de k8s</v>
      </c>
      <c r="Z2298" s="142">
        <f>VLOOKUP(Tabla1[[#This Row],[Perfil]],Catalogos!$B$75:$D$100,3,FALSE)*Tabla1[[#This Row],[Tiempo
(Hrs 00/100)]]*1.16</f>
        <v>6264</v>
      </c>
    </row>
    <row r="2299" spans="1:26" ht="15" customHeight="1" x14ac:dyDescent="0.3">
      <c r="A2299" s="617" t="s">
        <v>58</v>
      </c>
      <c r="B2299" s="373" t="s">
        <v>305</v>
      </c>
      <c r="C2299" s="489" t="s">
        <v>155</v>
      </c>
      <c r="D2299" s="373"/>
      <c r="E2299" s="373" t="s">
        <v>1399</v>
      </c>
      <c r="F2299" s="373" t="s">
        <v>74</v>
      </c>
      <c r="G2299" s="373" t="s">
        <v>4071</v>
      </c>
      <c r="H2299" s="461" t="s">
        <v>3411</v>
      </c>
      <c r="I2299" s="538" t="s">
        <v>3412</v>
      </c>
      <c r="J2299" s="527">
        <v>45209</v>
      </c>
      <c r="K2299" s="773">
        <v>0.375</v>
      </c>
      <c r="L2299" s="527">
        <v>45209</v>
      </c>
      <c r="M2299" s="773">
        <v>0.79166666666666663</v>
      </c>
      <c r="N2299" s="373">
        <v>8.5</v>
      </c>
      <c r="O2299" s="184" t="s">
        <v>411</v>
      </c>
      <c r="P2299" s="375" t="s">
        <v>2481</v>
      </c>
      <c r="Q2299" s="615" t="s">
        <v>1442</v>
      </c>
      <c r="R2299" s="616" t="s">
        <v>79</v>
      </c>
      <c r="S2299" s="31" t="s">
        <v>273</v>
      </c>
      <c r="T2299" s="31" t="s">
        <v>273</v>
      </c>
      <c r="U2299" s="31">
        <f>IFERROR(VLOOKUP(CONCATENATE(Tabla1[[#This Row],[Severidad]]," ",Tabla1[[#This Row],[Complejidad]]),Catalogos!E$120:G$128,3,FALSE),"")</f>
        <v>64</v>
      </c>
      <c r="V2299" s="31" t="str">
        <f>IF(Tabla1[[#This Row],[Tiempo solución max (hrs)]]&lt;&gt;"",IF(Tabla1[[#This Row],[Tiempo solución max (hrs)]]&gt;=Tabla1[[#This Row],[Tiempo
(Hrs 00/100)]],"cumple","no cumple"),"")</f>
        <v>cumple</v>
      </c>
      <c r="W2299" s="629" t="s">
        <v>3327</v>
      </c>
      <c r="X2299" s="377" t="str">
        <f t="shared" si="201"/>
        <v>DS</v>
      </c>
      <c r="Y2299" t="str">
        <f>SUBSTITUTE(Tabla1[[#This Row],[Descripción]],CHAR(10),"    I    ")</f>
        <v>Se instalo y configuro el controller ingress traefik para poder controlar todos las salidas de k8s</v>
      </c>
      <c r="Z2299" s="142">
        <f>VLOOKUP(Tabla1[[#This Row],[Perfil]],Catalogos!$B$75:$D$100,3,FALSE)*Tabla1[[#This Row],[Tiempo
(Hrs 00/100)]]*1.16</f>
        <v>5916</v>
      </c>
    </row>
    <row r="2300" spans="1:26" ht="15" customHeight="1" x14ac:dyDescent="0.3">
      <c r="A2300" s="617" t="s">
        <v>58</v>
      </c>
      <c r="B2300" s="373" t="s">
        <v>305</v>
      </c>
      <c r="C2300" s="489" t="s">
        <v>155</v>
      </c>
      <c r="D2300" s="373"/>
      <c r="E2300" s="373" t="s">
        <v>1399</v>
      </c>
      <c r="F2300" s="373" t="s">
        <v>74</v>
      </c>
      <c r="G2300" s="373" t="s">
        <v>4071</v>
      </c>
      <c r="H2300" s="461" t="s">
        <v>3411</v>
      </c>
      <c r="I2300" s="538" t="s">
        <v>3412</v>
      </c>
      <c r="J2300" s="527">
        <v>45210</v>
      </c>
      <c r="K2300" s="773">
        <v>0.375</v>
      </c>
      <c r="L2300" s="527">
        <v>45210</v>
      </c>
      <c r="M2300" s="773">
        <v>0.79375000000000007</v>
      </c>
      <c r="N2300" s="373">
        <v>8.5</v>
      </c>
      <c r="O2300" s="184" t="s">
        <v>411</v>
      </c>
      <c r="P2300" s="375" t="s">
        <v>2481</v>
      </c>
      <c r="Q2300" s="615" t="s">
        <v>1442</v>
      </c>
      <c r="R2300" s="616" t="s">
        <v>79</v>
      </c>
      <c r="S2300" s="31" t="s">
        <v>273</v>
      </c>
      <c r="T2300" s="31" t="s">
        <v>273</v>
      </c>
      <c r="U2300" s="31">
        <f>IFERROR(VLOOKUP(CONCATENATE(Tabla1[[#This Row],[Severidad]]," ",Tabla1[[#This Row],[Complejidad]]),Catalogos!E$120:G$128,3,FALSE),"")</f>
        <v>64</v>
      </c>
      <c r="V2300" s="31" t="str">
        <f>IF(Tabla1[[#This Row],[Tiempo solución max (hrs)]]&lt;&gt;"",IF(Tabla1[[#This Row],[Tiempo solución max (hrs)]]&gt;=Tabla1[[#This Row],[Tiempo
(Hrs 00/100)]],"cumple","no cumple"),"")</f>
        <v>cumple</v>
      </c>
      <c r="W2300" s="629" t="s">
        <v>3327</v>
      </c>
      <c r="X2300" s="377" t="str">
        <f t="shared" si="201"/>
        <v>DS</v>
      </c>
      <c r="Y2300" t="str">
        <f>SUBSTITUTE(Tabla1[[#This Row],[Descripción]],CHAR(10),"    I    ")</f>
        <v>Se instalo y configuro el controller ingress traefik para poder controlar todos las salidas de k8s</v>
      </c>
      <c r="Z2300" s="142">
        <f>VLOOKUP(Tabla1[[#This Row],[Perfil]],Catalogos!$B$75:$D$100,3,FALSE)*Tabla1[[#This Row],[Tiempo
(Hrs 00/100)]]*1.16</f>
        <v>5916</v>
      </c>
    </row>
    <row r="2301" spans="1:26" ht="15" customHeight="1" x14ac:dyDescent="0.3">
      <c r="A2301" s="617" t="s">
        <v>58</v>
      </c>
      <c r="B2301" s="373" t="s">
        <v>305</v>
      </c>
      <c r="C2301" s="489" t="s">
        <v>155</v>
      </c>
      <c r="D2301" s="373"/>
      <c r="E2301" s="373" t="s">
        <v>1399</v>
      </c>
      <c r="F2301" s="373" t="s">
        <v>74</v>
      </c>
      <c r="G2301" s="373" t="s">
        <v>4071</v>
      </c>
      <c r="H2301" s="461" t="s">
        <v>3411</v>
      </c>
      <c r="I2301" s="538" t="s">
        <v>3412</v>
      </c>
      <c r="J2301" s="527">
        <v>45211</v>
      </c>
      <c r="K2301" s="773">
        <v>0.375</v>
      </c>
      <c r="L2301" s="527">
        <v>45211</v>
      </c>
      <c r="M2301" s="773">
        <v>0.79166666666666663</v>
      </c>
      <c r="N2301" s="373">
        <v>8.5</v>
      </c>
      <c r="O2301" s="184" t="s">
        <v>411</v>
      </c>
      <c r="P2301" s="375" t="s">
        <v>2481</v>
      </c>
      <c r="Q2301" s="615" t="s">
        <v>1442</v>
      </c>
      <c r="R2301" s="616" t="s">
        <v>79</v>
      </c>
      <c r="S2301" s="31" t="s">
        <v>273</v>
      </c>
      <c r="T2301" s="31" t="s">
        <v>273</v>
      </c>
      <c r="U2301" s="31">
        <f>IFERROR(VLOOKUP(CONCATENATE(Tabla1[[#This Row],[Severidad]]," ",Tabla1[[#This Row],[Complejidad]]),Catalogos!E$120:G$128,3,FALSE),"")</f>
        <v>64</v>
      </c>
      <c r="V2301" s="31" t="str">
        <f>IF(Tabla1[[#This Row],[Tiempo solución max (hrs)]]&lt;&gt;"",IF(Tabla1[[#This Row],[Tiempo solución max (hrs)]]&gt;=Tabla1[[#This Row],[Tiempo
(Hrs 00/100)]],"cumple","no cumple"),"")</f>
        <v>cumple</v>
      </c>
      <c r="W2301" s="629" t="s">
        <v>3327</v>
      </c>
      <c r="X2301" s="377" t="str">
        <f t="shared" si="201"/>
        <v>DS</v>
      </c>
      <c r="Y2301" t="str">
        <f>SUBSTITUTE(Tabla1[[#This Row],[Descripción]],CHAR(10),"    I    ")</f>
        <v>Se instalo y configuro el controller ingress traefik para poder controlar todos las salidas de k8s</v>
      </c>
      <c r="Z2301" s="142">
        <f>VLOOKUP(Tabla1[[#This Row],[Perfil]],Catalogos!$B$75:$D$100,3,FALSE)*Tabla1[[#This Row],[Tiempo
(Hrs 00/100)]]*1.16</f>
        <v>5916</v>
      </c>
    </row>
    <row r="2302" spans="1:26" ht="15" customHeight="1" x14ac:dyDescent="0.3">
      <c r="A2302" s="617" t="s">
        <v>58</v>
      </c>
      <c r="B2302" s="373" t="s">
        <v>305</v>
      </c>
      <c r="C2302" s="489" t="s">
        <v>155</v>
      </c>
      <c r="D2302" s="373"/>
      <c r="E2302" s="373" t="s">
        <v>1399</v>
      </c>
      <c r="F2302" s="373" t="s">
        <v>74</v>
      </c>
      <c r="G2302" s="373" t="s">
        <v>4071</v>
      </c>
      <c r="H2302" s="461" t="s">
        <v>3411</v>
      </c>
      <c r="I2302" s="538" t="s">
        <v>3412</v>
      </c>
      <c r="J2302" s="527">
        <v>45212</v>
      </c>
      <c r="K2302" s="773">
        <v>0.375</v>
      </c>
      <c r="L2302" s="527">
        <v>45212</v>
      </c>
      <c r="M2302" s="773">
        <v>0.79166666666666663</v>
      </c>
      <c r="N2302" s="373">
        <v>8.5</v>
      </c>
      <c r="O2302" s="184" t="s">
        <v>17</v>
      </c>
      <c r="P2302" s="375" t="s">
        <v>2481</v>
      </c>
      <c r="Q2302" s="615" t="s">
        <v>1442</v>
      </c>
      <c r="R2302" s="616" t="s">
        <v>79</v>
      </c>
      <c r="S2302" s="31" t="s">
        <v>273</v>
      </c>
      <c r="T2302" s="31" t="s">
        <v>273</v>
      </c>
      <c r="U2302" s="31">
        <f>IFERROR(VLOOKUP(CONCATENATE(Tabla1[[#This Row],[Severidad]]," ",Tabla1[[#This Row],[Complejidad]]),Catalogos!E$120:G$128,3,FALSE),"")</f>
        <v>64</v>
      </c>
      <c r="V2302" s="31" t="str">
        <f>IF(Tabla1[[#This Row],[Tiempo solución max (hrs)]]&lt;&gt;"",IF(Tabla1[[#This Row],[Tiempo solución max (hrs)]]&gt;=Tabla1[[#This Row],[Tiempo
(Hrs 00/100)]],"cumple","no cumple"),"")</f>
        <v>cumple</v>
      </c>
      <c r="W2302" s="629" t="s">
        <v>3327</v>
      </c>
      <c r="X2302" s="377" t="str">
        <f t="shared" si="201"/>
        <v>DS</v>
      </c>
      <c r="Y2302" t="str">
        <f>SUBSTITUTE(Tabla1[[#This Row],[Descripción]],CHAR(10),"    I    ")</f>
        <v>Se instalo y configuro el controller ingress traefik para poder controlar todos las salidas de k8s</v>
      </c>
      <c r="Z2302" s="142">
        <f>VLOOKUP(Tabla1[[#This Row],[Perfil]],Catalogos!$B$75:$D$100,3,FALSE)*Tabla1[[#This Row],[Tiempo
(Hrs 00/100)]]*1.16</f>
        <v>5916</v>
      </c>
    </row>
    <row r="2303" spans="1:26" ht="15" customHeight="1" x14ac:dyDescent="0.3">
      <c r="A2303" s="619" t="s">
        <v>58</v>
      </c>
      <c r="B2303" s="373" t="s">
        <v>305</v>
      </c>
      <c r="C2303" s="489" t="s">
        <v>155</v>
      </c>
      <c r="D2303" s="373"/>
      <c r="E2303" s="373" t="s">
        <v>1399</v>
      </c>
      <c r="F2303" s="373" t="s">
        <v>74</v>
      </c>
      <c r="G2303" s="373" t="s">
        <v>4072</v>
      </c>
      <c r="H2303" s="461" t="s">
        <v>3413</v>
      </c>
      <c r="I2303" s="538" t="s">
        <v>3414</v>
      </c>
      <c r="J2303" s="527">
        <v>45215</v>
      </c>
      <c r="K2303" s="773">
        <v>0.37847222222222227</v>
      </c>
      <c r="L2303" s="527">
        <v>45215</v>
      </c>
      <c r="M2303" s="773">
        <v>0.79513888888888884</v>
      </c>
      <c r="N2303" s="373">
        <v>9</v>
      </c>
      <c r="O2303" s="184" t="s">
        <v>411</v>
      </c>
      <c r="P2303" s="375" t="s">
        <v>2481</v>
      </c>
      <c r="Q2303" s="615" t="s">
        <v>1442</v>
      </c>
      <c r="R2303" s="616" t="s">
        <v>79</v>
      </c>
      <c r="S2303" s="31" t="s">
        <v>273</v>
      </c>
      <c r="T2303" s="31" t="s">
        <v>273</v>
      </c>
      <c r="U2303" s="31">
        <f>IFERROR(VLOOKUP(CONCATENATE(Tabla1[[#This Row],[Severidad]]," ",Tabla1[[#This Row],[Complejidad]]),Catalogos!E$120:G$128,3,FALSE),"")</f>
        <v>64</v>
      </c>
      <c r="V2303" s="31" t="str">
        <f>IF(Tabla1[[#This Row],[Tiempo solución max (hrs)]]&lt;&gt;"",IF(Tabla1[[#This Row],[Tiempo solución max (hrs)]]&gt;=Tabla1[[#This Row],[Tiempo
(Hrs 00/100)]],"cumple","no cumple"),"")</f>
        <v>cumple</v>
      </c>
      <c r="W2303" s="629" t="s">
        <v>3327</v>
      </c>
      <c r="X2303" s="377" t="str">
        <f t="shared" ref="X2303:X2334" si="202">IF(C2303&lt;&gt;"",C2303,D2303)</f>
        <v>DS</v>
      </c>
      <c r="Y2303" t="str">
        <f>SUBSTITUTE(Tabla1[[#This Row],[Descripción]],CHAR(10),"    I    ")</f>
        <v>Se instalo el modulo de MetalLb para poder utilizar loadbalancer con ip interna, que a su vez esta ligado traefik</v>
      </c>
      <c r="Z2303" s="142">
        <f>VLOOKUP(Tabla1[[#This Row],[Perfil]],Catalogos!$B$75:$D$100,3,FALSE)*Tabla1[[#This Row],[Tiempo
(Hrs 00/100)]]*1.16</f>
        <v>6264</v>
      </c>
    </row>
    <row r="2304" spans="1:26" ht="15" customHeight="1" x14ac:dyDescent="0.3">
      <c r="A2304" s="619" t="s">
        <v>58</v>
      </c>
      <c r="B2304" s="373" t="s">
        <v>305</v>
      </c>
      <c r="C2304" s="489" t="s">
        <v>155</v>
      </c>
      <c r="D2304" s="373"/>
      <c r="E2304" s="373" t="s">
        <v>1399</v>
      </c>
      <c r="F2304" s="373" t="s">
        <v>74</v>
      </c>
      <c r="G2304" s="373" t="s">
        <v>4072</v>
      </c>
      <c r="H2304" s="461" t="s">
        <v>3413</v>
      </c>
      <c r="I2304" s="538" t="s">
        <v>3414</v>
      </c>
      <c r="J2304" s="527">
        <v>45216</v>
      </c>
      <c r="K2304" s="773">
        <v>0.37847222222222227</v>
      </c>
      <c r="L2304" s="527">
        <v>45216</v>
      </c>
      <c r="M2304" s="773">
        <v>0.79513888888888884</v>
      </c>
      <c r="N2304" s="373">
        <v>9</v>
      </c>
      <c r="O2304" s="184" t="s">
        <v>17</v>
      </c>
      <c r="P2304" s="375" t="s">
        <v>2481</v>
      </c>
      <c r="Q2304" s="615" t="s">
        <v>1442</v>
      </c>
      <c r="R2304" s="616" t="s">
        <v>79</v>
      </c>
      <c r="S2304" s="31" t="s">
        <v>273</v>
      </c>
      <c r="T2304" s="31" t="s">
        <v>273</v>
      </c>
      <c r="U2304" s="31">
        <f>IFERROR(VLOOKUP(CONCATENATE(Tabla1[[#This Row],[Severidad]]," ",Tabla1[[#This Row],[Complejidad]]),Catalogos!E$120:G$128,3,FALSE),"")</f>
        <v>64</v>
      </c>
      <c r="V2304" s="31" t="str">
        <f>IF(Tabla1[[#This Row],[Tiempo solución max (hrs)]]&lt;&gt;"",IF(Tabla1[[#This Row],[Tiempo solución max (hrs)]]&gt;=Tabla1[[#This Row],[Tiempo
(Hrs 00/100)]],"cumple","no cumple"),"")</f>
        <v>cumple</v>
      </c>
      <c r="W2304" s="629" t="s">
        <v>3327</v>
      </c>
      <c r="X2304" s="377" t="str">
        <f t="shared" si="202"/>
        <v>DS</v>
      </c>
      <c r="Y2304" t="str">
        <f>SUBSTITUTE(Tabla1[[#This Row],[Descripción]],CHAR(10),"    I    ")</f>
        <v>Se instalo el modulo de MetalLb para poder utilizar loadbalancer con ip interna, que a su vez esta ligado traefik</v>
      </c>
      <c r="Z2304" s="142">
        <f>VLOOKUP(Tabla1[[#This Row],[Perfil]],Catalogos!$B$75:$D$100,3,FALSE)*Tabla1[[#This Row],[Tiempo
(Hrs 00/100)]]*1.16</f>
        <v>6264</v>
      </c>
    </row>
    <row r="2305" spans="1:26" ht="15" customHeight="1" x14ac:dyDescent="0.3">
      <c r="A2305" s="373" t="s">
        <v>58</v>
      </c>
      <c r="B2305" s="373" t="s">
        <v>305</v>
      </c>
      <c r="C2305" s="489" t="s">
        <v>155</v>
      </c>
      <c r="D2305" s="373"/>
      <c r="E2305" s="373" t="s">
        <v>1399</v>
      </c>
      <c r="F2305" s="373" t="s">
        <v>74</v>
      </c>
      <c r="G2305" s="373" t="s">
        <v>4073</v>
      </c>
      <c r="H2305" s="461" t="s">
        <v>3415</v>
      </c>
      <c r="I2305" s="538" t="s">
        <v>3416</v>
      </c>
      <c r="J2305" s="527">
        <v>45217</v>
      </c>
      <c r="K2305" s="773">
        <v>0.38194444444444442</v>
      </c>
      <c r="L2305" s="527">
        <v>45217</v>
      </c>
      <c r="M2305" s="773">
        <v>0.79861111111111116</v>
      </c>
      <c r="N2305" s="373">
        <v>8.5</v>
      </c>
      <c r="O2305" s="184" t="s">
        <v>411</v>
      </c>
      <c r="P2305" s="375" t="s">
        <v>3417</v>
      </c>
      <c r="Q2305" s="615" t="s">
        <v>1442</v>
      </c>
      <c r="R2305" s="616" t="s">
        <v>79</v>
      </c>
      <c r="S2305" s="31" t="s">
        <v>273</v>
      </c>
      <c r="T2305" s="31" t="s">
        <v>273</v>
      </c>
      <c r="U2305" s="31">
        <f>IFERROR(VLOOKUP(CONCATENATE(Tabla1[[#This Row],[Severidad]]," ",Tabla1[[#This Row],[Complejidad]]),Catalogos!E$120:G$128,3,FALSE),"")</f>
        <v>64</v>
      </c>
      <c r="V2305" s="31" t="str">
        <f>IF(Tabla1[[#This Row],[Tiempo solución max (hrs)]]&lt;&gt;"",IF(Tabla1[[#This Row],[Tiempo solución max (hrs)]]&gt;=Tabla1[[#This Row],[Tiempo
(Hrs 00/100)]],"cumple","no cumple"),"")</f>
        <v>cumple</v>
      </c>
      <c r="W2305" s="629" t="s">
        <v>3327</v>
      </c>
      <c r="X2305" s="377" t="str">
        <f t="shared" si="202"/>
        <v>DS</v>
      </c>
      <c r="Y2305" t="str">
        <f>SUBSTITUTE(Tabla1[[#This Row],[Descripción]],CHAR(10),"    I    ")</f>
        <v>Se instalo y configuro ArgoCD para poder hacer el deployment en automatico del las imagenes a k8s una vez que cambia el manifest.</v>
      </c>
      <c r="Z2305" s="142">
        <f>VLOOKUP(Tabla1[[#This Row],[Perfil]],Catalogos!$B$75:$D$100,3,FALSE)*Tabla1[[#This Row],[Tiempo
(Hrs 00/100)]]*1.16</f>
        <v>5916</v>
      </c>
    </row>
    <row r="2306" spans="1:26" ht="15" customHeight="1" x14ac:dyDescent="0.3">
      <c r="A2306" s="373" t="s">
        <v>58</v>
      </c>
      <c r="B2306" s="373" t="s">
        <v>305</v>
      </c>
      <c r="C2306" s="489" t="s">
        <v>155</v>
      </c>
      <c r="D2306" s="373"/>
      <c r="E2306" s="373" t="s">
        <v>1399</v>
      </c>
      <c r="F2306" s="373" t="s">
        <v>74</v>
      </c>
      <c r="G2306" s="373" t="s">
        <v>4073</v>
      </c>
      <c r="H2306" s="461" t="s">
        <v>3415</v>
      </c>
      <c r="I2306" s="538" t="s">
        <v>3416</v>
      </c>
      <c r="J2306" s="527">
        <v>45218</v>
      </c>
      <c r="K2306" s="773">
        <v>0.37847222222222227</v>
      </c>
      <c r="L2306" s="527">
        <v>45218</v>
      </c>
      <c r="M2306" s="773">
        <v>0.79513888888888884</v>
      </c>
      <c r="N2306" s="373">
        <v>8.5</v>
      </c>
      <c r="O2306" s="184" t="s">
        <v>17</v>
      </c>
      <c r="P2306" s="375" t="s">
        <v>3417</v>
      </c>
      <c r="Q2306" s="615" t="s">
        <v>1442</v>
      </c>
      <c r="R2306" s="616" t="s">
        <v>79</v>
      </c>
      <c r="S2306" s="31" t="s">
        <v>273</v>
      </c>
      <c r="T2306" s="31" t="s">
        <v>273</v>
      </c>
      <c r="U2306" s="31">
        <f>IFERROR(VLOOKUP(CONCATENATE(Tabla1[[#This Row],[Severidad]]," ",Tabla1[[#This Row],[Complejidad]]),Catalogos!E$120:G$128,3,FALSE),"")</f>
        <v>64</v>
      </c>
      <c r="V2306" s="31" t="str">
        <f>IF(Tabla1[[#This Row],[Tiempo solución max (hrs)]]&lt;&gt;"",IF(Tabla1[[#This Row],[Tiempo solución max (hrs)]]&gt;=Tabla1[[#This Row],[Tiempo
(Hrs 00/100)]],"cumple","no cumple"),"")</f>
        <v>cumple</v>
      </c>
      <c r="W2306" s="629" t="s">
        <v>3327</v>
      </c>
      <c r="X2306" s="377" t="str">
        <f t="shared" si="202"/>
        <v>DS</v>
      </c>
      <c r="Y2306" t="str">
        <f>SUBSTITUTE(Tabla1[[#This Row],[Descripción]],CHAR(10),"    I    ")</f>
        <v>Se instalo y configuro ArgoCD para poder hacer el deployment en automatico del las imagenes a k8s una vez que cambia el manifest.</v>
      </c>
      <c r="Z2306" s="142">
        <f>VLOOKUP(Tabla1[[#This Row],[Perfil]],Catalogos!$B$75:$D$100,3,FALSE)*Tabla1[[#This Row],[Tiempo
(Hrs 00/100)]]*1.16</f>
        <v>5916</v>
      </c>
    </row>
    <row r="2307" spans="1:26" ht="15" customHeight="1" x14ac:dyDescent="0.3">
      <c r="A2307" s="373" t="s">
        <v>58</v>
      </c>
      <c r="B2307" s="373" t="s">
        <v>305</v>
      </c>
      <c r="C2307" s="489" t="s">
        <v>155</v>
      </c>
      <c r="D2307" s="373"/>
      <c r="E2307" s="373" t="s">
        <v>1399</v>
      </c>
      <c r="F2307" s="373" t="s">
        <v>74</v>
      </c>
      <c r="G2307" s="373" t="s">
        <v>4074</v>
      </c>
      <c r="H2307" s="461" t="s">
        <v>3418</v>
      </c>
      <c r="I2307" s="538" t="s">
        <v>3419</v>
      </c>
      <c r="J2307" s="527">
        <v>45219</v>
      </c>
      <c r="K2307" s="773">
        <v>0.3833333333333333</v>
      </c>
      <c r="L2307" s="527">
        <v>45219</v>
      </c>
      <c r="M2307" s="773">
        <v>0.79999999999999993</v>
      </c>
      <c r="N2307" s="373">
        <v>8.5</v>
      </c>
      <c r="O2307" s="184" t="s">
        <v>411</v>
      </c>
      <c r="P2307" s="375" t="s">
        <v>2481</v>
      </c>
      <c r="Q2307" s="615" t="s">
        <v>1442</v>
      </c>
      <c r="R2307" s="616" t="s">
        <v>79</v>
      </c>
      <c r="S2307" s="31" t="s">
        <v>273</v>
      </c>
      <c r="T2307" s="31" t="s">
        <v>273</v>
      </c>
      <c r="U2307" s="31">
        <f>IFERROR(VLOOKUP(CONCATENATE(Tabla1[[#This Row],[Severidad]]," ",Tabla1[[#This Row],[Complejidad]]),Catalogos!E$120:G$128,3,FALSE),"")</f>
        <v>64</v>
      </c>
      <c r="V2307" s="31" t="str">
        <f>IF(Tabla1[[#This Row],[Tiempo solución max (hrs)]]&lt;&gt;"",IF(Tabla1[[#This Row],[Tiempo solución max (hrs)]]&gt;=Tabla1[[#This Row],[Tiempo
(Hrs 00/100)]],"cumple","no cumple"),"")</f>
        <v>cumple</v>
      </c>
      <c r="W2307" s="629" t="s">
        <v>3327</v>
      </c>
      <c r="X2307" s="377" t="str">
        <f t="shared" si="202"/>
        <v>DS</v>
      </c>
      <c r="Y2307" t="str">
        <f>SUBSTITUTE(Tabla1[[#This Row],[Descripción]],CHAR(10),"    I    ")</f>
        <v>Se instalo y configuro trivy para escaneo de la imagen que crea podman</v>
      </c>
      <c r="Z2307" s="142">
        <f>VLOOKUP(Tabla1[[#This Row],[Perfil]],Catalogos!$B$75:$D$100,3,FALSE)*Tabla1[[#This Row],[Tiempo
(Hrs 00/100)]]*1.16</f>
        <v>5916</v>
      </c>
    </row>
    <row r="2308" spans="1:26" ht="15" customHeight="1" x14ac:dyDescent="0.3">
      <c r="A2308" s="373" t="s">
        <v>58</v>
      </c>
      <c r="B2308" s="373" t="s">
        <v>305</v>
      </c>
      <c r="C2308" s="489" t="s">
        <v>155</v>
      </c>
      <c r="D2308" s="373"/>
      <c r="E2308" s="373" t="s">
        <v>1399</v>
      </c>
      <c r="F2308" s="373" t="s">
        <v>74</v>
      </c>
      <c r="G2308" s="373" t="s">
        <v>4074</v>
      </c>
      <c r="H2308" s="461" t="s">
        <v>3418</v>
      </c>
      <c r="I2308" s="538" t="s">
        <v>3419</v>
      </c>
      <c r="J2308" s="527">
        <v>45222</v>
      </c>
      <c r="K2308" s="773">
        <v>0.38194444444444442</v>
      </c>
      <c r="L2308" s="527">
        <v>45222</v>
      </c>
      <c r="M2308" s="773">
        <v>0.79861111111111116</v>
      </c>
      <c r="N2308" s="373">
        <v>9</v>
      </c>
      <c r="O2308" s="184" t="s">
        <v>411</v>
      </c>
      <c r="P2308" s="375" t="s">
        <v>2481</v>
      </c>
      <c r="Q2308" s="615" t="s">
        <v>1442</v>
      </c>
      <c r="R2308" s="616" t="s">
        <v>79</v>
      </c>
      <c r="S2308" s="31" t="s">
        <v>273</v>
      </c>
      <c r="T2308" s="31" t="s">
        <v>273</v>
      </c>
      <c r="U2308" s="31">
        <f>IFERROR(VLOOKUP(CONCATENATE(Tabla1[[#This Row],[Severidad]]," ",Tabla1[[#This Row],[Complejidad]]),Catalogos!E$120:G$128,3,FALSE),"")</f>
        <v>64</v>
      </c>
      <c r="V2308" s="31" t="str">
        <f>IF(Tabla1[[#This Row],[Tiempo solución max (hrs)]]&lt;&gt;"",IF(Tabla1[[#This Row],[Tiempo solución max (hrs)]]&gt;=Tabla1[[#This Row],[Tiempo
(Hrs 00/100)]],"cumple","no cumple"),"")</f>
        <v>cumple</v>
      </c>
      <c r="W2308" s="629" t="s">
        <v>3327</v>
      </c>
      <c r="X2308" s="377" t="str">
        <f t="shared" si="202"/>
        <v>DS</v>
      </c>
      <c r="Y2308" t="str">
        <f>SUBSTITUTE(Tabla1[[#This Row],[Descripción]],CHAR(10),"    I    ")</f>
        <v>Se instalo y configuro trivy para escaneo de la imagen que crea podman</v>
      </c>
      <c r="Z2308" s="142">
        <f>VLOOKUP(Tabla1[[#This Row],[Perfil]],Catalogos!$B$75:$D$100,3,FALSE)*Tabla1[[#This Row],[Tiempo
(Hrs 00/100)]]*1.16</f>
        <v>6264</v>
      </c>
    </row>
    <row r="2309" spans="1:26" ht="15" customHeight="1" x14ac:dyDescent="0.3">
      <c r="A2309" s="373" t="s">
        <v>58</v>
      </c>
      <c r="B2309" s="373" t="s">
        <v>305</v>
      </c>
      <c r="C2309" s="489" t="s">
        <v>155</v>
      </c>
      <c r="D2309" s="373"/>
      <c r="E2309" s="373" t="s">
        <v>1399</v>
      </c>
      <c r="F2309" s="373" t="s">
        <v>74</v>
      </c>
      <c r="G2309" s="373" t="s">
        <v>4074</v>
      </c>
      <c r="H2309" s="461" t="s">
        <v>3418</v>
      </c>
      <c r="I2309" s="538" t="s">
        <v>3419</v>
      </c>
      <c r="J2309" s="527">
        <v>45223</v>
      </c>
      <c r="K2309" s="773">
        <v>0.38125000000000003</v>
      </c>
      <c r="L2309" s="527">
        <v>45223</v>
      </c>
      <c r="M2309" s="773">
        <v>0.79791666666666661</v>
      </c>
      <c r="N2309" s="373">
        <v>9</v>
      </c>
      <c r="O2309" s="184" t="s">
        <v>17</v>
      </c>
      <c r="P2309" s="375" t="s">
        <v>2481</v>
      </c>
      <c r="Q2309" s="615" t="s">
        <v>1442</v>
      </c>
      <c r="R2309" s="616" t="s">
        <v>79</v>
      </c>
      <c r="S2309" s="31" t="s">
        <v>273</v>
      </c>
      <c r="T2309" s="31" t="s">
        <v>273</v>
      </c>
      <c r="U2309" s="31">
        <f>IFERROR(VLOOKUP(CONCATENATE(Tabla1[[#This Row],[Severidad]]," ",Tabla1[[#This Row],[Complejidad]]),Catalogos!E$120:G$128,3,FALSE),"")</f>
        <v>64</v>
      </c>
      <c r="V2309" s="31" t="str">
        <f>IF(Tabla1[[#This Row],[Tiempo solución max (hrs)]]&lt;&gt;"",IF(Tabla1[[#This Row],[Tiempo solución max (hrs)]]&gt;=Tabla1[[#This Row],[Tiempo
(Hrs 00/100)]],"cumple","no cumple"),"")</f>
        <v>cumple</v>
      </c>
      <c r="W2309" s="629" t="s">
        <v>3327</v>
      </c>
      <c r="X2309" s="377" t="str">
        <f t="shared" si="202"/>
        <v>DS</v>
      </c>
      <c r="Y2309" t="str">
        <f>SUBSTITUTE(Tabla1[[#This Row],[Descripción]],CHAR(10),"    I    ")</f>
        <v>Se instalo y configuro trivy para escaneo de la imagen que crea podman</v>
      </c>
      <c r="Z2309" s="142">
        <f>VLOOKUP(Tabla1[[#This Row],[Perfil]],Catalogos!$B$75:$D$100,3,FALSE)*Tabla1[[#This Row],[Tiempo
(Hrs 00/100)]]*1.16</f>
        <v>6264</v>
      </c>
    </row>
    <row r="2310" spans="1:26" ht="15" customHeight="1" x14ac:dyDescent="0.3">
      <c r="A2310" s="373" t="s">
        <v>58</v>
      </c>
      <c r="B2310" s="373" t="s">
        <v>305</v>
      </c>
      <c r="C2310" s="489" t="s">
        <v>155</v>
      </c>
      <c r="D2310" s="373"/>
      <c r="E2310" s="373" t="s">
        <v>1399</v>
      </c>
      <c r="F2310" s="373" t="s">
        <v>74</v>
      </c>
      <c r="G2310" s="373" t="s">
        <v>4075</v>
      </c>
      <c r="H2310" s="461" t="s">
        <v>3420</v>
      </c>
      <c r="I2310" s="538" t="s">
        <v>3421</v>
      </c>
      <c r="J2310" s="527">
        <v>45224</v>
      </c>
      <c r="K2310" s="773">
        <v>0.38194444444444442</v>
      </c>
      <c r="L2310" s="527">
        <v>45224</v>
      </c>
      <c r="M2310" s="773">
        <v>0.79861111111111116</v>
      </c>
      <c r="N2310" s="373">
        <v>8.5</v>
      </c>
      <c r="O2310" s="184" t="s">
        <v>17</v>
      </c>
      <c r="P2310" s="375" t="s">
        <v>2481</v>
      </c>
      <c r="Q2310" s="615" t="s">
        <v>1442</v>
      </c>
      <c r="R2310" s="616" t="s">
        <v>79</v>
      </c>
      <c r="S2310" s="31" t="s">
        <v>273</v>
      </c>
      <c r="T2310" s="31" t="s">
        <v>273</v>
      </c>
      <c r="U2310" s="31">
        <f>IFERROR(VLOOKUP(CONCATENATE(Tabla1[[#This Row],[Severidad]]," ",Tabla1[[#This Row],[Complejidad]]),Catalogos!E$120:G$128,3,FALSE),"")</f>
        <v>64</v>
      </c>
      <c r="V2310" s="31" t="str">
        <f>IF(Tabla1[[#This Row],[Tiempo solución max (hrs)]]&lt;&gt;"",IF(Tabla1[[#This Row],[Tiempo solución max (hrs)]]&gt;=Tabla1[[#This Row],[Tiempo
(Hrs 00/100)]],"cumple","no cumple"),"")</f>
        <v>cumple</v>
      </c>
      <c r="W2310" s="629" t="s">
        <v>3327</v>
      </c>
      <c r="X2310" s="377" t="str">
        <f t="shared" si="202"/>
        <v>DS</v>
      </c>
      <c r="Y2310" t="str">
        <f>SUBSTITUTE(Tabla1[[#This Row],[Descripción]],CHAR(10),"    I    ")</f>
        <v>Se instalo y configuro dependency check top owasp 10 para escanear cualquer vulnerabilidad en cuanto a OWASP</v>
      </c>
      <c r="Z2310" s="142">
        <f>VLOOKUP(Tabla1[[#This Row],[Perfil]],Catalogos!$B$75:$D$100,3,FALSE)*Tabla1[[#This Row],[Tiempo
(Hrs 00/100)]]*1.16</f>
        <v>5916</v>
      </c>
    </row>
    <row r="2311" spans="1:26" ht="15" customHeight="1" x14ac:dyDescent="0.3">
      <c r="A2311" s="373" t="s">
        <v>58</v>
      </c>
      <c r="B2311" s="373" t="s">
        <v>305</v>
      </c>
      <c r="C2311" s="489" t="s">
        <v>155</v>
      </c>
      <c r="D2311" s="373"/>
      <c r="E2311" s="373" t="s">
        <v>1399</v>
      </c>
      <c r="F2311" s="373" t="s">
        <v>74</v>
      </c>
      <c r="G2311" s="373" t="s">
        <v>4076</v>
      </c>
      <c r="H2311" s="461" t="s">
        <v>3422</v>
      </c>
      <c r="I2311" s="538" t="s">
        <v>3423</v>
      </c>
      <c r="J2311" s="527">
        <v>45225</v>
      </c>
      <c r="K2311" s="773">
        <v>0.38055555555555554</v>
      </c>
      <c r="L2311" s="527">
        <v>45225</v>
      </c>
      <c r="M2311" s="773">
        <v>0.79722222222222217</v>
      </c>
      <c r="N2311" s="373">
        <v>8.5</v>
      </c>
      <c r="O2311" s="184" t="s">
        <v>17</v>
      </c>
      <c r="P2311" s="375" t="s">
        <v>3424</v>
      </c>
      <c r="Q2311" s="615" t="s">
        <v>1442</v>
      </c>
      <c r="R2311" s="616" t="s">
        <v>79</v>
      </c>
      <c r="S2311" s="31" t="s">
        <v>273</v>
      </c>
      <c r="T2311" s="31" t="s">
        <v>273</v>
      </c>
      <c r="U2311" s="31">
        <f>IFERROR(VLOOKUP(CONCATENATE(Tabla1[[#This Row],[Severidad]]," ",Tabla1[[#This Row],[Complejidad]]),Catalogos!E$120:G$128,3,FALSE),"")</f>
        <v>64</v>
      </c>
      <c r="V2311" s="31" t="str">
        <f>IF(Tabla1[[#This Row],[Tiempo solución max (hrs)]]&lt;&gt;"",IF(Tabla1[[#This Row],[Tiempo solución max (hrs)]]&gt;=Tabla1[[#This Row],[Tiempo
(Hrs 00/100)]],"cumple","no cumple"),"")</f>
        <v>cumple</v>
      </c>
      <c r="W2311" s="629" t="s">
        <v>3327</v>
      </c>
      <c r="X2311" s="377" t="str">
        <f t="shared" si="202"/>
        <v>DS</v>
      </c>
      <c r="Y2311" t="str">
        <f>SUBSTITUTE(Tabla1[[#This Row],[Descripción]],CHAR(10),"    I    ")</f>
        <v>Se configuro gradle en jenkins para que se pueda usar para compilar los proyectos de java</v>
      </c>
      <c r="Z2311" s="142">
        <f>VLOOKUP(Tabla1[[#This Row],[Perfil]],Catalogos!$B$75:$D$100,3,FALSE)*Tabla1[[#This Row],[Tiempo
(Hrs 00/100)]]*1.16</f>
        <v>5916</v>
      </c>
    </row>
    <row r="2312" spans="1:26" ht="15" customHeight="1" x14ac:dyDescent="0.3">
      <c r="A2312" s="373" t="s">
        <v>58</v>
      </c>
      <c r="B2312" s="373" t="s">
        <v>305</v>
      </c>
      <c r="C2312" s="489" t="s">
        <v>155</v>
      </c>
      <c r="D2312" s="373"/>
      <c r="E2312" s="373" t="s">
        <v>1399</v>
      </c>
      <c r="F2312" s="373" t="s">
        <v>74</v>
      </c>
      <c r="G2312" s="373" t="s">
        <v>4077</v>
      </c>
      <c r="H2312" s="461" t="s">
        <v>3425</v>
      </c>
      <c r="I2312" s="538" t="s">
        <v>3426</v>
      </c>
      <c r="J2312" s="527">
        <v>45226</v>
      </c>
      <c r="K2312" s="773">
        <v>0.37708333333333338</v>
      </c>
      <c r="L2312" s="527">
        <v>45226</v>
      </c>
      <c r="M2312" s="773">
        <v>0.79375000000000007</v>
      </c>
      <c r="N2312" s="373">
        <v>8.5</v>
      </c>
      <c r="O2312" s="184" t="s">
        <v>17</v>
      </c>
      <c r="P2312" s="375" t="s">
        <v>2475</v>
      </c>
      <c r="Q2312" s="615" t="s">
        <v>1442</v>
      </c>
      <c r="R2312" s="616" t="s">
        <v>79</v>
      </c>
      <c r="S2312" s="31" t="s">
        <v>273</v>
      </c>
      <c r="T2312" s="31" t="s">
        <v>273</v>
      </c>
      <c r="U2312" s="31">
        <f>IFERROR(VLOOKUP(CONCATENATE(Tabla1[[#This Row],[Severidad]]," ",Tabla1[[#This Row],[Complejidad]]),Catalogos!E$120:G$128,3,FALSE),"")</f>
        <v>64</v>
      </c>
      <c r="V2312" s="31" t="str">
        <f>IF(Tabla1[[#This Row],[Tiempo solución max (hrs)]]&lt;&gt;"",IF(Tabla1[[#This Row],[Tiempo solución max (hrs)]]&gt;=Tabla1[[#This Row],[Tiempo
(Hrs 00/100)]],"cumple","no cumple"),"")</f>
        <v>cumple</v>
      </c>
      <c r="W2312" s="629" t="s">
        <v>3327</v>
      </c>
      <c r="X2312" s="377" t="str">
        <f t="shared" si="202"/>
        <v>DS</v>
      </c>
      <c r="Y2312" t="str">
        <f>SUBSTITUTE(Tabla1[[#This Row],[Descripción]],CHAR(10),"    I    ")</f>
        <v>Se creo el archivo Jenkinsfile que es el que contiene todo el pipleline de CI, este reside en mi github personal, es donde se hizo las pruebas</v>
      </c>
      <c r="Z2312" s="142">
        <f>VLOOKUP(Tabla1[[#This Row],[Perfil]],Catalogos!$B$75:$D$100,3,FALSE)*Tabla1[[#This Row],[Tiempo
(Hrs 00/100)]]*1.16</f>
        <v>5916</v>
      </c>
    </row>
    <row r="2313" spans="1:26" ht="15" customHeight="1" x14ac:dyDescent="0.3">
      <c r="A2313" s="373" t="s">
        <v>58</v>
      </c>
      <c r="B2313" s="373" t="s">
        <v>305</v>
      </c>
      <c r="C2313" s="489" t="s">
        <v>155</v>
      </c>
      <c r="D2313" s="373"/>
      <c r="E2313" s="373" t="s">
        <v>1399</v>
      </c>
      <c r="F2313" s="373" t="s">
        <v>74</v>
      </c>
      <c r="G2313" s="373" t="s">
        <v>4078</v>
      </c>
      <c r="H2313" s="461" t="s">
        <v>3427</v>
      </c>
      <c r="I2313" s="538" t="s">
        <v>3428</v>
      </c>
      <c r="J2313" s="527">
        <v>45229</v>
      </c>
      <c r="K2313" s="773">
        <v>0.37916666666666665</v>
      </c>
      <c r="L2313" s="527">
        <v>45229</v>
      </c>
      <c r="M2313" s="773">
        <v>0.79583333333333339</v>
      </c>
      <c r="N2313" s="373">
        <v>9</v>
      </c>
      <c r="O2313" s="184" t="s">
        <v>411</v>
      </c>
      <c r="P2313" s="375" t="s">
        <v>2475</v>
      </c>
      <c r="Q2313" s="615" t="s">
        <v>1442</v>
      </c>
      <c r="R2313" s="616" t="s">
        <v>79</v>
      </c>
      <c r="S2313" s="31" t="s">
        <v>273</v>
      </c>
      <c r="T2313" s="31" t="s">
        <v>273</v>
      </c>
      <c r="U2313" s="31">
        <f>IFERROR(VLOOKUP(CONCATENATE(Tabla1[[#This Row],[Severidad]]," ",Tabla1[[#This Row],[Complejidad]]),Catalogos!E$120:G$128,3,FALSE),"")</f>
        <v>64</v>
      </c>
      <c r="V2313" s="31" t="str">
        <f>IF(Tabla1[[#This Row],[Tiempo solución max (hrs)]]&lt;&gt;"",IF(Tabla1[[#This Row],[Tiempo solución max (hrs)]]&gt;=Tabla1[[#This Row],[Tiempo
(Hrs 00/100)]],"cumple","no cumple"),"")</f>
        <v>cumple</v>
      </c>
      <c r="W2313" s="629" t="s">
        <v>3327</v>
      </c>
      <c r="X2313" s="377" t="str">
        <f t="shared" si="202"/>
        <v>DS</v>
      </c>
      <c r="Y2313" t="str">
        <f>SUBSTITUTE(Tabla1[[#This Row],[Descripción]],CHAR(10),"    I    ")</f>
        <v>Se creo el archivo Jenkinsfile que es el que contiene todo el pipleline de CD, este reside en mi github personal, es donde se hizo las pruebas</v>
      </c>
      <c r="Z2313" s="142">
        <f>VLOOKUP(Tabla1[[#This Row],[Perfil]],Catalogos!$B$75:$D$100,3,FALSE)*Tabla1[[#This Row],[Tiempo
(Hrs 00/100)]]*1.16</f>
        <v>6264</v>
      </c>
    </row>
    <row r="2314" spans="1:26" ht="15" customHeight="1" x14ac:dyDescent="0.3">
      <c r="A2314" s="373" t="s">
        <v>15</v>
      </c>
      <c r="B2314" s="373" t="s">
        <v>61</v>
      </c>
      <c r="C2314" s="489" t="s">
        <v>155</v>
      </c>
      <c r="D2314" s="373"/>
      <c r="E2314" s="373" t="s">
        <v>1399</v>
      </c>
      <c r="F2314" s="373" t="s">
        <v>74</v>
      </c>
      <c r="G2314" s="373" t="s">
        <v>4078</v>
      </c>
      <c r="H2314" s="461" t="s">
        <v>3427</v>
      </c>
      <c r="I2314" s="538" t="s">
        <v>3428</v>
      </c>
      <c r="J2314" s="527">
        <v>45230</v>
      </c>
      <c r="K2314" s="773">
        <v>0.375</v>
      </c>
      <c r="L2314" s="527">
        <v>45230</v>
      </c>
      <c r="M2314" s="773">
        <v>0.79166666666666663</v>
      </c>
      <c r="N2314" s="373">
        <v>8.5</v>
      </c>
      <c r="O2314" s="184" t="s">
        <v>17</v>
      </c>
      <c r="P2314" s="375" t="s">
        <v>2481</v>
      </c>
      <c r="Q2314" s="615" t="s">
        <v>1442</v>
      </c>
      <c r="R2314" s="616" t="s">
        <v>79</v>
      </c>
      <c r="S2314" s="31" t="s">
        <v>273</v>
      </c>
      <c r="T2314" s="31" t="s">
        <v>273</v>
      </c>
      <c r="U2314" s="31">
        <f>IFERROR(VLOOKUP(CONCATENATE(Tabla1[[#This Row],[Severidad]]," ",Tabla1[[#This Row],[Complejidad]]),Catalogos!E$120:G$128,3,FALSE),"")</f>
        <v>64</v>
      </c>
      <c r="V2314" s="31" t="str">
        <f>IF(Tabla1[[#This Row],[Tiempo solución max (hrs)]]&lt;&gt;"",IF(Tabla1[[#This Row],[Tiempo solución max (hrs)]]&gt;=Tabla1[[#This Row],[Tiempo
(Hrs 00/100)]],"cumple","no cumple"),"")</f>
        <v>cumple</v>
      </c>
      <c r="W2314" s="629" t="s">
        <v>3327</v>
      </c>
      <c r="X2314" s="377" t="str">
        <f t="shared" si="202"/>
        <v>DS</v>
      </c>
      <c r="Y2314" t="str">
        <f>SUBSTITUTE(Tabla1[[#This Row],[Descripción]],CHAR(10),"    I    ")</f>
        <v>Se creo el archivo Jenkinsfile que es el que contiene todo el pipleline de CD, este reside en mi github personal, es donde se hizo las pruebas</v>
      </c>
      <c r="Z2314" s="142">
        <f>VLOOKUP(Tabla1[[#This Row],[Perfil]],Catalogos!$B$75:$D$100,3,FALSE)*Tabla1[[#This Row],[Tiempo
(Hrs 00/100)]]*1.16</f>
        <v>5916</v>
      </c>
    </row>
    <row r="2315" spans="1:26" ht="15" customHeight="1" x14ac:dyDescent="0.3">
      <c r="A2315" s="373" t="s">
        <v>2642</v>
      </c>
      <c r="B2315" s="373" t="s">
        <v>21</v>
      </c>
      <c r="C2315" s="373" t="s">
        <v>2643</v>
      </c>
      <c r="D2315" s="373"/>
      <c r="E2315" s="373" t="s">
        <v>2726</v>
      </c>
      <c r="F2315" s="184" t="s">
        <v>75</v>
      </c>
      <c r="G2315" s="622" t="s">
        <v>4079</v>
      </c>
      <c r="H2315" s="468" t="s">
        <v>3788</v>
      </c>
      <c r="I2315" s="468" t="s">
        <v>3789</v>
      </c>
      <c r="J2315" s="729">
        <v>45201</v>
      </c>
      <c r="K2315" s="773">
        <v>0.375</v>
      </c>
      <c r="L2315" s="729">
        <v>45201</v>
      </c>
      <c r="M2315" s="773">
        <v>0.79166666666666663</v>
      </c>
      <c r="N2315" s="373">
        <v>8</v>
      </c>
      <c r="O2315" s="184" t="s">
        <v>17</v>
      </c>
      <c r="P2315" s="623" t="s">
        <v>3790</v>
      </c>
      <c r="Q2315" s="179" t="s">
        <v>2649</v>
      </c>
      <c r="R2315" s="624" t="s">
        <v>81</v>
      </c>
      <c r="S2315" s="31" t="s">
        <v>273</v>
      </c>
      <c r="T2315" s="31" t="s">
        <v>273</v>
      </c>
      <c r="U2315" s="31">
        <f>IFERROR(VLOOKUP(CONCATENATE(Tabla1[[#This Row],[Severidad]]," ",Tabla1[[#This Row],[Complejidad]]),Catalogos!E$120:G$128,3,FALSE),"")</f>
        <v>64</v>
      </c>
      <c r="V2315" s="31" t="str">
        <f>IF(Tabla1[[#This Row],[Tiempo solución max (hrs)]]&lt;&gt;"",IF(Tabla1[[#This Row],[Tiempo solución max (hrs)]]&gt;=Tabla1[[#This Row],[Tiempo
(Hrs 00/100)]],"cumple","no cumple"),"")</f>
        <v>cumple</v>
      </c>
      <c r="W2315" s="629" t="s">
        <v>3327</v>
      </c>
      <c r="X2315" s="377" t="str">
        <f t="shared" si="202"/>
        <v>SCI</v>
      </c>
      <c r="Y2315" t="str">
        <f>SUBSTITUTE(Tabla1[[#This Row],[Descripción]],CHAR(10),"    I    ")</f>
        <v>Documentación de incidencias de inventarios</v>
      </c>
      <c r="Z2315" s="142">
        <f>VLOOKUP(Tabla1[[#This Row],[Perfil]],Catalogos!$B$75:$D$100,3,FALSE)*Tabla1[[#This Row],[Tiempo
(Hrs 00/100)]]*1.16</f>
        <v>4640</v>
      </c>
    </row>
    <row r="2316" spans="1:26" ht="15" customHeight="1" x14ac:dyDescent="0.3">
      <c r="A2316" s="373" t="s">
        <v>2642</v>
      </c>
      <c r="B2316" s="373" t="s">
        <v>21</v>
      </c>
      <c r="C2316" s="373" t="s">
        <v>2643</v>
      </c>
      <c r="D2316" s="373"/>
      <c r="E2316" s="373" t="s">
        <v>2726</v>
      </c>
      <c r="F2316" s="184" t="s">
        <v>75</v>
      </c>
      <c r="G2316" s="622" t="s">
        <v>4080</v>
      </c>
      <c r="H2316" s="468" t="s">
        <v>3791</v>
      </c>
      <c r="I2316" s="468" t="s">
        <v>3792</v>
      </c>
      <c r="J2316" s="729">
        <v>45202</v>
      </c>
      <c r="K2316" s="773">
        <v>0.375</v>
      </c>
      <c r="L2316" s="729">
        <v>45202</v>
      </c>
      <c r="M2316" s="773">
        <v>0.79166666666666663</v>
      </c>
      <c r="N2316" s="373">
        <v>4</v>
      </c>
      <c r="O2316" s="184" t="s">
        <v>17</v>
      </c>
      <c r="P2316" s="623" t="s">
        <v>3790</v>
      </c>
      <c r="Q2316" s="179" t="s">
        <v>2649</v>
      </c>
      <c r="R2316" s="624" t="s">
        <v>81</v>
      </c>
      <c r="S2316" s="31" t="s">
        <v>273</v>
      </c>
      <c r="T2316" s="31" t="s">
        <v>273</v>
      </c>
      <c r="U2316" s="31">
        <f>IFERROR(VLOOKUP(CONCATENATE(Tabla1[[#This Row],[Severidad]]," ",Tabla1[[#This Row],[Complejidad]]),Catalogos!E$120:G$128,3,FALSE),"")</f>
        <v>64</v>
      </c>
      <c r="V2316" s="31" t="str">
        <f>IF(Tabla1[[#This Row],[Tiempo solución max (hrs)]]&lt;&gt;"",IF(Tabla1[[#This Row],[Tiempo solución max (hrs)]]&gt;=Tabla1[[#This Row],[Tiempo
(Hrs 00/100)]],"cumple","no cumple"),"")</f>
        <v>cumple</v>
      </c>
      <c r="W2316" s="629" t="s">
        <v>3327</v>
      </c>
      <c r="X2316" s="377" t="str">
        <f t="shared" si="202"/>
        <v>SCI</v>
      </c>
      <c r="Y2316" t="str">
        <f>SUBSTITUTE(Tabla1[[#This Row],[Descripción]],CHAR(10),"    I    ")</f>
        <v>Se genera la incidencia en mantis una vez con las evidencias de las pruebas</v>
      </c>
      <c r="Z2316" s="142">
        <f>VLOOKUP(Tabla1[[#This Row],[Perfil]],Catalogos!$B$75:$D$100,3,FALSE)*Tabla1[[#This Row],[Tiempo
(Hrs 00/100)]]*1.16</f>
        <v>2320</v>
      </c>
    </row>
    <row r="2317" spans="1:26" ht="15" customHeight="1" x14ac:dyDescent="0.3">
      <c r="A2317" s="373" t="s">
        <v>2642</v>
      </c>
      <c r="B2317" s="373" t="s">
        <v>61</v>
      </c>
      <c r="C2317" s="373" t="s">
        <v>2643</v>
      </c>
      <c r="D2317" s="373"/>
      <c r="E2317" s="373" t="s">
        <v>2726</v>
      </c>
      <c r="F2317" s="184" t="s">
        <v>76</v>
      </c>
      <c r="G2317" s="622" t="s">
        <v>4081</v>
      </c>
      <c r="H2317" s="468" t="s">
        <v>3793</v>
      </c>
      <c r="I2317" s="468" t="s">
        <v>3794</v>
      </c>
      <c r="J2317" s="729">
        <v>45203</v>
      </c>
      <c r="K2317" s="773">
        <v>0.375</v>
      </c>
      <c r="L2317" s="729">
        <v>45203</v>
      </c>
      <c r="M2317" s="773">
        <v>0.58333333333333337</v>
      </c>
      <c r="N2317" s="373">
        <v>5</v>
      </c>
      <c r="O2317" s="184" t="s">
        <v>17</v>
      </c>
      <c r="P2317" s="623" t="s">
        <v>3790</v>
      </c>
      <c r="Q2317" s="179" t="s">
        <v>2649</v>
      </c>
      <c r="R2317" s="624" t="s">
        <v>81</v>
      </c>
      <c r="S2317" s="31" t="s">
        <v>273</v>
      </c>
      <c r="T2317" s="31" t="s">
        <v>273</v>
      </c>
      <c r="U2317" s="31">
        <f>IFERROR(VLOOKUP(CONCATENATE(Tabla1[[#This Row],[Severidad]]," ",Tabla1[[#This Row],[Complejidad]]),Catalogos!E$120:G$128,3,FALSE),"")</f>
        <v>64</v>
      </c>
      <c r="V2317" s="31" t="str">
        <f>IF(Tabla1[[#This Row],[Tiempo solución max (hrs)]]&lt;&gt;"",IF(Tabla1[[#This Row],[Tiempo solución max (hrs)]]&gt;=Tabla1[[#This Row],[Tiempo
(Hrs 00/100)]],"cumple","no cumple"),"")</f>
        <v>cumple</v>
      </c>
      <c r="W2317" s="629" t="s">
        <v>3327</v>
      </c>
      <c r="X2317" s="377" t="str">
        <f t="shared" si="202"/>
        <v>SCI</v>
      </c>
      <c r="Y2317" t="str">
        <f>SUBSTITUTE(Tabla1[[#This Row],[Descripción]],CHAR(10),"    I    ")</f>
        <v>Se envía el correo del cierre parcial de la ejecución del sistema de Inventarios</v>
      </c>
      <c r="Z2317" s="142">
        <f>VLOOKUP(Tabla1[[#This Row],[Perfil]],Catalogos!$B$75:$D$100,3,FALSE)*Tabla1[[#This Row],[Tiempo
(Hrs 00/100)]]*1.16</f>
        <v>2900</v>
      </c>
    </row>
    <row r="2318" spans="1:26" ht="15" customHeight="1" x14ac:dyDescent="0.3">
      <c r="A2318" s="373" t="s">
        <v>2642</v>
      </c>
      <c r="B2318" s="373" t="s">
        <v>305</v>
      </c>
      <c r="C2318" s="373" t="s">
        <v>2643</v>
      </c>
      <c r="D2318" s="373"/>
      <c r="E2318" s="373" t="s">
        <v>3795</v>
      </c>
      <c r="F2318" s="184" t="s">
        <v>72</v>
      </c>
      <c r="G2318" s="622" t="s">
        <v>4082</v>
      </c>
      <c r="H2318" s="468" t="s">
        <v>3796</v>
      </c>
      <c r="I2318" s="468" t="s">
        <v>3797</v>
      </c>
      <c r="J2318" s="729">
        <v>45203</v>
      </c>
      <c r="K2318" s="773">
        <v>0.58333333333333337</v>
      </c>
      <c r="L2318" s="729">
        <v>45203</v>
      </c>
      <c r="M2318" s="773">
        <v>0.79166666666666663</v>
      </c>
      <c r="N2318" s="373">
        <v>3</v>
      </c>
      <c r="O2318" s="184" t="s">
        <v>17</v>
      </c>
      <c r="P2318" s="623" t="s">
        <v>3790</v>
      </c>
      <c r="Q2318" s="179" t="s">
        <v>2649</v>
      </c>
      <c r="R2318" s="624" t="s">
        <v>81</v>
      </c>
      <c r="S2318" s="31" t="s">
        <v>273</v>
      </c>
      <c r="T2318" s="31" t="s">
        <v>273</v>
      </c>
      <c r="U2318" s="31">
        <f>IFERROR(VLOOKUP(CONCATENATE(Tabla1[[#This Row],[Severidad]]," ",Tabla1[[#This Row],[Complejidad]]),Catalogos!E$120:G$128,3,FALSE),"")</f>
        <v>64</v>
      </c>
      <c r="V2318" s="31" t="str">
        <f>IF(Tabla1[[#This Row],[Tiempo solución max (hrs)]]&lt;&gt;"",IF(Tabla1[[#This Row],[Tiempo solución max (hrs)]]&gt;=Tabla1[[#This Row],[Tiempo
(Hrs 00/100)]],"cumple","no cumple"),"")</f>
        <v>cumple</v>
      </c>
      <c r="W2318" s="629" t="s">
        <v>3327</v>
      </c>
      <c r="X2318" s="377" t="str">
        <f t="shared" si="202"/>
        <v>SCI</v>
      </c>
      <c r="Y2318" t="str">
        <f>SUBSTITUTE(Tabla1[[#This Row],[Descripción]],CHAR(10),"    I    ")</f>
        <v>Se revisa la versión dos de ServicioProfesional con los cambios realizados en la OT</v>
      </c>
      <c r="Z2318" s="142">
        <f>VLOOKUP(Tabla1[[#This Row],[Perfil]],Catalogos!$B$75:$D$100,3,FALSE)*Tabla1[[#This Row],[Tiempo
(Hrs 00/100)]]*1.16</f>
        <v>1739.9999999999998</v>
      </c>
    </row>
    <row r="2319" spans="1:26" ht="15" customHeight="1" x14ac:dyDescent="0.3">
      <c r="A2319" s="373" t="s">
        <v>2642</v>
      </c>
      <c r="B2319" s="373" t="s">
        <v>68</v>
      </c>
      <c r="C2319" s="373" t="s">
        <v>2643</v>
      </c>
      <c r="D2319" s="373"/>
      <c r="E2319" s="373" t="s">
        <v>3798</v>
      </c>
      <c r="F2319" s="184" t="s">
        <v>77</v>
      </c>
      <c r="G2319" s="622" t="s">
        <v>4083</v>
      </c>
      <c r="H2319" s="468" t="s">
        <v>3799</v>
      </c>
      <c r="I2319" s="468" t="s">
        <v>3800</v>
      </c>
      <c r="J2319" s="729">
        <v>45204</v>
      </c>
      <c r="K2319" s="773">
        <v>0.375</v>
      </c>
      <c r="L2319" s="729">
        <v>45204</v>
      </c>
      <c r="M2319" s="773">
        <v>0.45833333333333331</v>
      </c>
      <c r="N2319" s="373">
        <v>2</v>
      </c>
      <c r="O2319" s="184" t="s">
        <v>17</v>
      </c>
      <c r="P2319" s="623" t="s">
        <v>3790</v>
      </c>
      <c r="Q2319" s="179" t="s">
        <v>2649</v>
      </c>
      <c r="R2319" s="624" t="s">
        <v>81</v>
      </c>
      <c r="S2319" s="31" t="s">
        <v>273</v>
      </c>
      <c r="T2319" s="31" t="s">
        <v>273</v>
      </c>
      <c r="U2319" s="31">
        <f>IFERROR(VLOOKUP(CONCATENATE(Tabla1[[#This Row],[Severidad]]," ",Tabla1[[#This Row],[Complejidad]]),Catalogos!E$120:G$128,3,FALSE),"")</f>
        <v>64</v>
      </c>
      <c r="V2319" s="31" t="str">
        <f>IF(Tabla1[[#This Row],[Tiempo solución max (hrs)]]&lt;&gt;"",IF(Tabla1[[#This Row],[Tiempo solución max (hrs)]]&gt;=Tabla1[[#This Row],[Tiempo
(Hrs 00/100)]],"cumple","no cumple"),"")</f>
        <v>cumple</v>
      </c>
      <c r="W2319" s="629" t="s">
        <v>3327</v>
      </c>
      <c r="X2319" s="377" t="str">
        <f t="shared" si="202"/>
        <v>SCI</v>
      </c>
      <c r="Y2319" t="str">
        <f>SUBSTITUTE(Tabla1[[#This Row],[Descripción]],CHAR(10),"    I    ")</f>
        <v>Se recibe correo de nueva OT para su revisión y ejecución llamada GAP</v>
      </c>
      <c r="Z2319" s="142">
        <f>VLOOKUP(Tabla1[[#This Row],[Perfil]],Catalogos!$B$75:$D$100,3,FALSE)*Tabla1[[#This Row],[Tiempo
(Hrs 00/100)]]*1.16</f>
        <v>1160</v>
      </c>
    </row>
    <row r="2320" spans="1:26" ht="15" customHeight="1" x14ac:dyDescent="0.3">
      <c r="A2320" s="373" t="s">
        <v>2642</v>
      </c>
      <c r="B2320" s="373" t="s">
        <v>66</v>
      </c>
      <c r="C2320" s="373" t="s">
        <v>2643</v>
      </c>
      <c r="D2320" s="373"/>
      <c r="E2320" s="373" t="s">
        <v>3795</v>
      </c>
      <c r="F2320" s="184" t="s">
        <v>75</v>
      </c>
      <c r="G2320" s="622" t="s">
        <v>4084</v>
      </c>
      <c r="H2320" s="468" t="s">
        <v>3801</v>
      </c>
      <c r="I2320" s="468" t="s">
        <v>3802</v>
      </c>
      <c r="J2320" s="729">
        <v>45204</v>
      </c>
      <c r="K2320" s="773">
        <v>0.45833333333333331</v>
      </c>
      <c r="L2320" s="729">
        <v>45204</v>
      </c>
      <c r="M2320" s="773">
        <v>0.79166666666666663</v>
      </c>
      <c r="N2320" s="373">
        <v>6</v>
      </c>
      <c r="O2320" s="184" t="s">
        <v>17</v>
      </c>
      <c r="P2320" s="623" t="s">
        <v>3790</v>
      </c>
      <c r="Q2320" s="179" t="s">
        <v>2649</v>
      </c>
      <c r="R2320" s="624" t="s">
        <v>81</v>
      </c>
      <c r="S2320" s="31" t="s">
        <v>273</v>
      </c>
      <c r="T2320" s="31" t="s">
        <v>273</v>
      </c>
      <c r="U2320" s="31">
        <f>IFERROR(VLOOKUP(CONCATENATE(Tabla1[[#This Row],[Severidad]]," ",Tabla1[[#This Row],[Complejidad]]),Catalogos!E$120:G$128,3,FALSE),"")</f>
        <v>64</v>
      </c>
      <c r="V2320" s="31" t="str">
        <f>IF(Tabla1[[#This Row],[Tiempo solución max (hrs)]]&lt;&gt;"",IF(Tabla1[[#This Row],[Tiempo solución max (hrs)]]&gt;=Tabla1[[#This Row],[Tiempo
(Hrs 00/100)]],"cumple","no cumple"),"")</f>
        <v>cumple</v>
      </c>
      <c r="W2320" s="629" t="s">
        <v>3327</v>
      </c>
      <c r="X2320" s="377" t="str">
        <f t="shared" si="202"/>
        <v>SCI</v>
      </c>
      <c r="Y2320" t="str">
        <f>SUBSTITUTE(Tabla1[[#This Row],[Descripción]],CHAR(10),"    I    ")</f>
        <v>Se realiza la ejecución de la OT servicioProfesional</v>
      </c>
      <c r="Z2320" s="142">
        <f>VLOOKUP(Tabla1[[#This Row],[Perfil]],Catalogos!$B$75:$D$100,3,FALSE)*Tabla1[[#This Row],[Tiempo
(Hrs 00/100)]]*1.16</f>
        <v>3479.9999999999995</v>
      </c>
    </row>
    <row r="2321" spans="1:26" ht="15" customHeight="1" x14ac:dyDescent="0.3">
      <c r="A2321" s="373" t="s">
        <v>2642</v>
      </c>
      <c r="B2321" s="373" t="s">
        <v>68</v>
      </c>
      <c r="C2321" s="373" t="s">
        <v>2643</v>
      </c>
      <c r="D2321" s="373"/>
      <c r="E2321" s="373" t="s">
        <v>3795</v>
      </c>
      <c r="F2321" s="184" t="s">
        <v>75</v>
      </c>
      <c r="G2321" s="622" t="s">
        <v>4085</v>
      </c>
      <c r="H2321" s="468" t="s">
        <v>3803</v>
      </c>
      <c r="I2321" s="468" t="s">
        <v>3804</v>
      </c>
      <c r="J2321" s="729">
        <v>45205</v>
      </c>
      <c r="K2321" s="773">
        <v>0.375</v>
      </c>
      <c r="L2321" s="729">
        <v>45205</v>
      </c>
      <c r="M2321" s="773">
        <v>0.5</v>
      </c>
      <c r="N2321" s="373">
        <v>3</v>
      </c>
      <c r="O2321" s="184" t="s">
        <v>17</v>
      </c>
      <c r="P2321" s="623" t="s">
        <v>3790</v>
      </c>
      <c r="Q2321" s="179" t="s">
        <v>2649</v>
      </c>
      <c r="R2321" s="624" t="s">
        <v>81</v>
      </c>
      <c r="S2321" s="31" t="s">
        <v>273</v>
      </c>
      <c r="T2321" s="31" t="s">
        <v>273</v>
      </c>
      <c r="U2321" s="31">
        <f>IFERROR(VLOOKUP(CONCATENATE(Tabla1[[#This Row],[Severidad]]," ",Tabla1[[#This Row],[Complejidad]]),Catalogos!E$120:G$128,3,FALSE),"")</f>
        <v>64</v>
      </c>
      <c r="V2321" s="31" t="str">
        <f>IF(Tabla1[[#This Row],[Tiempo solución max (hrs)]]&lt;&gt;"",IF(Tabla1[[#This Row],[Tiempo solución max (hrs)]]&gt;=Tabla1[[#This Row],[Tiempo
(Hrs 00/100)]],"cumple","no cumple"),"")</f>
        <v>cumple</v>
      </c>
      <c r="W2321" s="629" t="s">
        <v>3327</v>
      </c>
      <c r="X2321" s="377" t="str">
        <f t="shared" si="202"/>
        <v>SCI</v>
      </c>
      <c r="Y2321" t="str">
        <f>SUBSTITUTE(Tabla1[[#This Row],[Descripción]],CHAR(10),"    I    ")</f>
        <v>Se continua con ejecuta la OT de ServicioProfesional</v>
      </c>
      <c r="Z2321" s="142">
        <f>VLOOKUP(Tabla1[[#This Row],[Perfil]],Catalogos!$B$75:$D$100,3,FALSE)*Tabla1[[#This Row],[Tiempo
(Hrs 00/100)]]*1.16</f>
        <v>1739.9999999999998</v>
      </c>
    </row>
    <row r="2322" spans="1:26" ht="15" customHeight="1" x14ac:dyDescent="0.3">
      <c r="A2322" s="373" t="s">
        <v>2642</v>
      </c>
      <c r="B2322" s="373" t="s">
        <v>305</v>
      </c>
      <c r="C2322" s="373" t="s">
        <v>2643</v>
      </c>
      <c r="D2322" s="373"/>
      <c r="E2322" s="373" t="s">
        <v>3795</v>
      </c>
      <c r="F2322" s="184" t="s">
        <v>75</v>
      </c>
      <c r="G2322" s="622" t="s">
        <v>4086</v>
      </c>
      <c r="H2322" s="468" t="s">
        <v>3805</v>
      </c>
      <c r="I2322" s="468" t="s">
        <v>3806</v>
      </c>
      <c r="J2322" s="729">
        <v>45205</v>
      </c>
      <c r="K2322" s="773">
        <v>0.5</v>
      </c>
      <c r="L2322" s="729">
        <v>45205</v>
      </c>
      <c r="M2322" s="773">
        <v>0.625</v>
      </c>
      <c r="N2322" s="373">
        <v>3</v>
      </c>
      <c r="O2322" s="184" t="s">
        <v>17</v>
      </c>
      <c r="P2322" s="623" t="s">
        <v>3790</v>
      </c>
      <c r="Q2322" s="179" t="s">
        <v>2649</v>
      </c>
      <c r="R2322" s="624" t="s">
        <v>81</v>
      </c>
      <c r="S2322" s="31" t="s">
        <v>273</v>
      </c>
      <c r="T2322" s="31" t="s">
        <v>273</v>
      </c>
      <c r="U2322" s="31">
        <f>IFERROR(VLOOKUP(CONCATENATE(Tabla1[[#This Row],[Severidad]]," ",Tabla1[[#This Row],[Complejidad]]),Catalogos!E$120:G$128,3,FALSE),"")</f>
        <v>64</v>
      </c>
      <c r="V2322" s="31" t="str">
        <f>IF(Tabla1[[#This Row],[Tiempo solución max (hrs)]]&lt;&gt;"",IF(Tabla1[[#This Row],[Tiempo solución max (hrs)]]&gt;=Tabla1[[#This Row],[Tiempo
(Hrs 00/100)]],"cumple","no cumple"),"")</f>
        <v>cumple</v>
      </c>
      <c r="W2322" s="629" t="s">
        <v>3327</v>
      </c>
      <c r="X2322" s="377" t="str">
        <f t="shared" si="202"/>
        <v>SCI</v>
      </c>
      <c r="Y2322" t="str">
        <f>SUBSTITUTE(Tabla1[[#This Row],[Descripción]],CHAR(10),"    I    ")</f>
        <v>Se da seguimiento a la solicitud al equipo de base de datos de su apoyo para obtener la base de datos de ServicioProfesional</v>
      </c>
      <c r="Z2322" s="142">
        <f>VLOOKUP(Tabla1[[#This Row],[Perfil]],Catalogos!$B$75:$D$100,3,FALSE)*Tabla1[[#This Row],[Tiempo
(Hrs 00/100)]]*1.16</f>
        <v>1739.9999999999998</v>
      </c>
    </row>
    <row r="2323" spans="1:26" ht="15" customHeight="1" x14ac:dyDescent="0.3">
      <c r="A2323" s="373" t="s">
        <v>2642</v>
      </c>
      <c r="B2323" s="373" t="s">
        <v>305</v>
      </c>
      <c r="C2323" s="373" t="s">
        <v>2643</v>
      </c>
      <c r="D2323" s="373"/>
      <c r="E2323" s="373" t="s">
        <v>3795</v>
      </c>
      <c r="F2323" s="184" t="s">
        <v>75</v>
      </c>
      <c r="G2323" s="622" t="s">
        <v>4087</v>
      </c>
      <c r="H2323" s="468" t="s">
        <v>3807</v>
      </c>
      <c r="I2323" s="468" t="s">
        <v>3808</v>
      </c>
      <c r="J2323" s="729">
        <v>45208</v>
      </c>
      <c r="K2323" s="773">
        <v>0.375</v>
      </c>
      <c r="L2323" s="729">
        <v>45208</v>
      </c>
      <c r="M2323" s="773">
        <v>0.5</v>
      </c>
      <c r="N2323" s="373">
        <v>3</v>
      </c>
      <c r="O2323" s="184" t="s">
        <v>17</v>
      </c>
      <c r="P2323" s="623" t="s">
        <v>3809</v>
      </c>
      <c r="Q2323" s="179" t="s">
        <v>2649</v>
      </c>
      <c r="R2323" s="624" t="s">
        <v>81</v>
      </c>
      <c r="S2323" s="31" t="s">
        <v>273</v>
      </c>
      <c r="T2323" s="31" t="s">
        <v>273</v>
      </c>
      <c r="U2323" s="31">
        <f>IFERROR(VLOOKUP(CONCATENATE(Tabla1[[#This Row],[Severidad]]," ",Tabla1[[#This Row],[Complejidad]]),Catalogos!E$120:G$128,3,FALSE),"")</f>
        <v>64</v>
      </c>
      <c r="V2323" s="31" t="str">
        <f>IF(Tabla1[[#This Row],[Tiempo solución max (hrs)]]&lt;&gt;"",IF(Tabla1[[#This Row],[Tiempo solución max (hrs)]]&gt;=Tabla1[[#This Row],[Tiempo
(Hrs 00/100)]],"cumple","no cumple"),"")</f>
        <v>cumple</v>
      </c>
      <c r="W2323" s="629" t="s">
        <v>3327</v>
      </c>
      <c r="X2323" s="377" t="str">
        <f t="shared" si="202"/>
        <v>SCI</v>
      </c>
      <c r="Y2323" t="str">
        <f>SUBSTITUTE(Tabla1[[#This Row],[Descripción]],CHAR(10),"    I    ")</f>
        <v>El equipo de base de datos entrega la base para continuar con las pruebas de ServicioProfesional</v>
      </c>
      <c r="Z2323" s="142">
        <f>VLOOKUP(Tabla1[[#This Row],[Perfil]],Catalogos!$B$75:$D$100,3,FALSE)*Tabla1[[#This Row],[Tiempo
(Hrs 00/100)]]*1.16</f>
        <v>1739.9999999999998</v>
      </c>
    </row>
    <row r="2324" spans="1:26" ht="15" customHeight="1" x14ac:dyDescent="0.3">
      <c r="A2324" s="373" t="s">
        <v>2642</v>
      </c>
      <c r="B2324" s="373" t="s">
        <v>68</v>
      </c>
      <c r="C2324" s="373" t="s">
        <v>2643</v>
      </c>
      <c r="D2324" s="373"/>
      <c r="E2324" s="373" t="s">
        <v>3795</v>
      </c>
      <c r="F2324" s="184" t="s">
        <v>75</v>
      </c>
      <c r="G2324" s="622" t="s">
        <v>4088</v>
      </c>
      <c r="H2324" s="468" t="s">
        <v>3810</v>
      </c>
      <c r="I2324" s="468" t="s">
        <v>3811</v>
      </c>
      <c r="J2324" s="729">
        <v>45208</v>
      </c>
      <c r="K2324" s="773">
        <v>0.5</v>
      </c>
      <c r="L2324" s="729">
        <v>45208</v>
      </c>
      <c r="M2324" s="773">
        <v>0.79166666666666663</v>
      </c>
      <c r="N2324" s="373">
        <v>5</v>
      </c>
      <c r="O2324" s="184" t="s">
        <v>17</v>
      </c>
      <c r="P2324" s="623" t="s">
        <v>3809</v>
      </c>
      <c r="Q2324" s="179" t="s">
        <v>2649</v>
      </c>
      <c r="R2324" s="624" t="s">
        <v>81</v>
      </c>
      <c r="S2324" s="31" t="s">
        <v>273</v>
      </c>
      <c r="T2324" s="31" t="s">
        <v>273</v>
      </c>
      <c r="U2324" s="31">
        <f>IFERROR(VLOOKUP(CONCATENATE(Tabla1[[#This Row],[Severidad]]," ",Tabla1[[#This Row],[Complejidad]]),Catalogos!E$120:G$128,3,FALSE),"")</f>
        <v>64</v>
      </c>
      <c r="V2324" s="31" t="str">
        <f>IF(Tabla1[[#This Row],[Tiempo solución max (hrs)]]&lt;&gt;"",IF(Tabla1[[#This Row],[Tiempo solución max (hrs)]]&gt;=Tabla1[[#This Row],[Tiempo
(Hrs 00/100)]],"cumple","no cumple"),"")</f>
        <v>cumple</v>
      </c>
      <c r="W2324" s="629" t="s">
        <v>3327</v>
      </c>
      <c r="X2324" s="377" t="str">
        <f t="shared" si="202"/>
        <v>SCI</v>
      </c>
      <c r="Y2324" t="str">
        <f>SUBSTITUTE(Tabla1[[#This Row],[Descripción]],CHAR(10),"    I    ")</f>
        <v>Se termina de ejecutar la OT ServicioProfesional con detalles en la conexión</v>
      </c>
      <c r="Z2324" s="142">
        <f>VLOOKUP(Tabla1[[#This Row],[Perfil]],Catalogos!$B$75:$D$100,3,FALSE)*Tabla1[[#This Row],[Tiempo
(Hrs 00/100)]]*1.16</f>
        <v>2900</v>
      </c>
    </row>
    <row r="2325" spans="1:26" ht="15" customHeight="1" x14ac:dyDescent="0.3">
      <c r="A2325" s="373" t="s">
        <v>2642</v>
      </c>
      <c r="B2325" s="373" t="s">
        <v>68</v>
      </c>
      <c r="C2325" s="373" t="s">
        <v>2643</v>
      </c>
      <c r="D2325" s="373"/>
      <c r="E2325" s="373" t="s">
        <v>3795</v>
      </c>
      <c r="F2325" s="184" t="s">
        <v>75</v>
      </c>
      <c r="G2325" s="622" t="s">
        <v>4089</v>
      </c>
      <c r="H2325" s="468" t="s">
        <v>3812</v>
      </c>
      <c r="I2325" s="468" t="s">
        <v>3813</v>
      </c>
      <c r="J2325" s="729">
        <v>45209</v>
      </c>
      <c r="K2325" s="773">
        <v>0.375</v>
      </c>
      <c r="L2325" s="729">
        <v>45209</v>
      </c>
      <c r="M2325" s="773">
        <v>0.54166666666666663</v>
      </c>
      <c r="N2325" s="373">
        <v>4</v>
      </c>
      <c r="O2325" s="184" t="s">
        <v>17</v>
      </c>
      <c r="P2325" s="623" t="s">
        <v>3809</v>
      </c>
      <c r="Q2325" s="179" t="s">
        <v>2649</v>
      </c>
      <c r="R2325" s="624" t="s">
        <v>81</v>
      </c>
      <c r="S2325" s="31" t="s">
        <v>273</v>
      </c>
      <c r="T2325" s="31" t="s">
        <v>273</v>
      </c>
      <c r="U2325" s="31">
        <f>IFERROR(VLOOKUP(CONCATENATE(Tabla1[[#This Row],[Severidad]]," ",Tabla1[[#This Row],[Complejidad]]),Catalogos!E$120:G$128,3,FALSE),"")</f>
        <v>64</v>
      </c>
      <c r="V2325" s="31" t="str">
        <f>IF(Tabla1[[#This Row],[Tiempo solución max (hrs)]]&lt;&gt;"",IF(Tabla1[[#This Row],[Tiempo solución max (hrs)]]&gt;=Tabla1[[#This Row],[Tiempo
(Hrs 00/100)]],"cumple","no cumple"),"")</f>
        <v>cumple</v>
      </c>
      <c r="W2325" s="629" t="s">
        <v>3327</v>
      </c>
      <c r="X2325" s="377" t="str">
        <f t="shared" si="202"/>
        <v>SCI</v>
      </c>
      <c r="Y2325" t="str">
        <f>SUBSTITUTE(Tabla1[[#This Row],[Descripción]],CHAR(10),"    I    ")</f>
        <v>Se resuelven los detalles de la OT ServicioProfesional y se completa la ejecución</v>
      </c>
      <c r="Z2325" s="142">
        <f>VLOOKUP(Tabla1[[#This Row],[Perfil]],Catalogos!$B$75:$D$100,3,FALSE)*Tabla1[[#This Row],[Tiempo
(Hrs 00/100)]]*1.16</f>
        <v>2320</v>
      </c>
    </row>
    <row r="2326" spans="1:26" ht="15" customHeight="1" x14ac:dyDescent="0.3">
      <c r="A2326" s="373" t="s">
        <v>2642</v>
      </c>
      <c r="B2326" s="373" t="s">
        <v>305</v>
      </c>
      <c r="C2326" s="373" t="s">
        <v>2643</v>
      </c>
      <c r="D2326" s="373"/>
      <c r="E2326" s="373" t="s">
        <v>3814</v>
      </c>
      <c r="F2326" s="184" t="s">
        <v>72</v>
      </c>
      <c r="G2326" s="622" t="s">
        <v>4090</v>
      </c>
      <c r="H2326" s="468" t="s">
        <v>3815</v>
      </c>
      <c r="I2326" s="468" t="s">
        <v>3816</v>
      </c>
      <c r="J2326" s="729">
        <v>45209</v>
      </c>
      <c r="K2326" s="773">
        <v>0.54166666666666663</v>
      </c>
      <c r="L2326" s="729">
        <v>45209</v>
      </c>
      <c r="M2326" s="773">
        <v>0.79166666666666663</v>
      </c>
      <c r="N2326" s="373">
        <v>4</v>
      </c>
      <c r="O2326" s="184" t="s">
        <v>17</v>
      </c>
      <c r="P2326" s="623" t="s">
        <v>3809</v>
      </c>
      <c r="Q2326" s="179" t="s">
        <v>2649</v>
      </c>
      <c r="R2326" s="624" t="s">
        <v>81</v>
      </c>
      <c r="S2326" s="31" t="s">
        <v>273</v>
      </c>
      <c r="T2326" s="31" t="s">
        <v>273</v>
      </c>
      <c r="U2326" s="31">
        <f>IFERROR(VLOOKUP(CONCATENATE(Tabla1[[#This Row],[Severidad]]," ",Tabla1[[#This Row],[Complejidad]]),Catalogos!E$120:G$128,3,FALSE),"")</f>
        <v>64</v>
      </c>
      <c r="V2326" s="31" t="str">
        <f>IF(Tabla1[[#This Row],[Tiempo solución max (hrs)]]&lt;&gt;"",IF(Tabla1[[#This Row],[Tiempo solución max (hrs)]]&gt;=Tabla1[[#This Row],[Tiempo
(Hrs 00/100)]],"cumple","no cumple"),"")</f>
        <v>cumple</v>
      </c>
      <c r="W2326" s="629" t="s">
        <v>3327</v>
      </c>
      <c r="X2326" s="377" t="str">
        <f t="shared" si="202"/>
        <v>SCI</v>
      </c>
      <c r="Y2326" t="str">
        <f>SUBSTITUTE(Tabla1[[#This Row],[Descripción]],CHAR(10),"    I    ")</f>
        <v>Se recibe correo con la nueva OT llamada Encuentro XXV</v>
      </c>
      <c r="Z2326" s="142">
        <f>VLOOKUP(Tabla1[[#This Row],[Perfil]],Catalogos!$B$75:$D$100,3,FALSE)*Tabla1[[#This Row],[Tiempo
(Hrs 00/100)]]*1.16</f>
        <v>2320</v>
      </c>
    </row>
    <row r="2327" spans="1:26" ht="15" customHeight="1" x14ac:dyDescent="0.3">
      <c r="A2327" s="373" t="s">
        <v>2642</v>
      </c>
      <c r="B2327" s="373" t="s">
        <v>68</v>
      </c>
      <c r="C2327" s="373" t="s">
        <v>2643</v>
      </c>
      <c r="D2327" s="373"/>
      <c r="E2327" s="373" t="s">
        <v>3795</v>
      </c>
      <c r="F2327" s="184" t="s">
        <v>75</v>
      </c>
      <c r="G2327" s="622" t="s">
        <v>4091</v>
      </c>
      <c r="H2327" s="468" t="s">
        <v>3817</v>
      </c>
      <c r="I2327" s="468" t="s">
        <v>3818</v>
      </c>
      <c r="J2327" s="729">
        <v>45210</v>
      </c>
      <c r="K2327" s="773">
        <v>0.375</v>
      </c>
      <c r="L2327" s="729">
        <v>45210</v>
      </c>
      <c r="M2327" s="773">
        <v>0.5</v>
      </c>
      <c r="N2327" s="373">
        <v>3</v>
      </c>
      <c r="O2327" s="184" t="s">
        <v>17</v>
      </c>
      <c r="P2327" s="623" t="s">
        <v>3809</v>
      </c>
      <c r="Q2327" s="179" t="s">
        <v>2649</v>
      </c>
      <c r="R2327" s="624" t="s">
        <v>81</v>
      </c>
      <c r="S2327" s="31" t="s">
        <v>273</v>
      </c>
      <c r="T2327" s="31" t="s">
        <v>273</v>
      </c>
      <c r="U2327" s="31">
        <f>IFERROR(VLOOKUP(CONCATENATE(Tabla1[[#This Row],[Severidad]]," ",Tabla1[[#This Row],[Complejidad]]),Catalogos!E$120:G$128,3,FALSE),"")</f>
        <v>64</v>
      </c>
      <c r="V2327" s="31" t="str">
        <f>IF(Tabla1[[#This Row],[Tiempo solución max (hrs)]]&lt;&gt;"",IF(Tabla1[[#This Row],[Tiempo solución max (hrs)]]&gt;=Tabla1[[#This Row],[Tiempo
(Hrs 00/100)]],"cumple","no cumple"),"")</f>
        <v>cumple</v>
      </c>
      <c r="W2327" s="629" t="s">
        <v>3327</v>
      </c>
      <c r="X2327" s="377" t="str">
        <f t="shared" si="202"/>
        <v>SCI</v>
      </c>
      <c r="Y2327" t="str">
        <f>SUBSTITUTE(Tabla1[[#This Row],[Descripción]],CHAR(10),"    I    ")</f>
        <v>Se termina la OT ServicioProfesional y se documenta la evidencia</v>
      </c>
      <c r="Z2327" s="142">
        <f>VLOOKUP(Tabla1[[#This Row],[Perfil]],Catalogos!$B$75:$D$100,3,FALSE)*Tabla1[[#This Row],[Tiempo
(Hrs 00/100)]]*1.16</f>
        <v>1739.9999999999998</v>
      </c>
    </row>
    <row r="2328" spans="1:26" ht="15" customHeight="1" x14ac:dyDescent="0.3">
      <c r="A2328" s="373" t="s">
        <v>2642</v>
      </c>
      <c r="B2328" s="373" t="s">
        <v>68</v>
      </c>
      <c r="C2328" s="373" t="s">
        <v>2643</v>
      </c>
      <c r="D2328" s="373"/>
      <c r="E2328" s="373" t="s">
        <v>3814</v>
      </c>
      <c r="F2328" s="184" t="s">
        <v>75</v>
      </c>
      <c r="G2328" s="622" t="s">
        <v>4092</v>
      </c>
      <c r="H2328" s="468" t="s">
        <v>3819</v>
      </c>
      <c r="I2328" s="468" t="s">
        <v>3820</v>
      </c>
      <c r="J2328" s="729">
        <v>45210</v>
      </c>
      <c r="K2328" s="773">
        <v>0.5</v>
      </c>
      <c r="L2328" s="729">
        <v>45210</v>
      </c>
      <c r="M2328" s="773">
        <v>0.79166666666666663</v>
      </c>
      <c r="N2328" s="373">
        <v>5</v>
      </c>
      <c r="O2328" s="184" t="s">
        <v>17</v>
      </c>
      <c r="P2328" s="623" t="s">
        <v>3809</v>
      </c>
      <c r="Q2328" s="179" t="s">
        <v>2649</v>
      </c>
      <c r="R2328" s="624" t="s">
        <v>81</v>
      </c>
      <c r="S2328" s="31" t="s">
        <v>273</v>
      </c>
      <c r="T2328" s="31" t="s">
        <v>273</v>
      </c>
      <c r="U2328" s="31">
        <f>IFERROR(VLOOKUP(CONCATENATE(Tabla1[[#This Row],[Severidad]]," ",Tabla1[[#This Row],[Complejidad]]),Catalogos!E$120:G$128,3,FALSE),"")</f>
        <v>64</v>
      </c>
      <c r="V2328" s="31" t="str">
        <f>IF(Tabla1[[#This Row],[Tiempo solución max (hrs)]]&lt;&gt;"",IF(Tabla1[[#This Row],[Tiempo solución max (hrs)]]&gt;=Tabla1[[#This Row],[Tiempo
(Hrs 00/100)]],"cumple","no cumple"),"")</f>
        <v>cumple</v>
      </c>
      <c r="W2328" s="629" t="s">
        <v>3327</v>
      </c>
      <c r="X2328" s="377" t="str">
        <f t="shared" si="202"/>
        <v>SCI</v>
      </c>
      <c r="Y2328" t="str">
        <f>SUBSTITUTE(Tabla1[[#This Row],[Descripción]],CHAR(10),"    I    ")</f>
        <v>Se ejecuta y documenta la OT Encuentro XXV</v>
      </c>
      <c r="Z2328" s="142">
        <f>VLOOKUP(Tabla1[[#This Row],[Perfil]],Catalogos!$B$75:$D$100,3,FALSE)*Tabla1[[#This Row],[Tiempo
(Hrs 00/100)]]*1.16</f>
        <v>2900</v>
      </c>
    </row>
    <row r="2329" spans="1:26" ht="15" customHeight="1" x14ac:dyDescent="0.3">
      <c r="A2329" s="373" t="s">
        <v>2642</v>
      </c>
      <c r="B2329" s="373" t="s">
        <v>68</v>
      </c>
      <c r="C2329" s="373" t="s">
        <v>2643</v>
      </c>
      <c r="D2329" s="373"/>
      <c r="E2329" s="373" t="s">
        <v>3795</v>
      </c>
      <c r="F2329" s="184" t="s">
        <v>76</v>
      </c>
      <c r="G2329" s="622" t="s">
        <v>4093</v>
      </c>
      <c r="H2329" s="468" t="s">
        <v>3821</v>
      </c>
      <c r="I2329" s="468" t="s">
        <v>3822</v>
      </c>
      <c r="J2329" s="729">
        <v>45211</v>
      </c>
      <c r="K2329" s="773">
        <v>0.375</v>
      </c>
      <c r="L2329" s="729">
        <v>45211</v>
      </c>
      <c r="M2329" s="773">
        <v>0.79166666666666663</v>
      </c>
      <c r="N2329" s="373">
        <v>8</v>
      </c>
      <c r="O2329" s="184" t="s">
        <v>17</v>
      </c>
      <c r="P2329" s="623" t="s">
        <v>3809</v>
      </c>
      <c r="Q2329" s="179" t="s">
        <v>2649</v>
      </c>
      <c r="R2329" s="624" t="s">
        <v>81</v>
      </c>
      <c r="S2329" s="31" t="s">
        <v>273</v>
      </c>
      <c r="T2329" s="31" t="s">
        <v>273</v>
      </c>
      <c r="U2329" s="31">
        <f>IFERROR(VLOOKUP(CONCATENATE(Tabla1[[#This Row],[Severidad]]," ",Tabla1[[#This Row],[Complejidad]]),Catalogos!E$120:G$128,3,FALSE),"")</f>
        <v>64</v>
      </c>
      <c r="V2329" s="31" t="str">
        <f>IF(Tabla1[[#This Row],[Tiempo solución max (hrs)]]&lt;&gt;"",IF(Tabla1[[#This Row],[Tiempo solución max (hrs)]]&gt;=Tabla1[[#This Row],[Tiempo
(Hrs 00/100)]],"cumple","no cumple"),"")</f>
        <v>cumple</v>
      </c>
      <c r="W2329" s="629" t="s">
        <v>3327</v>
      </c>
      <c r="X2329" s="377" t="str">
        <f t="shared" si="202"/>
        <v>SCI</v>
      </c>
      <c r="Y2329" t="str">
        <f>SUBSTITUTE(Tabla1[[#This Row],[Descripción]],CHAR(10),"    I    ")</f>
        <v>Se envía correo a las personas correspondientes sobre la OT documentada de ServicioProfesional</v>
      </c>
      <c r="Z2329" s="142">
        <f>VLOOKUP(Tabla1[[#This Row],[Perfil]],Catalogos!$B$75:$D$100,3,FALSE)*Tabla1[[#This Row],[Tiempo
(Hrs 00/100)]]*1.16</f>
        <v>4640</v>
      </c>
    </row>
    <row r="2330" spans="1:26" ht="15" customHeight="1" x14ac:dyDescent="0.3">
      <c r="A2330" s="373" t="s">
        <v>2642</v>
      </c>
      <c r="B2330" s="373" t="s">
        <v>21</v>
      </c>
      <c r="C2330" s="373" t="s">
        <v>2643</v>
      </c>
      <c r="D2330" s="373"/>
      <c r="E2330" s="373" t="s">
        <v>2726</v>
      </c>
      <c r="F2330" s="184" t="s">
        <v>76</v>
      </c>
      <c r="G2330" s="622" t="s">
        <v>4094</v>
      </c>
      <c r="H2330" s="468" t="s">
        <v>3823</v>
      </c>
      <c r="I2330" s="468" t="s">
        <v>3824</v>
      </c>
      <c r="J2330" s="729">
        <v>45212</v>
      </c>
      <c r="K2330" s="773">
        <v>0.375</v>
      </c>
      <c r="L2330" s="729">
        <v>45212</v>
      </c>
      <c r="M2330" s="773">
        <v>0.625</v>
      </c>
      <c r="N2330" s="373">
        <v>6</v>
      </c>
      <c r="O2330" s="184" t="s">
        <v>17</v>
      </c>
      <c r="P2330" s="623" t="s">
        <v>3809</v>
      </c>
      <c r="Q2330" s="179" t="s">
        <v>2649</v>
      </c>
      <c r="R2330" s="624" t="s">
        <v>81</v>
      </c>
      <c r="S2330" s="31" t="s">
        <v>273</v>
      </c>
      <c r="T2330" s="31" t="s">
        <v>273</v>
      </c>
      <c r="U2330" s="31">
        <f>IFERROR(VLOOKUP(CONCATENATE(Tabla1[[#This Row],[Severidad]]," ",Tabla1[[#This Row],[Complejidad]]),Catalogos!E$120:G$128,3,FALSE),"")</f>
        <v>64</v>
      </c>
      <c r="V2330" s="31" t="str">
        <f>IF(Tabla1[[#This Row],[Tiempo solución max (hrs)]]&lt;&gt;"",IF(Tabla1[[#This Row],[Tiempo solución max (hrs)]]&gt;=Tabla1[[#This Row],[Tiempo
(Hrs 00/100)]],"cumple","no cumple"),"")</f>
        <v>cumple</v>
      </c>
      <c r="W2330" s="629" t="s">
        <v>3327</v>
      </c>
      <c r="X2330" s="377" t="str">
        <f t="shared" si="202"/>
        <v>SCI</v>
      </c>
      <c r="Y2330" t="str">
        <f>SUBSTITUTE(Tabla1[[#This Row],[Descripción]],CHAR(10),"    I    ")</f>
        <v>Se dio seguimiento a las insidencias encontradas en la ejecución de la OT del Módulo de Inventarios</v>
      </c>
      <c r="Z2330" s="142">
        <f>VLOOKUP(Tabla1[[#This Row],[Perfil]],Catalogos!$B$75:$D$100,3,FALSE)*Tabla1[[#This Row],[Tiempo
(Hrs 00/100)]]*1.16</f>
        <v>3479.9999999999995</v>
      </c>
    </row>
    <row r="2331" spans="1:26" ht="15" customHeight="1" x14ac:dyDescent="0.3">
      <c r="A2331" s="373" t="s">
        <v>2642</v>
      </c>
      <c r="B2331" s="373" t="s">
        <v>68</v>
      </c>
      <c r="C2331" s="373" t="s">
        <v>2643</v>
      </c>
      <c r="D2331" s="373"/>
      <c r="E2331" s="373" t="s">
        <v>3825</v>
      </c>
      <c r="F2331" s="184" t="s">
        <v>75</v>
      </c>
      <c r="G2331" s="622" t="s">
        <v>4095</v>
      </c>
      <c r="H2331" s="468" t="s">
        <v>3826</v>
      </c>
      <c r="I2331" s="468" t="s">
        <v>3827</v>
      </c>
      <c r="J2331" s="729">
        <v>45215</v>
      </c>
      <c r="K2331" s="773">
        <v>0.375</v>
      </c>
      <c r="L2331" s="729">
        <v>45215</v>
      </c>
      <c r="M2331" s="773">
        <v>0.79166666666666663</v>
      </c>
      <c r="N2331" s="373">
        <v>8</v>
      </c>
      <c r="O2331" s="184" t="s">
        <v>17</v>
      </c>
      <c r="P2331" s="623" t="s">
        <v>3828</v>
      </c>
      <c r="Q2331" s="179" t="s">
        <v>2649</v>
      </c>
      <c r="R2331" s="624" t="s">
        <v>81</v>
      </c>
      <c r="S2331" s="31" t="s">
        <v>273</v>
      </c>
      <c r="T2331" s="31" t="s">
        <v>273</v>
      </c>
      <c r="U2331" s="31">
        <f>IFERROR(VLOOKUP(CONCATENATE(Tabla1[[#This Row],[Severidad]]," ",Tabla1[[#This Row],[Complejidad]]),Catalogos!E$120:G$128,3,FALSE),"")</f>
        <v>64</v>
      </c>
      <c r="V2331" s="31" t="str">
        <f>IF(Tabla1[[#This Row],[Tiempo solución max (hrs)]]&lt;&gt;"",IF(Tabla1[[#This Row],[Tiempo solución max (hrs)]]&gt;=Tabla1[[#This Row],[Tiempo
(Hrs 00/100)]],"cumple","no cumple"),"")</f>
        <v>cumple</v>
      </c>
      <c r="W2331" s="629" t="s">
        <v>3327</v>
      </c>
      <c r="X2331" s="377" t="str">
        <f t="shared" si="202"/>
        <v>SCI</v>
      </c>
      <c r="Y2331" t="str">
        <f>SUBSTITUTE(Tabla1[[#This Row],[Descripción]],CHAR(10),"    I    ")</f>
        <v>Se hace el análisis de la documentación del micrositio de Criterios de Interpretación del SNT</v>
      </c>
      <c r="Z2331" s="142">
        <f>VLOOKUP(Tabla1[[#This Row],[Perfil]],Catalogos!$B$75:$D$100,3,FALSE)*Tabla1[[#This Row],[Tiempo
(Hrs 00/100)]]*1.16</f>
        <v>4640</v>
      </c>
    </row>
    <row r="2332" spans="1:26" ht="15" customHeight="1" x14ac:dyDescent="0.3">
      <c r="A2332" s="373" t="s">
        <v>2642</v>
      </c>
      <c r="B2332" s="373" t="s">
        <v>305</v>
      </c>
      <c r="C2332" s="373" t="s">
        <v>2643</v>
      </c>
      <c r="D2332" s="373"/>
      <c r="E2332" s="373" t="s">
        <v>3825</v>
      </c>
      <c r="F2332" s="184" t="s">
        <v>72</v>
      </c>
      <c r="G2332" s="622" t="s">
        <v>4096</v>
      </c>
      <c r="H2332" s="468" t="s">
        <v>3829</v>
      </c>
      <c r="I2332" s="468" t="s">
        <v>3830</v>
      </c>
      <c r="J2332" s="729">
        <v>45216</v>
      </c>
      <c r="K2332" s="773">
        <v>0.375</v>
      </c>
      <c r="L2332" s="729">
        <v>45216</v>
      </c>
      <c r="M2332" s="773">
        <v>0.70833333333333337</v>
      </c>
      <c r="N2332" s="373">
        <v>6</v>
      </c>
      <c r="O2332" s="184" t="s">
        <v>17</v>
      </c>
      <c r="P2332" s="623" t="s">
        <v>3828</v>
      </c>
      <c r="Q2332" s="179" t="s">
        <v>2649</v>
      </c>
      <c r="R2332" s="624" t="s">
        <v>81</v>
      </c>
      <c r="S2332" s="31" t="s">
        <v>273</v>
      </c>
      <c r="T2332" s="31" t="s">
        <v>273</v>
      </c>
      <c r="U2332" s="31">
        <f>IFERROR(VLOOKUP(CONCATENATE(Tabla1[[#This Row],[Severidad]]," ",Tabla1[[#This Row],[Complejidad]]),Catalogos!E$120:G$128,3,FALSE),"")</f>
        <v>64</v>
      </c>
      <c r="V2332" s="31" t="str">
        <f>IF(Tabla1[[#This Row],[Tiempo solución max (hrs)]]&lt;&gt;"",IF(Tabla1[[#This Row],[Tiempo solución max (hrs)]]&gt;=Tabla1[[#This Row],[Tiempo
(Hrs 00/100)]],"cumple","no cumple"),"")</f>
        <v>cumple</v>
      </c>
      <c r="W2332" s="629" t="s">
        <v>3327</v>
      </c>
      <c r="X2332" s="377" t="str">
        <f t="shared" si="202"/>
        <v>SCI</v>
      </c>
      <c r="Y2332" t="str">
        <f>SUBSTITUTE(Tabla1[[#This Row],[Descripción]],CHAR(10),"    I    ")</f>
        <v>Se continua con el análsis del documento de Criterios de Interpretación SNT para obtener los casos de prueba</v>
      </c>
      <c r="Z2332" s="142">
        <f>VLOOKUP(Tabla1[[#This Row],[Perfil]],Catalogos!$B$75:$D$100,3,FALSE)*Tabla1[[#This Row],[Tiempo
(Hrs 00/100)]]*1.16</f>
        <v>3479.9999999999995</v>
      </c>
    </row>
    <row r="2333" spans="1:26" ht="15" customHeight="1" x14ac:dyDescent="0.3">
      <c r="A2333" s="373" t="s">
        <v>2642</v>
      </c>
      <c r="B2333" s="373" t="s">
        <v>62</v>
      </c>
      <c r="C2333" s="373" t="s">
        <v>2643</v>
      </c>
      <c r="D2333" s="373"/>
      <c r="E2333" s="373" t="s">
        <v>3825</v>
      </c>
      <c r="F2333" s="184" t="s">
        <v>74</v>
      </c>
      <c r="G2333" s="622" t="s">
        <v>4097</v>
      </c>
      <c r="H2333" s="468" t="s">
        <v>3831</v>
      </c>
      <c r="I2333" s="468" t="s">
        <v>3832</v>
      </c>
      <c r="J2333" s="729">
        <v>45216</v>
      </c>
      <c r="K2333" s="773">
        <v>0.70833333333333337</v>
      </c>
      <c r="L2333" s="729">
        <v>45216</v>
      </c>
      <c r="M2333" s="773">
        <v>0.79166666666666663</v>
      </c>
      <c r="N2333" s="373">
        <v>2</v>
      </c>
      <c r="O2333" s="184" t="s">
        <v>17</v>
      </c>
      <c r="P2333" s="623" t="s">
        <v>3828</v>
      </c>
      <c r="Q2333" s="179" t="s">
        <v>2649</v>
      </c>
      <c r="R2333" s="624" t="s">
        <v>81</v>
      </c>
      <c r="S2333" s="31" t="s">
        <v>273</v>
      </c>
      <c r="T2333" s="31" t="s">
        <v>273</v>
      </c>
      <c r="U2333" s="31">
        <f>IFERROR(VLOOKUP(CONCATENATE(Tabla1[[#This Row],[Severidad]]," ",Tabla1[[#This Row],[Complejidad]]),Catalogos!E$120:G$128,3,FALSE),"")</f>
        <v>64</v>
      </c>
      <c r="V2333" s="31" t="str">
        <f>IF(Tabla1[[#This Row],[Tiempo solución max (hrs)]]&lt;&gt;"",IF(Tabla1[[#This Row],[Tiempo solución max (hrs)]]&gt;=Tabla1[[#This Row],[Tiempo
(Hrs 00/100)]],"cumple","no cumple"),"")</f>
        <v>cumple</v>
      </c>
      <c r="W2333" s="629" t="s">
        <v>3327</v>
      </c>
      <c r="X2333" s="377" t="str">
        <f t="shared" si="202"/>
        <v>SCI</v>
      </c>
      <c r="Y2333" t="str">
        <f>SUBSTITUTE(Tabla1[[#This Row],[Descripción]],CHAR(10),"    I    ")</f>
        <v>Se da de alta el usuario en TestLink para creación de casos de prueba sobre el documento Criterios de Interpretación SNT</v>
      </c>
      <c r="Z2333" s="142">
        <f>VLOOKUP(Tabla1[[#This Row],[Perfil]],Catalogos!$B$75:$D$100,3,FALSE)*Tabla1[[#This Row],[Tiempo
(Hrs 00/100)]]*1.16</f>
        <v>1160</v>
      </c>
    </row>
    <row r="2334" spans="1:26" ht="15" customHeight="1" x14ac:dyDescent="0.3">
      <c r="A2334" s="373" t="s">
        <v>2642</v>
      </c>
      <c r="B2334" s="373" t="s">
        <v>305</v>
      </c>
      <c r="C2334" s="373" t="s">
        <v>2643</v>
      </c>
      <c r="D2334" s="373"/>
      <c r="E2334" s="373" t="s">
        <v>3825</v>
      </c>
      <c r="F2334" s="184" t="s">
        <v>23</v>
      </c>
      <c r="G2334" s="622" t="s">
        <v>4098</v>
      </c>
      <c r="H2334" s="468" t="s">
        <v>3833</v>
      </c>
      <c r="I2334" s="468" t="s">
        <v>3834</v>
      </c>
      <c r="J2334" s="729">
        <v>45217</v>
      </c>
      <c r="K2334" s="773">
        <v>0.375</v>
      </c>
      <c r="L2334" s="729">
        <v>45217</v>
      </c>
      <c r="M2334" s="773">
        <v>0.79166666666666663</v>
      </c>
      <c r="N2334" s="373">
        <v>4</v>
      </c>
      <c r="O2334" s="184" t="s">
        <v>17</v>
      </c>
      <c r="P2334" s="623" t="s">
        <v>3828</v>
      </c>
      <c r="Q2334" s="179" t="s">
        <v>2649</v>
      </c>
      <c r="R2334" s="624" t="s">
        <v>81</v>
      </c>
      <c r="S2334" s="31" t="s">
        <v>273</v>
      </c>
      <c r="T2334" s="31" t="s">
        <v>273</v>
      </c>
      <c r="U2334" s="31">
        <f>IFERROR(VLOOKUP(CONCATENATE(Tabla1[[#This Row],[Severidad]]," ",Tabla1[[#This Row],[Complejidad]]),Catalogos!E$120:G$128,3,FALSE),"")</f>
        <v>64</v>
      </c>
      <c r="V2334" s="31" t="str">
        <f>IF(Tabla1[[#This Row],[Tiempo solución max (hrs)]]&lt;&gt;"",IF(Tabla1[[#This Row],[Tiempo solución max (hrs)]]&gt;=Tabla1[[#This Row],[Tiempo
(Hrs 00/100)]],"cumple","no cumple"),"")</f>
        <v>cumple</v>
      </c>
      <c r="W2334" s="629" t="s">
        <v>3327</v>
      </c>
      <c r="X2334" s="377" t="str">
        <f t="shared" si="202"/>
        <v>SCI</v>
      </c>
      <c r="Y2334" t="str">
        <f>SUBSTITUTE(Tabla1[[#This Row],[Descripción]],CHAR(10),"    I    ")</f>
        <v xml:space="preserve">Análisis de documento SNT para documentación de casos de prueba </v>
      </c>
      <c r="Z2334" s="142">
        <f>VLOOKUP(Tabla1[[#This Row],[Perfil]],Catalogos!$B$75:$D$100,3,FALSE)*Tabla1[[#This Row],[Tiempo
(Hrs 00/100)]]*1.16</f>
        <v>2320</v>
      </c>
    </row>
    <row r="2335" spans="1:26" ht="15" customHeight="1" x14ac:dyDescent="0.3">
      <c r="A2335" s="373" t="s">
        <v>2642</v>
      </c>
      <c r="B2335" s="373" t="s">
        <v>305</v>
      </c>
      <c r="C2335" s="373" t="s">
        <v>2643</v>
      </c>
      <c r="D2335" s="373"/>
      <c r="E2335" s="373" t="s">
        <v>3825</v>
      </c>
      <c r="F2335" s="184" t="s">
        <v>23</v>
      </c>
      <c r="G2335" s="622" t="s">
        <v>4099</v>
      </c>
      <c r="H2335" s="468" t="s">
        <v>3833</v>
      </c>
      <c r="I2335" s="468" t="s">
        <v>3834</v>
      </c>
      <c r="J2335" s="729">
        <v>45218</v>
      </c>
      <c r="K2335" s="773">
        <v>0.375</v>
      </c>
      <c r="L2335" s="729">
        <v>45218</v>
      </c>
      <c r="M2335" s="773">
        <v>0.79166666666666663</v>
      </c>
      <c r="N2335" s="373">
        <v>8</v>
      </c>
      <c r="O2335" s="184" t="s">
        <v>17</v>
      </c>
      <c r="P2335" s="623" t="s">
        <v>3828</v>
      </c>
      <c r="Q2335" s="179" t="s">
        <v>2649</v>
      </c>
      <c r="R2335" s="624" t="s">
        <v>81</v>
      </c>
      <c r="S2335" s="31" t="s">
        <v>273</v>
      </c>
      <c r="T2335" s="31" t="s">
        <v>273</v>
      </c>
      <c r="U2335" s="31">
        <f>IFERROR(VLOOKUP(CONCATENATE(Tabla1[[#This Row],[Severidad]]," ",Tabla1[[#This Row],[Complejidad]]),Catalogos!E$120:G$128,3,FALSE),"")</f>
        <v>64</v>
      </c>
      <c r="V2335" s="31" t="str">
        <f>IF(Tabla1[[#This Row],[Tiempo solución max (hrs)]]&lt;&gt;"",IF(Tabla1[[#This Row],[Tiempo solución max (hrs)]]&gt;=Tabla1[[#This Row],[Tiempo
(Hrs 00/100)]],"cumple","no cumple"),"")</f>
        <v>cumple</v>
      </c>
      <c r="W2335" s="629" t="s">
        <v>3327</v>
      </c>
      <c r="X2335" s="377" t="str">
        <f t="shared" ref="X2335:X2359" si="203">IF(C2335&lt;&gt;"",C2335,D2335)</f>
        <v>SCI</v>
      </c>
      <c r="Y2335" t="str">
        <f>SUBSTITUTE(Tabla1[[#This Row],[Descripción]],CHAR(10),"    I    ")</f>
        <v xml:space="preserve">Análisis de documento SNT para documentación de casos de prueba </v>
      </c>
      <c r="Z2335" s="142">
        <f>VLOOKUP(Tabla1[[#This Row],[Perfil]],Catalogos!$B$75:$D$100,3,FALSE)*Tabla1[[#This Row],[Tiempo
(Hrs 00/100)]]*1.16</f>
        <v>4640</v>
      </c>
    </row>
    <row r="2336" spans="1:26" ht="15" customHeight="1" x14ac:dyDescent="0.3">
      <c r="A2336" s="373" t="s">
        <v>2642</v>
      </c>
      <c r="B2336" s="373" t="s">
        <v>305</v>
      </c>
      <c r="C2336" s="373" t="s">
        <v>2643</v>
      </c>
      <c r="D2336" s="373"/>
      <c r="E2336" s="373" t="s">
        <v>3825</v>
      </c>
      <c r="F2336" s="184" t="s">
        <v>23</v>
      </c>
      <c r="G2336" s="622" t="s">
        <v>4100</v>
      </c>
      <c r="H2336" s="468" t="s">
        <v>3833</v>
      </c>
      <c r="I2336" s="468" t="s">
        <v>3834</v>
      </c>
      <c r="J2336" s="729">
        <v>45219</v>
      </c>
      <c r="K2336" s="773">
        <v>0.375</v>
      </c>
      <c r="L2336" s="729">
        <v>45219</v>
      </c>
      <c r="M2336" s="773">
        <v>0.625</v>
      </c>
      <c r="N2336" s="373">
        <v>6</v>
      </c>
      <c r="O2336" s="184" t="s">
        <v>17</v>
      </c>
      <c r="P2336" s="623" t="s">
        <v>3828</v>
      </c>
      <c r="Q2336" s="179" t="s">
        <v>2649</v>
      </c>
      <c r="R2336" s="624" t="s">
        <v>81</v>
      </c>
      <c r="S2336" s="31" t="s">
        <v>273</v>
      </c>
      <c r="T2336" s="31" t="s">
        <v>273</v>
      </c>
      <c r="U2336" s="31">
        <f>IFERROR(VLOOKUP(CONCATENATE(Tabla1[[#This Row],[Severidad]]," ",Tabla1[[#This Row],[Complejidad]]),Catalogos!E$120:G$128,3,FALSE),"")</f>
        <v>64</v>
      </c>
      <c r="V2336" s="31" t="str">
        <f>IF(Tabla1[[#This Row],[Tiempo solución max (hrs)]]&lt;&gt;"",IF(Tabla1[[#This Row],[Tiempo solución max (hrs)]]&gt;=Tabla1[[#This Row],[Tiempo
(Hrs 00/100)]],"cumple","no cumple"),"")</f>
        <v>cumple</v>
      </c>
      <c r="W2336" s="629" t="s">
        <v>3327</v>
      </c>
      <c r="X2336" s="377" t="str">
        <f t="shared" si="203"/>
        <v>SCI</v>
      </c>
      <c r="Y2336" t="str">
        <f>SUBSTITUTE(Tabla1[[#This Row],[Descripción]],CHAR(10),"    I    ")</f>
        <v xml:space="preserve">Análisis de documento SNT para documentación de casos de prueba </v>
      </c>
      <c r="Z2336" s="142">
        <f>VLOOKUP(Tabla1[[#This Row],[Perfil]],Catalogos!$B$75:$D$100,3,FALSE)*Tabla1[[#This Row],[Tiempo
(Hrs 00/100)]]*1.16</f>
        <v>3479.9999999999995</v>
      </c>
    </row>
    <row r="2337" spans="1:27" ht="15" customHeight="1" x14ac:dyDescent="0.3">
      <c r="A2337" s="373" t="s">
        <v>2642</v>
      </c>
      <c r="B2337" s="373" t="s">
        <v>305</v>
      </c>
      <c r="C2337" s="373" t="s">
        <v>2643</v>
      </c>
      <c r="D2337" s="373"/>
      <c r="E2337" s="373" t="s">
        <v>3825</v>
      </c>
      <c r="F2337" s="184" t="s">
        <v>23</v>
      </c>
      <c r="G2337" s="622" t="s">
        <v>4101</v>
      </c>
      <c r="H2337" s="468" t="s">
        <v>3835</v>
      </c>
      <c r="I2337" s="468" t="s">
        <v>3836</v>
      </c>
      <c r="J2337" s="729">
        <v>45222</v>
      </c>
      <c r="K2337" s="773">
        <v>0.375</v>
      </c>
      <c r="L2337" s="729">
        <v>45222</v>
      </c>
      <c r="M2337" s="773">
        <v>0.79166666666666663</v>
      </c>
      <c r="N2337" s="373">
        <v>4</v>
      </c>
      <c r="O2337" s="184" t="s">
        <v>17</v>
      </c>
      <c r="P2337" s="623" t="s">
        <v>3837</v>
      </c>
      <c r="Q2337" s="179" t="s">
        <v>2649</v>
      </c>
      <c r="R2337" s="624" t="s">
        <v>81</v>
      </c>
      <c r="S2337" s="31" t="s">
        <v>273</v>
      </c>
      <c r="T2337" s="31" t="s">
        <v>273</v>
      </c>
      <c r="U2337" s="31">
        <f>IFERROR(VLOOKUP(CONCATENATE(Tabla1[[#This Row],[Severidad]]," ",Tabla1[[#This Row],[Complejidad]]),Catalogos!E$120:G$128,3,FALSE),"")</f>
        <v>64</v>
      </c>
      <c r="V2337" s="31" t="str">
        <f>IF(Tabla1[[#This Row],[Tiempo solución max (hrs)]]&lt;&gt;"",IF(Tabla1[[#This Row],[Tiempo solución max (hrs)]]&gt;=Tabla1[[#This Row],[Tiempo
(Hrs 00/100)]],"cumple","no cumple"),"")</f>
        <v>cumple</v>
      </c>
      <c r="W2337" s="629" t="s">
        <v>3327</v>
      </c>
      <c r="X2337" s="377" t="str">
        <f t="shared" si="203"/>
        <v>SCI</v>
      </c>
      <c r="Y2337" t="str">
        <f>SUBSTITUTE(Tabla1[[#This Row],[Descripción]],CHAR(10),"    I    ")</f>
        <v>Se genera en Testlink el espacio de pruebas y se generan los casos de pruebas de Criterios de Interpretación SNT</v>
      </c>
      <c r="Z2337" s="142">
        <f>VLOOKUP(Tabla1[[#This Row],[Perfil]],Catalogos!$B$75:$D$100,3,FALSE)*Tabla1[[#This Row],[Tiempo
(Hrs 00/100)]]*1.16</f>
        <v>2320</v>
      </c>
    </row>
    <row r="2338" spans="1:27" ht="15" customHeight="1" x14ac:dyDescent="0.3">
      <c r="A2338" s="373" t="s">
        <v>2642</v>
      </c>
      <c r="B2338" s="373" t="s">
        <v>305</v>
      </c>
      <c r="C2338" s="373" t="s">
        <v>2643</v>
      </c>
      <c r="D2338" s="373"/>
      <c r="E2338" s="373" t="s">
        <v>3825</v>
      </c>
      <c r="F2338" s="184" t="s">
        <v>23</v>
      </c>
      <c r="G2338" s="622" t="s">
        <v>4102</v>
      </c>
      <c r="H2338" s="468" t="s">
        <v>3838</v>
      </c>
      <c r="I2338" s="468" t="s">
        <v>3839</v>
      </c>
      <c r="J2338" s="729">
        <v>45223</v>
      </c>
      <c r="K2338" s="773">
        <v>0.375</v>
      </c>
      <c r="L2338" s="729">
        <v>45223</v>
      </c>
      <c r="M2338" s="773">
        <v>0.45833333333333331</v>
      </c>
      <c r="N2338" s="373">
        <v>2</v>
      </c>
      <c r="O2338" s="184" t="s">
        <v>17</v>
      </c>
      <c r="P2338" s="623" t="s">
        <v>3837</v>
      </c>
      <c r="Q2338" s="179" t="s">
        <v>2649</v>
      </c>
      <c r="R2338" s="624" t="s">
        <v>81</v>
      </c>
      <c r="S2338" s="31" t="s">
        <v>273</v>
      </c>
      <c r="T2338" s="31" t="s">
        <v>273</v>
      </c>
      <c r="U2338" s="31">
        <f>IFERROR(VLOOKUP(CONCATENATE(Tabla1[[#This Row],[Severidad]]," ",Tabla1[[#This Row],[Complejidad]]),Catalogos!E$120:G$128,3,FALSE),"")</f>
        <v>64</v>
      </c>
      <c r="V2338" s="31" t="str">
        <f>IF(Tabla1[[#This Row],[Tiempo solución max (hrs)]]&lt;&gt;"",IF(Tabla1[[#This Row],[Tiempo solución max (hrs)]]&gt;=Tabla1[[#This Row],[Tiempo
(Hrs 00/100)]],"cumple","no cumple"),"")</f>
        <v>cumple</v>
      </c>
      <c r="W2338" s="629" t="s">
        <v>3327</v>
      </c>
      <c r="X2338" s="377" t="str">
        <f t="shared" si="203"/>
        <v>SCI</v>
      </c>
      <c r="Y2338" t="str">
        <f>SUBSTITUTE(Tabla1[[#This Row],[Descripción]],CHAR(10),"    I    ")</f>
        <v>Se hace una sesión con el equipo de desarrollo sobre el funcionamiento del modulo de usuarios y los roles que se estarán manejando</v>
      </c>
      <c r="Z2338" s="142">
        <f>VLOOKUP(Tabla1[[#This Row],[Perfil]],Catalogos!$B$75:$D$100,3,FALSE)*Tabla1[[#This Row],[Tiempo
(Hrs 00/100)]]*1.16</f>
        <v>1160</v>
      </c>
    </row>
    <row r="2339" spans="1:27" ht="15" customHeight="1" x14ac:dyDescent="0.3">
      <c r="A2339" s="373" t="s">
        <v>2642</v>
      </c>
      <c r="B2339" s="373" t="s">
        <v>305</v>
      </c>
      <c r="C2339" s="373" t="s">
        <v>2643</v>
      </c>
      <c r="D2339" s="373"/>
      <c r="E2339" s="373" t="s">
        <v>3825</v>
      </c>
      <c r="F2339" s="184" t="s">
        <v>23</v>
      </c>
      <c r="G2339" s="622" t="s">
        <v>4103</v>
      </c>
      <c r="H2339" s="468" t="s">
        <v>3840</v>
      </c>
      <c r="I2339" s="468" t="s">
        <v>3841</v>
      </c>
      <c r="J2339" s="729">
        <v>45223</v>
      </c>
      <c r="K2339" s="773">
        <v>0.45833333333333331</v>
      </c>
      <c r="L2339" s="729">
        <v>45223</v>
      </c>
      <c r="M2339" s="773">
        <v>0.79166666666666663</v>
      </c>
      <c r="N2339" s="373">
        <v>6</v>
      </c>
      <c r="O2339" s="184" t="s">
        <v>17</v>
      </c>
      <c r="P2339" s="623" t="s">
        <v>3837</v>
      </c>
      <c r="Q2339" s="179" t="s">
        <v>2649</v>
      </c>
      <c r="R2339" s="624" t="s">
        <v>81</v>
      </c>
      <c r="S2339" s="31" t="s">
        <v>273</v>
      </c>
      <c r="T2339" s="31" t="s">
        <v>273</v>
      </c>
      <c r="U2339" s="31">
        <f>IFERROR(VLOOKUP(CONCATENATE(Tabla1[[#This Row],[Severidad]]," ",Tabla1[[#This Row],[Complejidad]]),Catalogos!E$120:G$128,3,FALSE),"")</f>
        <v>64</v>
      </c>
      <c r="V2339" s="31" t="str">
        <f>IF(Tabla1[[#This Row],[Tiempo solución max (hrs)]]&lt;&gt;"",IF(Tabla1[[#This Row],[Tiempo solución max (hrs)]]&gt;=Tabla1[[#This Row],[Tiempo
(Hrs 00/100)]],"cumple","no cumple"),"")</f>
        <v>cumple</v>
      </c>
      <c r="W2339" s="629" t="s">
        <v>3327</v>
      </c>
      <c r="X2339" s="377" t="str">
        <f t="shared" si="203"/>
        <v>SCI</v>
      </c>
      <c r="Y2339" t="str">
        <f>SUBSTITUTE(Tabla1[[#This Row],[Descripción]],CHAR(10),"    I    ")</f>
        <v>Se generan los casos de prueba en Testlink sobre el proyecto RFC Criterios de Interpretación SNT</v>
      </c>
      <c r="Z2339" s="142">
        <f>VLOOKUP(Tabla1[[#This Row],[Perfil]],Catalogos!$B$75:$D$100,3,FALSE)*Tabla1[[#This Row],[Tiempo
(Hrs 00/100)]]*1.16</f>
        <v>3479.9999999999995</v>
      </c>
    </row>
    <row r="2340" spans="1:27" ht="15" customHeight="1" x14ac:dyDescent="0.3">
      <c r="A2340" s="373" t="s">
        <v>2642</v>
      </c>
      <c r="B2340" s="373" t="s">
        <v>305</v>
      </c>
      <c r="C2340" s="373" t="s">
        <v>2643</v>
      </c>
      <c r="D2340" s="373"/>
      <c r="E2340" s="373" t="s">
        <v>3825</v>
      </c>
      <c r="F2340" s="184" t="s">
        <v>23</v>
      </c>
      <c r="G2340" s="622" t="s">
        <v>4104</v>
      </c>
      <c r="H2340" s="468" t="s">
        <v>3840</v>
      </c>
      <c r="I2340" s="468" t="s">
        <v>3841</v>
      </c>
      <c r="J2340" s="729">
        <v>45224</v>
      </c>
      <c r="K2340" s="773">
        <v>0.375</v>
      </c>
      <c r="L2340" s="729">
        <v>45224</v>
      </c>
      <c r="M2340" s="773">
        <v>0.54166666666666663</v>
      </c>
      <c r="N2340" s="373">
        <v>4</v>
      </c>
      <c r="O2340" s="184" t="s">
        <v>17</v>
      </c>
      <c r="P2340" s="623" t="s">
        <v>3837</v>
      </c>
      <c r="Q2340" s="179" t="s">
        <v>2649</v>
      </c>
      <c r="R2340" s="624" t="s">
        <v>81</v>
      </c>
      <c r="S2340" s="31" t="s">
        <v>273</v>
      </c>
      <c r="T2340" s="31" t="s">
        <v>273</v>
      </c>
      <c r="U2340" s="31">
        <f>IFERROR(VLOOKUP(CONCATENATE(Tabla1[[#This Row],[Severidad]]," ",Tabla1[[#This Row],[Complejidad]]),Catalogos!E$120:G$128,3,FALSE),"")</f>
        <v>64</v>
      </c>
      <c r="V2340" s="31" t="str">
        <f>IF(Tabla1[[#This Row],[Tiempo solución max (hrs)]]&lt;&gt;"",IF(Tabla1[[#This Row],[Tiempo solución max (hrs)]]&gt;=Tabla1[[#This Row],[Tiempo
(Hrs 00/100)]],"cumple","no cumple"),"")</f>
        <v>cumple</v>
      </c>
      <c r="W2340" s="629" t="s">
        <v>3327</v>
      </c>
      <c r="X2340" s="377" t="str">
        <f t="shared" si="203"/>
        <v>SCI</v>
      </c>
      <c r="Y2340" t="str">
        <f>SUBSTITUTE(Tabla1[[#This Row],[Descripción]],CHAR(10),"    I    ")</f>
        <v>Se generan los casos de prueba en Testlink sobre el proyecto RFC Criterios de Interpretación SNT</v>
      </c>
      <c r="Z2340" s="142">
        <f>VLOOKUP(Tabla1[[#This Row],[Perfil]],Catalogos!$B$75:$D$100,3,FALSE)*Tabla1[[#This Row],[Tiempo
(Hrs 00/100)]]*1.16</f>
        <v>2320</v>
      </c>
    </row>
    <row r="2341" spans="1:27" ht="15" customHeight="1" x14ac:dyDescent="0.3">
      <c r="A2341" s="373" t="s">
        <v>2642</v>
      </c>
      <c r="B2341" s="373" t="s">
        <v>305</v>
      </c>
      <c r="C2341" s="373" t="s">
        <v>2643</v>
      </c>
      <c r="D2341" s="373"/>
      <c r="E2341" s="373" t="s">
        <v>3825</v>
      </c>
      <c r="F2341" s="184" t="s">
        <v>72</v>
      </c>
      <c r="G2341" s="622" t="s">
        <v>4105</v>
      </c>
      <c r="H2341" s="468" t="s">
        <v>3842</v>
      </c>
      <c r="I2341" s="468" t="s">
        <v>3843</v>
      </c>
      <c r="J2341" s="729">
        <v>45224</v>
      </c>
      <c r="K2341" s="773">
        <v>0.54166666666666663</v>
      </c>
      <c r="L2341" s="729">
        <v>45224</v>
      </c>
      <c r="M2341" s="773">
        <v>0.79166666666666663</v>
      </c>
      <c r="N2341" s="373">
        <v>4</v>
      </c>
      <c r="O2341" s="184" t="s">
        <v>17</v>
      </c>
      <c r="P2341" s="623" t="s">
        <v>3837</v>
      </c>
      <c r="Q2341" s="179" t="s">
        <v>2649</v>
      </c>
      <c r="R2341" s="624" t="s">
        <v>81</v>
      </c>
      <c r="S2341" s="31" t="s">
        <v>273</v>
      </c>
      <c r="T2341" s="31" t="s">
        <v>273</v>
      </c>
      <c r="U2341" s="31">
        <f>IFERROR(VLOOKUP(CONCATENATE(Tabla1[[#This Row],[Severidad]]," ",Tabla1[[#This Row],[Complejidad]]),Catalogos!E$120:G$128,3,FALSE),"")</f>
        <v>64</v>
      </c>
      <c r="V2341" s="31" t="str">
        <f>IF(Tabla1[[#This Row],[Tiempo solución max (hrs)]]&lt;&gt;"",IF(Tabla1[[#This Row],[Tiempo solución max (hrs)]]&gt;=Tabla1[[#This Row],[Tiempo
(Hrs 00/100)]],"cumple","no cumple"),"")</f>
        <v>cumple</v>
      </c>
      <c r="W2341" s="629" t="s">
        <v>3327</v>
      </c>
      <c r="X2341" s="377" t="str">
        <f t="shared" si="203"/>
        <v>SCI</v>
      </c>
      <c r="Y2341" t="str">
        <f>SUBSTITUTE(Tabla1[[#This Row],[Descripción]],CHAR(10),"    I    ")</f>
        <v>Se hace el análisis del video y documento obtenidos para el módulo de usuarios SNT</v>
      </c>
      <c r="Z2341" s="142">
        <f>VLOOKUP(Tabla1[[#This Row],[Perfil]],Catalogos!$B$75:$D$100,3,FALSE)*Tabla1[[#This Row],[Tiempo
(Hrs 00/100)]]*1.16</f>
        <v>2320</v>
      </c>
    </row>
    <row r="2342" spans="1:27" ht="15" customHeight="1" x14ac:dyDescent="0.3">
      <c r="A2342" s="373" t="s">
        <v>2642</v>
      </c>
      <c r="B2342" s="373" t="s">
        <v>305</v>
      </c>
      <c r="C2342" s="373" t="s">
        <v>2643</v>
      </c>
      <c r="D2342" s="373"/>
      <c r="E2342" s="373" t="s">
        <v>3825</v>
      </c>
      <c r="F2342" s="184" t="s">
        <v>23</v>
      </c>
      <c r="G2342" s="622" t="s">
        <v>4106</v>
      </c>
      <c r="H2342" s="468" t="s">
        <v>3844</v>
      </c>
      <c r="I2342" s="468" t="s">
        <v>3845</v>
      </c>
      <c r="J2342" s="729">
        <v>45225</v>
      </c>
      <c r="K2342" s="773">
        <v>0.375</v>
      </c>
      <c r="L2342" s="729">
        <v>45225</v>
      </c>
      <c r="M2342" s="773">
        <v>0.79166666666666663</v>
      </c>
      <c r="N2342" s="373">
        <v>8</v>
      </c>
      <c r="O2342" s="184" t="s">
        <v>17</v>
      </c>
      <c r="P2342" s="623" t="s">
        <v>3837</v>
      </c>
      <c r="Q2342" s="179" t="s">
        <v>2649</v>
      </c>
      <c r="R2342" s="624" t="s">
        <v>81</v>
      </c>
      <c r="S2342" s="31" t="s">
        <v>273</v>
      </c>
      <c r="T2342" s="31" t="s">
        <v>273</v>
      </c>
      <c r="U2342" s="31">
        <f>IFERROR(VLOOKUP(CONCATENATE(Tabla1[[#This Row],[Severidad]]," ",Tabla1[[#This Row],[Complejidad]]),Catalogos!E$120:G$128,3,FALSE),"")</f>
        <v>64</v>
      </c>
      <c r="V2342" s="31" t="str">
        <f>IF(Tabla1[[#This Row],[Tiempo solución max (hrs)]]&lt;&gt;"",IF(Tabla1[[#This Row],[Tiempo solución max (hrs)]]&gt;=Tabla1[[#This Row],[Tiempo
(Hrs 00/100)]],"cumple","no cumple"),"")</f>
        <v>cumple</v>
      </c>
      <c r="W2342" s="629" t="s">
        <v>3327</v>
      </c>
      <c r="X2342" s="377" t="str">
        <f t="shared" si="203"/>
        <v>SCI</v>
      </c>
      <c r="Y2342" t="str">
        <f>SUBSTITUTE(Tabla1[[#This Row],[Descripción]],CHAR(10),"    I    ")</f>
        <v>Se terminan de documentar los casos de prueba de RFC Criterios de Interpretación SNT</v>
      </c>
      <c r="Z2342" s="142">
        <f>VLOOKUP(Tabla1[[#This Row],[Perfil]],Catalogos!$B$75:$D$100,3,FALSE)*Tabla1[[#This Row],[Tiempo
(Hrs 00/100)]]*1.16</f>
        <v>4640</v>
      </c>
    </row>
    <row r="2343" spans="1:27" ht="15" customHeight="1" x14ac:dyDescent="0.3">
      <c r="A2343" s="373" t="s">
        <v>2642</v>
      </c>
      <c r="B2343" s="373" t="s">
        <v>63</v>
      </c>
      <c r="C2343" s="373" t="s">
        <v>2643</v>
      </c>
      <c r="D2343" s="373"/>
      <c r="E2343" s="373" t="s">
        <v>3825</v>
      </c>
      <c r="F2343" s="184" t="s">
        <v>74</v>
      </c>
      <c r="G2343" s="622" t="s">
        <v>4107</v>
      </c>
      <c r="H2343" s="468" t="s">
        <v>3846</v>
      </c>
      <c r="I2343" s="468" t="s">
        <v>3847</v>
      </c>
      <c r="J2343" s="729">
        <v>45226</v>
      </c>
      <c r="K2343" s="773">
        <v>0.375</v>
      </c>
      <c r="L2343" s="729">
        <v>45226</v>
      </c>
      <c r="M2343" s="773">
        <v>0.79166666666666663</v>
      </c>
      <c r="N2343" s="373">
        <v>8</v>
      </c>
      <c r="O2343" s="184" t="s">
        <v>17</v>
      </c>
      <c r="P2343" s="623" t="s">
        <v>3837</v>
      </c>
      <c r="Q2343" s="179" t="s">
        <v>2649</v>
      </c>
      <c r="R2343" s="624" t="s">
        <v>81</v>
      </c>
      <c r="S2343" s="31" t="s">
        <v>273</v>
      </c>
      <c r="T2343" s="31" t="s">
        <v>273</v>
      </c>
      <c r="U2343" s="31">
        <f>IFERROR(VLOOKUP(CONCATENATE(Tabla1[[#This Row],[Severidad]]," ",Tabla1[[#This Row],[Complejidad]]),Catalogos!E$120:G$128,3,FALSE),"")</f>
        <v>64</v>
      </c>
      <c r="V2343" s="31" t="str">
        <f>IF(Tabla1[[#This Row],[Tiempo solución max (hrs)]]&lt;&gt;"",IF(Tabla1[[#This Row],[Tiempo solución max (hrs)]]&gt;=Tabla1[[#This Row],[Tiempo
(Hrs 00/100)]],"cumple","no cumple"),"")</f>
        <v>cumple</v>
      </c>
      <c r="W2343" s="629" t="s">
        <v>3327</v>
      </c>
      <c r="X2343" s="377" t="str">
        <f t="shared" si="203"/>
        <v>SCI</v>
      </c>
      <c r="Y2343" t="str">
        <f>SUBSTITUTE(Tabla1[[#This Row],[Descripción]],CHAR(10),"    I    ")</f>
        <v>Se da de alta una nueva carpeta en testlink para la documentación de casos de prueba del módulo de usuarios sobre el proyecto SNT</v>
      </c>
      <c r="Z2343" s="142">
        <f>VLOOKUP(Tabla1[[#This Row],[Perfil]],Catalogos!$B$75:$D$100,3,FALSE)*Tabla1[[#This Row],[Tiempo
(Hrs 00/100)]]*1.16</f>
        <v>4640</v>
      </c>
    </row>
    <row r="2344" spans="1:27" ht="15" customHeight="1" x14ac:dyDescent="0.3">
      <c r="A2344" s="373" t="s">
        <v>2642</v>
      </c>
      <c r="B2344" s="373" t="s">
        <v>305</v>
      </c>
      <c r="C2344" s="373" t="s">
        <v>2643</v>
      </c>
      <c r="D2344" s="373"/>
      <c r="E2344" s="373" t="s">
        <v>3825</v>
      </c>
      <c r="F2344" s="184" t="s">
        <v>72</v>
      </c>
      <c r="G2344" s="622" t="s">
        <v>4108</v>
      </c>
      <c r="H2344" s="468" t="s">
        <v>3848</v>
      </c>
      <c r="I2344" s="468" t="s">
        <v>3849</v>
      </c>
      <c r="J2344" s="729">
        <v>45226</v>
      </c>
      <c r="K2344" s="773">
        <v>0.375</v>
      </c>
      <c r="L2344" s="729">
        <v>45226</v>
      </c>
      <c r="M2344" s="773">
        <v>0.625</v>
      </c>
      <c r="N2344" s="373">
        <v>6</v>
      </c>
      <c r="O2344" s="184" t="s">
        <v>17</v>
      </c>
      <c r="P2344" s="623" t="s">
        <v>3837</v>
      </c>
      <c r="Q2344" s="179" t="s">
        <v>2649</v>
      </c>
      <c r="R2344" s="624" t="s">
        <v>81</v>
      </c>
      <c r="S2344" s="31" t="s">
        <v>273</v>
      </c>
      <c r="T2344" s="31" t="s">
        <v>273</v>
      </c>
      <c r="U2344" s="31">
        <f>IFERROR(VLOOKUP(CONCATENATE(Tabla1[[#This Row],[Severidad]]," ",Tabla1[[#This Row],[Complejidad]]),Catalogos!E$120:G$128,3,FALSE),"")</f>
        <v>64</v>
      </c>
      <c r="V2344" s="31" t="str">
        <f>IF(Tabla1[[#This Row],[Tiempo solución max (hrs)]]&lt;&gt;"",IF(Tabla1[[#This Row],[Tiempo solución max (hrs)]]&gt;=Tabla1[[#This Row],[Tiempo
(Hrs 00/100)]],"cumple","no cumple"),"")</f>
        <v>cumple</v>
      </c>
      <c r="W2344" s="629" t="s">
        <v>3327</v>
      </c>
      <c r="X2344" s="377" t="str">
        <f t="shared" si="203"/>
        <v>SCI</v>
      </c>
      <c r="Y2344" t="str">
        <f>SUBSTITUTE(Tabla1[[#This Row],[Descripción]],CHAR(10),"    I    ")</f>
        <v>Se da seguimiento y a su vez se van documentando los casos de prueba del modulo de usuarios sobre el proyecto Criterios de Interpretación SNT</v>
      </c>
      <c r="Z2344" s="142">
        <f>VLOOKUP(Tabla1[[#This Row],[Perfil]],Catalogos!$B$75:$D$100,3,FALSE)*Tabla1[[#This Row],[Tiempo
(Hrs 00/100)]]*1.16</f>
        <v>3479.9999999999995</v>
      </c>
    </row>
    <row r="2345" spans="1:27" ht="15" customHeight="1" x14ac:dyDescent="0.3">
      <c r="A2345" s="373" t="s">
        <v>2642</v>
      </c>
      <c r="B2345" s="373" t="s">
        <v>305</v>
      </c>
      <c r="C2345" s="373" t="s">
        <v>2643</v>
      </c>
      <c r="D2345" s="373"/>
      <c r="E2345" s="373" t="s">
        <v>3825</v>
      </c>
      <c r="F2345" s="184" t="s">
        <v>23</v>
      </c>
      <c r="G2345" s="622" t="s">
        <v>4109</v>
      </c>
      <c r="H2345" s="468" t="s">
        <v>3850</v>
      </c>
      <c r="I2345" s="468" t="s">
        <v>3851</v>
      </c>
      <c r="J2345" s="729">
        <v>45229</v>
      </c>
      <c r="K2345" s="773">
        <v>0.375</v>
      </c>
      <c r="L2345" s="729">
        <v>45229</v>
      </c>
      <c r="M2345" s="773">
        <v>0.79166666666666663</v>
      </c>
      <c r="N2345" s="373">
        <v>4</v>
      </c>
      <c r="O2345" s="184" t="s">
        <v>17</v>
      </c>
      <c r="P2345" s="623" t="s">
        <v>3852</v>
      </c>
      <c r="Q2345" s="179" t="s">
        <v>2649</v>
      </c>
      <c r="R2345" s="624" t="s">
        <v>81</v>
      </c>
      <c r="S2345" s="31" t="s">
        <v>273</v>
      </c>
      <c r="T2345" s="31" t="s">
        <v>273</v>
      </c>
      <c r="U2345" s="31">
        <f>IFERROR(VLOOKUP(CONCATENATE(Tabla1[[#This Row],[Severidad]]," ",Tabla1[[#This Row],[Complejidad]]),Catalogos!E$120:G$128,3,FALSE),"")</f>
        <v>64</v>
      </c>
      <c r="V2345" s="31" t="str">
        <f>IF(Tabla1[[#This Row],[Tiempo solución max (hrs)]]&lt;&gt;"",IF(Tabla1[[#This Row],[Tiempo solución max (hrs)]]&gt;=Tabla1[[#This Row],[Tiempo
(Hrs 00/100)]],"cumple","no cumple"),"")</f>
        <v>cumple</v>
      </c>
      <c r="W2345" s="629" t="s">
        <v>3327</v>
      </c>
      <c r="X2345" s="377" t="str">
        <f t="shared" si="203"/>
        <v>SCI</v>
      </c>
      <c r="Y2345" t="str">
        <f>SUBSTITUTE(Tabla1[[#This Row],[Descripción]],CHAR(10),"    I    ")</f>
        <v>Se generan los casos de prueba mediante la documentación del módulo de usuarios</v>
      </c>
      <c r="Z2345" s="142">
        <f>VLOOKUP(Tabla1[[#This Row],[Perfil]],Catalogos!$B$75:$D$100,3,FALSE)*Tabla1[[#This Row],[Tiempo
(Hrs 00/100)]]*1.16</f>
        <v>2320</v>
      </c>
    </row>
    <row r="2346" spans="1:27" ht="15" customHeight="1" x14ac:dyDescent="0.3">
      <c r="A2346" s="373" t="s">
        <v>2642</v>
      </c>
      <c r="B2346" s="373" t="s">
        <v>305</v>
      </c>
      <c r="C2346" s="373" t="s">
        <v>2643</v>
      </c>
      <c r="D2346" s="373"/>
      <c r="E2346" s="373" t="s">
        <v>3825</v>
      </c>
      <c r="F2346" s="184" t="s">
        <v>23</v>
      </c>
      <c r="G2346" s="622" t="s">
        <v>4110</v>
      </c>
      <c r="H2346" s="468" t="s">
        <v>3850</v>
      </c>
      <c r="I2346" s="468" t="s">
        <v>3851</v>
      </c>
      <c r="J2346" s="729">
        <v>45230</v>
      </c>
      <c r="K2346" s="773">
        <v>0.375</v>
      </c>
      <c r="L2346" s="729">
        <v>45230</v>
      </c>
      <c r="M2346" s="773">
        <v>0.79166666666666663</v>
      </c>
      <c r="N2346" s="373">
        <v>8</v>
      </c>
      <c r="O2346" s="184" t="s">
        <v>17</v>
      </c>
      <c r="P2346" s="623" t="s">
        <v>3852</v>
      </c>
      <c r="Q2346" s="179" t="s">
        <v>2649</v>
      </c>
      <c r="R2346" s="624" t="s">
        <v>81</v>
      </c>
      <c r="S2346" s="31" t="s">
        <v>273</v>
      </c>
      <c r="T2346" s="31" t="s">
        <v>273</v>
      </c>
      <c r="U2346" s="31">
        <f>IFERROR(VLOOKUP(CONCATENATE(Tabla1[[#This Row],[Severidad]]," ",Tabla1[[#This Row],[Complejidad]]),Catalogos!E$120:G$128,3,FALSE),"")</f>
        <v>64</v>
      </c>
      <c r="V2346" s="31" t="str">
        <f>IF(Tabla1[[#This Row],[Tiempo solución max (hrs)]]&lt;&gt;"",IF(Tabla1[[#This Row],[Tiempo solución max (hrs)]]&gt;=Tabla1[[#This Row],[Tiempo
(Hrs 00/100)]],"cumple","no cumple"),"")</f>
        <v>cumple</v>
      </c>
      <c r="W2346" s="629" t="s">
        <v>3327</v>
      </c>
      <c r="X2346" s="377" t="str">
        <f t="shared" si="203"/>
        <v>SCI</v>
      </c>
      <c r="Y2346" t="str">
        <f>SUBSTITUTE(Tabla1[[#This Row],[Descripción]],CHAR(10),"    I    ")</f>
        <v>Se generan los casos de prueba mediante la documentación del módulo de usuarios</v>
      </c>
      <c r="Z2346" s="142">
        <f>VLOOKUP(Tabla1[[#This Row],[Perfil]],Catalogos!$B$75:$D$100,3,FALSE)*Tabla1[[#This Row],[Tiempo
(Hrs 00/100)]]*1.16</f>
        <v>4640</v>
      </c>
    </row>
    <row r="2347" spans="1:27" ht="15" customHeight="1" x14ac:dyDescent="0.3">
      <c r="A2347" s="647" t="s">
        <v>22</v>
      </c>
      <c r="B2347" s="647" t="s">
        <v>173</v>
      </c>
      <c r="C2347" s="647" t="s">
        <v>16</v>
      </c>
      <c r="D2347" s="647"/>
      <c r="E2347" s="647" t="s">
        <v>3699</v>
      </c>
      <c r="F2347" s="647" t="s">
        <v>72</v>
      </c>
      <c r="G2347" s="647" t="s">
        <v>5485</v>
      </c>
      <c r="H2347" s="648" t="s">
        <v>4111</v>
      </c>
      <c r="I2347" s="649" t="s">
        <v>4112</v>
      </c>
      <c r="J2347" s="673">
        <v>45208</v>
      </c>
      <c r="K2347" s="703">
        <v>0.37847222222222227</v>
      </c>
      <c r="L2347" s="673">
        <v>45208</v>
      </c>
      <c r="M2347" s="663">
        <v>0.79513888888888884</v>
      </c>
      <c r="N2347" s="650">
        <v>8</v>
      </c>
      <c r="O2347" s="651" t="s">
        <v>17</v>
      </c>
      <c r="P2347" s="652" t="s">
        <v>3700</v>
      </c>
      <c r="Q2347" s="144" t="s">
        <v>5374</v>
      </c>
      <c r="R2347" s="654" t="s">
        <v>37</v>
      </c>
      <c r="S2347" s="31" t="s">
        <v>273</v>
      </c>
      <c r="T2347" s="31" t="s">
        <v>273</v>
      </c>
      <c r="U2347" s="31">
        <f>IFERROR(VLOOKUP(CONCATENATE(Tabla1[[#This Row],[Severidad]]," ",Tabla1[[#This Row],[Complejidad]]),Catalogos!E$120:G$128,3,FALSE),"")</f>
        <v>64</v>
      </c>
      <c r="V2347" s="31" t="str">
        <f>IF(Tabla1[[#This Row],[Tiempo solución max (hrs)]]&lt;&gt;"",IF(Tabla1[[#This Row],[Tiempo solución max (hrs)]]&gt;=Tabla1[[#This Row],[Tiempo
(Hrs 00/100)]],"cumple","no cumple"),"")</f>
        <v>cumple</v>
      </c>
      <c r="W2347" s="629" t="s">
        <v>3327</v>
      </c>
      <c r="X2347" s="377" t="str">
        <f t="shared" si="203"/>
        <v>SAW</v>
      </c>
      <c r="Y2347" t="str">
        <f>SUBSTITUTE(Tabla1[[#This Row],[Descripción]],CHAR(10),"    I    ")</f>
        <v>Se reviso el documento del RFC con la solicitud del requerimiento para el Micrositio del INAI</v>
      </c>
      <c r="Z2347" s="142">
        <f>VLOOKUP(Tabla1[[#This Row],[Perfil]],Catalogos!$B$75:$D$100,3,FALSE)*Tabla1[[#This Row],[Tiempo
(Hrs 00/100)]]*1.16</f>
        <v>4176</v>
      </c>
      <c r="AA2347" t="s">
        <v>3356</v>
      </c>
    </row>
    <row r="2348" spans="1:27" ht="15" customHeight="1" x14ac:dyDescent="0.3">
      <c r="A2348" s="647" t="s">
        <v>22</v>
      </c>
      <c r="B2348" s="647" t="s">
        <v>173</v>
      </c>
      <c r="C2348" s="647" t="s">
        <v>16</v>
      </c>
      <c r="D2348" s="647"/>
      <c r="E2348" s="647" t="s">
        <v>3699</v>
      </c>
      <c r="F2348" s="647" t="s">
        <v>23</v>
      </c>
      <c r="G2348" s="647" t="s">
        <v>5486</v>
      </c>
      <c r="H2348" s="648" t="s">
        <v>4113</v>
      </c>
      <c r="I2348" s="649" t="s">
        <v>4114</v>
      </c>
      <c r="J2348" s="673">
        <v>45209</v>
      </c>
      <c r="K2348" s="663">
        <v>0.375</v>
      </c>
      <c r="L2348" s="673">
        <v>45209</v>
      </c>
      <c r="M2348" s="663">
        <v>0.79166666666666663</v>
      </c>
      <c r="N2348" s="650">
        <v>8</v>
      </c>
      <c r="O2348" s="651" t="s">
        <v>17</v>
      </c>
      <c r="P2348" s="652" t="s">
        <v>3700</v>
      </c>
      <c r="Q2348" s="144" t="s">
        <v>5374</v>
      </c>
      <c r="R2348" s="654" t="s">
        <v>37</v>
      </c>
      <c r="S2348" s="31" t="s">
        <v>273</v>
      </c>
      <c r="T2348" s="31" t="s">
        <v>273</v>
      </c>
      <c r="U2348" s="31">
        <f>IFERROR(VLOOKUP(CONCATENATE(Tabla1[[#This Row],[Severidad]]," ",Tabla1[[#This Row],[Complejidad]]),Catalogos!E$120:G$128,3,FALSE),"")</f>
        <v>64</v>
      </c>
      <c r="V2348" s="31" t="str">
        <f>IF(Tabla1[[#This Row],[Tiempo solución max (hrs)]]&lt;&gt;"",IF(Tabla1[[#This Row],[Tiempo solución max (hrs)]]&gt;=Tabla1[[#This Row],[Tiempo
(Hrs 00/100)]],"cumple","no cumple"),"")</f>
        <v>cumple</v>
      </c>
      <c r="W2348" s="629" t="s">
        <v>3327</v>
      </c>
      <c r="X2348" s="377" t="str">
        <f t="shared" si="203"/>
        <v>SAW</v>
      </c>
      <c r="Y2348" t="str">
        <f>SUBSTITUTE(Tabla1[[#This Row],[Descripción]],CHAR(10),"    I    ")</f>
        <v>Explicación  de tecnologías a utilizar en el desarrollo del proyecto</v>
      </c>
      <c r="Z2348" s="142">
        <f>VLOOKUP(Tabla1[[#This Row],[Perfil]],Catalogos!$B$75:$D$100,3,FALSE)*Tabla1[[#This Row],[Tiempo
(Hrs 00/100)]]*1.16</f>
        <v>4176</v>
      </c>
      <c r="AA2348" t="s">
        <v>3356</v>
      </c>
    </row>
    <row r="2349" spans="1:27" ht="15" customHeight="1" x14ac:dyDescent="0.3">
      <c r="A2349" s="647" t="s">
        <v>22</v>
      </c>
      <c r="B2349" s="647" t="s">
        <v>173</v>
      </c>
      <c r="C2349" s="647" t="s">
        <v>16</v>
      </c>
      <c r="D2349" s="647"/>
      <c r="E2349" s="647" t="s">
        <v>3699</v>
      </c>
      <c r="F2349" s="647" t="s">
        <v>23</v>
      </c>
      <c r="G2349" s="647" t="s">
        <v>5487</v>
      </c>
      <c r="H2349" s="648" t="s">
        <v>4115</v>
      </c>
      <c r="I2349" s="649" t="s">
        <v>4116</v>
      </c>
      <c r="J2349" s="673">
        <v>45210</v>
      </c>
      <c r="K2349" s="663">
        <v>0.375</v>
      </c>
      <c r="L2349" s="673">
        <v>45210</v>
      </c>
      <c r="M2349" s="663">
        <v>0.79166666666666663</v>
      </c>
      <c r="N2349" s="650">
        <v>8</v>
      </c>
      <c r="O2349" s="651" t="s">
        <v>411</v>
      </c>
      <c r="P2349" s="652" t="s">
        <v>3701</v>
      </c>
      <c r="Q2349" s="144" t="s">
        <v>5374</v>
      </c>
      <c r="R2349" s="654" t="s">
        <v>37</v>
      </c>
      <c r="S2349" s="31" t="s">
        <v>273</v>
      </c>
      <c r="T2349" s="31" t="s">
        <v>273</v>
      </c>
      <c r="U2349" s="31">
        <f>IFERROR(VLOOKUP(CONCATENATE(Tabla1[[#This Row],[Severidad]]," ",Tabla1[[#This Row],[Complejidad]]),Catalogos!E$120:G$128,3,FALSE),"")</f>
        <v>64</v>
      </c>
      <c r="V2349" s="31" t="str">
        <f>IF(Tabla1[[#This Row],[Tiempo solución max (hrs)]]&lt;&gt;"",IF(Tabla1[[#This Row],[Tiempo solución max (hrs)]]&gt;=Tabla1[[#This Row],[Tiempo
(Hrs 00/100)]],"cumple","no cumple"),"")</f>
        <v>cumple</v>
      </c>
      <c r="W2349" s="629" t="s">
        <v>3327</v>
      </c>
      <c r="X2349" s="377" t="str">
        <f t="shared" si="203"/>
        <v>SAW</v>
      </c>
      <c r="Y2349" t="str">
        <f>SUBSTITUTE(Tabla1[[#This Row],[Descripción]],CHAR(10),"    I    ")</f>
        <v>Revisión de los catálogos para estructurar la base de datos</v>
      </c>
      <c r="Z2349" s="142">
        <f>VLOOKUP(Tabla1[[#This Row],[Perfil]],Catalogos!$B$75:$D$100,3,FALSE)*Tabla1[[#This Row],[Tiempo
(Hrs 00/100)]]*1.16</f>
        <v>4176</v>
      </c>
      <c r="AA2349" t="s">
        <v>3356</v>
      </c>
    </row>
    <row r="2350" spans="1:27" ht="15" customHeight="1" x14ac:dyDescent="0.3">
      <c r="A2350" s="647" t="s">
        <v>22</v>
      </c>
      <c r="B2350" s="647" t="s">
        <v>173</v>
      </c>
      <c r="C2350" s="647" t="s">
        <v>16</v>
      </c>
      <c r="D2350" s="647"/>
      <c r="E2350" s="647" t="s">
        <v>3699</v>
      </c>
      <c r="F2350" s="647" t="s">
        <v>23</v>
      </c>
      <c r="G2350" s="647" t="s">
        <v>5487</v>
      </c>
      <c r="H2350" s="648" t="s">
        <v>4115</v>
      </c>
      <c r="I2350" s="649" t="s">
        <v>4116</v>
      </c>
      <c r="J2350" s="673">
        <v>45211</v>
      </c>
      <c r="K2350" s="663">
        <v>0.375</v>
      </c>
      <c r="L2350" s="673">
        <v>45211</v>
      </c>
      <c r="M2350" s="663">
        <v>0.54166666666666663</v>
      </c>
      <c r="N2350" s="650">
        <v>4</v>
      </c>
      <c r="O2350" s="651" t="s">
        <v>17</v>
      </c>
      <c r="P2350" s="652" t="s">
        <v>3701</v>
      </c>
      <c r="Q2350" s="144" t="s">
        <v>5374</v>
      </c>
      <c r="R2350" s="654" t="s">
        <v>37</v>
      </c>
      <c r="S2350" s="31" t="s">
        <v>273</v>
      </c>
      <c r="T2350" s="31" t="s">
        <v>273</v>
      </c>
      <c r="U2350" s="31">
        <f>IFERROR(VLOOKUP(CONCATENATE(Tabla1[[#This Row],[Severidad]]," ",Tabla1[[#This Row],[Complejidad]]),Catalogos!E$120:G$128,3,FALSE),"")</f>
        <v>64</v>
      </c>
      <c r="V2350" s="31" t="str">
        <f>IF(Tabla1[[#This Row],[Tiempo solución max (hrs)]]&lt;&gt;"",IF(Tabla1[[#This Row],[Tiempo solución max (hrs)]]&gt;=Tabla1[[#This Row],[Tiempo
(Hrs 00/100)]],"cumple","no cumple"),"")</f>
        <v>cumple</v>
      </c>
      <c r="W2350" s="629" t="s">
        <v>3327</v>
      </c>
      <c r="X2350" s="377" t="str">
        <f t="shared" si="203"/>
        <v>SAW</v>
      </c>
      <c r="Y2350" t="str">
        <f>SUBSTITUTE(Tabla1[[#This Row],[Descripción]],CHAR(10),"    I    ")</f>
        <v>Revisión de los catálogos para estructurar la base de datos</v>
      </c>
      <c r="Z2350" s="142">
        <f>VLOOKUP(Tabla1[[#This Row],[Perfil]],Catalogos!$B$75:$D$100,3,FALSE)*Tabla1[[#This Row],[Tiempo
(Hrs 00/100)]]*1.16</f>
        <v>2088</v>
      </c>
      <c r="AA2350" t="s">
        <v>3356</v>
      </c>
    </row>
    <row r="2351" spans="1:27" ht="15" customHeight="1" x14ac:dyDescent="0.3">
      <c r="A2351" s="647" t="s">
        <v>22</v>
      </c>
      <c r="B2351" s="647" t="s">
        <v>173</v>
      </c>
      <c r="C2351" s="647" t="s">
        <v>16</v>
      </c>
      <c r="D2351" s="647"/>
      <c r="E2351" s="647" t="s">
        <v>3699</v>
      </c>
      <c r="F2351" s="647" t="s">
        <v>23</v>
      </c>
      <c r="G2351" s="647" t="s">
        <v>5488</v>
      </c>
      <c r="H2351" s="648" t="s">
        <v>4117</v>
      </c>
      <c r="I2351" s="649" t="s">
        <v>4118</v>
      </c>
      <c r="J2351" s="673">
        <v>45211</v>
      </c>
      <c r="K2351" s="663">
        <v>0.54166666666666663</v>
      </c>
      <c r="L2351" s="673">
        <v>45211</v>
      </c>
      <c r="M2351" s="663">
        <v>0.79722222222222217</v>
      </c>
      <c r="N2351" s="650">
        <v>4</v>
      </c>
      <c r="O2351" s="651" t="s">
        <v>411</v>
      </c>
      <c r="P2351" s="652" t="s">
        <v>3702</v>
      </c>
      <c r="Q2351" s="144" t="s">
        <v>5374</v>
      </c>
      <c r="R2351" s="654" t="s">
        <v>37</v>
      </c>
      <c r="S2351" s="31" t="s">
        <v>273</v>
      </c>
      <c r="T2351" s="31" t="s">
        <v>273</v>
      </c>
      <c r="U2351" s="31">
        <f>IFERROR(VLOOKUP(CONCATENATE(Tabla1[[#This Row],[Severidad]]," ",Tabla1[[#This Row],[Complejidad]]),Catalogos!E$120:G$128,3,FALSE),"")</f>
        <v>64</v>
      </c>
      <c r="V2351" s="31" t="str">
        <f>IF(Tabla1[[#This Row],[Tiempo solución max (hrs)]]&lt;&gt;"",IF(Tabla1[[#This Row],[Tiempo solución max (hrs)]]&gt;=Tabla1[[#This Row],[Tiempo
(Hrs 00/100)]],"cumple","no cumple"),"")</f>
        <v>cumple</v>
      </c>
      <c r="W2351" s="629" t="s">
        <v>3327</v>
      </c>
      <c r="X2351" s="377" t="str">
        <f t="shared" si="203"/>
        <v>SAW</v>
      </c>
      <c r="Y2351" t="str">
        <f>SUBSTITUTE(Tabla1[[#This Row],[Descripción]],CHAR(10),"    I    ")</f>
        <v>Desarrollo de los  scripts para la base de datos</v>
      </c>
      <c r="Z2351" s="142">
        <f>VLOOKUP(Tabla1[[#This Row],[Perfil]],Catalogos!$B$75:$D$100,3,FALSE)*Tabla1[[#This Row],[Tiempo
(Hrs 00/100)]]*1.16</f>
        <v>2088</v>
      </c>
      <c r="AA2351" t="s">
        <v>3356</v>
      </c>
    </row>
    <row r="2352" spans="1:27" ht="15" customHeight="1" x14ac:dyDescent="0.3">
      <c r="A2352" s="647" t="s">
        <v>22</v>
      </c>
      <c r="B2352" s="647" t="s">
        <v>173</v>
      </c>
      <c r="C2352" s="647" t="s">
        <v>16</v>
      </c>
      <c r="D2352" s="647"/>
      <c r="E2352" s="647" t="s">
        <v>3699</v>
      </c>
      <c r="F2352" s="647" t="s">
        <v>23</v>
      </c>
      <c r="G2352" s="647" t="s">
        <v>5488</v>
      </c>
      <c r="H2352" s="648" t="s">
        <v>4117</v>
      </c>
      <c r="I2352" s="649" t="s">
        <v>4118</v>
      </c>
      <c r="J2352" s="673">
        <v>45212</v>
      </c>
      <c r="K2352" s="663">
        <v>0.375</v>
      </c>
      <c r="L2352" s="673">
        <v>45212</v>
      </c>
      <c r="M2352" s="663">
        <v>0.54166666666666663</v>
      </c>
      <c r="N2352" s="650">
        <v>4</v>
      </c>
      <c r="O2352" s="651" t="s">
        <v>17</v>
      </c>
      <c r="P2352" s="652" t="s">
        <v>3702</v>
      </c>
      <c r="Q2352" s="144" t="s">
        <v>5374</v>
      </c>
      <c r="R2352" s="654" t="s">
        <v>37</v>
      </c>
      <c r="S2352" s="31" t="s">
        <v>273</v>
      </c>
      <c r="T2352" s="31" t="s">
        <v>273</v>
      </c>
      <c r="U2352" s="31">
        <f>IFERROR(VLOOKUP(CONCATENATE(Tabla1[[#This Row],[Severidad]]," ",Tabla1[[#This Row],[Complejidad]]),Catalogos!E$120:G$128,3,FALSE),"")</f>
        <v>64</v>
      </c>
      <c r="V2352" s="31" t="str">
        <f>IF(Tabla1[[#This Row],[Tiempo solución max (hrs)]]&lt;&gt;"",IF(Tabla1[[#This Row],[Tiempo solución max (hrs)]]&gt;=Tabla1[[#This Row],[Tiempo
(Hrs 00/100)]],"cumple","no cumple"),"")</f>
        <v>cumple</v>
      </c>
      <c r="W2352" s="629" t="s">
        <v>3327</v>
      </c>
      <c r="X2352" s="377" t="str">
        <f t="shared" si="203"/>
        <v>SAW</v>
      </c>
      <c r="Y2352" t="str">
        <f>SUBSTITUTE(Tabla1[[#This Row],[Descripción]],CHAR(10),"    I    ")</f>
        <v>Desarrollo de los  scripts para la base de datos</v>
      </c>
      <c r="Z2352" s="142">
        <f>VLOOKUP(Tabla1[[#This Row],[Perfil]],Catalogos!$B$75:$D$100,3,FALSE)*Tabla1[[#This Row],[Tiempo
(Hrs 00/100)]]*1.16</f>
        <v>2088</v>
      </c>
      <c r="AA2352" t="s">
        <v>3356</v>
      </c>
    </row>
    <row r="2353" spans="1:27" ht="15" customHeight="1" x14ac:dyDescent="0.3">
      <c r="A2353" s="647" t="s">
        <v>22</v>
      </c>
      <c r="B2353" s="647" t="s">
        <v>173</v>
      </c>
      <c r="C2353" s="647" t="s">
        <v>16</v>
      </c>
      <c r="D2353" s="647"/>
      <c r="E2353" s="647" t="s">
        <v>3699</v>
      </c>
      <c r="F2353" s="647" t="s">
        <v>23</v>
      </c>
      <c r="G2353" s="647" t="s">
        <v>5489</v>
      </c>
      <c r="H2353" s="648" t="s">
        <v>4119</v>
      </c>
      <c r="I2353" s="649" t="s">
        <v>4120</v>
      </c>
      <c r="J2353" s="673">
        <v>45212</v>
      </c>
      <c r="K2353" s="663">
        <v>0.54166666666666663</v>
      </c>
      <c r="L2353" s="673">
        <v>45212</v>
      </c>
      <c r="M2353" s="663">
        <v>0.79166666666666663</v>
      </c>
      <c r="N2353" s="650">
        <v>4</v>
      </c>
      <c r="O2353" s="651" t="s">
        <v>17</v>
      </c>
      <c r="P2353" s="652" t="s">
        <v>3703</v>
      </c>
      <c r="Q2353" s="144" t="s">
        <v>5374</v>
      </c>
      <c r="R2353" s="654" t="s">
        <v>37</v>
      </c>
      <c r="S2353" s="31" t="s">
        <v>273</v>
      </c>
      <c r="T2353" s="31" t="s">
        <v>273</v>
      </c>
      <c r="U2353" s="31">
        <f>IFERROR(VLOOKUP(CONCATENATE(Tabla1[[#This Row],[Severidad]]," ",Tabla1[[#This Row],[Complejidad]]),Catalogos!E$120:G$128,3,FALSE),"")</f>
        <v>64</v>
      </c>
      <c r="V2353" s="31" t="str">
        <f>IF(Tabla1[[#This Row],[Tiempo solución max (hrs)]]&lt;&gt;"",IF(Tabla1[[#This Row],[Tiempo solución max (hrs)]]&gt;=Tabla1[[#This Row],[Tiempo
(Hrs 00/100)]],"cumple","no cumple"),"")</f>
        <v>cumple</v>
      </c>
      <c r="W2353" s="629" t="s">
        <v>3327</v>
      </c>
      <c r="X2353" s="377" t="str">
        <f t="shared" si="203"/>
        <v>SAW</v>
      </c>
      <c r="Y2353" t="str">
        <f>SUBSTITUTE(Tabla1[[#This Row],[Descripción]],CHAR(10),"    I    ")</f>
        <v>Desarrollo del backend en Laravel</v>
      </c>
      <c r="Z2353" s="142">
        <f>VLOOKUP(Tabla1[[#This Row],[Perfil]],Catalogos!$B$75:$D$100,3,FALSE)*Tabla1[[#This Row],[Tiempo
(Hrs 00/100)]]*1.16</f>
        <v>2088</v>
      </c>
      <c r="AA2353" t="s">
        <v>3356</v>
      </c>
    </row>
    <row r="2354" spans="1:27" ht="15" customHeight="1" x14ac:dyDescent="0.3">
      <c r="A2354" s="647" t="s">
        <v>22</v>
      </c>
      <c r="B2354" s="647" t="s">
        <v>173</v>
      </c>
      <c r="C2354" s="647" t="s">
        <v>16</v>
      </c>
      <c r="D2354" s="647"/>
      <c r="E2354" s="647" t="s">
        <v>3699</v>
      </c>
      <c r="F2354" s="647" t="s">
        <v>23</v>
      </c>
      <c r="G2354" s="647" t="s">
        <v>5490</v>
      </c>
      <c r="H2354" s="648" t="s">
        <v>4121</v>
      </c>
      <c r="I2354" s="649" t="s">
        <v>4122</v>
      </c>
      <c r="J2354" s="673">
        <v>45215</v>
      </c>
      <c r="K2354" s="663">
        <v>0.375</v>
      </c>
      <c r="L2354" s="673">
        <v>45215</v>
      </c>
      <c r="M2354" s="663">
        <v>0.54166666666666663</v>
      </c>
      <c r="N2354" s="650">
        <v>4</v>
      </c>
      <c r="O2354" s="651" t="s">
        <v>411</v>
      </c>
      <c r="P2354" s="652" t="s">
        <v>3704</v>
      </c>
      <c r="Q2354" s="144" t="s">
        <v>5374</v>
      </c>
      <c r="R2354" s="654" t="s">
        <v>37</v>
      </c>
      <c r="S2354" s="31" t="s">
        <v>273</v>
      </c>
      <c r="T2354" s="31" t="s">
        <v>273</v>
      </c>
      <c r="U2354" s="31">
        <f>IFERROR(VLOOKUP(CONCATENATE(Tabla1[[#This Row],[Severidad]]," ",Tabla1[[#This Row],[Complejidad]]),Catalogos!E$120:G$128,3,FALSE),"")</f>
        <v>64</v>
      </c>
      <c r="V2354" s="31" t="str">
        <f>IF(Tabla1[[#This Row],[Tiempo solución max (hrs)]]&lt;&gt;"",IF(Tabla1[[#This Row],[Tiempo solución max (hrs)]]&gt;=Tabla1[[#This Row],[Tiempo
(Hrs 00/100)]],"cumple","no cumple"),"")</f>
        <v>cumple</v>
      </c>
      <c r="W2354" s="629" t="s">
        <v>3327</v>
      </c>
      <c r="X2354" s="377" t="str">
        <f t="shared" si="203"/>
        <v>SAW</v>
      </c>
      <c r="Y2354" t="str">
        <f>SUBSTITUTE(Tabla1[[#This Row],[Descripción]],CHAR(10),"    I    ")</f>
        <v>Desarrollo del primer modulo de Tipos de expediente</v>
      </c>
      <c r="Z2354" s="142">
        <f>VLOOKUP(Tabla1[[#This Row],[Perfil]],Catalogos!$B$75:$D$100,3,FALSE)*Tabla1[[#This Row],[Tiempo
(Hrs 00/100)]]*1.16</f>
        <v>2088</v>
      </c>
      <c r="AA2354" t="s">
        <v>3356</v>
      </c>
    </row>
    <row r="2355" spans="1:27" ht="15" customHeight="1" x14ac:dyDescent="0.3">
      <c r="A2355" s="647" t="s">
        <v>22</v>
      </c>
      <c r="B2355" s="647" t="s">
        <v>173</v>
      </c>
      <c r="C2355" s="647" t="s">
        <v>16</v>
      </c>
      <c r="D2355" s="647"/>
      <c r="E2355" s="647" t="s">
        <v>3699</v>
      </c>
      <c r="F2355" s="647" t="s">
        <v>23</v>
      </c>
      <c r="G2355" s="647" t="s">
        <v>5490</v>
      </c>
      <c r="H2355" s="648" t="s">
        <v>4121</v>
      </c>
      <c r="I2355" s="649" t="s">
        <v>4122</v>
      </c>
      <c r="J2355" s="673">
        <v>45215</v>
      </c>
      <c r="K2355" s="663">
        <v>0.54166666666666663</v>
      </c>
      <c r="L2355" s="673">
        <v>45215</v>
      </c>
      <c r="M2355" s="663">
        <v>0.79166666666666663</v>
      </c>
      <c r="N2355" s="650">
        <v>4</v>
      </c>
      <c r="O2355" s="651" t="s">
        <v>17</v>
      </c>
      <c r="P2355" s="652" t="s">
        <v>3704</v>
      </c>
      <c r="Q2355" s="144" t="s">
        <v>5374</v>
      </c>
      <c r="R2355" s="654" t="s">
        <v>37</v>
      </c>
      <c r="S2355" s="31" t="s">
        <v>273</v>
      </c>
      <c r="T2355" s="31" t="s">
        <v>273</v>
      </c>
      <c r="U2355" s="31">
        <f>IFERROR(VLOOKUP(CONCATENATE(Tabla1[[#This Row],[Severidad]]," ",Tabla1[[#This Row],[Complejidad]]),Catalogos!E$120:G$128,3,FALSE),"")</f>
        <v>64</v>
      </c>
      <c r="V2355" s="31" t="str">
        <f>IF(Tabla1[[#This Row],[Tiempo solución max (hrs)]]&lt;&gt;"",IF(Tabla1[[#This Row],[Tiempo solución max (hrs)]]&gt;=Tabla1[[#This Row],[Tiempo
(Hrs 00/100)]],"cumple","no cumple"),"")</f>
        <v>cumple</v>
      </c>
      <c r="W2355" s="629" t="s">
        <v>3327</v>
      </c>
      <c r="X2355" s="377" t="str">
        <f t="shared" si="203"/>
        <v>SAW</v>
      </c>
      <c r="Y2355" t="str">
        <f>SUBSTITUTE(Tabla1[[#This Row],[Descripción]],CHAR(10),"    I    ")</f>
        <v>Desarrollo del primer modulo de Tipos de expediente</v>
      </c>
      <c r="Z2355" s="142">
        <f>VLOOKUP(Tabla1[[#This Row],[Perfil]],Catalogos!$B$75:$D$100,3,FALSE)*Tabla1[[#This Row],[Tiempo
(Hrs 00/100)]]*1.16</f>
        <v>2088</v>
      </c>
      <c r="AA2355" t="s">
        <v>3356</v>
      </c>
    </row>
    <row r="2356" spans="1:27" ht="15" customHeight="1" x14ac:dyDescent="0.3">
      <c r="A2356" s="647" t="s">
        <v>22</v>
      </c>
      <c r="B2356" s="647" t="s">
        <v>173</v>
      </c>
      <c r="C2356" s="647" t="s">
        <v>16</v>
      </c>
      <c r="D2356" s="647"/>
      <c r="E2356" s="647" t="s">
        <v>3699</v>
      </c>
      <c r="F2356" s="647" t="s">
        <v>23</v>
      </c>
      <c r="G2356" s="647" t="s">
        <v>5490</v>
      </c>
      <c r="H2356" s="648" t="s">
        <v>4121</v>
      </c>
      <c r="I2356" s="649" t="s">
        <v>4122</v>
      </c>
      <c r="J2356" s="673">
        <v>45216</v>
      </c>
      <c r="K2356" s="663">
        <v>0.3756944444444445</v>
      </c>
      <c r="L2356" s="673">
        <v>45216</v>
      </c>
      <c r="M2356" s="663">
        <v>0.79236111111111107</v>
      </c>
      <c r="N2356" s="650">
        <v>8</v>
      </c>
      <c r="O2356" s="651" t="s">
        <v>17</v>
      </c>
      <c r="P2356" s="652" t="s">
        <v>3705</v>
      </c>
      <c r="Q2356" s="144" t="s">
        <v>5374</v>
      </c>
      <c r="R2356" s="654" t="s">
        <v>37</v>
      </c>
      <c r="S2356" s="31" t="s">
        <v>273</v>
      </c>
      <c r="T2356" s="31" t="s">
        <v>273</v>
      </c>
      <c r="U2356" s="31">
        <f>IFERROR(VLOOKUP(CONCATENATE(Tabla1[[#This Row],[Severidad]]," ",Tabla1[[#This Row],[Complejidad]]),Catalogos!E$120:G$128,3,FALSE),"")</f>
        <v>64</v>
      </c>
      <c r="V2356" s="31" t="str">
        <f>IF(Tabla1[[#This Row],[Tiempo solución max (hrs)]]&lt;&gt;"",IF(Tabla1[[#This Row],[Tiempo solución max (hrs)]]&gt;=Tabla1[[#This Row],[Tiempo
(Hrs 00/100)]],"cumple","no cumple"),"")</f>
        <v>cumple</v>
      </c>
      <c r="W2356" s="629" t="s">
        <v>3327</v>
      </c>
      <c r="X2356" s="377" t="str">
        <f t="shared" si="203"/>
        <v>SAW</v>
      </c>
      <c r="Y2356" t="str">
        <f>SUBSTITUTE(Tabla1[[#This Row],[Descripción]],CHAR(10),"    I    ")</f>
        <v>Desarrollo del primer modulo de Tipos de expediente</v>
      </c>
      <c r="Z2356" s="142">
        <f>VLOOKUP(Tabla1[[#This Row],[Perfil]],Catalogos!$B$75:$D$100,3,FALSE)*Tabla1[[#This Row],[Tiempo
(Hrs 00/100)]]*1.16</f>
        <v>4176</v>
      </c>
      <c r="AA2356" t="s">
        <v>3356</v>
      </c>
    </row>
    <row r="2357" spans="1:27" ht="15" customHeight="1" x14ac:dyDescent="0.3">
      <c r="A2357" s="647" t="s">
        <v>22</v>
      </c>
      <c r="B2357" s="647" t="s">
        <v>173</v>
      </c>
      <c r="C2357" s="647" t="s">
        <v>16</v>
      </c>
      <c r="D2357" s="647"/>
      <c r="E2357" s="647" t="s">
        <v>3699</v>
      </c>
      <c r="F2357" s="647" t="s">
        <v>23</v>
      </c>
      <c r="G2357" s="647" t="s">
        <v>5491</v>
      </c>
      <c r="H2357" s="648" t="s">
        <v>4123</v>
      </c>
      <c r="I2357" s="649" t="s">
        <v>4124</v>
      </c>
      <c r="J2357" s="673">
        <v>45217</v>
      </c>
      <c r="K2357" s="663">
        <v>0.375</v>
      </c>
      <c r="L2357" s="673">
        <v>45217</v>
      </c>
      <c r="M2357" s="663">
        <v>0.79166666666666663</v>
      </c>
      <c r="N2357" s="650">
        <v>8</v>
      </c>
      <c r="O2357" s="651" t="s">
        <v>411</v>
      </c>
      <c r="P2357" s="652" t="s">
        <v>3706</v>
      </c>
      <c r="Q2357" s="144" t="s">
        <v>5374</v>
      </c>
      <c r="R2357" s="654" t="s">
        <v>37</v>
      </c>
      <c r="S2357" s="31" t="s">
        <v>273</v>
      </c>
      <c r="T2357" s="31" t="s">
        <v>273</v>
      </c>
      <c r="U2357" s="31">
        <f>IFERROR(VLOOKUP(CONCATENATE(Tabla1[[#This Row],[Severidad]]," ",Tabla1[[#This Row],[Complejidad]]),Catalogos!E$120:G$128,3,FALSE),"")</f>
        <v>64</v>
      </c>
      <c r="V2357" s="31" t="str">
        <f>IF(Tabla1[[#This Row],[Tiempo solución max (hrs)]]&lt;&gt;"",IF(Tabla1[[#This Row],[Tiempo solución max (hrs)]]&gt;=Tabla1[[#This Row],[Tiempo
(Hrs 00/100)]],"cumple","no cumple"),"")</f>
        <v>cumple</v>
      </c>
      <c r="W2357" s="629" t="s">
        <v>3327</v>
      </c>
      <c r="X2357" s="377" t="str">
        <f t="shared" si="203"/>
        <v>SAW</v>
      </c>
      <c r="Y2357" t="str">
        <f>SUBSTITUTE(Tabla1[[#This Row],[Descripción]],CHAR(10),"    I    ")</f>
        <v>Desarrollo del modulo de Administración</v>
      </c>
      <c r="Z2357" s="142">
        <f>VLOOKUP(Tabla1[[#This Row],[Perfil]],Catalogos!$B$75:$D$100,3,FALSE)*Tabla1[[#This Row],[Tiempo
(Hrs 00/100)]]*1.16</f>
        <v>4176</v>
      </c>
      <c r="AA2357" t="s">
        <v>3356</v>
      </c>
    </row>
    <row r="2358" spans="1:27" ht="15" customHeight="1" x14ac:dyDescent="0.3">
      <c r="A2358" s="647" t="s">
        <v>22</v>
      </c>
      <c r="B2358" s="647" t="s">
        <v>173</v>
      </c>
      <c r="C2358" s="647" t="s">
        <v>16</v>
      </c>
      <c r="D2358" s="647"/>
      <c r="E2358" s="647" t="s">
        <v>3699</v>
      </c>
      <c r="F2358" s="647" t="s">
        <v>23</v>
      </c>
      <c r="G2358" s="647" t="s">
        <v>5491</v>
      </c>
      <c r="H2358" s="648" t="s">
        <v>4123</v>
      </c>
      <c r="I2358" s="649" t="s">
        <v>4124</v>
      </c>
      <c r="J2358" s="673">
        <v>45218</v>
      </c>
      <c r="K2358" s="663">
        <v>0.37986111111111115</v>
      </c>
      <c r="L2358" s="673">
        <v>45218</v>
      </c>
      <c r="M2358" s="663">
        <v>0.79652777777777783</v>
      </c>
      <c r="N2358" s="650">
        <v>8</v>
      </c>
      <c r="O2358" s="651" t="s">
        <v>17</v>
      </c>
      <c r="P2358" s="652" t="s">
        <v>3706</v>
      </c>
      <c r="Q2358" s="144" t="s">
        <v>5374</v>
      </c>
      <c r="R2358" s="654" t="s">
        <v>37</v>
      </c>
      <c r="S2358" s="31" t="s">
        <v>273</v>
      </c>
      <c r="T2358" s="31" t="s">
        <v>273</v>
      </c>
      <c r="U2358" s="31">
        <f>IFERROR(VLOOKUP(CONCATENATE(Tabla1[[#This Row],[Severidad]]," ",Tabla1[[#This Row],[Complejidad]]),Catalogos!E$120:G$128,3,FALSE),"")</f>
        <v>64</v>
      </c>
      <c r="V2358" s="31" t="str">
        <f>IF(Tabla1[[#This Row],[Tiempo solución max (hrs)]]&lt;&gt;"",IF(Tabla1[[#This Row],[Tiempo solución max (hrs)]]&gt;=Tabla1[[#This Row],[Tiempo
(Hrs 00/100)]],"cumple","no cumple"),"")</f>
        <v>cumple</v>
      </c>
      <c r="W2358" s="629" t="s">
        <v>3327</v>
      </c>
      <c r="X2358" s="377" t="str">
        <f t="shared" si="203"/>
        <v>SAW</v>
      </c>
      <c r="Y2358" t="str">
        <f>SUBSTITUTE(Tabla1[[#This Row],[Descripción]],CHAR(10),"    I    ")</f>
        <v>Desarrollo del modulo de Administración</v>
      </c>
      <c r="Z2358" s="142">
        <f>VLOOKUP(Tabla1[[#This Row],[Perfil]],Catalogos!$B$75:$D$100,3,FALSE)*Tabla1[[#This Row],[Tiempo
(Hrs 00/100)]]*1.16</f>
        <v>4176</v>
      </c>
      <c r="AA2358" t="s">
        <v>3356</v>
      </c>
    </row>
    <row r="2359" spans="1:27" ht="15" customHeight="1" x14ac:dyDescent="0.3">
      <c r="A2359" s="647" t="s">
        <v>22</v>
      </c>
      <c r="B2359" s="647" t="s">
        <v>173</v>
      </c>
      <c r="C2359" s="647" t="s">
        <v>16</v>
      </c>
      <c r="D2359" s="647"/>
      <c r="E2359" s="647" t="s">
        <v>3699</v>
      </c>
      <c r="F2359" s="647" t="s">
        <v>23</v>
      </c>
      <c r="G2359" s="647" t="s">
        <v>5492</v>
      </c>
      <c r="H2359" s="648" t="s">
        <v>4125</v>
      </c>
      <c r="I2359" s="649" t="s">
        <v>4126</v>
      </c>
      <c r="J2359" s="673">
        <v>45219</v>
      </c>
      <c r="K2359" s="663">
        <v>0.375</v>
      </c>
      <c r="L2359" s="673">
        <v>45219</v>
      </c>
      <c r="M2359" s="663">
        <v>0.79166666666666663</v>
      </c>
      <c r="N2359" s="650">
        <v>8</v>
      </c>
      <c r="O2359" s="651" t="s">
        <v>411</v>
      </c>
      <c r="P2359" s="652" t="s">
        <v>3707</v>
      </c>
      <c r="Q2359" s="144" t="s">
        <v>5374</v>
      </c>
      <c r="R2359" s="654" t="s">
        <v>37</v>
      </c>
      <c r="S2359" s="31" t="s">
        <v>273</v>
      </c>
      <c r="T2359" s="31" t="s">
        <v>273</v>
      </c>
      <c r="U2359" s="31">
        <f>IFERROR(VLOOKUP(CONCATENATE(Tabla1[[#This Row],[Severidad]]," ",Tabla1[[#This Row],[Complejidad]]),Catalogos!E$120:G$128,3,FALSE),"")</f>
        <v>64</v>
      </c>
      <c r="V2359" s="31" t="str">
        <f>IF(Tabla1[[#This Row],[Tiempo solución max (hrs)]]&lt;&gt;"",IF(Tabla1[[#This Row],[Tiempo solución max (hrs)]]&gt;=Tabla1[[#This Row],[Tiempo
(Hrs 00/100)]],"cumple","no cumple"),"")</f>
        <v>cumple</v>
      </c>
      <c r="W2359" s="629" t="s">
        <v>3327</v>
      </c>
      <c r="X2359" s="377" t="str">
        <f t="shared" si="203"/>
        <v>SAW</v>
      </c>
      <c r="Y2359" t="str">
        <f>SUBSTITUTE(Tabla1[[#This Row],[Descripción]],CHAR(10),"    I    ")</f>
        <v>Desarrollo del modulo de Años</v>
      </c>
      <c r="Z2359" s="142">
        <f>VLOOKUP(Tabla1[[#This Row],[Perfil]],Catalogos!$B$75:$D$100,3,FALSE)*Tabla1[[#This Row],[Tiempo
(Hrs 00/100)]]*1.16</f>
        <v>4176</v>
      </c>
      <c r="AA2359" t="s">
        <v>3356</v>
      </c>
    </row>
    <row r="2360" spans="1:27" ht="15" customHeight="1" x14ac:dyDescent="0.3">
      <c r="A2360" s="647" t="s">
        <v>22</v>
      </c>
      <c r="B2360" s="647" t="s">
        <v>173</v>
      </c>
      <c r="C2360" s="647" t="s">
        <v>16</v>
      </c>
      <c r="D2360" s="647"/>
      <c r="E2360" s="647" t="s">
        <v>3699</v>
      </c>
      <c r="F2360" s="647" t="s">
        <v>23</v>
      </c>
      <c r="G2360" s="647" t="s">
        <v>5492</v>
      </c>
      <c r="H2360" s="648" t="s">
        <v>4125</v>
      </c>
      <c r="I2360" s="649" t="s">
        <v>4126</v>
      </c>
      <c r="J2360" s="673">
        <v>45222</v>
      </c>
      <c r="K2360" s="663">
        <v>0.375</v>
      </c>
      <c r="L2360" s="673">
        <v>45222</v>
      </c>
      <c r="M2360" s="663">
        <v>0.79166666666666663</v>
      </c>
      <c r="N2360" s="650">
        <v>8</v>
      </c>
      <c r="O2360" s="651" t="s">
        <v>17</v>
      </c>
      <c r="P2360" s="652" t="s">
        <v>3707</v>
      </c>
      <c r="Q2360" s="144" t="s">
        <v>5374</v>
      </c>
      <c r="R2360" s="654" t="s">
        <v>37</v>
      </c>
      <c r="S2360" s="31" t="s">
        <v>273</v>
      </c>
      <c r="T2360" s="31" t="s">
        <v>273</v>
      </c>
      <c r="U2360" s="31">
        <f>IFERROR(VLOOKUP(CONCATENATE(Tabla1[[#This Row],[Severidad]]," ",Tabla1[[#This Row],[Complejidad]]),Catalogos!E$120:G$128,3,FALSE),"")</f>
        <v>64</v>
      </c>
      <c r="V2360" s="31" t="str">
        <f>IF(Tabla1[[#This Row],[Tiempo solución max (hrs)]]&lt;&gt;"",IF(Tabla1[[#This Row],[Tiempo solución max (hrs)]]&gt;=Tabla1[[#This Row],[Tiempo
(Hrs 00/100)]],"cumple","no cumple"),"")</f>
        <v>cumple</v>
      </c>
      <c r="W2360" s="629" t="s">
        <v>3327</v>
      </c>
      <c r="X2360" s="377" t="str">
        <f t="shared" ref="X2360:X2423" si="204">IF(C2360&lt;&gt;"",C2360,D2360)</f>
        <v>SAW</v>
      </c>
      <c r="Y2360" t="str">
        <f>SUBSTITUTE(Tabla1[[#This Row],[Descripción]],CHAR(10),"    I    ")</f>
        <v>Desarrollo del modulo de Años</v>
      </c>
      <c r="Z2360" s="142">
        <f>VLOOKUP(Tabla1[[#This Row],[Perfil]],Catalogos!$B$75:$D$100,3,FALSE)*Tabla1[[#This Row],[Tiempo
(Hrs 00/100)]]*1.16</f>
        <v>4176</v>
      </c>
      <c r="AA2360" t="s">
        <v>3356</v>
      </c>
    </row>
    <row r="2361" spans="1:27" ht="15" customHeight="1" x14ac:dyDescent="0.3">
      <c r="A2361" s="647" t="s">
        <v>22</v>
      </c>
      <c r="B2361" s="647" t="s">
        <v>173</v>
      </c>
      <c r="C2361" s="647" t="s">
        <v>16</v>
      </c>
      <c r="D2361" s="647"/>
      <c r="E2361" s="647" t="s">
        <v>3699</v>
      </c>
      <c r="F2361" s="647" t="s">
        <v>23</v>
      </c>
      <c r="G2361" s="647" t="s">
        <v>5493</v>
      </c>
      <c r="H2361" s="648" t="s">
        <v>4127</v>
      </c>
      <c r="I2361" s="649" t="s">
        <v>4128</v>
      </c>
      <c r="J2361" s="673">
        <v>45223</v>
      </c>
      <c r="K2361" s="663">
        <v>0.37638888888888888</v>
      </c>
      <c r="L2361" s="673">
        <v>45223</v>
      </c>
      <c r="M2361" s="663">
        <v>0.79305555555555562</v>
      </c>
      <c r="N2361" s="650">
        <v>8</v>
      </c>
      <c r="O2361" s="651" t="s">
        <v>411</v>
      </c>
      <c r="P2361" s="652" t="s">
        <v>3708</v>
      </c>
      <c r="Q2361" s="144" t="s">
        <v>5374</v>
      </c>
      <c r="R2361" s="654" t="s">
        <v>37</v>
      </c>
      <c r="S2361" s="31" t="s">
        <v>273</v>
      </c>
      <c r="T2361" s="31" t="s">
        <v>273</v>
      </c>
      <c r="U2361" s="31">
        <f>IFERROR(VLOOKUP(CONCATENATE(Tabla1[[#This Row],[Severidad]]," ",Tabla1[[#This Row],[Complejidad]]),Catalogos!E$120:G$128,3,FALSE),"")</f>
        <v>64</v>
      </c>
      <c r="V2361" s="31" t="str">
        <f>IF(Tabla1[[#This Row],[Tiempo solución max (hrs)]]&lt;&gt;"",IF(Tabla1[[#This Row],[Tiempo solución max (hrs)]]&gt;=Tabla1[[#This Row],[Tiempo
(Hrs 00/100)]],"cumple","no cumple"),"")</f>
        <v>cumple</v>
      </c>
      <c r="W2361" s="629" t="s">
        <v>3327</v>
      </c>
      <c r="X2361" s="377" t="str">
        <f t="shared" si="204"/>
        <v>SAW</v>
      </c>
      <c r="Y2361" t="str">
        <f>SUBSTITUTE(Tabla1[[#This Row],[Descripción]],CHAR(10),"    I    ")</f>
        <v>Desarrollo del modulo de Épocas</v>
      </c>
      <c r="Z2361" s="142">
        <f>VLOOKUP(Tabla1[[#This Row],[Perfil]],Catalogos!$B$75:$D$100,3,FALSE)*Tabla1[[#This Row],[Tiempo
(Hrs 00/100)]]*1.16</f>
        <v>4176</v>
      </c>
      <c r="AA2361" t="s">
        <v>3356</v>
      </c>
    </row>
    <row r="2362" spans="1:27" ht="15" customHeight="1" x14ac:dyDescent="0.3">
      <c r="A2362" s="647" t="s">
        <v>22</v>
      </c>
      <c r="B2362" s="647" t="s">
        <v>173</v>
      </c>
      <c r="C2362" s="647" t="s">
        <v>16</v>
      </c>
      <c r="D2362" s="647"/>
      <c r="E2362" s="647" t="s">
        <v>3699</v>
      </c>
      <c r="F2362" s="647" t="s">
        <v>23</v>
      </c>
      <c r="G2362" s="647" t="s">
        <v>5493</v>
      </c>
      <c r="H2362" s="648" t="s">
        <v>4127</v>
      </c>
      <c r="I2362" s="649" t="s">
        <v>4128</v>
      </c>
      <c r="J2362" s="673">
        <v>45224</v>
      </c>
      <c r="K2362" s="663">
        <v>0.375</v>
      </c>
      <c r="L2362" s="673">
        <v>45224</v>
      </c>
      <c r="M2362" s="663">
        <v>0.79166666666666663</v>
      </c>
      <c r="N2362" s="650">
        <v>8</v>
      </c>
      <c r="O2362" s="651" t="s">
        <v>17</v>
      </c>
      <c r="P2362" s="652" t="s">
        <v>3708</v>
      </c>
      <c r="Q2362" s="144" t="s">
        <v>5374</v>
      </c>
      <c r="R2362" s="654" t="s">
        <v>37</v>
      </c>
      <c r="S2362" s="31" t="s">
        <v>273</v>
      </c>
      <c r="T2362" s="31" t="s">
        <v>273</v>
      </c>
      <c r="U2362" s="31">
        <f>IFERROR(VLOOKUP(CONCATENATE(Tabla1[[#This Row],[Severidad]]," ",Tabla1[[#This Row],[Complejidad]]),Catalogos!E$120:G$128,3,FALSE),"")</f>
        <v>64</v>
      </c>
      <c r="V2362" s="31" t="str">
        <f>IF(Tabla1[[#This Row],[Tiempo solución max (hrs)]]&lt;&gt;"",IF(Tabla1[[#This Row],[Tiempo solución max (hrs)]]&gt;=Tabla1[[#This Row],[Tiempo
(Hrs 00/100)]],"cumple","no cumple"),"")</f>
        <v>cumple</v>
      </c>
      <c r="W2362" s="629" t="s">
        <v>3327</v>
      </c>
      <c r="X2362" s="377" t="str">
        <f t="shared" si="204"/>
        <v>SAW</v>
      </c>
      <c r="Y2362" t="str">
        <f>SUBSTITUTE(Tabla1[[#This Row],[Descripción]],CHAR(10),"    I    ")</f>
        <v>Desarrollo del modulo de Épocas</v>
      </c>
      <c r="Z2362" s="142">
        <f>VLOOKUP(Tabla1[[#This Row],[Perfil]],Catalogos!$B$75:$D$100,3,FALSE)*Tabla1[[#This Row],[Tiempo
(Hrs 00/100)]]*1.16</f>
        <v>4176</v>
      </c>
      <c r="AA2362" t="s">
        <v>3356</v>
      </c>
    </row>
    <row r="2363" spans="1:27" ht="15" customHeight="1" x14ac:dyDescent="0.3">
      <c r="A2363" s="647" t="s">
        <v>22</v>
      </c>
      <c r="B2363" s="647" t="s">
        <v>173</v>
      </c>
      <c r="C2363" s="647" t="s">
        <v>16</v>
      </c>
      <c r="D2363" s="647"/>
      <c r="E2363" s="647" t="s">
        <v>3699</v>
      </c>
      <c r="F2363" s="647" t="s">
        <v>23</v>
      </c>
      <c r="G2363" s="647" t="s">
        <v>5494</v>
      </c>
      <c r="H2363" s="648" t="s">
        <v>4129</v>
      </c>
      <c r="I2363" s="649" t="s">
        <v>4130</v>
      </c>
      <c r="J2363" s="673">
        <v>45225</v>
      </c>
      <c r="K2363" s="663">
        <v>0.375</v>
      </c>
      <c r="L2363" s="673">
        <v>45225</v>
      </c>
      <c r="M2363" s="663">
        <v>0.79166666666666663</v>
      </c>
      <c r="N2363" s="650">
        <v>8</v>
      </c>
      <c r="O2363" s="651" t="s">
        <v>411</v>
      </c>
      <c r="P2363" s="652" t="s">
        <v>3709</v>
      </c>
      <c r="Q2363" s="144" t="s">
        <v>5374</v>
      </c>
      <c r="R2363" s="654" t="s">
        <v>37</v>
      </c>
      <c r="S2363" s="31" t="s">
        <v>273</v>
      </c>
      <c r="T2363" s="31" t="s">
        <v>273</v>
      </c>
      <c r="U2363" s="31">
        <f>IFERROR(VLOOKUP(CONCATENATE(Tabla1[[#This Row],[Severidad]]," ",Tabla1[[#This Row],[Complejidad]]),Catalogos!E$120:G$128,3,FALSE),"")</f>
        <v>64</v>
      </c>
      <c r="V2363" s="31" t="str">
        <f>IF(Tabla1[[#This Row],[Tiempo solución max (hrs)]]&lt;&gt;"",IF(Tabla1[[#This Row],[Tiempo solución max (hrs)]]&gt;=Tabla1[[#This Row],[Tiempo
(Hrs 00/100)]],"cumple","no cumple"),"")</f>
        <v>cumple</v>
      </c>
      <c r="W2363" s="629" t="s">
        <v>3327</v>
      </c>
      <c r="X2363" s="377" t="str">
        <f t="shared" si="204"/>
        <v>SAW</v>
      </c>
      <c r="Y2363" t="str">
        <f>SUBSTITUTE(Tabla1[[#This Row],[Descripción]],CHAR(10),"    I    ")</f>
        <v>Desarrollo del modulo de tipos de criterios</v>
      </c>
      <c r="Z2363" s="142">
        <f>VLOOKUP(Tabla1[[#This Row],[Perfil]],Catalogos!$B$75:$D$100,3,FALSE)*Tabla1[[#This Row],[Tiempo
(Hrs 00/100)]]*1.16</f>
        <v>4176</v>
      </c>
      <c r="AA2363" t="s">
        <v>3356</v>
      </c>
    </row>
    <row r="2364" spans="1:27" ht="15" customHeight="1" x14ac:dyDescent="0.3">
      <c r="A2364" s="647" t="s">
        <v>22</v>
      </c>
      <c r="B2364" s="647" t="s">
        <v>173</v>
      </c>
      <c r="C2364" s="647" t="s">
        <v>16</v>
      </c>
      <c r="D2364" s="647"/>
      <c r="E2364" s="647" t="s">
        <v>3699</v>
      </c>
      <c r="F2364" s="647" t="s">
        <v>23</v>
      </c>
      <c r="G2364" s="647" t="s">
        <v>5494</v>
      </c>
      <c r="H2364" s="648" t="s">
        <v>4129</v>
      </c>
      <c r="I2364" s="649" t="s">
        <v>4130</v>
      </c>
      <c r="J2364" s="673">
        <v>45226</v>
      </c>
      <c r="K2364" s="663">
        <v>0.375</v>
      </c>
      <c r="L2364" s="673">
        <v>45226</v>
      </c>
      <c r="M2364" s="663">
        <v>0.79166666666666663</v>
      </c>
      <c r="N2364" s="650">
        <v>8</v>
      </c>
      <c r="O2364" s="651" t="s">
        <v>17</v>
      </c>
      <c r="P2364" s="652" t="s">
        <v>3709</v>
      </c>
      <c r="Q2364" s="144" t="s">
        <v>5374</v>
      </c>
      <c r="R2364" s="654" t="s">
        <v>37</v>
      </c>
      <c r="S2364" s="31" t="s">
        <v>273</v>
      </c>
      <c r="T2364" s="31" t="s">
        <v>273</v>
      </c>
      <c r="U2364" s="31">
        <f>IFERROR(VLOOKUP(CONCATENATE(Tabla1[[#This Row],[Severidad]]," ",Tabla1[[#This Row],[Complejidad]]),Catalogos!E$120:G$128,3,FALSE),"")</f>
        <v>64</v>
      </c>
      <c r="V2364" s="31" t="str">
        <f>IF(Tabla1[[#This Row],[Tiempo solución max (hrs)]]&lt;&gt;"",IF(Tabla1[[#This Row],[Tiempo solución max (hrs)]]&gt;=Tabla1[[#This Row],[Tiempo
(Hrs 00/100)]],"cumple","no cumple"),"")</f>
        <v>cumple</v>
      </c>
      <c r="W2364" s="629" t="s">
        <v>3327</v>
      </c>
      <c r="X2364" s="377" t="str">
        <f t="shared" si="204"/>
        <v>SAW</v>
      </c>
      <c r="Y2364" t="str">
        <f>SUBSTITUTE(Tabla1[[#This Row],[Descripción]],CHAR(10),"    I    ")</f>
        <v>Desarrollo del modulo de tipos de criterios</v>
      </c>
      <c r="Z2364" s="142">
        <f>VLOOKUP(Tabla1[[#This Row],[Perfil]],Catalogos!$B$75:$D$100,3,FALSE)*Tabla1[[#This Row],[Tiempo
(Hrs 00/100)]]*1.16</f>
        <v>4176</v>
      </c>
      <c r="AA2364" t="s">
        <v>3356</v>
      </c>
    </row>
    <row r="2365" spans="1:27" ht="15" customHeight="1" x14ac:dyDescent="0.3">
      <c r="A2365" s="647" t="s">
        <v>22</v>
      </c>
      <c r="B2365" s="647" t="s">
        <v>173</v>
      </c>
      <c r="C2365" s="647" t="s">
        <v>16</v>
      </c>
      <c r="D2365" s="647"/>
      <c r="E2365" s="647" t="s">
        <v>3699</v>
      </c>
      <c r="F2365" s="647" t="s">
        <v>23</v>
      </c>
      <c r="G2365" s="647" t="s">
        <v>5495</v>
      </c>
      <c r="H2365" s="648" t="s">
        <v>4131</v>
      </c>
      <c r="I2365" s="649" t="s">
        <v>4132</v>
      </c>
      <c r="J2365" s="673">
        <v>45229</v>
      </c>
      <c r="K2365" s="663">
        <v>0.37777777777777777</v>
      </c>
      <c r="L2365" s="673">
        <v>45229</v>
      </c>
      <c r="M2365" s="663">
        <v>0.7944444444444444</v>
      </c>
      <c r="N2365" s="650">
        <v>8</v>
      </c>
      <c r="O2365" s="651" t="s">
        <v>411</v>
      </c>
      <c r="P2365" s="652" t="s">
        <v>3710</v>
      </c>
      <c r="Q2365" s="144" t="s">
        <v>5374</v>
      </c>
      <c r="R2365" s="654" t="s">
        <v>37</v>
      </c>
      <c r="S2365" s="31" t="s">
        <v>273</v>
      </c>
      <c r="T2365" s="31" t="s">
        <v>273</v>
      </c>
      <c r="U2365" s="31">
        <f>IFERROR(VLOOKUP(CONCATENATE(Tabla1[[#This Row],[Severidad]]," ",Tabla1[[#This Row],[Complejidad]]),Catalogos!E$120:G$128,3,FALSE),"")</f>
        <v>64</v>
      </c>
      <c r="V2365" s="31" t="str">
        <f>IF(Tabla1[[#This Row],[Tiempo solución max (hrs)]]&lt;&gt;"",IF(Tabla1[[#This Row],[Tiempo solución max (hrs)]]&gt;=Tabla1[[#This Row],[Tiempo
(Hrs 00/100)]],"cumple","no cumple"),"")</f>
        <v>cumple</v>
      </c>
      <c r="W2365" s="629" t="s">
        <v>3327</v>
      </c>
      <c r="X2365" s="377" t="str">
        <f t="shared" si="204"/>
        <v>SAW</v>
      </c>
      <c r="Y2365" t="str">
        <f>SUBSTITUTE(Tabla1[[#This Row],[Descripción]],CHAR(10),"    I    ")</f>
        <v>Desarrollo del modulo de Entidad Federativa</v>
      </c>
      <c r="Z2365" s="142">
        <f>VLOOKUP(Tabla1[[#This Row],[Perfil]],Catalogos!$B$75:$D$100,3,FALSE)*Tabla1[[#This Row],[Tiempo
(Hrs 00/100)]]*1.16</f>
        <v>4176</v>
      </c>
      <c r="AA2365" t="s">
        <v>3356</v>
      </c>
    </row>
    <row r="2366" spans="1:27" ht="15" customHeight="1" x14ac:dyDescent="0.3">
      <c r="A2366" s="647" t="s">
        <v>22</v>
      </c>
      <c r="B2366" s="647" t="s">
        <v>173</v>
      </c>
      <c r="C2366" s="647" t="s">
        <v>16</v>
      </c>
      <c r="D2366" s="647"/>
      <c r="E2366" s="647" t="s">
        <v>3699</v>
      </c>
      <c r="F2366" s="647" t="s">
        <v>23</v>
      </c>
      <c r="G2366" s="647" t="s">
        <v>5495</v>
      </c>
      <c r="H2366" s="648" t="s">
        <v>4131</v>
      </c>
      <c r="I2366" s="649" t="s">
        <v>4132</v>
      </c>
      <c r="J2366" s="673">
        <v>45230</v>
      </c>
      <c r="K2366" s="663">
        <v>0.38194444444444442</v>
      </c>
      <c r="L2366" s="673">
        <v>45230</v>
      </c>
      <c r="M2366" s="663">
        <v>0.79861111111111116</v>
      </c>
      <c r="N2366" s="650">
        <v>8</v>
      </c>
      <c r="O2366" s="651" t="s">
        <v>17</v>
      </c>
      <c r="P2366" s="652" t="s">
        <v>3710</v>
      </c>
      <c r="Q2366" s="144" t="s">
        <v>5374</v>
      </c>
      <c r="R2366" s="654" t="s">
        <v>37</v>
      </c>
      <c r="S2366" s="31" t="s">
        <v>273</v>
      </c>
      <c r="T2366" s="31" t="s">
        <v>273</v>
      </c>
      <c r="U2366" s="31">
        <f>IFERROR(VLOOKUP(CONCATENATE(Tabla1[[#This Row],[Severidad]]," ",Tabla1[[#This Row],[Complejidad]]),Catalogos!E$120:G$128,3,FALSE),"")</f>
        <v>64</v>
      </c>
      <c r="V2366" s="31" t="str">
        <f>IF(Tabla1[[#This Row],[Tiempo solución max (hrs)]]&lt;&gt;"",IF(Tabla1[[#This Row],[Tiempo solución max (hrs)]]&gt;=Tabla1[[#This Row],[Tiempo
(Hrs 00/100)]],"cumple","no cumple"),"")</f>
        <v>cumple</v>
      </c>
      <c r="W2366" s="629" t="s">
        <v>3327</v>
      </c>
      <c r="X2366" s="377" t="str">
        <f t="shared" si="204"/>
        <v>SAW</v>
      </c>
      <c r="Y2366" t="str">
        <f>SUBSTITUTE(Tabla1[[#This Row],[Descripción]],CHAR(10),"    I    ")</f>
        <v>Desarrollo del modulo de Entidad Federativa</v>
      </c>
      <c r="Z2366" s="142">
        <f>VLOOKUP(Tabla1[[#This Row],[Perfil]],Catalogos!$B$75:$D$100,3,FALSE)*Tabla1[[#This Row],[Tiempo
(Hrs 00/100)]]*1.16</f>
        <v>4176</v>
      </c>
      <c r="AA2366" t="s">
        <v>3356</v>
      </c>
    </row>
    <row r="2367" spans="1:27" ht="15" customHeight="1" thickBot="1" x14ac:dyDescent="0.35">
      <c r="A2367" s="655" t="s">
        <v>58</v>
      </c>
      <c r="B2367" s="655" t="s">
        <v>305</v>
      </c>
      <c r="C2367" s="655" t="s">
        <v>49</v>
      </c>
      <c r="D2367" s="655"/>
      <c r="E2367" s="655" t="s">
        <v>4133</v>
      </c>
      <c r="F2367" s="655" t="s">
        <v>72</v>
      </c>
      <c r="G2367" s="655" t="s">
        <v>4134</v>
      </c>
      <c r="H2367" s="656" t="s">
        <v>4135</v>
      </c>
      <c r="I2367" s="657" t="s">
        <v>4136</v>
      </c>
      <c r="J2367" s="732">
        <v>45208</v>
      </c>
      <c r="K2367" s="775">
        <v>0.375</v>
      </c>
      <c r="L2367" s="732">
        <v>45208</v>
      </c>
      <c r="M2367" s="775">
        <v>0.79166666666666663</v>
      </c>
      <c r="N2367" s="658">
        <v>8</v>
      </c>
      <c r="O2367" s="659" t="s">
        <v>17</v>
      </c>
      <c r="P2367" s="660" t="s">
        <v>4137</v>
      </c>
      <c r="Q2367" s="661" t="s">
        <v>4138</v>
      </c>
      <c r="R2367" s="662" t="s">
        <v>80</v>
      </c>
      <c r="S2367" s="31" t="s">
        <v>273</v>
      </c>
      <c r="T2367" s="31" t="s">
        <v>273</v>
      </c>
      <c r="U2367" s="31">
        <f>IFERROR(VLOOKUP(CONCATENATE(Tabla1[[#This Row],[Severidad]]," ",Tabla1[[#This Row],[Complejidad]]),Catalogos!E$120:G$128,3,FALSE),"")</f>
        <v>64</v>
      </c>
      <c r="V2367" s="31" t="str">
        <f>IF(Tabla1[[#This Row],[Tiempo solución max (hrs)]]&lt;&gt;"",IF(Tabla1[[#This Row],[Tiempo solución max (hrs)]]&gt;=Tabla1[[#This Row],[Tiempo
(Hrs 00/100)]],"cumple","no cumple"),"")</f>
        <v>cumple</v>
      </c>
      <c r="W2367" s="629" t="s">
        <v>3327</v>
      </c>
      <c r="X2367" s="377" t="str">
        <f t="shared" si="204"/>
        <v>SAI</v>
      </c>
      <c r="Y2367" t="str">
        <f>SUBSTITUTE(Tabla1[[#This Row],[Descripción]],CHAR(10),"    I    ")</f>
        <v>Sesión de levantamiento de información con el cliente, llenado de documento de Análisis, matriz de requerimientos y mockups Requerimientos 1.1,1.2,1.3</v>
      </c>
      <c r="Z2367" s="142">
        <f>VLOOKUP(Tabla1[[#This Row],[Perfil]],Catalogos!$B$75:$D$100,3,FALSE)*Tabla1[[#This Row],[Tiempo
(Hrs 00/100)]]*1.16</f>
        <v>4176</v>
      </c>
      <c r="AA2367" t="s">
        <v>3356</v>
      </c>
    </row>
    <row r="2368" spans="1:27" ht="15" customHeight="1" thickBot="1" x14ac:dyDescent="0.35">
      <c r="A2368" s="655" t="s">
        <v>58</v>
      </c>
      <c r="B2368" s="655" t="s">
        <v>305</v>
      </c>
      <c r="C2368" s="655" t="s">
        <v>49</v>
      </c>
      <c r="D2368" s="655"/>
      <c r="E2368" s="655" t="s">
        <v>4133</v>
      </c>
      <c r="F2368" s="655" t="s">
        <v>72</v>
      </c>
      <c r="G2368" s="655" t="s">
        <v>4139</v>
      </c>
      <c r="H2368" s="656" t="s">
        <v>4135</v>
      </c>
      <c r="I2368" s="657" t="s">
        <v>4140</v>
      </c>
      <c r="J2368" s="732">
        <v>45209</v>
      </c>
      <c r="K2368" s="775">
        <v>0.375</v>
      </c>
      <c r="L2368" s="732">
        <v>45209</v>
      </c>
      <c r="M2368" s="775">
        <v>0.79166666666666663</v>
      </c>
      <c r="N2368" s="658">
        <v>8</v>
      </c>
      <c r="O2368" s="659" t="s">
        <v>17</v>
      </c>
      <c r="P2368" s="660" t="s">
        <v>4137</v>
      </c>
      <c r="Q2368" s="661" t="s">
        <v>4138</v>
      </c>
      <c r="R2368" s="662" t="s">
        <v>80</v>
      </c>
      <c r="S2368" s="31" t="s">
        <v>273</v>
      </c>
      <c r="T2368" s="31" t="s">
        <v>273</v>
      </c>
      <c r="U2368" s="31">
        <f>IFERROR(VLOOKUP(CONCATENATE(Tabla1[[#This Row],[Severidad]]," ",Tabla1[[#This Row],[Complejidad]]),Catalogos!E$120:G$128,3,FALSE),"")</f>
        <v>64</v>
      </c>
      <c r="V2368" s="31" t="str">
        <f>IF(Tabla1[[#This Row],[Tiempo solución max (hrs)]]&lt;&gt;"",IF(Tabla1[[#This Row],[Tiempo solución max (hrs)]]&gt;=Tabla1[[#This Row],[Tiempo
(Hrs 00/100)]],"cumple","no cumple"),"")</f>
        <v>cumple</v>
      </c>
      <c r="W2368" s="629" t="s">
        <v>3327</v>
      </c>
      <c r="X2368" s="377" t="str">
        <f t="shared" si="204"/>
        <v>SAI</v>
      </c>
      <c r="Y2368" t="str">
        <f>SUBSTITUTE(Tabla1[[#This Row],[Descripción]],CHAR(10),"    I    ")</f>
        <v>Sesión de levantamiento de información con el cliente, llenado de documento de Análisis, matriz de requerimientos y mockups Requerimientos 1.4,1.5,1.6</v>
      </c>
      <c r="Z2368" s="142">
        <f>VLOOKUP(Tabla1[[#This Row],[Perfil]],Catalogos!$B$75:$D$100,3,FALSE)*Tabla1[[#This Row],[Tiempo
(Hrs 00/100)]]*1.16</f>
        <v>4176</v>
      </c>
      <c r="AA2368" t="s">
        <v>3356</v>
      </c>
    </row>
    <row r="2369" spans="1:27" ht="15" customHeight="1" thickBot="1" x14ac:dyDescent="0.35">
      <c r="A2369" s="655" t="s">
        <v>58</v>
      </c>
      <c r="B2369" s="655" t="s">
        <v>305</v>
      </c>
      <c r="C2369" s="655" t="s">
        <v>49</v>
      </c>
      <c r="D2369" s="655"/>
      <c r="E2369" s="655" t="s">
        <v>4133</v>
      </c>
      <c r="F2369" s="655" t="s">
        <v>72</v>
      </c>
      <c r="G2369" s="655" t="s">
        <v>4141</v>
      </c>
      <c r="H2369" s="656" t="s">
        <v>4135</v>
      </c>
      <c r="I2369" s="657" t="s">
        <v>4142</v>
      </c>
      <c r="J2369" s="732">
        <v>45210</v>
      </c>
      <c r="K2369" s="775">
        <v>0.375</v>
      </c>
      <c r="L2369" s="732">
        <v>45210</v>
      </c>
      <c r="M2369" s="775">
        <v>0.79166666666666663</v>
      </c>
      <c r="N2369" s="658">
        <v>8</v>
      </c>
      <c r="O2369" s="659" t="s">
        <v>17</v>
      </c>
      <c r="P2369" s="660" t="s">
        <v>4137</v>
      </c>
      <c r="Q2369" s="661" t="s">
        <v>4138</v>
      </c>
      <c r="R2369" s="662" t="s">
        <v>80</v>
      </c>
      <c r="S2369" s="31" t="s">
        <v>273</v>
      </c>
      <c r="T2369" s="31" t="s">
        <v>273</v>
      </c>
      <c r="U2369" s="31">
        <f>IFERROR(VLOOKUP(CONCATENATE(Tabla1[[#This Row],[Severidad]]," ",Tabla1[[#This Row],[Complejidad]]),Catalogos!E$120:G$128,3,FALSE),"")</f>
        <v>64</v>
      </c>
      <c r="V2369" s="31" t="str">
        <f>IF(Tabla1[[#This Row],[Tiempo solución max (hrs)]]&lt;&gt;"",IF(Tabla1[[#This Row],[Tiempo solución max (hrs)]]&gt;=Tabla1[[#This Row],[Tiempo
(Hrs 00/100)]],"cumple","no cumple"),"")</f>
        <v>cumple</v>
      </c>
      <c r="W2369" s="629" t="s">
        <v>3327</v>
      </c>
      <c r="X2369" s="377" t="str">
        <f t="shared" si="204"/>
        <v>SAI</v>
      </c>
      <c r="Y2369" t="str">
        <f>SUBSTITUTE(Tabla1[[#This Row],[Descripción]],CHAR(10),"    I    ")</f>
        <v>Sesión de levantamiento de información con el cliente, llenado de documento de Análisis, matriz de requerimientos y mockups Requerimientos 1.7,1.8,2.4.1</v>
      </c>
      <c r="Z2369" s="142">
        <f>VLOOKUP(Tabla1[[#This Row],[Perfil]],Catalogos!$B$75:$D$100,3,FALSE)*Tabla1[[#This Row],[Tiempo
(Hrs 00/100)]]*1.16</f>
        <v>4176</v>
      </c>
      <c r="AA2369" t="s">
        <v>3356</v>
      </c>
    </row>
    <row r="2370" spans="1:27" ht="15" customHeight="1" thickBot="1" x14ac:dyDescent="0.35">
      <c r="A2370" s="655" t="s">
        <v>58</v>
      </c>
      <c r="B2370" s="655" t="s">
        <v>305</v>
      </c>
      <c r="C2370" s="655" t="s">
        <v>49</v>
      </c>
      <c r="D2370" s="655"/>
      <c r="E2370" s="655" t="s">
        <v>4133</v>
      </c>
      <c r="F2370" s="655" t="s">
        <v>72</v>
      </c>
      <c r="G2370" s="655" t="s">
        <v>4143</v>
      </c>
      <c r="H2370" s="656" t="s">
        <v>4135</v>
      </c>
      <c r="I2370" s="657" t="s">
        <v>4144</v>
      </c>
      <c r="J2370" s="732">
        <v>45211</v>
      </c>
      <c r="K2370" s="775">
        <v>0.375</v>
      </c>
      <c r="L2370" s="732">
        <v>45211</v>
      </c>
      <c r="M2370" s="775">
        <v>0.79166666666666663</v>
      </c>
      <c r="N2370" s="658">
        <v>8</v>
      </c>
      <c r="O2370" s="659" t="s">
        <v>17</v>
      </c>
      <c r="P2370" s="660" t="s">
        <v>4137</v>
      </c>
      <c r="Q2370" s="661" t="s">
        <v>4138</v>
      </c>
      <c r="R2370" s="662" t="s">
        <v>80</v>
      </c>
      <c r="S2370" s="31" t="s">
        <v>273</v>
      </c>
      <c r="T2370" s="31" t="s">
        <v>273</v>
      </c>
      <c r="U2370" s="31">
        <f>IFERROR(VLOOKUP(CONCATENATE(Tabla1[[#This Row],[Severidad]]," ",Tabla1[[#This Row],[Complejidad]]),Catalogos!E$120:G$128,3,FALSE),"")</f>
        <v>64</v>
      </c>
      <c r="V2370" s="31" t="str">
        <f>IF(Tabla1[[#This Row],[Tiempo solución max (hrs)]]&lt;&gt;"",IF(Tabla1[[#This Row],[Tiempo solución max (hrs)]]&gt;=Tabla1[[#This Row],[Tiempo
(Hrs 00/100)]],"cumple","no cumple"),"")</f>
        <v>cumple</v>
      </c>
      <c r="W2370" s="629" t="s">
        <v>3327</v>
      </c>
      <c r="X2370" s="377" t="str">
        <f t="shared" si="204"/>
        <v>SAI</v>
      </c>
      <c r="Y2370" t="str">
        <f>SUBSTITUTE(Tabla1[[#This Row],[Descripción]],CHAR(10),"    I    ")</f>
        <v>Sesión de levantamiento de información con el cliente, llenado de documento de Análisis, matriz de requerimientos y mockups Requerimientos 2.4.2, 2.5.1</v>
      </c>
      <c r="Z2370" s="142">
        <f>VLOOKUP(Tabla1[[#This Row],[Perfil]],Catalogos!$B$75:$D$100,3,FALSE)*Tabla1[[#This Row],[Tiempo
(Hrs 00/100)]]*1.16</f>
        <v>4176</v>
      </c>
      <c r="AA2370" t="s">
        <v>3356</v>
      </c>
    </row>
    <row r="2371" spans="1:27" ht="15" customHeight="1" thickBot="1" x14ac:dyDescent="0.35">
      <c r="A2371" s="655" t="s">
        <v>58</v>
      </c>
      <c r="B2371" s="655" t="s">
        <v>305</v>
      </c>
      <c r="C2371" s="655" t="s">
        <v>49</v>
      </c>
      <c r="D2371" s="655"/>
      <c r="E2371" s="655" t="s">
        <v>4133</v>
      </c>
      <c r="F2371" s="655" t="s">
        <v>72</v>
      </c>
      <c r="G2371" s="655" t="s">
        <v>4145</v>
      </c>
      <c r="H2371" s="656" t="s">
        <v>4135</v>
      </c>
      <c r="I2371" s="657" t="s">
        <v>4146</v>
      </c>
      <c r="J2371" s="732">
        <v>45212</v>
      </c>
      <c r="K2371" s="775">
        <v>0.375</v>
      </c>
      <c r="L2371" s="732">
        <v>45212</v>
      </c>
      <c r="M2371" s="775">
        <v>0.79166666666666663</v>
      </c>
      <c r="N2371" s="658">
        <v>8</v>
      </c>
      <c r="O2371" s="659" t="s">
        <v>17</v>
      </c>
      <c r="P2371" s="660" t="s">
        <v>4137</v>
      </c>
      <c r="Q2371" s="661" t="s">
        <v>4138</v>
      </c>
      <c r="R2371" s="662" t="s">
        <v>80</v>
      </c>
      <c r="S2371" s="31" t="s">
        <v>273</v>
      </c>
      <c r="T2371" s="31" t="s">
        <v>273</v>
      </c>
      <c r="U2371" s="31">
        <f>IFERROR(VLOOKUP(CONCATENATE(Tabla1[[#This Row],[Severidad]]," ",Tabla1[[#This Row],[Complejidad]]),Catalogos!E$120:G$128,3,FALSE),"")</f>
        <v>64</v>
      </c>
      <c r="V2371" s="31" t="str">
        <f>IF(Tabla1[[#This Row],[Tiempo solución max (hrs)]]&lt;&gt;"",IF(Tabla1[[#This Row],[Tiempo solución max (hrs)]]&gt;=Tabla1[[#This Row],[Tiempo
(Hrs 00/100)]],"cumple","no cumple"),"")</f>
        <v>cumple</v>
      </c>
      <c r="W2371" s="629" t="s">
        <v>3327</v>
      </c>
      <c r="X2371" s="377" t="str">
        <f t="shared" si="204"/>
        <v>SAI</v>
      </c>
      <c r="Y2371" t="str">
        <f>SUBSTITUTE(Tabla1[[#This Row],[Descripción]],CHAR(10),"    I    ")</f>
        <v>Sesión de levantamiento de información con el cliente, llenado de documento de Análisis, matriz de requerimientos y mockups Requerimientos 3.1.1,3.2.16, 3.3.9, 3.5.10</v>
      </c>
      <c r="Z2371" s="142">
        <f>VLOOKUP(Tabla1[[#This Row],[Perfil]],Catalogos!$B$75:$D$100,3,FALSE)*Tabla1[[#This Row],[Tiempo
(Hrs 00/100)]]*1.16</f>
        <v>4176</v>
      </c>
      <c r="AA2371" t="s">
        <v>3356</v>
      </c>
    </row>
    <row r="2372" spans="1:27" ht="15" customHeight="1" thickBot="1" x14ac:dyDescent="0.35">
      <c r="A2372" s="655" t="s">
        <v>58</v>
      </c>
      <c r="B2372" s="655" t="s">
        <v>305</v>
      </c>
      <c r="C2372" s="655" t="s">
        <v>49</v>
      </c>
      <c r="D2372" s="655"/>
      <c r="E2372" s="655" t="s">
        <v>4133</v>
      </c>
      <c r="F2372" s="655" t="s">
        <v>72</v>
      </c>
      <c r="G2372" s="655" t="s">
        <v>4147</v>
      </c>
      <c r="H2372" s="656" t="s">
        <v>4135</v>
      </c>
      <c r="I2372" s="657" t="s">
        <v>4148</v>
      </c>
      <c r="J2372" s="732">
        <v>45215</v>
      </c>
      <c r="K2372" s="775">
        <v>0.375</v>
      </c>
      <c r="L2372" s="732">
        <v>45215</v>
      </c>
      <c r="M2372" s="775">
        <v>0.79166666666666663</v>
      </c>
      <c r="N2372" s="658">
        <v>8</v>
      </c>
      <c r="O2372" s="659" t="s">
        <v>17</v>
      </c>
      <c r="P2372" s="660" t="s">
        <v>4137</v>
      </c>
      <c r="Q2372" s="661" t="s">
        <v>4138</v>
      </c>
      <c r="R2372" s="662" t="s">
        <v>80</v>
      </c>
      <c r="S2372" s="31" t="s">
        <v>273</v>
      </c>
      <c r="T2372" s="31" t="s">
        <v>273</v>
      </c>
      <c r="U2372" s="31">
        <f>IFERROR(VLOOKUP(CONCATENATE(Tabla1[[#This Row],[Severidad]]," ",Tabla1[[#This Row],[Complejidad]]),Catalogos!E$120:G$128,3,FALSE),"")</f>
        <v>64</v>
      </c>
      <c r="V2372" s="31" t="str">
        <f>IF(Tabla1[[#This Row],[Tiempo solución max (hrs)]]&lt;&gt;"",IF(Tabla1[[#This Row],[Tiempo solución max (hrs)]]&gt;=Tabla1[[#This Row],[Tiempo
(Hrs 00/100)]],"cumple","no cumple"),"")</f>
        <v>cumple</v>
      </c>
      <c r="W2372" s="629" t="s">
        <v>3327</v>
      </c>
      <c r="X2372" s="377" t="str">
        <f t="shared" si="204"/>
        <v>SAI</v>
      </c>
      <c r="Y2372" t="str">
        <f>SUBSTITUTE(Tabla1[[#This Row],[Descripción]],CHAR(10),"    I    ")</f>
        <v>Sesión de levantamiento de información con el cliente, llenado de documento de Análisis, matriz de requerimientos y mockups Requerimientos 3.2.1, 3.3.7,3.2.2</v>
      </c>
      <c r="Z2372" s="142">
        <f>VLOOKUP(Tabla1[[#This Row],[Perfil]],Catalogos!$B$75:$D$100,3,FALSE)*Tabla1[[#This Row],[Tiempo
(Hrs 00/100)]]*1.16</f>
        <v>4176</v>
      </c>
      <c r="AA2372" t="s">
        <v>3356</v>
      </c>
    </row>
    <row r="2373" spans="1:27" ht="15" customHeight="1" thickBot="1" x14ac:dyDescent="0.35">
      <c r="A2373" s="655" t="s">
        <v>58</v>
      </c>
      <c r="B2373" s="655" t="s">
        <v>305</v>
      </c>
      <c r="C2373" s="655" t="s">
        <v>49</v>
      </c>
      <c r="D2373" s="655"/>
      <c r="E2373" s="655" t="s">
        <v>4133</v>
      </c>
      <c r="F2373" s="655" t="s">
        <v>72</v>
      </c>
      <c r="G2373" s="655" t="s">
        <v>4149</v>
      </c>
      <c r="H2373" s="656" t="s">
        <v>4135</v>
      </c>
      <c r="I2373" s="657" t="s">
        <v>4150</v>
      </c>
      <c r="J2373" s="732">
        <v>45216</v>
      </c>
      <c r="K2373" s="775">
        <v>0.375</v>
      </c>
      <c r="L2373" s="732">
        <v>45216</v>
      </c>
      <c r="M2373" s="775">
        <v>0.79166666666666663</v>
      </c>
      <c r="N2373" s="658">
        <v>8</v>
      </c>
      <c r="O2373" s="659" t="s">
        <v>17</v>
      </c>
      <c r="P2373" s="660" t="s">
        <v>4137</v>
      </c>
      <c r="Q2373" s="661" t="s">
        <v>4138</v>
      </c>
      <c r="R2373" s="662" t="s">
        <v>80</v>
      </c>
      <c r="S2373" s="31" t="s">
        <v>273</v>
      </c>
      <c r="T2373" s="31" t="s">
        <v>273</v>
      </c>
      <c r="U2373" s="31">
        <f>IFERROR(VLOOKUP(CONCATENATE(Tabla1[[#This Row],[Severidad]]," ",Tabla1[[#This Row],[Complejidad]]),Catalogos!E$120:G$128,3,FALSE),"")</f>
        <v>64</v>
      </c>
      <c r="V2373" s="31" t="str">
        <f>IF(Tabla1[[#This Row],[Tiempo solución max (hrs)]]&lt;&gt;"",IF(Tabla1[[#This Row],[Tiempo solución max (hrs)]]&gt;=Tabla1[[#This Row],[Tiempo
(Hrs 00/100)]],"cumple","no cumple"),"")</f>
        <v>cumple</v>
      </c>
      <c r="W2373" s="629" t="s">
        <v>3327</v>
      </c>
      <c r="X2373" s="377" t="str">
        <f t="shared" si="204"/>
        <v>SAI</v>
      </c>
      <c r="Y2373" t="str">
        <f>SUBSTITUTE(Tabla1[[#This Row],[Descripción]],CHAR(10),"    I    ")</f>
        <v>Sesión de levantamiento de información con el cliente, llenado de documento de Análisis, matriz de requerimientos y mockups Requerimientos 3.2.3,3.2.4,3.3.8</v>
      </c>
      <c r="Z2373" s="142">
        <f>VLOOKUP(Tabla1[[#This Row],[Perfil]],Catalogos!$B$75:$D$100,3,FALSE)*Tabla1[[#This Row],[Tiempo
(Hrs 00/100)]]*1.16</f>
        <v>4176</v>
      </c>
      <c r="AA2373" t="s">
        <v>3356</v>
      </c>
    </row>
    <row r="2374" spans="1:27" ht="15" customHeight="1" thickBot="1" x14ac:dyDescent="0.35">
      <c r="A2374" s="655" t="s">
        <v>58</v>
      </c>
      <c r="B2374" s="655" t="s">
        <v>305</v>
      </c>
      <c r="C2374" s="655" t="s">
        <v>49</v>
      </c>
      <c r="D2374" s="655"/>
      <c r="E2374" s="655" t="s">
        <v>4133</v>
      </c>
      <c r="F2374" s="655" t="s">
        <v>72</v>
      </c>
      <c r="G2374" s="655" t="s">
        <v>4151</v>
      </c>
      <c r="H2374" s="656" t="s">
        <v>4135</v>
      </c>
      <c r="I2374" s="657" t="s">
        <v>4152</v>
      </c>
      <c r="J2374" s="732">
        <v>45217</v>
      </c>
      <c r="K2374" s="775">
        <v>0.375</v>
      </c>
      <c r="L2374" s="732">
        <v>45217</v>
      </c>
      <c r="M2374" s="775">
        <v>0.79166666666666663</v>
      </c>
      <c r="N2374" s="658">
        <v>8</v>
      </c>
      <c r="O2374" s="659" t="s">
        <v>17</v>
      </c>
      <c r="P2374" s="660" t="s">
        <v>4137</v>
      </c>
      <c r="Q2374" s="661" t="s">
        <v>4138</v>
      </c>
      <c r="R2374" s="662" t="s">
        <v>80</v>
      </c>
      <c r="S2374" s="31" t="s">
        <v>273</v>
      </c>
      <c r="T2374" s="31" t="s">
        <v>273</v>
      </c>
      <c r="U2374" s="31">
        <f>IFERROR(VLOOKUP(CONCATENATE(Tabla1[[#This Row],[Severidad]]," ",Tabla1[[#This Row],[Complejidad]]),Catalogos!E$120:G$128,3,FALSE),"")</f>
        <v>64</v>
      </c>
      <c r="V2374" s="31" t="str">
        <f>IF(Tabla1[[#This Row],[Tiempo solución max (hrs)]]&lt;&gt;"",IF(Tabla1[[#This Row],[Tiempo solución max (hrs)]]&gt;=Tabla1[[#This Row],[Tiempo
(Hrs 00/100)]],"cumple","no cumple"),"")</f>
        <v>cumple</v>
      </c>
      <c r="W2374" s="629" t="s">
        <v>3327</v>
      </c>
      <c r="X2374" s="377" t="str">
        <f t="shared" si="204"/>
        <v>SAI</v>
      </c>
      <c r="Y2374" t="str">
        <f>SUBSTITUTE(Tabla1[[#This Row],[Descripción]],CHAR(10),"    I    ")</f>
        <v>Sesión de levantamiento de información con el cliente, llenado de documento de Análisis, matriz de requerimientos y mockups Requerimientos 3.2.5,3.2.6,3.2.7</v>
      </c>
      <c r="Z2374" s="142">
        <f>VLOOKUP(Tabla1[[#This Row],[Perfil]],Catalogos!$B$75:$D$100,3,FALSE)*Tabla1[[#This Row],[Tiempo
(Hrs 00/100)]]*1.16</f>
        <v>4176</v>
      </c>
      <c r="AA2374" t="s">
        <v>3356</v>
      </c>
    </row>
    <row r="2375" spans="1:27" ht="15" customHeight="1" thickBot="1" x14ac:dyDescent="0.35">
      <c r="A2375" s="655" t="s">
        <v>58</v>
      </c>
      <c r="B2375" s="655" t="s">
        <v>305</v>
      </c>
      <c r="C2375" s="655" t="s">
        <v>49</v>
      </c>
      <c r="D2375" s="655"/>
      <c r="E2375" s="655" t="s">
        <v>4133</v>
      </c>
      <c r="F2375" s="655" t="s">
        <v>72</v>
      </c>
      <c r="G2375" s="655" t="s">
        <v>4153</v>
      </c>
      <c r="H2375" s="656" t="s">
        <v>4135</v>
      </c>
      <c r="I2375" s="657" t="s">
        <v>4154</v>
      </c>
      <c r="J2375" s="732">
        <v>45218</v>
      </c>
      <c r="K2375" s="775">
        <v>0.375</v>
      </c>
      <c r="L2375" s="732">
        <v>45218</v>
      </c>
      <c r="M2375" s="775">
        <v>0.79166666666666663</v>
      </c>
      <c r="N2375" s="658">
        <v>8</v>
      </c>
      <c r="O2375" s="659" t="s">
        <v>17</v>
      </c>
      <c r="P2375" s="660" t="s">
        <v>4137</v>
      </c>
      <c r="Q2375" s="661" t="s">
        <v>4138</v>
      </c>
      <c r="R2375" s="662" t="s">
        <v>80</v>
      </c>
      <c r="S2375" s="31" t="s">
        <v>273</v>
      </c>
      <c r="T2375" s="31" t="s">
        <v>273</v>
      </c>
      <c r="U2375" s="31">
        <f>IFERROR(VLOOKUP(CONCATENATE(Tabla1[[#This Row],[Severidad]]," ",Tabla1[[#This Row],[Complejidad]]),Catalogos!E$120:G$128,3,FALSE),"")</f>
        <v>64</v>
      </c>
      <c r="V2375" s="31" t="str">
        <f>IF(Tabla1[[#This Row],[Tiempo solución max (hrs)]]&lt;&gt;"",IF(Tabla1[[#This Row],[Tiempo solución max (hrs)]]&gt;=Tabla1[[#This Row],[Tiempo
(Hrs 00/100)]],"cumple","no cumple"),"")</f>
        <v>cumple</v>
      </c>
      <c r="W2375" s="629" t="s">
        <v>3327</v>
      </c>
      <c r="X2375" s="377" t="str">
        <f t="shared" si="204"/>
        <v>SAI</v>
      </c>
      <c r="Y2375" t="str">
        <f>SUBSTITUTE(Tabla1[[#This Row],[Descripción]],CHAR(10),"    I    ")</f>
        <v>Sesión de levantamiento de información con el cliente, llenado de documento de Análisis, matriz de requerimientos y mockups Requerimientos 3.2.8,3.2.9, 3.3.5,3.5.5</v>
      </c>
      <c r="Z2375" s="142">
        <f>VLOOKUP(Tabla1[[#This Row],[Perfil]],Catalogos!$B$75:$D$100,3,FALSE)*Tabla1[[#This Row],[Tiempo
(Hrs 00/100)]]*1.16</f>
        <v>4176</v>
      </c>
      <c r="AA2375" t="s">
        <v>3356</v>
      </c>
    </row>
    <row r="2376" spans="1:27" ht="15" customHeight="1" thickBot="1" x14ac:dyDescent="0.35">
      <c r="A2376" s="655" t="s">
        <v>58</v>
      </c>
      <c r="B2376" s="655" t="s">
        <v>305</v>
      </c>
      <c r="C2376" s="655" t="s">
        <v>49</v>
      </c>
      <c r="D2376" s="655"/>
      <c r="E2376" s="655" t="s">
        <v>4133</v>
      </c>
      <c r="F2376" s="655" t="s">
        <v>72</v>
      </c>
      <c r="G2376" s="655" t="s">
        <v>4155</v>
      </c>
      <c r="H2376" s="656" t="s">
        <v>4135</v>
      </c>
      <c r="I2376" s="657" t="s">
        <v>4156</v>
      </c>
      <c r="J2376" s="732">
        <v>45219</v>
      </c>
      <c r="K2376" s="775">
        <v>0.375</v>
      </c>
      <c r="L2376" s="732">
        <v>45219</v>
      </c>
      <c r="M2376" s="775">
        <v>0.79166666666666663</v>
      </c>
      <c r="N2376" s="658">
        <v>8</v>
      </c>
      <c r="O2376" s="659" t="s">
        <v>17</v>
      </c>
      <c r="P2376" s="660" t="s">
        <v>4137</v>
      </c>
      <c r="Q2376" s="661" t="s">
        <v>4138</v>
      </c>
      <c r="R2376" s="662" t="s">
        <v>80</v>
      </c>
      <c r="S2376" s="31" t="s">
        <v>273</v>
      </c>
      <c r="T2376" s="31" t="s">
        <v>273</v>
      </c>
      <c r="U2376" s="31">
        <f>IFERROR(VLOOKUP(CONCATENATE(Tabla1[[#This Row],[Severidad]]," ",Tabla1[[#This Row],[Complejidad]]),Catalogos!E$120:G$128,3,FALSE),"")</f>
        <v>64</v>
      </c>
      <c r="V2376" s="31" t="str">
        <f>IF(Tabla1[[#This Row],[Tiempo solución max (hrs)]]&lt;&gt;"",IF(Tabla1[[#This Row],[Tiempo solución max (hrs)]]&gt;=Tabla1[[#This Row],[Tiempo
(Hrs 00/100)]],"cumple","no cumple"),"")</f>
        <v>cumple</v>
      </c>
      <c r="W2376" s="629" t="s">
        <v>3327</v>
      </c>
      <c r="X2376" s="377" t="str">
        <f t="shared" si="204"/>
        <v>SAI</v>
      </c>
      <c r="Y2376" t="str">
        <f>SUBSTITUTE(Tabla1[[#This Row],[Descripción]],CHAR(10),"    I    ")</f>
        <v>Sesión de levantamiento de información con el cliente, llenado de documento de Análisis, matriz de requerimientos y mockups Requerimientos 3.2.10,3.3.6,3.5.6</v>
      </c>
      <c r="Z2376" s="142">
        <f>VLOOKUP(Tabla1[[#This Row],[Perfil]],Catalogos!$B$75:$D$100,3,FALSE)*Tabla1[[#This Row],[Tiempo
(Hrs 00/100)]]*1.16</f>
        <v>4176</v>
      </c>
      <c r="AA2376" t="s">
        <v>3356</v>
      </c>
    </row>
    <row r="2377" spans="1:27" ht="15" customHeight="1" thickBot="1" x14ac:dyDescent="0.35">
      <c r="A2377" s="655" t="s">
        <v>58</v>
      </c>
      <c r="B2377" s="655" t="s">
        <v>305</v>
      </c>
      <c r="C2377" s="655" t="s">
        <v>49</v>
      </c>
      <c r="D2377" s="655"/>
      <c r="E2377" s="655" t="s">
        <v>4133</v>
      </c>
      <c r="F2377" s="655" t="s">
        <v>72</v>
      </c>
      <c r="G2377" s="655" t="s">
        <v>4157</v>
      </c>
      <c r="H2377" s="656" t="s">
        <v>4135</v>
      </c>
      <c r="I2377" s="657" t="s">
        <v>4158</v>
      </c>
      <c r="J2377" s="732">
        <v>45222</v>
      </c>
      <c r="K2377" s="775">
        <v>0.375</v>
      </c>
      <c r="L2377" s="732">
        <v>45222</v>
      </c>
      <c r="M2377" s="775">
        <v>0.79166666666666663</v>
      </c>
      <c r="N2377" s="658">
        <v>8</v>
      </c>
      <c r="O2377" s="659" t="s">
        <v>17</v>
      </c>
      <c r="P2377" s="660" t="s">
        <v>4137</v>
      </c>
      <c r="Q2377" s="661" t="s">
        <v>4138</v>
      </c>
      <c r="R2377" s="662" t="s">
        <v>80</v>
      </c>
      <c r="S2377" s="31" t="s">
        <v>273</v>
      </c>
      <c r="T2377" s="31" t="s">
        <v>273</v>
      </c>
      <c r="U2377" s="31">
        <f>IFERROR(VLOOKUP(CONCATENATE(Tabla1[[#This Row],[Severidad]]," ",Tabla1[[#This Row],[Complejidad]]),Catalogos!E$120:G$128,3,FALSE),"")</f>
        <v>64</v>
      </c>
      <c r="V2377" s="31" t="str">
        <f>IF(Tabla1[[#This Row],[Tiempo solución max (hrs)]]&lt;&gt;"",IF(Tabla1[[#This Row],[Tiempo solución max (hrs)]]&gt;=Tabla1[[#This Row],[Tiempo
(Hrs 00/100)]],"cumple","no cumple"),"")</f>
        <v>cumple</v>
      </c>
      <c r="W2377" s="629" t="s">
        <v>3327</v>
      </c>
      <c r="X2377" s="377" t="str">
        <f t="shared" si="204"/>
        <v>SAI</v>
      </c>
      <c r="Y2377" t="str">
        <f>SUBSTITUTE(Tabla1[[#This Row],[Descripción]],CHAR(10),"    I    ")</f>
        <v>Sesión de levantamiento de información con el cliente, llenado de documento de Análisis, matriz de requerimientos y mockups Requerimientos 3.2.11,3.3.1, 3.5.1</v>
      </c>
      <c r="Z2377" s="142">
        <f>VLOOKUP(Tabla1[[#This Row],[Perfil]],Catalogos!$B$75:$D$100,3,FALSE)*Tabla1[[#This Row],[Tiempo
(Hrs 00/100)]]*1.16</f>
        <v>4176</v>
      </c>
      <c r="AA2377" t="s">
        <v>3356</v>
      </c>
    </row>
    <row r="2378" spans="1:27" ht="15" customHeight="1" thickBot="1" x14ac:dyDescent="0.35">
      <c r="A2378" s="655" t="s">
        <v>58</v>
      </c>
      <c r="B2378" s="655" t="s">
        <v>305</v>
      </c>
      <c r="C2378" s="655" t="s">
        <v>49</v>
      </c>
      <c r="D2378" s="655"/>
      <c r="E2378" s="655" t="s">
        <v>4133</v>
      </c>
      <c r="F2378" s="655" t="s">
        <v>72</v>
      </c>
      <c r="G2378" s="655" t="s">
        <v>4159</v>
      </c>
      <c r="H2378" s="656" t="s">
        <v>4135</v>
      </c>
      <c r="I2378" s="657" t="s">
        <v>4160</v>
      </c>
      <c r="J2378" s="732">
        <v>45223</v>
      </c>
      <c r="K2378" s="775">
        <v>0.375</v>
      </c>
      <c r="L2378" s="732">
        <v>45223</v>
      </c>
      <c r="M2378" s="775">
        <v>0.79166666666666663</v>
      </c>
      <c r="N2378" s="658">
        <v>8</v>
      </c>
      <c r="O2378" s="659" t="s">
        <v>17</v>
      </c>
      <c r="P2378" s="660" t="s">
        <v>4137</v>
      </c>
      <c r="Q2378" s="661" t="s">
        <v>4138</v>
      </c>
      <c r="R2378" s="662" t="s">
        <v>80</v>
      </c>
      <c r="S2378" s="31" t="s">
        <v>273</v>
      </c>
      <c r="T2378" s="31" t="s">
        <v>273</v>
      </c>
      <c r="U2378" s="31">
        <f>IFERROR(VLOOKUP(CONCATENATE(Tabla1[[#This Row],[Severidad]]," ",Tabla1[[#This Row],[Complejidad]]),Catalogos!E$120:G$128,3,FALSE),"")</f>
        <v>64</v>
      </c>
      <c r="V2378" s="31" t="str">
        <f>IF(Tabla1[[#This Row],[Tiempo solución max (hrs)]]&lt;&gt;"",IF(Tabla1[[#This Row],[Tiempo solución max (hrs)]]&gt;=Tabla1[[#This Row],[Tiempo
(Hrs 00/100)]],"cumple","no cumple"),"")</f>
        <v>cumple</v>
      </c>
      <c r="W2378" s="629" t="s">
        <v>3327</v>
      </c>
      <c r="X2378" s="377" t="str">
        <f t="shared" si="204"/>
        <v>SAI</v>
      </c>
      <c r="Y2378" t="str">
        <f>SUBSTITUTE(Tabla1[[#This Row],[Descripción]],CHAR(10),"    I    ")</f>
        <v>Sesión de levantamiento de información con el cliente, llenado de documento de Análisis, matriz de requerimientos y mockups Requerimientos 3.2.12,3.3.2,3.5.2</v>
      </c>
      <c r="Z2378" s="142">
        <f>VLOOKUP(Tabla1[[#This Row],[Perfil]],Catalogos!$B$75:$D$100,3,FALSE)*Tabla1[[#This Row],[Tiempo
(Hrs 00/100)]]*1.16</f>
        <v>4176</v>
      </c>
      <c r="AA2378" t="s">
        <v>3356</v>
      </c>
    </row>
    <row r="2379" spans="1:27" ht="15" customHeight="1" thickBot="1" x14ac:dyDescent="0.35">
      <c r="A2379" s="655" t="s">
        <v>58</v>
      </c>
      <c r="B2379" s="655" t="s">
        <v>305</v>
      </c>
      <c r="C2379" s="655" t="s">
        <v>49</v>
      </c>
      <c r="D2379" s="655"/>
      <c r="E2379" s="655" t="s">
        <v>4133</v>
      </c>
      <c r="F2379" s="655" t="s">
        <v>72</v>
      </c>
      <c r="G2379" s="655" t="s">
        <v>4161</v>
      </c>
      <c r="H2379" s="656" t="s">
        <v>4135</v>
      </c>
      <c r="I2379" s="657" t="s">
        <v>4162</v>
      </c>
      <c r="J2379" s="732">
        <v>45224</v>
      </c>
      <c r="K2379" s="775">
        <v>0.375</v>
      </c>
      <c r="L2379" s="732">
        <v>45224</v>
      </c>
      <c r="M2379" s="775">
        <v>0.79166666666666663</v>
      </c>
      <c r="N2379" s="658">
        <v>8</v>
      </c>
      <c r="O2379" s="659" t="s">
        <v>17</v>
      </c>
      <c r="P2379" s="660" t="s">
        <v>4137</v>
      </c>
      <c r="Q2379" s="661" t="s">
        <v>4138</v>
      </c>
      <c r="R2379" s="662" t="s">
        <v>80</v>
      </c>
      <c r="S2379" s="31" t="s">
        <v>273</v>
      </c>
      <c r="T2379" s="31" t="s">
        <v>273</v>
      </c>
      <c r="U2379" s="31">
        <f>IFERROR(VLOOKUP(CONCATENATE(Tabla1[[#This Row],[Severidad]]," ",Tabla1[[#This Row],[Complejidad]]),Catalogos!E$120:G$128,3,FALSE),"")</f>
        <v>64</v>
      </c>
      <c r="V2379" s="31" t="str">
        <f>IF(Tabla1[[#This Row],[Tiempo solución max (hrs)]]&lt;&gt;"",IF(Tabla1[[#This Row],[Tiempo solución max (hrs)]]&gt;=Tabla1[[#This Row],[Tiempo
(Hrs 00/100)]],"cumple","no cumple"),"")</f>
        <v>cumple</v>
      </c>
      <c r="W2379" s="629" t="s">
        <v>3327</v>
      </c>
      <c r="X2379" s="377" t="str">
        <f t="shared" si="204"/>
        <v>SAI</v>
      </c>
      <c r="Y2379" t="str">
        <f>SUBSTITUTE(Tabla1[[#This Row],[Descripción]],CHAR(10),"    I    ")</f>
        <v>Sesión de levantamiento de información con el cliente, llenado de documento de Análisis, matriz de requerimientos y mockups Requerimientos 3.2.13,3.3.3,3.4.2,3.4.3,3.5.3</v>
      </c>
      <c r="Z2379" s="142">
        <f>VLOOKUP(Tabla1[[#This Row],[Perfil]],Catalogos!$B$75:$D$100,3,FALSE)*Tabla1[[#This Row],[Tiempo
(Hrs 00/100)]]*1.16</f>
        <v>4176</v>
      </c>
      <c r="AA2379" t="s">
        <v>3356</v>
      </c>
    </row>
    <row r="2380" spans="1:27" ht="15" customHeight="1" thickBot="1" x14ac:dyDescent="0.35">
      <c r="A2380" s="655" t="s">
        <v>58</v>
      </c>
      <c r="B2380" s="655" t="s">
        <v>305</v>
      </c>
      <c r="C2380" s="655" t="s">
        <v>49</v>
      </c>
      <c r="D2380" s="655"/>
      <c r="E2380" s="655" t="s">
        <v>4133</v>
      </c>
      <c r="F2380" s="655" t="s">
        <v>72</v>
      </c>
      <c r="G2380" s="655" t="s">
        <v>4163</v>
      </c>
      <c r="H2380" s="656" t="s">
        <v>4135</v>
      </c>
      <c r="I2380" s="657" t="s">
        <v>4164</v>
      </c>
      <c r="J2380" s="732">
        <v>45225</v>
      </c>
      <c r="K2380" s="775">
        <v>0.375</v>
      </c>
      <c r="L2380" s="732">
        <v>45225</v>
      </c>
      <c r="M2380" s="775">
        <v>0.79166666666666663</v>
      </c>
      <c r="N2380" s="658">
        <v>8</v>
      </c>
      <c r="O2380" s="659" t="s">
        <v>17</v>
      </c>
      <c r="P2380" s="660" t="s">
        <v>4137</v>
      </c>
      <c r="Q2380" s="661" t="s">
        <v>4138</v>
      </c>
      <c r="R2380" s="662" t="s">
        <v>80</v>
      </c>
      <c r="S2380" s="31" t="s">
        <v>273</v>
      </c>
      <c r="T2380" s="31" t="s">
        <v>273</v>
      </c>
      <c r="U2380" s="31">
        <f>IFERROR(VLOOKUP(CONCATENATE(Tabla1[[#This Row],[Severidad]]," ",Tabla1[[#This Row],[Complejidad]]),Catalogos!E$120:G$128,3,FALSE),"")</f>
        <v>64</v>
      </c>
      <c r="V2380" s="31" t="str">
        <f>IF(Tabla1[[#This Row],[Tiempo solución max (hrs)]]&lt;&gt;"",IF(Tabla1[[#This Row],[Tiempo solución max (hrs)]]&gt;=Tabla1[[#This Row],[Tiempo
(Hrs 00/100)]],"cumple","no cumple"),"")</f>
        <v>cumple</v>
      </c>
      <c r="W2380" s="629" t="s">
        <v>3327</v>
      </c>
      <c r="X2380" s="377" t="str">
        <f t="shared" si="204"/>
        <v>SAI</v>
      </c>
      <c r="Y2380" t="str">
        <f>SUBSTITUTE(Tabla1[[#This Row],[Descripción]],CHAR(10),"    I    ")</f>
        <v>Sesión de levantamiento de información con el cliente, llenado de documento de Análisis, matriz de requerimientos y mockups Requerimientos 3.2.14,3.3.4,3.5.4</v>
      </c>
      <c r="Z2380" s="142">
        <f>VLOOKUP(Tabla1[[#This Row],[Perfil]],Catalogos!$B$75:$D$100,3,FALSE)*Tabla1[[#This Row],[Tiempo
(Hrs 00/100)]]*1.16</f>
        <v>4176</v>
      </c>
      <c r="AA2380" t="s">
        <v>3356</v>
      </c>
    </row>
    <row r="2381" spans="1:27" ht="15" customHeight="1" thickBot="1" x14ac:dyDescent="0.35">
      <c r="A2381" s="655" t="s">
        <v>58</v>
      </c>
      <c r="B2381" s="655" t="s">
        <v>305</v>
      </c>
      <c r="C2381" s="655" t="s">
        <v>49</v>
      </c>
      <c r="D2381" s="655"/>
      <c r="E2381" s="655" t="s">
        <v>4133</v>
      </c>
      <c r="F2381" s="655" t="s">
        <v>72</v>
      </c>
      <c r="G2381" s="655" t="s">
        <v>4165</v>
      </c>
      <c r="H2381" s="656" t="s">
        <v>4135</v>
      </c>
      <c r="I2381" s="657" t="s">
        <v>4166</v>
      </c>
      <c r="J2381" s="732">
        <v>45226</v>
      </c>
      <c r="K2381" s="775">
        <v>0.375</v>
      </c>
      <c r="L2381" s="732">
        <v>45226</v>
      </c>
      <c r="M2381" s="775">
        <v>0.79166666666666663</v>
      </c>
      <c r="N2381" s="658">
        <v>8</v>
      </c>
      <c r="O2381" s="659" t="s">
        <v>17</v>
      </c>
      <c r="P2381" s="660" t="s">
        <v>4137</v>
      </c>
      <c r="Q2381" s="661" t="s">
        <v>4138</v>
      </c>
      <c r="R2381" s="662" t="s">
        <v>80</v>
      </c>
      <c r="S2381" s="31" t="s">
        <v>273</v>
      </c>
      <c r="T2381" s="31" t="s">
        <v>273</v>
      </c>
      <c r="U2381" s="31">
        <f>IFERROR(VLOOKUP(CONCATENATE(Tabla1[[#This Row],[Severidad]]," ",Tabla1[[#This Row],[Complejidad]]),Catalogos!E$120:G$128,3,FALSE),"")</f>
        <v>64</v>
      </c>
      <c r="V2381" s="31" t="str">
        <f>IF(Tabla1[[#This Row],[Tiempo solución max (hrs)]]&lt;&gt;"",IF(Tabla1[[#This Row],[Tiempo solución max (hrs)]]&gt;=Tabla1[[#This Row],[Tiempo
(Hrs 00/100)]],"cumple","no cumple"),"")</f>
        <v>cumple</v>
      </c>
      <c r="W2381" s="629" t="s">
        <v>3327</v>
      </c>
      <c r="X2381" s="377" t="str">
        <f t="shared" si="204"/>
        <v>SAI</v>
      </c>
      <c r="Y2381" t="str">
        <f>SUBSTITUTE(Tabla1[[#This Row],[Descripción]],CHAR(10),"    I    ")</f>
        <v>Sesión de levantamiento de información con el cliente, llenado de documento de Análisis, matriz de requerimientos y mockups Requerimientos 3.2.15, 3.5.7</v>
      </c>
      <c r="Z2381" s="142">
        <f>VLOOKUP(Tabla1[[#This Row],[Perfil]],Catalogos!$B$75:$D$100,3,FALSE)*Tabla1[[#This Row],[Tiempo
(Hrs 00/100)]]*1.16</f>
        <v>4176</v>
      </c>
      <c r="AA2381" t="s">
        <v>3356</v>
      </c>
    </row>
    <row r="2382" spans="1:27" ht="15" customHeight="1" thickBot="1" x14ac:dyDescent="0.35">
      <c r="A2382" s="655" t="s">
        <v>58</v>
      </c>
      <c r="B2382" s="655" t="s">
        <v>305</v>
      </c>
      <c r="C2382" s="655" t="s">
        <v>49</v>
      </c>
      <c r="D2382" s="655"/>
      <c r="E2382" s="655" t="s">
        <v>4133</v>
      </c>
      <c r="F2382" s="655" t="s">
        <v>72</v>
      </c>
      <c r="G2382" s="655" t="s">
        <v>4167</v>
      </c>
      <c r="H2382" s="656" t="s">
        <v>4135</v>
      </c>
      <c r="I2382" s="657" t="s">
        <v>4168</v>
      </c>
      <c r="J2382" s="732">
        <v>45229</v>
      </c>
      <c r="K2382" s="775">
        <v>0.375</v>
      </c>
      <c r="L2382" s="732">
        <v>45229</v>
      </c>
      <c r="M2382" s="775">
        <v>0.79166666666666663</v>
      </c>
      <c r="N2382" s="658">
        <v>8</v>
      </c>
      <c r="O2382" s="659" t="s">
        <v>17</v>
      </c>
      <c r="P2382" s="660" t="s">
        <v>4137</v>
      </c>
      <c r="Q2382" s="661" t="s">
        <v>4138</v>
      </c>
      <c r="R2382" s="662" t="s">
        <v>80</v>
      </c>
      <c r="S2382" s="31" t="s">
        <v>273</v>
      </c>
      <c r="T2382" s="31" t="s">
        <v>273</v>
      </c>
      <c r="U2382" s="31">
        <f>IFERROR(VLOOKUP(CONCATENATE(Tabla1[[#This Row],[Severidad]]," ",Tabla1[[#This Row],[Complejidad]]),Catalogos!E$120:G$128,3,FALSE),"")</f>
        <v>64</v>
      </c>
      <c r="V2382" s="31" t="str">
        <f>IF(Tabla1[[#This Row],[Tiempo solución max (hrs)]]&lt;&gt;"",IF(Tabla1[[#This Row],[Tiempo solución max (hrs)]]&gt;=Tabla1[[#This Row],[Tiempo
(Hrs 00/100)]],"cumple","no cumple"),"")</f>
        <v>cumple</v>
      </c>
      <c r="W2382" s="629" t="s">
        <v>3327</v>
      </c>
      <c r="X2382" s="377" t="str">
        <f t="shared" si="204"/>
        <v>SAI</v>
      </c>
      <c r="Y2382" t="str">
        <f>SUBSTITUTE(Tabla1[[#This Row],[Descripción]],CHAR(10),"    I    ")</f>
        <v>Sesión de levantamiento de información con el cliente, llenado de documento de Análisis, matriz de requerimientos y mockups Requerimientos 3.4.1,3.4.4,3.4.5,3.5.9,3.5.8,1,2,2.1,2.2,2.3,2.4</v>
      </c>
      <c r="Z2382" s="142">
        <f>VLOOKUP(Tabla1[[#This Row],[Perfil]],Catalogos!$B$75:$D$100,3,FALSE)*Tabla1[[#This Row],[Tiempo
(Hrs 00/100)]]*1.16</f>
        <v>4176</v>
      </c>
      <c r="AA2382" t="s">
        <v>3356</v>
      </c>
    </row>
    <row r="2383" spans="1:27" ht="15" customHeight="1" thickBot="1" x14ac:dyDescent="0.35">
      <c r="A2383" s="655" t="s">
        <v>58</v>
      </c>
      <c r="B2383" s="655" t="s">
        <v>305</v>
      </c>
      <c r="C2383" s="655" t="s">
        <v>49</v>
      </c>
      <c r="D2383" s="655"/>
      <c r="E2383" s="655" t="s">
        <v>4133</v>
      </c>
      <c r="F2383" s="655" t="s">
        <v>72</v>
      </c>
      <c r="G2383" s="655" t="s">
        <v>4169</v>
      </c>
      <c r="H2383" s="656" t="s">
        <v>4135</v>
      </c>
      <c r="I2383" s="657" t="s">
        <v>4170</v>
      </c>
      <c r="J2383" s="732">
        <v>45230</v>
      </c>
      <c r="K2383" s="775">
        <v>0.375</v>
      </c>
      <c r="L2383" s="732">
        <v>45230</v>
      </c>
      <c r="M2383" s="775">
        <v>0.79166666666666663</v>
      </c>
      <c r="N2383" s="658">
        <v>8</v>
      </c>
      <c r="O2383" s="659" t="s">
        <v>17</v>
      </c>
      <c r="P2383" s="660" t="s">
        <v>4137</v>
      </c>
      <c r="Q2383" s="661" t="s">
        <v>4138</v>
      </c>
      <c r="R2383" s="662" t="s">
        <v>80</v>
      </c>
      <c r="S2383" s="31" t="s">
        <v>273</v>
      </c>
      <c r="T2383" s="31" t="s">
        <v>273</v>
      </c>
      <c r="U2383" s="31">
        <f>IFERROR(VLOOKUP(CONCATENATE(Tabla1[[#This Row],[Severidad]]," ",Tabla1[[#This Row],[Complejidad]]),Catalogos!E$120:G$128,3,FALSE),"")</f>
        <v>64</v>
      </c>
      <c r="V2383" s="31" t="str">
        <f>IF(Tabla1[[#This Row],[Tiempo solución max (hrs)]]&lt;&gt;"",IF(Tabla1[[#This Row],[Tiempo solución max (hrs)]]&gt;=Tabla1[[#This Row],[Tiempo
(Hrs 00/100)]],"cumple","no cumple"),"")</f>
        <v>cumple</v>
      </c>
      <c r="W2383" s="629" t="s">
        <v>3327</v>
      </c>
      <c r="X2383" s="377" t="str">
        <f t="shared" si="204"/>
        <v>SAI</v>
      </c>
      <c r="Y2383" t="str">
        <f>SUBSTITUTE(Tabla1[[#This Row],[Descripción]],CHAR(10),"    I    ")</f>
        <v>Sesión de levantamiento de información con el cliente, llenado de documento de Análisis, matriz de requerimientos y mockups Requerimientos 2.5,3,3.1,3.2,3.3,3.4,3.5,4,4.1,4.2</v>
      </c>
      <c r="Z2383" s="142">
        <f>VLOOKUP(Tabla1[[#This Row],[Perfil]],Catalogos!$B$75:$D$100,3,FALSE)*Tabla1[[#This Row],[Tiempo
(Hrs 00/100)]]*1.16</f>
        <v>4176</v>
      </c>
      <c r="AA2383" t="s">
        <v>3356</v>
      </c>
    </row>
    <row r="2384" spans="1:27" ht="15" customHeight="1" thickBot="1" x14ac:dyDescent="0.35">
      <c r="A2384" s="655" t="s">
        <v>58</v>
      </c>
      <c r="B2384" s="655" t="s">
        <v>65</v>
      </c>
      <c r="C2384" s="655" t="s">
        <v>49</v>
      </c>
      <c r="D2384" s="655"/>
      <c r="E2384" s="655" t="s">
        <v>4133</v>
      </c>
      <c r="F2384" s="655" t="s">
        <v>73</v>
      </c>
      <c r="G2384" s="655" t="s">
        <v>4171</v>
      </c>
      <c r="H2384" s="656" t="s">
        <v>4172</v>
      </c>
      <c r="I2384" s="657" t="s">
        <v>4173</v>
      </c>
      <c r="J2384" s="732">
        <v>45225</v>
      </c>
      <c r="K2384" s="775">
        <v>0.375</v>
      </c>
      <c r="L2384" s="732">
        <v>45225</v>
      </c>
      <c r="M2384" s="775">
        <v>0.79166666666666663</v>
      </c>
      <c r="N2384" s="658">
        <v>8</v>
      </c>
      <c r="O2384" s="659" t="s">
        <v>17</v>
      </c>
      <c r="P2384" s="660" t="s">
        <v>4174</v>
      </c>
      <c r="Q2384" s="661" t="s">
        <v>4175</v>
      </c>
      <c r="R2384" s="662" t="s">
        <v>81</v>
      </c>
      <c r="S2384" s="31" t="s">
        <v>273</v>
      </c>
      <c r="T2384" s="31" t="s">
        <v>273</v>
      </c>
      <c r="U2384" s="31">
        <f>IFERROR(VLOOKUP(CONCATENATE(Tabla1[[#This Row],[Severidad]]," ",Tabla1[[#This Row],[Complejidad]]),Catalogos!E$120:G$128,3,FALSE),"")</f>
        <v>64</v>
      </c>
      <c r="V2384" s="31" t="str">
        <f>IF(Tabla1[[#This Row],[Tiempo solución max (hrs)]]&lt;&gt;"",IF(Tabla1[[#This Row],[Tiempo solución max (hrs)]]&gt;=Tabla1[[#This Row],[Tiempo
(Hrs 00/100)]],"cumple","no cumple"),"")</f>
        <v>cumple</v>
      </c>
      <c r="W2384" s="629" t="s">
        <v>3327</v>
      </c>
      <c r="X2384" s="377" t="str">
        <f t="shared" si="204"/>
        <v>SAI</v>
      </c>
      <c r="Y2384" t="str">
        <f>SUBSTITUTE(Tabla1[[#This Row],[Descripción]],CHAR(10),"    I    ")</f>
        <v>Revisión de los casos de uso ( Documento de Análisis) para elaboración del Diseño de los Casos de Prueba (Plan de pruebas), Requerimientos: 1.1,1.2,1.3,1.4,1.5,1.6,1.7,1.8,2.4.1,2.4.2,2.5.1</v>
      </c>
      <c r="Z2384" s="142">
        <f>VLOOKUP(Tabla1[[#This Row],[Perfil]],Catalogos!$B$75:$D$100,3,FALSE)*Tabla1[[#This Row],[Tiempo
(Hrs 00/100)]]*1.16</f>
        <v>4640</v>
      </c>
      <c r="AA2384" t="s">
        <v>3356</v>
      </c>
    </row>
    <row r="2385" spans="1:27" ht="15" customHeight="1" thickBot="1" x14ac:dyDescent="0.35">
      <c r="A2385" s="655" t="s">
        <v>58</v>
      </c>
      <c r="B2385" s="655" t="s">
        <v>65</v>
      </c>
      <c r="C2385" s="655" t="s">
        <v>49</v>
      </c>
      <c r="D2385" s="655"/>
      <c r="E2385" s="655" t="s">
        <v>4133</v>
      </c>
      <c r="F2385" s="655" t="s">
        <v>73</v>
      </c>
      <c r="G2385" s="655" t="s">
        <v>4176</v>
      </c>
      <c r="H2385" s="656" t="s">
        <v>4172</v>
      </c>
      <c r="I2385" s="657" t="s">
        <v>4177</v>
      </c>
      <c r="J2385" s="732">
        <v>45226</v>
      </c>
      <c r="K2385" s="775">
        <v>0.375</v>
      </c>
      <c r="L2385" s="732">
        <v>45226</v>
      </c>
      <c r="M2385" s="775">
        <v>0.79166666666666663</v>
      </c>
      <c r="N2385" s="658">
        <v>8</v>
      </c>
      <c r="O2385" s="659" t="s">
        <v>17</v>
      </c>
      <c r="P2385" s="660" t="s">
        <v>4174</v>
      </c>
      <c r="Q2385" s="661" t="s">
        <v>4175</v>
      </c>
      <c r="R2385" s="662" t="s">
        <v>81</v>
      </c>
      <c r="S2385" s="31" t="s">
        <v>273</v>
      </c>
      <c r="T2385" s="31" t="s">
        <v>273</v>
      </c>
      <c r="U2385" s="31">
        <f>IFERROR(VLOOKUP(CONCATENATE(Tabla1[[#This Row],[Severidad]]," ",Tabla1[[#This Row],[Complejidad]]),Catalogos!E$120:G$128,3,FALSE),"")</f>
        <v>64</v>
      </c>
      <c r="V2385" s="31" t="str">
        <f>IF(Tabla1[[#This Row],[Tiempo solución max (hrs)]]&lt;&gt;"",IF(Tabla1[[#This Row],[Tiempo solución max (hrs)]]&gt;=Tabla1[[#This Row],[Tiempo
(Hrs 00/100)]],"cumple","no cumple"),"")</f>
        <v>cumple</v>
      </c>
      <c r="W2385" s="629" t="s">
        <v>3327</v>
      </c>
      <c r="X2385" s="377" t="str">
        <f t="shared" si="204"/>
        <v>SAI</v>
      </c>
      <c r="Y2385" t="str">
        <f>SUBSTITUTE(Tabla1[[#This Row],[Descripción]],CHAR(10),"    I    ")</f>
        <v>Revisión de los casos de uso ( Documento de Análisis) para elaboración del Diseño de los Casos de Prueba (Plan de pruebas), Requerimientos: 3.1.1, 3.2.16,3.3.9,3.5.10,3.2.1,3.3.7,3.2.2,3.2.3,3.2.4,3.3.8,3.2.5,3.2.6,3.2.7,3.2.8,3.2.9,3.3.5,3.5.5,3.2.10,3.3.6,3.5.6</v>
      </c>
      <c r="Z2385" s="142">
        <f>VLOOKUP(Tabla1[[#This Row],[Perfil]],Catalogos!$B$75:$D$100,3,FALSE)*Tabla1[[#This Row],[Tiempo
(Hrs 00/100)]]*1.16</f>
        <v>4640</v>
      </c>
      <c r="AA2385" t="s">
        <v>3356</v>
      </c>
    </row>
    <row r="2386" spans="1:27" ht="15" customHeight="1" thickBot="1" x14ac:dyDescent="0.35">
      <c r="A2386" s="655" t="s">
        <v>58</v>
      </c>
      <c r="B2386" s="655" t="s">
        <v>65</v>
      </c>
      <c r="C2386" s="655" t="s">
        <v>49</v>
      </c>
      <c r="D2386" s="655"/>
      <c r="E2386" s="655" t="s">
        <v>4133</v>
      </c>
      <c r="F2386" s="655" t="s">
        <v>73</v>
      </c>
      <c r="G2386" s="655" t="s">
        <v>4178</v>
      </c>
      <c r="H2386" s="656" t="s">
        <v>4172</v>
      </c>
      <c r="I2386" s="657" t="s">
        <v>4179</v>
      </c>
      <c r="J2386" s="732">
        <v>45229</v>
      </c>
      <c r="K2386" s="775">
        <v>0.375</v>
      </c>
      <c r="L2386" s="732">
        <v>45229</v>
      </c>
      <c r="M2386" s="775">
        <v>0.79166666666666663</v>
      </c>
      <c r="N2386" s="658">
        <v>8</v>
      </c>
      <c r="O2386" s="659" t="s">
        <v>17</v>
      </c>
      <c r="P2386" s="660" t="s">
        <v>4174</v>
      </c>
      <c r="Q2386" s="661" t="s">
        <v>4175</v>
      </c>
      <c r="R2386" s="662" t="s">
        <v>81</v>
      </c>
      <c r="S2386" s="31" t="s">
        <v>273</v>
      </c>
      <c r="T2386" s="31" t="s">
        <v>273</v>
      </c>
      <c r="U2386" s="31">
        <f>IFERROR(VLOOKUP(CONCATENATE(Tabla1[[#This Row],[Severidad]]," ",Tabla1[[#This Row],[Complejidad]]),Catalogos!E$120:G$128,3,FALSE),"")</f>
        <v>64</v>
      </c>
      <c r="V2386" s="31" t="str">
        <f>IF(Tabla1[[#This Row],[Tiempo solución max (hrs)]]&lt;&gt;"",IF(Tabla1[[#This Row],[Tiempo solución max (hrs)]]&gt;=Tabla1[[#This Row],[Tiempo
(Hrs 00/100)]],"cumple","no cumple"),"")</f>
        <v>cumple</v>
      </c>
      <c r="W2386" s="629" t="s">
        <v>3327</v>
      </c>
      <c r="X2386" s="377" t="str">
        <f t="shared" si="204"/>
        <v>SAI</v>
      </c>
      <c r="Y2386" t="str">
        <f>SUBSTITUTE(Tabla1[[#This Row],[Descripción]],CHAR(10),"    I    ")</f>
        <v>Revisión de los casos de uso ( Documento de Análisis) para elaboración del Diseño de los Casos de Prueba (Plan de pruebas), Requerimientos: 3.2.11,3.3.1,3.5.1,3.2.12,3.3.2,3.5.2,3.2.13,3.3.3,3.4.2,3.4.3,3.5.3,3.2.14,3.3.4,3.5.4,3.2.15,3.5.7,3.4.1,3.4.4,3.4.5,3.5.9,3.5.8,1,2</v>
      </c>
      <c r="Z2386" s="142">
        <f>VLOOKUP(Tabla1[[#This Row],[Perfil]],Catalogos!$B$75:$D$100,3,FALSE)*Tabla1[[#This Row],[Tiempo
(Hrs 00/100)]]*1.16</f>
        <v>4640</v>
      </c>
      <c r="AA2386" t="s">
        <v>3356</v>
      </c>
    </row>
    <row r="2387" spans="1:27" ht="15" customHeight="1" thickBot="1" x14ac:dyDescent="0.35">
      <c r="A2387" s="655" t="s">
        <v>58</v>
      </c>
      <c r="B2387" s="655" t="s">
        <v>65</v>
      </c>
      <c r="C2387" s="655" t="s">
        <v>49</v>
      </c>
      <c r="D2387" s="655"/>
      <c r="E2387" s="655" t="s">
        <v>4133</v>
      </c>
      <c r="F2387" s="655" t="s">
        <v>73</v>
      </c>
      <c r="G2387" s="655" t="s">
        <v>4180</v>
      </c>
      <c r="H2387" s="656" t="s">
        <v>4172</v>
      </c>
      <c r="I2387" s="657" t="s">
        <v>4181</v>
      </c>
      <c r="J2387" s="732">
        <v>45230</v>
      </c>
      <c r="K2387" s="775">
        <v>0.375</v>
      </c>
      <c r="L2387" s="732">
        <v>45230</v>
      </c>
      <c r="M2387" s="775">
        <v>0.79166666666666663</v>
      </c>
      <c r="N2387" s="658">
        <v>8</v>
      </c>
      <c r="O2387" s="659" t="s">
        <v>17</v>
      </c>
      <c r="P2387" s="660" t="s">
        <v>4174</v>
      </c>
      <c r="Q2387" s="661" t="s">
        <v>4175</v>
      </c>
      <c r="R2387" s="662" t="s">
        <v>81</v>
      </c>
      <c r="S2387" s="31" t="s">
        <v>273</v>
      </c>
      <c r="T2387" s="31" t="s">
        <v>273</v>
      </c>
      <c r="U2387" s="31">
        <f>IFERROR(VLOOKUP(CONCATENATE(Tabla1[[#This Row],[Severidad]]," ",Tabla1[[#This Row],[Complejidad]]),Catalogos!E$120:G$128,3,FALSE),"")</f>
        <v>64</v>
      </c>
      <c r="V2387" s="31" t="str">
        <f>IF(Tabla1[[#This Row],[Tiempo solución max (hrs)]]&lt;&gt;"",IF(Tabla1[[#This Row],[Tiempo solución max (hrs)]]&gt;=Tabla1[[#This Row],[Tiempo
(Hrs 00/100)]],"cumple","no cumple"),"")</f>
        <v>cumple</v>
      </c>
      <c r="W2387" s="629" t="s">
        <v>3327</v>
      </c>
      <c r="X2387" s="377" t="str">
        <f t="shared" si="204"/>
        <v>SAI</v>
      </c>
      <c r="Y2387" t="str">
        <f>SUBSTITUTE(Tabla1[[#This Row],[Descripción]],CHAR(10),"    I    ")</f>
        <v>Revisión de los casos de uso ( Documento de Análisis) para elaboración del Diseño de los Casos de Prueba (Plan de pruebas), Requerimientos: 2.1,2.2,2.3,2.4,2.5,3,3.1,3.2,3.3,3.4,3.5,4,4.1,4.2</v>
      </c>
      <c r="Z2387" s="142">
        <f>VLOOKUP(Tabla1[[#This Row],[Perfil]],Catalogos!$B$75:$D$100,3,FALSE)*Tabla1[[#This Row],[Tiempo
(Hrs 00/100)]]*1.16</f>
        <v>4640</v>
      </c>
      <c r="AA2387" t="s">
        <v>3356</v>
      </c>
    </row>
    <row r="2388" spans="1:27" ht="15" customHeight="1" thickBot="1" x14ac:dyDescent="0.35">
      <c r="A2388" s="647" t="s">
        <v>58</v>
      </c>
      <c r="B2388" s="647" t="s">
        <v>305</v>
      </c>
      <c r="C2388" s="647" t="s">
        <v>49</v>
      </c>
      <c r="D2388" s="647"/>
      <c r="E2388" s="647" t="s">
        <v>4133</v>
      </c>
      <c r="F2388" s="647" t="s">
        <v>72</v>
      </c>
      <c r="G2388" s="647" t="s">
        <v>4182</v>
      </c>
      <c r="H2388" s="648" t="s">
        <v>4183</v>
      </c>
      <c r="I2388" s="649" t="s">
        <v>4184</v>
      </c>
      <c r="J2388" s="673">
        <v>45204</v>
      </c>
      <c r="K2388" s="703">
        <v>0.375</v>
      </c>
      <c r="L2388" s="673">
        <v>45204</v>
      </c>
      <c r="M2388" s="663">
        <v>0.79166666666666663</v>
      </c>
      <c r="N2388" s="650">
        <v>8</v>
      </c>
      <c r="O2388" s="651" t="s">
        <v>17</v>
      </c>
      <c r="P2388" s="660" t="s">
        <v>4186</v>
      </c>
      <c r="Q2388" s="653" t="s">
        <v>28</v>
      </c>
      <c r="R2388" s="654" t="s">
        <v>78</v>
      </c>
      <c r="S2388" s="31" t="s">
        <v>273</v>
      </c>
      <c r="T2388" s="31" t="s">
        <v>273</v>
      </c>
      <c r="U2388" s="31">
        <f>IFERROR(VLOOKUP(CONCATENATE(Tabla1[[#This Row],[Severidad]]," ",Tabla1[[#This Row],[Complejidad]]),Catalogos!E$120:G$128,3,FALSE),"")</f>
        <v>64</v>
      </c>
      <c r="V2388" s="31" t="str">
        <f>IF(Tabla1[[#This Row],[Tiempo solución max (hrs)]]&lt;&gt;"",IF(Tabla1[[#This Row],[Tiempo solución max (hrs)]]&gt;=Tabla1[[#This Row],[Tiempo
(Hrs 00/100)]],"cumple","no cumple"),"")</f>
        <v>cumple</v>
      </c>
      <c r="W2388" s="629" t="s">
        <v>3327</v>
      </c>
      <c r="X2388" s="377" t="str">
        <f t="shared" si="204"/>
        <v>SAI</v>
      </c>
      <c r="Y2388" t="str">
        <f>SUBSTITUTE(Tabla1[[#This Row],[Descripción]],CHAR(10),"    I    ")</f>
        <v>Listado de Documentos    I    Plan de Alcance    I    Plan de Trabajo    I    Plan de Comunicaciones    I    Plan de Riesgos</v>
      </c>
      <c r="Z2388" s="142">
        <f>VLOOKUP(Tabla1[[#This Row],[Perfil]],Catalogos!$B$75:$D$100,3,FALSE)*Tabla1[[#This Row],[Tiempo
(Hrs 00/100)]]*1.16</f>
        <v>5568</v>
      </c>
      <c r="AA2388" t="s">
        <v>3356</v>
      </c>
    </row>
    <row r="2389" spans="1:27" ht="15" customHeight="1" thickBot="1" x14ac:dyDescent="0.35">
      <c r="A2389" s="647" t="s">
        <v>58</v>
      </c>
      <c r="B2389" s="647" t="s">
        <v>61</v>
      </c>
      <c r="C2389" s="647" t="s">
        <v>49</v>
      </c>
      <c r="D2389" s="647"/>
      <c r="E2389" s="647" t="s">
        <v>4133</v>
      </c>
      <c r="F2389" s="647" t="s">
        <v>72</v>
      </c>
      <c r="G2389" s="647" t="s">
        <v>4185</v>
      </c>
      <c r="H2389" s="648" t="s">
        <v>4194</v>
      </c>
      <c r="I2389" s="649" t="s">
        <v>4195</v>
      </c>
      <c r="J2389" s="673">
        <v>45205</v>
      </c>
      <c r="K2389" s="703">
        <v>0.375</v>
      </c>
      <c r="L2389" s="673">
        <v>45205</v>
      </c>
      <c r="M2389" s="663">
        <v>0.41666666666666669</v>
      </c>
      <c r="N2389" s="650">
        <v>1</v>
      </c>
      <c r="O2389" s="651" t="s">
        <v>17</v>
      </c>
      <c r="P2389" s="660" t="s">
        <v>4186</v>
      </c>
      <c r="Q2389" s="653" t="s">
        <v>28</v>
      </c>
      <c r="R2389" s="654" t="s">
        <v>78</v>
      </c>
      <c r="S2389" s="31" t="s">
        <v>273</v>
      </c>
      <c r="T2389" s="31" t="s">
        <v>273</v>
      </c>
      <c r="U2389" s="31">
        <f>IFERROR(VLOOKUP(CONCATENATE(Tabla1[[#This Row],[Severidad]]," ",Tabla1[[#This Row],[Complejidad]]),Catalogos!E$120:G$128,3,FALSE),"")</f>
        <v>64</v>
      </c>
      <c r="V2389" s="31" t="str">
        <f>IF(Tabla1[[#This Row],[Tiempo solución max (hrs)]]&lt;&gt;"",IF(Tabla1[[#This Row],[Tiempo solución max (hrs)]]&gt;=Tabla1[[#This Row],[Tiempo
(Hrs 00/100)]],"cumple","no cumple"),"")</f>
        <v>cumple</v>
      </c>
      <c r="W2389" s="629" t="s">
        <v>3327</v>
      </c>
      <c r="X2389" s="377" t="str">
        <f t="shared" si="204"/>
        <v>SAI</v>
      </c>
      <c r="Y2389" t="str">
        <f>SUBSTITUTE(Tabla1[[#This Row],[Descripción]],CHAR(10),"    I    ")</f>
        <v>Reunión de KickOff con el equipo interno y externo del proyecto</v>
      </c>
      <c r="Z2389" s="142">
        <f>VLOOKUP(Tabla1[[#This Row],[Perfil]],Catalogos!$B$75:$D$100,3,FALSE)*Tabla1[[#This Row],[Tiempo
(Hrs 00/100)]]*1.16</f>
        <v>696</v>
      </c>
      <c r="AA2389" t="s">
        <v>3356</v>
      </c>
    </row>
    <row r="2390" spans="1:27" ht="15" customHeight="1" thickBot="1" x14ac:dyDescent="0.35">
      <c r="A2390" s="647" t="s">
        <v>58</v>
      </c>
      <c r="B2390" s="647" t="s">
        <v>305</v>
      </c>
      <c r="C2390" s="647" t="s">
        <v>49</v>
      </c>
      <c r="D2390" s="647"/>
      <c r="E2390" s="647" t="s">
        <v>4133</v>
      </c>
      <c r="F2390" s="647" t="s">
        <v>72</v>
      </c>
      <c r="G2390" s="647" t="s">
        <v>4187</v>
      </c>
      <c r="H2390" s="648" t="s">
        <v>4183</v>
      </c>
      <c r="I2390" s="649" t="s">
        <v>4188</v>
      </c>
      <c r="J2390" s="673">
        <v>45208</v>
      </c>
      <c r="K2390" s="703">
        <v>0.375</v>
      </c>
      <c r="L2390" s="673">
        <v>45208</v>
      </c>
      <c r="M2390" s="663">
        <v>0.75</v>
      </c>
      <c r="N2390" s="650">
        <v>7</v>
      </c>
      <c r="O2390" s="651" t="s">
        <v>17</v>
      </c>
      <c r="P2390" s="660" t="s">
        <v>4186</v>
      </c>
      <c r="Q2390" s="653" t="s">
        <v>28</v>
      </c>
      <c r="R2390" s="654" t="s">
        <v>78</v>
      </c>
      <c r="S2390" s="31" t="s">
        <v>273</v>
      </c>
      <c r="T2390" s="31" t="s">
        <v>273</v>
      </c>
      <c r="U2390" s="31">
        <f>IFERROR(VLOOKUP(CONCATENATE(Tabla1[[#This Row],[Severidad]]," ",Tabla1[[#This Row],[Complejidad]]),Catalogos!E$120:G$128,3,FALSE),"")</f>
        <v>64</v>
      </c>
      <c r="V2390" s="31" t="str">
        <f>IF(Tabla1[[#This Row],[Tiempo solución max (hrs)]]&lt;&gt;"",IF(Tabla1[[#This Row],[Tiempo solución max (hrs)]]&gt;=Tabla1[[#This Row],[Tiempo
(Hrs 00/100)]],"cumple","no cumple"),"")</f>
        <v>cumple</v>
      </c>
      <c r="W2390" s="629" t="s">
        <v>3327</v>
      </c>
      <c r="X2390" s="377" t="str">
        <f t="shared" si="204"/>
        <v>SAI</v>
      </c>
      <c r="Y2390" t="str">
        <f>SUBSTITUTE(Tabla1[[#This Row],[Descripción]],CHAR(10),"    I    ")</f>
        <v>Cronograma</v>
      </c>
      <c r="Z2390" s="142">
        <f>VLOOKUP(Tabla1[[#This Row],[Perfil]],Catalogos!$B$75:$D$100,3,FALSE)*Tabla1[[#This Row],[Tiempo
(Hrs 00/100)]]*1.16</f>
        <v>4872</v>
      </c>
      <c r="AA2390" t="s">
        <v>3356</v>
      </c>
    </row>
    <row r="2391" spans="1:27" ht="15" customHeight="1" thickBot="1" x14ac:dyDescent="0.35">
      <c r="A2391" s="647" t="s">
        <v>58</v>
      </c>
      <c r="B2391" s="647" t="s">
        <v>305</v>
      </c>
      <c r="C2391" s="647" t="s">
        <v>49</v>
      </c>
      <c r="D2391" s="647"/>
      <c r="E2391" s="647" t="s">
        <v>4133</v>
      </c>
      <c r="F2391" s="647" t="s">
        <v>72</v>
      </c>
      <c r="G2391" s="647" t="s">
        <v>4189</v>
      </c>
      <c r="H2391" s="648" t="s">
        <v>4196</v>
      </c>
      <c r="I2391" s="649" t="s">
        <v>4197</v>
      </c>
      <c r="J2391" s="673">
        <v>45208</v>
      </c>
      <c r="K2391" s="703">
        <v>0.375</v>
      </c>
      <c r="L2391" s="673">
        <v>45208</v>
      </c>
      <c r="M2391" s="663">
        <v>0.41666666666666669</v>
      </c>
      <c r="N2391" s="650">
        <v>1</v>
      </c>
      <c r="O2391" s="651" t="s">
        <v>17</v>
      </c>
      <c r="P2391" s="660" t="s">
        <v>4198</v>
      </c>
      <c r="Q2391" s="653" t="s">
        <v>28</v>
      </c>
      <c r="R2391" s="654" t="s">
        <v>78</v>
      </c>
      <c r="S2391" s="31" t="s">
        <v>273</v>
      </c>
      <c r="T2391" s="31" t="s">
        <v>273</v>
      </c>
      <c r="U2391" s="31">
        <f>IFERROR(VLOOKUP(CONCATENATE(Tabla1[[#This Row],[Severidad]]," ",Tabla1[[#This Row],[Complejidad]]),Catalogos!E$120:G$128,3,FALSE),"")</f>
        <v>64</v>
      </c>
      <c r="V2391" s="31" t="str">
        <f>IF(Tabla1[[#This Row],[Tiempo solución max (hrs)]]&lt;&gt;"",IF(Tabla1[[#This Row],[Tiempo solución max (hrs)]]&gt;=Tabla1[[#This Row],[Tiempo
(Hrs 00/100)]],"cumple","no cumple"),"")</f>
        <v>cumple</v>
      </c>
      <c r="W2391" s="629" t="s">
        <v>3327</v>
      </c>
      <c r="X2391" s="377" t="str">
        <f t="shared" si="204"/>
        <v>SAI</v>
      </c>
      <c r="Y2391" t="str">
        <f>SUBSTITUTE(Tabla1[[#This Row],[Descripción]],CHAR(10),"    I    ")</f>
        <v>El usuario mostró el funcionamiento del aplicativo version 4, el cual será al quese le aplicaran las mejoras</v>
      </c>
      <c r="Z2391" s="142">
        <f>VLOOKUP(Tabla1[[#This Row],[Perfil]],Catalogos!$B$75:$D$100,3,FALSE)*Tabla1[[#This Row],[Tiempo
(Hrs 00/100)]]*1.16</f>
        <v>696</v>
      </c>
      <c r="AA2391" t="s">
        <v>3356</v>
      </c>
    </row>
    <row r="2392" spans="1:27" ht="15" customHeight="1" thickBot="1" x14ac:dyDescent="0.35">
      <c r="A2392" s="647" t="s">
        <v>58</v>
      </c>
      <c r="B2392" s="647" t="s">
        <v>305</v>
      </c>
      <c r="C2392" s="647" t="s">
        <v>49</v>
      </c>
      <c r="D2392" s="647"/>
      <c r="E2392" s="647" t="s">
        <v>4133</v>
      </c>
      <c r="F2392" s="647" t="s">
        <v>72</v>
      </c>
      <c r="G2392" s="647" t="s">
        <v>4191</v>
      </c>
      <c r="H2392" s="648" t="s">
        <v>4190</v>
      </c>
      <c r="I2392" s="649" t="s">
        <v>4199</v>
      </c>
      <c r="J2392" s="673">
        <v>45209</v>
      </c>
      <c r="K2392" s="703">
        <v>0.375</v>
      </c>
      <c r="L2392" s="673">
        <v>45209</v>
      </c>
      <c r="M2392" s="663">
        <v>0.41666666666666669</v>
      </c>
      <c r="N2392" s="650">
        <v>1</v>
      </c>
      <c r="O2392" s="651" t="s">
        <v>17</v>
      </c>
      <c r="P2392" s="660" t="s">
        <v>4198</v>
      </c>
      <c r="Q2392" s="653" t="s">
        <v>28</v>
      </c>
      <c r="R2392" s="654" t="s">
        <v>78</v>
      </c>
      <c r="S2392" s="31" t="s">
        <v>273</v>
      </c>
      <c r="T2392" s="31" t="s">
        <v>273</v>
      </c>
      <c r="U2392" s="31">
        <f>IFERROR(VLOOKUP(CONCATENATE(Tabla1[[#This Row],[Severidad]]," ",Tabla1[[#This Row],[Complejidad]]),Catalogos!E$120:G$128,3,FALSE),"")</f>
        <v>64</v>
      </c>
      <c r="V2392" s="31" t="str">
        <f>IF(Tabla1[[#This Row],[Tiempo solución max (hrs)]]&lt;&gt;"",IF(Tabla1[[#This Row],[Tiempo solución max (hrs)]]&gt;=Tabla1[[#This Row],[Tiempo
(Hrs 00/100)]],"cumple","no cumple"),"")</f>
        <v>cumple</v>
      </c>
      <c r="W2392" s="629" t="s">
        <v>3327</v>
      </c>
      <c r="X2392" s="377" t="str">
        <f t="shared" si="204"/>
        <v>SAI</v>
      </c>
      <c r="Y2392" t="str">
        <f>SUBSTITUTE(Tabla1[[#This Row],[Descripción]],CHAR(10),"    I    ")</f>
        <v>Monitoreo y control de las sesiones de levantamiento de información del 09 al 13 de octubre 2024</v>
      </c>
      <c r="Z2392" s="142">
        <f>VLOOKUP(Tabla1[[#This Row],[Perfil]],Catalogos!$B$75:$D$100,3,FALSE)*Tabla1[[#This Row],[Tiempo
(Hrs 00/100)]]*1.16</f>
        <v>696</v>
      </c>
      <c r="AA2392" t="s">
        <v>3356</v>
      </c>
    </row>
    <row r="2393" spans="1:27" ht="15" customHeight="1" thickBot="1" x14ac:dyDescent="0.35">
      <c r="A2393" s="647" t="s">
        <v>58</v>
      </c>
      <c r="B2393" s="647" t="s">
        <v>305</v>
      </c>
      <c r="C2393" s="647" t="s">
        <v>49</v>
      </c>
      <c r="D2393" s="647"/>
      <c r="E2393" s="647" t="s">
        <v>4133</v>
      </c>
      <c r="F2393" s="647" t="s">
        <v>72</v>
      </c>
      <c r="G2393" s="647" t="s">
        <v>4193</v>
      </c>
      <c r="H2393" s="648" t="s">
        <v>4190</v>
      </c>
      <c r="I2393" s="649" t="s">
        <v>4200</v>
      </c>
      <c r="J2393" s="673">
        <v>45210</v>
      </c>
      <c r="K2393" s="703">
        <v>0.375</v>
      </c>
      <c r="L2393" s="673">
        <v>45210</v>
      </c>
      <c r="M2393" s="663">
        <v>0.41666666666666669</v>
      </c>
      <c r="N2393" s="650">
        <v>1</v>
      </c>
      <c r="O2393" s="651" t="s">
        <v>17</v>
      </c>
      <c r="P2393" s="660" t="s">
        <v>4198</v>
      </c>
      <c r="Q2393" s="653" t="s">
        <v>28</v>
      </c>
      <c r="R2393" s="654" t="s">
        <v>78</v>
      </c>
      <c r="S2393" s="31" t="s">
        <v>273</v>
      </c>
      <c r="T2393" s="31" t="s">
        <v>273</v>
      </c>
      <c r="U2393" s="31">
        <f>IFERROR(VLOOKUP(CONCATENATE(Tabla1[[#This Row],[Severidad]]," ",Tabla1[[#This Row],[Complejidad]]),Catalogos!E$120:G$128,3,FALSE),"")</f>
        <v>64</v>
      </c>
      <c r="V2393" s="31" t="str">
        <f>IF(Tabla1[[#This Row],[Tiempo solución max (hrs)]]&lt;&gt;"",IF(Tabla1[[#This Row],[Tiempo solución max (hrs)]]&gt;=Tabla1[[#This Row],[Tiempo
(Hrs 00/100)]],"cumple","no cumple"),"")</f>
        <v>cumple</v>
      </c>
      <c r="W2393" s="629" t="s">
        <v>3327</v>
      </c>
      <c r="X2393" s="377" t="str">
        <f t="shared" si="204"/>
        <v>SAI</v>
      </c>
      <c r="Y2393" t="str">
        <f>SUBSTITUTE(Tabla1[[#This Row],[Descripción]],CHAR(10),"    I    ")</f>
        <v>Monitoreo y control de las sesiones de levantamiento de información del 09 al 13 de octubre 2025</v>
      </c>
      <c r="Z2393" s="142">
        <f>VLOOKUP(Tabla1[[#This Row],[Perfil]],Catalogos!$B$75:$D$100,3,FALSE)*Tabla1[[#This Row],[Tiempo
(Hrs 00/100)]]*1.16</f>
        <v>696</v>
      </c>
      <c r="AA2393" t="s">
        <v>3356</v>
      </c>
    </row>
    <row r="2394" spans="1:27" ht="15" customHeight="1" thickBot="1" x14ac:dyDescent="0.35">
      <c r="A2394" s="647" t="s">
        <v>58</v>
      </c>
      <c r="B2394" s="647" t="s">
        <v>305</v>
      </c>
      <c r="C2394" s="647" t="s">
        <v>49</v>
      </c>
      <c r="D2394" s="647"/>
      <c r="E2394" s="647" t="s">
        <v>4133</v>
      </c>
      <c r="F2394" s="647" t="s">
        <v>72</v>
      </c>
      <c r="G2394" s="647" t="s">
        <v>4202</v>
      </c>
      <c r="H2394" s="648" t="s">
        <v>4190</v>
      </c>
      <c r="I2394" s="649" t="s">
        <v>4201</v>
      </c>
      <c r="J2394" s="673">
        <v>45211</v>
      </c>
      <c r="K2394" s="703">
        <v>0.375</v>
      </c>
      <c r="L2394" s="673">
        <v>45211</v>
      </c>
      <c r="M2394" s="663">
        <v>0.41666666666666669</v>
      </c>
      <c r="N2394" s="650">
        <v>1</v>
      </c>
      <c r="O2394" s="651" t="s">
        <v>17</v>
      </c>
      <c r="P2394" s="660" t="s">
        <v>4198</v>
      </c>
      <c r="Q2394" s="653" t="s">
        <v>28</v>
      </c>
      <c r="R2394" s="654" t="s">
        <v>78</v>
      </c>
      <c r="S2394" s="31" t="s">
        <v>273</v>
      </c>
      <c r="T2394" s="31" t="s">
        <v>273</v>
      </c>
      <c r="U2394" s="31">
        <f>IFERROR(VLOOKUP(CONCATENATE(Tabla1[[#This Row],[Severidad]]," ",Tabla1[[#This Row],[Complejidad]]),Catalogos!E$120:G$128,3,FALSE),"")</f>
        <v>64</v>
      </c>
      <c r="V2394" s="31" t="str">
        <f>IF(Tabla1[[#This Row],[Tiempo solución max (hrs)]]&lt;&gt;"",IF(Tabla1[[#This Row],[Tiempo solución max (hrs)]]&gt;=Tabla1[[#This Row],[Tiempo
(Hrs 00/100)]],"cumple","no cumple"),"")</f>
        <v>cumple</v>
      </c>
      <c r="W2394" s="629" t="s">
        <v>3327</v>
      </c>
      <c r="X2394" s="377" t="str">
        <f t="shared" si="204"/>
        <v>SAI</v>
      </c>
      <c r="Y2394" t="str">
        <f>SUBSTITUTE(Tabla1[[#This Row],[Descripción]],CHAR(10),"    I    ")</f>
        <v>Monitoreo y control de las sesiones de levantamiento de información del 09 al 13 de octubre 2026</v>
      </c>
      <c r="Z2394" s="142">
        <f>VLOOKUP(Tabla1[[#This Row],[Perfil]],Catalogos!$B$75:$D$100,3,FALSE)*Tabla1[[#This Row],[Tiempo
(Hrs 00/100)]]*1.16</f>
        <v>696</v>
      </c>
      <c r="AA2394" t="s">
        <v>3356</v>
      </c>
    </row>
    <row r="2395" spans="1:27" ht="15" customHeight="1" thickBot="1" x14ac:dyDescent="0.35">
      <c r="A2395" s="647" t="s">
        <v>58</v>
      </c>
      <c r="B2395" s="647" t="s">
        <v>305</v>
      </c>
      <c r="C2395" s="647" t="s">
        <v>49</v>
      </c>
      <c r="D2395" s="647"/>
      <c r="E2395" s="647" t="s">
        <v>4133</v>
      </c>
      <c r="F2395" s="647" t="s">
        <v>72</v>
      </c>
      <c r="G2395" s="647" t="s">
        <v>4204</v>
      </c>
      <c r="H2395" s="648" t="s">
        <v>4190</v>
      </c>
      <c r="I2395" s="649" t="s">
        <v>4203</v>
      </c>
      <c r="J2395" s="673">
        <v>45212</v>
      </c>
      <c r="K2395" s="703">
        <v>0.375</v>
      </c>
      <c r="L2395" s="673">
        <v>45212</v>
      </c>
      <c r="M2395" s="663">
        <v>0.41666666666666669</v>
      </c>
      <c r="N2395" s="650">
        <v>1</v>
      </c>
      <c r="O2395" s="651" t="s">
        <v>17</v>
      </c>
      <c r="P2395" s="660" t="s">
        <v>4198</v>
      </c>
      <c r="Q2395" s="653" t="s">
        <v>28</v>
      </c>
      <c r="R2395" s="654" t="s">
        <v>78</v>
      </c>
      <c r="S2395" s="31" t="s">
        <v>273</v>
      </c>
      <c r="T2395" s="31" t="s">
        <v>273</v>
      </c>
      <c r="U2395" s="31">
        <f>IFERROR(VLOOKUP(CONCATENATE(Tabla1[[#This Row],[Severidad]]," ",Tabla1[[#This Row],[Complejidad]]),Catalogos!E$120:G$128,3,FALSE),"")</f>
        <v>64</v>
      </c>
      <c r="V2395" s="31" t="str">
        <f>IF(Tabla1[[#This Row],[Tiempo solución max (hrs)]]&lt;&gt;"",IF(Tabla1[[#This Row],[Tiempo solución max (hrs)]]&gt;=Tabla1[[#This Row],[Tiempo
(Hrs 00/100)]],"cumple","no cumple"),"")</f>
        <v>cumple</v>
      </c>
      <c r="W2395" s="629" t="s">
        <v>3327</v>
      </c>
      <c r="X2395" s="377" t="str">
        <f t="shared" si="204"/>
        <v>SAI</v>
      </c>
      <c r="Y2395" t="str">
        <f>SUBSTITUTE(Tabla1[[#This Row],[Descripción]],CHAR(10),"    I    ")</f>
        <v>Monitoreo y control de las sesiones de levantamiento de información del 09 al 13 de octubre 2027</v>
      </c>
      <c r="Z2395" s="142">
        <f>VLOOKUP(Tabla1[[#This Row],[Perfil]],Catalogos!$B$75:$D$100,3,FALSE)*Tabla1[[#This Row],[Tiempo
(Hrs 00/100)]]*1.16</f>
        <v>696</v>
      </c>
      <c r="AA2395" t="s">
        <v>3356</v>
      </c>
    </row>
    <row r="2396" spans="1:27" ht="15" customHeight="1" thickBot="1" x14ac:dyDescent="0.35">
      <c r="A2396" s="647" t="s">
        <v>58</v>
      </c>
      <c r="B2396" s="647" t="s">
        <v>305</v>
      </c>
      <c r="C2396" s="647" t="s">
        <v>49</v>
      </c>
      <c r="D2396" s="647"/>
      <c r="E2396" s="647" t="s">
        <v>4133</v>
      </c>
      <c r="F2396" s="647" t="s">
        <v>72</v>
      </c>
      <c r="G2396" s="647" t="s">
        <v>4205</v>
      </c>
      <c r="H2396" s="648" t="s">
        <v>4190</v>
      </c>
      <c r="I2396" s="649" t="s">
        <v>4192</v>
      </c>
      <c r="J2396" s="673">
        <v>45215</v>
      </c>
      <c r="K2396" s="703">
        <v>0.375</v>
      </c>
      <c r="L2396" s="673">
        <v>45215</v>
      </c>
      <c r="M2396" s="663">
        <v>0.41666666666666669</v>
      </c>
      <c r="N2396" s="650">
        <v>1</v>
      </c>
      <c r="O2396" s="651" t="s">
        <v>17</v>
      </c>
      <c r="P2396" s="660" t="s">
        <v>4198</v>
      </c>
      <c r="Q2396" s="653" t="s">
        <v>28</v>
      </c>
      <c r="R2396" s="654" t="s">
        <v>78</v>
      </c>
      <c r="S2396" s="31" t="s">
        <v>273</v>
      </c>
      <c r="T2396" s="31" t="s">
        <v>273</v>
      </c>
      <c r="U2396" s="31">
        <f>IFERROR(VLOOKUP(CONCATENATE(Tabla1[[#This Row],[Severidad]]," ",Tabla1[[#This Row],[Complejidad]]),Catalogos!E$120:G$128,3,FALSE),"")</f>
        <v>64</v>
      </c>
      <c r="V2396" s="31" t="str">
        <f>IF(Tabla1[[#This Row],[Tiempo solución max (hrs)]]&lt;&gt;"",IF(Tabla1[[#This Row],[Tiempo solución max (hrs)]]&gt;=Tabla1[[#This Row],[Tiempo
(Hrs 00/100)]],"cumple","no cumple"),"")</f>
        <v>cumple</v>
      </c>
      <c r="W2396" s="629" t="s">
        <v>3327</v>
      </c>
      <c r="X2396" s="377" t="str">
        <f t="shared" si="204"/>
        <v>SAI</v>
      </c>
      <c r="Y2396" t="str">
        <f>SUBSTITUTE(Tabla1[[#This Row],[Descripción]],CHAR(10),"    I    ")</f>
        <v>Monitoreo y control de las sesiones de levantamiento de información del 16 al 20 de octubre 2024</v>
      </c>
      <c r="Z2396" s="142">
        <f>VLOOKUP(Tabla1[[#This Row],[Perfil]],Catalogos!$B$75:$D$100,3,FALSE)*Tabla1[[#This Row],[Tiempo
(Hrs 00/100)]]*1.16</f>
        <v>696</v>
      </c>
      <c r="AA2396" t="s">
        <v>3356</v>
      </c>
    </row>
    <row r="2397" spans="1:27" ht="15" customHeight="1" thickBot="1" x14ac:dyDescent="0.35">
      <c r="A2397" s="647" t="s">
        <v>58</v>
      </c>
      <c r="B2397" s="647" t="s">
        <v>305</v>
      </c>
      <c r="C2397" s="647" t="s">
        <v>49</v>
      </c>
      <c r="D2397" s="647"/>
      <c r="E2397" s="647" t="s">
        <v>4133</v>
      </c>
      <c r="F2397" s="647" t="s">
        <v>72</v>
      </c>
      <c r="G2397" s="647" t="s">
        <v>4206</v>
      </c>
      <c r="H2397" s="648" t="s">
        <v>4190</v>
      </c>
      <c r="I2397" s="649" t="s">
        <v>4192</v>
      </c>
      <c r="J2397" s="673">
        <v>45216</v>
      </c>
      <c r="K2397" s="703">
        <v>0.375</v>
      </c>
      <c r="L2397" s="673">
        <v>45216</v>
      </c>
      <c r="M2397" s="663">
        <v>0.41666666666666669</v>
      </c>
      <c r="N2397" s="650">
        <v>1</v>
      </c>
      <c r="O2397" s="651" t="s">
        <v>17</v>
      </c>
      <c r="P2397" s="660" t="s">
        <v>4198</v>
      </c>
      <c r="Q2397" s="653" t="s">
        <v>28</v>
      </c>
      <c r="R2397" s="654" t="s">
        <v>78</v>
      </c>
      <c r="S2397" s="31" t="s">
        <v>273</v>
      </c>
      <c r="T2397" s="31" t="s">
        <v>273</v>
      </c>
      <c r="U2397" s="31">
        <f>IFERROR(VLOOKUP(CONCATENATE(Tabla1[[#This Row],[Severidad]]," ",Tabla1[[#This Row],[Complejidad]]),Catalogos!E$120:G$128,3,FALSE),"")</f>
        <v>64</v>
      </c>
      <c r="V2397" s="31" t="str">
        <f>IF(Tabla1[[#This Row],[Tiempo solución max (hrs)]]&lt;&gt;"",IF(Tabla1[[#This Row],[Tiempo solución max (hrs)]]&gt;=Tabla1[[#This Row],[Tiempo
(Hrs 00/100)]],"cumple","no cumple"),"")</f>
        <v>cumple</v>
      </c>
      <c r="W2397" s="629" t="s">
        <v>3327</v>
      </c>
      <c r="X2397" s="377" t="str">
        <f t="shared" si="204"/>
        <v>SAI</v>
      </c>
      <c r="Y2397" t="str">
        <f>SUBSTITUTE(Tabla1[[#This Row],[Descripción]],CHAR(10),"    I    ")</f>
        <v>Monitoreo y control de las sesiones de levantamiento de información del 16 al 20 de octubre 2024</v>
      </c>
      <c r="Z2397" s="142">
        <f>VLOOKUP(Tabla1[[#This Row],[Perfil]],Catalogos!$B$75:$D$100,3,FALSE)*Tabla1[[#This Row],[Tiempo
(Hrs 00/100)]]*1.16</f>
        <v>696</v>
      </c>
      <c r="AA2397" t="s">
        <v>3356</v>
      </c>
    </row>
    <row r="2398" spans="1:27" ht="15" customHeight="1" thickBot="1" x14ac:dyDescent="0.35">
      <c r="A2398" s="647" t="s">
        <v>58</v>
      </c>
      <c r="B2398" s="647" t="s">
        <v>305</v>
      </c>
      <c r="C2398" s="647" t="s">
        <v>49</v>
      </c>
      <c r="D2398" s="647"/>
      <c r="E2398" s="647" t="s">
        <v>4133</v>
      </c>
      <c r="F2398" s="647" t="s">
        <v>72</v>
      </c>
      <c r="G2398" s="647" t="s">
        <v>4207</v>
      </c>
      <c r="H2398" s="648" t="s">
        <v>4190</v>
      </c>
      <c r="I2398" s="649" t="s">
        <v>4192</v>
      </c>
      <c r="J2398" s="673">
        <v>45217</v>
      </c>
      <c r="K2398" s="703">
        <v>0.375</v>
      </c>
      <c r="L2398" s="673">
        <v>45217</v>
      </c>
      <c r="M2398" s="663">
        <v>0.41666666666666669</v>
      </c>
      <c r="N2398" s="650">
        <v>1</v>
      </c>
      <c r="O2398" s="651" t="s">
        <v>17</v>
      </c>
      <c r="P2398" s="660" t="s">
        <v>4198</v>
      </c>
      <c r="Q2398" s="653" t="s">
        <v>28</v>
      </c>
      <c r="R2398" s="654" t="s">
        <v>78</v>
      </c>
      <c r="S2398" s="31" t="s">
        <v>273</v>
      </c>
      <c r="T2398" s="31" t="s">
        <v>273</v>
      </c>
      <c r="U2398" s="31">
        <f>IFERROR(VLOOKUP(CONCATENATE(Tabla1[[#This Row],[Severidad]]," ",Tabla1[[#This Row],[Complejidad]]),Catalogos!E$120:G$128,3,FALSE),"")</f>
        <v>64</v>
      </c>
      <c r="V2398" s="31" t="str">
        <f>IF(Tabla1[[#This Row],[Tiempo solución max (hrs)]]&lt;&gt;"",IF(Tabla1[[#This Row],[Tiempo solución max (hrs)]]&gt;=Tabla1[[#This Row],[Tiempo
(Hrs 00/100)]],"cumple","no cumple"),"")</f>
        <v>cumple</v>
      </c>
      <c r="W2398" s="629" t="s">
        <v>3327</v>
      </c>
      <c r="X2398" s="377" t="str">
        <f t="shared" si="204"/>
        <v>SAI</v>
      </c>
      <c r="Y2398" t="str">
        <f>SUBSTITUTE(Tabla1[[#This Row],[Descripción]],CHAR(10),"    I    ")</f>
        <v>Monitoreo y control de las sesiones de levantamiento de información del 16 al 20 de octubre 2024</v>
      </c>
      <c r="Z2398" s="142">
        <f>VLOOKUP(Tabla1[[#This Row],[Perfil]],Catalogos!$B$75:$D$100,3,FALSE)*Tabla1[[#This Row],[Tiempo
(Hrs 00/100)]]*1.16</f>
        <v>696</v>
      </c>
      <c r="AA2398" t="s">
        <v>3356</v>
      </c>
    </row>
    <row r="2399" spans="1:27" ht="15" customHeight="1" thickBot="1" x14ac:dyDescent="0.35">
      <c r="A2399" s="647" t="s">
        <v>58</v>
      </c>
      <c r="B2399" s="647" t="s">
        <v>305</v>
      </c>
      <c r="C2399" s="647" t="s">
        <v>49</v>
      </c>
      <c r="D2399" s="647"/>
      <c r="E2399" s="647" t="s">
        <v>4133</v>
      </c>
      <c r="F2399" s="647" t="s">
        <v>72</v>
      </c>
      <c r="G2399" s="647" t="s">
        <v>4208</v>
      </c>
      <c r="H2399" s="648" t="s">
        <v>4190</v>
      </c>
      <c r="I2399" s="649" t="s">
        <v>4192</v>
      </c>
      <c r="J2399" s="673">
        <v>45218</v>
      </c>
      <c r="K2399" s="703">
        <v>0.375</v>
      </c>
      <c r="L2399" s="673">
        <v>45218</v>
      </c>
      <c r="M2399" s="663">
        <v>0.41666666666666669</v>
      </c>
      <c r="N2399" s="650">
        <v>1</v>
      </c>
      <c r="O2399" s="651" t="s">
        <v>17</v>
      </c>
      <c r="P2399" s="660" t="s">
        <v>4198</v>
      </c>
      <c r="Q2399" s="653" t="s">
        <v>28</v>
      </c>
      <c r="R2399" s="654" t="s">
        <v>78</v>
      </c>
      <c r="S2399" s="31" t="s">
        <v>273</v>
      </c>
      <c r="T2399" s="31" t="s">
        <v>273</v>
      </c>
      <c r="U2399" s="31">
        <f>IFERROR(VLOOKUP(CONCATENATE(Tabla1[[#This Row],[Severidad]]," ",Tabla1[[#This Row],[Complejidad]]),Catalogos!E$120:G$128,3,FALSE),"")</f>
        <v>64</v>
      </c>
      <c r="V2399" s="31" t="str">
        <f>IF(Tabla1[[#This Row],[Tiempo solución max (hrs)]]&lt;&gt;"",IF(Tabla1[[#This Row],[Tiempo solución max (hrs)]]&gt;=Tabla1[[#This Row],[Tiempo
(Hrs 00/100)]],"cumple","no cumple"),"")</f>
        <v>cumple</v>
      </c>
      <c r="W2399" s="629" t="s">
        <v>3327</v>
      </c>
      <c r="X2399" s="377" t="str">
        <f t="shared" si="204"/>
        <v>SAI</v>
      </c>
      <c r="Y2399" t="str">
        <f>SUBSTITUTE(Tabla1[[#This Row],[Descripción]],CHAR(10),"    I    ")</f>
        <v>Monitoreo y control de las sesiones de levantamiento de información del 16 al 20 de octubre 2024</v>
      </c>
      <c r="Z2399" s="142">
        <f>VLOOKUP(Tabla1[[#This Row],[Perfil]],Catalogos!$B$75:$D$100,3,FALSE)*Tabla1[[#This Row],[Tiempo
(Hrs 00/100)]]*1.16</f>
        <v>696</v>
      </c>
      <c r="AA2399" t="s">
        <v>3356</v>
      </c>
    </row>
    <row r="2400" spans="1:27" ht="15" customHeight="1" thickBot="1" x14ac:dyDescent="0.35">
      <c r="A2400" s="647" t="s">
        <v>58</v>
      </c>
      <c r="B2400" s="647" t="s">
        <v>305</v>
      </c>
      <c r="C2400" s="647" t="s">
        <v>49</v>
      </c>
      <c r="D2400" s="647"/>
      <c r="E2400" s="647" t="s">
        <v>4133</v>
      </c>
      <c r="F2400" s="647" t="s">
        <v>72</v>
      </c>
      <c r="G2400" s="224" t="s">
        <v>4209</v>
      </c>
      <c r="H2400" s="648" t="s">
        <v>4190</v>
      </c>
      <c r="I2400" s="649" t="s">
        <v>4192</v>
      </c>
      <c r="J2400" s="673">
        <v>45219</v>
      </c>
      <c r="K2400" s="703">
        <v>0.375</v>
      </c>
      <c r="L2400" s="673">
        <v>45219</v>
      </c>
      <c r="M2400" s="663">
        <v>0.41666666666666669</v>
      </c>
      <c r="N2400" s="650">
        <v>1</v>
      </c>
      <c r="O2400" s="651" t="s">
        <v>17</v>
      </c>
      <c r="P2400" s="660" t="s">
        <v>4198</v>
      </c>
      <c r="Q2400" s="653" t="s">
        <v>28</v>
      </c>
      <c r="R2400" s="654" t="s">
        <v>78</v>
      </c>
      <c r="S2400" s="31" t="s">
        <v>273</v>
      </c>
      <c r="T2400" s="31" t="s">
        <v>273</v>
      </c>
      <c r="U2400" s="31">
        <f>IFERROR(VLOOKUP(CONCATENATE(Tabla1[[#This Row],[Severidad]]," ",Tabla1[[#This Row],[Complejidad]]),Catalogos!E$120:G$128,3,FALSE),"")</f>
        <v>64</v>
      </c>
      <c r="V2400" s="31" t="str">
        <f>IF(Tabla1[[#This Row],[Tiempo solución max (hrs)]]&lt;&gt;"",IF(Tabla1[[#This Row],[Tiempo solución max (hrs)]]&gt;=Tabla1[[#This Row],[Tiempo
(Hrs 00/100)]],"cumple","no cumple"),"")</f>
        <v>cumple</v>
      </c>
      <c r="W2400" s="629" t="s">
        <v>3327</v>
      </c>
      <c r="X2400" s="377" t="str">
        <f t="shared" si="204"/>
        <v>SAI</v>
      </c>
      <c r="Y2400" t="str">
        <f>SUBSTITUTE(Tabla1[[#This Row],[Descripción]],CHAR(10),"    I    ")</f>
        <v>Monitoreo y control de las sesiones de levantamiento de información del 16 al 20 de octubre 2024</v>
      </c>
      <c r="Z2400" s="142">
        <f>VLOOKUP(Tabla1[[#This Row],[Perfil]],Catalogos!$B$75:$D$100,3,FALSE)*Tabla1[[#This Row],[Tiempo
(Hrs 00/100)]]*1.16</f>
        <v>696</v>
      </c>
      <c r="AA2400" t="s">
        <v>3356</v>
      </c>
    </row>
    <row r="2401" spans="1:26" ht="15" customHeight="1" x14ac:dyDescent="0.3">
      <c r="A2401" s="530" t="s">
        <v>22</v>
      </c>
      <c r="B2401" s="530" t="s">
        <v>23</v>
      </c>
      <c r="C2401" s="205" t="s">
        <v>155</v>
      </c>
      <c r="D2401" s="373"/>
      <c r="E2401" s="373" t="s">
        <v>375</v>
      </c>
      <c r="F2401" s="370" t="s">
        <v>23</v>
      </c>
      <c r="G2401" s="370" t="s">
        <v>4219</v>
      </c>
      <c r="H2401" s="461" t="s">
        <v>405</v>
      </c>
      <c r="I2401" s="534" t="s">
        <v>4211</v>
      </c>
      <c r="J2401" s="369">
        <v>45231</v>
      </c>
      <c r="K2401" s="747">
        <v>0.375</v>
      </c>
      <c r="L2401" s="369">
        <v>45231</v>
      </c>
      <c r="M2401" s="753">
        <v>0.79166666666666663</v>
      </c>
      <c r="N2401" s="210">
        <v>8.5</v>
      </c>
      <c r="O2401" s="184" t="s">
        <v>411</v>
      </c>
      <c r="P2401" s="305" t="s">
        <v>462</v>
      </c>
      <c r="Q2401" s="541" t="s">
        <v>1120</v>
      </c>
      <c r="R2401" s="202" t="s">
        <v>40</v>
      </c>
      <c r="S2401" s="31" t="s">
        <v>273</v>
      </c>
      <c r="T2401" s="31" t="s">
        <v>273</v>
      </c>
      <c r="U2401" s="31">
        <f>IFERROR(VLOOKUP(CONCATENATE(Tabla1[[#This Row],[Severidad]]," ",Tabla1[[#This Row],[Complejidad]]),Catalogos!E$120:G$128,3,FALSE),"")</f>
        <v>64</v>
      </c>
      <c r="V2401" s="31" t="str">
        <f>IF(Tabla1[[#This Row],[Tiempo solución max (hrs)]]&lt;&gt;"",IF(Tabla1[[#This Row],[Tiempo solución max (hrs)]]&gt;=Tabla1[[#This Row],[Tiempo
(Hrs 00/100)]],"cumple","no cumple"),"")</f>
        <v>cumple</v>
      </c>
      <c r="W2401" s="376" t="s">
        <v>4210</v>
      </c>
      <c r="X2401" s="377" t="str">
        <f t="shared" si="204"/>
        <v>DS</v>
      </c>
      <c r="Y2401" t="str">
        <f>SUBSTITUTE(Tabla1[[#This Row],[Descripción]],CHAR(10),"    I    ")</f>
        <v>Pantalla para responder notificaciones</v>
      </c>
      <c r="Z2401" s="142">
        <f>VLOOKUP(Tabla1[[#This Row],[Perfil]],Catalogos!$B$75:$D$100,3,FALSE)*Tabla1[[#This Row],[Tiempo
(Hrs 00/100)]]*1.16</f>
        <v>6901.9999999999991</v>
      </c>
    </row>
    <row r="2402" spans="1:26" ht="15" customHeight="1" x14ac:dyDescent="0.3">
      <c r="A2402" s="530" t="s">
        <v>22</v>
      </c>
      <c r="B2402" s="530" t="s">
        <v>23</v>
      </c>
      <c r="C2402" s="205" t="s">
        <v>155</v>
      </c>
      <c r="D2402" s="373"/>
      <c r="E2402" s="373" t="s">
        <v>375</v>
      </c>
      <c r="F2402" s="370" t="s">
        <v>23</v>
      </c>
      <c r="G2402" s="370" t="s">
        <v>4219</v>
      </c>
      <c r="H2402" s="461" t="s">
        <v>405</v>
      </c>
      <c r="I2402" s="534" t="s">
        <v>4211</v>
      </c>
      <c r="J2402" s="369">
        <v>45233</v>
      </c>
      <c r="K2402" s="747">
        <v>0.375</v>
      </c>
      <c r="L2402" s="369">
        <v>45233</v>
      </c>
      <c r="M2402" s="753">
        <v>0.625</v>
      </c>
      <c r="N2402" s="210">
        <v>6</v>
      </c>
      <c r="O2402" s="184" t="s">
        <v>411</v>
      </c>
      <c r="P2402" s="305" t="s">
        <v>462</v>
      </c>
      <c r="Q2402" s="541" t="s">
        <v>1120</v>
      </c>
      <c r="R2402" s="202" t="s">
        <v>40</v>
      </c>
      <c r="S2402" s="31" t="s">
        <v>273</v>
      </c>
      <c r="T2402" s="31" t="s">
        <v>273</v>
      </c>
      <c r="U2402" s="31">
        <f>IFERROR(VLOOKUP(CONCATENATE(Tabla1[[#This Row],[Severidad]]," ",Tabla1[[#This Row],[Complejidad]]),Catalogos!E$120:G$128,3,FALSE),"")</f>
        <v>64</v>
      </c>
      <c r="V2402" s="31" t="str">
        <f>IF(Tabla1[[#This Row],[Tiempo solución max (hrs)]]&lt;&gt;"",IF(Tabla1[[#This Row],[Tiempo solución max (hrs)]]&gt;=Tabla1[[#This Row],[Tiempo
(Hrs 00/100)]],"cumple","no cumple"),"")</f>
        <v>cumple</v>
      </c>
      <c r="W2402" s="376" t="s">
        <v>4210</v>
      </c>
      <c r="X2402" s="377" t="str">
        <f t="shared" si="204"/>
        <v>DS</v>
      </c>
      <c r="Y2402" t="str">
        <f>SUBSTITUTE(Tabla1[[#This Row],[Descripción]],CHAR(10),"    I    ")</f>
        <v>Pantalla para responder notificaciones</v>
      </c>
      <c r="Z2402" s="142">
        <f>VLOOKUP(Tabla1[[#This Row],[Perfil]],Catalogos!$B$75:$D$100,3,FALSE)*Tabla1[[#This Row],[Tiempo
(Hrs 00/100)]]*1.16</f>
        <v>4872</v>
      </c>
    </row>
    <row r="2403" spans="1:26" ht="15" customHeight="1" x14ac:dyDescent="0.3">
      <c r="A2403" s="530" t="s">
        <v>22</v>
      </c>
      <c r="B2403" s="530" t="s">
        <v>23</v>
      </c>
      <c r="C2403" s="205" t="s">
        <v>155</v>
      </c>
      <c r="D2403" s="373"/>
      <c r="E2403" s="373" t="s">
        <v>375</v>
      </c>
      <c r="F2403" s="370" t="s">
        <v>23</v>
      </c>
      <c r="G2403" s="370" t="s">
        <v>4219</v>
      </c>
      <c r="H2403" s="461" t="s">
        <v>405</v>
      </c>
      <c r="I2403" s="534" t="s">
        <v>4211</v>
      </c>
      <c r="J2403" s="369">
        <v>45236</v>
      </c>
      <c r="K2403" s="747">
        <v>0.375</v>
      </c>
      <c r="L2403" s="369">
        <v>45236</v>
      </c>
      <c r="M2403" s="753">
        <v>0.79166666666666663</v>
      </c>
      <c r="N2403" s="210">
        <v>8.5</v>
      </c>
      <c r="O2403" s="184" t="s">
        <v>411</v>
      </c>
      <c r="P2403" s="305" t="s">
        <v>462</v>
      </c>
      <c r="Q2403" s="541" t="s">
        <v>1120</v>
      </c>
      <c r="R2403" s="202" t="s">
        <v>40</v>
      </c>
      <c r="S2403" s="31" t="s">
        <v>273</v>
      </c>
      <c r="T2403" s="31" t="s">
        <v>273</v>
      </c>
      <c r="U2403" s="31">
        <f>IFERROR(VLOOKUP(CONCATENATE(Tabla1[[#This Row],[Severidad]]," ",Tabla1[[#This Row],[Complejidad]]),Catalogos!E$120:G$128,3,FALSE),"")</f>
        <v>64</v>
      </c>
      <c r="V2403" s="31" t="str">
        <f>IF(Tabla1[[#This Row],[Tiempo solución max (hrs)]]&lt;&gt;"",IF(Tabla1[[#This Row],[Tiempo solución max (hrs)]]&gt;=Tabla1[[#This Row],[Tiempo
(Hrs 00/100)]],"cumple","no cumple"),"")</f>
        <v>cumple</v>
      </c>
      <c r="W2403" s="376" t="s">
        <v>4210</v>
      </c>
      <c r="X2403" s="377" t="str">
        <f t="shared" si="204"/>
        <v>DS</v>
      </c>
      <c r="Y2403" t="str">
        <f>SUBSTITUTE(Tabla1[[#This Row],[Descripción]],CHAR(10),"    I    ")</f>
        <v>Pantalla para responder notificaciones</v>
      </c>
      <c r="Z2403" s="142">
        <f>VLOOKUP(Tabla1[[#This Row],[Perfil]],Catalogos!$B$75:$D$100,3,FALSE)*Tabla1[[#This Row],[Tiempo
(Hrs 00/100)]]*1.16</f>
        <v>6901.9999999999991</v>
      </c>
    </row>
    <row r="2404" spans="1:26" ht="15" customHeight="1" x14ac:dyDescent="0.3">
      <c r="A2404" s="530" t="s">
        <v>22</v>
      </c>
      <c r="B2404" s="530" t="s">
        <v>23</v>
      </c>
      <c r="C2404" s="205" t="s">
        <v>155</v>
      </c>
      <c r="D2404" s="373"/>
      <c r="E2404" s="373" t="s">
        <v>375</v>
      </c>
      <c r="F2404" s="370" t="s">
        <v>23</v>
      </c>
      <c r="G2404" s="370" t="s">
        <v>4219</v>
      </c>
      <c r="H2404" s="461" t="s">
        <v>405</v>
      </c>
      <c r="I2404" s="534" t="s">
        <v>4211</v>
      </c>
      <c r="J2404" s="369">
        <v>45237</v>
      </c>
      <c r="K2404" s="747">
        <v>0.375</v>
      </c>
      <c r="L2404" s="369">
        <v>45237</v>
      </c>
      <c r="M2404" s="753">
        <v>0.79166666666666663</v>
      </c>
      <c r="N2404" s="210">
        <v>8.5</v>
      </c>
      <c r="O2404" s="184" t="s">
        <v>17</v>
      </c>
      <c r="P2404" s="305" t="s">
        <v>462</v>
      </c>
      <c r="Q2404" s="541" t="s">
        <v>1120</v>
      </c>
      <c r="R2404" s="202" t="s">
        <v>40</v>
      </c>
      <c r="S2404" s="31" t="s">
        <v>273</v>
      </c>
      <c r="T2404" s="31" t="s">
        <v>273</v>
      </c>
      <c r="U2404" s="31">
        <f>IFERROR(VLOOKUP(CONCATENATE(Tabla1[[#This Row],[Severidad]]," ",Tabla1[[#This Row],[Complejidad]]),Catalogos!E$120:G$128,3,FALSE),"")</f>
        <v>64</v>
      </c>
      <c r="V2404" s="31" t="str">
        <f>IF(Tabla1[[#This Row],[Tiempo solución max (hrs)]]&lt;&gt;"",IF(Tabla1[[#This Row],[Tiempo solución max (hrs)]]&gt;=Tabla1[[#This Row],[Tiempo
(Hrs 00/100)]],"cumple","no cumple"),"")</f>
        <v>cumple</v>
      </c>
      <c r="W2404" s="376" t="s">
        <v>4210</v>
      </c>
      <c r="X2404" s="377" t="str">
        <f t="shared" si="204"/>
        <v>DS</v>
      </c>
      <c r="Y2404" t="str">
        <f>SUBSTITUTE(Tabla1[[#This Row],[Descripción]],CHAR(10),"    I    ")</f>
        <v>Pantalla para responder notificaciones</v>
      </c>
      <c r="Z2404" s="142">
        <f>VLOOKUP(Tabla1[[#This Row],[Perfil]],Catalogos!$B$75:$D$100,3,FALSE)*Tabla1[[#This Row],[Tiempo
(Hrs 00/100)]]*1.16</f>
        <v>6901.9999999999991</v>
      </c>
    </row>
    <row r="2405" spans="1:26" ht="15" customHeight="1" x14ac:dyDescent="0.3">
      <c r="A2405" s="530" t="s">
        <v>22</v>
      </c>
      <c r="B2405" s="530" t="s">
        <v>23</v>
      </c>
      <c r="C2405" s="205" t="s">
        <v>155</v>
      </c>
      <c r="D2405" s="373"/>
      <c r="E2405" s="373" t="s">
        <v>375</v>
      </c>
      <c r="F2405" s="370" t="s">
        <v>23</v>
      </c>
      <c r="G2405" s="370" t="s">
        <v>4220</v>
      </c>
      <c r="H2405" s="461" t="s">
        <v>405</v>
      </c>
      <c r="I2405" s="534" t="s">
        <v>4229</v>
      </c>
      <c r="J2405" s="369">
        <v>45238</v>
      </c>
      <c r="K2405" s="747">
        <v>0.375</v>
      </c>
      <c r="L2405" s="369">
        <v>45238</v>
      </c>
      <c r="M2405" s="753">
        <v>0.79166666666666663</v>
      </c>
      <c r="N2405" s="210">
        <v>8.5</v>
      </c>
      <c r="O2405" s="184" t="s">
        <v>411</v>
      </c>
      <c r="P2405" s="305" t="s">
        <v>462</v>
      </c>
      <c r="Q2405" s="541" t="s">
        <v>1120</v>
      </c>
      <c r="R2405" s="202" t="s">
        <v>40</v>
      </c>
      <c r="S2405" s="31" t="s">
        <v>273</v>
      </c>
      <c r="T2405" s="31" t="s">
        <v>273</v>
      </c>
      <c r="U2405" s="31">
        <f>IFERROR(VLOOKUP(CONCATENATE(Tabla1[[#This Row],[Severidad]]," ",Tabla1[[#This Row],[Complejidad]]),Catalogos!E$120:G$128,3,FALSE),"")</f>
        <v>64</v>
      </c>
      <c r="V2405" s="31" t="str">
        <f>IF(Tabla1[[#This Row],[Tiempo solución max (hrs)]]&lt;&gt;"",IF(Tabla1[[#This Row],[Tiempo solución max (hrs)]]&gt;=Tabla1[[#This Row],[Tiempo
(Hrs 00/100)]],"cumple","no cumple"),"")</f>
        <v>cumple</v>
      </c>
      <c r="W2405" s="376" t="s">
        <v>4210</v>
      </c>
      <c r="X2405" s="377" t="str">
        <f t="shared" si="204"/>
        <v>DS</v>
      </c>
      <c r="Y2405" t="str">
        <f>SUBSTITUTE(Tabla1[[#This Row],[Descripción]],CHAR(10),"    I    ")</f>
        <v>Pantalla Descarga de archivos</v>
      </c>
      <c r="Z2405" s="142">
        <f>VLOOKUP(Tabla1[[#This Row],[Perfil]],Catalogos!$B$75:$D$100,3,FALSE)*Tabla1[[#This Row],[Tiempo
(Hrs 00/100)]]*1.16</f>
        <v>6901.9999999999991</v>
      </c>
    </row>
    <row r="2406" spans="1:26" ht="15" customHeight="1" x14ac:dyDescent="0.3">
      <c r="A2406" s="530" t="s">
        <v>22</v>
      </c>
      <c r="B2406" s="530" t="s">
        <v>23</v>
      </c>
      <c r="C2406" s="205" t="s">
        <v>155</v>
      </c>
      <c r="D2406" s="373"/>
      <c r="E2406" s="373" t="s">
        <v>375</v>
      </c>
      <c r="F2406" s="370" t="s">
        <v>23</v>
      </c>
      <c r="G2406" s="370" t="s">
        <v>4220</v>
      </c>
      <c r="H2406" s="461" t="s">
        <v>405</v>
      </c>
      <c r="I2406" s="534" t="s">
        <v>4229</v>
      </c>
      <c r="J2406" s="369">
        <v>45239</v>
      </c>
      <c r="K2406" s="747">
        <v>0.375</v>
      </c>
      <c r="L2406" s="369">
        <v>45239</v>
      </c>
      <c r="M2406" s="753">
        <v>0.79166666666666663</v>
      </c>
      <c r="N2406" s="210">
        <v>8.5</v>
      </c>
      <c r="O2406" s="184" t="s">
        <v>411</v>
      </c>
      <c r="P2406" s="305" t="s">
        <v>462</v>
      </c>
      <c r="Q2406" s="541" t="s">
        <v>1120</v>
      </c>
      <c r="R2406" s="202" t="s">
        <v>40</v>
      </c>
      <c r="S2406" s="31" t="s">
        <v>273</v>
      </c>
      <c r="T2406" s="31" t="s">
        <v>273</v>
      </c>
      <c r="U2406" s="31">
        <f>IFERROR(VLOOKUP(CONCATENATE(Tabla1[[#This Row],[Severidad]]," ",Tabla1[[#This Row],[Complejidad]]),Catalogos!E$120:G$128,3,FALSE),"")</f>
        <v>64</v>
      </c>
      <c r="V2406" s="31" t="str">
        <f>IF(Tabla1[[#This Row],[Tiempo solución max (hrs)]]&lt;&gt;"",IF(Tabla1[[#This Row],[Tiempo solución max (hrs)]]&gt;=Tabla1[[#This Row],[Tiempo
(Hrs 00/100)]],"cumple","no cumple"),"")</f>
        <v>cumple</v>
      </c>
      <c r="W2406" s="376" t="s">
        <v>4210</v>
      </c>
      <c r="X2406" s="377" t="str">
        <f t="shared" si="204"/>
        <v>DS</v>
      </c>
      <c r="Y2406" t="str">
        <f>SUBSTITUTE(Tabla1[[#This Row],[Descripción]],CHAR(10),"    I    ")</f>
        <v>Pantalla Descarga de archivos</v>
      </c>
      <c r="Z2406" s="142">
        <f>VLOOKUP(Tabla1[[#This Row],[Perfil]],Catalogos!$B$75:$D$100,3,FALSE)*Tabla1[[#This Row],[Tiempo
(Hrs 00/100)]]*1.16</f>
        <v>6901.9999999999991</v>
      </c>
    </row>
    <row r="2407" spans="1:26" ht="15" customHeight="1" x14ac:dyDescent="0.3">
      <c r="A2407" s="530" t="s">
        <v>22</v>
      </c>
      <c r="B2407" s="530" t="s">
        <v>23</v>
      </c>
      <c r="C2407" s="205" t="s">
        <v>155</v>
      </c>
      <c r="D2407" s="373"/>
      <c r="E2407" s="373" t="s">
        <v>375</v>
      </c>
      <c r="F2407" s="370" t="s">
        <v>23</v>
      </c>
      <c r="G2407" s="370" t="s">
        <v>4220</v>
      </c>
      <c r="H2407" s="461" t="s">
        <v>405</v>
      </c>
      <c r="I2407" s="534" t="s">
        <v>4229</v>
      </c>
      <c r="J2407" s="369">
        <v>45240</v>
      </c>
      <c r="K2407" s="747">
        <v>0.375</v>
      </c>
      <c r="L2407" s="369">
        <v>45240</v>
      </c>
      <c r="M2407" s="753">
        <v>0.625</v>
      </c>
      <c r="N2407" s="210">
        <v>6</v>
      </c>
      <c r="O2407" s="184" t="s">
        <v>411</v>
      </c>
      <c r="P2407" s="305" t="s">
        <v>462</v>
      </c>
      <c r="Q2407" s="541" t="s">
        <v>1120</v>
      </c>
      <c r="R2407" s="202" t="s">
        <v>40</v>
      </c>
      <c r="S2407" s="31" t="s">
        <v>273</v>
      </c>
      <c r="T2407" s="31" t="s">
        <v>273</v>
      </c>
      <c r="U2407" s="31">
        <f>IFERROR(VLOOKUP(CONCATENATE(Tabla1[[#This Row],[Severidad]]," ",Tabla1[[#This Row],[Complejidad]]),Catalogos!E$120:G$128,3,FALSE),"")</f>
        <v>64</v>
      </c>
      <c r="V2407" s="31" t="str">
        <f>IF(Tabla1[[#This Row],[Tiempo solución max (hrs)]]&lt;&gt;"",IF(Tabla1[[#This Row],[Tiempo solución max (hrs)]]&gt;=Tabla1[[#This Row],[Tiempo
(Hrs 00/100)]],"cumple","no cumple"),"")</f>
        <v>cumple</v>
      </c>
      <c r="W2407" s="376" t="s">
        <v>4210</v>
      </c>
      <c r="X2407" s="377" t="str">
        <f t="shared" si="204"/>
        <v>DS</v>
      </c>
      <c r="Y2407" t="str">
        <f>SUBSTITUTE(Tabla1[[#This Row],[Descripción]],CHAR(10),"    I    ")</f>
        <v>Pantalla Descarga de archivos</v>
      </c>
      <c r="Z2407" s="142">
        <f>VLOOKUP(Tabla1[[#This Row],[Perfil]],Catalogos!$B$75:$D$100,3,FALSE)*Tabla1[[#This Row],[Tiempo
(Hrs 00/100)]]*1.16</f>
        <v>4872</v>
      </c>
    </row>
    <row r="2408" spans="1:26" ht="15" customHeight="1" x14ac:dyDescent="0.3">
      <c r="A2408" s="530" t="s">
        <v>22</v>
      </c>
      <c r="B2408" s="530" t="s">
        <v>23</v>
      </c>
      <c r="C2408" s="205" t="s">
        <v>155</v>
      </c>
      <c r="D2408" s="373"/>
      <c r="E2408" s="373" t="s">
        <v>375</v>
      </c>
      <c r="F2408" s="370" t="s">
        <v>23</v>
      </c>
      <c r="G2408" s="370" t="s">
        <v>4220</v>
      </c>
      <c r="H2408" s="461" t="s">
        <v>405</v>
      </c>
      <c r="I2408" s="534" t="s">
        <v>4229</v>
      </c>
      <c r="J2408" s="369">
        <v>45243</v>
      </c>
      <c r="K2408" s="747">
        <v>0.375</v>
      </c>
      <c r="L2408" s="369">
        <v>45243</v>
      </c>
      <c r="M2408" s="753">
        <v>0.79166666666666663</v>
      </c>
      <c r="N2408" s="210">
        <v>8.5</v>
      </c>
      <c r="O2408" s="184" t="s">
        <v>17</v>
      </c>
      <c r="P2408" s="305" t="s">
        <v>462</v>
      </c>
      <c r="Q2408" s="541" t="s">
        <v>1120</v>
      </c>
      <c r="R2408" s="202" t="s">
        <v>40</v>
      </c>
      <c r="S2408" s="31" t="s">
        <v>273</v>
      </c>
      <c r="T2408" s="31" t="s">
        <v>273</v>
      </c>
      <c r="U2408" s="31">
        <f>IFERROR(VLOOKUP(CONCATENATE(Tabla1[[#This Row],[Severidad]]," ",Tabla1[[#This Row],[Complejidad]]),Catalogos!E$120:G$128,3,FALSE),"")</f>
        <v>64</v>
      </c>
      <c r="V2408" s="31" t="str">
        <f>IF(Tabla1[[#This Row],[Tiempo solución max (hrs)]]&lt;&gt;"",IF(Tabla1[[#This Row],[Tiempo solución max (hrs)]]&gt;=Tabla1[[#This Row],[Tiempo
(Hrs 00/100)]],"cumple","no cumple"),"")</f>
        <v>cumple</v>
      </c>
      <c r="W2408" s="376" t="s">
        <v>4210</v>
      </c>
      <c r="X2408" s="377" t="str">
        <f t="shared" si="204"/>
        <v>DS</v>
      </c>
      <c r="Y2408" t="str">
        <f>SUBSTITUTE(Tabla1[[#This Row],[Descripción]],CHAR(10),"    I    ")</f>
        <v>Pantalla Descarga de archivos</v>
      </c>
      <c r="Z2408" s="142">
        <f>VLOOKUP(Tabla1[[#This Row],[Perfil]],Catalogos!$B$75:$D$100,3,FALSE)*Tabla1[[#This Row],[Tiempo
(Hrs 00/100)]]*1.16</f>
        <v>6901.9999999999991</v>
      </c>
    </row>
    <row r="2409" spans="1:26" ht="15" customHeight="1" x14ac:dyDescent="0.3">
      <c r="A2409" s="530" t="s">
        <v>22</v>
      </c>
      <c r="B2409" s="530" t="s">
        <v>23</v>
      </c>
      <c r="C2409" s="205" t="s">
        <v>155</v>
      </c>
      <c r="D2409" s="373"/>
      <c r="E2409" s="373" t="s">
        <v>375</v>
      </c>
      <c r="F2409" s="370" t="s">
        <v>23</v>
      </c>
      <c r="G2409" s="370" t="s">
        <v>4221</v>
      </c>
      <c r="H2409" s="461" t="s">
        <v>405</v>
      </c>
      <c r="I2409" s="534" t="s">
        <v>4230</v>
      </c>
      <c r="J2409" s="369">
        <v>45244</v>
      </c>
      <c r="K2409" s="747">
        <v>0.375</v>
      </c>
      <c r="L2409" s="369">
        <v>45244</v>
      </c>
      <c r="M2409" s="753">
        <v>0.79166666666666663</v>
      </c>
      <c r="N2409" s="210">
        <v>8.5</v>
      </c>
      <c r="O2409" s="184" t="s">
        <v>411</v>
      </c>
      <c r="P2409" s="305" t="s">
        <v>462</v>
      </c>
      <c r="Q2409" s="541" t="s">
        <v>1120</v>
      </c>
      <c r="R2409" s="202" t="s">
        <v>40</v>
      </c>
      <c r="S2409" s="31" t="s">
        <v>273</v>
      </c>
      <c r="T2409" s="31" t="s">
        <v>273</v>
      </c>
      <c r="U2409" s="31">
        <f>IFERROR(VLOOKUP(CONCATENATE(Tabla1[[#This Row],[Severidad]]," ",Tabla1[[#This Row],[Complejidad]]),Catalogos!E$120:G$128,3,FALSE),"")</f>
        <v>64</v>
      </c>
      <c r="V2409" s="31" t="str">
        <f>IF(Tabla1[[#This Row],[Tiempo solución max (hrs)]]&lt;&gt;"",IF(Tabla1[[#This Row],[Tiempo solución max (hrs)]]&gt;=Tabla1[[#This Row],[Tiempo
(Hrs 00/100)]],"cumple","no cumple"),"")</f>
        <v>cumple</v>
      </c>
      <c r="W2409" s="376" t="s">
        <v>4210</v>
      </c>
      <c r="X2409" s="377" t="str">
        <f t="shared" si="204"/>
        <v>DS</v>
      </c>
      <c r="Y2409" t="str">
        <f>SUBSTITUTE(Tabla1[[#This Row],[Descripción]],CHAR(10),"    I    ")</f>
        <v>Ajustes FRONT para SAIMEX</v>
      </c>
      <c r="Z2409" s="142">
        <f>VLOOKUP(Tabla1[[#This Row],[Perfil]],Catalogos!$B$75:$D$100,3,FALSE)*Tabla1[[#This Row],[Tiempo
(Hrs 00/100)]]*1.16</f>
        <v>6901.9999999999991</v>
      </c>
    </row>
    <row r="2410" spans="1:26" ht="15" customHeight="1" x14ac:dyDescent="0.3">
      <c r="A2410" s="530" t="s">
        <v>22</v>
      </c>
      <c r="B2410" s="530" t="s">
        <v>23</v>
      </c>
      <c r="C2410" s="205" t="s">
        <v>155</v>
      </c>
      <c r="D2410" s="373"/>
      <c r="E2410" s="373" t="s">
        <v>375</v>
      </c>
      <c r="F2410" s="370" t="s">
        <v>23</v>
      </c>
      <c r="G2410" s="370" t="s">
        <v>4221</v>
      </c>
      <c r="H2410" s="461" t="s">
        <v>405</v>
      </c>
      <c r="I2410" s="534" t="s">
        <v>4230</v>
      </c>
      <c r="J2410" s="369">
        <v>45245</v>
      </c>
      <c r="K2410" s="747">
        <v>0.375</v>
      </c>
      <c r="L2410" s="369">
        <v>45245</v>
      </c>
      <c r="M2410" s="753">
        <v>0.79166666666666663</v>
      </c>
      <c r="N2410" s="210">
        <v>8.5</v>
      </c>
      <c r="O2410" s="184" t="s">
        <v>411</v>
      </c>
      <c r="P2410" s="305" t="s">
        <v>462</v>
      </c>
      <c r="Q2410" s="541" t="s">
        <v>1120</v>
      </c>
      <c r="R2410" s="202" t="s">
        <v>40</v>
      </c>
      <c r="S2410" s="31" t="s">
        <v>273</v>
      </c>
      <c r="T2410" s="31" t="s">
        <v>273</v>
      </c>
      <c r="U2410" s="31">
        <f>IFERROR(VLOOKUP(CONCATENATE(Tabla1[[#This Row],[Severidad]]," ",Tabla1[[#This Row],[Complejidad]]),Catalogos!E$120:G$128,3,FALSE),"")</f>
        <v>64</v>
      </c>
      <c r="V2410" s="31" t="str">
        <f>IF(Tabla1[[#This Row],[Tiempo solución max (hrs)]]&lt;&gt;"",IF(Tabla1[[#This Row],[Tiempo solución max (hrs)]]&gt;=Tabla1[[#This Row],[Tiempo
(Hrs 00/100)]],"cumple","no cumple"),"")</f>
        <v>cumple</v>
      </c>
      <c r="W2410" s="376" t="s">
        <v>4210</v>
      </c>
      <c r="X2410" s="377" t="str">
        <f t="shared" si="204"/>
        <v>DS</v>
      </c>
      <c r="Y2410" t="str">
        <f>SUBSTITUTE(Tabla1[[#This Row],[Descripción]],CHAR(10),"    I    ")</f>
        <v>Ajustes FRONT para SAIMEX</v>
      </c>
      <c r="Z2410" s="142">
        <f>VLOOKUP(Tabla1[[#This Row],[Perfil]],Catalogos!$B$75:$D$100,3,FALSE)*Tabla1[[#This Row],[Tiempo
(Hrs 00/100)]]*1.16</f>
        <v>6901.9999999999991</v>
      </c>
    </row>
    <row r="2411" spans="1:26" ht="15" customHeight="1" x14ac:dyDescent="0.3">
      <c r="A2411" s="530" t="s">
        <v>22</v>
      </c>
      <c r="B2411" s="530" t="s">
        <v>23</v>
      </c>
      <c r="C2411" s="205" t="s">
        <v>155</v>
      </c>
      <c r="D2411" s="373"/>
      <c r="E2411" s="373" t="s">
        <v>375</v>
      </c>
      <c r="F2411" s="370" t="s">
        <v>23</v>
      </c>
      <c r="G2411" s="370" t="s">
        <v>4221</v>
      </c>
      <c r="H2411" s="461" t="s">
        <v>405</v>
      </c>
      <c r="I2411" s="534" t="s">
        <v>4230</v>
      </c>
      <c r="J2411" s="369">
        <v>45246</v>
      </c>
      <c r="K2411" s="747">
        <v>0.375</v>
      </c>
      <c r="L2411" s="369">
        <v>45246</v>
      </c>
      <c r="M2411" s="753">
        <v>0.79166666666666663</v>
      </c>
      <c r="N2411" s="210">
        <v>8.5</v>
      </c>
      <c r="O2411" s="184" t="s">
        <v>411</v>
      </c>
      <c r="P2411" s="305" t="s">
        <v>462</v>
      </c>
      <c r="Q2411" s="541" t="s">
        <v>1120</v>
      </c>
      <c r="R2411" s="202" t="s">
        <v>40</v>
      </c>
      <c r="S2411" s="31" t="s">
        <v>273</v>
      </c>
      <c r="T2411" s="31" t="s">
        <v>273</v>
      </c>
      <c r="U2411" s="31">
        <f>IFERROR(VLOOKUP(CONCATENATE(Tabla1[[#This Row],[Severidad]]," ",Tabla1[[#This Row],[Complejidad]]),Catalogos!E$120:G$128,3,FALSE),"")</f>
        <v>64</v>
      </c>
      <c r="V2411" s="31" t="str">
        <f>IF(Tabla1[[#This Row],[Tiempo solución max (hrs)]]&lt;&gt;"",IF(Tabla1[[#This Row],[Tiempo solución max (hrs)]]&gt;=Tabla1[[#This Row],[Tiempo
(Hrs 00/100)]],"cumple","no cumple"),"")</f>
        <v>cumple</v>
      </c>
      <c r="W2411" s="376" t="s">
        <v>4210</v>
      </c>
      <c r="X2411" s="377" t="str">
        <f t="shared" si="204"/>
        <v>DS</v>
      </c>
      <c r="Y2411" t="str">
        <f>SUBSTITUTE(Tabla1[[#This Row],[Descripción]],CHAR(10),"    I    ")</f>
        <v>Ajustes FRONT para SAIMEX</v>
      </c>
      <c r="Z2411" s="142">
        <f>VLOOKUP(Tabla1[[#This Row],[Perfil]],Catalogos!$B$75:$D$100,3,FALSE)*Tabla1[[#This Row],[Tiempo
(Hrs 00/100)]]*1.16</f>
        <v>6901.9999999999991</v>
      </c>
    </row>
    <row r="2412" spans="1:26" ht="15" customHeight="1" x14ac:dyDescent="0.3">
      <c r="A2412" s="530" t="s">
        <v>22</v>
      </c>
      <c r="B2412" s="530" t="s">
        <v>23</v>
      </c>
      <c r="C2412" s="205" t="s">
        <v>155</v>
      </c>
      <c r="D2412" s="373"/>
      <c r="E2412" s="373" t="s">
        <v>375</v>
      </c>
      <c r="F2412" s="370" t="s">
        <v>23</v>
      </c>
      <c r="G2412" s="370" t="s">
        <v>4221</v>
      </c>
      <c r="H2412" s="461" t="s">
        <v>405</v>
      </c>
      <c r="I2412" s="534" t="s">
        <v>4230</v>
      </c>
      <c r="J2412" s="369">
        <v>45247</v>
      </c>
      <c r="K2412" s="747">
        <v>0.375</v>
      </c>
      <c r="L2412" s="369">
        <v>45247</v>
      </c>
      <c r="M2412" s="753">
        <v>0.8125</v>
      </c>
      <c r="N2412" s="210">
        <v>9</v>
      </c>
      <c r="O2412" s="184" t="s">
        <v>17</v>
      </c>
      <c r="P2412" s="305" t="s">
        <v>462</v>
      </c>
      <c r="Q2412" s="541" t="s">
        <v>1120</v>
      </c>
      <c r="R2412" s="202" t="s">
        <v>40</v>
      </c>
      <c r="S2412" s="31" t="s">
        <v>273</v>
      </c>
      <c r="T2412" s="31" t="s">
        <v>273</v>
      </c>
      <c r="U2412" s="31">
        <f>IFERROR(VLOOKUP(CONCATENATE(Tabla1[[#This Row],[Severidad]]," ",Tabla1[[#This Row],[Complejidad]]),Catalogos!E$120:G$128,3,FALSE),"")</f>
        <v>64</v>
      </c>
      <c r="V2412" s="31" t="str">
        <f>IF(Tabla1[[#This Row],[Tiempo solución max (hrs)]]&lt;&gt;"",IF(Tabla1[[#This Row],[Tiempo solución max (hrs)]]&gt;=Tabla1[[#This Row],[Tiempo
(Hrs 00/100)]],"cumple","no cumple"),"")</f>
        <v>cumple</v>
      </c>
      <c r="W2412" s="376" t="s">
        <v>4210</v>
      </c>
      <c r="X2412" s="377" t="str">
        <f t="shared" si="204"/>
        <v>DS</v>
      </c>
      <c r="Y2412" t="str">
        <f>SUBSTITUTE(Tabla1[[#This Row],[Descripción]],CHAR(10),"    I    ")</f>
        <v>Ajustes FRONT para SAIMEX</v>
      </c>
      <c r="Z2412" s="142">
        <f>VLOOKUP(Tabla1[[#This Row],[Perfil]],Catalogos!$B$75:$D$100,3,FALSE)*Tabla1[[#This Row],[Tiempo
(Hrs 00/100)]]*1.16</f>
        <v>7307.9999999999991</v>
      </c>
    </row>
    <row r="2413" spans="1:26" ht="15" customHeight="1" x14ac:dyDescent="0.3">
      <c r="A2413" s="530" t="s">
        <v>22</v>
      </c>
      <c r="B2413" s="530" t="s">
        <v>23</v>
      </c>
      <c r="C2413" s="205" t="s">
        <v>155</v>
      </c>
      <c r="D2413" s="373"/>
      <c r="E2413" s="373" t="s">
        <v>375</v>
      </c>
      <c r="F2413" s="370" t="s">
        <v>23</v>
      </c>
      <c r="G2413" s="370" t="s">
        <v>4222</v>
      </c>
      <c r="H2413" s="461" t="s">
        <v>405</v>
      </c>
      <c r="I2413" s="405" t="s">
        <v>4212</v>
      </c>
      <c r="J2413" s="369">
        <v>45251</v>
      </c>
      <c r="K2413" s="747">
        <v>0.375</v>
      </c>
      <c r="L2413" s="369">
        <v>45251</v>
      </c>
      <c r="M2413" s="753">
        <v>0.79166666666666663</v>
      </c>
      <c r="N2413" s="210">
        <v>8.5</v>
      </c>
      <c r="O2413" s="184" t="s">
        <v>17</v>
      </c>
      <c r="P2413" s="305" t="s">
        <v>462</v>
      </c>
      <c r="Q2413" s="541" t="s">
        <v>1120</v>
      </c>
      <c r="R2413" s="202" t="s">
        <v>40</v>
      </c>
      <c r="S2413" s="31" t="s">
        <v>273</v>
      </c>
      <c r="T2413" s="31" t="s">
        <v>273</v>
      </c>
      <c r="U2413" s="31">
        <f>IFERROR(VLOOKUP(CONCATENATE(Tabla1[[#This Row],[Severidad]]," ",Tabla1[[#This Row],[Complejidad]]),Catalogos!E$120:G$128,3,FALSE),"")</f>
        <v>64</v>
      </c>
      <c r="V2413" s="31" t="str">
        <f>IF(Tabla1[[#This Row],[Tiempo solución max (hrs)]]&lt;&gt;"",IF(Tabla1[[#This Row],[Tiempo solución max (hrs)]]&gt;=Tabla1[[#This Row],[Tiempo
(Hrs 00/100)]],"cumple","no cumple"),"")</f>
        <v>cumple</v>
      </c>
      <c r="W2413" s="376" t="s">
        <v>4210</v>
      </c>
      <c r="X2413" s="377" t="str">
        <f t="shared" si="204"/>
        <v>DS</v>
      </c>
      <c r="Y2413" t="str">
        <f>SUBSTITUTE(Tabla1[[#This Row],[Descripción]],CHAR(10),"    I    ")</f>
        <v>Desarrollar pantalla para estadísticas por usuario/resoluciones</v>
      </c>
      <c r="Z2413" s="142">
        <f>VLOOKUP(Tabla1[[#This Row],[Perfil]],Catalogos!$B$75:$D$100,3,FALSE)*Tabla1[[#This Row],[Tiempo
(Hrs 00/100)]]*1.16</f>
        <v>6901.9999999999991</v>
      </c>
    </row>
    <row r="2414" spans="1:26" ht="15" customHeight="1" x14ac:dyDescent="0.3">
      <c r="A2414" s="530" t="s">
        <v>22</v>
      </c>
      <c r="B2414" s="530" t="s">
        <v>23</v>
      </c>
      <c r="C2414" s="205" t="s">
        <v>155</v>
      </c>
      <c r="D2414" s="373"/>
      <c r="E2414" s="373" t="s">
        <v>375</v>
      </c>
      <c r="F2414" s="370" t="s">
        <v>23</v>
      </c>
      <c r="G2414" s="370" t="s">
        <v>4223</v>
      </c>
      <c r="H2414" s="461" t="s">
        <v>405</v>
      </c>
      <c r="I2414" s="405" t="s">
        <v>4213</v>
      </c>
      <c r="J2414" s="369">
        <v>45252</v>
      </c>
      <c r="K2414" s="747">
        <v>0.375</v>
      </c>
      <c r="L2414" s="369">
        <v>45252</v>
      </c>
      <c r="M2414" s="753">
        <v>0.79166666666666663</v>
      </c>
      <c r="N2414" s="210">
        <v>8.5</v>
      </c>
      <c r="O2414" s="184" t="s">
        <v>411</v>
      </c>
      <c r="P2414" s="305" t="s">
        <v>462</v>
      </c>
      <c r="Q2414" s="541" t="s">
        <v>1120</v>
      </c>
      <c r="R2414" s="202" t="s">
        <v>40</v>
      </c>
      <c r="S2414" s="31" t="s">
        <v>273</v>
      </c>
      <c r="T2414" s="31" t="s">
        <v>273</v>
      </c>
      <c r="U2414" s="31">
        <f>IFERROR(VLOOKUP(CONCATENATE(Tabla1[[#This Row],[Severidad]]," ",Tabla1[[#This Row],[Complejidad]]),Catalogos!E$120:G$128,3,FALSE),"")</f>
        <v>64</v>
      </c>
      <c r="V2414" s="31" t="str">
        <f>IF(Tabla1[[#This Row],[Tiempo solución max (hrs)]]&lt;&gt;"",IF(Tabla1[[#This Row],[Tiempo solución max (hrs)]]&gt;=Tabla1[[#This Row],[Tiempo
(Hrs 00/100)]],"cumple","no cumple"),"")</f>
        <v>cumple</v>
      </c>
      <c r="W2414" s="376" t="s">
        <v>4210</v>
      </c>
      <c r="X2414" s="377" t="str">
        <f t="shared" si="204"/>
        <v>DS</v>
      </c>
      <c r="Y2414" t="str">
        <f>SUBSTITUTE(Tabla1[[#This Row],[Descripción]],CHAR(10),"    I    ")</f>
        <v>Implementar funcionalidad para las estadísticas por usuario (redireccionamiento)</v>
      </c>
      <c r="Z2414" s="142">
        <f>VLOOKUP(Tabla1[[#This Row],[Perfil]],Catalogos!$B$75:$D$100,3,FALSE)*Tabla1[[#This Row],[Tiempo
(Hrs 00/100)]]*1.16</f>
        <v>6901.9999999999991</v>
      </c>
    </row>
    <row r="2415" spans="1:26" ht="15" customHeight="1" x14ac:dyDescent="0.3">
      <c r="A2415" s="530" t="s">
        <v>22</v>
      </c>
      <c r="B2415" s="530" t="s">
        <v>23</v>
      </c>
      <c r="C2415" s="205" t="s">
        <v>155</v>
      </c>
      <c r="D2415" s="373"/>
      <c r="E2415" s="373" t="s">
        <v>375</v>
      </c>
      <c r="F2415" s="370" t="s">
        <v>23</v>
      </c>
      <c r="G2415" s="370" t="s">
        <v>4223</v>
      </c>
      <c r="H2415" s="461" t="s">
        <v>405</v>
      </c>
      <c r="I2415" s="405" t="s">
        <v>4213</v>
      </c>
      <c r="J2415" s="369">
        <v>45253</v>
      </c>
      <c r="K2415" s="747">
        <v>0.375</v>
      </c>
      <c r="L2415" s="369">
        <v>45253</v>
      </c>
      <c r="M2415" s="753">
        <v>0.79166666666666663</v>
      </c>
      <c r="N2415" s="210">
        <v>8.5</v>
      </c>
      <c r="O2415" s="184" t="s">
        <v>17</v>
      </c>
      <c r="P2415" s="305" t="s">
        <v>462</v>
      </c>
      <c r="Q2415" s="541" t="s">
        <v>1120</v>
      </c>
      <c r="R2415" s="202" t="s">
        <v>40</v>
      </c>
      <c r="S2415" s="31" t="s">
        <v>273</v>
      </c>
      <c r="T2415" s="31" t="s">
        <v>273</v>
      </c>
      <c r="U2415" s="31">
        <f>IFERROR(VLOOKUP(CONCATENATE(Tabla1[[#This Row],[Severidad]]," ",Tabla1[[#This Row],[Complejidad]]),Catalogos!E$120:G$128,3,FALSE),"")</f>
        <v>64</v>
      </c>
      <c r="V2415" s="31" t="str">
        <f>IF(Tabla1[[#This Row],[Tiempo solución max (hrs)]]&lt;&gt;"",IF(Tabla1[[#This Row],[Tiempo solución max (hrs)]]&gt;=Tabla1[[#This Row],[Tiempo
(Hrs 00/100)]],"cumple","no cumple"),"")</f>
        <v>cumple</v>
      </c>
      <c r="W2415" s="376" t="s">
        <v>4210</v>
      </c>
      <c r="X2415" s="377" t="str">
        <f t="shared" si="204"/>
        <v>DS</v>
      </c>
      <c r="Y2415" t="str">
        <f>SUBSTITUTE(Tabla1[[#This Row],[Descripción]],CHAR(10),"    I    ")</f>
        <v>Implementar funcionalidad para las estadísticas por usuario (redireccionamiento)</v>
      </c>
      <c r="Z2415" s="142">
        <f>VLOOKUP(Tabla1[[#This Row],[Perfil]],Catalogos!$B$75:$D$100,3,FALSE)*Tabla1[[#This Row],[Tiempo
(Hrs 00/100)]]*1.16</f>
        <v>6901.9999999999991</v>
      </c>
    </row>
    <row r="2416" spans="1:26" ht="15" customHeight="1" x14ac:dyDescent="0.3">
      <c r="A2416" s="530" t="s">
        <v>22</v>
      </c>
      <c r="B2416" s="530" t="s">
        <v>23</v>
      </c>
      <c r="C2416" s="205" t="s">
        <v>155</v>
      </c>
      <c r="D2416" s="373"/>
      <c r="E2416" s="373" t="s">
        <v>375</v>
      </c>
      <c r="F2416" s="370" t="s">
        <v>23</v>
      </c>
      <c r="G2416" s="370" t="s">
        <v>4224</v>
      </c>
      <c r="H2416" s="461" t="s">
        <v>405</v>
      </c>
      <c r="I2416" s="405" t="s">
        <v>4214</v>
      </c>
      <c r="J2416" s="369">
        <v>45254</v>
      </c>
      <c r="K2416" s="747">
        <v>0.375</v>
      </c>
      <c r="L2416" s="369">
        <v>45254</v>
      </c>
      <c r="M2416" s="753">
        <v>0.625</v>
      </c>
      <c r="N2416" s="210">
        <v>6</v>
      </c>
      <c r="O2416" s="184" t="s">
        <v>17</v>
      </c>
      <c r="P2416" s="305" t="s">
        <v>462</v>
      </c>
      <c r="Q2416" s="541" t="s">
        <v>1120</v>
      </c>
      <c r="R2416" s="202" t="s">
        <v>40</v>
      </c>
      <c r="S2416" s="31" t="s">
        <v>273</v>
      </c>
      <c r="T2416" s="31" t="s">
        <v>273</v>
      </c>
      <c r="U2416" s="31">
        <f>IFERROR(VLOOKUP(CONCATENATE(Tabla1[[#This Row],[Severidad]]," ",Tabla1[[#This Row],[Complejidad]]),Catalogos!E$120:G$128,3,FALSE),"")</f>
        <v>64</v>
      </c>
      <c r="V2416" s="31" t="str">
        <f>IF(Tabla1[[#This Row],[Tiempo solución max (hrs)]]&lt;&gt;"",IF(Tabla1[[#This Row],[Tiempo solución max (hrs)]]&gt;=Tabla1[[#This Row],[Tiempo
(Hrs 00/100)]],"cumple","no cumple"),"")</f>
        <v>cumple</v>
      </c>
      <c r="W2416" s="376" t="s">
        <v>4210</v>
      </c>
      <c r="X2416" s="377" t="str">
        <f t="shared" si="204"/>
        <v>DS</v>
      </c>
      <c r="Y2416" t="str">
        <f>SUBSTITUTE(Tabla1[[#This Row],[Descripción]],CHAR(10),"    I    ")</f>
        <v>Modificar header del buscador inteligente con la nueva versión</v>
      </c>
      <c r="Z2416" s="142">
        <f>VLOOKUP(Tabla1[[#This Row],[Perfil]],Catalogos!$B$75:$D$100,3,FALSE)*Tabla1[[#This Row],[Tiempo
(Hrs 00/100)]]*1.16</f>
        <v>4872</v>
      </c>
    </row>
    <row r="2417" spans="1:26" ht="15" customHeight="1" x14ac:dyDescent="0.3">
      <c r="A2417" s="530" t="s">
        <v>22</v>
      </c>
      <c r="B2417" s="530" t="s">
        <v>23</v>
      </c>
      <c r="C2417" s="205" t="s">
        <v>155</v>
      </c>
      <c r="D2417" s="373"/>
      <c r="E2417" s="373" t="s">
        <v>375</v>
      </c>
      <c r="F2417" s="370" t="s">
        <v>23</v>
      </c>
      <c r="G2417" s="370" t="s">
        <v>4225</v>
      </c>
      <c r="H2417" s="461" t="s">
        <v>405</v>
      </c>
      <c r="I2417" s="405" t="s">
        <v>4215</v>
      </c>
      <c r="J2417" s="369">
        <v>45257</v>
      </c>
      <c r="K2417" s="747">
        <v>0.375</v>
      </c>
      <c r="L2417" s="369">
        <v>45257</v>
      </c>
      <c r="M2417" s="753">
        <v>0.79166666666666663</v>
      </c>
      <c r="N2417" s="210">
        <v>8.5</v>
      </c>
      <c r="O2417" s="184" t="s">
        <v>411</v>
      </c>
      <c r="P2417" s="305" t="s">
        <v>462</v>
      </c>
      <c r="Q2417" s="541" t="s">
        <v>1120</v>
      </c>
      <c r="R2417" s="202" t="s">
        <v>40</v>
      </c>
      <c r="S2417" s="31" t="s">
        <v>273</v>
      </c>
      <c r="T2417" s="31" t="s">
        <v>273</v>
      </c>
      <c r="U2417" s="31">
        <f>IFERROR(VLOOKUP(CONCATENATE(Tabla1[[#This Row],[Severidad]]," ",Tabla1[[#This Row],[Complejidad]]),Catalogos!E$120:G$128,3,FALSE),"")</f>
        <v>64</v>
      </c>
      <c r="V2417" s="31" t="str">
        <f>IF(Tabla1[[#This Row],[Tiempo solución max (hrs)]]&lt;&gt;"",IF(Tabla1[[#This Row],[Tiempo solución max (hrs)]]&gt;=Tabla1[[#This Row],[Tiempo
(Hrs 00/100)]],"cumple","no cumple"),"")</f>
        <v>cumple</v>
      </c>
      <c r="W2417" s="376" t="s">
        <v>4210</v>
      </c>
      <c r="X2417" s="377" t="str">
        <f t="shared" si="204"/>
        <v>DS</v>
      </c>
      <c r="Y2417" t="str">
        <f>SUBSTITUTE(Tabla1[[#This Row],[Descripción]],CHAR(10),"    I    ")</f>
        <v>Implementar estadística de lo mas PREGUNTADO del buscador inteligente</v>
      </c>
      <c r="Z2417" s="142">
        <f>VLOOKUP(Tabla1[[#This Row],[Perfil]],Catalogos!$B$75:$D$100,3,FALSE)*Tabla1[[#This Row],[Tiempo
(Hrs 00/100)]]*1.16</f>
        <v>6901.9999999999991</v>
      </c>
    </row>
    <row r="2418" spans="1:26" ht="15" customHeight="1" x14ac:dyDescent="0.3">
      <c r="A2418" s="530" t="s">
        <v>22</v>
      </c>
      <c r="B2418" s="530" t="s">
        <v>23</v>
      </c>
      <c r="C2418" s="205" t="s">
        <v>155</v>
      </c>
      <c r="D2418" s="373"/>
      <c r="E2418" s="373" t="s">
        <v>375</v>
      </c>
      <c r="F2418" s="370" t="s">
        <v>23</v>
      </c>
      <c r="G2418" s="370" t="s">
        <v>4225</v>
      </c>
      <c r="H2418" s="461" t="s">
        <v>405</v>
      </c>
      <c r="I2418" s="405" t="s">
        <v>4215</v>
      </c>
      <c r="J2418" s="369">
        <v>45258</v>
      </c>
      <c r="K2418" s="747">
        <v>0.375</v>
      </c>
      <c r="L2418" s="369">
        <v>45258</v>
      </c>
      <c r="M2418" s="753">
        <v>0.79166666666666663</v>
      </c>
      <c r="N2418" s="210">
        <v>8.5</v>
      </c>
      <c r="O2418" s="184" t="s">
        <v>17</v>
      </c>
      <c r="P2418" s="305" t="s">
        <v>462</v>
      </c>
      <c r="Q2418" s="541" t="s">
        <v>1120</v>
      </c>
      <c r="R2418" s="202" t="s">
        <v>40</v>
      </c>
      <c r="S2418" s="31" t="s">
        <v>273</v>
      </c>
      <c r="T2418" s="31" t="s">
        <v>273</v>
      </c>
      <c r="U2418" s="31">
        <f>IFERROR(VLOOKUP(CONCATENATE(Tabla1[[#This Row],[Severidad]]," ",Tabla1[[#This Row],[Complejidad]]),Catalogos!E$120:G$128,3,FALSE),"")</f>
        <v>64</v>
      </c>
      <c r="V2418" s="31" t="str">
        <f>IF(Tabla1[[#This Row],[Tiempo solución max (hrs)]]&lt;&gt;"",IF(Tabla1[[#This Row],[Tiempo solución max (hrs)]]&gt;=Tabla1[[#This Row],[Tiempo
(Hrs 00/100)]],"cumple","no cumple"),"")</f>
        <v>cumple</v>
      </c>
      <c r="W2418" s="376" t="s">
        <v>4210</v>
      </c>
      <c r="X2418" s="377" t="str">
        <f t="shared" si="204"/>
        <v>DS</v>
      </c>
      <c r="Y2418" t="str">
        <f>SUBSTITUTE(Tabla1[[#This Row],[Descripción]],CHAR(10),"    I    ")</f>
        <v>Implementar estadística de lo mas PREGUNTADO del buscador inteligente</v>
      </c>
      <c r="Z2418" s="142">
        <f>VLOOKUP(Tabla1[[#This Row],[Perfil]],Catalogos!$B$75:$D$100,3,FALSE)*Tabla1[[#This Row],[Tiempo
(Hrs 00/100)]]*1.16</f>
        <v>6901.9999999999991</v>
      </c>
    </row>
    <row r="2419" spans="1:26" ht="15" customHeight="1" x14ac:dyDescent="0.3">
      <c r="A2419" s="530" t="s">
        <v>22</v>
      </c>
      <c r="B2419" s="530" t="s">
        <v>23</v>
      </c>
      <c r="C2419" s="205" t="s">
        <v>155</v>
      </c>
      <c r="D2419" s="373"/>
      <c r="E2419" s="373" t="s">
        <v>375</v>
      </c>
      <c r="F2419" s="370" t="s">
        <v>23</v>
      </c>
      <c r="G2419" s="370" t="s">
        <v>4226</v>
      </c>
      <c r="H2419" s="461" t="s">
        <v>405</v>
      </c>
      <c r="I2419" s="405" t="s">
        <v>4216</v>
      </c>
      <c r="J2419" s="369">
        <v>45259</v>
      </c>
      <c r="K2419" s="747">
        <v>0.375</v>
      </c>
      <c r="L2419" s="369">
        <v>45259</v>
      </c>
      <c r="M2419" s="753">
        <v>0.79166666666666663</v>
      </c>
      <c r="N2419" s="210">
        <v>8.5</v>
      </c>
      <c r="O2419" s="184" t="s">
        <v>411</v>
      </c>
      <c r="P2419" s="305" t="s">
        <v>462</v>
      </c>
      <c r="Q2419" s="541" t="s">
        <v>1120</v>
      </c>
      <c r="R2419" s="202" t="s">
        <v>40</v>
      </c>
      <c r="S2419" s="31" t="s">
        <v>273</v>
      </c>
      <c r="T2419" s="31" t="s">
        <v>273</v>
      </c>
      <c r="U2419" s="31">
        <f>IFERROR(VLOOKUP(CONCATENATE(Tabla1[[#This Row],[Severidad]]," ",Tabla1[[#This Row],[Complejidad]]),Catalogos!E$120:G$128,3,FALSE),"")</f>
        <v>64</v>
      </c>
      <c r="V2419" s="31" t="str">
        <f>IF(Tabla1[[#This Row],[Tiempo solución max (hrs)]]&lt;&gt;"",IF(Tabla1[[#This Row],[Tiempo solución max (hrs)]]&gt;=Tabla1[[#This Row],[Tiempo
(Hrs 00/100)]],"cumple","no cumple"),"")</f>
        <v>cumple</v>
      </c>
      <c r="W2419" s="376" t="s">
        <v>4210</v>
      </c>
      <c r="X2419" s="377" t="str">
        <f t="shared" si="204"/>
        <v>DS</v>
      </c>
      <c r="Y2419" t="str">
        <f>SUBSTITUTE(Tabla1[[#This Row],[Descripción]],CHAR(10),"    I    ")</f>
        <v>Implementar estadística de lo mas CONSULTADO del buscador inteligente</v>
      </c>
      <c r="Z2419" s="142">
        <f>VLOOKUP(Tabla1[[#This Row],[Perfil]],Catalogos!$B$75:$D$100,3,FALSE)*Tabla1[[#This Row],[Tiempo
(Hrs 00/100)]]*1.16</f>
        <v>6901.9999999999991</v>
      </c>
    </row>
    <row r="2420" spans="1:26" ht="15" customHeight="1" x14ac:dyDescent="0.3">
      <c r="A2420" s="530" t="s">
        <v>22</v>
      </c>
      <c r="B2420" s="530" t="s">
        <v>23</v>
      </c>
      <c r="C2420" s="205" t="s">
        <v>155</v>
      </c>
      <c r="D2420" s="373"/>
      <c r="E2420" s="373" t="s">
        <v>375</v>
      </c>
      <c r="F2420" s="370" t="s">
        <v>23</v>
      </c>
      <c r="G2420" s="370" t="s">
        <v>4226</v>
      </c>
      <c r="H2420" s="461" t="s">
        <v>405</v>
      </c>
      <c r="I2420" s="405" t="s">
        <v>4216</v>
      </c>
      <c r="J2420" s="369">
        <v>45260</v>
      </c>
      <c r="K2420" s="747">
        <v>0.375</v>
      </c>
      <c r="L2420" s="369">
        <v>45260</v>
      </c>
      <c r="M2420" s="753">
        <v>0.79166666666666663</v>
      </c>
      <c r="N2420" s="210">
        <v>8.5</v>
      </c>
      <c r="O2420" s="184" t="s">
        <v>17</v>
      </c>
      <c r="P2420" s="305" t="s">
        <v>462</v>
      </c>
      <c r="Q2420" s="541" t="s">
        <v>1120</v>
      </c>
      <c r="R2420" s="202" t="s">
        <v>40</v>
      </c>
      <c r="S2420" s="31" t="s">
        <v>273</v>
      </c>
      <c r="T2420" s="31" t="s">
        <v>273</v>
      </c>
      <c r="U2420" s="31">
        <f>IFERROR(VLOOKUP(CONCATENATE(Tabla1[[#This Row],[Severidad]]," ",Tabla1[[#This Row],[Complejidad]]),Catalogos!E$120:G$128,3,FALSE),"")</f>
        <v>64</v>
      </c>
      <c r="V2420" s="31" t="str">
        <f>IF(Tabla1[[#This Row],[Tiempo solución max (hrs)]]&lt;&gt;"",IF(Tabla1[[#This Row],[Tiempo solución max (hrs)]]&gt;=Tabla1[[#This Row],[Tiempo
(Hrs 00/100)]],"cumple","no cumple"),"")</f>
        <v>cumple</v>
      </c>
      <c r="W2420" s="376" t="s">
        <v>4210</v>
      </c>
      <c r="X2420" s="377" t="str">
        <f t="shared" si="204"/>
        <v>DS</v>
      </c>
      <c r="Y2420" t="str">
        <f>SUBSTITUTE(Tabla1[[#This Row],[Descripción]],CHAR(10),"    I    ")</f>
        <v>Implementar estadística de lo mas CONSULTADO del buscador inteligente</v>
      </c>
      <c r="Z2420" s="142">
        <f>VLOOKUP(Tabla1[[#This Row],[Perfil]],Catalogos!$B$75:$D$100,3,FALSE)*Tabla1[[#This Row],[Tiempo
(Hrs 00/100)]]*1.16</f>
        <v>6901.9999999999991</v>
      </c>
    </row>
    <row r="2421" spans="1:26" ht="15" customHeight="1" x14ac:dyDescent="0.3">
      <c r="A2421" s="625" t="s">
        <v>22</v>
      </c>
      <c r="B2421" s="625" t="s">
        <v>23</v>
      </c>
      <c r="C2421" s="205" t="s">
        <v>155</v>
      </c>
      <c r="D2421" s="373"/>
      <c r="E2421" s="373" t="s">
        <v>375</v>
      </c>
      <c r="F2421" s="370" t="s">
        <v>23</v>
      </c>
      <c r="G2421" s="664" t="s">
        <v>4227</v>
      </c>
      <c r="H2421" s="461" t="s">
        <v>405</v>
      </c>
      <c r="I2421" s="467" t="s">
        <v>4342</v>
      </c>
      <c r="J2421" s="369">
        <v>45231</v>
      </c>
      <c r="K2421" s="747">
        <v>0.375</v>
      </c>
      <c r="L2421" s="369">
        <v>45231</v>
      </c>
      <c r="M2421" s="753">
        <v>0.79166666666666663</v>
      </c>
      <c r="N2421" s="210">
        <v>8.5</v>
      </c>
      <c r="O2421" s="633" t="s">
        <v>411</v>
      </c>
      <c r="P2421" s="375" t="s">
        <v>412</v>
      </c>
      <c r="Q2421" s="627" t="s">
        <v>208</v>
      </c>
      <c r="R2421" s="628" t="s">
        <v>40</v>
      </c>
      <c r="S2421" s="31" t="s">
        <v>273</v>
      </c>
      <c r="T2421" s="31" t="s">
        <v>273</v>
      </c>
      <c r="U2421" s="31">
        <f>IFERROR(VLOOKUP(CONCATENATE(Tabla1[[#This Row],[Severidad]]," ",Tabla1[[#This Row],[Complejidad]]),Catalogos!E$120:G$128,3,FALSE),"")</f>
        <v>64</v>
      </c>
      <c r="V2421" s="31" t="str">
        <f>IF(Tabla1[[#This Row],[Tiempo solución max (hrs)]]&lt;&gt;"",IF(Tabla1[[#This Row],[Tiempo solución max (hrs)]]&gt;=Tabla1[[#This Row],[Tiempo
(Hrs 00/100)]],"cumple","no cumple"),"")</f>
        <v>cumple</v>
      </c>
      <c r="W2421" s="376" t="s">
        <v>4210</v>
      </c>
      <c r="X2421" s="377" t="str">
        <f t="shared" si="204"/>
        <v>DS</v>
      </c>
      <c r="Y2421" t="str">
        <f>SUBSTITUTE(Tabla1[[#This Row],[Descripción]],CHAR(10),"    I    ")</f>
        <v>Desarrollo de servicios Back de respuesta a notificaciones</v>
      </c>
      <c r="Z2421" s="142">
        <f>VLOOKUP(Tabla1[[#This Row],[Perfil]],Catalogos!$B$75:$D$100,3,FALSE)*Tabla1[[#This Row],[Tiempo
(Hrs 00/100)]]*1.16</f>
        <v>6901.9999999999991</v>
      </c>
    </row>
    <row r="2422" spans="1:26" ht="15" customHeight="1" x14ac:dyDescent="0.3">
      <c r="A2422" s="625" t="s">
        <v>22</v>
      </c>
      <c r="B2422" s="625" t="s">
        <v>23</v>
      </c>
      <c r="C2422" s="205" t="s">
        <v>155</v>
      </c>
      <c r="D2422" s="373"/>
      <c r="E2422" s="373" t="s">
        <v>375</v>
      </c>
      <c r="F2422" s="370" t="s">
        <v>23</v>
      </c>
      <c r="G2422" s="664" t="s">
        <v>4227</v>
      </c>
      <c r="H2422" s="461" t="s">
        <v>405</v>
      </c>
      <c r="I2422" s="467" t="s">
        <v>4342</v>
      </c>
      <c r="J2422" s="369">
        <v>45233</v>
      </c>
      <c r="K2422" s="747">
        <v>0.375</v>
      </c>
      <c r="L2422" s="369">
        <v>45233</v>
      </c>
      <c r="M2422" s="753">
        <v>0.625</v>
      </c>
      <c r="N2422" s="210">
        <v>6</v>
      </c>
      <c r="O2422" s="633" t="s">
        <v>411</v>
      </c>
      <c r="P2422" s="375" t="s">
        <v>412</v>
      </c>
      <c r="Q2422" s="627" t="s">
        <v>208</v>
      </c>
      <c r="R2422" s="628" t="s">
        <v>40</v>
      </c>
      <c r="S2422" s="31" t="s">
        <v>273</v>
      </c>
      <c r="T2422" s="31" t="s">
        <v>273</v>
      </c>
      <c r="U2422" s="31">
        <f>IFERROR(VLOOKUP(CONCATENATE(Tabla1[[#This Row],[Severidad]]," ",Tabla1[[#This Row],[Complejidad]]),Catalogos!E$120:G$128,3,FALSE),"")</f>
        <v>64</v>
      </c>
      <c r="V2422" s="31" t="str">
        <f>IF(Tabla1[[#This Row],[Tiempo solución max (hrs)]]&lt;&gt;"",IF(Tabla1[[#This Row],[Tiempo solución max (hrs)]]&gt;=Tabla1[[#This Row],[Tiempo
(Hrs 00/100)]],"cumple","no cumple"),"")</f>
        <v>cumple</v>
      </c>
      <c r="W2422" s="376" t="s">
        <v>4210</v>
      </c>
      <c r="X2422" s="377" t="str">
        <f t="shared" si="204"/>
        <v>DS</v>
      </c>
      <c r="Y2422" t="str">
        <f>SUBSTITUTE(Tabla1[[#This Row],[Descripción]],CHAR(10),"    I    ")</f>
        <v>Desarrollo de servicios Back de respuesta a notificaciones</v>
      </c>
      <c r="Z2422" s="142">
        <f>VLOOKUP(Tabla1[[#This Row],[Perfil]],Catalogos!$B$75:$D$100,3,FALSE)*Tabla1[[#This Row],[Tiempo
(Hrs 00/100)]]*1.16</f>
        <v>4872</v>
      </c>
    </row>
    <row r="2423" spans="1:26" ht="15" customHeight="1" x14ac:dyDescent="0.3">
      <c r="A2423" s="625" t="s">
        <v>22</v>
      </c>
      <c r="B2423" s="625" t="s">
        <v>23</v>
      </c>
      <c r="C2423" s="205" t="s">
        <v>155</v>
      </c>
      <c r="D2423" s="373"/>
      <c r="E2423" s="373" t="s">
        <v>375</v>
      </c>
      <c r="F2423" s="370" t="s">
        <v>23</v>
      </c>
      <c r="G2423" s="664" t="s">
        <v>4227</v>
      </c>
      <c r="H2423" s="461" t="s">
        <v>405</v>
      </c>
      <c r="I2423" s="467" t="s">
        <v>4342</v>
      </c>
      <c r="J2423" s="369">
        <v>45236</v>
      </c>
      <c r="K2423" s="747">
        <v>0.375</v>
      </c>
      <c r="L2423" s="369">
        <v>45236</v>
      </c>
      <c r="M2423" s="753">
        <v>0.79166666666666663</v>
      </c>
      <c r="N2423" s="210">
        <v>8.5</v>
      </c>
      <c r="O2423" s="633" t="s">
        <v>411</v>
      </c>
      <c r="P2423" s="375" t="s">
        <v>412</v>
      </c>
      <c r="Q2423" s="627" t="s">
        <v>208</v>
      </c>
      <c r="R2423" s="628" t="s">
        <v>40</v>
      </c>
      <c r="S2423" s="31" t="s">
        <v>273</v>
      </c>
      <c r="T2423" s="31" t="s">
        <v>273</v>
      </c>
      <c r="U2423" s="31">
        <f>IFERROR(VLOOKUP(CONCATENATE(Tabla1[[#This Row],[Severidad]]," ",Tabla1[[#This Row],[Complejidad]]),Catalogos!E$120:G$128,3,FALSE),"")</f>
        <v>64</v>
      </c>
      <c r="V2423" s="31" t="str">
        <f>IF(Tabla1[[#This Row],[Tiempo solución max (hrs)]]&lt;&gt;"",IF(Tabla1[[#This Row],[Tiempo solución max (hrs)]]&gt;=Tabla1[[#This Row],[Tiempo
(Hrs 00/100)]],"cumple","no cumple"),"")</f>
        <v>cumple</v>
      </c>
      <c r="W2423" s="376" t="s">
        <v>4210</v>
      </c>
      <c r="X2423" s="377" t="str">
        <f t="shared" si="204"/>
        <v>DS</v>
      </c>
      <c r="Y2423" t="str">
        <f>SUBSTITUTE(Tabla1[[#This Row],[Descripción]],CHAR(10),"    I    ")</f>
        <v>Desarrollo de servicios Back de respuesta a notificaciones</v>
      </c>
      <c r="Z2423" s="142">
        <f>VLOOKUP(Tabla1[[#This Row],[Perfil]],Catalogos!$B$75:$D$100,3,FALSE)*Tabla1[[#This Row],[Tiempo
(Hrs 00/100)]]*1.16</f>
        <v>6901.9999999999991</v>
      </c>
    </row>
    <row r="2424" spans="1:26" ht="15" customHeight="1" x14ac:dyDescent="0.3">
      <c r="A2424" s="625" t="s">
        <v>22</v>
      </c>
      <c r="B2424" s="625" t="s">
        <v>23</v>
      </c>
      <c r="C2424" s="205" t="s">
        <v>155</v>
      </c>
      <c r="D2424" s="373"/>
      <c r="E2424" s="373" t="s">
        <v>375</v>
      </c>
      <c r="F2424" s="370" t="s">
        <v>23</v>
      </c>
      <c r="G2424" s="664" t="s">
        <v>4227</v>
      </c>
      <c r="H2424" s="461" t="s">
        <v>405</v>
      </c>
      <c r="I2424" s="467" t="s">
        <v>4342</v>
      </c>
      <c r="J2424" s="369">
        <v>45237</v>
      </c>
      <c r="K2424" s="747">
        <v>0.375</v>
      </c>
      <c r="L2424" s="369">
        <v>45237</v>
      </c>
      <c r="M2424" s="753">
        <v>0.79166666666666663</v>
      </c>
      <c r="N2424" s="210">
        <v>8.5</v>
      </c>
      <c r="O2424" s="184" t="s">
        <v>17</v>
      </c>
      <c r="P2424" s="375" t="s">
        <v>412</v>
      </c>
      <c r="Q2424" s="627" t="s">
        <v>208</v>
      </c>
      <c r="R2424" s="628" t="s">
        <v>40</v>
      </c>
      <c r="S2424" s="31" t="s">
        <v>273</v>
      </c>
      <c r="T2424" s="31" t="s">
        <v>273</v>
      </c>
      <c r="U2424" s="31">
        <f>IFERROR(VLOOKUP(CONCATENATE(Tabla1[[#This Row],[Severidad]]," ",Tabla1[[#This Row],[Complejidad]]),Catalogos!E$120:G$128,3,FALSE),"")</f>
        <v>64</v>
      </c>
      <c r="V2424" s="31" t="str">
        <f>IF(Tabla1[[#This Row],[Tiempo solución max (hrs)]]&lt;&gt;"",IF(Tabla1[[#This Row],[Tiempo solución max (hrs)]]&gt;=Tabla1[[#This Row],[Tiempo
(Hrs 00/100)]],"cumple","no cumple"),"")</f>
        <v>cumple</v>
      </c>
      <c r="W2424" s="376" t="s">
        <v>4210</v>
      </c>
      <c r="X2424" s="377" t="str">
        <f t="shared" ref="X2424:X2486" si="205">IF(C2424&lt;&gt;"",C2424,D2424)</f>
        <v>DS</v>
      </c>
      <c r="Y2424" t="str">
        <f>SUBSTITUTE(Tabla1[[#This Row],[Descripción]],CHAR(10),"    I    ")</f>
        <v>Desarrollo de servicios Back de respuesta a notificaciones</v>
      </c>
      <c r="Z2424" s="142">
        <f>VLOOKUP(Tabla1[[#This Row],[Perfil]],Catalogos!$B$75:$D$100,3,FALSE)*Tabla1[[#This Row],[Tiempo
(Hrs 00/100)]]*1.16</f>
        <v>6901.9999999999991</v>
      </c>
    </row>
    <row r="2425" spans="1:26" ht="15" customHeight="1" x14ac:dyDescent="0.3">
      <c r="A2425" s="625" t="s">
        <v>22</v>
      </c>
      <c r="B2425" s="625" t="s">
        <v>23</v>
      </c>
      <c r="C2425" s="205" t="s">
        <v>155</v>
      </c>
      <c r="D2425" s="373"/>
      <c r="E2425" s="373" t="s">
        <v>375</v>
      </c>
      <c r="F2425" s="370" t="s">
        <v>23</v>
      </c>
      <c r="G2425" s="664" t="s">
        <v>4347</v>
      </c>
      <c r="H2425" s="461" t="s">
        <v>405</v>
      </c>
      <c r="I2425" s="534" t="s">
        <v>4343</v>
      </c>
      <c r="J2425" s="369">
        <v>45238</v>
      </c>
      <c r="K2425" s="747">
        <v>0.375</v>
      </c>
      <c r="L2425" s="369">
        <v>45238</v>
      </c>
      <c r="M2425" s="753">
        <v>0.79166666666666663</v>
      </c>
      <c r="N2425" s="210">
        <v>8.5</v>
      </c>
      <c r="O2425" s="633" t="s">
        <v>411</v>
      </c>
      <c r="P2425" s="375" t="s">
        <v>412</v>
      </c>
      <c r="Q2425" s="627" t="s">
        <v>208</v>
      </c>
      <c r="R2425" s="628" t="s">
        <v>40</v>
      </c>
      <c r="S2425" s="31" t="s">
        <v>273</v>
      </c>
      <c r="T2425" s="31" t="s">
        <v>273</v>
      </c>
      <c r="U2425" s="31">
        <f>IFERROR(VLOOKUP(CONCATENATE(Tabla1[[#This Row],[Severidad]]," ",Tabla1[[#This Row],[Complejidad]]),Catalogos!E$120:G$128,3,FALSE),"")</f>
        <v>64</v>
      </c>
      <c r="V2425" s="31" t="str">
        <f>IF(Tabla1[[#This Row],[Tiempo solución max (hrs)]]&lt;&gt;"",IF(Tabla1[[#This Row],[Tiempo solución max (hrs)]]&gt;=Tabla1[[#This Row],[Tiempo
(Hrs 00/100)]],"cumple","no cumple"),"")</f>
        <v>cumple</v>
      </c>
      <c r="W2425" s="376" t="s">
        <v>4210</v>
      </c>
      <c r="X2425" s="377" t="str">
        <f t="shared" si="205"/>
        <v>DS</v>
      </c>
      <c r="Y2425" t="str">
        <f>SUBSTITUTE(Tabla1[[#This Row],[Descripción]],CHAR(10),"    I    ")</f>
        <v>Desarrollo de servicios back para descarga de archivos</v>
      </c>
      <c r="Z2425" s="142">
        <f>VLOOKUP(Tabla1[[#This Row],[Perfil]],Catalogos!$B$75:$D$100,3,FALSE)*Tabla1[[#This Row],[Tiempo
(Hrs 00/100)]]*1.16</f>
        <v>6901.9999999999991</v>
      </c>
    </row>
    <row r="2426" spans="1:26" ht="15" customHeight="1" x14ac:dyDescent="0.3">
      <c r="A2426" s="625" t="s">
        <v>22</v>
      </c>
      <c r="B2426" s="625" t="s">
        <v>23</v>
      </c>
      <c r="C2426" s="205" t="s">
        <v>155</v>
      </c>
      <c r="D2426" s="373"/>
      <c r="E2426" s="373" t="s">
        <v>375</v>
      </c>
      <c r="F2426" s="370" t="s">
        <v>23</v>
      </c>
      <c r="G2426" s="664" t="s">
        <v>4347</v>
      </c>
      <c r="H2426" s="461" t="s">
        <v>405</v>
      </c>
      <c r="I2426" s="534" t="s">
        <v>4343</v>
      </c>
      <c r="J2426" s="369">
        <v>45239</v>
      </c>
      <c r="K2426" s="747">
        <v>0.375</v>
      </c>
      <c r="L2426" s="369">
        <v>45239</v>
      </c>
      <c r="M2426" s="753">
        <v>0.79166666666666663</v>
      </c>
      <c r="N2426" s="210">
        <v>8.5</v>
      </c>
      <c r="O2426" s="184" t="s">
        <v>17</v>
      </c>
      <c r="P2426" s="375" t="s">
        <v>412</v>
      </c>
      <c r="Q2426" s="627" t="s">
        <v>208</v>
      </c>
      <c r="R2426" s="628" t="s">
        <v>40</v>
      </c>
      <c r="S2426" s="31" t="s">
        <v>273</v>
      </c>
      <c r="T2426" s="31" t="s">
        <v>273</v>
      </c>
      <c r="U2426" s="31">
        <f>IFERROR(VLOOKUP(CONCATENATE(Tabla1[[#This Row],[Severidad]]," ",Tabla1[[#This Row],[Complejidad]]),Catalogos!E$120:G$128,3,FALSE),"")</f>
        <v>64</v>
      </c>
      <c r="V2426" s="31" t="str">
        <f>IF(Tabla1[[#This Row],[Tiempo solución max (hrs)]]&lt;&gt;"",IF(Tabla1[[#This Row],[Tiempo solución max (hrs)]]&gt;=Tabla1[[#This Row],[Tiempo
(Hrs 00/100)]],"cumple","no cumple"),"")</f>
        <v>cumple</v>
      </c>
      <c r="W2426" s="376" t="s">
        <v>4210</v>
      </c>
      <c r="X2426" s="377" t="str">
        <f t="shared" si="205"/>
        <v>DS</v>
      </c>
      <c r="Y2426" t="str">
        <f>SUBSTITUTE(Tabla1[[#This Row],[Descripción]],CHAR(10),"    I    ")</f>
        <v>Desarrollo de servicios back para descarga de archivos</v>
      </c>
      <c r="Z2426" s="142">
        <f>VLOOKUP(Tabla1[[#This Row],[Perfil]],Catalogos!$B$75:$D$100,3,FALSE)*Tabla1[[#This Row],[Tiempo
(Hrs 00/100)]]*1.16</f>
        <v>6901.9999999999991</v>
      </c>
    </row>
    <row r="2427" spans="1:26" ht="15" customHeight="1" x14ac:dyDescent="0.3">
      <c r="A2427" s="625" t="s">
        <v>22</v>
      </c>
      <c r="B2427" s="625" t="s">
        <v>23</v>
      </c>
      <c r="C2427" s="205" t="s">
        <v>155</v>
      </c>
      <c r="D2427" s="373"/>
      <c r="E2427" s="373" t="s">
        <v>375</v>
      </c>
      <c r="F2427" s="370" t="s">
        <v>23</v>
      </c>
      <c r="G2427" s="664" t="s">
        <v>4348</v>
      </c>
      <c r="H2427" s="461" t="s">
        <v>405</v>
      </c>
      <c r="I2427" s="534" t="s">
        <v>4344</v>
      </c>
      <c r="J2427" s="369">
        <v>45240</v>
      </c>
      <c r="K2427" s="747">
        <v>0.375</v>
      </c>
      <c r="L2427" s="369">
        <v>45240</v>
      </c>
      <c r="M2427" s="753">
        <v>0.625</v>
      </c>
      <c r="N2427" s="210">
        <v>6</v>
      </c>
      <c r="O2427" s="633" t="s">
        <v>411</v>
      </c>
      <c r="P2427" s="375" t="s">
        <v>412</v>
      </c>
      <c r="Q2427" s="627" t="s">
        <v>208</v>
      </c>
      <c r="R2427" s="628" t="s">
        <v>40</v>
      </c>
      <c r="S2427" s="31" t="s">
        <v>273</v>
      </c>
      <c r="T2427" s="31" t="s">
        <v>273</v>
      </c>
      <c r="U2427" s="31">
        <f>IFERROR(VLOOKUP(CONCATENATE(Tabla1[[#This Row],[Severidad]]," ",Tabla1[[#This Row],[Complejidad]]),Catalogos!E$120:G$128,3,FALSE),"")</f>
        <v>64</v>
      </c>
      <c r="V2427" s="31" t="str">
        <f>IF(Tabla1[[#This Row],[Tiempo solución max (hrs)]]&lt;&gt;"",IF(Tabla1[[#This Row],[Tiempo solución max (hrs)]]&gt;=Tabla1[[#This Row],[Tiempo
(Hrs 00/100)]],"cumple","no cumple"),"")</f>
        <v>cumple</v>
      </c>
      <c r="W2427" s="376" t="s">
        <v>4210</v>
      </c>
      <c r="X2427" s="377" t="str">
        <f t="shared" si="205"/>
        <v>DS</v>
      </c>
      <c r="Y2427" t="str">
        <f>SUBSTITUTE(Tabla1[[#This Row],[Descripción]],CHAR(10),"    I    ")</f>
        <v>Desarrollo de servicios back para integrar SAIMEX a la PNT</v>
      </c>
      <c r="Z2427" s="142">
        <f>VLOOKUP(Tabla1[[#This Row],[Perfil]],Catalogos!$B$75:$D$100,3,FALSE)*Tabla1[[#This Row],[Tiempo
(Hrs 00/100)]]*1.16</f>
        <v>4872</v>
      </c>
    </row>
    <row r="2428" spans="1:26" ht="15" customHeight="1" x14ac:dyDescent="0.3">
      <c r="A2428" s="625" t="s">
        <v>22</v>
      </c>
      <c r="B2428" s="625" t="s">
        <v>23</v>
      </c>
      <c r="C2428" s="205" t="s">
        <v>155</v>
      </c>
      <c r="D2428" s="373"/>
      <c r="E2428" s="373" t="s">
        <v>375</v>
      </c>
      <c r="F2428" s="370" t="s">
        <v>23</v>
      </c>
      <c r="G2428" s="664" t="s">
        <v>4348</v>
      </c>
      <c r="H2428" s="461" t="s">
        <v>405</v>
      </c>
      <c r="I2428" s="534" t="s">
        <v>4344</v>
      </c>
      <c r="J2428" s="369">
        <v>45243</v>
      </c>
      <c r="K2428" s="747">
        <v>0.375</v>
      </c>
      <c r="L2428" s="369">
        <v>45243</v>
      </c>
      <c r="M2428" s="753">
        <v>0.79166666666666663</v>
      </c>
      <c r="N2428" s="210">
        <v>8.5</v>
      </c>
      <c r="O2428" s="633" t="s">
        <v>411</v>
      </c>
      <c r="P2428" s="375" t="s">
        <v>412</v>
      </c>
      <c r="Q2428" s="627" t="s">
        <v>208</v>
      </c>
      <c r="R2428" s="628" t="s">
        <v>40</v>
      </c>
      <c r="S2428" s="31" t="s">
        <v>273</v>
      </c>
      <c r="T2428" s="31" t="s">
        <v>273</v>
      </c>
      <c r="U2428" s="31">
        <f>IFERROR(VLOOKUP(CONCATENATE(Tabla1[[#This Row],[Severidad]]," ",Tabla1[[#This Row],[Complejidad]]),Catalogos!E$120:G$128,3,FALSE),"")</f>
        <v>64</v>
      </c>
      <c r="V2428" s="31" t="str">
        <f>IF(Tabla1[[#This Row],[Tiempo solución max (hrs)]]&lt;&gt;"",IF(Tabla1[[#This Row],[Tiempo solución max (hrs)]]&gt;=Tabla1[[#This Row],[Tiempo
(Hrs 00/100)]],"cumple","no cumple"),"")</f>
        <v>cumple</v>
      </c>
      <c r="W2428" s="376" t="s">
        <v>4210</v>
      </c>
      <c r="X2428" s="377" t="str">
        <f t="shared" si="205"/>
        <v>DS</v>
      </c>
      <c r="Y2428" t="str">
        <f>SUBSTITUTE(Tabla1[[#This Row],[Descripción]],CHAR(10),"    I    ")</f>
        <v>Desarrollo de servicios back para integrar SAIMEX a la PNT</v>
      </c>
      <c r="Z2428" s="142">
        <f>VLOOKUP(Tabla1[[#This Row],[Perfil]],Catalogos!$B$75:$D$100,3,FALSE)*Tabla1[[#This Row],[Tiempo
(Hrs 00/100)]]*1.16</f>
        <v>6901.9999999999991</v>
      </c>
    </row>
    <row r="2429" spans="1:26" ht="15" customHeight="1" x14ac:dyDescent="0.3">
      <c r="A2429" s="625" t="s">
        <v>22</v>
      </c>
      <c r="B2429" s="625" t="s">
        <v>23</v>
      </c>
      <c r="C2429" s="205" t="s">
        <v>155</v>
      </c>
      <c r="D2429" s="373"/>
      <c r="E2429" s="373" t="s">
        <v>375</v>
      </c>
      <c r="F2429" s="370" t="s">
        <v>23</v>
      </c>
      <c r="G2429" s="664" t="s">
        <v>4348</v>
      </c>
      <c r="H2429" s="461" t="s">
        <v>405</v>
      </c>
      <c r="I2429" s="534" t="s">
        <v>4344</v>
      </c>
      <c r="J2429" s="369">
        <v>45244</v>
      </c>
      <c r="K2429" s="747">
        <v>0.375</v>
      </c>
      <c r="L2429" s="369">
        <v>45244</v>
      </c>
      <c r="M2429" s="753">
        <v>0.79166666666666663</v>
      </c>
      <c r="N2429" s="210">
        <v>8.5</v>
      </c>
      <c r="O2429" s="633" t="s">
        <v>411</v>
      </c>
      <c r="P2429" s="375" t="s">
        <v>412</v>
      </c>
      <c r="Q2429" s="627" t="s">
        <v>208</v>
      </c>
      <c r="R2429" s="628" t="s">
        <v>40</v>
      </c>
      <c r="S2429" s="31" t="s">
        <v>273</v>
      </c>
      <c r="T2429" s="31" t="s">
        <v>273</v>
      </c>
      <c r="U2429" s="31">
        <f>IFERROR(VLOOKUP(CONCATENATE(Tabla1[[#This Row],[Severidad]]," ",Tabla1[[#This Row],[Complejidad]]),Catalogos!E$120:G$128,3,FALSE),"")</f>
        <v>64</v>
      </c>
      <c r="V2429" s="31" t="str">
        <f>IF(Tabla1[[#This Row],[Tiempo solución max (hrs)]]&lt;&gt;"",IF(Tabla1[[#This Row],[Tiempo solución max (hrs)]]&gt;=Tabla1[[#This Row],[Tiempo
(Hrs 00/100)]],"cumple","no cumple"),"")</f>
        <v>cumple</v>
      </c>
      <c r="W2429" s="376" t="s">
        <v>4210</v>
      </c>
      <c r="X2429" s="377" t="str">
        <f t="shared" si="205"/>
        <v>DS</v>
      </c>
      <c r="Y2429" t="str">
        <f>SUBSTITUTE(Tabla1[[#This Row],[Descripción]],CHAR(10),"    I    ")</f>
        <v>Desarrollo de servicios back para integrar SAIMEX a la PNT</v>
      </c>
      <c r="Z2429" s="142">
        <f>VLOOKUP(Tabla1[[#This Row],[Perfil]],Catalogos!$B$75:$D$100,3,FALSE)*Tabla1[[#This Row],[Tiempo
(Hrs 00/100)]]*1.16</f>
        <v>6901.9999999999991</v>
      </c>
    </row>
    <row r="2430" spans="1:26" ht="15" customHeight="1" x14ac:dyDescent="0.3">
      <c r="A2430" s="625" t="s">
        <v>22</v>
      </c>
      <c r="B2430" s="625" t="s">
        <v>23</v>
      </c>
      <c r="C2430" s="205" t="s">
        <v>155</v>
      </c>
      <c r="D2430" s="373"/>
      <c r="E2430" s="373" t="s">
        <v>375</v>
      </c>
      <c r="F2430" s="370" t="s">
        <v>23</v>
      </c>
      <c r="G2430" s="664" t="s">
        <v>4348</v>
      </c>
      <c r="H2430" s="461" t="s">
        <v>405</v>
      </c>
      <c r="I2430" s="534" t="s">
        <v>4344</v>
      </c>
      <c r="J2430" s="369">
        <v>45245</v>
      </c>
      <c r="K2430" s="747">
        <v>0.375</v>
      </c>
      <c r="L2430" s="369">
        <v>45245</v>
      </c>
      <c r="M2430" s="753">
        <v>0.8125</v>
      </c>
      <c r="N2430" s="210">
        <v>9</v>
      </c>
      <c r="O2430" s="633" t="s">
        <v>411</v>
      </c>
      <c r="P2430" s="375" t="s">
        <v>412</v>
      </c>
      <c r="Q2430" s="627" t="s">
        <v>208</v>
      </c>
      <c r="R2430" s="628" t="s">
        <v>40</v>
      </c>
      <c r="S2430" s="31" t="s">
        <v>273</v>
      </c>
      <c r="T2430" s="31" t="s">
        <v>273</v>
      </c>
      <c r="U2430" s="31">
        <f>IFERROR(VLOOKUP(CONCATENATE(Tabla1[[#This Row],[Severidad]]," ",Tabla1[[#This Row],[Complejidad]]),Catalogos!E$120:G$128,3,FALSE),"")</f>
        <v>64</v>
      </c>
      <c r="V2430" s="31" t="str">
        <f>IF(Tabla1[[#This Row],[Tiempo solución max (hrs)]]&lt;&gt;"",IF(Tabla1[[#This Row],[Tiempo solución max (hrs)]]&gt;=Tabla1[[#This Row],[Tiempo
(Hrs 00/100)]],"cumple","no cumple"),"")</f>
        <v>cumple</v>
      </c>
      <c r="W2430" s="376" t="s">
        <v>4210</v>
      </c>
      <c r="X2430" s="377" t="str">
        <f t="shared" si="205"/>
        <v>DS</v>
      </c>
      <c r="Y2430" t="str">
        <f>SUBSTITUTE(Tabla1[[#This Row],[Descripción]],CHAR(10),"    I    ")</f>
        <v>Desarrollo de servicios back para integrar SAIMEX a la PNT</v>
      </c>
      <c r="Z2430" s="142">
        <f>VLOOKUP(Tabla1[[#This Row],[Perfil]],Catalogos!$B$75:$D$100,3,FALSE)*Tabla1[[#This Row],[Tiempo
(Hrs 00/100)]]*1.16</f>
        <v>7307.9999999999991</v>
      </c>
    </row>
    <row r="2431" spans="1:26" ht="15" customHeight="1" x14ac:dyDescent="0.3">
      <c r="A2431" s="625" t="s">
        <v>22</v>
      </c>
      <c r="B2431" s="625" t="s">
        <v>23</v>
      </c>
      <c r="C2431" s="205" t="s">
        <v>155</v>
      </c>
      <c r="D2431" s="373"/>
      <c r="E2431" s="373" t="s">
        <v>375</v>
      </c>
      <c r="F2431" s="370" t="s">
        <v>23</v>
      </c>
      <c r="G2431" s="664" t="s">
        <v>4348</v>
      </c>
      <c r="H2431" s="461" t="s">
        <v>405</v>
      </c>
      <c r="I2431" s="534" t="s">
        <v>4344</v>
      </c>
      <c r="J2431" s="369">
        <v>45246</v>
      </c>
      <c r="K2431" s="747">
        <v>0.375</v>
      </c>
      <c r="L2431" s="369">
        <v>45246</v>
      </c>
      <c r="M2431" s="753">
        <v>0.8125</v>
      </c>
      <c r="N2431" s="210">
        <v>9</v>
      </c>
      <c r="O2431" s="633" t="s">
        <v>411</v>
      </c>
      <c r="P2431" s="375" t="s">
        <v>412</v>
      </c>
      <c r="Q2431" s="627" t="s">
        <v>208</v>
      </c>
      <c r="R2431" s="628" t="s">
        <v>40</v>
      </c>
      <c r="S2431" s="31" t="s">
        <v>273</v>
      </c>
      <c r="T2431" s="31" t="s">
        <v>273</v>
      </c>
      <c r="U2431" s="31">
        <f>IFERROR(VLOOKUP(CONCATENATE(Tabla1[[#This Row],[Severidad]]," ",Tabla1[[#This Row],[Complejidad]]),Catalogos!E$120:G$128,3,FALSE),"")</f>
        <v>64</v>
      </c>
      <c r="V2431" s="31" t="str">
        <f>IF(Tabla1[[#This Row],[Tiempo solución max (hrs)]]&lt;&gt;"",IF(Tabla1[[#This Row],[Tiempo solución max (hrs)]]&gt;=Tabla1[[#This Row],[Tiempo
(Hrs 00/100)]],"cumple","no cumple"),"")</f>
        <v>cumple</v>
      </c>
      <c r="W2431" s="376" t="s">
        <v>4210</v>
      </c>
      <c r="X2431" s="377" t="str">
        <f t="shared" si="205"/>
        <v>DS</v>
      </c>
      <c r="Y2431" t="str">
        <f>SUBSTITUTE(Tabla1[[#This Row],[Descripción]],CHAR(10),"    I    ")</f>
        <v>Desarrollo de servicios back para integrar SAIMEX a la PNT</v>
      </c>
      <c r="Z2431" s="142">
        <f>VLOOKUP(Tabla1[[#This Row],[Perfil]],Catalogos!$B$75:$D$100,3,FALSE)*Tabla1[[#This Row],[Tiempo
(Hrs 00/100)]]*1.16</f>
        <v>7307.9999999999991</v>
      </c>
    </row>
    <row r="2432" spans="1:26" ht="15" customHeight="1" x14ac:dyDescent="0.3">
      <c r="A2432" s="625" t="s">
        <v>22</v>
      </c>
      <c r="B2432" s="625" t="s">
        <v>23</v>
      </c>
      <c r="C2432" s="205" t="s">
        <v>155</v>
      </c>
      <c r="D2432" s="373"/>
      <c r="E2432" s="373" t="s">
        <v>375</v>
      </c>
      <c r="F2432" s="370" t="s">
        <v>23</v>
      </c>
      <c r="G2432" s="664" t="s">
        <v>4348</v>
      </c>
      <c r="H2432" s="461" t="s">
        <v>405</v>
      </c>
      <c r="I2432" s="534" t="s">
        <v>4344</v>
      </c>
      <c r="J2432" s="369">
        <v>45247</v>
      </c>
      <c r="K2432" s="747">
        <v>0.375</v>
      </c>
      <c r="L2432" s="369">
        <v>45247</v>
      </c>
      <c r="M2432" s="753">
        <v>0.8125</v>
      </c>
      <c r="N2432" s="210">
        <v>9</v>
      </c>
      <c r="O2432" s="184" t="s">
        <v>17</v>
      </c>
      <c r="P2432" s="375" t="s">
        <v>412</v>
      </c>
      <c r="Q2432" s="627" t="s">
        <v>208</v>
      </c>
      <c r="R2432" s="628" t="s">
        <v>40</v>
      </c>
      <c r="S2432" s="31" t="s">
        <v>273</v>
      </c>
      <c r="T2432" s="31" t="s">
        <v>273</v>
      </c>
      <c r="U2432" s="31">
        <f>IFERROR(VLOOKUP(CONCATENATE(Tabla1[[#This Row],[Severidad]]," ",Tabla1[[#This Row],[Complejidad]]),Catalogos!E$120:G$128,3,FALSE),"")</f>
        <v>64</v>
      </c>
      <c r="V2432" s="31" t="str">
        <f>IF(Tabla1[[#This Row],[Tiempo solución max (hrs)]]&lt;&gt;"",IF(Tabla1[[#This Row],[Tiempo solución max (hrs)]]&gt;=Tabla1[[#This Row],[Tiempo
(Hrs 00/100)]],"cumple","no cumple"),"")</f>
        <v>cumple</v>
      </c>
      <c r="W2432" s="376" t="s">
        <v>4210</v>
      </c>
      <c r="X2432" s="377" t="str">
        <f t="shared" si="205"/>
        <v>DS</v>
      </c>
      <c r="Y2432" t="str">
        <f>SUBSTITUTE(Tabla1[[#This Row],[Descripción]],CHAR(10),"    I    ")</f>
        <v>Desarrollo de servicios back para integrar SAIMEX a la PNT</v>
      </c>
      <c r="Z2432" s="142">
        <f>VLOOKUP(Tabla1[[#This Row],[Perfil]],Catalogos!$B$75:$D$100,3,FALSE)*Tabla1[[#This Row],[Tiempo
(Hrs 00/100)]]*1.16</f>
        <v>7307.9999999999991</v>
      </c>
    </row>
    <row r="2433" spans="1:26" ht="15" customHeight="1" x14ac:dyDescent="0.3">
      <c r="A2433" s="625" t="s">
        <v>22</v>
      </c>
      <c r="B2433" s="625" t="s">
        <v>23</v>
      </c>
      <c r="C2433" s="205" t="s">
        <v>155</v>
      </c>
      <c r="D2433" s="373"/>
      <c r="E2433" s="373" t="s">
        <v>375</v>
      </c>
      <c r="F2433" s="370" t="s">
        <v>23</v>
      </c>
      <c r="G2433" s="664" t="s">
        <v>4349</v>
      </c>
      <c r="H2433" s="461" t="s">
        <v>405</v>
      </c>
      <c r="I2433" s="405" t="s">
        <v>4345</v>
      </c>
      <c r="J2433" s="369">
        <v>45251</v>
      </c>
      <c r="K2433" s="747">
        <v>0.375</v>
      </c>
      <c r="L2433" s="369">
        <v>45251</v>
      </c>
      <c r="M2433" s="753">
        <v>0.79166666666666663</v>
      </c>
      <c r="N2433" s="210">
        <v>8.5</v>
      </c>
      <c r="O2433" s="633" t="s">
        <v>411</v>
      </c>
      <c r="P2433" s="375" t="s">
        <v>412</v>
      </c>
      <c r="Q2433" s="627" t="s">
        <v>208</v>
      </c>
      <c r="R2433" s="628" t="s">
        <v>40</v>
      </c>
      <c r="S2433" s="31" t="s">
        <v>273</v>
      </c>
      <c r="T2433" s="31" t="s">
        <v>273</v>
      </c>
      <c r="U2433" s="31">
        <f>IFERROR(VLOOKUP(CONCATENATE(Tabla1[[#This Row],[Severidad]]," ",Tabla1[[#This Row],[Complejidad]]),Catalogos!E$120:G$128,3,FALSE),"")</f>
        <v>64</v>
      </c>
      <c r="V2433" s="31" t="str">
        <f>IF(Tabla1[[#This Row],[Tiempo solución max (hrs)]]&lt;&gt;"",IF(Tabla1[[#This Row],[Tiempo solución max (hrs)]]&gt;=Tabla1[[#This Row],[Tiempo
(Hrs 00/100)]],"cumple","no cumple"),"")</f>
        <v>cumple</v>
      </c>
      <c r="W2433" s="376" t="s">
        <v>4210</v>
      </c>
      <c r="X2433" s="377" t="str">
        <f t="shared" si="205"/>
        <v>DS</v>
      </c>
      <c r="Y2433" t="str">
        <f>SUBSTITUTE(Tabla1[[#This Row],[Descripción]],CHAR(10),"    I    ")</f>
        <v xml:space="preserve">Desarrollar servicios para generación de estadísticas </v>
      </c>
      <c r="Z2433" s="142">
        <f>VLOOKUP(Tabla1[[#This Row],[Perfil]],Catalogos!$B$75:$D$100,3,FALSE)*Tabla1[[#This Row],[Tiempo
(Hrs 00/100)]]*1.16</f>
        <v>6901.9999999999991</v>
      </c>
    </row>
    <row r="2434" spans="1:26" ht="15" customHeight="1" x14ac:dyDescent="0.3">
      <c r="A2434" s="625" t="s">
        <v>22</v>
      </c>
      <c r="B2434" s="625" t="s">
        <v>23</v>
      </c>
      <c r="C2434" s="205" t="s">
        <v>155</v>
      </c>
      <c r="D2434" s="373"/>
      <c r="E2434" s="373" t="s">
        <v>375</v>
      </c>
      <c r="F2434" s="370" t="s">
        <v>23</v>
      </c>
      <c r="G2434" s="664" t="s">
        <v>4349</v>
      </c>
      <c r="H2434" s="461" t="s">
        <v>405</v>
      </c>
      <c r="I2434" s="405" t="s">
        <v>4345</v>
      </c>
      <c r="J2434" s="369">
        <v>45252</v>
      </c>
      <c r="K2434" s="747">
        <v>0.375</v>
      </c>
      <c r="L2434" s="369">
        <v>45252</v>
      </c>
      <c r="M2434" s="753">
        <v>0.79166666666666663</v>
      </c>
      <c r="N2434" s="210">
        <v>8.5</v>
      </c>
      <c r="O2434" s="633" t="s">
        <v>411</v>
      </c>
      <c r="P2434" s="375" t="s">
        <v>412</v>
      </c>
      <c r="Q2434" s="627" t="s">
        <v>208</v>
      </c>
      <c r="R2434" s="628" t="s">
        <v>40</v>
      </c>
      <c r="S2434" s="31" t="s">
        <v>273</v>
      </c>
      <c r="T2434" s="31" t="s">
        <v>273</v>
      </c>
      <c r="U2434" s="31">
        <f>IFERROR(VLOOKUP(CONCATENATE(Tabla1[[#This Row],[Severidad]]," ",Tabla1[[#This Row],[Complejidad]]),Catalogos!E$120:G$128,3,FALSE),"")</f>
        <v>64</v>
      </c>
      <c r="V2434" s="31" t="str">
        <f>IF(Tabla1[[#This Row],[Tiempo solución max (hrs)]]&lt;&gt;"",IF(Tabla1[[#This Row],[Tiempo solución max (hrs)]]&gt;=Tabla1[[#This Row],[Tiempo
(Hrs 00/100)]],"cumple","no cumple"),"")</f>
        <v>cumple</v>
      </c>
      <c r="W2434" s="376" t="s">
        <v>4210</v>
      </c>
      <c r="X2434" s="377" t="str">
        <f t="shared" si="205"/>
        <v>DS</v>
      </c>
      <c r="Y2434" t="str">
        <f>SUBSTITUTE(Tabla1[[#This Row],[Descripción]],CHAR(10),"    I    ")</f>
        <v xml:space="preserve">Desarrollar servicios para generación de estadísticas </v>
      </c>
      <c r="Z2434" s="142">
        <f>VLOOKUP(Tabla1[[#This Row],[Perfil]],Catalogos!$B$75:$D$100,3,FALSE)*Tabla1[[#This Row],[Tiempo
(Hrs 00/100)]]*1.16</f>
        <v>6901.9999999999991</v>
      </c>
    </row>
    <row r="2435" spans="1:26" ht="15" customHeight="1" x14ac:dyDescent="0.3">
      <c r="A2435" s="625" t="s">
        <v>22</v>
      </c>
      <c r="B2435" s="625" t="s">
        <v>23</v>
      </c>
      <c r="C2435" s="205" t="s">
        <v>155</v>
      </c>
      <c r="D2435" s="373"/>
      <c r="E2435" s="373" t="s">
        <v>375</v>
      </c>
      <c r="F2435" s="370" t="s">
        <v>23</v>
      </c>
      <c r="G2435" s="664" t="s">
        <v>4349</v>
      </c>
      <c r="H2435" s="461" t="s">
        <v>405</v>
      </c>
      <c r="I2435" s="405" t="s">
        <v>4345</v>
      </c>
      <c r="J2435" s="369">
        <v>45253</v>
      </c>
      <c r="K2435" s="747">
        <v>0.375</v>
      </c>
      <c r="L2435" s="369">
        <v>45253</v>
      </c>
      <c r="M2435" s="753">
        <v>0.79166666666666663</v>
      </c>
      <c r="N2435" s="210">
        <v>8.5</v>
      </c>
      <c r="O2435" s="633" t="s">
        <v>411</v>
      </c>
      <c r="P2435" s="375" t="s">
        <v>412</v>
      </c>
      <c r="Q2435" s="627" t="s">
        <v>208</v>
      </c>
      <c r="R2435" s="628" t="s">
        <v>40</v>
      </c>
      <c r="S2435" s="31" t="s">
        <v>273</v>
      </c>
      <c r="T2435" s="31" t="s">
        <v>273</v>
      </c>
      <c r="U2435" s="31">
        <f>IFERROR(VLOOKUP(CONCATENATE(Tabla1[[#This Row],[Severidad]]," ",Tabla1[[#This Row],[Complejidad]]),Catalogos!E$120:G$128,3,FALSE),"")</f>
        <v>64</v>
      </c>
      <c r="V2435" s="31" t="str">
        <f>IF(Tabla1[[#This Row],[Tiempo solución max (hrs)]]&lt;&gt;"",IF(Tabla1[[#This Row],[Tiempo solución max (hrs)]]&gt;=Tabla1[[#This Row],[Tiempo
(Hrs 00/100)]],"cumple","no cumple"),"")</f>
        <v>cumple</v>
      </c>
      <c r="W2435" s="376" t="s">
        <v>4210</v>
      </c>
      <c r="X2435" s="377" t="str">
        <f t="shared" si="205"/>
        <v>DS</v>
      </c>
      <c r="Y2435" t="str">
        <f>SUBSTITUTE(Tabla1[[#This Row],[Descripción]],CHAR(10),"    I    ")</f>
        <v xml:space="preserve">Desarrollar servicios para generación de estadísticas </v>
      </c>
      <c r="Z2435" s="142">
        <f>VLOOKUP(Tabla1[[#This Row],[Perfil]],Catalogos!$B$75:$D$100,3,FALSE)*Tabla1[[#This Row],[Tiempo
(Hrs 00/100)]]*1.16</f>
        <v>6901.9999999999991</v>
      </c>
    </row>
    <row r="2436" spans="1:26" ht="15" customHeight="1" x14ac:dyDescent="0.3">
      <c r="A2436" s="625" t="s">
        <v>22</v>
      </c>
      <c r="B2436" s="625" t="s">
        <v>23</v>
      </c>
      <c r="C2436" s="205" t="s">
        <v>155</v>
      </c>
      <c r="D2436" s="373"/>
      <c r="E2436" s="373" t="s">
        <v>375</v>
      </c>
      <c r="F2436" s="370" t="s">
        <v>23</v>
      </c>
      <c r="G2436" s="664" t="s">
        <v>4349</v>
      </c>
      <c r="H2436" s="461" t="s">
        <v>405</v>
      </c>
      <c r="I2436" s="405" t="s">
        <v>4345</v>
      </c>
      <c r="J2436" s="369">
        <v>45254</v>
      </c>
      <c r="K2436" s="747">
        <v>0.375</v>
      </c>
      <c r="L2436" s="369">
        <v>45254</v>
      </c>
      <c r="M2436" s="753">
        <v>0.625</v>
      </c>
      <c r="N2436" s="210">
        <v>6</v>
      </c>
      <c r="O2436" s="633" t="s">
        <v>411</v>
      </c>
      <c r="P2436" s="375" t="s">
        <v>412</v>
      </c>
      <c r="Q2436" s="627" t="s">
        <v>208</v>
      </c>
      <c r="R2436" s="628" t="s">
        <v>40</v>
      </c>
      <c r="S2436" s="31" t="s">
        <v>273</v>
      </c>
      <c r="T2436" s="31" t="s">
        <v>273</v>
      </c>
      <c r="U2436" s="31">
        <f>IFERROR(VLOOKUP(CONCATENATE(Tabla1[[#This Row],[Severidad]]," ",Tabla1[[#This Row],[Complejidad]]),Catalogos!E$120:G$128,3,FALSE),"")</f>
        <v>64</v>
      </c>
      <c r="V2436" s="31" t="str">
        <f>IF(Tabla1[[#This Row],[Tiempo solución max (hrs)]]&lt;&gt;"",IF(Tabla1[[#This Row],[Tiempo solución max (hrs)]]&gt;=Tabla1[[#This Row],[Tiempo
(Hrs 00/100)]],"cumple","no cumple"),"")</f>
        <v>cumple</v>
      </c>
      <c r="W2436" s="376" t="s">
        <v>4210</v>
      </c>
      <c r="X2436" s="377" t="str">
        <f t="shared" si="205"/>
        <v>DS</v>
      </c>
      <c r="Y2436" t="str">
        <f>SUBSTITUTE(Tabla1[[#This Row],[Descripción]],CHAR(10),"    I    ")</f>
        <v xml:space="preserve">Desarrollar servicios para generación de estadísticas </v>
      </c>
      <c r="Z2436" s="142">
        <f>VLOOKUP(Tabla1[[#This Row],[Perfil]],Catalogos!$B$75:$D$100,3,FALSE)*Tabla1[[#This Row],[Tiempo
(Hrs 00/100)]]*1.16</f>
        <v>4872</v>
      </c>
    </row>
    <row r="2437" spans="1:26" ht="15" customHeight="1" x14ac:dyDescent="0.3">
      <c r="A2437" s="625" t="s">
        <v>22</v>
      </c>
      <c r="B2437" s="625" t="s">
        <v>23</v>
      </c>
      <c r="C2437" s="205" t="s">
        <v>155</v>
      </c>
      <c r="D2437" s="373"/>
      <c r="E2437" s="373" t="s">
        <v>375</v>
      </c>
      <c r="F2437" s="370" t="s">
        <v>23</v>
      </c>
      <c r="G2437" s="664" t="s">
        <v>4349</v>
      </c>
      <c r="H2437" s="461" t="s">
        <v>405</v>
      </c>
      <c r="I2437" s="405" t="s">
        <v>4345</v>
      </c>
      <c r="J2437" s="369">
        <v>45257</v>
      </c>
      <c r="K2437" s="747">
        <v>0.375</v>
      </c>
      <c r="L2437" s="369">
        <v>45257</v>
      </c>
      <c r="M2437" s="753">
        <v>0.79166666666666663</v>
      </c>
      <c r="N2437" s="210">
        <v>8.5</v>
      </c>
      <c r="O2437" s="633" t="s">
        <v>411</v>
      </c>
      <c r="P2437" s="375" t="s">
        <v>412</v>
      </c>
      <c r="Q2437" s="627" t="s">
        <v>208</v>
      </c>
      <c r="R2437" s="628" t="s">
        <v>40</v>
      </c>
      <c r="S2437" s="31" t="s">
        <v>273</v>
      </c>
      <c r="T2437" s="31" t="s">
        <v>273</v>
      </c>
      <c r="U2437" s="31">
        <f>IFERROR(VLOOKUP(CONCATENATE(Tabla1[[#This Row],[Severidad]]," ",Tabla1[[#This Row],[Complejidad]]),Catalogos!E$120:G$128,3,FALSE),"")</f>
        <v>64</v>
      </c>
      <c r="V2437" s="31" t="str">
        <f>IF(Tabla1[[#This Row],[Tiempo solución max (hrs)]]&lt;&gt;"",IF(Tabla1[[#This Row],[Tiempo solución max (hrs)]]&gt;=Tabla1[[#This Row],[Tiempo
(Hrs 00/100)]],"cumple","no cumple"),"")</f>
        <v>cumple</v>
      </c>
      <c r="W2437" s="376" t="s">
        <v>4210</v>
      </c>
      <c r="X2437" s="377" t="str">
        <f t="shared" si="205"/>
        <v>DS</v>
      </c>
      <c r="Y2437" t="str">
        <f>SUBSTITUTE(Tabla1[[#This Row],[Descripción]],CHAR(10),"    I    ")</f>
        <v xml:space="preserve">Desarrollar servicios para generación de estadísticas </v>
      </c>
      <c r="Z2437" s="142">
        <f>VLOOKUP(Tabla1[[#This Row],[Perfil]],Catalogos!$B$75:$D$100,3,FALSE)*Tabla1[[#This Row],[Tiempo
(Hrs 00/100)]]*1.16</f>
        <v>6901.9999999999991</v>
      </c>
    </row>
    <row r="2438" spans="1:26" ht="15" customHeight="1" x14ac:dyDescent="0.3">
      <c r="A2438" s="625" t="s">
        <v>22</v>
      </c>
      <c r="B2438" s="625" t="s">
        <v>23</v>
      </c>
      <c r="C2438" s="205" t="s">
        <v>155</v>
      </c>
      <c r="D2438" s="373"/>
      <c r="E2438" s="373" t="s">
        <v>375</v>
      </c>
      <c r="F2438" s="370" t="s">
        <v>23</v>
      </c>
      <c r="G2438" s="664" t="s">
        <v>4349</v>
      </c>
      <c r="H2438" s="461" t="s">
        <v>405</v>
      </c>
      <c r="I2438" s="405" t="s">
        <v>4345</v>
      </c>
      <c r="J2438" s="369">
        <v>45258</v>
      </c>
      <c r="K2438" s="747">
        <v>0.375</v>
      </c>
      <c r="L2438" s="369">
        <v>45258</v>
      </c>
      <c r="M2438" s="753">
        <v>0.79166666666666663</v>
      </c>
      <c r="N2438" s="210">
        <v>8.5</v>
      </c>
      <c r="O2438" s="184" t="s">
        <v>17</v>
      </c>
      <c r="P2438" s="375" t="s">
        <v>412</v>
      </c>
      <c r="Q2438" s="627" t="s">
        <v>208</v>
      </c>
      <c r="R2438" s="628" t="s">
        <v>40</v>
      </c>
      <c r="S2438" s="31" t="s">
        <v>273</v>
      </c>
      <c r="T2438" s="31" t="s">
        <v>273</v>
      </c>
      <c r="U2438" s="31">
        <f>IFERROR(VLOOKUP(CONCATENATE(Tabla1[[#This Row],[Severidad]]," ",Tabla1[[#This Row],[Complejidad]]),Catalogos!E$120:G$128,3,FALSE),"")</f>
        <v>64</v>
      </c>
      <c r="V2438" s="31" t="str">
        <f>IF(Tabla1[[#This Row],[Tiempo solución max (hrs)]]&lt;&gt;"",IF(Tabla1[[#This Row],[Tiempo solución max (hrs)]]&gt;=Tabla1[[#This Row],[Tiempo
(Hrs 00/100)]],"cumple","no cumple"),"")</f>
        <v>cumple</v>
      </c>
      <c r="W2438" s="376" t="s">
        <v>4210</v>
      </c>
      <c r="X2438" s="377" t="str">
        <f t="shared" si="205"/>
        <v>DS</v>
      </c>
      <c r="Y2438" t="str">
        <f>SUBSTITUTE(Tabla1[[#This Row],[Descripción]],CHAR(10),"    I    ")</f>
        <v xml:space="preserve">Desarrollar servicios para generación de estadísticas </v>
      </c>
      <c r="Z2438" s="142">
        <f>VLOOKUP(Tabla1[[#This Row],[Perfil]],Catalogos!$B$75:$D$100,3,FALSE)*Tabla1[[#This Row],[Tiempo
(Hrs 00/100)]]*1.16</f>
        <v>6901.9999999999991</v>
      </c>
    </row>
    <row r="2439" spans="1:26" ht="15" customHeight="1" x14ac:dyDescent="0.3">
      <c r="A2439" s="625" t="s">
        <v>22</v>
      </c>
      <c r="B2439" s="625" t="s">
        <v>23</v>
      </c>
      <c r="C2439" s="205" t="s">
        <v>155</v>
      </c>
      <c r="D2439" s="373"/>
      <c r="E2439" s="373" t="s">
        <v>375</v>
      </c>
      <c r="F2439" s="370" t="s">
        <v>23</v>
      </c>
      <c r="G2439" s="664" t="s">
        <v>4350</v>
      </c>
      <c r="H2439" s="461" t="s">
        <v>405</v>
      </c>
      <c r="I2439" s="405" t="s">
        <v>4346</v>
      </c>
      <c r="J2439" s="369">
        <v>45259</v>
      </c>
      <c r="K2439" s="747">
        <v>0.375</v>
      </c>
      <c r="L2439" s="369">
        <v>45259</v>
      </c>
      <c r="M2439" s="753">
        <v>0.79166666666666663</v>
      </c>
      <c r="N2439" s="210">
        <v>8.5</v>
      </c>
      <c r="O2439" s="633" t="s">
        <v>411</v>
      </c>
      <c r="P2439" s="375" t="s">
        <v>412</v>
      </c>
      <c r="Q2439" s="627" t="s">
        <v>208</v>
      </c>
      <c r="R2439" s="628" t="s">
        <v>40</v>
      </c>
      <c r="S2439" s="31" t="s">
        <v>273</v>
      </c>
      <c r="T2439" s="31" t="s">
        <v>273</v>
      </c>
      <c r="U2439" s="31">
        <f>IFERROR(VLOOKUP(CONCATENATE(Tabla1[[#This Row],[Severidad]]," ",Tabla1[[#This Row],[Complejidad]]),Catalogos!E$120:G$128,3,FALSE),"")</f>
        <v>64</v>
      </c>
      <c r="V2439" s="31" t="str">
        <f>IF(Tabla1[[#This Row],[Tiempo solución max (hrs)]]&lt;&gt;"",IF(Tabla1[[#This Row],[Tiempo solución max (hrs)]]&gt;=Tabla1[[#This Row],[Tiempo
(Hrs 00/100)]],"cumple","no cumple"),"")</f>
        <v>cumple</v>
      </c>
      <c r="W2439" s="376" t="s">
        <v>4210</v>
      </c>
      <c r="X2439" s="377" t="str">
        <f t="shared" si="205"/>
        <v>DS</v>
      </c>
      <c r="Y2439" t="str">
        <f>SUBSTITUTE(Tabla1[[#This Row],[Descripción]],CHAR(10),"    I    ")</f>
        <v>Modificar servicios back para integrarlos con el FRONT del Buscador Inteligente</v>
      </c>
      <c r="Z2439" s="142">
        <f>VLOOKUP(Tabla1[[#This Row],[Perfil]],Catalogos!$B$75:$D$100,3,FALSE)*Tabla1[[#This Row],[Tiempo
(Hrs 00/100)]]*1.16</f>
        <v>6901.9999999999991</v>
      </c>
    </row>
    <row r="2440" spans="1:26" ht="15" customHeight="1" x14ac:dyDescent="0.3">
      <c r="A2440" s="625" t="s">
        <v>22</v>
      </c>
      <c r="B2440" s="625" t="s">
        <v>23</v>
      </c>
      <c r="C2440" s="205" t="s">
        <v>155</v>
      </c>
      <c r="D2440" s="373"/>
      <c r="E2440" s="373" t="s">
        <v>375</v>
      </c>
      <c r="F2440" s="370" t="s">
        <v>23</v>
      </c>
      <c r="G2440" s="664" t="s">
        <v>4350</v>
      </c>
      <c r="H2440" s="461" t="s">
        <v>405</v>
      </c>
      <c r="I2440" s="405" t="s">
        <v>4346</v>
      </c>
      <c r="J2440" s="369">
        <v>45260</v>
      </c>
      <c r="K2440" s="747">
        <v>0.375</v>
      </c>
      <c r="L2440" s="369">
        <v>45260</v>
      </c>
      <c r="M2440" s="753">
        <v>0.79166666666666663</v>
      </c>
      <c r="N2440" s="210">
        <v>8.5</v>
      </c>
      <c r="O2440" s="184" t="s">
        <v>17</v>
      </c>
      <c r="P2440" s="375" t="s">
        <v>412</v>
      </c>
      <c r="Q2440" s="627" t="s">
        <v>208</v>
      </c>
      <c r="R2440" s="628" t="s">
        <v>40</v>
      </c>
      <c r="S2440" s="31" t="s">
        <v>273</v>
      </c>
      <c r="T2440" s="31" t="s">
        <v>273</v>
      </c>
      <c r="U2440" s="31">
        <f>IFERROR(VLOOKUP(CONCATENATE(Tabla1[[#This Row],[Severidad]]," ",Tabla1[[#This Row],[Complejidad]]),Catalogos!E$120:G$128,3,FALSE),"")</f>
        <v>64</v>
      </c>
      <c r="V2440" s="31" t="str">
        <f>IF(Tabla1[[#This Row],[Tiempo solución max (hrs)]]&lt;&gt;"",IF(Tabla1[[#This Row],[Tiempo solución max (hrs)]]&gt;=Tabla1[[#This Row],[Tiempo
(Hrs 00/100)]],"cumple","no cumple"),"")</f>
        <v>cumple</v>
      </c>
      <c r="W2440" s="376" t="s">
        <v>4210</v>
      </c>
      <c r="X2440" s="377" t="str">
        <f t="shared" si="205"/>
        <v>DS</v>
      </c>
      <c r="Y2440" t="str">
        <f>SUBSTITUTE(Tabla1[[#This Row],[Descripción]],CHAR(10),"    I    ")</f>
        <v>Modificar servicios back para integrarlos con el FRONT del Buscador Inteligente</v>
      </c>
      <c r="Z2440" s="142">
        <f>VLOOKUP(Tabla1[[#This Row],[Perfil]],Catalogos!$B$75:$D$100,3,FALSE)*Tabla1[[#This Row],[Tiempo
(Hrs 00/100)]]*1.16</f>
        <v>6901.9999999999991</v>
      </c>
    </row>
    <row r="2441" spans="1:26" ht="15" customHeight="1" x14ac:dyDescent="0.3">
      <c r="A2441" s="625" t="s">
        <v>22</v>
      </c>
      <c r="B2441" s="625" t="s">
        <v>23</v>
      </c>
      <c r="C2441" s="205" t="s">
        <v>155</v>
      </c>
      <c r="D2441" s="373"/>
      <c r="E2441" s="373" t="s">
        <v>924</v>
      </c>
      <c r="F2441" s="370" t="s">
        <v>23</v>
      </c>
      <c r="G2441" s="370" t="s">
        <v>4322</v>
      </c>
      <c r="H2441" s="461" t="s">
        <v>405</v>
      </c>
      <c r="I2441" s="534" t="s">
        <v>4233</v>
      </c>
      <c r="J2441" s="369">
        <v>45231</v>
      </c>
      <c r="K2441" s="747">
        <v>0.375</v>
      </c>
      <c r="L2441" s="369">
        <v>45231</v>
      </c>
      <c r="M2441" s="753">
        <v>0.79166666666666663</v>
      </c>
      <c r="N2441" s="210">
        <v>8.5</v>
      </c>
      <c r="O2441" s="184" t="s">
        <v>17</v>
      </c>
      <c r="P2441" s="401" t="s">
        <v>923</v>
      </c>
      <c r="Q2441" s="179" t="s">
        <v>4257</v>
      </c>
      <c r="R2441" s="628" t="s">
        <v>40</v>
      </c>
      <c r="S2441" s="31" t="s">
        <v>273</v>
      </c>
      <c r="T2441" s="31" t="s">
        <v>273</v>
      </c>
      <c r="U2441" s="31">
        <f>IFERROR(VLOOKUP(CONCATENATE(Tabla1[[#This Row],[Severidad]]," ",Tabla1[[#This Row],[Complejidad]]),Catalogos!E$120:G$128,3,FALSE),"")</f>
        <v>64</v>
      </c>
      <c r="V2441" s="31" t="str">
        <f>IF(Tabla1[[#This Row],[Tiempo solución max (hrs)]]&lt;&gt;"",IF(Tabla1[[#This Row],[Tiempo solución max (hrs)]]&gt;=Tabla1[[#This Row],[Tiempo
(Hrs 00/100)]],"cumple","no cumple"),"")</f>
        <v>cumple</v>
      </c>
      <c r="W2441" s="376" t="s">
        <v>4210</v>
      </c>
      <c r="X2441" s="377" t="str">
        <f t="shared" si="205"/>
        <v>DS</v>
      </c>
      <c r="Y2441" t="str">
        <f>SUBSTITUTE(Tabla1[[#This Row],[Descripción]],CHAR(10),"    I    ")</f>
        <v>Modificar el diseño de los temas de los datos detalle del registro</v>
      </c>
      <c r="Z2441" s="142">
        <f>VLOOKUP(Tabla1[[#This Row],[Perfil]],Catalogos!$B$75:$D$100,3,FALSE)*Tabla1[[#This Row],[Tiempo
(Hrs 00/100)]]*1.16</f>
        <v>6901.9999999999991</v>
      </c>
    </row>
    <row r="2442" spans="1:26" ht="15" customHeight="1" x14ac:dyDescent="0.3">
      <c r="A2442" s="625" t="s">
        <v>22</v>
      </c>
      <c r="B2442" s="625" t="s">
        <v>23</v>
      </c>
      <c r="C2442" s="205" t="s">
        <v>155</v>
      </c>
      <c r="D2442" s="373"/>
      <c r="E2442" s="373" t="s">
        <v>924</v>
      </c>
      <c r="F2442" s="370" t="s">
        <v>23</v>
      </c>
      <c r="G2442" s="370" t="s">
        <v>4323</v>
      </c>
      <c r="H2442" s="461" t="s">
        <v>405</v>
      </c>
      <c r="I2442" s="408" t="s">
        <v>4232</v>
      </c>
      <c r="J2442" s="369">
        <v>45233</v>
      </c>
      <c r="K2442" s="747">
        <v>0.375</v>
      </c>
      <c r="L2442" s="369">
        <v>45233</v>
      </c>
      <c r="M2442" s="753">
        <v>0.79166666666666663</v>
      </c>
      <c r="N2442" s="210">
        <v>8.5</v>
      </c>
      <c r="O2442" s="184" t="s">
        <v>17</v>
      </c>
      <c r="P2442" s="401" t="s">
        <v>923</v>
      </c>
      <c r="Q2442" s="179" t="s">
        <v>4257</v>
      </c>
      <c r="R2442" s="628" t="s">
        <v>40</v>
      </c>
      <c r="S2442" s="31" t="s">
        <v>273</v>
      </c>
      <c r="T2442" s="31" t="s">
        <v>273</v>
      </c>
      <c r="U2442" s="31">
        <f>IFERROR(VLOOKUP(CONCATENATE(Tabla1[[#This Row],[Severidad]]," ",Tabla1[[#This Row],[Complejidad]]),Catalogos!E$120:G$128,3,FALSE),"")</f>
        <v>64</v>
      </c>
      <c r="V2442" s="31" t="str">
        <f>IF(Tabla1[[#This Row],[Tiempo solución max (hrs)]]&lt;&gt;"",IF(Tabla1[[#This Row],[Tiempo solución max (hrs)]]&gt;=Tabla1[[#This Row],[Tiempo
(Hrs 00/100)]],"cumple","no cumple"),"")</f>
        <v>cumple</v>
      </c>
      <c r="W2442" s="376" t="s">
        <v>4210</v>
      </c>
      <c r="X2442" s="377" t="str">
        <f t="shared" si="205"/>
        <v>DS</v>
      </c>
      <c r="Y2442" t="str">
        <f>SUBSTITUTE(Tabla1[[#This Row],[Descripción]],CHAR(10),"    I    ")</f>
        <v>Diseñar listado de los OG en el apartado de los filtros por campo orden</v>
      </c>
      <c r="Z2442" s="142">
        <f>VLOOKUP(Tabla1[[#This Row],[Perfil]],Catalogos!$B$75:$D$100,3,FALSE)*Tabla1[[#This Row],[Tiempo
(Hrs 00/100)]]*1.16</f>
        <v>6901.9999999999991</v>
      </c>
    </row>
    <row r="2443" spans="1:26" ht="15" customHeight="1" x14ac:dyDescent="0.3">
      <c r="A2443" s="625" t="s">
        <v>22</v>
      </c>
      <c r="B2443" s="625" t="s">
        <v>23</v>
      </c>
      <c r="C2443" s="205" t="s">
        <v>155</v>
      </c>
      <c r="D2443" s="373"/>
      <c r="E2443" s="373" t="s">
        <v>924</v>
      </c>
      <c r="F2443" s="370" t="s">
        <v>23</v>
      </c>
      <c r="G2443" s="370" t="s">
        <v>4324</v>
      </c>
      <c r="H2443" s="461" t="s">
        <v>405</v>
      </c>
      <c r="I2443" s="408" t="s">
        <v>4234</v>
      </c>
      <c r="J2443" s="369">
        <v>45236</v>
      </c>
      <c r="K2443" s="747">
        <v>0.375</v>
      </c>
      <c r="L2443" s="369">
        <v>45236</v>
      </c>
      <c r="M2443" s="753">
        <v>0.79166666666666663</v>
      </c>
      <c r="N2443" s="210">
        <v>8.5</v>
      </c>
      <c r="O2443" s="184" t="s">
        <v>411</v>
      </c>
      <c r="P2443" s="401" t="s">
        <v>923</v>
      </c>
      <c r="Q2443" s="179" t="s">
        <v>4257</v>
      </c>
      <c r="R2443" s="628" t="s">
        <v>40</v>
      </c>
      <c r="S2443" s="31" t="s">
        <v>273</v>
      </c>
      <c r="T2443" s="31" t="s">
        <v>273</v>
      </c>
      <c r="U2443" s="31">
        <f>IFERROR(VLOOKUP(CONCATENATE(Tabla1[[#This Row],[Severidad]]," ",Tabla1[[#This Row],[Complejidad]]),Catalogos!E$120:G$128,3,FALSE),"")</f>
        <v>64</v>
      </c>
      <c r="V2443" s="31" t="str">
        <f>IF(Tabla1[[#This Row],[Tiempo solución max (hrs)]]&lt;&gt;"",IF(Tabla1[[#This Row],[Tiempo solución max (hrs)]]&gt;=Tabla1[[#This Row],[Tiempo
(Hrs 00/100)]],"cumple","no cumple"),"")</f>
        <v>cumple</v>
      </c>
      <c r="W2443" s="376" t="s">
        <v>4210</v>
      </c>
      <c r="X2443" s="377" t="str">
        <f t="shared" si="205"/>
        <v>DS</v>
      </c>
      <c r="Y2443" t="str">
        <f>SUBSTITUTE(Tabla1[[#This Row],[Descripción]],CHAR(10),"    I    ")</f>
        <v>Modificar servicios de busqueda en servidores SOLR</v>
      </c>
      <c r="Z2443" s="142">
        <f>VLOOKUP(Tabla1[[#This Row],[Perfil]],Catalogos!$B$75:$D$100,3,FALSE)*Tabla1[[#This Row],[Tiempo
(Hrs 00/100)]]*1.16</f>
        <v>6901.9999999999991</v>
      </c>
    </row>
    <row r="2444" spans="1:26" ht="15" customHeight="1" x14ac:dyDescent="0.3">
      <c r="A2444" s="625" t="s">
        <v>22</v>
      </c>
      <c r="B2444" s="625" t="s">
        <v>23</v>
      </c>
      <c r="C2444" s="205" t="s">
        <v>155</v>
      </c>
      <c r="D2444" s="373"/>
      <c r="E2444" s="373" t="s">
        <v>924</v>
      </c>
      <c r="F2444" s="370" t="s">
        <v>23</v>
      </c>
      <c r="G2444" s="370" t="s">
        <v>4324</v>
      </c>
      <c r="H2444" s="461" t="s">
        <v>405</v>
      </c>
      <c r="I2444" s="408" t="s">
        <v>4234</v>
      </c>
      <c r="J2444" s="369">
        <v>45237</v>
      </c>
      <c r="K2444" s="747">
        <v>0.375</v>
      </c>
      <c r="L2444" s="369">
        <v>45237</v>
      </c>
      <c r="M2444" s="753">
        <v>0.79166666666666663</v>
      </c>
      <c r="N2444" s="210">
        <v>8.5</v>
      </c>
      <c r="O2444" s="184" t="s">
        <v>17</v>
      </c>
      <c r="P2444" s="401" t="s">
        <v>923</v>
      </c>
      <c r="Q2444" s="179" t="s">
        <v>4257</v>
      </c>
      <c r="R2444" s="628" t="s">
        <v>40</v>
      </c>
      <c r="S2444" s="31" t="s">
        <v>273</v>
      </c>
      <c r="T2444" s="31" t="s">
        <v>273</v>
      </c>
      <c r="U2444" s="31">
        <f>IFERROR(VLOOKUP(CONCATENATE(Tabla1[[#This Row],[Severidad]]," ",Tabla1[[#This Row],[Complejidad]]),Catalogos!E$120:G$128,3,FALSE),"")</f>
        <v>64</v>
      </c>
      <c r="V2444" s="31" t="str">
        <f>IF(Tabla1[[#This Row],[Tiempo solución max (hrs)]]&lt;&gt;"",IF(Tabla1[[#This Row],[Tiempo solución max (hrs)]]&gt;=Tabla1[[#This Row],[Tiempo
(Hrs 00/100)]],"cumple","no cumple"),"")</f>
        <v>cumple</v>
      </c>
      <c r="W2444" s="376" t="s">
        <v>4210</v>
      </c>
      <c r="X2444" s="377" t="str">
        <f t="shared" si="205"/>
        <v>DS</v>
      </c>
      <c r="Y2444" t="str">
        <f>SUBSTITUTE(Tabla1[[#This Row],[Descripción]],CHAR(10),"    I    ")</f>
        <v>Modificar servicios de busqueda en servidores SOLR</v>
      </c>
      <c r="Z2444" s="142">
        <f>VLOOKUP(Tabla1[[#This Row],[Perfil]],Catalogos!$B$75:$D$100,3,FALSE)*Tabla1[[#This Row],[Tiempo
(Hrs 00/100)]]*1.16</f>
        <v>6901.9999999999991</v>
      </c>
    </row>
    <row r="2445" spans="1:26" ht="15" customHeight="1" x14ac:dyDescent="0.3">
      <c r="A2445" s="625" t="s">
        <v>22</v>
      </c>
      <c r="B2445" s="625" t="s">
        <v>23</v>
      </c>
      <c r="C2445" s="205" t="s">
        <v>155</v>
      </c>
      <c r="D2445" s="373"/>
      <c r="E2445" s="373" t="s">
        <v>924</v>
      </c>
      <c r="F2445" s="370" t="s">
        <v>23</v>
      </c>
      <c r="G2445" s="370" t="s">
        <v>4325</v>
      </c>
      <c r="H2445" s="461" t="s">
        <v>405</v>
      </c>
      <c r="I2445" s="408" t="s">
        <v>4235</v>
      </c>
      <c r="J2445" s="369">
        <v>45238</v>
      </c>
      <c r="K2445" s="747">
        <v>0.375</v>
      </c>
      <c r="L2445" s="369">
        <v>45238</v>
      </c>
      <c r="M2445" s="753">
        <v>0.79166666666666663</v>
      </c>
      <c r="N2445" s="210">
        <v>8.5</v>
      </c>
      <c r="O2445" s="184" t="s">
        <v>17</v>
      </c>
      <c r="P2445" s="401" t="s">
        <v>923</v>
      </c>
      <c r="Q2445" s="179" t="s">
        <v>4257</v>
      </c>
      <c r="R2445" s="628" t="s">
        <v>40</v>
      </c>
      <c r="S2445" s="31" t="s">
        <v>273</v>
      </c>
      <c r="T2445" s="31" t="s">
        <v>273</v>
      </c>
      <c r="U2445" s="31">
        <f>IFERROR(VLOOKUP(CONCATENATE(Tabla1[[#This Row],[Severidad]]," ",Tabla1[[#This Row],[Complejidad]]),Catalogos!E$120:G$128,3,FALSE),"")</f>
        <v>64</v>
      </c>
      <c r="V2445" s="31" t="str">
        <f>IF(Tabla1[[#This Row],[Tiempo solución max (hrs)]]&lt;&gt;"",IF(Tabla1[[#This Row],[Tiempo solución max (hrs)]]&gt;=Tabla1[[#This Row],[Tiempo
(Hrs 00/100)]],"cumple","no cumple"),"")</f>
        <v>cumple</v>
      </c>
      <c r="W2445" s="376" t="s">
        <v>4210</v>
      </c>
      <c r="X2445" s="377" t="str">
        <f t="shared" si="205"/>
        <v>DS</v>
      </c>
      <c r="Y2445" t="str">
        <f>SUBSTITUTE(Tabla1[[#This Row],[Descripción]],CHAR(10),"    I    ")</f>
        <v>Modificar servicios del buscador general para omitir subtemas</v>
      </c>
      <c r="Z2445" s="142">
        <f>VLOOKUP(Tabla1[[#This Row],[Perfil]],Catalogos!$B$75:$D$100,3,FALSE)*Tabla1[[#This Row],[Tiempo
(Hrs 00/100)]]*1.16</f>
        <v>6901.9999999999991</v>
      </c>
    </row>
    <row r="2446" spans="1:26" ht="15" customHeight="1" x14ac:dyDescent="0.3">
      <c r="A2446" s="625" t="s">
        <v>22</v>
      </c>
      <c r="B2446" s="625" t="s">
        <v>23</v>
      </c>
      <c r="C2446" s="205" t="s">
        <v>155</v>
      </c>
      <c r="D2446" s="373"/>
      <c r="E2446" s="373" t="s">
        <v>924</v>
      </c>
      <c r="F2446" s="370" t="s">
        <v>23</v>
      </c>
      <c r="G2446" s="370" t="s">
        <v>4326</v>
      </c>
      <c r="H2446" s="461" t="s">
        <v>405</v>
      </c>
      <c r="I2446" s="408" t="s">
        <v>4236</v>
      </c>
      <c r="J2446" s="369">
        <v>45239</v>
      </c>
      <c r="K2446" s="747">
        <v>0.375</v>
      </c>
      <c r="L2446" s="369">
        <v>45239</v>
      </c>
      <c r="M2446" s="753">
        <v>0.5</v>
      </c>
      <c r="N2446" s="210">
        <v>3</v>
      </c>
      <c r="O2446" s="184" t="s">
        <v>17</v>
      </c>
      <c r="P2446" s="401" t="s">
        <v>923</v>
      </c>
      <c r="Q2446" s="179" t="s">
        <v>4257</v>
      </c>
      <c r="R2446" s="628" t="s">
        <v>40</v>
      </c>
      <c r="S2446" s="31" t="s">
        <v>273</v>
      </c>
      <c r="T2446" s="31" t="s">
        <v>273</v>
      </c>
      <c r="U2446" s="31">
        <f>IFERROR(VLOOKUP(CONCATENATE(Tabla1[[#This Row],[Severidad]]," ",Tabla1[[#This Row],[Complejidad]]),Catalogos!E$120:G$128,3,FALSE),"")</f>
        <v>64</v>
      </c>
      <c r="V2446" s="31" t="str">
        <f>IF(Tabla1[[#This Row],[Tiempo solución max (hrs)]]&lt;&gt;"",IF(Tabla1[[#This Row],[Tiempo solución max (hrs)]]&gt;=Tabla1[[#This Row],[Tiempo
(Hrs 00/100)]],"cumple","no cumple"),"")</f>
        <v>cumple</v>
      </c>
      <c r="W2446" s="376" t="s">
        <v>4210</v>
      </c>
      <c r="X2446" s="377" t="str">
        <f t="shared" si="205"/>
        <v>DS</v>
      </c>
      <c r="Y2446" t="str">
        <f>SUBSTITUTE(Tabla1[[#This Row],[Descripción]],CHAR(10),"    I    ")</f>
        <v>Modificar registros "Sin Temática" para omitirlos</v>
      </c>
      <c r="Z2446" s="142">
        <f>VLOOKUP(Tabla1[[#This Row],[Perfil]],Catalogos!$B$75:$D$100,3,FALSE)*Tabla1[[#This Row],[Tiempo
(Hrs 00/100)]]*1.16</f>
        <v>2436</v>
      </c>
    </row>
    <row r="2447" spans="1:26" ht="15" customHeight="1" x14ac:dyDescent="0.3">
      <c r="A2447" s="625" t="s">
        <v>22</v>
      </c>
      <c r="B2447" s="625" t="s">
        <v>23</v>
      </c>
      <c r="C2447" s="205" t="s">
        <v>155</v>
      </c>
      <c r="D2447" s="373"/>
      <c r="E2447" s="373" t="s">
        <v>924</v>
      </c>
      <c r="F2447" s="370" t="s">
        <v>23</v>
      </c>
      <c r="G2447" s="370" t="s">
        <v>4327</v>
      </c>
      <c r="H2447" s="461" t="s">
        <v>405</v>
      </c>
      <c r="I2447" s="408" t="s">
        <v>4237</v>
      </c>
      <c r="J2447" s="369">
        <v>45239</v>
      </c>
      <c r="K2447" s="753">
        <v>0.5</v>
      </c>
      <c r="L2447" s="369">
        <v>45239</v>
      </c>
      <c r="M2447" s="753">
        <v>0.72916666666666663</v>
      </c>
      <c r="N2447" s="210">
        <v>4</v>
      </c>
      <c r="O2447" s="184" t="s">
        <v>17</v>
      </c>
      <c r="P2447" s="401" t="s">
        <v>923</v>
      </c>
      <c r="Q2447" s="179" t="s">
        <v>4257</v>
      </c>
      <c r="R2447" s="628" t="s">
        <v>40</v>
      </c>
      <c r="S2447" s="31" t="s">
        <v>273</v>
      </c>
      <c r="T2447" s="31" t="s">
        <v>273</v>
      </c>
      <c r="U2447" s="31">
        <f>IFERROR(VLOOKUP(CONCATENATE(Tabla1[[#This Row],[Severidad]]," ",Tabla1[[#This Row],[Complejidad]]),Catalogos!E$120:G$128,3,FALSE),"")</f>
        <v>64</v>
      </c>
      <c r="V2447" s="31" t="str">
        <f>IF(Tabla1[[#This Row],[Tiempo solución max (hrs)]]&lt;&gt;"",IF(Tabla1[[#This Row],[Tiempo solución max (hrs)]]&gt;=Tabla1[[#This Row],[Tiempo
(Hrs 00/100)]],"cumple","no cumple"),"")</f>
        <v>cumple</v>
      </c>
      <c r="W2447" s="376" t="s">
        <v>4210</v>
      </c>
      <c r="X2447" s="377" t="str">
        <f t="shared" si="205"/>
        <v>DS</v>
      </c>
      <c r="Y2447" t="str">
        <f>SUBSTITUTE(Tabla1[[#This Row],[Descripción]],CHAR(10),"    I    ")</f>
        <v>Modificar filtro de area de resultados</v>
      </c>
      <c r="Z2447" s="142">
        <f>VLOOKUP(Tabla1[[#This Row],[Perfil]],Catalogos!$B$75:$D$100,3,FALSE)*Tabla1[[#This Row],[Tiempo
(Hrs 00/100)]]*1.16</f>
        <v>3248</v>
      </c>
    </row>
    <row r="2448" spans="1:26" ht="30.6" x14ac:dyDescent="0.3">
      <c r="A2448" s="625" t="s">
        <v>22</v>
      </c>
      <c r="B2448" s="625" t="s">
        <v>23</v>
      </c>
      <c r="C2448" s="205" t="s">
        <v>155</v>
      </c>
      <c r="D2448" s="373"/>
      <c r="E2448" s="373" t="s">
        <v>924</v>
      </c>
      <c r="F2448" s="370" t="s">
        <v>23</v>
      </c>
      <c r="G2448" s="370" t="s">
        <v>4328</v>
      </c>
      <c r="H2448" s="461" t="s">
        <v>405</v>
      </c>
      <c r="I2448" s="408" t="s">
        <v>4238</v>
      </c>
      <c r="J2448" s="369">
        <v>45239</v>
      </c>
      <c r="K2448" s="753">
        <v>0.72916666666666663</v>
      </c>
      <c r="L2448" s="369">
        <v>45239</v>
      </c>
      <c r="M2448" s="753">
        <v>0.79166666666666663</v>
      </c>
      <c r="N2448" s="210">
        <v>1.5</v>
      </c>
      <c r="O2448" s="184" t="s">
        <v>17</v>
      </c>
      <c r="P2448" s="401" t="s">
        <v>923</v>
      </c>
      <c r="Q2448" s="179" t="s">
        <v>4257</v>
      </c>
      <c r="R2448" s="628" t="s">
        <v>40</v>
      </c>
      <c r="S2448" s="31" t="s">
        <v>273</v>
      </c>
      <c r="T2448" s="31" t="s">
        <v>273</v>
      </c>
      <c r="U2448" s="31">
        <f>IFERROR(VLOOKUP(CONCATENATE(Tabla1[[#This Row],[Severidad]]," ",Tabla1[[#This Row],[Complejidad]]),Catalogos!E$120:G$128,3,FALSE),"")</f>
        <v>64</v>
      </c>
      <c r="V2448" s="31" t="str">
        <f>IF(Tabla1[[#This Row],[Tiempo solución max (hrs)]]&lt;&gt;"",IF(Tabla1[[#This Row],[Tiempo solución max (hrs)]]&gt;=Tabla1[[#This Row],[Tiempo
(Hrs 00/100)]],"cumple","no cumple"),"")</f>
        <v>cumple</v>
      </c>
      <c r="W2448" s="376" t="s">
        <v>4210</v>
      </c>
      <c r="X2448" s="377" t="str">
        <f t="shared" si="205"/>
        <v>DS</v>
      </c>
      <c r="Y2448" t="str">
        <f>SUBSTITUTE(Tabla1[[#This Row],[Descripción]],CHAR(10),"    I    ")</f>
        <v>En servicio compartir en redes sociales, integrar servicio de X</v>
      </c>
      <c r="Z2448" s="142">
        <f>VLOOKUP(Tabla1[[#This Row],[Perfil]],Catalogos!$B$75:$D$100,3,FALSE)*Tabla1[[#This Row],[Tiempo
(Hrs 00/100)]]*1.16</f>
        <v>1218</v>
      </c>
    </row>
    <row r="2449" spans="1:26" ht="30.6" x14ac:dyDescent="0.3">
      <c r="A2449" s="625" t="s">
        <v>22</v>
      </c>
      <c r="B2449" s="625" t="s">
        <v>23</v>
      </c>
      <c r="C2449" s="205" t="s">
        <v>155</v>
      </c>
      <c r="D2449" s="373"/>
      <c r="E2449" s="373" t="s">
        <v>924</v>
      </c>
      <c r="F2449" s="370" t="s">
        <v>23</v>
      </c>
      <c r="G2449" s="370" t="s">
        <v>4329</v>
      </c>
      <c r="H2449" s="461" t="s">
        <v>405</v>
      </c>
      <c r="I2449" s="408" t="s">
        <v>4239</v>
      </c>
      <c r="J2449" s="369">
        <v>45240</v>
      </c>
      <c r="K2449" s="747">
        <v>0.375</v>
      </c>
      <c r="L2449" s="369">
        <v>45240</v>
      </c>
      <c r="M2449" s="753">
        <v>0.54166666666666663</v>
      </c>
      <c r="N2449" s="210">
        <v>4</v>
      </c>
      <c r="O2449" s="184" t="s">
        <v>17</v>
      </c>
      <c r="P2449" s="401" t="s">
        <v>923</v>
      </c>
      <c r="Q2449" s="179" t="s">
        <v>4257</v>
      </c>
      <c r="R2449" s="628" t="s">
        <v>40</v>
      </c>
      <c r="S2449" s="31" t="s">
        <v>273</v>
      </c>
      <c r="T2449" s="31" t="s">
        <v>273</v>
      </c>
      <c r="U2449" s="31">
        <f>IFERROR(VLOOKUP(CONCATENATE(Tabla1[[#This Row],[Severidad]]," ",Tabla1[[#This Row],[Complejidad]]),Catalogos!E$120:G$128,3,FALSE),"")</f>
        <v>64</v>
      </c>
      <c r="V2449" s="31" t="str">
        <f>IF(Tabla1[[#This Row],[Tiempo solución max (hrs)]]&lt;&gt;"",IF(Tabla1[[#This Row],[Tiempo solución max (hrs)]]&gt;=Tabla1[[#This Row],[Tiempo
(Hrs 00/100)]],"cumple","no cumple"),"")</f>
        <v>cumple</v>
      </c>
      <c r="W2449" s="376" t="s">
        <v>4210</v>
      </c>
      <c r="X2449" s="377" t="str">
        <f t="shared" si="205"/>
        <v>DS</v>
      </c>
      <c r="Y2449" t="str">
        <f>SUBSTITUTE(Tabla1[[#This Row],[Descripción]],CHAR(10),"    I    ")</f>
        <v xml:space="preserve">Modificar frame de solicitudes,quejas y obligaciones. </v>
      </c>
      <c r="Z2449" s="142">
        <f>VLOOKUP(Tabla1[[#This Row],[Perfil]],Catalogos!$B$75:$D$100,3,FALSE)*Tabla1[[#This Row],[Tiempo
(Hrs 00/100)]]*1.16</f>
        <v>3248</v>
      </c>
    </row>
    <row r="2450" spans="1:26" ht="30.6" x14ac:dyDescent="0.3">
      <c r="A2450" s="625" t="s">
        <v>22</v>
      </c>
      <c r="B2450" s="625" t="s">
        <v>23</v>
      </c>
      <c r="C2450" s="205" t="s">
        <v>155</v>
      </c>
      <c r="D2450" s="373"/>
      <c r="E2450" s="373" t="s">
        <v>924</v>
      </c>
      <c r="F2450" s="370" t="s">
        <v>23</v>
      </c>
      <c r="G2450" s="370" t="s">
        <v>4330</v>
      </c>
      <c r="H2450" s="461" t="s">
        <v>405</v>
      </c>
      <c r="I2450" s="408" t="s">
        <v>4241</v>
      </c>
      <c r="J2450" s="369">
        <v>45240</v>
      </c>
      <c r="K2450" s="753">
        <v>0.54166666666666663</v>
      </c>
      <c r="L2450" s="369">
        <v>45240</v>
      </c>
      <c r="M2450" s="753">
        <v>0.6875</v>
      </c>
      <c r="N2450" s="210">
        <v>2</v>
      </c>
      <c r="O2450" s="184" t="s">
        <v>17</v>
      </c>
      <c r="P2450" s="401" t="s">
        <v>923</v>
      </c>
      <c r="Q2450" s="179" t="s">
        <v>4257</v>
      </c>
      <c r="R2450" s="628" t="s">
        <v>40</v>
      </c>
      <c r="S2450" s="31" t="s">
        <v>273</v>
      </c>
      <c r="T2450" s="31" t="s">
        <v>273</v>
      </c>
      <c r="U2450" s="31">
        <f>IFERROR(VLOOKUP(CONCATENATE(Tabla1[[#This Row],[Severidad]]," ",Tabla1[[#This Row],[Complejidad]]),Catalogos!E$120:G$128,3,FALSE),"")</f>
        <v>64</v>
      </c>
      <c r="V2450" s="31" t="str">
        <f>IF(Tabla1[[#This Row],[Tiempo solución max (hrs)]]&lt;&gt;"",IF(Tabla1[[#This Row],[Tiempo solución max (hrs)]]&gt;=Tabla1[[#This Row],[Tiempo
(Hrs 00/100)]],"cumple","no cumple"),"")</f>
        <v>cumple</v>
      </c>
      <c r="W2450" s="376" t="s">
        <v>4210</v>
      </c>
      <c r="X2450" s="377" t="str">
        <f t="shared" si="205"/>
        <v>DS</v>
      </c>
      <c r="Y2450" t="str">
        <f>SUBSTITUTE(Tabla1[[#This Row],[Descripción]],CHAR(10),"    I    ")</f>
        <v>Modificar etiquetas Entidad por Estado ó Federación .</v>
      </c>
      <c r="Z2450" s="142">
        <f>VLOOKUP(Tabla1[[#This Row],[Perfil]],Catalogos!$B$75:$D$100,3,FALSE)*Tabla1[[#This Row],[Tiempo
(Hrs 00/100)]]*1.16</f>
        <v>1624</v>
      </c>
    </row>
    <row r="2451" spans="1:26" ht="43.2" x14ac:dyDescent="0.3">
      <c r="A2451" s="625" t="s">
        <v>22</v>
      </c>
      <c r="B2451" s="625" t="s">
        <v>23</v>
      </c>
      <c r="C2451" s="205" t="s">
        <v>155</v>
      </c>
      <c r="D2451" s="373"/>
      <c r="E2451" s="373" t="s">
        <v>924</v>
      </c>
      <c r="F2451" s="370" t="s">
        <v>23</v>
      </c>
      <c r="G2451" s="370" t="s">
        <v>4331</v>
      </c>
      <c r="H2451" s="461" t="s">
        <v>405</v>
      </c>
      <c r="I2451" s="408" t="s">
        <v>4240</v>
      </c>
      <c r="J2451" s="369">
        <v>45240</v>
      </c>
      <c r="K2451" s="753">
        <v>0.6875</v>
      </c>
      <c r="L2451" s="369">
        <v>45240</v>
      </c>
      <c r="M2451" s="753">
        <v>0.79166666666666663</v>
      </c>
      <c r="N2451" s="210">
        <v>2.5</v>
      </c>
      <c r="O2451" s="184" t="s">
        <v>17</v>
      </c>
      <c r="P2451" s="401" t="s">
        <v>923</v>
      </c>
      <c r="Q2451" s="179" t="s">
        <v>4257</v>
      </c>
      <c r="R2451" s="628" t="s">
        <v>40</v>
      </c>
      <c r="S2451" s="31" t="s">
        <v>273</v>
      </c>
      <c r="T2451" s="31" t="s">
        <v>273</v>
      </c>
      <c r="U2451" s="31">
        <f>IFERROR(VLOOKUP(CONCATENATE(Tabla1[[#This Row],[Severidad]]," ",Tabla1[[#This Row],[Complejidad]]),Catalogos!E$120:G$128,3,FALSE),"")</f>
        <v>64</v>
      </c>
      <c r="V2451" s="31" t="str">
        <f>IF(Tabla1[[#This Row],[Tiempo solución max (hrs)]]&lt;&gt;"",IF(Tabla1[[#This Row],[Tiempo solución max (hrs)]]&gt;=Tabla1[[#This Row],[Tiempo
(Hrs 00/100)]],"cumple","no cumple"),"")</f>
        <v>cumple</v>
      </c>
      <c r="W2451" s="376" t="s">
        <v>4210</v>
      </c>
      <c r="X2451" s="377" t="str">
        <f t="shared" si="205"/>
        <v>DS</v>
      </c>
      <c r="Y2451" t="str">
        <f>SUBSTITUTE(Tabla1[[#This Row],[Descripción]],CHAR(10),"    I    ")</f>
        <v>Modificar etiquetas: Folio por Folio de la solicitud / Descripción de la solicitud por Descripción de la solicitude información / Tipo de solicitud por Tipo de solicitud de información /etc</v>
      </c>
      <c r="Z2451" s="142">
        <f>VLOOKUP(Tabla1[[#This Row],[Perfil]],Catalogos!$B$75:$D$100,3,FALSE)*Tabla1[[#This Row],[Tiempo
(Hrs 00/100)]]*1.16</f>
        <v>2029.9999999999998</v>
      </c>
    </row>
    <row r="2452" spans="1:26" ht="15" customHeight="1" x14ac:dyDescent="0.3">
      <c r="A2452" s="625" t="s">
        <v>22</v>
      </c>
      <c r="B2452" s="625" t="s">
        <v>23</v>
      </c>
      <c r="C2452" s="205" t="s">
        <v>155</v>
      </c>
      <c r="D2452" s="373"/>
      <c r="E2452" s="373" t="s">
        <v>924</v>
      </c>
      <c r="F2452" s="370" t="s">
        <v>23</v>
      </c>
      <c r="G2452" s="370" t="s">
        <v>4332</v>
      </c>
      <c r="H2452" s="461" t="s">
        <v>405</v>
      </c>
      <c r="I2452" s="408" t="s">
        <v>4243</v>
      </c>
      <c r="J2452" s="369">
        <v>45243</v>
      </c>
      <c r="K2452" s="747">
        <v>0.375</v>
      </c>
      <c r="L2452" s="369">
        <v>45243</v>
      </c>
      <c r="M2452" s="753">
        <v>0.45833333333333331</v>
      </c>
      <c r="N2452" s="210">
        <v>2</v>
      </c>
      <c r="O2452" s="184" t="s">
        <v>17</v>
      </c>
      <c r="P2452" s="401" t="s">
        <v>923</v>
      </c>
      <c r="Q2452" s="179" t="s">
        <v>4257</v>
      </c>
      <c r="R2452" s="628" t="s">
        <v>40</v>
      </c>
      <c r="S2452" s="31" t="s">
        <v>273</v>
      </c>
      <c r="T2452" s="31" t="s">
        <v>273</v>
      </c>
      <c r="U2452" s="31">
        <f>IFERROR(VLOOKUP(CONCATENATE(Tabla1[[#This Row],[Severidad]]," ",Tabla1[[#This Row],[Complejidad]]),Catalogos!E$120:G$128,3,FALSE),"")</f>
        <v>64</v>
      </c>
      <c r="V2452" s="31" t="str">
        <f>IF(Tabla1[[#This Row],[Tiempo solución max (hrs)]]&lt;&gt;"",IF(Tabla1[[#This Row],[Tiempo solución max (hrs)]]&gt;=Tabla1[[#This Row],[Tiempo
(Hrs 00/100)]],"cumple","no cumple"),"")</f>
        <v>cumple</v>
      </c>
      <c r="W2452" s="376" t="s">
        <v>4210</v>
      </c>
      <c r="X2452" s="377" t="str">
        <f t="shared" si="205"/>
        <v>DS</v>
      </c>
      <c r="Y2452" t="str">
        <f>SUBSTITUTE(Tabla1[[#This Row],[Descripción]],CHAR(10),"    I    ")</f>
        <v>Modificar servicio de fecha de notificacion de admisión al SO</v>
      </c>
      <c r="Z2452" s="142">
        <f>VLOOKUP(Tabla1[[#This Row],[Perfil]],Catalogos!$B$75:$D$100,3,FALSE)*Tabla1[[#This Row],[Tiempo
(Hrs 00/100)]]*1.16</f>
        <v>1624</v>
      </c>
    </row>
    <row r="2453" spans="1:26" ht="30.6" x14ac:dyDescent="0.3">
      <c r="A2453" s="625" t="s">
        <v>22</v>
      </c>
      <c r="B2453" s="625" t="s">
        <v>23</v>
      </c>
      <c r="C2453" s="205" t="s">
        <v>155</v>
      </c>
      <c r="D2453" s="373"/>
      <c r="E2453" s="373" t="s">
        <v>924</v>
      </c>
      <c r="F2453" s="370" t="s">
        <v>23</v>
      </c>
      <c r="G2453" s="370" t="s">
        <v>4333</v>
      </c>
      <c r="H2453" s="461" t="s">
        <v>405</v>
      </c>
      <c r="I2453" s="408" t="s">
        <v>4242</v>
      </c>
      <c r="J2453" s="369">
        <v>45243</v>
      </c>
      <c r="K2453" s="753">
        <v>0.45833333333333331</v>
      </c>
      <c r="L2453" s="369">
        <v>45243</v>
      </c>
      <c r="M2453" s="753">
        <v>0.54166666666666663</v>
      </c>
      <c r="N2453" s="210">
        <v>2</v>
      </c>
      <c r="O2453" s="184" t="s">
        <v>17</v>
      </c>
      <c r="P2453" s="401" t="s">
        <v>923</v>
      </c>
      <c r="Q2453" s="179" t="s">
        <v>4257</v>
      </c>
      <c r="R2453" s="628" t="s">
        <v>40</v>
      </c>
      <c r="S2453" s="31" t="s">
        <v>273</v>
      </c>
      <c r="T2453" s="31" t="s">
        <v>273</v>
      </c>
      <c r="U2453" s="31">
        <f>IFERROR(VLOOKUP(CONCATENATE(Tabla1[[#This Row],[Severidad]]," ",Tabla1[[#This Row],[Complejidad]]),Catalogos!E$120:G$128,3,FALSE),"")</f>
        <v>64</v>
      </c>
      <c r="V2453" s="31" t="str">
        <f>IF(Tabla1[[#This Row],[Tiempo solución max (hrs)]]&lt;&gt;"",IF(Tabla1[[#This Row],[Tiempo solución max (hrs)]]&gt;=Tabla1[[#This Row],[Tiempo
(Hrs 00/100)]],"cumple","no cumple"),"")</f>
        <v>cumple</v>
      </c>
      <c r="W2453" s="376" t="s">
        <v>4210</v>
      </c>
      <c r="X2453" s="377" t="str">
        <f t="shared" si="205"/>
        <v>DS</v>
      </c>
      <c r="Y2453" t="str">
        <f>SUBSTITUTE(Tabla1[[#This Row],[Descripción]],CHAR(10),"    I    ")</f>
        <v>Modificar servicio de fecha de envío</v>
      </c>
      <c r="Z2453" s="142">
        <f>VLOOKUP(Tabla1[[#This Row],[Perfil]],Catalogos!$B$75:$D$100,3,FALSE)*Tabla1[[#This Row],[Tiempo
(Hrs 00/100)]]*1.16</f>
        <v>1624</v>
      </c>
    </row>
    <row r="2454" spans="1:26" ht="30.6" x14ac:dyDescent="0.3">
      <c r="A2454" s="625" t="s">
        <v>22</v>
      </c>
      <c r="B2454" s="625" t="s">
        <v>23</v>
      </c>
      <c r="C2454" s="205" t="s">
        <v>155</v>
      </c>
      <c r="D2454" s="373"/>
      <c r="E2454" s="373" t="s">
        <v>924</v>
      </c>
      <c r="F2454" s="370" t="s">
        <v>23</v>
      </c>
      <c r="G2454" s="370" t="s">
        <v>4334</v>
      </c>
      <c r="H2454" s="461" t="s">
        <v>405</v>
      </c>
      <c r="I2454" s="408" t="s">
        <v>4244</v>
      </c>
      <c r="J2454" s="369">
        <v>45243</v>
      </c>
      <c r="K2454" s="753">
        <v>0.54166666666666663</v>
      </c>
      <c r="L2454" s="369">
        <v>45243</v>
      </c>
      <c r="M2454" s="753">
        <v>0.6875</v>
      </c>
      <c r="N2454" s="210">
        <v>2</v>
      </c>
      <c r="O2454" s="184" t="s">
        <v>17</v>
      </c>
      <c r="P2454" s="401" t="s">
        <v>923</v>
      </c>
      <c r="Q2454" s="179" t="s">
        <v>4257</v>
      </c>
      <c r="R2454" s="628" t="s">
        <v>40</v>
      </c>
      <c r="S2454" s="31" t="s">
        <v>273</v>
      </c>
      <c r="T2454" s="31" t="s">
        <v>273</v>
      </c>
      <c r="U2454" s="31">
        <f>IFERROR(VLOOKUP(CONCATENATE(Tabla1[[#This Row],[Severidad]]," ",Tabla1[[#This Row],[Complejidad]]),Catalogos!E$120:G$128,3,FALSE),"")</f>
        <v>64</v>
      </c>
      <c r="V2454" s="31" t="str">
        <f>IF(Tabla1[[#This Row],[Tiempo solución max (hrs)]]&lt;&gt;"",IF(Tabla1[[#This Row],[Tiempo solución max (hrs)]]&gt;=Tabla1[[#This Row],[Tiempo
(Hrs 00/100)]],"cumple","no cumple"),"")</f>
        <v>cumple</v>
      </c>
      <c r="W2454" s="376" t="s">
        <v>4210</v>
      </c>
      <c r="X2454" s="377" t="str">
        <f t="shared" si="205"/>
        <v>DS</v>
      </c>
      <c r="Y2454" t="str">
        <f>SUBSTITUTE(Tabla1[[#This Row],[Descripción]],CHAR(10),"    I    ")</f>
        <v>Modificar input parte superior para buscar por tema</v>
      </c>
      <c r="Z2454" s="142">
        <f>VLOOKUP(Tabla1[[#This Row],[Perfil]],Catalogos!$B$75:$D$100,3,FALSE)*Tabla1[[#This Row],[Tiempo
(Hrs 00/100)]]*1.16</f>
        <v>1624</v>
      </c>
    </row>
    <row r="2455" spans="1:26" ht="30.6" x14ac:dyDescent="0.3">
      <c r="A2455" s="625" t="s">
        <v>22</v>
      </c>
      <c r="B2455" s="625" t="s">
        <v>23</v>
      </c>
      <c r="C2455" s="205" t="s">
        <v>155</v>
      </c>
      <c r="D2455" s="373"/>
      <c r="E2455" s="373" t="s">
        <v>924</v>
      </c>
      <c r="F2455" s="370" t="s">
        <v>23</v>
      </c>
      <c r="G2455" s="370" t="s">
        <v>4335</v>
      </c>
      <c r="H2455" s="461" t="s">
        <v>405</v>
      </c>
      <c r="I2455" s="408" t="s">
        <v>4245</v>
      </c>
      <c r="J2455" s="369">
        <v>45243</v>
      </c>
      <c r="K2455" s="753">
        <v>0.6875</v>
      </c>
      <c r="L2455" s="369">
        <v>45243</v>
      </c>
      <c r="M2455" s="753">
        <v>0.79166666666666663</v>
      </c>
      <c r="N2455" s="210">
        <v>2.5</v>
      </c>
      <c r="O2455" s="184" t="s">
        <v>17</v>
      </c>
      <c r="P2455" s="401" t="s">
        <v>923</v>
      </c>
      <c r="Q2455" s="179" t="s">
        <v>4257</v>
      </c>
      <c r="R2455" s="628" t="s">
        <v>40</v>
      </c>
      <c r="S2455" s="31" t="s">
        <v>273</v>
      </c>
      <c r="T2455" s="31" t="s">
        <v>273</v>
      </c>
      <c r="U2455" s="31">
        <f>IFERROR(VLOOKUP(CONCATENATE(Tabla1[[#This Row],[Severidad]]," ",Tabla1[[#This Row],[Complejidad]]),Catalogos!E$120:G$128,3,FALSE),"")</f>
        <v>64</v>
      </c>
      <c r="V2455" s="31" t="str">
        <f>IF(Tabla1[[#This Row],[Tiempo solución max (hrs)]]&lt;&gt;"",IF(Tabla1[[#This Row],[Tiempo solución max (hrs)]]&gt;=Tabla1[[#This Row],[Tiempo
(Hrs 00/100)]],"cumple","no cumple"),"")</f>
        <v>cumple</v>
      </c>
      <c r="W2455" s="376" t="s">
        <v>4210</v>
      </c>
      <c r="X2455" s="377" t="str">
        <f t="shared" si="205"/>
        <v>DS</v>
      </c>
      <c r="Y2455" t="str">
        <f>SUBSTITUTE(Tabla1[[#This Row],[Descripción]],CHAR(10),"    I    ")</f>
        <v>Modificar sección de tutoriales</v>
      </c>
      <c r="Z2455" s="142">
        <f>VLOOKUP(Tabla1[[#This Row],[Perfil]],Catalogos!$B$75:$D$100,3,FALSE)*Tabla1[[#This Row],[Tiempo
(Hrs 00/100)]]*1.16</f>
        <v>2029.9999999999998</v>
      </c>
    </row>
    <row r="2456" spans="1:26" ht="30.6" x14ac:dyDescent="0.3">
      <c r="A2456" s="625" t="s">
        <v>22</v>
      </c>
      <c r="B2456" s="625" t="s">
        <v>23</v>
      </c>
      <c r="C2456" s="205" t="s">
        <v>155</v>
      </c>
      <c r="D2456" s="373"/>
      <c r="E2456" s="373" t="s">
        <v>924</v>
      </c>
      <c r="F2456" s="370" t="s">
        <v>23</v>
      </c>
      <c r="G2456" s="370" t="s">
        <v>4336</v>
      </c>
      <c r="H2456" s="461" t="s">
        <v>405</v>
      </c>
      <c r="I2456" s="408" t="s">
        <v>4246</v>
      </c>
      <c r="J2456" s="369">
        <v>45244</v>
      </c>
      <c r="K2456" s="747">
        <v>0.375</v>
      </c>
      <c r="L2456" s="369">
        <v>45244</v>
      </c>
      <c r="M2456" s="753">
        <v>0.54166666666666663</v>
      </c>
      <c r="N2456" s="210">
        <v>4</v>
      </c>
      <c r="O2456" s="184" t="s">
        <v>17</v>
      </c>
      <c r="P2456" s="401" t="s">
        <v>923</v>
      </c>
      <c r="Q2456" s="179" t="s">
        <v>4257</v>
      </c>
      <c r="R2456" s="628" t="s">
        <v>40</v>
      </c>
      <c r="S2456" s="31" t="s">
        <v>273</v>
      </c>
      <c r="T2456" s="31" t="s">
        <v>273</v>
      </c>
      <c r="U2456" s="31">
        <f>IFERROR(VLOOKUP(CONCATENATE(Tabla1[[#This Row],[Severidad]]," ",Tabla1[[#This Row],[Complejidad]]),Catalogos!E$120:G$128,3,FALSE),"")</f>
        <v>64</v>
      </c>
      <c r="V2456" s="31" t="str">
        <f>IF(Tabla1[[#This Row],[Tiempo solución max (hrs)]]&lt;&gt;"",IF(Tabla1[[#This Row],[Tiempo solución max (hrs)]]&gt;=Tabla1[[#This Row],[Tiempo
(Hrs 00/100)]],"cumple","no cumple"),"")</f>
        <v>cumple</v>
      </c>
      <c r="W2456" s="376" t="s">
        <v>4210</v>
      </c>
      <c r="X2456" s="377" t="str">
        <f t="shared" si="205"/>
        <v>DS</v>
      </c>
      <c r="Y2456" t="str">
        <f>SUBSTITUTE(Tabla1[[#This Row],[Descripción]],CHAR(10),"    I    ")</f>
        <v xml:space="preserve">Modificar servicio de ordenamiento por conteo en los filtros considerando el total de registros encontrados </v>
      </c>
      <c r="Z2456" s="142">
        <f>VLOOKUP(Tabla1[[#This Row],[Perfil]],Catalogos!$B$75:$D$100,3,FALSE)*Tabla1[[#This Row],[Tiempo
(Hrs 00/100)]]*1.16</f>
        <v>3248</v>
      </c>
    </row>
    <row r="2457" spans="1:26" ht="30.6" x14ac:dyDescent="0.3">
      <c r="A2457" s="625" t="s">
        <v>22</v>
      </c>
      <c r="B2457" s="625" t="s">
        <v>23</v>
      </c>
      <c r="C2457" s="205" t="s">
        <v>155</v>
      </c>
      <c r="D2457" s="373"/>
      <c r="E2457" s="373" t="s">
        <v>924</v>
      </c>
      <c r="F2457" s="370" t="s">
        <v>23</v>
      </c>
      <c r="G2457" s="370" t="s">
        <v>4337</v>
      </c>
      <c r="H2457" s="461" t="s">
        <v>405</v>
      </c>
      <c r="I2457" s="408" t="s">
        <v>4247</v>
      </c>
      <c r="J2457" s="369">
        <v>45244</v>
      </c>
      <c r="K2457" s="753">
        <v>0.54166666666666663</v>
      </c>
      <c r="L2457" s="369">
        <v>45244</v>
      </c>
      <c r="M2457" s="753">
        <v>0.79166666666666663</v>
      </c>
      <c r="N2457" s="210">
        <v>4.5</v>
      </c>
      <c r="O2457" s="184" t="s">
        <v>17</v>
      </c>
      <c r="P2457" s="401" t="s">
        <v>923</v>
      </c>
      <c r="Q2457" s="179" t="s">
        <v>4257</v>
      </c>
      <c r="R2457" s="628" t="s">
        <v>40</v>
      </c>
      <c r="S2457" s="31" t="s">
        <v>273</v>
      </c>
      <c r="T2457" s="31" t="s">
        <v>273</v>
      </c>
      <c r="U2457" s="31">
        <f>IFERROR(VLOOKUP(CONCATENATE(Tabla1[[#This Row],[Severidad]]," ",Tabla1[[#This Row],[Complejidad]]),Catalogos!E$120:G$128,3,FALSE),"")</f>
        <v>64</v>
      </c>
      <c r="V2457" s="31" t="str">
        <f>IF(Tabla1[[#This Row],[Tiempo solución max (hrs)]]&lt;&gt;"",IF(Tabla1[[#This Row],[Tiempo solución max (hrs)]]&gt;=Tabla1[[#This Row],[Tiempo
(Hrs 00/100)]],"cumple","no cumple"),"")</f>
        <v>cumple</v>
      </c>
      <c r="W2457" s="376" t="s">
        <v>4210</v>
      </c>
      <c r="X2457" s="377" t="str">
        <f t="shared" si="205"/>
        <v>DS</v>
      </c>
      <c r="Y2457" t="str">
        <f>SUBSTITUTE(Tabla1[[#This Row],[Descripción]],CHAR(10),"    I    ")</f>
        <v>Modificar servicio de Obligaciones de transparencia cuando se buscar por un tema desde el carrusel</v>
      </c>
      <c r="Z2457" s="142">
        <f>VLOOKUP(Tabla1[[#This Row],[Perfil]],Catalogos!$B$75:$D$100,3,FALSE)*Tabla1[[#This Row],[Tiempo
(Hrs 00/100)]]*1.16</f>
        <v>3653.9999999999995</v>
      </c>
    </row>
    <row r="2458" spans="1:26" ht="15" customHeight="1" x14ac:dyDescent="0.3">
      <c r="A2458" s="625" t="s">
        <v>22</v>
      </c>
      <c r="B2458" s="625" t="s">
        <v>23</v>
      </c>
      <c r="C2458" s="205" t="s">
        <v>155</v>
      </c>
      <c r="D2458" s="373"/>
      <c r="E2458" s="373" t="s">
        <v>924</v>
      </c>
      <c r="F2458" s="370" t="s">
        <v>23</v>
      </c>
      <c r="G2458" s="370" t="s">
        <v>4338</v>
      </c>
      <c r="H2458" s="461" t="s">
        <v>405</v>
      </c>
      <c r="I2458" s="408" t="s">
        <v>4231</v>
      </c>
      <c r="J2458" s="369">
        <v>45245</v>
      </c>
      <c r="K2458" s="747">
        <v>0.375</v>
      </c>
      <c r="L2458" s="369">
        <v>45245</v>
      </c>
      <c r="M2458" s="753">
        <v>0.79166666666666663</v>
      </c>
      <c r="N2458" s="210">
        <v>8.5</v>
      </c>
      <c r="O2458" s="184" t="s">
        <v>17</v>
      </c>
      <c r="P2458" s="401" t="s">
        <v>923</v>
      </c>
      <c r="Q2458" s="179" t="s">
        <v>4257</v>
      </c>
      <c r="R2458" s="628" t="s">
        <v>40</v>
      </c>
      <c r="S2458" s="31" t="s">
        <v>273</v>
      </c>
      <c r="T2458" s="31" t="s">
        <v>273</v>
      </c>
      <c r="U2458" s="31">
        <f>IFERROR(VLOOKUP(CONCATENATE(Tabla1[[#This Row],[Severidad]]," ",Tabla1[[#This Row],[Complejidad]]),Catalogos!E$120:G$128,3,FALSE),"")</f>
        <v>64</v>
      </c>
      <c r="V2458" s="31" t="str">
        <f>IF(Tabla1[[#This Row],[Tiempo solución max (hrs)]]&lt;&gt;"",IF(Tabla1[[#This Row],[Tiempo solución max (hrs)]]&gt;=Tabla1[[#This Row],[Tiempo
(Hrs 00/100)]],"cumple","no cumple"),"")</f>
        <v>cumple</v>
      </c>
      <c r="W2458" s="376" t="s">
        <v>4210</v>
      </c>
      <c r="X2458" s="377" t="str">
        <f t="shared" si="205"/>
        <v>DS</v>
      </c>
      <c r="Y2458" t="str">
        <f>SUBSTITUTE(Tabla1[[#This Row],[Descripción]],CHAR(10),"    I    ")</f>
        <v>Implementar listado completo de subtemas por cada tema</v>
      </c>
      <c r="Z2458" s="142">
        <f>VLOOKUP(Tabla1[[#This Row],[Perfil]],Catalogos!$B$75:$D$100,3,FALSE)*Tabla1[[#This Row],[Tiempo
(Hrs 00/100)]]*1.16</f>
        <v>6901.9999999999991</v>
      </c>
    </row>
    <row r="2459" spans="1:26" ht="15" customHeight="1" x14ac:dyDescent="0.3">
      <c r="A2459" s="625" t="s">
        <v>22</v>
      </c>
      <c r="B2459" s="625" t="s">
        <v>23</v>
      </c>
      <c r="C2459" s="205" t="s">
        <v>155</v>
      </c>
      <c r="D2459" s="373"/>
      <c r="E2459" s="373" t="s">
        <v>924</v>
      </c>
      <c r="F2459" s="370" t="s">
        <v>23</v>
      </c>
      <c r="G2459" s="370" t="s">
        <v>4339</v>
      </c>
      <c r="H2459" s="461" t="s">
        <v>405</v>
      </c>
      <c r="I2459" s="178" t="s">
        <v>4248</v>
      </c>
      <c r="J2459" s="369">
        <v>45246</v>
      </c>
      <c r="K2459" s="747">
        <v>0.375</v>
      </c>
      <c r="L2459" s="369">
        <v>45246</v>
      </c>
      <c r="M2459" s="753">
        <v>0.79166666666666663</v>
      </c>
      <c r="N2459" s="210">
        <v>8.5</v>
      </c>
      <c r="O2459" s="184" t="s">
        <v>411</v>
      </c>
      <c r="P2459" s="401" t="s">
        <v>923</v>
      </c>
      <c r="Q2459" s="179" t="s">
        <v>4257</v>
      </c>
      <c r="R2459" s="628" t="s">
        <v>40</v>
      </c>
      <c r="S2459" s="31" t="s">
        <v>273</v>
      </c>
      <c r="T2459" s="31" t="s">
        <v>273</v>
      </c>
      <c r="U2459" s="31">
        <f>IFERROR(VLOOKUP(CONCATENATE(Tabla1[[#This Row],[Severidad]]," ",Tabla1[[#This Row],[Complejidad]]),Catalogos!E$120:G$128,3,FALSE),"")</f>
        <v>64</v>
      </c>
      <c r="V2459" s="31" t="str">
        <f>IF(Tabla1[[#This Row],[Tiempo solución max (hrs)]]&lt;&gt;"",IF(Tabla1[[#This Row],[Tiempo solución max (hrs)]]&gt;=Tabla1[[#This Row],[Tiempo
(Hrs 00/100)]],"cumple","no cumple"),"")</f>
        <v>cumple</v>
      </c>
      <c r="W2459" s="376" t="s">
        <v>4210</v>
      </c>
      <c r="X2459" s="377" t="str">
        <f t="shared" si="205"/>
        <v>DS</v>
      </c>
      <c r="Y2459" t="str">
        <f>SUBSTITUTE(Tabla1[[#This Row],[Descripción]],CHAR(10),"    I    ")</f>
        <v>Desarrollar servicios para obtener porcentaje de predicción por IA para solicitudes y respuestas en el buscador</v>
      </c>
      <c r="Z2459" s="142">
        <f>VLOOKUP(Tabla1[[#This Row],[Perfil]],Catalogos!$B$75:$D$100,3,FALSE)*Tabla1[[#This Row],[Tiempo
(Hrs 00/100)]]*1.16</f>
        <v>6901.9999999999991</v>
      </c>
    </row>
    <row r="2460" spans="1:26" ht="15" customHeight="1" x14ac:dyDescent="0.3">
      <c r="A2460" s="625" t="s">
        <v>22</v>
      </c>
      <c r="B2460" s="625" t="s">
        <v>23</v>
      </c>
      <c r="C2460" s="205" t="s">
        <v>155</v>
      </c>
      <c r="D2460" s="373"/>
      <c r="E2460" s="373" t="s">
        <v>924</v>
      </c>
      <c r="F2460" s="370" t="s">
        <v>23</v>
      </c>
      <c r="G2460" s="370" t="s">
        <v>4339</v>
      </c>
      <c r="H2460" s="461" t="s">
        <v>405</v>
      </c>
      <c r="I2460" s="178" t="s">
        <v>4248</v>
      </c>
      <c r="J2460" s="369">
        <v>45247</v>
      </c>
      <c r="K2460" s="747">
        <v>0.375</v>
      </c>
      <c r="L2460" s="369">
        <v>45247</v>
      </c>
      <c r="M2460" s="753">
        <v>0.79166666666666663</v>
      </c>
      <c r="N2460" s="210">
        <v>8.5</v>
      </c>
      <c r="O2460" s="184" t="s">
        <v>411</v>
      </c>
      <c r="P2460" s="401" t="s">
        <v>923</v>
      </c>
      <c r="Q2460" s="179" t="s">
        <v>4257</v>
      </c>
      <c r="R2460" s="628" t="s">
        <v>40</v>
      </c>
      <c r="S2460" s="31" t="s">
        <v>273</v>
      </c>
      <c r="T2460" s="31" t="s">
        <v>273</v>
      </c>
      <c r="U2460" s="31">
        <f>IFERROR(VLOOKUP(CONCATENATE(Tabla1[[#This Row],[Severidad]]," ",Tabla1[[#This Row],[Complejidad]]),Catalogos!E$120:G$128,3,FALSE),"")</f>
        <v>64</v>
      </c>
      <c r="V2460" s="31" t="str">
        <f>IF(Tabla1[[#This Row],[Tiempo solución max (hrs)]]&lt;&gt;"",IF(Tabla1[[#This Row],[Tiempo solución max (hrs)]]&gt;=Tabla1[[#This Row],[Tiempo
(Hrs 00/100)]],"cumple","no cumple"),"")</f>
        <v>cumple</v>
      </c>
      <c r="W2460" s="376" t="s">
        <v>4210</v>
      </c>
      <c r="X2460" s="377" t="str">
        <f t="shared" si="205"/>
        <v>DS</v>
      </c>
      <c r="Y2460" t="str">
        <f>SUBSTITUTE(Tabla1[[#This Row],[Descripción]],CHAR(10),"    I    ")</f>
        <v>Desarrollar servicios para obtener porcentaje de predicción por IA para solicitudes y respuestas en el buscador</v>
      </c>
      <c r="Z2460" s="142">
        <f>VLOOKUP(Tabla1[[#This Row],[Perfil]],Catalogos!$B$75:$D$100,3,FALSE)*Tabla1[[#This Row],[Tiempo
(Hrs 00/100)]]*1.16</f>
        <v>6901.9999999999991</v>
      </c>
    </row>
    <row r="2461" spans="1:26" ht="15" customHeight="1" x14ac:dyDescent="0.3">
      <c r="A2461" s="625" t="s">
        <v>22</v>
      </c>
      <c r="B2461" s="625" t="s">
        <v>23</v>
      </c>
      <c r="C2461" s="205" t="s">
        <v>155</v>
      </c>
      <c r="D2461" s="373"/>
      <c r="E2461" s="373" t="s">
        <v>924</v>
      </c>
      <c r="F2461" s="370" t="s">
        <v>23</v>
      </c>
      <c r="G2461" s="370" t="s">
        <v>4339</v>
      </c>
      <c r="H2461" s="461" t="s">
        <v>405</v>
      </c>
      <c r="I2461" s="178" t="s">
        <v>4248</v>
      </c>
      <c r="J2461" s="369">
        <v>45251</v>
      </c>
      <c r="K2461" s="747">
        <v>0.375</v>
      </c>
      <c r="L2461" s="369">
        <v>45251</v>
      </c>
      <c r="M2461" s="753">
        <v>0.79166666666666663</v>
      </c>
      <c r="N2461" s="210">
        <v>8.5</v>
      </c>
      <c r="O2461" s="184" t="s">
        <v>411</v>
      </c>
      <c r="P2461" s="401" t="s">
        <v>923</v>
      </c>
      <c r="Q2461" s="179" t="s">
        <v>4257</v>
      </c>
      <c r="R2461" s="628" t="s">
        <v>40</v>
      </c>
      <c r="S2461" s="31" t="s">
        <v>273</v>
      </c>
      <c r="T2461" s="31" t="s">
        <v>273</v>
      </c>
      <c r="U2461" s="31">
        <f>IFERROR(VLOOKUP(CONCATENATE(Tabla1[[#This Row],[Severidad]]," ",Tabla1[[#This Row],[Complejidad]]),Catalogos!E$120:G$128,3,FALSE),"")</f>
        <v>64</v>
      </c>
      <c r="V2461" s="31" t="str">
        <f>IF(Tabla1[[#This Row],[Tiempo solución max (hrs)]]&lt;&gt;"",IF(Tabla1[[#This Row],[Tiempo solución max (hrs)]]&gt;=Tabla1[[#This Row],[Tiempo
(Hrs 00/100)]],"cumple","no cumple"),"")</f>
        <v>cumple</v>
      </c>
      <c r="W2461" s="376" t="s">
        <v>4210</v>
      </c>
      <c r="X2461" s="377" t="str">
        <f t="shared" si="205"/>
        <v>DS</v>
      </c>
      <c r="Y2461" t="str">
        <f>SUBSTITUTE(Tabla1[[#This Row],[Descripción]],CHAR(10),"    I    ")</f>
        <v>Desarrollar servicios para obtener porcentaje de predicción por IA para solicitudes y respuestas en el buscador</v>
      </c>
      <c r="Z2461" s="142">
        <f>VLOOKUP(Tabla1[[#This Row],[Perfil]],Catalogos!$B$75:$D$100,3,FALSE)*Tabla1[[#This Row],[Tiempo
(Hrs 00/100)]]*1.16</f>
        <v>6901.9999999999991</v>
      </c>
    </row>
    <row r="2462" spans="1:26" ht="15" customHeight="1" x14ac:dyDescent="0.3">
      <c r="A2462" s="625" t="s">
        <v>22</v>
      </c>
      <c r="B2462" s="625" t="s">
        <v>23</v>
      </c>
      <c r="C2462" s="205" t="s">
        <v>155</v>
      </c>
      <c r="D2462" s="373"/>
      <c r="E2462" s="373" t="s">
        <v>924</v>
      </c>
      <c r="F2462" s="370" t="s">
        <v>23</v>
      </c>
      <c r="G2462" s="370" t="s">
        <v>4339</v>
      </c>
      <c r="H2462" s="461" t="s">
        <v>405</v>
      </c>
      <c r="I2462" s="178" t="s">
        <v>4248</v>
      </c>
      <c r="J2462" s="369">
        <v>45252</v>
      </c>
      <c r="K2462" s="747">
        <v>0.375</v>
      </c>
      <c r="L2462" s="369">
        <v>45252</v>
      </c>
      <c r="M2462" s="753">
        <v>0.79166666666666663</v>
      </c>
      <c r="N2462" s="210">
        <v>8.5</v>
      </c>
      <c r="O2462" s="184" t="s">
        <v>17</v>
      </c>
      <c r="P2462" s="401" t="s">
        <v>923</v>
      </c>
      <c r="Q2462" s="179" t="s">
        <v>4257</v>
      </c>
      <c r="R2462" s="628" t="s">
        <v>40</v>
      </c>
      <c r="S2462" s="31" t="s">
        <v>273</v>
      </c>
      <c r="T2462" s="31" t="s">
        <v>273</v>
      </c>
      <c r="U2462" s="31">
        <f>IFERROR(VLOOKUP(CONCATENATE(Tabla1[[#This Row],[Severidad]]," ",Tabla1[[#This Row],[Complejidad]]),Catalogos!E$120:G$128,3,FALSE),"")</f>
        <v>64</v>
      </c>
      <c r="V2462" s="31" t="str">
        <f>IF(Tabla1[[#This Row],[Tiempo solución max (hrs)]]&lt;&gt;"",IF(Tabla1[[#This Row],[Tiempo solución max (hrs)]]&gt;=Tabla1[[#This Row],[Tiempo
(Hrs 00/100)]],"cumple","no cumple"),"")</f>
        <v>cumple</v>
      </c>
      <c r="W2462" s="376" t="s">
        <v>4210</v>
      </c>
      <c r="X2462" s="377" t="str">
        <f t="shared" si="205"/>
        <v>DS</v>
      </c>
      <c r="Y2462" t="str">
        <f>SUBSTITUTE(Tabla1[[#This Row],[Descripción]],CHAR(10),"    I    ")</f>
        <v>Desarrollar servicios para obtener porcentaje de predicción por IA para solicitudes y respuestas en el buscador</v>
      </c>
      <c r="Z2462" s="142">
        <f>VLOOKUP(Tabla1[[#This Row],[Perfil]],Catalogos!$B$75:$D$100,3,FALSE)*Tabla1[[#This Row],[Tiempo
(Hrs 00/100)]]*1.16</f>
        <v>6901.9999999999991</v>
      </c>
    </row>
    <row r="2463" spans="1:26" ht="15" customHeight="1" x14ac:dyDescent="0.3">
      <c r="A2463" s="625" t="s">
        <v>22</v>
      </c>
      <c r="B2463" s="625" t="s">
        <v>23</v>
      </c>
      <c r="C2463" s="205" t="s">
        <v>155</v>
      </c>
      <c r="D2463" s="373"/>
      <c r="E2463" s="373" t="s">
        <v>924</v>
      </c>
      <c r="F2463" s="370" t="s">
        <v>23</v>
      </c>
      <c r="G2463" s="370" t="s">
        <v>4340</v>
      </c>
      <c r="H2463" s="461" t="s">
        <v>405</v>
      </c>
      <c r="I2463" s="178" t="s">
        <v>4249</v>
      </c>
      <c r="J2463" s="369">
        <v>45253</v>
      </c>
      <c r="K2463" s="747">
        <v>0.375</v>
      </c>
      <c r="L2463" s="369">
        <v>45253</v>
      </c>
      <c r="M2463" s="753">
        <v>0.79166666666666663</v>
      </c>
      <c r="N2463" s="210">
        <v>8.5</v>
      </c>
      <c r="O2463" s="184" t="s">
        <v>411</v>
      </c>
      <c r="P2463" s="401" t="s">
        <v>923</v>
      </c>
      <c r="Q2463" s="179" t="s">
        <v>4257</v>
      </c>
      <c r="R2463" s="628" t="s">
        <v>40</v>
      </c>
      <c r="S2463" s="31" t="s">
        <v>273</v>
      </c>
      <c r="T2463" s="31" t="s">
        <v>273</v>
      </c>
      <c r="U2463" s="31">
        <f>IFERROR(VLOOKUP(CONCATENATE(Tabla1[[#This Row],[Severidad]]," ",Tabla1[[#This Row],[Complejidad]]),Catalogos!E$120:G$128,3,FALSE),"")</f>
        <v>64</v>
      </c>
      <c r="V2463" s="31" t="str">
        <f>IF(Tabla1[[#This Row],[Tiempo solución max (hrs)]]&lt;&gt;"",IF(Tabla1[[#This Row],[Tiempo solución max (hrs)]]&gt;=Tabla1[[#This Row],[Tiempo
(Hrs 00/100)]],"cumple","no cumple"),"")</f>
        <v>cumple</v>
      </c>
      <c r="W2463" s="376" t="s">
        <v>4210</v>
      </c>
      <c r="X2463" s="377" t="str">
        <f t="shared" si="205"/>
        <v>DS</v>
      </c>
      <c r="Y2463" t="str">
        <f>SUBSTITUTE(Tabla1[[#This Row],[Descripción]],CHAR(10),"    I    ")</f>
        <v>Desarrollar front para desplegar porcentaje de prediccón por IA para solicitudes y respuestas en el buscador</v>
      </c>
      <c r="Z2463" s="142">
        <f>VLOOKUP(Tabla1[[#This Row],[Perfil]],Catalogos!$B$75:$D$100,3,FALSE)*Tabla1[[#This Row],[Tiempo
(Hrs 00/100)]]*1.16</f>
        <v>6901.9999999999991</v>
      </c>
    </row>
    <row r="2464" spans="1:26" ht="15" customHeight="1" x14ac:dyDescent="0.3">
      <c r="A2464" s="625" t="s">
        <v>22</v>
      </c>
      <c r="B2464" s="625" t="s">
        <v>23</v>
      </c>
      <c r="C2464" s="205" t="s">
        <v>155</v>
      </c>
      <c r="D2464" s="373"/>
      <c r="E2464" s="373" t="s">
        <v>924</v>
      </c>
      <c r="F2464" s="370" t="s">
        <v>23</v>
      </c>
      <c r="G2464" s="370" t="s">
        <v>4340</v>
      </c>
      <c r="H2464" s="461" t="s">
        <v>405</v>
      </c>
      <c r="I2464" s="178" t="s">
        <v>4249</v>
      </c>
      <c r="J2464" s="369">
        <v>45254</v>
      </c>
      <c r="K2464" s="747">
        <v>0.375</v>
      </c>
      <c r="L2464" s="369">
        <v>45254</v>
      </c>
      <c r="M2464" s="753">
        <v>0.625</v>
      </c>
      <c r="N2464" s="210">
        <v>6</v>
      </c>
      <c r="O2464" s="184" t="s">
        <v>411</v>
      </c>
      <c r="P2464" s="401" t="s">
        <v>923</v>
      </c>
      <c r="Q2464" s="179" t="s">
        <v>4257</v>
      </c>
      <c r="R2464" s="628" t="s">
        <v>40</v>
      </c>
      <c r="S2464" s="31" t="s">
        <v>273</v>
      </c>
      <c r="T2464" s="31" t="s">
        <v>273</v>
      </c>
      <c r="U2464" s="31">
        <f>IFERROR(VLOOKUP(CONCATENATE(Tabla1[[#This Row],[Severidad]]," ",Tabla1[[#This Row],[Complejidad]]),Catalogos!E$120:G$128,3,FALSE),"")</f>
        <v>64</v>
      </c>
      <c r="V2464" s="31" t="str">
        <f>IF(Tabla1[[#This Row],[Tiempo solución max (hrs)]]&lt;&gt;"",IF(Tabla1[[#This Row],[Tiempo solución max (hrs)]]&gt;=Tabla1[[#This Row],[Tiempo
(Hrs 00/100)]],"cumple","no cumple"),"")</f>
        <v>cumple</v>
      </c>
      <c r="W2464" s="376" t="s">
        <v>4210</v>
      </c>
      <c r="X2464" s="377" t="str">
        <f t="shared" si="205"/>
        <v>DS</v>
      </c>
      <c r="Y2464" t="str">
        <f>SUBSTITUTE(Tabla1[[#This Row],[Descripción]],CHAR(10),"    I    ")</f>
        <v>Desarrollar front para desplegar porcentaje de prediccón por IA para solicitudes y respuestas en el buscador</v>
      </c>
      <c r="Z2464" s="142">
        <f>VLOOKUP(Tabla1[[#This Row],[Perfil]],Catalogos!$B$75:$D$100,3,FALSE)*Tabla1[[#This Row],[Tiempo
(Hrs 00/100)]]*1.16</f>
        <v>4872</v>
      </c>
    </row>
    <row r="2465" spans="1:26" ht="15" customHeight="1" x14ac:dyDescent="0.3">
      <c r="A2465" s="625" t="s">
        <v>22</v>
      </c>
      <c r="B2465" s="625" t="s">
        <v>23</v>
      </c>
      <c r="C2465" s="205" t="s">
        <v>155</v>
      </c>
      <c r="D2465" s="373"/>
      <c r="E2465" s="373" t="s">
        <v>924</v>
      </c>
      <c r="F2465" s="370" t="s">
        <v>23</v>
      </c>
      <c r="G2465" s="370" t="s">
        <v>4340</v>
      </c>
      <c r="H2465" s="461" t="s">
        <v>405</v>
      </c>
      <c r="I2465" s="178" t="s">
        <v>4249</v>
      </c>
      <c r="J2465" s="369">
        <v>45257</v>
      </c>
      <c r="K2465" s="747">
        <v>0.375</v>
      </c>
      <c r="L2465" s="369">
        <v>45257</v>
      </c>
      <c r="M2465" s="753">
        <v>0.79166666666666663</v>
      </c>
      <c r="N2465" s="210">
        <v>8.5</v>
      </c>
      <c r="O2465" s="184" t="s">
        <v>411</v>
      </c>
      <c r="P2465" s="401" t="s">
        <v>923</v>
      </c>
      <c r="Q2465" s="179" t="s">
        <v>4257</v>
      </c>
      <c r="R2465" s="628" t="s">
        <v>40</v>
      </c>
      <c r="S2465" s="31" t="s">
        <v>273</v>
      </c>
      <c r="T2465" s="31" t="s">
        <v>273</v>
      </c>
      <c r="U2465" s="31">
        <f>IFERROR(VLOOKUP(CONCATENATE(Tabla1[[#This Row],[Severidad]]," ",Tabla1[[#This Row],[Complejidad]]),Catalogos!E$120:G$128,3,FALSE),"")</f>
        <v>64</v>
      </c>
      <c r="V2465" s="31" t="str">
        <f>IF(Tabla1[[#This Row],[Tiempo solución max (hrs)]]&lt;&gt;"",IF(Tabla1[[#This Row],[Tiempo solución max (hrs)]]&gt;=Tabla1[[#This Row],[Tiempo
(Hrs 00/100)]],"cumple","no cumple"),"")</f>
        <v>cumple</v>
      </c>
      <c r="W2465" s="376" t="s">
        <v>4210</v>
      </c>
      <c r="X2465" s="377" t="str">
        <f t="shared" si="205"/>
        <v>DS</v>
      </c>
      <c r="Y2465" t="str">
        <f>SUBSTITUTE(Tabla1[[#This Row],[Descripción]],CHAR(10),"    I    ")</f>
        <v>Desarrollar front para desplegar porcentaje de prediccón por IA para solicitudes y respuestas en el buscador</v>
      </c>
      <c r="Z2465" s="142">
        <f>VLOOKUP(Tabla1[[#This Row],[Perfil]],Catalogos!$B$75:$D$100,3,FALSE)*Tabla1[[#This Row],[Tiempo
(Hrs 00/100)]]*1.16</f>
        <v>6901.9999999999991</v>
      </c>
    </row>
    <row r="2466" spans="1:26" ht="15" customHeight="1" x14ac:dyDescent="0.3">
      <c r="A2466" s="625" t="s">
        <v>22</v>
      </c>
      <c r="B2466" s="625" t="s">
        <v>23</v>
      </c>
      <c r="C2466" s="205" t="s">
        <v>155</v>
      </c>
      <c r="D2466" s="373"/>
      <c r="E2466" s="373" t="s">
        <v>924</v>
      </c>
      <c r="F2466" s="370" t="s">
        <v>23</v>
      </c>
      <c r="G2466" s="370" t="s">
        <v>4340</v>
      </c>
      <c r="H2466" s="461" t="s">
        <v>405</v>
      </c>
      <c r="I2466" s="178" t="s">
        <v>4249</v>
      </c>
      <c r="J2466" s="369">
        <v>45258</v>
      </c>
      <c r="K2466" s="747">
        <v>0.375</v>
      </c>
      <c r="L2466" s="369">
        <v>45258</v>
      </c>
      <c r="M2466" s="753">
        <v>0.8125</v>
      </c>
      <c r="N2466" s="210">
        <v>9</v>
      </c>
      <c r="O2466" s="184" t="s">
        <v>17</v>
      </c>
      <c r="P2466" s="401" t="s">
        <v>923</v>
      </c>
      <c r="Q2466" s="179" t="s">
        <v>4257</v>
      </c>
      <c r="R2466" s="628" t="s">
        <v>40</v>
      </c>
      <c r="S2466" s="31" t="s">
        <v>273</v>
      </c>
      <c r="T2466" s="31" t="s">
        <v>273</v>
      </c>
      <c r="U2466" s="31">
        <f>IFERROR(VLOOKUP(CONCATENATE(Tabla1[[#This Row],[Severidad]]," ",Tabla1[[#This Row],[Complejidad]]),Catalogos!E$120:G$128,3,FALSE),"")</f>
        <v>64</v>
      </c>
      <c r="V2466" s="31" t="str">
        <f>IF(Tabla1[[#This Row],[Tiempo solución max (hrs)]]&lt;&gt;"",IF(Tabla1[[#This Row],[Tiempo solución max (hrs)]]&gt;=Tabla1[[#This Row],[Tiempo
(Hrs 00/100)]],"cumple","no cumple"),"")</f>
        <v>cumple</v>
      </c>
      <c r="W2466" s="376" t="s">
        <v>4210</v>
      </c>
      <c r="X2466" s="377" t="str">
        <f t="shared" si="205"/>
        <v>DS</v>
      </c>
      <c r="Y2466" t="str">
        <f>SUBSTITUTE(Tabla1[[#This Row],[Descripción]],CHAR(10),"    I    ")</f>
        <v>Desarrollar front para desplegar porcentaje de prediccón por IA para solicitudes y respuestas en el buscador</v>
      </c>
      <c r="Z2466" s="142">
        <f>VLOOKUP(Tabla1[[#This Row],[Perfil]],Catalogos!$B$75:$D$100,3,FALSE)*Tabla1[[#This Row],[Tiempo
(Hrs 00/100)]]*1.16</f>
        <v>7307.9999999999991</v>
      </c>
    </row>
    <row r="2467" spans="1:26" ht="15" customHeight="1" x14ac:dyDescent="0.3">
      <c r="A2467" s="625" t="s">
        <v>22</v>
      </c>
      <c r="B2467" s="625" t="s">
        <v>23</v>
      </c>
      <c r="C2467" s="205" t="s">
        <v>155</v>
      </c>
      <c r="D2467" s="373"/>
      <c r="E2467" s="373" t="s">
        <v>924</v>
      </c>
      <c r="F2467" s="370" t="s">
        <v>23</v>
      </c>
      <c r="G2467" s="370" t="s">
        <v>4341</v>
      </c>
      <c r="H2467" s="461" t="s">
        <v>405</v>
      </c>
      <c r="I2467" s="178" t="s">
        <v>4250</v>
      </c>
      <c r="J2467" s="369">
        <v>45259</v>
      </c>
      <c r="K2467" s="747">
        <v>0.375</v>
      </c>
      <c r="L2467" s="369">
        <v>45259</v>
      </c>
      <c r="M2467" s="753">
        <v>0.79166666666666663</v>
      </c>
      <c r="N2467" s="210">
        <v>8.5</v>
      </c>
      <c r="O2467" s="184" t="s">
        <v>411</v>
      </c>
      <c r="P2467" s="401" t="s">
        <v>923</v>
      </c>
      <c r="Q2467" s="179" t="s">
        <v>4257</v>
      </c>
      <c r="R2467" s="628" t="s">
        <v>40</v>
      </c>
      <c r="S2467" s="31" t="s">
        <v>273</v>
      </c>
      <c r="T2467" s="31" t="s">
        <v>273</v>
      </c>
      <c r="U2467" s="31">
        <f>IFERROR(VLOOKUP(CONCATENATE(Tabla1[[#This Row],[Severidad]]," ",Tabla1[[#This Row],[Complejidad]]),Catalogos!E$120:G$128,3,FALSE),"")</f>
        <v>64</v>
      </c>
      <c r="V2467" s="31" t="str">
        <f>IF(Tabla1[[#This Row],[Tiempo solución max (hrs)]]&lt;&gt;"",IF(Tabla1[[#This Row],[Tiempo solución max (hrs)]]&gt;=Tabla1[[#This Row],[Tiempo
(Hrs 00/100)]],"cumple","no cumple"),"")</f>
        <v>cumple</v>
      </c>
      <c r="W2467" s="376" t="s">
        <v>4210</v>
      </c>
      <c r="X2467" s="377" t="str">
        <f t="shared" si="205"/>
        <v>DS</v>
      </c>
      <c r="Y2467" t="str">
        <f>SUBSTITUTE(Tabla1[[#This Row],[Descripción]],CHAR(10),"    I    ")</f>
        <v>Validación y adecuaciones front y back de acuerdo a observaciones de la DS</v>
      </c>
      <c r="Z2467" s="142">
        <f>VLOOKUP(Tabla1[[#This Row],[Perfil]],Catalogos!$B$75:$D$100,3,FALSE)*Tabla1[[#This Row],[Tiempo
(Hrs 00/100)]]*1.16</f>
        <v>6901.9999999999991</v>
      </c>
    </row>
    <row r="2468" spans="1:26" ht="15" customHeight="1" x14ac:dyDescent="0.3">
      <c r="A2468" s="625" t="s">
        <v>22</v>
      </c>
      <c r="B2468" s="625" t="s">
        <v>23</v>
      </c>
      <c r="C2468" s="205" t="s">
        <v>155</v>
      </c>
      <c r="D2468" s="373"/>
      <c r="E2468" s="373" t="s">
        <v>924</v>
      </c>
      <c r="F2468" s="370" t="s">
        <v>23</v>
      </c>
      <c r="G2468" s="370" t="s">
        <v>4341</v>
      </c>
      <c r="H2468" s="461" t="s">
        <v>405</v>
      </c>
      <c r="I2468" s="178" t="s">
        <v>4250</v>
      </c>
      <c r="J2468" s="369">
        <v>45260</v>
      </c>
      <c r="K2468" s="747">
        <v>0.375</v>
      </c>
      <c r="L2468" s="369">
        <v>45260</v>
      </c>
      <c r="M2468" s="753">
        <v>0.79166666666666663</v>
      </c>
      <c r="N2468" s="210">
        <v>8.5</v>
      </c>
      <c r="O2468" s="184" t="s">
        <v>17</v>
      </c>
      <c r="P2468" s="401" t="s">
        <v>923</v>
      </c>
      <c r="Q2468" s="179" t="s">
        <v>4257</v>
      </c>
      <c r="R2468" s="628" t="s">
        <v>40</v>
      </c>
      <c r="S2468" s="31" t="s">
        <v>273</v>
      </c>
      <c r="T2468" s="31" t="s">
        <v>273</v>
      </c>
      <c r="U2468" s="31">
        <f>IFERROR(VLOOKUP(CONCATENATE(Tabla1[[#This Row],[Severidad]]," ",Tabla1[[#This Row],[Complejidad]]),Catalogos!E$120:G$128,3,FALSE),"")</f>
        <v>64</v>
      </c>
      <c r="V2468" s="31" t="str">
        <f>IF(Tabla1[[#This Row],[Tiempo solución max (hrs)]]&lt;&gt;"",IF(Tabla1[[#This Row],[Tiempo solución max (hrs)]]&gt;=Tabla1[[#This Row],[Tiempo
(Hrs 00/100)]],"cumple","no cumple"),"")</f>
        <v>cumple</v>
      </c>
      <c r="W2468" s="376" t="s">
        <v>4210</v>
      </c>
      <c r="X2468" s="377" t="str">
        <f t="shared" si="205"/>
        <v>DS</v>
      </c>
      <c r="Y2468" t="str">
        <f>SUBSTITUTE(Tabla1[[#This Row],[Descripción]],CHAR(10),"    I    ")</f>
        <v>Validación y adecuaciones front y back de acuerdo a observaciones de la DS</v>
      </c>
      <c r="Z2468" s="142">
        <f>VLOOKUP(Tabla1[[#This Row],[Perfil]],Catalogos!$B$75:$D$100,3,FALSE)*Tabla1[[#This Row],[Tiempo
(Hrs 00/100)]]*1.16</f>
        <v>6901.9999999999991</v>
      </c>
    </row>
    <row r="2469" spans="1:26" ht="15" customHeight="1" x14ac:dyDescent="0.3">
      <c r="A2469" s="625" t="s">
        <v>22</v>
      </c>
      <c r="B2469" s="625" t="s">
        <v>23</v>
      </c>
      <c r="C2469" s="205" t="s">
        <v>155</v>
      </c>
      <c r="D2469" s="373"/>
      <c r="E2469" s="373" t="s">
        <v>375</v>
      </c>
      <c r="F2469" s="370" t="s">
        <v>23</v>
      </c>
      <c r="G2469" s="370" t="s">
        <v>4316</v>
      </c>
      <c r="H2469" s="461" t="s">
        <v>405</v>
      </c>
      <c r="I2469" s="178" t="s">
        <v>4256</v>
      </c>
      <c r="J2469" s="369">
        <v>45231</v>
      </c>
      <c r="K2469" s="747">
        <v>0.375</v>
      </c>
      <c r="L2469" s="369">
        <v>45231</v>
      </c>
      <c r="M2469" s="753">
        <v>0.79166666666666663</v>
      </c>
      <c r="N2469" s="210">
        <v>8.5</v>
      </c>
      <c r="O2469" s="184" t="s">
        <v>17</v>
      </c>
      <c r="P2469" s="375" t="s">
        <v>412</v>
      </c>
      <c r="Q2469" s="179" t="s">
        <v>4258</v>
      </c>
      <c r="R2469" s="628" t="s">
        <v>40</v>
      </c>
      <c r="S2469" s="31" t="s">
        <v>273</v>
      </c>
      <c r="T2469" s="31" t="s">
        <v>273</v>
      </c>
      <c r="U2469" s="31">
        <f>IFERROR(VLOOKUP(CONCATENATE(Tabla1[[#This Row],[Severidad]]," ",Tabla1[[#This Row],[Complejidad]]),Catalogos!E$120:G$128,3,FALSE),"")</f>
        <v>64</v>
      </c>
      <c r="V2469" s="31" t="str">
        <f>IF(Tabla1[[#This Row],[Tiempo solución max (hrs)]]&lt;&gt;"",IF(Tabla1[[#This Row],[Tiempo solución max (hrs)]]&gt;=Tabla1[[#This Row],[Tiempo
(Hrs 00/100)]],"cumple","no cumple"),"")</f>
        <v>cumple</v>
      </c>
      <c r="W2469" s="376" t="s">
        <v>4210</v>
      </c>
      <c r="X2469" s="377" t="str">
        <f t="shared" si="205"/>
        <v>DS</v>
      </c>
      <c r="Y2469" t="str">
        <f>SUBSTITUTE(Tabla1[[#This Row],[Descripción]],CHAR(10),"    I    ")</f>
        <v xml:space="preserve">Implementar y ejecutar herramientas SAST y SCA definidas en el nuevo  proceso SSDLC en el código de la Nueva Arquitectura de la PNT </v>
      </c>
      <c r="Z2469" s="142">
        <f>VLOOKUP(Tabla1[[#This Row],[Perfil]],Catalogos!$B$75:$D$100,3,FALSE)*Tabla1[[#This Row],[Tiempo
(Hrs 00/100)]]*1.16</f>
        <v>6901.9999999999991</v>
      </c>
    </row>
    <row r="2470" spans="1:26" ht="15" customHeight="1" x14ac:dyDescent="0.3">
      <c r="A2470" s="625" t="s">
        <v>22</v>
      </c>
      <c r="B2470" s="625" t="s">
        <v>23</v>
      </c>
      <c r="C2470" s="205" t="s">
        <v>155</v>
      </c>
      <c r="D2470" s="373"/>
      <c r="E2470" s="373" t="s">
        <v>375</v>
      </c>
      <c r="F2470" s="370" t="s">
        <v>23</v>
      </c>
      <c r="G2470" s="370" t="s">
        <v>4317</v>
      </c>
      <c r="H2470" s="461" t="s">
        <v>405</v>
      </c>
      <c r="I2470" s="467" t="s">
        <v>4251</v>
      </c>
      <c r="J2470" s="369">
        <v>45233</v>
      </c>
      <c r="K2470" s="747">
        <v>0.375</v>
      </c>
      <c r="L2470" s="369">
        <v>45233</v>
      </c>
      <c r="M2470" s="753">
        <v>0.83333333333333337</v>
      </c>
      <c r="N2470" s="210">
        <v>10</v>
      </c>
      <c r="O2470" s="184" t="s">
        <v>411</v>
      </c>
      <c r="P2470" s="375" t="s">
        <v>412</v>
      </c>
      <c r="Q2470" s="179" t="s">
        <v>4258</v>
      </c>
      <c r="R2470" s="628" t="s">
        <v>40</v>
      </c>
      <c r="S2470" s="31" t="s">
        <v>273</v>
      </c>
      <c r="T2470" s="31" t="s">
        <v>273</v>
      </c>
      <c r="U2470" s="31">
        <f>IFERROR(VLOOKUP(CONCATENATE(Tabla1[[#This Row],[Severidad]]," ",Tabla1[[#This Row],[Complejidad]]),Catalogos!E$120:G$128,3,FALSE),"")</f>
        <v>64</v>
      </c>
      <c r="V2470" s="31" t="str">
        <f>IF(Tabla1[[#This Row],[Tiempo solución max (hrs)]]&lt;&gt;"",IF(Tabla1[[#This Row],[Tiempo solución max (hrs)]]&gt;=Tabla1[[#This Row],[Tiempo
(Hrs 00/100)]],"cumple","no cumple"),"")</f>
        <v>cumple</v>
      </c>
      <c r="W2470" s="376" t="s">
        <v>4210</v>
      </c>
      <c r="X2470" s="377" t="str">
        <f t="shared" si="205"/>
        <v>DS</v>
      </c>
      <c r="Y2470" t="str">
        <f>SUBSTITUTE(Tabla1[[#This Row],[Descripción]],CHAR(10),"    I    ")</f>
        <v>Implementar adecuaciones al código fuente para atender hallazgos del módulo - Catálogos</v>
      </c>
      <c r="Z2470" s="142">
        <f>VLOOKUP(Tabla1[[#This Row],[Perfil]],Catalogos!$B$75:$D$100,3,FALSE)*Tabla1[[#This Row],[Tiempo
(Hrs 00/100)]]*1.16</f>
        <v>8119.9999999999991</v>
      </c>
    </row>
    <row r="2471" spans="1:26" ht="15" customHeight="1" x14ac:dyDescent="0.3">
      <c r="A2471" s="625" t="s">
        <v>22</v>
      </c>
      <c r="B2471" s="625" t="s">
        <v>23</v>
      </c>
      <c r="C2471" s="205" t="s">
        <v>155</v>
      </c>
      <c r="D2471" s="373"/>
      <c r="E2471" s="373" t="s">
        <v>375</v>
      </c>
      <c r="F2471" s="370" t="s">
        <v>23</v>
      </c>
      <c r="G2471" s="370" t="s">
        <v>4317</v>
      </c>
      <c r="H2471" s="461" t="s">
        <v>405</v>
      </c>
      <c r="I2471" s="467" t="s">
        <v>4251</v>
      </c>
      <c r="J2471" s="369">
        <v>45236</v>
      </c>
      <c r="K2471" s="747">
        <v>0.375</v>
      </c>
      <c r="L2471" s="369">
        <v>45236</v>
      </c>
      <c r="M2471" s="753">
        <v>0.79166666666666663</v>
      </c>
      <c r="N2471" s="210">
        <v>8.5</v>
      </c>
      <c r="O2471" s="184" t="s">
        <v>411</v>
      </c>
      <c r="P2471" s="375" t="s">
        <v>412</v>
      </c>
      <c r="Q2471" s="179" t="s">
        <v>4258</v>
      </c>
      <c r="R2471" s="628" t="s">
        <v>40</v>
      </c>
      <c r="S2471" s="31" t="s">
        <v>273</v>
      </c>
      <c r="T2471" s="31" t="s">
        <v>273</v>
      </c>
      <c r="U2471" s="31">
        <f>IFERROR(VLOOKUP(CONCATENATE(Tabla1[[#This Row],[Severidad]]," ",Tabla1[[#This Row],[Complejidad]]),Catalogos!E$120:G$128,3,FALSE),"")</f>
        <v>64</v>
      </c>
      <c r="V2471" s="31" t="str">
        <f>IF(Tabla1[[#This Row],[Tiempo solución max (hrs)]]&lt;&gt;"",IF(Tabla1[[#This Row],[Tiempo solución max (hrs)]]&gt;=Tabla1[[#This Row],[Tiempo
(Hrs 00/100)]],"cumple","no cumple"),"")</f>
        <v>cumple</v>
      </c>
      <c r="W2471" s="376" t="s">
        <v>4210</v>
      </c>
      <c r="X2471" s="377" t="str">
        <f t="shared" si="205"/>
        <v>DS</v>
      </c>
      <c r="Y2471" t="str">
        <f>SUBSTITUTE(Tabla1[[#This Row],[Descripción]],CHAR(10),"    I    ")</f>
        <v>Implementar adecuaciones al código fuente para atender hallazgos del módulo - Catálogos</v>
      </c>
      <c r="Z2471" s="142">
        <f>VLOOKUP(Tabla1[[#This Row],[Perfil]],Catalogos!$B$75:$D$100,3,FALSE)*Tabla1[[#This Row],[Tiempo
(Hrs 00/100)]]*1.16</f>
        <v>6901.9999999999991</v>
      </c>
    </row>
    <row r="2472" spans="1:26" ht="15" customHeight="1" x14ac:dyDescent="0.3">
      <c r="A2472" s="625" t="s">
        <v>22</v>
      </c>
      <c r="B2472" s="625" t="s">
        <v>23</v>
      </c>
      <c r="C2472" s="205" t="s">
        <v>155</v>
      </c>
      <c r="D2472" s="373"/>
      <c r="E2472" s="373" t="s">
        <v>375</v>
      </c>
      <c r="F2472" s="370" t="s">
        <v>23</v>
      </c>
      <c r="G2472" s="370" t="s">
        <v>4317</v>
      </c>
      <c r="H2472" s="461" t="s">
        <v>405</v>
      </c>
      <c r="I2472" s="467" t="s">
        <v>4251</v>
      </c>
      <c r="J2472" s="369">
        <v>45237</v>
      </c>
      <c r="K2472" s="747">
        <v>0.375</v>
      </c>
      <c r="L2472" s="369">
        <v>45237</v>
      </c>
      <c r="M2472" s="753">
        <v>0.79166666666666663</v>
      </c>
      <c r="N2472" s="210">
        <v>8.5</v>
      </c>
      <c r="O2472" s="184" t="s">
        <v>17</v>
      </c>
      <c r="P2472" s="375" t="s">
        <v>412</v>
      </c>
      <c r="Q2472" s="179" t="s">
        <v>4258</v>
      </c>
      <c r="R2472" s="628" t="s">
        <v>40</v>
      </c>
      <c r="S2472" s="31" t="s">
        <v>273</v>
      </c>
      <c r="T2472" s="31" t="s">
        <v>273</v>
      </c>
      <c r="U2472" s="31">
        <f>IFERROR(VLOOKUP(CONCATENATE(Tabla1[[#This Row],[Severidad]]," ",Tabla1[[#This Row],[Complejidad]]),Catalogos!E$120:G$128,3,FALSE),"")</f>
        <v>64</v>
      </c>
      <c r="V2472" s="31" t="str">
        <f>IF(Tabla1[[#This Row],[Tiempo solución max (hrs)]]&lt;&gt;"",IF(Tabla1[[#This Row],[Tiempo solución max (hrs)]]&gt;=Tabla1[[#This Row],[Tiempo
(Hrs 00/100)]],"cumple","no cumple"),"")</f>
        <v>cumple</v>
      </c>
      <c r="W2472" s="376" t="s">
        <v>4210</v>
      </c>
      <c r="X2472" s="377" t="str">
        <f t="shared" si="205"/>
        <v>DS</v>
      </c>
      <c r="Y2472" t="str">
        <f>SUBSTITUTE(Tabla1[[#This Row],[Descripción]],CHAR(10),"    I    ")</f>
        <v>Implementar adecuaciones al código fuente para atender hallazgos del módulo - Catálogos</v>
      </c>
      <c r="Z2472" s="142">
        <f>VLOOKUP(Tabla1[[#This Row],[Perfil]],Catalogos!$B$75:$D$100,3,FALSE)*Tabla1[[#This Row],[Tiempo
(Hrs 00/100)]]*1.16</f>
        <v>6901.9999999999991</v>
      </c>
    </row>
    <row r="2473" spans="1:26" ht="15" customHeight="1" x14ac:dyDescent="0.3">
      <c r="A2473" s="625" t="s">
        <v>22</v>
      </c>
      <c r="B2473" s="625" t="s">
        <v>23</v>
      </c>
      <c r="C2473" s="205" t="s">
        <v>155</v>
      </c>
      <c r="D2473" s="373"/>
      <c r="E2473" s="373" t="s">
        <v>375</v>
      </c>
      <c r="F2473" s="370" t="s">
        <v>23</v>
      </c>
      <c r="G2473" s="370" t="s">
        <v>4318</v>
      </c>
      <c r="H2473" s="461" t="s">
        <v>405</v>
      </c>
      <c r="I2473" s="467" t="s">
        <v>4252</v>
      </c>
      <c r="J2473" s="369">
        <v>45238</v>
      </c>
      <c r="K2473" s="747">
        <v>0.375</v>
      </c>
      <c r="L2473" s="369">
        <v>45238</v>
      </c>
      <c r="M2473" s="753">
        <v>0.79166666666666663</v>
      </c>
      <c r="N2473" s="210">
        <v>8.5</v>
      </c>
      <c r="O2473" s="184" t="s">
        <v>411</v>
      </c>
      <c r="P2473" s="375" t="s">
        <v>412</v>
      </c>
      <c r="Q2473" s="179" t="s">
        <v>4258</v>
      </c>
      <c r="R2473" s="628" t="s">
        <v>40</v>
      </c>
      <c r="S2473" s="31" t="s">
        <v>273</v>
      </c>
      <c r="T2473" s="31" t="s">
        <v>273</v>
      </c>
      <c r="U2473" s="31">
        <f>IFERROR(VLOOKUP(CONCATENATE(Tabla1[[#This Row],[Severidad]]," ",Tabla1[[#This Row],[Complejidad]]),Catalogos!E$120:G$128,3,FALSE),"")</f>
        <v>64</v>
      </c>
      <c r="V2473" s="31" t="str">
        <f>IF(Tabla1[[#This Row],[Tiempo solución max (hrs)]]&lt;&gt;"",IF(Tabla1[[#This Row],[Tiempo solución max (hrs)]]&gt;=Tabla1[[#This Row],[Tiempo
(Hrs 00/100)]],"cumple","no cumple"),"")</f>
        <v>cumple</v>
      </c>
      <c r="W2473" s="376" t="s">
        <v>4210</v>
      </c>
      <c r="X2473" s="377" t="str">
        <f t="shared" si="205"/>
        <v>DS</v>
      </c>
      <c r="Y2473" t="str">
        <f>SUBSTITUTE(Tabla1[[#This Row],[Descripción]],CHAR(10),"    I    ")</f>
        <v>Implementar adecuaciones al código fuente para atender hallazgos del módulo - Commons</v>
      </c>
      <c r="Z2473" s="142">
        <f>VLOOKUP(Tabla1[[#This Row],[Perfil]],Catalogos!$B$75:$D$100,3,FALSE)*Tabla1[[#This Row],[Tiempo
(Hrs 00/100)]]*1.16</f>
        <v>6901.9999999999991</v>
      </c>
    </row>
    <row r="2474" spans="1:26" ht="15" customHeight="1" x14ac:dyDescent="0.3">
      <c r="A2474" s="625" t="s">
        <v>22</v>
      </c>
      <c r="B2474" s="625" t="s">
        <v>23</v>
      </c>
      <c r="C2474" s="205" t="s">
        <v>155</v>
      </c>
      <c r="D2474" s="373"/>
      <c r="E2474" s="373" t="s">
        <v>375</v>
      </c>
      <c r="F2474" s="370" t="s">
        <v>23</v>
      </c>
      <c r="G2474" s="370" t="s">
        <v>4318</v>
      </c>
      <c r="H2474" s="461" t="s">
        <v>405</v>
      </c>
      <c r="I2474" s="665" t="s">
        <v>4252</v>
      </c>
      <c r="J2474" s="369">
        <v>45239</v>
      </c>
      <c r="K2474" s="747">
        <v>0.375</v>
      </c>
      <c r="L2474" s="369">
        <v>45239</v>
      </c>
      <c r="M2474" s="753">
        <v>0.79166666666666663</v>
      </c>
      <c r="N2474" s="210">
        <v>8.5</v>
      </c>
      <c r="O2474" s="184" t="s">
        <v>411</v>
      </c>
      <c r="P2474" s="375" t="s">
        <v>412</v>
      </c>
      <c r="Q2474" s="179" t="s">
        <v>4258</v>
      </c>
      <c r="R2474" s="628" t="s">
        <v>40</v>
      </c>
      <c r="S2474" s="31" t="s">
        <v>273</v>
      </c>
      <c r="T2474" s="31" t="s">
        <v>273</v>
      </c>
      <c r="U2474" s="31">
        <f>IFERROR(VLOOKUP(CONCATENATE(Tabla1[[#This Row],[Severidad]]," ",Tabla1[[#This Row],[Complejidad]]),Catalogos!E$120:G$128,3,FALSE),"")</f>
        <v>64</v>
      </c>
      <c r="V2474" s="31" t="str">
        <f>IF(Tabla1[[#This Row],[Tiempo solución max (hrs)]]&lt;&gt;"",IF(Tabla1[[#This Row],[Tiempo solución max (hrs)]]&gt;=Tabla1[[#This Row],[Tiempo
(Hrs 00/100)]],"cumple","no cumple"),"")</f>
        <v>cumple</v>
      </c>
      <c r="W2474" s="376" t="s">
        <v>4210</v>
      </c>
      <c r="X2474" s="377" t="str">
        <f t="shared" si="205"/>
        <v>DS</v>
      </c>
      <c r="Y2474" t="str">
        <f>SUBSTITUTE(Tabla1[[#This Row],[Descripción]],CHAR(10),"    I    ")</f>
        <v>Implementar adecuaciones al código fuente para atender hallazgos del módulo - Commons</v>
      </c>
      <c r="Z2474" s="142">
        <f>VLOOKUP(Tabla1[[#This Row],[Perfil]],Catalogos!$B$75:$D$100,3,FALSE)*Tabla1[[#This Row],[Tiempo
(Hrs 00/100)]]*1.16</f>
        <v>6901.9999999999991</v>
      </c>
    </row>
    <row r="2475" spans="1:26" ht="15" customHeight="1" x14ac:dyDescent="0.3">
      <c r="A2475" s="625" t="s">
        <v>22</v>
      </c>
      <c r="B2475" s="625" t="s">
        <v>23</v>
      </c>
      <c r="C2475" s="205" t="s">
        <v>155</v>
      </c>
      <c r="D2475" s="373"/>
      <c r="E2475" s="373" t="s">
        <v>375</v>
      </c>
      <c r="F2475" s="370" t="s">
        <v>23</v>
      </c>
      <c r="G2475" s="370" t="s">
        <v>4318</v>
      </c>
      <c r="H2475" s="461" t="s">
        <v>405</v>
      </c>
      <c r="I2475" s="665" t="s">
        <v>4252</v>
      </c>
      <c r="J2475" s="369">
        <v>45240</v>
      </c>
      <c r="K2475" s="747">
        <v>0.375</v>
      </c>
      <c r="L2475" s="369">
        <v>45240</v>
      </c>
      <c r="M2475" s="753">
        <v>0.625</v>
      </c>
      <c r="N2475" s="210">
        <v>6</v>
      </c>
      <c r="O2475" s="184" t="s">
        <v>411</v>
      </c>
      <c r="P2475" s="375" t="s">
        <v>412</v>
      </c>
      <c r="Q2475" s="179" t="s">
        <v>4258</v>
      </c>
      <c r="R2475" s="628" t="s">
        <v>40</v>
      </c>
      <c r="S2475" s="31" t="s">
        <v>273</v>
      </c>
      <c r="T2475" s="31" t="s">
        <v>273</v>
      </c>
      <c r="U2475" s="31">
        <f>IFERROR(VLOOKUP(CONCATENATE(Tabla1[[#This Row],[Severidad]]," ",Tabla1[[#This Row],[Complejidad]]),Catalogos!E$120:G$128,3,FALSE),"")</f>
        <v>64</v>
      </c>
      <c r="V2475" s="31" t="str">
        <f>IF(Tabla1[[#This Row],[Tiempo solución max (hrs)]]&lt;&gt;"",IF(Tabla1[[#This Row],[Tiempo solución max (hrs)]]&gt;=Tabla1[[#This Row],[Tiempo
(Hrs 00/100)]],"cumple","no cumple"),"")</f>
        <v>cumple</v>
      </c>
      <c r="W2475" s="376" t="s">
        <v>4210</v>
      </c>
      <c r="X2475" s="377" t="str">
        <f t="shared" si="205"/>
        <v>DS</v>
      </c>
      <c r="Y2475" t="str">
        <f>SUBSTITUTE(Tabla1[[#This Row],[Descripción]],CHAR(10),"    I    ")</f>
        <v>Implementar adecuaciones al código fuente para atender hallazgos del módulo - Commons</v>
      </c>
      <c r="Z2475" s="142">
        <f>VLOOKUP(Tabla1[[#This Row],[Perfil]],Catalogos!$B$75:$D$100,3,FALSE)*Tabla1[[#This Row],[Tiempo
(Hrs 00/100)]]*1.16</f>
        <v>4872</v>
      </c>
    </row>
    <row r="2476" spans="1:26" ht="15" customHeight="1" x14ac:dyDescent="0.3">
      <c r="A2476" s="625" t="s">
        <v>22</v>
      </c>
      <c r="B2476" s="625" t="s">
        <v>23</v>
      </c>
      <c r="C2476" s="205" t="s">
        <v>155</v>
      </c>
      <c r="D2476" s="373"/>
      <c r="E2476" s="373" t="s">
        <v>375</v>
      </c>
      <c r="F2476" s="370" t="s">
        <v>23</v>
      </c>
      <c r="G2476" s="370" t="s">
        <v>4318</v>
      </c>
      <c r="H2476" s="461" t="s">
        <v>405</v>
      </c>
      <c r="I2476" s="665" t="s">
        <v>4252</v>
      </c>
      <c r="J2476" s="369">
        <v>45243</v>
      </c>
      <c r="K2476" s="747">
        <v>0.375</v>
      </c>
      <c r="L2476" s="369">
        <v>45243</v>
      </c>
      <c r="M2476" s="753">
        <v>0.79166666666666663</v>
      </c>
      <c r="N2476" s="210">
        <v>8.5</v>
      </c>
      <c r="O2476" s="184" t="s">
        <v>17</v>
      </c>
      <c r="P2476" s="375" t="s">
        <v>412</v>
      </c>
      <c r="Q2476" s="179" t="s">
        <v>4258</v>
      </c>
      <c r="R2476" s="628" t="s">
        <v>40</v>
      </c>
      <c r="S2476" s="31" t="s">
        <v>273</v>
      </c>
      <c r="T2476" s="31" t="s">
        <v>273</v>
      </c>
      <c r="U2476" s="31">
        <f>IFERROR(VLOOKUP(CONCATENATE(Tabla1[[#This Row],[Severidad]]," ",Tabla1[[#This Row],[Complejidad]]),Catalogos!E$120:G$128,3,FALSE),"")</f>
        <v>64</v>
      </c>
      <c r="V2476" s="31" t="str">
        <f>IF(Tabla1[[#This Row],[Tiempo solución max (hrs)]]&lt;&gt;"",IF(Tabla1[[#This Row],[Tiempo solución max (hrs)]]&gt;=Tabla1[[#This Row],[Tiempo
(Hrs 00/100)]],"cumple","no cumple"),"")</f>
        <v>cumple</v>
      </c>
      <c r="W2476" s="376" t="s">
        <v>4210</v>
      </c>
      <c r="X2476" s="377" t="str">
        <f t="shared" si="205"/>
        <v>DS</v>
      </c>
      <c r="Y2476" t="str">
        <f>SUBSTITUTE(Tabla1[[#This Row],[Descripción]],CHAR(10),"    I    ")</f>
        <v>Implementar adecuaciones al código fuente para atender hallazgos del módulo - Commons</v>
      </c>
      <c r="Z2476" s="142">
        <f>VLOOKUP(Tabla1[[#This Row],[Perfil]],Catalogos!$B$75:$D$100,3,FALSE)*Tabla1[[#This Row],[Tiempo
(Hrs 00/100)]]*1.16</f>
        <v>6901.9999999999991</v>
      </c>
    </row>
    <row r="2477" spans="1:26" ht="15" customHeight="1" x14ac:dyDescent="0.3">
      <c r="A2477" s="625" t="s">
        <v>22</v>
      </c>
      <c r="B2477" s="625" t="s">
        <v>23</v>
      </c>
      <c r="C2477" s="205" t="s">
        <v>155</v>
      </c>
      <c r="D2477" s="373"/>
      <c r="E2477" s="373" t="s">
        <v>375</v>
      </c>
      <c r="F2477" s="370" t="s">
        <v>23</v>
      </c>
      <c r="G2477" s="370" t="s">
        <v>4319</v>
      </c>
      <c r="H2477" s="461" t="s">
        <v>405</v>
      </c>
      <c r="I2477" s="665" t="s">
        <v>4253</v>
      </c>
      <c r="J2477" s="369">
        <v>45244</v>
      </c>
      <c r="K2477" s="747">
        <v>0.375</v>
      </c>
      <c r="L2477" s="369">
        <v>45244</v>
      </c>
      <c r="M2477" s="753">
        <v>0.79166666666666663</v>
      </c>
      <c r="N2477" s="210">
        <v>8.5</v>
      </c>
      <c r="O2477" s="184" t="s">
        <v>411</v>
      </c>
      <c r="P2477" s="401" t="s">
        <v>923</v>
      </c>
      <c r="Q2477" s="179" t="s">
        <v>4258</v>
      </c>
      <c r="R2477" s="628" t="s">
        <v>40</v>
      </c>
      <c r="S2477" s="31" t="s">
        <v>273</v>
      </c>
      <c r="T2477" s="31" t="s">
        <v>273</v>
      </c>
      <c r="U2477" s="31">
        <f>IFERROR(VLOOKUP(CONCATENATE(Tabla1[[#This Row],[Severidad]]," ",Tabla1[[#This Row],[Complejidad]]),Catalogos!E$120:G$128,3,FALSE),"")</f>
        <v>64</v>
      </c>
      <c r="V2477" s="31" t="str">
        <f>IF(Tabla1[[#This Row],[Tiempo solución max (hrs)]]&lt;&gt;"",IF(Tabla1[[#This Row],[Tiempo solución max (hrs)]]&gt;=Tabla1[[#This Row],[Tiempo
(Hrs 00/100)]],"cumple","no cumple"),"")</f>
        <v>cumple</v>
      </c>
      <c r="W2477" s="376" t="s">
        <v>4210</v>
      </c>
      <c r="X2477" s="377" t="str">
        <f t="shared" si="205"/>
        <v>DS</v>
      </c>
      <c r="Y2477" t="str">
        <f>SUBSTITUTE(Tabla1[[#This Row],[Descripción]],CHAR(10),"    I    ")</f>
        <v>Implementar adecuaciones al código fuente para atender hallazgos del módulo - Buscador inteligente</v>
      </c>
      <c r="Z2477" s="142">
        <f>VLOOKUP(Tabla1[[#This Row],[Perfil]],Catalogos!$B$75:$D$100,3,FALSE)*Tabla1[[#This Row],[Tiempo
(Hrs 00/100)]]*1.16</f>
        <v>6901.9999999999991</v>
      </c>
    </row>
    <row r="2478" spans="1:26" ht="15" customHeight="1" x14ac:dyDescent="0.3">
      <c r="A2478" s="625" t="s">
        <v>22</v>
      </c>
      <c r="B2478" s="625" t="s">
        <v>23</v>
      </c>
      <c r="C2478" s="205" t="s">
        <v>155</v>
      </c>
      <c r="D2478" s="373"/>
      <c r="E2478" s="373" t="s">
        <v>375</v>
      </c>
      <c r="F2478" s="370" t="s">
        <v>23</v>
      </c>
      <c r="G2478" s="370" t="s">
        <v>4319</v>
      </c>
      <c r="H2478" s="461" t="s">
        <v>405</v>
      </c>
      <c r="I2478" s="665" t="s">
        <v>4253</v>
      </c>
      <c r="J2478" s="369">
        <v>45245</v>
      </c>
      <c r="K2478" s="747">
        <v>0.375</v>
      </c>
      <c r="L2478" s="369">
        <v>45245</v>
      </c>
      <c r="M2478" s="753">
        <v>0.79166666666666663</v>
      </c>
      <c r="N2478" s="210">
        <v>8.5</v>
      </c>
      <c r="O2478" s="184" t="s">
        <v>411</v>
      </c>
      <c r="P2478" s="401" t="s">
        <v>923</v>
      </c>
      <c r="Q2478" s="179" t="s">
        <v>4258</v>
      </c>
      <c r="R2478" s="628" t="s">
        <v>40</v>
      </c>
      <c r="S2478" s="31" t="s">
        <v>273</v>
      </c>
      <c r="T2478" s="31" t="s">
        <v>273</v>
      </c>
      <c r="U2478" s="31">
        <f>IFERROR(VLOOKUP(CONCATENATE(Tabla1[[#This Row],[Severidad]]," ",Tabla1[[#This Row],[Complejidad]]),Catalogos!E$120:G$128,3,FALSE),"")</f>
        <v>64</v>
      </c>
      <c r="V2478" s="31" t="str">
        <f>IF(Tabla1[[#This Row],[Tiempo solución max (hrs)]]&lt;&gt;"",IF(Tabla1[[#This Row],[Tiempo solución max (hrs)]]&gt;=Tabla1[[#This Row],[Tiempo
(Hrs 00/100)]],"cumple","no cumple"),"")</f>
        <v>cumple</v>
      </c>
      <c r="W2478" s="376" t="s">
        <v>4210</v>
      </c>
      <c r="X2478" s="377" t="str">
        <f t="shared" si="205"/>
        <v>DS</v>
      </c>
      <c r="Y2478" t="str">
        <f>SUBSTITUTE(Tabla1[[#This Row],[Descripción]],CHAR(10),"    I    ")</f>
        <v>Implementar adecuaciones al código fuente para atender hallazgos del módulo - Buscador inteligente</v>
      </c>
      <c r="Z2478" s="142">
        <f>VLOOKUP(Tabla1[[#This Row],[Perfil]],Catalogos!$B$75:$D$100,3,FALSE)*Tabla1[[#This Row],[Tiempo
(Hrs 00/100)]]*1.16</f>
        <v>6901.9999999999991</v>
      </c>
    </row>
    <row r="2479" spans="1:26" ht="15" customHeight="1" x14ac:dyDescent="0.3">
      <c r="A2479" s="625" t="s">
        <v>22</v>
      </c>
      <c r="B2479" s="625" t="s">
        <v>23</v>
      </c>
      <c r="C2479" s="205" t="s">
        <v>155</v>
      </c>
      <c r="D2479" s="373"/>
      <c r="E2479" s="373" t="s">
        <v>375</v>
      </c>
      <c r="F2479" s="370" t="s">
        <v>23</v>
      </c>
      <c r="G2479" s="370" t="s">
        <v>4319</v>
      </c>
      <c r="H2479" s="461" t="s">
        <v>405</v>
      </c>
      <c r="I2479" s="665" t="s">
        <v>4253</v>
      </c>
      <c r="J2479" s="369">
        <v>45246</v>
      </c>
      <c r="K2479" s="747">
        <v>0.375</v>
      </c>
      <c r="L2479" s="369">
        <v>45246</v>
      </c>
      <c r="M2479" s="753">
        <v>0.79166666666666663</v>
      </c>
      <c r="N2479" s="210">
        <v>8.5</v>
      </c>
      <c r="O2479" s="184" t="s">
        <v>411</v>
      </c>
      <c r="P2479" s="401" t="s">
        <v>923</v>
      </c>
      <c r="Q2479" s="179" t="s">
        <v>4258</v>
      </c>
      <c r="R2479" s="628" t="s">
        <v>40</v>
      </c>
      <c r="S2479" s="31" t="s">
        <v>273</v>
      </c>
      <c r="T2479" s="31" t="s">
        <v>273</v>
      </c>
      <c r="U2479" s="31">
        <f>IFERROR(VLOOKUP(CONCATENATE(Tabla1[[#This Row],[Severidad]]," ",Tabla1[[#This Row],[Complejidad]]),Catalogos!E$120:G$128,3,FALSE),"")</f>
        <v>64</v>
      </c>
      <c r="V2479" s="31" t="str">
        <f>IF(Tabla1[[#This Row],[Tiempo solución max (hrs)]]&lt;&gt;"",IF(Tabla1[[#This Row],[Tiempo solución max (hrs)]]&gt;=Tabla1[[#This Row],[Tiempo
(Hrs 00/100)]],"cumple","no cumple"),"")</f>
        <v>cumple</v>
      </c>
      <c r="W2479" s="376" t="s">
        <v>4210</v>
      </c>
      <c r="X2479" s="377" t="str">
        <f t="shared" si="205"/>
        <v>DS</v>
      </c>
      <c r="Y2479" t="str">
        <f>SUBSTITUTE(Tabla1[[#This Row],[Descripción]],CHAR(10),"    I    ")</f>
        <v>Implementar adecuaciones al código fuente para atender hallazgos del módulo - Buscador inteligente</v>
      </c>
      <c r="Z2479" s="142">
        <f>VLOOKUP(Tabla1[[#This Row],[Perfil]],Catalogos!$B$75:$D$100,3,FALSE)*Tabla1[[#This Row],[Tiempo
(Hrs 00/100)]]*1.16</f>
        <v>6901.9999999999991</v>
      </c>
    </row>
    <row r="2480" spans="1:26" ht="15" customHeight="1" x14ac:dyDescent="0.3">
      <c r="A2480" s="625" t="s">
        <v>22</v>
      </c>
      <c r="B2480" s="625" t="s">
        <v>23</v>
      </c>
      <c r="C2480" s="205" t="s">
        <v>155</v>
      </c>
      <c r="D2480" s="373"/>
      <c r="E2480" s="373" t="s">
        <v>375</v>
      </c>
      <c r="F2480" s="370" t="s">
        <v>23</v>
      </c>
      <c r="G2480" s="370" t="s">
        <v>4319</v>
      </c>
      <c r="H2480" s="461" t="s">
        <v>405</v>
      </c>
      <c r="I2480" s="665" t="s">
        <v>4253</v>
      </c>
      <c r="J2480" s="369">
        <v>45247</v>
      </c>
      <c r="K2480" s="747">
        <v>0.375</v>
      </c>
      <c r="L2480" s="369">
        <v>45247</v>
      </c>
      <c r="M2480" s="753">
        <v>0.79166666666666663</v>
      </c>
      <c r="N2480" s="210">
        <v>8.5</v>
      </c>
      <c r="O2480" s="184" t="s">
        <v>17</v>
      </c>
      <c r="P2480" s="401" t="s">
        <v>923</v>
      </c>
      <c r="Q2480" s="179" t="s">
        <v>4258</v>
      </c>
      <c r="R2480" s="628" t="s">
        <v>40</v>
      </c>
      <c r="S2480" s="31" t="s">
        <v>273</v>
      </c>
      <c r="T2480" s="31" t="s">
        <v>273</v>
      </c>
      <c r="U2480" s="31">
        <f>IFERROR(VLOOKUP(CONCATENATE(Tabla1[[#This Row],[Severidad]]," ",Tabla1[[#This Row],[Complejidad]]),Catalogos!E$120:G$128,3,FALSE),"")</f>
        <v>64</v>
      </c>
      <c r="V2480" s="31" t="str">
        <f>IF(Tabla1[[#This Row],[Tiempo solución max (hrs)]]&lt;&gt;"",IF(Tabla1[[#This Row],[Tiempo solución max (hrs)]]&gt;=Tabla1[[#This Row],[Tiempo
(Hrs 00/100)]],"cumple","no cumple"),"")</f>
        <v>cumple</v>
      </c>
      <c r="W2480" s="376" t="s">
        <v>4210</v>
      </c>
      <c r="X2480" s="377" t="str">
        <f t="shared" si="205"/>
        <v>DS</v>
      </c>
      <c r="Y2480" t="str">
        <f>SUBSTITUTE(Tabla1[[#This Row],[Descripción]],CHAR(10),"    I    ")</f>
        <v>Implementar adecuaciones al código fuente para atender hallazgos del módulo - Buscador inteligente</v>
      </c>
      <c r="Z2480" s="142">
        <f>VLOOKUP(Tabla1[[#This Row],[Perfil]],Catalogos!$B$75:$D$100,3,FALSE)*Tabla1[[#This Row],[Tiempo
(Hrs 00/100)]]*1.16</f>
        <v>6901.9999999999991</v>
      </c>
    </row>
    <row r="2481" spans="1:27" ht="15" customHeight="1" x14ac:dyDescent="0.3">
      <c r="A2481" s="625" t="s">
        <v>22</v>
      </c>
      <c r="B2481" s="625" t="s">
        <v>23</v>
      </c>
      <c r="C2481" s="205" t="s">
        <v>155</v>
      </c>
      <c r="D2481" s="373"/>
      <c r="E2481" s="373" t="s">
        <v>375</v>
      </c>
      <c r="F2481" s="370" t="s">
        <v>23</v>
      </c>
      <c r="G2481" s="370" t="s">
        <v>4320</v>
      </c>
      <c r="H2481" s="461" t="s">
        <v>405</v>
      </c>
      <c r="I2481" s="665" t="s">
        <v>4254</v>
      </c>
      <c r="J2481" s="369">
        <v>45251</v>
      </c>
      <c r="K2481" s="747">
        <v>0.375</v>
      </c>
      <c r="L2481" s="369">
        <v>45251</v>
      </c>
      <c r="M2481" s="753">
        <v>0.79166666666666663</v>
      </c>
      <c r="N2481" s="210">
        <v>8.5</v>
      </c>
      <c r="O2481" s="184" t="s">
        <v>411</v>
      </c>
      <c r="P2481" s="375" t="s">
        <v>412</v>
      </c>
      <c r="Q2481" s="179" t="s">
        <v>4258</v>
      </c>
      <c r="R2481" s="628" t="s">
        <v>40</v>
      </c>
      <c r="S2481" s="31" t="s">
        <v>273</v>
      </c>
      <c r="T2481" s="31" t="s">
        <v>273</v>
      </c>
      <c r="U2481" s="31">
        <f>IFERROR(VLOOKUP(CONCATENATE(Tabla1[[#This Row],[Severidad]]," ",Tabla1[[#This Row],[Complejidad]]),Catalogos!E$120:G$128,3,FALSE),"")</f>
        <v>64</v>
      </c>
      <c r="V2481" s="31" t="str">
        <f>IF(Tabla1[[#This Row],[Tiempo solución max (hrs)]]&lt;&gt;"",IF(Tabla1[[#This Row],[Tiempo solución max (hrs)]]&gt;=Tabla1[[#This Row],[Tiempo
(Hrs 00/100)]],"cumple","no cumple"),"")</f>
        <v>cumple</v>
      </c>
      <c r="W2481" s="376" t="s">
        <v>4210</v>
      </c>
      <c r="X2481" s="377" t="str">
        <f t="shared" si="205"/>
        <v>DS</v>
      </c>
      <c r="Y2481" t="str">
        <f>SUBSTITUTE(Tabla1[[#This Row],[Descripción]],CHAR(10),"    I    ")</f>
        <v>Implementar adecuaciones al código fuente para atender hallazgos del módulo - Datos Abiertos</v>
      </c>
      <c r="Z2481" s="142">
        <f>VLOOKUP(Tabla1[[#This Row],[Perfil]],Catalogos!$B$75:$D$100,3,FALSE)*Tabla1[[#This Row],[Tiempo
(Hrs 00/100)]]*1.16</f>
        <v>6901.9999999999991</v>
      </c>
    </row>
    <row r="2482" spans="1:27" ht="15" customHeight="1" x14ac:dyDescent="0.3">
      <c r="A2482" s="625" t="s">
        <v>22</v>
      </c>
      <c r="B2482" s="625" t="s">
        <v>23</v>
      </c>
      <c r="C2482" s="205" t="s">
        <v>155</v>
      </c>
      <c r="D2482" s="373"/>
      <c r="E2482" s="373" t="s">
        <v>375</v>
      </c>
      <c r="F2482" s="370" t="s">
        <v>23</v>
      </c>
      <c r="G2482" s="370" t="s">
        <v>4320</v>
      </c>
      <c r="H2482" s="461" t="s">
        <v>405</v>
      </c>
      <c r="I2482" s="665" t="s">
        <v>4254</v>
      </c>
      <c r="J2482" s="369">
        <v>45252</v>
      </c>
      <c r="K2482" s="747">
        <v>0.375</v>
      </c>
      <c r="L2482" s="369">
        <v>45252</v>
      </c>
      <c r="M2482" s="753">
        <v>0.79166666666666663</v>
      </c>
      <c r="N2482" s="210">
        <v>8.5</v>
      </c>
      <c r="O2482" s="184" t="s">
        <v>411</v>
      </c>
      <c r="P2482" s="375" t="s">
        <v>412</v>
      </c>
      <c r="Q2482" s="179" t="s">
        <v>4258</v>
      </c>
      <c r="R2482" s="628" t="s">
        <v>40</v>
      </c>
      <c r="S2482" s="31" t="s">
        <v>273</v>
      </c>
      <c r="T2482" s="31" t="s">
        <v>273</v>
      </c>
      <c r="U2482" s="31">
        <f>IFERROR(VLOOKUP(CONCATENATE(Tabla1[[#This Row],[Severidad]]," ",Tabla1[[#This Row],[Complejidad]]),Catalogos!E$120:G$128,3,FALSE),"")</f>
        <v>64</v>
      </c>
      <c r="V2482" s="31" t="str">
        <f>IF(Tabla1[[#This Row],[Tiempo solución max (hrs)]]&lt;&gt;"",IF(Tabla1[[#This Row],[Tiempo solución max (hrs)]]&gt;=Tabla1[[#This Row],[Tiempo
(Hrs 00/100)]],"cumple","no cumple"),"")</f>
        <v>cumple</v>
      </c>
      <c r="W2482" s="376" t="s">
        <v>4210</v>
      </c>
      <c r="X2482" s="377" t="str">
        <f t="shared" si="205"/>
        <v>DS</v>
      </c>
      <c r="Y2482" t="str">
        <f>SUBSTITUTE(Tabla1[[#This Row],[Descripción]],CHAR(10),"    I    ")</f>
        <v>Implementar adecuaciones al código fuente para atender hallazgos del módulo - Datos Abiertos</v>
      </c>
      <c r="Z2482" s="142">
        <f>VLOOKUP(Tabla1[[#This Row],[Perfil]],Catalogos!$B$75:$D$100,3,FALSE)*Tabla1[[#This Row],[Tiempo
(Hrs 00/100)]]*1.16</f>
        <v>6901.9999999999991</v>
      </c>
    </row>
    <row r="2483" spans="1:27" ht="15" customHeight="1" x14ac:dyDescent="0.3">
      <c r="A2483" s="625" t="s">
        <v>22</v>
      </c>
      <c r="B2483" s="625" t="s">
        <v>23</v>
      </c>
      <c r="C2483" s="205" t="s">
        <v>155</v>
      </c>
      <c r="D2483" s="373"/>
      <c r="E2483" s="373" t="s">
        <v>375</v>
      </c>
      <c r="F2483" s="370" t="s">
        <v>23</v>
      </c>
      <c r="G2483" s="370" t="s">
        <v>4320</v>
      </c>
      <c r="H2483" s="461" t="s">
        <v>405</v>
      </c>
      <c r="I2483" s="665" t="s">
        <v>4254</v>
      </c>
      <c r="J2483" s="369">
        <v>45253</v>
      </c>
      <c r="K2483" s="747">
        <v>0.375</v>
      </c>
      <c r="L2483" s="369">
        <v>45253</v>
      </c>
      <c r="M2483" s="753">
        <v>0.79166666666666663</v>
      </c>
      <c r="N2483" s="210">
        <v>8.5</v>
      </c>
      <c r="O2483" s="184" t="s">
        <v>411</v>
      </c>
      <c r="P2483" s="375" t="s">
        <v>412</v>
      </c>
      <c r="Q2483" s="179" t="s">
        <v>4258</v>
      </c>
      <c r="R2483" s="628" t="s">
        <v>40</v>
      </c>
      <c r="S2483" s="31" t="s">
        <v>273</v>
      </c>
      <c r="T2483" s="31" t="s">
        <v>273</v>
      </c>
      <c r="U2483" s="31">
        <f>IFERROR(VLOOKUP(CONCATENATE(Tabla1[[#This Row],[Severidad]]," ",Tabla1[[#This Row],[Complejidad]]),Catalogos!E$120:G$128,3,FALSE),"")</f>
        <v>64</v>
      </c>
      <c r="V2483" s="31" t="str">
        <f>IF(Tabla1[[#This Row],[Tiempo solución max (hrs)]]&lt;&gt;"",IF(Tabla1[[#This Row],[Tiempo solución max (hrs)]]&gt;=Tabla1[[#This Row],[Tiempo
(Hrs 00/100)]],"cumple","no cumple"),"")</f>
        <v>cumple</v>
      </c>
      <c r="W2483" s="376" t="s">
        <v>4210</v>
      </c>
      <c r="X2483" s="377" t="str">
        <f t="shared" si="205"/>
        <v>DS</v>
      </c>
      <c r="Y2483" t="str">
        <f>SUBSTITUTE(Tabla1[[#This Row],[Descripción]],CHAR(10),"    I    ")</f>
        <v>Implementar adecuaciones al código fuente para atender hallazgos del módulo - Datos Abiertos</v>
      </c>
      <c r="Z2483" s="142">
        <f>VLOOKUP(Tabla1[[#This Row],[Perfil]],Catalogos!$B$75:$D$100,3,FALSE)*Tabla1[[#This Row],[Tiempo
(Hrs 00/100)]]*1.16</f>
        <v>6901.9999999999991</v>
      </c>
    </row>
    <row r="2484" spans="1:27" ht="15" customHeight="1" x14ac:dyDescent="0.3">
      <c r="A2484" s="625" t="s">
        <v>22</v>
      </c>
      <c r="B2484" s="625" t="s">
        <v>23</v>
      </c>
      <c r="C2484" s="205" t="s">
        <v>155</v>
      </c>
      <c r="D2484" s="373"/>
      <c r="E2484" s="373" t="s">
        <v>375</v>
      </c>
      <c r="F2484" s="370" t="s">
        <v>23</v>
      </c>
      <c r="G2484" s="370" t="s">
        <v>4320</v>
      </c>
      <c r="H2484" s="461" t="s">
        <v>405</v>
      </c>
      <c r="I2484" s="665" t="s">
        <v>4254</v>
      </c>
      <c r="J2484" s="369">
        <v>45254</v>
      </c>
      <c r="K2484" s="747">
        <v>0.375</v>
      </c>
      <c r="L2484" s="369">
        <v>45254</v>
      </c>
      <c r="M2484" s="753">
        <v>0.64583333333333337</v>
      </c>
      <c r="N2484" s="210">
        <v>6.5</v>
      </c>
      <c r="O2484" s="184" t="s">
        <v>17</v>
      </c>
      <c r="P2484" s="375" t="s">
        <v>412</v>
      </c>
      <c r="Q2484" s="179" t="s">
        <v>4258</v>
      </c>
      <c r="R2484" s="628" t="s">
        <v>40</v>
      </c>
      <c r="S2484" s="31" t="s">
        <v>273</v>
      </c>
      <c r="T2484" s="31" t="s">
        <v>273</v>
      </c>
      <c r="U2484" s="31">
        <f>IFERROR(VLOOKUP(CONCATENATE(Tabla1[[#This Row],[Severidad]]," ",Tabla1[[#This Row],[Complejidad]]),Catalogos!E$120:G$128,3,FALSE),"")</f>
        <v>64</v>
      </c>
      <c r="V2484" s="31" t="str">
        <f>IF(Tabla1[[#This Row],[Tiempo solución max (hrs)]]&lt;&gt;"",IF(Tabla1[[#This Row],[Tiempo solución max (hrs)]]&gt;=Tabla1[[#This Row],[Tiempo
(Hrs 00/100)]],"cumple","no cumple"),"")</f>
        <v>cumple</v>
      </c>
      <c r="W2484" s="376" t="s">
        <v>4210</v>
      </c>
      <c r="X2484" s="377" t="str">
        <f t="shared" si="205"/>
        <v>DS</v>
      </c>
      <c r="Y2484" t="str">
        <f>SUBSTITUTE(Tabla1[[#This Row],[Descripción]],CHAR(10),"    I    ")</f>
        <v>Implementar adecuaciones al código fuente para atender hallazgos del módulo - Datos Abiertos</v>
      </c>
      <c r="Z2484" s="142">
        <f>VLOOKUP(Tabla1[[#This Row],[Perfil]],Catalogos!$B$75:$D$100,3,FALSE)*Tabla1[[#This Row],[Tiempo
(Hrs 00/100)]]*1.16</f>
        <v>5278</v>
      </c>
    </row>
    <row r="2485" spans="1:27" ht="15" customHeight="1" x14ac:dyDescent="0.3">
      <c r="A2485" s="625" t="s">
        <v>22</v>
      </c>
      <c r="B2485" s="625" t="s">
        <v>23</v>
      </c>
      <c r="C2485" s="205" t="s">
        <v>155</v>
      </c>
      <c r="D2485" s="373"/>
      <c r="E2485" s="373" t="s">
        <v>375</v>
      </c>
      <c r="F2485" s="370" t="s">
        <v>23</v>
      </c>
      <c r="G2485" s="370" t="s">
        <v>4321</v>
      </c>
      <c r="H2485" s="461" t="s">
        <v>405</v>
      </c>
      <c r="I2485" s="665" t="s">
        <v>4255</v>
      </c>
      <c r="J2485" s="369">
        <v>45257</v>
      </c>
      <c r="K2485" s="747">
        <v>0.375</v>
      </c>
      <c r="L2485" s="369">
        <v>45257</v>
      </c>
      <c r="M2485" s="753">
        <v>0.79166666666666663</v>
      </c>
      <c r="N2485" s="210">
        <v>8.5</v>
      </c>
      <c r="O2485" s="184" t="s">
        <v>411</v>
      </c>
      <c r="P2485" s="375" t="s">
        <v>412</v>
      </c>
      <c r="Q2485" s="179" t="s">
        <v>4258</v>
      </c>
      <c r="R2485" s="628" t="s">
        <v>40</v>
      </c>
      <c r="S2485" s="31" t="s">
        <v>273</v>
      </c>
      <c r="T2485" s="31" t="s">
        <v>273</v>
      </c>
      <c r="U2485" s="31">
        <f>IFERROR(VLOOKUP(CONCATENATE(Tabla1[[#This Row],[Severidad]]," ",Tabla1[[#This Row],[Complejidad]]),Catalogos!E$120:G$128,3,FALSE),"")</f>
        <v>64</v>
      </c>
      <c r="V2485" s="31" t="str">
        <f>IF(Tabla1[[#This Row],[Tiempo solución max (hrs)]]&lt;&gt;"",IF(Tabla1[[#This Row],[Tiempo solución max (hrs)]]&gt;=Tabla1[[#This Row],[Tiempo
(Hrs 00/100)]],"cumple","no cumple"),"")</f>
        <v>cumple</v>
      </c>
      <c r="W2485" s="376" t="s">
        <v>4210</v>
      </c>
      <c r="X2485" s="377" t="str">
        <f t="shared" si="205"/>
        <v>DS</v>
      </c>
      <c r="Y2485" t="str">
        <f>SUBSTITUTE(Tabla1[[#This Row],[Descripción]],CHAR(10),"    I    ")</f>
        <v>Implementar adecuaciones al código fuente para atender hallazgos del módulo - Federado</v>
      </c>
      <c r="Z2485" s="142">
        <f>VLOOKUP(Tabla1[[#This Row],[Perfil]],Catalogos!$B$75:$D$100,3,FALSE)*Tabla1[[#This Row],[Tiempo
(Hrs 00/100)]]*1.16</f>
        <v>6901.9999999999991</v>
      </c>
    </row>
    <row r="2486" spans="1:27" ht="15" customHeight="1" x14ac:dyDescent="0.3">
      <c r="A2486" s="625" t="s">
        <v>22</v>
      </c>
      <c r="B2486" s="625" t="s">
        <v>23</v>
      </c>
      <c r="C2486" s="205" t="s">
        <v>155</v>
      </c>
      <c r="D2486" s="373"/>
      <c r="E2486" s="373" t="s">
        <v>375</v>
      </c>
      <c r="F2486" s="370" t="s">
        <v>23</v>
      </c>
      <c r="G2486" s="370" t="s">
        <v>4321</v>
      </c>
      <c r="H2486" s="461" t="s">
        <v>405</v>
      </c>
      <c r="I2486" s="665" t="s">
        <v>4255</v>
      </c>
      <c r="J2486" s="369">
        <v>45258</v>
      </c>
      <c r="K2486" s="747">
        <v>0.375</v>
      </c>
      <c r="L2486" s="369">
        <v>45258</v>
      </c>
      <c r="M2486" s="753">
        <v>0.79166666666666663</v>
      </c>
      <c r="N2486" s="210">
        <v>8.5</v>
      </c>
      <c r="O2486" s="184" t="s">
        <v>411</v>
      </c>
      <c r="P2486" s="375" t="s">
        <v>412</v>
      </c>
      <c r="Q2486" s="179" t="s">
        <v>4258</v>
      </c>
      <c r="R2486" s="628" t="s">
        <v>40</v>
      </c>
      <c r="S2486" s="31" t="s">
        <v>273</v>
      </c>
      <c r="T2486" s="31" t="s">
        <v>273</v>
      </c>
      <c r="U2486" s="31">
        <f>IFERROR(VLOOKUP(CONCATENATE(Tabla1[[#This Row],[Severidad]]," ",Tabla1[[#This Row],[Complejidad]]),Catalogos!E$120:G$128,3,FALSE),"")</f>
        <v>64</v>
      </c>
      <c r="V2486" s="31" t="str">
        <f>IF(Tabla1[[#This Row],[Tiempo solución max (hrs)]]&lt;&gt;"",IF(Tabla1[[#This Row],[Tiempo solución max (hrs)]]&gt;=Tabla1[[#This Row],[Tiempo
(Hrs 00/100)]],"cumple","no cumple"),"")</f>
        <v>cumple</v>
      </c>
      <c r="W2486" s="376" t="s">
        <v>4210</v>
      </c>
      <c r="X2486" s="377" t="str">
        <f t="shared" si="205"/>
        <v>DS</v>
      </c>
      <c r="Y2486" t="str">
        <f>SUBSTITUTE(Tabla1[[#This Row],[Descripción]],CHAR(10),"    I    ")</f>
        <v>Implementar adecuaciones al código fuente para atender hallazgos del módulo - Federado</v>
      </c>
      <c r="Z2486" s="142">
        <f>VLOOKUP(Tabla1[[#This Row],[Perfil]],Catalogos!$B$75:$D$100,3,FALSE)*Tabla1[[#This Row],[Tiempo
(Hrs 00/100)]]*1.16</f>
        <v>6901.9999999999991</v>
      </c>
    </row>
    <row r="2487" spans="1:27" ht="15" customHeight="1" x14ac:dyDescent="0.3">
      <c r="A2487" s="625" t="s">
        <v>22</v>
      </c>
      <c r="B2487" s="625" t="s">
        <v>23</v>
      </c>
      <c r="C2487" s="205" t="s">
        <v>155</v>
      </c>
      <c r="D2487" s="373"/>
      <c r="E2487" s="373" t="s">
        <v>375</v>
      </c>
      <c r="F2487" s="370" t="s">
        <v>23</v>
      </c>
      <c r="G2487" s="370" t="s">
        <v>4321</v>
      </c>
      <c r="H2487" s="461" t="s">
        <v>405</v>
      </c>
      <c r="I2487" s="665" t="s">
        <v>4255</v>
      </c>
      <c r="J2487" s="369">
        <v>45259</v>
      </c>
      <c r="K2487" s="747">
        <v>0.375</v>
      </c>
      <c r="L2487" s="369">
        <v>45259</v>
      </c>
      <c r="M2487" s="753">
        <v>0.79166666666666663</v>
      </c>
      <c r="N2487" s="210">
        <v>8.5</v>
      </c>
      <c r="O2487" s="184" t="s">
        <v>411</v>
      </c>
      <c r="P2487" s="375" t="s">
        <v>412</v>
      </c>
      <c r="Q2487" s="179" t="s">
        <v>4258</v>
      </c>
      <c r="R2487" s="628" t="s">
        <v>40</v>
      </c>
      <c r="S2487" s="31" t="s">
        <v>273</v>
      </c>
      <c r="T2487" s="31" t="s">
        <v>273</v>
      </c>
      <c r="U2487" s="31">
        <f>IFERROR(VLOOKUP(CONCATENATE(Tabla1[[#This Row],[Severidad]]," ",Tabla1[[#This Row],[Complejidad]]),Catalogos!E$120:G$128,3,FALSE),"")</f>
        <v>64</v>
      </c>
      <c r="V2487" s="31" t="str">
        <f>IF(Tabla1[[#This Row],[Tiempo solución max (hrs)]]&lt;&gt;"",IF(Tabla1[[#This Row],[Tiempo solución max (hrs)]]&gt;=Tabla1[[#This Row],[Tiempo
(Hrs 00/100)]],"cumple","no cumple"),"")</f>
        <v>cumple</v>
      </c>
      <c r="W2487" s="376" t="s">
        <v>4210</v>
      </c>
      <c r="X2487" s="377" t="str">
        <f t="shared" ref="X2487:X2550" si="206">IF(C2487&lt;&gt;"",C2487,D2487)</f>
        <v>DS</v>
      </c>
      <c r="Y2487" t="str">
        <f>SUBSTITUTE(Tabla1[[#This Row],[Descripción]],CHAR(10),"    I    ")</f>
        <v>Implementar adecuaciones al código fuente para atender hallazgos del módulo - Federado</v>
      </c>
      <c r="Z2487" s="142">
        <f>VLOOKUP(Tabla1[[#This Row],[Perfil]],Catalogos!$B$75:$D$100,3,FALSE)*Tabla1[[#This Row],[Tiempo
(Hrs 00/100)]]*1.16</f>
        <v>6901.9999999999991</v>
      </c>
    </row>
    <row r="2488" spans="1:27" ht="15" customHeight="1" x14ac:dyDescent="0.3">
      <c r="A2488" s="625" t="s">
        <v>22</v>
      </c>
      <c r="B2488" s="625" t="s">
        <v>23</v>
      </c>
      <c r="C2488" s="205" t="s">
        <v>155</v>
      </c>
      <c r="D2488" s="373"/>
      <c r="E2488" s="373" t="s">
        <v>375</v>
      </c>
      <c r="F2488" s="370" t="s">
        <v>23</v>
      </c>
      <c r="G2488" s="370" t="s">
        <v>4321</v>
      </c>
      <c r="H2488" s="461" t="s">
        <v>405</v>
      </c>
      <c r="I2488" s="665" t="s">
        <v>4255</v>
      </c>
      <c r="J2488" s="369">
        <v>45260</v>
      </c>
      <c r="K2488" s="747">
        <v>0.375</v>
      </c>
      <c r="L2488" s="369">
        <v>45260</v>
      </c>
      <c r="M2488" s="753">
        <v>0.79166666666666663</v>
      </c>
      <c r="N2488" s="210">
        <v>8.5</v>
      </c>
      <c r="O2488" s="184" t="s">
        <v>17</v>
      </c>
      <c r="P2488" s="375" t="s">
        <v>412</v>
      </c>
      <c r="Q2488" s="179" t="s">
        <v>4258</v>
      </c>
      <c r="R2488" s="628" t="s">
        <v>40</v>
      </c>
      <c r="S2488" s="31" t="s">
        <v>273</v>
      </c>
      <c r="T2488" s="31" t="s">
        <v>273</v>
      </c>
      <c r="U2488" s="31">
        <f>IFERROR(VLOOKUP(CONCATENATE(Tabla1[[#This Row],[Severidad]]," ",Tabla1[[#This Row],[Complejidad]]),Catalogos!E$120:G$128,3,FALSE),"")</f>
        <v>64</v>
      </c>
      <c r="V2488" s="31" t="str">
        <f>IF(Tabla1[[#This Row],[Tiempo solución max (hrs)]]&lt;&gt;"",IF(Tabla1[[#This Row],[Tiempo solución max (hrs)]]&gt;=Tabla1[[#This Row],[Tiempo
(Hrs 00/100)]],"cumple","no cumple"),"")</f>
        <v>cumple</v>
      </c>
      <c r="W2488" s="376" t="s">
        <v>4210</v>
      </c>
      <c r="X2488" s="377" t="str">
        <f t="shared" si="206"/>
        <v>DS</v>
      </c>
      <c r="Y2488" t="str">
        <f>SUBSTITUTE(Tabla1[[#This Row],[Descripción]],CHAR(10),"    I    ")</f>
        <v>Implementar adecuaciones al código fuente para atender hallazgos del módulo - Federado</v>
      </c>
      <c r="Z2488" s="142">
        <f>VLOOKUP(Tabla1[[#This Row],[Perfil]],Catalogos!$B$75:$D$100,3,FALSE)*Tabla1[[#This Row],[Tiempo
(Hrs 00/100)]]*1.16</f>
        <v>6901.9999999999991</v>
      </c>
    </row>
    <row r="2489" spans="1:27" ht="15" customHeight="1" x14ac:dyDescent="0.3">
      <c r="A2489" s="617" t="s">
        <v>22</v>
      </c>
      <c r="B2489" s="373" t="s">
        <v>23</v>
      </c>
      <c r="C2489" s="373" t="s">
        <v>257</v>
      </c>
      <c r="D2489" s="373"/>
      <c r="E2489" s="637" t="s">
        <v>3874</v>
      </c>
      <c r="F2489" s="373" t="s">
        <v>23</v>
      </c>
      <c r="G2489" s="373" t="s">
        <v>4263</v>
      </c>
      <c r="H2489" s="461" t="s">
        <v>4264</v>
      </c>
      <c r="I2489" s="461" t="s">
        <v>4265</v>
      </c>
      <c r="J2489" s="369">
        <v>45231</v>
      </c>
      <c r="K2489" s="747">
        <v>0.375</v>
      </c>
      <c r="L2489" s="369">
        <v>45231</v>
      </c>
      <c r="M2489" s="753">
        <v>0.79166666666666663</v>
      </c>
      <c r="N2489" s="210">
        <v>8.5</v>
      </c>
      <c r="O2489" s="184" t="s">
        <v>411</v>
      </c>
      <c r="P2489" s="375" t="s">
        <v>3433</v>
      </c>
      <c r="Q2489" s="179" t="s">
        <v>3434</v>
      </c>
      <c r="R2489" s="171" t="s">
        <v>40</v>
      </c>
      <c r="S2489" s="31" t="s">
        <v>273</v>
      </c>
      <c r="T2489" s="31" t="s">
        <v>273</v>
      </c>
      <c r="U2489" s="31">
        <f>IFERROR(VLOOKUP(CONCATENATE(Tabla1[[#This Row],[Severidad]]," ",Tabla1[[#This Row],[Complejidad]]),Catalogos!E$120:G$128,3,FALSE),"")</f>
        <v>64</v>
      </c>
      <c r="V2489" s="31" t="str">
        <f>IF(Tabla1[[#This Row],[Tiempo solución max (hrs)]]&lt;&gt;"",IF(Tabla1[[#This Row],[Tiempo solución max (hrs)]]&gt;=Tabla1[[#This Row],[Tiempo
(Hrs 00/100)]],"cumple","no cumple"),"")</f>
        <v>cumple</v>
      </c>
      <c r="W2489" s="376" t="s">
        <v>4210</v>
      </c>
      <c r="X2489" s="377" t="str">
        <f t="shared" si="206"/>
        <v>SSI</v>
      </c>
      <c r="Y2489" t="str">
        <f>SUBSTITUTE(Tabla1[[#This Row],[Descripción]],CHAR(10),"    I    ")</f>
        <v>Se implementa servicio para obtener la información de un certificado a partir de un base64</v>
      </c>
      <c r="Z2489" s="142">
        <f>VLOOKUP(Tabla1[[#This Row],[Perfil]],Catalogos!$B$75:$D$100,3,FALSE)*Tabla1[[#This Row],[Tiempo
(Hrs 00/100)]]*1.16</f>
        <v>6901.9999999999991</v>
      </c>
      <c r="AA2489" t="s">
        <v>3356</v>
      </c>
    </row>
    <row r="2490" spans="1:27" ht="15" customHeight="1" x14ac:dyDescent="0.3">
      <c r="A2490" s="617" t="s">
        <v>22</v>
      </c>
      <c r="B2490" s="373" t="s">
        <v>23</v>
      </c>
      <c r="C2490" s="373" t="s">
        <v>257</v>
      </c>
      <c r="D2490" s="373"/>
      <c r="E2490" s="637" t="s">
        <v>3874</v>
      </c>
      <c r="F2490" s="373" t="s">
        <v>23</v>
      </c>
      <c r="G2490" s="373" t="s">
        <v>4263</v>
      </c>
      <c r="H2490" s="461" t="s">
        <v>4264</v>
      </c>
      <c r="I2490" s="461" t="s">
        <v>4265</v>
      </c>
      <c r="J2490" s="369">
        <v>45233</v>
      </c>
      <c r="K2490" s="747">
        <v>0.375</v>
      </c>
      <c r="L2490" s="369">
        <v>45233</v>
      </c>
      <c r="M2490" s="753">
        <v>0.625</v>
      </c>
      <c r="N2490" s="210">
        <v>6</v>
      </c>
      <c r="O2490" s="184" t="s">
        <v>17</v>
      </c>
      <c r="P2490" s="375" t="s">
        <v>3433</v>
      </c>
      <c r="Q2490" s="179" t="s">
        <v>3434</v>
      </c>
      <c r="R2490" s="171" t="s">
        <v>40</v>
      </c>
      <c r="S2490" s="31" t="s">
        <v>273</v>
      </c>
      <c r="T2490" s="31" t="s">
        <v>273</v>
      </c>
      <c r="U2490" s="31">
        <f>IFERROR(VLOOKUP(CONCATENATE(Tabla1[[#This Row],[Severidad]]," ",Tabla1[[#This Row],[Complejidad]]),Catalogos!E$120:G$128,3,FALSE),"")</f>
        <v>64</v>
      </c>
      <c r="V2490" s="31" t="str">
        <f>IF(Tabla1[[#This Row],[Tiempo solución max (hrs)]]&lt;&gt;"",IF(Tabla1[[#This Row],[Tiempo solución max (hrs)]]&gt;=Tabla1[[#This Row],[Tiempo
(Hrs 00/100)]],"cumple","no cumple"),"")</f>
        <v>cumple</v>
      </c>
      <c r="W2490" s="376" t="s">
        <v>4210</v>
      </c>
      <c r="X2490" s="377" t="str">
        <f t="shared" si="206"/>
        <v>SSI</v>
      </c>
      <c r="Y2490" t="str">
        <f>SUBSTITUTE(Tabla1[[#This Row],[Descripción]],CHAR(10),"    I    ")</f>
        <v>Se implementa servicio para obtener la información de un certificado a partir de un base64</v>
      </c>
      <c r="Z2490" s="142">
        <f>VLOOKUP(Tabla1[[#This Row],[Perfil]],Catalogos!$B$75:$D$100,3,FALSE)*Tabla1[[#This Row],[Tiempo
(Hrs 00/100)]]*1.16</f>
        <v>4872</v>
      </c>
      <c r="AA2490" t="s">
        <v>3356</v>
      </c>
    </row>
    <row r="2491" spans="1:27" ht="15" customHeight="1" x14ac:dyDescent="0.3">
      <c r="A2491" s="617" t="s">
        <v>22</v>
      </c>
      <c r="B2491" s="373" t="s">
        <v>23</v>
      </c>
      <c r="C2491" s="373" t="s">
        <v>257</v>
      </c>
      <c r="D2491" s="373"/>
      <c r="E2491" s="637" t="s">
        <v>3874</v>
      </c>
      <c r="F2491" s="373" t="s">
        <v>23</v>
      </c>
      <c r="G2491" s="373" t="s">
        <v>4266</v>
      </c>
      <c r="H2491" s="461" t="s">
        <v>4267</v>
      </c>
      <c r="I2491" s="178" t="s">
        <v>4268</v>
      </c>
      <c r="J2491" s="369">
        <v>45236</v>
      </c>
      <c r="K2491" s="747">
        <v>0.375</v>
      </c>
      <c r="L2491" s="369">
        <v>45236</v>
      </c>
      <c r="M2491" s="753">
        <v>0.79166666666666663</v>
      </c>
      <c r="N2491" s="210">
        <v>8.5</v>
      </c>
      <c r="O2491" s="184" t="s">
        <v>17</v>
      </c>
      <c r="P2491" s="375" t="s">
        <v>3433</v>
      </c>
      <c r="Q2491" s="179" t="s">
        <v>3434</v>
      </c>
      <c r="R2491" s="171" t="s">
        <v>40</v>
      </c>
      <c r="S2491" s="31" t="s">
        <v>273</v>
      </c>
      <c r="T2491" s="31" t="s">
        <v>273</v>
      </c>
      <c r="U2491" s="31">
        <f>IFERROR(VLOOKUP(CONCATENATE(Tabla1[[#This Row],[Severidad]]," ",Tabla1[[#This Row],[Complejidad]]),Catalogos!E$120:G$128,3,FALSE),"")</f>
        <v>64</v>
      </c>
      <c r="V2491" s="31" t="str">
        <f>IF(Tabla1[[#This Row],[Tiempo solución max (hrs)]]&lt;&gt;"",IF(Tabla1[[#This Row],[Tiempo solución max (hrs)]]&gt;=Tabla1[[#This Row],[Tiempo
(Hrs 00/100)]],"cumple","no cumple"),"")</f>
        <v>cumple</v>
      </c>
      <c r="W2491" s="376" t="s">
        <v>4210</v>
      </c>
      <c r="X2491" s="377" t="str">
        <f t="shared" si="206"/>
        <v>SSI</v>
      </c>
      <c r="Y2491" t="str">
        <f>SUBSTITUTE(Tabla1[[#This Row],[Descripción]],CHAR(10),"    I    ")</f>
        <v>Se corrige la implementación de la captura de firma</v>
      </c>
      <c r="Z2491" s="142">
        <f>VLOOKUP(Tabla1[[#This Row],[Perfil]],Catalogos!$B$75:$D$100,3,FALSE)*Tabla1[[#This Row],[Tiempo
(Hrs 00/100)]]*1.16</f>
        <v>6901.9999999999991</v>
      </c>
      <c r="AA2491" t="s">
        <v>3356</v>
      </c>
    </row>
    <row r="2492" spans="1:27" ht="15" customHeight="1" x14ac:dyDescent="0.3">
      <c r="A2492" s="617" t="s">
        <v>22</v>
      </c>
      <c r="B2492" s="373" t="s">
        <v>23</v>
      </c>
      <c r="C2492" s="373" t="s">
        <v>257</v>
      </c>
      <c r="D2492" s="373"/>
      <c r="E2492" s="637" t="s">
        <v>3874</v>
      </c>
      <c r="F2492" s="373" t="s">
        <v>23</v>
      </c>
      <c r="G2492" s="373" t="s">
        <v>4269</v>
      </c>
      <c r="H2492" s="461" t="s">
        <v>4270</v>
      </c>
      <c r="I2492" s="178" t="s">
        <v>4271</v>
      </c>
      <c r="J2492" s="369">
        <v>45237</v>
      </c>
      <c r="K2492" s="747">
        <v>0.375</v>
      </c>
      <c r="L2492" s="369">
        <v>45237</v>
      </c>
      <c r="M2492" s="753">
        <v>0.79166666666666663</v>
      </c>
      <c r="N2492" s="210">
        <v>8.5</v>
      </c>
      <c r="O2492" s="184" t="s">
        <v>17</v>
      </c>
      <c r="P2492" s="375" t="s">
        <v>3433</v>
      </c>
      <c r="Q2492" s="179" t="s">
        <v>3434</v>
      </c>
      <c r="R2492" s="171" t="s">
        <v>40</v>
      </c>
      <c r="S2492" s="31" t="s">
        <v>273</v>
      </c>
      <c r="T2492" s="31" t="s">
        <v>273</v>
      </c>
      <c r="U2492" s="31">
        <f>IFERROR(VLOOKUP(CONCATENATE(Tabla1[[#This Row],[Severidad]]," ",Tabla1[[#This Row],[Complejidad]]),Catalogos!E$120:G$128,3,FALSE),"")</f>
        <v>64</v>
      </c>
      <c r="V2492" s="31" t="str">
        <f>IF(Tabla1[[#This Row],[Tiempo solución max (hrs)]]&lt;&gt;"",IF(Tabla1[[#This Row],[Tiempo solución max (hrs)]]&gt;=Tabla1[[#This Row],[Tiempo
(Hrs 00/100)]],"cumple","no cumple"),"")</f>
        <v>cumple</v>
      </c>
      <c r="W2492" s="376" t="s">
        <v>4210</v>
      </c>
      <c r="X2492" s="377" t="str">
        <f t="shared" si="206"/>
        <v>SSI</v>
      </c>
      <c r="Y2492" t="str">
        <f>SUBSTITUTE(Tabla1[[#This Row],[Descripción]],CHAR(10),"    I    ")</f>
        <v>Se maneja el error de fecha en el home de la pagina</v>
      </c>
      <c r="Z2492" s="142">
        <f>VLOOKUP(Tabla1[[#This Row],[Perfil]],Catalogos!$B$75:$D$100,3,FALSE)*Tabla1[[#This Row],[Tiempo
(Hrs 00/100)]]*1.16</f>
        <v>6901.9999999999991</v>
      </c>
      <c r="AA2492" t="s">
        <v>3356</v>
      </c>
    </row>
    <row r="2493" spans="1:27" ht="15" customHeight="1" x14ac:dyDescent="0.3">
      <c r="A2493" s="617" t="s">
        <v>22</v>
      </c>
      <c r="B2493" s="373" t="s">
        <v>23</v>
      </c>
      <c r="C2493" s="373" t="s">
        <v>257</v>
      </c>
      <c r="D2493" s="373"/>
      <c r="E2493" s="637" t="s">
        <v>3874</v>
      </c>
      <c r="F2493" s="373" t="s">
        <v>23</v>
      </c>
      <c r="G2493" s="373" t="s">
        <v>4272</v>
      </c>
      <c r="H2493" s="461" t="s">
        <v>4273</v>
      </c>
      <c r="I2493" s="178" t="s">
        <v>4274</v>
      </c>
      <c r="J2493" s="369">
        <v>45238</v>
      </c>
      <c r="K2493" s="747">
        <v>0.375</v>
      </c>
      <c r="L2493" s="369">
        <v>45238</v>
      </c>
      <c r="M2493" s="753">
        <v>0.79166666666666663</v>
      </c>
      <c r="N2493" s="210">
        <v>8.5</v>
      </c>
      <c r="O2493" s="184" t="s">
        <v>17</v>
      </c>
      <c r="P2493" s="375" t="s">
        <v>3433</v>
      </c>
      <c r="Q2493" s="179" t="s">
        <v>3434</v>
      </c>
      <c r="R2493" s="171" t="s">
        <v>40</v>
      </c>
      <c r="S2493" s="31" t="s">
        <v>273</v>
      </c>
      <c r="T2493" s="31" t="s">
        <v>273</v>
      </c>
      <c r="U2493" s="31">
        <f>IFERROR(VLOOKUP(CONCATENATE(Tabla1[[#This Row],[Severidad]]," ",Tabla1[[#This Row],[Complejidad]]),Catalogos!E$120:G$128,3,FALSE),"")</f>
        <v>64</v>
      </c>
      <c r="V2493" s="31" t="str">
        <f>IF(Tabla1[[#This Row],[Tiempo solución max (hrs)]]&lt;&gt;"",IF(Tabla1[[#This Row],[Tiempo solución max (hrs)]]&gt;=Tabla1[[#This Row],[Tiempo
(Hrs 00/100)]],"cumple","no cumple"),"")</f>
        <v>cumple</v>
      </c>
      <c r="W2493" s="376" t="s">
        <v>4210</v>
      </c>
      <c r="X2493" s="377" t="str">
        <f t="shared" si="206"/>
        <v>SSI</v>
      </c>
      <c r="Y2493" t="str">
        <f>SUBSTITUTE(Tabla1[[#This Row],[Descripción]],CHAR(10),"    I    ")</f>
        <v>Se remueven validadores para RFC en la vista del perfil de usuario</v>
      </c>
      <c r="Z2493" s="142">
        <f>VLOOKUP(Tabla1[[#This Row],[Perfil]],Catalogos!$B$75:$D$100,3,FALSE)*Tabla1[[#This Row],[Tiempo
(Hrs 00/100)]]*1.16</f>
        <v>6901.9999999999991</v>
      </c>
      <c r="AA2493" t="s">
        <v>3356</v>
      </c>
    </row>
    <row r="2494" spans="1:27" ht="15" customHeight="1" x14ac:dyDescent="0.3">
      <c r="A2494" s="617" t="s">
        <v>22</v>
      </c>
      <c r="B2494" s="373" t="s">
        <v>23</v>
      </c>
      <c r="C2494" s="373" t="s">
        <v>49</v>
      </c>
      <c r="D2494" s="373"/>
      <c r="E2494" s="637" t="s">
        <v>4302</v>
      </c>
      <c r="F2494" s="373" t="s">
        <v>23</v>
      </c>
      <c r="G2494" s="373" t="s">
        <v>4303</v>
      </c>
      <c r="H2494" s="461" t="s">
        <v>4275</v>
      </c>
      <c r="I2494" s="178" t="s">
        <v>4276</v>
      </c>
      <c r="J2494" s="369">
        <v>45239</v>
      </c>
      <c r="K2494" s="747">
        <v>0.375</v>
      </c>
      <c r="L2494" s="369">
        <v>45239</v>
      </c>
      <c r="M2494" s="753">
        <v>0.79166666666666663</v>
      </c>
      <c r="N2494" s="210">
        <v>8.5</v>
      </c>
      <c r="O2494" s="184" t="s">
        <v>17</v>
      </c>
      <c r="P2494" s="375" t="s">
        <v>4277</v>
      </c>
      <c r="Q2494" s="179" t="s">
        <v>3434</v>
      </c>
      <c r="R2494" s="171" t="s">
        <v>40</v>
      </c>
      <c r="S2494" s="31" t="s">
        <v>273</v>
      </c>
      <c r="T2494" s="31" t="s">
        <v>273</v>
      </c>
      <c r="U2494" s="31">
        <f>IFERROR(VLOOKUP(CONCATENATE(Tabla1[[#This Row],[Severidad]]," ",Tabla1[[#This Row],[Complejidad]]),Catalogos!E$120:G$128,3,FALSE),"")</f>
        <v>64</v>
      </c>
      <c r="V2494" s="31" t="str">
        <f>IF(Tabla1[[#This Row],[Tiempo solución max (hrs)]]&lt;&gt;"",IF(Tabla1[[#This Row],[Tiempo solución max (hrs)]]&gt;=Tabla1[[#This Row],[Tiempo
(Hrs 00/100)]],"cumple","no cumple"),"")</f>
        <v>cumple</v>
      </c>
      <c r="W2494" s="376" t="s">
        <v>4210</v>
      </c>
      <c r="X2494" s="377" t="str">
        <f t="shared" si="206"/>
        <v>SAI</v>
      </c>
      <c r="Y2494" t="str">
        <f>SUBSTITUTE(Tabla1[[#This Row],[Descripción]],CHAR(10),"    I    ")</f>
        <v>Inducción para el proyecto de jurisdiccional</v>
      </c>
      <c r="Z2494" s="142">
        <f>VLOOKUP(Tabla1[[#This Row],[Perfil]],Catalogos!$B$75:$D$100,3,FALSE)*Tabla1[[#This Row],[Tiempo
(Hrs 00/100)]]*1.16</f>
        <v>6901.9999999999991</v>
      </c>
      <c r="AA2494" t="s">
        <v>3356</v>
      </c>
    </row>
    <row r="2495" spans="1:27" ht="15" customHeight="1" x14ac:dyDescent="0.3">
      <c r="A2495" s="617" t="s">
        <v>22</v>
      </c>
      <c r="B2495" s="373" t="s">
        <v>23</v>
      </c>
      <c r="C2495" s="373" t="s">
        <v>49</v>
      </c>
      <c r="D2495" s="373"/>
      <c r="E2495" s="637" t="s">
        <v>4302</v>
      </c>
      <c r="F2495" s="373" t="s">
        <v>23</v>
      </c>
      <c r="G2495" s="373" t="s">
        <v>4303</v>
      </c>
      <c r="H2495" s="461" t="s">
        <v>4275</v>
      </c>
      <c r="I2495" s="178" t="s">
        <v>4276</v>
      </c>
      <c r="J2495" s="369">
        <v>45240</v>
      </c>
      <c r="K2495" s="747">
        <v>0.375</v>
      </c>
      <c r="L2495" s="369">
        <v>45240</v>
      </c>
      <c r="M2495" s="753">
        <v>0.625</v>
      </c>
      <c r="N2495" s="210">
        <v>6</v>
      </c>
      <c r="O2495" s="184" t="s">
        <v>17</v>
      </c>
      <c r="P2495" s="375" t="s">
        <v>4277</v>
      </c>
      <c r="Q2495" s="179" t="s">
        <v>3434</v>
      </c>
      <c r="R2495" s="171" t="s">
        <v>40</v>
      </c>
      <c r="S2495" s="31" t="s">
        <v>273</v>
      </c>
      <c r="T2495" s="31" t="s">
        <v>273</v>
      </c>
      <c r="U2495" s="31">
        <f>IFERROR(VLOOKUP(CONCATENATE(Tabla1[[#This Row],[Severidad]]," ",Tabla1[[#This Row],[Complejidad]]),Catalogos!E$120:G$128,3,FALSE),"")</f>
        <v>64</v>
      </c>
      <c r="V2495" s="31" t="str">
        <f>IF(Tabla1[[#This Row],[Tiempo solución max (hrs)]]&lt;&gt;"",IF(Tabla1[[#This Row],[Tiempo solución max (hrs)]]&gt;=Tabla1[[#This Row],[Tiempo
(Hrs 00/100)]],"cumple","no cumple"),"")</f>
        <v>cumple</v>
      </c>
      <c r="W2495" s="376" t="s">
        <v>4210</v>
      </c>
      <c r="X2495" s="377" t="str">
        <f t="shared" si="206"/>
        <v>SAI</v>
      </c>
      <c r="Y2495" t="str">
        <f>SUBSTITUTE(Tabla1[[#This Row],[Descripción]],CHAR(10),"    I    ")</f>
        <v>Inducción para el proyecto de jurisdiccional</v>
      </c>
      <c r="Z2495" s="142">
        <f>VLOOKUP(Tabla1[[#This Row],[Perfil]],Catalogos!$B$75:$D$100,3,FALSE)*Tabla1[[#This Row],[Tiempo
(Hrs 00/100)]]*1.16</f>
        <v>4872</v>
      </c>
      <c r="AA2495" t="s">
        <v>3356</v>
      </c>
    </row>
    <row r="2496" spans="1:27" ht="15" customHeight="1" x14ac:dyDescent="0.3">
      <c r="A2496" s="617" t="s">
        <v>22</v>
      </c>
      <c r="B2496" s="373" t="s">
        <v>23</v>
      </c>
      <c r="C2496" s="373" t="s">
        <v>49</v>
      </c>
      <c r="D2496" s="373"/>
      <c r="E2496" s="637" t="s">
        <v>4302</v>
      </c>
      <c r="F2496" s="373" t="s">
        <v>23</v>
      </c>
      <c r="G2496" s="373" t="s">
        <v>4304</v>
      </c>
      <c r="H2496" s="461" t="s">
        <v>4278</v>
      </c>
      <c r="I2496" s="178" t="s">
        <v>4279</v>
      </c>
      <c r="J2496" s="369">
        <v>45243</v>
      </c>
      <c r="K2496" s="747">
        <v>0.375</v>
      </c>
      <c r="L2496" s="369">
        <v>45243</v>
      </c>
      <c r="M2496" s="753">
        <v>0.79166666666666663</v>
      </c>
      <c r="N2496" s="210">
        <v>8.5</v>
      </c>
      <c r="O2496" s="184" t="s">
        <v>17</v>
      </c>
      <c r="P2496" s="375" t="s">
        <v>4277</v>
      </c>
      <c r="Q2496" s="179" t="s">
        <v>3434</v>
      </c>
      <c r="R2496" s="171" t="s">
        <v>40</v>
      </c>
      <c r="S2496" s="31" t="s">
        <v>273</v>
      </c>
      <c r="T2496" s="31" t="s">
        <v>273</v>
      </c>
      <c r="U2496" s="31">
        <f>IFERROR(VLOOKUP(CONCATENATE(Tabla1[[#This Row],[Severidad]]," ",Tabla1[[#This Row],[Complejidad]]),Catalogos!E$120:G$128,3,FALSE),"")</f>
        <v>64</v>
      </c>
      <c r="V2496" s="31" t="str">
        <f>IF(Tabla1[[#This Row],[Tiempo solución max (hrs)]]&lt;&gt;"",IF(Tabla1[[#This Row],[Tiempo solución max (hrs)]]&gt;=Tabla1[[#This Row],[Tiempo
(Hrs 00/100)]],"cumple","no cumple"),"")</f>
        <v>cumple</v>
      </c>
      <c r="W2496" s="376" t="s">
        <v>4210</v>
      </c>
      <c r="X2496" s="377" t="str">
        <f t="shared" si="206"/>
        <v>SAI</v>
      </c>
      <c r="Y2496" t="str">
        <f>SUBSTITUTE(Tabla1[[#This Row],[Descripción]],CHAR(10),"    I    ")</f>
        <v>Clonación de proyecto y analisis de codigo</v>
      </c>
      <c r="Z2496" s="142">
        <f>VLOOKUP(Tabla1[[#This Row],[Perfil]],Catalogos!$B$75:$D$100,3,FALSE)*Tabla1[[#This Row],[Tiempo
(Hrs 00/100)]]*1.16</f>
        <v>6901.9999999999991</v>
      </c>
      <c r="AA2496" t="s">
        <v>3356</v>
      </c>
    </row>
    <row r="2497" spans="1:27" ht="15" customHeight="1" x14ac:dyDescent="0.3">
      <c r="A2497" s="617" t="s">
        <v>22</v>
      </c>
      <c r="B2497" s="373" t="s">
        <v>23</v>
      </c>
      <c r="C2497" s="373" t="s">
        <v>49</v>
      </c>
      <c r="D2497" s="373"/>
      <c r="E2497" s="637" t="s">
        <v>4302</v>
      </c>
      <c r="F2497" s="373" t="s">
        <v>23</v>
      </c>
      <c r="G2497" s="373" t="s">
        <v>4305</v>
      </c>
      <c r="H2497" s="461" t="s">
        <v>4280</v>
      </c>
      <c r="I2497" s="178" t="s">
        <v>4281</v>
      </c>
      <c r="J2497" s="369">
        <v>45244</v>
      </c>
      <c r="K2497" s="747">
        <v>0.375</v>
      </c>
      <c r="L2497" s="369">
        <v>45244</v>
      </c>
      <c r="M2497" s="753">
        <v>0.79166666666666663</v>
      </c>
      <c r="N2497" s="210">
        <v>8.5</v>
      </c>
      <c r="O2497" s="184" t="s">
        <v>17</v>
      </c>
      <c r="P2497" s="375" t="s">
        <v>4277</v>
      </c>
      <c r="Q2497" s="179" t="s">
        <v>3434</v>
      </c>
      <c r="R2497" s="171" t="s">
        <v>40</v>
      </c>
      <c r="S2497" s="31" t="s">
        <v>273</v>
      </c>
      <c r="T2497" s="31" t="s">
        <v>273</v>
      </c>
      <c r="U2497" s="31">
        <f>IFERROR(VLOOKUP(CONCATENATE(Tabla1[[#This Row],[Severidad]]," ",Tabla1[[#This Row],[Complejidad]]),Catalogos!E$120:G$128,3,FALSE),"")</f>
        <v>64</v>
      </c>
      <c r="V2497" s="31" t="str">
        <f>IF(Tabla1[[#This Row],[Tiempo solución max (hrs)]]&lt;&gt;"",IF(Tabla1[[#This Row],[Tiempo solución max (hrs)]]&gt;=Tabla1[[#This Row],[Tiempo
(Hrs 00/100)]],"cumple","no cumple"),"")</f>
        <v>cumple</v>
      </c>
      <c r="W2497" s="376" t="s">
        <v>4210</v>
      </c>
      <c r="X2497" s="377" t="str">
        <f t="shared" si="206"/>
        <v>SAI</v>
      </c>
      <c r="Y2497" t="str">
        <f>SUBSTITUTE(Tabla1[[#This Row],[Descripción]],CHAR(10),"    I    ")</f>
        <v>Reunion con el equipo para revisar los putos/tareas a trabajar</v>
      </c>
      <c r="Z2497" s="142">
        <f>VLOOKUP(Tabla1[[#This Row],[Perfil]],Catalogos!$B$75:$D$100,3,FALSE)*Tabla1[[#This Row],[Tiempo
(Hrs 00/100)]]*1.16</f>
        <v>6901.9999999999991</v>
      </c>
      <c r="AA2497" t="s">
        <v>3356</v>
      </c>
    </row>
    <row r="2498" spans="1:27" ht="15" customHeight="1" x14ac:dyDescent="0.3">
      <c r="A2498" s="617" t="s">
        <v>22</v>
      </c>
      <c r="B2498" s="373" t="s">
        <v>23</v>
      </c>
      <c r="C2498" s="373" t="s">
        <v>49</v>
      </c>
      <c r="D2498" s="373"/>
      <c r="E2498" s="637" t="s">
        <v>4302</v>
      </c>
      <c r="F2498" s="373" t="s">
        <v>23</v>
      </c>
      <c r="G2498" s="373" t="s">
        <v>4306</v>
      </c>
      <c r="H2498" s="461" t="s">
        <v>4282</v>
      </c>
      <c r="I2498" s="178" t="s">
        <v>4283</v>
      </c>
      <c r="J2498" s="369">
        <v>45245</v>
      </c>
      <c r="K2498" s="747">
        <v>0.375</v>
      </c>
      <c r="L2498" s="369">
        <v>45245</v>
      </c>
      <c r="M2498" s="753">
        <v>0.79166666666666663</v>
      </c>
      <c r="N2498" s="210">
        <v>8.5</v>
      </c>
      <c r="O2498" s="184" t="s">
        <v>17</v>
      </c>
      <c r="P2498" s="375" t="s">
        <v>4277</v>
      </c>
      <c r="Q2498" s="179" t="s">
        <v>3434</v>
      </c>
      <c r="R2498" s="171" t="s">
        <v>40</v>
      </c>
      <c r="S2498" s="31" t="s">
        <v>273</v>
      </c>
      <c r="T2498" s="31" t="s">
        <v>273</v>
      </c>
      <c r="U2498" s="31">
        <f>IFERROR(VLOOKUP(CONCATENATE(Tabla1[[#This Row],[Severidad]]," ",Tabla1[[#This Row],[Complejidad]]),Catalogos!E$120:G$128,3,FALSE),"")</f>
        <v>64</v>
      </c>
      <c r="V2498" s="31" t="str">
        <f>IF(Tabla1[[#This Row],[Tiempo solución max (hrs)]]&lt;&gt;"",IF(Tabla1[[#This Row],[Tiempo solución max (hrs)]]&gt;=Tabla1[[#This Row],[Tiempo
(Hrs 00/100)]],"cumple","no cumple"),"")</f>
        <v>cumple</v>
      </c>
      <c r="W2498" s="376" t="s">
        <v>4210</v>
      </c>
      <c r="X2498" s="377" t="str">
        <f t="shared" si="206"/>
        <v>SAI</v>
      </c>
      <c r="Y2498" t="str">
        <f>SUBSTITUTE(Tabla1[[#This Row],[Descripción]],CHAR(10),"    I    ")</f>
        <v>Se realiza un listado de actividades junto con estimaciones, para poder trabajarlas</v>
      </c>
      <c r="Z2498" s="142">
        <f>VLOOKUP(Tabla1[[#This Row],[Perfil]],Catalogos!$B$75:$D$100,3,FALSE)*Tabla1[[#This Row],[Tiempo
(Hrs 00/100)]]*1.16</f>
        <v>6901.9999999999991</v>
      </c>
      <c r="AA2498" t="s">
        <v>3356</v>
      </c>
    </row>
    <row r="2499" spans="1:27" ht="15" customHeight="1" x14ac:dyDescent="0.3">
      <c r="A2499" s="617" t="s">
        <v>22</v>
      </c>
      <c r="B2499" s="373" t="s">
        <v>23</v>
      </c>
      <c r="C2499" s="373" t="s">
        <v>49</v>
      </c>
      <c r="D2499" s="373"/>
      <c r="E2499" s="637" t="s">
        <v>4302</v>
      </c>
      <c r="F2499" s="373" t="s">
        <v>23</v>
      </c>
      <c r="G2499" s="373" t="s">
        <v>4307</v>
      </c>
      <c r="H2499" s="461" t="s">
        <v>4284</v>
      </c>
      <c r="I2499" s="178" t="s">
        <v>4285</v>
      </c>
      <c r="J2499" s="369">
        <v>45246</v>
      </c>
      <c r="K2499" s="747">
        <v>0.375</v>
      </c>
      <c r="L2499" s="369">
        <v>45246</v>
      </c>
      <c r="M2499" s="753">
        <v>0.79166666666666663</v>
      </c>
      <c r="N2499" s="210">
        <v>8.5</v>
      </c>
      <c r="O2499" s="184" t="s">
        <v>17</v>
      </c>
      <c r="P2499" s="375" t="s">
        <v>4277</v>
      </c>
      <c r="Q2499" s="179" t="s">
        <v>3434</v>
      </c>
      <c r="R2499" s="171" t="s">
        <v>40</v>
      </c>
      <c r="S2499" s="31" t="s">
        <v>273</v>
      </c>
      <c r="T2499" s="31" t="s">
        <v>273</v>
      </c>
      <c r="U2499" s="31">
        <f>IFERROR(VLOOKUP(CONCATENATE(Tabla1[[#This Row],[Severidad]]," ",Tabla1[[#This Row],[Complejidad]]),Catalogos!E$120:G$128,3,FALSE),"")</f>
        <v>64</v>
      </c>
      <c r="V2499" s="31" t="str">
        <f>IF(Tabla1[[#This Row],[Tiempo solución max (hrs)]]&lt;&gt;"",IF(Tabla1[[#This Row],[Tiempo solución max (hrs)]]&gt;=Tabla1[[#This Row],[Tiempo
(Hrs 00/100)]],"cumple","no cumple"),"")</f>
        <v>cumple</v>
      </c>
      <c r="W2499" s="376" t="s">
        <v>4210</v>
      </c>
      <c r="X2499" s="377" t="str">
        <f t="shared" si="206"/>
        <v>SAI</v>
      </c>
      <c r="Y2499" t="str">
        <f>SUBSTITUTE(Tabla1[[#This Row],[Descripción]],CHAR(10),"    I    ")</f>
        <v>Reunion con el equipo para revisar las actividades</v>
      </c>
      <c r="Z2499" s="142">
        <f>VLOOKUP(Tabla1[[#This Row],[Perfil]],Catalogos!$B$75:$D$100,3,FALSE)*Tabla1[[#This Row],[Tiempo
(Hrs 00/100)]]*1.16</f>
        <v>6901.9999999999991</v>
      </c>
      <c r="AA2499" t="s">
        <v>3356</v>
      </c>
    </row>
    <row r="2500" spans="1:27" ht="15" customHeight="1" x14ac:dyDescent="0.3">
      <c r="A2500" s="617" t="s">
        <v>22</v>
      </c>
      <c r="B2500" s="373" t="s">
        <v>23</v>
      </c>
      <c r="C2500" s="373" t="s">
        <v>49</v>
      </c>
      <c r="D2500" s="373"/>
      <c r="E2500" s="637" t="s">
        <v>4302</v>
      </c>
      <c r="F2500" s="373" t="s">
        <v>23</v>
      </c>
      <c r="G2500" s="373" t="s">
        <v>4308</v>
      </c>
      <c r="H2500" s="461" t="s">
        <v>4286</v>
      </c>
      <c r="I2500" s="178" t="s">
        <v>4287</v>
      </c>
      <c r="J2500" s="369">
        <v>45247</v>
      </c>
      <c r="K2500" s="747">
        <v>0.375</v>
      </c>
      <c r="L2500" s="369">
        <v>45247</v>
      </c>
      <c r="M2500" s="753">
        <v>0.625</v>
      </c>
      <c r="N2500" s="210">
        <v>6</v>
      </c>
      <c r="O2500" s="184" t="s">
        <v>17</v>
      </c>
      <c r="P2500" s="375" t="s">
        <v>4277</v>
      </c>
      <c r="Q2500" s="179" t="s">
        <v>3434</v>
      </c>
      <c r="R2500" s="171" t="s">
        <v>40</v>
      </c>
      <c r="S2500" s="31" t="s">
        <v>273</v>
      </c>
      <c r="T2500" s="31" t="s">
        <v>273</v>
      </c>
      <c r="U2500" s="31">
        <f>IFERROR(VLOOKUP(CONCATENATE(Tabla1[[#This Row],[Severidad]]," ",Tabla1[[#This Row],[Complejidad]]),Catalogos!E$120:G$128,3,FALSE),"")</f>
        <v>64</v>
      </c>
      <c r="V2500" s="31" t="str">
        <f>IF(Tabla1[[#This Row],[Tiempo solución max (hrs)]]&lt;&gt;"",IF(Tabla1[[#This Row],[Tiempo solución max (hrs)]]&gt;=Tabla1[[#This Row],[Tiempo
(Hrs 00/100)]],"cumple","no cumple"),"")</f>
        <v>cumple</v>
      </c>
      <c r="W2500" s="376" t="s">
        <v>4210</v>
      </c>
      <c r="X2500" s="377" t="str">
        <f t="shared" si="206"/>
        <v>SAI</v>
      </c>
      <c r="Y2500" t="str">
        <f>SUBSTITUTE(Tabla1[[#This Row],[Descripción]],CHAR(10),"    I    ")</f>
        <v>Se revisan los modulos dentro del sistema para poder comenzar a implementar cambios</v>
      </c>
      <c r="Z2500" s="142">
        <f>VLOOKUP(Tabla1[[#This Row],[Perfil]],Catalogos!$B$75:$D$100,3,FALSE)*Tabla1[[#This Row],[Tiempo
(Hrs 00/100)]]*1.16</f>
        <v>4872</v>
      </c>
      <c r="AA2500" t="s">
        <v>3356</v>
      </c>
    </row>
    <row r="2501" spans="1:27" ht="15" customHeight="1" x14ac:dyDescent="0.3">
      <c r="A2501" s="617" t="s">
        <v>22</v>
      </c>
      <c r="B2501" s="373" t="s">
        <v>23</v>
      </c>
      <c r="C2501" s="373" t="s">
        <v>49</v>
      </c>
      <c r="D2501" s="373"/>
      <c r="E2501" s="637" t="s">
        <v>4302</v>
      </c>
      <c r="F2501" s="373" t="s">
        <v>23</v>
      </c>
      <c r="G2501" s="373" t="s">
        <v>4309</v>
      </c>
      <c r="H2501" s="461" t="s">
        <v>4288</v>
      </c>
      <c r="I2501" s="178" t="s">
        <v>4289</v>
      </c>
      <c r="J2501" s="369">
        <v>45251</v>
      </c>
      <c r="K2501" s="747">
        <v>0.375</v>
      </c>
      <c r="L2501" s="369">
        <v>45251</v>
      </c>
      <c r="M2501" s="753">
        <v>0.79166666666666663</v>
      </c>
      <c r="N2501" s="210">
        <v>8.5</v>
      </c>
      <c r="O2501" s="184" t="s">
        <v>17</v>
      </c>
      <c r="P2501" s="375" t="s">
        <v>4277</v>
      </c>
      <c r="Q2501" s="179" t="s">
        <v>3434</v>
      </c>
      <c r="R2501" s="171" t="s">
        <v>40</v>
      </c>
      <c r="S2501" s="31" t="s">
        <v>273</v>
      </c>
      <c r="T2501" s="31" t="s">
        <v>273</v>
      </c>
      <c r="U2501" s="31">
        <f>IFERROR(VLOOKUP(CONCATENATE(Tabla1[[#This Row],[Severidad]]," ",Tabla1[[#This Row],[Complejidad]]),Catalogos!E$120:G$128,3,FALSE),"")</f>
        <v>64</v>
      </c>
      <c r="V2501" s="31" t="str">
        <f>IF(Tabla1[[#This Row],[Tiempo solución max (hrs)]]&lt;&gt;"",IF(Tabla1[[#This Row],[Tiempo solución max (hrs)]]&gt;=Tabla1[[#This Row],[Tiempo
(Hrs 00/100)]],"cumple","no cumple"),"")</f>
        <v>cumple</v>
      </c>
      <c r="W2501" s="376" t="s">
        <v>4210</v>
      </c>
      <c r="X2501" s="377" t="str">
        <f t="shared" si="206"/>
        <v>SAI</v>
      </c>
      <c r="Y2501" t="str">
        <f>SUBSTITUTE(Tabla1[[#This Row],[Descripción]],CHAR(10),"    I    ")</f>
        <v>Se rediseña la tabla para el modulo de administrador, se ajustan componentes para usar los de primeNG</v>
      </c>
      <c r="Z2501" s="142">
        <f>VLOOKUP(Tabla1[[#This Row],[Perfil]],Catalogos!$B$75:$D$100,3,FALSE)*Tabla1[[#This Row],[Tiempo
(Hrs 00/100)]]*1.16</f>
        <v>6901.9999999999991</v>
      </c>
      <c r="AA2501" t="s">
        <v>3356</v>
      </c>
    </row>
    <row r="2502" spans="1:27" ht="15" customHeight="1" x14ac:dyDescent="0.3">
      <c r="A2502" s="617" t="s">
        <v>22</v>
      </c>
      <c r="B2502" s="373" t="s">
        <v>23</v>
      </c>
      <c r="C2502" s="373" t="s">
        <v>49</v>
      </c>
      <c r="D2502" s="373"/>
      <c r="E2502" s="637" t="s">
        <v>4302</v>
      </c>
      <c r="F2502" s="373" t="s">
        <v>23</v>
      </c>
      <c r="G2502" s="373" t="s">
        <v>4310</v>
      </c>
      <c r="H2502" s="461" t="s">
        <v>4290</v>
      </c>
      <c r="I2502" s="178" t="s">
        <v>4291</v>
      </c>
      <c r="J2502" s="369">
        <v>45252</v>
      </c>
      <c r="K2502" s="747">
        <v>0.375</v>
      </c>
      <c r="L2502" s="369">
        <v>45252</v>
      </c>
      <c r="M2502" s="753">
        <v>0.79166666666666663</v>
      </c>
      <c r="N2502" s="210">
        <v>8.5</v>
      </c>
      <c r="O2502" s="184" t="s">
        <v>17</v>
      </c>
      <c r="P2502" s="375" t="s">
        <v>4277</v>
      </c>
      <c r="Q2502" s="179" t="s">
        <v>3434</v>
      </c>
      <c r="R2502" s="171" t="s">
        <v>40</v>
      </c>
      <c r="S2502" s="31" t="s">
        <v>273</v>
      </c>
      <c r="T2502" s="31" t="s">
        <v>273</v>
      </c>
      <c r="U2502" s="31">
        <f>IFERROR(VLOOKUP(CONCATENATE(Tabla1[[#This Row],[Severidad]]," ",Tabla1[[#This Row],[Complejidad]]),Catalogos!E$120:G$128,3,FALSE),"")</f>
        <v>64</v>
      </c>
      <c r="V2502" s="31" t="str">
        <f>IF(Tabla1[[#This Row],[Tiempo solución max (hrs)]]&lt;&gt;"",IF(Tabla1[[#This Row],[Tiempo solución max (hrs)]]&gt;=Tabla1[[#This Row],[Tiempo
(Hrs 00/100)]],"cumple","no cumple"),"")</f>
        <v>cumple</v>
      </c>
      <c r="W2502" s="376" t="s">
        <v>4210</v>
      </c>
      <c r="X2502" s="377" t="str">
        <f t="shared" si="206"/>
        <v>SAI</v>
      </c>
      <c r="Y2502" t="str">
        <f>SUBSTITUTE(Tabla1[[#This Row],[Descripción]],CHAR(10),"    I    ")</f>
        <v>Se ajustan estilos para la tabla, así como para el nav bar aplciarles un selected cuando la navegación apunte al menu</v>
      </c>
      <c r="Z2502" s="142">
        <f>VLOOKUP(Tabla1[[#This Row],[Perfil]],Catalogos!$B$75:$D$100,3,FALSE)*Tabla1[[#This Row],[Tiempo
(Hrs 00/100)]]*1.16</f>
        <v>6901.9999999999991</v>
      </c>
      <c r="AA2502" t="s">
        <v>3356</v>
      </c>
    </row>
    <row r="2503" spans="1:27" ht="15" customHeight="1" x14ac:dyDescent="0.3">
      <c r="A2503" s="617" t="s">
        <v>22</v>
      </c>
      <c r="B2503" s="373" t="s">
        <v>23</v>
      </c>
      <c r="C2503" s="373" t="s">
        <v>49</v>
      </c>
      <c r="D2503" s="373"/>
      <c r="E2503" s="637" t="s">
        <v>4302</v>
      </c>
      <c r="F2503" s="373" t="s">
        <v>23</v>
      </c>
      <c r="G2503" s="373" t="s">
        <v>4311</v>
      </c>
      <c r="H2503" s="461" t="s">
        <v>4292</v>
      </c>
      <c r="I2503" s="178" t="s">
        <v>4293</v>
      </c>
      <c r="J2503" s="369">
        <v>45253</v>
      </c>
      <c r="K2503" s="747">
        <v>0.375</v>
      </c>
      <c r="L2503" s="369">
        <v>45253</v>
      </c>
      <c r="M2503" s="753">
        <v>0.79166666666666663</v>
      </c>
      <c r="N2503" s="210">
        <v>8.5</v>
      </c>
      <c r="O2503" s="184" t="s">
        <v>17</v>
      </c>
      <c r="P2503" s="375" t="s">
        <v>4277</v>
      </c>
      <c r="Q2503" s="179" t="s">
        <v>3434</v>
      </c>
      <c r="R2503" s="171" t="s">
        <v>40</v>
      </c>
      <c r="S2503" s="31" t="s">
        <v>273</v>
      </c>
      <c r="T2503" s="31" t="s">
        <v>273</v>
      </c>
      <c r="U2503" s="31">
        <f>IFERROR(VLOOKUP(CONCATENATE(Tabla1[[#This Row],[Severidad]]," ",Tabla1[[#This Row],[Complejidad]]),Catalogos!E$120:G$128,3,FALSE),"")</f>
        <v>64</v>
      </c>
      <c r="V2503" s="31" t="str">
        <f>IF(Tabla1[[#This Row],[Tiempo solución max (hrs)]]&lt;&gt;"",IF(Tabla1[[#This Row],[Tiempo solución max (hrs)]]&gt;=Tabla1[[#This Row],[Tiempo
(Hrs 00/100)]],"cumple","no cumple"),"")</f>
        <v>cumple</v>
      </c>
      <c r="W2503" s="376" t="s">
        <v>4210</v>
      </c>
      <c r="X2503" s="377" t="str">
        <f t="shared" si="206"/>
        <v>SAI</v>
      </c>
      <c r="Y2503" t="str">
        <f>SUBSTITUTE(Tabla1[[#This Row],[Descripción]],CHAR(10),"    I    ")</f>
        <v>Se agrega una nueva ruta al proyecto para poder navegar y así remover el dialog</v>
      </c>
      <c r="Z2503" s="142">
        <f>VLOOKUP(Tabla1[[#This Row],[Perfil]],Catalogos!$B$75:$D$100,3,FALSE)*Tabla1[[#This Row],[Tiempo
(Hrs 00/100)]]*1.16</f>
        <v>6901.9999999999991</v>
      </c>
      <c r="AA2503" t="s">
        <v>3356</v>
      </c>
    </row>
    <row r="2504" spans="1:27" ht="15" customHeight="1" x14ac:dyDescent="0.3">
      <c r="A2504" s="617" t="s">
        <v>22</v>
      </c>
      <c r="B2504" s="373" t="s">
        <v>23</v>
      </c>
      <c r="C2504" s="373" t="s">
        <v>49</v>
      </c>
      <c r="D2504" s="373"/>
      <c r="E2504" s="637" t="s">
        <v>4302</v>
      </c>
      <c r="F2504" s="373" t="s">
        <v>23</v>
      </c>
      <c r="G2504" s="373" t="s">
        <v>4312</v>
      </c>
      <c r="H2504" s="461" t="s">
        <v>4294</v>
      </c>
      <c r="I2504" s="178" t="s">
        <v>4295</v>
      </c>
      <c r="J2504" s="369">
        <v>45254</v>
      </c>
      <c r="K2504" s="747">
        <v>0.375</v>
      </c>
      <c r="L2504" s="369">
        <v>45254</v>
      </c>
      <c r="M2504" s="753">
        <v>0.625</v>
      </c>
      <c r="N2504" s="210">
        <v>6</v>
      </c>
      <c r="O2504" s="184" t="s">
        <v>17</v>
      </c>
      <c r="P2504" s="375" t="s">
        <v>4277</v>
      </c>
      <c r="Q2504" s="179" t="s">
        <v>3434</v>
      </c>
      <c r="R2504" s="171" t="s">
        <v>40</v>
      </c>
      <c r="S2504" s="31" t="s">
        <v>273</v>
      </c>
      <c r="T2504" s="31" t="s">
        <v>273</v>
      </c>
      <c r="U2504" s="31">
        <f>IFERROR(VLOOKUP(CONCATENATE(Tabla1[[#This Row],[Severidad]]," ",Tabla1[[#This Row],[Complejidad]]),Catalogos!E$120:G$128,3,FALSE),"")</f>
        <v>64</v>
      </c>
      <c r="V2504" s="31" t="str">
        <f>IF(Tabla1[[#This Row],[Tiempo solución max (hrs)]]&lt;&gt;"",IF(Tabla1[[#This Row],[Tiempo solución max (hrs)]]&gt;=Tabla1[[#This Row],[Tiempo
(Hrs 00/100)]],"cumple","no cumple"),"")</f>
        <v>cumple</v>
      </c>
      <c r="W2504" s="376" t="s">
        <v>4210</v>
      </c>
      <c r="X2504" s="377" t="str">
        <f t="shared" si="206"/>
        <v>SAI</v>
      </c>
      <c r="Y2504" t="str">
        <f>SUBSTITUTE(Tabla1[[#This Row],[Descripción]],CHAR(10),"    I    ")</f>
        <v>Se agrega una nueva barra de navegación para poder hacer back al location</v>
      </c>
      <c r="Z2504" s="142">
        <f>VLOOKUP(Tabla1[[#This Row],[Perfil]],Catalogos!$B$75:$D$100,3,FALSE)*Tabla1[[#This Row],[Tiempo
(Hrs 00/100)]]*1.16</f>
        <v>4872</v>
      </c>
      <c r="AA2504" t="s">
        <v>3356</v>
      </c>
    </row>
    <row r="2505" spans="1:27" ht="15" customHeight="1" x14ac:dyDescent="0.3">
      <c r="A2505" s="617" t="s">
        <v>22</v>
      </c>
      <c r="B2505" s="373" t="s">
        <v>23</v>
      </c>
      <c r="C2505" s="373" t="s">
        <v>49</v>
      </c>
      <c r="D2505" s="373"/>
      <c r="E2505" s="637" t="s">
        <v>4302</v>
      </c>
      <c r="F2505" s="373" t="s">
        <v>23</v>
      </c>
      <c r="G2505" s="373" t="s">
        <v>4313</v>
      </c>
      <c r="H2505" s="461" t="s">
        <v>4296</v>
      </c>
      <c r="I2505" s="178" t="s">
        <v>4297</v>
      </c>
      <c r="J2505" s="369">
        <v>45257</v>
      </c>
      <c r="K2505" s="747">
        <v>0.375</v>
      </c>
      <c r="L2505" s="369">
        <v>45257</v>
      </c>
      <c r="M2505" s="753">
        <v>0.79166666666666663</v>
      </c>
      <c r="N2505" s="210">
        <v>8.5</v>
      </c>
      <c r="O2505" s="184" t="s">
        <v>411</v>
      </c>
      <c r="P2505" s="375" t="s">
        <v>4277</v>
      </c>
      <c r="Q2505" s="179" t="s">
        <v>3434</v>
      </c>
      <c r="R2505" s="171" t="s">
        <v>40</v>
      </c>
      <c r="S2505" s="31" t="s">
        <v>273</v>
      </c>
      <c r="T2505" s="31" t="s">
        <v>273</v>
      </c>
      <c r="U2505" s="31">
        <f>IFERROR(VLOOKUP(CONCATENATE(Tabla1[[#This Row],[Severidad]]," ",Tabla1[[#This Row],[Complejidad]]),Catalogos!E$120:G$128,3,FALSE),"")</f>
        <v>64</v>
      </c>
      <c r="V2505" s="31" t="str">
        <f>IF(Tabla1[[#This Row],[Tiempo solución max (hrs)]]&lt;&gt;"",IF(Tabla1[[#This Row],[Tiempo solución max (hrs)]]&gt;=Tabla1[[#This Row],[Tiempo
(Hrs 00/100)]],"cumple","no cumple"),"")</f>
        <v>cumple</v>
      </c>
      <c r="W2505" s="376" t="s">
        <v>4210</v>
      </c>
      <c r="X2505" s="377" t="str">
        <f t="shared" si="206"/>
        <v>SAI</v>
      </c>
      <c r="Y2505" t="str">
        <f>SUBSTITUTE(Tabla1[[#This Row],[Descripción]],CHAR(10),"    I    ")</f>
        <v>Se migran componentes de la vista de detalle de contrato</v>
      </c>
      <c r="Z2505" s="142">
        <f>VLOOKUP(Tabla1[[#This Row],[Perfil]],Catalogos!$B$75:$D$100,3,FALSE)*Tabla1[[#This Row],[Tiempo
(Hrs 00/100)]]*1.16</f>
        <v>6901.9999999999991</v>
      </c>
      <c r="AA2505" t="s">
        <v>3356</v>
      </c>
    </row>
    <row r="2506" spans="1:27" ht="15" customHeight="1" x14ac:dyDescent="0.3">
      <c r="A2506" s="617" t="s">
        <v>22</v>
      </c>
      <c r="B2506" s="373" t="s">
        <v>23</v>
      </c>
      <c r="C2506" s="373" t="s">
        <v>49</v>
      </c>
      <c r="D2506" s="373"/>
      <c r="E2506" s="637" t="s">
        <v>4302</v>
      </c>
      <c r="F2506" s="373" t="s">
        <v>23</v>
      </c>
      <c r="G2506" s="373" t="s">
        <v>4313</v>
      </c>
      <c r="H2506" s="461" t="s">
        <v>4296</v>
      </c>
      <c r="I2506" s="178" t="s">
        <v>4297</v>
      </c>
      <c r="J2506" s="369">
        <v>45258</v>
      </c>
      <c r="K2506" s="747">
        <v>0.375</v>
      </c>
      <c r="L2506" s="369">
        <v>45258</v>
      </c>
      <c r="M2506" s="753">
        <v>0.79166666666666663</v>
      </c>
      <c r="N2506" s="210">
        <v>8.5</v>
      </c>
      <c r="O2506" s="184" t="s">
        <v>17</v>
      </c>
      <c r="P2506" s="375" t="s">
        <v>4277</v>
      </c>
      <c r="Q2506" s="179" t="s">
        <v>3434</v>
      </c>
      <c r="R2506" s="171" t="s">
        <v>40</v>
      </c>
      <c r="S2506" s="31" t="s">
        <v>273</v>
      </c>
      <c r="T2506" s="31" t="s">
        <v>273</v>
      </c>
      <c r="U2506" s="31">
        <f>IFERROR(VLOOKUP(CONCATENATE(Tabla1[[#This Row],[Severidad]]," ",Tabla1[[#This Row],[Complejidad]]),Catalogos!E$120:G$128,3,FALSE),"")</f>
        <v>64</v>
      </c>
      <c r="V2506" s="31" t="str">
        <f>IF(Tabla1[[#This Row],[Tiempo solución max (hrs)]]&lt;&gt;"",IF(Tabla1[[#This Row],[Tiempo solución max (hrs)]]&gt;=Tabla1[[#This Row],[Tiempo
(Hrs 00/100)]],"cumple","no cumple"),"")</f>
        <v>cumple</v>
      </c>
      <c r="W2506" s="376" t="s">
        <v>4210</v>
      </c>
      <c r="X2506" s="377" t="str">
        <f t="shared" si="206"/>
        <v>SAI</v>
      </c>
      <c r="Y2506" t="str">
        <f>SUBSTITUTE(Tabla1[[#This Row],[Descripción]],CHAR(10),"    I    ")</f>
        <v>Se migran componentes de la vista de detalle de contrato</v>
      </c>
      <c r="Z2506" s="142">
        <f>VLOOKUP(Tabla1[[#This Row],[Perfil]],Catalogos!$B$75:$D$100,3,FALSE)*Tabla1[[#This Row],[Tiempo
(Hrs 00/100)]]*1.16</f>
        <v>6901.9999999999991</v>
      </c>
      <c r="AA2506" t="s">
        <v>3356</v>
      </c>
    </row>
    <row r="2507" spans="1:27" ht="15" customHeight="1" x14ac:dyDescent="0.3">
      <c r="A2507" s="617" t="s">
        <v>22</v>
      </c>
      <c r="B2507" s="373" t="s">
        <v>23</v>
      </c>
      <c r="C2507" s="373" t="s">
        <v>49</v>
      </c>
      <c r="D2507" s="373"/>
      <c r="E2507" s="637" t="s">
        <v>4302</v>
      </c>
      <c r="F2507" s="373" t="s">
        <v>23</v>
      </c>
      <c r="G2507" s="373" t="s">
        <v>4314</v>
      </c>
      <c r="H2507" s="461" t="s">
        <v>4298</v>
      </c>
      <c r="I2507" s="178" t="s">
        <v>4299</v>
      </c>
      <c r="J2507" s="369">
        <v>45259</v>
      </c>
      <c r="K2507" s="747">
        <v>0.375</v>
      </c>
      <c r="L2507" s="369">
        <v>45259</v>
      </c>
      <c r="M2507" s="753">
        <v>0.79166666666666663</v>
      </c>
      <c r="N2507" s="210">
        <v>8.5</v>
      </c>
      <c r="O2507" s="184" t="s">
        <v>17</v>
      </c>
      <c r="P2507" s="375" t="s">
        <v>4277</v>
      </c>
      <c r="Q2507" s="179" t="s">
        <v>3434</v>
      </c>
      <c r="R2507" s="171" t="s">
        <v>40</v>
      </c>
      <c r="S2507" s="31" t="s">
        <v>273</v>
      </c>
      <c r="T2507" s="31" t="s">
        <v>273</v>
      </c>
      <c r="U2507" s="31">
        <f>IFERROR(VLOOKUP(CONCATENATE(Tabla1[[#This Row],[Severidad]]," ",Tabla1[[#This Row],[Complejidad]]),Catalogos!E$120:G$128,3,FALSE),"")</f>
        <v>64</v>
      </c>
      <c r="V2507" s="31" t="str">
        <f>IF(Tabla1[[#This Row],[Tiempo solución max (hrs)]]&lt;&gt;"",IF(Tabla1[[#This Row],[Tiempo solución max (hrs)]]&gt;=Tabla1[[#This Row],[Tiempo
(Hrs 00/100)]],"cumple","no cumple"),"")</f>
        <v>cumple</v>
      </c>
      <c r="W2507" s="376" t="s">
        <v>4210</v>
      </c>
      <c r="X2507" s="377" t="str">
        <f t="shared" si="206"/>
        <v>SAI</v>
      </c>
      <c r="Y2507" t="str">
        <f>SUBSTITUTE(Tabla1[[#This Row],[Descripción]],CHAR(10),"    I    ")</f>
        <v>Se realiza una reestructuración de servicios y manejo de datos de acuerdo a los nuevos componentes</v>
      </c>
      <c r="Z2507" s="142">
        <f>VLOOKUP(Tabla1[[#This Row],[Perfil]],Catalogos!$B$75:$D$100,3,FALSE)*Tabla1[[#This Row],[Tiempo
(Hrs 00/100)]]*1.16</f>
        <v>6901.9999999999991</v>
      </c>
      <c r="AA2507" t="s">
        <v>3356</v>
      </c>
    </row>
    <row r="2508" spans="1:27" ht="15" customHeight="1" x14ac:dyDescent="0.3">
      <c r="A2508" s="617" t="s">
        <v>22</v>
      </c>
      <c r="B2508" s="373" t="s">
        <v>23</v>
      </c>
      <c r="C2508" s="373" t="s">
        <v>49</v>
      </c>
      <c r="D2508" s="373"/>
      <c r="E2508" s="637" t="s">
        <v>4302</v>
      </c>
      <c r="F2508" s="373" t="s">
        <v>23</v>
      </c>
      <c r="G2508" s="373" t="s">
        <v>4315</v>
      </c>
      <c r="H2508" s="461" t="s">
        <v>4300</v>
      </c>
      <c r="I2508" s="178" t="s">
        <v>4301</v>
      </c>
      <c r="J2508" s="369">
        <v>45260</v>
      </c>
      <c r="K2508" s="747">
        <v>0.375</v>
      </c>
      <c r="L2508" s="369">
        <v>45260</v>
      </c>
      <c r="M2508" s="753">
        <v>0.79166666666666663</v>
      </c>
      <c r="N2508" s="210">
        <v>8.5</v>
      </c>
      <c r="O2508" s="184" t="s">
        <v>17</v>
      </c>
      <c r="P2508" s="375" t="s">
        <v>4277</v>
      </c>
      <c r="Q2508" s="179" t="s">
        <v>3434</v>
      </c>
      <c r="R2508" s="171" t="s">
        <v>40</v>
      </c>
      <c r="S2508" s="31" t="s">
        <v>273</v>
      </c>
      <c r="T2508" s="31" t="s">
        <v>273</v>
      </c>
      <c r="U2508" s="31">
        <f>IFERROR(VLOOKUP(CONCATENATE(Tabla1[[#This Row],[Severidad]]," ",Tabla1[[#This Row],[Complejidad]]),Catalogos!E$120:G$128,3,FALSE),"")</f>
        <v>64</v>
      </c>
      <c r="V2508" s="31" t="str">
        <f>IF(Tabla1[[#This Row],[Tiempo solución max (hrs)]]&lt;&gt;"",IF(Tabla1[[#This Row],[Tiempo solución max (hrs)]]&gt;=Tabla1[[#This Row],[Tiempo
(Hrs 00/100)]],"cumple","no cumple"),"")</f>
        <v>cumple</v>
      </c>
      <c r="W2508" s="376" t="s">
        <v>4210</v>
      </c>
      <c r="X2508" s="377" t="str">
        <f t="shared" si="206"/>
        <v>SAI</v>
      </c>
      <c r="Y2508" t="str">
        <f>SUBSTITUTE(Tabla1[[#This Row],[Descripción]],CHAR(10),"    I    ")</f>
        <v>Se refactoriza implementación de servicios</v>
      </c>
      <c r="Z2508" s="142">
        <f>VLOOKUP(Tabla1[[#This Row],[Perfil]],Catalogos!$B$75:$D$100,3,FALSE)*Tabla1[[#This Row],[Tiempo
(Hrs 00/100)]]*1.16</f>
        <v>6901.9999999999991</v>
      </c>
      <c r="AA2508" t="s">
        <v>3356</v>
      </c>
    </row>
    <row r="2509" spans="1:27" ht="15" customHeight="1" x14ac:dyDescent="0.3">
      <c r="A2509" s="614" t="s">
        <v>22</v>
      </c>
      <c r="B2509" s="373" t="s">
        <v>23</v>
      </c>
      <c r="C2509" s="373" t="s">
        <v>45</v>
      </c>
      <c r="D2509" s="373"/>
      <c r="E2509" s="373" t="s">
        <v>375</v>
      </c>
      <c r="F2509" s="373" t="s">
        <v>23</v>
      </c>
      <c r="G2509" s="373" t="s">
        <v>4351</v>
      </c>
      <c r="H2509" s="461" t="s">
        <v>4352</v>
      </c>
      <c r="I2509" s="178" t="s">
        <v>4353</v>
      </c>
      <c r="J2509" s="369">
        <v>45231</v>
      </c>
      <c r="K2509" s="747">
        <v>0.375</v>
      </c>
      <c r="L2509" s="369">
        <v>45231</v>
      </c>
      <c r="M2509" s="753">
        <v>0.79166666666666663</v>
      </c>
      <c r="N2509" s="210">
        <v>8.5</v>
      </c>
      <c r="O2509" s="184" t="s">
        <v>17</v>
      </c>
      <c r="P2509" s="375" t="s">
        <v>3365</v>
      </c>
      <c r="Q2509" s="179" t="s">
        <v>2415</v>
      </c>
      <c r="R2509" s="171" t="s">
        <v>40</v>
      </c>
      <c r="S2509" s="31" t="s">
        <v>273</v>
      </c>
      <c r="T2509" s="31" t="s">
        <v>273</v>
      </c>
      <c r="U2509" s="31">
        <f>IFERROR(VLOOKUP(CONCATENATE(Tabla1[[#This Row],[Severidad]]," ",Tabla1[[#This Row],[Complejidad]]),Catalogos!E$120:G$128,3,FALSE),"")</f>
        <v>64</v>
      </c>
      <c r="V2509" s="31" t="str">
        <f>IF(Tabla1[[#This Row],[Tiempo solución max (hrs)]]&lt;&gt;"",IF(Tabla1[[#This Row],[Tiempo solución max (hrs)]]&gt;=Tabla1[[#This Row],[Tiempo
(Hrs 00/100)]],"cumple","no cumple"),"")</f>
        <v>cumple</v>
      </c>
      <c r="W2509" s="376" t="s">
        <v>4210</v>
      </c>
      <c r="X2509" s="377" t="str">
        <f t="shared" si="206"/>
        <v>SPD</v>
      </c>
      <c r="Y2509" t="str">
        <f>SUBSTITUTE(Tabla1[[#This Row],[Descripción]],CHAR(10),"    I    ")</f>
        <v>Cambio en los servicios de solicitudes para que la consulta se por medio de criteria query y no por procesos de base de datos</v>
      </c>
      <c r="Z2509" s="142">
        <f>VLOOKUP(Tabla1[[#This Row],[Perfil]],Catalogos!$B$75:$D$100,3,FALSE)*Tabla1[[#This Row],[Tiempo
(Hrs 00/100)]]*1.16</f>
        <v>6901.9999999999991</v>
      </c>
    </row>
    <row r="2510" spans="1:27" ht="15" customHeight="1" x14ac:dyDescent="0.3">
      <c r="A2510" s="614" t="s">
        <v>22</v>
      </c>
      <c r="B2510" s="373" t="s">
        <v>23</v>
      </c>
      <c r="C2510" s="373" t="s">
        <v>45</v>
      </c>
      <c r="D2510" s="373"/>
      <c r="E2510" s="373" t="s">
        <v>375</v>
      </c>
      <c r="F2510" s="373" t="s">
        <v>23</v>
      </c>
      <c r="G2510" s="373" t="s">
        <v>4354</v>
      </c>
      <c r="H2510" s="461" t="s">
        <v>4355</v>
      </c>
      <c r="I2510" s="178" t="s">
        <v>4356</v>
      </c>
      <c r="J2510" s="369">
        <v>45233</v>
      </c>
      <c r="K2510" s="747">
        <v>0.375</v>
      </c>
      <c r="L2510" s="369">
        <v>45233</v>
      </c>
      <c r="M2510" s="753">
        <v>0.625</v>
      </c>
      <c r="N2510" s="210">
        <v>6</v>
      </c>
      <c r="O2510" s="184" t="s">
        <v>17</v>
      </c>
      <c r="P2510" s="375" t="s">
        <v>3365</v>
      </c>
      <c r="Q2510" s="179" t="s">
        <v>2415</v>
      </c>
      <c r="R2510" s="171" t="s">
        <v>40</v>
      </c>
      <c r="S2510" s="31" t="s">
        <v>273</v>
      </c>
      <c r="T2510" s="31" t="s">
        <v>273</v>
      </c>
      <c r="U2510" s="31">
        <f>IFERROR(VLOOKUP(CONCATENATE(Tabla1[[#This Row],[Severidad]]," ",Tabla1[[#This Row],[Complejidad]]),Catalogos!E$120:G$128,3,FALSE),"")</f>
        <v>64</v>
      </c>
      <c r="V2510" s="31" t="str">
        <f>IF(Tabla1[[#This Row],[Tiempo solución max (hrs)]]&lt;&gt;"",IF(Tabla1[[#This Row],[Tiempo solución max (hrs)]]&gt;=Tabla1[[#This Row],[Tiempo
(Hrs 00/100)]],"cumple","no cumple"),"")</f>
        <v>cumple</v>
      </c>
      <c r="W2510" s="376" t="s">
        <v>4210</v>
      </c>
      <c r="X2510" s="377" t="str">
        <f t="shared" si="206"/>
        <v>SPD</v>
      </c>
      <c r="Y2510" t="str">
        <f>SUBSTITUTE(Tabla1[[#This Row],[Descripción]],CHAR(10),"    I    ")</f>
        <v>Cambio en los servicios de resoluciones para que la consulta se por medio de criteria query y no por procesos de base de datos</v>
      </c>
      <c r="Z2510" s="142">
        <f>VLOOKUP(Tabla1[[#This Row],[Perfil]],Catalogos!$B$75:$D$100,3,FALSE)*Tabla1[[#This Row],[Tiempo
(Hrs 00/100)]]*1.16</f>
        <v>4872</v>
      </c>
    </row>
    <row r="2511" spans="1:27" ht="15" customHeight="1" x14ac:dyDescent="0.3">
      <c r="A2511" s="614" t="s">
        <v>22</v>
      </c>
      <c r="B2511" s="373" t="s">
        <v>23</v>
      </c>
      <c r="C2511" s="373" t="s">
        <v>45</v>
      </c>
      <c r="D2511" s="373"/>
      <c r="E2511" s="373" t="s">
        <v>375</v>
      </c>
      <c r="F2511" s="373" t="s">
        <v>23</v>
      </c>
      <c r="G2511" s="373" t="s">
        <v>4357</v>
      </c>
      <c r="H2511" s="461" t="s">
        <v>4358</v>
      </c>
      <c r="I2511" s="178" t="s">
        <v>4359</v>
      </c>
      <c r="J2511" s="369">
        <v>45236</v>
      </c>
      <c r="K2511" s="747">
        <v>0.375</v>
      </c>
      <c r="L2511" s="369">
        <v>45236</v>
      </c>
      <c r="M2511" s="753">
        <v>0.79166666666666663</v>
      </c>
      <c r="N2511" s="210">
        <v>8.5</v>
      </c>
      <c r="O2511" s="184" t="s">
        <v>17</v>
      </c>
      <c r="P2511" s="375" t="s">
        <v>3365</v>
      </c>
      <c r="Q2511" s="179" t="s">
        <v>2415</v>
      </c>
      <c r="R2511" s="171" t="s">
        <v>40</v>
      </c>
      <c r="S2511" s="31" t="s">
        <v>273</v>
      </c>
      <c r="T2511" s="31" t="s">
        <v>273</v>
      </c>
      <c r="U2511" s="31">
        <f>IFERROR(VLOOKUP(CONCATENATE(Tabla1[[#This Row],[Severidad]]," ",Tabla1[[#This Row],[Complejidad]]),Catalogos!E$120:G$128,3,FALSE),"")</f>
        <v>64</v>
      </c>
      <c r="V2511" s="31" t="str">
        <f>IF(Tabla1[[#This Row],[Tiempo solución max (hrs)]]&lt;&gt;"",IF(Tabla1[[#This Row],[Tiempo solución max (hrs)]]&gt;=Tabla1[[#This Row],[Tiempo
(Hrs 00/100)]],"cumple","no cumple"),"")</f>
        <v>cumple</v>
      </c>
      <c r="W2511" s="376" t="s">
        <v>4210</v>
      </c>
      <c r="X2511" s="377" t="str">
        <f t="shared" si="206"/>
        <v>SPD</v>
      </c>
      <c r="Y2511" t="str">
        <f>SUBSTITUTE(Tabla1[[#This Row],[Descripción]],CHAR(10),"    I    ")</f>
        <v>Se desarrolla el servicio para obtener el top de sujetos obligados que reciben más solicitudes</v>
      </c>
      <c r="Z2511" s="142">
        <f>VLOOKUP(Tabla1[[#This Row],[Perfil]],Catalogos!$B$75:$D$100,3,FALSE)*Tabla1[[#This Row],[Tiempo
(Hrs 00/100)]]*1.16</f>
        <v>6901.9999999999991</v>
      </c>
    </row>
    <row r="2512" spans="1:27" ht="15" customHeight="1" x14ac:dyDescent="0.3">
      <c r="A2512" s="614" t="s">
        <v>22</v>
      </c>
      <c r="B2512" s="373" t="s">
        <v>23</v>
      </c>
      <c r="C2512" s="373" t="s">
        <v>45</v>
      </c>
      <c r="D2512" s="373"/>
      <c r="E2512" s="373" t="s">
        <v>375</v>
      </c>
      <c r="F2512" s="373" t="s">
        <v>23</v>
      </c>
      <c r="G2512" s="373" t="s">
        <v>4360</v>
      </c>
      <c r="H2512" s="461" t="s">
        <v>4361</v>
      </c>
      <c r="I2512" s="178" t="s">
        <v>4362</v>
      </c>
      <c r="J2512" s="369">
        <v>45237</v>
      </c>
      <c r="K2512" s="747">
        <v>0.375</v>
      </c>
      <c r="L2512" s="369">
        <v>45237</v>
      </c>
      <c r="M2512" s="753">
        <v>0.79166666666666663</v>
      </c>
      <c r="N2512" s="210">
        <v>8.5</v>
      </c>
      <c r="O2512" s="184" t="s">
        <v>17</v>
      </c>
      <c r="P2512" s="375" t="s">
        <v>3365</v>
      </c>
      <c r="Q2512" s="179" t="s">
        <v>2415</v>
      </c>
      <c r="R2512" s="171" t="s">
        <v>40</v>
      </c>
      <c r="S2512" s="31" t="s">
        <v>273</v>
      </c>
      <c r="T2512" s="31" t="s">
        <v>273</v>
      </c>
      <c r="U2512" s="31">
        <f>IFERROR(VLOOKUP(CONCATENATE(Tabla1[[#This Row],[Severidad]]," ",Tabla1[[#This Row],[Complejidad]]),Catalogos!E$120:G$128,3,FALSE),"")</f>
        <v>64</v>
      </c>
      <c r="V2512" s="31" t="str">
        <f>IF(Tabla1[[#This Row],[Tiempo solución max (hrs)]]&lt;&gt;"",IF(Tabla1[[#This Row],[Tiempo solución max (hrs)]]&gt;=Tabla1[[#This Row],[Tiempo
(Hrs 00/100)]],"cumple","no cumple"),"")</f>
        <v>cumple</v>
      </c>
      <c r="W2512" s="376" t="s">
        <v>4210</v>
      </c>
      <c r="X2512" s="377" t="str">
        <f t="shared" si="206"/>
        <v>SPD</v>
      </c>
      <c r="Y2512" t="str">
        <f>SUBSTITUTE(Tabla1[[#This Row],[Descripción]],CHAR(10),"    I    ")</f>
        <v>Se desarrolla el servicio para obtener el top de sujetos obligados que reciben más quejas</v>
      </c>
      <c r="Z2512" s="142">
        <f>VLOOKUP(Tabla1[[#This Row],[Perfil]],Catalogos!$B$75:$D$100,3,FALSE)*Tabla1[[#This Row],[Tiempo
(Hrs 00/100)]]*1.16</f>
        <v>6901.9999999999991</v>
      </c>
    </row>
    <row r="2513" spans="1:26" ht="15" customHeight="1" x14ac:dyDescent="0.3">
      <c r="A2513" s="614" t="s">
        <v>22</v>
      </c>
      <c r="B2513" s="373" t="s">
        <v>23</v>
      </c>
      <c r="C2513" s="373" t="s">
        <v>45</v>
      </c>
      <c r="D2513" s="373"/>
      <c r="E2513" s="373" t="s">
        <v>375</v>
      </c>
      <c r="F2513" s="373" t="s">
        <v>23</v>
      </c>
      <c r="G2513" s="373" t="s">
        <v>4363</v>
      </c>
      <c r="H2513" s="461" t="s">
        <v>4364</v>
      </c>
      <c r="I2513" s="178" t="s">
        <v>4365</v>
      </c>
      <c r="J2513" s="369">
        <v>45238</v>
      </c>
      <c r="K2513" s="747">
        <v>0.375</v>
      </c>
      <c r="L2513" s="369">
        <v>45238</v>
      </c>
      <c r="M2513" s="753">
        <v>0.79166666666666663</v>
      </c>
      <c r="N2513" s="210">
        <v>8.5</v>
      </c>
      <c r="O2513" s="184" t="s">
        <v>17</v>
      </c>
      <c r="P2513" s="375" t="s">
        <v>3365</v>
      </c>
      <c r="Q2513" s="179" t="s">
        <v>2415</v>
      </c>
      <c r="R2513" s="171" t="s">
        <v>40</v>
      </c>
      <c r="S2513" s="31" t="s">
        <v>273</v>
      </c>
      <c r="T2513" s="31" t="s">
        <v>273</v>
      </c>
      <c r="U2513" s="31">
        <f>IFERROR(VLOOKUP(CONCATENATE(Tabla1[[#This Row],[Severidad]]," ",Tabla1[[#This Row],[Complejidad]]),Catalogos!E$120:G$128,3,FALSE),"")</f>
        <v>64</v>
      </c>
      <c r="V2513" s="31" t="str">
        <f>IF(Tabla1[[#This Row],[Tiempo solución max (hrs)]]&lt;&gt;"",IF(Tabla1[[#This Row],[Tiempo solución max (hrs)]]&gt;=Tabla1[[#This Row],[Tiempo
(Hrs 00/100)]],"cumple","no cumple"),"")</f>
        <v>cumple</v>
      </c>
      <c r="W2513" s="376" t="s">
        <v>4210</v>
      </c>
      <c r="X2513" s="377" t="str">
        <f t="shared" si="206"/>
        <v>SPD</v>
      </c>
      <c r="Y2513" t="str">
        <f>SUBSTITUTE(Tabla1[[#This Row],[Descripción]],CHAR(10),"    I    ")</f>
        <v>Se desarrolla el servicio para obtener el top de comisionados que hacen resoluciones</v>
      </c>
      <c r="Z2513" s="142">
        <f>VLOOKUP(Tabla1[[#This Row],[Perfil]],Catalogos!$B$75:$D$100,3,FALSE)*Tabla1[[#This Row],[Tiempo
(Hrs 00/100)]]*1.16</f>
        <v>6901.9999999999991</v>
      </c>
    </row>
    <row r="2514" spans="1:26" ht="15" customHeight="1" x14ac:dyDescent="0.3">
      <c r="A2514" s="614" t="s">
        <v>22</v>
      </c>
      <c r="B2514" s="373" t="s">
        <v>23</v>
      </c>
      <c r="C2514" s="373" t="s">
        <v>45</v>
      </c>
      <c r="D2514" s="373"/>
      <c r="E2514" s="373" t="s">
        <v>375</v>
      </c>
      <c r="F2514" s="373" t="s">
        <v>23</v>
      </c>
      <c r="G2514" s="373" t="s">
        <v>4366</v>
      </c>
      <c r="H2514" s="461" t="s">
        <v>4367</v>
      </c>
      <c r="I2514" s="178" t="s">
        <v>4368</v>
      </c>
      <c r="J2514" s="369">
        <v>45239</v>
      </c>
      <c r="K2514" s="747">
        <v>0.375</v>
      </c>
      <c r="L2514" s="369">
        <v>45239</v>
      </c>
      <c r="M2514" s="753">
        <v>0.79166666666666663</v>
      </c>
      <c r="N2514" s="210">
        <v>8.5</v>
      </c>
      <c r="O2514" s="184" t="s">
        <v>17</v>
      </c>
      <c r="P2514" s="375" t="s">
        <v>3365</v>
      </c>
      <c r="Q2514" s="179" t="s">
        <v>2415</v>
      </c>
      <c r="R2514" s="171" t="s">
        <v>40</v>
      </c>
      <c r="S2514" s="31" t="s">
        <v>273</v>
      </c>
      <c r="T2514" s="31" t="s">
        <v>273</v>
      </c>
      <c r="U2514" s="31">
        <f>IFERROR(VLOOKUP(CONCATENATE(Tabla1[[#This Row],[Severidad]]," ",Tabla1[[#This Row],[Complejidad]]),Catalogos!E$120:G$128,3,FALSE),"")</f>
        <v>64</v>
      </c>
      <c r="V2514" s="31" t="str">
        <f>IF(Tabla1[[#This Row],[Tiempo solución max (hrs)]]&lt;&gt;"",IF(Tabla1[[#This Row],[Tiempo solución max (hrs)]]&gt;=Tabla1[[#This Row],[Tiempo
(Hrs 00/100)]],"cumple","no cumple"),"")</f>
        <v>cumple</v>
      </c>
      <c r="W2514" s="376" t="s">
        <v>4210</v>
      </c>
      <c r="X2514" s="377" t="str">
        <f t="shared" si="206"/>
        <v>SPD</v>
      </c>
      <c r="Y2514" t="str">
        <f>SUBSTITUTE(Tabla1[[#This Row],[Descripción]],CHAR(10),"    I    ")</f>
        <v>Cambio en el mapeo de entidades para obtener la descripción de las solicitudes sin hacer join a tablas externas</v>
      </c>
      <c r="Z2514" s="142">
        <f>VLOOKUP(Tabla1[[#This Row],[Perfil]],Catalogos!$B$75:$D$100,3,FALSE)*Tabla1[[#This Row],[Tiempo
(Hrs 00/100)]]*1.16</f>
        <v>6901.9999999999991</v>
      </c>
    </row>
    <row r="2515" spans="1:26" ht="15" customHeight="1" x14ac:dyDescent="0.3">
      <c r="A2515" s="614" t="s">
        <v>22</v>
      </c>
      <c r="B2515" s="373" t="s">
        <v>23</v>
      </c>
      <c r="C2515" s="373" t="s">
        <v>45</v>
      </c>
      <c r="D2515" s="373"/>
      <c r="E2515" s="373" t="s">
        <v>375</v>
      </c>
      <c r="F2515" s="373" t="s">
        <v>23</v>
      </c>
      <c r="G2515" s="373" t="s">
        <v>4369</v>
      </c>
      <c r="H2515" s="461" t="s">
        <v>4370</v>
      </c>
      <c r="I2515" s="178" t="s">
        <v>4371</v>
      </c>
      <c r="J2515" s="369">
        <v>45240</v>
      </c>
      <c r="K2515" s="747">
        <v>0.375</v>
      </c>
      <c r="L2515" s="369">
        <v>45240</v>
      </c>
      <c r="M2515" s="753">
        <v>0.625</v>
      </c>
      <c r="N2515" s="210">
        <v>6</v>
      </c>
      <c r="O2515" s="184" t="s">
        <v>411</v>
      </c>
      <c r="P2515" s="375" t="s">
        <v>3365</v>
      </c>
      <c r="Q2515" s="179" t="s">
        <v>2415</v>
      </c>
      <c r="R2515" s="171" t="s">
        <v>40</v>
      </c>
      <c r="S2515" s="31" t="s">
        <v>273</v>
      </c>
      <c r="T2515" s="31" t="s">
        <v>273</v>
      </c>
      <c r="U2515" s="31">
        <f>IFERROR(VLOOKUP(CONCATENATE(Tabla1[[#This Row],[Severidad]]," ",Tabla1[[#This Row],[Complejidad]]),Catalogos!E$120:G$128,3,FALSE),"")</f>
        <v>64</v>
      </c>
      <c r="V2515" s="31" t="str">
        <f>IF(Tabla1[[#This Row],[Tiempo solución max (hrs)]]&lt;&gt;"",IF(Tabla1[[#This Row],[Tiempo solución max (hrs)]]&gt;=Tabla1[[#This Row],[Tiempo
(Hrs 00/100)]],"cumple","no cumple"),"")</f>
        <v>cumple</v>
      </c>
      <c r="W2515" s="376" t="s">
        <v>4210</v>
      </c>
      <c r="X2515" s="377" t="str">
        <f t="shared" si="206"/>
        <v>SPD</v>
      </c>
      <c r="Y2515" t="str">
        <f>SUBSTITUTE(Tabla1[[#This Row],[Descripción]],CHAR(10),"    I    ")</f>
        <v>Cambio en el mapeo de entidades para obtener la descripción de las quejas sin hacer join a tablas externas</v>
      </c>
      <c r="Z2515" s="142">
        <f>VLOOKUP(Tabla1[[#This Row],[Perfil]],Catalogos!$B$75:$D$100,3,FALSE)*Tabla1[[#This Row],[Tiempo
(Hrs 00/100)]]*1.16</f>
        <v>4872</v>
      </c>
    </row>
    <row r="2516" spans="1:26" ht="15" customHeight="1" x14ac:dyDescent="0.3">
      <c r="A2516" s="614" t="s">
        <v>22</v>
      </c>
      <c r="B2516" s="373" t="s">
        <v>23</v>
      </c>
      <c r="C2516" s="373" t="s">
        <v>45</v>
      </c>
      <c r="D2516" s="373"/>
      <c r="E2516" s="373" t="s">
        <v>375</v>
      </c>
      <c r="F2516" s="373" t="s">
        <v>23</v>
      </c>
      <c r="G2516" s="373" t="s">
        <v>4369</v>
      </c>
      <c r="H2516" s="461" t="s">
        <v>4370</v>
      </c>
      <c r="I2516" s="178" t="s">
        <v>4371</v>
      </c>
      <c r="J2516" s="369">
        <v>45243</v>
      </c>
      <c r="K2516" s="747">
        <v>0.375</v>
      </c>
      <c r="L2516" s="369">
        <v>45243</v>
      </c>
      <c r="M2516" s="753">
        <v>0.79166666666666663</v>
      </c>
      <c r="N2516" s="210">
        <v>8.5</v>
      </c>
      <c r="O2516" s="184" t="s">
        <v>17</v>
      </c>
      <c r="P2516" s="375" t="s">
        <v>3365</v>
      </c>
      <c r="Q2516" s="179" t="s">
        <v>2415</v>
      </c>
      <c r="R2516" s="171" t="s">
        <v>40</v>
      </c>
      <c r="S2516" s="31" t="s">
        <v>273</v>
      </c>
      <c r="T2516" s="31" t="s">
        <v>273</v>
      </c>
      <c r="U2516" s="31">
        <f>IFERROR(VLOOKUP(CONCATENATE(Tabla1[[#This Row],[Severidad]]," ",Tabla1[[#This Row],[Complejidad]]),Catalogos!E$120:G$128,3,FALSE),"")</f>
        <v>64</v>
      </c>
      <c r="V2516" s="31" t="str">
        <f>IF(Tabla1[[#This Row],[Tiempo solución max (hrs)]]&lt;&gt;"",IF(Tabla1[[#This Row],[Tiempo solución max (hrs)]]&gt;=Tabla1[[#This Row],[Tiempo
(Hrs 00/100)]],"cumple","no cumple"),"")</f>
        <v>cumple</v>
      </c>
      <c r="W2516" s="376" t="s">
        <v>4210</v>
      </c>
      <c r="X2516" s="377" t="str">
        <f t="shared" si="206"/>
        <v>SPD</v>
      </c>
      <c r="Y2516" t="str">
        <f>SUBSTITUTE(Tabla1[[#This Row],[Descripción]],CHAR(10),"    I    ")</f>
        <v>Cambio en el mapeo de entidades para obtener la descripción de las quejas sin hacer join a tablas externas</v>
      </c>
      <c r="Z2516" s="142">
        <f>VLOOKUP(Tabla1[[#This Row],[Perfil]],Catalogos!$B$75:$D$100,3,FALSE)*Tabla1[[#This Row],[Tiempo
(Hrs 00/100)]]*1.16</f>
        <v>6901.9999999999991</v>
      </c>
    </row>
    <row r="2517" spans="1:26" ht="15" customHeight="1" x14ac:dyDescent="0.3">
      <c r="A2517" s="614" t="s">
        <v>22</v>
      </c>
      <c r="B2517" s="373" t="s">
        <v>23</v>
      </c>
      <c r="C2517" s="373" t="s">
        <v>45</v>
      </c>
      <c r="D2517" s="373"/>
      <c r="E2517" s="373" t="s">
        <v>375</v>
      </c>
      <c r="F2517" s="373" t="s">
        <v>23</v>
      </c>
      <c r="G2517" s="373" t="s">
        <v>4372</v>
      </c>
      <c r="H2517" s="461" t="s">
        <v>4374</v>
      </c>
      <c r="I2517" s="178" t="s">
        <v>4375</v>
      </c>
      <c r="J2517" s="369">
        <v>45244</v>
      </c>
      <c r="K2517" s="747">
        <v>0.375</v>
      </c>
      <c r="L2517" s="369">
        <v>45244</v>
      </c>
      <c r="M2517" s="753">
        <v>0.79166666666666663</v>
      </c>
      <c r="N2517" s="210">
        <v>8.5</v>
      </c>
      <c r="O2517" s="184" t="s">
        <v>17</v>
      </c>
      <c r="P2517" s="375" t="s">
        <v>3365</v>
      </c>
      <c r="Q2517" s="179" t="s">
        <v>2415</v>
      </c>
      <c r="R2517" s="171" t="s">
        <v>40</v>
      </c>
      <c r="S2517" s="31" t="s">
        <v>273</v>
      </c>
      <c r="T2517" s="31" t="s">
        <v>273</v>
      </c>
      <c r="U2517" s="31">
        <f>IFERROR(VLOOKUP(CONCATENATE(Tabla1[[#This Row],[Severidad]]," ",Tabla1[[#This Row],[Complejidad]]),Catalogos!E$120:G$128,3,FALSE),"")</f>
        <v>64</v>
      </c>
      <c r="V2517" s="31" t="str">
        <f>IF(Tabla1[[#This Row],[Tiempo solución max (hrs)]]&lt;&gt;"",IF(Tabla1[[#This Row],[Tiempo solución max (hrs)]]&gt;=Tabla1[[#This Row],[Tiempo
(Hrs 00/100)]],"cumple","no cumple"),"")</f>
        <v>cumple</v>
      </c>
      <c r="W2517" s="376" t="s">
        <v>4210</v>
      </c>
      <c r="X2517" s="377" t="str">
        <f t="shared" si="206"/>
        <v>SPD</v>
      </c>
      <c r="Y2517" t="str">
        <f>SUBSTITUTE(Tabla1[[#This Row],[Descripción]],CHAR(10),"    I    ")</f>
        <v>Cambio en el mapeo de entidades para obtener la descripción de las resoluciones  sin hacer join a tablas externas</v>
      </c>
      <c r="Z2517" s="142">
        <f>VLOOKUP(Tabla1[[#This Row],[Perfil]],Catalogos!$B$75:$D$100,3,FALSE)*Tabla1[[#This Row],[Tiempo
(Hrs 00/100)]]*1.16</f>
        <v>6901.9999999999991</v>
      </c>
    </row>
    <row r="2518" spans="1:26" ht="15" customHeight="1" x14ac:dyDescent="0.3">
      <c r="A2518" s="614" t="s">
        <v>22</v>
      </c>
      <c r="B2518" s="373" t="s">
        <v>23</v>
      </c>
      <c r="C2518" s="373" t="s">
        <v>45</v>
      </c>
      <c r="D2518" s="373"/>
      <c r="E2518" s="373" t="s">
        <v>375</v>
      </c>
      <c r="F2518" s="373" t="s">
        <v>23</v>
      </c>
      <c r="G2518" s="373" t="s">
        <v>4373</v>
      </c>
      <c r="H2518" s="461" t="s">
        <v>4377</v>
      </c>
      <c r="I2518" s="178" t="s">
        <v>4378</v>
      </c>
      <c r="J2518" s="369">
        <v>45245</v>
      </c>
      <c r="K2518" s="747">
        <v>0.375</v>
      </c>
      <c r="L2518" s="369">
        <v>45245</v>
      </c>
      <c r="M2518" s="753">
        <v>0.79166666666666663</v>
      </c>
      <c r="N2518" s="210">
        <v>8.5</v>
      </c>
      <c r="O2518" s="184" t="s">
        <v>17</v>
      </c>
      <c r="P2518" s="375" t="s">
        <v>3365</v>
      </c>
      <c r="Q2518" s="179" t="s">
        <v>2415</v>
      </c>
      <c r="R2518" s="171" t="s">
        <v>40</v>
      </c>
      <c r="S2518" s="31" t="s">
        <v>273</v>
      </c>
      <c r="T2518" s="31" t="s">
        <v>273</v>
      </c>
      <c r="U2518" s="31">
        <f>IFERROR(VLOOKUP(CONCATENATE(Tabla1[[#This Row],[Severidad]]," ",Tabla1[[#This Row],[Complejidad]]),Catalogos!E$120:G$128,3,FALSE),"")</f>
        <v>64</v>
      </c>
      <c r="V2518" s="31" t="str">
        <f>IF(Tabla1[[#This Row],[Tiempo solución max (hrs)]]&lt;&gt;"",IF(Tabla1[[#This Row],[Tiempo solución max (hrs)]]&gt;=Tabla1[[#This Row],[Tiempo
(Hrs 00/100)]],"cumple","no cumple"),"")</f>
        <v>cumple</v>
      </c>
      <c r="W2518" s="376" t="s">
        <v>4210</v>
      </c>
      <c r="X2518" s="377" t="str">
        <f t="shared" si="206"/>
        <v>SPD</v>
      </c>
      <c r="Y2518" t="str">
        <f>SUBSTITUTE(Tabla1[[#This Row],[Descripción]],CHAR(10),"    I    ")</f>
        <v>Desarrollo del servicio para agrupar los totales de INFOMEX .</v>
      </c>
      <c r="Z2518" s="142">
        <f>VLOOKUP(Tabla1[[#This Row],[Perfil]],Catalogos!$B$75:$D$100,3,FALSE)*Tabla1[[#This Row],[Tiempo
(Hrs 00/100)]]*1.16</f>
        <v>6901.9999999999991</v>
      </c>
    </row>
    <row r="2519" spans="1:26" ht="15" customHeight="1" x14ac:dyDescent="0.3">
      <c r="A2519" s="614" t="s">
        <v>22</v>
      </c>
      <c r="B2519" s="373" t="s">
        <v>23</v>
      </c>
      <c r="C2519" s="373" t="s">
        <v>45</v>
      </c>
      <c r="D2519" s="373"/>
      <c r="E2519" s="373" t="s">
        <v>375</v>
      </c>
      <c r="F2519" s="373" t="s">
        <v>23</v>
      </c>
      <c r="G2519" s="373" t="s">
        <v>4376</v>
      </c>
      <c r="H2519" s="461" t="s">
        <v>4380</v>
      </c>
      <c r="I2519" s="178" t="s">
        <v>4402</v>
      </c>
      <c r="J2519" s="369">
        <v>45246</v>
      </c>
      <c r="K2519" s="747">
        <v>0.375</v>
      </c>
      <c r="L2519" s="369">
        <v>45246</v>
      </c>
      <c r="M2519" s="753">
        <v>0.79166666666666663</v>
      </c>
      <c r="N2519" s="210">
        <v>8.5</v>
      </c>
      <c r="O2519" s="184" t="s">
        <v>17</v>
      </c>
      <c r="P2519" s="375" t="s">
        <v>647</v>
      </c>
      <c r="Q2519" s="179" t="s">
        <v>2415</v>
      </c>
      <c r="R2519" s="171" t="s">
        <v>40</v>
      </c>
      <c r="S2519" s="31" t="s">
        <v>273</v>
      </c>
      <c r="T2519" s="31" t="s">
        <v>273</v>
      </c>
      <c r="U2519" s="31">
        <f>IFERROR(VLOOKUP(CONCATENATE(Tabla1[[#This Row],[Severidad]]," ",Tabla1[[#This Row],[Complejidad]]),Catalogos!E$120:G$128,3,FALSE),"")</f>
        <v>64</v>
      </c>
      <c r="V2519" s="31" t="str">
        <f>IF(Tabla1[[#This Row],[Tiempo solución max (hrs)]]&lt;&gt;"",IF(Tabla1[[#This Row],[Tiempo solución max (hrs)]]&gt;=Tabla1[[#This Row],[Tiempo
(Hrs 00/100)]],"cumple","no cumple"),"")</f>
        <v>cumple</v>
      </c>
      <c r="W2519" s="376" t="s">
        <v>4210</v>
      </c>
      <c r="X2519" s="377" t="str">
        <f t="shared" si="206"/>
        <v>SPD</v>
      </c>
      <c r="Y2519" t="str">
        <f>SUBSTITUTE(Tabla1[[#This Row],[Descripción]],CHAR(10),"    I    ")</f>
        <v>Funcionalidad para  consulta de mis quejas</v>
      </c>
      <c r="Z2519" s="142">
        <f>VLOOKUP(Tabla1[[#This Row],[Perfil]],Catalogos!$B$75:$D$100,3,FALSE)*Tabla1[[#This Row],[Tiempo
(Hrs 00/100)]]*1.16</f>
        <v>6901.9999999999991</v>
      </c>
    </row>
    <row r="2520" spans="1:26" ht="15" customHeight="1" x14ac:dyDescent="0.3">
      <c r="A2520" s="614" t="s">
        <v>22</v>
      </c>
      <c r="B2520" s="373" t="s">
        <v>23</v>
      </c>
      <c r="C2520" s="373" t="s">
        <v>45</v>
      </c>
      <c r="D2520" s="373"/>
      <c r="E2520" s="373" t="s">
        <v>375</v>
      </c>
      <c r="F2520" s="373" t="s">
        <v>23</v>
      </c>
      <c r="G2520" s="373" t="s">
        <v>4379</v>
      </c>
      <c r="H2520" s="461" t="s">
        <v>4382</v>
      </c>
      <c r="I2520" s="178" t="s">
        <v>4403</v>
      </c>
      <c r="J2520" s="369">
        <v>45247</v>
      </c>
      <c r="K2520" s="747">
        <v>0.375</v>
      </c>
      <c r="L2520" s="369">
        <v>45247</v>
      </c>
      <c r="M2520" s="753">
        <v>0.625</v>
      </c>
      <c r="N2520" s="210">
        <v>6</v>
      </c>
      <c r="O2520" s="184" t="s">
        <v>17</v>
      </c>
      <c r="P2520" s="375" t="s">
        <v>647</v>
      </c>
      <c r="Q2520" s="179" t="s">
        <v>2415</v>
      </c>
      <c r="R2520" s="171" t="s">
        <v>40</v>
      </c>
      <c r="S2520" s="31" t="s">
        <v>273</v>
      </c>
      <c r="T2520" s="31" t="s">
        <v>273</v>
      </c>
      <c r="U2520" s="31">
        <f>IFERROR(VLOOKUP(CONCATENATE(Tabla1[[#This Row],[Severidad]]," ",Tabla1[[#This Row],[Complejidad]]),Catalogos!E$120:G$128,3,FALSE),"")</f>
        <v>64</v>
      </c>
      <c r="V2520" s="31" t="str">
        <f>IF(Tabla1[[#This Row],[Tiempo solución max (hrs)]]&lt;&gt;"",IF(Tabla1[[#This Row],[Tiempo solución max (hrs)]]&gt;=Tabla1[[#This Row],[Tiempo
(Hrs 00/100)]],"cumple","no cumple"),"")</f>
        <v>cumple</v>
      </c>
      <c r="W2520" s="376" t="s">
        <v>4210</v>
      </c>
      <c r="X2520" s="377" t="str">
        <f t="shared" si="206"/>
        <v>SPD</v>
      </c>
      <c r="Y2520" t="str">
        <f>SUBSTITUTE(Tabla1[[#This Row],[Descripción]],CHAR(10),"    I    ")</f>
        <v>Funcionalidad para registrar quejas</v>
      </c>
      <c r="Z2520" s="142">
        <f>VLOOKUP(Tabla1[[#This Row],[Perfil]],Catalogos!$B$75:$D$100,3,FALSE)*Tabla1[[#This Row],[Tiempo
(Hrs 00/100)]]*1.16</f>
        <v>4872</v>
      </c>
    </row>
    <row r="2521" spans="1:26" ht="15" customHeight="1" x14ac:dyDescent="0.3">
      <c r="A2521" s="614" t="s">
        <v>22</v>
      </c>
      <c r="B2521" s="373" t="s">
        <v>23</v>
      </c>
      <c r="C2521" s="373" t="s">
        <v>45</v>
      </c>
      <c r="D2521" s="373"/>
      <c r="E2521" s="373" t="s">
        <v>375</v>
      </c>
      <c r="F2521" s="373" t="s">
        <v>23</v>
      </c>
      <c r="G2521" s="373" t="s">
        <v>4381</v>
      </c>
      <c r="H2521" s="461" t="s">
        <v>4384</v>
      </c>
      <c r="I2521" s="178" t="s">
        <v>4405</v>
      </c>
      <c r="J2521" s="369">
        <v>45251</v>
      </c>
      <c r="K2521" s="747">
        <v>0.375</v>
      </c>
      <c r="L2521" s="369">
        <v>45251</v>
      </c>
      <c r="M2521" s="753">
        <v>0.79166666666666663</v>
      </c>
      <c r="N2521" s="210">
        <v>8.5</v>
      </c>
      <c r="O2521" s="184" t="s">
        <v>17</v>
      </c>
      <c r="P2521" s="375" t="s">
        <v>647</v>
      </c>
      <c r="Q2521" s="179" t="s">
        <v>2415</v>
      </c>
      <c r="R2521" s="171" t="s">
        <v>40</v>
      </c>
      <c r="S2521" s="31" t="s">
        <v>273</v>
      </c>
      <c r="T2521" s="31" t="s">
        <v>273</v>
      </c>
      <c r="U2521" s="31">
        <f>IFERROR(VLOOKUP(CONCATENATE(Tabla1[[#This Row],[Severidad]]," ",Tabla1[[#This Row],[Complejidad]]),Catalogos!E$120:G$128,3,FALSE),"")</f>
        <v>64</v>
      </c>
      <c r="V2521" s="31" t="str">
        <f>IF(Tabla1[[#This Row],[Tiempo solución max (hrs)]]&lt;&gt;"",IF(Tabla1[[#This Row],[Tiempo solución max (hrs)]]&gt;=Tabla1[[#This Row],[Tiempo
(Hrs 00/100)]],"cumple","no cumple"),"")</f>
        <v>cumple</v>
      </c>
      <c r="W2521" s="376" t="s">
        <v>4210</v>
      </c>
      <c r="X2521" s="377" t="str">
        <f t="shared" si="206"/>
        <v>SPD</v>
      </c>
      <c r="Y2521" t="str">
        <f>SUBSTITUTE(Tabla1[[#This Row],[Descripción]],CHAR(10),"    I    ")</f>
        <v>Funcionalidad para gestionar acuses</v>
      </c>
      <c r="Z2521" s="142">
        <f>VLOOKUP(Tabla1[[#This Row],[Perfil]],Catalogos!$B$75:$D$100,3,FALSE)*Tabla1[[#This Row],[Tiempo
(Hrs 00/100)]]*1.16</f>
        <v>6901.9999999999991</v>
      </c>
    </row>
    <row r="2522" spans="1:26" ht="15" customHeight="1" x14ac:dyDescent="0.3">
      <c r="A2522" s="614" t="s">
        <v>22</v>
      </c>
      <c r="B2522" s="373" t="s">
        <v>23</v>
      </c>
      <c r="C2522" s="373" t="s">
        <v>45</v>
      </c>
      <c r="D2522" s="373"/>
      <c r="E2522" s="373" t="s">
        <v>375</v>
      </c>
      <c r="F2522" s="373" t="s">
        <v>23</v>
      </c>
      <c r="G2522" s="373" t="s">
        <v>4381</v>
      </c>
      <c r="H2522" s="461" t="s">
        <v>4386</v>
      </c>
      <c r="I2522" s="178" t="s">
        <v>4405</v>
      </c>
      <c r="J2522" s="369">
        <v>45252</v>
      </c>
      <c r="K2522" s="747">
        <v>0.375</v>
      </c>
      <c r="L2522" s="369">
        <v>45252</v>
      </c>
      <c r="M2522" s="753">
        <v>0.79166666666666663</v>
      </c>
      <c r="N2522" s="210">
        <v>8.5</v>
      </c>
      <c r="O2522" s="184" t="s">
        <v>17</v>
      </c>
      <c r="P2522" s="375" t="s">
        <v>647</v>
      </c>
      <c r="Q2522" s="179" t="s">
        <v>2415</v>
      </c>
      <c r="R2522" s="171" t="s">
        <v>40</v>
      </c>
      <c r="S2522" s="31" t="s">
        <v>273</v>
      </c>
      <c r="T2522" s="31" t="s">
        <v>273</v>
      </c>
      <c r="U2522" s="31">
        <f>IFERROR(VLOOKUP(CONCATENATE(Tabla1[[#This Row],[Severidad]]," ",Tabla1[[#This Row],[Complejidad]]),Catalogos!E$120:G$128,3,FALSE),"")</f>
        <v>64</v>
      </c>
      <c r="V2522" s="31" t="str">
        <f>IF(Tabla1[[#This Row],[Tiempo solución max (hrs)]]&lt;&gt;"",IF(Tabla1[[#This Row],[Tiempo solución max (hrs)]]&gt;=Tabla1[[#This Row],[Tiempo
(Hrs 00/100)]],"cumple","no cumple"),"")</f>
        <v>cumple</v>
      </c>
      <c r="W2522" s="376" t="s">
        <v>4210</v>
      </c>
      <c r="X2522" s="377" t="str">
        <f t="shared" si="206"/>
        <v>SPD</v>
      </c>
      <c r="Y2522" t="str">
        <f>SUBSTITUTE(Tabla1[[#This Row],[Descripción]],CHAR(10),"    I    ")</f>
        <v>Funcionalidad para gestionar acuses</v>
      </c>
      <c r="Z2522" s="142">
        <f>VLOOKUP(Tabla1[[#This Row],[Perfil]],Catalogos!$B$75:$D$100,3,FALSE)*Tabla1[[#This Row],[Tiempo
(Hrs 00/100)]]*1.16</f>
        <v>6901.9999999999991</v>
      </c>
    </row>
    <row r="2523" spans="1:26" ht="15" customHeight="1" x14ac:dyDescent="0.3">
      <c r="A2523" s="614" t="s">
        <v>22</v>
      </c>
      <c r="B2523" s="373" t="s">
        <v>23</v>
      </c>
      <c r="C2523" s="373" t="s">
        <v>45</v>
      </c>
      <c r="D2523" s="373"/>
      <c r="E2523" s="373" t="s">
        <v>375</v>
      </c>
      <c r="F2523" s="373" t="s">
        <v>23</v>
      </c>
      <c r="G2523" s="373" t="s">
        <v>4383</v>
      </c>
      <c r="H2523" s="461" t="s">
        <v>4388</v>
      </c>
      <c r="I2523" s="178" t="s">
        <v>4404</v>
      </c>
      <c r="J2523" s="369">
        <v>45253</v>
      </c>
      <c r="K2523" s="747">
        <v>0.375</v>
      </c>
      <c r="L2523" s="369">
        <v>45253</v>
      </c>
      <c r="M2523" s="753">
        <v>0.79166666666666663</v>
      </c>
      <c r="N2523" s="210">
        <v>8.5</v>
      </c>
      <c r="O2523" s="184" t="s">
        <v>17</v>
      </c>
      <c r="P2523" s="375" t="s">
        <v>647</v>
      </c>
      <c r="Q2523" s="179" t="s">
        <v>2415</v>
      </c>
      <c r="R2523" s="171" t="s">
        <v>40</v>
      </c>
      <c r="S2523" s="31" t="s">
        <v>273</v>
      </c>
      <c r="T2523" s="31" t="s">
        <v>273</v>
      </c>
      <c r="U2523" s="31">
        <f>IFERROR(VLOOKUP(CONCATENATE(Tabla1[[#This Row],[Severidad]]," ",Tabla1[[#This Row],[Complejidad]]),Catalogos!E$120:G$128,3,FALSE),"")</f>
        <v>64</v>
      </c>
      <c r="V2523" s="31" t="str">
        <f>IF(Tabla1[[#This Row],[Tiempo solución max (hrs)]]&lt;&gt;"",IF(Tabla1[[#This Row],[Tiempo solución max (hrs)]]&gt;=Tabla1[[#This Row],[Tiempo
(Hrs 00/100)]],"cumple","no cumple"),"")</f>
        <v>cumple</v>
      </c>
      <c r="W2523" s="376" t="s">
        <v>4210</v>
      </c>
      <c r="X2523" s="377" t="str">
        <f t="shared" si="206"/>
        <v>SPD</v>
      </c>
      <c r="Y2523" t="str">
        <f>SUBSTITUTE(Tabla1[[#This Row],[Descripción]],CHAR(10),"    I    ")</f>
        <v>Desarrollo para consultar el tracking del avance de la queja</v>
      </c>
      <c r="Z2523" s="142">
        <f>VLOOKUP(Tabla1[[#This Row],[Perfil]],Catalogos!$B$75:$D$100,3,FALSE)*Tabla1[[#This Row],[Tiempo
(Hrs 00/100)]]*1.16</f>
        <v>6901.9999999999991</v>
      </c>
    </row>
    <row r="2524" spans="1:26" ht="15" customHeight="1" x14ac:dyDescent="0.3">
      <c r="A2524" s="614" t="s">
        <v>22</v>
      </c>
      <c r="B2524" s="373" t="s">
        <v>23</v>
      </c>
      <c r="C2524" s="373" t="s">
        <v>45</v>
      </c>
      <c r="D2524" s="373"/>
      <c r="E2524" s="373" t="s">
        <v>375</v>
      </c>
      <c r="F2524" s="373" t="s">
        <v>23</v>
      </c>
      <c r="G2524" s="373" t="s">
        <v>4385</v>
      </c>
      <c r="H2524" s="461" t="s">
        <v>4390</v>
      </c>
      <c r="I2524" s="178" t="s">
        <v>4391</v>
      </c>
      <c r="J2524" s="369">
        <v>45254</v>
      </c>
      <c r="K2524" s="747">
        <v>0.375</v>
      </c>
      <c r="L2524" s="369">
        <v>45254</v>
      </c>
      <c r="M2524" s="753">
        <v>0.625</v>
      </c>
      <c r="N2524" s="210">
        <v>6</v>
      </c>
      <c r="O2524" s="184" t="s">
        <v>17</v>
      </c>
      <c r="P2524" s="375" t="s">
        <v>647</v>
      </c>
      <c r="Q2524" s="179" t="s">
        <v>2415</v>
      </c>
      <c r="R2524" s="171" t="s">
        <v>40</v>
      </c>
      <c r="S2524" s="31" t="s">
        <v>273</v>
      </c>
      <c r="T2524" s="31" t="s">
        <v>273</v>
      </c>
      <c r="U2524" s="31">
        <f>IFERROR(VLOOKUP(CONCATENATE(Tabla1[[#This Row],[Severidad]]," ",Tabla1[[#This Row],[Complejidad]]),Catalogos!E$120:G$128,3,FALSE),"")</f>
        <v>64</v>
      </c>
      <c r="V2524" s="31" t="str">
        <f>IF(Tabla1[[#This Row],[Tiempo solución max (hrs)]]&lt;&gt;"",IF(Tabla1[[#This Row],[Tiempo solución max (hrs)]]&gt;=Tabla1[[#This Row],[Tiempo
(Hrs 00/100)]],"cumple","no cumple"),"")</f>
        <v>cumple</v>
      </c>
      <c r="W2524" s="376" t="s">
        <v>4210</v>
      </c>
      <c r="X2524" s="377" t="str">
        <f t="shared" si="206"/>
        <v>SPD</v>
      </c>
      <c r="Y2524" t="str">
        <f>SUBSTITUTE(Tabla1[[#This Row],[Descripción]],CHAR(10),"    I    ")</f>
        <v>Configuración a nivel de sistema operativo para poder invocar subreportes</v>
      </c>
      <c r="Z2524" s="142">
        <f>VLOOKUP(Tabla1[[#This Row],[Perfil]],Catalogos!$B$75:$D$100,3,FALSE)*Tabla1[[#This Row],[Tiempo
(Hrs 00/100)]]*1.16</f>
        <v>4872</v>
      </c>
    </row>
    <row r="2525" spans="1:26" ht="15" customHeight="1" x14ac:dyDescent="0.3">
      <c r="A2525" s="614" t="s">
        <v>22</v>
      </c>
      <c r="B2525" s="373" t="s">
        <v>23</v>
      </c>
      <c r="C2525" s="373" t="s">
        <v>45</v>
      </c>
      <c r="D2525" s="373"/>
      <c r="E2525" s="373" t="s">
        <v>375</v>
      </c>
      <c r="F2525" s="373" t="s">
        <v>23</v>
      </c>
      <c r="G2525" s="373" t="s">
        <v>4387</v>
      </c>
      <c r="H2525" s="461" t="s">
        <v>4393</v>
      </c>
      <c r="I2525" s="178" t="s">
        <v>4394</v>
      </c>
      <c r="J2525" s="369">
        <v>45257</v>
      </c>
      <c r="K2525" s="747">
        <v>0.375</v>
      </c>
      <c r="L2525" s="369">
        <v>45257</v>
      </c>
      <c r="M2525" s="753">
        <v>0.79166666666666663</v>
      </c>
      <c r="N2525" s="210">
        <v>8.5</v>
      </c>
      <c r="O2525" s="184" t="s">
        <v>17</v>
      </c>
      <c r="P2525" s="375" t="s">
        <v>647</v>
      </c>
      <c r="Q2525" s="179" t="s">
        <v>2415</v>
      </c>
      <c r="R2525" s="171" t="s">
        <v>40</v>
      </c>
      <c r="S2525" s="31" t="s">
        <v>273</v>
      </c>
      <c r="T2525" s="31" t="s">
        <v>273</v>
      </c>
      <c r="U2525" s="31">
        <f>IFERROR(VLOOKUP(CONCATENATE(Tabla1[[#This Row],[Severidad]]," ",Tabla1[[#This Row],[Complejidad]]),Catalogos!E$120:G$128,3,FALSE),"")</f>
        <v>64</v>
      </c>
      <c r="V2525" s="31" t="str">
        <f>IF(Tabla1[[#This Row],[Tiempo solución max (hrs)]]&lt;&gt;"",IF(Tabla1[[#This Row],[Tiempo solución max (hrs)]]&gt;=Tabla1[[#This Row],[Tiempo
(Hrs 00/100)]],"cumple","no cumple"),"")</f>
        <v>cumple</v>
      </c>
      <c r="W2525" s="376" t="s">
        <v>4210</v>
      </c>
      <c r="X2525" s="377" t="str">
        <f t="shared" si="206"/>
        <v>SPD</v>
      </c>
      <c r="Y2525" t="str">
        <f>SUBSTITUTE(Tabla1[[#This Row],[Descripción]],CHAR(10),"    I    ")</f>
        <v>Configuración a nivel de sistema operativo para poder consumir los tipos de letra del sistema operativo</v>
      </c>
      <c r="Z2525" s="142">
        <f>VLOOKUP(Tabla1[[#This Row],[Perfil]],Catalogos!$B$75:$D$100,3,FALSE)*Tabla1[[#This Row],[Tiempo
(Hrs 00/100)]]*1.16</f>
        <v>6901.9999999999991</v>
      </c>
    </row>
    <row r="2526" spans="1:26" ht="15" customHeight="1" x14ac:dyDescent="0.3">
      <c r="A2526" s="614" t="s">
        <v>22</v>
      </c>
      <c r="B2526" s="373" t="s">
        <v>23</v>
      </c>
      <c r="C2526" s="373" t="s">
        <v>45</v>
      </c>
      <c r="D2526" s="373"/>
      <c r="E2526" s="373" t="s">
        <v>375</v>
      </c>
      <c r="F2526" s="373" t="s">
        <v>23</v>
      </c>
      <c r="G2526" s="373" t="s">
        <v>4389</v>
      </c>
      <c r="H2526" s="461" t="s">
        <v>4396</v>
      </c>
      <c r="I2526" s="178" t="s">
        <v>4397</v>
      </c>
      <c r="J2526" s="369">
        <v>45258</v>
      </c>
      <c r="K2526" s="747">
        <v>0.375</v>
      </c>
      <c r="L2526" s="369">
        <v>45258</v>
      </c>
      <c r="M2526" s="753">
        <v>0.79166666666666663</v>
      </c>
      <c r="N2526" s="210">
        <v>8.5</v>
      </c>
      <c r="O2526" s="184" t="s">
        <v>17</v>
      </c>
      <c r="P2526" s="375" t="s">
        <v>647</v>
      </c>
      <c r="Q2526" s="179" t="s">
        <v>2415</v>
      </c>
      <c r="R2526" s="171" t="s">
        <v>40</v>
      </c>
      <c r="S2526" s="31" t="s">
        <v>273</v>
      </c>
      <c r="T2526" s="31" t="s">
        <v>273</v>
      </c>
      <c r="U2526" s="31">
        <f>IFERROR(VLOOKUP(CONCATENATE(Tabla1[[#This Row],[Severidad]]," ",Tabla1[[#This Row],[Complejidad]]),Catalogos!E$120:G$128,3,FALSE),"")</f>
        <v>64</v>
      </c>
      <c r="V2526" s="31" t="str">
        <f>IF(Tabla1[[#This Row],[Tiempo solución max (hrs)]]&lt;&gt;"",IF(Tabla1[[#This Row],[Tiempo solución max (hrs)]]&gt;=Tabla1[[#This Row],[Tiempo
(Hrs 00/100)]],"cumple","no cumple"),"")</f>
        <v>cumple</v>
      </c>
      <c r="W2526" s="376" t="s">
        <v>4210</v>
      </c>
      <c r="X2526" s="377" t="str">
        <f t="shared" si="206"/>
        <v>SPD</v>
      </c>
      <c r="Y2526" t="str">
        <f>SUBSTITUTE(Tabla1[[#This Row],[Descripción]],CHAR(10),"    I    ")</f>
        <v xml:space="preserve">Configuración a nivel de jvm  para poder consumir los tipos de letra </v>
      </c>
      <c r="Z2526" s="142">
        <f>VLOOKUP(Tabla1[[#This Row],[Perfil]],Catalogos!$B$75:$D$100,3,FALSE)*Tabla1[[#This Row],[Tiempo
(Hrs 00/100)]]*1.16</f>
        <v>6901.9999999999991</v>
      </c>
    </row>
    <row r="2527" spans="1:26" ht="15" customHeight="1" x14ac:dyDescent="0.3">
      <c r="A2527" s="614" t="s">
        <v>22</v>
      </c>
      <c r="B2527" s="373" t="s">
        <v>23</v>
      </c>
      <c r="C2527" s="373" t="s">
        <v>45</v>
      </c>
      <c r="D2527" s="373"/>
      <c r="E2527" s="373" t="s">
        <v>375</v>
      </c>
      <c r="F2527" s="373" t="s">
        <v>23</v>
      </c>
      <c r="G2527" s="373" t="s">
        <v>4392</v>
      </c>
      <c r="H2527" s="461" t="s">
        <v>4398</v>
      </c>
      <c r="I2527" s="178" t="s">
        <v>4399</v>
      </c>
      <c r="J2527" s="369">
        <v>45259</v>
      </c>
      <c r="K2527" s="747">
        <v>0.375</v>
      </c>
      <c r="L2527" s="369">
        <v>45259</v>
      </c>
      <c r="M2527" s="753">
        <v>0.79166666666666663</v>
      </c>
      <c r="N2527" s="210">
        <v>8.5</v>
      </c>
      <c r="O2527" s="184" t="s">
        <v>17</v>
      </c>
      <c r="P2527" s="375" t="s">
        <v>647</v>
      </c>
      <c r="Q2527" s="179" t="s">
        <v>2415</v>
      </c>
      <c r="R2527" s="171" t="s">
        <v>40</v>
      </c>
      <c r="S2527" s="31" t="s">
        <v>273</v>
      </c>
      <c r="T2527" s="31" t="s">
        <v>273</v>
      </c>
      <c r="U2527" s="31">
        <f>IFERROR(VLOOKUP(CONCATENATE(Tabla1[[#This Row],[Severidad]]," ",Tabla1[[#This Row],[Complejidad]]),Catalogos!E$120:G$128,3,FALSE),"")</f>
        <v>64</v>
      </c>
      <c r="V2527" s="31" t="str">
        <f>IF(Tabla1[[#This Row],[Tiempo solución max (hrs)]]&lt;&gt;"",IF(Tabla1[[#This Row],[Tiempo solución max (hrs)]]&gt;=Tabla1[[#This Row],[Tiempo
(Hrs 00/100)]],"cumple","no cumple"),"")</f>
        <v>cumple</v>
      </c>
      <c r="W2527" s="376" t="s">
        <v>4210</v>
      </c>
      <c r="X2527" s="377" t="str">
        <f t="shared" si="206"/>
        <v>SPD</v>
      </c>
      <c r="Y2527" t="str">
        <f>SUBSTITUTE(Tabla1[[#This Row],[Descripción]],CHAR(10),"    I    ")</f>
        <v>Desarrollo de servicios angular para consumir front-end en el menu de detalle</v>
      </c>
      <c r="Z2527" s="142">
        <f>VLOOKUP(Tabla1[[#This Row],[Perfil]],Catalogos!$B$75:$D$100,3,FALSE)*Tabla1[[#This Row],[Tiempo
(Hrs 00/100)]]*1.16</f>
        <v>6901.9999999999991</v>
      </c>
    </row>
    <row r="2528" spans="1:26" ht="15" customHeight="1" x14ac:dyDescent="0.3">
      <c r="A2528" s="614" t="s">
        <v>22</v>
      </c>
      <c r="B2528" s="373" t="s">
        <v>23</v>
      </c>
      <c r="C2528" s="373" t="s">
        <v>45</v>
      </c>
      <c r="D2528" s="373"/>
      <c r="E2528" s="373" t="s">
        <v>375</v>
      </c>
      <c r="F2528" s="373" t="s">
        <v>23</v>
      </c>
      <c r="G2528" s="373" t="s">
        <v>4395</v>
      </c>
      <c r="H2528" s="461" t="s">
        <v>4400</v>
      </c>
      <c r="I2528" s="178" t="s">
        <v>4401</v>
      </c>
      <c r="J2528" s="369">
        <v>45260</v>
      </c>
      <c r="K2528" s="747">
        <v>0.375</v>
      </c>
      <c r="L2528" s="369">
        <v>45260</v>
      </c>
      <c r="M2528" s="753">
        <v>0.79166666666666663</v>
      </c>
      <c r="N2528" s="210">
        <v>8.5</v>
      </c>
      <c r="O2528" s="184" t="s">
        <v>17</v>
      </c>
      <c r="P2528" s="375" t="s">
        <v>647</v>
      </c>
      <c r="Q2528" s="179" t="s">
        <v>2415</v>
      </c>
      <c r="R2528" s="171" t="s">
        <v>40</v>
      </c>
      <c r="S2528" s="31" t="s">
        <v>273</v>
      </c>
      <c r="T2528" s="31" t="s">
        <v>273</v>
      </c>
      <c r="U2528" s="31">
        <f>IFERROR(VLOOKUP(CONCATENATE(Tabla1[[#This Row],[Severidad]]," ",Tabla1[[#This Row],[Complejidad]]),Catalogos!E$120:G$128,3,FALSE),"")</f>
        <v>64</v>
      </c>
      <c r="V2528" s="31" t="str">
        <f>IF(Tabla1[[#This Row],[Tiempo solución max (hrs)]]&lt;&gt;"",IF(Tabla1[[#This Row],[Tiempo solución max (hrs)]]&gt;=Tabla1[[#This Row],[Tiempo
(Hrs 00/100)]],"cumple","no cumple"),"")</f>
        <v>cumple</v>
      </c>
      <c r="W2528" s="376" t="s">
        <v>4210</v>
      </c>
      <c r="X2528" s="377" t="str">
        <f t="shared" si="206"/>
        <v>SPD</v>
      </c>
      <c r="Y2528" t="str">
        <f>SUBSTITUTE(Tabla1[[#This Row],[Descripción]],CHAR(10),"    I    ")</f>
        <v>Desarrollo de servicios angular para consumir front-end en el menu de mis quejas</v>
      </c>
      <c r="Z2528" s="142">
        <f>VLOOKUP(Tabla1[[#This Row],[Perfil]],Catalogos!$B$75:$D$100,3,FALSE)*Tabla1[[#This Row],[Tiempo
(Hrs 00/100)]]*1.16</f>
        <v>6901.9999999999991</v>
      </c>
    </row>
    <row r="2529" spans="1:26" ht="15" customHeight="1" x14ac:dyDescent="0.3">
      <c r="A2529" s="373" t="s">
        <v>22</v>
      </c>
      <c r="B2529" s="184" t="s">
        <v>68</v>
      </c>
      <c r="C2529" s="183" t="s">
        <v>16</v>
      </c>
      <c r="D2529" s="373"/>
      <c r="E2529" s="386" t="s">
        <v>503</v>
      </c>
      <c r="F2529" s="373" t="s">
        <v>75</v>
      </c>
      <c r="G2529" s="370" t="s">
        <v>4406</v>
      </c>
      <c r="H2529" s="387" t="s">
        <v>436</v>
      </c>
      <c r="I2529" s="538" t="s">
        <v>4407</v>
      </c>
      <c r="J2529" s="712">
        <v>45231</v>
      </c>
      <c r="K2529" s="773">
        <v>0.375</v>
      </c>
      <c r="L2529" s="712">
        <v>45231</v>
      </c>
      <c r="M2529" s="773">
        <v>0.45833333333333331</v>
      </c>
      <c r="N2529" s="373">
        <v>2</v>
      </c>
      <c r="O2529" s="184" t="s">
        <v>17</v>
      </c>
      <c r="P2529" s="375" t="s">
        <v>4408</v>
      </c>
      <c r="Q2529" s="179" t="s">
        <v>258</v>
      </c>
      <c r="R2529" s="621" t="s">
        <v>81</v>
      </c>
      <c r="S2529" s="31" t="s">
        <v>273</v>
      </c>
      <c r="T2529" s="31" t="s">
        <v>273</v>
      </c>
      <c r="U2529" s="31">
        <f>IFERROR(VLOOKUP(CONCATENATE(Tabla1[[#This Row],[Severidad]]," ",Tabla1[[#This Row],[Complejidad]]),Catalogos!E$120:G$128,3,FALSE),"")</f>
        <v>64</v>
      </c>
      <c r="V2529" s="31" t="str">
        <f>IF(Tabla1[[#This Row],[Tiempo solución max (hrs)]]&lt;&gt;"",IF(Tabla1[[#This Row],[Tiempo solución max (hrs)]]&gt;=Tabla1[[#This Row],[Tiempo
(Hrs 00/100)]],"cumple","no cumple"),"")</f>
        <v>cumple</v>
      </c>
      <c r="W2529" s="376" t="s">
        <v>4210</v>
      </c>
      <c r="X2529" s="377" t="str">
        <f t="shared" si="206"/>
        <v>SAW</v>
      </c>
      <c r="Y2529" t="str">
        <f>SUBSTITUTE(Tabla1[[#This Row],[Descripción]],CHAR(10),"    I    ")</f>
        <v xml:space="preserve">Actualización micrositio SNT </v>
      </c>
      <c r="Z2529" s="142">
        <f>VLOOKUP(Tabla1[[#This Row],[Perfil]],Catalogos!$B$75:$D$100,3,FALSE)*Tabla1[[#This Row],[Tiempo
(Hrs 00/100)]]*1.16</f>
        <v>1160</v>
      </c>
    </row>
    <row r="2530" spans="1:26" ht="15" customHeight="1" x14ac:dyDescent="0.3">
      <c r="A2530" s="373" t="s">
        <v>22</v>
      </c>
      <c r="B2530" s="184" t="s">
        <v>68</v>
      </c>
      <c r="C2530" s="183" t="s">
        <v>16</v>
      </c>
      <c r="D2530" s="373"/>
      <c r="E2530" s="386" t="s">
        <v>503</v>
      </c>
      <c r="F2530" s="373" t="s">
        <v>75</v>
      </c>
      <c r="G2530" s="370" t="s">
        <v>4409</v>
      </c>
      <c r="H2530" s="387" t="s">
        <v>436</v>
      </c>
      <c r="I2530" s="538" t="s">
        <v>4410</v>
      </c>
      <c r="J2530" s="712">
        <v>45231</v>
      </c>
      <c r="K2530" s="773">
        <v>0.45833333333333331</v>
      </c>
      <c r="L2530" s="712">
        <v>45231</v>
      </c>
      <c r="M2530" s="773">
        <v>0.60416666666666663</v>
      </c>
      <c r="N2530" s="373">
        <v>3.5</v>
      </c>
      <c r="O2530" s="184" t="s">
        <v>17</v>
      </c>
      <c r="P2530" s="375" t="s">
        <v>4411</v>
      </c>
      <c r="Q2530" s="179" t="s">
        <v>258</v>
      </c>
      <c r="R2530" s="621" t="s">
        <v>81</v>
      </c>
      <c r="S2530" s="31" t="s">
        <v>273</v>
      </c>
      <c r="T2530" s="31" t="s">
        <v>273</v>
      </c>
      <c r="U2530" s="31">
        <f>IFERROR(VLOOKUP(CONCATENATE(Tabla1[[#This Row],[Severidad]]," ",Tabla1[[#This Row],[Complejidad]]),Catalogos!E$120:G$128,3,FALSE),"")</f>
        <v>64</v>
      </c>
      <c r="V2530" s="31" t="str">
        <f>IF(Tabla1[[#This Row],[Tiempo solución max (hrs)]]&lt;&gt;"",IF(Tabla1[[#This Row],[Tiempo solución max (hrs)]]&gt;=Tabla1[[#This Row],[Tiempo
(Hrs 00/100)]],"cumple","no cumple"),"")</f>
        <v>cumple</v>
      </c>
      <c r="W2530" s="376" t="s">
        <v>4210</v>
      </c>
      <c r="X2530" s="377" t="str">
        <f t="shared" si="206"/>
        <v>SAW</v>
      </c>
      <c r="Y2530" t="str">
        <f>SUBSTITUTE(Tabla1[[#This Row],[Descripción]],CHAR(10),"    I    ")</f>
        <v xml:space="preserve">Actualización sitio cambio de control </v>
      </c>
      <c r="Z2530" s="142">
        <f>VLOOKUP(Tabla1[[#This Row],[Perfil]],Catalogos!$B$75:$D$100,3,FALSE)*Tabla1[[#This Row],[Tiempo
(Hrs 00/100)]]*1.16</f>
        <v>2029.9999999999998</v>
      </c>
    </row>
    <row r="2531" spans="1:26" ht="15" customHeight="1" x14ac:dyDescent="0.3">
      <c r="A2531" s="373" t="s">
        <v>22</v>
      </c>
      <c r="B2531" s="184" t="s">
        <v>68</v>
      </c>
      <c r="C2531" s="183" t="s">
        <v>16</v>
      </c>
      <c r="D2531" s="373"/>
      <c r="E2531" s="386" t="s">
        <v>503</v>
      </c>
      <c r="F2531" s="373" t="s">
        <v>75</v>
      </c>
      <c r="G2531" s="370" t="s">
        <v>4412</v>
      </c>
      <c r="H2531" s="387" t="s">
        <v>436</v>
      </c>
      <c r="I2531" s="620" t="s">
        <v>4413</v>
      </c>
      <c r="J2531" s="712">
        <v>45231</v>
      </c>
      <c r="K2531" s="773">
        <v>0.66666666666666663</v>
      </c>
      <c r="L2531" s="712">
        <v>45231</v>
      </c>
      <c r="M2531" s="773">
        <v>0.79166666666666663</v>
      </c>
      <c r="N2531" s="373">
        <v>3</v>
      </c>
      <c r="O2531" s="184" t="s">
        <v>17</v>
      </c>
      <c r="P2531" s="375" t="s">
        <v>4408</v>
      </c>
      <c r="Q2531" s="179" t="s">
        <v>258</v>
      </c>
      <c r="R2531" s="621" t="s">
        <v>81</v>
      </c>
      <c r="S2531" s="31" t="s">
        <v>273</v>
      </c>
      <c r="T2531" s="31" t="s">
        <v>273</v>
      </c>
      <c r="U2531" s="31">
        <f>IFERROR(VLOOKUP(CONCATENATE(Tabla1[[#This Row],[Severidad]]," ",Tabla1[[#This Row],[Complejidad]]),Catalogos!E$120:G$128,3,FALSE),"")</f>
        <v>64</v>
      </c>
      <c r="V2531" s="31" t="str">
        <f>IF(Tabla1[[#This Row],[Tiempo solución max (hrs)]]&lt;&gt;"",IF(Tabla1[[#This Row],[Tiempo solución max (hrs)]]&gt;=Tabla1[[#This Row],[Tiempo
(Hrs 00/100)]],"cumple","no cumple"),"")</f>
        <v>cumple</v>
      </c>
      <c r="W2531" s="376" t="s">
        <v>4210</v>
      </c>
      <c r="X2531" s="377" t="str">
        <f t="shared" si="206"/>
        <v>SAW</v>
      </c>
      <c r="Y2531" t="str">
        <f>SUBSTITUTE(Tabla1[[#This Row],[Descripción]],CHAR(10),"    I    ")</f>
        <v xml:space="preserve">Actualización Armonizacion </v>
      </c>
      <c r="Z2531" s="142">
        <f>VLOOKUP(Tabla1[[#This Row],[Perfil]],Catalogos!$B$75:$D$100,3,FALSE)*Tabla1[[#This Row],[Tiempo
(Hrs 00/100)]]*1.16</f>
        <v>1739.9999999999998</v>
      </c>
    </row>
    <row r="2532" spans="1:26" ht="15" customHeight="1" x14ac:dyDescent="0.3">
      <c r="A2532" s="373" t="s">
        <v>22</v>
      </c>
      <c r="B2532" s="184" t="s">
        <v>68</v>
      </c>
      <c r="C2532" s="183" t="s">
        <v>16</v>
      </c>
      <c r="D2532" s="373"/>
      <c r="E2532" s="386" t="s">
        <v>503</v>
      </c>
      <c r="F2532" s="373" t="s">
        <v>75</v>
      </c>
      <c r="G2532" s="370" t="s">
        <v>4414</v>
      </c>
      <c r="H2532" s="387" t="s">
        <v>436</v>
      </c>
      <c r="I2532" s="620" t="s">
        <v>4415</v>
      </c>
      <c r="J2532" s="712">
        <v>45233</v>
      </c>
      <c r="K2532" s="773">
        <v>0.375</v>
      </c>
      <c r="L2532" s="712">
        <v>45233</v>
      </c>
      <c r="M2532" s="773">
        <v>0.45833333333333331</v>
      </c>
      <c r="N2532" s="373">
        <v>2</v>
      </c>
      <c r="O2532" s="184" t="s">
        <v>17</v>
      </c>
      <c r="P2532" s="375" t="s">
        <v>4408</v>
      </c>
      <c r="Q2532" s="179" t="s">
        <v>258</v>
      </c>
      <c r="R2532" s="621" t="s">
        <v>81</v>
      </c>
      <c r="S2532" s="31" t="s">
        <v>273</v>
      </c>
      <c r="T2532" s="31" t="s">
        <v>273</v>
      </c>
      <c r="U2532" s="31">
        <f>IFERROR(VLOOKUP(CONCATENATE(Tabla1[[#This Row],[Severidad]]," ",Tabla1[[#This Row],[Complejidad]]),Catalogos!E$120:G$128,3,FALSE),"")</f>
        <v>64</v>
      </c>
      <c r="V2532" s="31" t="str">
        <f>IF(Tabla1[[#This Row],[Tiempo solución max (hrs)]]&lt;&gt;"",IF(Tabla1[[#This Row],[Tiempo solución max (hrs)]]&gt;=Tabla1[[#This Row],[Tiempo
(Hrs 00/100)]],"cumple","no cumple"),"")</f>
        <v>cumple</v>
      </c>
      <c r="W2532" s="376" t="s">
        <v>4210</v>
      </c>
      <c r="X2532" s="377" t="str">
        <f t="shared" si="206"/>
        <v>SAW</v>
      </c>
      <c r="Y2532" t="str">
        <f>SUBSTITUTE(Tabla1[[#This Row],[Descripción]],CHAR(10),"    I    ")</f>
        <v xml:space="preserve">Actualización RTA </v>
      </c>
      <c r="Z2532" s="378">
        <f>VLOOKUP(Tabla1[[#This Row],[Perfil]],Catalogos!$B$75:$D$100,3,FALSE)*Tabla1[[#This Row],[Tiempo
(Hrs 00/100)]]*1.16</f>
        <v>1160</v>
      </c>
    </row>
    <row r="2533" spans="1:26" ht="15" customHeight="1" x14ac:dyDescent="0.3">
      <c r="A2533" s="373" t="s">
        <v>22</v>
      </c>
      <c r="B2533" s="184" t="s">
        <v>68</v>
      </c>
      <c r="C2533" s="183" t="s">
        <v>16</v>
      </c>
      <c r="D2533" s="373"/>
      <c r="E2533" s="386" t="s">
        <v>503</v>
      </c>
      <c r="F2533" s="373" t="s">
        <v>75</v>
      </c>
      <c r="G2533" s="370" t="s">
        <v>4416</v>
      </c>
      <c r="H2533" s="387" t="s">
        <v>436</v>
      </c>
      <c r="I2533" s="178" t="s">
        <v>4417</v>
      </c>
      <c r="J2533" s="712">
        <v>45233</v>
      </c>
      <c r="K2533" s="773">
        <v>0.45833333333333331</v>
      </c>
      <c r="L2533" s="712">
        <v>45233</v>
      </c>
      <c r="M2533" s="773">
        <v>0.5</v>
      </c>
      <c r="N2533" s="373">
        <v>1</v>
      </c>
      <c r="O2533" s="184" t="s">
        <v>17</v>
      </c>
      <c r="P2533" s="375" t="s">
        <v>4408</v>
      </c>
      <c r="Q2533" s="179" t="s">
        <v>258</v>
      </c>
      <c r="R2533" s="621" t="s">
        <v>81</v>
      </c>
      <c r="S2533" s="31" t="s">
        <v>273</v>
      </c>
      <c r="T2533" s="31" t="s">
        <v>273</v>
      </c>
      <c r="U2533" s="31">
        <f>IFERROR(VLOOKUP(CONCATENATE(Tabla1[[#This Row],[Severidad]]," ",Tabla1[[#This Row],[Complejidad]]),Catalogos!E$120:G$128,3,FALSE),"")</f>
        <v>64</v>
      </c>
      <c r="V2533" s="31" t="str">
        <f>IF(Tabla1[[#This Row],[Tiempo solución max (hrs)]]&lt;&gt;"",IF(Tabla1[[#This Row],[Tiempo solución max (hrs)]]&gt;=Tabla1[[#This Row],[Tiempo
(Hrs 00/100)]],"cumple","no cumple"),"")</f>
        <v>cumple</v>
      </c>
      <c r="W2533" s="376" t="s">
        <v>4210</v>
      </c>
      <c r="X2533" s="377" t="str">
        <f t="shared" si="206"/>
        <v>SAW</v>
      </c>
      <c r="Y2533" t="str">
        <f>SUBSTITUTE(Tabla1[[#This Row],[Descripción]],CHAR(10),"    I    ")</f>
        <v xml:space="preserve">Actualización pagina web </v>
      </c>
      <c r="Z2533" s="142">
        <f>VLOOKUP(Tabla1[[#This Row],[Perfil]],Catalogos!$B$75:$D$100,3,FALSE)*Tabla1[[#This Row],[Tiempo
(Hrs 00/100)]]*1.16</f>
        <v>580</v>
      </c>
    </row>
    <row r="2534" spans="1:26" ht="15" customHeight="1" x14ac:dyDescent="0.3">
      <c r="A2534" s="373" t="s">
        <v>22</v>
      </c>
      <c r="B2534" s="184" t="s">
        <v>68</v>
      </c>
      <c r="C2534" s="183" t="s">
        <v>16</v>
      </c>
      <c r="D2534" s="373"/>
      <c r="E2534" s="386" t="s">
        <v>503</v>
      </c>
      <c r="F2534" s="373" t="s">
        <v>75</v>
      </c>
      <c r="G2534" s="370" t="s">
        <v>4418</v>
      </c>
      <c r="H2534" s="387" t="s">
        <v>436</v>
      </c>
      <c r="I2534" s="178" t="s">
        <v>4419</v>
      </c>
      <c r="J2534" s="712">
        <v>45233</v>
      </c>
      <c r="K2534" s="773">
        <v>0.5</v>
      </c>
      <c r="L2534" s="712">
        <v>45233</v>
      </c>
      <c r="M2534" s="773">
        <v>0.625</v>
      </c>
      <c r="N2534" s="373">
        <v>3</v>
      </c>
      <c r="O2534" s="184" t="s">
        <v>17</v>
      </c>
      <c r="P2534" s="375" t="s">
        <v>4408</v>
      </c>
      <c r="Q2534" s="179" t="s">
        <v>258</v>
      </c>
      <c r="R2534" s="621" t="s">
        <v>81</v>
      </c>
      <c r="S2534" s="31" t="s">
        <v>273</v>
      </c>
      <c r="T2534" s="31" t="s">
        <v>273</v>
      </c>
      <c r="U2534" s="31">
        <f>IFERROR(VLOOKUP(CONCATENATE(Tabla1[[#This Row],[Severidad]]," ",Tabla1[[#This Row],[Complejidad]]),Catalogos!E$120:G$128,3,FALSE),"")</f>
        <v>64</v>
      </c>
      <c r="V2534" s="31" t="str">
        <f>IF(Tabla1[[#This Row],[Tiempo solución max (hrs)]]&lt;&gt;"",IF(Tabla1[[#This Row],[Tiempo solución max (hrs)]]&gt;=Tabla1[[#This Row],[Tiempo
(Hrs 00/100)]],"cumple","no cumple"),"")</f>
        <v>cumple</v>
      </c>
      <c r="W2534" s="376" t="s">
        <v>4210</v>
      </c>
      <c r="X2534" s="377" t="str">
        <f t="shared" si="206"/>
        <v>SAW</v>
      </c>
      <c r="Y2534" t="str">
        <f>SUBSTITUTE(Tabla1[[#This Row],[Descripción]],CHAR(10),"    I    ")</f>
        <v xml:space="preserve">Actualización prosede </v>
      </c>
      <c r="Z2534" s="142">
        <f>VLOOKUP(Tabla1[[#This Row],[Perfil]],Catalogos!$B$75:$D$100,3,FALSE)*Tabla1[[#This Row],[Tiempo
(Hrs 00/100)]]*1.16</f>
        <v>1739.9999999999998</v>
      </c>
    </row>
    <row r="2535" spans="1:26" ht="15" customHeight="1" x14ac:dyDescent="0.3">
      <c r="A2535" s="373" t="s">
        <v>22</v>
      </c>
      <c r="B2535" s="184" t="s">
        <v>68</v>
      </c>
      <c r="C2535" s="183" t="s">
        <v>16</v>
      </c>
      <c r="D2535" s="373"/>
      <c r="E2535" s="386" t="s">
        <v>503</v>
      </c>
      <c r="F2535" s="373" t="s">
        <v>75</v>
      </c>
      <c r="G2535" s="370" t="s">
        <v>4420</v>
      </c>
      <c r="H2535" s="387" t="s">
        <v>436</v>
      </c>
      <c r="I2535" s="538" t="s">
        <v>4421</v>
      </c>
      <c r="J2535" s="712">
        <v>45236</v>
      </c>
      <c r="K2535" s="773">
        <v>0.375</v>
      </c>
      <c r="L2535" s="712">
        <v>45236</v>
      </c>
      <c r="M2535" s="773">
        <v>0.60416666666666663</v>
      </c>
      <c r="N2535" s="373">
        <v>5.5</v>
      </c>
      <c r="O2535" s="184" t="s">
        <v>17</v>
      </c>
      <c r="P2535" s="375" t="s">
        <v>4408</v>
      </c>
      <c r="Q2535" s="179" t="s">
        <v>258</v>
      </c>
      <c r="R2535" s="621" t="s">
        <v>81</v>
      </c>
      <c r="S2535" s="31" t="s">
        <v>273</v>
      </c>
      <c r="T2535" s="31" t="s">
        <v>273</v>
      </c>
      <c r="U2535" s="31">
        <f>IFERROR(VLOOKUP(CONCATENATE(Tabla1[[#This Row],[Severidad]]," ",Tabla1[[#This Row],[Complejidad]]),Catalogos!E$120:G$128,3,FALSE),"")</f>
        <v>64</v>
      </c>
      <c r="V2535" s="31" t="str">
        <f>IF(Tabla1[[#This Row],[Tiempo solución max (hrs)]]&lt;&gt;"",IF(Tabla1[[#This Row],[Tiempo solución max (hrs)]]&gt;=Tabla1[[#This Row],[Tiempo
(Hrs 00/100)]],"cumple","no cumple"),"")</f>
        <v>cumple</v>
      </c>
      <c r="W2535" s="376" t="s">
        <v>4210</v>
      </c>
      <c r="X2535" s="377" t="str">
        <f t="shared" si="206"/>
        <v>SAW</v>
      </c>
      <c r="Y2535" t="str">
        <f>SUBSTITUTE(Tabla1[[#This Row],[Descripción]],CHAR(10),"    I    ")</f>
        <v xml:space="preserve">Actualización avance de proyecto </v>
      </c>
      <c r="Z2535" s="142">
        <f>VLOOKUP(Tabla1[[#This Row],[Perfil]],Catalogos!$B$75:$D$100,3,FALSE)*Tabla1[[#This Row],[Tiempo
(Hrs 00/100)]]*1.16</f>
        <v>3190</v>
      </c>
    </row>
    <row r="2536" spans="1:26" ht="15" customHeight="1" x14ac:dyDescent="0.3">
      <c r="A2536" s="373" t="s">
        <v>22</v>
      </c>
      <c r="B2536" s="184" t="s">
        <v>68</v>
      </c>
      <c r="C2536" s="183" t="s">
        <v>16</v>
      </c>
      <c r="D2536" s="373"/>
      <c r="E2536" s="386" t="s">
        <v>503</v>
      </c>
      <c r="F2536" s="373" t="s">
        <v>75</v>
      </c>
      <c r="G2536" s="370" t="s">
        <v>4422</v>
      </c>
      <c r="H2536" s="387" t="s">
        <v>436</v>
      </c>
      <c r="I2536" s="538" t="s">
        <v>4423</v>
      </c>
      <c r="J2536" s="712">
        <v>45236</v>
      </c>
      <c r="K2536" s="773">
        <v>0.66666666666666663</v>
      </c>
      <c r="L2536" s="712">
        <v>45236</v>
      </c>
      <c r="M2536" s="773">
        <v>0.79166666666666663</v>
      </c>
      <c r="N2536" s="373">
        <v>3</v>
      </c>
      <c r="O2536" s="184" t="s">
        <v>17</v>
      </c>
      <c r="P2536" s="375" t="s">
        <v>4424</v>
      </c>
      <c r="Q2536" s="179" t="s">
        <v>258</v>
      </c>
      <c r="R2536" s="621" t="s">
        <v>81</v>
      </c>
      <c r="S2536" s="31" t="s">
        <v>273</v>
      </c>
      <c r="T2536" s="31" t="s">
        <v>273</v>
      </c>
      <c r="U2536" s="31">
        <f>IFERROR(VLOOKUP(CONCATENATE(Tabla1[[#This Row],[Severidad]]," ",Tabla1[[#This Row],[Complejidad]]),Catalogos!E$120:G$128,3,FALSE),"")</f>
        <v>64</v>
      </c>
      <c r="V2536" s="31" t="str">
        <f>IF(Tabla1[[#This Row],[Tiempo solución max (hrs)]]&lt;&gt;"",IF(Tabla1[[#This Row],[Tiempo solución max (hrs)]]&gt;=Tabla1[[#This Row],[Tiempo
(Hrs 00/100)]],"cumple","no cumple"),"")</f>
        <v>cumple</v>
      </c>
      <c r="W2536" s="376" t="s">
        <v>4210</v>
      </c>
      <c r="X2536" s="377" t="str">
        <f t="shared" si="206"/>
        <v>SAW</v>
      </c>
      <c r="Y2536" t="str">
        <f>SUBSTITUTE(Tabla1[[#This Row],[Descripción]],CHAR(10),"    I    ")</f>
        <v xml:space="preserve">Actualización carga de usuarios </v>
      </c>
      <c r="Z2536" s="142">
        <f>VLOOKUP(Tabla1[[#This Row],[Perfil]],Catalogos!$B$75:$D$100,3,FALSE)*Tabla1[[#This Row],[Tiempo
(Hrs 00/100)]]*1.16</f>
        <v>1739.9999999999998</v>
      </c>
    </row>
    <row r="2537" spans="1:26" ht="15" customHeight="1" x14ac:dyDescent="0.3">
      <c r="A2537" s="373" t="s">
        <v>22</v>
      </c>
      <c r="B2537" s="184" t="s">
        <v>68</v>
      </c>
      <c r="C2537" s="183" t="s">
        <v>16</v>
      </c>
      <c r="D2537" s="373"/>
      <c r="E2537" s="386" t="s">
        <v>503</v>
      </c>
      <c r="F2537" s="373" t="s">
        <v>75</v>
      </c>
      <c r="G2537" s="370" t="s">
        <v>4425</v>
      </c>
      <c r="H2537" s="387" t="s">
        <v>436</v>
      </c>
      <c r="I2537" s="178" t="s">
        <v>4426</v>
      </c>
      <c r="J2537" s="712">
        <v>45237</v>
      </c>
      <c r="K2537" s="773">
        <v>0.375</v>
      </c>
      <c r="L2537" s="712">
        <v>45237</v>
      </c>
      <c r="M2537" s="773">
        <v>0.52083333333333337</v>
      </c>
      <c r="N2537" s="373">
        <v>3.5</v>
      </c>
      <c r="O2537" s="184" t="s">
        <v>17</v>
      </c>
      <c r="P2537" s="375" t="s">
        <v>4408</v>
      </c>
      <c r="Q2537" s="179" t="s">
        <v>258</v>
      </c>
      <c r="R2537" s="621" t="s">
        <v>81</v>
      </c>
      <c r="S2537" s="31" t="s">
        <v>273</v>
      </c>
      <c r="T2537" s="31" t="s">
        <v>273</v>
      </c>
      <c r="U2537" s="31">
        <f>IFERROR(VLOOKUP(CONCATENATE(Tabla1[[#This Row],[Severidad]]," ",Tabla1[[#This Row],[Complejidad]]),Catalogos!E$120:G$128,3,FALSE),"")</f>
        <v>64</v>
      </c>
      <c r="V2537" s="31" t="str">
        <f>IF(Tabla1[[#This Row],[Tiempo solución max (hrs)]]&lt;&gt;"",IF(Tabla1[[#This Row],[Tiempo solución max (hrs)]]&gt;=Tabla1[[#This Row],[Tiempo
(Hrs 00/100)]],"cumple","no cumple"),"")</f>
        <v>cumple</v>
      </c>
      <c r="W2537" s="376" t="s">
        <v>4210</v>
      </c>
      <c r="X2537" s="377" t="str">
        <f t="shared" si="206"/>
        <v>SAW</v>
      </c>
      <c r="Y2537" t="str">
        <f>SUBSTITUTE(Tabla1[[#This Row],[Descripción]],CHAR(10),"    I    ")</f>
        <v xml:space="preserve">Actualización subsistema de evaluacion </v>
      </c>
      <c r="Z2537" s="142">
        <f>VLOOKUP(Tabla1[[#This Row],[Perfil]],Catalogos!$B$75:$D$100,3,FALSE)*Tabla1[[#This Row],[Tiempo
(Hrs 00/100)]]*1.16</f>
        <v>2029.9999999999998</v>
      </c>
    </row>
    <row r="2538" spans="1:26" ht="15" customHeight="1" x14ac:dyDescent="0.3">
      <c r="A2538" s="373" t="s">
        <v>22</v>
      </c>
      <c r="B2538" s="184" t="s">
        <v>68</v>
      </c>
      <c r="C2538" s="183" t="s">
        <v>16</v>
      </c>
      <c r="D2538" s="373"/>
      <c r="E2538" s="386" t="s">
        <v>503</v>
      </c>
      <c r="F2538" s="373" t="s">
        <v>75</v>
      </c>
      <c r="G2538" s="370" t="s">
        <v>4427</v>
      </c>
      <c r="H2538" s="387" t="s">
        <v>436</v>
      </c>
      <c r="I2538" s="538" t="s">
        <v>4428</v>
      </c>
      <c r="J2538" s="712">
        <v>45237</v>
      </c>
      <c r="K2538" s="773">
        <v>0.52083333333333337</v>
      </c>
      <c r="L2538" s="712">
        <v>45237</v>
      </c>
      <c r="M2538" s="773">
        <v>0.60416666666666663</v>
      </c>
      <c r="N2538" s="373">
        <v>2</v>
      </c>
      <c r="O2538" s="184" t="s">
        <v>17</v>
      </c>
      <c r="P2538" s="375" t="s">
        <v>4429</v>
      </c>
      <c r="Q2538" s="179" t="s">
        <v>258</v>
      </c>
      <c r="R2538" s="621" t="s">
        <v>81</v>
      </c>
      <c r="S2538" s="31" t="s">
        <v>273</v>
      </c>
      <c r="T2538" s="31" t="s">
        <v>273</v>
      </c>
      <c r="U2538" s="31">
        <f>IFERROR(VLOOKUP(CONCATENATE(Tabla1[[#This Row],[Severidad]]," ",Tabla1[[#This Row],[Complejidad]]),Catalogos!E$120:G$128,3,FALSE),"")</f>
        <v>64</v>
      </c>
      <c r="V2538" s="31" t="str">
        <f>IF(Tabla1[[#This Row],[Tiempo solución max (hrs)]]&lt;&gt;"",IF(Tabla1[[#This Row],[Tiempo solución max (hrs)]]&gt;=Tabla1[[#This Row],[Tiempo
(Hrs 00/100)]],"cumple","no cumple"),"")</f>
        <v>cumple</v>
      </c>
      <c r="W2538" s="376" t="s">
        <v>4210</v>
      </c>
      <c r="X2538" s="377" t="str">
        <f t="shared" si="206"/>
        <v>SAW</v>
      </c>
      <c r="Y2538" t="str">
        <f>SUBSTITUTE(Tabla1[[#This Row],[Descripción]],CHAR(10),"    I    ")</f>
        <v xml:space="preserve">Actualización de administracion deriesgos </v>
      </c>
      <c r="Z2538" s="142">
        <f>VLOOKUP(Tabla1[[#This Row],[Perfil]],Catalogos!$B$75:$D$100,3,FALSE)*Tabla1[[#This Row],[Tiempo
(Hrs 00/100)]]*1.16</f>
        <v>1160</v>
      </c>
    </row>
    <row r="2539" spans="1:26" ht="15" customHeight="1" x14ac:dyDescent="0.3">
      <c r="A2539" s="373" t="s">
        <v>22</v>
      </c>
      <c r="B2539" s="184" t="s">
        <v>68</v>
      </c>
      <c r="C2539" s="183" t="s">
        <v>16</v>
      </c>
      <c r="D2539" s="373"/>
      <c r="E2539" s="386" t="s">
        <v>503</v>
      </c>
      <c r="F2539" s="373" t="s">
        <v>75</v>
      </c>
      <c r="G2539" s="370" t="s">
        <v>4430</v>
      </c>
      <c r="H2539" s="387" t="s">
        <v>436</v>
      </c>
      <c r="I2539" s="538" t="s">
        <v>4431</v>
      </c>
      <c r="J2539" s="712">
        <v>45237</v>
      </c>
      <c r="K2539" s="773">
        <v>0.66666666666666663</v>
      </c>
      <c r="L2539" s="712">
        <v>45237</v>
      </c>
      <c r="M2539" s="773">
        <v>0.79166666666666663</v>
      </c>
      <c r="N2539" s="373">
        <v>3</v>
      </c>
      <c r="O2539" s="184" t="s">
        <v>17</v>
      </c>
      <c r="P2539" s="375" t="s">
        <v>4408</v>
      </c>
      <c r="Q2539" s="179" t="s">
        <v>258</v>
      </c>
      <c r="R2539" s="621" t="s">
        <v>81</v>
      </c>
      <c r="S2539" s="31" t="s">
        <v>273</v>
      </c>
      <c r="T2539" s="31" t="s">
        <v>273</v>
      </c>
      <c r="U2539" s="31">
        <f>IFERROR(VLOOKUP(CONCATENATE(Tabla1[[#This Row],[Severidad]]," ",Tabla1[[#This Row],[Complejidad]]),Catalogos!E$120:G$128,3,FALSE),"")</f>
        <v>64</v>
      </c>
      <c r="V2539" s="31" t="str">
        <f>IF(Tabla1[[#This Row],[Tiempo solución max (hrs)]]&lt;&gt;"",IF(Tabla1[[#This Row],[Tiempo solución max (hrs)]]&gt;=Tabla1[[#This Row],[Tiempo
(Hrs 00/100)]],"cumple","no cumple"),"")</f>
        <v>cumple</v>
      </c>
      <c r="W2539" s="376" t="s">
        <v>4210</v>
      </c>
      <c r="X2539" s="377" t="str">
        <f t="shared" si="206"/>
        <v>SAW</v>
      </c>
      <c r="Y2539" t="str">
        <f>SUBSTITUTE(Tabla1[[#This Row],[Descripción]],CHAR(10),"    I    ")</f>
        <v xml:space="preserve">Actualización de supervision de mejora continua </v>
      </c>
      <c r="Z2539" s="142">
        <f>VLOOKUP(Tabla1[[#This Row],[Perfil]],Catalogos!$B$75:$D$100,3,FALSE)*Tabla1[[#This Row],[Tiempo
(Hrs 00/100)]]*1.16</f>
        <v>1739.9999999999998</v>
      </c>
    </row>
    <row r="2540" spans="1:26" ht="15" customHeight="1" x14ac:dyDescent="0.3">
      <c r="A2540" s="373" t="s">
        <v>22</v>
      </c>
      <c r="B2540" s="184" t="s">
        <v>68</v>
      </c>
      <c r="C2540" s="183" t="s">
        <v>16</v>
      </c>
      <c r="D2540" s="373"/>
      <c r="E2540" s="386" t="s">
        <v>503</v>
      </c>
      <c r="F2540" s="373" t="s">
        <v>75</v>
      </c>
      <c r="G2540" s="370" t="s">
        <v>4432</v>
      </c>
      <c r="H2540" s="387" t="s">
        <v>436</v>
      </c>
      <c r="I2540" s="538" t="s">
        <v>4433</v>
      </c>
      <c r="J2540" s="712">
        <v>45238</v>
      </c>
      <c r="K2540" s="773">
        <v>0.375</v>
      </c>
      <c r="L2540" s="712">
        <v>45238</v>
      </c>
      <c r="M2540" s="773">
        <v>0.60416666666666663</v>
      </c>
      <c r="N2540" s="373">
        <v>5.5</v>
      </c>
      <c r="O2540" s="184" t="s">
        <v>17</v>
      </c>
      <c r="P2540" s="375" t="s">
        <v>4434</v>
      </c>
      <c r="Q2540" s="179" t="s">
        <v>258</v>
      </c>
      <c r="R2540" s="621" t="s">
        <v>81</v>
      </c>
      <c r="S2540" s="31" t="s">
        <v>273</v>
      </c>
      <c r="T2540" s="31" t="s">
        <v>273</v>
      </c>
      <c r="U2540" s="31">
        <f>IFERROR(VLOOKUP(CONCATENATE(Tabla1[[#This Row],[Severidad]]," ",Tabla1[[#This Row],[Complejidad]]),Catalogos!E$120:G$128,3,FALSE),"")</f>
        <v>64</v>
      </c>
      <c r="V2540" s="31" t="str">
        <f>IF(Tabla1[[#This Row],[Tiempo solución max (hrs)]]&lt;&gt;"",IF(Tabla1[[#This Row],[Tiempo solución max (hrs)]]&gt;=Tabla1[[#This Row],[Tiempo
(Hrs 00/100)]],"cumple","no cumple"),"")</f>
        <v>cumple</v>
      </c>
      <c r="W2540" s="376" t="s">
        <v>4210</v>
      </c>
      <c r="X2540" s="377" t="str">
        <f t="shared" si="206"/>
        <v>SAW</v>
      </c>
      <c r="Y2540" t="str">
        <f>SUBSTITUTE(Tabla1[[#This Row],[Descripción]],CHAR(10),"    I    ")</f>
        <v xml:space="preserve">Actualización ambiente de control parametros </v>
      </c>
      <c r="Z2540" s="142">
        <f>VLOOKUP(Tabla1[[#This Row],[Perfil]],Catalogos!$B$75:$D$100,3,FALSE)*Tabla1[[#This Row],[Tiempo
(Hrs 00/100)]]*1.16</f>
        <v>3190</v>
      </c>
    </row>
    <row r="2541" spans="1:26" ht="15" customHeight="1" x14ac:dyDescent="0.3">
      <c r="A2541" s="373" t="s">
        <v>22</v>
      </c>
      <c r="B2541" s="184" t="s">
        <v>68</v>
      </c>
      <c r="C2541" s="183" t="s">
        <v>16</v>
      </c>
      <c r="D2541" s="373"/>
      <c r="E2541" s="386" t="s">
        <v>503</v>
      </c>
      <c r="F2541" s="373" t="s">
        <v>75</v>
      </c>
      <c r="G2541" s="370" t="s">
        <v>4435</v>
      </c>
      <c r="H2541" s="387" t="s">
        <v>436</v>
      </c>
      <c r="I2541" s="538" t="s">
        <v>4436</v>
      </c>
      <c r="J2541" s="712">
        <v>45238</v>
      </c>
      <c r="K2541" s="773">
        <v>0.66666666666666663</v>
      </c>
      <c r="L2541" s="712">
        <v>45238</v>
      </c>
      <c r="M2541" s="773">
        <v>0.79166666666666663</v>
      </c>
      <c r="N2541" s="373">
        <v>3</v>
      </c>
      <c r="O2541" s="184" t="s">
        <v>17</v>
      </c>
      <c r="P2541" s="375" t="s">
        <v>4437</v>
      </c>
      <c r="Q2541" s="179" t="s">
        <v>258</v>
      </c>
      <c r="R2541" s="621" t="s">
        <v>81</v>
      </c>
      <c r="S2541" s="31" t="s">
        <v>273</v>
      </c>
      <c r="T2541" s="31" t="s">
        <v>273</v>
      </c>
      <c r="U2541" s="31">
        <f>IFERROR(VLOOKUP(CONCATENATE(Tabla1[[#This Row],[Severidad]]," ",Tabla1[[#This Row],[Complejidad]]),Catalogos!E$120:G$128,3,FALSE),"")</f>
        <v>64</v>
      </c>
      <c r="V2541" s="31" t="str">
        <f>IF(Tabla1[[#This Row],[Tiempo solución max (hrs)]]&lt;&gt;"",IF(Tabla1[[#This Row],[Tiempo solución max (hrs)]]&gt;=Tabla1[[#This Row],[Tiempo
(Hrs 00/100)]],"cumple","no cumple"),"")</f>
        <v>cumple</v>
      </c>
      <c r="W2541" s="376" t="s">
        <v>4210</v>
      </c>
      <c r="X2541" s="377" t="str">
        <f t="shared" si="206"/>
        <v>SAW</v>
      </c>
      <c r="Y2541" t="str">
        <f>SUBSTITUTE(Tabla1[[#This Row],[Descripción]],CHAR(10),"    I    ")</f>
        <v xml:space="preserve">Actualización ambiente de control principios basicos </v>
      </c>
      <c r="Z2541" s="142">
        <f>VLOOKUP(Tabla1[[#This Row],[Perfil]],Catalogos!$B$75:$D$100,3,FALSE)*Tabla1[[#This Row],[Tiempo
(Hrs 00/100)]]*1.16</f>
        <v>1739.9999999999998</v>
      </c>
    </row>
    <row r="2542" spans="1:26" ht="15" customHeight="1" x14ac:dyDescent="0.3">
      <c r="A2542" s="373" t="s">
        <v>22</v>
      </c>
      <c r="B2542" s="184" t="s">
        <v>68</v>
      </c>
      <c r="C2542" s="183" t="s">
        <v>16</v>
      </c>
      <c r="D2542" s="373"/>
      <c r="E2542" s="386" t="s">
        <v>503</v>
      </c>
      <c r="F2542" s="373" t="s">
        <v>75</v>
      </c>
      <c r="G2542" s="370" t="s">
        <v>4438</v>
      </c>
      <c r="H2542" s="387" t="s">
        <v>436</v>
      </c>
      <c r="I2542" s="538" t="s">
        <v>4439</v>
      </c>
      <c r="J2542" s="712">
        <v>45239</v>
      </c>
      <c r="K2542" s="773">
        <v>0.375</v>
      </c>
      <c r="L2542" s="712">
        <v>45239</v>
      </c>
      <c r="M2542" s="773">
        <v>0.60416666666666663</v>
      </c>
      <c r="N2542" s="373">
        <v>5.5</v>
      </c>
      <c r="O2542" s="184" t="s">
        <v>17</v>
      </c>
      <c r="P2542" s="375" t="s">
        <v>4411</v>
      </c>
      <c r="Q2542" s="179" t="s">
        <v>258</v>
      </c>
      <c r="R2542" s="621" t="s">
        <v>81</v>
      </c>
      <c r="S2542" s="31" t="s">
        <v>273</v>
      </c>
      <c r="T2542" s="31" t="s">
        <v>273</v>
      </c>
      <c r="U2542" s="31">
        <f>IFERROR(VLOOKUP(CONCATENATE(Tabla1[[#This Row],[Severidad]]," ",Tabla1[[#This Row],[Complejidad]]),Catalogos!E$120:G$128,3,FALSE),"")</f>
        <v>64</v>
      </c>
      <c r="V2542" s="31" t="str">
        <f>IF(Tabla1[[#This Row],[Tiempo solución max (hrs)]]&lt;&gt;"",IF(Tabla1[[#This Row],[Tiempo solución max (hrs)]]&gt;=Tabla1[[#This Row],[Tiempo
(Hrs 00/100)]],"cumple","no cumple"),"")</f>
        <v>cumple</v>
      </c>
      <c r="W2542" s="376" t="s">
        <v>4210</v>
      </c>
      <c r="X2542" s="377" t="str">
        <f t="shared" si="206"/>
        <v>SAW</v>
      </c>
      <c r="Y2542" t="str">
        <f>SUBSTITUTE(Tabla1[[#This Row],[Descripción]],CHAR(10),"    I    ")</f>
        <v xml:space="preserve">Actualuzacion elementos de control interno asociado </v>
      </c>
      <c r="Z2542" s="142">
        <f>VLOOKUP(Tabla1[[#This Row],[Perfil]],Catalogos!$B$75:$D$100,3,FALSE)*Tabla1[[#This Row],[Tiempo
(Hrs 00/100)]]*1.16</f>
        <v>3190</v>
      </c>
    </row>
    <row r="2543" spans="1:26" ht="15" customHeight="1" x14ac:dyDescent="0.3">
      <c r="A2543" s="373" t="s">
        <v>22</v>
      </c>
      <c r="B2543" s="184" t="s">
        <v>68</v>
      </c>
      <c r="C2543" s="183" t="s">
        <v>16</v>
      </c>
      <c r="D2543" s="373"/>
      <c r="E2543" s="386" t="s">
        <v>503</v>
      </c>
      <c r="F2543" s="373" t="s">
        <v>75</v>
      </c>
      <c r="G2543" s="370" t="s">
        <v>4440</v>
      </c>
      <c r="H2543" s="387" t="s">
        <v>436</v>
      </c>
      <c r="I2543" s="538" t="s">
        <v>4441</v>
      </c>
      <c r="J2543" s="712">
        <v>45239</v>
      </c>
      <c r="K2543" s="773">
        <v>0.66666666666666663</v>
      </c>
      <c r="L2543" s="712">
        <v>45239</v>
      </c>
      <c r="M2543" s="773">
        <v>0.79166666666666663</v>
      </c>
      <c r="N2543" s="373">
        <v>3</v>
      </c>
      <c r="O2543" s="184" t="s">
        <v>17</v>
      </c>
      <c r="P2543" s="375" t="s">
        <v>4442</v>
      </c>
      <c r="Q2543" s="179" t="s">
        <v>258</v>
      </c>
      <c r="R2543" s="621" t="s">
        <v>81</v>
      </c>
      <c r="S2543" s="31" t="s">
        <v>273</v>
      </c>
      <c r="T2543" s="31" t="s">
        <v>273</v>
      </c>
      <c r="U2543" s="31">
        <f>IFERROR(VLOOKUP(CONCATENATE(Tabla1[[#This Row],[Severidad]]," ",Tabla1[[#This Row],[Complejidad]]),Catalogos!E$120:G$128,3,FALSE),"")</f>
        <v>64</v>
      </c>
      <c r="V2543" s="31" t="str">
        <f>IF(Tabla1[[#This Row],[Tiempo solución max (hrs)]]&lt;&gt;"",IF(Tabla1[[#This Row],[Tiempo solución max (hrs)]]&gt;=Tabla1[[#This Row],[Tiempo
(Hrs 00/100)]],"cumple","no cumple"),"")</f>
        <v>cumple</v>
      </c>
      <c r="W2543" s="376" t="s">
        <v>4210</v>
      </c>
      <c r="X2543" s="377" t="str">
        <f t="shared" si="206"/>
        <v>SAW</v>
      </c>
      <c r="Y2543" t="str">
        <f>SUBSTITUTE(Tabla1[[#This Row],[Descripción]],CHAR(10),"    I    ")</f>
        <v xml:space="preserve">Actualización administracion de riesgos </v>
      </c>
      <c r="Z2543" s="142">
        <f>VLOOKUP(Tabla1[[#This Row],[Perfil]],Catalogos!$B$75:$D$100,3,FALSE)*Tabla1[[#This Row],[Tiempo
(Hrs 00/100)]]*1.16</f>
        <v>1739.9999999999998</v>
      </c>
    </row>
    <row r="2544" spans="1:26" ht="15" customHeight="1" x14ac:dyDescent="0.3">
      <c r="A2544" s="373" t="s">
        <v>22</v>
      </c>
      <c r="B2544" s="184" t="s">
        <v>68</v>
      </c>
      <c r="C2544" s="183" t="s">
        <v>16</v>
      </c>
      <c r="D2544" s="373"/>
      <c r="E2544" s="386" t="s">
        <v>503</v>
      </c>
      <c r="F2544" s="373" t="s">
        <v>75</v>
      </c>
      <c r="G2544" s="370" t="s">
        <v>4443</v>
      </c>
      <c r="H2544" s="387" t="s">
        <v>436</v>
      </c>
      <c r="I2544" s="620" t="s">
        <v>4444</v>
      </c>
      <c r="J2544" s="712">
        <v>45240</v>
      </c>
      <c r="K2544" s="773">
        <v>0.375</v>
      </c>
      <c r="L2544" s="712">
        <v>45240</v>
      </c>
      <c r="M2544" s="773">
        <v>0.5</v>
      </c>
      <c r="N2544" s="373">
        <v>3</v>
      </c>
      <c r="O2544" s="184" t="s">
        <v>17</v>
      </c>
      <c r="P2544" s="375" t="s">
        <v>4445</v>
      </c>
      <c r="Q2544" s="179" t="s">
        <v>258</v>
      </c>
      <c r="R2544" s="621" t="s">
        <v>81</v>
      </c>
      <c r="S2544" s="31" t="s">
        <v>273</v>
      </c>
      <c r="T2544" s="31" t="s">
        <v>273</v>
      </c>
      <c r="U2544" s="31">
        <f>IFERROR(VLOOKUP(CONCATENATE(Tabla1[[#This Row],[Severidad]]," ",Tabla1[[#This Row],[Complejidad]]),Catalogos!E$120:G$128,3,FALSE),"")</f>
        <v>64</v>
      </c>
      <c r="V2544" s="31" t="str">
        <f>IF(Tabla1[[#This Row],[Tiempo solución max (hrs)]]&lt;&gt;"",IF(Tabla1[[#This Row],[Tiempo solución max (hrs)]]&gt;=Tabla1[[#This Row],[Tiempo
(Hrs 00/100)]],"cumple","no cumple"),"")</f>
        <v>cumple</v>
      </c>
      <c r="W2544" s="376" t="s">
        <v>4210</v>
      </c>
      <c r="X2544" s="377" t="str">
        <f t="shared" si="206"/>
        <v>SAW</v>
      </c>
      <c r="Y2544" t="str">
        <f>SUBSTITUTE(Tabla1[[#This Row],[Descripción]],CHAR(10),"    I    ")</f>
        <v xml:space="preserve">Actualización parametros riesgos </v>
      </c>
      <c r="Z2544" s="142">
        <f>VLOOKUP(Tabla1[[#This Row],[Perfil]],Catalogos!$B$75:$D$100,3,FALSE)*Tabla1[[#This Row],[Tiempo
(Hrs 00/100)]]*1.16</f>
        <v>1739.9999999999998</v>
      </c>
    </row>
    <row r="2545" spans="1:26" ht="15" customHeight="1" x14ac:dyDescent="0.3">
      <c r="A2545" s="373" t="s">
        <v>22</v>
      </c>
      <c r="B2545" s="184" t="s">
        <v>68</v>
      </c>
      <c r="C2545" s="183" t="s">
        <v>16</v>
      </c>
      <c r="D2545" s="373"/>
      <c r="E2545" s="386" t="s">
        <v>503</v>
      </c>
      <c r="F2545" s="373" t="s">
        <v>75</v>
      </c>
      <c r="G2545" s="370" t="s">
        <v>4446</v>
      </c>
      <c r="H2545" s="387" t="s">
        <v>436</v>
      </c>
      <c r="I2545" s="538" t="s">
        <v>4447</v>
      </c>
      <c r="J2545" s="712">
        <v>45240</v>
      </c>
      <c r="K2545" s="773">
        <v>0.5</v>
      </c>
      <c r="L2545" s="712">
        <v>45240</v>
      </c>
      <c r="M2545" s="773">
        <v>0.625</v>
      </c>
      <c r="N2545" s="373">
        <v>3</v>
      </c>
      <c r="O2545" s="184" t="s">
        <v>17</v>
      </c>
      <c r="P2545" s="375" t="s">
        <v>4448</v>
      </c>
      <c r="Q2545" s="179" t="s">
        <v>258</v>
      </c>
      <c r="R2545" s="621" t="s">
        <v>81</v>
      </c>
      <c r="S2545" s="31" t="s">
        <v>273</v>
      </c>
      <c r="T2545" s="31" t="s">
        <v>273</v>
      </c>
      <c r="U2545" s="31">
        <f>IFERROR(VLOOKUP(CONCATENATE(Tabla1[[#This Row],[Severidad]]," ",Tabla1[[#This Row],[Complejidad]]),Catalogos!E$120:G$128,3,FALSE),"")</f>
        <v>64</v>
      </c>
      <c r="V2545" s="31" t="str">
        <f>IF(Tabla1[[#This Row],[Tiempo solución max (hrs)]]&lt;&gt;"",IF(Tabla1[[#This Row],[Tiempo solución max (hrs)]]&gt;=Tabla1[[#This Row],[Tiempo
(Hrs 00/100)]],"cumple","no cumple"),"")</f>
        <v>cumple</v>
      </c>
      <c r="W2545" s="376" t="s">
        <v>4210</v>
      </c>
      <c r="X2545" s="377" t="str">
        <f t="shared" si="206"/>
        <v>SAW</v>
      </c>
      <c r="Y2545" t="str">
        <f>SUBSTITUTE(Tabla1[[#This Row],[Descripción]],CHAR(10),"    I    ")</f>
        <v xml:space="preserve">Actualización principios basicos riesgos </v>
      </c>
      <c r="Z2545" s="142">
        <f>VLOOKUP(Tabla1[[#This Row],[Perfil]],Catalogos!$B$75:$D$100,3,FALSE)*Tabla1[[#This Row],[Tiempo
(Hrs 00/100)]]*1.16</f>
        <v>1739.9999999999998</v>
      </c>
    </row>
    <row r="2546" spans="1:26" ht="15" customHeight="1" x14ac:dyDescent="0.3">
      <c r="A2546" s="373" t="s">
        <v>22</v>
      </c>
      <c r="B2546" s="184" t="s">
        <v>68</v>
      </c>
      <c r="C2546" s="183" t="s">
        <v>16</v>
      </c>
      <c r="D2546" s="373"/>
      <c r="E2546" s="386" t="s">
        <v>503</v>
      </c>
      <c r="F2546" s="373" t="s">
        <v>75</v>
      </c>
      <c r="G2546" s="370" t="s">
        <v>4449</v>
      </c>
      <c r="H2546" s="387" t="s">
        <v>436</v>
      </c>
      <c r="I2546" s="620" t="s">
        <v>4450</v>
      </c>
      <c r="J2546" s="712">
        <v>45243</v>
      </c>
      <c r="K2546" s="773">
        <v>0.375</v>
      </c>
      <c r="L2546" s="712">
        <v>45243</v>
      </c>
      <c r="M2546" s="773">
        <v>0.60416666666666663</v>
      </c>
      <c r="N2546" s="373">
        <v>5.5</v>
      </c>
      <c r="O2546" s="184" t="s">
        <v>17</v>
      </c>
      <c r="P2546" s="375" t="s">
        <v>4451</v>
      </c>
      <c r="Q2546" s="179" t="s">
        <v>258</v>
      </c>
      <c r="R2546" s="621" t="s">
        <v>81</v>
      </c>
      <c r="S2546" s="31" t="s">
        <v>273</v>
      </c>
      <c r="T2546" s="31" t="s">
        <v>273</v>
      </c>
      <c r="U2546" s="31">
        <f>IFERROR(VLOOKUP(CONCATENATE(Tabla1[[#This Row],[Severidad]]," ",Tabla1[[#This Row],[Complejidad]]),Catalogos!E$120:G$128,3,FALSE),"")</f>
        <v>64</v>
      </c>
      <c r="V2546" s="31" t="str">
        <f>IF(Tabla1[[#This Row],[Tiempo solución max (hrs)]]&lt;&gt;"",IF(Tabla1[[#This Row],[Tiempo solución max (hrs)]]&gt;=Tabla1[[#This Row],[Tiempo
(Hrs 00/100)]],"cumple","no cumple"),"")</f>
        <v>cumple</v>
      </c>
      <c r="W2546" s="376" t="s">
        <v>4210</v>
      </c>
      <c r="X2546" s="377" t="str">
        <f t="shared" si="206"/>
        <v>SAW</v>
      </c>
      <c r="Y2546" t="str">
        <f>SUBSTITUTE(Tabla1[[#This Row],[Descripción]],CHAR(10),"    I    ")</f>
        <v xml:space="preserve">Actualización elementos de control riesgos </v>
      </c>
      <c r="Z2546" s="142">
        <f>VLOOKUP(Tabla1[[#This Row],[Perfil]],Catalogos!$B$75:$D$100,3,FALSE)*Tabla1[[#This Row],[Tiempo
(Hrs 00/100)]]*1.16</f>
        <v>3190</v>
      </c>
    </row>
    <row r="2547" spans="1:26" ht="15" customHeight="1" x14ac:dyDescent="0.3">
      <c r="A2547" s="373" t="s">
        <v>22</v>
      </c>
      <c r="B2547" s="184" t="s">
        <v>68</v>
      </c>
      <c r="C2547" s="183" t="s">
        <v>16</v>
      </c>
      <c r="D2547" s="373"/>
      <c r="E2547" s="386" t="s">
        <v>503</v>
      </c>
      <c r="F2547" s="373" t="s">
        <v>75</v>
      </c>
      <c r="G2547" s="370" t="s">
        <v>4452</v>
      </c>
      <c r="H2547" s="387" t="s">
        <v>436</v>
      </c>
      <c r="I2547" s="178" t="s">
        <v>4453</v>
      </c>
      <c r="J2547" s="712">
        <v>45243</v>
      </c>
      <c r="K2547" s="773">
        <v>0.66666666666666663</v>
      </c>
      <c r="L2547" s="712">
        <v>45243</v>
      </c>
      <c r="M2547" s="773">
        <v>0.79166666666666663</v>
      </c>
      <c r="N2547" s="373">
        <v>3</v>
      </c>
      <c r="O2547" s="184" t="s">
        <v>17</v>
      </c>
      <c r="P2547" s="375" t="s">
        <v>4429</v>
      </c>
      <c r="Q2547" s="179" t="s">
        <v>258</v>
      </c>
      <c r="R2547" s="621" t="s">
        <v>81</v>
      </c>
      <c r="S2547" s="31" t="s">
        <v>273</v>
      </c>
      <c r="T2547" s="31" t="s">
        <v>273</v>
      </c>
      <c r="U2547" s="31">
        <f>IFERROR(VLOOKUP(CONCATENATE(Tabla1[[#This Row],[Severidad]]," ",Tabla1[[#This Row],[Complejidad]]),Catalogos!E$120:G$128,3,FALSE),"")</f>
        <v>64</v>
      </c>
      <c r="V2547" s="31" t="str">
        <f>IF(Tabla1[[#This Row],[Tiempo solución max (hrs)]]&lt;&gt;"",IF(Tabla1[[#This Row],[Tiempo solución max (hrs)]]&gt;=Tabla1[[#This Row],[Tiempo
(Hrs 00/100)]],"cumple","no cumple"),"")</f>
        <v>cumple</v>
      </c>
      <c r="W2547" s="376" t="s">
        <v>4210</v>
      </c>
      <c r="X2547" s="377" t="str">
        <f t="shared" si="206"/>
        <v>SAW</v>
      </c>
      <c r="Y2547" t="str">
        <f>SUBSTITUTE(Tabla1[[#This Row],[Descripción]],CHAR(10),"    I    ")</f>
        <v xml:space="preserve">Actualización de actividades de control </v>
      </c>
      <c r="Z2547" s="142">
        <f>VLOOKUP(Tabla1[[#This Row],[Perfil]],Catalogos!$B$75:$D$100,3,FALSE)*Tabla1[[#This Row],[Tiempo
(Hrs 00/100)]]*1.16</f>
        <v>1739.9999999999998</v>
      </c>
    </row>
    <row r="2548" spans="1:26" ht="15" customHeight="1" x14ac:dyDescent="0.3">
      <c r="A2548" s="373" t="s">
        <v>22</v>
      </c>
      <c r="B2548" s="184" t="s">
        <v>68</v>
      </c>
      <c r="C2548" s="183" t="s">
        <v>16</v>
      </c>
      <c r="D2548" s="373"/>
      <c r="E2548" s="386" t="s">
        <v>503</v>
      </c>
      <c r="F2548" s="373" t="s">
        <v>75</v>
      </c>
      <c r="G2548" s="370" t="s">
        <v>4454</v>
      </c>
      <c r="H2548" s="387" t="s">
        <v>436</v>
      </c>
      <c r="I2548" s="538" t="s">
        <v>4455</v>
      </c>
      <c r="J2548" s="712">
        <v>45244</v>
      </c>
      <c r="K2548" s="773">
        <v>0.375</v>
      </c>
      <c r="L2548" s="712">
        <v>45244</v>
      </c>
      <c r="M2548" s="773">
        <v>0.60416666666666663</v>
      </c>
      <c r="N2548" s="373">
        <v>5.5</v>
      </c>
      <c r="O2548" s="184" t="s">
        <v>17</v>
      </c>
      <c r="P2548" s="375" t="s">
        <v>4424</v>
      </c>
      <c r="Q2548" s="179" t="s">
        <v>258</v>
      </c>
      <c r="R2548" s="621" t="s">
        <v>81</v>
      </c>
      <c r="S2548" s="31" t="s">
        <v>273</v>
      </c>
      <c r="T2548" s="31" t="s">
        <v>273</v>
      </c>
      <c r="U2548" s="31">
        <f>IFERROR(VLOOKUP(CONCATENATE(Tabla1[[#This Row],[Severidad]]," ",Tabla1[[#This Row],[Complejidad]]),Catalogos!E$120:G$128,3,FALSE),"")</f>
        <v>64</v>
      </c>
      <c r="V2548" s="31" t="str">
        <f>IF(Tabla1[[#This Row],[Tiempo solución max (hrs)]]&lt;&gt;"",IF(Tabla1[[#This Row],[Tiempo solución max (hrs)]]&gt;=Tabla1[[#This Row],[Tiempo
(Hrs 00/100)]],"cumple","no cumple"),"")</f>
        <v>cumple</v>
      </c>
      <c r="W2548" s="376" t="s">
        <v>4210</v>
      </c>
      <c r="X2548" s="377" t="str">
        <f t="shared" si="206"/>
        <v>SAW</v>
      </c>
      <c r="Y2548" t="str">
        <f>SUBSTITUTE(Tabla1[[#This Row],[Descripción]],CHAR(10),"    I    ")</f>
        <v xml:space="preserve">Actualización de parametros de control </v>
      </c>
      <c r="Z2548" s="142">
        <f>VLOOKUP(Tabla1[[#This Row],[Perfil]],Catalogos!$B$75:$D$100,3,FALSE)*Tabla1[[#This Row],[Tiempo
(Hrs 00/100)]]*1.16</f>
        <v>3190</v>
      </c>
    </row>
    <row r="2549" spans="1:26" ht="15" customHeight="1" x14ac:dyDescent="0.3">
      <c r="A2549" s="373" t="s">
        <v>22</v>
      </c>
      <c r="B2549" s="184" t="s">
        <v>68</v>
      </c>
      <c r="C2549" s="183" t="s">
        <v>16</v>
      </c>
      <c r="D2549" s="373"/>
      <c r="E2549" s="386" t="s">
        <v>503</v>
      </c>
      <c r="F2549" s="373" t="s">
        <v>75</v>
      </c>
      <c r="G2549" s="370" t="s">
        <v>4456</v>
      </c>
      <c r="H2549" s="387" t="s">
        <v>436</v>
      </c>
      <c r="I2549" s="538" t="s">
        <v>4457</v>
      </c>
      <c r="J2549" s="712">
        <v>45244</v>
      </c>
      <c r="K2549" s="773">
        <v>0.66666666666666663</v>
      </c>
      <c r="L2549" s="712">
        <v>45244</v>
      </c>
      <c r="M2549" s="773">
        <v>0.79166666666666663</v>
      </c>
      <c r="N2549" s="373">
        <v>3</v>
      </c>
      <c r="O2549" s="184" t="s">
        <v>17</v>
      </c>
      <c r="P2549" s="375" t="s">
        <v>4437</v>
      </c>
      <c r="Q2549" s="179" t="s">
        <v>258</v>
      </c>
      <c r="R2549" s="621" t="s">
        <v>81</v>
      </c>
      <c r="S2549" s="31" t="s">
        <v>273</v>
      </c>
      <c r="T2549" s="31" t="s">
        <v>273</v>
      </c>
      <c r="U2549" s="31">
        <f>IFERROR(VLOOKUP(CONCATENATE(Tabla1[[#This Row],[Severidad]]," ",Tabla1[[#This Row],[Complejidad]]),Catalogos!E$120:G$128,3,FALSE),"")</f>
        <v>64</v>
      </c>
      <c r="V2549" s="31" t="str">
        <f>IF(Tabla1[[#This Row],[Tiempo solución max (hrs)]]&lt;&gt;"",IF(Tabla1[[#This Row],[Tiempo solución max (hrs)]]&gt;=Tabla1[[#This Row],[Tiempo
(Hrs 00/100)]],"cumple","no cumple"),"")</f>
        <v>cumple</v>
      </c>
      <c r="W2549" s="376" t="s">
        <v>4210</v>
      </c>
      <c r="X2549" s="377" t="str">
        <f t="shared" si="206"/>
        <v>SAW</v>
      </c>
      <c r="Y2549" t="str">
        <f>SUBSTITUTE(Tabla1[[#This Row],[Descripción]],CHAR(10),"    I    ")</f>
        <v xml:space="preserve">Actualización de principios basicos de control </v>
      </c>
      <c r="Z2549" s="142">
        <f>VLOOKUP(Tabla1[[#This Row],[Perfil]],Catalogos!$B$75:$D$100,3,FALSE)*Tabla1[[#This Row],[Tiempo
(Hrs 00/100)]]*1.16</f>
        <v>1739.9999999999998</v>
      </c>
    </row>
    <row r="2550" spans="1:26" ht="15" customHeight="1" x14ac:dyDescent="0.3">
      <c r="A2550" s="373" t="s">
        <v>22</v>
      </c>
      <c r="B2550" s="184" t="s">
        <v>68</v>
      </c>
      <c r="C2550" s="183" t="s">
        <v>16</v>
      </c>
      <c r="D2550" s="373"/>
      <c r="E2550" s="386" t="s">
        <v>503</v>
      </c>
      <c r="F2550" s="373" t="s">
        <v>75</v>
      </c>
      <c r="G2550" s="370" t="s">
        <v>4458</v>
      </c>
      <c r="H2550" s="387" t="s">
        <v>436</v>
      </c>
      <c r="I2550" s="178" t="s">
        <v>4459</v>
      </c>
      <c r="J2550" s="712">
        <v>45245</v>
      </c>
      <c r="K2550" s="773">
        <v>0.375</v>
      </c>
      <c r="L2550" s="712">
        <v>45245</v>
      </c>
      <c r="M2550" s="773">
        <v>0.60416666666666663</v>
      </c>
      <c r="N2550" s="373">
        <v>5.5</v>
      </c>
      <c r="O2550" s="184" t="s">
        <v>17</v>
      </c>
      <c r="P2550" s="375" t="s">
        <v>4451</v>
      </c>
      <c r="Q2550" s="179" t="s">
        <v>258</v>
      </c>
      <c r="R2550" s="621" t="s">
        <v>81</v>
      </c>
      <c r="S2550" s="31" t="s">
        <v>273</v>
      </c>
      <c r="T2550" s="31" t="s">
        <v>273</v>
      </c>
      <c r="U2550" s="31">
        <f>IFERROR(VLOOKUP(CONCATENATE(Tabla1[[#This Row],[Severidad]]," ",Tabla1[[#This Row],[Complejidad]]),Catalogos!E$120:G$128,3,FALSE),"")</f>
        <v>64</v>
      </c>
      <c r="V2550" s="31" t="str">
        <f>IF(Tabla1[[#This Row],[Tiempo solución max (hrs)]]&lt;&gt;"",IF(Tabla1[[#This Row],[Tiempo solución max (hrs)]]&gt;=Tabla1[[#This Row],[Tiempo
(Hrs 00/100)]],"cumple","no cumple"),"")</f>
        <v>cumple</v>
      </c>
      <c r="W2550" s="376" t="s">
        <v>4210</v>
      </c>
      <c r="X2550" s="377" t="str">
        <f t="shared" si="206"/>
        <v>SAW</v>
      </c>
      <c r="Y2550" t="str">
        <f>SUBSTITUTE(Tabla1[[#This Row],[Descripción]],CHAR(10),"    I    ")</f>
        <v xml:space="preserve">Actualización de elementos de control interno </v>
      </c>
      <c r="Z2550" s="142">
        <f>VLOOKUP(Tabla1[[#This Row],[Perfil]],Catalogos!$B$75:$D$100,3,FALSE)*Tabla1[[#This Row],[Tiempo
(Hrs 00/100)]]*1.16</f>
        <v>3190</v>
      </c>
    </row>
    <row r="2551" spans="1:26" ht="15" customHeight="1" x14ac:dyDescent="0.3">
      <c r="A2551" s="373" t="s">
        <v>22</v>
      </c>
      <c r="B2551" s="184" t="s">
        <v>68</v>
      </c>
      <c r="C2551" s="183" t="s">
        <v>16</v>
      </c>
      <c r="D2551" s="373"/>
      <c r="E2551" s="386" t="s">
        <v>503</v>
      </c>
      <c r="F2551" s="373" t="s">
        <v>75</v>
      </c>
      <c r="G2551" s="370" t="s">
        <v>4460</v>
      </c>
      <c r="H2551" s="387" t="s">
        <v>436</v>
      </c>
      <c r="I2551" s="538" t="s">
        <v>4461</v>
      </c>
      <c r="J2551" s="712">
        <v>45245</v>
      </c>
      <c r="K2551" s="773">
        <v>0.66666666666666663</v>
      </c>
      <c r="L2551" s="712">
        <v>45245</v>
      </c>
      <c r="M2551" s="773">
        <v>0.79166666666666663</v>
      </c>
      <c r="N2551" s="373">
        <v>3</v>
      </c>
      <c r="O2551" s="184" t="s">
        <v>17</v>
      </c>
      <c r="P2551" s="375" t="s">
        <v>4445</v>
      </c>
      <c r="Q2551" s="179" t="s">
        <v>258</v>
      </c>
      <c r="R2551" s="621" t="s">
        <v>81</v>
      </c>
      <c r="S2551" s="31" t="s">
        <v>273</v>
      </c>
      <c r="T2551" s="31" t="s">
        <v>273</v>
      </c>
      <c r="U2551" s="31">
        <f>IFERROR(VLOOKUP(CONCATENATE(Tabla1[[#This Row],[Severidad]]," ",Tabla1[[#This Row],[Complejidad]]),Catalogos!E$120:G$128,3,FALSE),"")</f>
        <v>64</v>
      </c>
      <c r="V2551" s="31" t="str">
        <f>IF(Tabla1[[#This Row],[Tiempo solución max (hrs)]]&lt;&gt;"",IF(Tabla1[[#This Row],[Tiempo solución max (hrs)]]&gt;=Tabla1[[#This Row],[Tiempo
(Hrs 00/100)]],"cumple","no cumple"),"")</f>
        <v>cumple</v>
      </c>
      <c r="W2551" s="376" t="s">
        <v>4210</v>
      </c>
      <c r="X2551" s="377" t="str">
        <f t="shared" ref="X2551:X2566" si="207">IF(C2551&lt;&gt;"",C2551,D2551)</f>
        <v>SAW</v>
      </c>
      <c r="Y2551" t="str">
        <f>SUBSTITUTE(Tabla1[[#This Row],[Descripción]],CHAR(10),"    I    ")</f>
        <v xml:space="preserve">Actualización de informacion de comunicación </v>
      </c>
      <c r="Z2551" s="142">
        <f>VLOOKUP(Tabla1[[#This Row],[Perfil]],Catalogos!$B$75:$D$100,3,FALSE)*Tabla1[[#This Row],[Tiempo
(Hrs 00/100)]]*1.16</f>
        <v>1739.9999999999998</v>
      </c>
    </row>
    <row r="2552" spans="1:26" ht="15" customHeight="1" x14ac:dyDescent="0.3">
      <c r="A2552" s="373" t="s">
        <v>22</v>
      </c>
      <c r="B2552" s="184" t="s">
        <v>68</v>
      </c>
      <c r="C2552" s="183" t="s">
        <v>16</v>
      </c>
      <c r="D2552" s="373"/>
      <c r="E2552" s="386" t="s">
        <v>503</v>
      </c>
      <c r="F2552" s="373" t="s">
        <v>75</v>
      </c>
      <c r="G2552" s="370" t="s">
        <v>4462</v>
      </c>
      <c r="H2552" s="387" t="s">
        <v>436</v>
      </c>
      <c r="I2552" s="538" t="s">
        <v>4463</v>
      </c>
      <c r="J2552" s="712">
        <v>45246</v>
      </c>
      <c r="K2552" s="773">
        <v>0.375</v>
      </c>
      <c r="L2552" s="712">
        <v>45246</v>
      </c>
      <c r="M2552" s="773">
        <v>0.60416666666666663</v>
      </c>
      <c r="N2552" s="373">
        <v>5.5</v>
      </c>
      <c r="O2552" s="184" t="s">
        <v>17</v>
      </c>
      <c r="P2552" s="375" t="s">
        <v>4442</v>
      </c>
      <c r="Q2552" s="179" t="s">
        <v>258</v>
      </c>
      <c r="R2552" s="621" t="s">
        <v>81</v>
      </c>
      <c r="S2552" s="31" t="s">
        <v>273</v>
      </c>
      <c r="T2552" s="31" t="s">
        <v>273</v>
      </c>
      <c r="U2552" s="31">
        <f>IFERROR(VLOOKUP(CONCATENATE(Tabla1[[#This Row],[Severidad]]," ",Tabla1[[#This Row],[Complejidad]]),Catalogos!E$120:G$128,3,FALSE),"")</f>
        <v>64</v>
      </c>
      <c r="V2552" s="31" t="str">
        <f>IF(Tabla1[[#This Row],[Tiempo solución max (hrs)]]&lt;&gt;"",IF(Tabla1[[#This Row],[Tiempo solución max (hrs)]]&gt;=Tabla1[[#This Row],[Tiempo
(Hrs 00/100)]],"cumple","no cumple"),"")</f>
        <v>cumple</v>
      </c>
      <c r="W2552" s="376" t="s">
        <v>4210</v>
      </c>
      <c r="X2552" s="377" t="str">
        <f t="shared" si="207"/>
        <v>SAW</v>
      </c>
      <c r="Y2552" t="str">
        <f>SUBSTITUTE(Tabla1[[#This Row],[Descripción]],CHAR(10),"    I    ")</f>
        <v xml:space="preserve">Actualización de parametro de informacion y comuicacion </v>
      </c>
      <c r="Z2552" s="142">
        <f>VLOOKUP(Tabla1[[#This Row],[Perfil]],Catalogos!$B$75:$D$100,3,FALSE)*Tabla1[[#This Row],[Tiempo
(Hrs 00/100)]]*1.16</f>
        <v>3190</v>
      </c>
    </row>
    <row r="2553" spans="1:26" ht="15" customHeight="1" x14ac:dyDescent="0.3">
      <c r="A2553" s="373" t="s">
        <v>22</v>
      </c>
      <c r="B2553" s="184" t="s">
        <v>68</v>
      </c>
      <c r="C2553" s="183" t="s">
        <v>16</v>
      </c>
      <c r="D2553" s="373"/>
      <c r="E2553" s="386" t="s">
        <v>503</v>
      </c>
      <c r="F2553" s="373" t="s">
        <v>75</v>
      </c>
      <c r="G2553" s="370" t="s">
        <v>4464</v>
      </c>
      <c r="H2553" s="387" t="s">
        <v>436</v>
      </c>
      <c r="I2553" s="538" t="s">
        <v>4465</v>
      </c>
      <c r="J2553" s="712">
        <v>45246</v>
      </c>
      <c r="K2553" s="773">
        <v>0.66666666666666663</v>
      </c>
      <c r="L2553" s="712">
        <v>45246</v>
      </c>
      <c r="M2553" s="773">
        <v>0.79166666666666663</v>
      </c>
      <c r="N2553" s="373">
        <v>3</v>
      </c>
      <c r="O2553" s="184" t="s">
        <v>17</v>
      </c>
      <c r="P2553" s="375" t="s">
        <v>4429</v>
      </c>
      <c r="Q2553" s="179" t="s">
        <v>258</v>
      </c>
      <c r="R2553" s="621" t="s">
        <v>81</v>
      </c>
      <c r="S2553" s="31" t="s">
        <v>273</v>
      </c>
      <c r="T2553" s="31" t="s">
        <v>273</v>
      </c>
      <c r="U2553" s="31">
        <f>IFERROR(VLOOKUP(CONCATENATE(Tabla1[[#This Row],[Severidad]]," ",Tabla1[[#This Row],[Complejidad]]),Catalogos!E$120:G$128,3,FALSE),"")</f>
        <v>64</v>
      </c>
      <c r="V2553" s="31" t="str">
        <f>IF(Tabla1[[#This Row],[Tiempo solución max (hrs)]]&lt;&gt;"",IF(Tabla1[[#This Row],[Tiempo solución max (hrs)]]&gt;=Tabla1[[#This Row],[Tiempo
(Hrs 00/100)]],"cumple","no cumple"),"")</f>
        <v>cumple</v>
      </c>
      <c r="W2553" s="376" t="s">
        <v>4210</v>
      </c>
      <c r="X2553" s="377" t="str">
        <f t="shared" si="207"/>
        <v>SAW</v>
      </c>
      <c r="Y2553" t="str">
        <f>SUBSTITUTE(Tabla1[[#This Row],[Descripción]],CHAR(10),"    I    ")</f>
        <v xml:space="preserve">Actualización principios basicos de informacion y comunicación </v>
      </c>
      <c r="Z2553" s="142">
        <f>VLOOKUP(Tabla1[[#This Row],[Perfil]],Catalogos!$B$75:$D$100,3,FALSE)*Tabla1[[#This Row],[Tiempo
(Hrs 00/100)]]*1.16</f>
        <v>1739.9999999999998</v>
      </c>
    </row>
    <row r="2554" spans="1:26" ht="15" customHeight="1" x14ac:dyDescent="0.3">
      <c r="A2554" s="373" t="s">
        <v>22</v>
      </c>
      <c r="B2554" s="184" t="s">
        <v>68</v>
      </c>
      <c r="C2554" s="183" t="s">
        <v>16</v>
      </c>
      <c r="D2554" s="373"/>
      <c r="E2554" s="386" t="s">
        <v>503</v>
      </c>
      <c r="F2554" s="373" t="s">
        <v>75</v>
      </c>
      <c r="G2554" s="370" t="s">
        <v>4466</v>
      </c>
      <c r="H2554" s="387" t="s">
        <v>436</v>
      </c>
      <c r="I2554" s="538" t="s">
        <v>4467</v>
      </c>
      <c r="J2554" s="712">
        <v>45247</v>
      </c>
      <c r="K2554" s="773">
        <v>0.375</v>
      </c>
      <c r="L2554" s="712">
        <v>45247</v>
      </c>
      <c r="M2554" s="773">
        <v>0.5</v>
      </c>
      <c r="N2554" s="373">
        <v>3</v>
      </c>
      <c r="O2554" s="184" t="s">
        <v>17</v>
      </c>
      <c r="P2554" s="375" t="s">
        <v>4451</v>
      </c>
      <c r="Q2554" s="179" t="s">
        <v>258</v>
      </c>
      <c r="R2554" s="621" t="s">
        <v>81</v>
      </c>
      <c r="S2554" s="31" t="s">
        <v>273</v>
      </c>
      <c r="T2554" s="31" t="s">
        <v>273</v>
      </c>
      <c r="U2554" s="31">
        <f>IFERROR(VLOOKUP(CONCATENATE(Tabla1[[#This Row],[Severidad]]," ",Tabla1[[#This Row],[Complejidad]]),Catalogos!E$120:G$128,3,FALSE),"")</f>
        <v>64</v>
      </c>
      <c r="V2554" s="31" t="str">
        <f>IF(Tabla1[[#This Row],[Tiempo solución max (hrs)]]&lt;&gt;"",IF(Tabla1[[#This Row],[Tiempo solución max (hrs)]]&gt;=Tabla1[[#This Row],[Tiempo
(Hrs 00/100)]],"cumple","no cumple"),"")</f>
        <v>cumple</v>
      </c>
      <c r="W2554" s="376" t="s">
        <v>4210</v>
      </c>
      <c r="X2554" s="377" t="str">
        <f t="shared" si="207"/>
        <v>SAW</v>
      </c>
      <c r="Y2554" t="str">
        <f>SUBSTITUTE(Tabla1[[#This Row],[Descripción]],CHAR(10),"    I    ")</f>
        <v xml:space="preserve">Actualización informacin y comuicacion de elementos de control inteno </v>
      </c>
      <c r="Z2554" s="142">
        <f>VLOOKUP(Tabla1[[#This Row],[Perfil]],Catalogos!$B$75:$D$100,3,FALSE)*Tabla1[[#This Row],[Tiempo
(Hrs 00/100)]]*1.16</f>
        <v>1739.9999999999998</v>
      </c>
    </row>
    <row r="2555" spans="1:26" ht="15" customHeight="1" x14ac:dyDescent="0.3">
      <c r="A2555" s="373" t="s">
        <v>22</v>
      </c>
      <c r="B2555" s="184" t="s">
        <v>68</v>
      </c>
      <c r="C2555" s="183" t="s">
        <v>16</v>
      </c>
      <c r="D2555" s="373"/>
      <c r="E2555" s="386" t="s">
        <v>503</v>
      </c>
      <c r="F2555" s="373" t="s">
        <v>75</v>
      </c>
      <c r="G2555" s="370" t="s">
        <v>4468</v>
      </c>
      <c r="H2555" s="387" t="s">
        <v>436</v>
      </c>
      <c r="I2555" s="538" t="s">
        <v>4469</v>
      </c>
      <c r="J2555" s="712">
        <v>45247</v>
      </c>
      <c r="K2555" s="773">
        <v>0.5</v>
      </c>
      <c r="L2555" s="712">
        <v>45247</v>
      </c>
      <c r="M2555" s="773">
        <v>0.625</v>
      </c>
      <c r="N2555" s="373">
        <v>3</v>
      </c>
      <c r="O2555" s="184" t="s">
        <v>17</v>
      </c>
      <c r="P2555" s="375" t="s">
        <v>4448</v>
      </c>
      <c r="Q2555" s="179" t="s">
        <v>258</v>
      </c>
      <c r="R2555" s="621" t="s">
        <v>81</v>
      </c>
      <c r="S2555" s="31" t="s">
        <v>273</v>
      </c>
      <c r="T2555" s="31" t="s">
        <v>273</v>
      </c>
      <c r="U2555" s="31">
        <f>IFERROR(VLOOKUP(CONCATENATE(Tabla1[[#This Row],[Severidad]]," ",Tabla1[[#This Row],[Complejidad]]),Catalogos!E$120:G$128,3,FALSE),"")</f>
        <v>64</v>
      </c>
      <c r="V2555" s="31" t="str">
        <f>IF(Tabla1[[#This Row],[Tiempo solución max (hrs)]]&lt;&gt;"",IF(Tabla1[[#This Row],[Tiempo solución max (hrs)]]&gt;=Tabla1[[#This Row],[Tiempo
(Hrs 00/100)]],"cumple","no cumple"),"")</f>
        <v>cumple</v>
      </c>
      <c r="W2555" s="376" t="s">
        <v>4210</v>
      </c>
      <c r="X2555" s="377" t="str">
        <f t="shared" si="207"/>
        <v>SAW</v>
      </c>
      <c r="Y2555" t="str">
        <f>SUBSTITUTE(Tabla1[[#This Row],[Descripción]],CHAR(10),"    I    ")</f>
        <v>actualizacin de supervision y mejora continua</v>
      </c>
      <c r="Z2555" s="142">
        <f>VLOOKUP(Tabla1[[#This Row],[Perfil]],Catalogos!$B$75:$D$100,3,FALSE)*Tabla1[[#This Row],[Tiempo
(Hrs 00/100)]]*1.16</f>
        <v>1739.9999999999998</v>
      </c>
    </row>
    <row r="2556" spans="1:26" ht="15" customHeight="1" x14ac:dyDescent="0.3">
      <c r="A2556" s="373" t="s">
        <v>22</v>
      </c>
      <c r="B2556" s="184" t="s">
        <v>68</v>
      </c>
      <c r="C2556" s="183" t="s">
        <v>16</v>
      </c>
      <c r="D2556" s="373"/>
      <c r="E2556" s="386" t="s">
        <v>503</v>
      </c>
      <c r="F2556" s="373" t="s">
        <v>75</v>
      </c>
      <c r="G2556" s="370" t="s">
        <v>4470</v>
      </c>
      <c r="H2556" s="387" t="s">
        <v>436</v>
      </c>
      <c r="I2556" s="538" t="s">
        <v>4471</v>
      </c>
      <c r="J2556" s="712">
        <v>45251</v>
      </c>
      <c r="K2556" s="773">
        <v>0.375</v>
      </c>
      <c r="L2556" s="712">
        <v>45251</v>
      </c>
      <c r="M2556" s="773">
        <v>0.60416666666666663</v>
      </c>
      <c r="N2556" s="373">
        <v>5.5</v>
      </c>
      <c r="O2556" s="184" t="s">
        <v>17</v>
      </c>
      <c r="P2556" s="375" t="s">
        <v>4472</v>
      </c>
      <c r="Q2556" s="179" t="s">
        <v>258</v>
      </c>
      <c r="R2556" s="621" t="s">
        <v>81</v>
      </c>
      <c r="S2556" s="31" t="s">
        <v>273</v>
      </c>
      <c r="T2556" s="31" t="s">
        <v>273</v>
      </c>
      <c r="U2556" s="31">
        <f>IFERROR(VLOOKUP(CONCATENATE(Tabla1[[#This Row],[Severidad]]," ",Tabla1[[#This Row],[Complejidad]]),Catalogos!E$120:G$128,3,FALSE),"")</f>
        <v>64</v>
      </c>
      <c r="V2556" s="31" t="str">
        <f>IF(Tabla1[[#This Row],[Tiempo solución max (hrs)]]&lt;&gt;"",IF(Tabla1[[#This Row],[Tiempo solución max (hrs)]]&gt;=Tabla1[[#This Row],[Tiempo
(Hrs 00/100)]],"cumple","no cumple"),"")</f>
        <v>cumple</v>
      </c>
      <c r="W2556" s="376" t="s">
        <v>4210</v>
      </c>
      <c r="X2556" s="377" t="str">
        <f t="shared" si="207"/>
        <v>SAW</v>
      </c>
      <c r="Y2556" t="str">
        <f>SUBSTITUTE(Tabla1[[#This Row],[Descripción]],CHAR(10),"    I    ")</f>
        <v xml:space="preserve">Actualización de elementos de control interno y supervisioin de mejora continua </v>
      </c>
      <c r="Z2556" s="142">
        <f>VLOOKUP(Tabla1[[#This Row],[Perfil]],Catalogos!$B$75:$D$100,3,FALSE)*Tabla1[[#This Row],[Tiempo
(Hrs 00/100)]]*1.16</f>
        <v>3190</v>
      </c>
    </row>
    <row r="2557" spans="1:26" ht="15" customHeight="1" x14ac:dyDescent="0.3">
      <c r="A2557" s="373" t="s">
        <v>22</v>
      </c>
      <c r="B2557" s="184" t="s">
        <v>68</v>
      </c>
      <c r="C2557" s="183" t="s">
        <v>16</v>
      </c>
      <c r="D2557" s="373"/>
      <c r="E2557" s="386" t="s">
        <v>503</v>
      </c>
      <c r="F2557" s="373" t="s">
        <v>75</v>
      </c>
      <c r="G2557" s="370" t="s">
        <v>4473</v>
      </c>
      <c r="H2557" s="387" t="s">
        <v>436</v>
      </c>
      <c r="I2557" s="178" t="s">
        <v>4417</v>
      </c>
      <c r="J2557" s="712">
        <v>45251</v>
      </c>
      <c r="K2557" s="773">
        <v>0.66666666666666663</v>
      </c>
      <c r="L2557" s="712">
        <v>45251</v>
      </c>
      <c r="M2557" s="773">
        <v>0.79166666666666663</v>
      </c>
      <c r="N2557" s="373">
        <v>3</v>
      </c>
      <c r="O2557" s="184" t="s">
        <v>17</v>
      </c>
      <c r="P2557" s="375" t="s">
        <v>4434</v>
      </c>
      <c r="Q2557" s="179" t="s">
        <v>258</v>
      </c>
      <c r="R2557" s="621" t="s">
        <v>81</v>
      </c>
      <c r="S2557" s="31" t="s">
        <v>273</v>
      </c>
      <c r="T2557" s="31" t="s">
        <v>273</v>
      </c>
      <c r="U2557" s="31">
        <f>IFERROR(VLOOKUP(CONCATENATE(Tabla1[[#This Row],[Severidad]]," ",Tabla1[[#This Row],[Complejidad]]),Catalogos!E$120:G$128,3,FALSE),"")</f>
        <v>64</v>
      </c>
      <c r="V2557" s="31" t="str">
        <f>IF(Tabla1[[#This Row],[Tiempo solución max (hrs)]]&lt;&gt;"",IF(Tabla1[[#This Row],[Tiempo solución max (hrs)]]&gt;=Tabla1[[#This Row],[Tiempo
(Hrs 00/100)]],"cumple","no cumple"),"")</f>
        <v>cumple</v>
      </c>
      <c r="W2557" s="376" t="s">
        <v>4210</v>
      </c>
      <c r="X2557" s="377" t="str">
        <f t="shared" si="207"/>
        <v>SAW</v>
      </c>
      <c r="Y2557" t="str">
        <f>SUBSTITUTE(Tabla1[[#This Row],[Descripción]],CHAR(10),"    I    ")</f>
        <v xml:space="preserve">Actualización pagina web </v>
      </c>
      <c r="Z2557" s="142">
        <f>VLOOKUP(Tabla1[[#This Row],[Perfil]],Catalogos!$B$75:$D$100,3,FALSE)*Tabla1[[#This Row],[Tiempo
(Hrs 00/100)]]*1.16</f>
        <v>1739.9999999999998</v>
      </c>
    </row>
    <row r="2558" spans="1:26" ht="15" customHeight="1" x14ac:dyDescent="0.3">
      <c r="A2558" s="373" t="s">
        <v>22</v>
      </c>
      <c r="B2558" s="184" t="s">
        <v>68</v>
      </c>
      <c r="C2558" s="183" t="s">
        <v>16</v>
      </c>
      <c r="D2558" s="373"/>
      <c r="E2558" s="386" t="s">
        <v>503</v>
      </c>
      <c r="F2558" s="373" t="s">
        <v>75</v>
      </c>
      <c r="G2558" s="370" t="s">
        <v>4474</v>
      </c>
      <c r="H2558" s="387" t="s">
        <v>436</v>
      </c>
      <c r="I2558" s="178" t="s">
        <v>4475</v>
      </c>
      <c r="J2558" s="712">
        <v>45252</v>
      </c>
      <c r="K2558" s="773">
        <v>0.375</v>
      </c>
      <c r="L2558" s="712">
        <v>45252</v>
      </c>
      <c r="M2558" s="773">
        <v>0.45833333333333331</v>
      </c>
      <c r="N2558" s="373">
        <v>2</v>
      </c>
      <c r="O2558" s="184" t="s">
        <v>17</v>
      </c>
      <c r="P2558" s="375" t="s">
        <v>4408</v>
      </c>
      <c r="Q2558" s="179" t="s">
        <v>258</v>
      </c>
      <c r="R2558" s="621" t="s">
        <v>81</v>
      </c>
      <c r="S2558" s="31" t="s">
        <v>273</v>
      </c>
      <c r="T2558" s="31" t="s">
        <v>273</v>
      </c>
      <c r="U2558" s="31">
        <f>IFERROR(VLOOKUP(CONCATENATE(Tabla1[[#This Row],[Severidad]]," ",Tabla1[[#This Row],[Complejidad]]),Catalogos!E$120:G$128,3,FALSE),"")</f>
        <v>64</v>
      </c>
      <c r="V2558" s="31" t="str">
        <f>IF(Tabla1[[#This Row],[Tiempo solución max (hrs)]]&lt;&gt;"",IF(Tabla1[[#This Row],[Tiempo solución max (hrs)]]&gt;=Tabla1[[#This Row],[Tiempo
(Hrs 00/100)]],"cumple","no cumple"),"")</f>
        <v>cumple</v>
      </c>
      <c r="W2558" s="376" t="s">
        <v>4210</v>
      </c>
      <c r="X2558" s="377" t="str">
        <f t="shared" si="207"/>
        <v>SAW</v>
      </c>
      <c r="Y2558" t="str">
        <f>SUBSTITUTE(Tabla1[[#This Row],[Descripción]],CHAR(10),"    I    ")</f>
        <v xml:space="preserve">Actualización parlamento abierto </v>
      </c>
      <c r="Z2558" s="142">
        <f>VLOOKUP(Tabla1[[#This Row],[Perfil]],Catalogos!$B$75:$D$100,3,FALSE)*Tabla1[[#This Row],[Tiempo
(Hrs 00/100)]]*1.16</f>
        <v>1160</v>
      </c>
    </row>
    <row r="2559" spans="1:26" ht="15" customHeight="1" x14ac:dyDescent="0.3">
      <c r="A2559" s="373" t="s">
        <v>22</v>
      </c>
      <c r="B2559" s="184" t="s">
        <v>68</v>
      </c>
      <c r="C2559" s="183" t="s">
        <v>16</v>
      </c>
      <c r="D2559" s="373"/>
      <c r="E2559" s="386" t="s">
        <v>503</v>
      </c>
      <c r="F2559" s="373" t="s">
        <v>75</v>
      </c>
      <c r="G2559" s="370" t="s">
        <v>4476</v>
      </c>
      <c r="H2559" s="387" t="s">
        <v>436</v>
      </c>
      <c r="I2559" s="178" t="s">
        <v>4477</v>
      </c>
      <c r="J2559" s="712">
        <v>45252</v>
      </c>
      <c r="K2559" s="773">
        <v>0.45833333333333331</v>
      </c>
      <c r="L2559" s="712">
        <v>45252</v>
      </c>
      <c r="M2559" s="773">
        <v>0.60416666666666663</v>
      </c>
      <c r="N2559" s="373">
        <v>3.5</v>
      </c>
      <c r="O2559" s="184" t="s">
        <v>17</v>
      </c>
      <c r="P2559" s="375" t="s">
        <v>4408</v>
      </c>
      <c r="Q2559" s="179" t="s">
        <v>258</v>
      </c>
      <c r="R2559" s="621" t="s">
        <v>81</v>
      </c>
      <c r="S2559" s="31" t="s">
        <v>273</v>
      </c>
      <c r="T2559" s="31" t="s">
        <v>273</v>
      </c>
      <c r="U2559" s="31">
        <f>IFERROR(VLOOKUP(CONCATENATE(Tabla1[[#This Row],[Severidad]]," ",Tabla1[[#This Row],[Complejidad]]),Catalogos!E$120:G$128,3,FALSE),"")</f>
        <v>64</v>
      </c>
      <c r="V2559" s="31" t="str">
        <f>IF(Tabla1[[#This Row],[Tiempo solución max (hrs)]]&lt;&gt;"",IF(Tabla1[[#This Row],[Tiempo solución max (hrs)]]&gt;=Tabla1[[#This Row],[Tiempo
(Hrs 00/100)]],"cumple","no cumple"),"")</f>
        <v>cumple</v>
      </c>
      <c r="W2559" s="376" t="s">
        <v>4210</v>
      </c>
      <c r="X2559" s="377" t="str">
        <f t="shared" si="207"/>
        <v>SAW</v>
      </c>
      <c r="Y2559" t="str">
        <f>SUBSTITUTE(Tabla1[[#This Row],[Descripción]],CHAR(10),"    I    ")</f>
        <v xml:space="preserve">Actualización revision de usuario </v>
      </c>
      <c r="Z2559" s="142">
        <f>VLOOKUP(Tabla1[[#This Row],[Perfil]],Catalogos!$B$75:$D$100,3,FALSE)*Tabla1[[#This Row],[Tiempo
(Hrs 00/100)]]*1.16</f>
        <v>2029.9999999999998</v>
      </c>
    </row>
    <row r="2560" spans="1:26" ht="15" customHeight="1" x14ac:dyDescent="0.3">
      <c r="A2560" s="373" t="s">
        <v>22</v>
      </c>
      <c r="B2560" s="184" t="s">
        <v>68</v>
      </c>
      <c r="C2560" s="183" t="s">
        <v>16</v>
      </c>
      <c r="D2560" s="373"/>
      <c r="E2560" s="386" t="s">
        <v>503</v>
      </c>
      <c r="F2560" s="373" t="s">
        <v>75</v>
      </c>
      <c r="G2560" s="370" t="s">
        <v>4478</v>
      </c>
      <c r="H2560" s="387" t="s">
        <v>436</v>
      </c>
      <c r="I2560" s="178" t="s">
        <v>4419</v>
      </c>
      <c r="J2560" s="712">
        <v>45252</v>
      </c>
      <c r="K2560" s="773">
        <v>0.66666666666666663</v>
      </c>
      <c r="L2560" s="712">
        <v>45252</v>
      </c>
      <c r="M2560" s="773">
        <v>0.79166666666666663</v>
      </c>
      <c r="N2560" s="373">
        <v>3</v>
      </c>
      <c r="O2560" s="184" t="s">
        <v>17</v>
      </c>
      <c r="P2560" s="375" t="s">
        <v>4408</v>
      </c>
      <c r="Q2560" s="179" t="s">
        <v>258</v>
      </c>
      <c r="R2560" s="621" t="s">
        <v>81</v>
      </c>
      <c r="S2560" s="31" t="s">
        <v>273</v>
      </c>
      <c r="T2560" s="31" t="s">
        <v>273</v>
      </c>
      <c r="U2560" s="31">
        <f>IFERROR(VLOOKUP(CONCATENATE(Tabla1[[#This Row],[Severidad]]," ",Tabla1[[#This Row],[Complejidad]]),Catalogos!E$120:G$128,3,FALSE),"")</f>
        <v>64</v>
      </c>
      <c r="V2560" s="31" t="str">
        <f>IF(Tabla1[[#This Row],[Tiempo solución max (hrs)]]&lt;&gt;"",IF(Tabla1[[#This Row],[Tiempo solución max (hrs)]]&gt;=Tabla1[[#This Row],[Tiempo
(Hrs 00/100)]],"cumple","no cumple"),"")</f>
        <v>cumple</v>
      </c>
      <c r="W2560" s="376" t="s">
        <v>4210</v>
      </c>
      <c r="X2560" s="377" t="str">
        <f t="shared" si="207"/>
        <v>SAW</v>
      </c>
      <c r="Y2560" t="str">
        <f>SUBSTITUTE(Tabla1[[#This Row],[Descripción]],CHAR(10),"    I    ")</f>
        <v xml:space="preserve">Actualización prosede </v>
      </c>
      <c r="Z2560" s="142">
        <f>VLOOKUP(Tabla1[[#This Row],[Perfil]],Catalogos!$B$75:$D$100,3,FALSE)*Tabla1[[#This Row],[Tiempo
(Hrs 00/100)]]*1.16</f>
        <v>1739.9999999999998</v>
      </c>
    </row>
    <row r="2561" spans="1:27" ht="15" customHeight="1" x14ac:dyDescent="0.3">
      <c r="A2561" s="373" t="s">
        <v>22</v>
      </c>
      <c r="B2561" s="184" t="s">
        <v>68</v>
      </c>
      <c r="C2561" s="183" t="s">
        <v>16</v>
      </c>
      <c r="D2561" s="373"/>
      <c r="E2561" s="386" t="s">
        <v>503</v>
      </c>
      <c r="F2561" s="373" t="s">
        <v>75</v>
      </c>
      <c r="G2561" s="370" t="s">
        <v>4479</v>
      </c>
      <c r="H2561" s="387" t="s">
        <v>436</v>
      </c>
      <c r="I2561" s="178" t="s">
        <v>4480</v>
      </c>
      <c r="J2561" s="712">
        <v>45253</v>
      </c>
      <c r="K2561" s="773">
        <v>0.375</v>
      </c>
      <c r="L2561" s="712">
        <v>45253</v>
      </c>
      <c r="M2561" s="773">
        <v>0.45833333333333331</v>
      </c>
      <c r="N2561" s="373">
        <v>2</v>
      </c>
      <c r="O2561" s="184" t="s">
        <v>17</v>
      </c>
      <c r="P2561" s="375" t="s">
        <v>4408</v>
      </c>
      <c r="Q2561" s="179" t="s">
        <v>258</v>
      </c>
      <c r="R2561" s="621" t="s">
        <v>81</v>
      </c>
      <c r="S2561" s="31" t="s">
        <v>273</v>
      </c>
      <c r="T2561" s="31" t="s">
        <v>273</v>
      </c>
      <c r="U2561" s="31">
        <f>IFERROR(VLOOKUP(CONCATENATE(Tabla1[[#This Row],[Severidad]]," ",Tabla1[[#This Row],[Complejidad]]),Catalogos!E$120:G$128,3,FALSE),"")</f>
        <v>64</v>
      </c>
      <c r="V2561" s="31" t="str">
        <f>IF(Tabla1[[#This Row],[Tiempo solución max (hrs)]]&lt;&gt;"",IF(Tabla1[[#This Row],[Tiempo solución max (hrs)]]&gt;=Tabla1[[#This Row],[Tiempo
(Hrs 00/100)]],"cumple","no cumple"),"")</f>
        <v>cumple</v>
      </c>
      <c r="W2561" s="376" t="s">
        <v>4210</v>
      </c>
      <c r="X2561" s="377" t="str">
        <f t="shared" si="207"/>
        <v>SAW</v>
      </c>
      <c r="Y2561" t="str">
        <f>SUBSTITUTE(Tabla1[[#This Row],[Descripción]],CHAR(10),"    I    ")</f>
        <v xml:space="preserve">Actualización de servicio profesional </v>
      </c>
      <c r="Z2561" s="142">
        <f>VLOOKUP(Tabla1[[#This Row],[Perfil]],Catalogos!$B$75:$D$100,3,FALSE)*Tabla1[[#This Row],[Tiempo
(Hrs 00/100)]]*1.16</f>
        <v>1160</v>
      </c>
    </row>
    <row r="2562" spans="1:27" ht="15" customHeight="1" x14ac:dyDescent="0.3">
      <c r="A2562" s="373" t="s">
        <v>22</v>
      </c>
      <c r="B2562" s="184" t="s">
        <v>68</v>
      </c>
      <c r="C2562" s="183" t="s">
        <v>16</v>
      </c>
      <c r="D2562" s="373"/>
      <c r="E2562" s="386" t="s">
        <v>503</v>
      </c>
      <c r="F2562" s="373" t="s">
        <v>75</v>
      </c>
      <c r="G2562" s="370" t="s">
        <v>4481</v>
      </c>
      <c r="H2562" s="387" t="s">
        <v>436</v>
      </c>
      <c r="I2562" s="538" t="s">
        <v>4482</v>
      </c>
      <c r="J2562" s="712">
        <v>45253</v>
      </c>
      <c r="K2562" s="773">
        <v>0.45833333333333331</v>
      </c>
      <c r="L2562" s="712">
        <v>45253</v>
      </c>
      <c r="M2562" s="773">
        <v>0.60416666666666663</v>
      </c>
      <c r="N2562" s="373">
        <v>3.5</v>
      </c>
      <c r="O2562" s="184" t="s">
        <v>17</v>
      </c>
      <c r="P2562" s="375" t="s">
        <v>4483</v>
      </c>
      <c r="Q2562" s="179" t="s">
        <v>258</v>
      </c>
      <c r="R2562" s="621" t="s">
        <v>81</v>
      </c>
      <c r="S2562" s="31" t="s">
        <v>273</v>
      </c>
      <c r="T2562" s="31" t="s">
        <v>273</v>
      </c>
      <c r="U2562" s="31">
        <f>IFERROR(VLOOKUP(CONCATENATE(Tabla1[[#This Row],[Severidad]]," ",Tabla1[[#This Row],[Complejidad]]),Catalogos!E$120:G$128,3,FALSE),"")</f>
        <v>64</v>
      </c>
      <c r="V2562" s="31" t="str">
        <f>IF(Tabla1[[#This Row],[Tiempo solución max (hrs)]]&lt;&gt;"",IF(Tabla1[[#This Row],[Tiempo solución max (hrs)]]&gt;=Tabla1[[#This Row],[Tiempo
(Hrs 00/100)]],"cumple","no cumple"),"")</f>
        <v>cumple</v>
      </c>
      <c r="W2562" s="376" t="s">
        <v>4210</v>
      </c>
      <c r="X2562" s="377" t="str">
        <f t="shared" si="207"/>
        <v>SAW</v>
      </c>
      <c r="Y2562" t="str">
        <f>SUBSTITUTE(Tabla1[[#This Row],[Descripción]],CHAR(10),"    I    ")</f>
        <v xml:space="preserve">Actualización de vance de proyecto </v>
      </c>
      <c r="Z2562" s="142">
        <f>VLOOKUP(Tabla1[[#This Row],[Perfil]],Catalogos!$B$75:$D$100,3,FALSE)*Tabla1[[#This Row],[Tiempo
(Hrs 00/100)]]*1.16</f>
        <v>2029.9999999999998</v>
      </c>
    </row>
    <row r="2563" spans="1:27" ht="15" customHeight="1" x14ac:dyDescent="0.3">
      <c r="A2563" s="373" t="s">
        <v>22</v>
      </c>
      <c r="B2563" s="184" t="s">
        <v>68</v>
      </c>
      <c r="C2563" s="183" t="s">
        <v>16</v>
      </c>
      <c r="D2563" s="373"/>
      <c r="E2563" s="386" t="s">
        <v>503</v>
      </c>
      <c r="F2563" s="373" t="s">
        <v>75</v>
      </c>
      <c r="G2563" s="370" t="s">
        <v>4484</v>
      </c>
      <c r="H2563" s="387" t="s">
        <v>436</v>
      </c>
      <c r="I2563" s="538" t="s">
        <v>4485</v>
      </c>
      <c r="J2563" s="712">
        <v>45253</v>
      </c>
      <c r="K2563" s="773">
        <v>0.66666666666666663</v>
      </c>
      <c r="L2563" s="712">
        <v>45253</v>
      </c>
      <c r="M2563" s="773">
        <v>0.79166666666666663</v>
      </c>
      <c r="N2563" s="373">
        <v>3</v>
      </c>
      <c r="O2563" s="184" t="s">
        <v>17</v>
      </c>
      <c r="P2563" s="375" t="s">
        <v>4408</v>
      </c>
      <c r="Q2563" s="179" t="s">
        <v>258</v>
      </c>
      <c r="R2563" s="621" t="s">
        <v>81</v>
      </c>
      <c r="S2563" s="31" t="s">
        <v>273</v>
      </c>
      <c r="T2563" s="31" t="s">
        <v>273</v>
      </c>
      <c r="U2563" s="31">
        <f>IFERROR(VLOOKUP(CONCATENATE(Tabla1[[#This Row],[Severidad]]," ",Tabla1[[#This Row],[Complejidad]]),Catalogos!E$120:G$128,3,FALSE),"")</f>
        <v>64</v>
      </c>
      <c r="V2563" s="31" t="str">
        <f>IF(Tabla1[[#This Row],[Tiempo solución max (hrs)]]&lt;&gt;"",IF(Tabla1[[#This Row],[Tiempo solución max (hrs)]]&gt;=Tabla1[[#This Row],[Tiempo
(Hrs 00/100)]],"cumple","no cumple"),"")</f>
        <v>cumple</v>
      </c>
      <c r="W2563" s="376" t="s">
        <v>4210</v>
      </c>
      <c r="X2563" s="377" t="str">
        <f t="shared" si="207"/>
        <v>SAW</v>
      </c>
      <c r="Y2563" t="str">
        <f>SUBSTITUTE(Tabla1[[#This Row],[Descripción]],CHAR(10),"    I    ")</f>
        <v xml:space="preserve">Actualización micrositio criterios del SNT </v>
      </c>
      <c r="Z2563" s="142">
        <f>VLOOKUP(Tabla1[[#This Row],[Perfil]],Catalogos!$B$75:$D$100,3,FALSE)*Tabla1[[#This Row],[Tiempo
(Hrs 00/100)]]*1.16</f>
        <v>1739.9999999999998</v>
      </c>
    </row>
    <row r="2564" spans="1:27" ht="15" customHeight="1" x14ac:dyDescent="0.3">
      <c r="A2564" s="373" t="s">
        <v>22</v>
      </c>
      <c r="B2564" s="184" t="s">
        <v>68</v>
      </c>
      <c r="C2564" s="183" t="s">
        <v>16</v>
      </c>
      <c r="D2564" s="373"/>
      <c r="E2564" s="386" t="s">
        <v>503</v>
      </c>
      <c r="F2564" s="373" t="s">
        <v>75</v>
      </c>
      <c r="G2564" s="370" t="s">
        <v>4486</v>
      </c>
      <c r="H2564" s="387" t="s">
        <v>436</v>
      </c>
      <c r="I2564" s="538" t="s">
        <v>4487</v>
      </c>
      <c r="J2564" s="712">
        <v>45254</v>
      </c>
      <c r="K2564" s="773">
        <v>0.375</v>
      </c>
      <c r="L2564" s="712">
        <v>45254</v>
      </c>
      <c r="M2564" s="773">
        <v>0.5</v>
      </c>
      <c r="N2564" s="373">
        <v>3</v>
      </c>
      <c r="O2564" s="184" t="s">
        <v>17</v>
      </c>
      <c r="P2564" s="375" t="s">
        <v>4408</v>
      </c>
      <c r="Q2564" s="179" t="s">
        <v>258</v>
      </c>
      <c r="R2564" s="621" t="s">
        <v>81</v>
      </c>
      <c r="S2564" s="31" t="s">
        <v>273</v>
      </c>
      <c r="T2564" s="31" t="s">
        <v>273</v>
      </c>
      <c r="U2564" s="31">
        <f>IFERROR(VLOOKUP(CONCATENATE(Tabla1[[#This Row],[Severidad]]," ",Tabla1[[#This Row],[Complejidad]]),Catalogos!E$120:G$128,3,FALSE),"")</f>
        <v>64</v>
      </c>
      <c r="V2564" s="31" t="str">
        <f>IF(Tabla1[[#This Row],[Tiempo solución max (hrs)]]&lt;&gt;"",IF(Tabla1[[#This Row],[Tiempo solución max (hrs)]]&gt;=Tabla1[[#This Row],[Tiempo
(Hrs 00/100)]],"cumple","no cumple"),"")</f>
        <v>cumple</v>
      </c>
      <c r="W2564" s="376" t="s">
        <v>4210</v>
      </c>
      <c r="X2564" s="377" t="str">
        <f t="shared" si="207"/>
        <v>SAW</v>
      </c>
      <c r="Y2564" t="str">
        <f>SUBSTITUTE(Tabla1[[#This Row],[Descripción]],CHAR(10),"    I    ")</f>
        <v>Actualización pagina DGPVS</v>
      </c>
      <c r="Z2564" s="142">
        <f>VLOOKUP(Tabla1[[#This Row],[Perfil]],Catalogos!$B$75:$D$100,3,FALSE)*Tabla1[[#This Row],[Tiempo
(Hrs 00/100)]]*1.16</f>
        <v>1739.9999999999998</v>
      </c>
    </row>
    <row r="2565" spans="1:27" ht="15" customHeight="1" x14ac:dyDescent="0.3">
      <c r="A2565" s="373" t="s">
        <v>22</v>
      </c>
      <c r="B2565" s="184" t="s">
        <v>68</v>
      </c>
      <c r="C2565" s="183" t="s">
        <v>16</v>
      </c>
      <c r="D2565" s="373"/>
      <c r="E2565" s="386" t="s">
        <v>503</v>
      </c>
      <c r="F2565" s="373" t="s">
        <v>75</v>
      </c>
      <c r="G2565" s="370" t="s">
        <v>4488</v>
      </c>
      <c r="H2565" s="387" t="s">
        <v>436</v>
      </c>
      <c r="I2565" s="178" t="s">
        <v>4477</v>
      </c>
      <c r="J2565" s="712">
        <v>45254</v>
      </c>
      <c r="K2565" s="773">
        <v>0.5</v>
      </c>
      <c r="L2565" s="712">
        <v>45254</v>
      </c>
      <c r="M2565" s="773">
        <v>0.625</v>
      </c>
      <c r="N2565" s="373">
        <v>3</v>
      </c>
      <c r="O2565" s="184" t="s">
        <v>17</v>
      </c>
      <c r="P2565" s="375" t="s">
        <v>4408</v>
      </c>
      <c r="Q2565" s="179" t="s">
        <v>258</v>
      </c>
      <c r="R2565" s="621" t="s">
        <v>81</v>
      </c>
      <c r="S2565" s="31" t="s">
        <v>273</v>
      </c>
      <c r="T2565" s="31" t="s">
        <v>273</v>
      </c>
      <c r="U2565" s="31">
        <f>IFERROR(VLOOKUP(CONCATENATE(Tabla1[[#This Row],[Severidad]]," ",Tabla1[[#This Row],[Complejidad]]),Catalogos!E$120:G$128,3,FALSE),"")</f>
        <v>64</v>
      </c>
      <c r="V2565" s="31" t="str">
        <f>IF(Tabla1[[#This Row],[Tiempo solución max (hrs)]]&lt;&gt;"",IF(Tabla1[[#This Row],[Tiempo solución max (hrs)]]&gt;=Tabla1[[#This Row],[Tiempo
(Hrs 00/100)]],"cumple","no cumple"),"")</f>
        <v>cumple</v>
      </c>
      <c r="W2565" s="376" t="s">
        <v>4210</v>
      </c>
      <c r="X2565" s="377" t="str">
        <f t="shared" si="207"/>
        <v>SAW</v>
      </c>
      <c r="Y2565" t="str">
        <f>SUBSTITUTE(Tabla1[[#This Row],[Descripción]],CHAR(10),"    I    ")</f>
        <v xml:space="preserve">Actualización revision de usuario </v>
      </c>
      <c r="Z2565" s="142">
        <f>VLOOKUP(Tabla1[[#This Row],[Perfil]],Catalogos!$B$75:$D$100,3,FALSE)*Tabla1[[#This Row],[Tiempo
(Hrs 00/100)]]*1.16</f>
        <v>1739.9999999999998</v>
      </c>
    </row>
    <row r="2566" spans="1:27" ht="15" customHeight="1" x14ac:dyDescent="0.3">
      <c r="A2566" s="373" t="s">
        <v>22</v>
      </c>
      <c r="B2566" s="184" t="s">
        <v>68</v>
      </c>
      <c r="C2566" s="183" t="s">
        <v>16</v>
      </c>
      <c r="D2566" s="373"/>
      <c r="E2566" s="386" t="s">
        <v>503</v>
      </c>
      <c r="F2566" s="373" t="s">
        <v>75</v>
      </c>
      <c r="G2566" s="370" t="s">
        <v>4489</v>
      </c>
      <c r="H2566" s="387" t="s">
        <v>436</v>
      </c>
      <c r="I2566" s="538" t="s">
        <v>4407</v>
      </c>
      <c r="J2566" s="712">
        <v>45257</v>
      </c>
      <c r="K2566" s="773">
        <v>0.375</v>
      </c>
      <c r="L2566" s="712">
        <v>45257</v>
      </c>
      <c r="M2566" s="773">
        <v>0.5</v>
      </c>
      <c r="N2566" s="373">
        <v>3</v>
      </c>
      <c r="O2566" s="184" t="s">
        <v>17</v>
      </c>
      <c r="P2566" s="375" t="s">
        <v>4408</v>
      </c>
      <c r="Q2566" s="179" t="s">
        <v>258</v>
      </c>
      <c r="R2566" s="621" t="s">
        <v>81</v>
      </c>
      <c r="S2566" s="31" t="s">
        <v>273</v>
      </c>
      <c r="T2566" s="31" t="s">
        <v>273</v>
      </c>
      <c r="U2566" s="31">
        <f>IFERROR(VLOOKUP(CONCATENATE(Tabla1[[#This Row],[Severidad]]," ",Tabla1[[#This Row],[Complejidad]]),Catalogos!E$120:G$128,3,FALSE),"")</f>
        <v>64</v>
      </c>
      <c r="V2566" s="31" t="str">
        <f>IF(Tabla1[[#This Row],[Tiempo solución max (hrs)]]&lt;&gt;"",IF(Tabla1[[#This Row],[Tiempo solución max (hrs)]]&gt;=Tabla1[[#This Row],[Tiempo
(Hrs 00/100)]],"cumple","no cumple"),"")</f>
        <v>cumple</v>
      </c>
      <c r="W2566" s="376" t="s">
        <v>4210</v>
      </c>
      <c r="X2566" s="377" t="str">
        <f t="shared" si="207"/>
        <v>SAW</v>
      </c>
      <c r="Y2566" t="str">
        <f>SUBSTITUTE(Tabla1[[#This Row],[Descripción]],CHAR(10),"    I    ")</f>
        <v xml:space="preserve">Actualización micrositio SNT </v>
      </c>
      <c r="Z2566" s="142">
        <f>VLOOKUP(Tabla1[[#This Row],[Perfil]],Catalogos!$B$75:$D$100,3,FALSE)*Tabla1[[#This Row],[Tiempo
(Hrs 00/100)]]*1.16</f>
        <v>1739.9999999999998</v>
      </c>
    </row>
    <row r="2567" spans="1:27" ht="15" customHeight="1" x14ac:dyDescent="0.3">
      <c r="A2567" s="373" t="s">
        <v>22</v>
      </c>
      <c r="B2567" s="184" t="s">
        <v>68</v>
      </c>
      <c r="C2567" s="183" t="s">
        <v>16</v>
      </c>
      <c r="D2567" s="373"/>
      <c r="E2567" s="386" t="s">
        <v>503</v>
      </c>
      <c r="F2567" s="373" t="s">
        <v>75</v>
      </c>
      <c r="G2567" s="370" t="s">
        <v>4490</v>
      </c>
      <c r="H2567" s="387" t="s">
        <v>436</v>
      </c>
      <c r="I2567" s="538" t="s">
        <v>4417</v>
      </c>
      <c r="J2567" s="712">
        <v>45257</v>
      </c>
      <c r="K2567" s="773">
        <v>0.5</v>
      </c>
      <c r="L2567" s="712">
        <v>45257</v>
      </c>
      <c r="M2567" s="773">
        <v>0.60416666666666663</v>
      </c>
      <c r="N2567" s="373">
        <v>2.5</v>
      </c>
      <c r="O2567" s="184" t="s">
        <v>17</v>
      </c>
      <c r="P2567" s="375" t="s">
        <v>4408</v>
      </c>
      <c r="Q2567" s="179" t="s">
        <v>258</v>
      </c>
      <c r="R2567" s="621" t="s">
        <v>81</v>
      </c>
      <c r="S2567" s="31" t="s">
        <v>273</v>
      </c>
      <c r="T2567" s="31" t="s">
        <v>273</v>
      </c>
      <c r="U2567" s="31">
        <f>IFERROR(VLOOKUP(CONCATENATE(Tabla1[[#This Row],[Severidad]]," ",Tabla1[[#This Row],[Complejidad]]),Catalogos!E$120:G$128,3,FALSE),"")</f>
        <v>64</v>
      </c>
      <c r="V2567" s="31" t="str">
        <f>IF(Tabla1[[#This Row],[Tiempo solución max (hrs)]]&lt;&gt;"",IF(Tabla1[[#This Row],[Tiempo solución max (hrs)]]&gt;=Tabla1[[#This Row],[Tiempo
(Hrs 00/100)]],"cumple","no cumple"),"")</f>
        <v>cumple</v>
      </c>
      <c r="W2567" s="376" t="s">
        <v>4210</v>
      </c>
      <c r="X2567" s="666" t="str">
        <f t="shared" ref="X2567:X2575" si="208">IF(C2567&lt;&gt;"",C2567,D2567)</f>
        <v>SAW</v>
      </c>
      <c r="Y2567" s="667" t="str">
        <f>SUBSTITUTE(Tabla1[[#This Row],[Descripción]],CHAR(10),"    I    ")</f>
        <v xml:space="preserve">Actualización pagina web </v>
      </c>
      <c r="Z2567" s="668">
        <f>VLOOKUP(Tabla1[[#This Row],[Perfil]],Catalogos!$B$75:$D$100,3,FALSE)*Tabla1[[#This Row],[Tiempo
(Hrs 00/100)]]*1.16</f>
        <v>1450</v>
      </c>
      <c r="AA2567" s="667"/>
    </row>
    <row r="2568" spans="1:27" ht="15" customHeight="1" x14ac:dyDescent="0.3">
      <c r="A2568" s="373" t="s">
        <v>22</v>
      </c>
      <c r="B2568" s="184" t="s">
        <v>68</v>
      </c>
      <c r="C2568" s="183" t="s">
        <v>16</v>
      </c>
      <c r="D2568" s="373"/>
      <c r="E2568" s="386" t="s">
        <v>503</v>
      </c>
      <c r="F2568" s="373" t="s">
        <v>75</v>
      </c>
      <c r="G2568" s="370" t="s">
        <v>4491</v>
      </c>
      <c r="H2568" s="387" t="s">
        <v>436</v>
      </c>
      <c r="I2568" s="620" t="s">
        <v>4492</v>
      </c>
      <c r="J2568" s="712">
        <v>45257</v>
      </c>
      <c r="K2568" s="773">
        <v>0.66666666666666663</v>
      </c>
      <c r="L2568" s="712">
        <v>45257</v>
      </c>
      <c r="M2568" s="773">
        <v>0.79166666666666663</v>
      </c>
      <c r="N2568" s="373">
        <v>3</v>
      </c>
      <c r="O2568" s="184" t="s">
        <v>17</v>
      </c>
      <c r="P2568" s="375" t="s">
        <v>4408</v>
      </c>
      <c r="Q2568" s="179" t="s">
        <v>258</v>
      </c>
      <c r="R2568" s="621" t="s">
        <v>81</v>
      </c>
      <c r="S2568" s="31" t="s">
        <v>273</v>
      </c>
      <c r="T2568" s="31" t="s">
        <v>273</v>
      </c>
      <c r="U2568" s="31">
        <f>IFERROR(VLOOKUP(CONCATENATE(Tabla1[[#This Row],[Severidad]]," ",Tabla1[[#This Row],[Complejidad]]),Catalogos!E$120:G$128,3,FALSE),"")</f>
        <v>64</v>
      </c>
      <c r="V2568" s="31" t="str">
        <f>IF(Tabla1[[#This Row],[Tiempo solución max (hrs)]]&lt;&gt;"",IF(Tabla1[[#This Row],[Tiempo solución max (hrs)]]&gt;=Tabla1[[#This Row],[Tiempo
(Hrs 00/100)]],"cumple","no cumple"),"")</f>
        <v>cumple</v>
      </c>
      <c r="W2568" s="376" t="s">
        <v>4210</v>
      </c>
      <c r="X2568" s="666" t="str">
        <f t="shared" si="208"/>
        <v>SAW</v>
      </c>
      <c r="Y2568" s="667" t="str">
        <f>SUBSTITUTE(Tabla1[[#This Row],[Descripción]],CHAR(10),"    I    ")</f>
        <v>actualizacin servicio profecional</v>
      </c>
      <c r="Z2568" s="668">
        <f>VLOOKUP(Tabla1[[#This Row],[Perfil]],Catalogos!$B$75:$D$100,3,FALSE)*Tabla1[[#This Row],[Tiempo
(Hrs 00/100)]]*1.16</f>
        <v>1739.9999999999998</v>
      </c>
      <c r="AA2568" s="667"/>
    </row>
    <row r="2569" spans="1:27" ht="15" customHeight="1" x14ac:dyDescent="0.3">
      <c r="A2569" s="373" t="s">
        <v>22</v>
      </c>
      <c r="B2569" s="184" t="s">
        <v>68</v>
      </c>
      <c r="C2569" s="183" t="s">
        <v>16</v>
      </c>
      <c r="D2569" s="373"/>
      <c r="E2569" s="386" t="s">
        <v>503</v>
      </c>
      <c r="F2569" s="373" t="s">
        <v>75</v>
      </c>
      <c r="G2569" s="370" t="s">
        <v>4493</v>
      </c>
      <c r="H2569" s="387" t="s">
        <v>436</v>
      </c>
      <c r="I2569" s="178" t="s">
        <v>4475</v>
      </c>
      <c r="J2569" s="712">
        <v>45258</v>
      </c>
      <c r="K2569" s="773">
        <v>0.375</v>
      </c>
      <c r="L2569" s="712">
        <v>45258</v>
      </c>
      <c r="M2569" s="773">
        <v>0.60416666666666663</v>
      </c>
      <c r="N2569" s="373">
        <v>5.5</v>
      </c>
      <c r="O2569" s="184" t="s">
        <v>17</v>
      </c>
      <c r="P2569" s="375" t="s">
        <v>4408</v>
      </c>
      <c r="Q2569" s="179" t="s">
        <v>258</v>
      </c>
      <c r="R2569" s="621" t="s">
        <v>81</v>
      </c>
      <c r="S2569" s="31" t="s">
        <v>273</v>
      </c>
      <c r="T2569" s="31" t="s">
        <v>273</v>
      </c>
      <c r="U2569" s="31">
        <f>IFERROR(VLOOKUP(CONCATENATE(Tabla1[[#This Row],[Severidad]]," ",Tabla1[[#This Row],[Complejidad]]),Catalogos!E$120:G$128,3,FALSE),"")</f>
        <v>64</v>
      </c>
      <c r="V2569" s="31" t="str">
        <f>IF(Tabla1[[#This Row],[Tiempo solución max (hrs)]]&lt;&gt;"",IF(Tabla1[[#This Row],[Tiempo solución max (hrs)]]&gt;=Tabla1[[#This Row],[Tiempo
(Hrs 00/100)]],"cumple","no cumple"),"")</f>
        <v>cumple</v>
      </c>
      <c r="W2569" s="376" t="s">
        <v>4210</v>
      </c>
      <c r="X2569" s="666" t="str">
        <f t="shared" si="208"/>
        <v>SAW</v>
      </c>
      <c r="Y2569" s="667" t="str">
        <f>SUBSTITUTE(Tabla1[[#This Row],[Descripción]],CHAR(10),"    I    ")</f>
        <v xml:space="preserve">Actualización parlamento abierto </v>
      </c>
      <c r="Z2569" s="668">
        <f>VLOOKUP(Tabla1[[#This Row],[Perfil]],Catalogos!$B$75:$D$100,3,FALSE)*Tabla1[[#This Row],[Tiempo
(Hrs 00/100)]]*1.16</f>
        <v>3190</v>
      </c>
      <c r="AA2569" s="667"/>
    </row>
    <row r="2570" spans="1:27" ht="15" customHeight="1" x14ac:dyDescent="0.3">
      <c r="A2570" s="373" t="s">
        <v>22</v>
      </c>
      <c r="B2570" s="184" t="s">
        <v>68</v>
      </c>
      <c r="C2570" s="183" t="s">
        <v>16</v>
      </c>
      <c r="D2570" s="373"/>
      <c r="E2570" s="386" t="s">
        <v>503</v>
      </c>
      <c r="F2570" s="373" t="s">
        <v>75</v>
      </c>
      <c r="G2570" s="370" t="s">
        <v>4494</v>
      </c>
      <c r="H2570" s="387" t="s">
        <v>436</v>
      </c>
      <c r="I2570" s="538" t="s">
        <v>4410</v>
      </c>
      <c r="J2570" s="712">
        <v>45258</v>
      </c>
      <c r="K2570" s="773">
        <v>0.66666666666666663</v>
      </c>
      <c r="L2570" s="712">
        <v>45258</v>
      </c>
      <c r="M2570" s="773">
        <v>0.79166666666666663</v>
      </c>
      <c r="N2570" s="373">
        <v>3</v>
      </c>
      <c r="O2570" s="184" t="s">
        <v>17</v>
      </c>
      <c r="P2570" s="375" t="s">
        <v>4451</v>
      </c>
      <c r="Q2570" s="179" t="s">
        <v>258</v>
      </c>
      <c r="R2570" s="621" t="s">
        <v>81</v>
      </c>
      <c r="S2570" s="31" t="s">
        <v>273</v>
      </c>
      <c r="T2570" s="31" t="s">
        <v>273</v>
      </c>
      <c r="U2570" s="31">
        <f>IFERROR(VLOOKUP(CONCATENATE(Tabla1[[#This Row],[Severidad]]," ",Tabla1[[#This Row],[Complejidad]]),Catalogos!E$120:G$128,3,FALSE),"")</f>
        <v>64</v>
      </c>
      <c r="V2570" s="31" t="str">
        <f>IF(Tabla1[[#This Row],[Tiempo solución max (hrs)]]&lt;&gt;"",IF(Tabla1[[#This Row],[Tiempo solución max (hrs)]]&gt;=Tabla1[[#This Row],[Tiempo
(Hrs 00/100)]],"cumple","no cumple"),"")</f>
        <v>cumple</v>
      </c>
      <c r="W2570" s="376" t="s">
        <v>4210</v>
      </c>
      <c r="X2570" s="666" t="str">
        <f t="shared" si="208"/>
        <v>SAW</v>
      </c>
      <c r="Y2570" s="667" t="str">
        <f>SUBSTITUTE(Tabla1[[#This Row],[Descripción]],CHAR(10),"    I    ")</f>
        <v xml:space="preserve">Actualización sitio cambio de control </v>
      </c>
      <c r="Z2570" s="668">
        <f>VLOOKUP(Tabla1[[#This Row],[Perfil]],Catalogos!$B$75:$D$100,3,FALSE)*Tabla1[[#This Row],[Tiempo
(Hrs 00/100)]]*1.16</f>
        <v>1739.9999999999998</v>
      </c>
      <c r="AA2570" s="667"/>
    </row>
    <row r="2571" spans="1:27" ht="15" customHeight="1" x14ac:dyDescent="0.3">
      <c r="A2571" s="373" t="s">
        <v>22</v>
      </c>
      <c r="B2571" s="184" t="s">
        <v>68</v>
      </c>
      <c r="C2571" s="183" t="s">
        <v>16</v>
      </c>
      <c r="D2571" s="373"/>
      <c r="E2571" s="386" t="s">
        <v>503</v>
      </c>
      <c r="F2571" s="373" t="s">
        <v>75</v>
      </c>
      <c r="G2571" s="370" t="s">
        <v>4495</v>
      </c>
      <c r="H2571" s="387" t="s">
        <v>436</v>
      </c>
      <c r="I2571" s="538" t="s">
        <v>4496</v>
      </c>
      <c r="J2571" s="712">
        <v>45259</v>
      </c>
      <c r="K2571" s="773">
        <v>0.375</v>
      </c>
      <c r="L2571" s="712">
        <v>45259</v>
      </c>
      <c r="M2571" s="773">
        <v>0.52083333333333337</v>
      </c>
      <c r="N2571" s="373">
        <v>3.5</v>
      </c>
      <c r="O2571" s="184" t="s">
        <v>17</v>
      </c>
      <c r="P2571" s="375" t="s">
        <v>4408</v>
      </c>
      <c r="Q2571" s="179" t="s">
        <v>258</v>
      </c>
      <c r="R2571" s="621" t="s">
        <v>81</v>
      </c>
      <c r="S2571" s="31" t="s">
        <v>273</v>
      </c>
      <c r="T2571" s="31" t="s">
        <v>273</v>
      </c>
      <c r="U2571" s="31">
        <f>IFERROR(VLOOKUP(CONCATENATE(Tabla1[[#This Row],[Severidad]]," ",Tabla1[[#This Row],[Complejidad]]),Catalogos!E$120:G$128,3,FALSE),"")</f>
        <v>64</v>
      </c>
      <c r="V2571" s="31" t="str">
        <f>IF(Tabla1[[#This Row],[Tiempo solución max (hrs)]]&lt;&gt;"",IF(Tabla1[[#This Row],[Tiempo solución max (hrs)]]&gt;=Tabla1[[#This Row],[Tiempo
(Hrs 00/100)]],"cumple","no cumple"),"")</f>
        <v>cumple</v>
      </c>
      <c r="W2571" s="376" t="s">
        <v>4210</v>
      </c>
      <c r="X2571" s="666" t="str">
        <f t="shared" si="208"/>
        <v>SAW</v>
      </c>
      <c r="Y2571" s="667" t="str">
        <f>SUBSTITUTE(Tabla1[[#This Row],[Descripción]],CHAR(10),"    I    ")</f>
        <v xml:space="preserve">Actualización inventario micrositio </v>
      </c>
      <c r="Z2571" s="668">
        <f>VLOOKUP(Tabla1[[#This Row],[Perfil]],Catalogos!$B$75:$D$100,3,FALSE)*Tabla1[[#This Row],[Tiempo
(Hrs 00/100)]]*1.16</f>
        <v>2029.9999999999998</v>
      </c>
      <c r="AA2571" s="667"/>
    </row>
    <row r="2572" spans="1:27" ht="15" customHeight="1" x14ac:dyDescent="0.3">
      <c r="A2572" s="373" t="s">
        <v>22</v>
      </c>
      <c r="B2572" s="184" t="s">
        <v>68</v>
      </c>
      <c r="C2572" s="183" t="s">
        <v>16</v>
      </c>
      <c r="D2572" s="373"/>
      <c r="E2572" s="386" t="s">
        <v>503</v>
      </c>
      <c r="F2572" s="373" t="s">
        <v>75</v>
      </c>
      <c r="G2572" s="370" t="s">
        <v>4497</v>
      </c>
      <c r="H2572" s="387" t="s">
        <v>436</v>
      </c>
      <c r="I2572" s="538" t="s">
        <v>4498</v>
      </c>
      <c r="J2572" s="712">
        <v>45259</v>
      </c>
      <c r="K2572" s="773">
        <v>0.52083333333333337</v>
      </c>
      <c r="L2572" s="712">
        <v>45259</v>
      </c>
      <c r="M2572" s="773">
        <v>0.60416666666666663</v>
      </c>
      <c r="N2572" s="373">
        <v>2</v>
      </c>
      <c r="O2572" s="184" t="s">
        <v>17</v>
      </c>
      <c r="P2572" s="375" t="s">
        <v>4408</v>
      </c>
      <c r="Q2572" s="179" t="s">
        <v>258</v>
      </c>
      <c r="R2572" s="621" t="s">
        <v>81</v>
      </c>
      <c r="S2572" s="31" t="s">
        <v>273</v>
      </c>
      <c r="T2572" s="31" t="s">
        <v>273</v>
      </c>
      <c r="U2572" s="31">
        <f>IFERROR(VLOOKUP(CONCATENATE(Tabla1[[#This Row],[Severidad]]," ",Tabla1[[#This Row],[Complejidad]]),Catalogos!E$120:G$128,3,FALSE),"")</f>
        <v>64</v>
      </c>
      <c r="V2572" s="31" t="str">
        <f>IF(Tabla1[[#This Row],[Tiempo solución max (hrs)]]&lt;&gt;"",IF(Tabla1[[#This Row],[Tiempo solución max (hrs)]]&gt;=Tabla1[[#This Row],[Tiempo
(Hrs 00/100)]],"cumple","no cumple"),"")</f>
        <v>cumple</v>
      </c>
      <c r="W2572" s="376" t="s">
        <v>4210</v>
      </c>
      <c r="X2572" s="666" t="str">
        <f t="shared" si="208"/>
        <v>SAW</v>
      </c>
      <c r="Y2572" s="667" t="str">
        <f>SUBSTITUTE(Tabla1[[#This Row],[Descripción]],CHAR(10),"    I    ")</f>
        <v xml:space="preserve">Actualización micrositio criterios </v>
      </c>
      <c r="Z2572" s="668">
        <f>VLOOKUP(Tabla1[[#This Row],[Perfil]],Catalogos!$B$75:$D$100,3,FALSE)*Tabla1[[#This Row],[Tiempo
(Hrs 00/100)]]*1.16</f>
        <v>1160</v>
      </c>
      <c r="AA2572" s="667"/>
    </row>
    <row r="2573" spans="1:27" ht="15" customHeight="1" x14ac:dyDescent="0.3">
      <c r="A2573" s="373" t="s">
        <v>22</v>
      </c>
      <c r="B2573" s="184" t="s">
        <v>68</v>
      </c>
      <c r="C2573" s="183" t="s">
        <v>16</v>
      </c>
      <c r="D2573" s="373"/>
      <c r="E2573" s="386" t="s">
        <v>503</v>
      </c>
      <c r="F2573" s="373" t="s">
        <v>75</v>
      </c>
      <c r="G2573" s="370" t="s">
        <v>4499</v>
      </c>
      <c r="H2573" s="387" t="s">
        <v>436</v>
      </c>
      <c r="I2573" s="178" t="s">
        <v>4500</v>
      </c>
      <c r="J2573" s="712">
        <v>45259</v>
      </c>
      <c r="K2573" s="773">
        <v>0.66666666666666663</v>
      </c>
      <c r="L2573" s="712">
        <v>45259</v>
      </c>
      <c r="M2573" s="773">
        <v>0.79166666666666663</v>
      </c>
      <c r="N2573" s="373">
        <v>3</v>
      </c>
      <c r="O2573" s="184" t="s">
        <v>17</v>
      </c>
      <c r="P2573" s="375" t="s">
        <v>4429</v>
      </c>
      <c r="Q2573" s="179" t="s">
        <v>258</v>
      </c>
      <c r="R2573" s="621" t="s">
        <v>81</v>
      </c>
      <c r="S2573" s="31" t="s">
        <v>273</v>
      </c>
      <c r="T2573" s="31" t="s">
        <v>273</v>
      </c>
      <c r="U2573" s="31">
        <f>IFERROR(VLOOKUP(CONCATENATE(Tabla1[[#This Row],[Severidad]]," ",Tabla1[[#This Row],[Complejidad]]),Catalogos!E$120:G$128,3,FALSE),"")</f>
        <v>64</v>
      </c>
      <c r="V2573" s="31" t="str">
        <f>IF(Tabla1[[#This Row],[Tiempo solución max (hrs)]]&lt;&gt;"",IF(Tabla1[[#This Row],[Tiempo solución max (hrs)]]&gt;=Tabla1[[#This Row],[Tiempo
(Hrs 00/100)]],"cumple","no cumple"),"")</f>
        <v>cumple</v>
      </c>
      <c r="W2573" s="376" t="s">
        <v>4210</v>
      </c>
      <c r="X2573" s="666" t="str">
        <f t="shared" si="208"/>
        <v>SAW</v>
      </c>
      <c r="Y2573" s="667" t="str">
        <f>SUBSTITUTE(Tabla1[[#This Row],[Descripción]],CHAR(10),"    I    ")</f>
        <v xml:space="preserve">Actualización control interno </v>
      </c>
      <c r="Z2573" s="668">
        <f>VLOOKUP(Tabla1[[#This Row],[Perfil]],Catalogos!$B$75:$D$100,3,FALSE)*Tabla1[[#This Row],[Tiempo
(Hrs 00/100)]]*1.16</f>
        <v>1739.9999999999998</v>
      </c>
      <c r="AA2573" s="667"/>
    </row>
    <row r="2574" spans="1:27" ht="15" customHeight="1" x14ac:dyDescent="0.3">
      <c r="A2574" s="373" t="s">
        <v>22</v>
      </c>
      <c r="B2574" s="184" t="s">
        <v>68</v>
      </c>
      <c r="C2574" s="183" t="s">
        <v>16</v>
      </c>
      <c r="D2574" s="373"/>
      <c r="E2574" s="386" t="s">
        <v>503</v>
      </c>
      <c r="F2574" s="373" t="s">
        <v>75</v>
      </c>
      <c r="G2574" s="370" t="s">
        <v>4501</v>
      </c>
      <c r="H2574" s="387" t="s">
        <v>436</v>
      </c>
      <c r="I2574" s="538" t="s">
        <v>4502</v>
      </c>
      <c r="J2574" s="712">
        <v>45260</v>
      </c>
      <c r="K2574" s="773">
        <v>0.375</v>
      </c>
      <c r="L2574" s="712">
        <v>45260</v>
      </c>
      <c r="M2574" s="773">
        <v>0.60416666666666663</v>
      </c>
      <c r="N2574" s="373">
        <v>5.5</v>
      </c>
      <c r="O2574" s="184" t="s">
        <v>17</v>
      </c>
      <c r="P2574" s="375" t="s">
        <v>4408</v>
      </c>
      <c r="Q2574" s="179" t="s">
        <v>258</v>
      </c>
      <c r="R2574" s="621" t="s">
        <v>81</v>
      </c>
      <c r="S2574" s="31" t="s">
        <v>273</v>
      </c>
      <c r="T2574" s="31" t="s">
        <v>273</v>
      </c>
      <c r="U2574" s="31">
        <f>IFERROR(VLOOKUP(CONCATENATE(Tabla1[[#This Row],[Severidad]]," ",Tabla1[[#This Row],[Complejidad]]),Catalogos!E$120:G$128,3,FALSE),"")</f>
        <v>64</v>
      </c>
      <c r="V2574" s="31" t="str">
        <f>IF(Tabla1[[#This Row],[Tiempo solución max (hrs)]]&lt;&gt;"",IF(Tabla1[[#This Row],[Tiempo solución max (hrs)]]&gt;=Tabla1[[#This Row],[Tiempo
(Hrs 00/100)]],"cumple","no cumple"),"")</f>
        <v>cumple</v>
      </c>
      <c r="W2574" s="376" t="s">
        <v>4210</v>
      </c>
      <c r="X2574" s="666" t="str">
        <f t="shared" si="208"/>
        <v>SAW</v>
      </c>
      <c r="Y2574" s="667" t="str">
        <f>SUBSTITUTE(Tabla1[[#This Row],[Descripción]],CHAR(10),"    I    ")</f>
        <v xml:space="preserve">Actualización sitio servicio profecional </v>
      </c>
      <c r="Z2574" s="668">
        <f>VLOOKUP(Tabla1[[#This Row],[Perfil]],Catalogos!$B$75:$D$100,3,FALSE)*Tabla1[[#This Row],[Tiempo
(Hrs 00/100)]]*1.16</f>
        <v>3190</v>
      </c>
      <c r="AA2574" s="667"/>
    </row>
    <row r="2575" spans="1:27" ht="15" customHeight="1" x14ac:dyDescent="0.3">
      <c r="A2575" s="373" t="s">
        <v>22</v>
      </c>
      <c r="B2575" s="184" t="s">
        <v>68</v>
      </c>
      <c r="C2575" s="183" t="s">
        <v>16</v>
      </c>
      <c r="D2575" s="373"/>
      <c r="E2575" s="386" t="s">
        <v>503</v>
      </c>
      <c r="F2575" s="373" t="s">
        <v>75</v>
      </c>
      <c r="G2575" s="370" t="s">
        <v>4503</v>
      </c>
      <c r="H2575" s="387" t="s">
        <v>436</v>
      </c>
      <c r="I2575" s="178" t="s">
        <v>4504</v>
      </c>
      <c r="J2575" s="712">
        <v>45260</v>
      </c>
      <c r="K2575" s="773">
        <v>0.66666666666666663</v>
      </c>
      <c r="L2575" s="712">
        <v>45260</v>
      </c>
      <c r="M2575" s="773">
        <v>0.79166666666666663</v>
      </c>
      <c r="N2575" s="373">
        <v>3</v>
      </c>
      <c r="O2575" s="184" t="s">
        <v>17</v>
      </c>
      <c r="P2575" s="375" t="s">
        <v>4483</v>
      </c>
      <c r="Q2575" s="179" t="s">
        <v>258</v>
      </c>
      <c r="R2575" s="621" t="s">
        <v>81</v>
      </c>
      <c r="S2575" s="31" t="s">
        <v>273</v>
      </c>
      <c r="T2575" s="31" t="s">
        <v>273</v>
      </c>
      <c r="U2575" s="31">
        <f>IFERROR(VLOOKUP(CONCATENATE(Tabla1[[#This Row],[Severidad]]," ",Tabla1[[#This Row],[Complejidad]]),Catalogos!E$120:G$128,3,FALSE),"")</f>
        <v>64</v>
      </c>
      <c r="V2575" s="31" t="str">
        <f>IF(Tabla1[[#This Row],[Tiempo solución max (hrs)]]&lt;&gt;"",IF(Tabla1[[#This Row],[Tiempo solución max (hrs)]]&gt;=Tabla1[[#This Row],[Tiempo
(Hrs 00/100)]],"cumple","no cumple"),"")</f>
        <v>cumple</v>
      </c>
      <c r="W2575" s="376" t="s">
        <v>4210</v>
      </c>
      <c r="X2575" s="666" t="str">
        <f t="shared" si="208"/>
        <v>SAW</v>
      </c>
      <c r="Y2575" s="667" t="str">
        <f>SUBSTITUTE(Tabla1[[#This Row],[Descripción]],CHAR(10),"    I    ")</f>
        <v xml:space="preserve">Actualización de avance de proyecto </v>
      </c>
      <c r="Z2575" s="668">
        <f>VLOOKUP(Tabla1[[#This Row],[Perfil]],Catalogos!$B$75:$D$100,3,FALSE)*Tabla1[[#This Row],[Tiempo
(Hrs 00/100)]]*1.16</f>
        <v>1739.9999999999998</v>
      </c>
      <c r="AA2575" s="667"/>
    </row>
    <row r="2576" spans="1:27" ht="15" customHeight="1" x14ac:dyDescent="0.3">
      <c r="A2576" s="409" t="s">
        <v>22</v>
      </c>
      <c r="B2576" s="409" t="s">
        <v>305</v>
      </c>
      <c r="C2576" s="409" t="s">
        <v>16</v>
      </c>
      <c r="D2576" s="409"/>
      <c r="E2576" s="409" t="s">
        <v>3699</v>
      </c>
      <c r="F2576" s="409" t="s">
        <v>23</v>
      </c>
      <c r="G2576" s="409" t="s">
        <v>5496</v>
      </c>
      <c r="H2576" s="410" t="s">
        <v>4505</v>
      </c>
      <c r="I2576" s="417" t="s">
        <v>4505</v>
      </c>
      <c r="J2576" s="369">
        <v>45231</v>
      </c>
      <c r="K2576" s="747">
        <v>0.375</v>
      </c>
      <c r="L2576" s="369">
        <v>45231</v>
      </c>
      <c r="M2576" s="753">
        <v>0.79166666666666663</v>
      </c>
      <c r="N2576" s="210">
        <v>8.5</v>
      </c>
      <c r="O2576" s="669" t="s">
        <v>17</v>
      </c>
      <c r="P2576" s="670" t="s">
        <v>4506</v>
      </c>
      <c r="Q2576" s="144" t="s">
        <v>5374</v>
      </c>
      <c r="R2576" s="671" t="s">
        <v>37</v>
      </c>
      <c r="S2576" s="31" t="s">
        <v>273</v>
      </c>
      <c r="T2576" s="31" t="s">
        <v>273</v>
      </c>
      <c r="U2576" s="31">
        <f>IFERROR(VLOOKUP(CONCATENATE(Tabla1[[#This Row],[Severidad]]," ",Tabla1[[#This Row],[Complejidad]]),Catalogos!E$120:G$128,3,FALSE),"")</f>
        <v>64</v>
      </c>
      <c r="V2576" s="31" t="str">
        <f>IF(Tabla1[[#This Row],[Tiempo solución max (hrs)]]&lt;&gt;"",IF(Tabla1[[#This Row],[Tiempo solución max (hrs)]]&gt;=Tabla1[[#This Row],[Tiempo
(Hrs 00/100)]],"cumple","no cumple"),"")</f>
        <v>cumple</v>
      </c>
      <c r="W2576" s="376" t="s">
        <v>4210</v>
      </c>
      <c r="X2576" s="666" t="str">
        <f>IF(C2576&lt;&gt;"",C2576,D2576)</f>
        <v>SAW</v>
      </c>
      <c r="Y2576" s="667" t="str">
        <f>SUBSTITUTE(Tabla1[[#This Row],[Descripción]],CHAR(10),"    I    ")</f>
        <v>Se desarrolla modulo de materias</v>
      </c>
      <c r="Z2576" s="668">
        <f>VLOOKUP(Tabla1[[#This Row],[Perfil]],Catalogos!$B$75:$D$100,3,FALSE)*Tabla1[[#This Row],[Tiempo
(Hrs 00/100)]]*1.16</f>
        <v>4437</v>
      </c>
      <c r="AA2576" t="s">
        <v>3356</v>
      </c>
    </row>
    <row r="2577" spans="1:27" ht="15" customHeight="1" x14ac:dyDescent="0.3">
      <c r="A2577" s="409" t="s">
        <v>22</v>
      </c>
      <c r="B2577" s="409" t="s">
        <v>305</v>
      </c>
      <c r="C2577" s="409" t="s">
        <v>16</v>
      </c>
      <c r="D2577" s="409"/>
      <c r="E2577" s="409" t="s">
        <v>3699</v>
      </c>
      <c r="F2577" s="409" t="s">
        <v>23</v>
      </c>
      <c r="G2577" s="409" t="s">
        <v>5497</v>
      </c>
      <c r="H2577" s="410" t="s">
        <v>4507</v>
      </c>
      <c r="I2577" s="417" t="s">
        <v>4518</v>
      </c>
      <c r="J2577" s="369">
        <v>45233</v>
      </c>
      <c r="K2577" s="747">
        <v>0.375</v>
      </c>
      <c r="L2577" s="369">
        <v>45233</v>
      </c>
      <c r="M2577" s="753">
        <v>0.625</v>
      </c>
      <c r="N2577" s="210">
        <v>6</v>
      </c>
      <c r="O2577" s="672" t="s">
        <v>411</v>
      </c>
      <c r="P2577" s="670" t="s">
        <v>4510</v>
      </c>
      <c r="Q2577" s="144" t="s">
        <v>5374</v>
      </c>
      <c r="R2577" s="671" t="s">
        <v>37</v>
      </c>
      <c r="S2577" s="31" t="s">
        <v>273</v>
      </c>
      <c r="T2577" s="31" t="s">
        <v>273</v>
      </c>
      <c r="U2577" s="31">
        <f>IFERROR(VLOOKUP(CONCATENATE(Tabla1[[#This Row],[Severidad]]," ",Tabla1[[#This Row],[Complejidad]]),Catalogos!E$120:G$128,3,FALSE),"")</f>
        <v>64</v>
      </c>
      <c r="V2577" s="31" t="str">
        <f>IF(Tabla1[[#This Row],[Tiempo solución max (hrs)]]&lt;&gt;"",IF(Tabla1[[#This Row],[Tiempo solución max (hrs)]]&gt;=Tabla1[[#This Row],[Tiempo
(Hrs 00/100)]],"cumple","no cumple"),"")</f>
        <v>cumple</v>
      </c>
      <c r="W2577" s="376" t="s">
        <v>4210</v>
      </c>
      <c r="X2577" s="666" t="str">
        <f>IF(C2577&lt;&gt;"",C2577,D2577)</f>
        <v>SAW</v>
      </c>
      <c r="Y2577" s="667" t="str">
        <f>SUBSTITUTE(Tabla1[[#This Row],[Descripción]],CHAR(10),"    I    ")</f>
        <v>desarrollo del modulo de Organismo garante</v>
      </c>
      <c r="Z2577" s="668">
        <f>VLOOKUP(Tabla1[[#This Row],[Perfil]],Catalogos!$B$75:$D$100,3,FALSE)*Tabla1[[#This Row],[Tiempo
(Hrs 00/100)]]*1.16</f>
        <v>3132</v>
      </c>
      <c r="AA2577" t="s">
        <v>3356</v>
      </c>
    </row>
    <row r="2578" spans="1:27" ht="15" customHeight="1" x14ac:dyDescent="0.3">
      <c r="A2578" s="409" t="s">
        <v>22</v>
      </c>
      <c r="B2578" s="409" t="s">
        <v>305</v>
      </c>
      <c r="C2578" s="409" t="s">
        <v>16</v>
      </c>
      <c r="D2578" s="409"/>
      <c r="E2578" s="409" t="s">
        <v>3699</v>
      </c>
      <c r="F2578" s="409" t="s">
        <v>23</v>
      </c>
      <c r="G2578" s="409" t="s">
        <v>5497</v>
      </c>
      <c r="H2578" s="410" t="s">
        <v>4507</v>
      </c>
      <c r="I2578" s="417" t="s">
        <v>4518</v>
      </c>
      <c r="J2578" s="369">
        <v>45236</v>
      </c>
      <c r="K2578" s="747">
        <v>0.375</v>
      </c>
      <c r="L2578" s="369">
        <v>45236</v>
      </c>
      <c r="M2578" s="753">
        <v>0.79166666666666663</v>
      </c>
      <c r="N2578" s="210">
        <v>8.5</v>
      </c>
      <c r="O2578" s="669" t="s">
        <v>17</v>
      </c>
      <c r="P2578" s="670" t="s">
        <v>4510</v>
      </c>
      <c r="Q2578" s="144" t="s">
        <v>5374</v>
      </c>
      <c r="R2578" s="671" t="s">
        <v>37</v>
      </c>
      <c r="S2578" s="31" t="s">
        <v>273</v>
      </c>
      <c r="T2578" s="31" t="s">
        <v>273</v>
      </c>
      <c r="U2578" s="31">
        <f>IFERROR(VLOOKUP(CONCATENATE(Tabla1[[#This Row],[Severidad]]," ",Tabla1[[#This Row],[Complejidad]]),Catalogos!E$120:G$128,3,FALSE),"")</f>
        <v>64</v>
      </c>
      <c r="V2578" s="31" t="str">
        <f>IF(Tabla1[[#This Row],[Tiempo solución max (hrs)]]&lt;&gt;"",IF(Tabla1[[#This Row],[Tiempo solución max (hrs)]]&gt;=Tabla1[[#This Row],[Tiempo
(Hrs 00/100)]],"cumple","no cumple"),"")</f>
        <v>cumple</v>
      </c>
      <c r="W2578" s="376" t="s">
        <v>4210</v>
      </c>
      <c r="X2578" s="666" t="str">
        <f>IF(C2578&lt;&gt;"",C2578,D2578)</f>
        <v>SAW</v>
      </c>
      <c r="Y2578" s="667" t="str">
        <f>SUBSTITUTE(Tabla1[[#This Row],[Descripción]],CHAR(10),"    I    ")</f>
        <v>desarrollo del modulo de Organismo garante</v>
      </c>
      <c r="Z2578" s="668">
        <f>VLOOKUP(Tabla1[[#This Row],[Perfil]],Catalogos!$B$75:$D$100,3,FALSE)*Tabla1[[#This Row],[Tiempo
(Hrs 00/100)]]*1.16</f>
        <v>4437</v>
      </c>
      <c r="AA2578" t="s">
        <v>3356</v>
      </c>
    </row>
    <row r="2579" spans="1:27" ht="15" customHeight="1" x14ac:dyDescent="0.3">
      <c r="A2579" s="409" t="s">
        <v>22</v>
      </c>
      <c r="B2579" s="409" t="s">
        <v>305</v>
      </c>
      <c r="C2579" s="409" t="s">
        <v>16</v>
      </c>
      <c r="D2579" s="409"/>
      <c r="E2579" s="409" t="s">
        <v>3699</v>
      </c>
      <c r="F2579" s="409" t="s">
        <v>23</v>
      </c>
      <c r="G2579" s="409" t="s">
        <v>5498</v>
      </c>
      <c r="H2579" s="410" t="s">
        <v>4508</v>
      </c>
      <c r="I2579" s="417" t="s">
        <v>4519</v>
      </c>
      <c r="J2579" s="369">
        <v>45237</v>
      </c>
      <c r="K2579" s="747">
        <v>0.375</v>
      </c>
      <c r="L2579" s="369">
        <v>45237</v>
      </c>
      <c r="M2579" s="753">
        <v>0.79166666666666663</v>
      </c>
      <c r="N2579" s="210">
        <v>8.5</v>
      </c>
      <c r="O2579" s="672" t="s">
        <v>411</v>
      </c>
      <c r="P2579" s="670" t="s">
        <v>4510</v>
      </c>
      <c r="Q2579" s="144" t="s">
        <v>5374</v>
      </c>
      <c r="R2579" s="671" t="s">
        <v>37</v>
      </c>
      <c r="S2579" s="31" t="s">
        <v>273</v>
      </c>
      <c r="T2579" s="31" t="s">
        <v>273</v>
      </c>
      <c r="U2579" s="31">
        <f>IFERROR(VLOOKUP(CONCATENATE(Tabla1[[#This Row],[Severidad]]," ",Tabla1[[#This Row],[Complejidad]]),Catalogos!E$120:G$128,3,FALSE),"")</f>
        <v>64</v>
      </c>
      <c r="V2579" s="31" t="str">
        <f>IF(Tabla1[[#This Row],[Tiempo solución max (hrs)]]&lt;&gt;"",IF(Tabla1[[#This Row],[Tiempo solución max (hrs)]]&gt;=Tabla1[[#This Row],[Tiempo
(Hrs 00/100)]],"cumple","no cumple"),"")</f>
        <v>cumple</v>
      </c>
      <c r="W2579" s="376" t="s">
        <v>4210</v>
      </c>
      <c r="X2579" s="666" t="str">
        <f>IF(C2579&lt;&gt;"",C2579,D2579)</f>
        <v>SAW</v>
      </c>
      <c r="Y2579" s="667" t="str">
        <f>SUBSTITUTE(Tabla1[[#This Row],[Descripción]],CHAR(10),"    I    ")</f>
        <v>desarrollo del modulo de Secciones de tipos de criterios</v>
      </c>
      <c r="Z2579" s="668">
        <f>VLOOKUP(Tabla1[[#This Row],[Perfil]],Catalogos!$B$75:$D$100,3,FALSE)*Tabla1[[#This Row],[Tiempo
(Hrs 00/100)]]*1.16</f>
        <v>4437</v>
      </c>
      <c r="AA2579" t="s">
        <v>3356</v>
      </c>
    </row>
    <row r="2580" spans="1:27" ht="15" customHeight="1" x14ac:dyDescent="0.3">
      <c r="A2580" s="409" t="s">
        <v>22</v>
      </c>
      <c r="B2580" s="409" t="s">
        <v>305</v>
      </c>
      <c r="C2580" s="409" t="s">
        <v>16</v>
      </c>
      <c r="D2580" s="409"/>
      <c r="E2580" s="409" t="s">
        <v>3699</v>
      </c>
      <c r="F2580" s="409" t="s">
        <v>23</v>
      </c>
      <c r="G2580" s="409" t="s">
        <v>5498</v>
      </c>
      <c r="H2580" s="410" t="s">
        <v>4508</v>
      </c>
      <c r="I2580" s="417" t="s">
        <v>4519</v>
      </c>
      <c r="J2580" s="369">
        <v>45238</v>
      </c>
      <c r="K2580" s="747">
        <v>0.375</v>
      </c>
      <c r="L2580" s="369">
        <v>45238</v>
      </c>
      <c r="M2580" s="753">
        <v>0.79166666666666663</v>
      </c>
      <c r="N2580" s="210">
        <v>8.5</v>
      </c>
      <c r="O2580" s="669" t="s">
        <v>17</v>
      </c>
      <c r="P2580" s="670" t="s">
        <v>4510</v>
      </c>
      <c r="Q2580" s="144" t="s">
        <v>5374</v>
      </c>
      <c r="R2580" s="671" t="s">
        <v>37</v>
      </c>
      <c r="S2580" s="31" t="s">
        <v>273</v>
      </c>
      <c r="T2580" s="31" t="s">
        <v>273</v>
      </c>
      <c r="U2580" s="31">
        <f>IFERROR(VLOOKUP(CONCATENATE(Tabla1[[#This Row],[Severidad]]," ",Tabla1[[#This Row],[Complejidad]]),Catalogos!E$120:G$128,3,FALSE),"")</f>
        <v>64</v>
      </c>
      <c r="V2580" s="31" t="str">
        <f>IF(Tabla1[[#This Row],[Tiempo solución max (hrs)]]&lt;&gt;"",IF(Tabla1[[#This Row],[Tiempo solución max (hrs)]]&gt;=Tabla1[[#This Row],[Tiempo
(Hrs 00/100)]],"cumple","no cumple"),"")</f>
        <v>cumple</v>
      </c>
      <c r="W2580" s="376" t="s">
        <v>4210</v>
      </c>
      <c r="X2580" s="377" t="str">
        <f t="shared" ref="X2580:X2611" si="209">IF(C2580&lt;&gt;"",C2580,D2580)</f>
        <v>SAW</v>
      </c>
      <c r="Y2580" t="str">
        <f>SUBSTITUTE(Tabla1[[#This Row],[Descripción]],CHAR(10),"    I    ")</f>
        <v>desarrollo del modulo de Secciones de tipos de criterios</v>
      </c>
      <c r="Z2580" s="142">
        <f>VLOOKUP(Tabla1[[#This Row],[Perfil]],Catalogos!$B$75:$D$100,3,FALSE)*Tabla1[[#This Row],[Tiempo
(Hrs 00/100)]]*1.16</f>
        <v>4437</v>
      </c>
      <c r="AA2580" t="s">
        <v>3356</v>
      </c>
    </row>
    <row r="2581" spans="1:27" ht="15" customHeight="1" x14ac:dyDescent="0.3">
      <c r="A2581" s="409" t="s">
        <v>22</v>
      </c>
      <c r="B2581" s="409" t="s">
        <v>305</v>
      </c>
      <c r="C2581" s="409" t="s">
        <v>16</v>
      </c>
      <c r="D2581" s="409"/>
      <c r="E2581" s="409" t="s">
        <v>3699</v>
      </c>
      <c r="F2581" s="409" t="s">
        <v>23</v>
      </c>
      <c r="G2581" s="409" t="s">
        <v>5499</v>
      </c>
      <c r="H2581" s="410" t="s">
        <v>4509</v>
      </c>
      <c r="I2581" s="417" t="s">
        <v>4520</v>
      </c>
      <c r="J2581" s="369">
        <v>45239</v>
      </c>
      <c r="K2581" s="747">
        <v>0.375</v>
      </c>
      <c r="L2581" s="369">
        <v>45239</v>
      </c>
      <c r="M2581" s="753">
        <v>0.79166666666666663</v>
      </c>
      <c r="N2581" s="210">
        <v>8.5</v>
      </c>
      <c r="O2581" s="672" t="s">
        <v>411</v>
      </c>
      <c r="P2581" s="670" t="s">
        <v>4510</v>
      </c>
      <c r="Q2581" s="144" t="s">
        <v>5374</v>
      </c>
      <c r="R2581" s="671" t="s">
        <v>37</v>
      </c>
      <c r="S2581" s="31" t="s">
        <v>273</v>
      </c>
      <c r="T2581" s="31" t="s">
        <v>273</v>
      </c>
      <c r="U2581" s="31">
        <f>IFERROR(VLOOKUP(CONCATENATE(Tabla1[[#This Row],[Severidad]]," ",Tabla1[[#This Row],[Complejidad]]),Catalogos!E$120:G$128,3,FALSE),"")</f>
        <v>64</v>
      </c>
      <c r="V2581" s="31" t="str">
        <f>IF(Tabla1[[#This Row],[Tiempo solución max (hrs)]]&lt;&gt;"",IF(Tabla1[[#This Row],[Tiempo solución max (hrs)]]&gt;=Tabla1[[#This Row],[Tiempo
(Hrs 00/100)]],"cumple","no cumple"),"")</f>
        <v>cumple</v>
      </c>
      <c r="W2581" s="376" t="s">
        <v>4210</v>
      </c>
      <c r="X2581" s="377" t="str">
        <f t="shared" si="209"/>
        <v>SAW</v>
      </c>
      <c r="Y2581" t="str">
        <f>SUBSTITUTE(Tabla1[[#This Row],[Descripción]],CHAR(10),"    I    ")</f>
        <v>desarrollo del modulo de Informacion</v>
      </c>
      <c r="Z2581" s="142">
        <f>VLOOKUP(Tabla1[[#This Row],[Perfil]],Catalogos!$B$75:$D$100,3,FALSE)*Tabla1[[#This Row],[Tiempo
(Hrs 00/100)]]*1.16</f>
        <v>4437</v>
      </c>
      <c r="AA2581" t="s">
        <v>3356</v>
      </c>
    </row>
    <row r="2582" spans="1:27" ht="15" customHeight="1" x14ac:dyDescent="0.3">
      <c r="A2582" s="409" t="s">
        <v>22</v>
      </c>
      <c r="B2582" s="409" t="s">
        <v>305</v>
      </c>
      <c r="C2582" s="409" t="s">
        <v>16</v>
      </c>
      <c r="D2582" s="409"/>
      <c r="E2582" s="409" t="s">
        <v>3699</v>
      </c>
      <c r="F2582" s="409" t="s">
        <v>23</v>
      </c>
      <c r="G2582" s="409" t="s">
        <v>5499</v>
      </c>
      <c r="H2582" s="410" t="s">
        <v>4509</v>
      </c>
      <c r="I2582" s="417" t="s">
        <v>4520</v>
      </c>
      <c r="J2582" s="369">
        <v>45240</v>
      </c>
      <c r="K2582" s="747">
        <v>0.375</v>
      </c>
      <c r="L2582" s="369">
        <v>45240</v>
      </c>
      <c r="M2582" s="753">
        <v>0.625</v>
      </c>
      <c r="N2582" s="210">
        <v>6</v>
      </c>
      <c r="O2582" s="672" t="s">
        <v>411</v>
      </c>
      <c r="P2582" s="670" t="s">
        <v>4510</v>
      </c>
      <c r="Q2582" s="144" t="s">
        <v>5374</v>
      </c>
      <c r="R2582" s="671" t="s">
        <v>37</v>
      </c>
      <c r="S2582" s="31" t="s">
        <v>273</v>
      </c>
      <c r="T2582" s="31" t="s">
        <v>273</v>
      </c>
      <c r="U2582" s="31">
        <f>IFERROR(VLOOKUP(CONCATENATE(Tabla1[[#This Row],[Severidad]]," ",Tabla1[[#This Row],[Complejidad]]),Catalogos!E$120:G$128,3,FALSE),"")</f>
        <v>64</v>
      </c>
      <c r="V2582" s="31" t="str">
        <f>IF(Tabla1[[#This Row],[Tiempo solución max (hrs)]]&lt;&gt;"",IF(Tabla1[[#This Row],[Tiempo solución max (hrs)]]&gt;=Tabla1[[#This Row],[Tiempo
(Hrs 00/100)]],"cumple","no cumple"),"")</f>
        <v>cumple</v>
      </c>
      <c r="W2582" s="376" t="s">
        <v>4210</v>
      </c>
      <c r="X2582" s="377" t="str">
        <f t="shared" si="209"/>
        <v>SAW</v>
      </c>
      <c r="Y2582" t="str">
        <f>SUBSTITUTE(Tabla1[[#This Row],[Descripción]],CHAR(10),"    I    ")</f>
        <v>desarrollo del modulo de Informacion</v>
      </c>
      <c r="Z2582" s="142">
        <f>VLOOKUP(Tabla1[[#This Row],[Perfil]],Catalogos!$B$75:$D$100,3,FALSE)*Tabla1[[#This Row],[Tiempo
(Hrs 00/100)]]*1.16</f>
        <v>3132</v>
      </c>
      <c r="AA2582" t="s">
        <v>3356</v>
      </c>
    </row>
    <row r="2583" spans="1:27" ht="15" customHeight="1" x14ac:dyDescent="0.3">
      <c r="A2583" s="409" t="s">
        <v>22</v>
      </c>
      <c r="B2583" s="409" t="s">
        <v>305</v>
      </c>
      <c r="C2583" s="409" t="s">
        <v>16</v>
      </c>
      <c r="D2583" s="409"/>
      <c r="E2583" s="409" t="s">
        <v>3699</v>
      </c>
      <c r="F2583" s="409" t="s">
        <v>23</v>
      </c>
      <c r="G2583" s="409" t="s">
        <v>5499</v>
      </c>
      <c r="H2583" s="410" t="s">
        <v>4509</v>
      </c>
      <c r="I2583" s="417" t="s">
        <v>4520</v>
      </c>
      <c r="J2583" s="369">
        <v>45243</v>
      </c>
      <c r="K2583" s="747">
        <v>0.375</v>
      </c>
      <c r="L2583" s="369">
        <v>45243</v>
      </c>
      <c r="M2583" s="753">
        <v>0.79166666666666663</v>
      </c>
      <c r="N2583" s="210">
        <v>8.5</v>
      </c>
      <c r="O2583" s="672" t="s">
        <v>411</v>
      </c>
      <c r="P2583" s="670" t="s">
        <v>4510</v>
      </c>
      <c r="Q2583" s="144" t="s">
        <v>5374</v>
      </c>
      <c r="R2583" s="671" t="s">
        <v>37</v>
      </c>
      <c r="S2583" s="31" t="s">
        <v>273</v>
      </c>
      <c r="T2583" s="31" t="s">
        <v>273</v>
      </c>
      <c r="U2583" s="31">
        <f>IFERROR(VLOOKUP(CONCATENATE(Tabla1[[#This Row],[Severidad]]," ",Tabla1[[#This Row],[Complejidad]]),Catalogos!E$120:G$128,3,FALSE),"")</f>
        <v>64</v>
      </c>
      <c r="V2583" s="31" t="str">
        <f>IF(Tabla1[[#This Row],[Tiempo solución max (hrs)]]&lt;&gt;"",IF(Tabla1[[#This Row],[Tiempo solución max (hrs)]]&gt;=Tabla1[[#This Row],[Tiempo
(Hrs 00/100)]],"cumple","no cumple"),"")</f>
        <v>cumple</v>
      </c>
      <c r="W2583" s="376" t="s">
        <v>4210</v>
      </c>
      <c r="X2583" s="377" t="str">
        <f t="shared" si="209"/>
        <v>SAW</v>
      </c>
      <c r="Y2583" t="str">
        <f>SUBSTITUTE(Tabla1[[#This Row],[Descripción]],CHAR(10),"    I    ")</f>
        <v>desarrollo del modulo de Informacion</v>
      </c>
      <c r="Z2583" s="142">
        <f>VLOOKUP(Tabla1[[#This Row],[Perfil]],Catalogos!$B$75:$D$100,3,FALSE)*Tabla1[[#This Row],[Tiempo
(Hrs 00/100)]]*1.16</f>
        <v>4437</v>
      </c>
      <c r="AA2583" t="s">
        <v>3356</v>
      </c>
    </row>
    <row r="2584" spans="1:27" ht="15" customHeight="1" x14ac:dyDescent="0.3">
      <c r="A2584" s="409" t="s">
        <v>22</v>
      </c>
      <c r="B2584" s="409" t="s">
        <v>305</v>
      </c>
      <c r="C2584" s="409" t="s">
        <v>16</v>
      </c>
      <c r="D2584" s="409"/>
      <c r="E2584" s="409" t="s">
        <v>3699</v>
      </c>
      <c r="F2584" s="409" t="s">
        <v>23</v>
      </c>
      <c r="G2584" s="409" t="s">
        <v>5499</v>
      </c>
      <c r="H2584" s="410" t="s">
        <v>4509</v>
      </c>
      <c r="I2584" s="417" t="s">
        <v>4520</v>
      </c>
      <c r="J2584" s="369">
        <v>45244</v>
      </c>
      <c r="K2584" s="747">
        <v>0.375</v>
      </c>
      <c r="L2584" s="369">
        <v>45244</v>
      </c>
      <c r="M2584" s="753">
        <v>0.79166666666666663</v>
      </c>
      <c r="N2584" s="210">
        <v>8.5</v>
      </c>
      <c r="O2584" s="672" t="s">
        <v>411</v>
      </c>
      <c r="P2584" s="670" t="s">
        <v>4510</v>
      </c>
      <c r="Q2584" s="144" t="s">
        <v>5374</v>
      </c>
      <c r="R2584" s="671" t="s">
        <v>37</v>
      </c>
      <c r="S2584" s="31" t="s">
        <v>273</v>
      </c>
      <c r="T2584" s="31" t="s">
        <v>273</v>
      </c>
      <c r="U2584" s="31">
        <f>IFERROR(VLOOKUP(CONCATENATE(Tabla1[[#This Row],[Severidad]]," ",Tabla1[[#This Row],[Complejidad]]),Catalogos!E$120:G$128,3,FALSE),"")</f>
        <v>64</v>
      </c>
      <c r="V2584" s="31" t="str">
        <f>IF(Tabla1[[#This Row],[Tiempo solución max (hrs)]]&lt;&gt;"",IF(Tabla1[[#This Row],[Tiempo solución max (hrs)]]&gt;=Tabla1[[#This Row],[Tiempo
(Hrs 00/100)]],"cumple","no cumple"),"")</f>
        <v>cumple</v>
      </c>
      <c r="W2584" s="376" t="s">
        <v>4210</v>
      </c>
      <c r="X2584" s="377" t="str">
        <f t="shared" si="209"/>
        <v>SAW</v>
      </c>
      <c r="Y2584" t="str">
        <f>SUBSTITUTE(Tabla1[[#This Row],[Descripción]],CHAR(10),"    I    ")</f>
        <v>desarrollo del modulo de Informacion</v>
      </c>
      <c r="Z2584" s="142">
        <f>VLOOKUP(Tabla1[[#This Row],[Perfil]],Catalogos!$B$75:$D$100,3,FALSE)*Tabla1[[#This Row],[Tiempo
(Hrs 00/100)]]*1.16</f>
        <v>4437</v>
      </c>
      <c r="AA2584" t="s">
        <v>3356</v>
      </c>
    </row>
    <row r="2585" spans="1:27" ht="15" customHeight="1" x14ac:dyDescent="0.3">
      <c r="A2585" s="409" t="s">
        <v>22</v>
      </c>
      <c r="B2585" s="409" t="s">
        <v>305</v>
      </c>
      <c r="C2585" s="409" t="s">
        <v>16</v>
      </c>
      <c r="D2585" s="409"/>
      <c r="E2585" s="409" t="s">
        <v>3699</v>
      </c>
      <c r="F2585" s="409" t="s">
        <v>23</v>
      </c>
      <c r="G2585" s="409" t="s">
        <v>5499</v>
      </c>
      <c r="H2585" s="410" t="s">
        <v>4509</v>
      </c>
      <c r="I2585" s="417" t="s">
        <v>4520</v>
      </c>
      <c r="J2585" s="369">
        <v>45245</v>
      </c>
      <c r="K2585" s="747">
        <v>0.375</v>
      </c>
      <c r="L2585" s="369">
        <v>45245</v>
      </c>
      <c r="M2585" s="753">
        <v>0.79166666666666663</v>
      </c>
      <c r="N2585" s="210">
        <v>8.5</v>
      </c>
      <c r="O2585" s="672" t="s">
        <v>411</v>
      </c>
      <c r="P2585" s="670" t="s">
        <v>4510</v>
      </c>
      <c r="Q2585" s="144" t="s">
        <v>5374</v>
      </c>
      <c r="R2585" s="671" t="s">
        <v>37</v>
      </c>
      <c r="S2585" s="31" t="s">
        <v>273</v>
      </c>
      <c r="T2585" s="31" t="s">
        <v>273</v>
      </c>
      <c r="U2585" s="31">
        <f>IFERROR(VLOOKUP(CONCATENATE(Tabla1[[#This Row],[Severidad]]," ",Tabla1[[#This Row],[Complejidad]]),Catalogos!E$120:G$128,3,FALSE),"")</f>
        <v>64</v>
      </c>
      <c r="V2585" s="31" t="str">
        <f>IF(Tabla1[[#This Row],[Tiempo solución max (hrs)]]&lt;&gt;"",IF(Tabla1[[#This Row],[Tiempo solución max (hrs)]]&gt;=Tabla1[[#This Row],[Tiempo
(Hrs 00/100)]],"cumple","no cumple"),"")</f>
        <v>cumple</v>
      </c>
      <c r="W2585" s="376" t="s">
        <v>4210</v>
      </c>
      <c r="X2585" s="377" t="str">
        <f t="shared" si="209"/>
        <v>SAW</v>
      </c>
      <c r="Y2585" t="str">
        <f>SUBSTITUTE(Tabla1[[#This Row],[Descripción]],CHAR(10),"    I    ")</f>
        <v>desarrollo del modulo de Informacion</v>
      </c>
      <c r="Z2585" s="142">
        <f>VLOOKUP(Tabla1[[#This Row],[Perfil]],Catalogos!$B$75:$D$100,3,FALSE)*Tabla1[[#This Row],[Tiempo
(Hrs 00/100)]]*1.16</f>
        <v>4437</v>
      </c>
      <c r="AA2585" t="s">
        <v>3356</v>
      </c>
    </row>
    <row r="2586" spans="1:27" ht="15" customHeight="1" x14ac:dyDescent="0.3">
      <c r="A2586" s="409" t="s">
        <v>22</v>
      </c>
      <c r="B2586" s="409" t="s">
        <v>305</v>
      </c>
      <c r="C2586" s="409" t="s">
        <v>16</v>
      </c>
      <c r="D2586" s="409"/>
      <c r="E2586" s="409" t="s">
        <v>3699</v>
      </c>
      <c r="F2586" s="409" t="s">
        <v>23</v>
      </c>
      <c r="G2586" s="409" t="s">
        <v>5499</v>
      </c>
      <c r="H2586" s="410" t="s">
        <v>4509</v>
      </c>
      <c r="I2586" s="417" t="s">
        <v>4520</v>
      </c>
      <c r="J2586" s="369">
        <v>45246</v>
      </c>
      <c r="K2586" s="747">
        <v>0.375</v>
      </c>
      <c r="L2586" s="369">
        <v>45246</v>
      </c>
      <c r="M2586" s="753">
        <v>0.79166666666666663</v>
      </c>
      <c r="N2586" s="210">
        <v>8.5</v>
      </c>
      <c r="O2586" s="669" t="s">
        <v>17</v>
      </c>
      <c r="P2586" s="670" t="s">
        <v>4510</v>
      </c>
      <c r="Q2586" s="144" t="s">
        <v>5374</v>
      </c>
      <c r="R2586" s="671" t="s">
        <v>37</v>
      </c>
      <c r="S2586" s="31" t="s">
        <v>273</v>
      </c>
      <c r="T2586" s="31" t="s">
        <v>273</v>
      </c>
      <c r="U2586" s="31">
        <f>IFERROR(VLOOKUP(CONCATENATE(Tabla1[[#This Row],[Severidad]]," ",Tabla1[[#This Row],[Complejidad]]),Catalogos!E$120:G$128,3,FALSE),"")</f>
        <v>64</v>
      </c>
      <c r="V2586" s="31" t="str">
        <f>IF(Tabla1[[#This Row],[Tiempo solución max (hrs)]]&lt;&gt;"",IF(Tabla1[[#This Row],[Tiempo solución max (hrs)]]&gt;=Tabla1[[#This Row],[Tiempo
(Hrs 00/100)]],"cumple","no cumple"),"")</f>
        <v>cumple</v>
      </c>
      <c r="W2586" s="376" t="s">
        <v>4210</v>
      </c>
      <c r="X2586" s="377" t="str">
        <f t="shared" si="209"/>
        <v>SAW</v>
      </c>
      <c r="Y2586" t="str">
        <f>SUBSTITUTE(Tabla1[[#This Row],[Descripción]],CHAR(10),"    I    ")</f>
        <v>desarrollo del modulo de Informacion</v>
      </c>
      <c r="Z2586" s="142">
        <f>VLOOKUP(Tabla1[[#This Row],[Perfil]],Catalogos!$B$75:$D$100,3,FALSE)*Tabla1[[#This Row],[Tiempo
(Hrs 00/100)]]*1.16</f>
        <v>4437</v>
      </c>
      <c r="AA2586" t="s">
        <v>3356</v>
      </c>
    </row>
    <row r="2587" spans="1:27" ht="15" customHeight="1" x14ac:dyDescent="0.3">
      <c r="A2587" s="409" t="s">
        <v>22</v>
      </c>
      <c r="B2587" s="409" t="s">
        <v>305</v>
      </c>
      <c r="C2587" s="409" t="s">
        <v>16</v>
      </c>
      <c r="D2587" s="409"/>
      <c r="E2587" s="409" t="s">
        <v>3699</v>
      </c>
      <c r="F2587" s="409" t="s">
        <v>23</v>
      </c>
      <c r="G2587" s="409" t="s">
        <v>5500</v>
      </c>
      <c r="H2587" s="410" t="s">
        <v>4511</v>
      </c>
      <c r="I2587" s="417" t="s">
        <v>4521</v>
      </c>
      <c r="J2587" s="369">
        <v>45247</v>
      </c>
      <c r="K2587" s="747">
        <v>0.375</v>
      </c>
      <c r="L2587" s="369">
        <v>45247</v>
      </c>
      <c r="M2587" s="753">
        <v>0.625</v>
      </c>
      <c r="N2587" s="210">
        <v>6</v>
      </c>
      <c r="O2587" s="672" t="s">
        <v>411</v>
      </c>
      <c r="P2587" s="670" t="s">
        <v>4510</v>
      </c>
      <c r="Q2587" s="144" t="s">
        <v>5374</v>
      </c>
      <c r="R2587" s="671" t="s">
        <v>37</v>
      </c>
      <c r="S2587" s="31" t="s">
        <v>273</v>
      </c>
      <c r="T2587" s="31" t="s">
        <v>273</v>
      </c>
      <c r="U2587" s="31">
        <f>IFERROR(VLOOKUP(CONCATENATE(Tabla1[[#This Row],[Severidad]]," ",Tabla1[[#This Row],[Complejidad]]),Catalogos!E$120:G$128,3,FALSE),"")</f>
        <v>64</v>
      </c>
      <c r="V2587" s="31" t="str">
        <f>IF(Tabla1[[#This Row],[Tiempo solución max (hrs)]]&lt;&gt;"",IF(Tabla1[[#This Row],[Tiempo solución max (hrs)]]&gt;=Tabla1[[#This Row],[Tiempo
(Hrs 00/100)]],"cumple","no cumple"),"")</f>
        <v>cumple</v>
      </c>
      <c r="W2587" s="376" t="s">
        <v>4210</v>
      </c>
      <c r="X2587" s="377" t="str">
        <f t="shared" si="209"/>
        <v>SAW</v>
      </c>
      <c r="Y2587" t="str">
        <f>SUBSTITUTE(Tabla1[[#This Row],[Descripción]],CHAR(10),"    I    ")</f>
        <v>desarrollo del modulo de carga de csv</v>
      </c>
      <c r="Z2587" s="142">
        <f>VLOOKUP(Tabla1[[#This Row],[Perfil]],Catalogos!$B$75:$D$100,3,FALSE)*Tabla1[[#This Row],[Tiempo
(Hrs 00/100)]]*1.16</f>
        <v>3132</v>
      </c>
      <c r="AA2587" t="s">
        <v>3356</v>
      </c>
    </row>
    <row r="2588" spans="1:27" ht="15" customHeight="1" x14ac:dyDescent="0.3">
      <c r="A2588" s="409" t="s">
        <v>22</v>
      </c>
      <c r="B2588" s="409" t="s">
        <v>305</v>
      </c>
      <c r="C2588" s="409" t="s">
        <v>16</v>
      </c>
      <c r="D2588" s="409"/>
      <c r="E2588" s="409" t="s">
        <v>3699</v>
      </c>
      <c r="F2588" s="409" t="s">
        <v>23</v>
      </c>
      <c r="G2588" s="409" t="s">
        <v>5500</v>
      </c>
      <c r="H2588" s="410" t="s">
        <v>4511</v>
      </c>
      <c r="I2588" s="417" t="s">
        <v>4521</v>
      </c>
      <c r="J2588" s="369">
        <v>45251</v>
      </c>
      <c r="K2588" s="747">
        <v>0.375</v>
      </c>
      <c r="L2588" s="369">
        <v>45251</v>
      </c>
      <c r="M2588" s="753">
        <v>0.79166666666666663</v>
      </c>
      <c r="N2588" s="210">
        <v>8.5</v>
      </c>
      <c r="O2588" s="672" t="s">
        <v>411</v>
      </c>
      <c r="P2588" s="670" t="s">
        <v>4510</v>
      </c>
      <c r="Q2588" s="144" t="s">
        <v>5374</v>
      </c>
      <c r="R2588" s="671" t="s">
        <v>37</v>
      </c>
      <c r="S2588" s="31" t="s">
        <v>273</v>
      </c>
      <c r="T2588" s="31" t="s">
        <v>273</v>
      </c>
      <c r="U2588" s="31">
        <f>IFERROR(VLOOKUP(CONCATENATE(Tabla1[[#This Row],[Severidad]]," ",Tabla1[[#This Row],[Complejidad]]),Catalogos!E$120:G$128,3,FALSE),"")</f>
        <v>64</v>
      </c>
      <c r="V2588" s="31" t="str">
        <f>IF(Tabla1[[#This Row],[Tiempo solución max (hrs)]]&lt;&gt;"",IF(Tabla1[[#This Row],[Tiempo solución max (hrs)]]&gt;=Tabla1[[#This Row],[Tiempo
(Hrs 00/100)]],"cumple","no cumple"),"")</f>
        <v>cumple</v>
      </c>
      <c r="W2588" s="376" t="s">
        <v>4210</v>
      </c>
      <c r="X2588" s="377" t="str">
        <f t="shared" si="209"/>
        <v>SAW</v>
      </c>
      <c r="Y2588" t="str">
        <f>SUBSTITUTE(Tabla1[[#This Row],[Descripción]],CHAR(10),"    I    ")</f>
        <v>desarrollo del modulo de carga de csv</v>
      </c>
      <c r="Z2588" s="142">
        <f>VLOOKUP(Tabla1[[#This Row],[Perfil]],Catalogos!$B$75:$D$100,3,FALSE)*Tabla1[[#This Row],[Tiempo
(Hrs 00/100)]]*1.16</f>
        <v>4437</v>
      </c>
      <c r="AA2588" t="s">
        <v>3356</v>
      </c>
    </row>
    <row r="2589" spans="1:27" ht="15" customHeight="1" x14ac:dyDescent="0.3">
      <c r="A2589" s="409" t="s">
        <v>22</v>
      </c>
      <c r="B2589" s="409" t="s">
        <v>305</v>
      </c>
      <c r="C2589" s="409" t="s">
        <v>16</v>
      </c>
      <c r="D2589" s="409"/>
      <c r="E2589" s="409" t="s">
        <v>3699</v>
      </c>
      <c r="F2589" s="409" t="s">
        <v>23</v>
      </c>
      <c r="G2589" s="409" t="s">
        <v>5500</v>
      </c>
      <c r="H2589" s="410" t="s">
        <v>4511</v>
      </c>
      <c r="I2589" s="417" t="s">
        <v>4521</v>
      </c>
      <c r="J2589" s="369">
        <v>45252</v>
      </c>
      <c r="K2589" s="747">
        <v>0.375</v>
      </c>
      <c r="L2589" s="369">
        <v>45252</v>
      </c>
      <c r="M2589" s="753">
        <v>0.79166666666666663</v>
      </c>
      <c r="N2589" s="210">
        <v>8.5</v>
      </c>
      <c r="O2589" s="672" t="s">
        <v>411</v>
      </c>
      <c r="P2589" s="670" t="s">
        <v>4510</v>
      </c>
      <c r="Q2589" s="144" t="s">
        <v>5374</v>
      </c>
      <c r="R2589" s="671" t="s">
        <v>37</v>
      </c>
      <c r="S2589" s="31" t="s">
        <v>273</v>
      </c>
      <c r="T2589" s="31" t="s">
        <v>273</v>
      </c>
      <c r="U2589" s="31">
        <f>IFERROR(VLOOKUP(CONCATENATE(Tabla1[[#This Row],[Severidad]]," ",Tabla1[[#This Row],[Complejidad]]),Catalogos!E$120:G$128,3,FALSE),"")</f>
        <v>64</v>
      </c>
      <c r="V2589" s="31" t="str">
        <f>IF(Tabla1[[#This Row],[Tiempo solución max (hrs)]]&lt;&gt;"",IF(Tabla1[[#This Row],[Tiempo solución max (hrs)]]&gt;=Tabla1[[#This Row],[Tiempo
(Hrs 00/100)]],"cumple","no cumple"),"")</f>
        <v>cumple</v>
      </c>
      <c r="W2589" s="376" t="s">
        <v>4210</v>
      </c>
      <c r="X2589" s="377" t="str">
        <f t="shared" si="209"/>
        <v>SAW</v>
      </c>
      <c r="Y2589" t="str">
        <f>SUBSTITUTE(Tabla1[[#This Row],[Descripción]],CHAR(10),"    I    ")</f>
        <v>desarrollo del modulo de carga de csv</v>
      </c>
      <c r="Z2589" s="142">
        <f>VLOOKUP(Tabla1[[#This Row],[Perfil]],Catalogos!$B$75:$D$100,3,FALSE)*Tabla1[[#This Row],[Tiempo
(Hrs 00/100)]]*1.16</f>
        <v>4437</v>
      </c>
      <c r="AA2589" t="s">
        <v>3356</v>
      </c>
    </row>
    <row r="2590" spans="1:27" ht="15" customHeight="1" x14ac:dyDescent="0.3">
      <c r="A2590" s="409" t="s">
        <v>22</v>
      </c>
      <c r="B2590" s="409" t="s">
        <v>305</v>
      </c>
      <c r="C2590" s="409" t="s">
        <v>16</v>
      </c>
      <c r="D2590" s="409"/>
      <c r="E2590" s="409" t="s">
        <v>3699</v>
      </c>
      <c r="F2590" s="409" t="s">
        <v>23</v>
      </c>
      <c r="G2590" s="409" t="s">
        <v>5500</v>
      </c>
      <c r="H2590" s="410" t="s">
        <v>4511</v>
      </c>
      <c r="I2590" s="417" t="s">
        <v>4521</v>
      </c>
      <c r="J2590" s="369">
        <v>45253</v>
      </c>
      <c r="K2590" s="747">
        <v>0.375</v>
      </c>
      <c r="L2590" s="369">
        <v>45253</v>
      </c>
      <c r="M2590" s="753">
        <v>0.79166666666666663</v>
      </c>
      <c r="N2590" s="210">
        <v>8.5</v>
      </c>
      <c r="O2590" s="672" t="s">
        <v>17</v>
      </c>
      <c r="P2590" s="670" t="s">
        <v>4510</v>
      </c>
      <c r="Q2590" s="144" t="s">
        <v>5374</v>
      </c>
      <c r="R2590" s="671" t="s">
        <v>37</v>
      </c>
      <c r="S2590" s="31" t="s">
        <v>273</v>
      </c>
      <c r="T2590" s="31" t="s">
        <v>273</v>
      </c>
      <c r="U2590" s="31">
        <f>IFERROR(VLOOKUP(CONCATENATE(Tabla1[[#This Row],[Severidad]]," ",Tabla1[[#This Row],[Complejidad]]),Catalogos!E$120:G$128,3,FALSE),"")</f>
        <v>64</v>
      </c>
      <c r="V2590" s="31" t="str">
        <f>IF(Tabla1[[#This Row],[Tiempo solución max (hrs)]]&lt;&gt;"",IF(Tabla1[[#This Row],[Tiempo solución max (hrs)]]&gt;=Tabla1[[#This Row],[Tiempo
(Hrs 00/100)]],"cumple","no cumple"),"")</f>
        <v>cumple</v>
      </c>
      <c r="W2590" s="376" t="s">
        <v>4210</v>
      </c>
      <c r="X2590" s="377" t="str">
        <f t="shared" si="209"/>
        <v>SAW</v>
      </c>
      <c r="Y2590" t="str">
        <f>SUBSTITUTE(Tabla1[[#This Row],[Descripción]],CHAR(10),"    I    ")</f>
        <v>desarrollo del modulo de carga de csv</v>
      </c>
      <c r="Z2590" s="142">
        <f>VLOOKUP(Tabla1[[#This Row],[Perfil]],Catalogos!$B$75:$D$100,3,FALSE)*Tabla1[[#This Row],[Tiempo
(Hrs 00/100)]]*1.16</f>
        <v>4437</v>
      </c>
      <c r="AA2590" t="s">
        <v>3356</v>
      </c>
    </row>
    <row r="2591" spans="1:27" ht="15" customHeight="1" x14ac:dyDescent="0.3">
      <c r="A2591" s="409" t="s">
        <v>22</v>
      </c>
      <c r="B2591" s="409" t="s">
        <v>305</v>
      </c>
      <c r="C2591" s="409" t="s">
        <v>16</v>
      </c>
      <c r="D2591" s="409"/>
      <c r="E2591" s="409" t="s">
        <v>3699</v>
      </c>
      <c r="F2591" s="409" t="s">
        <v>23</v>
      </c>
      <c r="G2591" s="409" t="s">
        <v>5501</v>
      </c>
      <c r="H2591" s="410" t="s">
        <v>4512</v>
      </c>
      <c r="I2591" s="417" t="s">
        <v>4513</v>
      </c>
      <c r="J2591" s="369">
        <v>45254</v>
      </c>
      <c r="K2591" s="747">
        <v>0.375</v>
      </c>
      <c r="L2591" s="369">
        <v>45254</v>
      </c>
      <c r="M2591" s="753">
        <v>0.625</v>
      </c>
      <c r="N2591" s="210">
        <v>6</v>
      </c>
      <c r="O2591" s="672" t="s">
        <v>17</v>
      </c>
      <c r="P2591" s="670" t="s">
        <v>4510</v>
      </c>
      <c r="Q2591" s="144" t="s">
        <v>5374</v>
      </c>
      <c r="R2591" s="671" t="s">
        <v>37</v>
      </c>
      <c r="S2591" s="31" t="s">
        <v>273</v>
      </c>
      <c r="T2591" s="31" t="s">
        <v>273</v>
      </c>
      <c r="U2591" s="31">
        <f>IFERROR(VLOOKUP(CONCATENATE(Tabla1[[#This Row],[Severidad]]," ",Tabla1[[#This Row],[Complejidad]]),Catalogos!E$120:G$128,3,FALSE),"")</f>
        <v>64</v>
      </c>
      <c r="V2591" s="31" t="str">
        <f>IF(Tabla1[[#This Row],[Tiempo solución max (hrs)]]&lt;&gt;"",IF(Tabla1[[#This Row],[Tiempo solución max (hrs)]]&gt;=Tabla1[[#This Row],[Tiempo
(Hrs 00/100)]],"cumple","no cumple"),"")</f>
        <v>cumple</v>
      </c>
      <c r="W2591" s="376" t="s">
        <v>4210</v>
      </c>
      <c r="X2591" s="377" t="str">
        <f t="shared" si="209"/>
        <v>SAW</v>
      </c>
      <c r="Y2591" t="str">
        <f>SUBSTITUTE(Tabla1[[#This Row],[Descripción]],CHAR(10),"    I    ")</f>
        <v>Se comprueba la vizualizacon y funcionalidad del buscador de resoluciones</v>
      </c>
      <c r="Z2591" s="142">
        <f>VLOOKUP(Tabla1[[#This Row],[Perfil]],Catalogos!$B$75:$D$100,3,FALSE)*Tabla1[[#This Row],[Tiempo
(Hrs 00/100)]]*1.16</f>
        <v>3132</v>
      </c>
      <c r="AA2591" t="s">
        <v>3356</v>
      </c>
    </row>
    <row r="2592" spans="1:27" ht="15" customHeight="1" x14ac:dyDescent="0.3">
      <c r="A2592" s="409" t="s">
        <v>22</v>
      </c>
      <c r="B2592" s="409" t="s">
        <v>305</v>
      </c>
      <c r="C2592" s="409" t="s">
        <v>16</v>
      </c>
      <c r="D2592" s="409"/>
      <c r="E2592" s="409" t="s">
        <v>3699</v>
      </c>
      <c r="F2592" s="409" t="s">
        <v>23</v>
      </c>
      <c r="G2592" s="409" t="s">
        <v>5502</v>
      </c>
      <c r="H2592" s="410" t="s">
        <v>4512</v>
      </c>
      <c r="I2592" s="417" t="s">
        <v>4514</v>
      </c>
      <c r="J2592" s="369">
        <v>45257</v>
      </c>
      <c r="K2592" s="747">
        <v>0.375</v>
      </c>
      <c r="L2592" s="369">
        <v>45257</v>
      </c>
      <c r="M2592" s="753">
        <v>0.79166666666666663</v>
      </c>
      <c r="N2592" s="210">
        <v>8.5</v>
      </c>
      <c r="O2592" s="672" t="s">
        <v>17</v>
      </c>
      <c r="P2592" s="670" t="s">
        <v>4510</v>
      </c>
      <c r="Q2592" s="144" t="s">
        <v>5374</v>
      </c>
      <c r="R2592" s="671" t="s">
        <v>37</v>
      </c>
      <c r="S2592" s="31" t="s">
        <v>273</v>
      </c>
      <c r="T2592" s="31" t="s">
        <v>273</v>
      </c>
      <c r="U2592" s="31">
        <f>IFERROR(VLOOKUP(CONCATENATE(Tabla1[[#This Row],[Severidad]]," ",Tabla1[[#This Row],[Complejidad]]),Catalogos!E$120:G$128,3,FALSE),"")</f>
        <v>64</v>
      </c>
      <c r="V2592" s="31" t="str">
        <f>IF(Tabla1[[#This Row],[Tiempo solución max (hrs)]]&lt;&gt;"",IF(Tabla1[[#This Row],[Tiempo solución max (hrs)]]&gt;=Tabla1[[#This Row],[Tiempo
(Hrs 00/100)]],"cumple","no cumple"),"")</f>
        <v>cumple</v>
      </c>
      <c r="W2592" s="376" t="s">
        <v>4210</v>
      </c>
      <c r="X2592" s="377" t="str">
        <f t="shared" si="209"/>
        <v>SAW</v>
      </c>
      <c r="Y2592" t="str">
        <f>SUBSTITUTE(Tabla1[[#This Row],[Descripción]],CHAR(10),"    I    ")</f>
        <v>se realizan los estilos para el buscador de resoluciones</v>
      </c>
      <c r="Z2592" s="142">
        <f>VLOOKUP(Tabla1[[#This Row],[Perfil]],Catalogos!$B$75:$D$100,3,FALSE)*Tabla1[[#This Row],[Tiempo
(Hrs 00/100)]]*1.16</f>
        <v>4437</v>
      </c>
      <c r="AA2592" t="s">
        <v>3356</v>
      </c>
    </row>
    <row r="2593" spans="1:27" ht="15" customHeight="1" x14ac:dyDescent="0.3">
      <c r="A2593" s="409" t="s">
        <v>22</v>
      </c>
      <c r="B2593" s="409" t="s">
        <v>305</v>
      </c>
      <c r="C2593" s="409" t="s">
        <v>16</v>
      </c>
      <c r="D2593" s="409"/>
      <c r="E2593" s="409" t="s">
        <v>3699</v>
      </c>
      <c r="F2593" s="409" t="s">
        <v>23</v>
      </c>
      <c r="G2593" s="409" t="s">
        <v>5503</v>
      </c>
      <c r="H2593" s="410" t="s">
        <v>4512</v>
      </c>
      <c r="I2593" s="417" t="s">
        <v>4515</v>
      </c>
      <c r="J2593" s="369">
        <v>45258</v>
      </c>
      <c r="K2593" s="747">
        <v>0.375</v>
      </c>
      <c r="L2593" s="369">
        <v>45258</v>
      </c>
      <c r="M2593" s="753">
        <v>0.79166666666666663</v>
      </c>
      <c r="N2593" s="210">
        <v>8.5</v>
      </c>
      <c r="O2593" s="672" t="s">
        <v>17</v>
      </c>
      <c r="P2593" s="670" t="s">
        <v>4510</v>
      </c>
      <c r="Q2593" s="144" t="s">
        <v>5374</v>
      </c>
      <c r="R2593" s="671" t="s">
        <v>37</v>
      </c>
      <c r="S2593" s="31" t="s">
        <v>273</v>
      </c>
      <c r="T2593" s="31" t="s">
        <v>273</v>
      </c>
      <c r="U2593" s="31">
        <f>IFERROR(VLOOKUP(CONCATENATE(Tabla1[[#This Row],[Severidad]]," ",Tabla1[[#This Row],[Complejidad]]),Catalogos!E$120:G$128,3,FALSE),"")</f>
        <v>64</v>
      </c>
      <c r="V2593" s="31" t="str">
        <f>IF(Tabla1[[#This Row],[Tiempo solución max (hrs)]]&lt;&gt;"",IF(Tabla1[[#This Row],[Tiempo solución max (hrs)]]&gt;=Tabla1[[#This Row],[Tiempo
(Hrs 00/100)]],"cumple","no cumple"),"")</f>
        <v>cumple</v>
      </c>
      <c r="W2593" s="376" t="s">
        <v>4210</v>
      </c>
      <c r="X2593" s="377" t="str">
        <f t="shared" si="209"/>
        <v>SAW</v>
      </c>
      <c r="Y2593" t="str">
        <f>SUBSTITUTE(Tabla1[[#This Row],[Descripción]],CHAR(10),"    I    ")</f>
        <v>se realiza funcionalidad de filtros de busqueda laterales</v>
      </c>
      <c r="Z2593" s="142">
        <f>VLOOKUP(Tabla1[[#This Row],[Perfil]],Catalogos!$B$75:$D$100,3,FALSE)*Tabla1[[#This Row],[Tiempo
(Hrs 00/100)]]*1.16</f>
        <v>4437</v>
      </c>
      <c r="AA2593" t="s">
        <v>3356</v>
      </c>
    </row>
    <row r="2594" spans="1:27" ht="15" customHeight="1" x14ac:dyDescent="0.3">
      <c r="A2594" s="409" t="s">
        <v>22</v>
      </c>
      <c r="B2594" s="409" t="s">
        <v>305</v>
      </c>
      <c r="C2594" s="409" t="s">
        <v>16</v>
      </c>
      <c r="D2594" s="409"/>
      <c r="E2594" s="409" t="s">
        <v>3699</v>
      </c>
      <c r="F2594" s="409" t="s">
        <v>23</v>
      </c>
      <c r="G2594" s="409" t="s">
        <v>5504</v>
      </c>
      <c r="H2594" s="410" t="s">
        <v>4512</v>
      </c>
      <c r="I2594" s="417" t="s">
        <v>4516</v>
      </c>
      <c r="J2594" s="369">
        <v>45259</v>
      </c>
      <c r="K2594" s="747">
        <v>0.375</v>
      </c>
      <c r="L2594" s="369">
        <v>45259</v>
      </c>
      <c r="M2594" s="753">
        <v>0.79166666666666663</v>
      </c>
      <c r="N2594" s="210">
        <v>8.5</v>
      </c>
      <c r="O2594" s="672" t="s">
        <v>17</v>
      </c>
      <c r="P2594" s="670" t="s">
        <v>4510</v>
      </c>
      <c r="Q2594" s="144" t="s">
        <v>5374</v>
      </c>
      <c r="R2594" s="671" t="s">
        <v>37</v>
      </c>
      <c r="S2594" s="31" t="s">
        <v>273</v>
      </c>
      <c r="T2594" s="31" t="s">
        <v>273</v>
      </c>
      <c r="U2594" s="31">
        <f>IFERROR(VLOOKUP(CONCATENATE(Tabla1[[#This Row],[Severidad]]," ",Tabla1[[#This Row],[Complejidad]]),Catalogos!E$120:G$128,3,FALSE),"")</f>
        <v>64</v>
      </c>
      <c r="V2594" s="31" t="str">
        <f>IF(Tabla1[[#This Row],[Tiempo solución max (hrs)]]&lt;&gt;"",IF(Tabla1[[#This Row],[Tiempo solución max (hrs)]]&gt;=Tabla1[[#This Row],[Tiempo
(Hrs 00/100)]],"cumple","no cumple"),"")</f>
        <v>cumple</v>
      </c>
      <c r="W2594" s="376" t="s">
        <v>4210</v>
      </c>
      <c r="X2594" s="377" t="str">
        <f t="shared" si="209"/>
        <v>SAW</v>
      </c>
      <c r="Y2594" t="str">
        <f>SUBSTITUTE(Tabla1[[#This Row],[Descripción]],CHAR(10),"    I    ")</f>
        <v>Se agrega funcionalidad de busqueda por ajax para clave de control</v>
      </c>
      <c r="Z2594" s="142">
        <f>VLOOKUP(Tabla1[[#This Row],[Perfil]],Catalogos!$B$75:$D$100,3,FALSE)*Tabla1[[#This Row],[Tiempo
(Hrs 00/100)]]*1.16</f>
        <v>4437</v>
      </c>
      <c r="AA2594" t="s">
        <v>3356</v>
      </c>
    </row>
    <row r="2595" spans="1:27" ht="15" customHeight="1" x14ac:dyDescent="0.3">
      <c r="A2595" s="409" t="s">
        <v>22</v>
      </c>
      <c r="B2595" s="409" t="s">
        <v>305</v>
      </c>
      <c r="C2595" s="409" t="s">
        <v>16</v>
      </c>
      <c r="D2595" s="409"/>
      <c r="E2595" s="409" t="s">
        <v>3699</v>
      </c>
      <c r="F2595" s="409" t="s">
        <v>23</v>
      </c>
      <c r="G2595" s="409" t="s">
        <v>5505</v>
      </c>
      <c r="H2595" s="410" t="s">
        <v>4512</v>
      </c>
      <c r="I2595" s="417" t="s">
        <v>4517</v>
      </c>
      <c r="J2595" s="369">
        <v>45260</v>
      </c>
      <c r="K2595" s="747">
        <v>0.375</v>
      </c>
      <c r="L2595" s="369">
        <v>45260</v>
      </c>
      <c r="M2595" s="753">
        <v>0.79166666666666663</v>
      </c>
      <c r="N2595" s="210">
        <v>8.5</v>
      </c>
      <c r="O2595" s="669" t="s">
        <v>17</v>
      </c>
      <c r="P2595" s="670" t="s">
        <v>4510</v>
      </c>
      <c r="Q2595" s="144" t="s">
        <v>5374</v>
      </c>
      <c r="R2595" s="671" t="s">
        <v>37</v>
      </c>
      <c r="S2595" s="31" t="s">
        <v>273</v>
      </c>
      <c r="T2595" s="31" t="s">
        <v>273</v>
      </c>
      <c r="U2595" s="31">
        <f>IFERROR(VLOOKUP(CONCATENATE(Tabla1[[#This Row],[Severidad]]," ",Tabla1[[#This Row],[Complejidad]]),Catalogos!E$120:G$128,3,FALSE),"")</f>
        <v>64</v>
      </c>
      <c r="V2595" s="31" t="str">
        <f>IF(Tabla1[[#This Row],[Tiempo solución max (hrs)]]&lt;&gt;"",IF(Tabla1[[#This Row],[Tiempo solución max (hrs)]]&gt;=Tabla1[[#This Row],[Tiempo
(Hrs 00/100)]],"cumple","no cumple"),"")</f>
        <v>cumple</v>
      </c>
      <c r="W2595" s="376" t="s">
        <v>4210</v>
      </c>
      <c r="X2595" s="377" t="str">
        <f t="shared" si="209"/>
        <v>SAW</v>
      </c>
      <c r="Y2595" t="str">
        <f>SUBSTITUTE(Tabla1[[#This Row],[Descripción]],CHAR(10),"    I    ")</f>
        <v>Se agrega funcionalidad de botones de descarga</v>
      </c>
      <c r="Z2595" s="142">
        <f>VLOOKUP(Tabla1[[#This Row],[Perfil]],Catalogos!$B$75:$D$100,3,FALSE)*Tabla1[[#This Row],[Tiempo
(Hrs 00/100)]]*1.16</f>
        <v>4437</v>
      </c>
      <c r="AA2595" t="s">
        <v>3356</v>
      </c>
    </row>
    <row r="2596" spans="1:27" ht="15" customHeight="1" x14ac:dyDescent="0.3">
      <c r="A2596" s="224" t="s">
        <v>22</v>
      </c>
      <c r="B2596" s="224" t="s">
        <v>23</v>
      </c>
      <c r="C2596" s="224" t="s">
        <v>257</v>
      </c>
      <c r="D2596" s="224"/>
      <c r="E2596" s="224" t="s">
        <v>554</v>
      </c>
      <c r="F2596" s="224" t="s">
        <v>23</v>
      </c>
      <c r="G2596" s="224" t="s">
        <v>4522</v>
      </c>
      <c r="H2596" s="431" t="s">
        <v>4523</v>
      </c>
      <c r="I2596" s="432" t="s">
        <v>4524</v>
      </c>
      <c r="J2596" s="673">
        <v>45251</v>
      </c>
      <c r="K2596" s="663">
        <v>0.37847222222222227</v>
      </c>
      <c r="L2596" s="673">
        <v>45251</v>
      </c>
      <c r="M2596" s="663">
        <v>0.79513888888888884</v>
      </c>
      <c r="N2596" s="650">
        <v>8</v>
      </c>
      <c r="O2596" s="422" t="s">
        <v>17</v>
      </c>
      <c r="P2596" s="674" t="s">
        <v>4525</v>
      </c>
      <c r="Q2596" s="406" t="s">
        <v>558</v>
      </c>
      <c r="R2596" s="675" t="s">
        <v>263</v>
      </c>
      <c r="S2596" s="31" t="s">
        <v>273</v>
      </c>
      <c r="T2596" s="31" t="s">
        <v>273</v>
      </c>
      <c r="U2596" s="31">
        <f>IFERROR(VLOOKUP(CONCATENATE(Tabla1[[#This Row],[Severidad]]," ",Tabla1[[#This Row],[Complejidad]]),Catalogos!E$120:G$128,3,FALSE),"")</f>
        <v>64</v>
      </c>
      <c r="V2596" s="31" t="str">
        <f>IF(Tabla1[[#This Row],[Tiempo solución max (hrs)]]&lt;&gt;"",IF(Tabla1[[#This Row],[Tiempo solución max (hrs)]]&gt;=Tabla1[[#This Row],[Tiempo
(Hrs 00/100)]],"cumple","no cumple"),"")</f>
        <v>cumple</v>
      </c>
      <c r="W2596" s="376" t="s">
        <v>4210</v>
      </c>
      <c r="X2596" s="377" t="str">
        <f t="shared" si="209"/>
        <v>SSI</v>
      </c>
      <c r="Y2596" t="str">
        <f>SUBSTITUTE(Tabla1[[#This Row],[Descripción]],CHAR(10),"    I    ")</f>
        <v>Se actualizo version de flutter, plugins y se atienden incidencias surgidas de esto</v>
      </c>
      <c r="Z2596" s="142">
        <f>VLOOKUP(Tabla1[[#This Row],[Perfil]],Catalogos!$B$75:$D$100,3,FALSE)*Tabla1[[#This Row],[Tiempo
(Hrs 00/100)]]*1.16</f>
        <v>4640</v>
      </c>
      <c r="AA2596" t="s">
        <v>3356</v>
      </c>
    </row>
    <row r="2597" spans="1:27" ht="15" customHeight="1" x14ac:dyDescent="0.3">
      <c r="A2597" s="224" t="s">
        <v>22</v>
      </c>
      <c r="B2597" s="224" t="s">
        <v>23</v>
      </c>
      <c r="C2597" s="224" t="s">
        <v>257</v>
      </c>
      <c r="D2597" s="224"/>
      <c r="E2597" s="224" t="s">
        <v>554</v>
      </c>
      <c r="F2597" s="224" t="s">
        <v>23</v>
      </c>
      <c r="G2597" s="224" t="s">
        <v>4526</v>
      </c>
      <c r="H2597" s="431" t="s">
        <v>4527</v>
      </c>
      <c r="I2597" s="432" t="s">
        <v>4528</v>
      </c>
      <c r="J2597" s="673">
        <v>45252</v>
      </c>
      <c r="K2597" s="663">
        <v>0.375</v>
      </c>
      <c r="L2597" s="673">
        <v>45252</v>
      </c>
      <c r="M2597" s="663">
        <v>0.45833333333333331</v>
      </c>
      <c r="N2597" s="650">
        <v>2</v>
      </c>
      <c r="O2597" s="422" t="s">
        <v>17</v>
      </c>
      <c r="P2597" s="674" t="s">
        <v>4525</v>
      </c>
      <c r="Q2597" s="406" t="s">
        <v>558</v>
      </c>
      <c r="R2597" s="675" t="s">
        <v>263</v>
      </c>
      <c r="S2597" s="31" t="s">
        <v>273</v>
      </c>
      <c r="T2597" s="31" t="s">
        <v>273</v>
      </c>
      <c r="U2597" s="31">
        <f>IFERROR(VLOOKUP(CONCATENATE(Tabla1[[#This Row],[Severidad]]," ",Tabla1[[#This Row],[Complejidad]]),Catalogos!E$120:G$128,3,FALSE),"")</f>
        <v>64</v>
      </c>
      <c r="V2597" s="31" t="str">
        <f>IF(Tabla1[[#This Row],[Tiempo solución max (hrs)]]&lt;&gt;"",IF(Tabla1[[#This Row],[Tiempo solución max (hrs)]]&gt;=Tabla1[[#This Row],[Tiempo
(Hrs 00/100)]],"cumple","no cumple"),"")</f>
        <v>cumple</v>
      </c>
      <c r="W2597" s="376" t="s">
        <v>4210</v>
      </c>
      <c r="X2597" s="377" t="str">
        <f t="shared" si="209"/>
        <v>SSI</v>
      </c>
      <c r="Y2597" t="str">
        <f>SUBSTITUTE(Tabla1[[#This Row],[Descripción]],CHAR(10),"    I    ")</f>
        <v>Se actualizaron las url de servicios para la app</v>
      </c>
      <c r="Z2597" s="142">
        <f>VLOOKUP(Tabla1[[#This Row],[Perfil]],Catalogos!$B$75:$D$100,3,FALSE)*Tabla1[[#This Row],[Tiempo
(Hrs 00/100)]]*1.16</f>
        <v>1160</v>
      </c>
      <c r="AA2597" t="s">
        <v>3356</v>
      </c>
    </row>
    <row r="2598" spans="1:27" ht="15" customHeight="1" x14ac:dyDescent="0.3">
      <c r="A2598" s="224" t="s">
        <v>22</v>
      </c>
      <c r="B2598" s="224" t="s">
        <v>23</v>
      </c>
      <c r="C2598" s="224" t="s">
        <v>257</v>
      </c>
      <c r="D2598" s="224"/>
      <c r="E2598" s="224" t="s">
        <v>554</v>
      </c>
      <c r="F2598" s="224" t="s">
        <v>23</v>
      </c>
      <c r="G2598" s="224" t="s">
        <v>4529</v>
      </c>
      <c r="H2598" s="431" t="s">
        <v>4530</v>
      </c>
      <c r="I2598" s="432" t="s">
        <v>4531</v>
      </c>
      <c r="J2598" s="673">
        <v>45252</v>
      </c>
      <c r="K2598" s="663">
        <v>0.45833333333333331</v>
      </c>
      <c r="L2598" s="673">
        <v>45252</v>
      </c>
      <c r="M2598" s="663">
        <v>0.79166666666666663</v>
      </c>
      <c r="N2598" s="650">
        <v>6</v>
      </c>
      <c r="O2598" s="422" t="s">
        <v>411</v>
      </c>
      <c r="P2598" s="674" t="s">
        <v>4525</v>
      </c>
      <c r="Q2598" s="406" t="s">
        <v>558</v>
      </c>
      <c r="R2598" s="675" t="s">
        <v>263</v>
      </c>
      <c r="S2598" s="31" t="s">
        <v>273</v>
      </c>
      <c r="T2598" s="31" t="s">
        <v>273</v>
      </c>
      <c r="U2598" s="31">
        <f>IFERROR(VLOOKUP(CONCATENATE(Tabla1[[#This Row],[Severidad]]," ",Tabla1[[#This Row],[Complejidad]]),Catalogos!E$120:G$128,3,FALSE),"")</f>
        <v>64</v>
      </c>
      <c r="V2598" s="31" t="str">
        <f>IF(Tabla1[[#This Row],[Tiempo solución max (hrs)]]&lt;&gt;"",IF(Tabla1[[#This Row],[Tiempo solución max (hrs)]]&gt;=Tabla1[[#This Row],[Tiempo
(Hrs 00/100)]],"cumple","no cumple"),"")</f>
        <v>cumple</v>
      </c>
      <c r="W2598" s="376" t="s">
        <v>4210</v>
      </c>
      <c r="X2598" s="377" t="str">
        <f t="shared" si="209"/>
        <v>SSI</v>
      </c>
      <c r="Y2598" t="str">
        <f>SUBSTITUTE(Tabla1[[#This Row],[Descripción]],CHAR(10),"    I    ")</f>
        <v>Se valida el funcionamiento de todos los servicios de la app y se depuran errores</v>
      </c>
      <c r="Z2598" s="142">
        <f>VLOOKUP(Tabla1[[#This Row],[Perfil]],Catalogos!$B$75:$D$100,3,FALSE)*Tabla1[[#This Row],[Tiempo
(Hrs 00/100)]]*1.16</f>
        <v>3479.9999999999995</v>
      </c>
      <c r="AA2598" t="s">
        <v>3356</v>
      </c>
    </row>
    <row r="2599" spans="1:27" ht="15" customHeight="1" x14ac:dyDescent="0.3">
      <c r="A2599" s="224" t="s">
        <v>22</v>
      </c>
      <c r="B2599" s="224" t="s">
        <v>23</v>
      </c>
      <c r="C2599" s="224" t="s">
        <v>257</v>
      </c>
      <c r="D2599" s="224"/>
      <c r="E2599" s="224" t="s">
        <v>554</v>
      </c>
      <c r="F2599" s="224" t="s">
        <v>23</v>
      </c>
      <c r="G2599" s="224" t="s">
        <v>4529</v>
      </c>
      <c r="H2599" s="431" t="s">
        <v>4530</v>
      </c>
      <c r="I2599" s="432" t="s">
        <v>4531</v>
      </c>
      <c r="J2599" s="673">
        <v>45253</v>
      </c>
      <c r="K2599" s="663">
        <v>0.375</v>
      </c>
      <c r="L2599" s="673">
        <v>45253</v>
      </c>
      <c r="M2599" s="663">
        <v>0.70833333333333337</v>
      </c>
      <c r="N2599" s="650">
        <v>6</v>
      </c>
      <c r="O2599" s="422" t="s">
        <v>17</v>
      </c>
      <c r="P2599" s="674" t="s">
        <v>4525</v>
      </c>
      <c r="Q2599" s="406" t="s">
        <v>558</v>
      </c>
      <c r="R2599" s="675" t="s">
        <v>263</v>
      </c>
      <c r="S2599" s="31" t="s">
        <v>273</v>
      </c>
      <c r="T2599" s="31" t="s">
        <v>273</v>
      </c>
      <c r="U2599" s="31">
        <f>IFERROR(VLOOKUP(CONCATENATE(Tabla1[[#This Row],[Severidad]]," ",Tabla1[[#This Row],[Complejidad]]),Catalogos!E$120:G$128,3,FALSE),"")</f>
        <v>64</v>
      </c>
      <c r="V2599" s="31" t="str">
        <f>IF(Tabla1[[#This Row],[Tiempo solución max (hrs)]]&lt;&gt;"",IF(Tabla1[[#This Row],[Tiempo solución max (hrs)]]&gt;=Tabla1[[#This Row],[Tiempo
(Hrs 00/100)]],"cumple","no cumple"),"")</f>
        <v>cumple</v>
      </c>
      <c r="W2599" s="376" t="s">
        <v>4210</v>
      </c>
      <c r="X2599" s="377" t="str">
        <f t="shared" si="209"/>
        <v>SSI</v>
      </c>
      <c r="Y2599" t="str">
        <f>SUBSTITUTE(Tabla1[[#This Row],[Descripción]],CHAR(10),"    I    ")</f>
        <v>Se valida el funcionamiento de todos los servicios de la app y se depuran errores</v>
      </c>
      <c r="Z2599" s="142">
        <f>VLOOKUP(Tabla1[[#This Row],[Perfil]],Catalogos!$B$75:$D$100,3,FALSE)*Tabla1[[#This Row],[Tiempo
(Hrs 00/100)]]*1.16</f>
        <v>3479.9999999999995</v>
      </c>
      <c r="AA2599" t="s">
        <v>3356</v>
      </c>
    </row>
    <row r="2600" spans="1:27" ht="15" customHeight="1" x14ac:dyDescent="0.3">
      <c r="A2600" s="224" t="s">
        <v>22</v>
      </c>
      <c r="B2600" s="224" t="s">
        <v>23</v>
      </c>
      <c r="C2600" s="224" t="s">
        <v>257</v>
      </c>
      <c r="D2600" s="224"/>
      <c r="E2600" s="224" t="s">
        <v>554</v>
      </c>
      <c r="F2600" s="224" t="s">
        <v>23</v>
      </c>
      <c r="G2600" s="224" t="s">
        <v>4532</v>
      </c>
      <c r="H2600" s="431" t="s">
        <v>4533</v>
      </c>
      <c r="I2600" s="432" t="s">
        <v>4534</v>
      </c>
      <c r="J2600" s="673">
        <v>45253</v>
      </c>
      <c r="K2600" s="663">
        <v>0.70833333333333337</v>
      </c>
      <c r="L2600" s="673">
        <v>45253</v>
      </c>
      <c r="M2600" s="663">
        <v>0.75</v>
      </c>
      <c r="N2600" s="650">
        <v>1</v>
      </c>
      <c r="O2600" s="422" t="s">
        <v>17</v>
      </c>
      <c r="P2600" s="674" t="s">
        <v>4525</v>
      </c>
      <c r="Q2600" s="406" t="s">
        <v>558</v>
      </c>
      <c r="R2600" s="675" t="s">
        <v>263</v>
      </c>
      <c r="S2600" s="31" t="s">
        <v>273</v>
      </c>
      <c r="T2600" s="31" t="s">
        <v>273</v>
      </c>
      <c r="U2600" s="31">
        <f>IFERROR(VLOOKUP(CONCATENATE(Tabla1[[#This Row],[Severidad]]," ",Tabla1[[#This Row],[Complejidad]]),Catalogos!E$120:G$128,3,FALSE),"")</f>
        <v>64</v>
      </c>
      <c r="V2600" s="31" t="str">
        <f>IF(Tabla1[[#This Row],[Tiempo solución max (hrs)]]&lt;&gt;"",IF(Tabla1[[#This Row],[Tiempo solución max (hrs)]]&gt;=Tabla1[[#This Row],[Tiempo
(Hrs 00/100)]],"cumple","no cumple"),"")</f>
        <v>cumple</v>
      </c>
      <c r="W2600" s="376" t="s">
        <v>4210</v>
      </c>
      <c r="X2600" s="377" t="str">
        <f t="shared" si="209"/>
        <v>SSI</v>
      </c>
      <c r="Y2600" t="str">
        <f>SUBSTITUTE(Tabla1[[#This Row],[Descripción]],CHAR(10),"    I    ")</f>
        <v xml:space="preserve">Se toma reunion para da seguimiento a los errores detectados en los servicios y depurar </v>
      </c>
      <c r="Z2600" s="142">
        <f>VLOOKUP(Tabla1[[#This Row],[Perfil]],Catalogos!$B$75:$D$100,3,FALSE)*Tabla1[[#This Row],[Tiempo
(Hrs 00/100)]]*1.16</f>
        <v>580</v>
      </c>
      <c r="AA2600" t="s">
        <v>3356</v>
      </c>
    </row>
    <row r="2601" spans="1:27" ht="15" customHeight="1" x14ac:dyDescent="0.3">
      <c r="A2601" s="224" t="s">
        <v>22</v>
      </c>
      <c r="B2601" s="224" t="s">
        <v>23</v>
      </c>
      <c r="C2601" s="224" t="s">
        <v>257</v>
      </c>
      <c r="D2601" s="224"/>
      <c r="E2601" s="224" t="s">
        <v>554</v>
      </c>
      <c r="F2601" s="224" t="s">
        <v>23</v>
      </c>
      <c r="G2601" s="224" t="s">
        <v>4535</v>
      </c>
      <c r="H2601" s="431" t="s">
        <v>4536</v>
      </c>
      <c r="I2601" s="432" t="s">
        <v>4537</v>
      </c>
      <c r="J2601" s="673">
        <v>45253</v>
      </c>
      <c r="K2601" s="663">
        <v>0.75</v>
      </c>
      <c r="L2601" s="673">
        <v>45253</v>
      </c>
      <c r="M2601" s="663">
        <v>0.79166666666666663</v>
      </c>
      <c r="N2601" s="650">
        <v>1</v>
      </c>
      <c r="O2601" s="422" t="s">
        <v>17</v>
      </c>
      <c r="P2601" s="674" t="s">
        <v>4525</v>
      </c>
      <c r="Q2601" s="406" t="s">
        <v>558</v>
      </c>
      <c r="R2601" s="675" t="s">
        <v>263</v>
      </c>
      <c r="S2601" s="31" t="s">
        <v>273</v>
      </c>
      <c r="T2601" s="31" t="s">
        <v>273</v>
      </c>
      <c r="U2601" s="31">
        <f>IFERROR(VLOOKUP(CONCATENATE(Tabla1[[#This Row],[Severidad]]," ",Tabla1[[#This Row],[Complejidad]]),Catalogos!E$120:G$128,3,FALSE),"")</f>
        <v>64</v>
      </c>
      <c r="V2601" s="31" t="str">
        <f>IF(Tabla1[[#This Row],[Tiempo solución max (hrs)]]&lt;&gt;"",IF(Tabla1[[#This Row],[Tiempo solución max (hrs)]]&gt;=Tabla1[[#This Row],[Tiempo
(Hrs 00/100)]],"cumple","no cumple"),"")</f>
        <v>cumple</v>
      </c>
      <c r="W2601" s="376" t="s">
        <v>4210</v>
      </c>
      <c r="X2601" s="377" t="str">
        <f t="shared" si="209"/>
        <v>SSI</v>
      </c>
      <c r="Y2601" t="str">
        <f>SUBSTITUTE(Tabla1[[#This Row],[Descripción]],CHAR(10),"    I    ")</f>
        <v>Se hace research para obtener datos necesarios para el alta de nueva app de fb para login</v>
      </c>
      <c r="Z2601" s="142">
        <f>VLOOKUP(Tabla1[[#This Row],[Perfil]],Catalogos!$B$75:$D$100,3,FALSE)*Tabla1[[#This Row],[Tiempo
(Hrs 00/100)]]*1.16</f>
        <v>580</v>
      </c>
      <c r="AA2601" t="s">
        <v>3356</v>
      </c>
    </row>
    <row r="2602" spans="1:27" ht="15" customHeight="1" x14ac:dyDescent="0.3">
      <c r="A2602" s="224" t="s">
        <v>22</v>
      </c>
      <c r="B2602" s="224" t="s">
        <v>23</v>
      </c>
      <c r="C2602" s="224" t="s">
        <v>257</v>
      </c>
      <c r="D2602" s="224"/>
      <c r="E2602" s="224" t="s">
        <v>554</v>
      </c>
      <c r="F2602" s="224" t="s">
        <v>23</v>
      </c>
      <c r="G2602" s="224" t="s">
        <v>4538</v>
      </c>
      <c r="H2602" s="431" t="s">
        <v>4539</v>
      </c>
      <c r="I2602" s="432" t="s">
        <v>4540</v>
      </c>
      <c r="J2602" s="673">
        <v>45254</v>
      </c>
      <c r="K2602" s="663">
        <v>0.375</v>
      </c>
      <c r="L2602" s="673">
        <v>45254</v>
      </c>
      <c r="M2602" s="663">
        <v>0.41666666666666669</v>
      </c>
      <c r="N2602" s="650">
        <v>1</v>
      </c>
      <c r="O2602" s="422" t="s">
        <v>17</v>
      </c>
      <c r="P2602" s="674" t="s">
        <v>4525</v>
      </c>
      <c r="Q2602" s="406" t="s">
        <v>558</v>
      </c>
      <c r="R2602" s="675" t="s">
        <v>263</v>
      </c>
      <c r="S2602" s="31" t="s">
        <v>273</v>
      </c>
      <c r="T2602" s="31" t="s">
        <v>273</v>
      </c>
      <c r="U2602" s="31">
        <f>IFERROR(VLOOKUP(CONCATENATE(Tabla1[[#This Row],[Severidad]]," ",Tabla1[[#This Row],[Complejidad]]),Catalogos!E$120:G$128,3,FALSE),"")</f>
        <v>64</v>
      </c>
      <c r="V2602" s="31" t="str">
        <f>IF(Tabla1[[#This Row],[Tiempo solución max (hrs)]]&lt;&gt;"",IF(Tabla1[[#This Row],[Tiempo solución max (hrs)]]&gt;=Tabla1[[#This Row],[Tiempo
(Hrs 00/100)]],"cumple","no cumple"),"")</f>
        <v>cumple</v>
      </c>
      <c r="W2602" s="376" t="s">
        <v>4210</v>
      </c>
      <c r="X2602" s="377" t="str">
        <f t="shared" si="209"/>
        <v>SSI</v>
      </c>
      <c r="Y2602" t="str">
        <f>SUBSTITUTE(Tabla1[[#This Row],[Descripción]],CHAR(10),"    I    ")</f>
        <v>Se valiada en diferentes tamaños y se corrige segun sea necesario</v>
      </c>
      <c r="Z2602" s="142">
        <f>VLOOKUP(Tabla1[[#This Row],[Perfil]],Catalogos!$B$75:$D$100,3,FALSE)*Tabla1[[#This Row],[Tiempo
(Hrs 00/100)]]*1.16</f>
        <v>580</v>
      </c>
      <c r="AA2602" t="s">
        <v>3356</v>
      </c>
    </row>
    <row r="2603" spans="1:27" ht="15" customHeight="1" x14ac:dyDescent="0.3">
      <c r="A2603" s="224" t="s">
        <v>22</v>
      </c>
      <c r="B2603" s="224" t="s">
        <v>23</v>
      </c>
      <c r="C2603" s="224" t="s">
        <v>257</v>
      </c>
      <c r="D2603" s="224"/>
      <c r="E2603" s="224" t="s">
        <v>554</v>
      </c>
      <c r="F2603" s="224" t="s">
        <v>23</v>
      </c>
      <c r="G2603" s="224" t="s">
        <v>4541</v>
      </c>
      <c r="H2603" s="431" t="s">
        <v>4542</v>
      </c>
      <c r="I2603" s="432" t="s">
        <v>4543</v>
      </c>
      <c r="J2603" s="673">
        <v>45254</v>
      </c>
      <c r="K2603" s="663">
        <v>0.41666666666666669</v>
      </c>
      <c r="L2603" s="673">
        <v>45254</v>
      </c>
      <c r="M2603" s="663">
        <v>0.5</v>
      </c>
      <c r="N2603" s="650">
        <v>2</v>
      </c>
      <c r="O2603" s="422" t="s">
        <v>17</v>
      </c>
      <c r="P2603" s="674" t="s">
        <v>4525</v>
      </c>
      <c r="Q2603" s="406" t="s">
        <v>558</v>
      </c>
      <c r="R2603" s="675" t="s">
        <v>263</v>
      </c>
      <c r="S2603" s="31" t="s">
        <v>273</v>
      </c>
      <c r="T2603" s="31" t="s">
        <v>273</v>
      </c>
      <c r="U2603" s="31">
        <f>IFERROR(VLOOKUP(CONCATENATE(Tabla1[[#This Row],[Severidad]]," ",Tabla1[[#This Row],[Complejidad]]),Catalogos!E$120:G$128,3,FALSE),"")</f>
        <v>64</v>
      </c>
      <c r="V2603" s="31" t="str">
        <f>IF(Tabla1[[#This Row],[Tiempo solución max (hrs)]]&lt;&gt;"",IF(Tabla1[[#This Row],[Tiempo solución max (hrs)]]&gt;=Tabla1[[#This Row],[Tiempo
(Hrs 00/100)]],"cumple","no cumple"),"")</f>
        <v>cumple</v>
      </c>
      <c r="W2603" s="376" t="s">
        <v>4210</v>
      </c>
      <c r="X2603" s="377" t="str">
        <f t="shared" si="209"/>
        <v>SSI</v>
      </c>
      <c r="Y2603" t="str">
        <f>SUBSTITUTE(Tabla1[[#This Row],[Descripción]],CHAR(10),"    I    ")</f>
        <v>Se hace research para obtener datos necesarios para el alta de nueva app de twitter para login</v>
      </c>
      <c r="Z2603" s="142">
        <f>VLOOKUP(Tabla1[[#This Row],[Perfil]],Catalogos!$B$75:$D$100,3,FALSE)*Tabla1[[#This Row],[Tiempo
(Hrs 00/100)]]*1.16</f>
        <v>1160</v>
      </c>
      <c r="AA2603" t="s">
        <v>3356</v>
      </c>
    </row>
    <row r="2604" spans="1:27" ht="15" customHeight="1" x14ac:dyDescent="0.3">
      <c r="A2604" s="224" t="s">
        <v>22</v>
      </c>
      <c r="B2604" s="224" t="s">
        <v>23</v>
      </c>
      <c r="C2604" s="224" t="s">
        <v>257</v>
      </c>
      <c r="D2604" s="224"/>
      <c r="E2604" s="224" t="s">
        <v>554</v>
      </c>
      <c r="F2604" s="224" t="s">
        <v>23</v>
      </c>
      <c r="G2604" s="224" t="s">
        <v>4544</v>
      </c>
      <c r="H2604" s="431" t="s">
        <v>4539</v>
      </c>
      <c r="I2604" s="432" t="s">
        <v>4540</v>
      </c>
      <c r="J2604" s="673">
        <v>45254</v>
      </c>
      <c r="K2604" s="663">
        <v>0.5</v>
      </c>
      <c r="L2604" s="673">
        <v>45254</v>
      </c>
      <c r="M2604" s="663">
        <v>0.79166666666666663</v>
      </c>
      <c r="N2604" s="650">
        <v>5</v>
      </c>
      <c r="O2604" s="422" t="s">
        <v>17</v>
      </c>
      <c r="P2604" s="674" t="s">
        <v>4525</v>
      </c>
      <c r="Q2604" s="406" t="s">
        <v>558</v>
      </c>
      <c r="R2604" s="675" t="s">
        <v>263</v>
      </c>
      <c r="S2604" s="31" t="s">
        <v>273</v>
      </c>
      <c r="T2604" s="31" t="s">
        <v>273</v>
      </c>
      <c r="U2604" s="31">
        <f>IFERROR(VLOOKUP(CONCATENATE(Tabla1[[#This Row],[Severidad]]," ",Tabla1[[#This Row],[Complejidad]]),Catalogos!E$120:G$128,3,FALSE),"")</f>
        <v>64</v>
      </c>
      <c r="V2604" s="31" t="str">
        <f>IF(Tabla1[[#This Row],[Tiempo solución max (hrs)]]&lt;&gt;"",IF(Tabla1[[#This Row],[Tiempo solución max (hrs)]]&gt;=Tabla1[[#This Row],[Tiempo
(Hrs 00/100)]],"cumple","no cumple"),"")</f>
        <v>cumple</v>
      </c>
      <c r="W2604" s="376" t="s">
        <v>4210</v>
      </c>
      <c r="X2604" s="377" t="str">
        <f t="shared" si="209"/>
        <v>SSI</v>
      </c>
      <c r="Y2604" t="str">
        <f>SUBSTITUTE(Tabla1[[#This Row],[Descripción]],CHAR(10),"    I    ")</f>
        <v>Se valiada en diferentes tamaños y se corrige segun sea necesario</v>
      </c>
      <c r="Z2604" s="142">
        <f>VLOOKUP(Tabla1[[#This Row],[Perfil]],Catalogos!$B$75:$D$100,3,FALSE)*Tabla1[[#This Row],[Tiempo
(Hrs 00/100)]]*1.16</f>
        <v>2900</v>
      </c>
      <c r="AA2604" t="s">
        <v>3356</v>
      </c>
    </row>
    <row r="2605" spans="1:27" ht="15" customHeight="1" x14ac:dyDescent="0.3">
      <c r="A2605" s="224" t="s">
        <v>22</v>
      </c>
      <c r="B2605" s="224" t="s">
        <v>23</v>
      </c>
      <c r="C2605" s="224" t="s">
        <v>257</v>
      </c>
      <c r="D2605" s="224"/>
      <c r="E2605" s="224" t="s">
        <v>554</v>
      </c>
      <c r="F2605" s="224" t="s">
        <v>23</v>
      </c>
      <c r="G2605" s="224" t="s">
        <v>4545</v>
      </c>
      <c r="H2605" s="431" t="s">
        <v>4530</v>
      </c>
      <c r="I2605" s="432" t="s">
        <v>4546</v>
      </c>
      <c r="J2605" s="673">
        <v>45257</v>
      </c>
      <c r="K2605" s="663">
        <v>0.375</v>
      </c>
      <c r="L2605" s="673">
        <v>45257</v>
      </c>
      <c r="M2605" s="663">
        <v>0.45833333333333331</v>
      </c>
      <c r="N2605" s="650">
        <v>2</v>
      </c>
      <c r="O2605" s="422" t="s">
        <v>17</v>
      </c>
      <c r="P2605" s="674" t="s">
        <v>4525</v>
      </c>
      <c r="Q2605" s="406" t="s">
        <v>558</v>
      </c>
      <c r="R2605" s="675" t="s">
        <v>263</v>
      </c>
      <c r="S2605" s="31" t="s">
        <v>273</v>
      </c>
      <c r="T2605" s="31" t="s">
        <v>273</v>
      </c>
      <c r="U2605" s="31">
        <f>IFERROR(VLOOKUP(CONCATENATE(Tabla1[[#This Row],[Severidad]]," ",Tabla1[[#This Row],[Complejidad]]),Catalogos!E$120:G$128,3,FALSE),"")</f>
        <v>64</v>
      </c>
      <c r="V2605" s="31" t="str">
        <f>IF(Tabla1[[#This Row],[Tiempo solución max (hrs)]]&lt;&gt;"",IF(Tabla1[[#This Row],[Tiempo solución max (hrs)]]&gt;=Tabla1[[#This Row],[Tiempo
(Hrs 00/100)]],"cumple","no cumple"),"")</f>
        <v>cumple</v>
      </c>
      <c r="W2605" s="376" t="s">
        <v>4210</v>
      </c>
      <c r="X2605" s="377" t="str">
        <f t="shared" si="209"/>
        <v>SSI</v>
      </c>
      <c r="Y2605" t="str">
        <f>SUBSTITUTE(Tabla1[[#This Row],[Descripción]],CHAR(10),"    I    ")</f>
        <v>Se valida el funcionamiento de los servicios de buscador de obligaciones</v>
      </c>
      <c r="Z2605" s="142">
        <f>VLOOKUP(Tabla1[[#This Row],[Perfil]],Catalogos!$B$75:$D$100,3,FALSE)*Tabla1[[#This Row],[Tiempo
(Hrs 00/100)]]*1.16</f>
        <v>1160</v>
      </c>
      <c r="AA2605" t="s">
        <v>3356</v>
      </c>
    </row>
    <row r="2606" spans="1:27" ht="15" customHeight="1" x14ac:dyDescent="0.3">
      <c r="A2606" s="224" t="s">
        <v>22</v>
      </c>
      <c r="B2606" s="224" t="s">
        <v>23</v>
      </c>
      <c r="C2606" s="224" t="s">
        <v>257</v>
      </c>
      <c r="D2606" s="224"/>
      <c r="E2606" s="224" t="s">
        <v>554</v>
      </c>
      <c r="F2606" s="224" t="s">
        <v>23</v>
      </c>
      <c r="G2606" s="224" t="s">
        <v>4547</v>
      </c>
      <c r="H2606" s="431" t="s">
        <v>4548</v>
      </c>
      <c r="I2606" s="432" t="s">
        <v>4549</v>
      </c>
      <c r="J2606" s="673">
        <v>45257</v>
      </c>
      <c r="K2606" s="663">
        <v>0.45833333333333331</v>
      </c>
      <c r="L2606" s="673">
        <v>45257</v>
      </c>
      <c r="M2606" s="663">
        <v>0.79166666666666663</v>
      </c>
      <c r="N2606" s="650">
        <v>6</v>
      </c>
      <c r="O2606" s="422" t="s">
        <v>17</v>
      </c>
      <c r="P2606" s="674" t="s">
        <v>4525</v>
      </c>
      <c r="Q2606" s="406" t="s">
        <v>558</v>
      </c>
      <c r="R2606" s="675" t="s">
        <v>263</v>
      </c>
      <c r="S2606" s="31" t="s">
        <v>273</v>
      </c>
      <c r="T2606" s="31" t="s">
        <v>273</v>
      </c>
      <c r="U2606" s="31">
        <f>IFERROR(VLOOKUP(CONCATENATE(Tabla1[[#This Row],[Severidad]]," ",Tabla1[[#This Row],[Complejidad]]),Catalogos!E$120:G$128,3,FALSE),"")</f>
        <v>64</v>
      </c>
      <c r="V2606" s="31" t="str">
        <f>IF(Tabla1[[#This Row],[Tiempo solución max (hrs)]]&lt;&gt;"",IF(Tabla1[[#This Row],[Tiempo solución max (hrs)]]&gt;=Tabla1[[#This Row],[Tiempo
(Hrs 00/100)]],"cumple","no cumple"),"")</f>
        <v>cumple</v>
      </c>
      <c r="W2606" s="376" t="s">
        <v>4210</v>
      </c>
      <c r="X2606" s="377" t="str">
        <f t="shared" si="209"/>
        <v>SSI</v>
      </c>
      <c r="Y2606" t="str">
        <f>SUBSTITUTE(Tabla1[[#This Row],[Descripción]],CHAR(10),"    I    ")</f>
        <v>Se genera un documento de guia que detalla las acciones a llevar para crear una cuenta y configurarla en Meta developers (facebook) y Twitter developers</v>
      </c>
      <c r="Z2606" s="142">
        <f>VLOOKUP(Tabla1[[#This Row],[Perfil]],Catalogos!$B$75:$D$100,3,FALSE)*Tabla1[[#This Row],[Tiempo
(Hrs 00/100)]]*1.16</f>
        <v>3479.9999999999995</v>
      </c>
      <c r="AA2606" t="s">
        <v>3356</v>
      </c>
    </row>
    <row r="2607" spans="1:27" ht="15" customHeight="1" x14ac:dyDescent="0.3">
      <c r="A2607" s="224" t="s">
        <v>22</v>
      </c>
      <c r="B2607" s="224" t="s">
        <v>23</v>
      </c>
      <c r="C2607" s="224" t="s">
        <v>257</v>
      </c>
      <c r="D2607" s="224"/>
      <c r="E2607" s="224" t="s">
        <v>554</v>
      </c>
      <c r="F2607" s="224" t="s">
        <v>23</v>
      </c>
      <c r="G2607" s="224" t="s">
        <v>4550</v>
      </c>
      <c r="H2607" s="431" t="s">
        <v>4539</v>
      </c>
      <c r="I2607" s="432" t="s">
        <v>4540</v>
      </c>
      <c r="J2607" s="673">
        <v>45258</v>
      </c>
      <c r="K2607" s="663">
        <v>0.375</v>
      </c>
      <c r="L2607" s="673">
        <v>45258</v>
      </c>
      <c r="M2607" s="663">
        <v>0.41666666666666669</v>
      </c>
      <c r="N2607" s="650">
        <v>1</v>
      </c>
      <c r="O2607" s="422" t="s">
        <v>17</v>
      </c>
      <c r="P2607" s="674" t="s">
        <v>4525</v>
      </c>
      <c r="Q2607" s="406" t="s">
        <v>558</v>
      </c>
      <c r="R2607" s="675" t="s">
        <v>263</v>
      </c>
      <c r="S2607" s="31" t="s">
        <v>273</v>
      </c>
      <c r="T2607" s="31" t="s">
        <v>273</v>
      </c>
      <c r="U2607" s="31">
        <f>IFERROR(VLOOKUP(CONCATENATE(Tabla1[[#This Row],[Severidad]]," ",Tabla1[[#This Row],[Complejidad]]),Catalogos!E$120:G$128,3,FALSE),"")</f>
        <v>64</v>
      </c>
      <c r="V2607" s="31" t="str">
        <f>IF(Tabla1[[#This Row],[Tiempo solución max (hrs)]]&lt;&gt;"",IF(Tabla1[[#This Row],[Tiempo solución max (hrs)]]&gt;=Tabla1[[#This Row],[Tiempo
(Hrs 00/100)]],"cumple","no cumple"),"")</f>
        <v>cumple</v>
      </c>
      <c r="W2607" s="376" t="s">
        <v>4210</v>
      </c>
      <c r="X2607" s="377" t="str">
        <f t="shared" si="209"/>
        <v>SSI</v>
      </c>
      <c r="Y2607" t="str">
        <f>SUBSTITUTE(Tabla1[[#This Row],[Descripción]],CHAR(10),"    I    ")</f>
        <v>Se valiada en diferentes tamaños y se corrige segun sea necesario</v>
      </c>
      <c r="Z2607" s="142">
        <f>VLOOKUP(Tabla1[[#This Row],[Perfil]],Catalogos!$B$75:$D$100,3,FALSE)*Tabla1[[#This Row],[Tiempo
(Hrs 00/100)]]*1.16</f>
        <v>580</v>
      </c>
      <c r="AA2607" t="s">
        <v>3356</v>
      </c>
    </row>
    <row r="2608" spans="1:27" ht="15" customHeight="1" x14ac:dyDescent="0.3">
      <c r="A2608" s="224" t="s">
        <v>22</v>
      </c>
      <c r="B2608" s="224" t="s">
        <v>23</v>
      </c>
      <c r="C2608" s="224" t="s">
        <v>257</v>
      </c>
      <c r="D2608" s="224"/>
      <c r="E2608" s="224" t="s">
        <v>554</v>
      </c>
      <c r="F2608" s="224" t="s">
        <v>23</v>
      </c>
      <c r="G2608" s="224" t="s">
        <v>4551</v>
      </c>
      <c r="H2608" s="431" t="s">
        <v>4552</v>
      </c>
      <c r="I2608" s="431" t="s">
        <v>4553</v>
      </c>
      <c r="J2608" s="673">
        <v>45258</v>
      </c>
      <c r="K2608" s="663">
        <v>0.41666666666666669</v>
      </c>
      <c r="L2608" s="673">
        <v>45258</v>
      </c>
      <c r="M2608" s="663">
        <v>0.45833333333333331</v>
      </c>
      <c r="N2608" s="650">
        <v>1</v>
      </c>
      <c r="O2608" s="422" t="s">
        <v>17</v>
      </c>
      <c r="P2608" s="674" t="s">
        <v>4525</v>
      </c>
      <c r="Q2608" s="406" t="s">
        <v>558</v>
      </c>
      <c r="R2608" s="675" t="s">
        <v>263</v>
      </c>
      <c r="S2608" s="31" t="s">
        <v>273</v>
      </c>
      <c r="T2608" s="31" t="s">
        <v>273</v>
      </c>
      <c r="U2608" s="31">
        <f>IFERROR(VLOOKUP(CONCATENATE(Tabla1[[#This Row],[Severidad]]," ",Tabla1[[#This Row],[Complejidad]]),Catalogos!E$120:G$128,3,FALSE),"")</f>
        <v>64</v>
      </c>
      <c r="V2608" s="31" t="str">
        <f>IF(Tabla1[[#This Row],[Tiempo solución max (hrs)]]&lt;&gt;"",IF(Tabla1[[#This Row],[Tiempo solución max (hrs)]]&gt;=Tabla1[[#This Row],[Tiempo
(Hrs 00/100)]],"cumple","no cumple"),"")</f>
        <v>cumple</v>
      </c>
      <c r="W2608" s="376" t="s">
        <v>4210</v>
      </c>
      <c r="X2608" s="377" t="str">
        <f t="shared" si="209"/>
        <v>SSI</v>
      </c>
      <c r="Y2608" t="str">
        <f>SUBSTITUTE(Tabla1[[#This Row],[Descripción]],CHAR(10),"    I    ")</f>
        <v>Se realiza una sesion de review para implementar flutter 3.16 en la app</v>
      </c>
      <c r="Z2608" s="142">
        <f>VLOOKUP(Tabla1[[#This Row],[Perfil]],Catalogos!$B$75:$D$100,3,FALSE)*Tabla1[[#This Row],[Tiempo
(Hrs 00/100)]]*1.16</f>
        <v>580</v>
      </c>
      <c r="AA2608" t="s">
        <v>3356</v>
      </c>
    </row>
    <row r="2609" spans="1:27" ht="15" customHeight="1" x14ac:dyDescent="0.3">
      <c r="A2609" s="224" t="s">
        <v>22</v>
      </c>
      <c r="B2609" s="224" t="s">
        <v>23</v>
      </c>
      <c r="C2609" s="224" t="s">
        <v>257</v>
      </c>
      <c r="D2609" s="224"/>
      <c r="E2609" s="224" t="s">
        <v>554</v>
      </c>
      <c r="F2609" s="224" t="s">
        <v>23</v>
      </c>
      <c r="G2609" s="224" t="s">
        <v>4554</v>
      </c>
      <c r="H2609" s="431" t="s">
        <v>4555</v>
      </c>
      <c r="I2609" s="432" t="s">
        <v>4556</v>
      </c>
      <c r="J2609" s="673">
        <v>45258</v>
      </c>
      <c r="K2609" s="663">
        <v>0.45833333333333331</v>
      </c>
      <c r="L2609" s="673">
        <v>45258</v>
      </c>
      <c r="M2609" s="663">
        <v>0.79166666666666663</v>
      </c>
      <c r="N2609" s="650">
        <v>6</v>
      </c>
      <c r="O2609" s="422" t="s">
        <v>17</v>
      </c>
      <c r="P2609" s="674" t="s">
        <v>4525</v>
      </c>
      <c r="Q2609" s="406" t="s">
        <v>558</v>
      </c>
      <c r="R2609" s="675" t="s">
        <v>263</v>
      </c>
      <c r="S2609" s="31" t="s">
        <v>273</v>
      </c>
      <c r="T2609" s="31" t="s">
        <v>273</v>
      </c>
      <c r="U2609" s="31">
        <f>IFERROR(VLOOKUP(CONCATENATE(Tabla1[[#This Row],[Severidad]]," ",Tabla1[[#This Row],[Complejidad]]),Catalogos!E$120:G$128,3,FALSE),"")</f>
        <v>64</v>
      </c>
      <c r="V2609" s="31" t="str">
        <f>IF(Tabla1[[#This Row],[Tiempo solución max (hrs)]]&lt;&gt;"",IF(Tabla1[[#This Row],[Tiempo solución max (hrs)]]&gt;=Tabla1[[#This Row],[Tiempo
(Hrs 00/100)]],"cumple","no cumple"),"")</f>
        <v>cumple</v>
      </c>
      <c r="W2609" s="376" t="s">
        <v>4210</v>
      </c>
      <c r="X2609" s="377" t="str">
        <f t="shared" si="209"/>
        <v>SSI</v>
      </c>
      <c r="Y2609" t="str">
        <f>SUBSTITUTE(Tabla1[[#This Row],[Descripción]],CHAR(10),"    I    ")</f>
        <v>Se actualiza version de android y se solventan errores nativos dentro de la aplicacion</v>
      </c>
      <c r="Z2609" s="142">
        <f>VLOOKUP(Tabla1[[#This Row],[Perfil]],Catalogos!$B$75:$D$100,3,FALSE)*Tabla1[[#This Row],[Tiempo
(Hrs 00/100)]]*1.16</f>
        <v>3479.9999999999995</v>
      </c>
      <c r="AA2609" t="s">
        <v>3356</v>
      </c>
    </row>
    <row r="2610" spans="1:27" ht="15" customHeight="1" x14ac:dyDescent="0.3">
      <c r="A2610" s="224" t="s">
        <v>22</v>
      </c>
      <c r="B2610" s="224" t="s">
        <v>23</v>
      </c>
      <c r="C2610" s="224" t="s">
        <v>257</v>
      </c>
      <c r="D2610" s="224"/>
      <c r="E2610" s="224" t="s">
        <v>554</v>
      </c>
      <c r="F2610" s="224" t="s">
        <v>23</v>
      </c>
      <c r="G2610" s="224" t="s">
        <v>4557</v>
      </c>
      <c r="H2610" s="431" t="s">
        <v>4530</v>
      </c>
      <c r="I2610" s="432" t="s">
        <v>4531</v>
      </c>
      <c r="J2610" s="673">
        <v>45259</v>
      </c>
      <c r="K2610" s="663">
        <v>0.375</v>
      </c>
      <c r="L2610" s="673">
        <v>45259</v>
      </c>
      <c r="M2610" s="663">
        <v>0.79166666666666663</v>
      </c>
      <c r="N2610" s="650">
        <v>8</v>
      </c>
      <c r="O2610" s="422" t="s">
        <v>411</v>
      </c>
      <c r="P2610" s="674" t="s">
        <v>4525</v>
      </c>
      <c r="Q2610" s="406" t="s">
        <v>558</v>
      </c>
      <c r="R2610" s="675" t="s">
        <v>263</v>
      </c>
      <c r="S2610" s="31" t="s">
        <v>273</v>
      </c>
      <c r="T2610" s="31" t="s">
        <v>273</v>
      </c>
      <c r="U2610" s="31">
        <f>IFERROR(VLOOKUP(CONCATENATE(Tabla1[[#This Row],[Severidad]]," ",Tabla1[[#This Row],[Complejidad]]),Catalogos!E$120:G$128,3,FALSE),"")</f>
        <v>64</v>
      </c>
      <c r="V2610" s="31" t="str">
        <f>IF(Tabla1[[#This Row],[Tiempo solución max (hrs)]]&lt;&gt;"",IF(Tabla1[[#This Row],[Tiempo solución max (hrs)]]&gt;=Tabla1[[#This Row],[Tiempo
(Hrs 00/100)]],"cumple","no cumple"),"")</f>
        <v>cumple</v>
      </c>
      <c r="W2610" s="376" t="s">
        <v>4210</v>
      </c>
      <c r="X2610" s="377" t="str">
        <f t="shared" si="209"/>
        <v>SSI</v>
      </c>
      <c r="Y2610" t="str">
        <f>SUBSTITUTE(Tabla1[[#This Row],[Descripción]],CHAR(10),"    I    ")</f>
        <v>Se valida el funcionamiento de todos los servicios de la app y se depuran errores</v>
      </c>
      <c r="Z2610" s="142">
        <f>VLOOKUP(Tabla1[[#This Row],[Perfil]],Catalogos!$B$75:$D$100,3,FALSE)*Tabla1[[#This Row],[Tiempo
(Hrs 00/100)]]*1.16</f>
        <v>4640</v>
      </c>
      <c r="AA2610" t="s">
        <v>3356</v>
      </c>
    </row>
    <row r="2611" spans="1:27" ht="15" customHeight="1" x14ac:dyDescent="0.3">
      <c r="A2611" s="224" t="s">
        <v>22</v>
      </c>
      <c r="B2611" s="224" t="s">
        <v>23</v>
      </c>
      <c r="C2611" s="224" t="s">
        <v>257</v>
      </c>
      <c r="D2611" s="224"/>
      <c r="E2611" s="224" t="s">
        <v>554</v>
      </c>
      <c r="F2611" s="224" t="s">
        <v>23</v>
      </c>
      <c r="G2611" s="224" t="s">
        <v>4557</v>
      </c>
      <c r="H2611" s="431" t="s">
        <v>4530</v>
      </c>
      <c r="I2611" s="432" t="s">
        <v>4531</v>
      </c>
      <c r="J2611" s="673">
        <v>45260</v>
      </c>
      <c r="K2611" s="663">
        <v>0.375</v>
      </c>
      <c r="L2611" s="673">
        <v>45260</v>
      </c>
      <c r="M2611" s="663">
        <v>0.41666666666666669</v>
      </c>
      <c r="N2611" s="650">
        <v>1</v>
      </c>
      <c r="O2611" s="422" t="s">
        <v>17</v>
      </c>
      <c r="P2611" s="674" t="s">
        <v>4525</v>
      </c>
      <c r="Q2611" s="406" t="s">
        <v>558</v>
      </c>
      <c r="R2611" s="675" t="s">
        <v>263</v>
      </c>
      <c r="S2611" s="31" t="s">
        <v>273</v>
      </c>
      <c r="T2611" s="31" t="s">
        <v>273</v>
      </c>
      <c r="U2611" s="31">
        <f>IFERROR(VLOOKUP(CONCATENATE(Tabla1[[#This Row],[Severidad]]," ",Tabla1[[#This Row],[Complejidad]]),Catalogos!E$120:G$128,3,FALSE),"")</f>
        <v>64</v>
      </c>
      <c r="V2611" s="31" t="str">
        <f>IF(Tabla1[[#This Row],[Tiempo solución max (hrs)]]&lt;&gt;"",IF(Tabla1[[#This Row],[Tiempo solución max (hrs)]]&gt;=Tabla1[[#This Row],[Tiempo
(Hrs 00/100)]],"cumple","no cumple"),"")</f>
        <v>cumple</v>
      </c>
      <c r="W2611" s="376" t="s">
        <v>4210</v>
      </c>
      <c r="X2611" s="377" t="str">
        <f t="shared" si="209"/>
        <v>SSI</v>
      </c>
      <c r="Y2611" t="str">
        <f>SUBSTITUTE(Tabla1[[#This Row],[Descripción]],CHAR(10),"    I    ")</f>
        <v>Se valida el funcionamiento de todos los servicios de la app y se depuran errores</v>
      </c>
      <c r="Z2611" s="142">
        <f>VLOOKUP(Tabla1[[#This Row],[Perfil]],Catalogos!$B$75:$D$100,3,FALSE)*Tabla1[[#This Row],[Tiempo
(Hrs 00/100)]]*1.16</f>
        <v>580</v>
      </c>
      <c r="AA2611" t="s">
        <v>3356</v>
      </c>
    </row>
    <row r="2612" spans="1:27" ht="15" customHeight="1" x14ac:dyDescent="0.3">
      <c r="A2612" s="224" t="s">
        <v>22</v>
      </c>
      <c r="B2612" s="224" t="s">
        <v>23</v>
      </c>
      <c r="C2612" s="224" t="s">
        <v>257</v>
      </c>
      <c r="D2612" s="224"/>
      <c r="E2612" s="224" t="s">
        <v>554</v>
      </c>
      <c r="F2612" s="224" t="s">
        <v>23</v>
      </c>
      <c r="G2612" s="224" t="s">
        <v>4558</v>
      </c>
      <c r="H2612" s="431" t="s">
        <v>4533</v>
      </c>
      <c r="I2612" s="432" t="s">
        <v>4534</v>
      </c>
      <c r="J2612" s="673">
        <v>45260</v>
      </c>
      <c r="K2612" s="663">
        <v>0.41666666666666669</v>
      </c>
      <c r="L2612" s="673">
        <v>45260</v>
      </c>
      <c r="M2612" s="663">
        <v>0.5</v>
      </c>
      <c r="N2612" s="650">
        <v>2</v>
      </c>
      <c r="O2612" s="422" t="s">
        <v>17</v>
      </c>
      <c r="P2612" s="674" t="s">
        <v>4525</v>
      </c>
      <c r="Q2612" s="406" t="s">
        <v>558</v>
      </c>
      <c r="R2612" s="675" t="s">
        <v>263</v>
      </c>
      <c r="S2612" s="31" t="s">
        <v>273</v>
      </c>
      <c r="T2612" s="31" t="s">
        <v>273</v>
      </c>
      <c r="U2612" s="31">
        <f>IFERROR(VLOOKUP(CONCATENATE(Tabla1[[#This Row],[Severidad]]," ",Tabla1[[#This Row],[Complejidad]]),Catalogos!E$120:G$128,3,FALSE),"")</f>
        <v>64</v>
      </c>
      <c r="V2612" s="31" t="str">
        <f>IF(Tabla1[[#This Row],[Tiempo solución max (hrs)]]&lt;&gt;"",IF(Tabla1[[#This Row],[Tiempo solución max (hrs)]]&gt;=Tabla1[[#This Row],[Tiempo
(Hrs 00/100)]],"cumple","no cumple"),"")</f>
        <v>cumple</v>
      </c>
      <c r="W2612" s="376" t="s">
        <v>4210</v>
      </c>
      <c r="X2612" s="377" t="str">
        <f t="shared" ref="X2612:X2639" si="210">IF(C2612&lt;&gt;"",C2612,D2612)</f>
        <v>SSI</v>
      </c>
      <c r="Y2612" t="str">
        <f>SUBSTITUTE(Tabla1[[#This Row],[Descripción]],CHAR(10),"    I    ")</f>
        <v xml:space="preserve">Se toma reunion para da seguimiento a los errores detectados en los servicios y depurar </v>
      </c>
      <c r="Z2612" s="142">
        <f>VLOOKUP(Tabla1[[#This Row],[Perfil]],Catalogos!$B$75:$D$100,3,FALSE)*Tabla1[[#This Row],[Tiempo
(Hrs 00/100)]]*1.16</f>
        <v>1160</v>
      </c>
      <c r="AA2612" t="s">
        <v>3356</v>
      </c>
    </row>
    <row r="2613" spans="1:27" ht="15" customHeight="1" x14ac:dyDescent="0.3">
      <c r="A2613" s="224" t="s">
        <v>22</v>
      </c>
      <c r="B2613" s="224" t="s">
        <v>23</v>
      </c>
      <c r="C2613" s="224" t="s">
        <v>257</v>
      </c>
      <c r="D2613" s="224"/>
      <c r="E2613" s="224" t="s">
        <v>554</v>
      </c>
      <c r="F2613" s="224" t="s">
        <v>23</v>
      </c>
      <c r="G2613" s="224" t="s">
        <v>4559</v>
      </c>
      <c r="H2613" s="431" t="s">
        <v>4530</v>
      </c>
      <c r="I2613" s="432" t="s">
        <v>4531</v>
      </c>
      <c r="J2613" s="673">
        <v>45260</v>
      </c>
      <c r="K2613" s="663">
        <v>0.5</v>
      </c>
      <c r="L2613" s="673">
        <v>45260</v>
      </c>
      <c r="M2613" s="663">
        <v>0.79166666666666663</v>
      </c>
      <c r="N2613" s="650">
        <v>5</v>
      </c>
      <c r="O2613" s="422" t="s">
        <v>17</v>
      </c>
      <c r="P2613" s="674" t="s">
        <v>4525</v>
      </c>
      <c r="Q2613" s="406" t="s">
        <v>558</v>
      </c>
      <c r="R2613" s="675" t="s">
        <v>263</v>
      </c>
      <c r="S2613" s="31" t="s">
        <v>273</v>
      </c>
      <c r="T2613" s="31" t="s">
        <v>273</v>
      </c>
      <c r="U2613" s="31">
        <f>IFERROR(VLOOKUP(CONCATENATE(Tabla1[[#This Row],[Severidad]]," ",Tabla1[[#This Row],[Complejidad]]),Catalogos!E$120:G$128,3,FALSE),"")</f>
        <v>64</v>
      </c>
      <c r="V2613" s="31" t="str">
        <f>IF(Tabla1[[#This Row],[Tiempo solución max (hrs)]]&lt;&gt;"",IF(Tabla1[[#This Row],[Tiempo solución max (hrs)]]&gt;=Tabla1[[#This Row],[Tiempo
(Hrs 00/100)]],"cumple","no cumple"),"")</f>
        <v>cumple</v>
      </c>
      <c r="W2613" s="376" t="s">
        <v>4210</v>
      </c>
      <c r="X2613" s="377" t="str">
        <f t="shared" si="210"/>
        <v>SSI</v>
      </c>
      <c r="Y2613" t="str">
        <f>SUBSTITUTE(Tabla1[[#This Row],[Descripción]],CHAR(10),"    I    ")</f>
        <v>Se valida el funcionamiento de todos los servicios de la app y se depuran errores</v>
      </c>
      <c r="Z2613" s="142">
        <f>VLOOKUP(Tabla1[[#This Row],[Perfil]],Catalogos!$B$75:$D$100,3,FALSE)*Tabla1[[#This Row],[Tiempo
(Hrs 00/100)]]*1.16</f>
        <v>2900</v>
      </c>
      <c r="AA2613" t="s">
        <v>3356</v>
      </c>
    </row>
    <row r="2614" spans="1:27" ht="15" customHeight="1" x14ac:dyDescent="0.3">
      <c r="A2614" s="373" t="s">
        <v>2642</v>
      </c>
      <c r="B2614" s="373" t="s">
        <v>305</v>
      </c>
      <c r="C2614" s="373" t="s">
        <v>45</v>
      </c>
      <c r="D2614" s="373"/>
      <c r="E2614" s="373" t="s">
        <v>1461</v>
      </c>
      <c r="F2614" s="184" t="s">
        <v>72</v>
      </c>
      <c r="G2614" s="622" t="s">
        <v>4618</v>
      </c>
      <c r="H2614" s="468" t="s">
        <v>4560</v>
      </c>
      <c r="I2614" s="468" t="s">
        <v>4561</v>
      </c>
      <c r="J2614" s="729">
        <v>45231</v>
      </c>
      <c r="K2614" s="773">
        <v>0.375</v>
      </c>
      <c r="L2614" s="729">
        <v>45231</v>
      </c>
      <c r="M2614" s="773">
        <v>0.79166666666666663</v>
      </c>
      <c r="N2614" s="373">
        <v>8</v>
      </c>
      <c r="O2614" s="422" t="s">
        <v>411</v>
      </c>
      <c r="P2614" s="367" t="s">
        <v>4562</v>
      </c>
      <c r="Q2614" s="179" t="s">
        <v>2649</v>
      </c>
      <c r="R2614" s="624" t="s">
        <v>81</v>
      </c>
      <c r="S2614" s="31" t="s">
        <v>273</v>
      </c>
      <c r="T2614" s="31" t="s">
        <v>273</v>
      </c>
      <c r="U2614" s="31">
        <f>IFERROR(VLOOKUP(CONCATENATE(Tabla1[[#This Row],[Severidad]]," ",Tabla1[[#This Row],[Complejidad]]),Catalogos!E$120:G$128,3,FALSE),"")</f>
        <v>64</v>
      </c>
      <c r="V2614" s="31" t="str">
        <f>IF(Tabla1[[#This Row],[Tiempo solución max (hrs)]]&lt;&gt;"",IF(Tabla1[[#This Row],[Tiempo solución max (hrs)]]&gt;=Tabla1[[#This Row],[Tiempo
(Hrs 00/100)]],"cumple","no cumple"),"")</f>
        <v>cumple</v>
      </c>
      <c r="W2614" s="376" t="s">
        <v>4210</v>
      </c>
      <c r="X2614" s="377" t="str">
        <f t="shared" si="210"/>
        <v>SPD</v>
      </c>
      <c r="Y2614" t="str">
        <f>SUBSTITUTE(Tabla1[[#This Row],[Descripción]],CHAR(10),"    I    ")</f>
        <v>Análisis del documento de "modulo de usuarios" para obtener casos de prueba previos a su ejecución</v>
      </c>
      <c r="Z2614" s="142">
        <f>VLOOKUP(Tabla1[[#This Row],[Perfil]],Catalogos!$B$75:$D$100,3,FALSE)*Tabla1[[#This Row],[Tiempo
(Hrs 00/100)]]*1.16</f>
        <v>4640</v>
      </c>
    </row>
    <row r="2615" spans="1:27" ht="15" customHeight="1" x14ac:dyDescent="0.3">
      <c r="A2615" s="373" t="s">
        <v>2642</v>
      </c>
      <c r="B2615" s="373" t="s">
        <v>305</v>
      </c>
      <c r="C2615" s="373" t="s">
        <v>45</v>
      </c>
      <c r="D2615" s="373"/>
      <c r="E2615" s="373" t="s">
        <v>1461</v>
      </c>
      <c r="F2615" s="184" t="s">
        <v>72</v>
      </c>
      <c r="G2615" s="622" t="s">
        <v>4618</v>
      </c>
      <c r="H2615" s="468" t="s">
        <v>4560</v>
      </c>
      <c r="I2615" s="468" t="s">
        <v>4561</v>
      </c>
      <c r="J2615" s="729">
        <v>45233</v>
      </c>
      <c r="K2615" s="773">
        <v>0.375</v>
      </c>
      <c r="L2615" s="729">
        <v>45233</v>
      </c>
      <c r="M2615" s="773">
        <v>0.70833333333333337</v>
      </c>
      <c r="N2615" s="373">
        <v>5</v>
      </c>
      <c r="O2615" s="184" t="s">
        <v>17</v>
      </c>
      <c r="P2615" s="367" t="s">
        <v>4562</v>
      </c>
      <c r="Q2615" s="179" t="s">
        <v>2649</v>
      </c>
      <c r="R2615" s="624" t="s">
        <v>81</v>
      </c>
      <c r="S2615" s="31" t="s">
        <v>273</v>
      </c>
      <c r="T2615" s="31" t="s">
        <v>273</v>
      </c>
      <c r="U2615" s="31">
        <f>IFERROR(VLOOKUP(CONCATENATE(Tabla1[[#This Row],[Severidad]]," ",Tabla1[[#This Row],[Complejidad]]),Catalogos!E$120:G$128,3,FALSE),"")</f>
        <v>64</v>
      </c>
      <c r="V2615" s="31" t="str">
        <f>IF(Tabla1[[#This Row],[Tiempo solución max (hrs)]]&lt;&gt;"",IF(Tabla1[[#This Row],[Tiempo solución max (hrs)]]&gt;=Tabla1[[#This Row],[Tiempo
(Hrs 00/100)]],"cumple","no cumple"),"")</f>
        <v>cumple</v>
      </c>
      <c r="W2615" s="376" t="s">
        <v>4210</v>
      </c>
      <c r="X2615" s="377" t="str">
        <f t="shared" si="210"/>
        <v>SPD</v>
      </c>
      <c r="Y2615" t="str">
        <f>SUBSTITUTE(Tabla1[[#This Row],[Descripción]],CHAR(10),"    I    ")</f>
        <v>Análisis del documento de "modulo de usuarios" para obtener casos de prueba previos a su ejecución</v>
      </c>
      <c r="Z2615" s="142">
        <f>VLOOKUP(Tabla1[[#This Row],[Perfil]],Catalogos!$B$75:$D$100,3,FALSE)*Tabla1[[#This Row],[Tiempo
(Hrs 00/100)]]*1.16</f>
        <v>2900</v>
      </c>
    </row>
    <row r="2616" spans="1:27" ht="15" customHeight="1" x14ac:dyDescent="0.3">
      <c r="A2616" s="373" t="s">
        <v>2642</v>
      </c>
      <c r="B2616" s="373" t="s">
        <v>65</v>
      </c>
      <c r="C2616" s="373" t="s">
        <v>45</v>
      </c>
      <c r="D2616" s="373"/>
      <c r="E2616" s="373" t="s">
        <v>1461</v>
      </c>
      <c r="F2616" s="184" t="s">
        <v>74</v>
      </c>
      <c r="G2616" s="622" t="s">
        <v>4619</v>
      </c>
      <c r="H2616" s="468" t="s">
        <v>4563</v>
      </c>
      <c r="I2616" s="468" t="s">
        <v>4564</v>
      </c>
      <c r="J2616" s="729">
        <v>45236</v>
      </c>
      <c r="K2616" s="773">
        <v>0.375</v>
      </c>
      <c r="L2616" s="729">
        <v>45236</v>
      </c>
      <c r="M2616" s="773">
        <v>0.79166666666666663</v>
      </c>
      <c r="N2616" s="373">
        <v>8</v>
      </c>
      <c r="O2616" s="184" t="s">
        <v>17</v>
      </c>
      <c r="P2616" s="367" t="s">
        <v>4565</v>
      </c>
      <c r="Q2616" s="179" t="s">
        <v>2649</v>
      </c>
      <c r="R2616" s="624" t="s">
        <v>81</v>
      </c>
      <c r="S2616" s="31" t="s">
        <v>273</v>
      </c>
      <c r="T2616" s="31" t="s">
        <v>273</v>
      </c>
      <c r="U2616" s="31">
        <f>IFERROR(VLOOKUP(CONCATENATE(Tabla1[[#This Row],[Severidad]]," ",Tabla1[[#This Row],[Complejidad]]),Catalogos!E$120:G$128,3,FALSE),"")</f>
        <v>64</v>
      </c>
      <c r="V2616" s="31" t="str">
        <f>IF(Tabla1[[#This Row],[Tiempo solución max (hrs)]]&lt;&gt;"",IF(Tabla1[[#This Row],[Tiempo solución max (hrs)]]&gt;=Tabla1[[#This Row],[Tiempo
(Hrs 00/100)]],"cumple","no cumple"),"")</f>
        <v>cumple</v>
      </c>
      <c r="W2616" s="376" t="s">
        <v>4210</v>
      </c>
      <c r="X2616" s="377" t="str">
        <f t="shared" si="210"/>
        <v>SPD</v>
      </c>
      <c r="Y2616" t="str">
        <f>SUBSTITUTE(Tabla1[[#This Row],[Descripción]],CHAR(10),"    I    ")</f>
        <v xml:space="preserve">Se registran los casos de roles de usuarios en la carpeta de testlink </v>
      </c>
      <c r="Z2616" s="142">
        <f>VLOOKUP(Tabla1[[#This Row],[Perfil]],Catalogos!$B$75:$D$100,3,FALSE)*Tabla1[[#This Row],[Tiempo
(Hrs 00/100)]]*1.16</f>
        <v>4640</v>
      </c>
    </row>
    <row r="2617" spans="1:27" ht="15" customHeight="1" x14ac:dyDescent="0.3">
      <c r="A2617" s="373" t="s">
        <v>2642</v>
      </c>
      <c r="B2617" s="373" t="s">
        <v>305</v>
      </c>
      <c r="C2617" s="373" t="s">
        <v>45</v>
      </c>
      <c r="D2617" s="373"/>
      <c r="E2617" s="373" t="s">
        <v>1461</v>
      </c>
      <c r="F2617" s="184" t="s">
        <v>23</v>
      </c>
      <c r="G2617" s="622" t="s">
        <v>4620</v>
      </c>
      <c r="H2617" s="468" t="s">
        <v>4566</v>
      </c>
      <c r="I2617" s="468" t="s">
        <v>4567</v>
      </c>
      <c r="J2617" s="729">
        <v>45237</v>
      </c>
      <c r="K2617" s="773">
        <v>0.375</v>
      </c>
      <c r="L2617" s="729">
        <v>45237</v>
      </c>
      <c r="M2617" s="773">
        <v>0.79166666666666663</v>
      </c>
      <c r="N2617" s="373">
        <v>8</v>
      </c>
      <c r="O2617" s="184" t="s">
        <v>17</v>
      </c>
      <c r="P2617" s="367" t="s">
        <v>4565</v>
      </c>
      <c r="Q2617" s="179" t="s">
        <v>2649</v>
      </c>
      <c r="R2617" s="624" t="s">
        <v>81</v>
      </c>
      <c r="S2617" s="31" t="s">
        <v>273</v>
      </c>
      <c r="T2617" s="31" t="s">
        <v>273</v>
      </c>
      <c r="U2617" s="31">
        <f>IFERROR(VLOOKUP(CONCATENATE(Tabla1[[#This Row],[Severidad]]," ",Tabla1[[#This Row],[Complejidad]]),Catalogos!E$120:G$128,3,FALSE),"")</f>
        <v>64</v>
      </c>
      <c r="V2617" s="31" t="str">
        <f>IF(Tabla1[[#This Row],[Tiempo solución max (hrs)]]&lt;&gt;"",IF(Tabla1[[#This Row],[Tiempo solución max (hrs)]]&gt;=Tabla1[[#This Row],[Tiempo
(Hrs 00/100)]],"cumple","no cumple"),"")</f>
        <v>cumple</v>
      </c>
      <c r="W2617" s="376" t="s">
        <v>4210</v>
      </c>
      <c r="X2617" s="377" t="str">
        <f t="shared" si="210"/>
        <v>SPD</v>
      </c>
      <c r="Y2617" t="str">
        <f>SUBSTITUTE(Tabla1[[#This Row],[Descripción]],CHAR(10),"    I    ")</f>
        <v>Análisis de todos los casos de prueba de roles de usuario</v>
      </c>
      <c r="Z2617" s="142">
        <f>VLOOKUP(Tabla1[[#This Row],[Perfil]],Catalogos!$B$75:$D$100,3,FALSE)*Tabla1[[#This Row],[Tiempo
(Hrs 00/100)]]*1.16</f>
        <v>4640</v>
      </c>
    </row>
    <row r="2618" spans="1:27" ht="15" customHeight="1" x14ac:dyDescent="0.3">
      <c r="A2618" s="373" t="s">
        <v>2642</v>
      </c>
      <c r="B2618" s="373" t="s">
        <v>65</v>
      </c>
      <c r="C2618" s="373" t="s">
        <v>45</v>
      </c>
      <c r="D2618" s="373"/>
      <c r="E2618" s="373" t="s">
        <v>1461</v>
      </c>
      <c r="F2618" s="184" t="s">
        <v>23</v>
      </c>
      <c r="G2618" s="622" t="s">
        <v>4621</v>
      </c>
      <c r="H2618" s="468" t="s">
        <v>4568</v>
      </c>
      <c r="I2618" s="468" t="s">
        <v>4569</v>
      </c>
      <c r="J2618" s="729">
        <v>45238</v>
      </c>
      <c r="K2618" s="773">
        <v>0.375</v>
      </c>
      <c r="L2618" s="729">
        <v>45238</v>
      </c>
      <c r="M2618" s="773">
        <v>0.58333333333333337</v>
      </c>
      <c r="N2618" s="373">
        <v>5</v>
      </c>
      <c r="O2618" s="184" t="s">
        <v>17</v>
      </c>
      <c r="P2618" s="367" t="s">
        <v>4565</v>
      </c>
      <c r="Q2618" s="179" t="s">
        <v>2649</v>
      </c>
      <c r="R2618" s="624" t="s">
        <v>81</v>
      </c>
      <c r="S2618" s="31" t="s">
        <v>273</v>
      </c>
      <c r="T2618" s="31" t="s">
        <v>273</v>
      </c>
      <c r="U2618" s="31">
        <f>IFERROR(VLOOKUP(CONCATENATE(Tabla1[[#This Row],[Severidad]]," ",Tabla1[[#This Row],[Complejidad]]),Catalogos!E$120:G$128,3,FALSE),"")</f>
        <v>64</v>
      </c>
      <c r="V2618" s="31" t="str">
        <f>IF(Tabla1[[#This Row],[Tiempo solución max (hrs)]]&lt;&gt;"",IF(Tabla1[[#This Row],[Tiempo solución max (hrs)]]&gt;=Tabla1[[#This Row],[Tiempo
(Hrs 00/100)]],"cumple","no cumple"),"")</f>
        <v>cumple</v>
      </c>
      <c r="W2618" s="376" t="s">
        <v>4210</v>
      </c>
      <c r="X2618" s="377" t="str">
        <f t="shared" si="210"/>
        <v>SPD</v>
      </c>
      <c r="Y2618" t="str">
        <f>SUBSTITUTE(Tabla1[[#This Row],[Descripción]],CHAR(10),"    I    ")</f>
        <v>Se hace el registro de los casos de roles del módulo de usuarios en Testlink</v>
      </c>
      <c r="Z2618" s="142">
        <f>VLOOKUP(Tabla1[[#This Row],[Perfil]],Catalogos!$B$75:$D$100,3,FALSE)*Tabla1[[#This Row],[Tiempo
(Hrs 00/100)]]*1.16</f>
        <v>2900</v>
      </c>
    </row>
    <row r="2619" spans="1:27" ht="15" customHeight="1" x14ac:dyDescent="0.3">
      <c r="A2619" s="373" t="s">
        <v>2642</v>
      </c>
      <c r="B2619" s="373" t="s">
        <v>305</v>
      </c>
      <c r="C2619" s="373" t="s">
        <v>45</v>
      </c>
      <c r="D2619" s="373"/>
      <c r="E2619" s="373" t="s">
        <v>1461</v>
      </c>
      <c r="F2619" s="184" t="s">
        <v>72</v>
      </c>
      <c r="G2619" s="622" t="s">
        <v>4622</v>
      </c>
      <c r="H2619" s="468" t="s">
        <v>4570</v>
      </c>
      <c r="I2619" s="468" t="s">
        <v>4571</v>
      </c>
      <c r="J2619" s="729">
        <v>45238</v>
      </c>
      <c r="K2619" s="773">
        <v>0.625</v>
      </c>
      <c r="L2619" s="729">
        <v>45238</v>
      </c>
      <c r="M2619" s="773">
        <v>0.83333333333333337</v>
      </c>
      <c r="N2619" s="373">
        <v>5</v>
      </c>
      <c r="O2619" s="184" t="s">
        <v>17</v>
      </c>
      <c r="P2619" s="367" t="s">
        <v>4565</v>
      </c>
      <c r="Q2619" s="179" t="s">
        <v>2649</v>
      </c>
      <c r="R2619" s="624" t="s">
        <v>81</v>
      </c>
      <c r="S2619" s="31" t="s">
        <v>273</v>
      </c>
      <c r="T2619" s="31" t="s">
        <v>273</v>
      </c>
      <c r="U2619" s="31">
        <f>IFERROR(VLOOKUP(CONCATENATE(Tabla1[[#This Row],[Severidad]]," ",Tabla1[[#This Row],[Complejidad]]),Catalogos!E$120:G$128,3,FALSE),"")</f>
        <v>64</v>
      </c>
      <c r="V2619" s="31" t="str">
        <f>IF(Tabla1[[#This Row],[Tiempo solución max (hrs)]]&lt;&gt;"",IF(Tabla1[[#This Row],[Tiempo solución max (hrs)]]&gt;=Tabla1[[#This Row],[Tiempo
(Hrs 00/100)]],"cumple","no cumple"),"")</f>
        <v>cumple</v>
      </c>
      <c r="W2619" s="376" t="s">
        <v>4210</v>
      </c>
      <c r="X2619" s="377" t="str">
        <f t="shared" si="210"/>
        <v>SPD</v>
      </c>
      <c r="Y2619" t="str">
        <f>SUBSTITUTE(Tabla1[[#This Row],[Descripción]],CHAR(10),"    I    ")</f>
        <v>Se hace un sesión con el equipo de desarrollo sobre el módulo de solicitudes masivas</v>
      </c>
      <c r="Z2619" s="142">
        <f>VLOOKUP(Tabla1[[#This Row],[Perfil]],Catalogos!$B$75:$D$100,3,FALSE)*Tabla1[[#This Row],[Tiempo
(Hrs 00/100)]]*1.16</f>
        <v>2900</v>
      </c>
    </row>
    <row r="2620" spans="1:27" ht="15" customHeight="1" x14ac:dyDescent="0.3">
      <c r="A2620" s="373" t="s">
        <v>2642</v>
      </c>
      <c r="B2620" s="373" t="s">
        <v>65</v>
      </c>
      <c r="C2620" s="373" t="s">
        <v>45</v>
      </c>
      <c r="D2620" s="373"/>
      <c r="E2620" s="373" t="s">
        <v>1461</v>
      </c>
      <c r="F2620" s="184" t="s">
        <v>23</v>
      </c>
      <c r="G2620" s="622" t="s">
        <v>4623</v>
      </c>
      <c r="H2620" s="468" t="s">
        <v>4572</v>
      </c>
      <c r="I2620" s="468" t="s">
        <v>4573</v>
      </c>
      <c r="J2620" s="729">
        <v>45239</v>
      </c>
      <c r="K2620" s="773">
        <v>0.375</v>
      </c>
      <c r="L2620" s="729">
        <v>45239</v>
      </c>
      <c r="M2620" s="773">
        <v>0.79166666666666663</v>
      </c>
      <c r="N2620" s="373">
        <v>8</v>
      </c>
      <c r="O2620" s="184" t="s">
        <v>17</v>
      </c>
      <c r="P2620" s="367" t="s">
        <v>4565</v>
      </c>
      <c r="Q2620" s="179" t="s">
        <v>2649</v>
      </c>
      <c r="R2620" s="624" t="s">
        <v>81</v>
      </c>
      <c r="S2620" s="31" t="s">
        <v>273</v>
      </c>
      <c r="T2620" s="31" t="s">
        <v>273</v>
      </c>
      <c r="U2620" s="31">
        <f>IFERROR(VLOOKUP(CONCATENATE(Tabla1[[#This Row],[Severidad]]," ",Tabla1[[#This Row],[Complejidad]]),Catalogos!E$120:G$128,3,FALSE),"")</f>
        <v>64</v>
      </c>
      <c r="V2620" s="31" t="str">
        <f>IF(Tabla1[[#This Row],[Tiempo solución max (hrs)]]&lt;&gt;"",IF(Tabla1[[#This Row],[Tiempo solución max (hrs)]]&gt;=Tabla1[[#This Row],[Tiempo
(Hrs 00/100)]],"cumple","no cumple"),"")</f>
        <v>cumple</v>
      </c>
      <c r="W2620" s="376" t="s">
        <v>4210</v>
      </c>
      <c r="X2620" s="377" t="str">
        <f t="shared" si="210"/>
        <v>SPD</v>
      </c>
      <c r="Y2620" t="str">
        <f>SUBSTITUTE(Tabla1[[#This Row],[Descripción]],CHAR(10),"    I    ")</f>
        <v>Se hace el registro completo de los casos de pruebas del documento del módulo de usuarios</v>
      </c>
      <c r="Z2620" s="142">
        <f>VLOOKUP(Tabla1[[#This Row],[Perfil]],Catalogos!$B$75:$D$100,3,FALSE)*Tabla1[[#This Row],[Tiempo
(Hrs 00/100)]]*1.16</f>
        <v>4640</v>
      </c>
    </row>
    <row r="2621" spans="1:27" ht="15" customHeight="1" x14ac:dyDescent="0.3">
      <c r="A2621" s="373" t="s">
        <v>2642</v>
      </c>
      <c r="B2621" s="373" t="s">
        <v>305</v>
      </c>
      <c r="C2621" s="373" t="s">
        <v>45</v>
      </c>
      <c r="D2621" s="373"/>
      <c r="E2621" s="373" t="s">
        <v>1461</v>
      </c>
      <c r="F2621" s="184" t="s">
        <v>72</v>
      </c>
      <c r="G2621" s="622" t="s">
        <v>4624</v>
      </c>
      <c r="H2621" s="468" t="s">
        <v>4560</v>
      </c>
      <c r="I2621" s="468" t="s">
        <v>4574</v>
      </c>
      <c r="J2621" s="729">
        <v>45240</v>
      </c>
      <c r="K2621" s="773">
        <v>0.375</v>
      </c>
      <c r="L2621" s="729">
        <v>45240</v>
      </c>
      <c r="M2621" s="773">
        <v>0.625</v>
      </c>
      <c r="N2621" s="373">
        <v>6</v>
      </c>
      <c r="O2621" s="184" t="s">
        <v>17</v>
      </c>
      <c r="P2621" s="367" t="s">
        <v>4565</v>
      </c>
      <c r="Q2621" s="179" t="s">
        <v>2649</v>
      </c>
      <c r="R2621" s="624" t="s">
        <v>81</v>
      </c>
      <c r="S2621" s="31" t="s">
        <v>273</v>
      </c>
      <c r="T2621" s="31" t="s">
        <v>273</v>
      </c>
      <c r="U2621" s="31">
        <f>IFERROR(VLOOKUP(CONCATENATE(Tabla1[[#This Row],[Severidad]]," ",Tabla1[[#This Row],[Complejidad]]),Catalogos!E$120:G$128,3,FALSE),"")</f>
        <v>64</v>
      </c>
      <c r="V2621" s="31" t="str">
        <f>IF(Tabla1[[#This Row],[Tiempo solución max (hrs)]]&lt;&gt;"",IF(Tabla1[[#This Row],[Tiempo solución max (hrs)]]&gt;=Tabla1[[#This Row],[Tiempo
(Hrs 00/100)]],"cumple","no cumple"),"")</f>
        <v>cumple</v>
      </c>
      <c r="W2621" s="376" t="s">
        <v>4210</v>
      </c>
      <c r="X2621" s="377" t="str">
        <f t="shared" si="210"/>
        <v>SPD</v>
      </c>
      <c r="Y2621" t="str">
        <f>SUBSTITUTE(Tabla1[[#This Row],[Descripción]],CHAR(10),"    I    ")</f>
        <v>Se continua con el análisis del documento de Modulo de usuarios para obtener casos de prueba previos a su ejecucicón</v>
      </c>
      <c r="Z2621" s="142">
        <f>VLOOKUP(Tabla1[[#This Row],[Perfil]],Catalogos!$B$75:$D$100,3,FALSE)*Tabla1[[#This Row],[Tiempo
(Hrs 00/100)]]*1.16</f>
        <v>3479.9999999999995</v>
      </c>
    </row>
    <row r="2622" spans="1:27" ht="15" customHeight="1" x14ac:dyDescent="0.3">
      <c r="A2622" s="373" t="s">
        <v>2642</v>
      </c>
      <c r="B2622" s="373" t="s">
        <v>65</v>
      </c>
      <c r="C2622" s="373" t="s">
        <v>45</v>
      </c>
      <c r="D2622" s="373"/>
      <c r="E2622" s="373" t="s">
        <v>1461</v>
      </c>
      <c r="F2622" s="184" t="s">
        <v>23</v>
      </c>
      <c r="G2622" s="622" t="s">
        <v>4625</v>
      </c>
      <c r="H2622" s="468" t="s">
        <v>4575</v>
      </c>
      <c r="I2622" s="468" t="s">
        <v>4576</v>
      </c>
      <c r="J2622" s="729">
        <v>45243</v>
      </c>
      <c r="K2622" s="773">
        <v>0.375</v>
      </c>
      <c r="L2622" s="729">
        <v>45243</v>
      </c>
      <c r="M2622" s="773">
        <v>0.58333333333333337</v>
      </c>
      <c r="N2622" s="373">
        <v>5</v>
      </c>
      <c r="O2622" s="184" t="s">
        <v>17</v>
      </c>
      <c r="P2622" s="367" t="s">
        <v>4577</v>
      </c>
      <c r="Q2622" s="179" t="s">
        <v>2649</v>
      </c>
      <c r="R2622" s="624" t="s">
        <v>81</v>
      </c>
      <c r="S2622" s="31" t="s">
        <v>273</v>
      </c>
      <c r="T2622" s="31" t="s">
        <v>273</v>
      </c>
      <c r="U2622" s="31">
        <f>IFERROR(VLOOKUP(CONCATENATE(Tabla1[[#This Row],[Severidad]]," ",Tabla1[[#This Row],[Complejidad]]),Catalogos!E$120:G$128,3,FALSE),"")</f>
        <v>64</v>
      </c>
      <c r="V2622" s="31" t="str">
        <f>IF(Tabla1[[#This Row],[Tiempo solución max (hrs)]]&lt;&gt;"",IF(Tabla1[[#This Row],[Tiempo solución max (hrs)]]&gt;=Tabla1[[#This Row],[Tiempo
(Hrs 00/100)]],"cumple","no cumple"),"")</f>
        <v>cumple</v>
      </c>
      <c r="W2622" s="376" t="s">
        <v>4210</v>
      </c>
      <c r="X2622" s="377" t="str">
        <f t="shared" si="210"/>
        <v>SPD</v>
      </c>
      <c r="Y2622" t="str">
        <f>SUBSTITUTE(Tabla1[[#This Row],[Descripción]],CHAR(10),"    I    ")</f>
        <v>Se termina de registrar en testlink los casos de prueba del documento de modulo de usuarios</v>
      </c>
      <c r="Z2622" s="142">
        <f>VLOOKUP(Tabla1[[#This Row],[Perfil]],Catalogos!$B$75:$D$100,3,FALSE)*Tabla1[[#This Row],[Tiempo
(Hrs 00/100)]]*1.16</f>
        <v>2900</v>
      </c>
    </row>
    <row r="2623" spans="1:27" ht="15" customHeight="1" x14ac:dyDescent="0.3">
      <c r="A2623" s="373" t="s">
        <v>2642</v>
      </c>
      <c r="B2623" s="373" t="s">
        <v>21</v>
      </c>
      <c r="C2623" s="373" t="s">
        <v>49</v>
      </c>
      <c r="D2623" s="373"/>
      <c r="E2623" s="373" t="s">
        <v>2726</v>
      </c>
      <c r="F2623" s="184" t="s">
        <v>72</v>
      </c>
      <c r="G2623" s="622" t="s">
        <v>4612</v>
      </c>
      <c r="H2623" s="468" t="s">
        <v>4578</v>
      </c>
      <c r="I2623" s="468" t="s">
        <v>4579</v>
      </c>
      <c r="J2623" s="729">
        <v>45243</v>
      </c>
      <c r="K2623" s="773">
        <v>0.625</v>
      </c>
      <c r="L2623" s="729">
        <v>45243</v>
      </c>
      <c r="M2623" s="773">
        <v>0.79166666666666663</v>
      </c>
      <c r="N2623" s="373">
        <v>4</v>
      </c>
      <c r="O2623" s="184" t="s">
        <v>17</v>
      </c>
      <c r="P2623" s="367" t="s">
        <v>4577</v>
      </c>
      <c r="Q2623" s="179" t="s">
        <v>2649</v>
      </c>
      <c r="R2623" s="624" t="s">
        <v>81</v>
      </c>
      <c r="S2623" s="31" t="s">
        <v>273</v>
      </c>
      <c r="T2623" s="31" t="s">
        <v>273</v>
      </c>
      <c r="U2623" s="31">
        <f>IFERROR(VLOOKUP(CONCATENATE(Tabla1[[#This Row],[Severidad]]," ",Tabla1[[#This Row],[Complejidad]]),Catalogos!E$120:G$128,3,FALSE),"")</f>
        <v>64</v>
      </c>
      <c r="V2623" s="31" t="str">
        <f>IF(Tabla1[[#This Row],[Tiempo solución max (hrs)]]&lt;&gt;"",IF(Tabla1[[#This Row],[Tiempo solución max (hrs)]]&gt;=Tabla1[[#This Row],[Tiempo
(Hrs 00/100)]],"cumple","no cumple"),"")</f>
        <v>cumple</v>
      </c>
      <c r="W2623" s="376" t="s">
        <v>4210</v>
      </c>
      <c r="X2623" s="377" t="str">
        <f t="shared" si="210"/>
        <v>SAI</v>
      </c>
      <c r="Y2623" t="str">
        <f>SUBSTITUTE(Tabla1[[#This Row],[Descripción]],CHAR(10),"    I    ")</f>
        <v>Se da seguimiento de un correo del equipo de desarrollo sobre las incidencias registradas en mantis sobre el módulo de inventarios</v>
      </c>
      <c r="Z2623" s="142">
        <f>VLOOKUP(Tabla1[[#This Row],[Perfil]],Catalogos!$B$75:$D$100,3,FALSE)*Tabla1[[#This Row],[Tiempo
(Hrs 00/100)]]*1.16</f>
        <v>2320</v>
      </c>
    </row>
    <row r="2624" spans="1:27" ht="15" customHeight="1" x14ac:dyDescent="0.3">
      <c r="A2624" s="373" t="s">
        <v>2642</v>
      </c>
      <c r="B2624" s="373" t="s">
        <v>21</v>
      </c>
      <c r="C2624" s="373" t="s">
        <v>45</v>
      </c>
      <c r="D2624" s="373"/>
      <c r="E2624" s="373" t="s">
        <v>1461</v>
      </c>
      <c r="F2624" s="184" t="s">
        <v>23</v>
      </c>
      <c r="G2624" s="622" t="s">
        <v>4626</v>
      </c>
      <c r="H2624" s="468" t="s">
        <v>4580</v>
      </c>
      <c r="I2624" s="468" t="s">
        <v>4581</v>
      </c>
      <c r="J2624" s="729">
        <v>45244</v>
      </c>
      <c r="K2624" s="773">
        <v>0.375</v>
      </c>
      <c r="L2624" s="729">
        <v>45244</v>
      </c>
      <c r="M2624" s="773">
        <v>0.79166666666666663</v>
      </c>
      <c r="N2624" s="373">
        <v>8</v>
      </c>
      <c r="O2624" s="184" t="s">
        <v>17</v>
      </c>
      <c r="P2624" s="367" t="s">
        <v>4577</v>
      </c>
      <c r="Q2624" s="179" t="s">
        <v>2649</v>
      </c>
      <c r="R2624" s="624" t="s">
        <v>81</v>
      </c>
      <c r="S2624" s="31" t="s">
        <v>273</v>
      </c>
      <c r="T2624" s="31" t="s">
        <v>273</v>
      </c>
      <c r="U2624" s="31">
        <f>IFERROR(VLOOKUP(CONCATENATE(Tabla1[[#This Row],[Severidad]]," ",Tabla1[[#This Row],[Complejidad]]),Catalogos!E$120:G$128,3,FALSE),"")</f>
        <v>64</v>
      </c>
      <c r="V2624" s="31" t="str">
        <f>IF(Tabla1[[#This Row],[Tiempo solución max (hrs)]]&lt;&gt;"",IF(Tabla1[[#This Row],[Tiempo solución max (hrs)]]&gt;=Tabla1[[#This Row],[Tiempo
(Hrs 00/100)]],"cumple","no cumple"),"")</f>
        <v>cumple</v>
      </c>
      <c r="W2624" s="376" t="s">
        <v>4210</v>
      </c>
      <c r="X2624" s="377" t="str">
        <f t="shared" si="210"/>
        <v>SPD</v>
      </c>
      <c r="Y2624" t="str">
        <f>SUBSTITUTE(Tabla1[[#This Row],[Descripción]],CHAR(10),"    I    ")</f>
        <v>Se termina el registro de casos de prueba de roles de usuario en la plataforma de testlink para su ejecución</v>
      </c>
      <c r="Z2624" s="142">
        <f>VLOOKUP(Tabla1[[#This Row],[Perfil]],Catalogos!$B$75:$D$100,3,FALSE)*Tabla1[[#This Row],[Tiempo
(Hrs 00/100)]]*1.16</f>
        <v>4640</v>
      </c>
    </row>
    <row r="2625" spans="1:27" ht="15" customHeight="1" x14ac:dyDescent="0.3">
      <c r="A2625" s="373" t="s">
        <v>2642</v>
      </c>
      <c r="B2625" s="373" t="s">
        <v>66</v>
      </c>
      <c r="C2625" s="373" t="s">
        <v>45</v>
      </c>
      <c r="D2625" s="373"/>
      <c r="E2625" s="373" t="s">
        <v>1461</v>
      </c>
      <c r="F2625" s="184" t="s">
        <v>75</v>
      </c>
      <c r="G2625" s="622" t="s">
        <v>4627</v>
      </c>
      <c r="H2625" s="468" t="s">
        <v>4582</v>
      </c>
      <c r="I2625" s="468" t="s">
        <v>4583</v>
      </c>
      <c r="J2625" s="729">
        <v>45245</v>
      </c>
      <c r="K2625" s="773">
        <v>0.375</v>
      </c>
      <c r="L2625" s="729">
        <v>45245</v>
      </c>
      <c r="M2625" s="773">
        <v>0.79166666666666663</v>
      </c>
      <c r="N2625" s="373">
        <v>8</v>
      </c>
      <c r="O2625" s="184" t="s">
        <v>17</v>
      </c>
      <c r="P2625" s="367" t="s">
        <v>4577</v>
      </c>
      <c r="Q2625" s="179" t="s">
        <v>2649</v>
      </c>
      <c r="R2625" s="624" t="s">
        <v>81</v>
      </c>
      <c r="S2625" s="31" t="s">
        <v>273</v>
      </c>
      <c r="T2625" s="31" t="s">
        <v>273</v>
      </c>
      <c r="U2625" s="31">
        <f>IFERROR(VLOOKUP(CONCATENATE(Tabla1[[#This Row],[Severidad]]," ",Tabla1[[#This Row],[Complejidad]]),Catalogos!E$120:G$128,3,FALSE),"")</f>
        <v>64</v>
      </c>
      <c r="V2625" s="31" t="str">
        <f>IF(Tabla1[[#This Row],[Tiempo solución max (hrs)]]&lt;&gt;"",IF(Tabla1[[#This Row],[Tiempo solución max (hrs)]]&gt;=Tabla1[[#This Row],[Tiempo
(Hrs 00/100)]],"cumple","no cumple"),"")</f>
        <v>cumple</v>
      </c>
      <c r="W2625" s="376" t="s">
        <v>4210</v>
      </c>
      <c r="X2625" s="377" t="str">
        <f t="shared" si="210"/>
        <v>SPD</v>
      </c>
      <c r="Y2625" t="str">
        <f>SUBSTITUTE(Tabla1[[#This Row],[Descripción]],CHAR(10),"    I    ")</f>
        <v>Se generan nuevos casos de prueba a traves de un documento nuevo sobre el módulo de usuarios</v>
      </c>
      <c r="Z2625" s="142">
        <f>VLOOKUP(Tabla1[[#This Row],[Perfil]],Catalogos!$B$75:$D$100,3,FALSE)*Tabla1[[#This Row],[Tiempo
(Hrs 00/100)]]*1.16</f>
        <v>4640</v>
      </c>
    </row>
    <row r="2626" spans="1:27" ht="15" customHeight="1" x14ac:dyDescent="0.3">
      <c r="A2626" s="373" t="s">
        <v>2642</v>
      </c>
      <c r="B2626" s="373" t="s">
        <v>66</v>
      </c>
      <c r="C2626" s="373" t="s">
        <v>45</v>
      </c>
      <c r="D2626" s="373"/>
      <c r="E2626" s="373" t="s">
        <v>1461</v>
      </c>
      <c r="F2626" s="184" t="s">
        <v>75</v>
      </c>
      <c r="G2626" s="622" t="s">
        <v>4628</v>
      </c>
      <c r="H2626" s="468" t="s">
        <v>4584</v>
      </c>
      <c r="I2626" s="468" t="s">
        <v>4585</v>
      </c>
      <c r="J2626" s="729">
        <v>45246</v>
      </c>
      <c r="K2626" s="773">
        <v>0.375</v>
      </c>
      <c r="L2626" s="729">
        <v>45246</v>
      </c>
      <c r="M2626" s="773">
        <v>0.58333333333333337</v>
      </c>
      <c r="N2626" s="373">
        <v>5</v>
      </c>
      <c r="O2626" s="184" t="s">
        <v>17</v>
      </c>
      <c r="P2626" s="367" t="s">
        <v>4577</v>
      </c>
      <c r="Q2626" s="179" t="s">
        <v>2649</v>
      </c>
      <c r="R2626" s="624" t="s">
        <v>81</v>
      </c>
      <c r="S2626" s="31" t="s">
        <v>273</v>
      </c>
      <c r="T2626" s="31" t="s">
        <v>273</v>
      </c>
      <c r="U2626" s="31">
        <f>IFERROR(VLOOKUP(CONCATENATE(Tabla1[[#This Row],[Severidad]]," ",Tabla1[[#This Row],[Complejidad]]),Catalogos!E$120:G$128,3,FALSE),"")</f>
        <v>64</v>
      </c>
      <c r="V2626" s="31" t="str">
        <f>IF(Tabla1[[#This Row],[Tiempo solución max (hrs)]]&lt;&gt;"",IF(Tabla1[[#This Row],[Tiempo solución max (hrs)]]&gt;=Tabla1[[#This Row],[Tiempo
(Hrs 00/100)]],"cumple","no cumple"),"")</f>
        <v>cumple</v>
      </c>
      <c r="W2626" s="376" t="s">
        <v>4210</v>
      </c>
      <c r="X2626" s="377" t="str">
        <f t="shared" si="210"/>
        <v>SPD</v>
      </c>
      <c r="Y2626" t="str">
        <f>SUBSTITUTE(Tabla1[[#This Row],[Descripción]],CHAR(10),"    I    ")</f>
        <v xml:space="preserve">Se continua con el registro en testlink los nuevos casos del módulo de usuarios </v>
      </c>
      <c r="Z2626" s="142">
        <f>VLOOKUP(Tabla1[[#This Row],[Perfil]],Catalogos!$B$75:$D$100,3,FALSE)*Tabla1[[#This Row],[Tiempo
(Hrs 00/100)]]*1.16</f>
        <v>2900</v>
      </c>
    </row>
    <row r="2627" spans="1:27" ht="15" customHeight="1" x14ac:dyDescent="0.3">
      <c r="A2627" s="373" t="s">
        <v>2642</v>
      </c>
      <c r="B2627" s="373" t="s">
        <v>66</v>
      </c>
      <c r="C2627" s="373" t="s">
        <v>45</v>
      </c>
      <c r="D2627" s="373"/>
      <c r="E2627" s="373" t="s">
        <v>1461</v>
      </c>
      <c r="F2627" s="184" t="s">
        <v>75</v>
      </c>
      <c r="G2627" s="622" t="s">
        <v>4629</v>
      </c>
      <c r="H2627" s="468" t="s">
        <v>4586</v>
      </c>
      <c r="I2627" s="468" t="s">
        <v>4587</v>
      </c>
      <c r="J2627" s="729">
        <v>45246</v>
      </c>
      <c r="K2627" s="773">
        <v>0.625</v>
      </c>
      <c r="L2627" s="729">
        <v>45246</v>
      </c>
      <c r="M2627" s="773">
        <v>0.79166666666666663</v>
      </c>
      <c r="N2627" s="373">
        <v>4</v>
      </c>
      <c r="O2627" s="184" t="s">
        <v>17</v>
      </c>
      <c r="P2627" s="367" t="s">
        <v>4577</v>
      </c>
      <c r="Q2627" s="179" t="s">
        <v>2649</v>
      </c>
      <c r="R2627" s="624" t="s">
        <v>81</v>
      </c>
      <c r="S2627" s="31" t="s">
        <v>273</v>
      </c>
      <c r="T2627" s="31" t="s">
        <v>273</v>
      </c>
      <c r="U2627" s="31">
        <f>IFERROR(VLOOKUP(CONCATENATE(Tabla1[[#This Row],[Severidad]]," ",Tabla1[[#This Row],[Complejidad]]),Catalogos!E$120:G$128,3,FALSE),"")</f>
        <v>64</v>
      </c>
      <c r="V2627" s="31" t="str">
        <f>IF(Tabla1[[#This Row],[Tiempo solución max (hrs)]]&lt;&gt;"",IF(Tabla1[[#This Row],[Tiempo solución max (hrs)]]&gt;=Tabla1[[#This Row],[Tiempo
(Hrs 00/100)]],"cumple","no cumple"),"")</f>
        <v>cumple</v>
      </c>
      <c r="W2627" s="376" t="s">
        <v>4210</v>
      </c>
      <c r="X2627" s="377" t="str">
        <f t="shared" si="210"/>
        <v>SPD</v>
      </c>
      <c r="Y2627" t="str">
        <f>SUBSTITUTE(Tabla1[[#This Row],[Descripción]],CHAR(10),"    I    ")</f>
        <v>Se da seguimiento al correo de la nueva versión del sistema de inventarios para pruebas</v>
      </c>
      <c r="Z2627" s="142">
        <f>VLOOKUP(Tabla1[[#This Row],[Perfil]],Catalogos!$B$75:$D$100,3,FALSE)*Tabla1[[#This Row],[Tiempo
(Hrs 00/100)]]*1.16</f>
        <v>2320</v>
      </c>
    </row>
    <row r="2628" spans="1:27" ht="15" customHeight="1" x14ac:dyDescent="0.3">
      <c r="A2628" s="373" t="s">
        <v>2642</v>
      </c>
      <c r="B2628" s="373" t="s">
        <v>66</v>
      </c>
      <c r="C2628" s="373" t="s">
        <v>49</v>
      </c>
      <c r="D2628" s="373"/>
      <c r="E2628" s="373" t="s">
        <v>2726</v>
      </c>
      <c r="F2628" s="184" t="s">
        <v>75</v>
      </c>
      <c r="G2628" s="622" t="s">
        <v>4613</v>
      </c>
      <c r="H2628" s="468" t="s">
        <v>4588</v>
      </c>
      <c r="I2628" s="468" t="s">
        <v>4589</v>
      </c>
      <c r="J2628" s="729">
        <v>45247</v>
      </c>
      <c r="K2628" s="773">
        <v>0.375</v>
      </c>
      <c r="L2628" s="729">
        <v>45247</v>
      </c>
      <c r="M2628" s="773">
        <v>0.79166666666666663</v>
      </c>
      <c r="N2628" s="373">
        <v>8</v>
      </c>
      <c r="O2628" s="184" t="s">
        <v>17</v>
      </c>
      <c r="P2628" s="367" t="s">
        <v>4577</v>
      </c>
      <c r="Q2628" s="179" t="s">
        <v>2649</v>
      </c>
      <c r="R2628" s="624" t="s">
        <v>81</v>
      </c>
      <c r="S2628" s="31" t="s">
        <v>273</v>
      </c>
      <c r="T2628" s="31" t="s">
        <v>273</v>
      </c>
      <c r="U2628" s="31">
        <f>IFERROR(VLOOKUP(CONCATENATE(Tabla1[[#This Row],[Severidad]]," ",Tabla1[[#This Row],[Complejidad]]),Catalogos!E$120:G$128,3,FALSE),"")</f>
        <v>64</v>
      </c>
      <c r="V2628" s="31" t="str">
        <f>IF(Tabla1[[#This Row],[Tiempo solución max (hrs)]]&lt;&gt;"",IF(Tabla1[[#This Row],[Tiempo solución max (hrs)]]&gt;=Tabla1[[#This Row],[Tiempo
(Hrs 00/100)]],"cumple","no cumple"),"")</f>
        <v>cumple</v>
      </c>
      <c r="W2628" s="376" t="s">
        <v>4210</v>
      </c>
      <c r="X2628" s="377" t="str">
        <f t="shared" si="210"/>
        <v>SAI</v>
      </c>
      <c r="Y2628" t="str">
        <f>SUBSTITUTE(Tabla1[[#This Row],[Descripción]],CHAR(10),"    I    ")</f>
        <v>Se realizan las pruebas de la nueva versión del sistema de inventarios</v>
      </c>
      <c r="Z2628" s="142">
        <f>VLOOKUP(Tabla1[[#This Row],[Perfil]],Catalogos!$B$75:$D$100,3,FALSE)*Tabla1[[#This Row],[Tiempo
(Hrs 00/100)]]*1.16</f>
        <v>4640</v>
      </c>
    </row>
    <row r="2629" spans="1:27" ht="15" customHeight="1" x14ac:dyDescent="0.3">
      <c r="A2629" s="373" t="s">
        <v>2642</v>
      </c>
      <c r="B2629" s="373" t="s">
        <v>66</v>
      </c>
      <c r="C2629" s="373" t="s">
        <v>49</v>
      </c>
      <c r="D2629" s="373"/>
      <c r="E2629" s="373" t="s">
        <v>2726</v>
      </c>
      <c r="F2629" s="184" t="s">
        <v>75</v>
      </c>
      <c r="G2629" s="622" t="s">
        <v>4614</v>
      </c>
      <c r="H2629" s="468" t="s">
        <v>4590</v>
      </c>
      <c r="I2629" s="468" t="s">
        <v>4591</v>
      </c>
      <c r="J2629" s="729">
        <v>45251</v>
      </c>
      <c r="K2629" s="773">
        <v>0.375</v>
      </c>
      <c r="L2629" s="729">
        <v>45251</v>
      </c>
      <c r="M2629" s="773">
        <v>0.58333333333333337</v>
      </c>
      <c r="N2629" s="373">
        <v>5</v>
      </c>
      <c r="O2629" s="184" t="s">
        <v>17</v>
      </c>
      <c r="P2629" s="367" t="s">
        <v>4592</v>
      </c>
      <c r="Q2629" s="179" t="s">
        <v>2649</v>
      </c>
      <c r="R2629" s="624" t="s">
        <v>81</v>
      </c>
      <c r="S2629" s="31" t="s">
        <v>273</v>
      </c>
      <c r="T2629" s="31" t="s">
        <v>273</v>
      </c>
      <c r="U2629" s="31">
        <f>IFERROR(VLOOKUP(CONCATENATE(Tabla1[[#This Row],[Severidad]]," ",Tabla1[[#This Row],[Complejidad]]),Catalogos!E$120:G$128,3,FALSE),"")</f>
        <v>64</v>
      </c>
      <c r="V2629" s="31" t="str">
        <f>IF(Tabla1[[#This Row],[Tiempo solución max (hrs)]]&lt;&gt;"",IF(Tabla1[[#This Row],[Tiempo solución max (hrs)]]&gt;=Tabla1[[#This Row],[Tiempo
(Hrs 00/100)]],"cumple","no cumple"),"")</f>
        <v>cumple</v>
      </c>
      <c r="W2629" s="376" t="s">
        <v>4210</v>
      </c>
      <c r="X2629" s="377" t="str">
        <f t="shared" si="210"/>
        <v>SAI</v>
      </c>
      <c r="Y2629" t="str">
        <f>SUBSTITUTE(Tabla1[[#This Row],[Descripción]],CHAR(10),"    I    ")</f>
        <v>Se terminan de realizar las pruebas de la versión dos del sistema de inventarios</v>
      </c>
      <c r="Z2629" s="142">
        <f>VLOOKUP(Tabla1[[#This Row],[Perfil]],Catalogos!$B$75:$D$100,3,FALSE)*Tabla1[[#This Row],[Tiempo
(Hrs 00/100)]]*1.16</f>
        <v>2900</v>
      </c>
    </row>
    <row r="2630" spans="1:27" ht="15" customHeight="1" x14ac:dyDescent="0.3">
      <c r="A2630" s="373" t="s">
        <v>2642</v>
      </c>
      <c r="B2630" s="373" t="s">
        <v>66</v>
      </c>
      <c r="C2630" s="373" t="s">
        <v>49</v>
      </c>
      <c r="D2630" s="373"/>
      <c r="E2630" s="373" t="s">
        <v>2726</v>
      </c>
      <c r="F2630" s="184" t="s">
        <v>75</v>
      </c>
      <c r="G2630" s="622" t="s">
        <v>4615</v>
      </c>
      <c r="H2630" s="468" t="s">
        <v>4593</v>
      </c>
      <c r="I2630" s="468" t="s">
        <v>4594</v>
      </c>
      <c r="J2630" s="729">
        <v>45251</v>
      </c>
      <c r="K2630" s="773">
        <v>0.625</v>
      </c>
      <c r="L2630" s="729">
        <v>45251</v>
      </c>
      <c r="M2630" s="773">
        <v>0.79166666666666663</v>
      </c>
      <c r="N2630" s="373">
        <v>4</v>
      </c>
      <c r="O2630" s="184" t="s">
        <v>17</v>
      </c>
      <c r="P2630" s="367" t="s">
        <v>4592</v>
      </c>
      <c r="Q2630" s="179" t="s">
        <v>2649</v>
      </c>
      <c r="R2630" s="624" t="s">
        <v>81</v>
      </c>
      <c r="S2630" s="31" t="s">
        <v>273</v>
      </c>
      <c r="T2630" s="31" t="s">
        <v>273</v>
      </c>
      <c r="U2630" s="31">
        <f>IFERROR(VLOOKUP(CONCATENATE(Tabla1[[#This Row],[Severidad]]," ",Tabla1[[#This Row],[Complejidad]]),Catalogos!E$120:G$128,3,FALSE),"")</f>
        <v>64</v>
      </c>
      <c r="V2630" s="31" t="str">
        <f>IF(Tabla1[[#This Row],[Tiempo solución max (hrs)]]&lt;&gt;"",IF(Tabla1[[#This Row],[Tiempo solución max (hrs)]]&gt;=Tabla1[[#This Row],[Tiempo
(Hrs 00/100)]],"cumple","no cumple"),"")</f>
        <v>cumple</v>
      </c>
      <c r="W2630" s="376" t="s">
        <v>4210</v>
      </c>
      <c r="X2630" s="377" t="str">
        <f t="shared" si="210"/>
        <v>SAI</v>
      </c>
      <c r="Y2630" t="str">
        <f>SUBSTITUTE(Tabla1[[#This Row],[Descripción]],CHAR(10),"    I    ")</f>
        <v>Se documentan las evidencias del sistema de inventarios una vez finalizadas las pruebas</v>
      </c>
      <c r="Z2630" s="142">
        <f>VLOOKUP(Tabla1[[#This Row],[Perfil]],Catalogos!$B$75:$D$100,3,FALSE)*Tabla1[[#This Row],[Tiempo
(Hrs 00/100)]]*1.16</f>
        <v>2320</v>
      </c>
    </row>
    <row r="2631" spans="1:27" ht="15" customHeight="1" x14ac:dyDescent="0.3">
      <c r="A2631" s="373" t="s">
        <v>2642</v>
      </c>
      <c r="B2631" s="373" t="s">
        <v>66</v>
      </c>
      <c r="C2631" s="373" t="s">
        <v>49</v>
      </c>
      <c r="D2631" s="373"/>
      <c r="E2631" s="373" t="s">
        <v>2726</v>
      </c>
      <c r="F2631" s="184" t="s">
        <v>75</v>
      </c>
      <c r="G2631" s="622" t="s">
        <v>4616</v>
      </c>
      <c r="H2631" s="468" t="s">
        <v>4595</v>
      </c>
      <c r="I2631" s="468" t="s">
        <v>4596</v>
      </c>
      <c r="J2631" s="729">
        <v>45252</v>
      </c>
      <c r="K2631" s="773">
        <v>0.375</v>
      </c>
      <c r="L2631" s="729">
        <v>45252</v>
      </c>
      <c r="M2631" s="773">
        <v>0.58333333333333337</v>
      </c>
      <c r="N2631" s="373">
        <v>5</v>
      </c>
      <c r="O2631" s="184" t="s">
        <v>17</v>
      </c>
      <c r="P2631" s="367" t="s">
        <v>4592</v>
      </c>
      <c r="Q2631" s="179" t="s">
        <v>2649</v>
      </c>
      <c r="R2631" s="624" t="s">
        <v>81</v>
      </c>
      <c r="S2631" s="31" t="s">
        <v>273</v>
      </c>
      <c r="T2631" s="31" t="s">
        <v>273</v>
      </c>
      <c r="U2631" s="31">
        <f>IFERROR(VLOOKUP(CONCATENATE(Tabla1[[#This Row],[Severidad]]," ",Tabla1[[#This Row],[Complejidad]]),Catalogos!E$120:G$128,3,FALSE),"")</f>
        <v>64</v>
      </c>
      <c r="V2631" s="31" t="str">
        <f>IF(Tabla1[[#This Row],[Tiempo solución max (hrs)]]&lt;&gt;"",IF(Tabla1[[#This Row],[Tiempo solución max (hrs)]]&gt;=Tabla1[[#This Row],[Tiempo
(Hrs 00/100)]],"cumple","no cumple"),"")</f>
        <v>cumple</v>
      </c>
      <c r="W2631" s="376" t="s">
        <v>4210</v>
      </c>
      <c r="X2631" s="377" t="str">
        <f t="shared" si="210"/>
        <v>SAI</v>
      </c>
      <c r="Y2631" t="str">
        <f>SUBSTITUTE(Tabla1[[#This Row],[Descripción]],CHAR(10),"    I    ")</f>
        <v>Se documentan las incidencias encontradas durantelas pruebas de la nueva versión del sistema de inventarios</v>
      </c>
      <c r="Z2631" s="142">
        <f>VLOOKUP(Tabla1[[#This Row],[Perfil]],Catalogos!$B$75:$D$100,3,FALSE)*Tabla1[[#This Row],[Tiempo
(Hrs 00/100)]]*1.16</f>
        <v>2900</v>
      </c>
    </row>
    <row r="2632" spans="1:27" ht="15" customHeight="1" x14ac:dyDescent="0.3">
      <c r="A2632" s="373" t="s">
        <v>2642</v>
      </c>
      <c r="B2632" s="373" t="s">
        <v>61</v>
      </c>
      <c r="C2632" s="373" t="s">
        <v>49</v>
      </c>
      <c r="D2632" s="373"/>
      <c r="E2632" s="373" t="s">
        <v>2726</v>
      </c>
      <c r="F2632" s="184" t="s">
        <v>76</v>
      </c>
      <c r="G2632" s="622" t="s">
        <v>4617</v>
      </c>
      <c r="H2632" s="468" t="s">
        <v>4597</v>
      </c>
      <c r="I2632" s="468" t="s">
        <v>4598</v>
      </c>
      <c r="J2632" s="729">
        <v>45252</v>
      </c>
      <c r="K2632" s="773">
        <v>0.625</v>
      </c>
      <c r="L2632" s="729">
        <v>45252</v>
      </c>
      <c r="M2632" s="773">
        <v>0.79166666666666663</v>
      </c>
      <c r="N2632" s="373">
        <v>4</v>
      </c>
      <c r="O2632" s="184" t="s">
        <v>17</v>
      </c>
      <c r="P2632" s="367" t="s">
        <v>4592</v>
      </c>
      <c r="Q2632" s="179" t="s">
        <v>2649</v>
      </c>
      <c r="R2632" s="624" t="s">
        <v>81</v>
      </c>
      <c r="S2632" s="31" t="s">
        <v>273</v>
      </c>
      <c r="T2632" s="31" t="s">
        <v>273</v>
      </c>
      <c r="U2632" s="31">
        <f>IFERROR(VLOOKUP(CONCATENATE(Tabla1[[#This Row],[Severidad]]," ",Tabla1[[#This Row],[Complejidad]]),Catalogos!E$120:G$128,3,FALSE),"")</f>
        <v>64</v>
      </c>
      <c r="V2632" s="31" t="str">
        <f>IF(Tabla1[[#This Row],[Tiempo solución max (hrs)]]&lt;&gt;"",IF(Tabla1[[#This Row],[Tiempo solución max (hrs)]]&gt;=Tabla1[[#This Row],[Tiempo
(Hrs 00/100)]],"cumple","no cumple"),"")</f>
        <v>cumple</v>
      </c>
      <c r="W2632" s="376" t="s">
        <v>4210</v>
      </c>
      <c r="X2632" s="377" t="str">
        <f t="shared" si="210"/>
        <v>SAI</v>
      </c>
      <c r="Y2632" t="str">
        <f>SUBSTITUTE(Tabla1[[#This Row],[Descripción]],CHAR(10),"    I    ")</f>
        <v xml:space="preserve">Se documenta y se genera el correo para la liberación parcial de pruebas de </v>
      </c>
      <c r="Z2632" s="142">
        <f>VLOOKUP(Tabla1[[#This Row],[Perfil]],Catalogos!$B$75:$D$100,3,FALSE)*Tabla1[[#This Row],[Tiempo
(Hrs 00/100)]]*1.16</f>
        <v>2320</v>
      </c>
    </row>
    <row r="2633" spans="1:27" ht="15" customHeight="1" x14ac:dyDescent="0.3">
      <c r="A2633" s="373" t="s">
        <v>2642</v>
      </c>
      <c r="B2633" s="373" t="s">
        <v>305</v>
      </c>
      <c r="C2633" s="373" t="s">
        <v>45</v>
      </c>
      <c r="D2633" s="373"/>
      <c r="E2633" s="373" t="s">
        <v>1461</v>
      </c>
      <c r="F2633" s="184" t="s">
        <v>23</v>
      </c>
      <c r="G2633" s="622" t="s">
        <v>4630</v>
      </c>
      <c r="H2633" s="468" t="s">
        <v>4599</v>
      </c>
      <c r="I2633" s="468" t="s">
        <v>4600</v>
      </c>
      <c r="J2633" s="729">
        <v>45253</v>
      </c>
      <c r="K2633" s="773">
        <v>0.375</v>
      </c>
      <c r="L2633" s="729">
        <v>45253</v>
      </c>
      <c r="M2633" s="773">
        <v>0.79166666666666663</v>
      </c>
      <c r="N2633" s="373">
        <v>8</v>
      </c>
      <c r="O2633" s="184" t="s">
        <v>17</v>
      </c>
      <c r="P2633" s="367" t="s">
        <v>4592</v>
      </c>
      <c r="Q2633" s="179" t="s">
        <v>2649</v>
      </c>
      <c r="R2633" s="624" t="s">
        <v>81</v>
      </c>
      <c r="S2633" s="31" t="s">
        <v>273</v>
      </c>
      <c r="T2633" s="31" t="s">
        <v>273</v>
      </c>
      <c r="U2633" s="31">
        <f>IFERROR(VLOOKUP(CONCATENATE(Tabla1[[#This Row],[Severidad]]," ",Tabla1[[#This Row],[Complejidad]]),Catalogos!E$120:G$128,3,FALSE),"")</f>
        <v>64</v>
      </c>
      <c r="V2633" s="31" t="str">
        <f>IF(Tabla1[[#This Row],[Tiempo solución max (hrs)]]&lt;&gt;"",IF(Tabla1[[#This Row],[Tiempo solución max (hrs)]]&gt;=Tabla1[[#This Row],[Tiempo
(Hrs 00/100)]],"cumple","no cumple"),"")</f>
        <v>cumple</v>
      </c>
      <c r="W2633" s="376" t="s">
        <v>4210</v>
      </c>
      <c r="X2633" s="377" t="str">
        <f t="shared" si="210"/>
        <v>SPD</v>
      </c>
      <c r="Y2633" t="str">
        <f>SUBSTITUTE(Tabla1[[#This Row],[Descripción]],CHAR(10),"    I    ")</f>
        <v>Se analiza nueva documentación para casos de prueba del módulo de usuarios</v>
      </c>
      <c r="Z2633" s="142">
        <f>VLOOKUP(Tabla1[[#This Row],[Perfil]],Catalogos!$B$75:$D$100,3,FALSE)*Tabla1[[#This Row],[Tiempo
(Hrs 00/100)]]*1.16</f>
        <v>4640</v>
      </c>
    </row>
    <row r="2634" spans="1:27" ht="15" customHeight="1" x14ac:dyDescent="0.3">
      <c r="A2634" s="373" t="s">
        <v>2642</v>
      </c>
      <c r="B2634" s="373" t="s">
        <v>65</v>
      </c>
      <c r="C2634" s="373" t="s">
        <v>45</v>
      </c>
      <c r="D2634" s="373"/>
      <c r="E2634" s="373" t="s">
        <v>1461</v>
      </c>
      <c r="F2634" s="184" t="s">
        <v>23</v>
      </c>
      <c r="G2634" s="622" t="s">
        <v>4631</v>
      </c>
      <c r="H2634" s="468" t="s">
        <v>4601</v>
      </c>
      <c r="I2634" s="468" t="s">
        <v>4602</v>
      </c>
      <c r="J2634" s="729">
        <v>45254</v>
      </c>
      <c r="K2634" s="773">
        <v>0.375</v>
      </c>
      <c r="L2634" s="729">
        <v>45254</v>
      </c>
      <c r="M2634" s="773">
        <v>0.625</v>
      </c>
      <c r="N2634" s="373">
        <v>6</v>
      </c>
      <c r="O2634" s="184" t="s">
        <v>17</v>
      </c>
      <c r="P2634" s="367" t="s">
        <v>4592</v>
      </c>
      <c r="Q2634" s="179" t="s">
        <v>2649</v>
      </c>
      <c r="R2634" s="624" t="s">
        <v>81</v>
      </c>
      <c r="S2634" s="31" t="s">
        <v>273</v>
      </c>
      <c r="T2634" s="31" t="s">
        <v>273</v>
      </c>
      <c r="U2634" s="31">
        <f>IFERROR(VLOOKUP(CONCATENATE(Tabla1[[#This Row],[Severidad]]," ",Tabla1[[#This Row],[Complejidad]]),Catalogos!E$120:G$128,3,FALSE),"")</f>
        <v>64</v>
      </c>
      <c r="V2634" s="31" t="str">
        <f>IF(Tabla1[[#This Row],[Tiempo solución max (hrs)]]&lt;&gt;"",IF(Tabla1[[#This Row],[Tiempo solución max (hrs)]]&gt;=Tabla1[[#This Row],[Tiempo
(Hrs 00/100)]],"cumple","no cumple"),"")</f>
        <v>cumple</v>
      </c>
      <c r="W2634" s="376" t="s">
        <v>4210</v>
      </c>
      <c r="X2634" s="377" t="str">
        <f t="shared" si="210"/>
        <v>SPD</v>
      </c>
      <c r="Y2634" t="str">
        <f>SUBSTITUTE(Tabla1[[#This Row],[Descripción]],CHAR(10),"    I    ")</f>
        <v>Se agregan los pasos para los casos del módulo de usuarios para realizar las pruebas</v>
      </c>
      <c r="Z2634" s="142">
        <f>VLOOKUP(Tabla1[[#This Row],[Perfil]],Catalogos!$B$75:$D$100,3,FALSE)*Tabla1[[#This Row],[Tiempo
(Hrs 00/100)]]*1.16</f>
        <v>3479.9999999999995</v>
      </c>
    </row>
    <row r="2635" spans="1:27" ht="43.2" x14ac:dyDescent="0.3">
      <c r="A2635" s="373" t="s">
        <v>2642</v>
      </c>
      <c r="B2635" s="373" t="s">
        <v>65</v>
      </c>
      <c r="C2635" s="373" t="s">
        <v>45</v>
      </c>
      <c r="D2635" s="373"/>
      <c r="E2635" s="373" t="s">
        <v>1461</v>
      </c>
      <c r="F2635" s="184" t="s">
        <v>23</v>
      </c>
      <c r="G2635" s="622" t="s">
        <v>4632</v>
      </c>
      <c r="H2635" s="467" t="s">
        <v>4603</v>
      </c>
      <c r="I2635" s="467" t="s">
        <v>4604</v>
      </c>
      <c r="J2635" s="729">
        <v>45257</v>
      </c>
      <c r="K2635" s="773">
        <v>0.375</v>
      </c>
      <c r="L2635" s="729">
        <v>45257</v>
      </c>
      <c r="M2635" s="773">
        <v>0.58333333333333337</v>
      </c>
      <c r="N2635" s="373">
        <v>5</v>
      </c>
      <c r="O2635" s="184" t="s">
        <v>17</v>
      </c>
      <c r="P2635" s="367" t="s">
        <v>4605</v>
      </c>
      <c r="Q2635" s="179" t="s">
        <v>2649</v>
      </c>
      <c r="R2635" s="624" t="s">
        <v>81</v>
      </c>
      <c r="S2635" s="31" t="s">
        <v>273</v>
      </c>
      <c r="T2635" s="31" t="s">
        <v>273</v>
      </c>
      <c r="U2635" s="31">
        <f>IFERROR(VLOOKUP(CONCATENATE(Tabla1[[#This Row],[Severidad]]," ",Tabla1[[#This Row],[Complejidad]]),Catalogos!E$120:G$128,3,FALSE),"")</f>
        <v>64</v>
      </c>
      <c r="V2635" s="31" t="str">
        <f>IF(Tabla1[[#This Row],[Tiempo solución max (hrs)]]&lt;&gt;"",IF(Tabla1[[#This Row],[Tiempo solución max (hrs)]]&gt;=Tabla1[[#This Row],[Tiempo
(Hrs 00/100)]],"cumple","no cumple"),"")</f>
        <v>cumple</v>
      </c>
      <c r="W2635" s="376" t="s">
        <v>4210</v>
      </c>
      <c r="X2635" s="377" t="str">
        <f t="shared" si="210"/>
        <v>SPD</v>
      </c>
      <c r="Y2635" t="str">
        <f>SUBSTITUTE(Tabla1[[#This Row],[Descripción]],CHAR(10),"    I    ")</f>
        <v>Se agregan más pasos a los casos de prueba con base en la documentación entregada por parte del equipo de desarrollo</v>
      </c>
      <c r="Z2635" s="142">
        <f>VLOOKUP(Tabla1[[#This Row],[Perfil]],Catalogos!$B$75:$D$100,3,FALSE)*Tabla1[[#This Row],[Tiempo
(Hrs 00/100)]]*1.16</f>
        <v>2900</v>
      </c>
    </row>
    <row r="2636" spans="1:27" ht="43.2" x14ac:dyDescent="0.3">
      <c r="A2636" s="373" t="s">
        <v>2642</v>
      </c>
      <c r="B2636" s="373" t="s">
        <v>63</v>
      </c>
      <c r="C2636" s="373" t="s">
        <v>45</v>
      </c>
      <c r="D2636" s="373"/>
      <c r="E2636" s="373" t="s">
        <v>1461</v>
      </c>
      <c r="F2636" s="184" t="s">
        <v>23</v>
      </c>
      <c r="G2636" s="622" t="s">
        <v>4633</v>
      </c>
      <c r="H2636" s="467" t="s">
        <v>4606</v>
      </c>
      <c r="I2636" s="467" t="s">
        <v>4607</v>
      </c>
      <c r="J2636" s="729">
        <v>45257</v>
      </c>
      <c r="K2636" s="773">
        <v>0.625</v>
      </c>
      <c r="L2636" s="729">
        <v>45257</v>
      </c>
      <c r="M2636" s="773">
        <v>0.79166666666666663</v>
      </c>
      <c r="N2636" s="373">
        <v>4</v>
      </c>
      <c r="O2636" s="184" t="s">
        <v>17</v>
      </c>
      <c r="P2636" s="367" t="s">
        <v>4605</v>
      </c>
      <c r="Q2636" s="179" t="s">
        <v>2649</v>
      </c>
      <c r="R2636" s="624" t="s">
        <v>81</v>
      </c>
      <c r="S2636" s="31" t="s">
        <v>273</v>
      </c>
      <c r="T2636" s="31" t="s">
        <v>273</v>
      </c>
      <c r="U2636" s="31">
        <f>IFERROR(VLOOKUP(CONCATENATE(Tabla1[[#This Row],[Severidad]]," ",Tabla1[[#This Row],[Complejidad]]),Catalogos!E$120:G$128,3,FALSE),"")</f>
        <v>64</v>
      </c>
      <c r="V2636" s="31" t="str">
        <f>IF(Tabla1[[#This Row],[Tiempo solución max (hrs)]]&lt;&gt;"",IF(Tabla1[[#This Row],[Tiempo solución max (hrs)]]&gt;=Tabla1[[#This Row],[Tiempo
(Hrs 00/100)]],"cumple","no cumple"),"")</f>
        <v>cumple</v>
      </c>
      <c r="W2636" s="376" t="s">
        <v>4210</v>
      </c>
      <c r="X2636" s="377" t="str">
        <f t="shared" si="210"/>
        <v>SPD</v>
      </c>
      <c r="Y2636" t="str">
        <f>SUBSTITUTE(Tabla1[[#This Row],[Descripción]],CHAR(10),"    I    ")</f>
        <v>Se da seguimiento a los enlaces entregados por parte de desarrollo para acceso al sitio del módulo de usuarios previo a las pruebas</v>
      </c>
      <c r="Z2636" s="142">
        <f>VLOOKUP(Tabla1[[#This Row],[Perfil]],Catalogos!$B$75:$D$100,3,FALSE)*Tabla1[[#This Row],[Tiempo
(Hrs 00/100)]]*1.16</f>
        <v>2320</v>
      </c>
    </row>
    <row r="2637" spans="1:27" ht="43.2" x14ac:dyDescent="0.3">
      <c r="A2637" s="373" t="s">
        <v>2642</v>
      </c>
      <c r="B2637" s="373" t="s">
        <v>61</v>
      </c>
      <c r="C2637" s="373" t="s">
        <v>45</v>
      </c>
      <c r="D2637" s="373"/>
      <c r="E2637" s="373" t="s">
        <v>1461</v>
      </c>
      <c r="F2637" s="184" t="s">
        <v>77</v>
      </c>
      <c r="G2637" s="622" t="s">
        <v>4634</v>
      </c>
      <c r="H2637" s="467" t="s">
        <v>4608</v>
      </c>
      <c r="I2637" s="467" t="s">
        <v>4635</v>
      </c>
      <c r="J2637" s="729">
        <v>45258</v>
      </c>
      <c r="K2637" s="773">
        <v>0.375</v>
      </c>
      <c r="L2637" s="729">
        <v>45258</v>
      </c>
      <c r="M2637" s="773">
        <v>0.79166666666666663</v>
      </c>
      <c r="N2637" s="373">
        <v>8</v>
      </c>
      <c r="O2637" s="184" t="s">
        <v>17</v>
      </c>
      <c r="P2637" s="367" t="s">
        <v>4605</v>
      </c>
      <c r="Q2637" s="179" t="s">
        <v>2649</v>
      </c>
      <c r="R2637" s="624" t="s">
        <v>81</v>
      </c>
      <c r="S2637" s="31" t="s">
        <v>273</v>
      </c>
      <c r="T2637" s="31" t="s">
        <v>273</v>
      </c>
      <c r="U2637" s="31">
        <f>IFERROR(VLOOKUP(CONCATENATE(Tabla1[[#This Row],[Severidad]]," ",Tabla1[[#This Row],[Complejidad]]),Catalogos!E$120:G$128,3,FALSE),"")</f>
        <v>64</v>
      </c>
      <c r="V2637" s="31" t="str">
        <f>IF(Tabla1[[#This Row],[Tiempo solución max (hrs)]]&lt;&gt;"",IF(Tabla1[[#This Row],[Tiempo solución max (hrs)]]&gt;=Tabla1[[#This Row],[Tiempo
(Hrs 00/100)]],"cumple","no cumple"),"")</f>
        <v>cumple</v>
      </c>
      <c r="W2637" s="376" t="s">
        <v>4210</v>
      </c>
      <c r="X2637" s="377" t="str">
        <f t="shared" si="210"/>
        <v>SPD</v>
      </c>
      <c r="Y2637" t="str">
        <f>SUBSTITUTE(Tabla1[[#This Row],[Descripción]],CHAR(10),"    I    ")</f>
        <v>Se revisa el documento de asignación de pruebas para el módulo de usuarios y se validan los casos asignados</v>
      </c>
      <c r="Z2637" s="142">
        <f>VLOOKUP(Tabla1[[#This Row],[Perfil]],Catalogos!$B$75:$D$100,3,FALSE)*Tabla1[[#This Row],[Tiempo
(Hrs 00/100)]]*1.16</f>
        <v>4640</v>
      </c>
    </row>
    <row r="2638" spans="1:27" ht="43.2" x14ac:dyDescent="0.3">
      <c r="A2638" s="373" t="s">
        <v>2642</v>
      </c>
      <c r="B2638" s="373" t="s">
        <v>61</v>
      </c>
      <c r="C2638" s="373" t="s">
        <v>45</v>
      </c>
      <c r="D2638" s="373"/>
      <c r="E2638" s="373" t="s">
        <v>1461</v>
      </c>
      <c r="F2638" s="184" t="s">
        <v>77</v>
      </c>
      <c r="G2638" s="622" t="s">
        <v>4636</v>
      </c>
      <c r="H2638" s="467" t="s">
        <v>4609</v>
      </c>
      <c r="I2638" s="467" t="s">
        <v>4610</v>
      </c>
      <c r="J2638" s="729">
        <v>45259</v>
      </c>
      <c r="K2638" s="773">
        <v>0.375</v>
      </c>
      <c r="L2638" s="729">
        <v>45259</v>
      </c>
      <c r="M2638" s="773">
        <v>0.79166666666666663</v>
      </c>
      <c r="N2638" s="373">
        <v>8</v>
      </c>
      <c r="O2638" s="676" t="s">
        <v>411</v>
      </c>
      <c r="P2638" s="367" t="s">
        <v>4605</v>
      </c>
      <c r="Q2638" s="179" t="s">
        <v>2649</v>
      </c>
      <c r="R2638" s="624" t="s">
        <v>81</v>
      </c>
      <c r="S2638" s="31" t="s">
        <v>273</v>
      </c>
      <c r="T2638" s="31" t="s">
        <v>273</v>
      </c>
      <c r="U2638" s="31">
        <f>IFERROR(VLOOKUP(CONCATENATE(Tabla1[[#This Row],[Severidad]]," ",Tabla1[[#This Row],[Complejidad]]),Catalogos!E$120:G$128,3,FALSE),"")</f>
        <v>64</v>
      </c>
      <c r="V2638" s="31" t="str">
        <f>IF(Tabla1[[#This Row],[Tiempo solución max (hrs)]]&lt;&gt;"",IF(Tabla1[[#This Row],[Tiempo solución max (hrs)]]&gt;=Tabla1[[#This Row],[Tiempo
(Hrs 00/100)]],"cumple","no cumple"),"")</f>
        <v>cumple</v>
      </c>
      <c r="W2638" s="376" t="s">
        <v>4210</v>
      </c>
      <c r="X2638" s="377" t="str">
        <f t="shared" si="210"/>
        <v>SPD</v>
      </c>
      <c r="Y2638" t="str">
        <f>SUBSTITUTE(Tabla1[[#This Row],[Descripción]],CHAR(10),"    I    ")</f>
        <v>Se terminan de revisar los casos de prueba previos al inicio de la ejecución de las pruebas del módulo de usuarios</v>
      </c>
      <c r="Z2638" s="142">
        <f>VLOOKUP(Tabla1[[#This Row],[Perfil]],Catalogos!$B$75:$D$100,3,FALSE)*Tabla1[[#This Row],[Tiempo
(Hrs 00/100)]]*1.16</f>
        <v>4640</v>
      </c>
    </row>
    <row r="2639" spans="1:27" ht="43.2" x14ac:dyDescent="0.3">
      <c r="A2639" s="373" t="s">
        <v>2642</v>
      </c>
      <c r="B2639" s="373" t="s">
        <v>61</v>
      </c>
      <c r="C2639" s="373" t="s">
        <v>45</v>
      </c>
      <c r="D2639" s="373"/>
      <c r="E2639" s="373" t="s">
        <v>1461</v>
      </c>
      <c r="F2639" s="184" t="s">
        <v>77</v>
      </c>
      <c r="G2639" s="622" t="s">
        <v>4636</v>
      </c>
      <c r="H2639" s="467" t="s">
        <v>4611</v>
      </c>
      <c r="I2639" s="467" t="s">
        <v>4610</v>
      </c>
      <c r="J2639" s="729">
        <v>45260</v>
      </c>
      <c r="K2639" s="773">
        <v>0.375</v>
      </c>
      <c r="L2639" s="729">
        <v>45260</v>
      </c>
      <c r="M2639" s="773">
        <v>0.79166666666666663</v>
      </c>
      <c r="N2639" s="373">
        <v>8</v>
      </c>
      <c r="O2639" s="184" t="s">
        <v>17</v>
      </c>
      <c r="P2639" s="367" t="s">
        <v>4605</v>
      </c>
      <c r="Q2639" s="179" t="s">
        <v>2649</v>
      </c>
      <c r="R2639" s="624" t="s">
        <v>81</v>
      </c>
      <c r="S2639" s="31" t="s">
        <v>273</v>
      </c>
      <c r="T2639" s="31" t="s">
        <v>273</v>
      </c>
      <c r="U2639" s="31">
        <f>IFERROR(VLOOKUP(CONCATENATE(Tabla1[[#This Row],[Severidad]]," ",Tabla1[[#This Row],[Complejidad]]),Catalogos!E$120:G$128,3,FALSE),"")</f>
        <v>64</v>
      </c>
      <c r="V2639" s="31" t="str">
        <f>IF(Tabla1[[#This Row],[Tiempo solución max (hrs)]]&lt;&gt;"",IF(Tabla1[[#This Row],[Tiempo solución max (hrs)]]&gt;=Tabla1[[#This Row],[Tiempo
(Hrs 00/100)]],"cumple","no cumple"),"")</f>
        <v>cumple</v>
      </c>
      <c r="W2639" s="376" t="s">
        <v>4210</v>
      </c>
      <c r="X2639" s="377" t="str">
        <f t="shared" si="210"/>
        <v>SPD</v>
      </c>
      <c r="Y2639" t="str">
        <f>SUBSTITUTE(Tabla1[[#This Row],[Descripción]],CHAR(10),"    I    ")</f>
        <v>Se terminan de revisar los casos de prueba previos al inicio de la ejecución de las pruebas del módulo de usuarios</v>
      </c>
      <c r="Z2639" s="142">
        <f>VLOOKUP(Tabla1[[#This Row],[Perfil]],Catalogos!$B$75:$D$100,3,FALSE)*Tabla1[[#This Row],[Tiempo
(Hrs 00/100)]]*1.16</f>
        <v>4640</v>
      </c>
    </row>
    <row r="2640" spans="1:27" ht="15" customHeight="1" thickBot="1" x14ac:dyDescent="0.35">
      <c r="A2640" s="677" t="s">
        <v>22</v>
      </c>
      <c r="B2640" s="677" t="s">
        <v>23</v>
      </c>
      <c r="C2640" s="677" t="s">
        <v>49</v>
      </c>
      <c r="D2640" s="677"/>
      <c r="E2640" s="677" t="s">
        <v>4133</v>
      </c>
      <c r="F2640" s="677" t="s">
        <v>23</v>
      </c>
      <c r="G2640" s="677" t="s">
        <v>5089</v>
      </c>
      <c r="H2640" s="678" t="s">
        <v>5086</v>
      </c>
      <c r="I2640" s="679" t="s">
        <v>5087</v>
      </c>
      <c r="J2640" s="673">
        <v>45231</v>
      </c>
      <c r="K2640" s="703">
        <v>0.375</v>
      </c>
      <c r="L2640" s="673">
        <v>45231</v>
      </c>
      <c r="M2640" s="663">
        <v>0.41666666666666669</v>
      </c>
      <c r="N2640" s="680">
        <v>1</v>
      </c>
      <c r="O2640" s="681" t="s">
        <v>17</v>
      </c>
      <c r="P2640" s="682" t="s">
        <v>5088</v>
      </c>
      <c r="Q2640" s="683" t="s">
        <v>28</v>
      </c>
      <c r="R2640" s="684" t="s">
        <v>78</v>
      </c>
      <c r="S2640" s="31" t="s">
        <v>273</v>
      </c>
      <c r="T2640" s="31" t="s">
        <v>273</v>
      </c>
      <c r="U2640" s="31">
        <f>IFERROR(VLOOKUP(CONCATENATE(Tabla1[[#This Row],[Severidad]]," ",Tabla1[[#This Row],[Complejidad]]),Catalogos!E$120:G$128,3,FALSE),"")</f>
        <v>64</v>
      </c>
      <c r="V2640" s="31" t="str">
        <f>IF(Tabla1[[#This Row],[Tiempo solución max (hrs)]]&lt;&gt;"",IF(Tabla1[[#This Row],[Tiempo solución max (hrs)]]&gt;=Tabla1[[#This Row],[Tiempo
(Hrs 00/100)]],"cumple","no cumple"),"")</f>
        <v>cumple</v>
      </c>
      <c r="W2640" s="376" t="s">
        <v>4210</v>
      </c>
      <c r="X2640" s="377" t="str">
        <f t="shared" ref="X2640:X2662" si="211">IF(C2640&lt;&gt;"",C2640,D2640)</f>
        <v>SAI</v>
      </c>
      <c r="Y2640" t="str">
        <f>SUBSTITUTE(Tabla1[[#This Row],[Descripción]],CHAR(10),"    I    ")</f>
        <v>Toma de avance diario y actualización de cronograma</v>
      </c>
      <c r="Z2640" s="142">
        <f>VLOOKUP(Tabla1[[#This Row],[Perfil]],Catalogos!$B$75:$D$100,3,FALSE)*Tabla1[[#This Row],[Tiempo
(Hrs 00/100)]]*1.16</f>
        <v>696</v>
      </c>
      <c r="AA2640" t="s">
        <v>3356</v>
      </c>
    </row>
    <row r="2641" spans="1:27" ht="15" customHeight="1" thickBot="1" x14ac:dyDescent="0.35">
      <c r="A2641" s="677" t="s">
        <v>22</v>
      </c>
      <c r="B2641" s="677" t="s">
        <v>23</v>
      </c>
      <c r="C2641" s="677" t="s">
        <v>49</v>
      </c>
      <c r="D2641" s="677"/>
      <c r="E2641" s="677" t="s">
        <v>4133</v>
      </c>
      <c r="F2641" s="677" t="s">
        <v>23</v>
      </c>
      <c r="G2641" s="677" t="s">
        <v>5090</v>
      </c>
      <c r="H2641" s="678" t="s">
        <v>5086</v>
      </c>
      <c r="I2641" s="679" t="s">
        <v>5087</v>
      </c>
      <c r="J2641" s="673">
        <v>45233</v>
      </c>
      <c r="K2641" s="703">
        <v>0.375</v>
      </c>
      <c r="L2641" s="673">
        <v>45233</v>
      </c>
      <c r="M2641" s="663">
        <v>0.41666666666666669</v>
      </c>
      <c r="N2641" s="680">
        <v>1</v>
      </c>
      <c r="O2641" s="681" t="s">
        <v>17</v>
      </c>
      <c r="P2641" s="682" t="s">
        <v>5088</v>
      </c>
      <c r="Q2641" s="683" t="s">
        <v>28</v>
      </c>
      <c r="R2641" s="684" t="s">
        <v>78</v>
      </c>
      <c r="S2641" s="31" t="s">
        <v>273</v>
      </c>
      <c r="T2641" s="31" t="s">
        <v>273</v>
      </c>
      <c r="U2641" s="31">
        <f>IFERROR(VLOOKUP(CONCATENATE(Tabla1[[#This Row],[Severidad]]," ",Tabla1[[#This Row],[Complejidad]]),Catalogos!E$120:G$128,3,FALSE),"")</f>
        <v>64</v>
      </c>
      <c r="V2641" s="31" t="str">
        <f>IF(Tabla1[[#This Row],[Tiempo solución max (hrs)]]&lt;&gt;"",IF(Tabla1[[#This Row],[Tiempo solución max (hrs)]]&gt;=Tabla1[[#This Row],[Tiempo
(Hrs 00/100)]],"cumple","no cumple"),"")</f>
        <v>cumple</v>
      </c>
      <c r="W2641" s="376" t="s">
        <v>4210</v>
      </c>
      <c r="X2641" s="377" t="str">
        <f t="shared" si="211"/>
        <v>SAI</v>
      </c>
      <c r="Y2641" t="str">
        <f>SUBSTITUTE(Tabla1[[#This Row],[Descripción]],CHAR(10),"    I    ")</f>
        <v>Toma de avance diario y actualización de cronograma</v>
      </c>
      <c r="Z2641" s="142">
        <f>VLOOKUP(Tabla1[[#This Row],[Perfil]],Catalogos!$B$75:$D$100,3,FALSE)*Tabla1[[#This Row],[Tiempo
(Hrs 00/100)]]*1.16</f>
        <v>696</v>
      </c>
      <c r="AA2641" t="s">
        <v>3356</v>
      </c>
    </row>
    <row r="2642" spans="1:27" ht="15" customHeight="1" thickBot="1" x14ac:dyDescent="0.35">
      <c r="A2642" s="677" t="s">
        <v>22</v>
      </c>
      <c r="B2642" s="677" t="s">
        <v>23</v>
      </c>
      <c r="C2642" s="677" t="s">
        <v>49</v>
      </c>
      <c r="D2642" s="677"/>
      <c r="E2642" s="677" t="s">
        <v>4133</v>
      </c>
      <c r="F2642" s="677" t="s">
        <v>23</v>
      </c>
      <c r="G2642" s="677" t="s">
        <v>5093</v>
      </c>
      <c r="H2642" s="678" t="s">
        <v>5086</v>
      </c>
      <c r="I2642" s="679" t="s">
        <v>5091</v>
      </c>
      <c r="J2642" s="673">
        <v>45233</v>
      </c>
      <c r="K2642" s="703">
        <v>0.5</v>
      </c>
      <c r="L2642" s="673">
        <v>45236</v>
      </c>
      <c r="M2642" s="663">
        <v>0.54166666666666663</v>
      </c>
      <c r="N2642" s="680">
        <v>1</v>
      </c>
      <c r="O2642" s="681" t="s">
        <v>17</v>
      </c>
      <c r="P2642" s="682" t="s">
        <v>5092</v>
      </c>
      <c r="Q2642" s="683" t="s">
        <v>28</v>
      </c>
      <c r="R2642" s="684" t="s">
        <v>78</v>
      </c>
      <c r="S2642" s="31" t="s">
        <v>273</v>
      </c>
      <c r="T2642" s="31" t="s">
        <v>273</v>
      </c>
      <c r="U2642" s="31">
        <f>IFERROR(VLOOKUP(CONCATENATE(Tabla1[[#This Row],[Severidad]]," ",Tabla1[[#This Row],[Complejidad]]),Catalogos!E$120:G$128,3,FALSE),"")</f>
        <v>64</v>
      </c>
      <c r="V2642" s="31" t="str">
        <f>IF(Tabla1[[#This Row],[Tiempo solución max (hrs)]]&lt;&gt;"",IF(Tabla1[[#This Row],[Tiempo solución max (hrs)]]&gt;=Tabla1[[#This Row],[Tiempo
(Hrs 00/100)]],"cumple","no cumple"),"")</f>
        <v>cumple</v>
      </c>
      <c r="W2642" s="376" t="s">
        <v>4210</v>
      </c>
      <c r="X2642" s="377" t="str">
        <f t="shared" si="211"/>
        <v>SAI</v>
      </c>
      <c r="Y2642" t="str">
        <f>SUBSTITUTE(Tabla1[[#This Row],[Descripción]],CHAR(10),"    I    ")</f>
        <v>Revisión y actualización de Plan de riesgos</v>
      </c>
      <c r="Z2642" s="142">
        <f>VLOOKUP(Tabla1[[#This Row],[Perfil]],Catalogos!$B$75:$D$100,3,FALSE)*Tabla1[[#This Row],[Tiempo
(Hrs 00/100)]]*1.16</f>
        <v>696</v>
      </c>
      <c r="AA2642" t="s">
        <v>3356</v>
      </c>
    </row>
    <row r="2643" spans="1:27" ht="15" customHeight="1" thickBot="1" x14ac:dyDescent="0.35">
      <c r="A2643" s="677" t="s">
        <v>22</v>
      </c>
      <c r="B2643" s="677" t="s">
        <v>23</v>
      </c>
      <c r="C2643" s="677" t="s">
        <v>49</v>
      </c>
      <c r="D2643" s="677"/>
      <c r="E2643" s="677" t="s">
        <v>4133</v>
      </c>
      <c r="F2643" s="677" t="s">
        <v>23</v>
      </c>
      <c r="G2643" s="677" t="s">
        <v>5096</v>
      </c>
      <c r="H2643" s="678" t="s">
        <v>5086</v>
      </c>
      <c r="I2643" s="679" t="s">
        <v>5094</v>
      </c>
      <c r="J2643" s="673">
        <v>45233</v>
      </c>
      <c r="K2643" s="703">
        <v>0.5</v>
      </c>
      <c r="L2643" s="673">
        <v>45236</v>
      </c>
      <c r="M2643" s="663">
        <v>0.54166666666666663</v>
      </c>
      <c r="N2643" s="680">
        <v>1</v>
      </c>
      <c r="O2643" s="681" t="s">
        <v>17</v>
      </c>
      <c r="P2643" s="682" t="s">
        <v>5095</v>
      </c>
      <c r="Q2643" s="683" t="s">
        <v>28</v>
      </c>
      <c r="R2643" s="684" t="s">
        <v>78</v>
      </c>
      <c r="S2643" s="31" t="s">
        <v>273</v>
      </c>
      <c r="T2643" s="31" t="s">
        <v>273</v>
      </c>
      <c r="U2643" s="31">
        <f>IFERROR(VLOOKUP(CONCATENATE(Tabla1[[#This Row],[Severidad]]," ",Tabla1[[#This Row],[Complejidad]]),Catalogos!E$120:G$128,3,FALSE),"")</f>
        <v>64</v>
      </c>
      <c r="V2643" s="31" t="str">
        <f>IF(Tabla1[[#This Row],[Tiempo solución max (hrs)]]&lt;&gt;"",IF(Tabla1[[#This Row],[Tiempo solución max (hrs)]]&gt;=Tabla1[[#This Row],[Tiempo
(Hrs 00/100)]],"cumple","no cumple"),"")</f>
        <v>cumple</v>
      </c>
      <c r="W2643" s="376" t="s">
        <v>4210</v>
      </c>
      <c r="X2643" s="377" t="str">
        <f t="shared" si="211"/>
        <v>SAI</v>
      </c>
      <c r="Y2643" t="str">
        <f>SUBSTITUTE(Tabla1[[#This Row],[Descripción]],CHAR(10),"    I    ")</f>
        <v>Generación de Presentación semanal de estatus del proyecto</v>
      </c>
      <c r="Z2643" s="142">
        <f>VLOOKUP(Tabla1[[#This Row],[Perfil]],Catalogos!$B$75:$D$100,3,FALSE)*Tabla1[[#This Row],[Tiempo
(Hrs 00/100)]]*1.16</f>
        <v>696</v>
      </c>
      <c r="AA2643" t="s">
        <v>3356</v>
      </c>
    </row>
    <row r="2644" spans="1:27" ht="15" customHeight="1" thickBot="1" x14ac:dyDescent="0.35">
      <c r="A2644" s="677" t="s">
        <v>22</v>
      </c>
      <c r="B2644" s="677" t="s">
        <v>23</v>
      </c>
      <c r="C2644" s="677" t="s">
        <v>49</v>
      </c>
      <c r="D2644" s="677"/>
      <c r="E2644" s="677" t="s">
        <v>4133</v>
      </c>
      <c r="F2644" s="677" t="s">
        <v>23</v>
      </c>
      <c r="G2644" s="677" t="s">
        <v>5099</v>
      </c>
      <c r="H2644" s="678" t="s">
        <v>5086</v>
      </c>
      <c r="I2644" s="679" t="s">
        <v>5097</v>
      </c>
      <c r="J2644" s="673">
        <v>45236</v>
      </c>
      <c r="K2644" s="703">
        <v>0.5</v>
      </c>
      <c r="L2644" s="673">
        <v>45236</v>
      </c>
      <c r="M2644" s="663">
        <v>0.54166666666666663</v>
      </c>
      <c r="N2644" s="680">
        <v>1</v>
      </c>
      <c r="O2644" s="681" t="s">
        <v>17</v>
      </c>
      <c r="P2644" s="682" t="s">
        <v>5098</v>
      </c>
      <c r="Q2644" s="683" t="s">
        <v>28</v>
      </c>
      <c r="R2644" s="684" t="s">
        <v>78</v>
      </c>
      <c r="S2644" s="31" t="s">
        <v>273</v>
      </c>
      <c r="T2644" s="31" t="s">
        <v>273</v>
      </c>
      <c r="U2644" s="31">
        <f>IFERROR(VLOOKUP(CONCATENATE(Tabla1[[#This Row],[Severidad]]," ",Tabla1[[#This Row],[Complejidad]]),Catalogos!E$120:G$128,3,FALSE),"")</f>
        <v>64</v>
      </c>
      <c r="V2644" s="31" t="str">
        <f>IF(Tabla1[[#This Row],[Tiempo solución max (hrs)]]&lt;&gt;"",IF(Tabla1[[#This Row],[Tiempo solución max (hrs)]]&gt;=Tabla1[[#This Row],[Tiempo
(Hrs 00/100)]],"cumple","no cumple"),"")</f>
        <v>cumple</v>
      </c>
      <c r="W2644" s="376" t="s">
        <v>4210</v>
      </c>
      <c r="X2644" s="377" t="str">
        <f t="shared" si="211"/>
        <v>SAI</v>
      </c>
      <c r="Y2644" t="str">
        <f>SUBSTITUTE(Tabla1[[#This Row],[Descripción]],CHAR(10),"    I    ")</f>
        <v>Presentación avance semanal del 01 al 03 de noviembre 2023</v>
      </c>
      <c r="Z2644" s="142">
        <f>VLOOKUP(Tabla1[[#This Row],[Perfil]],Catalogos!$B$75:$D$100,3,FALSE)*Tabla1[[#This Row],[Tiempo
(Hrs 00/100)]]*1.16</f>
        <v>696</v>
      </c>
      <c r="AA2644" t="s">
        <v>3356</v>
      </c>
    </row>
    <row r="2645" spans="1:27" ht="15" customHeight="1" thickBot="1" x14ac:dyDescent="0.35">
      <c r="A2645" s="677" t="s">
        <v>22</v>
      </c>
      <c r="B2645" s="677" t="s">
        <v>23</v>
      </c>
      <c r="C2645" s="677" t="s">
        <v>49</v>
      </c>
      <c r="D2645" s="677"/>
      <c r="E2645" s="677" t="s">
        <v>4133</v>
      </c>
      <c r="F2645" s="677" t="s">
        <v>23</v>
      </c>
      <c r="G2645" s="677" t="s">
        <v>5100</v>
      </c>
      <c r="H2645" s="678" t="s">
        <v>5086</v>
      </c>
      <c r="I2645" s="679" t="s">
        <v>5087</v>
      </c>
      <c r="J2645" s="673">
        <v>45236</v>
      </c>
      <c r="K2645" s="703">
        <v>0.375</v>
      </c>
      <c r="L2645" s="673">
        <v>45236</v>
      </c>
      <c r="M2645" s="663">
        <v>0.41666666666666669</v>
      </c>
      <c r="N2645" s="680">
        <v>1</v>
      </c>
      <c r="O2645" s="681" t="s">
        <v>17</v>
      </c>
      <c r="P2645" s="682" t="s">
        <v>5088</v>
      </c>
      <c r="Q2645" s="683" t="s">
        <v>28</v>
      </c>
      <c r="R2645" s="684" t="s">
        <v>78</v>
      </c>
      <c r="S2645" s="31" t="s">
        <v>273</v>
      </c>
      <c r="T2645" s="31" t="s">
        <v>273</v>
      </c>
      <c r="U2645" s="31">
        <f>IFERROR(VLOOKUP(CONCATENATE(Tabla1[[#This Row],[Severidad]]," ",Tabla1[[#This Row],[Complejidad]]),Catalogos!E$120:G$128,3,FALSE),"")</f>
        <v>64</v>
      </c>
      <c r="V2645" s="31" t="str">
        <f>IF(Tabla1[[#This Row],[Tiempo solución max (hrs)]]&lt;&gt;"",IF(Tabla1[[#This Row],[Tiempo solución max (hrs)]]&gt;=Tabla1[[#This Row],[Tiempo
(Hrs 00/100)]],"cumple","no cumple"),"")</f>
        <v>cumple</v>
      </c>
      <c r="W2645" s="376" t="s">
        <v>4210</v>
      </c>
      <c r="X2645" s="377" t="str">
        <f t="shared" si="211"/>
        <v>SAI</v>
      </c>
      <c r="Y2645" t="str">
        <f>SUBSTITUTE(Tabla1[[#This Row],[Descripción]],CHAR(10),"    I    ")</f>
        <v>Toma de avance diario y actualización de cronograma</v>
      </c>
      <c r="Z2645" s="142">
        <f>VLOOKUP(Tabla1[[#This Row],[Perfil]],Catalogos!$B$75:$D$100,3,FALSE)*Tabla1[[#This Row],[Tiempo
(Hrs 00/100)]]*1.16</f>
        <v>696</v>
      </c>
      <c r="AA2645" t="s">
        <v>3356</v>
      </c>
    </row>
    <row r="2646" spans="1:27" ht="15" customHeight="1" thickBot="1" x14ac:dyDescent="0.35">
      <c r="A2646" s="677" t="s">
        <v>22</v>
      </c>
      <c r="B2646" s="677" t="s">
        <v>23</v>
      </c>
      <c r="C2646" s="677" t="s">
        <v>49</v>
      </c>
      <c r="D2646" s="677"/>
      <c r="E2646" s="677" t="s">
        <v>4133</v>
      </c>
      <c r="F2646" s="677" t="s">
        <v>23</v>
      </c>
      <c r="G2646" s="677" t="s">
        <v>5101</v>
      </c>
      <c r="H2646" s="678" t="s">
        <v>5086</v>
      </c>
      <c r="I2646" s="679" t="s">
        <v>5087</v>
      </c>
      <c r="J2646" s="673">
        <v>45237</v>
      </c>
      <c r="K2646" s="703">
        <v>0.375</v>
      </c>
      <c r="L2646" s="673">
        <v>45237</v>
      </c>
      <c r="M2646" s="663">
        <v>0.41666666666666669</v>
      </c>
      <c r="N2646" s="680">
        <v>1</v>
      </c>
      <c r="O2646" s="681" t="s">
        <v>17</v>
      </c>
      <c r="P2646" s="682" t="s">
        <v>5088</v>
      </c>
      <c r="Q2646" s="683" t="s">
        <v>28</v>
      </c>
      <c r="R2646" s="684" t="s">
        <v>78</v>
      </c>
      <c r="S2646" s="31" t="s">
        <v>273</v>
      </c>
      <c r="T2646" s="31" t="s">
        <v>273</v>
      </c>
      <c r="U2646" s="31">
        <f>IFERROR(VLOOKUP(CONCATENATE(Tabla1[[#This Row],[Severidad]]," ",Tabla1[[#This Row],[Complejidad]]),Catalogos!E$120:G$128,3,FALSE),"")</f>
        <v>64</v>
      </c>
      <c r="V2646" s="31" t="str">
        <f>IF(Tabla1[[#This Row],[Tiempo solución max (hrs)]]&lt;&gt;"",IF(Tabla1[[#This Row],[Tiempo solución max (hrs)]]&gt;=Tabla1[[#This Row],[Tiempo
(Hrs 00/100)]],"cumple","no cumple"),"")</f>
        <v>cumple</v>
      </c>
      <c r="W2646" s="376" t="s">
        <v>4210</v>
      </c>
      <c r="X2646" s="377" t="str">
        <f t="shared" si="211"/>
        <v>SAI</v>
      </c>
      <c r="Y2646" t="str">
        <f>SUBSTITUTE(Tabla1[[#This Row],[Descripción]],CHAR(10),"    I    ")</f>
        <v>Toma de avance diario y actualización de cronograma</v>
      </c>
      <c r="Z2646" s="142">
        <f>VLOOKUP(Tabla1[[#This Row],[Perfil]],Catalogos!$B$75:$D$100,3,FALSE)*Tabla1[[#This Row],[Tiempo
(Hrs 00/100)]]*1.16</f>
        <v>696</v>
      </c>
      <c r="AA2646" t="s">
        <v>3356</v>
      </c>
    </row>
    <row r="2647" spans="1:27" ht="15" customHeight="1" thickBot="1" x14ac:dyDescent="0.35">
      <c r="A2647" s="677" t="s">
        <v>22</v>
      </c>
      <c r="B2647" s="677" t="s">
        <v>23</v>
      </c>
      <c r="C2647" s="677" t="s">
        <v>49</v>
      </c>
      <c r="D2647" s="677"/>
      <c r="E2647" s="677" t="s">
        <v>4133</v>
      </c>
      <c r="F2647" s="677" t="s">
        <v>23</v>
      </c>
      <c r="G2647" s="677" t="s">
        <v>5102</v>
      </c>
      <c r="H2647" s="678" t="s">
        <v>5086</v>
      </c>
      <c r="I2647" s="679" t="s">
        <v>5087</v>
      </c>
      <c r="J2647" s="673">
        <v>45238</v>
      </c>
      <c r="K2647" s="703">
        <v>0.375</v>
      </c>
      <c r="L2647" s="673">
        <v>45238</v>
      </c>
      <c r="M2647" s="663">
        <v>0.41666666666666669</v>
      </c>
      <c r="N2647" s="680">
        <v>1</v>
      </c>
      <c r="O2647" s="681" t="s">
        <v>17</v>
      </c>
      <c r="P2647" s="682" t="s">
        <v>5088</v>
      </c>
      <c r="Q2647" s="683" t="s">
        <v>28</v>
      </c>
      <c r="R2647" s="684" t="s">
        <v>78</v>
      </c>
      <c r="S2647" s="31" t="s">
        <v>273</v>
      </c>
      <c r="T2647" s="31" t="s">
        <v>273</v>
      </c>
      <c r="U2647" s="31">
        <f>IFERROR(VLOOKUP(CONCATENATE(Tabla1[[#This Row],[Severidad]]," ",Tabla1[[#This Row],[Complejidad]]),Catalogos!E$120:G$128,3,FALSE),"")</f>
        <v>64</v>
      </c>
      <c r="V2647" s="31" t="str">
        <f>IF(Tabla1[[#This Row],[Tiempo solución max (hrs)]]&lt;&gt;"",IF(Tabla1[[#This Row],[Tiempo solución max (hrs)]]&gt;=Tabla1[[#This Row],[Tiempo
(Hrs 00/100)]],"cumple","no cumple"),"")</f>
        <v>cumple</v>
      </c>
      <c r="W2647" s="376" t="s">
        <v>4210</v>
      </c>
      <c r="X2647" s="377" t="str">
        <f t="shared" si="211"/>
        <v>SAI</v>
      </c>
      <c r="Y2647" t="str">
        <f>SUBSTITUTE(Tabla1[[#This Row],[Descripción]],CHAR(10),"    I    ")</f>
        <v>Toma de avance diario y actualización de cronograma</v>
      </c>
      <c r="Z2647" s="142">
        <f>VLOOKUP(Tabla1[[#This Row],[Perfil]],Catalogos!$B$75:$D$100,3,FALSE)*Tabla1[[#This Row],[Tiempo
(Hrs 00/100)]]*1.16</f>
        <v>696</v>
      </c>
      <c r="AA2647" t="s">
        <v>3356</v>
      </c>
    </row>
    <row r="2648" spans="1:27" ht="15" customHeight="1" thickBot="1" x14ac:dyDescent="0.35">
      <c r="A2648" s="677" t="s">
        <v>22</v>
      </c>
      <c r="B2648" s="677" t="s">
        <v>23</v>
      </c>
      <c r="C2648" s="677" t="s">
        <v>49</v>
      </c>
      <c r="D2648" s="677"/>
      <c r="E2648" s="677" t="s">
        <v>4133</v>
      </c>
      <c r="F2648" s="677" t="s">
        <v>23</v>
      </c>
      <c r="G2648" s="677" t="s">
        <v>5103</v>
      </c>
      <c r="H2648" s="678" t="s">
        <v>5086</v>
      </c>
      <c r="I2648" s="679" t="s">
        <v>5087</v>
      </c>
      <c r="J2648" s="673">
        <v>45239</v>
      </c>
      <c r="K2648" s="703">
        <v>0.375</v>
      </c>
      <c r="L2648" s="673">
        <v>45239</v>
      </c>
      <c r="M2648" s="663">
        <v>0.41666666666666669</v>
      </c>
      <c r="N2648" s="680">
        <v>1</v>
      </c>
      <c r="O2648" s="681" t="s">
        <v>17</v>
      </c>
      <c r="P2648" s="682" t="s">
        <v>5088</v>
      </c>
      <c r="Q2648" s="683" t="s">
        <v>28</v>
      </c>
      <c r="R2648" s="684" t="s">
        <v>78</v>
      </c>
      <c r="S2648" s="31" t="s">
        <v>273</v>
      </c>
      <c r="T2648" s="31" t="s">
        <v>273</v>
      </c>
      <c r="U2648" s="31">
        <f>IFERROR(VLOOKUP(CONCATENATE(Tabla1[[#This Row],[Severidad]]," ",Tabla1[[#This Row],[Complejidad]]),Catalogos!E$120:G$128,3,FALSE),"")</f>
        <v>64</v>
      </c>
      <c r="V2648" s="31" t="str">
        <f>IF(Tabla1[[#This Row],[Tiempo solución max (hrs)]]&lt;&gt;"",IF(Tabla1[[#This Row],[Tiempo solución max (hrs)]]&gt;=Tabla1[[#This Row],[Tiempo
(Hrs 00/100)]],"cumple","no cumple"),"")</f>
        <v>cumple</v>
      </c>
      <c r="W2648" s="376" t="s">
        <v>4210</v>
      </c>
      <c r="X2648" s="377" t="str">
        <f t="shared" si="211"/>
        <v>SAI</v>
      </c>
      <c r="Y2648" t="str">
        <f>SUBSTITUTE(Tabla1[[#This Row],[Descripción]],CHAR(10),"    I    ")</f>
        <v>Toma de avance diario y actualización de cronograma</v>
      </c>
      <c r="Z2648" s="142">
        <f>VLOOKUP(Tabla1[[#This Row],[Perfil]],Catalogos!$B$75:$D$100,3,FALSE)*Tabla1[[#This Row],[Tiempo
(Hrs 00/100)]]*1.16</f>
        <v>696</v>
      </c>
      <c r="AA2648" t="s">
        <v>3356</v>
      </c>
    </row>
    <row r="2649" spans="1:27" ht="15" customHeight="1" thickBot="1" x14ac:dyDescent="0.35">
      <c r="A2649" s="677" t="s">
        <v>22</v>
      </c>
      <c r="B2649" s="677" t="s">
        <v>23</v>
      </c>
      <c r="C2649" s="677" t="s">
        <v>49</v>
      </c>
      <c r="D2649" s="677"/>
      <c r="E2649" s="677" t="s">
        <v>4133</v>
      </c>
      <c r="F2649" s="677" t="s">
        <v>23</v>
      </c>
      <c r="G2649" s="677" t="s">
        <v>5104</v>
      </c>
      <c r="H2649" s="678" t="s">
        <v>5086</v>
      </c>
      <c r="I2649" s="679" t="s">
        <v>5087</v>
      </c>
      <c r="J2649" s="673">
        <v>45240</v>
      </c>
      <c r="K2649" s="703">
        <v>0.375</v>
      </c>
      <c r="L2649" s="673">
        <v>45240</v>
      </c>
      <c r="M2649" s="663">
        <v>0.41666666666666669</v>
      </c>
      <c r="N2649" s="680">
        <v>1</v>
      </c>
      <c r="O2649" s="681" t="s">
        <v>17</v>
      </c>
      <c r="P2649" s="682" t="s">
        <v>5088</v>
      </c>
      <c r="Q2649" s="683" t="s">
        <v>28</v>
      </c>
      <c r="R2649" s="684" t="s">
        <v>78</v>
      </c>
      <c r="S2649" s="31" t="s">
        <v>273</v>
      </c>
      <c r="T2649" s="31" t="s">
        <v>273</v>
      </c>
      <c r="U2649" s="31">
        <f>IFERROR(VLOOKUP(CONCATENATE(Tabla1[[#This Row],[Severidad]]," ",Tabla1[[#This Row],[Complejidad]]),Catalogos!E$120:G$128,3,FALSE),"")</f>
        <v>64</v>
      </c>
      <c r="V2649" s="31" t="str">
        <f>IF(Tabla1[[#This Row],[Tiempo solución max (hrs)]]&lt;&gt;"",IF(Tabla1[[#This Row],[Tiempo solución max (hrs)]]&gt;=Tabla1[[#This Row],[Tiempo
(Hrs 00/100)]],"cumple","no cumple"),"")</f>
        <v>cumple</v>
      </c>
      <c r="W2649" s="376" t="s">
        <v>4210</v>
      </c>
      <c r="X2649" s="377" t="str">
        <f t="shared" si="211"/>
        <v>SAI</v>
      </c>
      <c r="Y2649" t="str">
        <f>SUBSTITUTE(Tabla1[[#This Row],[Descripción]],CHAR(10),"    I    ")</f>
        <v>Toma de avance diario y actualización de cronograma</v>
      </c>
      <c r="Z2649" s="142">
        <f>VLOOKUP(Tabla1[[#This Row],[Perfil]],Catalogos!$B$75:$D$100,3,FALSE)*Tabla1[[#This Row],[Tiempo
(Hrs 00/100)]]*1.16</f>
        <v>696</v>
      </c>
      <c r="AA2649" t="s">
        <v>3356</v>
      </c>
    </row>
    <row r="2650" spans="1:27" ht="15" customHeight="1" thickBot="1" x14ac:dyDescent="0.35">
      <c r="A2650" s="677" t="s">
        <v>22</v>
      </c>
      <c r="B2650" s="677" t="s">
        <v>23</v>
      </c>
      <c r="C2650" s="677" t="s">
        <v>49</v>
      </c>
      <c r="D2650" s="677"/>
      <c r="E2650" s="677" t="s">
        <v>4133</v>
      </c>
      <c r="F2650" s="677" t="s">
        <v>23</v>
      </c>
      <c r="G2650" s="677" t="s">
        <v>5105</v>
      </c>
      <c r="H2650" s="678" t="s">
        <v>5086</v>
      </c>
      <c r="I2650" s="679" t="s">
        <v>5091</v>
      </c>
      <c r="J2650" s="673">
        <v>45240</v>
      </c>
      <c r="K2650" s="703">
        <v>0.375</v>
      </c>
      <c r="L2650" s="673">
        <v>45240</v>
      </c>
      <c r="M2650" s="663">
        <v>0.41666666666666669</v>
      </c>
      <c r="N2650" s="680">
        <v>1</v>
      </c>
      <c r="O2650" s="681" t="s">
        <v>17</v>
      </c>
      <c r="P2650" s="682" t="s">
        <v>5092</v>
      </c>
      <c r="Q2650" s="683" t="s">
        <v>28</v>
      </c>
      <c r="R2650" s="684" t="s">
        <v>78</v>
      </c>
      <c r="S2650" s="31" t="s">
        <v>273</v>
      </c>
      <c r="T2650" s="31" t="s">
        <v>273</v>
      </c>
      <c r="U2650" s="31">
        <f>IFERROR(VLOOKUP(CONCATENATE(Tabla1[[#This Row],[Severidad]]," ",Tabla1[[#This Row],[Complejidad]]),Catalogos!E$120:G$128,3,FALSE),"")</f>
        <v>64</v>
      </c>
      <c r="V2650" s="31" t="str">
        <f>IF(Tabla1[[#This Row],[Tiempo solución max (hrs)]]&lt;&gt;"",IF(Tabla1[[#This Row],[Tiempo solución max (hrs)]]&gt;=Tabla1[[#This Row],[Tiempo
(Hrs 00/100)]],"cumple","no cumple"),"")</f>
        <v>cumple</v>
      </c>
      <c r="W2650" s="376" t="s">
        <v>4210</v>
      </c>
      <c r="X2650" s="377" t="str">
        <f t="shared" si="211"/>
        <v>SAI</v>
      </c>
      <c r="Y2650" t="str">
        <f>SUBSTITUTE(Tabla1[[#This Row],[Descripción]],CHAR(10),"    I    ")</f>
        <v>Revisión y actualización de Plan de riesgos</v>
      </c>
      <c r="Z2650" s="142">
        <f>VLOOKUP(Tabla1[[#This Row],[Perfil]],Catalogos!$B$75:$D$100,3,FALSE)*Tabla1[[#This Row],[Tiempo
(Hrs 00/100)]]*1.16</f>
        <v>696</v>
      </c>
      <c r="AA2650" t="s">
        <v>3356</v>
      </c>
    </row>
    <row r="2651" spans="1:27" ht="15" customHeight="1" thickBot="1" x14ac:dyDescent="0.35">
      <c r="A2651" s="677" t="s">
        <v>22</v>
      </c>
      <c r="B2651" s="677" t="s">
        <v>23</v>
      </c>
      <c r="C2651" s="677" t="s">
        <v>49</v>
      </c>
      <c r="D2651" s="677"/>
      <c r="E2651" s="677" t="s">
        <v>4133</v>
      </c>
      <c r="F2651" s="677" t="s">
        <v>23</v>
      </c>
      <c r="G2651" s="677" t="s">
        <v>5106</v>
      </c>
      <c r="H2651" s="678" t="s">
        <v>5086</v>
      </c>
      <c r="I2651" s="679" t="s">
        <v>5094</v>
      </c>
      <c r="J2651" s="673">
        <v>45240</v>
      </c>
      <c r="K2651" s="703">
        <v>0.375</v>
      </c>
      <c r="L2651" s="673">
        <v>45240</v>
      </c>
      <c r="M2651" s="663">
        <v>0.41666666666666669</v>
      </c>
      <c r="N2651" s="680">
        <v>1</v>
      </c>
      <c r="O2651" s="681" t="s">
        <v>17</v>
      </c>
      <c r="P2651" s="682" t="s">
        <v>5095</v>
      </c>
      <c r="Q2651" s="683" t="s">
        <v>28</v>
      </c>
      <c r="R2651" s="684" t="s">
        <v>78</v>
      </c>
      <c r="S2651" s="31" t="s">
        <v>273</v>
      </c>
      <c r="T2651" s="31" t="s">
        <v>273</v>
      </c>
      <c r="U2651" s="31">
        <f>IFERROR(VLOOKUP(CONCATENATE(Tabla1[[#This Row],[Severidad]]," ",Tabla1[[#This Row],[Complejidad]]),Catalogos!E$120:G$128,3,FALSE),"")</f>
        <v>64</v>
      </c>
      <c r="V2651" s="31" t="str">
        <f>IF(Tabla1[[#This Row],[Tiempo solución max (hrs)]]&lt;&gt;"",IF(Tabla1[[#This Row],[Tiempo solución max (hrs)]]&gt;=Tabla1[[#This Row],[Tiempo
(Hrs 00/100)]],"cumple","no cumple"),"")</f>
        <v>cumple</v>
      </c>
      <c r="W2651" s="376" t="s">
        <v>4210</v>
      </c>
      <c r="X2651" s="377" t="str">
        <f t="shared" si="211"/>
        <v>SAI</v>
      </c>
      <c r="Y2651" t="str">
        <f>SUBSTITUTE(Tabla1[[#This Row],[Descripción]],CHAR(10),"    I    ")</f>
        <v>Generación de Presentación semanal de estatus del proyecto</v>
      </c>
      <c r="Z2651" s="142">
        <f>VLOOKUP(Tabla1[[#This Row],[Perfil]],Catalogos!$B$75:$D$100,3,FALSE)*Tabla1[[#This Row],[Tiempo
(Hrs 00/100)]]*1.16</f>
        <v>696</v>
      </c>
      <c r="AA2651" t="s">
        <v>3356</v>
      </c>
    </row>
    <row r="2652" spans="1:27" ht="15" customHeight="1" thickBot="1" x14ac:dyDescent="0.35">
      <c r="A2652" s="677" t="s">
        <v>22</v>
      </c>
      <c r="B2652" s="677" t="s">
        <v>23</v>
      </c>
      <c r="C2652" s="677" t="s">
        <v>49</v>
      </c>
      <c r="D2652" s="677"/>
      <c r="E2652" s="677" t="s">
        <v>4133</v>
      </c>
      <c r="F2652" s="677" t="s">
        <v>23</v>
      </c>
      <c r="G2652" s="677" t="s">
        <v>5108</v>
      </c>
      <c r="H2652" s="678" t="s">
        <v>5086</v>
      </c>
      <c r="I2652" s="679" t="s">
        <v>5107</v>
      </c>
      <c r="J2652" s="673">
        <v>45243</v>
      </c>
      <c r="K2652" s="703">
        <v>0.5</v>
      </c>
      <c r="L2652" s="673">
        <v>45243</v>
      </c>
      <c r="M2652" s="663">
        <v>0.54166666666666663</v>
      </c>
      <c r="N2652" s="680">
        <v>1</v>
      </c>
      <c r="O2652" s="681" t="s">
        <v>17</v>
      </c>
      <c r="P2652" s="682" t="s">
        <v>5098</v>
      </c>
      <c r="Q2652" s="683" t="s">
        <v>28</v>
      </c>
      <c r="R2652" s="684" t="s">
        <v>78</v>
      </c>
      <c r="S2652" s="31" t="s">
        <v>273</v>
      </c>
      <c r="T2652" s="31" t="s">
        <v>273</v>
      </c>
      <c r="U2652" s="31">
        <f>IFERROR(VLOOKUP(CONCATENATE(Tabla1[[#This Row],[Severidad]]," ",Tabla1[[#This Row],[Complejidad]]),Catalogos!E$120:G$128,3,FALSE),"")</f>
        <v>64</v>
      </c>
      <c r="V2652" s="31" t="str">
        <f>IF(Tabla1[[#This Row],[Tiempo solución max (hrs)]]&lt;&gt;"",IF(Tabla1[[#This Row],[Tiempo solución max (hrs)]]&gt;=Tabla1[[#This Row],[Tiempo
(Hrs 00/100)]],"cumple","no cumple"),"")</f>
        <v>cumple</v>
      </c>
      <c r="W2652" s="376" t="s">
        <v>4210</v>
      </c>
      <c r="X2652" s="377" t="str">
        <f t="shared" si="211"/>
        <v>SAI</v>
      </c>
      <c r="Y2652" t="str">
        <f>SUBSTITUTE(Tabla1[[#This Row],[Descripción]],CHAR(10),"    I    ")</f>
        <v>Presentación avance semanal del 06 al 10 de noviembre 2023</v>
      </c>
      <c r="Z2652" s="142">
        <f>VLOOKUP(Tabla1[[#This Row],[Perfil]],Catalogos!$B$75:$D$100,3,FALSE)*Tabla1[[#This Row],[Tiempo
(Hrs 00/100)]]*1.16</f>
        <v>696</v>
      </c>
      <c r="AA2652" t="s">
        <v>3356</v>
      </c>
    </row>
    <row r="2653" spans="1:27" ht="15" customHeight="1" thickBot="1" x14ac:dyDescent="0.35">
      <c r="A2653" s="677" t="s">
        <v>22</v>
      </c>
      <c r="B2653" s="677" t="s">
        <v>23</v>
      </c>
      <c r="C2653" s="677" t="s">
        <v>49</v>
      </c>
      <c r="D2653" s="677"/>
      <c r="E2653" s="677" t="s">
        <v>4133</v>
      </c>
      <c r="F2653" s="677" t="s">
        <v>23</v>
      </c>
      <c r="G2653" s="677" t="s">
        <v>5109</v>
      </c>
      <c r="H2653" s="678" t="s">
        <v>5086</v>
      </c>
      <c r="I2653" s="679" t="s">
        <v>5087</v>
      </c>
      <c r="J2653" s="673">
        <v>45243</v>
      </c>
      <c r="K2653" s="703">
        <v>0.375</v>
      </c>
      <c r="L2653" s="673">
        <v>45243</v>
      </c>
      <c r="M2653" s="663">
        <v>0.41666666666666669</v>
      </c>
      <c r="N2653" s="680">
        <v>1</v>
      </c>
      <c r="O2653" s="681" t="s">
        <v>17</v>
      </c>
      <c r="P2653" s="682" t="s">
        <v>5088</v>
      </c>
      <c r="Q2653" s="683" t="s">
        <v>28</v>
      </c>
      <c r="R2653" s="684" t="s">
        <v>78</v>
      </c>
      <c r="S2653" s="31" t="s">
        <v>273</v>
      </c>
      <c r="T2653" s="31" t="s">
        <v>273</v>
      </c>
      <c r="U2653" s="31">
        <f>IFERROR(VLOOKUP(CONCATENATE(Tabla1[[#This Row],[Severidad]]," ",Tabla1[[#This Row],[Complejidad]]),Catalogos!E$120:G$128,3,FALSE),"")</f>
        <v>64</v>
      </c>
      <c r="V2653" s="31" t="str">
        <f>IF(Tabla1[[#This Row],[Tiempo solución max (hrs)]]&lt;&gt;"",IF(Tabla1[[#This Row],[Tiempo solución max (hrs)]]&gt;=Tabla1[[#This Row],[Tiempo
(Hrs 00/100)]],"cumple","no cumple"),"")</f>
        <v>cumple</v>
      </c>
      <c r="W2653" s="376" t="s">
        <v>4210</v>
      </c>
      <c r="X2653" s="377" t="str">
        <f t="shared" si="211"/>
        <v>SAI</v>
      </c>
      <c r="Y2653" t="str">
        <f>SUBSTITUTE(Tabla1[[#This Row],[Descripción]],CHAR(10),"    I    ")</f>
        <v>Toma de avance diario y actualización de cronograma</v>
      </c>
      <c r="Z2653" s="142">
        <f>VLOOKUP(Tabla1[[#This Row],[Perfil]],Catalogos!$B$75:$D$100,3,FALSE)*Tabla1[[#This Row],[Tiempo
(Hrs 00/100)]]*1.16</f>
        <v>696</v>
      </c>
      <c r="AA2653" t="s">
        <v>3356</v>
      </c>
    </row>
    <row r="2654" spans="1:27" ht="15" customHeight="1" thickBot="1" x14ac:dyDescent="0.35">
      <c r="A2654" s="677" t="s">
        <v>22</v>
      </c>
      <c r="B2654" s="677" t="s">
        <v>23</v>
      </c>
      <c r="C2654" s="677" t="s">
        <v>49</v>
      </c>
      <c r="D2654" s="677"/>
      <c r="E2654" s="677" t="s">
        <v>4133</v>
      </c>
      <c r="F2654" s="677" t="s">
        <v>23</v>
      </c>
      <c r="G2654" s="677" t="s">
        <v>5110</v>
      </c>
      <c r="H2654" s="678" t="s">
        <v>5086</v>
      </c>
      <c r="I2654" s="679" t="s">
        <v>5087</v>
      </c>
      <c r="J2654" s="673">
        <v>45244</v>
      </c>
      <c r="K2654" s="703">
        <v>0.375</v>
      </c>
      <c r="L2654" s="673">
        <v>45244</v>
      </c>
      <c r="M2654" s="663">
        <v>0.41666666666666669</v>
      </c>
      <c r="N2654" s="680">
        <v>1</v>
      </c>
      <c r="O2654" s="681" t="s">
        <v>17</v>
      </c>
      <c r="P2654" s="682" t="s">
        <v>5088</v>
      </c>
      <c r="Q2654" s="683" t="s">
        <v>28</v>
      </c>
      <c r="R2654" s="684" t="s">
        <v>78</v>
      </c>
      <c r="S2654" s="31" t="s">
        <v>273</v>
      </c>
      <c r="T2654" s="31" t="s">
        <v>273</v>
      </c>
      <c r="U2654" s="31">
        <f>IFERROR(VLOOKUP(CONCATENATE(Tabla1[[#This Row],[Severidad]]," ",Tabla1[[#This Row],[Complejidad]]),Catalogos!E$120:G$128,3,FALSE),"")</f>
        <v>64</v>
      </c>
      <c r="V2654" s="31" t="str">
        <f>IF(Tabla1[[#This Row],[Tiempo solución max (hrs)]]&lt;&gt;"",IF(Tabla1[[#This Row],[Tiempo solución max (hrs)]]&gt;=Tabla1[[#This Row],[Tiempo
(Hrs 00/100)]],"cumple","no cumple"),"")</f>
        <v>cumple</v>
      </c>
      <c r="W2654" s="376" t="s">
        <v>4210</v>
      </c>
      <c r="X2654" s="377" t="str">
        <f t="shared" si="211"/>
        <v>SAI</v>
      </c>
      <c r="Y2654" t="str">
        <f>SUBSTITUTE(Tabla1[[#This Row],[Descripción]],CHAR(10),"    I    ")</f>
        <v>Toma de avance diario y actualización de cronograma</v>
      </c>
      <c r="Z2654" s="142">
        <f>VLOOKUP(Tabla1[[#This Row],[Perfil]],Catalogos!$B$75:$D$100,3,FALSE)*Tabla1[[#This Row],[Tiempo
(Hrs 00/100)]]*1.16</f>
        <v>696</v>
      </c>
      <c r="AA2654" t="s">
        <v>3356</v>
      </c>
    </row>
    <row r="2655" spans="1:27" ht="15" customHeight="1" thickBot="1" x14ac:dyDescent="0.35">
      <c r="A2655" s="677" t="s">
        <v>22</v>
      </c>
      <c r="B2655" s="677" t="s">
        <v>23</v>
      </c>
      <c r="C2655" s="677" t="s">
        <v>49</v>
      </c>
      <c r="D2655" s="677"/>
      <c r="E2655" s="677" t="s">
        <v>4133</v>
      </c>
      <c r="F2655" s="677" t="s">
        <v>23</v>
      </c>
      <c r="G2655" s="677" t="s">
        <v>5111</v>
      </c>
      <c r="H2655" s="678" t="s">
        <v>5086</v>
      </c>
      <c r="I2655" s="679" t="s">
        <v>5087</v>
      </c>
      <c r="J2655" s="673">
        <v>45245</v>
      </c>
      <c r="K2655" s="703">
        <v>0.375</v>
      </c>
      <c r="L2655" s="673">
        <v>45245</v>
      </c>
      <c r="M2655" s="663">
        <v>0.41666666666666669</v>
      </c>
      <c r="N2655" s="680">
        <v>1</v>
      </c>
      <c r="O2655" s="681" t="s">
        <v>17</v>
      </c>
      <c r="P2655" s="682" t="s">
        <v>5088</v>
      </c>
      <c r="Q2655" s="683" t="s">
        <v>28</v>
      </c>
      <c r="R2655" s="684" t="s">
        <v>78</v>
      </c>
      <c r="S2655" s="31" t="s">
        <v>273</v>
      </c>
      <c r="T2655" s="31" t="s">
        <v>273</v>
      </c>
      <c r="U2655" s="31">
        <f>IFERROR(VLOOKUP(CONCATENATE(Tabla1[[#This Row],[Severidad]]," ",Tabla1[[#This Row],[Complejidad]]),Catalogos!E$120:G$128,3,FALSE),"")</f>
        <v>64</v>
      </c>
      <c r="V2655" s="31" t="str">
        <f>IF(Tabla1[[#This Row],[Tiempo solución max (hrs)]]&lt;&gt;"",IF(Tabla1[[#This Row],[Tiempo solución max (hrs)]]&gt;=Tabla1[[#This Row],[Tiempo
(Hrs 00/100)]],"cumple","no cumple"),"")</f>
        <v>cumple</v>
      </c>
      <c r="W2655" s="376" t="s">
        <v>4210</v>
      </c>
      <c r="X2655" s="377" t="str">
        <f t="shared" si="211"/>
        <v>SAI</v>
      </c>
      <c r="Y2655" t="str">
        <f>SUBSTITUTE(Tabla1[[#This Row],[Descripción]],CHAR(10),"    I    ")</f>
        <v>Toma de avance diario y actualización de cronograma</v>
      </c>
      <c r="Z2655" s="142">
        <f>VLOOKUP(Tabla1[[#This Row],[Perfil]],Catalogos!$B$75:$D$100,3,FALSE)*Tabla1[[#This Row],[Tiempo
(Hrs 00/100)]]*1.16</f>
        <v>696</v>
      </c>
      <c r="AA2655" t="s">
        <v>3356</v>
      </c>
    </row>
    <row r="2656" spans="1:27" ht="15" customHeight="1" thickBot="1" x14ac:dyDescent="0.35">
      <c r="A2656" s="677" t="s">
        <v>22</v>
      </c>
      <c r="B2656" s="677" t="s">
        <v>23</v>
      </c>
      <c r="C2656" s="677" t="s">
        <v>49</v>
      </c>
      <c r="D2656" s="677"/>
      <c r="E2656" s="677" t="s">
        <v>4133</v>
      </c>
      <c r="F2656" s="677" t="s">
        <v>23</v>
      </c>
      <c r="G2656" s="677" t="s">
        <v>5112</v>
      </c>
      <c r="H2656" s="678" t="s">
        <v>5086</v>
      </c>
      <c r="I2656" s="679" t="s">
        <v>5087</v>
      </c>
      <c r="J2656" s="673">
        <v>45246</v>
      </c>
      <c r="K2656" s="703">
        <v>0.375</v>
      </c>
      <c r="L2656" s="673">
        <v>45246</v>
      </c>
      <c r="M2656" s="663">
        <v>0.41666666666666669</v>
      </c>
      <c r="N2656" s="680">
        <v>1</v>
      </c>
      <c r="O2656" s="681" t="s">
        <v>17</v>
      </c>
      <c r="P2656" s="682" t="s">
        <v>5088</v>
      </c>
      <c r="Q2656" s="683" t="s">
        <v>28</v>
      </c>
      <c r="R2656" s="684" t="s">
        <v>78</v>
      </c>
      <c r="S2656" s="31" t="s">
        <v>273</v>
      </c>
      <c r="T2656" s="31" t="s">
        <v>273</v>
      </c>
      <c r="U2656" s="31">
        <f>IFERROR(VLOOKUP(CONCATENATE(Tabla1[[#This Row],[Severidad]]," ",Tabla1[[#This Row],[Complejidad]]),Catalogos!E$120:G$128,3,FALSE),"")</f>
        <v>64</v>
      </c>
      <c r="V2656" s="31" t="str">
        <f>IF(Tabla1[[#This Row],[Tiempo solución max (hrs)]]&lt;&gt;"",IF(Tabla1[[#This Row],[Tiempo solución max (hrs)]]&gt;=Tabla1[[#This Row],[Tiempo
(Hrs 00/100)]],"cumple","no cumple"),"")</f>
        <v>cumple</v>
      </c>
      <c r="W2656" s="376" t="s">
        <v>4210</v>
      </c>
      <c r="X2656" s="377" t="str">
        <f t="shared" si="211"/>
        <v>SAI</v>
      </c>
      <c r="Y2656" t="str">
        <f>SUBSTITUTE(Tabla1[[#This Row],[Descripción]],CHAR(10),"    I    ")</f>
        <v>Toma de avance diario y actualización de cronograma</v>
      </c>
      <c r="Z2656" s="142">
        <f>VLOOKUP(Tabla1[[#This Row],[Perfil]],Catalogos!$B$75:$D$100,3,FALSE)*Tabla1[[#This Row],[Tiempo
(Hrs 00/100)]]*1.16</f>
        <v>696</v>
      </c>
      <c r="AA2656" t="s">
        <v>3356</v>
      </c>
    </row>
    <row r="2657" spans="1:27" ht="15" customHeight="1" thickBot="1" x14ac:dyDescent="0.35">
      <c r="A2657" s="677" t="s">
        <v>22</v>
      </c>
      <c r="B2657" s="677" t="s">
        <v>23</v>
      </c>
      <c r="C2657" s="677" t="s">
        <v>49</v>
      </c>
      <c r="D2657" s="677"/>
      <c r="E2657" s="677" t="s">
        <v>4133</v>
      </c>
      <c r="F2657" s="677" t="s">
        <v>23</v>
      </c>
      <c r="G2657" s="677" t="s">
        <v>5113</v>
      </c>
      <c r="H2657" s="678" t="s">
        <v>5086</v>
      </c>
      <c r="I2657" s="679" t="s">
        <v>5087</v>
      </c>
      <c r="J2657" s="673">
        <v>45247</v>
      </c>
      <c r="K2657" s="703">
        <v>0.375</v>
      </c>
      <c r="L2657" s="673">
        <v>45247</v>
      </c>
      <c r="M2657" s="663">
        <v>0.41666666666666669</v>
      </c>
      <c r="N2657" s="680">
        <v>1</v>
      </c>
      <c r="O2657" s="681" t="s">
        <v>17</v>
      </c>
      <c r="P2657" s="682" t="s">
        <v>5088</v>
      </c>
      <c r="Q2657" s="683" t="s">
        <v>28</v>
      </c>
      <c r="R2657" s="684" t="s">
        <v>78</v>
      </c>
      <c r="S2657" s="31" t="s">
        <v>273</v>
      </c>
      <c r="T2657" s="31" t="s">
        <v>273</v>
      </c>
      <c r="U2657" s="31">
        <f>IFERROR(VLOOKUP(CONCATENATE(Tabla1[[#This Row],[Severidad]]," ",Tabla1[[#This Row],[Complejidad]]),Catalogos!E$120:G$128,3,FALSE),"")</f>
        <v>64</v>
      </c>
      <c r="V2657" s="31" t="str">
        <f>IF(Tabla1[[#This Row],[Tiempo solución max (hrs)]]&lt;&gt;"",IF(Tabla1[[#This Row],[Tiempo solución max (hrs)]]&gt;=Tabla1[[#This Row],[Tiempo
(Hrs 00/100)]],"cumple","no cumple"),"")</f>
        <v>cumple</v>
      </c>
      <c r="W2657" s="376" t="s">
        <v>4210</v>
      </c>
      <c r="X2657" s="377" t="str">
        <f t="shared" si="211"/>
        <v>SAI</v>
      </c>
      <c r="Y2657" t="str">
        <f>SUBSTITUTE(Tabla1[[#This Row],[Descripción]],CHAR(10),"    I    ")</f>
        <v>Toma de avance diario y actualización de cronograma</v>
      </c>
      <c r="Z2657" s="142">
        <f>VLOOKUP(Tabla1[[#This Row],[Perfil]],Catalogos!$B$75:$D$100,3,FALSE)*Tabla1[[#This Row],[Tiempo
(Hrs 00/100)]]*1.16</f>
        <v>696</v>
      </c>
      <c r="AA2657" t="s">
        <v>3356</v>
      </c>
    </row>
    <row r="2658" spans="1:27" ht="15" customHeight="1" thickBot="1" x14ac:dyDescent="0.35">
      <c r="A2658" s="677" t="s">
        <v>22</v>
      </c>
      <c r="B2658" s="677" t="s">
        <v>23</v>
      </c>
      <c r="C2658" s="677" t="s">
        <v>49</v>
      </c>
      <c r="D2658" s="677"/>
      <c r="E2658" s="677" t="s">
        <v>4133</v>
      </c>
      <c r="F2658" s="677" t="s">
        <v>23</v>
      </c>
      <c r="G2658" s="677" t="s">
        <v>5114</v>
      </c>
      <c r="H2658" s="678" t="s">
        <v>5086</v>
      </c>
      <c r="I2658" s="679" t="s">
        <v>5091</v>
      </c>
      <c r="J2658" s="673">
        <v>45247</v>
      </c>
      <c r="K2658" s="703">
        <v>0.375</v>
      </c>
      <c r="L2658" s="673">
        <v>45247</v>
      </c>
      <c r="M2658" s="663">
        <v>0.41666666666666669</v>
      </c>
      <c r="N2658" s="680">
        <v>1</v>
      </c>
      <c r="O2658" s="681" t="s">
        <v>17</v>
      </c>
      <c r="P2658" s="682" t="s">
        <v>5092</v>
      </c>
      <c r="Q2658" s="683" t="s">
        <v>28</v>
      </c>
      <c r="R2658" s="684" t="s">
        <v>78</v>
      </c>
      <c r="S2658" s="31" t="s">
        <v>273</v>
      </c>
      <c r="T2658" s="31" t="s">
        <v>273</v>
      </c>
      <c r="U2658" s="31">
        <f>IFERROR(VLOOKUP(CONCATENATE(Tabla1[[#This Row],[Severidad]]," ",Tabla1[[#This Row],[Complejidad]]),Catalogos!E$120:G$128,3,FALSE),"")</f>
        <v>64</v>
      </c>
      <c r="V2658" s="31" t="str">
        <f>IF(Tabla1[[#This Row],[Tiempo solución max (hrs)]]&lt;&gt;"",IF(Tabla1[[#This Row],[Tiempo solución max (hrs)]]&gt;=Tabla1[[#This Row],[Tiempo
(Hrs 00/100)]],"cumple","no cumple"),"")</f>
        <v>cumple</v>
      </c>
      <c r="W2658" s="376" t="s">
        <v>4210</v>
      </c>
      <c r="X2658" s="377" t="str">
        <f t="shared" si="211"/>
        <v>SAI</v>
      </c>
      <c r="Y2658" t="str">
        <f>SUBSTITUTE(Tabla1[[#This Row],[Descripción]],CHAR(10),"    I    ")</f>
        <v>Revisión y actualización de Plan de riesgos</v>
      </c>
      <c r="Z2658" s="142">
        <f>VLOOKUP(Tabla1[[#This Row],[Perfil]],Catalogos!$B$75:$D$100,3,FALSE)*Tabla1[[#This Row],[Tiempo
(Hrs 00/100)]]*1.16</f>
        <v>696</v>
      </c>
      <c r="AA2658" t="s">
        <v>3356</v>
      </c>
    </row>
    <row r="2659" spans="1:27" ht="15" customHeight="1" thickBot="1" x14ac:dyDescent="0.35">
      <c r="A2659" s="677" t="s">
        <v>22</v>
      </c>
      <c r="B2659" s="677" t="s">
        <v>23</v>
      </c>
      <c r="C2659" s="677" t="s">
        <v>49</v>
      </c>
      <c r="D2659" s="677"/>
      <c r="E2659" s="677" t="s">
        <v>4133</v>
      </c>
      <c r="F2659" s="677" t="s">
        <v>23</v>
      </c>
      <c r="G2659" s="677" t="s">
        <v>5115</v>
      </c>
      <c r="H2659" s="678" t="s">
        <v>5086</v>
      </c>
      <c r="I2659" s="679" t="s">
        <v>5094</v>
      </c>
      <c r="J2659" s="673">
        <v>45247</v>
      </c>
      <c r="K2659" s="703">
        <v>0.375</v>
      </c>
      <c r="L2659" s="673">
        <v>45247</v>
      </c>
      <c r="M2659" s="663">
        <v>0.41666666666666669</v>
      </c>
      <c r="N2659" s="680">
        <v>1</v>
      </c>
      <c r="O2659" s="681" t="s">
        <v>17</v>
      </c>
      <c r="P2659" s="682" t="s">
        <v>5095</v>
      </c>
      <c r="Q2659" s="683" t="s">
        <v>28</v>
      </c>
      <c r="R2659" s="684" t="s">
        <v>78</v>
      </c>
      <c r="S2659" s="31" t="s">
        <v>273</v>
      </c>
      <c r="T2659" s="31" t="s">
        <v>273</v>
      </c>
      <c r="U2659" s="31">
        <f>IFERROR(VLOOKUP(CONCATENATE(Tabla1[[#This Row],[Severidad]]," ",Tabla1[[#This Row],[Complejidad]]),Catalogos!E$120:G$128,3,FALSE),"")</f>
        <v>64</v>
      </c>
      <c r="V2659" s="31" t="str">
        <f>IF(Tabla1[[#This Row],[Tiempo solución max (hrs)]]&lt;&gt;"",IF(Tabla1[[#This Row],[Tiempo solución max (hrs)]]&gt;=Tabla1[[#This Row],[Tiempo
(Hrs 00/100)]],"cumple","no cumple"),"")</f>
        <v>cumple</v>
      </c>
      <c r="W2659" s="376" t="s">
        <v>4210</v>
      </c>
      <c r="X2659" s="377" t="str">
        <f t="shared" si="211"/>
        <v>SAI</v>
      </c>
      <c r="Y2659" t="str">
        <f>SUBSTITUTE(Tabla1[[#This Row],[Descripción]],CHAR(10),"    I    ")</f>
        <v>Generación de Presentación semanal de estatus del proyecto</v>
      </c>
      <c r="Z2659" s="142">
        <f>VLOOKUP(Tabla1[[#This Row],[Perfil]],Catalogos!$B$75:$D$100,3,FALSE)*Tabla1[[#This Row],[Tiempo
(Hrs 00/100)]]*1.16</f>
        <v>696</v>
      </c>
      <c r="AA2659" t="s">
        <v>3356</v>
      </c>
    </row>
    <row r="2660" spans="1:27" ht="15" customHeight="1" thickBot="1" x14ac:dyDescent="0.35">
      <c r="A2660" s="677" t="s">
        <v>22</v>
      </c>
      <c r="B2660" s="677" t="s">
        <v>23</v>
      </c>
      <c r="C2660" s="677" t="s">
        <v>49</v>
      </c>
      <c r="D2660" s="677"/>
      <c r="E2660" s="677" t="s">
        <v>4133</v>
      </c>
      <c r="F2660" s="677" t="s">
        <v>23</v>
      </c>
      <c r="G2660" s="677" t="s">
        <v>5117</v>
      </c>
      <c r="H2660" s="678" t="s">
        <v>5086</v>
      </c>
      <c r="I2660" s="679" t="s">
        <v>5116</v>
      </c>
      <c r="J2660" s="673">
        <v>45251</v>
      </c>
      <c r="K2660" s="703">
        <v>0.5</v>
      </c>
      <c r="L2660" s="673">
        <v>45251</v>
      </c>
      <c r="M2660" s="663">
        <v>0.54166666666666663</v>
      </c>
      <c r="N2660" s="680">
        <v>1</v>
      </c>
      <c r="O2660" s="681" t="s">
        <v>17</v>
      </c>
      <c r="P2660" s="682" t="s">
        <v>5098</v>
      </c>
      <c r="Q2660" s="683" t="s">
        <v>28</v>
      </c>
      <c r="R2660" s="684" t="s">
        <v>78</v>
      </c>
      <c r="S2660" s="31" t="s">
        <v>273</v>
      </c>
      <c r="T2660" s="31" t="s">
        <v>273</v>
      </c>
      <c r="U2660" s="31">
        <f>IFERROR(VLOOKUP(CONCATENATE(Tabla1[[#This Row],[Severidad]]," ",Tabla1[[#This Row],[Complejidad]]),Catalogos!E$120:G$128,3,FALSE),"")</f>
        <v>64</v>
      </c>
      <c r="V2660" s="31" t="str">
        <f>IF(Tabla1[[#This Row],[Tiempo solución max (hrs)]]&lt;&gt;"",IF(Tabla1[[#This Row],[Tiempo solución max (hrs)]]&gt;=Tabla1[[#This Row],[Tiempo
(Hrs 00/100)]],"cumple","no cumple"),"")</f>
        <v>cumple</v>
      </c>
      <c r="W2660" s="376" t="s">
        <v>4210</v>
      </c>
      <c r="X2660" s="377" t="str">
        <f t="shared" si="211"/>
        <v>SAI</v>
      </c>
      <c r="Y2660" t="str">
        <f>SUBSTITUTE(Tabla1[[#This Row],[Descripción]],CHAR(10),"    I    ")</f>
        <v>Presentación avance semanal del 13 al 17 de noviembre 2023</v>
      </c>
      <c r="Z2660" s="142">
        <f>VLOOKUP(Tabla1[[#This Row],[Perfil]],Catalogos!$B$75:$D$100,3,FALSE)*Tabla1[[#This Row],[Tiempo
(Hrs 00/100)]]*1.16</f>
        <v>696</v>
      </c>
      <c r="AA2660" t="s">
        <v>3356</v>
      </c>
    </row>
    <row r="2661" spans="1:27" ht="15" customHeight="1" thickBot="1" x14ac:dyDescent="0.35">
      <c r="A2661" s="677" t="s">
        <v>22</v>
      </c>
      <c r="B2661" s="677" t="s">
        <v>23</v>
      </c>
      <c r="C2661" s="677" t="s">
        <v>49</v>
      </c>
      <c r="D2661" s="677"/>
      <c r="E2661" s="677" t="s">
        <v>4133</v>
      </c>
      <c r="F2661" s="677" t="s">
        <v>23</v>
      </c>
      <c r="G2661" s="677" t="s">
        <v>5118</v>
      </c>
      <c r="H2661" s="678" t="s">
        <v>5086</v>
      </c>
      <c r="I2661" s="679" t="s">
        <v>5087</v>
      </c>
      <c r="J2661" s="673">
        <v>45251</v>
      </c>
      <c r="K2661" s="703">
        <v>0.375</v>
      </c>
      <c r="L2661" s="673">
        <v>45251</v>
      </c>
      <c r="M2661" s="663">
        <v>0.41666666666666669</v>
      </c>
      <c r="N2661" s="680">
        <v>1</v>
      </c>
      <c r="O2661" s="681" t="s">
        <v>17</v>
      </c>
      <c r="P2661" s="682" t="s">
        <v>5088</v>
      </c>
      <c r="Q2661" s="683" t="s">
        <v>28</v>
      </c>
      <c r="R2661" s="684" t="s">
        <v>78</v>
      </c>
      <c r="S2661" s="31" t="s">
        <v>273</v>
      </c>
      <c r="T2661" s="31" t="s">
        <v>273</v>
      </c>
      <c r="U2661" s="31">
        <f>IFERROR(VLOOKUP(CONCATENATE(Tabla1[[#This Row],[Severidad]]," ",Tabla1[[#This Row],[Complejidad]]),Catalogos!E$120:G$128,3,FALSE),"")</f>
        <v>64</v>
      </c>
      <c r="V2661" s="31" t="str">
        <f>IF(Tabla1[[#This Row],[Tiempo solución max (hrs)]]&lt;&gt;"",IF(Tabla1[[#This Row],[Tiempo solución max (hrs)]]&gt;=Tabla1[[#This Row],[Tiempo
(Hrs 00/100)]],"cumple","no cumple"),"")</f>
        <v>cumple</v>
      </c>
      <c r="W2661" s="376" t="s">
        <v>4210</v>
      </c>
      <c r="X2661" s="377" t="str">
        <f t="shared" si="211"/>
        <v>SAI</v>
      </c>
      <c r="Y2661" t="str">
        <f>SUBSTITUTE(Tabla1[[#This Row],[Descripción]],CHAR(10),"    I    ")</f>
        <v>Toma de avance diario y actualización de cronograma</v>
      </c>
      <c r="Z2661" s="142">
        <f>VLOOKUP(Tabla1[[#This Row],[Perfil]],Catalogos!$B$75:$D$100,3,FALSE)*Tabla1[[#This Row],[Tiempo
(Hrs 00/100)]]*1.16</f>
        <v>696</v>
      </c>
      <c r="AA2661" t="s">
        <v>3356</v>
      </c>
    </row>
    <row r="2662" spans="1:27" ht="15" customHeight="1" thickBot="1" x14ac:dyDescent="0.35">
      <c r="A2662" s="677" t="s">
        <v>22</v>
      </c>
      <c r="B2662" s="677" t="s">
        <v>23</v>
      </c>
      <c r="C2662" s="677" t="s">
        <v>49</v>
      </c>
      <c r="D2662" s="677"/>
      <c r="E2662" s="677" t="s">
        <v>4133</v>
      </c>
      <c r="F2662" s="677" t="s">
        <v>23</v>
      </c>
      <c r="G2662" s="677" t="s">
        <v>5119</v>
      </c>
      <c r="H2662" s="678" t="s">
        <v>5086</v>
      </c>
      <c r="I2662" s="679" t="s">
        <v>5087</v>
      </c>
      <c r="J2662" s="673">
        <v>45252</v>
      </c>
      <c r="K2662" s="703">
        <v>0.375</v>
      </c>
      <c r="L2662" s="673">
        <v>45252</v>
      </c>
      <c r="M2662" s="663">
        <v>0.41666666666666669</v>
      </c>
      <c r="N2662" s="680">
        <v>1</v>
      </c>
      <c r="O2662" s="681" t="s">
        <v>17</v>
      </c>
      <c r="P2662" s="682" t="s">
        <v>5088</v>
      </c>
      <c r="Q2662" s="683" t="s">
        <v>28</v>
      </c>
      <c r="R2662" s="684" t="s">
        <v>78</v>
      </c>
      <c r="S2662" s="31" t="s">
        <v>273</v>
      </c>
      <c r="T2662" s="31" t="s">
        <v>273</v>
      </c>
      <c r="U2662" s="31">
        <f>IFERROR(VLOOKUP(CONCATENATE(Tabla1[[#This Row],[Severidad]]," ",Tabla1[[#This Row],[Complejidad]]),Catalogos!E$120:G$128,3,FALSE),"")</f>
        <v>64</v>
      </c>
      <c r="V2662" s="31" t="str">
        <f>IF(Tabla1[[#This Row],[Tiempo solución max (hrs)]]&lt;&gt;"",IF(Tabla1[[#This Row],[Tiempo solución max (hrs)]]&gt;=Tabla1[[#This Row],[Tiempo
(Hrs 00/100)]],"cumple","no cumple"),"")</f>
        <v>cumple</v>
      </c>
      <c r="W2662" s="376" t="s">
        <v>4210</v>
      </c>
      <c r="X2662" s="377" t="str">
        <f t="shared" si="211"/>
        <v>SAI</v>
      </c>
      <c r="Y2662" t="str">
        <f>SUBSTITUTE(Tabla1[[#This Row],[Descripción]],CHAR(10),"    I    ")</f>
        <v>Toma de avance diario y actualización de cronograma</v>
      </c>
      <c r="Z2662" s="142">
        <f>VLOOKUP(Tabla1[[#This Row],[Perfil]],Catalogos!$B$75:$D$100,3,FALSE)*Tabla1[[#This Row],[Tiempo
(Hrs 00/100)]]*1.16</f>
        <v>696</v>
      </c>
      <c r="AA2662" t="s">
        <v>3356</v>
      </c>
    </row>
    <row r="2663" spans="1:27" ht="15" customHeight="1" thickBot="1" x14ac:dyDescent="0.35">
      <c r="A2663" s="677" t="s">
        <v>22</v>
      </c>
      <c r="B2663" s="677" t="s">
        <v>23</v>
      </c>
      <c r="C2663" s="677" t="s">
        <v>49</v>
      </c>
      <c r="D2663" s="677"/>
      <c r="E2663" s="677" t="s">
        <v>4133</v>
      </c>
      <c r="F2663" s="677" t="s">
        <v>23</v>
      </c>
      <c r="G2663" s="677" t="s">
        <v>5120</v>
      </c>
      <c r="H2663" s="678" t="s">
        <v>5086</v>
      </c>
      <c r="I2663" s="679" t="s">
        <v>5087</v>
      </c>
      <c r="J2663" s="673">
        <v>45253</v>
      </c>
      <c r="K2663" s="703">
        <v>0.375</v>
      </c>
      <c r="L2663" s="673">
        <v>45253</v>
      </c>
      <c r="M2663" s="663">
        <v>0.41666666666666669</v>
      </c>
      <c r="N2663" s="680">
        <v>1</v>
      </c>
      <c r="O2663" s="681" t="s">
        <v>17</v>
      </c>
      <c r="P2663" s="682" t="s">
        <v>5088</v>
      </c>
      <c r="Q2663" s="683" t="s">
        <v>28</v>
      </c>
      <c r="R2663" s="684" t="s">
        <v>78</v>
      </c>
      <c r="S2663" s="31" t="s">
        <v>273</v>
      </c>
      <c r="T2663" s="31" t="s">
        <v>273</v>
      </c>
      <c r="U2663" s="31">
        <f>IFERROR(VLOOKUP(CONCATENATE(Tabla1[[#This Row],[Severidad]]," ",Tabla1[[#This Row],[Complejidad]]),Catalogos!E$120:G$128,3,FALSE),"")</f>
        <v>64</v>
      </c>
      <c r="V2663" s="31" t="str">
        <f>IF(Tabla1[[#This Row],[Tiempo solución max (hrs)]]&lt;&gt;"",IF(Tabla1[[#This Row],[Tiempo solución max (hrs)]]&gt;=Tabla1[[#This Row],[Tiempo
(Hrs 00/100)]],"cumple","no cumple"),"")</f>
        <v>cumple</v>
      </c>
      <c r="W2663" s="376" t="s">
        <v>4210</v>
      </c>
      <c r="X2663" s="377" t="str">
        <f t="shared" ref="X2663:X2692" si="212">IF(C2663&lt;&gt;"",C2663,D2663)</f>
        <v>SAI</v>
      </c>
      <c r="Y2663" t="str">
        <f>SUBSTITUTE(Tabla1[[#This Row],[Descripción]],CHAR(10),"    I    ")</f>
        <v>Toma de avance diario y actualización de cronograma</v>
      </c>
      <c r="Z2663" s="142">
        <f>VLOOKUP(Tabla1[[#This Row],[Perfil]],Catalogos!$B$75:$D$100,3,FALSE)*Tabla1[[#This Row],[Tiempo
(Hrs 00/100)]]*1.16</f>
        <v>696</v>
      </c>
      <c r="AA2663" t="s">
        <v>3356</v>
      </c>
    </row>
    <row r="2664" spans="1:27" ht="15" customHeight="1" thickBot="1" x14ac:dyDescent="0.35">
      <c r="A2664" s="677" t="s">
        <v>22</v>
      </c>
      <c r="B2664" s="677" t="s">
        <v>23</v>
      </c>
      <c r="C2664" s="677" t="s">
        <v>49</v>
      </c>
      <c r="D2664" s="677"/>
      <c r="E2664" s="677" t="s">
        <v>4133</v>
      </c>
      <c r="F2664" s="677" t="s">
        <v>23</v>
      </c>
      <c r="G2664" s="677" t="s">
        <v>5121</v>
      </c>
      <c r="H2664" s="678" t="s">
        <v>5086</v>
      </c>
      <c r="I2664" s="679" t="s">
        <v>5087</v>
      </c>
      <c r="J2664" s="673">
        <v>45254</v>
      </c>
      <c r="K2664" s="703">
        <v>0.375</v>
      </c>
      <c r="L2664" s="673">
        <v>45254</v>
      </c>
      <c r="M2664" s="663">
        <v>0.41666666666666669</v>
      </c>
      <c r="N2664" s="680">
        <v>1</v>
      </c>
      <c r="O2664" s="681" t="s">
        <v>17</v>
      </c>
      <c r="P2664" s="682" t="s">
        <v>5088</v>
      </c>
      <c r="Q2664" s="683" t="s">
        <v>28</v>
      </c>
      <c r="R2664" s="684" t="s">
        <v>78</v>
      </c>
      <c r="S2664" s="31" t="s">
        <v>273</v>
      </c>
      <c r="T2664" s="31" t="s">
        <v>273</v>
      </c>
      <c r="U2664" s="31">
        <f>IFERROR(VLOOKUP(CONCATENATE(Tabla1[[#This Row],[Severidad]]," ",Tabla1[[#This Row],[Complejidad]]),Catalogos!E$120:G$128,3,FALSE),"")</f>
        <v>64</v>
      </c>
      <c r="V2664" s="31" t="str">
        <f>IF(Tabla1[[#This Row],[Tiempo solución max (hrs)]]&lt;&gt;"",IF(Tabla1[[#This Row],[Tiempo solución max (hrs)]]&gt;=Tabla1[[#This Row],[Tiempo
(Hrs 00/100)]],"cumple","no cumple"),"")</f>
        <v>cumple</v>
      </c>
      <c r="W2664" s="376" t="s">
        <v>4210</v>
      </c>
      <c r="X2664" s="377" t="str">
        <f t="shared" si="212"/>
        <v>SAI</v>
      </c>
      <c r="Y2664" t="str">
        <f>SUBSTITUTE(Tabla1[[#This Row],[Descripción]],CHAR(10),"    I    ")</f>
        <v>Toma de avance diario y actualización de cronograma</v>
      </c>
      <c r="Z2664" s="142">
        <f>VLOOKUP(Tabla1[[#This Row],[Perfil]],Catalogos!$B$75:$D$100,3,FALSE)*Tabla1[[#This Row],[Tiempo
(Hrs 00/100)]]*1.16</f>
        <v>696</v>
      </c>
      <c r="AA2664" t="s">
        <v>3356</v>
      </c>
    </row>
    <row r="2665" spans="1:27" ht="15" customHeight="1" thickBot="1" x14ac:dyDescent="0.35">
      <c r="A2665" s="677" t="s">
        <v>22</v>
      </c>
      <c r="B2665" s="677" t="s">
        <v>23</v>
      </c>
      <c r="C2665" s="677" t="s">
        <v>49</v>
      </c>
      <c r="D2665" s="677"/>
      <c r="E2665" s="677" t="s">
        <v>4133</v>
      </c>
      <c r="F2665" s="677" t="s">
        <v>23</v>
      </c>
      <c r="G2665" s="677" t="s">
        <v>5122</v>
      </c>
      <c r="H2665" s="678" t="s">
        <v>5086</v>
      </c>
      <c r="I2665" s="679" t="s">
        <v>5091</v>
      </c>
      <c r="J2665" s="673">
        <v>45254</v>
      </c>
      <c r="K2665" s="703">
        <v>0.375</v>
      </c>
      <c r="L2665" s="673">
        <v>45254</v>
      </c>
      <c r="M2665" s="663">
        <v>0.41666666666666669</v>
      </c>
      <c r="N2665" s="680">
        <v>1</v>
      </c>
      <c r="O2665" s="681" t="s">
        <v>17</v>
      </c>
      <c r="P2665" s="682" t="s">
        <v>5092</v>
      </c>
      <c r="Q2665" s="683" t="s">
        <v>28</v>
      </c>
      <c r="R2665" s="684" t="s">
        <v>78</v>
      </c>
      <c r="S2665" s="31" t="s">
        <v>273</v>
      </c>
      <c r="T2665" s="31" t="s">
        <v>273</v>
      </c>
      <c r="U2665" s="31">
        <f>IFERROR(VLOOKUP(CONCATENATE(Tabla1[[#This Row],[Severidad]]," ",Tabla1[[#This Row],[Complejidad]]),Catalogos!E$120:G$128,3,FALSE),"")</f>
        <v>64</v>
      </c>
      <c r="V2665" s="31" t="str">
        <f>IF(Tabla1[[#This Row],[Tiempo solución max (hrs)]]&lt;&gt;"",IF(Tabla1[[#This Row],[Tiempo solución max (hrs)]]&gt;=Tabla1[[#This Row],[Tiempo
(Hrs 00/100)]],"cumple","no cumple"),"")</f>
        <v>cumple</v>
      </c>
      <c r="W2665" s="376" t="s">
        <v>4210</v>
      </c>
      <c r="X2665" s="377" t="str">
        <f t="shared" si="212"/>
        <v>SAI</v>
      </c>
      <c r="Y2665" t="str">
        <f>SUBSTITUTE(Tabla1[[#This Row],[Descripción]],CHAR(10),"    I    ")</f>
        <v>Revisión y actualización de Plan de riesgos</v>
      </c>
      <c r="Z2665" s="142">
        <f>VLOOKUP(Tabla1[[#This Row],[Perfil]],Catalogos!$B$75:$D$100,3,FALSE)*Tabla1[[#This Row],[Tiempo
(Hrs 00/100)]]*1.16</f>
        <v>696</v>
      </c>
      <c r="AA2665" t="s">
        <v>3356</v>
      </c>
    </row>
    <row r="2666" spans="1:27" ht="15" customHeight="1" thickBot="1" x14ac:dyDescent="0.35">
      <c r="A2666" s="677" t="s">
        <v>22</v>
      </c>
      <c r="B2666" s="677" t="s">
        <v>23</v>
      </c>
      <c r="C2666" s="677" t="s">
        <v>49</v>
      </c>
      <c r="D2666" s="677"/>
      <c r="E2666" s="677" t="s">
        <v>4133</v>
      </c>
      <c r="F2666" s="677" t="s">
        <v>23</v>
      </c>
      <c r="G2666" s="677" t="s">
        <v>5123</v>
      </c>
      <c r="H2666" s="678" t="s">
        <v>5086</v>
      </c>
      <c r="I2666" s="679" t="s">
        <v>5094</v>
      </c>
      <c r="J2666" s="673">
        <v>45254</v>
      </c>
      <c r="K2666" s="703">
        <v>0.375</v>
      </c>
      <c r="L2666" s="673">
        <v>45254</v>
      </c>
      <c r="M2666" s="663">
        <v>0.41666666666666669</v>
      </c>
      <c r="N2666" s="680">
        <v>1</v>
      </c>
      <c r="O2666" s="681" t="s">
        <v>17</v>
      </c>
      <c r="P2666" s="682" t="s">
        <v>5095</v>
      </c>
      <c r="Q2666" s="683" t="s">
        <v>28</v>
      </c>
      <c r="R2666" s="684" t="s">
        <v>78</v>
      </c>
      <c r="S2666" s="31" t="s">
        <v>273</v>
      </c>
      <c r="T2666" s="31" t="s">
        <v>273</v>
      </c>
      <c r="U2666" s="31">
        <f>IFERROR(VLOOKUP(CONCATENATE(Tabla1[[#This Row],[Severidad]]," ",Tabla1[[#This Row],[Complejidad]]),Catalogos!E$120:G$128,3,FALSE),"")</f>
        <v>64</v>
      </c>
      <c r="V2666" s="31" t="str">
        <f>IF(Tabla1[[#This Row],[Tiempo solución max (hrs)]]&lt;&gt;"",IF(Tabla1[[#This Row],[Tiempo solución max (hrs)]]&gt;=Tabla1[[#This Row],[Tiempo
(Hrs 00/100)]],"cumple","no cumple"),"")</f>
        <v>cumple</v>
      </c>
      <c r="W2666" s="376" t="s">
        <v>4210</v>
      </c>
      <c r="X2666" s="377" t="str">
        <f t="shared" si="212"/>
        <v>SAI</v>
      </c>
      <c r="Y2666" t="str">
        <f>SUBSTITUTE(Tabla1[[#This Row],[Descripción]],CHAR(10),"    I    ")</f>
        <v>Generación de Presentación semanal de estatus del proyecto</v>
      </c>
      <c r="Z2666" s="142">
        <f>VLOOKUP(Tabla1[[#This Row],[Perfil]],Catalogos!$B$75:$D$100,3,FALSE)*Tabla1[[#This Row],[Tiempo
(Hrs 00/100)]]*1.16</f>
        <v>696</v>
      </c>
      <c r="AA2666" t="s">
        <v>3356</v>
      </c>
    </row>
    <row r="2667" spans="1:27" ht="15" customHeight="1" thickBot="1" x14ac:dyDescent="0.35">
      <c r="A2667" s="677" t="s">
        <v>22</v>
      </c>
      <c r="B2667" s="677" t="s">
        <v>23</v>
      </c>
      <c r="C2667" s="677" t="s">
        <v>49</v>
      </c>
      <c r="D2667" s="677"/>
      <c r="E2667" s="677" t="s">
        <v>4133</v>
      </c>
      <c r="F2667" s="677" t="s">
        <v>23</v>
      </c>
      <c r="G2667" s="677" t="s">
        <v>5125</v>
      </c>
      <c r="H2667" s="678" t="s">
        <v>5086</v>
      </c>
      <c r="I2667" s="679" t="s">
        <v>5124</v>
      </c>
      <c r="J2667" s="673">
        <v>45257</v>
      </c>
      <c r="K2667" s="703">
        <v>0.5</v>
      </c>
      <c r="L2667" s="673">
        <v>45257</v>
      </c>
      <c r="M2667" s="663">
        <v>0.54166666666666663</v>
      </c>
      <c r="N2667" s="680">
        <v>1</v>
      </c>
      <c r="O2667" s="681" t="s">
        <v>17</v>
      </c>
      <c r="P2667" s="682" t="s">
        <v>5098</v>
      </c>
      <c r="Q2667" s="683" t="s">
        <v>28</v>
      </c>
      <c r="R2667" s="684" t="s">
        <v>78</v>
      </c>
      <c r="S2667" s="31" t="s">
        <v>273</v>
      </c>
      <c r="T2667" s="31" t="s">
        <v>273</v>
      </c>
      <c r="U2667" s="31">
        <f>IFERROR(VLOOKUP(CONCATENATE(Tabla1[[#This Row],[Severidad]]," ",Tabla1[[#This Row],[Complejidad]]),Catalogos!E$120:G$128,3,FALSE),"")</f>
        <v>64</v>
      </c>
      <c r="V2667" s="31" t="str">
        <f>IF(Tabla1[[#This Row],[Tiempo solución max (hrs)]]&lt;&gt;"",IF(Tabla1[[#This Row],[Tiempo solución max (hrs)]]&gt;=Tabla1[[#This Row],[Tiempo
(Hrs 00/100)]],"cumple","no cumple"),"")</f>
        <v>cumple</v>
      </c>
      <c r="W2667" s="376" t="s">
        <v>4210</v>
      </c>
      <c r="X2667" s="377" t="str">
        <f t="shared" si="212"/>
        <v>SAI</v>
      </c>
      <c r="Y2667" t="str">
        <f>SUBSTITUTE(Tabla1[[#This Row],[Descripción]],CHAR(10),"    I    ")</f>
        <v>Presentación avance semanal del 20 al 24 de noviembre 2026</v>
      </c>
      <c r="Z2667" s="142">
        <f>VLOOKUP(Tabla1[[#This Row],[Perfil]],Catalogos!$B$75:$D$100,3,FALSE)*Tabla1[[#This Row],[Tiempo
(Hrs 00/100)]]*1.16</f>
        <v>696</v>
      </c>
      <c r="AA2667" t="s">
        <v>3356</v>
      </c>
    </row>
    <row r="2668" spans="1:27" ht="15" customHeight="1" thickBot="1" x14ac:dyDescent="0.35">
      <c r="A2668" s="677" t="s">
        <v>22</v>
      </c>
      <c r="B2668" s="677" t="s">
        <v>23</v>
      </c>
      <c r="C2668" s="677" t="s">
        <v>49</v>
      </c>
      <c r="D2668" s="677"/>
      <c r="E2668" s="677" t="s">
        <v>4133</v>
      </c>
      <c r="F2668" s="677" t="s">
        <v>23</v>
      </c>
      <c r="G2668" s="677" t="s">
        <v>5126</v>
      </c>
      <c r="H2668" s="678" t="s">
        <v>5086</v>
      </c>
      <c r="I2668" s="679" t="s">
        <v>5087</v>
      </c>
      <c r="J2668" s="673">
        <v>45257</v>
      </c>
      <c r="K2668" s="703">
        <v>0.375</v>
      </c>
      <c r="L2668" s="673">
        <v>45257</v>
      </c>
      <c r="M2668" s="663">
        <v>0.41666666666666669</v>
      </c>
      <c r="N2668" s="680">
        <v>1</v>
      </c>
      <c r="O2668" s="681" t="s">
        <v>17</v>
      </c>
      <c r="P2668" s="682" t="s">
        <v>5088</v>
      </c>
      <c r="Q2668" s="683" t="s">
        <v>28</v>
      </c>
      <c r="R2668" s="684" t="s">
        <v>78</v>
      </c>
      <c r="S2668" s="31" t="s">
        <v>273</v>
      </c>
      <c r="T2668" s="31" t="s">
        <v>273</v>
      </c>
      <c r="U2668" s="31">
        <f>IFERROR(VLOOKUP(CONCATENATE(Tabla1[[#This Row],[Severidad]]," ",Tabla1[[#This Row],[Complejidad]]),Catalogos!E$120:G$128,3,FALSE),"")</f>
        <v>64</v>
      </c>
      <c r="V2668" s="31" t="str">
        <f>IF(Tabla1[[#This Row],[Tiempo solución max (hrs)]]&lt;&gt;"",IF(Tabla1[[#This Row],[Tiempo solución max (hrs)]]&gt;=Tabla1[[#This Row],[Tiempo
(Hrs 00/100)]],"cumple","no cumple"),"")</f>
        <v>cumple</v>
      </c>
      <c r="W2668" s="376" t="s">
        <v>4210</v>
      </c>
      <c r="X2668" s="377" t="str">
        <f t="shared" si="212"/>
        <v>SAI</v>
      </c>
      <c r="Y2668" t="str">
        <f>SUBSTITUTE(Tabla1[[#This Row],[Descripción]],CHAR(10),"    I    ")</f>
        <v>Toma de avance diario y actualización de cronograma</v>
      </c>
      <c r="Z2668" s="142">
        <f>VLOOKUP(Tabla1[[#This Row],[Perfil]],Catalogos!$B$75:$D$100,3,FALSE)*Tabla1[[#This Row],[Tiempo
(Hrs 00/100)]]*1.16</f>
        <v>696</v>
      </c>
      <c r="AA2668" t="s">
        <v>3356</v>
      </c>
    </row>
    <row r="2669" spans="1:27" ht="15" customHeight="1" thickBot="1" x14ac:dyDescent="0.35">
      <c r="A2669" s="677" t="s">
        <v>22</v>
      </c>
      <c r="B2669" s="677" t="s">
        <v>23</v>
      </c>
      <c r="C2669" s="677" t="s">
        <v>49</v>
      </c>
      <c r="D2669" s="677"/>
      <c r="E2669" s="677" t="s">
        <v>4133</v>
      </c>
      <c r="F2669" s="677" t="s">
        <v>23</v>
      </c>
      <c r="G2669" s="677" t="s">
        <v>5127</v>
      </c>
      <c r="H2669" s="678" t="s">
        <v>5086</v>
      </c>
      <c r="I2669" s="679" t="s">
        <v>5087</v>
      </c>
      <c r="J2669" s="673">
        <v>45258</v>
      </c>
      <c r="K2669" s="703">
        <v>0.375</v>
      </c>
      <c r="L2669" s="673">
        <v>45258</v>
      </c>
      <c r="M2669" s="663">
        <v>0.41666666666666669</v>
      </c>
      <c r="N2669" s="680">
        <v>1</v>
      </c>
      <c r="O2669" s="681" t="s">
        <v>17</v>
      </c>
      <c r="P2669" s="682" t="s">
        <v>5088</v>
      </c>
      <c r="Q2669" s="683" t="s">
        <v>28</v>
      </c>
      <c r="R2669" s="684" t="s">
        <v>78</v>
      </c>
      <c r="S2669" s="31" t="s">
        <v>273</v>
      </c>
      <c r="T2669" s="31" t="s">
        <v>273</v>
      </c>
      <c r="U2669" s="31">
        <f>IFERROR(VLOOKUP(CONCATENATE(Tabla1[[#This Row],[Severidad]]," ",Tabla1[[#This Row],[Complejidad]]),Catalogos!E$120:G$128,3,FALSE),"")</f>
        <v>64</v>
      </c>
      <c r="V2669" s="31" t="str">
        <f>IF(Tabla1[[#This Row],[Tiempo solución max (hrs)]]&lt;&gt;"",IF(Tabla1[[#This Row],[Tiempo solución max (hrs)]]&gt;=Tabla1[[#This Row],[Tiempo
(Hrs 00/100)]],"cumple","no cumple"),"")</f>
        <v>cumple</v>
      </c>
      <c r="W2669" s="376" t="s">
        <v>4210</v>
      </c>
      <c r="X2669" s="377" t="str">
        <f t="shared" si="212"/>
        <v>SAI</v>
      </c>
      <c r="Y2669" t="str">
        <f>SUBSTITUTE(Tabla1[[#This Row],[Descripción]],CHAR(10),"    I    ")</f>
        <v>Toma de avance diario y actualización de cronograma</v>
      </c>
      <c r="Z2669" s="142">
        <f>VLOOKUP(Tabla1[[#This Row],[Perfil]],Catalogos!$B$75:$D$100,3,FALSE)*Tabla1[[#This Row],[Tiempo
(Hrs 00/100)]]*1.16</f>
        <v>696</v>
      </c>
      <c r="AA2669" t="s">
        <v>3356</v>
      </c>
    </row>
    <row r="2670" spans="1:27" ht="15" customHeight="1" thickBot="1" x14ac:dyDescent="0.35">
      <c r="A2670" s="677" t="s">
        <v>22</v>
      </c>
      <c r="B2670" s="677" t="s">
        <v>23</v>
      </c>
      <c r="C2670" s="677" t="s">
        <v>49</v>
      </c>
      <c r="D2670" s="677"/>
      <c r="E2670" s="677" t="s">
        <v>4133</v>
      </c>
      <c r="F2670" s="677" t="s">
        <v>23</v>
      </c>
      <c r="G2670" s="677" t="s">
        <v>5128</v>
      </c>
      <c r="H2670" s="678" t="s">
        <v>5086</v>
      </c>
      <c r="I2670" s="679" t="s">
        <v>5087</v>
      </c>
      <c r="J2670" s="673">
        <v>45259</v>
      </c>
      <c r="K2670" s="703">
        <v>0.375</v>
      </c>
      <c r="L2670" s="673">
        <v>45259</v>
      </c>
      <c r="M2670" s="663">
        <v>0.41666666666666669</v>
      </c>
      <c r="N2670" s="680">
        <v>1</v>
      </c>
      <c r="O2670" s="681" t="s">
        <v>17</v>
      </c>
      <c r="P2670" s="682" t="s">
        <v>5088</v>
      </c>
      <c r="Q2670" s="683" t="s">
        <v>28</v>
      </c>
      <c r="R2670" s="684" t="s">
        <v>78</v>
      </c>
      <c r="S2670" s="31" t="s">
        <v>273</v>
      </c>
      <c r="T2670" s="31" t="s">
        <v>273</v>
      </c>
      <c r="U2670" s="31">
        <f>IFERROR(VLOOKUP(CONCATENATE(Tabla1[[#This Row],[Severidad]]," ",Tabla1[[#This Row],[Complejidad]]),Catalogos!E$120:G$128,3,FALSE),"")</f>
        <v>64</v>
      </c>
      <c r="V2670" s="31" t="str">
        <f>IF(Tabla1[[#This Row],[Tiempo solución max (hrs)]]&lt;&gt;"",IF(Tabla1[[#This Row],[Tiempo solución max (hrs)]]&gt;=Tabla1[[#This Row],[Tiempo
(Hrs 00/100)]],"cumple","no cumple"),"")</f>
        <v>cumple</v>
      </c>
      <c r="W2670" s="376" t="s">
        <v>4210</v>
      </c>
      <c r="X2670" s="377" t="str">
        <f t="shared" si="212"/>
        <v>SAI</v>
      </c>
      <c r="Y2670" t="str">
        <f>SUBSTITUTE(Tabla1[[#This Row],[Descripción]],CHAR(10),"    I    ")</f>
        <v>Toma de avance diario y actualización de cronograma</v>
      </c>
      <c r="Z2670" s="142">
        <f>VLOOKUP(Tabla1[[#This Row],[Perfil]],Catalogos!$B$75:$D$100,3,FALSE)*Tabla1[[#This Row],[Tiempo
(Hrs 00/100)]]*1.16</f>
        <v>696</v>
      </c>
      <c r="AA2670" t="s">
        <v>3356</v>
      </c>
    </row>
    <row r="2671" spans="1:27" ht="15" customHeight="1" thickBot="1" x14ac:dyDescent="0.35">
      <c r="A2671" s="677" t="s">
        <v>22</v>
      </c>
      <c r="B2671" s="677" t="s">
        <v>23</v>
      </c>
      <c r="C2671" s="677" t="s">
        <v>49</v>
      </c>
      <c r="D2671" s="677"/>
      <c r="E2671" s="677" t="s">
        <v>4133</v>
      </c>
      <c r="F2671" s="677" t="s">
        <v>23</v>
      </c>
      <c r="G2671" s="224" t="s">
        <v>5129</v>
      </c>
      <c r="H2671" s="678" t="s">
        <v>5086</v>
      </c>
      <c r="I2671" s="679" t="s">
        <v>5087</v>
      </c>
      <c r="J2671" s="673">
        <v>45260</v>
      </c>
      <c r="K2671" s="703">
        <v>0.375</v>
      </c>
      <c r="L2671" s="673">
        <v>45260</v>
      </c>
      <c r="M2671" s="663">
        <v>0.41666666666666669</v>
      </c>
      <c r="N2671" s="680">
        <v>1</v>
      </c>
      <c r="O2671" s="681" t="s">
        <v>17</v>
      </c>
      <c r="P2671" s="682" t="s">
        <v>5088</v>
      </c>
      <c r="Q2671" s="683" t="s">
        <v>28</v>
      </c>
      <c r="R2671" s="684" t="s">
        <v>78</v>
      </c>
      <c r="S2671" s="31" t="s">
        <v>273</v>
      </c>
      <c r="T2671" s="31" t="s">
        <v>273</v>
      </c>
      <c r="U2671" s="31">
        <f>IFERROR(VLOOKUP(CONCATENATE(Tabla1[[#This Row],[Severidad]]," ",Tabla1[[#This Row],[Complejidad]]),Catalogos!E$120:G$128,3,FALSE),"")</f>
        <v>64</v>
      </c>
      <c r="V2671" s="31" t="str">
        <f>IF(Tabla1[[#This Row],[Tiempo solución max (hrs)]]&lt;&gt;"",IF(Tabla1[[#This Row],[Tiempo solución max (hrs)]]&gt;=Tabla1[[#This Row],[Tiempo
(Hrs 00/100)]],"cumple","no cumple"),"")</f>
        <v>cumple</v>
      </c>
      <c r="W2671" s="376" t="s">
        <v>4210</v>
      </c>
      <c r="X2671" s="377" t="str">
        <f t="shared" si="212"/>
        <v>SAI</v>
      </c>
      <c r="Y2671" t="str">
        <f>SUBSTITUTE(Tabla1[[#This Row],[Descripción]],CHAR(10),"    I    ")</f>
        <v>Toma de avance diario y actualización de cronograma</v>
      </c>
      <c r="Z2671" s="142">
        <f>VLOOKUP(Tabla1[[#This Row],[Perfil]],Catalogos!$B$75:$D$100,3,FALSE)*Tabla1[[#This Row],[Tiempo
(Hrs 00/100)]]*1.16</f>
        <v>696</v>
      </c>
      <c r="AA2671" t="s">
        <v>3356</v>
      </c>
    </row>
    <row r="2672" spans="1:27" s="95" customFormat="1" ht="216" x14ac:dyDescent="0.3">
      <c r="A2672" s="373" t="s">
        <v>22</v>
      </c>
      <c r="B2672" s="373" t="s">
        <v>23</v>
      </c>
      <c r="C2672" s="373" t="s">
        <v>49</v>
      </c>
      <c r="D2672" s="373"/>
      <c r="E2672" s="373" t="s">
        <v>5130</v>
      </c>
      <c r="F2672" s="184" t="s">
        <v>23</v>
      </c>
      <c r="G2672" s="327" t="s">
        <v>5158</v>
      </c>
      <c r="H2672" s="468" t="s">
        <v>5131</v>
      </c>
      <c r="I2672" s="467" t="s">
        <v>5132</v>
      </c>
      <c r="J2672" s="729">
        <v>45231</v>
      </c>
      <c r="K2672" s="773">
        <v>0.375</v>
      </c>
      <c r="L2672" s="729">
        <v>45231</v>
      </c>
      <c r="M2672" s="773">
        <v>0.79166666666666663</v>
      </c>
      <c r="N2672" s="373">
        <v>8.5</v>
      </c>
      <c r="O2672" s="184" t="s">
        <v>17</v>
      </c>
      <c r="P2672" s="367" t="s">
        <v>5133</v>
      </c>
      <c r="Q2672" s="179" t="s">
        <v>629</v>
      </c>
      <c r="R2672" s="624" t="s">
        <v>302</v>
      </c>
      <c r="S2672" s="31" t="s">
        <v>273</v>
      </c>
      <c r="T2672" s="31" t="s">
        <v>273</v>
      </c>
      <c r="U2672" s="31">
        <f>IFERROR(VLOOKUP(CONCATENATE(Tabla1[[#This Row],[Severidad]]," ",Tabla1[[#This Row],[Complejidad]]),Catalogos!E$120:G$128,3,FALSE),"")</f>
        <v>64</v>
      </c>
      <c r="V2672" s="31" t="str">
        <f>IF(Tabla1[[#This Row],[Tiempo solución max (hrs)]]&lt;&gt;"",IF(Tabla1[[#This Row],[Tiempo solución max (hrs)]]&gt;=Tabla1[[#This Row],[Tiempo
(Hrs 00/100)]],"cumple","no cumple"),"")</f>
        <v>cumple</v>
      </c>
      <c r="W2672" s="376" t="s">
        <v>4210</v>
      </c>
      <c r="X2672" s="377" t="str">
        <f t="shared" si="212"/>
        <v>SAI</v>
      </c>
      <c r="Y2672" s="95" t="str">
        <f>SUBSTITUTE(Tabla1[[#This Row],[Descripción]],CHAR(10),"    I    ")</f>
        <v>Desarrollo y reordenamiento del informe general. Se elimina mapas y se segmentan g´raficas y tablas. Se ajustan filtros los cuales se aplicarán en todos los informes.</v>
      </c>
      <c r="Z2672" s="685">
        <f>VLOOKUP(Tabla1[[#This Row],[Perfil]],Catalogos!$B$75:$D$100,3,FALSE)*Tabla1[[#This Row],[Tiempo
(Hrs 00/100)]]*1.16</f>
        <v>7887.9999999999991</v>
      </c>
      <c r="AA2672" t="s">
        <v>3356</v>
      </c>
    </row>
    <row r="2673" spans="1:27" s="95" customFormat="1" ht="216" x14ac:dyDescent="0.3">
      <c r="A2673" s="373" t="s">
        <v>22</v>
      </c>
      <c r="B2673" s="373" t="s">
        <v>23</v>
      </c>
      <c r="C2673" s="373" t="s">
        <v>49</v>
      </c>
      <c r="D2673" s="373"/>
      <c r="E2673" s="373" t="s">
        <v>5130</v>
      </c>
      <c r="F2673" s="184" t="s">
        <v>23</v>
      </c>
      <c r="G2673" s="327" t="s">
        <v>5159</v>
      </c>
      <c r="H2673" s="468" t="s">
        <v>5134</v>
      </c>
      <c r="I2673" s="467" t="s">
        <v>5135</v>
      </c>
      <c r="J2673" s="729">
        <v>45233</v>
      </c>
      <c r="K2673" s="773">
        <v>0.375</v>
      </c>
      <c r="L2673" s="729">
        <v>45233</v>
      </c>
      <c r="M2673" s="773">
        <v>0.625</v>
      </c>
      <c r="N2673" s="373">
        <v>6</v>
      </c>
      <c r="O2673" s="686" t="s">
        <v>411</v>
      </c>
      <c r="P2673" s="367" t="s">
        <v>5133</v>
      </c>
      <c r="Q2673" s="179" t="s">
        <v>629</v>
      </c>
      <c r="R2673" s="624" t="s">
        <v>302</v>
      </c>
      <c r="S2673" s="31" t="s">
        <v>273</v>
      </c>
      <c r="T2673" s="31" t="s">
        <v>273</v>
      </c>
      <c r="U2673" s="31">
        <f>IFERROR(VLOOKUP(CONCATENATE(Tabla1[[#This Row],[Severidad]]," ",Tabla1[[#This Row],[Complejidad]]),Catalogos!E$120:G$128,3,FALSE),"")</f>
        <v>64</v>
      </c>
      <c r="V2673" s="31" t="str">
        <f>IF(Tabla1[[#This Row],[Tiempo solución max (hrs)]]&lt;&gt;"",IF(Tabla1[[#This Row],[Tiempo solución max (hrs)]]&gt;=Tabla1[[#This Row],[Tiempo
(Hrs 00/100)]],"cumple","no cumple"),"")</f>
        <v>cumple</v>
      </c>
      <c r="W2673" s="376" t="s">
        <v>4210</v>
      </c>
      <c r="X2673" s="377" t="str">
        <f t="shared" si="212"/>
        <v>SAI</v>
      </c>
      <c r="Y2673" s="95" t="str">
        <f>SUBSTITUTE(Tabla1[[#This Row],[Descripción]],CHAR(10),"    I    ")</f>
        <v>Desarrollo de informes que muyestren un resumen general de todos los integrantes del SNT para los porgramas elegido. Se realizan 5 gráficos para esta solución.</v>
      </c>
      <c r="Z2673" s="685">
        <f>VLOOKUP(Tabla1[[#This Row],[Perfil]],Catalogos!$B$75:$D$100,3,FALSE)*Tabla1[[#This Row],[Tiempo
(Hrs 00/100)]]*1.16</f>
        <v>5568</v>
      </c>
      <c r="AA2673" t="s">
        <v>3356</v>
      </c>
    </row>
    <row r="2674" spans="1:27" s="95" customFormat="1" ht="216" x14ac:dyDescent="0.3">
      <c r="A2674" s="373" t="s">
        <v>22</v>
      </c>
      <c r="B2674" s="373" t="s">
        <v>23</v>
      </c>
      <c r="C2674" s="373" t="s">
        <v>49</v>
      </c>
      <c r="D2674" s="373"/>
      <c r="E2674" s="373" t="s">
        <v>5130</v>
      </c>
      <c r="F2674" s="184" t="s">
        <v>23</v>
      </c>
      <c r="G2674" s="327" t="s">
        <v>5159</v>
      </c>
      <c r="H2674" s="468" t="s">
        <v>5134</v>
      </c>
      <c r="I2674" s="467" t="s">
        <v>5135</v>
      </c>
      <c r="J2674" s="729">
        <v>45236</v>
      </c>
      <c r="K2674" s="773">
        <v>0.375</v>
      </c>
      <c r="L2674" s="729">
        <v>45236</v>
      </c>
      <c r="M2674" s="773">
        <v>0.79166666666666663</v>
      </c>
      <c r="N2674" s="373">
        <v>8.5</v>
      </c>
      <c r="O2674" s="184" t="s">
        <v>17</v>
      </c>
      <c r="P2674" s="367" t="s">
        <v>5133</v>
      </c>
      <c r="Q2674" s="179" t="s">
        <v>629</v>
      </c>
      <c r="R2674" s="624" t="s">
        <v>302</v>
      </c>
      <c r="S2674" s="31" t="s">
        <v>273</v>
      </c>
      <c r="T2674" s="31" t="s">
        <v>273</v>
      </c>
      <c r="U2674" s="31">
        <f>IFERROR(VLOOKUP(CONCATENATE(Tabla1[[#This Row],[Severidad]]," ",Tabla1[[#This Row],[Complejidad]]),Catalogos!E$120:G$128,3,FALSE),"")</f>
        <v>64</v>
      </c>
      <c r="V2674" s="31" t="str">
        <f>IF(Tabla1[[#This Row],[Tiempo solución max (hrs)]]&lt;&gt;"",IF(Tabla1[[#This Row],[Tiempo solución max (hrs)]]&gt;=Tabla1[[#This Row],[Tiempo
(Hrs 00/100)]],"cumple","no cumple"),"")</f>
        <v>cumple</v>
      </c>
      <c r="W2674" s="376" t="s">
        <v>4210</v>
      </c>
      <c r="X2674" s="377" t="str">
        <f t="shared" si="212"/>
        <v>SAI</v>
      </c>
      <c r="Y2674" s="95" t="str">
        <f>SUBSTITUTE(Tabla1[[#This Row],[Descripción]],CHAR(10),"    I    ")</f>
        <v>Desarrollo de informes que muyestren un resumen general de todos los integrantes del SNT para los porgramas elegido. Se realizan 5 gráficos para esta solución.</v>
      </c>
      <c r="Z2674" s="685">
        <f>VLOOKUP(Tabla1[[#This Row],[Perfil]],Catalogos!$B$75:$D$100,3,FALSE)*Tabla1[[#This Row],[Tiempo
(Hrs 00/100)]]*1.16</f>
        <v>7887.9999999999991</v>
      </c>
      <c r="AA2674" t="s">
        <v>3356</v>
      </c>
    </row>
    <row r="2675" spans="1:27" s="95" customFormat="1" ht="216" x14ac:dyDescent="0.3">
      <c r="A2675" s="373" t="s">
        <v>22</v>
      </c>
      <c r="B2675" s="373" t="s">
        <v>23</v>
      </c>
      <c r="C2675" s="373" t="s">
        <v>49</v>
      </c>
      <c r="D2675" s="373"/>
      <c r="E2675" s="373" t="s">
        <v>5130</v>
      </c>
      <c r="F2675" s="184" t="s">
        <v>23</v>
      </c>
      <c r="G2675" s="327" t="s">
        <v>5160</v>
      </c>
      <c r="H2675" s="468" t="s">
        <v>5136</v>
      </c>
      <c r="I2675" s="467" t="s">
        <v>5137</v>
      </c>
      <c r="J2675" s="729">
        <v>45237</v>
      </c>
      <c r="K2675" s="773">
        <v>0.375</v>
      </c>
      <c r="L2675" s="729">
        <v>45237</v>
      </c>
      <c r="M2675" s="773">
        <v>0.79166666666666663</v>
      </c>
      <c r="N2675" s="373">
        <v>8.5</v>
      </c>
      <c r="O2675" s="686" t="s">
        <v>411</v>
      </c>
      <c r="P2675" s="367" t="s">
        <v>5133</v>
      </c>
      <c r="Q2675" s="179" t="s">
        <v>629</v>
      </c>
      <c r="R2675" s="624" t="s">
        <v>302</v>
      </c>
      <c r="S2675" s="31" t="s">
        <v>273</v>
      </c>
      <c r="T2675" s="31" t="s">
        <v>273</v>
      </c>
      <c r="U2675" s="31">
        <f>IFERROR(VLOOKUP(CONCATENATE(Tabla1[[#This Row],[Severidad]]," ",Tabla1[[#This Row],[Complejidad]]),Catalogos!E$120:G$128,3,FALSE),"")</f>
        <v>64</v>
      </c>
      <c r="V2675" s="31" t="str">
        <f>IF(Tabla1[[#This Row],[Tiempo solución max (hrs)]]&lt;&gt;"",IF(Tabla1[[#This Row],[Tiempo solución max (hrs)]]&gt;=Tabla1[[#This Row],[Tiempo
(Hrs 00/100)]],"cumple","no cumple"),"")</f>
        <v>cumple</v>
      </c>
      <c r="W2675" s="376" t="s">
        <v>4210</v>
      </c>
      <c r="X2675" s="377" t="str">
        <f t="shared" si="212"/>
        <v>SAI</v>
      </c>
      <c r="Y2675" s="95" t="str">
        <f>SUBSTITUTE(Tabla1[[#This Row],[Descripción]],CHAR(10),"    I    ")</f>
        <v xml:space="preserve">Se realiza un mapa de calor con base en la cobertura de las líneas de acción que ha cumplido el integraante. </v>
      </c>
      <c r="Z2675" s="685">
        <f>VLOOKUP(Tabla1[[#This Row],[Perfil]],Catalogos!$B$75:$D$100,3,FALSE)*Tabla1[[#This Row],[Tiempo
(Hrs 00/100)]]*1.16</f>
        <v>7887.9999999999991</v>
      </c>
      <c r="AA2675" t="s">
        <v>3356</v>
      </c>
    </row>
    <row r="2676" spans="1:27" s="95" customFormat="1" ht="216" x14ac:dyDescent="0.3">
      <c r="A2676" s="373" t="s">
        <v>22</v>
      </c>
      <c r="B2676" s="373" t="s">
        <v>23</v>
      </c>
      <c r="C2676" s="373" t="s">
        <v>49</v>
      </c>
      <c r="D2676" s="373"/>
      <c r="E2676" s="373" t="s">
        <v>5130</v>
      </c>
      <c r="F2676" s="184" t="s">
        <v>23</v>
      </c>
      <c r="G2676" s="327" t="s">
        <v>5160</v>
      </c>
      <c r="H2676" s="468" t="s">
        <v>5136</v>
      </c>
      <c r="I2676" s="467" t="s">
        <v>5137</v>
      </c>
      <c r="J2676" s="729">
        <v>45238</v>
      </c>
      <c r="K2676" s="773">
        <v>0.375</v>
      </c>
      <c r="L2676" s="729">
        <v>45238</v>
      </c>
      <c r="M2676" s="773">
        <v>0.79166666666666663</v>
      </c>
      <c r="N2676" s="373">
        <v>8.5</v>
      </c>
      <c r="O2676" s="686" t="s">
        <v>411</v>
      </c>
      <c r="P2676" s="367" t="s">
        <v>5133</v>
      </c>
      <c r="Q2676" s="179" t="s">
        <v>629</v>
      </c>
      <c r="R2676" s="624" t="s">
        <v>302</v>
      </c>
      <c r="S2676" s="31" t="s">
        <v>273</v>
      </c>
      <c r="T2676" s="31" t="s">
        <v>273</v>
      </c>
      <c r="U2676" s="31">
        <f>IFERROR(VLOOKUP(CONCATENATE(Tabla1[[#This Row],[Severidad]]," ",Tabla1[[#This Row],[Complejidad]]),Catalogos!E$120:G$128,3,FALSE),"")</f>
        <v>64</v>
      </c>
      <c r="V2676" s="31" t="str">
        <f>IF(Tabla1[[#This Row],[Tiempo solución max (hrs)]]&lt;&gt;"",IF(Tabla1[[#This Row],[Tiempo solución max (hrs)]]&gt;=Tabla1[[#This Row],[Tiempo
(Hrs 00/100)]],"cumple","no cumple"),"")</f>
        <v>cumple</v>
      </c>
      <c r="W2676" s="376" t="s">
        <v>4210</v>
      </c>
      <c r="X2676" s="377" t="str">
        <f t="shared" si="212"/>
        <v>SAI</v>
      </c>
      <c r="Y2676" s="95" t="str">
        <f>SUBSTITUTE(Tabla1[[#This Row],[Descripción]],CHAR(10),"    I    ")</f>
        <v xml:space="preserve">Se realiza un mapa de calor con base en la cobertura de las líneas de acción que ha cumplido el integraante. </v>
      </c>
      <c r="Z2676" s="685">
        <f>VLOOKUP(Tabla1[[#This Row],[Perfil]],Catalogos!$B$75:$D$100,3,FALSE)*Tabla1[[#This Row],[Tiempo
(Hrs 00/100)]]*1.16</f>
        <v>7887.9999999999991</v>
      </c>
      <c r="AA2676" t="s">
        <v>3356</v>
      </c>
    </row>
    <row r="2677" spans="1:27" s="95" customFormat="1" ht="216" x14ac:dyDescent="0.3">
      <c r="A2677" s="373" t="s">
        <v>22</v>
      </c>
      <c r="B2677" s="373" t="s">
        <v>23</v>
      </c>
      <c r="C2677" s="373" t="s">
        <v>49</v>
      </c>
      <c r="D2677" s="373"/>
      <c r="E2677" s="373" t="s">
        <v>5130</v>
      </c>
      <c r="F2677" s="184" t="s">
        <v>23</v>
      </c>
      <c r="G2677" s="327" t="s">
        <v>5160</v>
      </c>
      <c r="H2677" s="468" t="s">
        <v>5136</v>
      </c>
      <c r="I2677" s="467" t="s">
        <v>5137</v>
      </c>
      <c r="J2677" s="729">
        <v>45239</v>
      </c>
      <c r="K2677" s="773">
        <v>0.375</v>
      </c>
      <c r="L2677" s="729">
        <v>45239</v>
      </c>
      <c r="M2677" s="773">
        <v>0.79166666666666663</v>
      </c>
      <c r="N2677" s="373">
        <v>8.5</v>
      </c>
      <c r="O2677" s="686" t="s">
        <v>411</v>
      </c>
      <c r="P2677" s="367" t="s">
        <v>5133</v>
      </c>
      <c r="Q2677" s="179" t="s">
        <v>629</v>
      </c>
      <c r="R2677" s="624" t="s">
        <v>302</v>
      </c>
      <c r="S2677" s="31" t="s">
        <v>273</v>
      </c>
      <c r="T2677" s="31" t="s">
        <v>273</v>
      </c>
      <c r="U2677" s="31">
        <f>IFERROR(VLOOKUP(CONCATENATE(Tabla1[[#This Row],[Severidad]]," ",Tabla1[[#This Row],[Complejidad]]),Catalogos!E$120:G$128,3,FALSE),"")</f>
        <v>64</v>
      </c>
      <c r="V2677" s="31" t="str">
        <f>IF(Tabla1[[#This Row],[Tiempo solución max (hrs)]]&lt;&gt;"",IF(Tabla1[[#This Row],[Tiempo solución max (hrs)]]&gt;=Tabla1[[#This Row],[Tiempo
(Hrs 00/100)]],"cumple","no cumple"),"")</f>
        <v>cumple</v>
      </c>
      <c r="W2677" s="376" t="s">
        <v>4210</v>
      </c>
      <c r="X2677" s="377" t="str">
        <f t="shared" si="212"/>
        <v>SAI</v>
      </c>
      <c r="Y2677" s="95" t="str">
        <f>SUBSTITUTE(Tabla1[[#This Row],[Descripción]],CHAR(10),"    I    ")</f>
        <v xml:space="preserve">Se realiza un mapa de calor con base en la cobertura de las líneas de acción que ha cumplido el integraante. </v>
      </c>
      <c r="Z2677" s="685">
        <f>VLOOKUP(Tabla1[[#This Row],[Perfil]],Catalogos!$B$75:$D$100,3,FALSE)*Tabla1[[#This Row],[Tiempo
(Hrs 00/100)]]*1.16</f>
        <v>7887.9999999999991</v>
      </c>
      <c r="AA2677" t="s">
        <v>3356</v>
      </c>
    </row>
    <row r="2678" spans="1:27" s="95" customFormat="1" ht="216" x14ac:dyDescent="0.3">
      <c r="A2678" s="373" t="s">
        <v>22</v>
      </c>
      <c r="B2678" s="373" t="s">
        <v>23</v>
      </c>
      <c r="C2678" s="373" t="s">
        <v>49</v>
      </c>
      <c r="D2678" s="373"/>
      <c r="E2678" s="373" t="s">
        <v>5130</v>
      </c>
      <c r="F2678" s="184" t="s">
        <v>23</v>
      </c>
      <c r="G2678" s="327" t="s">
        <v>5160</v>
      </c>
      <c r="H2678" s="468" t="s">
        <v>5136</v>
      </c>
      <c r="I2678" s="467" t="s">
        <v>5137</v>
      </c>
      <c r="J2678" s="729">
        <v>45240</v>
      </c>
      <c r="K2678" s="773">
        <v>0.375</v>
      </c>
      <c r="L2678" s="729">
        <v>45240</v>
      </c>
      <c r="M2678" s="773">
        <v>0.79166666666666663</v>
      </c>
      <c r="N2678" s="373">
        <v>6</v>
      </c>
      <c r="O2678" s="686" t="s">
        <v>411</v>
      </c>
      <c r="P2678" s="367" t="s">
        <v>5133</v>
      </c>
      <c r="Q2678" s="179" t="s">
        <v>629</v>
      </c>
      <c r="R2678" s="624" t="s">
        <v>302</v>
      </c>
      <c r="S2678" s="31" t="s">
        <v>273</v>
      </c>
      <c r="T2678" s="31" t="s">
        <v>273</v>
      </c>
      <c r="U2678" s="31">
        <f>IFERROR(VLOOKUP(CONCATENATE(Tabla1[[#This Row],[Severidad]]," ",Tabla1[[#This Row],[Complejidad]]),Catalogos!E$120:G$128,3,FALSE),"")</f>
        <v>64</v>
      </c>
      <c r="V2678" s="31" t="str">
        <f>IF(Tabla1[[#This Row],[Tiempo solución max (hrs)]]&lt;&gt;"",IF(Tabla1[[#This Row],[Tiempo solución max (hrs)]]&gt;=Tabla1[[#This Row],[Tiempo
(Hrs 00/100)]],"cumple","no cumple"),"")</f>
        <v>cumple</v>
      </c>
      <c r="W2678" s="376" t="s">
        <v>4210</v>
      </c>
      <c r="X2678" s="377" t="str">
        <f t="shared" si="212"/>
        <v>SAI</v>
      </c>
      <c r="Y2678" s="95" t="str">
        <f>SUBSTITUTE(Tabla1[[#This Row],[Descripción]],CHAR(10),"    I    ")</f>
        <v xml:space="preserve">Se realiza un mapa de calor con base en la cobertura de las líneas de acción que ha cumplido el integraante. </v>
      </c>
      <c r="Z2678" s="685">
        <f>VLOOKUP(Tabla1[[#This Row],[Perfil]],Catalogos!$B$75:$D$100,3,FALSE)*Tabla1[[#This Row],[Tiempo
(Hrs 00/100)]]*1.16</f>
        <v>5568</v>
      </c>
      <c r="AA2678" t="s">
        <v>3356</v>
      </c>
    </row>
    <row r="2679" spans="1:27" s="95" customFormat="1" ht="216" x14ac:dyDescent="0.3">
      <c r="A2679" s="373" t="s">
        <v>22</v>
      </c>
      <c r="B2679" s="373" t="s">
        <v>23</v>
      </c>
      <c r="C2679" s="373" t="s">
        <v>49</v>
      </c>
      <c r="D2679" s="373"/>
      <c r="E2679" s="373" t="s">
        <v>5130</v>
      </c>
      <c r="F2679" s="184" t="s">
        <v>23</v>
      </c>
      <c r="G2679" s="327" t="s">
        <v>5160</v>
      </c>
      <c r="H2679" s="468" t="s">
        <v>5136</v>
      </c>
      <c r="I2679" s="467" t="s">
        <v>5137</v>
      </c>
      <c r="J2679" s="729">
        <v>45243</v>
      </c>
      <c r="K2679" s="773">
        <v>0.375</v>
      </c>
      <c r="L2679" s="729">
        <v>45243</v>
      </c>
      <c r="M2679" s="773">
        <v>0.79166666666666663</v>
      </c>
      <c r="N2679" s="373">
        <v>8.5</v>
      </c>
      <c r="O2679" s="184" t="s">
        <v>17</v>
      </c>
      <c r="P2679" s="367" t="s">
        <v>5133</v>
      </c>
      <c r="Q2679" s="179" t="s">
        <v>629</v>
      </c>
      <c r="R2679" s="624" t="s">
        <v>302</v>
      </c>
      <c r="S2679" s="31" t="s">
        <v>273</v>
      </c>
      <c r="T2679" s="31" t="s">
        <v>273</v>
      </c>
      <c r="U2679" s="31">
        <f>IFERROR(VLOOKUP(CONCATENATE(Tabla1[[#This Row],[Severidad]]," ",Tabla1[[#This Row],[Complejidad]]),Catalogos!E$120:G$128,3,FALSE),"")</f>
        <v>64</v>
      </c>
      <c r="V2679" s="31" t="str">
        <f>IF(Tabla1[[#This Row],[Tiempo solución max (hrs)]]&lt;&gt;"",IF(Tabla1[[#This Row],[Tiempo solución max (hrs)]]&gt;=Tabla1[[#This Row],[Tiempo
(Hrs 00/100)]],"cumple","no cumple"),"")</f>
        <v>cumple</v>
      </c>
      <c r="W2679" s="376" t="s">
        <v>4210</v>
      </c>
      <c r="X2679" s="377" t="str">
        <f t="shared" si="212"/>
        <v>SAI</v>
      </c>
      <c r="Y2679" s="95" t="str">
        <f>SUBSTITUTE(Tabla1[[#This Row],[Descripción]],CHAR(10),"    I    ")</f>
        <v xml:space="preserve">Se realiza un mapa de calor con base en la cobertura de las líneas de acción que ha cumplido el integraante. </v>
      </c>
      <c r="Z2679" s="685">
        <f>VLOOKUP(Tabla1[[#This Row],[Perfil]],Catalogos!$B$75:$D$100,3,FALSE)*Tabla1[[#This Row],[Tiempo
(Hrs 00/100)]]*1.16</f>
        <v>7887.9999999999991</v>
      </c>
      <c r="AA2679" t="s">
        <v>3356</v>
      </c>
    </row>
    <row r="2680" spans="1:27" s="95" customFormat="1" ht="216" x14ac:dyDescent="0.3">
      <c r="A2680" s="373" t="s">
        <v>22</v>
      </c>
      <c r="B2680" s="373" t="s">
        <v>23</v>
      </c>
      <c r="C2680" s="373" t="s">
        <v>49</v>
      </c>
      <c r="D2680" s="373"/>
      <c r="E2680" s="373" t="s">
        <v>5130</v>
      </c>
      <c r="F2680" s="184" t="s">
        <v>23</v>
      </c>
      <c r="G2680" s="327" t="s">
        <v>5161</v>
      </c>
      <c r="H2680" s="468" t="s">
        <v>5138</v>
      </c>
      <c r="I2680" s="467" t="s">
        <v>5139</v>
      </c>
      <c r="J2680" s="729">
        <v>45244</v>
      </c>
      <c r="K2680" s="773">
        <v>0.375</v>
      </c>
      <c r="L2680" s="729">
        <v>45244</v>
      </c>
      <c r="M2680" s="773">
        <v>0.79166666666666663</v>
      </c>
      <c r="N2680" s="373">
        <v>8.5</v>
      </c>
      <c r="O2680" s="184" t="s">
        <v>17</v>
      </c>
      <c r="P2680" s="367" t="s">
        <v>5133</v>
      </c>
      <c r="Q2680" s="179" t="s">
        <v>629</v>
      </c>
      <c r="R2680" s="624" t="s">
        <v>302</v>
      </c>
      <c r="S2680" s="31" t="s">
        <v>273</v>
      </c>
      <c r="T2680" s="31" t="s">
        <v>273</v>
      </c>
      <c r="U2680" s="31">
        <f>IFERROR(VLOOKUP(CONCATENATE(Tabla1[[#This Row],[Severidad]]," ",Tabla1[[#This Row],[Complejidad]]),Catalogos!E$120:G$128,3,FALSE),"")</f>
        <v>64</v>
      </c>
      <c r="V2680" s="31" t="str">
        <f>IF(Tabla1[[#This Row],[Tiempo solución max (hrs)]]&lt;&gt;"",IF(Tabla1[[#This Row],[Tiempo solución max (hrs)]]&gt;=Tabla1[[#This Row],[Tiempo
(Hrs 00/100)]],"cumple","no cumple"),"")</f>
        <v>cumple</v>
      </c>
      <c r="W2680" s="376" t="s">
        <v>4210</v>
      </c>
      <c r="X2680" s="377" t="str">
        <f t="shared" si="212"/>
        <v>SAI</v>
      </c>
      <c r="Y2680" s="95" t="str">
        <f>SUBSTITUTE(Tabla1[[#This Row],[Descripción]],CHAR(10),"    I    ")</f>
        <v>Se genera una tabla con el total de lineas de acción elegiles y el porcentaje de la cobertura. Contiene una gráfica de barras y una tabla informativa. De igual forma, se agregan los filtros estándar solicitados.</v>
      </c>
      <c r="Z2680" s="685">
        <f>VLOOKUP(Tabla1[[#This Row],[Perfil]],Catalogos!$B$75:$D$100,3,FALSE)*Tabla1[[#This Row],[Tiempo
(Hrs 00/100)]]*1.16</f>
        <v>7887.9999999999991</v>
      </c>
      <c r="AA2680" t="s">
        <v>3356</v>
      </c>
    </row>
    <row r="2681" spans="1:27" s="95" customFormat="1" ht="216" x14ac:dyDescent="0.3">
      <c r="A2681" s="373" t="s">
        <v>22</v>
      </c>
      <c r="B2681" s="373" t="s">
        <v>23</v>
      </c>
      <c r="C2681" s="373" t="s">
        <v>49</v>
      </c>
      <c r="D2681" s="373"/>
      <c r="E2681" s="373" t="s">
        <v>5130</v>
      </c>
      <c r="F2681" s="184" t="s">
        <v>23</v>
      </c>
      <c r="G2681" s="327" t="s">
        <v>5162</v>
      </c>
      <c r="H2681" s="468" t="s">
        <v>5140</v>
      </c>
      <c r="I2681" s="467" t="s">
        <v>5141</v>
      </c>
      <c r="J2681" s="729">
        <v>45245</v>
      </c>
      <c r="K2681" s="773">
        <v>0.375</v>
      </c>
      <c r="L2681" s="729">
        <v>45245</v>
      </c>
      <c r="M2681" s="773">
        <v>0.79166666666666663</v>
      </c>
      <c r="N2681" s="373">
        <v>8.5</v>
      </c>
      <c r="O2681" s="686" t="s">
        <v>411</v>
      </c>
      <c r="P2681" s="367" t="s">
        <v>5133</v>
      </c>
      <c r="Q2681" s="179" t="s">
        <v>629</v>
      </c>
      <c r="R2681" s="624" t="s">
        <v>302</v>
      </c>
      <c r="S2681" s="31" t="s">
        <v>273</v>
      </c>
      <c r="T2681" s="31" t="s">
        <v>273</v>
      </c>
      <c r="U2681" s="31">
        <f>IFERROR(VLOOKUP(CONCATENATE(Tabla1[[#This Row],[Severidad]]," ",Tabla1[[#This Row],[Complejidad]]),Catalogos!E$120:G$128,3,FALSE),"")</f>
        <v>64</v>
      </c>
      <c r="V2681" s="31" t="str">
        <f>IF(Tabla1[[#This Row],[Tiempo solución max (hrs)]]&lt;&gt;"",IF(Tabla1[[#This Row],[Tiempo solución max (hrs)]]&gt;=Tabla1[[#This Row],[Tiempo
(Hrs 00/100)]],"cumple","no cumple"),"")</f>
        <v>cumple</v>
      </c>
      <c r="W2681" s="376" t="s">
        <v>4210</v>
      </c>
      <c r="X2681" s="377" t="str">
        <f t="shared" si="212"/>
        <v>SAI</v>
      </c>
      <c r="Y2681" s="95" t="str">
        <f>SUBSTITUTE(Tabla1[[#This Row],[Descripción]],CHAR(10),"    I    ")</f>
        <v>Se genera un par de tablas que contienen la información sobre las líneas de acción elegibles y la cobertura que se realizó por cada uno de los integrantes (OGL y Federación)</v>
      </c>
      <c r="Z2681" s="685">
        <f>VLOOKUP(Tabla1[[#This Row],[Perfil]],Catalogos!$B$75:$D$100,3,FALSE)*Tabla1[[#This Row],[Tiempo
(Hrs 00/100)]]*1.16</f>
        <v>7887.9999999999991</v>
      </c>
      <c r="AA2681" t="s">
        <v>3356</v>
      </c>
    </row>
    <row r="2682" spans="1:27" s="95" customFormat="1" ht="216" x14ac:dyDescent="0.3">
      <c r="A2682" s="373" t="s">
        <v>22</v>
      </c>
      <c r="B2682" s="373" t="s">
        <v>23</v>
      </c>
      <c r="C2682" s="373" t="s">
        <v>49</v>
      </c>
      <c r="D2682" s="373"/>
      <c r="E2682" s="373" t="s">
        <v>5130</v>
      </c>
      <c r="F2682" s="184" t="s">
        <v>23</v>
      </c>
      <c r="G2682" s="327" t="s">
        <v>5162</v>
      </c>
      <c r="H2682" s="468" t="s">
        <v>5140</v>
      </c>
      <c r="I2682" s="467" t="s">
        <v>5141</v>
      </c>
      <c r="J2682" s="729">
        <v>45246</v>
      </c>
      <c r="K2682" s="773">
        <v>0.375</v>
      </c>
      <c r="L2682" s="729">
        <v>45246</v>
      </c>
      <c r="M2682" s="773">
        <v>0.79166666666666663</v>
      </c>
      <c r="N2682" s="373">
        <v>8.5</v>
      </c>
      <c r="O2682" s="184" t="s">
        <v>17</v>
      </c>
      <c r="P2682" s="367" t="s">
        <v>5133</v>
      </c>
      <c r="Q2682" s="179" t="s">
        <v>629</v>
      </c>
      <c r="R2682" s="624" t="s">
        <v>302</v>
      </c>
      <c r="S2682" s="31" t="s">
        <v>273</v>
      </c>
      <c r="T2682" s="31" t="s">
        <v>273</v>
      </c>
      <c r="U2682" s="31">
        <f>IFERROR(VLOOKUP(CONCATENATE(Tabla1[[#This Row],[Severidad]]," ",Tabla1[[#This Row],[Complejidad]]),Catalogos!E$120:G$128,3,FALSE),"")</f>
        <v>64</v>
      </c>
      <c r="V2682" s="31" t="str">
        <f>IF(Tabla1[[#This Row],[Tiempo solución max (hrs)]]&lt;&gt;"",IF(Tabla1[[#This Row],[Tiempo solución max (hrs)]]&gt;=Tabla1[[#This Row],[Tiempo
(Hrs 00/100)]],"cumple","no cumple"),"")</f>
        <v>cumple</v>
      </c>
      <c r="W2682" s="376" t="s">
        <v>4210</v>
      </c>
      <c r="X2682" s="377" t="str">
        <f t="shared" si="212"/>
        <v>SAI</v>
      </c>
      <c r="Y2682" s="95" t="str">
        <f>SUBSTITUTE(Tabla1[[#This Row],[Descripción]],CHAR(10),"    I    ")</f>
        <v>Se genera un par de tablas que contienen la información sobre las líneas de acción elegibles y la cobertura que se realizó por cada uno de los integrantes (OGL y Federación)</v>
      </c>
      <c r="Z2682" s="685">
        <f>VLOOKUP(Tabla1[[#This Row],[Perfil]],Catalogos!$B$75:$D$100,3,FALSE)*Tabla1[[#This Row],[Tiempo
(Hrs 00/100)]]*1.16</f>
        <v>7887.9999999999991</v>
      </c>
      <c r="AA2682" t="s">
        <v>3356</v>
      </c>
    </row>
    <row r="2683" spans="1:27" s="95" customFormat="1" ht="216" x14ac:dyDescent="0.3">
      <c r="A2683" s="373" t="s">
        <v>22</v>
      </c>
      <c r="B2683" s="373" t="s">
        <v>23</v>
      </c>
      <c r="C2683" s="373" t="s">
        <v>49</v>
      </c>
      <c r="D2683" s="373"/>
      <c r="E2683" s="373" t="s">
        <v>5130</v>
      </c>
      <c r="F2683" s="184" t="s">
        <v>23</v>
      </c>
      <c r="G2683" s="327" t="s">
        <v>5163</v>
      </c>
      <c r="H2683" s="468" t="s">
        <v>5142</v>
      </c>
      <c r="I2683" s="467" t="s">
        <v>5143</v>
      </c>
      <c r="J2683" s="729">
        <v>45247</v>
      </c>
      <c r="K2683" s="773">
        <v>0.375</v>
      </c>
      <c r="L2683" s="729">
        <v>45247</v>
      </c>
      <c r="M2683" s="773">
        <v>0.79166666666666663</v>
      </c>
      <c r="N2683" s="373">
        <v>6</v>
      </c>
      <c r="O2683" s="686" t="s">
        <v>411</v>
      </c>
      <c r="P2683" s="367" t="s">
        <v>5133</v>
      </c>
      <c r="Q2683" s="179" t="s">
        <v>629</v>
      </c>
      <c r="R2683" s="624" t="s">
        <v>302</v>
      </c>
      <c r="S2683" s="31" t="s">
        <v>273</v>
      </c>
      <c r="T2683" s="31" t="s">
        <v>273</v>
      </c>
      <c r="U2683" s="31">
        <f>IFERROR(VLOOKUP(CONCATENATE(Tabla1[[#This Row],[Severidad]]," ",Tabla1[[#This Row],[Complejidad]]),Catalogos!E$120:G$128,3,FALSE),"")</f>
        <v>64</v>
      </c>
      <c r="V2683" s="31" t="str">
        <f>IF(Tabla1[[#This Row],[Tiempo solución max (hrs)]]&lt;&gt;"",IF(Tabla1[[#This Row],[Tiempo solución max (hrs)]]&gt;=Tabla1[[#This Row],[Tiempo
(Hrs 00/100)]],"cumple","no cumple"),"")</f>
        <v>cumple</v>
      </c>
      <c r="W2683" s="376" t="s">
        <v>4210</v>
      </c>
      <c r="X2683" s="377" t="str">
        <f t="shared" si="212"/>
        <v>SAI</v>
      </c>
      <c r="Y2683" s="95" t="str">
        <f>SUBSTITUTE(Tabla1[[#This Row],[Descripción]],CHAR(10),"    I    ")</f>
        <v>Se desarrolla un informe que contiene las actividades realizadas por los inegrantes. Dichas actividades se han separado por semestre.</v>
      </c>
      <c r="Z2683" s="685">
        <f>VLOOKUP(Tabla1[[#This Row],[Perfil]],Catalogos!$B$75:$D$100,3,FALSE)*Tabla1[[#This Row],[Tiempo
(Hrs 00/100)]]*1.16</f>
        <v>5568</v>
      </c>
      <c r="AA2683" t="s">
        <v>3356</v>
      </c>
    </row>
    <row r="2684" spans="1:27" s="95" customFormat="1" ht="216" x14ac:dyDescent="0.3">
      <c r="A2684" s="373" t="s">
        <v>22</v>
      </c>
      <c r="B2684" s="373" t="s">
        <v>23</v>
      </c>
      <c r="C2684" s="373" t="s">
        <v>49</v>
      </c>
      <c r="D2684" s="373"/>
      <c r="E2684" s="373" t="s">
        <v>5130</v>
      </c>
      <c r="F2684" s="184" t="s">
        <v>23</v>
      </c>
      <c r="G2684" s="327" t="s">
        <v>5163</v>
      </c>
      <c r="H2684" s="468" t="s">
        <v>5142</v>
      </c>
      <c r="I2684" s="467" t="s">
        <v>5143</v>
      </c>
      <c r="J2684" s="729">
        <v>45251</v>
      </c>
      <c r="K2684" s="773">
        <v>0.375</v>
      </c>
      <c r="L2684" s="729">
        <v>45251</v>
      </c>
      <c r="M2684" s="773">
        <v>0.79166666666666663</v>
      </c>
      <c r="N2684" s="373">
        <v>8.5</v>
      </c>
      <c r="O2684" s="184" t="s">
        <v>17</v>
      </c>
      <c r="P2684" s="367" t="s">
        <v>5133</v>
      </c>
      <c r="Q2684" s="179" t="s">
        <v>629</v>
      </c>
      <c r="R2684" s="624" t="s">
        <v>302</v>
      </c>
      <c r="S2684" s="31" t="s">
        <v>273</v>
      </c>
      <c r="T2684" s="31" t="s">
        <v>273</v>
      </c>
      <c r="U2684" s="31">
        <f>IFERROR(VLOOKUP(CONCATENATE(Tabla1[[#This Row],[Severidad]]," ",Tabla1[[#This Row],[Complejidad]]),Catalogos!E$120:G$128,3,FALSE),"")</f>
        <v>64</v>
      </c>
      <c r="V2684" s="31" t="str">
        <f>IF(Tabla1[[#This Row],[Tiempo solución max (hrs)]]&lt;&gt;"",IF(Tabla1[[#This Row],[Tiempo solución max (hrs)]]&gt;=Tabla1[[#This Row],[Tiempo
(Hrs 00/100)]],"cumple","no cumple"),"")</f>
        <v>cumple</v>
      </c>
      <c r="W2684" s="376" t="s">
        <v>4210</v>
      </c>
      <c r="X2684" s="377" t="str">
        <f t="shared" si="212"/>
        <v>SAI</v>
      </c>
      <c r="Y2684" s="95" t="str">
        <f>SUBSTITUTE(Tabla1[[#This Row],[Descripción]],CHAR(10),"    I    ")</f>
        <v>Se desarrolla un informe que contiene las actividades realizadas por los inegrantes. Dichas actividades se han separado por semestre.</v>
      </c>
      <c r="Z2684" s="685">
        <f>VLOOKUP(Tabla1[[#This Row],[Perfil]],Catalogos!$B$75:$D$100,3,FALSE)*Tabla1[[#This Row],[Tiempo
(Hrs 00/100)]]*1.16</f>
        <v>7887.9999999999991</v>
      </c>
      <c r="AA2684" t="s">
        <v>3356</v>
      </c>
    </row>
    <row r="2685" spans="1:27" s="95" customFormat="1" ht="216" x14ac:dyDescent="0.3">
      <c r="A2685" s="373" t="s">
        <v>22</v>
      </c>
      <c r="B2685" s="373" t="s">
        <v>23</v>
      </c>
      <c r="C2685" s="373" t="s">
        <v>49</v>
      </c>
      <c r="D2685" s="373"/>
      <c r="E2685" s="373" t="s">
        <v>5130</v>
      </c>
      <c r="F2685" s="184" t="s">
        <v>23</v>
      </c>
      <c r="G2685" s="327" t="s">
        <v>5164</v>
      </c>
      <c r="H2685" s="468" t="s">
        <v>5144</v>
      </c>
      <c r="I2685" s="467" t="s">
        <v>5145</v>
      </c>
      <c r="J2685" s="729">
        <v>45252</v>
      </c>
      <c r="K2685" s="773">
        <v>0.375</v>
      </c>
      <c r="L2685" s="729">
        <v>45252</v>
      </c>
      <c r="M2685" s="773">
        <v>0.79166666666666663</v>
      </c>
      <c r="N2685" s="373">
        <v>8.5</v>
      </c>
      <c r="O2685" s="686" t="s">
        <v>411</v>
      </c>
      <c r="P2685" s="367" t="s">
        <v>5133</v>
      </c>
      <c r="Q2685" s="179" t="s">
        <v>629</v>
      </c>
      <c r="R2685" s="624" t="s">
        <v>302</v>
      </c>
      <c r="S2685" s="31" t="s">
        <v>273</v>
      </c>
      <c r="T2685" s="31" t="s">
        <v>273</v>
      </c>
      <c r="U2685" s="31">
        <f>IFERROR(VLOOKUP(CONCATENATE(Tabla1[[#This Row],[Severidad]]," ",Tabla1[[#This Row],[Complejidad]]),Catalogos!E$120:G$128,3,FALSE),"")</f>
        <v>64</v>
      </c>
      <c r="V2685" s="31" t="str">
        <f>IF(Tabla1[[#This Row],[Tiempo solución max (hrs)]]&lt;&gt;"",IF(Tabla1[[#This Row],[Tiempo solución max (hrs)]]&gt;=Tabla1[[#This Row],[Tiempo
(Hrs 00/100)]],"cumple","no cumple"),"")</f>
        <v>cumple</v>
      </c>
      <c r="W2685" s="376" t="s">
        <v>4210</v>
      </c>
      <c r="X2685" s="377" t="str">
        <f t="shared" si="212"/>
        <v>SAI</v>
      </c>
      <c r="Y2685" s="95" t="str">
        <f>SUBSTITUTE(Tabla1[[#This Row],[Descripción]],CHAR(10),"    I    ")</f>
        <v>Se implementa un reporte con las actividades que se realizaron por cada una de las regiones que se encuentran actualmente en el SNT.</v>
      </c>
      <c r="Z2685" s="685">
        <f>VLOOKUP(Tabla1[[#This Row],[Perfil]],Catalogos!$B$75:$D$100,3,FALSE)*Tabla1[[#This Row],[Tiempo
(Hrs 00/100)]]*1.16</f>
        <v>7887.9999999999991</v>
      </c>
      <c r="AA2685" t="s">
        <v>3356</v>
      </c>
    </row>
    <row r="2686" spans="1:27" s="95" customFormat="1" ht="216" x14ac:dyDescent="0.3">
      <c r="A2686" s="373" t="s">
        <v>22</v>
      </c>
      <c r="B2686" s="373" t="s">
        <v>23</v>
      </c>
      <c r="C2686" s="373" t="s">
        <v>49</v>
      </c>
      <c r="D2686" s="373"/>
      <c r="E2686" s="373" t="s">
        <v>5130</v>
      </c>
      <c r="F2686" s="184" t="s">
        <v>23</v>
      </c>
      <c r="G2686" s="327" t="s">
        <v>5164</v>
      </c>
      <c r="H2686" s="468" t="s">
        <v>5144</v>
      </c>
      <c r="I2686" s="467" t="s">
        <v>5145</v>
      </c>
      <c r="J2686" s="729">
        <v>45253</v>
      </c>
      <c r="K2686" s="773">
        <v>0.375</v>
      </c>
      <c r="L2686" s="729">
        <v>45253</v>
      </c>
      <c r="M2686" s="773">
        <v>0.79166666666666663</v>
      </c>
      <c r="N2686" s="373">
        <v>8.5</v>
      </c>
      <c r="O2686" s="184" t="s">
        <v>17</v>
      </c>
      <c r="P2686" s="367" t="s">
        <v>5133</v>
      </c>
      <c r="Q2686" s="179" t="s">
        <v>629</v>
      </c>
      <c r="R2686" s="624" t="s">
        <v>302</v>
      </c>
      <c r="S2686" s="31" t="s">
        <v>273</v>
      </c>
      <c r="T2686" s="31" t="s">
        <v>273</v>
      </c>
      <c r="U2686" s="31">
        <f>IFERROR(VLOOKUP(CONCATENATE(Tabla1[[#This Row],[Severidad]]," ",Tabla1[[#This Row],[Complejidad]]),Catalogos!E$120:G$128,3,FALSE),"")</f>
        <v>64</v>
      </c>
      <c r="V2686" s="31" t="str">
        <f>IF(Tabla1[[#This Row],[Tiempo solución max (hrs)]]&lt;&gt;"",IF(Tabla1[[#This Row],[Tiempo solución max (hrs)]]&gt;=Tabla1[[#This Row],[Tiempo
(Hrs 00/100)]],"cumple","no cumple"),"")</f>
        <v>cumple</v>
      </c>
      <c r="W2686" s="376" t="s">
        <v>4210</v>
      </c>
      <c r="X2686" s="377" t="str">
        <f t="shared" si="212"/>
        <v>SAI</v>
      </c>
      <c r="Y2686" s="95" t="str">
        <f>SUBSTITUTE(Tabla1[[#This Row],[Descripción]],CHAR(10),"    I    ")</f>
        <v>Se implementa un reporte con las actividades que se realizaron por cada una de las regiones que se encuentran actualmente en el SNT.</v>
      </c>
      <c r="Z2686" s="685">
        <f>VLOOKUP(Tabla1[[#This Row],[Perfil]],Catalogos!$B$75:$D$100,3,FALSE)*Tabla1[[#This Row],[Tiempo
(Hrs 00/100)]]*1.16</f>
        <v>7887.9999999999991</v>
      </c>
      <c r="AA2686" t="s">
        <v>3356</v>
      </c>
    </row>
    <row r="2687" spans="1:27" s="95" customFormat="1" ht="216" x14ac:dyDescent="0.3">
      <c r="A2687" s="373" t="s">
        <v>22</v>
      </c>
      <c r="B2687" s="373" t="s">
        <v>23</v>
      </c>
      <c r="C2687" s="373" t="s">
        <v>49</v>
      </c>
      <c r="D2687" s="373"/>
      <c r="E2687" s="373" t="s">
        <v>5130</v>
      </c>
      <c r="F2687" s="184" t="s">
        <v>23</v>
      </c>
      <c r="G2687" s="327" t="s">
        <v>5165</v>
      </c>
      <c r="H2687" s="468" t="s">
        <v>5146</v>
      </c>
      <c r="I2687" s="467" t="s">
        <v>5147</v>
      </c>
      <c r="J2687" s="729">
        <v>45254</v>
      </c>
      <c r="K2687" s="773">
        <v>0.375</v>
      </c>
      <c r="L2687" s="729">
        <v>45254</v>
      </c>
      <c r="M2687" s="773">
        <v>0.625</v>
      </c>
      <c r="N2687" s="373">
        <v>6</v>
      </c>
      <c r="O2687" s="184" t="s">
        <v>17</v>
      </c>
      <c r="P2687" s="367" t="s">
        <v>5133</v>
      </c>
      <c r="Q2687" s="179" t="s">
        <v>629</v>
      </c>
      <c r="R2687" s="624" t="s">
        <v>302</v>
      </c>
      <c r="S2687" s="31" t="s">
        <v>273</v>
      </c>
      <c r="T2687" s="31" t="s">
        <v>273</v>
      </c>
      <c r="U2687" s="31">
        <f>IFERROR(VLOOKUP(CONCATENATE(Tabla1[[#This Row],[Severidad]]," ",Tabla1[[#This Row],[Complejidad]]),Catalogos!E$120:G$128,3,FALSE),"")</f>
        <v>64</v>
      </c>
      <c r="V2687" s="31" t="str">
        <f>IF(Tabla1[[#This Row],[Tiempo solución max (hrs)]]&lt;&gt;"",IF(Tabla1[[#This Row],[Tiempo solución max (hrs)]]&gt;=Tabla1[[#This Row],[Tiempo
(Hrs 00/100)]],"cumple","no cumple"),"")</f>
        <v>cumple</v>
      </c>
      <c r="W2687" s="376" t="s">
        <v>4210</v>
      </c>
      <c r="X2687" s="377" t="str">
        <f t="shared" si="212"/>
        <v>SAI</v>
      </c>
      <c r="Y2687" s="95" t="str">
        <f>SUBSTITUTE(Tabla1[[#This Row],[Descripción]],CHAR(10),"    I    ")</f>
        <v>Se generan un informe con la representación gráfica de las activaciones que se realizaron por parte de los integrantes del SNT.</v>
      </c>
      <c r="Z2687" s="685">
        <f>VLOOKUP(Tabla1[[#This Row],[Perfil]],Catalogos!$B$75:$D$100,3,FALSE)*Tabla1[[#This Row],[Tiempo
(Hrs 00/100)]]*1.16</f>
        <v>5568</v>
      </c>
      <c r="AA2687" t="s">
        <v>3356</v>
      </c>
    </row>
    <row r="2688" spans="1:27" s="95" customFormat="1" ht="216" x14ac:dyDescent="0.3">
      <c r="A2688" s="373" t="s">
        <v>22</v>
      </c>
      <c r="B2688" s="373" t="s">
        <v>23</v>
      </c>
      <c r="C2688" s="373" t="s">
        <v>49</v>
      </c>
      <c r="D2688" s="373"/>
      <c r="E2688" s="373" t="s">
        <v>5130</v>
      </c>
      <c r="F2688" s="184" t="s">
        <v>23</v>
      </c>
      <c r="G2688" s="327" t="s">
        <v>5166</v>
      </c>
      <c r="H2688" s="468" t="s">
        <v>5148</v>
      </c>
      <c r="I2688" s="467" t="s">
        <v>5149</v>
      </c>
      <c r="J2688" s="729">
        <v>45257</v>
      </c>
      <c r="K2688" s="773">
        <v>0.375</v>
      </c>
      <c r="L2688" s="729">
        <v>45257</v>
      </c>
      <c r="M2688" s="773">
        <v>0.54166666666666663</v>
      </c>
      <c r="N2688" s="373">
        <v>4</v>
      </c>
      <c r="O2688" s="184" t="s">
        <v>17</v>
      </c>
      <c r="P2688" s="367" t="s">
        <v>5133</v>
      </c>
      <c r="Q2688" s="179" t="s">
        <v>629</v>
      </c>
      <c r="R2688" s="624" t="s">
        <v>302</v>
      </c>
      <c r="S2688" s="31" t="s">
        <v>273</v>
      </c>
      <c r="T2688" s="31" t="s">
        <v>273</v>
      </c>
      <c r="U2688" s="31">
        <f>IFERROR(VLOOKUP(CONCATENATE(Tabla1[[#This Row],[Severidad]]," ",Tabla1[[#This Row],[Complejidad]]),Catalogos!E$120:G$128,3,FALSE),"")</f>
        <v>64</v>
      </c>
      <c r="V2688" s="31" t="str">
        <f>IF(Tabla1[[#This Row],[Tiempo solución max (hrs)]]&lt;&gt;"",IF(Tabla1[[#This Row],[Tiempo solución max (hrs)]]&gt;=Tabla1[[#This Row],[Tiempo
(Hrs 00/100)]],"cumple","no cumple"),"")</f>
        <v>cumple</v>
      </c>
      <c r="W2688" s="376" t="s">
        <v>4210</v>
      </c>
      <c r="X2688" s="377" t="str">
        <f t="shared" si="212"/>
        <v>SAI</v>
      </c>
      <c r="Y2688" s="95" t="str">
        <f>SUBSTITUTE(Tabla1[[#This Row],[Descripción]],CHAR(10),"    I    ")</f>
        <v>Muestra el listado de líneas de acción por cada uno de los integrantes. En este listado contiene un apartado donde muestra las evidencias por medio de un hipervinculo el cuál puede ser consultado por el usuario.</v>
      </c>
      <c r="Z2688" s="685">
        <f>VLOOKUP(Tabla1[[#This Row],[Perfil]],Catalogos!$B$75:$D$100,3,FALSE)*Tabla1[[#This Row],[Tiempo
(Hrs 00/100)]]*1.16</f>
        <v>3711.9999999999995</v>
      </c>
      <c r="AA2688" t="s">
        <v>3356</v>
      </c>
    </row>
    <row r="2689" spans="1:27" s="95" customFormat="1" ht="216" x14ac:dyDescent="0.3">
      <c r="A2689" s="373" t="s">
        <v>22</v>
      </c>
      <c r="B2689" s="373" t="s">
        <v>23</v>
      </c>
      <c r="C2689" s="373" t="s">
        <v>49</v>
      </c>
      <c r="D2689" s="373"/>
      <c r="E2689" s="373" t="s">
        <v>5130</v>
      </c>
      <c r="F2689" s="184" t="s">
        <v>23</v>
      </c>
      <c r="G2689" s="327" t="s">
        <v>5167</v>
      </c>
      <c r="H2689" s="468" t="s">
        <v>5150</v>
      </c>
      <c r="I2689" s="467" t="s">
        <v>5151</v>
      </c>
      <c r="J2689" s="729">
        <v>45257</v>
      </c>
      <c r="K2689" s="773">
        <v>0.54166666666666663</v>
      </c>
      <c r="L2689" s="729">
        <v>45257</v>
      </c>
      <c r="M2689" s="773">
        <v>0.875</v>
      </c>
      <c r="N2689" s="373">
        <v>4.5</v>
      </c>
      <c r="O2689" s="184" t="s">
        <v>17</v>
      </c>
      <c r="P2689" s="367" t="s">
        <v>5133</v>
      </c>
      <c r="Q2689" s="179" t="s">
        <v>629</v>
      </c>
      <c r="R2689" s="624" t="s">
        <v>302</v>
      </c>
      <c r="S2689" s="31" t="s">
        <v>273</v>
      </c>
      <c r="T2689" s="31" t="s">
        <v>273</v>
      </c>
      <c r="U2689" s="31">
        <f>IFERROR(VLOOKUP(CONCATENATE(Tabla1[[#This Row],[Severidad]]," ",Tabla1[[#This Row],[Complejidad]]),Catalogos!E$120:G$128,3,FALSE),"")</f>
        <v>64</v>
      </c>
      <c r="V2689" s="31" t="str">
        <f>IF(Tabla1[[#This Row],[Tiempo solución max (hrs)]]&lt;&gt;"",IF(Tabla1[[#This Row],[Tiempo solución max (hrs)]]&gt;=Tabla1[[#This Row],[Tiempo
(Hrs 00/100)]],"cumple","no cumple"),"")</f>
        <v>cumple</v>
      </c>
      <c r="W2689" s="376" t="s">
        <v>4210</v>
      </c>
      <c r="X2689" s="377" t="str">
        <f t="shared" si="212"/>
        <v>SAI</v>
      </c>
      <c r="Y2689" s="95" t="str">
        <f>SUBSTITUTE(Tabla1[[#This Row],[Descripción]],CHAR(10),"    I    ")</f>
        <v>Muestra una gráfica que contiene el número de actividades que no han sido atendidas por diferentes situaciones imprevistas.</v>
      </c>
      <c r="Z2689" s="685">
        <f>VLOOKUP(Tabla1[[#This Row],[Perfil]],Catalogos!$B$75:$D$100,3,FALSE)*Tabla1[[#This Row],[Tiempo
(Hrs 00/100)]]*1.16</f>
        <v>4176</v>
      </c>
      <c r="AA2689" t="s">
        <v>3356</v>
      </c>
    </row>
    <row r="2690" spans="1:27" s="95" customFormat="1" ht="216" x14ac:dyDescent="0.3">
      <c r="A2690" s="373" t="s">
        <v>22</v>
      </c>
      <c r="B2690" s="373" t="s">
        <v>23</v>
      </c>
      <c r="C2690" s="373" t="s">
        <v>49</v>
      </c>
      <c r="D2690" s="373"/>
      <c r="E2690" s="373" t="s">
        <v>5130</v>
      </c>
      <c r="F2690" s="184" t="s">
        <v>23</v>
      </c>
      <c r="G2690" s="327" t="s">
        <v>5168</v>
      </c>
      <c r="H2690" s="468" t="s">
        <v>5152</v>
      </c>
      <c r="I2690" s="467" t="s">
        <v>5153</v>
      </c>
      <c r="J2690" s="729">
        <v>45258</v>
      </c>
      <c r="K2690" s="773">
        <v>0.375</v>
      </c>
      <c r="L2690" s="729">
        <v>45258</v>
      </c>
      <c r="M2690" s="773">
        <v>0.79166666666666663</v>
      </c>
      <c r="N2690" s="373">
        <v>8.5</v>
      </c>
      <c r="O2690" s="184" t="s">
        <v>17</v>
      </c>
      <c r="P2690" s="367" t="s">
        <v>5133</v>
      </c>
      <c r="Q2690" s="179" t="s">
        <v>629</v>
      </c>
      <c r="R2690" s="624" t="s">
        <v>302</v>
      </c>
      <c r="S2690" s="31" t="s">
        <v>273</v>
      </c>
      <c r="T2690" s="31" t="s">
        <v>273</v>
      </c>
      <c r="U2690" s="31">
        <f>IFERROR(VLOOKUP(CONCATENATE(Tabla1[[#This Row],[Severidad]]," ",Tabla1[[#This Row],[Complejidad]]),Catalogos!E$120:G$128,3,FALSE),"")</f>
        <v>64</v>
      </c>
      <c r="V2690" s="31" t="str">
        <f>IF(Tabla1[[#This Row],[Tiempo solución max (hrs)]]&lt;&gt;"",IF(Tabla1[[#This Row],[Tiempo solución max (hrs)]]&gt;=Tabla1[[#This Row],[Tiempo
(Hrs 00/100)]],"cumple","no cumple"),"")</f>
        <v>cumple</v>
      </c>
      <c r="W2690" s="376" t="s">
        <v>4210</v>
      </c>
      <c r="X2690" s="377" t="str">
        <f t="shared" si="212"/>
        <v>SAI</v>
      </c>
      <c r="Y2690" s="95" t="str">
        <f>SUBSTITUTE(Tabla1[[#This Row],[Descripción]],CHAR(10),"    I    ")</f>
        <v>Se muestra la gráfica con el total de activaciones por estatus de cumplimiento. Así como la segmentación por integrante y eje.</v>
      </c>
      <c r="Z2690" s="685">
        <f>VLOOKUP(Tabla1[[#This Row],[Perfil]],Catalogos!$B$75:$D$100,3,FALSE)*Tabla1[[#This Row],[Tiempo
(Hrs 00/100)]]*1.16</f>
        <v>7887.9999999999991</v>
      </c>
      <c r="AA2690" t="s">
        <v>3356</v>
      </c>
    </row>
    <row r="2691" spans="1:27" s="95" customFormat="1" ht="216" x14ac:dyDescent="0.3">
      <c r="A2691" s="373" t="s">
        <v>22</v>
      </c>
      <c r="B2691" s="373" t="s">
        <v>23</v>
      </c>
      <c r="C2691" s="373" t="s">
        <v>49</v>
      </c>
      <c r="D2691" s="373"/>
      <c r="E2691" s="373" t="s">
        <v>5130</v>
      </c>
      <c r="F2691" s="184" t="s">
        <v>23</v>
      </c>
      <c r="G2691" s="327" t="s">
        <v>5169</v>
      </c>
      <c r="H2691" s="468" t="s">
        <v>5154</v>
      </c>
      <c r="I2691" s="467" t="s">
        <v>5155</v>
      </c>
      <c r="J2691" s="729">
        <v>45259</v>
      </c>
      <c r="K2691" s="773">
        <v>0.375</v>
      </c>
      <c r="L2691" s="729">
        <v>45259</v>
      </c>
      <c r="M2691" s="773">
        <v>0.79166666666666663</v>
      </c>
      <c r="N2691" s="373">
        <v>8.5</v>
      </c>
      <c r="O2691" s="184" t="s">
        <v>17</v>
      </c>
      <c r="P2691" s="367" t="s">
        <v>5133</v>
      </c>
      <c r="Q2691" s="179" t="s">
        <v>629</v>
      </c>
      <c r="R2691" s="624" t="s">
        <v>302</v>
      </c>
      <c r="S2691" s="31" t="s">
        <v>273</v>
      </c>
      <c r="T2691" s="31" t="s">
        <v>273</v>
      </c>
      <c r="U2691" s="31">
        <f>IFERROR(VLOOKUP(CONCATENATE(Tabla1[[#This Row],[Severidad]]," ",Tabla1[[#This Row],[Complejidad]]),Catalogos!E$120:G$128,3,FALSE),"")</f>
        <v>64</v>
      </c>
      <c r="V2691" s="31" t="str">
        <f>IF(Tabla1[[#This Row],[Tiempo solución max (hrs)]]&lt;&gt;"",IF(Tabla1[[#This Row],[Tiempo solución max (hrs)]]&gt;=Tabla1[[#This Row],[Tiempo
(Hrs 00/100)]],"cumple","no cumple"),"")</f>
        <v>cumple</v>
      </c>
      <c r="W2691" s="376" t="s">
        <v>4210</v>
      </c>
      <c r="X2691" s="377" t="str">
        <f t="shared" si="212"/>
        <v>SAI</v>
      </c>
      <c r="Y2691" s="95" t="str">
        <f>SUBSTITUTE(Tabla1[[#This Row],[Descripción]],CHAR(10),"    I    ")</f>
        <v xml:space="preserve">Muestra dos cuadros comparativos en donde se visualizan los integrantes del SNT y su presupuesto. </v>
      </c>
      <c r="Z2691" s="685">
        <f>VLOOKUP(Tabla1[[#This Row],[Perfil]],Catalogos!$B$75:$D$100,3,FALSE)*Tabla1[[#This Row],[Tiempo
(Hrs 00/100)]]*1.16</f>
        <v>7887.9999999999991</v>
      </c>
      <c r="AA2691" t="s">
        <v>3356</v>
      </c>
    </row>
    <row r="2692" spans="1:27" s="95" customFormat="1" ht="216" x14ac:dyDescent="0.3">
      <c r="A2692" s="373" t="s">
        <v>22</v>
      </c>
      <c r="B2692" s="373" t="s">
        <v>23</v>
      </c>
      <c r="C2692" s="373" t="s">
        <v>49</v>
      </c>
      <c r="D2692" s="373"/>
      <c r="E2692" s="373" t="s">
        <v>5130</v>
      </c>
      <c r="F2692" s="184" t="s">
        <v>23</v>
      </c>
      <c r="G2692" s="327" t="s">
        <v>5170</v>
      </c>
      <c r="H2692" s="468" t="s">
        <v>5156</v>
      </c>
      <c r="I2692" s="467" t="s">
        <v>5157</v>
      </c>
      <c r="J2692" s="729">
        <v>45260</v>
      </c>
      <c r="K2692" s="773">
        <v>0.375</v>
      </c>
      <c r="L2692" s="729">
        <v>45260</v>
      </c>
      <c r="M2692" s="773">
        <v>0.79166666666666663</v>
      </c>
      <c r="N2692" s="373">
        <v>8.5</v>
      </c>
      <c r="O2692" s="184" t="s">
        <v>17</v>
      </c>
      <c r="P2692" s="367" t="s">
        <v>5133</v>
      </c>
      <c r="Q2692" s="179" t="s">
        <v>629</v>
      </c>
      <c r="R2692" s="624" t="s">
        <v>302</v>
      </c>
      <c r="S2692" s="31" t="s">
        <v>273</v>
      </c>
      <c r="T2692" s="31" t="s">
        <v>273</v>
      </c>
      <c r="U2692" s="31">
        <f>IFERROR(VLOOKUP(CONCATENATE(Tabla1[[#This Row],[Severidad]]," ",Tabla1[[#This Row],[Complejidad]]),Catalogos!E$120:G$128,3,FALSE),"")</f>
        <v>64</v>
      </c>
      <c r="V2692" s="31" t="str">
        <f>IF(Tabla1[[#This Row],[Tiempo solución max (hrs)]]&lt;&gt;"",IF(Tabla1[[#This Row],[Tiempo solución max (hrs)]]&gt;=Tabla1[[#This Row],[Tiempo
(Hrs 00/100)]],"cumple","no cumple"),"")</f>
        <v>cumple</v>
      </c>
      <c r="W2692" s="376" t="s">
        <v>4210</v>
      </c>
      <c r="X2692" s="377" t="str">
        <f t="shared" si="212"/>
        <v>SAI</v>
      </c>
      <c r="Y2692" s="95" t="str">
        <f>SUBSTITUTE(Tabla1[[#This Row],[Descripción]],CHAR(10),"    I    ")</f>
        <v>Se realiza un diseño con un menú el cual contiene acceso a todos los informes de pizarras. De igual forma, permite seleccionar el programa del cual puede consultar la información.</v>
      </c>
      <c r="Z2692" s="685">
        <f>VLOOKUP(Tabla1[[#This Row],[Perfil]],Catalogos!$B$75:$D$100,3,FALSE)*Tabla1[[#This Row],[Tiempo
(Hrs 00/100)]]*1.16</f>
        <v>7887.9999999999991</v>
      </c>
      <c r="AA2692" t="s">
        <v>3356</v>
      </c>
    </row>
    <row r="2693" spans="1:27" ht="43.2" x14ac:dyDescent="0.3">
      <c r="A2693" s="614" t="s">
        <v>22</v>
      </c>
      <c r="B2693" s="373" t="s">
        <v>305</v>
      </c>
      <c r="C2693" s="373" t="s">
        <v>257</v>
      </c>
      <c r="D2693" s="373"/>
      <c r="E2693" s="373" t="s">
        <v>408</v>
      </c>
      <c r="F2693" s="373" t="s">
        <v>72</v>
      </c>
      <c r="G2693" s="637" t="s">
        <v>4885</v>
      </c>
      <c r="H2693" s="461" t="s">
        <v>4637</v>
      </c>
      <c r="I2693" s="538" t="s">
        <v>4638</v>
      </c>
      <c r="J2693" s="729">
        <v>45231</v>
      </c>
      <c r="K2693" s="773">
        <v>0.375</v>
      </c>
      <c r="L2693" s="729">
        <v>45231</v>
      </c>
      <c r="M2693" s="773">
        <v>0.41666666666666669</v>
      </c>
      <c r="N2693" s="373">
        <v>1</v>
      </c>
      <c r="O2693" s="184" t="s">
        <v>17</v>
      </c>
      <c r="P2693" s="375" t="s">
        <v>4639</v>
      </c>
      <c r="Q2693" s="179" t="s">
        <v>1441</v>
      </c>
      <c r="R2693" s="31" t="s">
        <v>95</v>
      </c>
      <c r="S2693" s="31" t="s">
        <v>273</v>
      </c>
      <c r="T2693" s="31" t="s">
        <v>273</v>
      </c>
      <c r="U2693" s="31">
        <f>IFERROR(VLOOKUP(CONCATENATE(Tabla1[[#This Row],[Severidad]]," ",Tabla1[[#This Row],[Complejidad]]),Catalogos!E$120:G$128,3,FALSE),"")</f>
        <v>64</v>
      </c>
      <c r="V2693" s="31" t="str">
        <f>IF(Tabla1[[#This Row],[Tiempo solución max (hrs)]]&lt;&gt;"",IF(Tabla1[[#This Row],[Tiempo solución max (hrs)]]&gt;=Tabla1[[#This Row],[Tiempo
(Hrs 00/100)]],"cumple","no cumple"),"")</f>
        <v>cumple</v>
      </c>
      <c r="W2693" s="376" t="s">
        <v>4210</v>
      </c>
      <c r="X2693" s="377" t="str">
        <f t="shared" ref="X2693:X2706" si="213">IF(C2693&lt;&gt;"",C2693,D2693)</f>
        <v>SSI</v>
      </c>
      <c r="Y2693" t="str">
        <f>SUBSTITUTE(Tabla1[[#This Row],[Descripción]],CHAR(10),"    I    ")</f>
        <v>Se expuso duda de procedimiento "OBTENER_SOLICITUDESXDIA" ya que al no tener el campo para el NOMBRE no se sabe que manejar, se dejó solo el dato del TOTAL</v>
      </c>
      <c r="Z2693" s="142">
        <f>VLOOKUP(Tabla1[[#This Row],[Perfil]],Catalogos!$B$75:$D$100,3,FALSE)*Tabla1[[#This Row],[Tiempo
(Hrs 00/100)]]*1.16</f>
        <v>696</v>
      </c>
    </row>
    <row r="2694" spans="1:27" ht="28.8" x14ac:dyDescent="0.3">
      <c r="A2694" s="617" t="s">
        <v>22</v>
      </c>
      <c r="B2694" s="373" t="s">
        <v>305</v>
      </c>
      <c r="C2694" s="373" t="s">
        <v>257</v>
      </c>
      <c r="D2694" s="373"/>
      <c r="E2694" s="373" t="s">
        <v>408</v>
      </c>
      <c r="F2694" s="373" t="s">
        <v>72</v>
      </c>
      <c r="G2694" s="637" t="s">
        <v>4886</v>
      </c>
      <c r="H2694" s="461" t="s">
        <v>4640</v>
      </c>
      <c r="I2694" s="178" t="s">
        <v>5185</v>
      </c>
      <c r="J2694" s="729">
        <v>45231</v>
      </c>
      <c r="K2694" s="773">
        <v>0.41666666666666669</v>
      </c>
      <c r="L2694" s="729">
        <v>45231</v>
      </c>
      <c r="M2694" s="773">
        <v>0.5625</v>
      </c>
      <c r="N2694" s="373">
        <v>3.5</v>
      </c>
      <c r="O2694" s="184" t="s">
        <v>17</v>
      </c>
      <c r="P2694" s="375" t="s">
        <v>4641</v>
      </c>
      <c r="Q2694" s="179" t="s">
        <v>1441</v>
      </c>
      <c r="R2694" s="31" t="s">
        <v>95</v>
      </c>
      <c r="S2694" s="31" t="s">
        <v>273</v>
      </c>
      <c r="T2694" s="31" t="s">
        <v>273</v>
      </c>
      <c r="U2694" s="31">
        <f>IFERROR(VLOOKUP(CONCATENATE(Tabla1[[#This Row],[Severidad]]," ",Tabla1[[#This Row],[Complejidad]]),Catalogos!E$120:G$128,3,FALSE),"")</f>
        <v>64</v>
      </c>
      <c r="V2694" s="31" t="str">
        <f>IF(Tabla1[[#This Row],[Tiempo solución max (hrs)]]&lt;&gt;"",IF(Tabla1[[#This Row],[Tiempo solución max (hrs)]]&gt;=Tabla1[[#This Row],[Tiempo
(Hrs 00/100)]],"cumple","no cumple"),"")</f>
        <v>cumple</v>
      </c>
      <c r="W2694" s="376" t="s">
        <v>4210</v>
      </c>
      <c r="X2694" s="377" t="str">
        <f t="shared" si="213"/>
        <v>SSI</v>
      </c>
      <c r="Y2694" t="str">
        <f>SUBSTITUTE(Tabla1[[#This Row],[Descripción]],CHAR(10),"    I    ")</f>
        <v xml:space="preserve">Se modificó la estructura de tabla de Quejas 'BI_IMPUGNACIONES_VWM_QUEJAS_ESTADISTICAS' </v>
      </c>
      <c r="Z2694" s="142">
        <f>VLOOKUP(Tabla1[[#This Row],[Perfil]],Catalogos!$B$75:$D$100,3,FALSE)*Tabla1[[#This Row],[Tiempo
(Hrs 00/100)]]*1.16</f>
        <v>2436</v>
      </c>
    </row>
    <row r="2695" spans="1:27" ht="28.8" x14ac:dyDescent="0.3">
      <c r="A2695" s="619" t="s">
        <v>22</v>
      </c>
      <c r="B2695" s="373" t="s">
        <v>21</v>
      </c>
      <c r="C2695" s="373" t="s">
        <v>257</v>
      </c>
      <c r="D2695" s="373"/>
      <c r="E2695" s="373" t="s">
        <v>408</v>
      </c>
      <c r="F2695" s="373" t="s">
        <v>72</v>
      </c>
      <c r="G2695" s="637" t="s">
        <v>4887</v>
      </c>
      <c r="H2695" s="461" t="s">
        <v>4642</v>
      </c>
      <c r="I2695" s="178" t="s">
        <v>4643</v>
      </c>
      <c r="J2695" s="729">
        <v>45231</v>
      </c>
      <c r="K2695" s="773">
        <v>0.5625</v>
      </c>
      <c r="L2695" s="729">
        <v>45231</v>
      </c>
      <c r="M2695" s="773">
        <v>0.60416666666666663</v>
      </c>
      <c r="N2695" s="373">
        <v>1</v>
      </c>
      <c r="O2695" s="184" t="s">
        <v>17</v>
      </c>
      <c r="P2695" s="375" t="s">
        <v>4639</v>
      </c>
      <c r="Q2695" s="179" t="s">
        <v>1441</v>
      </c>
      <c r="R2695" s="31" t="s">
        <v>95</v>
      </c>
      <c r="S2695" s="31" t="s">
        <v>273</v>
      </c>
      <c r="T2695" s="31" t="s">
        <v>273</v>
      </c>
      <c r="U2695" s="31">
        <f>IFERROR(VLOOKUP(CONCATENATE(Tabla1[[#This Row],[Severidad]]," ",Tabla1[[#This Row],[Complejidad]]),Catalogos!E$120:G$128,3,FALSE),"")</f>
        <v>64</v>
      </c>
      <c r="V2695" s="31" t="str">
        <f>IF(Tabla1[[#This Row],[Tiempo solución max (hrs)]]&lt;&gt;"",IF(Tabla1[[#This Row],[Tiempo solución max (hrs)]]&gt;=Tabla1[[#This Row],[Tiempo
(Hrs 00/100)]],"cumple","no cumple"),"")</f>
        <v>cumple</v>
      </c>
      <c r="W2695" s="376" t="s">
        <v>4210</v>
      </c>
      <c r="X2695" s="377" t="str">
        <f t="shared" si="213"/>
        <v>SSI</v>
      </c>
      <c r="Y2695" t="str">
        <f>SUBSTITUTE(Tabla1[[#This Row],[Descripción]],CHAR(10),"    I    ")</f>
        <v>Se nos solicitó que, para los procedimientos de Solicitudes, deben devolver 2 registros, independientemente de que tenga o no datos</v>
      </c>
      <c r="Z2695" s="142">
        <f>VLOOKUP(Tabla1[[#This Row],[Perfil]],Catalogos!$B$75:$D$100,3,FALSE)*Tabla1[[#This Row],[Tiempo
(Hrs 00/100)]]*1.16</f>
        <v>696</v>
      </c>
    </row>
    <row r="2696" spans="1:27" ht="43.2" x14ac:dyDescent="0.3">
      <c r="A2696" s="373" t="s">
        <v>22</v>
      </c>
      <c r="B2696" s="373" t="s">
        <v>21</v>
      </c>
      <c r="C2696" s="373" t="s">
        <v>257</v>
      </c>
      <c r="D2696" s="373"/>
      <c r="E2696" s="373" t="s">
        <v>408</v>
      </c>
      <c r="F2696" s="373" t="s">
        <v>72</v>
      </c>
      <c r="G2696" s="637" t="s">
        <v>4888</v>
      </c>
      <c r="H2696" s="461" t="s">
        <v>4644</v>
      </c>
      <c r="I2696" s="178" t="s">
        <v>4645</v>
      </c>
      <c r="J2696" s="729">
        <v>45231</v>
      </c>
      <c r="K2696" s="773">
        <v>0.66666666666666663</v>
      </c>
      <c r="L2696" s="729">
        <v>45231</v>
      </c>
      <c r="M2696" s="773">
        <v>0.83333333333333337</v>
      </c>
      <c r="N2696" s="373">
        <v>4</v>
      </c>
      <c r="O2696" s="184" t="s">
        <v>17</v>
      </c>
      <c r="P2696" s="375" t="s">
        <v>4639</v>
      </c>
      <c r="Q2696" s="179" t="s">
        <v>1441</v>
      </c>
      <c r="R2696" s="31" t="s">
        <v>95</v>
      </c>
      <c r="S2696" s="31" t="s">
        <v>273</v>
      </c>
      <c r="T2696" s="31" t="s">
        <v>273</v>
      </c>
      <c r="U2696" s="31">
        <f>IFERROR(VLOOKUP(CONCATENATE(Tabla1[[#This Row],[Severidad]]," ",Tabla1[[#This Row],[Complejidad]]),Catalogos!E$120:G$128,3,FALSE),"")</f>
        <v>64</v>
      </c>
      <c r="V2696" s="31" t="str">
        <f>IF(Tabla1[[#This Row],[Tiempo solución max (hrs)]]&lt;&gt;"",IF(Tabla1[[#This Row],[Tiempo solución max (hrs)]]&gt;=Tabla1[[#This Row],[Tiempo
(Hrs 00/100)]],"cumple","no cumple"),"")</f>
        <v>cumple</v>
      </c>
      <c r="W2696" s="376" t="s">
        <v>4210</v>
      </c>
      <c r="X2696" s="377" t="str">
        <f t="shared" si="213"/>
        <v>SSI</v>
      </c>
      <c r="Y2696" t="str">
        <f>SUBSTITUTE(Tabla1[[#This Row],[Descripción]],CHAR(10),"    I    ")</f>
        <v>Se comenzó a trabajar en las consultas del 1er procedimiento de Solicitudes para ver opción de mantener los 2 registros en todos los escenarios</v>
      </c>
      <c r="Z2696" s="142">
        <f>VLOOKUP(Tabla1[[#This Row],[Perfil]],Catalogos!$B$75:$D$100,3,FALSE)*Tabla1[[#This Row],[Tiempo
(Hrs 00/100)]]*1.16</f>
        <v>2784</v>
      </c>
    </row>
    <row r="2697" spans="1:27" ht="43.2" x14ac:dyDescent="0.3">
      <c r="A2697" s="373" t="s">
        <v>22</v>
      </c>
      <c r="B2697" s="373" t="s">
        <v>21</v>
      </c>
      <c r="C2697" s="373" t="s">
        <v>257</v>
      </c>
      <c r="D2697" s="373"/>
      <c r="E2697" s="373" t="s">
        <v>408</v>
      </c>
      <c r="F2697" s="373" t="s">
        <v>72</v>
      </c>
      <c r="G2697" s="637" t="s">
        <v>4889</v>
      </c>
      <c r="H2697" s="461" t="s">
        <v>5171</v>
      </c>
      <c r="I2697" s="178" t="s">
        <v>5172</v>
      </c>
      <c r="J2697" s="729">
        <v>45232</v>
      </c>
      <c r="K2697" s="773">
        <v>0.375</v>
      </c>
      <c r="L2697" s="729">
        <v>45232</v>
      </c>
      <c r="M2697" s="773">
        <v>0.54166666666666663</v>
      </c>
      <c r="N2697" s="373">
        <v>4</v>
      </c>
      <c r="O2697" s="184" t="s">
        <v>17</v>
      </c>
      <c r="P2697" s="375" t="s">
        <v>4639</v>
      </c>
      <c r="Q2697" s="179" t="s">
        <v>1441</v>
      </c>
      <c r="R2697" s="31" t="s">
        <v>95</v>
      </c>
      <c r="S2697" s="31" t="s">
        <v>273</v>
      </c>
      <c r="T2697" s="31" t="s">
        <v>273</v>
      </c>
      <c r="U2697" s="31">
        <f>IFERROR(VLOOKUP(CONCATENATE(Tabla1[[#This Row],[Severidad]]," ",Tabla1[[#This Row],[Complejidad]]),Catalogos!E$120:G$128,3,FALSE),"")</f>
        <v>64</v>
      </c>
      <c r="V2697" s="31" t="str">
        <f>IF(Tabla1[[#This Row],[Tiempo solución max (hrs)]]&lt;&gt;"",IF(Tabla1[[#This Row],[Tiempo solución max (hrs)]]&gt;=Tabla1[[#This Row],[Tiempo
(Hrs 00/100)]],"cumple","no cumple"),"")</f>
        <v>cumple</v>
      </c>
      <c r="W2697" s="376" t="s">
        <v>4210</v>
      </c>
      <c r="X2697" s="377" t="str">
        <f t="shared" si="213"/>
        <v>SSI</v>
      </c>
      <c r="Y2697" t="str">
        <f>SUBSTITUTE(Tabla1[[#This Row],[Descripción]],CHAR(10),"    I    ")</f>
        <v xml:space="preserve">Se hicieron más pruebas sobre las consultas del procedimiento OBTENER_FG_PRORROGA para evaluar si con algunos UNIONS se puede respetar el mantener ambos registros </v>
      </c>
      <c r="Z2697" s="142">
        <f>VLOOKUP(Tabla1[[#This Row],[Perfil]],Catalogos!$B$75:$D$100,3,FALSE)*Tabla1[[#This Row],[Tiempo
(Hrs 00/100)]]*1.16</f>
        <v>2784</v>
      </c>
    </row>
    <row r="2698" spans="1:27" ht="28.8" x14ac:dyDescent="0.3">
      <c r="A2698" s="373" t="s">
        <v>22</v>
      </c>
      <c r="B2698" s="373" t="s">
        <v>21</v>
      </c>
      <c r="C2698" s="373" t="s">
        <v>257</v>
      </c>
      <c r="D2698" s="373"/>
      <c r="E2698" s="373" t="s">
        <v>408</v>
      </c>
      <c r="F2698" s="373" t="s">
        <v>72</v>
      </c>
      <c r="G2698" s="637" t="s">
        <v>4890</v>
      </c>
      <c r="H2698" s="461" t="s">
        <v>5173</v>
      </c>
      <c r="I2698" s="178" t="s">
        <v>5174</v>
      </c>
      <c r="J2698" s="729">
        <v>45232</v>
      </c>
      <c r="K2698" s="773">
        <v>0.54166666666666663</v>
      </c>
      <c r="L2698" s="729">
        <v>45232</v>
      </c>
      <c r="M2698" s="773">
        <v>0.60416666666666663</v>
      </c>
      <c r="N2698" s="373">
        <v>1.5</v>
      </c>
      <c r="O2698" s="184" t="s">
        <v>17</v>
      </c>
      <c r="P2698" s="375" t="s">
        <v>4639</v>
      </c>
      <c r="Q2698" s="179" t="s">
        <v>1441</v>
      </c>
      <c r="R2698" s="31" t="s">
        <v>95</v>
      </c>
      <c r="S2698" s="31" t="s">
        <v>273</v>
      </c>
      <c r="T2698" s="31" t="s">
        <v>273</v>
      </c>
      <c r="U2698" s="31">
        <f>IFERROR(VLOOKUP(CONCATENATE(Tabla1[[#This Row],[Severidad]]," ",Tabla1[[#This Row],[Complejidad]]),Catalogos!E$120:G$128,3,FALSE),"")</f>
        <v>64</v>
      </c>
      <c r="V2698" s="31" t="str">
        <f>IF(Tabla1[[#This Row],[Tiempo solución max (hrs)]]&lt;&gt;"",IF(Tabla1[[#This Row],[Tiempo solución max (hrs)]]&gt;=Tabla1[[#This Row],[Tiempo
(Hrs 00/100)]],"cumple","no cumple"),"")</f>
        <v>cumple</v>
      </c>
      <c r="W2698" s="376" t="s">
        <v>4210</v>
      </c>
      <c r="X2698" s="377" t="str">
        <f t="shared" si="213"/>
        <v>SSI</v>
      </c>
      <c r="Y2698" t="str">
        <f>SUBSTITUTE(Tabla1[[#This Row],[Descripción]],CHAR(10),"    I    ")</f>
        <v>Se hicieron más pruebas para determinar si con subqueries es posible resolver el tema de los 2 registros en todo caso</v>
      </c>
      <c r="Z2698" s="142">
        <f>VLOOKUP(Tabla1[[#This Row],[Perfil]],Catalogos!$B$75:$D$100,3,FALSE)*Tabla1[[#This Row],[Tiempo
(Hrs 00/100)]]*1.16</f>
        <v>1044</v>
      </c>
    </row>
    <row r="2699" spans="1:27" ht="57.6" x14ac:dyDescent="0.3">
      <c r="A2699" s="373" t="s">
        <v>22</v>
      </c>
      <c r="B2699" s="373" t="s">
        <v>21</v>
      </c>
      <c r="C2699" s="373" t="s">
        <v>257</v>
      </c>
      <c r="D2699" s="373"/>
      <c r="E2699" s="373" t="s">
        <v>408</v>
      </c>
      <c r="F2699" s="373" t="s">
        <v>72</v>
      </c>
      <c r="G2699" s="637" t="s">
        <v>4891</v>
      </c>
      <c r="H2699" s="461" t="s">
        <v>5175</v>
      </c>
      <c r="I2699" s="178" t="s">
        <v>5176</v>
      </c>
      <c r="J2699" s="729">
        <v>45232</v>
      </c>
      <c r="K2699" s="773">
        <v>0.66666666666666663</v>
      </c>
      <c r="L2699" s="729">
        <v>45232</v>
      </c>
      <c r="M2699" s="773">
        <v>0.83333333333333337</v>
      </c>
      <c r="N2699" s="373">
        <v>4</v>
      </c>
      <c r="O2699" s="184" t="s">
        <v>17</v>
      </c>
      <c r="P2699" s="375" t="s">
        <v>4639</v>
      </c>
      <c r="Q2699" s="179" t="s">
        <v>1441</v>
      </c>
      <c r="R2699" s="31" t="s">
        <v>95</v>
      </c>
      <c r="S2699" s="31" t="s">
        <v>273</v>
      </c>
      <c r="T2699" s="31" t="s">
        <v>273</v>
      </c>
      <c r="U2699" s="31">
        <f>IFERROR(VLOOKUP(CONCATENATE(Tabla1[[#This Row],[Severidad]]," ",Tabla1[[#This Row],[Complejidad]]),Catalogos!E$120:G$128,3,FALSE),"")</f>
        <v>64</v>
      </c>
      <c r="V2699" s="31" t="str">
        <f>IF(Tabla1[[#This Row],[Tiempo solución max (hrs)]]&lt;&gt;"",IF(Tabla1[[#This Row],[Tiempo solución max (hrs)]]&gt;=Tabla1[[#This Row],[Tiempo
(Hrs 00/100)]],"cumple","no cumple"),"")</f>
        <v>cumple</v>
      </c>
      <c r="W2699" s="376" t="s">
        <v>4210</v>
      </c>
      <c r="X2699" s="377" t="str">
        <f t="shared" si="213"/>
        <v>SSI</v>
      </c>
      <c r="Y2699" t="str">
        <f>SUBSTITUTE(Tabla1[[#This Row],[Descripción]],CHAR(10),"    I    ")</f>
        <v>Se concluye que con las pruebas realizadas no es posible resolver la situación ya que con el Union solo le pegas 1 registro siempre, pero eso generara que se tengan en ocasiones 3 registros en ocasiones, lo cual es incorrecto</v>
      </c>
      <c r="Z2699" s="142">
        <f>VLOOKUP(Tabla1[[#This Row],[Perfil]],Catalogos!$B$75:$D$100,3,FALSE)*Tabla1[[#This Row],[Tiempo
(Hrs 00/100)]]*1.16</f>
        <v>2784</v>
      </c>
    </row>
    <row r="2700" spans="1:27" ht="43.2" x14ac:dyDescent="0.3">
      <c r="A2700" s="373" t="s">
        <v>22</v>
      </c>
      <c r="B2700" s="373" t="s">
        <v>21</v>
      </c>
      <c r="C2700" s="373" t="s">
        <v>257</v>
      </c>
      <c r="D2700" s="373"/>
      <c r="E2700" s="373" t="s">
        <v>408</v>
      </c>
      <c r="F2700" s="373" t="s">
        <v>23</v>
      </c>
      <c r="G2700" s="637" t="s">
        <v>4892</v>
      </c>
      <c r="H2700" s="461" t="s">
        <v>4646</v>
      </c>
      <c r="I2700" s="178" t="s">
        <v>4647</v>
      </c>
      <c r="J2700" s="729">
        <v>45233</v>
      </c>
      <c r="K2700" s="773">
        <v>0.375</v>
      </c>
      <c r="L2700" s="729">
        <v>45233</v>
      </c>
      <c r="M2700" s="773">
        <v>0.5</v>
      </c>
      <c r="N2700" s="373">
        <v>3</v>
      </c>
      <c r="O2700" s="184" t="s">
        <v>17</v>
      </c>
      <c r="P2700" s="375" t="s">
        <v>4639</v>
      </c>
      <c r="Q2700" s="179" t="s">
        <v>1441</v>
      </c>
      <c r="R2700" s="31" t="s">
        <v>95</v>
      </c>
      <c r="S2700" s="31" t="s">
        <v>273</v>
      </c>
      <c r="T2700" s="31" t="s">
        <v>273</v>
      </c>
      <c r="U2700" s="31">
        <f>IFERROR(VLOOKUP(CONCATENATE(Tabla1[[#This Row],[Severidad]]," ",Tabla1[[#This Row],[Complejidad]]),Catalogos!E$120:G$128,3,FALSE),"")</f>
        <v>64</v>
      </c>
      <c r="V2700" s="31" t="str">
        <f>IF(Tabla1[[#This Row],[Tiempo solución max (hrs)]]&lt;&gt;"",IF(Tabla1[[#This Row],[Tiempo solución max (hrs)]]&gt;=Tabla1[[#This Row],[Tiempo
(Hrs 00/100)]],"cumple","no cumple"),"")</f>
        <v>cumple</v>
      </c>
      <c r="W2700" s="376" t="s">
        <v>4210</v>
      </c>
      <c r="X2700" s="377" t="str">
        <f t="shared" si="213"/>
        <v>SSI</v>
      </c>
      <c r="Y2700" t="str">
        <f>SUBSTITUTE(Tabla1[[#This Row],[Descripción]],CHAR(10),"    I    ")</f>
        <v>Se modifico el procedimiento 'OBTENER_FG_PRORROGA' para dejar solamente 2 registros, aunque solo funcionara cuando el registro de un tipo traia 1 registro solamente, no es solución completa</v>
      </c>
      <c r="Z2700" s="142">
        <f>VLOOKUP(Tabla1[[#This Row],[Perfil]],Catalogos!$B$75:$D$100,3,FALSE)*Tabla1[[#This Row],[Tiempo
(Hrs 00/100)]]*1.16</f>
        <v>2088</v>
      </c>
    </row>
    <row r="2701" spans="1:27" ht="28.8" x14ac:dyDescent="0.3">
      <c r="A2701" s="373" t="s">
        <v>22</v>
      </c>
      <c r="B2701" s="373" t="s">
        <v>305</v>
      </c>
      <c r="C2701" s="373" t="s">
        <v>257</v>
      </c>
      <c r="D2701" s="373"/>
      <c r="E2701" s="373" t="s">
        <v>408</v>
      </c>
      <c r="F2701" s="373" t="s">
        <v>72</v>
      </c>
      <c r="G2701" s="637" t="s">
        <v>4893</v>
      </c>
      <c r="H2701" s="461" t="s">
        <v>4648</v>
      </c>
      <c r="I2701" s="178" t="s">
        <v>5186</v>
      </c>
      <c r="J2701" s="729">
        <v>45233</v>
      </c>
      <c r="K2701" s="773">
        <v>0.5</v>
      </c>
      <c r="L2701" s="729">
        <v>45233</v>
      </c>
      <c r="M2701" s="773">
        <v>0.60416666666666663</v>
      </c>
      <c r="N2701" s="373">
        <v>2.5</v>
      </c>
      <c r="O2701" s="184" t="s">
        <v>17</v>
      </c>
      <c r="P2701" s="375" t="s">
        <v>4641</v>
      </c>
      <c r="Q2701" s="179" t="s">
        <v>1441</v>
      </c>
      <c r="R2701" s="31" t="s">
        <v>95</v>
      </c>
      <c r="S2701" s="31" t="s">
        <v>273</v>
      </c>
      <c r="T2701" s="31" t="s">
        <v>273</v>
      </c>
      <c r="U2701" s="31">
        <f>IFERROR(VLOOKUP(CONCATENATE(Tabla1[[#This Row],[Severidad]]," ",Tabla1[[#This Row],[Complejidad]]),Catalogos!E$120:G$128,3,FALSE),"")</f>
        <v>64</v>
      </c>
      <c r="V2701" s="31" t="str">
        <f>IF(Tabla1[[#This Row],[Tiempo solución max (hrs)]]&lt;&gt;"",IF(Tabla1[[#This Row],[Tiempo solución max (hrs)]]&gt;=Tabla1[[#This Row],[Tiempo
(Hrs 00/100)]],"cumple","no cumple"),"")</f>
        <v>cumple</v>
      </c>
      <c r="W2701" s="376" t="s">
        <v>4210</v>
      </c>
      <c r="X2701" s="377" t="str">
        <f t="shared" si="213"/>
        <v>SSI</v>
      </c>
      <c r="Y2701" t="str">
        <f>SUBSTITUTE(Tabla1[[#This Row],[Descripción]],CHAR(10),"    I    ")</f>
        <v xml:space="preserve">Se tuvo sesión con en Subdirector para revisar la estructura de la tabla de Quejas y analizar el número de procedimientos </v>
      </c>
      <c r="Z2701" s="142">
        <f>VLOOKUP(Tabla1[[#This Row],[Perfil]],Catalogos!$B$75:$D$100,3,FALSE)*Tabla1[[#This Row],[Tiempo
(Hrs 00/100)]]*1.16</f>
        <v>1739.9999999999998</v>
      </c>
    </row>
    <row r="2702" spans="1:27" ht="28.8" x14ac:dyDescent="0.3">
      <c r="A2702" s="373" t="s">
        <v>22</v>
      </c>
      <c r="B2702" s="373" t="s">
        <v>305</v>
      </c>
      <c r="C2702" s="373" t="s">
        <v>257</v>
      </c>
      <c r="D2702" s="373"/>
      <c r="E2702" s="373" t="s">
        <v>408</v>
      </c>
      <c r="F2702" s="373" t="s">
        <v>72</v>
      </c>
      <c r="G2702" s="637" t="s">
        <v>4894</v>
      </c>
      <c r="H2702" s="461" t="s">
        <v>4649</v>
      </c>
      <c r="I2702" s="178" t="s">
        <v>4650</v>
      </c>
      <c r="J2702" s="729">
        <v>45233</v>
      </c>
      <c r="K2702" s="773">
        <v>0.66666666666666663</v>
      </c>
      <c r="L2702" s="729">
        <v>45236</v>
      </c>
      <c r="M2702" s="773">
        <v>0.6875</v>
      </c>
      <c r="N2702" s="373">
        <v>0.5</v>
      </c>
      <c r="O2702" s="184" t="s">
        <v>17</v>
      </c>
      <c r="P2702" s="375" t="s">
        <v>4641</v>
      </c>
      <c r="Q2702" s="179" t="s">
        <v>1441</v>
      </c>
      <c r="R2702" s="31" t="s">
        <v>95</v>
      </c>
      <c r="S2702" s="31" t="s">
        <v>273</v>
      </c>
      <c r="T2702" s="31" t="s">
        <v>273</v>
      </c>
      <c r="U2702" s="31">
        <f>IFERROR(VLOOKUP(CONCATENATE(Tabla1[[#This Row],[Severidad]]," ",Tabla1[[#This Row],[Complejidad]]),Catalogos!E$120:G$128,3,FALSE),"")</f>
        <v>64</v>
      </c>
      <c r="V2702" s="31" t="str">
        <f>IF(Tabla1[[#This Row],[Tiempo solución max (hrs)]]&lt;&gt;"",IF(Tabla1[[#This Row],[Tiempo solución max (hrs)]]&gt;=Tabla1[[#This Row],[Tiempo
(Hrs 00/100)]],"cumple","no cumple"),"")</f>
        <v>cumple</v>
      </c>
      <c r="W2702" s="376" t="s">
        <v>4210</v>
      </c>
      <c r="X2702" s="377" t="str">
        <f t="shared" si="213"/>
        <v>SSI</v>
      </c>
      <c r="Y2702" t="str">
        <f>SUBSTITUTE(Tabla1[[#This Row],[Descripción]],CHAR(10),"    I    ")</f>
        <v xml:space="preserve">Se valida que tenga acceso desde usuario BI a las tablas de catalogos como ''FEDERADO.FEDERADO_TC_ENTIDADFEDERATIVA'' </v>
      </c>
      <c r="Z2702" s="142">
        <f>VLOOKUP(Tabla1[[#This Row],[Perfil]],Catalogos!$B$75:$D$100,3,FALSE)*Tabla1[[#This Row],[Tiempo
(Hrs 00/100)]]*1.16</f>
        <v>348</v>
      </c>
    </row>
    <row r="2703" spans="1:27" ht="28.8" x14ac:dyDescent="0.3">
      <c r="A2703" s="373" t="s">
        <v>22</v>
      </c>
      <c r="B2703" s="373" t="s">
        <v>305</v>
      </c>
      <c r="C2703" s="373" t="s">
        <v>257</v>
      </c>
      <c r="D2703" s="373"/>
      <c r="E2703" s="373" t="s">
        <v>408</v>
      </c>
      <c r="F2703" s="373" t="s">
        <v>72</v>
      </c>
      <c r="G2703" s="637" t="s">
        <v>4895</v>
      </c>
      <c r="H2703" s="461" t="s">
        <v>4651</v>
      </c>
      <c r="I2703" s="178" t="s">
        <v>4652</v>
      </c>
      <c r="J2703" s="729">
        <v>45233</v>
      </c>
      <c r="K2703" s="773">
        <v>0.6875</v>
      </c>
      <c r="L2703" s="729">
        <v>45236</v>
      </c>
      <c r="M2703" s="773">
        <v>0.83333333333333337</v>
      </c>
      <c r="N2703" s="373">
        <v>3.5</v>
      </c>
      <c r="O2703" s="184" t="s">
        <v>17</v>
      </c>
      <c r="P2703" s="375" t="s">
        <v>4641</v>
      </c>
      <c r="Q2703" s="179" t="s">
        <v>1441</v>
      </c>
      <c r="R2703" s="31" t="s">
        <v>95</v>
      </c>
      <c r="S2703" s="31" t="s">
        <v>273</v>
      </c>
      <c r="T2703" s="31" t="s">
        <v>273</v>
      </c>
      <c r="U2703" s="31">
        <f>IFERROR(VLOOKUP(CONCATENATE(Tabla1[[#This Row],[Severidad]]," ",Tabla1[[#This Row],[Complejidad]]),Catalogos!E$120:G$128,3,FALSE),"")</f>
        <v>64</v>
      </c>
      <c r="V2703" s="31" t="str">
        <f>IF(Tabla1[[#This Row],[Tiempo solución max (hrs)]]&lt;&gt;"",IF(Tabla1[[#This Row],[Tiempo solución max (hrs)]]&gt;=Tabla1[[#This Row],[Tiempo
(Hrs 00/100)]],"cumple","no cumple"),"")</f>
        <v>cumple</v>
      </c>
      <c r="W2703" s="376" t="s">
        <v>4210</v>
      </c>
      <c r="X2703" s="377" t="str">
        <f t="shared" si="213"/>
        <v>SSI</v>
      </c>
      <c r="Y2703" t="str">
        <f>SUBSTITUTE(Tabla1[[#This Row],[Descripción]],CHAR(10),"    I    ")</f>
        <v xml:space="preserve">Se definió el total de procedimientos y se le da un nombre a cada uno para comenzar a desarrollar el paquete </v>
      </c>
      <c r="Z2703" s="142">
        <f>VLOOKUP(Tabla1[[#This Row],[Perfil]],Catalogos!$B$75:$D$100,3,FALSE)*Tabla1[[#This Row],[Tiempo
(Hrs 00/100)]]*1.16</f>
        <v>2436</v>
      </c>
    </row>
    <row r="2704" spans="1:27" ht="14.4" x14ac:dyDescent="0.3">
      <c r="A2704" s="373" t="s">
        <v>22</v>
      </c>
      <c r="B2704" s="373" t="s">
        <v>23</v>
      </c>
      <c r="C2704" s="373" t="s">
        <v>257</v>
      </c>
      <c r="D2704" s="373"/>
      <c r="E2704" s="373" t="s">
        <v>408</v>
      </c>
      <c r="F2704" s="373" t="s">
        <v>23</v>
      </c>
      <c r="G2704" s="637" t="s">
        <v>4896</v>
      </c>
      <c r="H2704" s="461" t="s">
        <v>4653</v>
      </c>
      <c r="I2704" s="178" t="s">
        <v>3555</v>
      </c>
      <c r="J2704" s="729">
        <v>45236</v>
      </c>
      <c r="K2704" s="773">
        <v>0.375</v>
      </c>
      <c r="L2704" s="729">
        <v>45236</v>
      </c>
      <c r="M2704" s="773">
        <v>0.41666666666666669</v>
      </c>
      <c r="N2704" s="373">
        <v>1</v>
      </c>
      <c r="O2704" s="184" t="s">
        <v>17</v>
      </c>
      <c r="P2704" s="375" t="s">
        <v>4641</v>
      </c>
      <c r="Q2704" s="179" t="s">
        <v>1441</v>
      </c>
      <c r="R2704" s="31" t="s">
        <v>95</v>
      </c>
      <c r="S2704" s="31" t="s">
        <v>273</v>
      </c>
      <c r="T2704" s="31" t="s">
        <v>273</v>
      </c>
      <c r="U2704" s="31">
        <f>IFERROR(VLOOKUP(CONCATENATE(Tabla1[[#This Row],[Severidad]]," ",Tabla1[[#This Row],[Complejidad]]),Catalogos!E$120:G$128,3,FALSE),"")</f>
        <v>64</v>
      </c>
      <c r="V2704" s="31" t="str">
        <f>IF(Tabla1[[#This Row],[Tiempo solución max (hrs)]]&lt;&gt;"",IF(Tabla1[[#This Row],[Tiempo solución max (hrs)]]&gt;=Tabla1[[#This Row],[Tiempo
(Hrs 00/100)]],"cumple","no cumple"),"")</f>
        <v>cumple</v>
      </c>
      <c r="W2704" s="376" t="s">
        <v>4210</v>
      </c>
      <c r="X2704" s="377" t="str">
        <f t="shared" si="213"/>
        <v>SSI</v>
      </c>
      <c r="Y2704" t="str">
        <f>SUBSTITUTE(Tabla1[[#This Row],[Descripción]],CHAR(10),"    I    ")</f>
        <v>Se trabajó en declarar los objetos de tipo TAB en el 1er procedimiento</v>
      </c>
      <c r="Z2704" s="142">
        <f>VLOOKUP(Tabla1[[#This Row],[Perfil]],Catalogos!$B$75:$D$100,3,FALSE)*Tabla1[[#This Row],[Tiempo
(Hrs 00/100)]]*1.16</f>
        <v>696</v>
      </c>
    </row>
    <row r="2705" spans="1:26" ht="28.8" x14ac:dyDescent="0.3">
      <c r="A2705" s="373" t="s">
        <v>22</v>
      </c>
      <c r="B2705" s="373" t="s">
        <v>23</v>
      </c>
      <c r="C2705" s="373" t="s">
        <v>257</v>
      </c>
      <c r="D2705" s="373"/>
      <c r="E2705" s="373" t="s">
        <v>408</v>
      </c>
      <c r="F2705" s="373" t="s">
        <v>23</v>
      </c>
      <c r="G2705" s="637" t="s">
        <v>4897</v>
      </c>
      <c r="H2705" s="461" t="s">
        <v>4654</v>
      </c>
      <c r="I2705" s="178" t="s">
        <v>4655</v>
      </c>
      <c r="J2705" s="729">
        <v>45236</v>
      </c>
      <c r="K2705" s="773">
        <v>0.41666666666666669</v>
      </c>
      <c r="L2705" s="729">
        <v>45236</v>
      </c>
      <c r="M2705" s="773">
        <v>0.47916666666666669</v>
      </c>
      <c r="N2705" s="373">
        <v>1.5</v>
      </c>
      <c r="O2705" s="184" t="s">
        <v>17</v>
      </c>
      <c r="P2705" s="375" t="s">
        <v>4641</v>
      </c>
      <c r="Q2705" s="179" t="s">
        <v>1441</v>
      </c>
      <c r="R2705" s="31" t="s">
        <v>95</v>
      </c>
      <c r="S2705" s="31" t="s">
        <v>273</v>
      </c>
      <c r="T2705" s="31" t="s">
        <v>273</v>
      </c>
      <c r="U2705" s="31">
        <f>IFERROR(VLOOKUP(CONCATENATE(Tabla1[[#This Row],[Severidad]]," ",Tabla1[[#This Row],[Complejidad]]),Catalogos!E$120:G$128,3,FALSE),"")</f>
        <v>64</v>
      </c>
      <c r="V2705" s="31" t="str">
        <f>IF(Tabla1[[#This Row],[Tiempo solución max (hrs)]]&lt;&gt;"",IF(Tabla1[[#This Row],[Tiempo solución max (hrs)]]&gt;=Tabla1[[#This Row],[Tiempo
(Hrs 00/100)]],"cumple","no cumple"),"")</f>
        <v>cumple</v>
      </c>
      <c r="W2705" s="376" t="s">
        <v>4210</v>
      </c>
      <c r="X2705" s="377" t="str">
        <f t="shared" si="213"/>
        <v>SSI</v>
      </c>
      <c r="Y2705" t="str">
        <f>SUBSTITUTE(Tabla1[[#This Row],[Descripción]],CHAR(10),"    I    ")</f>
        <v xml:space="preserve">Se creó paquete de la BD 'BI.PACK_QUEJAS_ESTADISTICAS' de forma general con su header y su body </v>
      </c>
      <c r="Z2705" s="142">
        <f>VLOOKUP(Tabla1[[#This Row],[Perfil]],Catalogos!$B$75:$D$100,3,FALSE)*Tabla1[[#This Row],[Tiempo
(Hrs 00/100)]]*1.16</f>
        <v>1044</v>
      </c>
    </row>
    <row r="2706" spans="1:26" ht="57.6" x14ac:dyDescent="0.3">
      <c r="A2706" s="373" t="s">
        <v>22</v>
      </c>
      <c r="B2706" s="373" t="s">
        <v>23</v>
      </c>
      <c r="C2706" s="373" t="s">
        <v>257</v>
      </c>
      <c r="D2706" s="373"/>
      <c r="E2706" s="373" t="s">
        <v>408</v>
      </c>
      <c r="F2706" s="373" t="s">
        <v>23</v>
      </c>
      <c r="G2706" s="637" t="s">
        <v>4898</v>
      </c>
      <c r="H2706" s="461" t="s">
        <v>4656</v>
      </c>
      <c r="I2706" s="178" t="s">
        <v>4657</v>
      </c>
      <c r="J2706" s="729">
        <v>45236</v>
      </c>
      <c r="K2706" s="773">
        <v>0.47916666666666669</v>
      </c>
      <c r="L2706" s="729">
        <v>45236</v>
      </c>
      <c r="M2706" s="773">
        <v>0.5625</v>
      </c>
      <c r="N2706" s="373">
        <v>2</v>
      </c>
      <c r="O2706" s="184" t="s">
        <v>17</v>
      </c>
      <c r="P2706" s="375" t="s">
        <v>4641</v>
      </c>
      <c r="Q2706" s="179" t="s">
        <v>1441</v>
      </c>
      <c r="R2706" s="31" t="s">
        <v>95</v>
      </c>
      <c r="S2706" s="31" t="s">
        <v>273</v>
      </c>
      <c r="T2706" s="31" t="s">
        <v>273</v>
      </c>
      <c r="U2706" s="31">
        <f>IFERROR(VLOOKUP(CONCATENATE(Tabla1[[#This Row],[Severidad]]," ",Tabla1[[#This Row],[Complejidad]]),Catalogos!E$120:G$128,3,FALSE),"")</f>
        <v>64</v>
      </c>
      <c r="V2706" s="31" t="str">
        <f>IF(Tabla1[[#This Row],[Tiempo solución max (hrs)]]&lt;&gt;"",IF(Tabla1[[#This Row],[Tiempo solución max (hrs)]]&gt;=Tabla1[[#This Row],[Tiempo
(Hrs 00/100)]],"cumple","no cumple"),"")</f>
        <v>cumple</v>
      </c>
      <c r="W2706" s="376" t="s">
        <v>4210</v>
      </c>
      <c r="X2706" s="377" t="str">
        <f t="shared" si="213"/>
        <v>SSI</v>
      </c>
      <c r="Y2706" t="str">
        <f>SUBSTITUTE(Tabla1[[#This Row],[Descripción]],CHAR(10),"    I    ")</f>
        <v xml:space="preserve">Se creó el esqueleto de los 9 procedimientos identificados inicialmente con los parametros de entrada de los IDs de la tabla 'BI_IMPUGNACIONES_VWM_QUEJAS_ESTADISTICAS' y con su respectivo parametro de cursor para la salida </v>
      </c>
      <c r="Z2706" s="142">
        <f>VLOOKUP(Tabla1[[#This Row],[Perfil]],Catalogos!$B$75:$D$100,3,FALSE)*Tabla1[[#This Row],[Tiempo
(Hrs 00/100)]]*1.16</f>
        <v>1392</v>
      </c>
    </row>
    <row r="2707" spans="1:26" ht="28.8" x14ac:dyDescent="0.3">
      <c r="A2707" s="373" t="s">
        <v>22</v>
      </c>
      <c r="B2707" s="373" t="s">
        <v>23</v>
      </c>
      <c r="C2707" s="373" t="s">
        <v>257</v>
      </c>
      <c r="D2707" s="373"/>
      <c r="E2707" s="373" t="s">
        <v>408</v>
      </c>
      <c r="F2707" s="373" t="s">
        <v>23</v>
      </c>
      <c r="G2707" s="637" t="s">
        <v>4899</v>
      </c>
      <c r="H2707" s="461" t="s">
        <v>4658</v>
      </c>
      <c r="I2707" s="178" t="s">
        <v>4658</v>
      </c>
      <c r="J2707" s="729">
        <v>45236</v>
      </c>
      <c r="K2707" s="773">
        <v>0.5625</v>
      </c>
      <c r="L2707" s="729">
        <v>45236</v>
      </c>
      <c r="M2707" s="773">
        <v>0.60416666666666663</v>
      </c>
      <c r="N2707" s="373">
        <v>1</v>
      </c>
      <c r="O2707" s="184" t="s">
        <v>17</v>
      </c>
      <c r="P2707" s="375" t="s">
        <v>4641</v>
      </c>
      <c r="Q2707" s="179" t="s">
        <v>1441</v>
      </c>
      <c r="R2707" s="31" t="s">
        <v>95</v>
      </c>
      <c r="S2707" s="31" t="s">
        <v>273</v>
      </c>
      <c r="T2707" s="31" t="s">
        <v>273</v>
      </c>
      <c r="U2707" s="31">
        <f>IFERROR(VLOOKUP(CONCATENATE(Tabla1[[#This Row],[Severidad]]," ",Tabla1[[#This Row],[Complejidad]]),Catalogos!E$120:G$128,3,FALSE),"")</f>
        <v>64</v>
      </c>
      <c r="V2707" s="31" t="str">
        <f>IF(Tabla1[[#This Row],[Tiempo solución max (hrs)]]&lt;&gt;"",IF(Tabla1[[#This Row],[Tiempo solución max (hrs)]]&gt;=Tabla1[[#This Row],[Tiempo
(Hrs 00/100)]],"cumple","no cumple"),"")</f>
        <v>cumple</v>
      </c>
      <c r="W2707" s="376" t="s">
        <v>4210</v>
      </c>
      <c r="X2707" s="377" t="str">
        <f t="shared" ref="X2707:X2738" si="214">IF(C2707&lt;&gt;"",C2707,D2707)</f>
        <v>SSI</v>
      </c>
      <c r="Y2707" t="str">
        <f>SUBSTITUTE(Tabla1[[#This Row],[Descripción]],CHAR(10),"    I    ")</f>
        <v xml:space="preserve">Se construyó la consulta para tratar el 1er procedimiento 'OBTENER_ENTIDADFEDERATIVA' </v>
      </c>
      <c r="Z2707" s="142">
        <f>VLOOKUP(Tabla1[[#This Row],[Perfil]],Catalogos!$B$75:$D$100,3,FALSE)*Tabla1[[#This Row],[Tiempo
(Hrs 00/100)]]*1.16</f>
        <v>696</v>
      </c>
    </row>
    <row r="2708" spans="1:26" ht="28.8" x14ac:dyDescent="0.3">
      <c r="A2708" s="373" t="s">
        <v>22</v>
      </c>
      <c r="B2708" s="373" t="s">
        <v>23</v>
      </c>
      <c r="C2708" s="373" t="s">
        <v>257</v>
      </c>
      <c r="D2708" s="373"/>
      <c r="E2708" s="373" t="s">
        <v>408</v>
      </c>
      <c r="F2708" s="373" t="s">
        <v>75</v>
      </c>
      <c r="G2708" s="637" t="s">
        <v>4900</v>
      </c>
      <c r="H2708" s="461" t="s">
        <v>4659</v>
      </c>
      <c r="I2708" s="178" t="s">
        <v>4660</v>
      </c>
      <c r="J2708" s="729">
        <v>45236</v>
      </c>
      <c r="K2708" s="773">
        <v>0.66666666666666663</v>
      </c>
      <c r="L2708" s="729">
        <v>45236</v>
      </c>
      <c r="M2708" s="773">
        <v>0.6875</v>
      </c>
      <c r="N2708" s="373">
        <v>0.5</v>
      </c>
      <c r="O2708" s="184" t="s">
        <v>17</v>
      </c>
      <c r="P2708" s="375" t="s">
        <v>4641</v>
      </c>
      <c r="Q2708" s="179" t="s">
        <v>1441</v>
      </c>
      <c r="R2708" s="31" t="s">
        <v>95</v>
      </c>
      <c r="S2708" s="31" t="s">
        <v>273</v>
      </c>
      <c r="T2708" s="31" t="s">
        <v>273</v>
      </c>
      <c r="U2708" s="31">
        <f>IFERROR(VLOOKUP(CONCATENATE(Tabla1[[#This Row],[Severidad]]," ",Tabla1[[#This Row],[Complejidad]]),Catalogos!E$120:G$128,3,FALSE),"")</f>
        <v>64</v>
      </c>
      <c r="V2708" s="31" t="str">
        <f>IF(Tabla1[[#This Row],[Tiempo solución max (hrs)]]&lt;&gt;"",IF(Tabla1[[#This Row],[Tiempo solución max (hrs)]]&gt;=Tabla1[[#This Row],[Tiempo
(Hrs 00/100)]],"cumple","no cumple"),"")</f>
        <v>cumple</v>
      </c>
      <c r="W2708" s="376" t="s">
        <v>4210</v>
      </c>
      <c r="X2708" s="377" t="str">
        <f t="shared" si="214"/>
        <v>SSI</v>
      </c>
      <c r="Y2708" t="str">
        <f>SUBSTITUTE(Tabla1[[#This Row],[Descripción]],CHAR(10),"    I    ")</f>
        <v xml:space="preserve">Se validó que la información que retorna la consulta con los distintos parametros sea la correcta </v>
      </c>
      <c r="Z2708" s="142">
        <f>VLOOKUP(Tabla1[[#This Row],[Perfil]],Catalogos!$B$75:$D$100,3,FALSE)*Tabla1[[#This Row],[Tiempo
(Hrs 00/100)]]*1.16</f>
        <v>348</v>
      </c>
    </row>
    <row r="2709" spans="1:26" ht="43.2" x14ac:dyDescent="0.3">
      <c r="A2709" s="373" t="s">
        <v>22</v>
      </c>
      <c r="B2709" s="373" t="s">
        <v>23</v>
      </c>
      <c r="C2709" s="373" t="s">
        <v>257</v>
      </c>
      <c r="D2709" s="373"/>
      <c r="E2709" s="373" t="s">
        <v>408</v>
      </c>
      <c r="F2709" s="373" t="s">
        <v>23</v>
      </c>
      <c r="G2709" s="637" t="s">
        <v>4901</v>
      </c>
      <c r="H2709" s="461" t="s">
        <v>4661</v>
      </c>
      <c r="I2709" s="178" t="s">
        <v>4662</v>
      </c>
      <c r="J2709" s="729">
        <v>45236</v>
      </c>
      <c r="K2709" s="773">
        <v>0.6875</v>
      </c>
      <c r="L2709" s="729">
        <v>45236</v>
      </c>
      <c r="M2709" s="773">
        <v>0.72916666666666663</v>
      </c>
      <c r="N2709" s="373">
        <v>1</v>
      </c>
      <c r="O2709" s="184" t="s">
        <v>17</v>
      </c>
      <c r="P2709" s="375" t="s">
        <v>4641</v>
      </c>
      <c r="Q2709" s="179" t="s">
        <v>1441</v>
      </c>
      <c r="R2709" s="31" t="s">
        <v>95</v>
      </c>
      <c r="S2709" s="31" t="s">
        <v>273</v>
      </c>
      <c r="T2709" s="31" t="s">
        <v>273</v>
      </c>
      <c r="U2709" s="31">
        <f>IFERROR(VLOOKUP(CONCATENATE(Tabla1[[#This Row],[Severidad]]," ",Tabla1[[#This Row],[Complejidad]]),Catalogos!E$120:G$128,3,FALSE),"")</f>
        <v>64</v>
      </c>
      <c r="V2709" s="31" t="str">
        <f>IF(Tabla1[[#This Row],[Tiempo solución max (hrs)]]&lt;&gt;"",IF(Tabla1[[#This Row],[Tiempo solución max (hrs)]]&gt;=Tabla1[[#This Row],[Tiempo
(Hrs 00/100)]],"cumple","no cumple"),"")</f>
        <v>cumple</v>
      </c>
      <c r="W2709" s="376" t="s">
        <v>4210</v>
      </c>
      <c r="X2709" s="377" t="str">
        <f t="shared" si="214"/>
        <v>SSI</v>
      </c>
      <c r="Y2709" t="str">
        <f>SUBSTITUTE(Tabla1[[#This Row],[Descripción]],CHAR(10),"    I    ")</f>
        <v>Se trabajó en el 1er procedimiento 'OBTENER_ENTIDADFEDERATIVA' con sus respectivas variables TAB y con su consulta previamente validada, se compila sin errores</v>
      </c>
      <c r="Z2709" s="142">
        <f>VLOOKUP(Tabla1[[#This Row],[Perfil]],Catalogos!$B$75:$D$100,3,FALSE)*Tabla1[[#This Row],[Tiempo
(Hrs 00/100)]]*1.16</f>
        <v>696</v>
      </c>
    </row>
    <row r="2710" spans="1:26" ht="43.2" x14ac:dyDescent="0.3">
      <c r="A2710" s="373" t="s">
        <v>22</v>
      </c>
      <c r="B2710" s="373" t="s">
        <v>23</v>
      </c>
      <c r="C2710" s="373" t="s">
        <v>257</v>
      </c>
      <c r="D2710" s="373"/>
      <c r="E2710" s="373" t="s">
        <v>408</v>
      </c>
      <c r="F2710" s="373" t="s">
        <v>75</v>
      </c>
      <c r="G2710" s="637" t="s">
        <v>4902</v>
      </c>
      <c r="H2710" s="461" t="s">
        <v>4663</v>
      </c>
      <c r="I2710" s="178" t="s">
        <v>4664</v>
      </c>
      <c r="J2710" s="729">
        <v>45236</v>
      </c>
      <c r="K2710" s="773">
        <v>0.72916666666666663</v>
      </c>
      <c r="L2710" s="729">
        <v>45236</v>
      </c>
      <c r="M2710" s="773">
        <v>0.83333333333333337</v>
      </c>
      <c r="N2710" s="373">
        <v>2.5</v>
      </c>
      <c r="O2710" s="184" t="s">
        <v>17</v>
      </c>
      <c r="P2710" s="375" t="s">
        <v>4641</v>
      </c>
      <c r="Q2710" s="179" t="s">
        <v>1441</v>
      </c>
      <c r="R2710" s="31" t="s">
        <v>95</v>
      </c>
      <c r="S2710" s="31" t="s">
        <v>273</v>
      </c>
      <c r="T2710" s="31" t="s">
        <v>273</v>
      </c>
      <c r="U2710" s="31">
        <f>IFERROR(VLOOKUP(CONCATENATE(Tabla1[[#This Row],[Severidad]]," ",Tabla1[[#This Row],[Complejidad]]),Catalogos!E$120:G$128,3,FALSE),"")</f>
        <v>64</v>
      </c>
      <c r="V2710" s="31" t="str">
        <f>IF(Tabla1[[#This Row],[Tiempo solución max (hrs)]]&lt;&gt;"",IF(Tabla1[[#This Row],[Tiempo solución max (hrs)]]&gt;=Tabla1[[#This Row],[Tiempo
(Hrs 00/100)]],"cumple","no cumple"),"")</f>
        <v>cumple</v>
      </c>
      <c r="W2710" s="376" t="s">
        <v>4210</v>
      </c>
      <c r="X2710" s="377" t="str">
        <f t="shared" si="214"/>
        <v>SSI</v>
      </c>
      <c r="Y2710" t="str">
        <f>SUBSTITUTE(Tabla1[[#This Row],[Descripción]],CHAR(10),"    I    ")</f>
        <v xml:space="preserve">Se validó el paquete-procedimiento 'OBTENER_ENTIDADFEDERATIVA' con el bloque anónimo correcto y se tuvo un resultado exitoso con la salida del cursor completo </v>
      </c>
      <c r="Z2710" s="142">
        <f>VLOOKUP(Tabla1[[#This Row],[Perfil]],Catalogos!$B$75:$D$100,3,FALSE)*Tabla1[[#This Row],[Tiempo
(Hrs 00/100)]]*1.16</f>
        <v>1739.9999999999998</v>
      </c>
    </row>
    <row r="2711" spans="1:26" ht="28.8" x14ac:dyDescent="0.3">
      <c r="A2711" s="373" t="s">
        <v>22</v>
      </c>
      <c r="B2711" s="373" t="s">
        <v>305</v>
      </c>
      <c r="C2711" s="373" t="s">
        <v>257</v>
      </c>
      <c r="D2711" s="373"/>
      <c r="E2711" s="373" t="s">
        <v>408</v>
      </c>
      <c r="F2711" s="373" t="s">
        <v>72</v>
      </c>
      <c r="G2711" s="637" t="s">
        <v>4903</v>
      </c>
      <c r="H2711" s="461" t="s">
        <v>4665</v>
      </c>
      <c r="I2711" s="178" t="s">
        <v>5187</v>
      </c>
      <c r="J2711" s="729">
        <v>45237</v>
      </c>
      <c r="K2711" s="773">
        <v>0.375</v>
      </c>
      <c r="L2711" s="729">
        <v>45237</v>
      </c>
      <c r="M2711" s="773">
        <v>0.39583333333333331</v>
      </c>
      <c r="N2711" s="373">
        <v>0.5</v>
      </c>
      <c r="O2711" s="184" t="s">
        <v>17</v>
      </c>
      <c r="P2711" s="375" t="s">
        <v>4641</v>
      </c>
      <c r="Q2711" s="179" t="s">
        <v>1441</v>
      </c>
      <c r="R2711" s="31" t="s">
        <v>95</v>
      </c>
      <c r="S2711" s="31" t="s">
        <v>273</v>
      </c>
      <c r="T2711" s="31" t="s">
        <v>273</v>
      </c>
      <c r="U2711" s="31">
        <f>IFERROR(VLOOKUP(CONCATENATE(Tabla1[[#This Row],[Severidad]]," ",Tabla1[[#This Row],[Complejidad]]),Catalogos!E$120:G$128,3,FALSE),"")</f>
        <v>64</v>
      </c>
      <c r="V2711" s="31" t="str">
        <f>IF(Tabla1[[#This Row],[Tiempo solución max (hrs)]]&lt;&gt;"",IF(Tabla1[[#This Row],[Tiempo solución max (hrs)]]&gt;=Tabla1[[#This Row],[Tiempo
(Hrs 00/100)]],"cumple","no cumple"),"")</f>
        <v>cumple</v>
      </c>
      <c r="W2711" s="376" t="s">
        <v>4210</v>
      </c>
      <c r="X2711" s="377" t="str">
        <f t="shared" si="214"/>
        <v>SSI</v>
      </c>
      <c r="Y2711" t="str">
        <f>SUBSTITUTE(Tabla1[[#This Row],[Descripción]],CHAR(10),"    I    ")</f>
        <v>Se tuvo sesión rapida con personal del INAI para aclarar dudas sobre el 1er procedimiento de tabla de Quejas</v>
      </c>
      <c r="Z2711" s="142">
        <f>VLOOKUP(Tabla1[[#This Row],[Perfil]],Catalogos!$B$75:$D$100,3,FALSE)*Tabla1[[#This Row],[Tiempo
(Hrs 00/100)]]*1.16</f>
        <v>348</v>
      </c>
    </row>
    <row r="2712" spans="1:26" ht="28.8" x14ac:dyDescent="0.3">
      <c r="A2712" s="373" t="s">
        <v>22</v>
      </c>
      <c r="B2712" s="373" t="s">
        <v>23</v>
      </c>
      <c r="C2712" s="373" t="s">
        <v>257</v>
      </c>
      <c r="D2712" s="373"/>
      <c r="E2712" s="373" t="s">
        <v>408</v>
      </c>
      <c r="F2712" s="373" t="s">
        <v>23</v>
      </c>
      <c r="G2712" s="637" t="s">
        <v>4904</v>
      </c>
      <c r="H2712" s="461" t="s">
        <v>4666</v>
      </c>
      <c r="I2712" s="178" t="s">
        <v>4667</v>
      </c>
      <c r="J2712" s="729">
        <v>45237</v>
      </c>
      <c r="K2712" s="773">
        <v>0.39583333333333331</v>
      </c>
      <c r="L2712" s="729">
        <v>45237</v>
      </c>
      <c r="M2712" s="773">
        <v>0.41666666666666669</v>
      </c>
      <c r="N2712" s="373">
        <v>0.5</v>
      </c>
      <c r="O2712" s="184" t="s">
        <v>17</v>
      </c>
      <c r="P2712" s="375" t="s">
        <v>4641</v>
      </c>
      <c r="Q2712" s="179" t="s">
        <v>1441</v>
      </c>
      <c r="R2712" s="31" t="s">
        <v>95</v>
      </c>
      <c r="S2712" s="31" t="s">
        <v>273</v>
      </c>
      <c r="T2712" s="31" t="s">
        <v>273</v>
      </c>
      <c r="U2712" s="31">
        <f>IFERROR(VLOOKUP(CONCATENATE(Tabla1[[#This Row],[Severidad]]," ",Tabla1[[#This Row],[Complejidad]]),Catalogos!E$120:G$128,3,FALSE),"")</f>
        <v>64</v>
      </c>
      <c r="V2712" s="31" t="str">
        <f>IF(Tabla1[[#This Row],[Tiempo solución max (hrs)]]&lt;&gt;"",IF(Tabla1[[#This Row],[Tiempo solución max (hrs)]]&gt;=Tabla1[[#This Row],[Tiempo
(Hrs 00/100)]],"cumple","no cumple"),"")</f>
        <v>cumple</v>
      </c>
      <c r="W2712" s="376" t="s">
        <v>4210</v>
      </c>
      <c r="X2712" s="377" t="str">
        <f t="shared" si="214"/>
        <v>SSI</v>
      </c>
      <c r="Y2712" t="str">
        <f>SUBSTITUTE(Tabla1[[#This Row],[Descripción]],CHAR(10),"    I    ")</f>
        <v xml:space="preserve">Se actualizo el 1er procedimiento por el nombre correcto 'BI.PACK_QUEJAS_ESTADISTICAS.OBTENER_MEDIOREGISTRO' </v>
      </c>
      <c r="Z2712" s="142">
        <f>VLOOKUP(Tabla1[[#This Row],[Perfil]],Catalogos!$B$75:$D$100,3,FALSE)*Tabla1[[#This Row],[Tiempo
(Hrs 00/100)]]*1.16</f>
        <v>348</v>
      </c>
    </row>
    <row r="2713" spans="1:26" ht="43.2" x14ac:dyDescent="0.3">
      <c r="A2713" s="373" t="s">
        <v>22</v>
      </c>
      <c r="B2713" s="373" t="s">
        <v>23</v>
      </c>
      <c r="C2713" s="373" t="s">
        <v>257</v>
      </c>
      <c r="D2713" s="373"/>
      <c r="E2713" s="373" t="s">
        <v>408</v>
      </c>
      <c r="F2713" s="373" t="s">
        <v>75</v>
      </c>
      <c r="G2713" s="637" t="s">
        <v>4905</v>
      </c>
      <c r="H2713" s="461" t="s">
        <v>4668</v>
      </c>
      <c r="I2713" s="178" t="s">
        <v>4669</v>
      </c>
      <c r="J2713" s="729">
        <v>45237</v>
      </c>
      <c r="K2713" s="773">
        <v>0.41666666666666669</v>
      </c>
      <c r="L2713" s="729">
        <v>45237</v>
      </c>
      <c r="M2713" s="773">
        <v>0.4375</v>
      </c>
      <c r="N2713" s="373">
        <v>0.5</v>
      </c>
      <c r="O2713" s="184" t="s">
        <v>17</v>
      </c>
      <c r="P2713" s="375" t="s">
        <v>4641</v>
      </c>
      <c r="Q2713" s="179" t="s">
        <v>1441</v>
      </c>
      <c r="R2713" s="31" t="s">
        <v>95</v>
      </c>
      <c r="S2713" s="31" t="s">
        <v>273</v>
      </c>
      <c r="T2713" s="31" t="s">
        <v>273</v>
      </c>
      <c r="U2713" s="31">
        <f>IFERROR(VLOOKUP(CONCATENATE(Tabla1[[#This Row],[Severidad]]," ",Tabla1[[#This Row],[Complejidad]]),Catalogos!E$120:G$128,3,FALSE),"")</f>
        <v>64</v>
      </c>
      <c r="V2713" s="31" t="str">
        <f>IF(Tabla1[[#This Row],[Tiempo solución max (hrs)]]&lt;&gt;"",IF(Tabla1[[#This Row],[Tiempo solución max (hrs)]]&gt;=Tabla1[[#This Row],[Tiempo
(Hrs 00/100)]],"cumple","no cumple"),"")</f>
        <v>cumple</v>
      </c>
      <c r="W2713" s="376" t="s">
        <v>4210</v>
      </c>
      <c r="X2713" s="377" t="str">
        <f t="shared" si="214"/>
        <v>SSI</v>
      </c>
      <c r="Y2713" t="str">
        <f>SUBSTITUTE(Tabla1[[#This Row],[Descripción]],CHAR(10),"    I    ")</f>
        <v>Se validó el paquete-procedimiento 'OBTENER_MEDIOREGISTRO' con el bloque anónimo correcto y se tuvo un resultado exitoso con la salida del cursor completo</v>
      </c>
      <c r="Z2713" s="142">
        <f>VLOOKUP(Tabla1[[#This Row],[Perfil]],Catalogos!$B$75:$D$100,3,FALSE)*Tabla1[[#This Row],[Tiempo
(Hrs 00/100)]]*1.16</f>
        <v>348</v>
      </c>
    </row>
    <row r="2714" spans="1:26" ht="28.8" x14ac:dyDescent="0.3">
      <c r="A2714" s="373" t="s">
        <v>22</v>
      </c>
      <c r="B2714" s="373" t="s">
        <v>61</v>
      </c>
      <c r="C2714" s="373" t="s">
        <v>257</v>
      </c>
      <c r="D2714" s="373"/>
      <c r="E2714" s="373" t="s">
        <v>408</v>
      </c>
      <c r="F2714" s="373" t="s">
        <v>76</v>
      </c>
      <c r="G2714" s="637" t="s">
        <v>4906</v>
      </c>
      <c r="H2714" s="461" t="s">
        <v>4670</v>
      </c>
      <c r="I2714" s="178" t="s">
        <v>5189</v>
      </c>
      <c r="J2714" s="729">
        <v>45237</v>
      </c>
      <c r="K2714" s="773">
        <v>0.4375</v>
      </c>
      <c r="L2714" s="729">
        <v>45237</v>
      </c>
      <c r="M2714" s="773">
        <v>0.45833333333333331</v>
      </c>
      <c r="N2714" s="373">
        <v>0.5</v>
      </c>
      <c r="O2714" s="184" t="s">
        <v>17</v>
      </c>
      <c r="P2714" s="375" t="s">
        <v>4641</v>
      </c>
      <c r="Q2714" s="179" t="s">
        <v>1441</v>
      </c>
      <c r="R2714" s="31" t="s">
        <v>95</v>
      </c>
      <c r="S2714" s="31" t="s">
        <v>273</v>
      </c>
      <c r="T2714" s="31" t="s">
        <v>273</v>
      </c>
      <c r="U2714" s="31">
        <f>IFERROR(VLOOKUP(CONCATENATE(Tabla1[[#This Row],[Severidad]]," ",Tabla1[[#This Row],[Complejidad]]),Catalogos!E$120:G$128,3,FALSE),"")</f>
        <v>64</v>
      </c>
      <c r="V2714" s="31" t="str">
        <f>IF(Tabla1[[#This Row],[Tiempo solución max (hrs)]]&lt;&gt;"",IF(Tabla1[[#This Row],[Tiempo solución max (hrs)]]&gt;=Tabla1[[#This Row],[Tiempo
(Hrs 00/100)]],"cumple","no cumple"),"")</f>
        <v>cumple</v>
      </c>
      <c r="W2714" s="376" t="s">
        <v>4210</v>
      </c>
      <c r="X2714" s="377" t="str">
        <f t="shared" si="214"/>
        <v>SSI</v>
      </c>
      <c r="Y2714" t="str">
        <f>SUBSTITUTE(Tabla1[[#This Row],[Descripción]],CHAR(10),"    I    ")</f>
        <v xml:space="preserve">Se le explicó al equipo que ya esta esté 1er procedimiento para que lo revisen y consuman desde el aplicativo </v>
      </c>
      <c r="Z2714" s="142">
        <f>VLOOKUP(Tabla1[[#This Row],[Perfil]],Catalogos!$B$75:$D$100,3,FALSE)*Tabla1[[#This Row],[Tiempo
(Hrs 00/100)]]*1.16</f>
        <v>348</v>
      </c>
    </row>
    <row r="2715" spans="1:26" ht="28.8" x14ac:dyDescent="0.3">
      <c r="A2715" s="373" t="s">
        <v>22</v>
      </c>
      <c r="B2715" s="373" t="s">
        <v>23</v>
      </c>
      <c r="C2715" s="373" t="s">
        <v>257</v>
      </c>
      <c r="D2715" s="373"/>
      <c r="E2715" s="373" t="s">
        <v>408</v>
      </c>
      <c r="F2715" s="373" t="s">
        <v>23</v>
      </c>
      <c r="G2715" s="637" t="s">
        <v>4907</v>
      </c>
      <c r="H2715" s="461" t="s">
        <v>4671</v>
      </c>
      <c r="I2715" s="178" t="s">
        <v>4671</v>
      </c>
      <c r="J2715" s="729">
        <v>45237</v>
      </c>
      <c r="K2715" s="773">
        <v>0.45833333333333331</v>
      </c>
      <c r="L2715" s="729">
        <v>45237</v>
      </c>
      <c r="M2715" s="773">
        <v>0.5</v>
      </c>
      <c r="N2715" s="373">
        <v>1</v>
      </c>
      <c r="O2715" s="184" t="s">
        <v>17</v>
      </c>
      <c r="P2715" s="375" t="s">
        <v>4641</v>
      </c>
      <c r="Q2715" s="179" t="s">
        <v>1441</v>
      </c>
      <c r="R2715" s="31" t="s">
        <v>95</v>
      </c>
      <c r="S2715" s="31" t="s">
        <v>273</v>
      </c>
      <c r="T2715" s="31" t="s">
        <v>273</v>
      </c>
      <c r="U2715" s="31">
        <f>IFERROR(VLOOKUP(CONCATENATE(Tabla1[[#This Row],[Severidad]]," ",Tabla1[[#This Row],[Complejidad]]),Catalogos!E$120:G$128,3,FALSE),"")</f>
        <v>64</v>
      </c>
      <c r="V2715" s="31" t="str">
        <f>IF(Tabla1[[#This Row],[Tiempo solución max (hrs)]]&lt;&gt;"",IF(Tabla1[[#This Row],[Tiempo solución max (hrs)]]&gt;=Tabla1[[#This Row],[Tiempo
(Hrs 00/100)]],"cumple","no cumple"),"")</f>
        <v>cumple</v>
      </c>
      <c r="W2715" s="376" t="s">
        <v>4210</v>
      </c>
      <c r="X2715" s="377" t="str">
        <f t="shared" si="214"/>
        <v>SSI</v>
      </c>
      <c r="Y2715" t="str">
        <f>SUBSTITUTE(Tabla1[[#This Row],[Descripción]],CHAR(10),"    I    ")</f>
        <v xml:space="preserve">Se construyó la consulta para tratar el 2do procedimiento 'OBTENER_MEDIONOTIFICACION' </v>
      </c>
      <c r="Z2715" s="142">
        <f>VLOOKUP(Tabla1[[#This Row],[Perfil]],Catalogos!$B$75:$D$100,3,FALSE)*Tabla1[[#This Row],[Tiempo
(Hrs 00/100)]]*1.16</f>
        <v>696</v>
      </c>
    </row>
    <row r="2716" spans="1:26" ht="28.8" x14ac:dyDescent="0.3">
      <c r="A2716" s="373" t="s">
        <v>22</v>
      </c>
      <c r="B2716" s="373" t="s">
        <v>23</v>
      </c>
      <c r="C2716" s="373" t="s">
        <v>257</v>
      </c>
      <c r="D2716" s="373"/>
      <c r="E2716" s="373" t="s">
        <v>408</v>
      </c>
      <c r="F2716" s="373" t="s">
        <v>75</v>
      </c>
      <c r="G2716" s="637" t="s">
        <v>4908</v>
      </c>
      <c r="H2716" s="461" t="s">
        <v>3593</v>
      </c>
      <c r="I2716" s="178" t="s">
        <v>3593</v>
      </c>
      <c r="J2716" s="729">
        <v>45237</v>
      </c>
      <c r="K2716" s="773">
        <v>0.5</v>
      </c>
      <c r="L2716" s="729">
        <v>45237</v>
      </c>
      <c r="M2716" s="773">
        <v>0.54166666666666663</v>
      </c>
      <c r="N2716" s="373">
        <v>1</v>
      </c>
      <c r="O2716" s="184" t="s">
        <v>17</v>
      </c>
      <c r="P2716" s="375" t="s">
        <v>4641</v>
      </c>
      <c r="Q2716" s="179" t="s">
        <v>1441</v>
      </c>
      <c r="R2716" s="31" t="s">
        <v>95</v>
      </c>
      <c r="S2716" s="31" t="s">
        <v>273</v>
      </c>
      <c r="T2716" s="31" t="s">
        <v>273</v>
      </c>
      <c r="U2716" s="31">
        <f>IFERROR(VLOOKUP(CONCATENATE(Tabla1[[#This Row],[Severidad]]," ",Tabla1[[#This Row],[Complejidad]]),Catalogos!E$120:G$128,3,FALSE),"")</f>
        <v>64</v>
      </c>
      <c r="V2716" s="31" t="str">
        <f>IF(Tabla1[[#This Row],[Tiempo solución max (hrs)]]&lt;&gt;"",IF(Tabla1[[#This Row],[Tiempo solución max (hrs)]]&gt;=Tabla1[[#This Row],[Tiempo
(Hrs 00/100)]],"cumple","no cumple"),"")</f>
        <v>cumple</v>
      </c>
      <c r="W2716" s="376" t="s">
        <v>4210</v>
      </c>
      <c r="X2716" s="377" t="str">
        <f t="shared" si="214"/>
        <v>SSI</v>
      </c>
      <c r="Y2716" t="str">
        <f>SUBSTITUTE(Tabla1[[#This Row],[Descripción]],CHAR(10),"    I    ")</f>
        <v>Se validó que la información que retorna la consulta con los distintos parametros sea la correcta</v>
      </c>
      <c r="Z2716" s="142">
        <f>VLOOKUP(Tabla1[[#This Row],[Perfil]],Catalogos!$B$75:$D$100,3,FALSE)*Tabla1[[#This Row],[Tiempo
(Hrs 00/100)]]*1.16</f>
        <v>696</v>
      </c>
    </row>
    <row r="2717" spans="1:26" ht="43.2" x14ac:dyDescent="0.3">
      <c r="A2717" s="373" t="s">
        <v>22</v>
      </c>
      <c r="B2717" s="373" t="s">
        <v>23</v>
      </c>
      <c r="C2717" s="373" t="s">
        <v>257</v>
      </c>
      <c r="D2717" s="373"/>
      <c r="E2717" s="373" t="s">
        <v>408</v>
      </c>
      <c r="F2717" s="373" t="s">
        <v>23</v>
      </c>
      <c r="G2717" s="637" t="s">
        <v>4909</v>
      </c>
      <c r="H2717" s="461" t="s">
        <v>4672</v>
      </c>
      <c r="I2717" s="178" t="s">
        <v>4673</v>
      </c>
      <c r="J2717" s="729">
        <v>45237</v>
      </c>
      <c r="K2717" s="773">
        <v>0.54166666666666663</v>
      </c>
      <c r="L2717" s="729">
        <v>45237</v>
      </c>
      <c r="M2717" s="773">
        <v>0.60416666666666663</v>
      </c>
      <c r="N2717" s="373">
        <v>1.5</v>
      </c>
      <c r="O2717" s="184" t="s">
        <v>17</v>
      </c>
      <c r="P2717" s="375" t="s">
        <v>4641</v>
      </c>
      <c r="Q2717" s="179" t="s">
        <v>1441</v>
      </c>
      <c r="R2717" s="31" t="s">
        <v>95</v>
      </c>
      <c r="S2717" s="31" t="s">
        <v>273</v>
      </c>
      <c r="T2717" s="31" t="s">
        <v>273</v>
      </c>
      <c r="U2717" s="31">
        <f>IFERROR(VLOOKUP(CONCATENATE(Tabla1[[#This Row],[Severidad]]," ",Tabla1[[#This Row],[Complejidad]]),Catalogos!E$120:G$128,3,FALSE),"")</f>
        <v>64</v>
      </c>
      <c r="V2717" s="31" t="str">
        <f>IF(Tabla1[[#This Row],[Tiempo solución max (hrs)]]&lt;&gt;"",IF(Tabla1[[#This Row],[Tiempo solución max (hrs)]]&gt;=Tabla1[[#This Row],[Tiempo
(Hrs 00/100)]],"cumple","no cumple"),"")</f>
        <v>cumple</v>
      </c>
      <c r="W2717" s="376" t="s">
        <v>4210</v>
      </c>
      <c r="X2717" s="377" t="str">
        <f t="shared" si="214"/>
        <v>SSI</v>
      </c>
      <c r="Y2717" t="str">
        <f>SUBSTITUTE(Tabla1[[#This Row],[Descripción]],CHAR(10),"    I    ")</f>
        <v>Se trabajó en el 2do procedimiento 'OBTENER_MEDIONOTIFICACION' con sus respectivas variables TAB y con su consulta previamente validada, se compila sin errores</v>
      </c>
      <c r="Z2717" s="142">
        <f>VLOOKUP(Tabla1[[#This Row],[Perfil]],Catalogos!$B$75:$D$100,3,FALSE)*Tabla1[[#This Row],[Tiempo
(Hrs 00/100)]]*1.16</f>
        <v>1044</v>
      </c>
    </row>
    <row r="2718" spans="1:26" ht="43.2" x14ac:dyDescent="0.3">
      <c r="A2718" s="373" t="s">
        <v>22</v>
      </c>
      <c r="B2718" s="373" t="s">
        <v>23</v>
      </c>
      <c r="C2718" s="373" t="s">
        <v>257</v>
      </c>
      <c r="D2718" s="373"/>
      <c r="E2718" s="373" t="s">
        <v>408</v>
      </c>
      <c r="F2718" s="373" t="s">
        <v>75</v>
      </c>
      <c r="G2718" s="637" t="s">
        <v>4910</v>
      </c>
      <c r="H2718" s="461" t="s">
        <v>4674</v>
      </c>
      <c r="I2718" s="178" t="s">
        <v>4675</v>
      </c>
      <c r="J2718" s="729">
        <v>45237</v>
      </c>
      <c r="K2718" s="773">
        <v>0.66666666666666663</v>
      </c>
      <c r="L2718" s="729">
        <v>45237</v>
      </c>
      <c r="M2718" s="773">
        <v>0.70833333333333337</v>
      </c>
      <c r="N2718" s="373">
        <v>1</v>
      </c>
      <c r="O2718" s="184" t="s">
        <v>17</v>
      </c>
      <c r="P2718" s="375" t="s">
        <v>4641</v>
      </c>
      <c r="Q2718" s="179" t="s">
        <v>1441</v>
      </c>
      <c r="R2718" s="31" t="s">
        <v>95</v>
      </c>
      <c r="S2718" s="31" t="s">
        <v>273</v>
      </c>
      <c r="T2718" s="31" t="s">
        <v>273</v>
      </c>
      <c r="U2718" s="31">
        <f>IFERROR(VLOOKUP(CONCATENATE(Tabla1[[#This Row],[Severidad]]," ",Tabla1[[#This Row],[Complejidad]]),Catalogos!E$120:G$128,3,FALSE),"")</f>
        <v>64</v>
      </c>
      <c r="V2718" s="31" t="str">
        <f>IF(Tabla1[[#This Row],[Tiempo solución max (hrs)]]&lt;&gt;"",IF(Tabla1[[#This Row],[Tiempo solución max (hrs)]]&gt;=Tabla1[[#This Row],[Tiempo
(Hrs 00/100)]],"cumple","no cumple"),"")</f>
        <v>cumple</v>
      </c>
      <c r="W2718" s="376" t="s">
        <v>4210</v>
      </c>
      <c r="X2718" s="377" t="str">
        <f t="shared" si="214"/>
        <v>SSI</v>
      </c>
      <c r="Y2718" t="str">
        <f>SUBSTITUTE(Tabla1[[#This Row],[Descripción]],CHAR(10),"    I    ")</f>
        <v xml:space="preserve">Se validó el paquete-procedimiento 'OBTENER_MEDIONOTIFICACION' con el bloque anónimo correcto y se tuvo un resultado exitoso con la salida del cursor completo </v>
      </c>
      <c r="Z2718" s="142">
        <f>VLOOKUP(Tabla1[[#This Row],[Perfil]],Catalogos!$B$75:$D$100,3,FALSE)*Tabla1[[#This Row],[Tiempo
(Hrs 00/100)]]*1.16</f>
        <v>696</v>
      </c>
    </row>
    <row r="2719" spans="1:26" ht="28.8" x14ac:dyDescent="0.3">
      <c r="A2719" s="373" t="s">
        <v>22</v>
      </c>
      <c r="B2719" s="373" t="s">
        <v>61</v>
      </c>
      <c r="C2719" s="373" t="s">
        <v>257</v>
      </c>
      <c r="D2719" s="373"/>
      <c r="E2719" s="373" t="s">
        <v>408</v>
      </c>
      <c r="F2719" s="373" t="s">
        <v>76</v>
      </c>
      <c r="G2719" s="637" t="s">
        <v>4911</v>
      </c>
      <c r="H2719" s="461" t="s">
        <v>4676</v>
      </c>
      <c r="I2719" s="178" t="s">
        <v>5190</v>
      </c>
      <c r="J2719" s="729">
        <v>45237</v>
      </c>
      <c r="K2719" s="773">
        <v>0.70833333333333337</v>
      </c>
      <c r="L2719" s="729">
        <v>45237</v>
      </c>
      <c r="M2719" s="773">
        <v>0.72916666666666663</v>
      </c>
      <c r="N2719" s="373">
        <v>0.5</v>
      </c>
      <c r="O2719" s="184" t="s">
        <v>17</v>
      </c>
      <c r="P2719" s="375" t="s">
        <v>4641</v>
      </c>
      <c r="Q2719" s="179" t="s">
        <v>1441</v>
      </c>
      <c r="R2719" s="31" t="s">
        <v>95</v>
      </c>
      <c r="S2719" s="31" t="s">
        <v>273</v>
      </c>
      <c r="T2719" s="31" t="s">
        <v>273</v>
      </c>
      <c r="U2719" s="31">
        <f>IFERROR(VLOOKUP(CONCATENATE(Tabla1[[#This Row],[Severidad]]," ",Tabla1[[#This Row],[Complejidad]]),Catalogos!E$120:G$128,3,FALSE),"")</f>
        <v>64</v>
      </c>
      <c r="V2719" s="31" t="str">
        <f>IF(Tabla1[[#This Row],[Tiempo solución max (hrs)]]&lt;&gt;"",IF(Tabla1[[#This Row],[Tiempo solución max (hrs)]]&gt;=Tabla1[[#This Row],[Tiempo
(Hrs 00/100)]],"cumple","no cumple"),"")</f>
        <v>cumple</v>
      </c>
      <c r="W2719" s="376" t="s">
        <v>4210</v>
      </c>
      <c r="X2719" s="377" t="str">
        <f t="shared" si="214"/>
        <v>SSI</v>
      </c>
      <c r="Y2719" t="str">
        <f>SUBSTITUTE(Tabla1[[#This Row],[Descripción]],CHAR(10),"    I    ")</f>
        <v xml:space="preserve">Se le explicó al equipo que ya esta esté 2do procedimiento para que lo revisen y consuman desde el aplicativo </v>
      </c>
      <c r="Z2719" s="142">
        <f>VLOOKUP(Tabla1[[#This Row],[Perfil]],Catalogos!$B$75:$D$100,3,FALSE)*Tabla1[[#This Row],[Tiempo
(Hrs 00/100)]]*1.16</f>
        <v>348</v>
      </c>
    </row>
    <row r="2720" spans="1:26" ht="43.2" x14ac:dyDescent="0.3">
      <c r="A2720" s="373" t="s">
        <v>22</v>
      </c>
      <c r="B2720" s="373" t="s">
        <v>305</v>
      </c>
      <c r="C2720" s="373" t="s">
        <v>257</v>
      </c>
      <c r="D2720" s="373"/>
      <c r="E2720" s="373" t="s">
        <v>408</v>
      </c>
      <c r="F2720" s="373" t="s">
        <v>72</v>
      </c>
      <c r="G2720" s="637" t="s">
        <v>4912</v>
      </c>
      <c r="H2720" s="461" t="s">
        <v>4677</v>
      </c>
      <c r="I2720" s="178" t="s">
        <v>4678</v>
      </c>
      <c r="J2720" s="729">
        <v>45237</v>
      </c>
      <c r="K2720" s="773">
        <v>0.72916666666666663</v>
      </c>
      <c r="L2720" s="729">
        <v>45237</v>
      </c>
      <c r="M2720" s="773">
        <v>0.75</v>
      </c>
      <c r="N2720" s="373">
        <v>0.5</v>
      </c>
      <c r="O2720" s="184" t="s">
        <v>17</v>
      </c>
      <c r="P2720" s="375" t="s">
        <v>4641</v>
      </c>
      <c r="Q2720" s="179" t="s">
        <v>1441</v>
      </c>
      <c r="R2720" s="31" t="s">
        <v>95</v>
      </c>
      <c r="S2720" s="31" t="s">
        <v>273</v>
      </c>
      <c r="T2720" s="31" t="s">
        <v>273</v>
      </c>
      <c r="U2720" s="31">
        <f>IFERROR(VLOOKUP(CONCATENATE(Tabla1[[#This Row],[Severidad]]," ",Tabla1[[#This Row],[Complejidad]]),Catalogos!E$120:G$128,3,FALSE),"")</f>
        <v>64</v>
      </c>
      <c r="V2720" s="31" t="str">
        <f>IF(Tabla1[[#This Row],[Tiempo solución max (hrs)]]&lt;&gt;"",IF(Tabla1[[#This Row],[Tiempo solución max (hrs)]]&gt;=Tabla1[[#This Row],[Tiempo
(Hrs 00/100)]],"cumple","no cumple"),"")</f>
        <v>cumple</v>
      </c>
      <c r="W2720" s="376" t="s">
        <v>4210</v>
      </c>
      <c r="X2720" s="377" t="str">
        <f t="shared" si="214"/>
        <v>SSI</v>
      </c>
      <c r="Y2720" t="str">
        <f>SUBSTITUTE(Tabla1[[#This Row],[Descripción]],CHAR(10),"    I    ")</f>
        <v xml:space="preserve">Se expuso duda sobre el 3er procedimiento ya que hay que considerar los ID_STATUS mas usados, los 9 más usados ya que tomo esa validación de la tabla 'IMPUGNACIONES.MEDI_TR_MEDIO_IMPUGNACION' </v>
      </c>
      <c r="Z2720" s="142">
        <f>VLOOKUP(Tabla1[[#This Row],[Perfil]],Catalogos!$B$75:$D$100,3,FALSE)*Tabla1[[#This Row],[Tiempo
(Hrs 00/100)]]*1.16</f>
        <v>348</v>
      </c>
    </row>
    <row r="2721" spans="1:26" ht="28.8" x14ac:dyDescent="0.3">
      <c r="A2721" s="373" t="s">
        <v>22</v>
      </c>
      <c r="B2721" s="373" t="s">
        <v>23</v>
      </c>
      <c r="C2721" s="373" t="s">
        <v>257</v>
      </c>
      <c r="D2721" s="373"/>
      <c r="E2721" s="373" t="s">
        <v>408</v>
      </c>
      <c r="F2721" s="373" t="s">
        <v>23</v>
      </c>
      <c r="G2721" s="637" t="s">
        <v>4913</v>
      </c>
      <c r="H2721" s="461" t="s">
        <v>4679</v>
      </c>
      <c r="I2721" s="178" t="s">
        <v>4679</v>
      </c>
      <c r="J2721" s="729">
        <v>45237</v>
      </c>
      <c r="K2721" s="773">
        <v>0.75</v>
      </c>
      <c r="L2721" s="729">
        <v>45237</v>
      </c>
      <c r="M2721" s="773">
        <v>0.79166666666666663</v>
      </c>
      <c r="N2721" s="373">
        <v>1</v>
      </c>
      <c r="O2721" s="184" t="s">
        <v>17</v>
      </c>
      <c r="P2721" s="375" t="s">
        <v>4641</v>
      </c>
      <c r="Q2721" s="179" t="s">
        <v>1441</v>
      </c>
      <c r="R2721" s="31" t="s">
        <v>95</v>
      </c>
      <c r="S2721" s="31" t="s">
        <v>273</v>
      </c>
      <c r="T2721" s="31" t="s">
        <v>273</v>
      </c>
      <c r="U2721" s="31">
        <f>IFERROR(VLOOKUP(CONCATENATE(Tabla1[[#This Row],[Severidad]]," ",Tabla1[[#This Row],[Complejidad]]),Catalogos!E$120:G$128,3,FALSE),"")</f>
        <v>64</v>
      </c>
      <c r="V2721" s="31" t="str">
        <f>IF(Tabla1[[#This Row],[Tiempo solución max (hrs)]]&lt;&gt;"",IF(Tabla1[[#This Row],[Tiempo solución max (hrs)]]&gt;=Tabla1[[#This Row],[Tiempo
(Hrs 00/100)]],"cumple","no cumple"),"")</f>
        <v>cumple</v>
      </c>
      <c r="W2721" s="376" t="s">
        <v>4210</v>
      </c>
      <c r="X2721" s="377" t="str">
        <f t="shared" si="214"/>
        <v>SSI</v>
      </c>
      <c r="Y2721" t="str">
        <f>SUBSTITUTE(Tabla1[[#This Row],[Descripción]],CHAR(10),"    I    ")</f>
        <v xml:space="preserve">Se construyó la consulta para tratar el 3er procedimiento 'OBTENER_TIPOSTATUS' </v>
      </c>
      <c r="Z2721" s="142">
        <f>VLOOKUP(Tabla1[[#This Row],[Perfil]],Catalogos!$B$75:$D$100,3,FALSE)*Tabla1[[#This Row],[Tiempo
(Hrs 00/100)]]*1.16</f>
        <v>696</v>
      </c>
    </row>
    <row r="2722" spans="1:26" ht="28.8" x14ac:dyDescent="0.3">
      <c r="A2722" s="373" t="s">
        <v>22</v>
      </c>
      <c r="B2722" s="373" t="s">
        <v>23</v>
      </c>
      <c r="C2722" s="373" t="s">
        <v>257</v>
      </c>
      <c r="D2722" s="373"/>
      <c r="E2722" s="373" t="s">
        <v>408</v>
      </c>
      <c r="F2722" s="373" t="s">
        <v>75</v>
      </c>
      <c r="G2722" s="637" t="s">
        <v>4914</v>
      </c>
      <c r="H2722" s="461" t="s">
        <v>3593</v>
      </c>
      <c r="I2722" s="178" t="s">
        <v>3593</v>
      </c>
      <c r="J2722" s="729">
        <v>45238</v>
      </c>
      <c r="K2722" s="773">
        <v>0.375</v>
      </c>
      <c r="L2722" s="729">
        <v>45238</v>
      </c>
      <c r="M2722" s="773">
        <v>0.39583333333333331</v>
      </c>
      <c r="N2722" s="373">
        <v>0.5</v>
      </c>
      <c r="O2722" s="184" t="s">
        <v>17</v>
      </c>
      <c r="P2722" s="375" t="s">
        <v>4641</v>
      </c>
      <c r="Q2722" s="179" t="s">
        <v>1441</v>
      </c>
      <c r="R2722" s="31" t="s">
        <v>95</v>
      </c>
      <c r="S2722" s="31" t="s">
        <v>273</v>
      </c>
      <c r="T2722" s="31" t="s">
        <v>273</v>
      </c>
      <c r="U2722" s="31">
        <f>IFERROR(VLOOKUP(CONCATENATE(Tabla1[[#This Row],[Severidad]]," ",Tabla1[[#This Row],[Complejidad]]),Catalogos!E$120:G$128,3,FALSE),"")</f>
        <v>64</v>
      </c>
      <c r="V2722" s="31" t="str">
        <f>IF(Tabla1[[#This Row],[Tiempo solución max (hrs)]]&lt;&gt;"",IF(Tabla1[[#This Row],[Tiempo solución max (hrs)]]&gt;=Tabla1[[#This Row],[Tiempo
(Hrs 00/100)]],"cumple","no cumple"),"")</f>
        <v>cumple</v>
      </c>
      <c r="W2722" s="376" t="s">
        <v>4210</v>
      </c>
      <c r="X2722" s="377" t="str">
        <f t="shared" si="214"/>
        <v>SSI</v>
      </c>
      <c r="Y2722" t="str">
        <f>SUBSTITUTE(Tabla1[[#This Row],[Descripción]],CHAR(10),"    I    ")</f>
        <v>Se validó que la información que retorna la consulta con los distintos parametros sea la correcta</v>
      </c>
      <c r="Z2722" s="142">
        <f>VLOOKUP(Tabla1[[#This Row],[Perfil]],Catalogos!$B$75:$D$100,3,FALSE)*Tabla1[[#This Row],[Tiempo
(Hrs 00/100)]]*1.16</f>
        <v>348</v>
      </c>
    </row>
    <row r="2723" spans="1:26" ht="43.2" x14ac:dyDescent="0.3">
      <c r="A2723" s="373" t="s">
        <v>22</v>
      </c>
      <c r="B2723" s="373" t="s">
        <v>23</v>
      </c>
      <c r="C2723" s="373" t="s">
        <v>257</v>
      </c>
      <c r="D2723" s="373"/>
      <c r="E2723" s="373" t="s">
        <v>408</v>
      </c>
      <c r="F2723" s="373" t="s">
        <v>23</v>
      </c>
      <c r="G2723" s="637" t="s">
        <v>4915</v>
      </c>
      <c r="H2723" s="461" t="s">
        <v>4680</v>
      </c>
      <c r="I2723" s="178" t="s">
        <v>4681</v>
      </c>
      <c r="J2723" s="729">
        <v>45238</v>
      </c>
      <c r="K2723" s="773">
        <v>0.39583333333333331</v>
      </c>
      <c r="L2723" s="729">
        <v>45238</v>
      </c>
      <c r="M2723" s="773">
        <v>0.45833333333333331</v>
      </c>
      <c r="N2723" s="373">
        <v>1.5</v>
      </c>
      <c r="O2723" s="184" t="s">
        <v>17</v>
      </c>
      <c r="P2723" s="375" t="s">
        <v>4641</v>
      </c>
      <c r="Q2723" s="179" t="s">
        <v>1441</v>
      </c>
      <c r="R2723" s="31" t="s">
        <v>95</v>
      </c>
      <c r="S2723" s="31" t="s">
        <v>273</v>
      </c>
      <c r="T2723" s="31" t="s">
        <v>273</v>
      </c>
      <c r="U2723" s="31">
        <f>IFERROR(VLOOKUP(CONCATENATE(Tabla1[[#This Row],[Severidad]]," ",Tabla1[[#This Row],[Complejidad]]),Catalogos!E$120:G$128,3,FALSE),"")</f>
        <v>64</v>
      </c>
      <c r="V2723" s="31" t="str">
        <f>IF(Tabla1[[#This Row],[Tiempo solución max (hrs)]]&lt;&gt;"",IF(Tabla1[[#This Row],[Tiempo solución max (hrs)]]&gt;=Tabla1[[#This Row],[Tiempo
(Hrs 00/100)]],"cumple","no cumple"),"")</f>
        <v>cumple</v>
      </c>
      <c r="W2723" s="376" t="s">
        <v>4210</v>
      </c>
      <c r="X2723" s="377" t="str">
        <f t="shared" si="214"/>
        <v>SSI</v>
      </c>
      <c r="Y2723" t="str">
        <f>SUBSTITUTE(Tabla1[[#This Row],[Descripción]],CHAR(10),"    I    ")</f>
        <v xml:space="preserve">Se trabajó en el 3er procedimiento 'OBTENER_TIPOSTATUS' con sus respectivas variables TAB y con su consulta previamente validada, se compila sin errores </v>
      </c>
      <c r="Z2723" s="142">
        <f>VLOOKUP(Tabla1[[#This Row],[Perfil]],Catalogos!$B$75:$D$100,3,FALSE)*Tabla1[[#This Row],[Tiempo
(Hrs 00/100)]]*1.16</f>
        <v>1044</v>
      </c>
    </row>
    <row r="2724" spans="1:26" ht="43.2" x14ac:dyDescent="0.3">
      <c r="A2724" s="373" t="s">
        <v>22</v>
      </c>
      <c r="B2724" s="373" t="s">
        <v>23</v>
      </c>
      <c r="C2724" s="373" t="s">
        <v>257</v>
      </c>
      <c r="D2724" s="373"/>
      <c r="E2724" s="373" t="s">
        <v>408</v>
      </c>
      <c r="F2724" s="373" t="s">
        <v>75</v>
      </c>
      <c r="G2724" s="637" t="s">
        <v>4916</v>
      </c>
      <c r="H2724" s="461" t="s">
        <v>4682</v>
      </c>
      <c r="I2724" s="178" t="s">
        <v>4683</v>
      </c>
      <c r="J2724" s="729">
        <v>45238</v>
      </c>
      <c r="K2724" s="773">
        <v>0.45833333333333331</v>
      </c>
      <c r="L2724" s="729">
        <v>45238</v>
      </c>
      <c r="M2724" s="773">
        <v>0.47916666666666669</v>
      </c>
      <c r="N2724" s="373">
        <v>0.5</v>
      </c>
      <c r="O2724" s="184" t="s">
        <v>17</v>
      </c>
      <c r="P2724" s="375" t="s">
        <v>4641</v>
      </c>
      <c r="Q2724" s="179" t="s">
        <v>1441</v>
      </c>
      <c r="R2724" s="31" t="s">
        <v>95</v>
      </c>
      <c r="S2724" s="31" t="s">
        <v>273</v>
      </c>
      <c r="T2724" s="31" t="s">
        <v>273</v>
      </c>
      <c r="U2724" s="31">
        <f>IFERROR(VLOOKUP(CONCATENATE(Tabla1[[#This Row],[Severidad]]," ",Tabla1[[#This Row],[Complejidad]]),Catalogos!E$120:G$128,3,FALSE),"")</f>
        <v>64</v>
      </c>
      <c r="V2724" s="31" t="str">
        <f>IF(Tabla1[[#This Row],[Tiempo solución max (hrs)]]&lt;&gt;"",IF(Tabla1[[#This Row],[Tiempo solución max (hrs)]]&gt;=Tabla1[[#This Row],[Tiempo
(Hrs 00/100)]],"cumple","no cumple"),"")</f>
        <v>cumple</v>
      </c>
      <c r="W2724" s="376" t="s">
        <v>4210</v>
      </c>
      <c r="X2724" s="377" t="str">
        <f t="shared" si="214"/>
        <v>SSI</v>
      </c>
      <c r="Y2724" t="str">
        <f>SUBSTITUTE(Tabla1[[#This Row],[Descripción]],CHAR(10),"    I    ")</f>
        <v xml:space="preserve">Se validó el paquete-procedimiento 'OBTENER_TIPOSTATUS' con el bloque anónimo correcto y se tuvo un resultado exitoso con la salida del cursor completo </v>
      </c>
      <c r="Z2724" s="142">
        <f>VLOOKUP(Tabla1[[#This Row],[Perfil]],Catalogos!$B$75:$D$100,3,FALSE)*Tabla1[[#This Row],[Tiempo
(Hrs 00/100)]]*1.16</f>
        <v>348</v>
      </c>
    </row>
    <row r="2725" spans="1:26" ht="28.8" x14ac:dyDescent="0.3">
      <c r="A2725" s="373" t="s">
        <v>22</v>
      </c>
      <c r="B2725" s="373" t="s">
        <v>61</v>
      </c>
      <c r="C2725" s="373" t="s">
        <v>257</v>
      </c>
      <c r="D2725" s="373"/>
      <c r="E2725" s="373" t="s">
        <v>408</v>
      </c>
      <c r="F2725" s="373" t="s">
        <v>76</v>
      </c>
      <c r="G2725" s="637" t="s">
        <v>4917</v>
      </c>
      <c r="H2725" s="461" t="s">
        <v>4684</v>
      </c>
      <c r="I2725" s="178" t="s">
        <v>5191</v>
      </c>
      <c r="J2725" s="729">
        <v>45238</v>
      </c>
      <c r="K2725" s="773">
        <v>0.47916666666666669</v>
      </c>
      <c r="L2725" s="729">
        <v>45238</v>
      </c>
      <c r="M2725" s="773">
        <v>0.5</v>
      </c>
      <c r="N2725" s="373">
        <v>0.5</v>
      </c>
      <c r="O2725" s="184" t="s">
        <v>17</v>
      </c>
      <c r="P2725" s="375" t="s">
        <v>4641</v>
      </c>
      <c r="Q2725" s="179" t="s">
        <v>1441</v>
      </c>
      <c r="R2725" s="31" t="s">
        <v>95</v>
      </c>
      <c r="S2725" s="31" t="s">
        <v>273</v>
      </c>
      <c r="T2725" s="31" t="s">
        <v>273</v>
      </c>
      <c r="U2725" s="31">
        <f>IFERROR(VLOOKUP(CONCATENATE(Tabla1[[#This Row],[Severidad]]," ",Tabla1[[#This Row],[Complejidad]]),Catalogos!E$120:G$128,3,FALSE),"")</f>
        <v>64</v>
      </c>
      <c r="V2725" s="31" t="str">
        <f>IF(Tabla1[[#This Row],[Tiempo solución max (hrs)]]&lt;&gt;"",IF(Tabla1[[#This Row],[Tiempo solución max (hrs)]]&gt;=Tabla1[[#This Row],[Tiempo
(Hrs 00/100)]],"cumple","no cumple"),"")</f>
        <v>cumple</v>
      </c>
      <c r="W2725" s="376" t="s">
        <v>4210</v>
      </c>
      <c r="X2725" s="377" t="str">
        <f t="shared" si="214"/>
        <v>SSI</v>
      </c>
      <c r="Y2725" t="str">
        <f>SUBSTITUTE(Tabla1[[#This Row],[Descripción]],CHAR(10),"    I    ")</f>
        <v>Se le explicó al equipo que ya esta esté 3er procedimiento para que lo revisen y consuman desde el aplicativo</v>
      </c>
      <c r="Z2725" s="142">
        <f>VLOOKUP(Tabla1[[#This Row],[Perfil]],Catalogos!$B$75:$D$100,3,FALSE)*Tabla1[[#This Row],[Tiempo
(Hrs 00/100)]]*1.16</f>
        <v>348</v>
      </c>
    </row>
    <row r="2726" spans="1:26" ht="28.8" x14ac:dyDescent="0.3">
      <c r="A2726" s="373" t="s">
        <v>22</v>
      </c>
      <c r="B2726" s="373" t="s">
        <v>23</v>
      </c>
      <c r="C2726" s="373" t="s">
        <v>257</v>
      </c>
      <c r="D2726" s="373"/>
      <c r="E2726" s="373" t="s">
        <v>408</v>
      </c>
      <c r="F2726" s="373" t="s">
        <v>23</v>
      </c>
      <c r="G2726" s="637" t="s">
        <v>4918</v>
      </c>
      <c r="H2726" s="461" t="s">
        <v>4685</v>
      </c>
      <c r="I2726" s="178" t="s">
        <v>4685</v>
      </c>
      <c r="J2726" s="729">
        <v>45238</v>
      </c>
      <c r="K2726" s="773">
        <v>0.5</v>
      </c>
      <c r="L2726" s="729">
        <v>45238</v>
      </c>
      <c r="M2726" s="773">
        <v>0.54166666666666663</v>
      </c>
      <c r="N2726" s="373">
        <v>1</v>
      </c>
      <c r="O2726" s="184" t="s">
        <v>17</v>
      </c>
      <c r="P2726" s="375" t="s">
        <v>4641</v>
      </c>
      <c r="Q2726" s="179" t="s">
        <v>1441</v>
      </c>
      <c r="R2726" s="31" t="s">
        <v>95</v>
      </c>
      <c r="S2726" s="31" t="s">
        <v>273</v>
      </c>
      <c r="T2726" s="31" t="s">
        <v>273</v>
      </c>
      <c r="U2726" s="31">
        <f>IFERROR(VLOOKUP(CONCATENATE(Tabla1[[#This Row],[Severidad]]," ",Tabla1[[#This Row],[Complejidad]]),Catalogos!E$120:G$128,3,FALSE),"")</f>
        <v>64</v>
      </c>
      <c r="V2726" s="31" t="str">
        <f>IF(Tabla1[[#This Row],[Tiempo solución max (hrs)]]&lt;&gt;"",IF(Tabla1[[#This Row],[Tiempo solución max (hrs)]]&gt;=Tabla1[[#This Row],[Tiempo
(Hrs 00/100)]],"cumple","no cumple"),"")</f>
        <v>cumple</v>
      </c>
      <c r="W2726" s="376" t="s">
        <v>4210</v>
      </c>
      <c r="X2726" s="377" t="str">
        <f t="shared" si="214"/>
        <v>SSI</v>
      </c>
      <c r="Y2726" t="str">
        <f>SUBSTITUTE(Tabla1[[#This Row],[Descripción]],CHAR(10),"    I    ")</f>
        <v xml:space="preserve">Se construyó la consulta para tratar el 4to procedimiento 'OBTENER_TIPOMEDIOIMPUGNACION' </v>
      </c>
      <c r="Z2726" s="142">
        <f>VLOOKUP(Tabla1[[#This Row],[Perfil]],Catalogos!$B$75:$D$100,3,FALSE)*Tabla1[[#This Row],[Tiempo
(Hrs 00/100)]]*1.16</f>
        <v>696</v>
      </c>
    </row>
    <row r="2727" spans="1:26" ht="28.8" x14ac:dyDescent="0.3">
      <c r="A2727" s="373" t="s">
        <v>22</v>
      </c>
      <c r="B2727" s="373" t="s">
        <v>23</v>
      </c>
      <c r="C2727" s="373" t="s">
        <v>257</v>
      </c>
      <c r="D2727" s="373"/>
      <c r="E2727" s="373" t="s">
        <v>408</v>
      </c>
      <c r="F2727" s="373" t="s">
        <v>75</v>
      </c>
      <c r="G2727" s="637" t="s">
        <v>4919</v>
      </c>
      <c r="H2727" s="461" t="s">
        <v>4686</v>
      </c>
      <c r="I2727" s="178" t="s">
        <v>4660</v>
      </c>
      <c r="J2727" s="729">
        <v>45238</v>
      </c>
      <c r="K2727" s="773">
        <v>0.54166666666666663</v>
      </c>
      <c r="L2727" s="729">
        <v>45238</v>
      </c>
      <c r="M2727" s="773">
        <v>0.60416666666666663</v>
      </c>
      <c r="N2727" s="373">
        <v>1.5</v>
      </c>
      <c r="O2727" s="184" t="s">
        <v>17</v>
      </c>
      <c r="P2727" s="375" t="s">
        <v>4641</v>
      </c>
      <c r="Q2727" s="179" t="s">
        <v>1441</v>
      </c>
      <c r="R2727" s="31" t="s">
        <v>95</v>
      </c>
      <c r="S2727" s="31" t="s">
        <v>273</v>
      </c>
      <c r="T2727" s="31" t="s">
        <v>273</v>
      </c>
      <c r="U2727" s="31">
        <f>IFERROR(VLOOKUP(CONCATENATE(Tabla1[[#This Row],[Severidad]]," ",Tabla1[[#This Row],[Complejidad]]),Catalogos!E$120:G$128,3,FALSE),"")</f>
        <v>64</v>
      </c>
      <c r="V2727" s="31" t="str">
        <f>IF(Tabla1[[#This Row],[Tiempo solución max (hrs)]]&lt;&gt;"",IF(Tabla1[[#This Row],[Tiempo solución max (hrs)]]&gt;=Tabla1[[#This Row],[Tiempo
(Hrs 00/100)]],"cumple","no cumple"),"")</f>
        <v>cumple</v>
      </c>
      <c r="W2727" s="376" t="s">
        <v>4210</v>
      </c>
      <c r="X2727" s="377" t="str">
        <f t="shared" si="214"/>
        <v>SSI</v>
      </c>
      <c r="Y2727" t="str">
        <f>SUBSTITUTE(Tabla1[[#This Row],[Descripción]],CHAR(10),"    I    ")</f>
        <v xml:space="preserve">Se validó que la información que retorna la consulta con los distintos parametros sea la correcta </v>
      </c>
      <c r="Z2727" s="142">
        <f>VLOOKUP(Tabla1[[#This Row],[Perfil]],Catalogos!$B$75:$D$100,3,FALSE)*Tabla1[[#This Row],[Tiempo
(Hrs 00/100)]]*1.16</f>
        <v>1044</v>
      </c>
    </row>
    <row r="2728" spans="1:26" ht="43.2" x14ac:dyDescent="0.3">
      <c r="A2728" s="373" t="s">
        <v>22</v>
      </c>
      <c r="B2728" s="373" t="s">
        <v>23</v>
      </c>
      <c r="C2728" s="373" t="s">
        <v>257</v>
      </c>
      <c r="D2728" s="373"/>
      <c r="E2728" s="373" t="s">
        <v>408</v>
      </c>
      <c r="F2728" s="373" t="s">
        <v>75</v>
      </c>
      <c r="G2728" s="637" t="s">
        <v>4920</v>
      </c>
      <c r="H2728" s="461" t="s">
        <v>4687</v>
      </c>
      <c r="I2728" s="178" t="s">
        <v>4688</v>
      </c>
      <c r="J2728" s="729">
        <v>45238</v>
      </c>
      <c r="K2728" s="773">
        <v>0.66666666666666663</v>
      </c>
      <c r="L2728" s="729">
        <v>45238</v>
      </c>
      <c r="M2728" s="773">
        <v>0.6875</v>
      </c>
      <c r="N2728" s="373">
        <v>0.5</v>
      </c>
      <c r="O2728" s="184" t="s">
        <v>17</v>
      </c>
      <c r="P2728" s="375" t="s">
        <v>4641</v>
      </c>
      <c r="Q2728" s="179" t="s">
        <v>1441</v>
      </c>
      <c r="R2728" s="31" t="s">
        <v>95</v>
      </c>
      <c r="S2728" s="31" t="s">
        <v>273</v>
      </c>
      <c r="T2728" s="31" t="s">
        <v>273</v>
      </c>
      <c r="U2728" s="31">
        <f>IFERROR(VLOOKUP(CONCATENATE(Tabla1[[#This Row],[Severidad]]," ",Tabla1[[#This Row],[Complejidad]]),Catalogos!E$120:G$128,3,FALSE),"")</f>
        <v>64</v>
      </c>
      <c r="V2728" s="31" t="str">
        <f>IF(Tabla1[[#This Row],[Tiempo solución max (hrs)]]&lt;&gt;"",IF(Tabla1[[#This Row],[Tiempo solución max (hrs)]]&gt;=Tabla1[[#This Row],[Tiempo
(Hrs 00/100)]],"cumple","no cumple"),"")</f>
        <v>cumple</v>
      </c>
      <c r="W2728" s="376" t="s">
        <v>4210</v>
      </c>
      <c r="X2728" s="377" t="str">
        <f t="shared" si="214"/>
        <v>SSI</v>
      </c>
      <c r="Y2728" t="str">
        <f>SUBSTITUTE(Tabla1[[#This Row],[Descripción]],CHAR(10),"    I    ")</f>
        <v xml:space="preserve">Se validó el paquete-procedimiento 'OBTENER_TIPOMEDIOIMPUGNACION' con el bloque anónimo correcto y se tuvo un resultado exitoso con la salida del cursor completo </v>
      </c>
      <c r="Z2728" s="142">
        <f>VLOOKUP(Tabla1[[#This Row],[Perfil]],Catalogos!$B$75:$D$100,3,FALSE)*Tabla1[[#This Row],[Tiempo
(Hrs 00/100)]]*1.16</f>
        <v>348</v>
      </c>
    </row>
    <row r="2729" spans="1:26" ht="28.8" x14ac:dyDescent="0.3">
      <c r="A2729" s="373" t="s">
        <v>22</v>
      </c>
      <c r="B2729" s="373" t="s">
        <v>61</v>
      </c>
      <c r="C2729" s="373" t="s">
        <v>257</v>
      </c>
      <c r="D2729" s="373"/>
      <c r="E2729" s="373" t="s">
        <v>408</v>
      </c>
      <c r="F2729" s="373" t="s">
        <v>76</v>
      </c>
      <c r="G2729" s="637" t="s">
        <v>4921</v>
      </c>
      <c r="H2729" s="461" t="s">
        <v>4689</v>
      </c>
      <c r="I2729" s="178" t="s">
        <v>5192</v>
      </c>
      <c r="J2729" s="729">
        <v>45238</v>
      </c>
      <c r="K2729" s="773">
        <v>0.6875</v>
      </c>
      <c r="L2729" s="729">
        <v>45238</v>
      </c>
      <c r="M2729" s="773">
        <v>0.70833333333333337</v>
      </c>
      <c r="N2729" s="373">
        <v>0.5</v>
      </c>
      <c r="O2729" s="184" t="s">
        <v>17</v>
      </c>
      <c r="P2729" s="375" t="s">
        <v>4641</v>
      </c>
      <c r="Q2729" s="179" t="s">
        <v>1441</v>
      </c>
      <c r="R2729" s="31" t="s">
        <v>95</v>
      </c>
      <c r="S2729" s="31" t="s">
        <v>273</v>
      </c>
      <c r="T2729" s="31" t="s">
        <v>273</v>
      </c>
      <c r="U2729" s="31">
        <f>IFERROR(VLOOKUP(CONCATENATE(Tabla1[[#This Row],[Severidad]]," ",Tabla1[[#This Row],[Complejidad]]),Catalogos!E$120:G$128,3,FALSE),"")</f>
        <v>64</v>
      </c>
      <c r="V2729" s="31" t="str">
        <f>IF(Tabla1[[#This Row],[Tiempo solución max (hrs)]]&lt;&gt;"",IF(Tabla1[[#This Row],[Tiempo solución max (hrs)]]&gt;=Tabla1[[#This Row],[Tiempo
(Hrs 00/100)]],"cumple","no cumple"),"")</f>
        <v>cumple</v>
      </c>
      <c r="W2729" s="376" t="s">
        <v>4210</v>
      </c>
      <c r="X2729" s="377" t="str">
        <f t="shared" si="214"/>
        <v>SSI</v>
      </c>
      <c r="Y2729" t="str">
        <f>SUBSTITUTE(Tabla1[[#This Row],[Descripción]],CHAR(10),"    I    ")</f>
        <v xml:space="preserve">Se le explicó al equipo que ya esta esté 4to procedimiento para que lo revisen y consuman desde el aplicativo </v>
      </c>
      <c r="Z2729" s="142">
        <f>VLOOKUP(Tabla1[[#This Row],[Perfil]],Catalogos!$B$75:$D$100,3,FALSE)*Tabla1[[#This Row],[Tiempo
(Hrs 00/100)]]*1.16</f>
        <v>348</v>
      </c>
    </row>
    <row r="2730" spans="1:26" ht="28.8" x14ac:dyDescent="0.3">
      <c r="A2730" s="373" t="s">
        <v>22</v>
      </c>
      <c r="B2730" s="373" t="s">
        <v>23</v>
      </c>
      <c r="C2730" s="373" t="s">
        <v>257</v>
      </c>
      <c r="D2730" s="373"/>
      <c r="E2730" s="373" t="s">
        <v>408</v>
      </c>
      <c r="F2730" s="373" t="s">
        <v>23</v>
      </c>
      <c r="G2730" s="637" t="s">
        <v>4922</v>
      </c>
      <c r="H2730" s="461" t="s">
        <v>4690</v>
      </c>
      <c r="I2730" s="178" t="s">
        <v>4690</v>
      </c>
      <c r="J2730" s="729">
        <v>45238</v>
      </c>
      <c r="K2730" s="773">
        <v>0.70833333333333337</v>
      </c>
      <c r="L2730" s="729">
        <v>45238</v>
      </c>
      <c r="M2730" s="773">
        <v>0.75</v>
      </c>
      <c r="N2730" s="373">
        <v>1</v>
      </c>
      <c r="O2730" s="184" t="s">
        <v>17</v>
      </c>
      <c r="P2730" s="375" t="s">
        <v>4641</v>
      </c>
      <c r="Q2730" s="179" t="s">
        <v>1441</v>
      </c>
      <c r="R2730" s="31" t="s">
        <v>95</v>
      </c>
      <c r="S2730" s="31" t="s">
        <v>273</v>
      </c>
      <c r="T2730" s="31" t="s">
        <v>273</v>
      </c>
      <c r="U2730" s="31">
        <f>IFERROR(VLOOKUP(CONCATENATE(Tabla1[[#This Row],[Severidad]]," ",Tabla1[[#This Row],[Complejidad]]),Catalogos!E$120:G$128,3,FALSE),"")</f>
        <v>64</v>
      </c>
      <c r="V2730" s="31" t="str">
        <f>IF(Tabla1[[#This Row],[Tiempo solución max (hrs)]]&lt;&gt;"",IF(Tabla1[[#This Row],[Tiempo solución max (hrs)]]&gt;=Tabla1[[#This Row],[Tiempo
(Hrs 00/100)]],"cumple","no cumple"),"")</f>
        <v>cumple</v>
      </c>
      <c r="W2730" s="376" t="s">
        <v>4210</v>
      </c>
      <c r="X2730" s="377" t="str">
        <f t="shared" si="214"/>
        <v>SSI</v>
      </c>
      <c r="Y2730" t="str">
        <f>SUBSTITUTE(Tabla1[[#This Row],[Descripción]],CHAR(10),"    I    ")</f>
        <v>Se construyó la consulta para tratar el 5to procedimiento 'OBTENER_FG_AMPLIADO'</v>
      </c>
      <c r="Z2730" s="142">
        <f>VLOOKUP(Tabla1[[#This Row],[Perfil]],Catalogos!$B$75:$D$100,3,FALSE)*Tabla1[[#This Row],[Tiempo
(Hrs 00/100)]]*1.16</f>
        <v>696</v>
      </c>
    </row>
    <row r="2731" spans="1:26" ht="28.8" x14ac:dyDescent="0.3">
      <c r="A2731" s="373" t="s">
        <v>22</v>
      </c>
      <c r="B2731" s="373" t="s">
        <v>23</v>
      </c>
      <c r="C2731" s="373" t="s">
        <v>257</v>
      </c>
      <c r="D2731" s="373"/>
      <c r="E2731" s="373" t="s">
        <v>408</v>
      </c>
      <c r="F2731" s="373" t="s">
        <v>75</v>
      </c>
      <c r="G2731" s="637" t="s">
        <v>4923</v>
      </c>
      <c r="H2731" s="461" t="s">
        <v>4660</v>
      </c>
      <c r="I2731" s="178" t="s">
        <v>4660</v>
      </c>
      <c r="J2731" s="729">
        <v>45238</v>
      </c>
      <c r="K2731" s="773">
        <v>0.75</v>
      </c>
      <c r="L2731" s="729">
        <v>45238</v>
      </c>
      <c r="M2731" s="773">
        <v>0.77083333333333337</v>
      </c>
      <c r="N2731" s="373">
        <v>0.5</v>
      </c>
      <c r="O2731" s="184" t="s">
        <v>17</v>
      </c>
      <c r="P2731" s="375" t="s">
        <v>4641</v>
      </c>
      <c r="Q2731" s="179" t="s">
        <v>1441</v>
      </c>
      <c r="R2731" s="31" t="s">
        <v>95</v>
      </c>
      <c r="S2731" s="31" t="s">
        <v>273</v>
      </c>
      <c r="T2731" s="31" t="s">
        <v>273</v>
      </c>
      <c r="U2731" s="31">
        <f>IFERROR(VLOOKUP(CONCATENATE(Tabla1[[#This Row],[Severidad]]," ",Tabla1[[#This Row],[Complejidad]]),Catalogos!E$120:G$128,3,FALSE),"")</f>
        <v>64</v>
      </c>
      <c r="V2731" s="31" t="str">
        <f>IF(Tabla1[[#This Row],[Tiempo solución max (hrs)]]&lt;&gt;"",IF(Tabla1[[#This Row],[Tiempo solución max (hrs)]]&gt;=Tabla1[[#This Row],[Tiempo
(Hrs 00/100)]],"cumple","no cumple"),"")</f>
        <v>cumple</v>
      </c>
      <c r="W2731" s="376" t="s">
        <v>4210</v>
      </c>
      <c r="X2731" s="377" t="str">
        <f t="shared" si="214"/>
        <v>SSI</v>
      </c>
      <c r="Y2731" t="str">
        <f>SUBSTITUTE(Tabla1[[#This Row],[Descripción]],CHAR(10),"    I    ")</f>
        <v xml:space="preserve">Se validó que la información que retorna la consulta con los distintos parametros sea la correcta </v>
      </c>
      <c r="Z2731" s="142">
        <f>VLOOKUP(Tabla1[[#This Row],[Perfil]],Catalogos!$B$75:$D$100,3,FALSE)*Tabla1[[#This Row],[Tiempo
(Hrs 00/100)]]*1.16</f>
        <v>348</v>
      </c>
    </row>
    <row r="2732" spans="1:26" ht="43.2" x14ac:dyDescent="0.3">
      <c r="A2732" s="373" t="s">
        <v>22</v>
      </c>
      <c r="B2732" s="373" t="s">
        <v>23</v>
      </c>
      <c r="C2732" s="373" t="s">
        <v>257</v>
      </c>
      <c r="D2732" s="373"/>
      <c r="E2732" s="373" t="s">
        <v>408</v>
      </c>
      <c r="F2732" s="373" t="s">
        <v>23</v>
      </c>
      <c r="G2732" s="637" t="s">
        <v>4924</v>
      </c>
      <c r="H2732" s="461" t="s">
        <v>4691</v>
      </c>
      <c r="I2732" s="178" t="s">
        <v>4692</v>
      </c>
      <c r="J2732" s="729">
        <v>45238</v>
      </c>
      <c r="K2732" s="773">
        <v>0.77083333333333337</v>
      </c>
      <c r="L2732" s="729">
        <v>45238</v>
      </c>
      <c r="M2732" s="773">
        <v>0.83333333333333337</v>
      </c>
      <c r="N2732" s="373">
        <v>1.5</v>
      </c>
      <c r="O2732" s="184" t="s">
        <v>17</v>
      </c>
      <c r="P2732" s="375" t="s">
        <v>4641</v>
      </c>
      <c r="Q2732" s="179" t="s">
        <v>1441</v>
      </c>
      <c r="R2732" s="31" t="s">
        <v>95</v>
      </c>
      <c r="S2732" s="31" t="s">
        <v>273</v>
      </c>
      <c r="T2732" s="31" t="s">
        <v>273</v>
      </c>
      <c r="U2732" s="31">
        <f>IFERROR(VLOOKUP(CONCATENATE(Tabla1[[#This Row],[Severidad]]," ",Tabla1[[#This Row],[Complejidad]]),Catalogos!E$120:G$128,3,FALSE),"")</f>
        <v>64</v>
      </c>
      <c r="V2732" s="31" t="str">
        <f>IF(Tabla1[[#This Row],[Tiempo solución max (hrs)]]&lt;&gt;"",IF(Tabla1[[#This Row],[Tiempo solución max (hrs)]]&gt;=Tabla1[[#This Row],[Tiempo
(Hrs 00/100)]],"cumple","no cumple"),"")</f>
        <v>cumple</v>
      </c>
      <c r="W2732" s="376" t="s">
        <v>4210</v>
      </c>
      <c r="X2732" s="377" t="str">
        <f t="shared" si="214"/>
        <v>SSI</v>
      </c>
      <c r="Y2732" t="str">
        <f>SUBSTITUTE(Tabla1[[#This Row],[Descripción]],CHAR(10),"    I    ")</f>
        <v>Se trabajó en el 5to procedimiento 'OBTENER_FG_AMPLIADO' con sus respectivas variables TAB y con su consulta previamente validada, se compila sin errores</v>
      </c>
      <c r="Z2732" s="142">
        <f>VLOOKUP(Tabla1[[#This Row],[Perfil]],Catalogos!$B$75:$D$100,3,FALSE)*Tabla1[[#This Row],[Tiempo
(Hrs 00/100)]]*1.16</f>
        <v>1044</v>
      </c>
    </row>
    <row r="2733" spans="1:26" ht="43.2" x14ac:dyDescent="0.3">
      <c r="A2733" s="373" t="s">
        <v>22</v>
      </c>
      <c r="B2733" s="373" t="s">
        <v>23</v>
      </c>
      <c r="C2733" s="373" t="s">
        <v>257</v>
      </c>
      <c r="D2733" s="373"/>
      <c r="E2733" s="373" t="s">
        <v>408</v>
      </c>
      <c r="F2733" s="373" t="s">
        <v>75</v>
      </c>
      <c r="G2733" s="637" t="s">
        <v>4925</v>
      </c>
      <c r="H2733" s="461" t="s">
        <v>4693</v>
      </c>
      <c r="I2733" s="178" t="s">
        <v>4694</v>
      </c>
      <c r="J2733" s="729">
        <v>45239</v>
      </c>
      <c r="K2733" s="773">
        <v>0.375</v>
      </c>
      <c r="L2733" s="729">
        <v>45239</v>
      </c>
      <c r="M2733" s="773">
        <v>0.39583333333333331</v>
      </c>
      <c r="N2733" s="373">
        <v>0.5</v>
      </c>
      <c r="O2733" s="184" t="s">
        <v>17</v>
      </c>
      <c r="P2733" s="375" t="s">
        <v>4641</v>
      </c>
      <c r="Q2733" s="179" t="s">
        <v>1441</v>
      </c>
      <c r="R2733" s="31" t="s">
        <v>95</v>
      </c>
      <c r="S2733" s="31" t="s">
        <v>273</v>
      </c>
      <c r="T2733" s="31" t="s">
        <v>273</v>
      </c>
      <c r="U2733" s="31">
        <f>IFERROR(VLOOKUP(CONCATENATE(Tabla1[[#This Row],[Severidad]]," ",Tabla1[[#This Row],[Complejidad]]),Catalogos!E$120:G$128,3,FALSE),"")</f>
        <v>64</v>
      </c>
      <c r="V2733" s="31" t="str">
        <f>IF(Tabla1[[#This Row],[Tiempo solución max (hrs)]]&lt;&gt;"",IF(Tabla1[[#This Row],[Tiempo solución max (hrs)]]&gt;=Tabla1[[#This Row],[Tiempo
(Hrs 00/100)]],"cumple","no cumple"),"")</f>
        <v>cumple</v>
      </c>
      <c r="W2733" s="376" t="s">
        <v>4210</v>
      </c>
      <c r="X2733" s="377" t="str">
        <f t="shared" si="214"/>
        <v>SSI</v>
      </c>
      <c r="Y2733" t="str">
        <f>SUBSTITUTE(Tabla1[[#This Row],[Descripción]],CHAR(10),"    I    ")</f>
        <v xml:space="preserve">Se validó el paquete-procedimiento 'OBTENER_FG_AMPLIADO' con el bloque anónimo correcto y se tuvo un resultado exitoso con la salida del cursor completo </v>
      </c>
      <c r="Z2733" s="142">
        <f>VLOOKUP(Tabla1[[#This Row],[Perfil]],Catalogos!$B$75:$D$100,3,FALSE)*Tabla1[[#This Row],[Tiempo
(Hrs 00/100)]]*1.16</f>
        <v>348</v>
      </c>
    </row>
    <row r="2734" spans="1:26" ht="28.8" x14ac:dyDescent="0.3">
      <c r="A2734" s="373" t="s">
        <v>22</v>
      </c>
      <c r="B2734" s="373" t="s">
        <v>61</v>
      </c>
      <c r="C2734" s="373" t="s">
        <v>257</v>
      </c>
      <c r="D2734" s="373"/>
      <c r="E2734" s="373" t="s">
        <v>408</v>
      </c>
      <c r="F2734" s="373" t="s">
        <v>76</v>
      </c>
      <c r="G2734" s="637" t="s">
        <v>4926</v>
      </c>
      <c r="H2734" s="461" t="s">
        <v>4695</v>
      </c>
      <c r="I2734" s="178" t="s">
        <v>5188</v>
      </c>
      <c r="J2734" s="729">
        <v>45239</v>
      </c>
      <c r="K2734" s="773">
        <v>0.39583333333333331</v>
      </c>
      <c r="L2734" s="729">
        <v>45239</v>
      </c>
      <c r="M2734" s="773">
        <v>0.41666666666666669</v>
      </c>
      <c r="N2734" s="373">
        <v>0.5</v>
      </c>
      <c r="O2734" s="184" t="s">
        <v>17</v>
      </c>
      <c r="P2734" s="375" t="s">
        <v>4641</v>
      </c>
      <c r="Q2734" s="179" t="s">
        <v>1441</v>
      </c>
      <c r="R2734" s="31" t="s">
        <v>95</v>
      </c>
      <c r="S2734" s="31" t="s">
        <v>273</v>
      </c>
      <c r="T2734" s="31" t="s">
        <v>273</v>
      </c>
      <c r="U2734" s="31">
        <f>IFERROR(VLOOKUP(CONCATENATE(Tabla1[[#This Row],[Severidad]]," ",Tabla1[[#This Row],[Complejidad]]),Catalogos!E$120:G$128,3,FALSE),"")</f>
        <v>64</v>
      </c>
      <c r="V2734" s="31" t="str">
        <f>IF(Tabla1[[#This Row],[Tiempo solución max (hrs)]]&lt;&gt;"",IF(Tabla1[[#This Row],[Tiempo solución max (hrs)]]&gt;=Tabla1[[#This Row],[Tiempo
(Hrs 00/100)]],"cumple","no cumple"),"")</f>
        <v>cumple</v>
      </c>
      <c r="W2734" s="376" t="s">
        <v>4210</v>
      </c>
      <c r="X2734" s="377" t="str">
        <f t="shared" si="214"/>
        <v>SSI</v>
      </c>
      <c r="Y2734" t="str">
        <f>SUBSTITUTE(Tabla1[[#This Row],[Descripción]],CHAR(10),"    I    ")</f>
        <v xml:space="preserve">Se le esplicó al equipo que ya esta esté 5to procedimiento para que lo revisen y consuman desde el aplicativo </v>
      </c>
      <c r="Z2734" s="142">
        <f>VLOOKUP(Tabla1[[#This Row],[Perfil]],Catalogos!$B$75:$D$100,3,FALSE)*Tabla1[[#This Row],[Tiempo
(Hrs 00/100)]]*1.16</f>
        <v>348</v>
      </c>
    </row>
    <row r="2735" spans="1:26" ht="28.8" x14ac:dyDescent="0.3">
      <c r="A2735" s="373" t="s">
        <v>22</v>
      </c>
      <c r="B2735" s="373" t="s">
        <v>23</v>
      </c>
      <c r="C2735" s="373" t="s">
        <v>257</v>
      </c>
      <c r="D2735" s="373"/>
      <c r="E2735" s="373" t="s">
        <v>408</v>
      </c>
      <c r="F2735" s="373" t="s">
        <v>23</v>
      </c>
      <c r="G2735" s="637" t="s">
        <v>4927</v>
      </c>
      <c r="H2735" s="461" t="s">
        <v>4696</v>
      </c>
      <c r="I2735" s="178" t="s">
        <v>4696</v>
      </c>
      <c r="J2735" s="729">
        <v>45239</v>
      </c>
      <c r="K2735" s="773">
        <v>0.41666666666666669</v>
      </c>
      <c r="L2735" s="729">
        <v>45239</v>
      </c>
      <c r="M2735" s="773">
        <v>0.45833333333333331</v>
      </c>
      <c r="N2735" s="373">
        <v>1</v>
      </c>
      <c r="O2735" s="184" t="s">
        <v>17</v>
      </c>
      <c r="P2735" s="375" t="s">
        <v>4641</v>
      </c>
      <c r="Q2735" s="179" t="s">
        <v>1441</v>
      </c>
      <c r="R2735" s="31" t="s">
        <v>95</v>
      </c>
      <c r="S2735" s="31" t="s">
        <v>273</v>
      </c>
      <c r="T2735" s="31" t="s">
        <v>273</v>
      </c>
      <c r="U2735" s="31">
        <f>IFERROR(VLOOKUP(CONCATENATE(Tabla1[[#This Row],[Severidad]]," ",Tabla1[[#This Row],[Complejidad]]),Catalogos!E$120:G$128,3,FALSE),"")</f>
        <v>64</v>
      </c>
      <c r="V2735" s="31" t="str">
        <f>IF(Tabla1[[#This Row],[Tiempo solución max (hrs)]]&lt;&gt;"",IF(Tabla1[[#This Row],[Tiempo solución max (hrs)]]&gt;=Tabla1[[#This Row],[Tiempo
(Hrs 00/100)]],"cumple","no cumple"),"")</f>
        <v>cumple</v>
      </c>
      <c r="W2735" s="376" t="s">
        <v>4210</v>
      </c>
      <c r="X2735" s="377" t="str">
        <f t="shared" si="214"/>
        <v>SSI</v>
      </c>
      <c r="Y2735" t="str">
        <f>SUBSTITUTE(Tabla1[[#This Row],[Descripción]],CHAR(10),"    I    ")</f>
        <v>Se construyó la consulta para tratar el 6to procedimiento 'OBTENER_FG_ADMITIDO'</v>
      </c>
      <c r="Z2735" s="142">
        <f>VLOOKUP(Tabla1[[#This Row],[Perfil]],Catalogos!$B$75:$D$100,3,FALSE)*Tabla1[[#This Row],[Tiempo
(Hrs 00/100)]]*1.16</f>
        <v>696</v>
      </c>
    </row>
    <row r="2736" spans="1:26" ht="28.8" x14ac:dyDescent="0.3">
      <c r="A2736" s="373" t="s">
        <v>22</v>
      </c>
      <c r="B2736" s="373" t="s">
        <v>23</v>
      </c>
      <c r="C2736" s="373" t="s">
        <v>257</v>
      </c>
      <c r="D2736" s="373"/>
      <c r="E2736" s="373" t="s">
        <v>408</v>
      </c>
      <c r="F2736" s="373" t="s">
        <v>75</v>
      </c>
      <c r="G2736" s="637" t="s">
        <v>4928</v>
      </c>
      <c r="H2736" s="461" t="s">
        <v>4660</v>
      </c>
      <c r="I2736" s="178" t="s">
        <v>4660</v>
      </c>
      <c r="J2736" s="729">
        <v>45239</v>
      </c>
      <c r="K2736" s="773">
        <v>0.45833333333333331</v>
      </c>
      <c r="L2736" s="729">
        <v>45239</v>
      </c>
      <c r="M2736" s="773">
        <v>0.47916666666666669</v>
      </c>
      <c r="N2736" s="373">
        <v>0.5</v>
      </c>
      <c r="O2736" s="184" t="s">
        <v>17</v>
      </c>
      <c r="P2736" s="375" t="s">
        <v>4641</v>
      </c>
      <c r="Q2736" s="179" t="s">
        <v>1441</v>
      </c>
      <c r="R2736" s="31" t="s">
        <v>95</v>
      </c>
      <c r="S2736" s="31" t="s">
        <v>273</v>
      </c>
      <c r="T2736" s="31" t="s">
        <v>273</v>
      </c>
      <c r="U2736" s="31">
        <f>IFERROR(VLOOKUP(CONCATENATE(Tabla1[[#This Row],[Severidad]]," ",Tabla1[[#This Row],[Complejidad]]),Catalogos!E$120:G$128,3,FALSE),"")</f>
        <v>64</v>
      </c>
      <c r="V2736" s="31" t="str">
        <f>IF(Tabla1[[#This Row],[Tiempo solución max (hrs)]]&lt;&gt;"",IF(Tabla1[[#This Row],[Tiempo solución max (hrs)]]&gt;=Tabla1[[#This Row],[Tiempo
(Hrs 00/100)]],"cumple","no cumple"),"")</f>
        <v>cumple</v>
      </c>
      <c r="W2736" s="376" t="s">
        <v>4210</v>
      </c>
      <c r="X2736" s="377" t="str">
        <f t="shared" si="214"/>
        <v>SSI</v>
      </c>
      <c r="Y2736" t="str">
        <f>SUBSTITUTE(Tabla1[[#This Row],[Descripción]],CHAR(10),"    I    ")</f>
        <v xml:space="preserve">Se validó que la información que retorna la consulta con los distintos parametros sea la correcta </v>
      </c>
      <c r="Z2736" s="142">
        <f>VLOOKUP(Tabla1[[#This Row],[Perfil]],Catalogos!$B$75:$D$100,3,FALSE)*Tabla1[[#This Row],[Tiempo
(Hrs 00/100)]]*1.16</f>
        <v>348</v>
      </c>
    </row>
    <row r="2737" spans="1:26" ht="43.2" x14ac:dyDescent="0.3">
      <c r="A2737" s="373" t="s">
        <v>22</v>
      </c>
      <c r="B2737" s="373" t="s">
        <v>23</v>
      </c>
      <c r="C2737" s="373" t="s">
        <v>257</v>
      </c>
      <c r="D2737" s="373"/>
      <c r="E2737" s="373" t="s">
        <v>408</v>
      </c>
      <c r="F2737" s="373" t="s">
        <v>23</v>
      </c>
      <c r="G2737" s="637" t="s">
        <v>4929</v>
      </c>
      <c r="H2737" s="461" t="s">
        <v>4697</v>
      </c>
      <c r="I2737" s="178" t="s">
        <v>4698</v>
      </c>
      <c r="J2737" s="729">
        <v>45239</v>
      </c>
      <c r="K2737" s="773">
        <v>0.47916666666666669</v>
      </c>
      <c r="L2737" s="729">
        <v>45239</v>
      </c>
      <c r="M2737" s="773">
        <v>0.52083333333333337</v>
      </c>
      <c r="N2737" s="373">
        <v>1</v>
      </c>
      <c r="O2737" s="184" t="s">
        <v>17</v>
      </c>
      <c r="P2737" s="375" t="s">
        <v>4641</v>
      </c>
      <c r="Q2737" s="179" t="s">
        <v>1441</v>
      </c>
      <c r="R2737" s="31" t="s">
        <v>95</v>
      </c>
      <c r="S2737" s="31" t="s">
        <v>273</v>
      </c>
      <c r="T2737" s="31" t="s">
        <v>273</v>
      </c>
      <c r="U2737" s="31">
        <f>IFERROR(VLOOKUP(CONCATENATE(Tabla1[[#This Row],[Severidad]]," ",Tabla1[[#This Row],[Complejidad]]),Catalogos!E$120:G$128,3,FALSE),"")</f>
        <v>64</v>
      </c>
      <c r="V2737" s="31" t="str">
        <f>IF(Tabla1[[#This Row],[Tiempo solución max (hrs)]]&lt;&gt;"",IF(Tabla1[[#This Row],[Tiempo solución max (hrs)]]&gt;=Tabla1[[#This Row],[Tiempo
(Hrs 00/100)]],"cumple","no cumple"),"")</f>
        <v>cumple</v>
      </c>
      <c r="W2737" s="376" t="s">
        <v>4210</v>
      </c>
      <c r="X2737" s="377" t="str">
        <f t="shared" si="214"/>
        <v>SSI</v>
      </c>
      <c r="Y2737" t="str">
        <f>SUBSTITUTE(Tabla1[[#This Row],[Descripción]],CHAR(10),"    I    ")</f>
        <v xml:space="preserve">Se trabajó en el 6to procedimiento 'OBTENER_FG_ADMITIDO' con sus respectivas variables TAB y con su consulta previamente validada, se compila sin errores </v>
      </c>
      <c r="Z2737" s="142">
        <f>VLOOKUP(Tabla1[[#This Row],[Perfil]],Catalogos!$B$75:$D$100,3,FALSE)*Tabla1[[#This Row],[Tiempo
(Hrs 00/100)]]*1.16</f>
        <v>696</v>
      </c>
    </row>
    <row r="2738" spans="1:26" ht="43.2" x14ac:dyDescent="0.3">
      <c r="A2738" s="373" t="s">
        <v>22</v>
      </c>
      <c r="B2738" s="373" t="s">
        <v>23</v>
      </c>
      <c r="C2738" s="373" t="s">
        <v>257</v>
      </c>
      <c r="D2738" s="373"/>
      <c r="E2738" s="373" t="s">
        <v>408</v>
      </c>
      <c r="F2738" s="373" t="s">
        <v>75</v>
      </c>
      <c r="G2738" s="637" t="s">
        <v>4930</v>
      </c>
      <c r="H2738" s="461" t="s">
        <v>4699</v>
      </c>
      <c r="I2738" s="178" t="s">
        <v>4700</v>
      </c>
      <c r="J2738" s="729">
        <v>45239</v>
      </c>
      <c r="K2738" s="773">
        <v>0.52083333333333337</v>
      </c>
      <c r="L2738" s="729">
        <v>45239</v>
      </c>
      <c r="M2738" s="773">
        <v>0.54166666666666663</v>
      </c>
      <c r="N2738" s="373">
        <v>0.5</v>
      </c>
      <c r="O2738" s="184" t="s">
        <v>17</v>
      </c>
      <c r="P2738" s="375" t="s">
        <v>4641</v>
      </c>
      <c r="Q2738" s="179" t="s">
        <v>1441</v>
      </c>
      <c r="R2738" s="31" t="s">
        <v>95</v>
      </c>
      <c r="S2738" s="31" t="s">
        <v>273</v>
      </c>
      <c r="T2738" s="31" t="s">
        <v>273</v>
      </c>
      <c r="U2738" s="31">
        <f>IFERROR(VLOOKUP(CONCATENATE(Tabla1[[#This Row],[Severidad]]," ",Tabla1[[#This Row],[Complejidad]]),Catalogos!E$120:G$128,3,FALSE),"")</f>
        <v>64</v>
      </c>
      <c r="V2738" s="31" t="str">
        <f>IF(Tabla1[[#This Row],[Tiempo solución max (hrs)]]&lt;&gt;"",IF(Tabla1[[#This Row],[Tiempo solución max (hrs)]]&gt;=Tabla1[[#This Row],[Tiempo
(Hrs 00/100)]],"cumple","no cumple"),"")</f>
        <v>cumple</v>
      </c>
      <c r="W2738" s="376" t="s">
        <v>4210</v>
      </c>
      <c r="X2738" s="377" t="str">
        <f t="shared" si="214"/>
        <v>SSI</v>
      </c>
      <c r="Y2738" t="str">
        <f>SUBSTITUTE(Tabla1[[#This Row],[Descripción]],CHAR(10),"    I    ")</f>
        <v xml:space="preserve">Se validó el paquete-procedimiento 'OBTENER_FG_ADMITIDO' con el bloque anónimo correcto y se tuvo un resultado exitoso con la salida del cursor completo </v>
      </c>
      <c r="Z2738" s="142">
        <f>VLOOKUP(Tabla1[[#This Row],[Perfil]],Catalogos!$B$75:$D$100,3,FALSE)*Tabla1[[#This Row],[Tiempo
(Hrs 00/100)]]*1.16</f>
        <v>348</v>
      </c>
    </row>
    <row r="2739" spans="1:26" ht="28.8" x14ac:dyDescent="0.3">
      <c r="A2739" s="373" t="s">
        <v>22</v>
      </c>
      <c r="B2739" s="373" t="s">
        <v>61</v>
      </c>
      <c r="C2739" s="373" t="s">
        <v>257</v>
      </c>
      <c r="D2739" s="373"/>
      <c r="E2739" s="373" t="s">
        <v>408</v>
      </c>
      <c r="F2739" s="373" t="s">
        <v>76</v>
      </c>
      <c r="G2739" s="637" t="s">
        <v>4931</v>
      </c>
      <c r="H2739" s="461" t="s">
        <v>4701</v>
      </c>
      <c r="I2739" s="178" t="s">
        <v>5193</v>
      </c>
      <c r="J2739" s="729">
        <v>45239</v>
      </c>
      <c r="K2739" s="773">
        <v>0.54166666666666663</v>
      </c>
      <c r="L2739" s="729">
        <v>45239</v>
      </c>
      <c r="M2739" s="773">
        <v>0.5625</v>
      </c>
      <c r="N2739" s="373">
        <v>0.5</v>
      </c>
      <c r="O2739" s="184" t="s">
        <v>17</v>
      </c>
      <c r="P2739" s="375" t="s">
        <v>4641</v>
      </c>
      <c r="Q2739" s="179" t="s">
        <v>1441</v>
      </c>
      <c r="R2739" s="31" t="s">
        <v>95</v>
      </c>
      <c r="S2739" s="31" t="s">
        <v>273</v>
      </c>
      <c r="T2739" s="31" t="s">
        <v>273</v>
      </c>
      <c r="U2739" s="31">
        <f>IFERROR(VLOOKUP(CONCATENATE(Tabla1[[#This Row],[Severidad]]," ",Tabla1[[#This Row],[Complejidad]]),Catalogos!E$120:G$128,3,FALSE),"")</f>
        <v>64</v>
      </c>
      <c r="V2739" s="31" t="str">
        <f>IF(Tabla1[[#This Row],[Tiempo solución max (hrs)]]&lt;&gt;"",IF(Tabla1[[#This Row],[Tiempo solución max (hrs)]]&gt;=Tabla1[[#This Row],[Tiempo
(Hrs 00/100)]],"cumple","no cumple"),"")</f>
        <v>cumple</v>
      </c>
      <c r="W2739" s="376" t="s">
        <v>4210</v>
      </c>
      <c r="X2739" s="377" t="str">
        <f t="shared" ref="X2739:X2770" si="215">IF(C2739&lt;&gt;"",C2739,D2739)</f>
        <v>SSI</v>
      </c>
      <c r="Y2739" t="str">
        <f>SUBSTITUTE(Tabla1[[#This Row],[Descripción]],CHAR(10),"    I    ")</f>
        <v>Se le explicó al equipo que ya esta esté 6to procedimiento para que lo revisen y consuman desde el aplicativo</v>
      </c>
      <c r="Z2739" s="142">
        <f>VLOOKUP(Tabla1[[#This Row],[Perfil]],Catalogos!$B$75:$D$100,3,FALSE)*Tabla1[[#This Row],[Tiempo
(Hrs 00/100)]]*1.16</f>
        <v>348</v>
      </c>
    </row>
    <row r="2740" spans="1:26" ht="28.8" x14ac:dyDescent="0.3">
      <c r="A2740" s="373" t="s">
        <v>22</v>
      </c>
      <c r="B2740" s="373" t="s">
        <v>23</v>
      </c>
      <c r="C2740" s="373" t="s">
        <v>257</v>
      </c>
      <c r="D2740" s="373"/>
      <c r="E2740" s="373" t="s">
        <v>408</v>
      </c>
      <c r="F2740" s="373" t="s">
        <v>23</v>
      </c>
      <c r="G2740" s="637" t="s">
        <v>4932</v>
      </c>
      <c r="H2740" s="461" t="s">
        <v>4702</v>
      </c>
      <c r="I2740" s="178" t="s">
        <v>4702</v>
      </c>
      <c r="J2740" s="729">
        <v>45239</v>
      </c>
      <c r="K2740" s="773">
        <v>0.5625</v>
      </c>
      <c r="L2740" s="729">
        <v>45239</v>
      </c>
      <c r="M2740" s="773">
        <v>0.60416666666666663</v>
      </c>
      <c r="N2740" s="373">
        <v>1</v>
      </c>
      <c r="O2740" s="184" t="s">
        <v>17</v>
      </c>
      <c r="P2740" s="375" t="s">
        <v>4641</v>
      </c>
      <c r="Q2740" s="179" t="s">
        <v>1441</v>
      </c>
      <c r="R2740" s="31" t="s">
        <v>95</v>
      </c>
      <c r="S2740" s="31" t="s">
        <v>273</v>
      </c>
      <c r="T2740" s="31" t="s">
        <v>273</v>
      </c>
      <c r="U2740" s="31">
        <f>IFERROR(VLOOKUP(CONCATENATE(Tabla1[[#This Row],[Severidad]]," ",Tabla1[[#This Row],[Complejidad]]),Catalogos!E$120:G$128,3,FALSE),"")</f>
        <v>64</v>
      </c>
      <c r="V2740" s="31" t="str">
        <f>IF(Tabla1[[#This Row],[Tiempo solución max (hrs)]]&lt;&gt;"",IF(Tabla1[[#This Row],[Tiempo solución max (hrs)]]&gt;=Tabla1[[#This Row],[Tiempo
(Hrs 00/100)]],"cumple","no cumple"),"")</f>
        <v>cumple</v>
      </c>
      <c r="W2740" s="376" t="s">
        <v>4210</v>
      </c>
      <c r="X2740" s="377" t="str">
        <f t="shared" si="215"/>
        <v>SSI</v>
      </c>
      <c r="Y2740" t="str">
        <f>SUBSTITUTE(Tabla1[[#This Row],[Descripción]],CHAR(10),"    I    ")</f>
        <v>Se construyó la consulta para tratar el 7mo procedimiento 'OBTENER_FG_PREVENIDO'</v>
      </c>
      <c r="Z2740" s="142">
        <f>VLOOKUP(Tabla1[[#This Row],[Perfil]],Catalogos!$B$75:$D$100,3,FALSE)*Tabla1[[#This Row],[Tiempo
(Hrs 00/100)]]*1.16</f>
        <v>696</v>
      </c>
    </row>
    <row r="2741" spans="1:26" ht="43.2" x14ac:dyDescent="0.3">
      <c r="A2741" s="373" t="s">
        <v>22</v>
      </c>
      <c r="B2741" s="373" t="s">
        <v>23</v>
      </c>
      <c r="C2741" s="373" t="s">
        <v>257</v>
      </c>
      <c r="D2741" s="373"/>
      <c r="E2741" s="373" t="s">
        <v>408</v>
      </c>
      <c r="F2741" s="373" t="s">
        <v>23</v>
      </c>
      <c r="G2741" s="637" t="s">
        <v>4933</v>
      </c>
      <c r="H2741" s="461" t="s">
        <v>4703</v>
      </c>
      <c r="I2741" s="178" t="s">
        <v>4704</v>
      </c>
      <c r="J2741" s="729">
        <v>45239</v>
      </c>
      <c r="K2741" s="773">
        <v>0.66666666666666663</v>
      </c>
      <c r="L2741" s="729">
        <v>45239</v>
      </c>
      <c r="M2741" s="773">
        <v>0.70833333333333337</v>
      </c>
      <c r="N2741" s="373">
        <v>1</v>
      </c>
      <c r="O2741" s="184" t="s">
        <v>17</v>
      </c>
      <c r="P2741" s="375" t="s">
        <v>4641</v>
      </c>
      <c r="Q2741" s="179" t="s">
        <v>1441</v>
      </c>
      <c r="R2741" s="31" t="s">
        <v>95</v>
      </c>
      <c r="S2741" s="31" t="s">
        <v>273</v>
      </c>
      <c r="T2741" s="31" t="s">
        <v>273</v>
      </c>
      <c r="U2741" s="31">
        <f>IFERROR(VLOOKUP(CONCATENATE(Tabla1[[#This Row],[Severidad]]," ",Tabla1[[#This Row],[Complejidad]]),Catalogos!E$120:G$128,3,FALSE),"")</f>
        <v>64</v>
      </c>
      <c r="V2741" s="31" t="str">
        <f>IF(Tabla1[[#This Row],[Tiempo solución max (hrs)]]&lt;&gt;"",IF(Tabla1[[#This Row],[Tiempo solución max (hrs)]]&gt;=Tabla1[[#This Row],[Tiempo
(Hrs 00/100)]],"cumple","no cumple"),"")</f>
        <v>cumple</v>
      </c>
      <c r="W2741" s="376" t="s">
        <v>4210</v>
      </c>
      <c r="X2741" s="377" t="str">
        <f t="shared" si="215"/>
        <v>SSI</v>
      </c>
      <c r="Y2741" t="str">
        <f>SUBSTITUTE(Tabla1[[#This Row],[Descripción]],CHAR(10),"    I    ")</f>
        <v xml:space="preserve">Se trabajó en el 7mo procedimiento 'OBTENER_FG_PREVENIDO' con sus respectivas variables TAB y con su consulta previamente validada, se compila sin errores </v>
      </c>
      <c r="Z2741" s="142">
        <f>VLOOKUP(Tabla1[[#This Row],[Perfil]],Catalogos!$B$75:$D$100,3,FALSE)*Tabla1[[#This Row],[Tiempo
(Hrs 00/100)]]*1.16</f>
        <v>696</v>
      </c>
    </row>
    <row r="2742" spans="1:26" ht="43.2" x14ac:dyDescent="0.3">
      <c r="A2742" s="373" t="s">
        <v>22</v>
      </c>
      <c r="B2742" s="373" t="s">
        <v>23</v>
      </c>
      <c r="C2742" s="373" t="s">
        <v>257</v>
      </c>
      <c r="D2742" s="373"/>
      <c r="E2742" s="373" t="s">
        <v>408</v>
      </c>
      <c r="F2742" s="373" t="s">
        <v>75</v>
      </c>
      <c r="G2742" s="637" t="s">
        <v>4934</v>
      </c>
      <c r="H2742" s="461" t="s">
        <v>4705</v>
      </c>
      <c r="I2742" s="178" t="s">
        <v>4706</v>
      </c>
      <c r="J2742" s="729">
        <v>45239</v>
      </c>
      <c r="K2742" s="773">
        <v>0.70833333333333337</v>
      </c>
      <c r="L2742" s="729">
        <v>45239</v>
      </c>
      <c r="M2742" s="773">
        <v>0.72916666666666663</v>
      </c>
      <c r="N2742" s="373">
        <v>0.5</v>
      </c>
      <c r="O2742" s="184" t="s">
        <v>17</v>
      </c>
      <c r="P2742" s="375" t="s">
        <v>4641</v>
      </c>
      <c r="Q2742" s="179" t="s">
        <v>1441</v>
      </c>
      <c r="R2742" s="31" t="s">
        <v>95</v>
      </c>
      <c r="S2742" s="31" t="s">
        <v>273</v>
      </c>
      <c r="T2742" s="31" t="s">
        <v>273</v>
      </c>
      <c r="U2742" s="31">
        <f>IFERROR(VLOOKUP(CONCATENATE(Tabla1[[#This Row],[Severidad]]," ",Tabla1[[#This Row],[Complejidad]]),Catalogos!E$120:G$128,3,FALSE),"")</f>
        <v>64</v>
      </c>
      <c r="V2742" s="31" t="str">
        <f>IF(Tabla1[[#This Row],[Tiempo solución max (hrs)]]&lt;&gt;"",IF(Tabla1[[#This Row],[Tiempo solución max (hrs)]]&gt;=Tabla1[[#This Row],[Tiempo
(Hrs 00/100)]],"cumple","no cumple"),"")</f>
        <v>cumple</v>
      </c>
      <c r="W2742" s="376" t="s">
        <v>4210</v>
      </c>
      <c r="X2742" s="377" t="str">
        <f t="shared" si="215"/>
        <v>SSI</v>
      </c>
      <c r="Y2742" t="str">
        <f>SUBSTITUTE(Tabla1[[#This Row],[Descripción]],CHAR(10),"    I    ")</f>
        <v xml:space="preserve">Se validó el paquete-procedimiento 'OBTENER_FG_PREVENIDO' con el bloque anónimo correcto y se tuvo un resultado exitoso con la salida del cursor completo </v>
      </c>
      <c r="Z2742" s="142">
        <f>VLOOKUP(Tabla1[[#This Row],[Perfil]],Catalogos!$B$75:$D$100,3,FALSE)*Tabla1[[#This Row],[Tiempo
(Hrs 00/100)]]*1.16</f>
        <v>348</v>
      </c>
    </row>
    <row r="2743" spans="1:26" ht="28.8" x14ac:dyDescent="0.3">
      <c r="A2743" s="373" t="s">
        <v>22</v>
      </c>
      <c r="B2743" s="373" t="s">
        <v>61</v>
      </c>
      <c r="C2743" s="373" t="s">
        <v>257</v>
      </c>
      <c r="D2743" s="373"/>
      <c r="E2743" s="373" t="s">
        <v>408</v>
      </c>
      <c r="F2743" s="373" t="s">
        <v>76</v>
      </c>
      <c r="G2743" s="637" t="s">
        <v>4935</v>
      </c>
      <c r="H2743" s="461" t="s">
        <v>4707</v>
      </c>
      <c r="I2743" s="178" t="s">
        <v>5194</v>
      </c>
      <c r="J2743" s="729">
        <v>45239</v>
      </c>
      <c r="K2743" s="773">
        <v>0.72916666666666663</v>
      </c>
      <c r="L2743" s="729">
        <v>45239</v>
      </c>
      <c r="M2743" s="773">
        <v>0.75</v>
      </c>
      <c r="N2743" s="373">
        <v>0.5</v>
      </c>
      <c r="O2743" s="184" t="s">
        <v>17</v>
      </c>
      <c r="P2743" s="375" t="s">
        <v>4641</v>
      </c>
      <c r="Q2743" s="179" t="s">
        <v>1441</v>
      </c>
      <c r="R2743" s="31" t="s">
        <v>95</v>
      </c>
      <c r="S2743" s="31" t="s">
        <v>273</v>
      </c>
      <c r="T2743" s="31" t="s">
        <v>273</v>
      </c>
      <c r="U2743" s="31">
        <f>IFERROR(VLOOKUP(CONCATENATE(Tabla1[[#This Row],[Severidad]]," ",Tabla1[[#This Row],[Complejidad]]),Catalogos!E$120:G$128,3,FALSE),"")</f>
        <v>64</v>
      </c>
      <c r="V2743" s="31" t="str">
        <f>IF(Tabla1[[#This Row],[Tiempo solución max (hrs)]]&lt;&gt;"",IF(Tabla1[[#This Row],[Tiempo solución max (hrs)]]&gt;=Tabla1[[#This Row],[Tiempo
(Hrs 00/100)]],"cumple","no cumple"),"")</f>
        <v>cumple</v>
      </c>
      <c r="W2743" s="376" t="s">
        <v>4210</v>
      </c>
      <c r="X2743" s="377" t="str">
        <f t="shared" si="215"/>
        <v>SSI</v>
      </c>
      <c r="Y2743" t="str">
        <f>SUBSTITUTE(Tabla1[[#This Row],[Descripción]],CHAR(10),"    I    ")</f>
        <v>Se le explicó al equipo que ya esta esté 7mo procedimiento para que lo revisen y consuman desde el aplicativo</v>
      </c>
      <c r="Z2743" s="142">
        <f>VLOOKUP(Tabla1[[#This Row],[Perfil]],Catalogos!$B$75:$D$100,3,FALSE)*Tabla1[[#This Row],[Tiempo
(Hrs 00/100)]]*1.16</f>
        <v>348</v>
      </c>
    </row>
    <row r="2744" spans="1:26" ht="28.8" x14ac:dyDescent="0.3">
      <c r="A2744" s="373" t="s">
        <v>22</v>
      </c>
      <c r="B2744" s="373" t="s">
        <v>23</v>
      </c>
      <c r="C2744" s="373" t="s">
        <v>257</v>
      </c>
      <c r="D2744" s="373"/>
      <c r="E2744" s="373" t="s">
        <v>408</v>
      </c>
      <c r="F2744" s="373" t="s">
        <v>23</v>
      </c>
      <c r="G2744" s="637" t="s">
        <v>4936</v>
      </c>
      <c r="H2744" s="461" t="s">
        <v>4708</v>
      </c>
      <c r="I2744" s="178" t="s">
        <v>4708</v>
      </c>
      <c r="J2744" s="729">
        <v>45239</v>
      </c>
      <c r="K2744" s="773">
        <v>0.75</v>
      </c>
      <c r="L2744" s="729">
        <v>45239</v>
      </c>
      <c r="M2744" s="773">
        <v>0.83333333333333337</v>
      </c>
      <c r="N2744" s="373">
        <v>2</v>
      </c>
      <c r="O2744" s="184" t="s">
        <v>17</v>
      </c>
      <c r="P2744" s="375" t="s">
        <v>4641</v>
      </c>
      <c r="Q2744" s="179" t="s">
        <v>1441</v>
      </c>
      <c r="R2744" s="31" t="s">
        <v>95</v>
      </c>
      <c r="S2744" s="31" t="s">
        <v>273</v>
      </c>
      <c r="T2744" s="31" t="s">
        <v>273</v>
      </c>
      <c r="U2744" s="31">
        <f>IFERROR(VLOOKUP(CONCATENATE(Tabla1[[#This Row],[Severidad]]," ",Tabla1[[#This Row],[Complejidad]]),Catalogos!E$120:G$128,3,FALSE),"")</f>
        <v>64</v>
      </c>
      <c r="V2744" s="31" t="str">
        <f>IF(Tabla1[[#This Row],[Tiempo solución max (hrs)]]&lt;&gt;"",IF(Tabla1[[#This Row],[Tiempo solución max (hrs)]]&gt;=Tabla1[[#This Row],[Tiempo
(Hrs 00/100)]],"cumple","no cumple"),"")</f>
        <v>cumple</v>
      </c>
      <c r="W2744" s="376" t="s">
        <v>4210</v>
      </c>
      <c r="X2744" s="377" t="str">
        <f t="shared" si="215"/>
        <v>SSI</v>
      </c>
      <c r="Y2744" t="str">
        <f>SUBSTITUTE(Tabla1[[#This Row],[Descripción]],CHAR(10),"    I    ")</f>
        <v xml:space="preserve">Se construyó la consulta para tratar el 8vo procedimiento 'OBTENER_FG_DESECHADO' </v>
      </c>
      <c r="Z2744" s="142">
        <f>VLOOKUP(Tabla1[[#This Row],[Perfil]],Catalogos!$B$75:$D$100,3,FALSE)*Tabla1[[#This Row],[Tiempo
(Hrs 00/100)]]*1.16</f>
        <v>1392</v>
      </c>
    </row>
    <row r="2745" spans="1:26" ht="28.8" x14ac:dyDescent="0.3">
      <c r="A2745" s="373" t="s">
        <v>22</v>
      </c>
      <c r="B2745" s="373" t="s">
        <v>23</v>
      </c>
      <c r="C2745" s="373" t="s">
        <v>257</v>
      </c>
      <c r="D2745" s="373"/>
      <c r="E2745" s="373" t="s">
        <v>408</v>
      </c>
      <c r="F2745" s="373" t="s">
        <v>75</v>
      </c>
      <c r="G2745" s="637" t="s">
        <v>4937</v>
      </c>
      <c r="H2745" s="461" t="s">
        <v>3593</v>
      </c>
      <c r="I2745" s="178" t="s">
        <v>3593</v>
      </c>
      <c r="J2745" s="729">
        <v>45240</v>
      </c>
      <c r="K2745" s="773">
        <v>0.375</v>
      </c>
      <c r="L2745" s="729">
        <v>45240</v>
      </c>
      <c r="M2745" s="773">
        <v>0.39583333333333331</v>
      </c>
      <c r="N2745" s="373">
        <v>0.5</v>
      </c>
      <c r="O2745" s="184" t="s">
        <v>17</v>
      </c>
      <c r="P2745" s="375" t="s">
        <v>4641</v>
      </c>
      <c r="Q2745" s="179" t="s">
        <v>1441</v>
      </c>
      <c r="R2745" s="31" t="s">
        <v>95</v>
      </c>
      <c r="S2745" s="31" t="s">
        <v>273</v>
      </c>
      <c r="T2745" s="31" t="s">
        <v>273</v>
      </c>
      <c r="U2745" s="31">
        <f>IFERROR(VLOOKUP(CONCATENATE(Tabla1[[#This Row],[Severidad]]," ",Tabla1[[#This Row],[Complejidad]]),Catalogos!E$120:G$128,3,FALSE),"")</f>
        <v>64</v>
      </c>
      <c r="V2745" s="31" t="str">
        <f>IF(Tabla1[[#This Row],[Tiempo solución max (hrs)]]&lt;&gt;"",IF(Tabla1[[#This Row],[Tiempo solución max (hrs)]]&gt;=Tabla1[[#This Row],[Tiempo
(Hrs 00/100)]],"cumple","no cumple"),"")</f>
        <v>cumple</v>
      </c>
      <c r="W2745" s="376" t="s">
        <v>4210</v>
      </c>
      <c r="X2745" s="377" t="str">
        <f t="shared" si="215"/>
        <v>SSI</v>
      </c>
      <c r="Y2745" t="str">
        <f>SUBSTITUTE(Tabla1[[#This Row],[Descripción]],CHAR(10),"    I    ")</f>
        <v>Se validó que la información que retorna la consulta con los distintos parametros sea la correcta</v>
      </c>
      <c r="Z2745" s="142">
        <f>VLOOKUP(Tabla1[[#This Row],[Perfil]],Catalogos!$B$75:$D$100,3,FALSE)*Tabla1[[#This Row],[Tiempo
(Hrs 00/100)]]*1.16</f>
        <v>348</v>
      </c>
    </row>
    <row r="2746" spans="1:26" ht="27.6" x14ac:dyDescent="0.3">
      <c r="A2746" s="373" t="s">
        <v>22</v>
      </c>
      <c r="B2746" s="373" t="s">
        <v>23</v>
      </c>
      <c r="C2746" s="373" t="s">
        <v>257</v>
      </c>
      <c r="D2746" s="373"/>
      <c r="E2746" s="373" t="s">
        <v>408</v>
      </c>
      <c r="F2746" s="373" t="s">
        <v>23</v>
      </c>
      <c r="G2746" s="637" t="s">
        <v>4938</v>
      </c>
      <c r="H2746" s="461" t="s">
        <v>4709</v>
      </c>
      <c r="I2746" s="426" t="s">
        <v>4710</v>
      </c>
      <c r="J2746" s="729">
        <v>45240</v>
      </c>
      <c r="K2746" s="773">
        <v>0.39583333333333331</v>
      </c>
      <c r="L2746" s="729">
        <v>45240</v>
      </c>
      <c r="M2746" s="773">
        <v>0.4375</v>
      </c>
      <c r="N2746" s="373">
        <v>1</v>
      </c>
      <c r="O2746" s="184" t="s">
        <v>17</v>
      </c>
      <c r="P2746" s="375" t="s">
        <v>4641</v>
      </c>
      <c r="Q2746" s="179" t="s">
        <v>1441</v>
      </c>
      <c r="R2746" s="31" t="s">
        <v>95</v>
      </c>
      <c r="S2746" s="31" t="s">
        <v>273</v>
      </c>
      <c r="T2746" s="31" t="s">
        <v>273</v>
      </c>
      <c r="U2746" s="31">
        <f>IFERROR(VLOOKUP(CONCATENATE(Tabla1[[#This Row],[Severidad]]," ",Tabla1[[#This Row],[Complejidad]]),Catalogos!E$120:G$128,3,FALSE),"")</f>
        <v>64</v>
      </c>
      <c r="V2746" s="31" t="str">
        <f>IF(Tabla1[[#This Row],[Tiempo solución max (hrs)]]&lt;&gt;"",IF(Tabla1[[#This Row],[Tiempo solución max (hrs)]]&gt;=Tabla1[[#This Row],[Tiempo
(Hrs 00/100)]],"cumple","no cumple"),"")</f>
        <v>cumple</v>
      </c>
      <c r="W2746" s="376" t="s">
        <v>4210</v>
      </c>
      <c r="X2746" s="377" t="str">
        <f t="shared" si="215"/>
        <v>SSI</v>
      </c>
      <c r="Y2746" t="str">
        <f>SUBSTITUTE(Tabla1[[#This Row],[Descripción]],CHAR(10),"    I    ")</f>
        <v>Se trabajó en el 8vo procedimiento 'OBTENER_FG_DESECHADO' con sus respectivas variables TAB y con su consulta previamente validada, se compila sin errores</v>
      </c>
      <c r="Z2746" s="142">
        <f>VLOOKUP(Tabla1[[#This Row],[Perfil]],Catalogos!$B$75:$D$100,3,FALSE)*Tabla1[[#This Row],[Tiempo
(Hrs 00/100)]]*1.16</f>
        <v>696</v>
      </c>
    </row>
    <row r="2747" spans="1:26" ht="27.6" x14ac:dyDescent="0.3">
      <c r="A2747" s="373" t="s">
        <v>22</v>
      </c>
      <c r="B2747" s="373" t="s">
        <v>23</v>
      </c>
      <c r="C2747" s="373" t="s">
        <v>257</v>
      </c>
      <c r="D2747" s="373"/>
      <c r="E2747" s="373" t="s">
        <v>408</v>
      </c>
      <c r="F2747" s="373" t="s">
        <v>75</v>
      </c>
      <c r="G2747" s="637" t="s">
        <v>4939</v>
      </c>
      <c r="H2747" s="461" t="s">
        <v>4711</v>
      </c>
      <c r="I2747" s="426" t="s">
        <v>4712</v>
      </c>
      <c r="J2747" s="729">
        <v>45240</v>
      </c>
      <c r="K2747" s="773">
        <v>0.4375</v>
      </c>
      <c r="L2747" s="729">
        <v>45240</v>
      </c>
      <c r="M2747" s="773">
        <v>0.45833333333333331</v>
      </c>
      <c r="N2747" s="373">
        <v>0.5</v>
      </c>
      <c r="O2747" s="184" t="s">
        <v>17</v>
      </c>
      <c r="P2747" s="375" t="s">
        <v>4641</v>
      </c>
      <c r="Q2747" s="179" t="s">
        <v>1441</v>
      </c>
      <c r="R2747" s="31" t="s">
        <v>95</v>
      </c>
      <c r="S2747" s="31" t="s">
        <v>273</v>
      </c>
      <c r="T2747" s="31" t="s">
        <v>273</v>
      </c>
      <c r="U2747" s="31">
        <f>IFERROR(VLOOKUP(CONCATENATE(Tabla1[[#This Row],[Severidad]]," ",Tabla1[[#This Row],[Complejidad]]),Catalogos!E$120:G$128,3,FALSE),"")</f>
        <v>64</v>
      </c>
      <c r="V2747" s="31" t="str">
        <f>IF(Tabla1[[#This Row],[Tiempo solución max (hrs)]]&lt;&gt;"",IF(Tabla1[[#This Row],[Tiempo solución max (hrs)]]&gt;=Tabla1[[#This Row],[Tiempo
(Hrs 00/100)]],"cumple","no cumple"),"")</f>
        <v>cumple</v>
      </c>
      <c r="W2747" s="376" t="s">
        <v>4210</v>
      </c>
      <c r="X2747" s="377" t="str">
        <f t="shared" si="215"/>
        <v>SSI</v>
      </c>
      <c r="Y2747" t="str">
        <f>SUBSTITUTE(Tabla1[[#This Row],[Descripción]],CHAR(10),"    I    ")</f>
        <v xml:space="preserve">Se validó el paquete-procedimiento 'OBTENER_FG_DESECHADO' con el bloque anónimo correcto y se tuvo un resultado exitoso con la salida del cursor completo </v>
      </c>
      <c r="Z2747" s="142">
        <f>VLOOKUP(Tabla1[[#This Row],[Perfil]],Catalogos!$B$75:$D$100,3,FALSE)*Tabla1[[#This Row],[Tiempo
(Hrs 00/100)]]*1.16</f>
        <v>348</v>
      </c>
    </row>
    <row r="2748" spans="1:26" ht="28.8" x14ac:dyDescent="0.3">
      <c r="A2748" s="373" t="s">
        <v>22</v>
      </c>
      <c r="B2748" s="373" t="s">
        <v>61</v>
      </c>
      <c r="C2748" s="373" t="s">
        <v>257</v>
      </c>
      <c r="D2748" s="373"/>
      <c r="E2748" s="373" t="s">
        <v>408</v>
      </c>
      <c r="F2748" s="373" t="s">
        <v>76</v>
      </c>
      <c r="G2748" s="637" t="s">
        <v>4940</v>
      </c>
      <c r="H2748" s="461" t="s">
        <v>4713</v>
      </c>
      <c r="I2748" s="178" t="s">
        <v>5195</v>
      </c>
      <c r="J2748" s="729">
        <v>45240</v>
      </c>
      <c r="K2748" s="773">
        <v>0.45833333333333331</v>
      </c>
      <c r="L2748" s="729">
        <v>45240</v>
      </c>
      <c r="M2748" s="773">
        <v>0.47916666666666669</v>
      </c>
      <c r="N2748" s="373">
        <v>0.5</v>
      </c>
      <c r="O2748" s="184" t="s">
        <v>17</v>
      </c>
      <c r="P2748" s="375" t="s">
        <v>4641</v>
      </c>
      <c r="Q2748" s="179" t="s">
        <v>1441</v>
      </c>
      <c r="R2748" s="31" t="s">
        <v>95</v>
      </c>
      <c r="S2748" s="31" t="s">
        <v>273</v>
      </c>
      <c r="T2748" s="31" t="s">
        <v>273</v>
      </c>
      <c r="U2748" s="31">
        <f>IFERROR(VLOOKUP(CONCATENATE(Tabla1[[#This Row],[Severidad]]," ",Tabla1[[#This Row],[Complejidad]]),Catalogos!E$120:G$128,3,FALSE),"")</f>
        <v>64</v>
      </c>
      <c r="V2748" s="31" t="str">
        <f>IF(Tabla1[[#This Row],[Tiempo solución max (hrs)]]&lt;&gt;"",IF(Tabla1[[#This Row],[Tiempo solución max (hrs)]]&gt;=Tabla1[[#This Row],[Tiempo
(Hrs 00/100)]],"cumple","no cumple"),"")</f>
        <v>cumple</v>
      </c>
      <c r="W2748" s="376" t="s">
        <v>4210</v>
      </c>
      <c r="X2748" s="377" t="str">
        <f t="shared" si="215"/>
        <v>SSI</v>
      </c>
      <c r="Y2748" t="str">
        <f>SUBSTITUTE(Tabla1[[#This Row],[Descripción]],CHAR(10),"    I    ")</f>
        <v xml:space="preserve">Se le explicó al equipo que ya esta esté 8vo procedimiento para que lo revisen y consuman desde el aplicativo </v>
      </c>
      <c r="Z2748" s="142">
        <f>VLOOKUP(Tabla1[[#This Row],[Perfil]],Catalogos!$B$75:$D$100,3,FALSE)*Tabla1[[#This Row],[Tiempo
(Hrs 00/100)]]*1.16</f>
        <v>348</v>
      </c>
    </row>
    <row r="2749" spans="1:26" ht="28.8" x14ac:dyDescent="0.3">
      <c r="A2749" s="373" t="s">
        <v>22</v>
      </c>
      <c r="B2749" s="373" t="s">
        <v>23</v>
      </c>
      <c r="C2749" s="373" t="s">
        <v>257</v>
      </c>
      <c r="D2749" s="373"/>
      <c r="E2749" s="373" t="s">
        <v>408</v>
      </c>
      <c r="F2749" s="373" t="s">
        <v>23</v>
      </c>
      <c r="G2749" s="637" t="s">
        <v>4941</v>
      </c>
      <c r="H2749" s="461" t="s">
        <v>4714</v>
      </c>
      <c r="I2749" s="178" t="s">
        <v>4714</v>
      </c>
      <c r="J2749" s="729">
        <v>45240</v>
      </c>
      <c r="K2749" s="773">
        <v>0.47916666666666669</v>
      </c>
      <c r="L2749" s="729">
        <v>45240</v>
      </c>
      <c r="M2749" s="773">
        <v>0.52083333333333337</v>
      </c>
      <c r="N2749" s="373">
        <v>1</v>
      </c>
      <c r="O2749" s="184" t="s">
        <v>17</v>
      </c>
      <c r="P2749" s="375" t="s">
        <v>4641</v>
      </c>
      <c r="Q2749" s="179" t="s">
        <v>1441</v>
      </c>
      <c r="R2749" s="31" t="s">
        <v>95</v>
      </c>
      <c r="S2749" s="31" t="s">
        <v>273</v>
      </c>
      <c r="T2749" s="31" t="s">
        <v>273</v>
      </c>
      <c r="U2749" s="31">
        <f>IFERROR(VLOOKUP(CONCATENATE(Tabla1[[#This Row],[Severidad]]," ",Tabla1[[#This Row],[Complejidad]]),Catalogos!E$120:G$128,3,FALSE),"")</f>
        <v>64</v>
      </c>
      <c r="V2749" s="31" t="str">
        <f>IF(Tabla1[[#This Row],[Tiempo solución max (hrs)]]&lt;&gt;"",IF(Tabla1[[#This Row],[Tiempo solución max (hrs)]]&gt;=Tabla1[[#This Row],[Tiempo
(Hrs 00/100)]],"cumple","no cumple"),"")</f>
        <v>cumple</v>
      </c>
      <c r="W2749" s="376" t="s">
        <v>4210</v>
      </c>
      <c r="X2749" s="377" t="str">
        <f t="shared" si="215"/>
        <v>SSI</v>
      </c>
      <c r="Y2749" t="str">
        <f>SUBSTITUTE(Tabla1[[#This Row],[Descripción]],CHAR(10),"    I    ")</f>
        <v xml:space="preserve">Se construyó la consulta para tratar el 9no procedimiento 'OBTENER_FECHAINTERPOSICION' </v>
      </c>
      <c r="Z2749" s="142">
        <f>VLOOKUP(Tabla1[[#This Row],[Perfil]],Catalogos!$B$75:$D$100,3,FALSE)*Tabla1[[#This Row],[Tiempo
(Hrs 00/100)]]*1.16</f>
        <v>696</v>
      </c>
    </row>
    <row r="2750" spans="1:26" ht="28.8" x14ac:dyDescent="0.3">
      <c r="A2750" s="373" t="s">
        <v>22</v>
      </c>
      <c r="B2750" s="373" t="s">
        <v>23</v>
      </c>
      <c r="C2750" s="373" t="s">
        <v>257</v>
      </c>
      <c r="D2750" s="373"/>
      <c r="E2750" s="373" t="s">
        <v>408</v>
      </c>
      <c r="F2750" s="373" t="s">
        <v>75</v>
      </c>
      <c r="G2750" s="637" t="s">
        <v>4942</v>
      </c>
      <c r="H2750" s="461" t="s">
        <v>4660</v>
      </c>
      <c r="I2750" s="178" t="s">
        <v>4660</v>
      </c>
      <c r="J2750" s="729">
        <v>45240</v>
      </c>
      <c r="K2750" s="773">
        <v>0.52083333333333337</v>
      </c>
      <c r="L2750" s="729">
        <v>45240</v>
      </c>
      <c r="M2750" s="773">
        <v>0.54166666666666663</v>
      </c>
      <c r="N2750" s="373">
        <v>0.5</v>
      </c>
      <c r="O2750" s="184" t="s">
        <v>17</v>
      </c>
      <c r="P2750" s="375" t="s">
        <v>4641</v>
      </c>
      <c r="Q2750" s="179" t="s">
        <v>1441</v>
      </c>
      <c r="R2750" s="31" t="s">
        <v>95</v>
      </c>
      <c r="S2750" s="31" t="s">
        <v>273</v>
      </c>
      <c r="T2750" s="31" t="s">
        <v>273</v>
      </c>
      <c r="U2750" s="31">
        <f>IFERROR(VLOOKUP(CONCATENATE(Tabla1[[#This Row],[Severidad]]," ",Tabla1[[#This Row],[Complejidad]]),Catalogos!E$120:G$128,3,FALSE),"")</f>
        <v>64</v>
      </c>
      <c r="V2750" s="31" t="str">
        <f>IF(Tabla1[[#This Row],[Tiempo solución max (hrs)]]&lt;&gt;"",IF(Tabla1[[#This Row],[Tiempo solución max (hrs)]]&gt;=Tabla1[[#This Row],[Tiempo
(Hrs 00/100)]],"cumple","no cumple"),"")</f>
        <v>cumple</v>
      </c>
      <c r="W2750" s="376" t="s">
        <v>4210</v>
      </c>
      <c r="X2750" s="377" t="str">
        <f t="shared" si="215"/>
        <v>SSI</v>
      </c>
      <c r="Y2750" t="str">
        <f>SUBSTITUTE(Tabla1[[#This Row],[Descripción]],CHAR(10),"    I    ")</f>
        <v xml:space="preserve">Se validó que la información que retorna la consulta con los distintos parametros sea la correcta </v>
      </c>
      <c r="Z2750" s="142">
        <f>VLOOKUP(Tabla1[[#This Row],[Perfil]],Catalogos!$B$75:$D$100,3,FALSE)*Tabla1[[#This Row],[Tiempo
(Hrs 00/100)]]*1.16</f>
        <v>348</v>
      </c>
    </row>
    <row r="2751" spans="1:26" ht="43.2" x14ac:dyDescent="0.3">
      <c r="A2751" s="373" t="s">
        <v>22</v>
      </c>
      <c r="B2751" s="373" t="s">
        <v>23</v>
      </c>
      <c r="C2751" s="373" t="s">
        <v>257</v>
      </c>
      <c r="D2751" s="373"/>
      <c r="E2751" s="373" t="s">
        <v>408</v>
      </c>
      <c r="F2751" s="373" t="s">
        <v>23</v>
      </c>
      <c r="G2751" s="637" t="s">
        <v>4943</v>
      </c>
      <c r="H2751" s="461" t="s">
        <v>4715</v>
      </c>
      <c r="I2751" s="178" t="s">
        <v>4716</v>
      </c>
      <c r="J2751" s="729">
        <v>45240</v>
      </c>
      <c r="K2751" s="773">
        <v>0.54166666666666663</v>
      </c>
      <c r="L2751" s="729">
        <v>45240</v>
      </c>
      <c r="M2751" s="773">
        <v>0.58333333333333337</v>
      </c>
      <c r="N2751" s="373">
        <v>1</v>
      </c>
      <c r="O2751" s="184" t="s">
        <v>17</v>
      </c>
      <c r="P2751" s="375" t="s">
        <v>4641</v>
      </c>
      <c r="Q2751" s="179" t="s">
        <v>1441</v>
      </c>
      <c r="R2751" s="31" t="s">
        <v>95</v>
      </c>
      <c r="S2751" s="31" t="s">
        <v>273</v>
      </c>
      <c r="T2751" s="31" t="s">
        <v>273</v>
      </c>
      <c r="U2751" s="31">
        <f>IFERROR(VLOOKUP(CONCATENATE(Tabla1[[#This Row],[Severidad]]," ",Tabla1[[#This Row],[Complejidad]]),Catalogos!E$120:G$128,3,FALSE),"")</f>
        <v>64</v>
      </c>
      <c r="V2751" s="31" t="str">
        <f>IF(Tabla1[[#This Row],[Tiempo solución max (hrs)]]&lt;&gt;"",IF(Tabla1[[#This Row],[Tiempo solución max (hrs)]]&gt;=Tabla1[[#This Row],[Tiempo
(Hrs 00/100)]],"cumple","no cumple"),"")</f>
        <v>cumple</v>
      </c>
      <c r="W2751" s="376" t="s">
        <v>4210</v>
      </c>
      <c r="X2751" s="377" t="str">
        <f t="shared" si="215"/>
        <v>SSI</v>
      </c>
      <c r="Y2751" t="str">
        <f>SUBSTITUTE(Tabla1[[#This Row],[Descripción]],CHAR(10),"    I    ")</f>
        <v xml:space="preserve">Se trabajó en el 9no procedimiento 'OBTENER_FECHAINTERPOSICION' con sus respectivas variables TAB y con su consulta previamente validada, se compila sin errores </v>
      </c>
      <c r="Z2751" s="142">
        <f>VLOOKUP(Tabla1[[#This Row],[Perfil]],Catalogos!$B$75:$D$100,3,FALSE)*Tabla1[[#This Row],[Tiempo
(Hrs 00/100)]]*1.16</f>
        <v>696</v>
      </c>
    </row>
    <row r="2752" spans="1:26" ht="43.2" x14ac:dyDescent="0.3">
      <c r="A2752" s="373" t="s">
        <v>22</v>
      </c>
      <c r="B2752" s="373" t="s">
        <v>23</v>
      </c>
      <c r="C2752" s="373" t="s">
        <v>257</v>
      </c>
      <c r="D2752" s="373"/>
      <c r="E2752" s="373" t="s">
        <v>408</v>
      </c>
      <c r="F2752" s="373" t="s">
        <v>75</v>
      </c>
      <c r="G2752" s="637" t="s">
        <v>4944</v>
      </c>
      <c r="H2752" s="461" t="s">
        <v>4717</v>
      </c>
      <c r="I2752" s="178" t="s">
        <v>4718</v>
      </c>
      <c r="J2752" s="729">
        <v>45240</v>
      </c>
      <c r="K2752" s="773">
        <v>0.58333333333333337</v>
      </c>
      <c r="L2752" s="729">
        <v>45240</v>
      </c>
      <c r="M2752" s="773">
        <v>0.60416666666666663</v>
      </c>
      <c r="N2752" s="373">
        <v>0.5</v>
      </c>
      <c r="O2752" s="184" t="s">
        <v>17</v>
      </c>
      <c r="P2752" s="375" t="s">
        <v>4641</v>
      </c>
      <c r="Q2752" s="179" t="s">
        <v>1441</v>
      </c>
      <c r="R2752" s="31" t="s">
        <v>95</v>
      </c>
      <c r="S2752" s="31" t="s">
        <v>273</v>
      </c>
      <c r="T2752" s="31" t="s">
        <v>273</v>
      </c>
      <c r="U2752" s="31">
        <f>IFERROR(VLOOKUP(CONCATENATE(Tabla1[[#This Row],[Severidad]]," ",Tabla1[[#This Row],[Complejidad]]),Catalogos!E$120:G$128,3,FALSE),"")</f>
        <v>64</v>
      </c>
      <c r="V2752" s="31" t="str">
        <f>IF(Tabla1[[#This Row],[Tiempo solución max (hrs)]]&lt;&gt;"",IF(Tabla1[[#This Row],[Tiempo solución max (hrs)]]&gt;=Tabla1[[#This Row],[Tiempo
(Hrs 00/100)]],"cumple","no cumple"),"")</f>
        <v>cumple</v>
      </c>
      <c r="W2752" s="376" t="s">
        <v>4210</v>
      </c>
      <c r="X2752" s="377" t="str">
        <f t="shared" si="215"/>
        <v>SSI</v>
      </c>
      <c r="Y2752" t="str">
        <f>SUBSTITUTE(Tabla1[[#This Row],[Descripción]],CHAR(10),"    I    ")</f>
        <v>Se validó el paquete-procedimiento 'OBTENER_FECHAINTERPOSICION' con el bloque anónimo correcto y se tuvo un resultado exitoso con la salida del cursor completo</v>
      </c>
      <c r="Z2752" s="142">
        <f>VLOOKUP(Tabla1[[#This Row],[Perfil]],Catalogos!$B$75:$D$100,3,FALSE)*Tabla1[[#This Row],[Tiempo
(Hrs 00/100)]]*1.16</f>
        <v>348</v>
      </c>
    </row>
    <row r="2753" spans="1:26" ht="28.8" x14ac:dyDescent="0.3">
      <c r="A2753" s="373" t="s">
        <v>22</v>
      </c>
      <c r="B2753" s="373" t="s">
        <v>305</v>
      </c>
      <c r="C2753" s="373" t="s">
        <v>257</v>
      </c>
      <c r="D2753" s="373"/>
      <c r="E2753" s="373" t="s">
        <v>408</v>
      </c>
      <c r="F2753" s="373" t="s">
        <v>72</v>
      </c>
      <c r="G2753" s="637" t="s">
        <v>4945</v>
      </c>
      <c r="H2753" s="461" t="s">
        <v>4719</v>
      </c>
      <c r="I2753" s="178" t="s">
        <v>4719</v>
      </c>
      <c r="J2753" s="729">
        <v>45240</v>
      </c>
      <c r="K2753" s="773">
        <v>0.66666666666666663</v>
      </c>
      <c r="L2753" s="729">
        <v>45240</v>
      </c>
      <c r="M2753" s="773">
        <v>0.6875</v>
      </c>
      <c r="N2753" s="373">
        <v>0.5</v>
      </c>
      <c r="O2753" s="184" t="s">
        <v>17</v>
      </c>
      <c r="P2753" s="375" t="s">
        <v>4641</v>
      </c>
      <c r="Q2753" s="179" t="s">
        <v>1441</v>
      </c>
      <c r="R2753" s="31" t="s">
        <v>95</v>
      </c>
      <c r="S2753" s="31" t="s">
        <v>273</v>
      </c>
      <c r="T2753" s="31" t="s">
        <v>273</v>
      </c>
      <c r="U2753" s="31">
        <f>IFERROR(VLOOKUP(CONCATENATE(Tabla1[[#This Row],[Severidad]]," ",Tabla1[[#This Row],[Complejidad]]),Catalogos!E$120:G$128,3,FALSE),"")</f>
        <v>64</v>
      </c>
      <c r="V2753" s="31" t="str">
        <f>IF(Tabla1[[#This Row],[Tiempo solución max (hrs)]]&lt;&gt;"",IF(Tabla1[[#This Row],[Tiempo solución max (hrs)]]&gt;=Tabla1[[#This Row],[Tiempo
(Hrs 00/100)]],"cumple","no cumple"),"")</f>
        <v>cumple</v>
      </c>
      <c r="W2753" s="376" t="s">
        <v>4210</v>
      </c>
      <c r="X2753" s="377" t="str">
        <f t="shared" si="215"/>
        <v>SSI</v>
      </c>
      <c r="Y2753" t="str">
        <f>SUBSTITUTE(Tabla1[[#This Row],[Descripción]],CHAR(10),"    I    ")</f>
        <v>Se comparten nuevas tablas de los Catalogos a considerar para considerar en los Procedimiento</v>
      </c>
      <c r="Z2753" s="142">
        <f>VLOOKUP(Tabla1[[#This Row],[Perfil]],Catalogos!$B$75:$D$100,3,FALSE)*Tabla1[[#This Row],[Tiempo
(Hrs 00/100)]]*1.16</f>
        <v>348</v>
      </c>
    </row>
    <row r="2754" spans="1:26" ht="28.8" x14ac:dyDescent="0.3">
      <c r="A2754" s="373" t="s">
        <v>22</v>
      </c>
      <c r="B2754" s="373" t="s">
        <v>23</v>
      </c>
      <c r="C2754" s="373" t="s">
        <v>257</v>
      </c>
      <c r="D2754" s="373"/>
      <c r="E2754" s="373" t="s">
        <v>408</v>
      </c>
      <c r="F2754" s="373" t="s">
        <v>23</v>
      </c>
      <c r="G2754" s="637" t="s">
        <v>4946</v>
      </c>
      <c r="H2754" s="461" t="s">
        <v>4720</v>
      </c>
      <c r="I2754" s="178" t="s">
        <v>4720</v>
      </c>
      <c r="J2754" s="729">
        <v>45240</v>
      </c>
      <c r="K2754" s="773">
        <v>0.6875</v>
      </c>
      <c r="L2754" s="729">
        <v>45240</v>
      </c>
      <c r="M2754" s="773">
        <v>0.72916666666666663</v>
      </c>
      <c r="N2754" s="373">
        <v>1</v>
      </c>
      <c r="O2754" s="184" t="s">
        <v>17</v>
      </c>
      <c r="P2754" s="375" t="s">
        <v>4641</v>
      </c>
      <c r="Q2754" s="179" t="s">
        <v>1441</v>
      </c>
      <c r="R2754" s="31" t="s">
        <v>95</v>
      </c>
      <c r="S2754" s="31" t="s">
        <v>273</v>
      </c>
      <c r="T2754" s="31" t="s">
        <v>273</v>
      </c>
      <c r="U2754" s="31">
        <f>IFERROR(VLOOKUP(CONCATENATE(Tabla1[[#This Row],[Severidad]]," ",Tabla1[[#This Row],[Complejidad]]),Catalogos!E$120:G$128,3,FALSE),"")</f>
        <v>64</v>
      </c>
      <c r="V2754" s="31" t="str">
        <f>IF(Tabla1[[#This Row],[Tiempo solución max (hrs)]]&lt;&gt;"",IF(Tabla1[[#This Row],[Tiempo solución max (hrs)]]&gt;=Tabla1[[#This Row],[Tiempo
(Hrs 00/100)]],"cumple","no cumple"),"")</f>
        <v>cumple</v>
      </c>
      <c r="W2754" s="376" t="s">
        <v>4210</v>
      </c>
      <c r="X2754" s="377" t="str">
        <f t="shared" si="215"/>
        <v>SSI</v>
      </c>
      <c r="Y2754" t="str">
        <f>SUBSTITUTE(Tabla1[[#This Row],[Descripción]],CHAR(10),"    I    ")</f>
        <v xml:space="preserve">Se actualizo nuevo catálogo en procedimiento 'OBTENER_MEDIOREGISTRO' de Quejas </v>
      </c>
      <c r="Z2754" s="142">
        <f>VLOOKUP(Tabla1[[#This Row],[Perfil]],Catalogos!$B$75:$D$100,3,FALSE)*Tabla1[[#This Row],[Tiempo
(Hrs 00/100)]]*1.16</f>
        <v>696</v>
      </c>
    </row>
    <row r="2755" spans="1:26" ht="28.8" x14ac:dyDescent="0.3">
      <c r="A2755" s="373" t="s">
        <v>22</v>
      </c>
      <c r="B2755" s="373" t="s">
        <v>23</v>
      </c>
      <c r="C2755" s="373" t="s">
        <v>257</v>
      </c>
      <c r="D2755" s="373"/>
      <c r="E2755" s="373" t="s">
        <v>408</v>
      </c>
      <c r="F2755" s="373" t="s">
        <v>23</v>
      </c>
      <c r="G2755" s="637" t="s">
        <v>4947</v>
      </c>
      <c r="H2755" s="461" t="s">
        <v>4721</v>
      </c>
      <c r="I2755" s="178" t="s">
        <v>4721</v>
      </c>
      <c r="J2755" s="729">
        <v>45240</v>
      </c>
      <c r="K2755" s="773">
        <v>0.72916666666666663</v>
      </c>
      <c r="L2755" s="729">
        <v>45240</v>
      </c>
      <c r="M2755" s="773">
        <v>0.77083333333333337</v>
      </c>
      <c r="N2755" s="373">
        <v>1</v>
      </c>
      <c r="O2755" s="184" t="s">
        <v>17</v>
      </c>
      <c r="P2755" s="375" t="s">
        <v>4641</v>
      </c>
      <c r="Q2755" s="179" t="s">
        <v>1441</v>
      </c>
      <c r="R2755" s="31" t="s">
        <v>95</v>
      </c>
      <c r="S2755" s="31" t="s">
        <v>273</v>
      </c>
      <c r="T2755" s="31" t="s">
        <v>273</v>
      </c>
      <c r="U2755" s="31">
        <f>IFERROR(VLOOKUP(CONCATENATE(Tabla1[[#This Row],[Severidad]]," ",Tabla1[[#This Row],[Complejidad]]),Catalogos!E$120:G$128,3,FALSE),"")</f>
        <v>64</v>
      </c>
      <c r="V2755" s="31" t="str">
        <f>IF(Tabla1[[#This Row],[Tiempo solución max (hrs)]]&lt;&gt;"",IF(Tabla1[[#This Row],[Tiempo solución max (hrs)]]&gt;=Tabla1[[#This Row],[Tiempo
(Hrs 00/100)]],"cumple","no cumple"),"")</f>
        <v>cumple</v>
      </c>
      <c r="W2755" s="376" t="s">
        <v>4210</v>
      </c>
      <c r="X2755" s="377" t="str">
        <f t="shared" si="215"/>
        <v>SSI</v>
      </c>
      <c r="Y2755" t="str">
        <f>SUBSTITUTE(Tabla1[[#This Row],[Descripción]],CHAR(10),"    I    ")</f>
        <v xml:space="preserve">Se actualizo nuevo catálogo en procedimiento 'OBTENER_MEDIONOTIFICACION' de Quejas </v>
      </c>
      <c r="Z2755" s="142">
        <f>VLOOKUP(Tabla1[[#This Row],[Perfil]],Catalogos!$B$75:$D$100,3,FALSE)*Tabla1[[#This Row],[Tiempo
(Hrs 00/100)]]*1.16</f>
        <v>696</v>
      </c>
    </row>
    <row r="2756" spans="1:26" ht="28.8" x14ac:dyDescent="0.3">
      <c r="A2756" s="373" t="s">
        <v>22</v>
      </c>
      <c r="B2756" s="373" t="s">
        <v>23</v>
      </c>
      <c r="C2756" s="373" t="s">
        <v>257</v>
      </c>
      <c r="D2756" s="373"/>
      <c r="E2756" s="373" t="s">
        <v>408</v>
      </c>
      <c r="F2756" s="373" t="s">
        <v>23</v>
      </c>
      <c r="G2756" s="637" t="s">
        <v>4948</v>
      </c>
      <c r="H2756" s="461" t="s">
        <v>4722</v>
      </c>
      <c r="I2756" s="178" t="s">
        <v>4722</v>
      </c>
      <c r="J2756" s="729">
        <v>45240</v>
      </c>
      <c r="K2756" s="773">
        <v>0.77083333333333337</v>
      </c>
      <c r="L2756" s="729">
        <v>45240</v>
      </c>
      <c r="M2756" s="773">
        <v>0.83333333333333337</v>
      </c>
      <c r="N2756" s="373">
        <v>1.5</v>
      </c>
      <c r="O2756" s="184" t="s">
        <v>17</v>
      </c>
      <c r="P2756" s="375" t="s">
        <v>4641</v>
      </c>
      <c r="Q2756" s="179" t="s">
        <v>1441</v>
      </c>
      <c r="R2756" s="31" t="s">
        <v>95</v>
      </c>
      <c r="S2756" s="31" t="s">
        <v>273</v>
      </c>
      <c r="T2756" s="31" t="s">
        <v>273</v>
      </c>
      <c r="U2756" s="31">
        <f>IFERROR(VLOOKUP(CONCATENATE(Tabla1[[#This Row],[Severidad]]," ",Tabla1[[#This Row],[Complejidad]]),Catalogos!E$120:G$128,3,FALSE),"")</f>
        <v>64</v>
      </c>
      <c r="V2756" s="31" t="str">
        <f>IF(Tabla1[[#This Row],[Tiempo solución max (hrs)]]&lt;&gt;"",IF(Tabla1[[#This Row],[Tiempo solución max (hrs)]]&gt;=Tabla1[[#This Row],[Tiempo
(Hrs 00/100)]],"cumple","no cumple"),"")</f>
        <v>cumple</v>
      </c>
      <c r="W2756" s="376" t="s">
        <v>4210</v>
      </c>
      <c r="X2756" s="377" t="str">
        <f t="shared" si="215"/>
        <v>SSI</v>
      </c>
      <c r="Y2756" t="str">
        <f>SUBSTITUTE(Tabla1[[#This Row],[Descripción]],CHAR(10),"    I    ")</f>
        <v xml:space="preserve">Se actualizo nuevo catálogo en procedimiento 'OBTENER_TIPOMEDIOIMPUGNACION' de Quejas </v>
      </c>
      <c r="Z2756" s="142">
        <f>VLOOKUP(Tabla1[[#This Row],[Perfil]],Catalogos!$B$75:$D$100,3,FALSE)*Tabla1[[#This Row],[Tiempo
(Hrs 00/100)]]*1.16</f>
        <v>1044</v>
      </c>
    </row>
    <row r="2757" spans="1:26" ht="43.2" x14ac:dyDescent="0.3">
      <c r="A2757" s="373" t="s">
        <v>22</v>
      </c>
      <c r="B2757" s="373" t="s">
        <v>61</v>
      </c>
      <c r="C2757" s="373" t="s">
        <v>257</v>
      </c>
      <c r="D2757" s="373"/>
      <c r="E2757" s="373" t="s">
        <v>408</v>
      </c>
      <c r="F2757" s="373" t="s">
        <v>76</v>
      </c>
      <c r="G2757" s="637" t="s">
        <v>4949</v>
      </c>
      <c r="H2757" s="461" t="s">
        <v>4723</v>
      </c>
      <c r="I2757" s="178" t="s">
        <v>5196</v>
      </c>
      <c r="J2757" s="729">
        <v>45243</v>
      </c>
      <c r="K2757" s="773">
        <v>0.375</v>
      </c>
      <c r="L2757" s="729">
        <v>45243</v>
      </c>
      <c r="M2757" s="773">
        <v>0.39583333333333331</v>
      </c>
      <c r="N2757" s="373">
        <v>0.5</v>
      </c>
      <c r="O2757" s="184" t="s">
        <v>17</v>
      </c>
      <c r="P2757" s="375" t="s">
        <v>4641</v>
      </c>
      <c r="Q2757" s="179" t="s">
        <v>1441</v>
      </c>
      <c r="R2757" s="31" t="s">
        <v>95</v>
      </c>
      <c r="S2757" s="31" t="s">
        <v>273</v>
      </c>
      <c r="T2757" s="31" t="s">
        <v>273</v>
      </c>
      <c r="U2757" s="31">
        <f>IFERROR(VLOOKUP(CONCATENATE(Tabla1[[#This Row],[Severidad]]," ",Tabla1[[#This Row],[Complejidad]]),Catalogos!E$120:G$128,3,FALSE),"")</f>
        <v>64</v>
      </c>
      <c r="V2757" s="31" t="str">
        <f>IF(Tabla1[[#This Row],[Tiempo solución max (hrs)]]&lt;&gt;"",IF(Tabla1[[#This Row],[Tiempo solución max (hrs)]]&gt;=Tabla1[[#This Row],[Tiempo
(Hrs 00/100)]],"cumple","no cumple"),"")</f>
        <v>cumple</v>
      </c>
      <c r="W2757" s="376" t="s">
        <v>4210</v>
      </c>
      <c r="X2757" s="377" t="str">
        <f t="shared" si="215"/>
        <v>SSI</v>
      </c>
      <c r="Y2757" t="str">
        <f>SUBSTITUTE(Tabla1[[#This Row],[Descripción]],CHAR(10),"    I    ")</f>
        <v>Se le explicó al equipo que ya estan las actualizaciones de los 3 procedimientos de Quejas para que lo revisen y consuman desde el aplicativo</v>
      </c>
      <c r="Z2757" s="142">
        <f>VLOOKUP(Tabla1[[#This Row],[Perfil]],Catalogos!$B$75:$D$100,3,FALSE)*Tabla1[[#This Row],[Tiempo
(Hrs 00/100)]]*1.16</f>
        <v>348</v>
      </c>
    </row>
    <row r="2758" spans="1:26" ht="28.8" x14ac:dyDescent="0.3">
      <c r="A2758" s="373" t="s">
        <v>22</v>
      </c>
      <c r="B2758" s="373" t="s">
        <v>305</v>
      </c>
      <c r="C2758" s="373" t="s">
        <v>257</v>
      </c>
      <c r="D2758" s="373"/>
      <c r="E2758" s="373" t="s">
        <v>408</v>
      </c>
      <c r="F2758" s="373" t="s">
        <v>72</v>
      </c>
      <c r="G2758" s="637" t="s">
        <v>4950</v>
      </c>
      <c r="H2758" s="461" t="s">
        <v>4724</v>
      </c>
      <c r="I2758" s="178" t="s">
        <v>4724</v>
      </c>
      <c r="J2758" s="729">
        <v>45243</v>
      </c>
      <c r="K2758" s="773">
        <v>0.39583333333333331</v>
      </c>
      <c r="L2758" s="729">
        <v>45243</v>
      </c>
      <c r="M2758" s="773">
        <v>0.4375</v>
      </c>
      <c r="N2758" s="373">
        <v>1</v>
      </c>
      <c r="O2758" s="184" t="s">
        <v>17</v>
      </c>
      <c r="P2758" s="375" t="s">
        <v>4725</v>
      </c>
      <c r="Q2758" s="179" t="s">
        <v>1441</v>
      </c>
      <c r="R2758" s="31" t="s">
        <v>95</v>
      </c>
      <c r="S2758" s="31" t="s">
        <v>273</v>
      </c>
      <c r="T2758" s="31" t="s">
        <v>273</v>
      </c>
      <c r="U2758" s="31">
        <f>IFERROR(VLOOKUP(CONCATENATE(Tabla1[[#This Row],[Severidad]]," ",Tabla1[[#This Row],[Complejidad]]),Catalogos!E$120:G$128,3,FALSE),"")</f>
        <v>64</v>
      </c>
      <c r="V2758" s="31" t="str">
        <f>IF(Tabla1[[#This Row],[Tiempo solución max (hrs)]]&lt;&gt;"",IF(Tabla1[[#This Row],[Tiempo solución max (hrs)]]&gt;=Tabla1[[#This Row],[Tiempo
(Hrs 00/100)]],"cumple","no cumple"),"")</f>
        <v>cumple</v>
      </c>
      <c r="W2758" s="376" t="s">
        <v>4210</v>
      </c>
      <c r="X2758" s="377" t="str">
        <f t="shared" si="215"/>
        <v>SSI</v>
      </c>
      <c r="Y2758" t="str">
        <f>SUBSTITUTE(Tabla1[[#This Row],[Descripción]],CHAR(10),"    I    ")</f>
        <v xml:space="preserve">Se revisó estructura de tabla de Resoluciones 'BI.IMPUGNACIONES_VWM_RESOLUCIONES_ESTADISTICAS' </v>
      </c>
      <c r="Z2758" s="142">
        <f>VLOOKUP(Tabla1[[#This Row],[Perfil]],Catalogos!$B$75:$D$100,3,FALSE)*Tabla1[[#This Row],[Tiempo
(Hrs 00/100)]]*1.16</f>
        <v>696</v>
      </c>
    </row>
    <row r="2759" spans="1:26" ht="28.8" x14ac:dyDescent="0.3">
      <c r="A2759" s="373" t="s">
        <v>22</v>
      </c>
      <c r="B2759" s="373" t="s">
        <v>305</v>
      </c>
      <c r="C2759" s="373" t="s">
        <v>257</v>
      </c>
      <c r="D2759" s="373"/>
      <c r="E2759" s="373" t="s">
        <v>408</v>
      </c>
      <c r="F2759" s="373" t="s">
        <v>72</v>
      </c>
      <c r="G2759" s="637" t="s">
        <v>4951</v>
      </c>
      <c r="H2759" s="461" t="s">
        <v>4726</v>
      </c>
      <c r="I2759" s="178" t="s">
        <v>5209</v>
      </c>
      <c r="J2759" s="729">
        <v>45243</v>
      </c>
      <c r="K2759" s="773">
        <v>0.4375</v>
      </c>
      <c r="L2759" s="729">
        <v>45243</v>
      </c>
      <c r="M2759" s="773">
        <v>0.45833333333333331</v>
      </c>
      <c r="N2759" s="373">
        <v>0.5</v>
      </c>
      <c r="O2759" s="184" t="s">
        <v>17</v>
      </c>
      <c r="P2759" s="375" t="s">
        <v>4725</v>
      </c>
      <c r="Q2759" s="179" t="s">
        <v>1441</v>
      </c>
      <c r="R2759" s="31" t="s">
        <v>95</v>
      </c>
      <c r="S2759" s="31" t="s">
        <v>273</v>
      </c>
      <c r="T2759" s="31" t="s">
        <v>273</v>
      </c>
      <c r="U2759" s="31">
        <f>IFERROR(VLOOKUP(CONCATENATE(Tabla1[[#This Row],[Severidad]]," ",Tabla1[[#This Row],[Complejidad]]),Catalogos!E$120:G$128,3,FALSE),"")</f>
        <v>64</v>
      </c>
      <c r="V2759" s="31" t="str">
        <f>IF(Tabla1[[#This Row],[Tiempo solución max (hrs)]]&lt;&gt;"",IF(Tabla1[[#This Row],[Tiempo solución max (hrs)]]&gt;=Tabla1[[#This Row],[Tiempo
(Hrs 00/100)]],"cumple","no cumple"),"")</f>
        <v>cumple</v>
      </c>
      <c r="W2759" s="376" t="s">
        <v>4210</v>
      </c>
      <c r="X2759" s="377" t="str">
        <f t="shared" si="215"/>
        <v>SSI</v>
      </c>
      <c r="Y2759" t="str">
        <f>SUBSTITUTE(Tabla1[[#This Row],[Descripción]],CHAR(10),"    I    ")</f>
        <v xml:space="preserve">Se tuvo sesión con Subdirector para revisar la estructura de la tabla de Resoluciones y analizar el número de procedimientos </v>
      </c>
      <c r="Z2759" s="142">
        <f>VLOOKUP(Tabla1[[#This Row],[Perfil]],Catalogos!$B$75:$D$100,3,FALSE)*Tabla1[[#This Row],[Tiempo
(Hrs 00/100)]]*1.16</f>
        <v>348</v>
      </c>
    </row>
    <row r="2760" spans="1:26" ht="28.8" x14ac:dyDescent="0.3">
      <c r="A2760" s="373" t="s">
        <v>22</v>
      </c>
      <c r="B2760" s="373" t="s">
        <v>305</v>
      </c>
      <c r="C2760" s="373" t="s">
        <v>257</v>
      </c>
      <c r="D2760" s="373"/>
      <c r="E2760" s="373" t="s">
        <v>408</v>
      </c>
      <c r="F2760" s="373" t="s">
        <v>72</v>
      </c>
      <c r="G2760" s="637" t="s">
        <v>4952</v>
      </c>
      <c r="H2760" s="461" t="s">
        <v>4651</v>
      </c>
      <c r="I2760" s="178" t="s">
        <v>4652</v>
      </c>
      <c r="J2760" s="729">
        <v>45243</v>
      </c>
      <c r="K2760" s="773">
        <v>0.45833333333333331</v>
      </c>
      <c r="L2760" s="729">
        <v>45243</v>
      </c>
      <c r="M2760" s="773">
        <v>0.47916666666666669</v>
      </c>
      <c r="N2760" s="373">
        <v>0.5</v>
      </c>
      <c r="O2760" s="184" t="s">
        <v>17</v>
      </c>
      <c r="P2760" s="375" t="s">
        <v>4725</v>
      </c>
      <c r="Q2760" s="179" t="s">
        <v>1441</v>
      </c>
      <c r="R2760" s="31" t="s">
        <v>95</v>
      </c>
      <c r="S2760" s="31" t="s">
        <v>273</v>
      </c>
      <c r="T2760" s="31" t="s">
        <v>273</v>
      </c>
      <c r="U2760" s="31">
        <f>IFERROR(VLOOKUP(CONCATENATE(Tabla1[[#This Row],[Severidad]]," ",Tabla1[[#This Row],[Complejidad]]),Catalogos!E$120:G$128,3,FALSE),"")</f>
        <v>64</v>
      </c>
      <c r="V2760" s="31" t="str">
        <f>IF(Tabla1[[#This Row],[Tiempo solución max (hrs)]]&lt;&gt;"",IF(Tabla1[[#This Row],[Tiempo solución max (hrs)]]&gt;=Tabla1[[#This Row],[Tiempo
(Hrs 00/100)]],"cumple","no cumple"),"")</f>
        <v>cumple</v>
      </c>
      <c r="W2760" s="376" t="s">
        <v>4210</v>
      </c>
      <c r="X2760" s="377" t="str">
        <f t="shared" si="215"/>
        <v>SSI</v>
      </c>
      <c r="Y2760" t="str">
        <f>SUBSTITUTE(Tabla1[[#This Row],[Descripción]],CHAR(10),"    I    ")</f>
        <v xml:space="preserve">Se definió el total de procedimientos y se le da un nombre a cada uno para comenzar a desarrollar el paquete </v>
      </c>
      <c r="Z2760" s="142">
        <f>VLOOKUP(Tabla1[[#This Row],[Perfil]],Catalogos!$B$75:$D$100,3,FALSE)*Tabla1[[#This Row],[Tiempo
(Hrs 00/100)]]*1.16</f>
        <v>348</v>
      </c>
    </row>
    <row r="2761" spans="1:26" ht="27.6" x14ac:dyDescent="0.3">
      <c r="A2761" s="373" t="s">
        <v>22</v>
      </c>
      <c r="B2761" s="373" t="s">
        <v>23</v>
      </c>
      <c r="C2761" s="373" t="s">
        <v>257</v>
      </c>
      <c r="D2761" s="373"/>
      <c r="E2761" s="373" t="s">
        <v>408</v>
      </c>
      <c r="F2761" s="373" t="s">
        <v>23</v>
      </c>
      <c r="G2761" s="637" t="s">
        <v>4953</v>
      </c>
      <c r="H2761" s="461" t="s">
        <v>4727</v>
      </c>
      <c r="I2761" s="178" t="s">
        <v>4727</v>
      </c>
      <c r="J2761" s="729">
        <v>45243</v>
      </c>
      <c r="K2761" s="773">
        <v>0.47916666666666669</v>
      </c>
      <c r="L2761" s="729">
        <v>45243</v>
      </c>
      <c r="M2761" s="773">
        <v>0.52083333333333337</v>
      </c>
      <c r="N2761" s="373">
        <v>1</v>
      </c>
      <c r="O2761" s="184" t="s">
        <v>411</v>
      </c>
      <c r="P2761" s="375" t="s">
        <v>4725</v>
      </c>
      <c r="Q2761" s="179" t="s">
        <v>1441</v>
      </c>
      <c r="R2761" s="31" t="s">
        <v>95</v>
      </c>
      <c r="S2761" s="31" t="s">
        <v>273</v>
      </c>
      <c r="T2761" s="31" t="s">
        <v>273</v>
      </c>
      <c r="U2761" s="31">
        <f>IFERROR(VLOOKUP(CONCATENATE(Tabla1[[#This Row],[Severidad]]," ",Tabla1[[#This Row],[Complejidad]]),Catalogos!E$120:G$128,3,FALSE),"")</f>
        <v>64</v>
      </c>
      <c r="V2761" s="31" t="str">
        <f>IF(Tabla1[[#This Row],[Tiempo solución max (hrs)]]&lt;&gt;"",IF(Tabla1[[#This Row],[Tiempo solución max (hrs)]]&gt;=Tabla1[[#This Row],[Tiempo
(Hrs 00/100)]],"cumple","no cumple"),"")</f>
        <v>cumple</v>
      </c>
      <c r="W2761" s="376" t="s">
        <v>4210</v>
      </c>
      <c r="X2761" s="377" t="str">
        <f t="shared" si="215"/>
        <v>SSI</v>
      </c>
      <c r="Y2761" t="str">
        <f>SUBSTITUTE(Tabla1[[#This Row],[Descripción]],CHAR(10),"    I    ")</f>
        <v xml:space="preserve">Se trabajó en declarar los objetos de tipo TAB en el 1er procedimiento </v>
      </c>
      <c r="Z2761" s="142">
        <f>VLOOKUP(Tabla1[[#This Row],[Perfil]],Catalogos!$B$75:$D$100,3,FALSE)*Tabla1[[#This Row],[Tiempo
(Hrs 00/100)]]*1.16</f>
        <v>696</v>
      </c>
    </row>
    <row r="2762" spans="1:26" ht="28.8" x14ac:dyDescent="0.3">
      <c r="A2762" s="373" t="s">
        <v>22</v>
      </c>
      <c r="B2762" s="373" t="s">
        <v>23</v>
      </c>
      <c r="C2762" s="373" t="s">
        <v>257</v>
      </c>
      <c r="D2762" s="373"/>
      <c r="E2762" s="373" t="s">
        <v>408</v>
      </c>
      <c r="F2762" s="373" t="s">
        <v>23</v>
      </c>
      <c r="G2762" s="637" t="s">
        <v>4954</v>
      </c>
      <c r="H2762" s="461" t="s">
        <v>4728</v>
      </c>
      <c r="I2762" s="178" t="s">
        <v>4729</v>
      </c>
      <c r="J2762" s="729">
        <v>45243</v>
      </c>
      <c r="K2762" s="773">
        <v>0.52083333333333337</v>
      </c>
      <c r="L2762" s="729">
        <v>45243</v>
      </c>
      <c r="M2762" s="773">
        <v>0.5625</v>
      </c>
      <c r="N2762" s="373">
        <v>1</v>
      </c>
      <c r="O2762" s="184" t="s">
        <v>17</v>
      </c>
      <c r="P2762" s="375" t="s">
        <v>4725</v>
      </c>
      <c r="Q2762" s="179" t="s">
        <v>1441</v>
      </c>
      <c r="R2762" s="31" t="s">
        <v>95</v>
      </c>
      <c r="S2762" s="31" t="s">
        <v>273</v>
      </c>
      <c r="T2762" s="31" t="s">
        <v>273</v>
      </c>
      <c r="U2762" s="31">
        <f>IFERROR(VLOOKUP(CONCATENATE(Tabla1[[#This Row],[Severidad]]," ",Tabla1[[#This Row],[Complejidad]]),Catalogos!E$120:G$128,3,FALSE),"")</f>
        <v>64</v>
      </c>
      <c r="V2762" s="31" t="str">
        <f>IF(Tabla1[[#This Row],[Tiempo solución max (hrs)]]&lt;&gt;"",IF(Tabla1[[#This Row],[Tiempo solución max (hrs)]]&gt;=Tabla1[[#This Row],[Tiempo
(Hrs 00/100)]],"cumple","no cumple"),"")</f>
        <v>cumple</v>
      </c>
      <c r="W2762" s="376" t="s">
        <v>4210</v>
      </c>
      <c r="X2762" s="377" t="str">
        <f t="shared" si="215"/>
        <v>SSI</v>
      </c>
      <c r="Y2762" t="str">
        <f>SUBSTITUTE(Tabla1[[#This Row],[Descripción]],CHAR(10),"    I    ")</f>
        <v>Se creó paquete de la BD 'BI.PACK_RESOLUCIONES_ESTADISTICAS' de forma general con su header y su body</v>
      </c>
      <c r="Z2762" s="142">
        <f>VLOOKUP(Tabla1[[#This Row],[Perfil]],Catalogos!$B$75:$D$100,3,FALSE)*Tabla1[[#This Row],[Tiempo
(Hrs 00/100)]]*1.16</f>
        <v>696</v>
      </c>
    </row>
    <row r="2763" spans="1:26" ht="57.6" x14ac:dyDescent="0.3">
      <c r="A2763" s="373" t="s">
        <v>22</v>
      </c>
      <c r="B2763" s="373" t="s">
        <v>23</v>
      </c>
      <c r="C2763" s="373" t="s">
        <v>257</v>
      </c>
      <c r="D2763" s="373"/>
      <c r="E2763" s="373" t="s">
        <v>408</v>
      </c>
      <c r="F2763" s="373" t="s">
        <v>23</v>
      </c>
      <c r="G2763" s="637" t="s">
        <v>4955</v>
      </c>
      <c r="H2763" s="461" t="s">
        <v>4730</v>
      </c>
      <c r="I2763" s="178" t="s">
        <v>4731</v>
      </c>
      <c r="J2763" s="729">
        <v>45243</v>
      </c>
      <c r="K2763" s="773">
        <v>0.5625</v>
      </c>
      <c r="L2763" s="729">
        <v>45243</v>
      </c>
      <c r="M2763" s="773">
        <v>0.60416666666666663</v>
      </c>
      <c r="N2763" s="373">
        <v>1</v>
      </c>
      <c r="O2763" s="184" t="s">
        <v>17</v>
      </c>
      <c r="P2763" s="375" t="s">
        <v>4725</v>
      </c>
      <c r="Q2763" s="179" t="s">
        <v>1441</v>
      </c>
      <c r="R2763" s="31" t="s">
        <v>95</v>
      </c>
      <c r="S2763" s="31" t="s">
        <v>273</v>
      </c>
      <c r="T2763" s="31" t="s">
        <v>273</v>
      </c>
      <c r="U2763" s="31">
        <f>IFERROR(VLOOKUP(CONCATENATE(Tabla1[[#This Row],[Severidad]]," ",Tabla1[[#This Row],[Complejidad]]),Catalogos!E$120:G$128,3,FALSE),"")</f>
        <v>64</v>
      </c>
      <c r="V2763" s="31" t="str">
        <f>IF(Tabla1[[#This Row],[Tiempo solución max (hrs)]]&lt;&gt;"",IF(Tabla1[[#This Row],[Tiempo solución max (hrs)]]&gt;=Tabla1[[#This Row],[Tiempo
(Hrs 00/100)]],"cumple","no cumple"),"")</f>
        <v>cumple</v>
      </c>
      <c r="W2763" s="376" t="s">
        <v>4210</v>
      </c>
      <c r="X2763" s="377" t="str">
        <f t="shared" si="215"/>
        <v>SSI</v>
      </c>
      <c r="Y2763" t="str">
        <f>SUBSTITUTE(Tabla1[[#This Row],[Descripción]],CHAR(10),"    I    ")</f>
        <v xml:space="preserve">Se creó el esqueleto de los 7 procedimientos identificados inicialmente con los parametros de entrada de los IDs de la tabla 'IMPUGNACIONES_VWM_RESOLUCIONES_ESTADISTICAS' y con su respectivo parametro de cursor para la salida </v>
      </c>
      <c r="Z2763" s="142">
        <f>VLOOKUP(Tabla1[[#This Row],[Perfil]],Catalogos!$B$75:$D$100,3,FALSE)*Tabla1[[#This Row],[Tiempo
(Hrs 00/100)]]*1.16</f>
        <v>696</v>
      </c>
    </row>
    <row r="2764" spans="1:26" ht="28.8" x14ac:dyDescent="0.3">
      <c r="A2764" s="373" t="s">
        <v>22</v>
      </c>
      <c r="B2764" s="373" t="s">
        <v>23</v>
      </c>
      <c r="C2764" s="373" t="s">
        <v>257</v>
      </c>
      <c r="D2764" s="373"/>
      <c r="E2764" s="373" t="s">
        <v>408</v>
      </c>
      <c r="F2764" s="373" t="s">
        <v>23</v>
      </c>
      <c r="G2764" s="637" t="s">
        <v>4956</v>
      </c>
      <c r="H2764" s="461" t="s">
        <v>4732</v>
      </c>
      <c r="I2764" s="178" t="s">
        <v>4732</v>
      </c>
      <c r="J2764" s="729">
        <v>45243</v>
      </c>
      <c r="K2764" s="773">
        <v>0.66666666666666663</v>
      </c>
      <c r="L2764" s="729">
        <v>45243</v>
      </c>
      <c r="M2764" s="773">
        <v>0.6875</v>
      </c>
      <c r="N2764" s="373">
        <v>0.5</v>
      </c>
      <c r="O2764" s="184" t="s">
        <v>17</v>
      </c>
      <c r="P2764" s="375" t="s">
        <v>4725</v>
      </c>
      <c r="Q2764" s="179" t="s">
        <v>1441</v>
      </c>
      <c r="R2764" s="31" t="s">
        <v>95</v>
      </c>
      <c r="S2764" s="31" t="s">
        <v>273</v>
      </c>
      <c r="T2764" s="31" t="s">
        <v>273</v>
      </c>
      <c r="U2764" s="31">
        <f>IFERROR(VLOOKUP(CONCATENATE(Tabla1[[#This Row],[Severidad]]," ",Tabla1[[#This Row],[Complejidad]]),Catalogos!E$120:G$128,3,FALSE),"")</f>
        <v>64</v>
      </c>
      <c r="V2764" s="31" t="str">
        <f>IF(Tabla1[[#This Row],[Tiempo solución max (hrs)]]&lt;&gt;"",IF(Tabla1[[#This Row],[Tiempo solución max (hrs)]]&gt;=Tabla1[[#This Row],[Tiempo
(Hrs 00/100)]],"cumple","no cumple"),"")</f>
        <v>cumple</v>
      </c>
      <c r="W2764" s="376" t="s">
        <v>4210</v>
      </c>
      <c r="X2764" s="377" t="str">
        <f t="shared" si="215"/>
        <v>SSI</v>
      </c>
      <c r="Y2764" t="str">
        <f>SUBSTITUTE(Tabla1[[#This Row],[Descripción]],CHAR(10),"    I    ")</f>
        <v xml:space="preserve">Se construyó la consulta para tratar el 1er procedimiento 'OBTENER_MEDIOREGISTRO' </v>
      </c>
      <c r="Z2764" s="142">
        <f>VLOOKUP(Tabla1[[#This Row],[Perfil]],Catalogos!$B$75:$D$100,3,FALSE)*Tabla1[[#This Row],[Tiempo
(Hrs 00/100)]]*1.16</f>
        <v>348</v>
      </c>
    </row>
    <row r="2765" spans="1:26" ht="28.8" x14ac:dyDescent="0.3">
      <c r="A2765" s="373" t="s">
        <v>22</v>
      </c>
      <c r="B2765" s="373" t="s">
        <v>23</v>
      </c>
      <c r="C2765" s="373" t="s">
        <v>257</v>
      </c>
      <c r="D2765" s="373"/>
      <c r="E2765" s="373" t="s">
        <v>408</v>
      </c>
      <c r="F2765" s="373" t="s">
        <v>75</v>
      </c>
      <c r="G2765" s="637" t="s">
        <v>4957</v>
      </c>
      <c r="H2765" s="461" t="s">
        <v>3593</v>
      </c>
      <c r="I2765" s="178" t="s">
        <v>3593</v>
      </c>
      <c r="J2765" s="729">
        <v>45243</v>
      </c>
      <c r="K2765" s="773">
        <v>0.6875</v>
      </c>
      <c r="L2765" s="729">
        <v>45243</v>
      </c>
      <c r="M2765" s="773">
        <v>0.70833333333333337</v>
      </c>
      <c r="N2765" s="373">
        <v>0.5</v>
      </c>
      <c r="O2765" s="184" t="s">
        <v>17</v>
      </c>
      <c r="P2765" s="375" t="s">
        <v>4725</v>
      </c>
      <c r="Q2765" s="179" t="s">
        <v>1441</v>
      </c>
      <c r="R2765" s="31" t="s">
        <v>95</v>
      </c>
      <c r="S2765" s="31" t="s">
        <v>273</v>
      </c>
      <c r="T2765" s="31" t="s">
        <v>273</v>
      </c>
      <c r="U2765" s="31">
        <f>IFERROR(VLOOKUP(CONCATENATE(Tabla1[[#This Row],[Severidad]]," ",Tabla1[[#This Row],[Complejidad]]),Catalogos!E$120:G$128,3,FALSE),"")</f>
        <v>64</v>
      </c>
      <c r="V2765" s="31" t="str">
        <f>IF(Tabla1[[#This Row],[Tiempo solución max (hrs)]]&lt;&gt;"",IF(Tabla1[[#This Row],[Tiempo solución max (hrs)]]&gt;=Tabla1[[#This Row],[Tiempo
(Hrs 00/100)]],"cumple","no cumple"),"")</f>
        <v>cumple</v>
      </c>
      <c r="W2765" s="376" t="s">
        <v>4210</v>
      </c>
      <c r="X2765" s="377" t="str">
        <f t="shared" si="215"/>
        <v>SSI</v>
      </c>
      <c r="Y2765" t="str">
        <f>SUBSTITUTE(Tabla1[[#This Row],[Descripción]],CHAR(10),"    I    ")</f>
        <v>Se validó que la información que retorna la consulta con los distintos parametros sea la correcta</v>
      </c>
      <c r="Z2765" s="142">
        <f>VLOOKUP(Tabla1[[#This Row],[Perfil]],Catalogos!$B$75:$D$100,3,FALSE)*Tabla1[[#This Row],[Tiempo
(Hrs 00/100)]]*1.16</f>
        <v>348</v>
      </c>
    </row>
    <row r="2766" spans="1:26" ht="43.2" x14ac:dyDescent="0.3">
      <c r="A2766" s="373" t="s">
        <v>22</v>
      </c>
      <c r="B2766" s="373" t="s">
        <v>23</v>
      </c>
      <c r="C2766" s="373" t="s">
        <v>257</v>
      </c>
      <c r="D2766" s="373"/>
      <c r="E2766" s="373" t="s">
        <v>408</v>
      </c>
      <c r="F2766" s="373" t="s">
        <v>23</v>
      </c>
      <c r="G2766" s="637" t="s">
        <v>4958</v>
      </c>
      <c r="H2766" s="461" t="s">
        <v>4733</v>
      </c>
      <c r="I2766" s="178" t="s">
        <v>4734</v>
      </c>
      <c r="J2766" s="729">
        <v>45243</v>
      </c>
      <c r="K2766" s="773">
        <v>0.70833333333333337</v>
      </c>
      <c r="L2766" s="729">
        <v>45243</v>
      </c>
      <c r="M2766" s="773">
        <v>0.77083333333333337</v>
      </c>
      <c r="N2766" s="373">
        <v>1.5</v>
      </c>
      <c r="O2766" s="184" t="s">
        <v>17</v>
      </c>
      <c r="P2766" s="375" t="s">
        <v>4725</v>
      </c>
      <c r="Q2766" s="179" t="s">
        <v>1441</v>
      </c>
      <c r="R2766" s="31" t="s">
        <v>95</v>
      </c>
      <c r="S2766" s="31" t="s">
        <v>273</v>
      </c>
      <c r="T2766" s="31" t="s">
        <v>273</v>
      </c>
      <c r="U2766" s="31">
        <f>IFERROR(VLOOKUP(CONCATENATE(Tabla1[[#This Row],[Severidad]]," ",Tabla1[[#This Row],[Complejidad]]),Catalogos!E$120:G$128,3,FALSE),"")</f>
        <v>64</v>
      </c>
      <c r="V2766" s="31" t="str">
        <f>IF(Tabla1[[#This Row],[Tiempo solución max (hrs)]]&lt;&gt;"",IF(Tabla1[[#This Row],[Tiempo solución max (hrs)]]&gt;=Tabla1[[#This Row],[Tiempo
(Hrs 00/100)]],"cumple","no cumple"),"")</f>
        <v>cumple</v>
      </c>
      <c r="W2766" s="376" t="s">
        <v>4210</v>
      </c>
      <c r="X2766" s="377" t="str">
        <f t="shared" si="215"/>
        <v>SSI</v>
      </c>
      <c r="Y2766" t="str">
        <f>SUBSTITUTE(Tabla1[[#This Row],[Descripción]],CHAR(10),"    I    ")</f>
        <v xml:space="preserve">Se trabajó en el 1er procedimiento 'OBTENER_MEDIOREGISTRO' con sus respectivas variables TAB y con su consulta previamente validada, se compila sin errores </v>
      </c>
      <c r="Z2766" s="142">
        <f>VLOOKUP(Tabla1[[#This Row],[Perfil]],Catalogos!$B$75:$D$100,3,FALSE)*Tabla1[[#This Row],[Tiempo
(Hrs 00/100)]]*1.16</f>
        <v>1044</v>
      </c>
    </row>
    <row r="2767" spans="1:26" ht="43.2" x14ac:dyDescent="0.3">
      <c r="A2767" s="373" t="s">
        <v>22</v>
      </c>
      <c r="B2767" s="373" t="s">
        <v>23</v>
      </c>
      <c r="C2767" s="373" t="s">
        <v>257</v>
      </c>
      <c r="D2767" s="373"/>
      <c r="E2767" s="373" t="s">
        <v>408</v>
      </c>
      <c r="F2767" s="373" t="s">
        <v>75</v>
      </c>
      <c r="G2767" s="637" t="s">
        <v>4959</v>
      </c>
      <c r="H2767" s="461" t="s">
        <v>4668</v>
      </c>
      <c r="I2767" s="178" t="s">
        <v>4735</v>
      </c>
      <c r="J2767" s="729">
        <v>45243</v>
      </c>
      <c r="K2767" s="773">
        <v>0.77083333333333337</v>
      </c>
      <c r="L2767" s="729">
        <v>45243</v>
      </c>
      <c r="M2767" s="773">
        <v>0.83333333333333337</v>
      </c>
      <c r="N2767" s="373">
        <v>1.5</v>
      </c>
      <c r="O2767" s="184" t="s">
        <v>17</v>
      </c>
      <c r="P2767" s="375" t="s">
        <v>4725</v>
      </c>
      <c r="Q2767" s="179" t="s">
        <v>1441</v>
      </c>
      <c r="R2767" s="31" t="s">
        <v>95</v>
      </c>
      <c r="S2767" s="31" t="s">
        <v>273</v>
      </c>
      <c r="T2767" s="31" t="s">
        <v>273</v>
      </c>
      <c r="U2767" s="31">
        <f>IFERROR(VLOOKUP(CONCATENATE(Tabla1[[#This Row],[Severidad]]," ",Tabla1[[#This Row],[Complejidad]]),Catalogos!E$120:G$128,3,FALSE),"")</f>
        <v>64</v>
      </c>
      <c r="V2767" s="31" t="str">
        <f>IF(Tabla1[[#This Row],[Tiempo solución max (hrs)]]&lt;&gt;"",IF(Tabla1[[#This Row],[Tiempo solución max (hrs)]]&gt;=Tabla1[[#This Row],[Tiempo
(Hrs 00/100)]],"cumple","no cumple"),"")</f>
        <v>cumple</v>
      </c>
      <c r="W2767" s="376" t="s">
        <v>4210</v>
      </c>
      <c r="X2767" s="377" t="str">
        <f t="shared" si="215"/>
        <v>SSI</v>
      </c>
      <c r="Y2767" t="str">
        <f>SUBSTITUTE(Tabla1[[#This Row],[Descripción]],CHAR(10),"    I    ")</f>
        <v xml:space="preserve">Se validó el paquete-procedimiento 'OBTENER_MEDIOREGISTRO' con el bloque anónimo correcto y se tuvo un resultado exitoso con la salida del cursor completo </v>
      </c>
      <c r="Z2767" s="142">
        <f>VLOOKUP(Tabla1[[#This Row],[Perfil]],Catalogos!$B$75:$D$100,3,FALSE)*Tabla1[[#This Row],[Tiempo
(Hrs 00/100)]]*1.16</f>
        <v>1044</v>
      </c>
    </row>
    <row r="2768" spans="1:26" ht="28.8" x14ac:dyDescent="0.3">
      <c r="A2768" s="373" t="s">
        <v>22</v>
      </c>
      <c r="B2768" s="373" t="s">
        <v>23</v>
      </c>
      <c r="C2768" s="373" t="s">
        <v>257</v>
      </c>
      <c r="D2768" s="373"/>
      <c r="E2768" s="373" t="s">
        <v>408</v>
      </c>
      <c r="F2768" s="373" t="s">
        <v>23</v>
      </c>
      <c r="G2768" s="637" t="s">
        <v>4960</v>
      </c>
      <c r="H2768" s="461" t="s">
        <v>4736</v>
      </c>
      <c r="I2768" s="178" t="s">
        <v>4736</v>
      </c>
      <c r="J2768" s="729">
        <v>45244</v>
      </c>
      <c r="K2768" s="773">
        <v>0.375</v>
      </c>
      <c r="L2768" s="729">
        <v>45244</v>
      </c>
      <c r="M2768" s="773">
        <v>0.4375</v>
      </c>
      <c r="N2768" s="373">
        <v>1.5</v>
      </c>
      <c r="O2768" s="184" t="s">
        <v>17</v>
      </c>
      <c r="P2768" s="375" t="s">
        <v>4725</v>
      </c>
      <c r="Q2768" s="179" t="s">
        <v>1441</v>
      </c>
      <c r="R2768" s="31" t="s">
        <v>95</v>
      </c>
      <c r="S2768" s="31" t="s">
        <v>273</v>
      </c>
      <c r="T2768" s="31" t="s">
        <v>273</v>
      </c>
      <c r="U2768" s="31">
        <f>IFERROR(VLOOKUP(CONCATENATE(Tabla1[[#This Row],[Severidad]]," ",Tabla1[[#This Row],[Complejidad]]),Catalogos!E$120:G$128,3,FALSE),"")</f>
        <v>64</v>
      </c>
      <c r="V2768" s="31" t="str">
        <f>IF(Tabla1[[#This Row],[Tiempo solución max (hrs)]]&lt;&gt;"",IF(Tabla1[[#This Row],[Tiempo solución max (hrs)]]&gt;=Tabla1[[#This Row],[Tiempo
(Hrs 00/100)]],"cumple","no cumple"),"")</f>
        <v>cumple</v>
      </c>
      <c r="W2768" s="376" t="s">
        <v>4210</v>
      </c>
      <c r="X2768" s="377" t="str">
        <f t="shared" si="215"/>
        <v>SSI</v>
      </c>
      <c r="Y2768" t="str">
        <f>SUBSTITUTE(Tabla1[[#This Row],[Descripción]],CHAR(10),"    I    ")</f>
        <v>Se construyó la consulta para tratar el 2do procedimiento 'OBTENER_MEDIONOTIFICACION'</v>
      </c>
      <c r="Z2768" s="142">
        <f>VLOOKUP(Tabla1[[#This Row],[Perfil]],Catalogos!$B$75:$D$100,3,FALSE)*Tabla1[[#This Row],[Tiempo
(Hrs 00/100)]]*1.16</f>
        <v>1044</v>
      </c>
    </row>
    <row r="2769" spans="1:26" ht="28.8" x14ac:dyDescent="0.3">
      <c r="A2769" s="373" t="s">
        <v>22</v>
      </c>
      <c r="B2769" s="373" t="s">
        <v>23</v>
      </c>
      <c r="C2769" s="373" t="s">
        <v>257</v>
      </c>
      <c r="D2769" s="373"/>
      <c r="E2769" s="373" t="s">
        <v>408</v>
      </c>
      <c r="F2769" s="373" t="s">
        <v>75</v>
      </c>
      <c r="G2769" s="637" t="s">
        <v>4961</v>
      </c>
      <c r="H2769" s="461" t="s">
        <v>3593</v>
      </c>
      <c r="I2769" s="178" t="s">
        <v>3593</v>
      </c>
      <c r="J2769" s="729">
        <v>45244</v>
      </c>
      <c r="K2769" s="773">
        <v>0.4375</v>
      </c>
      <c r="L2769" s="729">
        <v>45244</v>
      </c>
      <c r="M2769" s="773">
        <v>0.47916666666666669</v>
      </c>
      <c r="N2769" s="373">
        <v>1</v>
      </c>
      <c r="O2769" s="184" t="s">
        <v>17</v>
      </c>
      <c r="P2769" s="375" t="s">
        <v>4725</v>
      </c>
      <c r="Q2769" s="179" t="s">
        <v>1441</v>
      </c>
      <c r="R2769" s="31" t="s">
        <v>95</v>
      </c>
      <c r="S2769" s="31" t="s">
        <v>273</v>
      </c>
      <c r="T2769" s="31" t="s">
        <v>273</v>
      </c>
      <c r="U2769" s="31">
        <f>IFERROR(VLOOKUP(CONCATENATE(Tabla1[[#This Row],[Severidad]]," ",Tabla1[[#This Row],[Complejidad]]),Catalogos!E$120:G$128,3,FALSE),"")</f>
        <v>64</v>
      </c>
      <c r="V2769" s="31" t="str">
        <f>IF(Tabla1[[#This Row],[Tiempo solución max (hrs)]]&lt;&gt;"",IF(Tabla1[[#This Row],[Tiempo solución max (hrs)]]&gt;=Tabla1[[#This Row],[Tiempo
(Hrs 00/100)]],"cumple","no cumple"),"")</f>
        <v>cumple</v>
      </c>
      <c r="W2769" s="376" t="s">
        <v>4210</v>
      </c>
      <c r="X2769" s="377" t="str">
        <f t="shared" si="215"/>
        <v>SSI</v>
      </c>
      <c r="Y2769" t="str">
        <f>SUBSTITUTE(Tabla1[[#This Row],[Descripción]],CHAR(10),"    I    ")</f>
        <v>Se validó que la información que retorna la consulta con los distintos parametros sea la correcta</v>
      </c>
      <c r="Z2769" s="142">
        <f>VLOOKUP(Tabla1[[#This Row],[Perfil]],Catalogos!$B$75:$D$100,3,FALSE)*Tabla1[[#This Row],[Tiempo
(Hrs 00/100)]]*1.16</f>
        <v>696</v>
      </c>
    </row>
    <row r="2770" spans="1:26" ht="43.2" x14ac:dyDescent="0.3">
      <c r="A2770" s="373" t="s">
        <v>22</v>
      </c>
      <c r="B2770" s="373" t="s">
        <v>23</v>
      </c>
      <c r="C2770" s="373" t="s">
        <v>257</v>
      </c>
      <c r="D2770" s="373"/>
      <c r="E2770" s="373" t="s">
        <v>408</v>
      </c>
      <c r="F2770" s="373" t="s">
        <v>23</v>
      </c>
      <c r="G2770" s="637" t="s">
        <v>4962</v>
      </c>
      <c r="H2770" s="461" t="s">
        <v>4737</v>
      </c>
      <c r="I2770" s="178" t="s">
        <v>4673</v>
      </c>
      <c r="J2770" s="729">
        <v>45244</v>
      </c>
      <c r="K2770" s="773">
        <v>0.47916666666666669</v>
      </c>
      <c r="L2770" s="729">
        <v>45244</v>
      </c>
      <c r="M2770" s="773">
        <v>0.5625</v>
      </c>
      <c r="N2770" s="373">
        <v>2</v>
      </c>
      <c r="O2770" s="184" t="s">
        <v>17</v>
      </c>
      <c r="P2770" s="375" t="s">
        <v>4725</v>
      </c>
      <c r="Q2770" s="179" t="s">
        <v>1441</v>
      </c>
      <c r="R2770" s="31" t="s">
        <v>95</v>
      </c>
      <c r="S2770" s="31" t="s">
        <v>273</v>
      </c>
      <c r="T2770" s="31" t="s">
        <v>273</v>
      </c>
      <c r="U2770" s="31">
        <f>IFERROR(VLOOKUP(CONCATENATE(Tabla1[[#This Row],[Severidad]]," ",Tabla1[[#This Row],[Complejidad]]),Catalogos!E$120:G$128,3,FALSE),"")</f>
        <v>64</v>
      </c>
      <c r="V2770" s="31" t="str">
        <f>IF(Tabla1[[#This Row],[Tiempo solución max (hrs)]]&lt;&gt;"",IF(Tabla1[[#This Row],[Tiempo solución max (hrs)]]&gt;=Tabla1[[#This Row],[Tiempo
(Hrs 00/100)]],"cumple","no cumple"),"")</f>
        <v>cumple</v>
      </c>
      <c r="W2770" s="376" t="s">
        <v>4210</v>
      </c>
      <c r="X2770" s="377" t="str">
        <f t="shared" si="215"/>
        <v>SSI</v>
      </c>
      <c r="Y2770" t="str">
        <f>SUBSTITUTE(Tabla1[[#This Row],[Descripción]],CHAR(10),"    I    ")</f>
        <v>Se trabajó en el 2do procedimiento 'OBTENER_MEDIONOTIFICACION' con sus respectivas variables TAB y con su consulta previamente validada, se compila sin errores</v>
      </c>
      <c r="Z2770" s="142">
        <f>VLOOKUP(Tabla1[[#This Row],[Perfil]],Catalogos!$B$75:$D$100,3,FALSE)*Tabla1[[#This Row],[Tiempo
(Hrs 00/100)]]*1.16</f>
        <v>1392</v>
      </c>
    </row>
    <row r="2771" spans="1:26" ht="43.2" x14ac:dyDescent="0.3">
      <c r="A2771" s="373" t="s">
        <v>22</v>
      </c>
      <c r="B2771" s="373" t="s">
        <v>23</v>
      </c>
      <c r="C2771" s="373" t="s">
        <v>257</v>
      </c>
      <c r="D2771" s="373"/>
      <c r="E2771" s="373" t="s">
        <v>408</v>
      </c>
      <c r="F2771" s="373" t="s">
        <v>75</v>
      </c>
      <c r="G2771" s="637" t="s">
        <v>4963</v>
      </c>
      <c r="H2771" s="461" t="s">
        <v>4738</v>
      </c>
      <c r="I2771" s="178" t="s">
        <v>4675</v>
      </c>
      <c r="J2771" s="729">
        <v>45244</v>
      </c>
      <c r="K2771" s="773">
        <v>0.5625</v>
      </c>
      <c r="L2771" s="729">
        <v>45244</v>
      </c>
      <c r="M2771" s="773">
        <v>0.58333333333333337</v>
      </c>
      <c r="N2771" s="373">
        <v>0.5</v>
      </c>
      <c r="O2771" s="184" t="s">
        <v>17</v>
      </c>
      <c r="P2771" s="375" t="s">
        <v>4725</v>
      </c>
      <c r="Q2771" s="179" t="s">
        <v>1441</v>
      </c>
      <c r="R2771" s="31" t="s">
        <v>95</v>
      </c>
      <c r="S2771" s="31" t="s">
        <v>273</v>
      </c>
      <c r="T2771" s="31" t="s">
        <v>273</v>
      </c>
      <c r="U2771" s="31">
        <f>IFERROR(VLOOKUP(CONCATENATE(Tabla1[[#This Row],[Severidad]]," ",Tabla1[[#This Row],[Complejidad]]),Catalogos!E$120:G$128,3,FALSE),"")</f>
        <v>64</v>
      </c>
      <c r="V2771" s="31" t="str">
        <f>IF(Tabla1[[#This Row],[Tiempo solución max (hrs)]]&lt;&gt;"",IF(Tabla1[[#This Row],[Tiempo solución max (hrs)]]&gt;=Tabla1[[#This Row],[Tiempo
(Hrs 00/100)]],"cumple","no cumple"),"")</f>
        <v>cumple</v>
      </c>
      <c r="W2771" s="376" t="s">
        <v>4210</v>
      </c>
      <c r="X2771" s="377" t="str">
        <f t="shared" ref="X2771:X2790" si="216">IF(C2771&lt;&gt;"",C2771,D2771)</f>
        <v>SSI</v>
      </c>
      <c r="Y2771" t="str">
        <f>SUBSTITUTE(Tabla1[[#This Row],[Descripción]],CHAR(10),"    I    ")</f>
        <v xml:space="preserve">Se validó el paquete-procedimiento 'OBTENER_MEDIONOTIFICACION' con el bloque anónimo correcto y se tuvo un resultado exitoso con la salida del cursor completo </v>
      </c>
      <c r="Z2771" s="142">
        <f>VLOOKUP(Tabla1[[#This Row],[Perfil]],Catalogos!$B$75:$D$100,3,FALSE)*Tabla1[[#This Row],[Tiempo
(Hrs 00/100)]]*1.16</f>
        <v>348</v>
      </c>
    </row>
    <row r="2772" spans="1:26" ht="28.8" x14ac:dyDescent="0.3">
      <c r="A2772" s="373" t="s">
        <v>22</v>
      </c>
      <c r="B2772" s="373" t="s">
        <v>61</v>
      </c>
      <c r="C2772" s="373" t="s">
        <v>257</v>
      </c>
      <c r="D2772" s="373"/>
      <c r="E2772" s="373" t="s">
        <v>408</v>
      </c>
      <c r="F2772" s="373" t="s">
        <v>76</v>
      </c>
      <c r="G2772" s="637" t="s">
        <v>4964</v>
      </c>
      <c r="H2772" s="461" t="s">
        <v>3598</v>
      </c>
      <c r="I2772" s="178" t="s">
        <v>5197</v>
      </c>
      <c r="J2772" s="729">
        <v>45244</v>
      </c>
      <c r="K2772" s="773">
        <v>0.58333333333333337</v>
      </c>
      <c r="L2772" s="729">
        <v>45244</v>
      </c>
      <c r="M2772" s="773">
        <v>0.60416666666666663</v>
      </c>
      <c r="N2772" s="373">
        <v>0.5</v>
      </c>
      <c r="O2772" s="184" t="s">
        <v>17</v>
      </c>
      <c r="P2772" s="375" t="s">
        <v>4725</v>
      </c>
      <c r="Q2772" s="179" t="s">
        <v>1441</v>
      </c>
      <c r="R2772" s="31" t="s">
        <v>95</v>
      </c>
      <c r="S2772" s="31" t="s">
        <v>273</v>
      </c>
      <c r="T2772" s="31" t="s">
        <v>273</v>
      </c>
      <c r="U2772" s="31">
        <f>IFERROR(VLOOKUP(CONCATENATE(Tabla1[[#This Row],[Severidad]]," ",Tabla1[[#This Row],[Complejidad]]),Catalogos!E$120:G$128,3,FALSE),"")</f>
        <v>64</v>
      </c>
      <c r="V2772" s="31" t="str">
        <f>IF(Tabla1[[#This Row],[Tiempo solución max (hrs)]]&lt;&gt;"",IF(Tabla1[[#This Row],[Tiempo solución max (hrs)]]&gt;=Tabla1[[#This Row],[Tiempo
(Hrs 00/100)]],"cumple","no cumple"),"")</f>
        <v>cumple</v>
      </c>
      <c r="W2772" s="376" t="s">
        <v>4210</v>
      </c>
      <c r="X2772" s="377" t="str">
        <f t="shared" si="216"/>
        <v>SSI</v>
      </c>
      <c r="Y2772" t="str">
        <f>SUBSTITUTE(Tabla1[[#This Row],[Descripción]],CHAR(10),"    I    ")</f>
        <v>Se le explicó al equipo que ya esta este 2do procedimiento para que lo revisen y consuman desde el aplicativo</v>
      </c>
      <c r="Z2772" s="142">
        <f>VLOOKUP(Tabla1[[#This Row],[Perfil]],Catalogos!$B$75:$D$100,3,FALSE)*Tabla1[[#This Row],[Tiempo
(Hrs 00/100)]]*1.16</f>
        <v>348</v>
      </c>
    </row>
    <row r="2773" spans="1:26" ht="28.8" x14ac:dyDescent="0.3">
      <c r="A2773" s="373" t="s">
        <v>22</v>
      </c>
      <c r="B2773" s="373" t="s">
        <v>23</v>
      </c>
      <c r="C2773" s="373" t="s">
        <v>257</v>
      </c>
      <c r="D2773" s="373"/>
      <c r="E2773" s="373" t="s">
        <v>408</v>
      </c>
      <c r="F2773" s="373" t="s">
        <v>23</v>
      </c>
      <c r="G2773" s="637" t="s">
        <v>4965</v>
      </c>
      <c r="H2773" s="461" t="s">
        <v>4739</v>
      </c>
      <c r="I2773" s="178" t="s">
        <v>4739</v>
      </c>
      <c r="J2773" s="729">
        <v>45244</v>
      </c>
      <c r="K2773" s="773">
        <v>0.66666666666666663</v>
      </c>
      <c r="L2773" s="729">
        <v>45244</v>
      </c>
      <c r="M2773" s="773">
        <v>0.6875</v>
      </c>
      <c r="N2773" s="373">
        <v>0.5</v>
      </c>
      <c r="O2773" s="184" t="s">
        <v>17</v>
      </c>
      <c r="P2773" s="375" t="s">
        <v>4725</v>
      </c>
      <c r="Q2773" s="179" t="s">
        <v>1441</v>
      </c>
      <c r="R2773" s="31" t="s">
        <v>95</v>
      </c>
      <c r="S2773" s="31" t="s">
        <v>273</v>
      </c>
      <c r="T2773" s="31" t="s">
        <v>273</v>
      </c>
      <c r="U2773" s="31">
        <f>IFERROR(VLOOKUP(CONCATENATE(Tabla1[[#This Row],[Severidad]]," ",Tabla1[[#This Row],[Complejidad]]),Catalogos!E$120:G$128,3,FALSE),"")</f>
        <v>64</v>
      </c>
      <c r="V2773" s="31" t="str">
        <f>IF(Tabla1[[#This Row],[Tiempo solución max (hrs)]]&lt;&gt;"",IF(Tabla1[[#This Row],[Tiempo solución max (hrs)]]&gt;=Tabla1[[#This Row],[Tiempo
(Hrs 00/100)]],"cumple","no cumple"),"")</f>
        <v>cumple</v>
      </c>
      <c r="W2773" s="376" t="s">
        <v>4210</v>
      </c>
      <c r="X2773" s="377" t="str">
        <f t="shared" si="216"/>
        <v>SSI</v>
      </c>
      <c r="Y2773" t="str">
        <f>SUBSTITUTE(Tabla1[[#This Row],[Descripción]],CHAR(10),"    I    ")</f>
        <v>Se construyó la consulta para tratar el 3er procedimiento 'OBTENER_TIPOMEDIO'</v>
      </c>
      <c r="Z2773" s="142">
        <f>VLOOKUP(Tabla1[[#This Row],[Perfil]],Catalogos!$B$75:$D$100,3,FALSE)*Tabla1[[#This Row],[Tiempo
(Hrs 00/100)]]*1.16</f>
        <v>348</v>
      </c>
    </row>
    <row r="2774" spans="1:26" ht="28.8" x14ac:dyDescent="0.3">
      <c r="A2774" s="373" t="s">
        <v>22</v>
      </c>
      <c r="B2774" s="373" t="s">
        <v>23</v>
      </c>
      <c r="C2774" s="373" t="s">
        <v>257</v>
      </c>
      <c r="D2774" s="373"/>
      <c r="E2774" s="373" t="s">
        <v>408</v>
      </c>
      <c r="F2774" s="373" t="s">
        <v>75</v>
      </c>
      <c r="G2774" s="637" t="s">
        <v>4966</v>
      </c>
      <c r="H2774" s="461" t="s">
        <v>3593</v>
      </c>
      <c r="I2774" s="178" t="s">
        <v>3593</v>
      </c>
      <c r="J2774" s="729">
        <v>45244</v>
      </c>
      <c r="K2774" s="773">
        <v>0.6875</v>
      </c>
      <c r="L2774" s="729">
        <v>45244</v>
      </c>
      <c r="M2774" s="773">
        <v>0.70833333333333337</v>
      </c>
      <c r="N2774" s="373">
        <v>0.5</v>
      </c>
      <c r="O2774" s="184" t="s">
        <v>17</v>
      </c>
      <c r="P2774" s="375" t="s">
        <v>4725</v>
      </c>
      <c r="Q2774" s="179" t="s">
        <v>1441</v>
      </c>
      <c r="R2774" s="31" t="s">
        <v>95</v>
      </c>
      <c r="S2774" s="31" t="s">
        <v>273</v>
      </c>
      <c r="T2774" s="31" t="s">
        <v>273</v>
      </c>
      <c r="U2774" s="31">
        <f>IFERROR(VLOOKUP(CONCATENATE(Tabla1[[#This Row],[Severidad]]," ",Tabla1[[#This Row],[Complejidad]]),Catalogos!E$120:G$128,3,FALSE),"")</f>
        <v>64</v>
      </c>
      <c r="V2774" s="31" t="str">
        <f>IF(Tabla1[[#This Row],[Tiempo solución max (hrs)]]&lt;&gt;"",IF(Tabla1[[#This Row],[Tiempo solución max (hrs)]]&gt;=Tabla1[[#This Row],[Tiempo
(Hrs 00/100)]],"cumple","no cumple"),"")</f>
        <v>cumple</v>
      </c>
      <c r="W2774" s="376" t="s">
        <v>4210</v>
      </c>
      <c r="X2774" s="377" t="str">
        <f t="shared" si="216"/>
        <v>SSI</v>
      </c>
      <c r="Y2774" t="str">
        <f>SUBSTITUTE(Tabla1[[#This Row],[Descripción]],CHAR(10),"    I    ")</f>
        <v>Se validó que la información que retorna la consulta con los distintos parametros sea la correcta</v>
      </c>
      <c r="Z2774" s="142">
        <f>VLOOKUP(Tabla1[[#This Row],[Perfil]],Catalogos!$B$75:$D$100,3,FALSE)*Tabla1[[#This Row],[Tiempo
(Hrs 00/100)]]*1.16</f>
        <v>348</v>
      </c>
    </row>
    <row r="2775" spans="1:26" ht="43.2" x14ac:dyDescent="0.3">
      <c r="A2775" s="373" t="s">
        <v>22</v>
      </c>
      <c r="B2775" s="373" t="s">
        <v>23</v>
      </c>
      <c r="C2775" s="373" t="s">
        <v>257</v>
      </c>
      <c r="D2775" s="373"/>
      <c r="E2775" s="373" t="s">
        <v>408</v>
      </c>
      <c r="F2775" s="373" t="s">
        <v>23</v>
      </c>
      <c r="G2775" s="637" t="s">
        <v>4967</v>
      </c>
      <c r="H2775" s="461" t="s">
        <v>4740</v>
      </c>
      <c r="I2775" s="178" t="s">
        <v>4741</v>
      </c>
      <c r="J2775" s="729">
        <v>45244</v>
      </c>
      <c r="K2775" s="773">
        <v>0.70833333333333337</v>
      </c>
      <c r="L2775" s="729">
        <v>45244</v>
      </c>
      <c r="M2775" s="773">
        <v>0.77083333333333337</v>
      </c>
      <c r="N2775" s="373">
        <v>1.5</v>
      </c>
      <c r="O2775" s="184" t="s">
        <v>17</v>
      </c>
      <c r="P2775" s="375" t="s">
        <v>4725</v>
      </c>
      <c r="Q2775" s="179" t="s">
        <v>1441</v>
      </c>
      <c r="R2775" s="31" t="s">
        <v>95</v>
      </c>
      <c r="S2775" s="31" t="s">
        <v>273</v>
      </c>
      <c r="T2775" s="31" t="s">
        <v>273</v>
      </c>
      <c r="U2775" s="31">
        <f>IFERROR(VLOOKUP(CONCATENATE(Tabla1[[#This Row],[Severidad]]," ",Tabla1[[#This Row],[Complejidad]]),Catalogos!E$120:G$128,3,FALSE),"")</f>
        <v>64</v>
      </c>
      <c r="V2775" s="31" t="str">
        <f>IF(Tabla1[[#This Row],[Tiempo solución max (hrs)]]&lt;&gt;"",IF(Tabla1[[#This Row],[Tiempo solución max (hrs)]]&gt;=Tabla1[[#This Row],[Tiempo
(Hrs 00/100)]],"cumple","no cumple"),"")</f>
        <v>cumple</v>
      </c>
      <c r="W2775" s="376" t="s">
        <v>4210</v>
      </c>
      <c r="X2775" s="377" t="str">
        <f t="shared" si="216"/>
        <v>SSI</v>
      </c>
      <c r="Y2775" t="str">
        <f>SUBSTITUTE(Tabla1[[#This Row],[Descripción]],CHAR(10),"    I    ")</f>
        <v xml:space="preserve">Se trabajó en el 3er procedimiento 'OBTENER_TIPOMEDIO' con sus respectivas variables TAB y con su consulta previamente validada, se compila sin errores </v>
      </c>
      <c r="Z2775" s="142">
        <f>VLOOKUP(Tabla1[[#This Row],[Perfil]],Catalogos!$B$75:$D$100,3,FALSE)*Tabla1[[#This Row],[Tiempo
(Hrs 00/100)]]*1.16</f>
        <v>1044</v>
      </c>
    </row>
    <row r="2776" spans="1:26" ht="43.2" x14ac:dyDescent="0.3">
      <c r="A2776" s="373" t="s">
        <v>22</v>
      </c>
      <c r="B2776" s="373" t="s">
        <v>23</v>
      </c>
      <c r="C2776" s="373" t="s">
        <v>257</v>
      </c>
      <c r="D2776" s="373"/>
      <c r="E2776" s="373" t="s">
        <v>408</v>
      </c>
      <c r="F2776" s="373" t="s">
        <v>75</v>
      </c>
      <c r="G2776" s="637" t="s">
        <v>4968</v>
      </c>
      <c r="H2776" s="461" t="s">
        <v>4742</v>
      </c>
      <c r="I2776" s="178" t="s">
        <v>4743</v>
      </c>
      <c r="J2776" s="729">
        <v>45244</v>
      </c>
      <c r="K2776" s="773">
        <v>0.77083333333333337</v>
      </c>
      <c r="L2776" s="729">
        <v>45244</v>
      </c>
      <c r="M2776" s="773">
        <v>0.79166666666666663</v>
      </c>
      <c r="N2776" s="373">
        <v>0.5</v>
      </c>
      <c r="O2776" s="184" t="s">
        <v>17</v>
      </c>
      <c r="P2776" s="375" t="s">
        <v>4725</v>
      </c>
      <c r="Q2776" s="179" t="s">
        <v>1441</v>
      </c>
      <c r="R2776" s="31" t="s">
        <v>95</v>
      </c>
      <c r="S2776" s="31" t="s">
        <v>273</v>
      </c>
      <c r="T2776" s="31" t="s">
        <v>273</v>
      </c>
      <c r="U2776" s="31">
        <f>IFERROR(VLOOKUP(CONCATENATE(Tabla1[[#This Row],[Severidad]]," ",Tabla1[[#This Row],[Complejidad]]),Catalogos!E$120:G$128,3,FALSE),"")</f>
        <v>64</v>
      </c>
      <c r="V2776" s="31" t="str">
        <f>IF(Tabla1[[#This Row],[Tiempo solución max (hrs)]]&lt;&gt;"",IF(Tabla1[[#This Row],[Tiempo solución max (hrs)]]&gt;=Tabla1[[#This Row],[Tiempo
(Hrs 00/100)]],"cumple","no cumple"),"")</f>
        <v>cumple</v>
      </c>
      <c r="W2776" s="376" t="s">
        <v>4210</v>
      </c>
      <c r="X2776" s="377" t="str">
        <f t="shared" si="216"/>
        <v>SSI</v>
      </c>
      <c r="Y2776" t="str">
        <f>SUBSTITUTE(Tabla1[[#This Row],[Descripción]],CHAR(10),"    I    ")</f>
        <v>Se validó el paquete-procedimiento 'OBTENER_TIPOMEDIO' con el bloque anónimo correcto y se tuvo un resultado exitoso con la salida del cursor completo</v>
      </c>
      <c r="Z2776" s="142">
        <f>VLOOKUP(Tabla1[[#This Row],[Perfil]],Catalogos!$B$75:$D$100,3,FALSE)*Tabla1[[#This Row],[Tiempo
(Hrs 00/100)]]*1.16</f>
        <v>348</v>
      </c>
    </row>
    <row r="2777" spans="1:26" ht="28.8" x14ac:dyDescent="0.3">
      <c r="A2777" s="373" t="s">
        <v>22</v>
      </c>
      <c r="B2777" s="373" t="s">
        <v>61</v>
      </c>
      <c r="C2777" s="373" t="s">
        <v>257</v>
      </c>
      <c r="D2777" s="373"/>
      <c r="E2777" s="373" t="s">
        <v>408</v>
      </c>
      <c r="F2777" s="373" t="s">
        <v>76</v>
      </c>
      <c r="G2777" s="637" t="s">
        <v>4969</v>
      </c>
      <c r="H2777" s="461" t="s">
        <v>4744</v>
      </c>
      <c r="I2777" s="178" t="s">
        <v>5198</v>
      </c>
      <c r="J2777" s="729">
        <v>45245</v>
      </c>
      <c r="K2777" s="773">
        <v>0.375</v>
      </c>
      <c r="L2777" s="729">
        <v>45245</v>
      </c>
      <c r="M2777" s="773">
        <v>0.39583333333333331</v>
      </c>
      <c r="N2777" s="373">
        <v>0.5</v>
      </c>
      <c r="O2777" s="184" t="s">
        <v>17</v>
      </c>
      <c r="P2777" s="375" t="s">
        <v>4725</v>
      </c>
      <c r="Q2777" s="179" t="s">
        <v>1441</v>
      </c>
      <c r="R2777" s="31" t="s">
        <v>95</v>
      </c>
      <c r="S2777" s="31" t="s">
        <v>273</v>
      </c>
      <c r="T2777" s="31" t="s">
        <v>273</v>
      </c>
      <c r="U2777" s="31">
        <f>IFERROR(VLOOKUP(CONCATENATE(Tabla1[[#This Row],[Severidad]]," ",Tabla1[[#This Row],[Complejidad]]),Catalogos!E$120:G$128,3,FALSE),"")</f>
        <v>64</v>
      </c>
      <c r="V2777" s="31" t="str">
        <f>IF(Tabla1[[#This Row],[Tiempo solución max (hrs)]]&lt;&gt;"",IF(Tabla1[[#This Row],[Tiempo solución max (hrs)]]&gt;=Tabla1[[#This Row],[Tiempo
(Hrs 00/100)]],"cumple","no cumple"),"")</f>
        <v>cumple</v>
      </c>
      <c r="W2777" s="376" t="s">
        <v>4210</v>
      </c>
      <c r="X2777" s="377" t="str">
        <f t="shared" si="216"/>
        <v>SSI</v>
      </c>
      <c r="Y2777" t="str">
        <f>SUBSTITUTE(Tabla1[[#This Row],[Descripción]],CHAR(10),"    I    ")</f>
        <v xml:space="preserve">Se le explicó al equipo que ya esta esté 3er procedimiento para que lo revisen y consuman desde el aplicativo </v>
      </c>
      <c r="Z2777" s="142">
        <f>VLOOKUP(Tabla1[[#This Row],[Perfil]],Catalogos!$B$75:$D$100,3,FALSE)*Tabla1[[#This Row],[Tiempo
(Hrs 00/100)]]*1.16</f>
        <v>348</v>
      </c>
    </row>
    <row r="2778" spans="1:26" ht="28.8" x14ac:dyDescent="0.3">
      <c r="A2778" s="373" t="s">
        <v>22</v>
      </c>
      <c r="B2778" s="373" t="s">
        <v>23</v>
      </c>
      <c r="C2778" s="373" t="s">
        <v>257</v>
      </c>
      <c r="D2778" s="373"/>
      <c r="E2778" s="373" t="s">
        <v>408</v>
      </c>
      <c r="F2778" s="373" t="s">
        <v>23</v>
      </c>
      <c r="G2778" s="637" t="s">
        <v>4970</v>
      </c>
      <c r="H2778" s="461" t="s">
        <v>4745</v>
      </c>
      <c r="I2778" s="178" t="s">
        <v>4745</v>
      </c>
      <c r="J2778" s="729">
        <v>45245</v>
      </c>
      <c r="K2778" s="773">
        <v>0.39583333333333331</v>
      </c>
      <c r="L2778" s="729">
        <v>45245</v>
      </c>
      <c r="M2778" s="773">
        <v>0.4375</v>
      </c>
      <c r="N2778" s="373">
        <v>1</v>
      </c>
      <c r="O2778" s="184" t="s">
        <v>17</v>
      </c>
      <c r="P2778" s="375" t="s">
        <v>4725</v>
      </c>
      <c r="Q2778" s="179" t="s">
        <v>1441</v>
      </c>
      <c r="R2778" s="31" t="s">
        <v>95</v>
      </c>
      <c r="S2778" s="31" t="s">
        <v>273</v>
      </c>
      <c r="T2778" s="31" t="s">
        <v>273</v>
      </c>
      <c r="U2778" s="31">
        <f>IFERROR(VLOOKUP(CONCATENATE(Tabla1[[#This Row],[Severidad]]," ",Tabla1[[#This Row],[Complejidad]]),Catalogos!E$120:G$128,3,FALSE),"")</f>
        <v>64</v>
      </c>
      <c r="V2778" s="31" t="str">
        <f>IF(Tabla1[[#This Row],[Tiempo solución max (hrs)]]&lt;&gt;"",IF(Tabla1[[#This Row],[Tiempo solución max (hrs)]]&gt;=Tabla1[[#This Row],[Tiempo
(Hrs 00/100)]],"cumple","no cumple"),"")</f>
        <v>cumple</v>
      </c>
      <c r="W2778" s="376" t="s">
        <v>4210</v>
      </c>
      <c r="X2778" s="377" t="str">
        <f t="shared" si="216"/>
        <v>SSI</v>
      </c>
      <c r="Y2778" t="str">
        <f>SUBSTITUTE(Tabla1[[#This Row],[Descripción]],CHAR(10),"    I    ")</f>
        <v xml:space="preserve">Se construyó la consulta para tratar el 4to procedimiento 'OBTENER_FGTIENEINSTRUCCION' </v>
      </c>
      <c r="Z2778" s="142">
        <f>VLOOKUP(Tabla1[[#This Row],[Perfil]],Catalogos!$B$75:$D$100,3,FALSE)*Tabla1[[#This Row],[Tiempo
(Hrs 00/100)]]*1.16</f>
        <v>696</v>
      </c>
    </row>
    <row r="2779" spans="1:26" ht="28.8" x14ac:dyDescent="0.3">
      <c r="A2779" s="373" t="s">
        <v>22</v>
      </c>
      <c r="B2779" s="373" t="s">
        <v>61</v>
      </c>
      <c r="C2779" s="373" t="s">
        <v>257</v>
      </c>
      <c r="D2779" s="373"/>
      <c r="E2779" s="373" t="s">
        <v>408</v>
      </c>
      <c r="F2779" s="373" t="s">
        <v>76</v>
      </c>
      <c r="G2779" s="637" t="s">
        <v>4971</v>
      </c>
      <c r="H2779" s="461" t="s">
        <v>4660</v>
      </c>
      <c r="I2779" s="178" t="s">
        <v>4660</v>
      </c>
      <c r="J2779" s="729">
        <v>45245</v>
      </c>
      <c r="K2779" s="773">
        <v>0.4375</v>
      </c>
      <c r="L2779" s="729">
        <v>45245</v>
      </c>
      <c r="M2779" s="773">
        <v>0.45833333333333331</v>
      </c>
      <c r="N2779" s="373">
        <v>0.5</v>
      </c>
      <c r="O2779" s="184" t="s">
        <v>17</v>
      </c>
      <c r="P2779" s="375" t="s">
        <v>4725</v>
      </c>
      <c r="Q2779" s="179" t="s">
        <v>1441</v>
      </c>
      <c r="R2779" s="31" t="s">
        <v>95</v>
      </c>
      <c r="S2779" s="31" t="s">
        <v>273</v>
      </c>
      <c r="T2779" s="31" t="s">
        <v>273</v>
      </c>
      <c r="U2779" s="31">
        <f>IFERROR(VLOOKUP(CONCATENATE(Tabla1[[#This Row],[Severidad]]," ",Tabla1[[#This Row],[Complejidad]]),Catalogos!E$120:G$128,3,FALSE),"")</f>
        <v>64</v>
      </c>
      <c r="V2779" s="31" t="str">
        <f>IF(Tabla1[[#This Row],[Tiempo solución max (hrs)]]&lt;&gt;"",IF(Tabla1[[#This Row],[Tiempo solución max (hrs)]]&gt;=Tabla1[[#This Row],[Tiempo
(Hrs 00/100)]],"cumple","no cumple"),"")</f>
        <v>cumple</v>
      </c>
      <c r="W2779" s="376" t="s">
        <v>4210</v>
      </c>
      <c r="X2779" s="377" t="str">
        <f t="shared" si="216"/>
        <v>SSI</v>
      </c>
      <c r="Y2779" t="str">
        <f>SUBSTITUTE(Tabla1[[#This Row],[Descripción]],CHAR(10),"    I    ")</f>
        <v xml:space="preserve">Se validó que la información que retorna la consulta con los distintos parametros sea la correcta </v>
      </c>
      <c r="Z2779" s="142">
        <f>VLOOKUP(Tabla1[[#This Row],[Perfil]],Catalogos!$B$75:$D$100,3,FALSE)*Tabla1[[#This Row],[Tiempo
(Hrs 00/100)]]*1.16</f>
        <v>348</v>
      </c>
    </row>
    <row r="2780" spans="1:26" ht="43.2" x14ac:dyDescent="0.3">
      <c r="A2780" s="373" t="s">
        <v>22</v>
      </c>
      <c r="B2780" s="373" t="s">
        <v>23</v>
      </c>
      <c r="C2780" s="373" t="s">
        <v>257</v>
      </c>
      <c r="D2780" s="373"/>
      <c r="E2780" s="373" t="s">
        <v>408</v>
      </c>
      <c r="F2780" s="373" t="s">
        <v>23</v>
      </c>
      <c r="G2780" s="637" t="s">
        <v>4972</v>
      </c>
      <c r="H2780" s="461" t="s">
        <v>4746</v>
      </c>
      <c r="I2780" s="178" t="s">
        <v>4747</v>
      </c>
      <c r="J2780" s="729">
        <v>45245</v>
      </c>
      <c r="K2780" s="773">
        <v>0.45833333333333331</v>
      </c>
      <c r="L2780" s="729">
        <v>45245</v>
      </c>
      <c r="M2780" s="773">
        <v>0.52083333333333337</v>
      </c>
      <c r="N2780" s="373">
        <v>1.5</v>
      </c>
      <c r="O2780" s="184" t="s">
        <v>17</v>
      </c>
      <c r="P2780" s="375" t="s">
        <v>4725</v>
      </c>
      <c r="Q2780" s="179" t="s">
        <v>1441</v>
      </c>
      <c r="R2780" s="31" t="s">
        <v>95</v>
      </c>
      <c r="S2780" s="31" t="s">
        <v>273</v>
      </c>
      <c r="T2780" s="31" t="s">
        <v>273</v>
      </c>
      <c r="U2780" s="31">
        <f>IFERROR(VLOOKUP(CONCATENATE(Tabla1[[#This Row],[Severidad]]," ",Tabla1[[#This Row],[Complejidad]]),Catalogos!E$120:G$128,3,FALSE),"")</f>
        <v>64</v>
      </c>
      <c r="V2780" s="31" t="str">
        <f>IF(Tabla1[[#This Row],[Tiempo solución max (hrs)]]&lt;&gt;"",IF(Tabla1[[#This Row],[Tiempo solución max (hrs)]]&gt;=Tabla1[[#This Row],[Tiempo
(Hrs 00/100)]],"cumple","no cumple"),"")</f>
        <v>cumple</v>
      </c>
      <c r="W2780" s="376" t="s">
        <v>4210</v>
      </c>
      <c r="X2780" s="377" t="str">
        <f t="shared" si="216"/>
        <v>SSI</v>
      </c>
      <c r="Y2780" t="str">
        <f>SUBSTITUTE(Tabla1[[#This Row],[Descripción]],CHAR(10),"    I    ")</f>
        <v xml:space="preserve">Se trabajó en el 4to procedimiento 'OBTENER_FGTIENEINSTRUCCION' con sus respectivas variables TAB y con su consulta previamente validada, se compila sin errores </v>
      </c>
      <c r="Z2780" s="142">
        <f>VLOOKUP(Tabla1[[#This Row],[Perfil]],Catalogos!$B$75:$D$100,3,FALSE)*Tabla1[[#This Row],[Tiempo
(Hrs 00/100)]]*1.16</f>
        <v>1044</v>
      </c>
    </row>
    <row r="2781" spans="1:26" ht="43.2" x14ac:dyDescent="0.3">
      <c r="A2781" s="373" t="s">
        <v>22</v>
      </c>
      <c r="B2781" s="373" t="s">
        <v>23</v>
      </c>
      <c r="C2781" s="373" t="s">
        <v>257</v>
      </c>
      <c r="D2781" s="373"/>
      <c r="E2781" s="373" t="s">
        <v>408</v>
      </c>
      <c r="F2781" s="373" t="s">
        <v>75</v>
      </c>
      <c r="G2781" s="637" t="s">
        <v>4973</v>
      </c>
      <c r="H2781" s="461" t="s">
        <v>4748</v>
      </c>
      <c r="I2781" s="178" t="s">
        <v>4749</v>
      </c>
      <c r="J2781" s="729">
        <v>45245</v>
      </c>
      <c r="K2781" s="773">
        <v>0.52083333333333337</v>
      </c>
      <c r="L2781" s="729">
        <v>45245</v>
      </c>
      <c r="M2781" s="773">
        <v>0.54166666666666663</v>
      </c>
      <c r="N2781" s="373">
        <v>0.5</v>
      </c>
      <c r="O2781" s="184" t="s">
        <v>17</v>
      </c>
      <c r="P2781" s="375" t="s">
        <v>4725</v>
      </c>
      <c r="Q2781" s="179" t="s">
        <v>1441</v>
      </c>
      <c r="R2781" s="31" t="s">
        <v>95</v>
      </c>
      <c r="S2781" s="31" t="s">
        <v>273</v>
      </c>
      <c r="T2781" s="31" t="s">
        <v>273</v>
      </c>
      <c r="U2781" s="31">
        <f>IFERROR(VLOOKUP(CONCATENATE(Tabla1[[#This Row],[Severidad]]," ",Tabla1[[#This Row],[Complejidad]]),Catalogos!E$120:G$128,3,FALSE),"")</f>
        <v>64</v>
      </c>
      <c r="V2781" s="31" t="str">
        <f>IF(Tabla1[[#This Row],[Tiempo solución max (hrs)]]&lt;&gt;"",IF(Tabla1[[#This Row],[Tiempo solución max (hrs)]]&gt;=Tabla1[[#This Row],[Tiempo
(Hrs 00/100)]],"cumple","no cumple"),"")</f>
        <v>cumple</v>
      </c>
      <c r="W2781" s="376" t="s">
        <v>4210</v>
      </c>
      <c r="X2781" s="377" t="str">
        <f t="shared" si="216"/>
        <v>SSI</v>
      </c>
      <c r="Y2781" t="str">
        <f>SUBSTITUTE(Tabla1[[#This Row],[Descripción]],CHAR(10),"    I    ")</f>
        <v xml:space="preserve">Se validó el paquete-procedimiento 'OBTENER_FGTIENEINSTRUCCION' con el bloque anónimo correcto y se tuvo un resultado exitoso con la salida del cursor completo </v>
      </c>
      <c r="Z2781" s="142">
        <f>VLOOKUP(Tabla1[[#This Row],[Perfil]],Catalogos!$B$75:$D$100,3,FALSE)*Tabla1[[#This Row],[Tiempo
(Hrs 00/100)]]*1.16</f>
        <v>348</v>
      </c>
    </row>
    <row r="2782" spans="1:26" ht="28.8" x14ac:dyDescent="0.3">
      <c r="A2782" s="373" t="s">
        <v>22</v>
      </c>
      <c r="B2782" s="373" t="s">
        <v>61</v>
      </c>
      <c r="C2782" s="373" t="s">
        <v>257</v>
      </c>
      <c r="D2782" s="373"/>
      <c r="E2782" s="373" t="s">
        <v>408</v>
      </c>
      <c r="F2782" s="373" t="s">
        <v>76</v>
      </c>
      <c r="G2782" s="637" t="s">
        <v>4974</v>
      </c>
      <c r="H2782" s="461" t="s">
        <v>4689</v>
      </c>
      <c r="I2782" s="178" t="s">
        <v>5192</v>
      </c>
      <c r="J2782" s="729">
        <v>45245</v>
      </c>
      <c r="K2782" s="773">
        <v>0.54166666666666663</v>
      </c>
      <c r="L2782" s="729">
        <v>45245</v>
      </c>
      <c r="M2782" s="773">
        <v>0.5625</v>
      </c>
      <c r="N2782" s="373">
        <v>0.5</v>
      </c>
      <c r="O2782" s="184" t="s">
        <v>17</v>
      </c>
      <c r="P2782" s="375" t="s">
        <v>4725</v>
      </c>
      <c r="Q2782" s="179" t="s">
        <v>1441</v>
      </c>
      <c r="R2782" s="31" t="s">
        <v>95</v>
      </c>
      <c r="S2782" s="31" t="s">
        <v>273</v>
      </c>
      <c r="T2782" s="31" t="s">
        <v>273</v>
      </c>
      <c r="U2782" s="31">
        <f>IFERROR(VLOOKUP(CONCATENATE(Tabla1[[#This Row],[Severidad]]," ",Tabla1[[#This Row],[Complejidad]]),Catalogos!E$120:G$128,3,FALSE),"")</f>
        <v>64</v>
      </c>
      <c r="V2782" s="31" t="str">
        <f>IF(Tabla1[[#This Row],[Tiempo solución max (hrs)]]&lt;&gt;"",IF(Tabla1[[#This Row],[Tiempo solución max (hrs)]]&gt;=Tabla1[[#This Row],[Tiempo
(Hrs 00/100)]],"cumple","no cumple"),"")</f>
        <v>cumple</v>
      </c>
      <c r="W2782" s="376" t="s">
        <v>4210</v>
      </c>
      <c r="X2782" s="377" t="str">
        <f t="shared" si="216"/>
        <v>SSI</v>
      </c>
      <c r="Y2782" t="str">
        <f>SUBSTITUTE(Tabla1[[#This Row],[Descripción]],CHAR(10),"    I    ")</f>
        <v xml:space="preserve">Se le explicó al equipo que ya esta esté 4to procedimiento para que lo revisen y consuman desde el aplicativo </v>
      </c>
      <c r="Z2782" s="142">
        <f>VLOOKUP(Tabla1[[#This Row],[Perfil]],Catalogos!$B$75:$D$100,3,FALSE)*Tabla1[[#This Row],[Tiempo
(Hrs 00/100)]]*1.16</f>
        <v>348</v>
      </c>
    </row>
    <row r="2783" spans="1:26" ht="28.8" x14ac:dyDescent="0.3">
      <c r="A2783" s="373" t="s">
        <v>22</v>
      </c>
      <c r="B2783" s="373" t="s">
        <v>23</v>
      </c>
      <c r="C2783" s="373" t="s">
        <v>257</v>
      </c>
      <c r="D2783" s="373"/>
      <c r="E2783" s="373" t="s">
        <v>408</v>
      </c>
      <c r="F2783" s="373" t="s">
        <v>23</v>
      </c>
      <c r="G2783" s="637" t="s">
        <v>4975</v>
      </c>
      <c r="H2783" s="461" t="s">
        <v>4750</v>
      </c>
      <c r="I2783" s="178" t="s">
        <v>4750</v>
      </c>
      <c r="J2783" s="729">
        <v>45245</v>
      </c>
      <c r="K2783" s="773">
        <v>0.5625</v>
      </c>
      <c r="L2783" s="729">
        <v>45245</v>
      </c>
      <c r="M2783" s="773">
        <v>0.60416666666666663</v>
      </c>
      <c r="N2783" s="373">
        <v>1</v>
      </c>
      <c r="O2783" s="184" t="s">
        <v>17</v>
      </c>
      <c r="P2783" s="375" t="s">
        <v>4725</v>
      </c>
      <c r="Q2783" s="179" t="s">
        <v>1441</v>
      </c>
      <c r="R2783" s="31" t="s">
        <v>95</v>
      </c>
      <c r="S2783" s="31" t="s">
        <v>273</v>
      </c>
      <c r="T2783" s="31" t="s">
        <v>273</v>
      </c>
      <c r="U2783" s="31">
        <f>IFERROR(VLOOKUP(CONCATENATE(Tabla1[[#This Row],[Severidad]]," ",Tabla1[[#This Row],[Complejidad]]),Catalogos!E$120:G$128,3,FALSE),"")</f>
        <v>64</v>
      </c>
      <c r="V2783" s="31" t="str">
        <f>IF(Tabla1[[#This Row],[Tiempo solución max (hrs)]]&lt;&gt;"",IF(Tabla1[[#This Row],[Tiempo solución max (hrs)]]&gt;=Tabla1[[#This Row],[Tiempo
(Hrs 00/100)]],"cumple","no cumple"),"")</f>
        <v>cumple</v>
      </c>
      <c r="W2783" s="376" t="s">
        <v>4210</v>
      </c>
      <c r="X2783" s="377" t="str">
        <f t="shared" si="216"/>
        <v>SSI</v>
      </c>
      <c r="Y2783" t="str">
        <f>SUBSTITUTE(Tabla1[[#This Row],[Descripción]],CHAR(10),"    I    ")</f>
        <v xml:space="preserve">Se construyó la consulta para tratar el 5to procedimiento 'OBTENER_SENTIDORESOLUCION' </v>
      </c>
      <c r="Z2783" s="142">
        <f>VLOOKUP(Tabla1[[#This Row],[Perfil]],Catalogos!$B$75:$D$100,3,FALSE)*Tabla1[[#This Row],[Tiempo
(Hrs 00/100)]]*1.16</f>
        <v>696</v>
      </c>
    </row>
    <row r="2784" spans="1:26" ht="43.2" x14ac:dyDescent="0.3">
      <c r="A2784" s="373" t="s">
        <v>22</v>
      </c>
      <c r="B2784" s="373" t="s">
        <v>23</v>
      </c>
      <c r="C2784" s="373" t="s">
        <v>257</v>
      </c>
      <c r="D2784" s="373"/>
      <c r="E2784" s="373" t="s">
        <v>408</v>
      </c>
      <c r="F2784" s="373" t="s">
        <v>23</v>
      </c>
      <c r="G2784" s="637" t="s">
        <v>4976</v>
      </c>
      <c r="H2784" s="461" t="s">
        <v>4751</v>
      </c>
      <c r="I2784" s="178" t="s">
        <v>4752</v>
      </c>
      <c r="J2784" s="729">
        <v>45245</v>
      </c>
      <c r="K2784" s="773">
        <v>0.66666666666666663</v>
      </c>
      <c r="L2784" s="729">
        <v>45245</v>
      </c>
      <c r="M2784" s="773">
        <v>0.70833333333333337</v>
      </c>
      <c r="N2784" s="373">
        <v>1</v>
      </c>
      <c r="O2784" s="184" t="s">
        <v>17</v>
      </c>
      <c r="P2784" s="375" t="s">
        <v>4725</v>
      </c>
      <c r="Q2784" s="179" t="s">
        <v>1441</v>
      </c>
      <c r="R2784" s="31" t="s">
        <v>95</v>
      </c>
      <c r="S2784" s="31" t="s">
        <v>273</v>
      </c>
      <c r="T2784" s="31" t="s">
        <v>273</v>
      </c>
      <c r="U2784" s="31">
        <f>IFERROR(VLOOKUP(CONCATENATE(Tabla1[[#This Row],[Severidad]]," ",Tabla1[[#This Row],[Complejidad]]),Catalogos!E$120:G$128,3,FALSE),"")</f>
        <v>64</v>
      </c>
      <c r="V2784" s="31" t="str">
        <f>IF(Tabla1[[#This Row],[Tiempo solución max (hrs)]]&lt;&gt;"",IF(Tabla1[[#This Row],[Tiempo solución max (hrs)]]&gt;=Tabla1[[#This Row],[Tiempo
(Hrs 00/100)]],"cumple","no cumple"),"")</f>
        <v>cumple</v>
      </c>
      <c r="W2784" s="376" t="s">
        <v>4210</v>
      </c>
      <c r="X2784" s="377" t="str">
        <f t="shared" si="216"/>
        <v>SSI</v>
      </c>
      <c r="Y2784" t="str">
        <f>SUBSTITUTE(Tabla1[[#This Row],[Descripción]],CHAR(10),"    I    ")</f>
        <v xml:space="preserve">Se trabajó en el 5to procedimiento 'OBTENER_SENTIDORESOLUCION' con sus respectivas variables TAB y con su consulta previamente validada, se compila sin errores </v>
      </c>
      <c r="Z2784" s="142">
        <f>VLOOKUP(Tabla1[[#This Row],[Perfil]],Catalogos!$B$75:$D$100,3,FALSE)*Tabla1[[#This Row],[Tiempo
(Hrs 00/100)]]*1.16</f>
        <v>696</v>
      </c>
    </row>
    <row r="2785" spans="1:26" ht="43.2" x14ac:dyDescent="0.3">
      <c r="A2785" s="373" t="s">
        <v>22</v>
      </c>
      <c r="B2785" s="373" t="s">
        <v>23</v>
      </c>
      <c r="C2785" s="373" t="s">
        <v>257</v>
      </c>
      <c r="D2785" s="373"/>
      <c r="E2785" s="373" t="s">
        <v>408</v>
      </c>
      <c r="F2785" s="373" t="s">
        <v>75</v>
      </c>
      <c r="G2785" s="637" t="s">
        <v>4977</v>
      </c>
      <c r="H2785" s="687" t="s">
        <v>4753</v>
      </c>
      <c r="I2785" s="178" t="s">
        <v>4754</v>
      </c>
      <c r="J2785" s="729">
        <v>45245</v>
      </c>
      <c r="K2785" s="773">
        <v>0.70833333333333337</v>
      </c>
      <c r="L2785" s="729">
        <v>45245</v>
      </c>
      <c r="M2785" s="773">
        <v>0.75</v>
      </c>
      <c r="N2785" s="373">
        <v>1</v>
      </c>
      <c r="O2785" s="184" t="s">
        <v>17</v>
      </c>
      <c r="P2785" s="375" t="s">
        <v>4725</v>
      </c>
      <c r="Q2785" s="179" t="s">
        <v>1441</v>
      </c>
      <c r="R2785" s="31" t="s">
        <v>95</v>
      </c>
      <c r="S2785" s="31" t="s">
        <v>273</v>
      </c>
      <c r="T2785" s="31" t="s">
        <v>273</v>
      </c>
      <c r="U2785" s="31">
        <f>IFERROR(VLOOKUP(CONCATENATE(Tabla1[[#This Row],[Severidad]]," ",Tabla1[[#This Row],[Complejidad]]),Catalogos!E$120:G$128,3,FALSE),"")</f>
        <v>64</v>
      </c>
      <c r="V2785" s="31" t="str">
        <f>IF(Tabla1[[#This Row],[Tiempo solución max (hrs)]]&lt;&gt;"",IF(Tabla1[[#This Row],[Tiempo solución max (hrs)]]&gt;=Tabla1[[#This Row],[Tiempo
(Hrs 00/100)]],"cumple","no cumple"),"")</f>
        <v>cumple</v>
      </c>
      <c r="W2785" s="376" t="s">
        <v>4210</v>
      </c>
      <c r="X2785" s="377" t="str">
        <f t="shared" si="216"/>
        <v>SSI</v>
      </c>
      <c r="Y2785" t="str">
        <f>SUBSTITUTE(Tabla1[[#This Row],[Descripción]],CHAR(10),"    I    ")</f>
        <v xml:space="preserve">Se validó el paquete-procedimiento 'OBTENER_SENTIDORESOLUCION' con el bloque anónimo correcto y se tuvo un resultado exitoso con la salida del cursor completo </v>
      </c>
      <c r="Z2785" s="142">
        <f>VLOOKUP(Tabla1[[#This Row],[Perfil]],Catalogos!$B$75:$D$100,3,FALSE)*Tabla1[[#This Row],[Tiempo
(Hrs 00/100)]]*1.16</f>
        <v>696</v>
      </c>
    </row>
    <row r="2786" spans="1:26" ht="28.8" x14ac:dyDescent="0.3">
      <c r="A2786" s="373" t="s">
        <v>22</v>
      </c>
      <c r="B2786" s="373" t="s">
        <v>61</v>
      </c>
      <c r="C2786" s="373" t="s">
        <v>257</v>
      </c>
      <c r="D2786" s="373"/>
      <c r="E2786" s="373" t="s">
        <v>408</v>
      </c>
      <c r="F2786" s="373" t="s">
        <v>76</v>
      </c>
      <c r="G2786" s="637" t="s">
        <v>4978</v>
      </c>
      <c r="H2786" s="461" t="s">
        <v>4695</v>
      </c>
      <c r="I2786" s="178" t="s">
        <v>5199</v>
      </c>
      <c r="J2786" s="729">
        <v>45245</v>
      </c>
      <c r="K2786" s="773">
        <v>0.75</v>
      </c>
      <c r="L2786" s="729">
        <v>45245</v>
      </c>
      <c r="M2786" s="773">
        <v>0.77083333333333337</v>
      </c>
      <c r="N2786" s="373">
        <v>0.5</v>
      </c>
      <c r="O2786" s="184" t="s">
        <v>17</v>
      </c>
      <c r="P2786" s="375" t="s">
        <v>4725</v>
      </c>
      <c r="Q2786" s="179" t="s">
        <v>1441</v>
      </c>
      <c r="R2786" s="31" t="s">
        <v>95</v>
      </c>
      <c r="S2786" s="31" t="s">
        <v>273</v>
      </c>
      <c r="T2786" s="31" t="s">
        <v>273</v>
      </c>
      <c r="U2786" s="31">
        <f>IFERROR(VLOOKUP(CONCATENATE(Tabla1[[#This Row],[Severidad]]," ",Tabla1[[#This Row],[Complejidad]]),Catalogos!E$120:G$128,3,FALSE),"")</f>
        <v>64</v>
      </c>
      <c r="V2786" s="31" t="str">
        <f>IF(Tabla1[[#This Row],[Tiempo solución max (hrs)]]&lt;&gt;"",IF(Tabla1[[#This Row],[Tiempo solución max (hrs)]]&gt;=Tabla1[[#This Row],[Tiempo
(Hrs 00/100)]],"cumple","no cumple"),"")</f>
        <v>cumple</v>
      </c>
      <c r="W2786" s="376" t="s">
        <v>4210</v>
      </c>
      <c r="X2786" s="377" t="str">
        <f t="shared" si="216"/>
        <v>SSI</v>
      </c>
      <c r="Y2786" t="str">
        <f>SUBSTITUTE(Tabla1[[#This Row],[Descripción]],CHAR(10),"    I    ")</f>
        <v xml:space="preserve">Se le explicó al equipo que ya esta esté 5to procedimiento para que lo revisen y consuman desde el aplicativo </v>
      </c>
      <c r="Z2786" s="142">
        <f>VLOOKUP(Tabla1[[#This Row],[Perfil]],Catalogos!$B$75:$D$100,3,FALSE)*Tabla1[[#This Row],[Tiempo
(Hrs 00/100)]]*1.16</f>
        <v>348</v>
      </c>
    </row>
    <row r="2787" spans="1:26" ht="28.8" x14ac:dyDescent="0.3">
      <c r="A2787" s="373" t="s">
        <v>22</v>
      </c>
      <c r="B2787" s="373" t="s">
        <v>23</v>
      </c>
      <c r="C2787" s="373" t="s">
        <v>257</v>
      </c>
      <c r="D2787" s="373"/>
      <c r="E2787" s="373" t="s">
        <v>408</v>
      </c>
      <c r="F2787" s="373" t="s">
        <v>23</v>
      </c>
      <c r="G2787" s="637" t="s">
        <v>4979</v>
      </c>
      <c r="H2787" s="461" t="s">
        <v>4755</v>
      </c>
      <c r="I2787" s="178" t="s">
        <v>4755</v>
      </c>
      <c r="J2787" s="729">
        <v>45245</v>
      </c>
      <c r="K2787" s="773">
        <v>0.77083333333333337</v>
      </c>
      <c r="L2787" s="729">
        <v>45245</v>
      </c>
      <c r="M2787" s="773">
        <v>0.83333333333333337</v>
      </c>
      <c r="N2787" s="373">
        <v>1.5</v>
      </c>
      <c r="O2787" s="184" t="s">
        <v>17</v>
      </c>
      <c r="P2787" s="375" t="s">
        <v>4725</v>
      </c>
      <c r="Q2787" s="179" t="s">
        <v>1441</v>
      </c>
      <c r="R2787" s="31" t="s">
        <v>95</v>
      </c>
      <c r="S2787" s="31" t="s">
        <v>273</v>
      </c>
      <c r="T2787" s="31" t="s">
        <v>273</v>
      </c>
      <c r="U2787" s="31">
        <f>IFERROR(VLOOKUP(CONCATENATE(Tabla1[[#This Row],[Severidad]]," ",Tabla1[[#This Row],[Complejidad]]),Catalogos!E$120:G$128,3,FALSE),"")</f>
        <v>64</v>
      </c>
      <c r="V2787" s="31" t="str">
        <f>IF(Tabla1[[#This Row],[Tiempo solución max (hrs)]]&lt;&gt;"",IF(Tabla1[[#This Row],[Tiempo solución max (hrs)]]&gt;=Tabla1[[#This Row],[Tiempo
(Hrs 00/100)]],"cumple","no cumple"),"")</f>
        <v>cumple</v>
      </c>
      <c r="W2787" s="376" t="s">
        <v>4210</v>
      </c>
      <c r="X2787" s="377" t="str">
        <f t="shared" si="216"/>
        <v>SSI</v>
      </c>
      <c r="Y2787" t="str">
        <f>SUBSTITUTE(Tabla1[[#This Row],[Descripción]],CHAR(10),"    I    ")</f>
        <v xml:space="preserve">Se construyó la consulta para tratar el 6to procedimiento 'OBTENER_FECHANOTIFICACIONRESOLUCION' </v>
      </c>
      <c r="Z2787" s="142">
        <f>VLOOKUP(Tabla1[[#This Row],[Perfil]],Catalogos!$B$75:$D$100,3,FALSE)*Tabla1[[#This Row],[Tiempo
(Hrs 00/100)]]*1.16</f>
        <v>1044</v>
      </c>
    </row>
    <row r="2788" spans="1:26" ht="28.8" x14ac:dyDescent="0.3">
      <c r="A2788" s="373" t="s">
        <v>22</v>
      </c>
      <c r="B2788" s="373" t="s">
        <v>23</v>
      </c>
      <c r="C2788" s="373" t="s">
        <v>257</v>
      </c>
      <c r="D2788" s="373"/>
      <c r="E2788" s="373" t="s">
        <v>408</v>
      </c>
      <c r="F2788" s="373" t="s">
        <v>75</v>
      </c>
      <c r="G2788" s="637" t="s">
        <v>4980</v>
      </c>
      <c r="H2788" s="461" t="s">
        <v>3593</v>
      </c>
      <c r="I2788" s="178" t="s">
        <v>3593</v>
      </c>
      <c r="J2788" s="729">
        <v>45246</v>
      </c>
      <c r="K2788" s="773">
        <v>0.375</v>
      </c>
      <c r="L2788" s="729">
        <v>45246</v>
      </c>
      <c r="M2788" s="773">
        <v>0.39583333333333331</v>
      </c>
      <c r="N2788" s="373">
        <v>0.5</v>
      </c>
      <c r="O2788" s="184" t="s">
        <v>17</v>
      </c>
      <c r="P2788" s="375" t="s">
        <v>4725</v>
      </c>
      <c r="Q2788" s="179" t="s">
        <v>1441</v>
      </c>
      <c r="R2788" s="31" t="s">
        <v>95</v>
      </c>
      <c r="S2788" s="31" t="s">
        <v>273</v>
      </c>
      <c r="T2788" s="31" t="s">
        <v>273</v>
      </c>
      <c r="U2788" s="31">
        <f>IFERROR(VLOOKUP(CONCATENATE(Tabla1[[#This Row],[Severidad]]," ",Tabla1[[#This Row],[Complejidad]]),Catalogos!E$120:G$128,3,FALSE),"")</f>
        <v>64</v>
      </c>
      <c r="V2788" s="31" t="str">
        <f>IF(Tabla1[[#This Row],[Tiempo solución max (hrs)]]&lt;&gt;"",IF(Tabla1[[#This Row],[Tiempo solución max (hrs)]]&gt;=Tabla1[[#This Row],[Tiempo
(Hrs 00/100)]],"cumple","no cumple"),"")</f>
        <v>cumple</v>
      </c>
      <c r="W2788" s="376" t="s">
        <v>4210</v>
      </c>
      <c r="X2788" s="377" t="str">
        <f t="shared" si="216"/>
        <v>SSI</v>
      </c>
      <c r="Y2788" t="str">
        <f>SUBSTITUTE(Tabla1[[#This Row],[Descripción]],CHAR(10),"    I    ")</f>
        <v>Se validó que la información que retorna la consulta con los distintos parametros sea la correcta</v>
      </c>
      <c r="Z2788" s="142">
        <f>VLOOKUP(Tabla1[[#This Row],[Perfil]],Catalogos!$B$75:$D$100,3,FALSE)*Tabla1[[#This Row],[Tiempo
(Hrs 00/100)]]*1.16</f>
        <v>348</v>
      </c>
    </row>
    <row r="2789" spans="1:26" ht="57.6" x14ac:dyDescent="0.3">
      <c r="A2789" s="373" t="s">
        <v>22</v>
      </c>
      <c r="B2789" s="373" t="s">
        <v>23</v>
      </c>
      <c r="C2789" s="373" t="s">
        <v>257</v>
      </c>
      <c r="D2789" s="373"/>
      <c r="E2789" s="373" t="s">
        <v>408</v>
      </c>
      <c r="F2789" s="373" t="s">
        <v>23</v>
      </c>
      <c r="G2789" s="637" t="s">
        <v>4981</v>
      </c>
      <c r="H2789" s="461" t="s">
        <v>4756</v>
      </c>
      <c r="I2789" s="178" t="s">
        <v>4757</v>
      </c>
      <c r="J2789" s="729">
        <v>45246</v>
      </c>
      <c r="K2789" s="773">
        <v>0.39583333333333331</v>
      </c>
      <c r="L2789" s="729">
        <v>45246</v>
      </c>
      <c r="M2789" s="773">
        <v>0.45833333333333331</v>
      </c>
      <c r="N2789" s="373">
        <v>1.5</v>
      </c>
      <c r="O2789" s="184" t="s">
        <v>17</v>
      </c>
      <c r="P2789" s="375" t="s">
        <v>4725</v>
      </c>
      <c r="Q2789" s="179" t="s">
        <v>1441</v>
      </c>
      <c r="R2789" s="31" t="s">
        <v>95</v>
      </c>
      <c r="S2789" s="31" t="s">
        <v>273</v>
      </c>
      <c r="T2789" s="31" t="s">
        <v>273</v>
      </c>
      <c r="U2789" s="31">
        <f>IFERROR(VLOOKUP(CONCATENATE(Tabla1[[#This Row],[Severidad]]," ",Tabla1[[#This Row],[Complejidad]]),Catalogos!E$120:G$128,3,FALSE),"")</f>
        <v>64</v>
      </c>
      <c r="V2789" s="31" t="str">
        <f>IF(Tabla1[[#This Row],[Tiempo solución max (hrs)]]&lt;&gt;"",IF(Tabla1[[#This Row],[Tiempo solución max (hrs)]]&gt;=Tabla1[[#This Row],[Tiempo
(Hrs 00/100)]],"cumple","no cumple"),"")</f>
        <v>cumple</v>
      </c>
      <c r="W2789" s="376" t="s">
        <v>4210</v>
      </c>
      <c r="X2789" s="377" t="str">
        <f t="shared" si="216"/>
        <v>SSI</v>
      </c>
      <c r="Y2789" t="str">
        <f>SUBSTITUTE(Tabla1[[#This Row],[Descripción]],CHAR(10),"    I    ")</f>
        <v>Se trabajó en el 6to procedimiento 'OBTENER_FECHANOTIFICACIONRESOLUCION' con sus respectivas variables TAB y con su consulta previamente validada, se compila sin errores</v>
      </c>
      <c r="Z2789" s="142">
        <f>VLOOKUP(Tabla1[[#This Row],[Perfil]],Catalogos!$B$75:$D$100,3,FALSE)*Tabla1[[#This Row],[Tiempo
(Hrs 00/100)]]*1.16</f>
        <v>1044</v>
      </c>
    </row>
    <row r="2790" spans="1:26" ht="55.2" x14ac:dyDescent="0.3">
      <c r="A2790" s="373" t="s">
        <v>22</v>
      </c>
      <c r="B2790" s="373" t="s">
        <v>23</v>
      </c>
      <c r="C2790" s="373" t="s">
        <v>257</v>
      </c>
      <c r="D2790" s="373"/>
      <c r="E2790" s="373" t="s">
        <v>408</v>
      </c>
      <c r="F2790" s="373" t="s">
        <v>75</v>
      </c>
      <c r="G2790" s="637" t="s">
        <v>4982</v>
      </c>
      <c r="H2790" s="461" t="s">
        <v>4758</v>
      </c>
      <c r="I2790" s="178" t="s">
        <v>4758</v>
      </c>
      <c r="J2790" s="729">
        <v>45246</v>
      </c>
      <c r="K2790" s="773">
        <v>0.45833333333333331</v>
      </c>
      <c r="L2790" s="729">
        <v>45246</v>
      </c>
      <c r="M2790" s="773">
        <v>0.47916666666666669</v>
      </c>
      <c r="N2790" s="373">
        <v>0.5</v>
      </c>
      <c r="O2790" s="184" t="s">
        <v>17</v>
      </c>
      <c r="P2790" s="375" t="s">
        <v>4725</v>
      </c>
      <c r="Q2790" s="179" t="s">
        <v>1441</v>
      </c>
      <c r="R2790" s="31" t="s">
        <v>95</v>
      </c>
      <c r="S2790" s="31" t="s">
        <v>273</v>
      </c>
      <c r="T2790" s="31" t="s">
        <v>273</v>
      </c>
      <c r="U2790" s="31">
        <f>IFERROR(VLOOKUP(CONCATENATE(Tabla1[[#This Row],[Severidad]]," ",Tabla1[[#This Row],[Complejidad]]),Catalogos!E$120:G$128,3,FALSE),"")</f>
        <v>64</v>
      </c>
      <c r="V2790" s="31" t="str">
        <f>IF(Tabla1[[#This Row],[Tiempo solución max (hrs)]]&lt;&gt;"",IF(Tabla1[[#This Row],[Tiempo solución max (hrs)]]&gt;=Tabla1[[#This Row],[Tiempo
(Hrs 00/100)]],"cumple","no cumple"),"")</f>
        <v>cumple</v>
      </c>
      <c r="W2790" s="376" t="s">
        <v>4210</v>
      </c>
      <c r="X2790" s="377" t="str">
        <f t="shared" si="216"/>
        <v>SSI</v>
      </c>
      <c r="Y2790" t="str">
        <f>SUBSTITUTE(Tabla1[[#This Row],[Descripción]],CHAR(10),"    I    ")</f>
        <v xml:space="preserve">Se validó el paquete-procedimiento 'OBTENER_FECHANOTIFICACIONRESOLUCION' con el bloque anónimo correcto y se tuvo un resultado exitoso con la salida del cursor completo </v>
      </c>
      <c r="Z2790" s="142">
        <f>VLOOKUP(Tabla1[[#This Row],[Perfil]],Catalogos!$B$75:$D$100,3,FALSE)*Tabla1[[#This Row],[Tiempo
(Hrs 00/100)]]*1.16</f>
        <v>348</v>
      </c>
    </row>
    <row r="2791" spans="1:26" ht="28.8" x14ac:dyDescent="0.3">
      <c r="A2791" s="373" t="s">
        <v>22</v>
      </c>
      <c r="B2791" s="373" t="s">
        <v>61</v>
      </c>
      <c r="C2791" s="373" t="s">
        <v>257</v>
      </c>
      <c r="D2791" s="373"/>
      <c r="E2791" s="373" t="s">
        <v>408</v>
      </c>
      <c r="F2791" s="373" t="s">
        <v>76</v>
      </c>
      <c r="G2791" s="637" t="s">
        <v>4983</v>
      </c>
      <c r="H2791" s="461" t="s">
        <v>4701</v>
      </c>
      <c r="I2791" s="178" t="s">
        <v>5200</v>
      </c>
      <c r="J2791" s="729">
        <v>45246</v>
      </c>
      <c r="K2791" s="773">
        <v>0.47916666666666669</v>
      </c>
      <c r="L2791" s="729">
        <v>45246</v>
      </c>
      <c r="M2791" s="773">
        <v>0.5</v>
      </c>
      <c r="N2791" s="373">
        <v>0.5</v>
      </c>
      <c r="O2791" s="184" t="s">
        <v>17</v>
      </c>
      <c r="P2791" s="375" t="s">
        <v>4725</v>
      </c>
      <c r="Q2791" s="179" t="s">
        <v>1441</v>
      </c>
      <c r="R2791" s="31" t="s">
        <v>95</v>
      </c>
      <c r="S2791" s="31" t="s">
        <v>273</v>
      </c>
      <c r="T2791" s="31" t="s">
        <v>273</v>
      </c>
      <c r="U2791" s="31">
        <f>IFERROR(VLOOKUP(CONCATENATE(Tabla1[[#This Row],[Severidad]]," ",Tabla1[[#This Row],[Complejidad]]),Catalogos!E$120:G$128,3,FALSE),"")</f>
        <v>64</v>
      </c>
      <c r="V2791" s="31" t="str">
        <f>IF(Tabla1[[#This Row],[Tiempo solución max (hrs)]]&lt;&gt;"",IF(Tabla1[[#This Row],[Tiempo solución max (hrs)]]&gt;=Tabla1[[#This Row],[Tiempo
(Hrs 00/100)]],"cumple","no cumple"),"")</f>
        <v>cumple</v>
      </c>
      <c r="W2791" s="376" t="s">
        <v>4210</v>
      </c>
      <c r="X2791" s="377" t="str">
        <f t="shared" ref="X2791:X2823" si="217">IF(C2791&lt;&gt;"",C2791,D2791)</f>
        <v>SSI</v>
      </c>
      <c r="Y2791" t="str">
        <f>SUBSTITUTE(Tabla1[[#This Row],[Descripción]],CHAR(10),"    I    ")</f>
        <v xml:space="preserve">Se le explicó al equipo que ya esta esté 6to procedimiento para que lo revisen y consuman desde el aplicativo </v>
      </c>
      <c r="Z2791" s="142">
        <f>VLOOKUP(Tabla1[[#This Row],[Perfil]],Catalogos!$B$75:$D$100,3,FALSE)*Tabla1[[#This Row],[Tiempo
(Hrs 00/100)]]*1.16</f>
        <v>348</v>
      </c>
    </row>
    <row r="2792" spans="1:26" ht="28.8" x14ac:dyDescent="0.3">
      <c r="A2792" s="373" t="s">
        <v>22</v>
      </c>
      <c r="B2792" s="373" t="s">
        <v>305</v>
      </c>
      <c r="C2792" s="373" t="s">
        <v>257</v>
      </c>
      <c r="D2792" s="373"/>
      <c r="E2792" s="373" t="s">
        <v>408</v>
      </c>
      <c r="F2792" s="373" t="s">
        <v>72</v>
      </c>
      <c r="G2792" s="637" t="s">
        <v>4984</v>
      </c>
      <c r="H2792" s="461" t="s">
        <v>4759</v>
      </c>
      <c r="I2792" s="178" t="s">
        <v>4759</v>
      </c>
      <c r="J2792" s="729">
        <v>45246</v>
      </c>
      <c r="K2792" s="773">
        <v>0.5</v>
      </c>
      <c r="L2792" s="729">
        <v>45246</v>
      </c>
      <c r="M2792" s="773">
        <v>0.54166666666666663</v>
      </c>
      <c r="N2792" s="373">
        <v>1</v>
      </c>
      <c r="O2792" s="184" t="s">
        <v>17</v>
      </c>
      <c r="P2792" s="375" t="s">
        <v>4725</v>
      </c>
      <c r="Q2792" s="179" t="s">
        <v>1441</v>
      </c>
      <c r="R2792" s="31" t="s">
        <v>95</v>
      </c>
      <c r="S2792" s="31" t="s">
        <v>273</v>
      </c>
      <c r="T2792" s="31" t="s">
        <v>273</v>
      </c>
      <c r="U2792" s="31">
        <f>IFERROR(VLOOKUP(CONCATENATE(Tabla1[[#This Row],[Severidad]]," ",Tabla1[[#This Row],[Complejidad]]),Catalogos!E$120:G$128,3,FALSE),"")</f>
        <v>64</v>
      </c>
      <c r="V2792" s="31" t="str">
        <f>IF(Tabla1[[#This Row],[Tiempo solución max (hrs)]]&lt;&gt;"",IF(Tabla1[[#This Row],[Tiempo solución max (hrs)]]&gt;=Tabla1[[#This Row],[Tiempo
(Hrs 00/100)]],"cumple","no cumple"),"")</f>
        <v>cumple</v>
      </c>
      <c r="W2792" s="376" t="s">
        <v>4210</v>
      </c>
      <c r="X2792" s="377" t="str">
        <f t="shared" si="217"/>
        <v>SSI</v>
      </c>
      <c r="Y2792" t="str">
        <f>SUBSTITUTE(Tabla1[[#This Row],[Descripción]],CHAR(10),"    I    ")</f>
        <v xml:space="preserve">Se comentó que se tienen que agrerar 2 nuevos procedimientos en los paquetes de Solicitudes y Quejas </v>
      </c>
      <c r="Z2792" s="142">
        <f>VLOOKUP(Tabla1[[#This Row],[Perfil]],Catalogos!$B$75:$D$100,3,FALSE)*Tabla1[[#This Row],[Tiempo
(Hrs 00/100)]]*1.16</f>
        <v>696</v>
      </c>
    </row>
    <row r="2793" spans="1:26" ht="28.8" x14ac:dyDescent="0.3">
      <c r="A2793" s="373" t="s">
        <v>22</v>
      </c>
      <c r="B2793" s="373" t="s">
        <v>23</v>
      </c>
      <c r="C2793" s="373" t="s">
        <v>257</v>
      </c>
      <c r="D2793" s="373"/>
      <c r="E2793" s="373" t="s">
        <v>408</v>
      </c>
      <c r="F2793" s="373" t="s">
        <v>23</v>
      </c>
      <c r="G2793" s="637" t="s">
        <v>4985</v>
      </c>
      <c r="H2793" s="461" t="s">
        <v>4760</v>
      </c>
      <c r="I2793" s="178" t="s">
        <v>4760</v>
      </c>
      <c r="J2793" s="729">
        <v>45246</v>
      </c>
      <c r="K2793" s="773">
        <v>0.54166666666666663</v>
      </c>
      <c r="L2793" s="729">
        <v>45246</v>
      </c>
      <c r="M2793" s="773">
        <v>0.60416666666666663</v>
      </c>
      <c r="N2793" s="373">
        <v>1.5</v>
      </c>
      <c r="O2793" s="184" t="s">
        <v>17</v>
      </c>
      <c r="P2793" s="375" t="s">
        <v>4725</v>
      </c>
      <c r="Q2793" s="179" t="s">
        <v>1441</v>
      </c>
      <c r="R2793" s="31" t="s">
        <v>95</v>
      </c>
      <c r="S2793" s="31" t="s">
        <v>273</v>
      </c>
      <c r="T2793" s="31" t="s">
        <v>273</v>
      </c>
      <c r="U2793" s="31">
        <f>IFERROR(VLOOKUP(CONCATENATE(Tabla1[[#This Row],[Severidad]]," ",Tabla1[[#This Row],[Complejidad]]),Catalogos!E$120:G$128,3,FALSE),"")</f>
        <v>64</v>
      </c>
      <c r="V2793" s="31" t="str">
        <f>IF(Tabla1[[#This Row],[Tiempo solución max (hrs)]]&lt;&gt;"",IF(Tabla1[[#This Row],[Tiempo solución max (hrs)]]&gt;=Tabla1[[#This Row],[Tiempo
(Hrs 00/100)]],"cumple","no cumple"),"")</f>
        <v>cumple</v>
      </c>
      <c r="W2793" s="376" t="s">
        <v>4210</v>
      </c>
      <c r="X2793" s="377" t="str">
        <f t="shared" si="217"/>
        <v>SSI</v>
      </c>
      <c r="Y2793" t="str">
        <f>SUBSTITUTE(Tabla1[[#This Row],[Descripción]],CHAR(10),"    I    ")</f>
        <v xml:space="preserve">Se construyó la consulta para tratar el 13vo procedimiento 'OBTENER_FG_QUEJA' de SOLICITUDES </v>
      </c>
      <c r="Z2793" s="142">
        <f>VLOOKUP(Tabla1[[#This Row],[Perfil]],Catalogos!$B$75:$D$100,3,FALSE)*Tabla1[[#This Row],[Tiempo
(Hrs 00/100)]]*1.16</f>
        <v>1044</v>
      </c>
    </row>
    <row r="2794" spans="1:26" ht="28.8" x14ac:dyDescent="0.3">
      <c r="A2794" s="373" t="s">
        <v>22</v>
      </c>
      <c r="B2794" s="373" t="s">
        <v>23</v>
      </c>
      <c r="C2794" s="373" t="s">
        <v>257</v>
      </c>
      <c r="D2794" s="373"/>
      <c r="E2794" s="373" t="s">
        <v>408</v>
      </c>
      <c r="F2794" s="373" t="s">
        <v>75</v>
      </c>
      <c r="G2794" s="637" t="s">
        <v>4986</v>
      </c>
      <c r="H2794" s="461" t="s">
        <v>4660</v>
      </c>
      <c r="I2794" s="178" t="s">
        <v>4660</v>
      </c>
      <c r="J2794" s="729">
        <v>45246</v>
      </c>
      <c r="K2794" s="773">
        <v>0.66666666666666663</v>
      </c>
      <c r="L2794" s="729">
        <v>45246</v>
      </c>
      <c r="M2794" s="773">
        <v>0.6875</v>
      </c>
      <c r="N2794" s="373">
        <v>0.5</v>
      </c>
      <c r="O2794" s="184" t="s">
        <v>17</v>
      </c>
      <c r="P2794" s="375" t="s">
        <v>4725</v>
      </c>
      <c r="Q2794" s="179" t="s">
        <v>1441</v>
      </c>
      <c r="R2794" s="31" t="s">
        <v>95</v>
      </c>
      <c r="S2794" s="31" t="s">
        <v>273</v>
      </c>
      <c r="T2794" s="31" t="s">
        <v>273</v>
      </c>
      <c r="U2794" s="31">
        <f>IFERROR(VLOOKUP(CONCATENATE(Tabla1[[#This Row],[Severidad]]," ",Tabla1[[#This Row],[Complejidad]]),Catalogos!E$120:G$128,3,FALSE),"")</f>
        <v>64</v>
      </c>
      <c r="V2794" s="31" t="str">
        <f>IF(Tabla1[[#This Row],[Tiempo solución max (hrs)]]&lt;&gt;"",IF(Tabla1[[#This Row],[Tiempo solución max (hrs)]]&gt;=Tabla1[[#This Row],[Tiempo
(Hrs 00/100)]],"cumple","no cumple"),"")</f>
        <v>cumple</v>
      </c>
      <c r="W2794" s="376" t="s">
        <v>4210</v>
      </c>
      <c r="X2794" s="377" t="str">
        <f t="shared" si="217"/>
        <v>SSI</v>
      </c>
      <c r="Y2794" t="str">
        <f>SUBSTITUTE(Tabla1[[#This Row],[Descripción]],CHAR(10),"    I    ")</f>
        <v xml:space="preserve">Se validó que la información que retorna la consulta con los distintos parametros sea la correcta </v>
      </c>
      <c r="Z2794" s="142">
        <f>VLOOKUP(Tabla1[[#This Row],[Perfil]],Catalogos!$B$75:$D$100,3,FALSE)*Tabla1[[#This Row],[Tiempo
(Hrs 00/100)]]*1.16</f>
        <v>348</v>
      </c>
    </row>
    <row r="2795" spans="1:26" ht="43.2" x14ac:dyDescent="0.3">
      <c r="A2795" s="373" t="s">
        <v>22</v>
      </c>
      <c r="B2795" s="373" t="s">
        <v>23</v>
      </c>
      <c r="C2795" s="373" t="s">
        <v>257</v>
      </c>
      <c r="D2795" s="373"/>
      <c r="E2795" s="373" t="s">
        <v>408</v>
      </c>
      <c r="F2795" s="373" t="s">
        <v>23</v>
      </c>
      <c r="G2795" s="637" t="s">
        <v>4987</v>
      </c>
      <c r="H2795" s="461" t="s">
        <v>4761</v>
      </c>
      <c r="I2795" s="178" t="s">
        <v>4762</v>
      </c>
      <c r="J2795" s="729">
        <v>45246</v>
      </c>
      <c r="K2795" s="773">
        <v>0.6875</v>
      </c>
      <c r="L2795" s="729">
        <v>45246</v>
      </c>
      <c r="M2795" s="773">
        <v>0.75</v>
      </c>
      <c r="N2795" s="373">
        <v>1.5</v>
      </c>
      <c r="O2795" s="184" t="s">
        <v>17</v>
      </c>
      <c r="P2795" s="375" t="s">
        <v>4725</v>
      </c>
      <c r="Q2795" s="179" t="s">
        <v>1441</v>
      </c>
      <c r="R2795" s="31" t="s">
        <v>95</v>
      </c>
      <c r="S2795" s="31" t="s">
        <v>273</v>
      </c>
      <c r="T2795" s="31" t="s">
        <v>273</v>
      </c>
      <c r="U2795" s="31">
        <f>IFERROR(VLOOKUP(CONCATENATE(Tabla1[[#This Row],[Severidad]]," ",Tabla1[[#This Row],[Complejidad]]),Catalogos!E$120:G$128,3,FALSE),"")</f>
        <v>64</v>
      </c>
      <c r="V2795" s="31" t="str">
        <f>IF(Tabla1[[#This Row],[Tiempo solución max (hrs)]]&lt;&gt;"",IF(Tabla1[[#This Row],[Tiempo solución max (hrs)]]&gt;=Tabla1[[#This Row],[Tiempo
(Hrs 00/100)]],"cumple","no cumple"),"")</f>
        <v>cumple</v>
      </c>
      <c r="W2795" s="376" t="s">
        <v>4210</v>
      </c>
      <c r="X2795" s="377" t="str">
        <f t="shared" si="217"/>
        <v>SSI</v>
      </c>
      <c r="Y2795" t="str">
        <f>SUBSTITUTE(Tabla1[[#This Row],[Descripción]],CHAR(10),"    I    ")</f>
        <v>Se trabajó en el 13vo procedimiento 'OBTENER_FG_QUEJA' con sus respectivas variables TAB y con su consulta previamente validada, se compila sin errores</v>
      </c>
      <c r="Z2795" s="142">
        <f>VLOOKUP(Tabla1[[#This Row],[Perfil]],Catalogos!$B$75:$D$100,3,FALSE)*Tabla1[[#This Row],[Tiempo
(Hrs 00/100)]]*1.16</f>
        <v>1044</v>
      </c>
    </row>
    <row r="2796" spans="1:26" ht="43.2" x14ac:dyDescent="0.3">
      <c r="A2796" s="373" t="s">
        <v>22</v>
      </c>
      <c r="B2796" s="373" t="s">
        <v>23</v>
      </c>
      <c r="C2796" s="373" t="s">
        <v>257</v>
      </c>
      <c r="D2796" s="373"/>
      <c r="E2796" s="373" t="s">
        <v>408</v>
      </c>
      <c r="F2796" s="373" t="s">
        <v>75</v>
      </c>
      <c r="G2796" s="637" t="s">
        <v>4988</v>
      </c>
      <c r="H2796" s="461" t="s">
        <v>4763</v>
      </c>
      <c r="I2796" s="178" t="s">
        <v>4764</v>
      </c>
      <c r="J2796" s="729">
        <v>45246</v>
      </c>
      <c r="K2796" s="773">
        <v>0.75</v>
      </c>
      <c r="L2796" s="729">
        <v>45246</v>
      </c>
      <c r="M2796" s="773">
        <v>0.79166666666666663</v>
      </c>
      <c r="N2796" s="373">
        <v>1</v>
      </c>
      <c r="O2796" s="184" t="s">
        <v>17</v>
      </c>
      <c r="P2796" s="375" t="s">
        <v>4725</v>
      </c>
      <c r="Q2796" s="179" t="s">
        <v>1441</v>
      </c>
      <c r="R2796" s="31" t="s">
        <v>95</v>
      </c>
      <c r="S2796" s="31" t="s">
        <v>273</v>
      </c>
      <c r="T2796" s="31" t="s">
        <v>273</v>
      </c>
      <c r="U2796" s="31">
        <f>IFERROR(VLOOKUP(CONCATENATE(Tabla1[[#This Row],[Severidad]]," ",Tabla1[[#This Row],[Complejidad]]),Catalogos!E$120:G$128,3,FALSE),"")</f>
        <v>64</v>
      </c>
      <c r="V2796" s="31" t="str">
        <f>IF(Tabla1[[#This Row],[Tiempo solución max (hrs)]]&lt;&gt;"",IF(Tabla1[[#This Row],[Tiempo solución max (hrs)]]&gt;=Tabla1[[#This Row],[Tiempo
(Hrs 00/100)]],"cumple","no cumple"),"")</f>
        <v>cumple</v>
      </c>
      <c r="W2796" s="376" t="s">
        <v>4210</v>
      </c>
      <c r="X2796" s="377" t="str">
        <f t="shared" si="217"/>
        <v>SSI</v>
      </c>
      <c r="Y2796" t="str">
        <f>SUBSTITUTE(Tabla1[[#This Row],[Descripción]],CHAR(10),"    I    ")</f>
        <v xml:space="preserve">Se validó el paquete-procedimiento 'OBTENER_FG_QUEJA' con el bloque anónimo correcto y se tuvo un resultado exitoso con la salida del cursor completo </v>
      </c>
      <c r="Z2796" s="142">
        <f>VLOOKUP(Tabla1[[#This Row],[Perfil]],Catalogos!$B$75:$D$100,3,FALSE)*Tabla1[[#This Row],[Tiempo
(Hrs 00/100)]]*1.16</f>
        <v>696</v>
      </c>
    </row>
    <row r="2797" spans="1:26" ht="28.8" x14ac:dyDescent="0.3">
      <c r="A2797" s="373" t="s">
        <v>22</v>
      </c>
      <c r="B2797" s="373" t="s">
        <v>61</v>
      </c>
      <c r="C2797" s="373" t="s">
        <v>257</v>
      </c>
      <c r="D2797" s="373"/>
      <c r="E2797" s="373" t="s">
        <v>408</v>
      </c>
      <c r="F2797" s="373" t="s">
        <v>76</v>
      </c>
      <c r="G2797" s="637" t="s">
        <v>4989</v>
      </c>
      <c r="H2797" s="461" t="s">
        <v>4765</v>
      </c>
      <c r="I2797" s="178" t="s">
        <v>5201</v>
      </c>
      <c r="J2797" s="729">
        <v>45247</v>
      </c>
      <c r="K2797" s="773">
        <v>0.375</v>
      </c>
      <c r="L2797" s="729">
        <v>45247</v>
      </c>
      <c r="M2797" s="773">
        <v>0.39583333333333331</v>
      </c>
      <c r="N2797" s="373">
        <v>0.5</v>
      </c>
      <c r="O2797" s="184" t="s">
        <v>17</v>
      </c>
      <c r="P2797" s="375" t="s">
        <v>4725</v>
      </c>
      <c r="Q2797" s="179" t="s">
        <v>1441</v>
      </c>
      <c r="R2797" s="31" t="s">
        <v>95</v>
      </c>
      <c r="S2797" s="31" t="s">
        <v>273</v>
      </c>
      <c r="T2797" s="31" t="s">
        <v>273</v>
      </c>
      <c r="U2797" s="31">
        <f>IFERROR(VLOOKUP(CONCATENATE(Tabla1[[#This Row],[Severidad]]," ",Tabla1[[#This Row],[Complejidad]]),Catalogos!E$120:G$128,3,FALSE),"")</f>
        <v>64</v>
      </c>
      <c r="V2797" s="31" t="str">
        <f>IF(Tabla1[[#This Row],[Tiempo solución max (hrs)]]&lt;&gt;"",IF(Tabla1[[#This Row],[Tiempo solución max (hrs)]]&gt;=Tabla1[[#This Row],[Tiempo
(Hrs 00/100)]],"cumple","no cumple"),"")</f>
        <v>cumple</v>
      </c>
      <c r="W2797" s="376" t="s">
        <v>4210</v>
      </c>
      <c r="X2797" s="377" t="str">
        <f t="shared" si="217"/>
        <v>SSI</v>
      </c>
      <c r="Y2797" t="str">
        <f>SUBSTITUTE(Tabla1[[#This Row],[Descripción]],CHAR(10),"    I    ")</f>
        <v xml:space="preserve">Se le explicó al equipo que ya esta esté 13vo procedimiento para que lo revisen y consuman desde el aplicativo </v>
      </c>
      <c r="Z2797" s="142">
        <f>VLOOKUP(Tabla1[[#This Row],[Perfil]],Catalogos!$B$75:$D$100,3,FALSE)*Tabla1[[#This Row],[Tiempo
(Hrs 00/100)]]*1.16</f>
        <v>348</v>
      </c>
    </row>
    <row r="2798" spans="1:26" ht="28.8" x14ac:dyDescent="0.3">
      <c r="A2798" s="373" t="s">
        <v>22</v>
      </c>
      <c r="B2798" s="373" t="s">
        <v>23</v>
      </c>
      <c r="C2798" s="373" t="s">
        <v>257</v>
      </c>
      <c r="D2798" s="373"/>
      <c r="E2798" s="373" t="s">
        <v>408</v>
      </c>
      <c r="F2798" s="373" t="s">
        <v>23</v>
      </c>
      <c r="G2798" s="637" t="s">
        <v>4990</v>
      </c>
      <c r="H2798" s="461" t="s">
        <v>4766</v>
      </c>
      <c r="I2798" s="178" t="s">
        <v>4766</v>
      </c>
      <c r="J2798" s="729">
        <v>45247</v>
      </c>
      <c r="K2798" s="773">
        <v>0.39583333333333331</v>
      </c>
      <c r="L2798" s="729">
        <v>45247</v>
      </c>
      <c r="M2798" s="773">
        <v>0.45833333333333331</v>
      </c>
      <c r="N2798" s="373">
        <v>1.5</v>
      </c>
      <c r="O2798" s="184" t="s">
        <v>17</v>
      </c>
      <c r="P2798" s="375" t="s">
        <v>4641</v>
      </c>
      <c r="Q2798" s="179" t="s">
        <v>1441</v>
      </c>
      <c r="R2798" s="31" t="s">
        <v>95</v>
      </c>
      <c r="S2798" s="31" t="s">
        <v>273</v>
      </c>
      <c r="T2798" s="31" t="s">
        <v>273</v>
      </c>
      <c r="U2798" s="31">
        <f>IFERROR(VLOOKUP(CONCATENATE(Tabla1[[#This Row],[Severidad]]," ",Tabla1[[#This Row],[Complejidad]]),Catalogos!E$120:G$128,3,FALSE),"")</f>
        <v>64</v>
      </c>
      <c r="V2798" s="31" t="str">
        <f>IF(Tabla1[[#This Row],[Tiempo solución max (hrs)]]&lt;&gt;"",IF(Tabla1[[#This Row],[Tiempo solución max (hrs)]]&gt;=Tabla1[[#This Row],[Tiempo
(Hrs 00/100)]],"cumple","no cumple"),"")</f>
        <v>cumple</v>
      </c>
      <c r="W2798" s="376" t="s">
        <v>4210</v>
      </c>
      <c r="X2798" s="377" t="str">
        <f t="shared" si="217"/>
        <v>SSI</v>
      </c>
      <c r="Y2798" t="str">
        <f>SUBSTITUTE(Tabla1[[#This Row],[Descripción]],CHAR(10),"    I    ")</f>
        <v xml:space="preserve">Se construyó la consulta para tratar el 10mo procedimiento 'OBTENER_FG_RESOLUCION' de QUEJAS </v>
      </c>
      <c r="Z2798" s="142">
        <f>VLOOKUP(Tabla1[[#This Row],[Perfil]],Catalogos!$B$75:$D$100,3,FALSE)*Tabla1[[#This Row],[Tiempo
(Hrs 00/100)]]*1.16</f>
        <v>1044</v>
      </c>
    </row>
    <row r="2799" spans="1:26" ht="28.8" x14ac:dyDescent="0.3">
      <c r="A2799" s="373" t="s">
        <v>22</v>
      </c>
      <c r="B2799" s="373" t="s">
        <v>23</v>
      </c>
      <c r="C2799" s="373" t="s">
        <v>257</v>
      </c>
      <c r="D2799" s="373"/>
      <c r="E2799" s="373" t="s">
        <v>408</v>
      </c>
      <c r="F2799" s="373" t="s">
        <v>75</v>
      </c>
      <c r="G2799" s="637" t="s">
        <v>4991</v>
      </c>
      <c r="H2799" s="461" t="s">
        <v>4660</v>
      </c>
      <c r="I2799" s="178" t="s">
        <v>4660</v>
      </c>
      <c r="J2799" s="729">
        <v>45247</v>
      </c>
      <c r="K2799" s="773">
        <v>0.45833333333333331</v>
      </c>
      <c r="L2799" s="729">
        <v>45247</v>
      </c>
      <c r="M2799" s="773">
        <v>0.5</v>
      </c>
      <c r="N2799" s="373">
        <v>1</v>
      </c>
      <c r="O2799" s="184" t="s">
        <v>17</v>
      </c>
      <c r="P2799" s="375" t="s">
        <v>4641</v>
      </c>
      <c r="Q2799" s="179" t="s">
        <v>1441</v>
      </c>
      <c r="R2799" s="31" t="s">
        <v>95</v>
      </c>
      <c r="S2799" s="31" t="s">
        <v>273</v>
      </c>
      <c r="T2799" s="31" t="s">
        <v>273</v>
      </c>
      <c r="U2799" s="31">
        <f>IFERROR(VLOOKUP(CONCATENATE(Tabla1[[#This Row],[Severidad]]," ",Tabla1[[#This Row],[Complejidad]]),Catalogos!E$120:G$128,3,FALSE),"")</f>
        <v>64</v>
      </c>
      <c r="V2799" s="31" t="str">
        <f>IF(Tabla1[[#This Row],[Tiempo solución max (hrs)]]&lt;&gt;"",IF(Tabla1[[#This Row],[Tiempo solución max (hrs)]]&gt;=Tabla1[[#This Row],[Tiempo
(Hrs 00/100)]],"cumple","no cumple"),"")</f>
        <v>cumple</v>
      </c>
      <c r="W2799" s="376" t="s">
        <v>4210</v>
      </c>
      <c r="X2799" s="377" t="str">
        <f t="shared" si="217"/>
        <v>SSI</v>
      </c>
      <c r="Y2799" t="str">
        <f>SUBSTITUTE(Tabla1[[#This Row],[Descripción]],CHAR(10),"    I    ")</f>
        <v xml:space="preserve">Se validó que la información que retorna la consulta con los distintos parametros sea la correcta </v>
      </c>
      <c r="Z2799" s="142">
        <f>VLOOKUP(Tabla1[[#This Row],[Perfil]],Catalogos!$B$75:$D$100,3,FALSE)*Tabla1[[#This Row],[Tiempo
(Hrs 00/100)]]*1.16</f>
        <v>696</v>
      </c>
    </row>
    <row r="2800" spans="1:26" ht="43.2" x14ac:dyDescent="0.3">
      <c r="A2800" s="373" t="s">
        <v>22</v>
      </c>
      <c r="B2800" s="373" t="s">
        <v>23</v>
      </c>
      <c r="C2800" s="373" t="s">
        <v>257</v>
      </c>
      <c r="D2800" s="373"/>
      <c r="E2800" s="373" t="s">
        <v>408</v>
      </c>
      <c r="F2800" s="373" t="s">
        <v>23</v>
      </c>
      <c r="G2800" s="637" t="s">
        <v>4992</v>
      </c>
      <c r="H2800" s="461" t="s">
        <v>4767</v>
      </c>
      <c r="I2800" s="178" t="s">
        <v>4768</v>
      </c>
      <c r="J2800" s="729">
        <v>45247</v>
      </c>
      <c r="K2800" s="773">
        <v>0.5</v>
      </c>
      <c r="L2800" s="729">
        <v>45247</v>
      </c>
      <c r="M2800" s="773">
        <v>0.5625</v>
      </c>
      <c r="N2800" s="373">
        <v>1.5</v>
      </c>
      <c r="O2800" s="184" t="s">
        <v>17</v>
      </c>
      <c r="P2800" s="375" t="s">
        <v>4641</v>
      </c>
      <c r="Q2800" s="179" t="s">
        <v>1441</v>
      </c>
      <c r="R2800" s="31" t="s">
        <v>95</v>
      </c>
      <c r="S2800" s="31" t="s">
        <v>273</v>
      </c>
      <c r="T2800" s="31" t="s">
        <v>273</v>
      </c>
      <c r="U2800" s="31">
        <f>IFERROR(VLOOKUP(CONCATENATE(Tabla1[[#This Row],[Severidad]]," ",Tabla1[[#This Row],[Complejidad]]),Catalogos!E$120:G$128,3,FALSE),"")</f>
        <v>64</v>
      </c>
      <c r="V2800" s="31" t="str">
        <f>IF(Tabla1[[#This Row],[Tiempo solución max (hrs)]]&lt;&gt;"",IF(Tabla1[[#This Row],[Tiempo solución max (hrs)]]&gt;=Tabla1[[#This Row],[Tiempo
(Hrs 00/100)]],"cumple","no cumple"),"")</f>
        <v>cumple</v>
      </c>
      <c r="W2800" s="376" t="s">
        <v>4210</v>
      </c>
      <c r="X2800" s="377" t="str">
        <f t="shared" si="217"/>
        <v>SSI</v>
      </c>
      <c r="Y2800" t="str">
        <f>SUBSTITUTE(Tabla1[[#This Row],[Descripción]],CHAR(10),"    I    ")</f>
        <v xml:space="preserve">Se trabajó en el 10mo procedimiento 'OBTENER_FG_RESOLUCION' con sus respectivas variables TAB y con su consulta previamente validada, se compila sin errores </v>
      </c>
      <c r="Z2800" s="142">
        <f>VLOOKUP(Tabla1[[#This Row],[Perfil]],Catalogos!$B$75:$D$100,3,FALSE)*Tabla1[[#This Row],[Tiempo
(Hrs 00/100)]]*1.16</f>
        <v>1044</v>
      </c>
    </row>
    <row r="2801" spans="1:26" ht="43.2" x14ac:dyDescent="0.3">
      <c r="A2801" s="373" t="s">
        <v>22</v>
      </c>
      <c r="B2801" s="373" t="s">
        <v>23</v>
      </c>
      <c r="C2801" s="373" t="s">
        <v>257</v>
      </c>
      <c r="D2801" s="373"/>
      <c r="E2801" s="373" t="s">
        <v>408</v>
      </c>
      <c r="F2801" s="373" t="s">
        <v>75</v>
      </c>
      <c r="G2801" s="637" t="s">
        <v>4993</v>
      </c>
      <c r="H2801" s="461" t="s">
        <v>4769</v>
      </c>
      <c r="I2801" s="178" t="s">
        <v>4770</v>
      </c>
      <c r="J2801" s="729">
        <v>45247</v>
      </c>
      <c r="K2801" s="773">
        <v>0.5625</v>
      </c>
      <c r="L2801" s="729">
        <v>45247</v>
      </c>
      <c r="M2801" s="773">
        <v>0.60416666666666663</v>
      </c>
      <c r="N2801" s="373">
        <v>1</v>
      </c>
      <c r="O2801" s="184" t="s">
        <v>17</v>
      </c>
      <c r="P2801" s="375" t="s">
        <v>4641</v>
      </c>
      <c r="Q2801" s="179" t="s">
        <v>1441</v>
      </c>
      <c r="R2801" s="31" t="s">
        <v>95</v>
      </c>
      <c r="S2801" s="31" t="s">
        <v>273</v>
      </c>
      <c r="T2801" s="31" t="s">
        <v>273</v>
      </c>
      <c r="U2801" s="31">
        <f>IFERROR(VLOOKUP(CONCATENATE(Tabla1[[#This Row],[Severidad]]," ",Tabla1[[#This Row],[Complejidad]]),Catalogos!E$120:G$128,3,FALSE),"")</f>
        <v>64</v>
      </c>
      <c r="V2801" s="31" t="str">
        <f>IF(Tabla1[[#This Row],[Tiempo solución max (hrs)]]&lt;&gt;"",IF(Tabla1[[#This Row],[Tiempo solución max (hrs)]]&gt;=Tabla1[[#This Row],[Tiempo
(Hrs 00/100)]],"cumple","no cumple"),"")</f>
        <v>cumple</v>
      </c>
      <c r="W2801" s="376" t="s">
        <v>4210</v>
      </c>
      <c r="X2801" s="377" t="str">
        <f t="shared" si="217"/>
        <v>SSI</v>
      </c>
      <c r="Y2801" t="str">
        <f>SUBSTITUTE(Tabla1[[#This Row],[Descripción]],CHAR(10),"    I    ")</f>
        <v>Se validó el paquete-procedimiento 'OBTENER_FG_RESOLUCION' con el bloque anónimo correcto y se tuvo un resultado exitoso con la salida del cursor completo</v>
      </c>
      <c r="Z2801" s="142">
        <f>VLOOKUP(Tabla1[[#This Row],[Perfil]],Catalogos!$B$75:$D$100,3,FALSE)*Tabla1[[#This Row],[Tiempo
(Hrs 00/100)]]*1.16</f>
        <v>696</v>
      </c>
    </row>
    <row r="2802" spans="1:26" ht="43.2" x14ac:dyDescent="0.3">
      <c r="A2802" s="373" t="s">
        <v>22</v>
      </c>
      <c r="B2802" s="373" t="s">
        <v>305</v>
      </c>
      <c r="C2802" s="373" t="s">
        <v>257</v>
      </c>
      <c r="D2802" s="373"/>
      <c r="E2802" s="373" t="s">
        <v>408</v>
      </c>
      <c r="F2802" s="373" t="s">
        <v>72</v>
      </c>
      <c r="G2802" s="637" t="s">
        <v>4994</v>
      </c>
      <c r="H2802" s="461" t="s">
        <v>4771</v>
      </c>
      <c r="I2802" s="178" t="s">
        <v>4772</v>
      </c>
      <c r="J2802" s="729">
        <v>45247</v>
      </c>
      <c r="K2802" s="773">
        <v>0.66666666666666663</v>
      </c>
      <c r="L2802" s="729">
        <v>45247</v>
      </c>
      <c r="M2802" s="773">
        <v>0.6875</v>
      </c>
      <c r="N2802" s="373">
        <v>0.5</v>
      </c>
      <c r="O2802" s="184" t="s">
        <v>17</v>
      </c>
      <c r="P2802" s="375" t="s">
        <v>4641</v>
      </c>
      <c r="Q2802" s="179" t="s">
        <v>1441</v>
      </c>
      <c r="R2802" s="31" t="s">
        <v>95</v>
      </c>
      <c r="S2802" s="31" t="s">
        <v>273</v>
      </c>
      <c r="T2802" s="31" t="s">
        <v>273</v>
      </c>
      <c r="U2802" s="31">
        <f>IFERROR(VLOOKUP(CONCATENATE(Tabla1[[#This Row],[Severidad]]," ",Tabla1[[#This Row],[Complejidad]]),Catalogos!E$120:G$128,3,FALSE),"")</f>
        <v>64</v>
      </c>
      <c r="V2802" s="31" t="str">
        <f>IF(Tabla1[[#This Row],[Tiempo solución max (hrs)]]&lt;&gt;"",IF(Tabla1[[#This Row],[Tiempo solución max (hrs)]]&gt;=Tabla1[[#This Row],[Tiempo
(Hrs 00/100)]],"cumple","no cumple"),"")</f>
        <v>cumple</v>
      </c>
      <c r="W2802" s="376" t="s">
        <v>4210</v>
      </c>
      <c r="X2802" s="377" t="str">
        <f t="shared" si="217"/>
        <v>SSI</v>
      </c>
      <c r="Y2802" t="str">
        <f>SUBSTITUTE(Tabla1[[#This Row],[Descripción]],CHAR(10),"    I    ")</f>
        <v xml:space="preserve">Se nos compartió que en las 3 tablas de los procesos ya se tiene el campo 'FECHA_ACTUALIZACION', se preguntó si tendría algún cambio para aplicar a los procedimientos o no </v>
      </c>
      <c r="Z2802" s="142">
        <f>VLOOKUP(Tabla1[[#This Row],[Perfil]],Catalogos!$B$75:$D$100,3,FALSE)*Tabla1[[#This Row],[Tiempo
(Hrs 00/100)]]*1.16</f>
        <v>348</v>
      </c>
    </row>
    <row r="2803" spans="1:26" ht="28.8" x14ac:dyDescent="0.3">
      <c r="A2803" s="373" t="s">
        <v>22</v>
      </c>
      <c r="B2803" s="373" t="s">
        <v>305</v>
      </c>
      <c r="C2803" s="373" t="s">
        <v>257</v>
      </c>
      <c r="D2803" s="373"/>
      <c r="E2803" s="373" t="s">
        <v>408</v>
      </c>
      <c r="F2803" s="373" t="s">
        <v>72</v>
      </c>
      <c r="G2803" s="637" t="s">
        <v>4995</v>
      </c>
      <c r="H2803" s="461" t="s">
        <v>4773</v>
      </c>
      <c r="I2803" s="178" t="s">
        <v>4774</v>
      </c>
      <c r="J2803" s="729">
        <v>45247</v>
      </c>
      <c r="K2803" s="773">
        <v>0.6875</v>
      </c>
      <c r="L2803" s="729">
        <v>45247</v>
      </c>
      <c r="M2803" s="773">
        <v>0.70833333333333337</v>
      </c>
      <c r="N2803" s="373">
        <v>0.5</v>
      </c>
      <c r="O2803" s="184" t="s">
        <v>17</v>
      </c>
      <c r="P2803" s="375" t="s">
        <v>4641</v>
      </c>
      <c r="Q2803" s="179" t="s">
        <v>1441</v>
      </c>
      <c r="R2803" s="31" t="s">
        <v>95</v>
      </c>
      <c r="S2803" s="31" t="s">
        <v>273</v>
      </c>
      <c r="T2803" s="31" t="s">
        <v>273</v>
      </c>
      <c r="U2803" s="31">
        <f>IFERROR(VLOOKUP(CONCATENATE(Tabla1[[#This Row],[Severidad]]," ",Tabla1[[#This Row],[Complejidad]]),Catalogos!E$120:G$128,3,FALSE),"")</f>
        <v>64</v>
      </c>
      <c r="V2803" s="31" t="str">
        <f>IF(Tabla1[[#This Row],[Tiempo solución max (hrs)]]&lt;&gt;"",IF(Tabla1[[#This Row],[Tiempo solución max (hrs)]]&gt;=Tabla1[[#This Row],[Tiempo
(Hrs 00/100)]],"cumple","no cumple"),"")</f>
        <v>cumple</v>
      </c>
      <c r="W2803" s="376" t="s">
        <v>4210</v>
      </c>
      <c r="X2803" s="377" t="str">
        <f t="shared" si="217"/>
        <v>SSI</v>
      </c>
      <c r="Y2803" t="str">
        <f>SUBSTITUTE(Tabla1[[#This Row],[Descripción]],CHAR(10),"    I    ")</f>
        <v xml:space="preserve">Se confirmo que No habría cambios a aplicar por esta fecha recientemente agregada de 'FECHA_ACTUALIZACION' </v>
      </c>
      <c r="Z2803" s="142">
        <f>VLOOKUP(Tabla1[[#This Row],[Perfil]],Catalogos!$B$75:$D$100,3,FALSE)*Tabla1[[#This Row],[Tiempo
(Hrs 00/100)]]*1.16</f>
        <v>348</v>
      </c>
    </row>
    <row r="2804" spans="1:26" ht="28.8" x14ac:dyDescent="0.3">
      <c r="A2804" s="373" t="s">
        <v>22</v>
      </c>
      <c r="B2804" s="373" t="s">
        <v>23</v>
      </c>
      <c r="C2804" s="373" t="s">
        <v>257</v>
      </c>
      <c r="D2804" s="373"/>
      <c r="E2804" s="373" t="s">
        <v>408</v>
      </c>
      <c r="F2804" s="373" t="s">
        <v>73</v>
      </c>
      <c r="G2804" s="637" t="s">
        <v>4996</v>
      </c>
      <c r="H2804" s="461" t="s">
        <v>4775</v>
      </c>
      <c r="I2804" s="178" t="s">
        <v>4775</v>
      </c>
      <c r="J2804" s="729">
        <v>45247</v>
      </c>
      <c r="K2804" s="773">
        <v>0.70833333333333337</v>
      </c>
      <c r="L2804" s="729">
        <v>45247</v>
      </c>
      <c r="M2804" s="773">
        <v>0.79166666666666663</v>
      </c>
      <c r="N2804" s="373">
        <v>2</v>
      </c>
      <c r="O2804" s="184" t="s">
        <v>17</v>
      </c>
      <c r="P2804" s="375" t="s">
        <v>4639</v>
      </c>
      <c r="Q2804" s="179" t="s">
        <v>1441</v>
      </c>
      <c r="R2804" s="31" t="s">
        <v>95</v>
      </c>
      <c r="S2804" s="31" t="s">
        <v>273</v>
      </c>
      <c r="T2804" s="31" t="s">
        <v>273</v>
      </c>
      <c r="U2804" s="31">
        <f>IFERROR(VLOOKUP(CONCATENATE(Tabla1[[#This Row],[Severidad]]," ",Tabla1[[#This Row],[Complejidad]]),Catalogos!E$120:G$128,3,FALSE),"")</f>
        <v>64</v>
      </c>
      <c r="V2804" s="31" t="str">
        <f>IF(Tabla1[[#This Row],[Tiempo solución max (hrs)]]&lt;&gt;"",IF(Tabla1[[#This Row],[Tiempo solución max (hrs)]]&gt;=Tabla1[[#This Row],[Tiempo
(Hrs 00/100)]],"cumple","no cumple"),"")</f>
        <v>cumple</v>
      </c>
      <c r="W2804" s="376" t="s">
        <v>4210</v>
      </c>
      <c r="X2804" s="377" t="str">
        <f t="shared" si="217"/>
        <v>SSI</v>
      </c>
      <c r="Y2804" t="str">
        <f>SUBSTITUTE(Tabla1[[#This Row],[Descripción]],CHAR(10),"    I    ")</f>
        <v xml:space="preserve">Se trabajo en la solución de manejar 2 registros siempre en el caso de los procedimientos de las banderas </v>
      </c>
      <c r="Z2804" s="142">
        <f>VLOOKUP(Tabla1[[#This Row],[Perfil]],Catalogos!$B$75:$D$100,3,FALSE)*Tabla1[[#This Row],[Tiempo
(Hrs 00/100)]]*1.16</f>
        <v>1392</v>
      </c>
    </row>
    <row r="2805" spans="1:26" ht="43.2" x14ac:dyDescent="0.3">
      <c r="A2805" s="373" t="s">
        <v>22</v>
      </c>
      <c r="B2805" s="373" t="s">
        <v>23</v>
      </c>
      <c r="C2805" s="373" t="s">
        <v>257</v>
      </c>
      <c r="D2805" s="373"/>
      <c r="E2805" s="373" t="s">
        <v>408</v>
      </c>
      <c r="F2805" s="373" t="s">
        <v>73</v>
      </c>
      <c r="G2805" s="637" t="s">
        <v>4997</v>
      </c>
      <c r="H2805" s="461" t="s">
        <v>4776</v>
      </c>
      <c r="I2805" s="178" t="s">
        <v>4777</v>
      </c>
      <c r="J2805" s="729">
        <v>45251</v>
      </c>
      <c r="K2805" s="773">
        <v>0.375</v>
      </c>
      <c r="L2805" s="729">
        <v>45251</v>
      </c>
      <c r="M2805" s="773">
        <v>0.4375</v>
      </c>
      <c r="N2805" s="373">
        <v>1.5</v>
      </c>
      <c r="O2805" s="184" t="s">
        <v>17</v>
      </c>
      <c r="P2805" s="375" t="s">
        <v>4639</v>
      </c>
      <c r="Q2805" s="179" t="s">
        <v>1441</v>
      </c>
      <c r="R2805" s="31" t="s">
        <v>95</v>
      </c>
      <c r="S2805" s="31" t="s">
        <v>273</v>
      </c>
      <c r="T2805" s="31" t="s">
        <v>273</v>
      </c>
      <c r="U2805" s="31">
        <f>IFERROR(VLOOKUP(CONCATENATE(Tabla1[[#This Row],[Severidad]]," ",Tabla1[[#This Row],[Complejidad]]),Catalogos!E$120:G$128,3,FALSE),"")</f>
        <v>64</v>
      </c>
      <c r="V2805" s="31" t="str">
        <f>IF(Tabla1[[#This Row],[Tiempo solución max (hrs)]]&lt;&gt;"",IF(Tabla1[[#This Row],[Tiempo solución max (hrs)]]&gt;=Tabla1[[#This Row],[Tiempo
(Hrs 00/100)]],"cumple","no cumple"),"")</f>
        <v>cumple</v>
      </c>
      <c r="W2805" s="376" t="s">
        <v>4210</v>
      </c>
      <c r="X2805" s="377" t="str">
        <f t="shared" si="217"/>
        <v>SSI</v>
      </c>
      <c r="Y2805" t="str">
        <f>SUBSTITUTE(Tabla1[[#This Row],[Descripción]],CHAR(10),"    I    ")</f>
        <v xml:space="preserve">Se creo el algoritmo como tipo prueba de escritorio para diseñar la solución de los casos condicionales de como ira componiéndose la solución </v>
      </c>
      <c r="Z2805" s="142">
        <f>VLOOKUP(Tabla1[[#This Row],[Perfil]],Catalogos!$B$75:$D$100,3,FALSE)*Tabla1[[#This Row],[Tiempo
(Hrs 00/100)]]*1.16</f>
        <v>1044</v>
      </c>
    </row>
    <row r="2806" spans="1:26" ht="43.2" x14ac:dyDescent="0.3">
      <c r="A2806" s="373" t="s">
        <v>22</v>
      </c>
      <c r="B2806" s="373" t="s">
        <v>23</v>
      </c>
      <c r="C2806" s="373" t="s">
        <v>257</v>
      </c>
      <c r="D2806" s="373"/>
      <c r="E2806" s="373" t="s">
        <v>408</v>
      </c>
      <c r="F2806" s="373" t="s">
        <v>73</v>
      </c>
      <c r="G2806" s="637" t="s">
        <v>4998</v>
      </c>
      <c r="H2806" s="461" t="s">
        <v>4778</v>
      </c>
      <c r="I2806" s="178" t="s">
        <v>4779</v>
      </c>
      <c r="J2806" s="729">
        <v>45251</v>
      </c>
      <c r="K2806" s="773">
        <v>0.4375</v>
      </c>
      <c r="L2806" s="729">
        <v>45251</v>
      </c>
      <c r="M2806" s="773">
        <v>0.45833333333333331</v>
      </c>
      <c r="N2806" s="373">
        <v>0.5</v>
      </c>
      <c r="O2806" s="184" t="s">
        <v>17</v>
      </c>
      <c r="P2806" s="375" t="s">
        <v>4639</v>
      </c>
      <c r="Q2806" s="179" t="s">
        <v>1441</v>
      </c>
      <c r="R2806" s="31" t="s">
        <v>95</v>
      </c>
      <c r="S2806" s="31" t="s">
        <v>273</v>
      </c>
      <c r="T2806" s="31" t="s">
        <v>273</v>
      </c>
      <c r="U2806" s="31">
        <f>IFERROR(VLOOKUP(CONCATENATE(Tabla1[[#This Row],[Severidad]]," ",Tabla1[[#This Row],[Complejidad]]),Catalogos!E$120:G$128,3,FALSE),"")</f>
        <v>64</v>
      </c>
      <c r="V2806" s="31" t="str">
        <f>IF(Tabla1[[#This Row],[Tiempo solución max (hrs)]]&lt;&gt;"",IF(Tabla1[[#This Row],[Tiempo solución max (hrs)]]&gt;=Tabla1[[#This Row],[Tiempo
(Hrs 00/100)]],"cumple","no cumple"),"")</f>
        <v>cumple</v>
      </c>
      <c r="W2806" s="376" t="s">
        <v>4210</v>
      </c>
      <c r="X2806" s="377" t="str">
        <f t="shared" si="217"/>
        <v>SSI</v>
      </c>
      <c r="Y2806" t="str">
        <f>SUBSTITUTE(Tabla1[[#This Row],[Descripción]],CHAR(10),"    I    ")</f>
        <v xml:space="preserve">Se define que una primer consulta determinara si la consulta trae 0, 1 o 2 registros, dependiendo del resultado de esta primer consulta se tendra una consulta resultante </v>
      </c>
      <c r="Z2806" s="142">
        <f>VLOOKUP(Tabla1[[#This Row],[Perfil]],Catalogos!$B$75:$D$100,3,FALSE)*Tabla1[[#This Row],[Tiempo
(Hrs 00/100)]]*1.16</f>
        <v>348</v>
      </c>
    </row>
    <row r="2807" spans="1:26" ht="43.2" x14ac:dyDescent="0.3">
      <c r="A2807" s="373" t="s">
        <v>22</v>
      </c>
      <c r="B2807" s="373" t="s">
        <v>23</v>
      </c>
      <c r="C2807" s="373" t="s">
        <v>257</v>
      </c>
      <c r="D2807" s="373"/>
      <c r="E2807" s="373" t="s">
        <v>408</v>
      </c>
      <c r="F2807" s="373" t="s">
        <v>73</v>
      </c>
      <c r="G2807" s="637" t="s">
        <v>4999</v>
      </c>
      <c r="H2807" s="461" t="s">
        <v>4780</v>
      </c>
      <c r="I2807" s="178" t="s">
        <v>4781</v>
      </c>
      <c r="J2807" s="729">
        <v>45251</v>
      </c>
      <c r="K2807" s="773">
        <v>0.45833333333333331</v>
      </c>
      <c r="L2807" s="729">
        <v>45251</v>
      </c>
      <c r="M2807" s="773">
        <v>0.47916666666666669</v>
      </c>
      <c r="N2807" s="373">
        <v>0.5</v>
      </c>
      <c r="O2807" s="184" t="s">
        <v>17</v>
      </c>
      <c r="P2807" s="375" t="s">
        <v>4639</v>
      </c>
      <c r="Q2807" s="179" t="s">
        <v>1441</v>
      </c>
      <c r="R2807" s="31" t="s">
        <v>95</v>
      </c>
      <c r="S2807" s="31" t="s">
        <v>273</v>
      </c>
      <c r="T2807" s="31" t="s">
        <v>273</v>
      </c>
      <c r="U2807" s="31">
        <f>IFERROR(VLOOKUP(CONCATENATE(Tabla1[[#This Row],[Severidad]]," ",Tabla1[[#This Row],[Complejidad]]),Catalogos!E$120:G$128,3,FALSE),"")</f>
        <v>64</v>
      </c>
      <c r="V2807" s="31" t="str">
        <f>IF(Tabla1[[#This Row],[Tiempo solución max (hrs)]]&lt;&gt;"",IF(Tabla1[[#This Row],[Tiempo solución max (hrs)]]&gt;=Tabla1[[#This Row],[Tiempo
(Hrs 00/100)]],"cumple","no cumple"),"")</f>
        <v>cumple</v>
      </c>
      <c r="W2807" s="376" t="s">
        <v>4210</v>
      </c>
      <c r="X2807" s="377" t="str">
        <f t="shared" si="217"/>
        <v>SSI</v>
      </c>
      <c r="Y2807" t="str">
        <f>SUBSTITUTE(Tabla1[[#This Row],[Descripción]],CHAR(10),"    I    ")</f>
        <v xml:space="preserve">Se define que, si el resultado fue 2, se tendra una consulta completa con la seguridad que esa información siempre tendra ambos estatus (0 y 1) y siempre se mostraran 2 valores </v>
      </c>
      <c r="Z2807" s="142">
        <f>VLOOKUP(Tabla1[[#This Row],[Perfil]],Catalogos!$B$75:$D$100,3,FALSE)*Tabla1[[#This Row],[Tiempo
(Hrs 00/100)]]*1.16</f>
        <v>348</v>
      </c>
    </row>
    <row r="2808" spans="1:26" ht="72" x14ac:dyDescent="0.3">
      <c r="A2808" s="373" t="s">
        <v>22</v>
      </c>
      <c r="B2808" s="373" t="s">
        <v>23</v>
      </c>
      <c r="C2808" s="373" t="s">
        <v>257</v>
      </c>
      <c r="D2808" s="373"/>
      <c r="E2808" s="373" t="s">
        <v>408</v>
      </c>
      <c r="F2808" s="373" t="s">
        <v>73</v>
      </c>
      <c r="G2808" s="637" t="s">
        <v>5000</v>
      </c>
      <c r="H2808" s="461" t="s">
        <v>4780</v>
      </c>
      <c r="I2808" s="178" t="s">
        <v>4782</v>
      </c>
      <c r="J2808" s="729">
        <v>45251</v>
      </c>
      <c r="K2808" s="773">
        <v>0.47916666666666669</v>
      </c>
      <c r="L2808" s="729">
        <v>45251</v>
      </c>
      <c r="M2808" s="773">
        <v>0.5</v>
      </c>
      <c r="N2808" s="373">
        <v>0.5</v>
      </c>
      <c r="O2808" s="184" t="s">
        <v>17</v>
      </c>
      <c r="P2808" s="375" t="s">
        <v>4639</v>
      </c>
      <c r="Q2808" s="179" t="s">
        <v>1441</v>
      </c>
      <c r="R2808" s="31" t="s">
        <v>95</v>
      </c>
      <c r="S2808" s="31" t="s">
        <v>273</v>
      </c>
      <c r="T2808" s="31" t="s">
        <v>273</v>
      </c>
      <c r="U2808" s="31">
        <f>IFERROR(VLOOKUP(CONCATENATE(Tabla1[[#This Row],[Severidad]]," ",Tabla1[[#This Row],[Complejidad]]),Catalogos!E$120:G$128,3,FALSE),"")</f>
        <v>64</v>
      </c>
      <c r="V2808" s="31" t="str">
        <f>IF(Tabla1[[#This Row],[Tiempo solución max (hrs)]]&lt;&gt;"",IF(Tabla1[[#This Row],[Tiempo solución max (hrs)]]&gt;=Tabla1[[#This Row],[Tiempo
(Hrs 00/100)]],"cumple","no cumple"),"")</f>
        <v>cumple</v>
      </c>
      <c r="W2808" s="376" t="s">
        <v>4210</v>
      </c>
      <c r="X2808" s="377" t="str">
        <f t="shared" si="217"/>
        <v>SSI</v>
      </c>
      <c r="Y2808" t="str">
        <f>SUBSTITUTE(Tabla1[[#This Row],[Descripción]],CHAR(10),"    I    ")</f>
        <v xml:space="preserve">Se define que, si el resultado fue 1, se maneja otra consulta para determinar el valor de la BANDERA que puede ser a su vez 0 o 1, y dependiendo de cada uno de esos valores se tendra finalmente una consulta que retorna 1 solo valor con la bandera en cuestión con su respectivo UNION del registro faltante con total de 0 y viceversa </v>
      </c>
      <c r="Z2808" s="142">
        <f>VLOOKUP(Tabla1[[#This Row],[Perfil]],Catalogos!$B$75:$D$100,3,FALSE)*Tabla1[[#This Row],[Tiempo
(Hrs 00/100)]]*1.16</f>
        <v>348</v>
      </c>
    </row>
    <row r="2809" spans="1:26" ht="28.8" x14ac:dyDescent="0.3">
      <c r="A2809" s="373" t="s">
        <v>22</v>
      </c>
      <c r="B2809" s="373" t="s">
        <v>23</v>
      </c>
      <c r="C2809" s="373" t="s">
        <v>257</v>
      </c>
      <c r="D2809" s="373"/>
      <c r="E2809" s="373" t="s">
        <v>408</v>
      </c>
      <c r="F2809" s="373" t="s">
        <v>73</v>
      </c>
      <c r="G2809" s="637" t="s">
        <v>5001</v>
      </c>
      <c r="H2809" s="461" t="s">
        <v>4780</v>
      </c>
      <c r="I2809" s="178" t="s">
        <v>4783</v>
      </c>
      <c r="J2809" s="729">
        <v>45251</v>
      </c>
      <c r="K2809" s="773">
        <v>0.5</v>
      </c>
      <c r="L2809" s="729">
        <v>45251</v>
      </c>
      <c r="M2809" s="773">
        <v>0.52083333333333337</v>
      </c>
      <c r="N2809" s="373">
        <v>0.5</v>
      </c>
      <c r="O2809" s="184" t="s">
        <v>17</v>
      </c>
      <c r="P2809" s="375" t="s">
        <v>4639</v>
      </c>
      <c r="Q2809" s="179" t="s">
        <v>1441</v>
      </c>
      <c r="R2809" s="31" t="s">
        <v>95</v>
      </c>
      <c r="S2809" s="31" t="s">
        <v>273</v>
      </c>
      <c r="T2809" s="31" t="s">
        <v>273</v>
      </c>
      <c r="U2809" s="31">
        <f>IFERROR(VLOOKUP(CONCATENATE(Tabla1[[#This Row],[Severidad]]," ",Tabla1[[#This Row],[Complejidad]]),Catalogos!E$120:G$128,3,FALSE),"")</f>
        <v>64</v>
      </c>
      <c r="V2809" s="31" t="str">
        <f>IF(Tabla1[[#This Row],[Tiempo solución max (hrs)]]&lt;&gt;"",IF(Tabla1[[#This Row],[Tiempo solución max (hrs)]]&gt;=Tabla1[[#This Row],[Tiempo
(Hrs 00/100)]],"cumple","no cumple"),"")</f>
        <v>cumple</v>
      </c>
      <c r="W2809" s="376" t="s">
        <v>4210</v>
      </c>
      <c r="X2809" s="377" t="str">
        <f t="shared" si="217"/>
        <v>SSI</v>
      </c>
      <c r="Y2809" t="str">
        <f>SUBSTITUTE(Tabla1[[#This Row],[Descripción]],CHAR(10),"    I    ")</f>
        <v xml:space="preserve">Se define si el resultado fue 0 se tendra consulta por defecto que es una unión de 2 consultas con total igual a 0 </v>
      </c>
      <c r="Z2809" s="142">
        <f>VLOOKUP(Tabla1[[#This Row],[Perfil]],Catalogos!$B$75:$D$100,3,FALSE)*Tabla1[[#This Row],[Tiempo
(Hrs 00/100)]]*1.16</f>
        <v>348</v>
      </c>
    </row>
    <row r="2810" spans="1:26" ht="43.2" x14ac:dyDescent="0.3">
      <c r="A2810" s="373" t="s">
        <v>22</v>
      </c>
      <c r="B2810" s="373" t="s">
        <v>23</v>
      </c>
      <c r="C2810" s="373" t="s">
        <v>257</v>
      </c>
      <c r="D2810" s="373"/>
      <c r="E2810" s="373" t="s">
        <v>408</v>
      </c>
      <c r="F2810" s="373" t="s">
        <v>23</v>
      </c>
      <c r="G2810" s="637" t="s">
        <v>5002</v>
      </c>
      <c r="H2810" s="461" t="s">
        <v>4784</v>
      </c>
      <c r="I2810" s="178" t="s">
        <v>4785</v>
      </c>
      <c r="J2810" s="729">
        <v>45251</v>
      </c>
      <c r="K2810" s="773">
        <v>0.52083333333333337</v>
      </c>
      <c r="L2810" s="729">
        <v>45251</v>
      </c>
      <c r="M2810" s="773">
        <v>0.58333333333333337</v>
      </c>
      <c r="N2810" s="373">
        <v>1.5</v>
      </c>
      <c r="O2810" s="184" t="s">
        <v>17</v>
      </c>
      <c r="P2810" s="375" t="s">
        <v>4639</v>
      </c>
      <c r="Q2810" s="179" t="s">
        <v>1441</v>
      </c>
      <c r="R2810" s="31" t="s">
        <v>95</v>
      </c>
      <c r="S2810" s="31" t="s">
        <v>273</v>
      </c>
      <c r="T2810" s="31" t="s">
        <v>273</v>
      </c>
      <c r="U2810" s="31">
        <f>IFERROR(VLOOKUP(CONCATENATE(Tabla1[[#This Row],[Severidad]]," ",Tabla1[[#This Row],[Complejidad]]),Catalogos!E$120:G$128,3,FALSE),"")</f>
        <v>64</v>
      </c>
      <c r="V2810" s="31" t="str">
        <f>IF(Tabla1[[#This Row],[Tiempo solución max (hrs)]]&lt;&gt;"",IF(Tabla1[[#This Row],[Tiempo solución max (hrs)]]&gt;=Tabla1[[#This Row],[Tiempo
(Hrs 00/100)]],"cumple","no cumple"),"")</f>
        <v>cumple</v>
      </c>
      <c r="W2810" s="376" t="s">
        <v>4210</v>
      </c>
      <c r="X2810" s="377" t="str">
        <f t="shared" si="217"/>
        <v>SSI</v>
      </c>
      <c r="Y2810" t="str">
        <f>SUBSTITUTE(Tabla1[[#This Row],[Descripción]],CHAR(10),"    I    ")</f>
        <v xml:space="preserve">Se integran todas las consultas en el paquete y se va tratando cuando sea sql dinamico con valores de TAB o con retorno de valor en variable dependiendo de que se va a evaluar o retornar </v>
      </c>
      <c r="Z2810" s="142">
        <f>VLOOKUP(Tabla1[[#This Row],[Perfil]],Catalogos!$B$75:$D$100,3,FALSE)*Tabla1[[#This Row],[Tiempo
(Hrs 00/100)]]*1.16</f>
        <v>1044</v>
      </c>
    </row>
    <row r="2811" spans="1:26" ht="28.8" x14ac:dyDescent="0.3">
      <c r="A2811" s="373" t="s">
        <v>22</v>
      </c>
      <c r="B2811" s="373" t="s">
        <v>23</v>
      </c>
      <c r="C2811" s="373" t="s">
        <v>257</v>
      </c>
      <c r="D2811" s="373"/>
      <c r="E2811" s="373" t="s">
        <v>408</v>
      </c>
      <c r="F2811" s="373" t="s">
        <v>23</v>
      </c>
      <c r="G2811" s="637" t="s">
        <v>5003</v>
      </c>
      <c r="H2811" s="461" t="s">
        <v>4786</v>
      </c>
      <c r="I2811" s="178" t="s">
        <v>4787</v>
      </c>
      <c r="J2811" s="729">
        <v>45251</v>
      </c>
      <c r="K2811" s="773">
        <v>0.58333333333333337</v>
      </c>
      <c r="L2811" s="729">
        <v>45251</v>
      </c>
      <c r="M2811" s="773">
        <v>0.60416666666666663</v>
      </c>
      <c r="N2811" s="373">
        <v>0.5</v>
      </c>
      <c r="O2811" s="184" t="s">
        <v>17</v>
      </c>
      <c r="P2811" s="375" t="s">
        <v>4639</v>
      </c>
      <c r="Q2811" s="179" t="s">
        <v>1441</v>
      </c>
      <c r="R2811" s="31" t="s">
        <v>95</v>
      </c>
      <c r="S2811" s="31" t="s">
        <v>273</v>
      </c>
      <c r="T2811" s="31" t="s">
        <v>273</v>
      </c>
      <c r="U2811" s="31">
        <f>IFERROR(VLOOKUP(CONCATENATE(Tabla1[[#This Row],[Severidad]]," ",Tabla1[[#This Row],[Complejidad]]),Catalogos!E$120:G$128,3,FALSE),"")</f>
        <v>64</v>
      </c>
      <c r="V2811" s="31" t="str">
        <f>IF(Tabla1[[#This Row],[Tiempo solución max (hrs)]]&lt;&gt;"",IF(Tabla1[[#This Row],[Tiempo solución max (hrs)]]&gt;=Tabla1[[#This Row],[Tiempo
(Hrs 00/100)]],"cumple","no cumple"),"")</f>
        <v>cumple</v>
      </c>
      <c r="W2811" s="376" t="s">
        <v>4210</v>
      </c>
      <c r="X2811" s="377" t="str">
        <f t="shared" si="217"/>
        <v>SSI</v>
      </c>
      <c r="Y2811" t="str">
        <f>SUBSTITUTE(Tabla1[[#This Row],[Descripción]],CHAR(10),"    I    ")</f>
        <v xml:space="preserve">Se trataron los errores que se encuentran para poder compilar el paquete de forma correcta </v>
      </c>
      <c r="Z2811" s="142">
        <f>VLOOKUP(Tabla1[[#This Row],[Perfil]],Catalogos!$B$75:$D$100,3,FALSE)*Tabla1[[#This Row],[Tiempo
(Hrs 00/100)]]*1.16</f>
        <v>348</v>
      </c>
    </row>
    <row r="2812" spans="1:26" ht="43.2" x14ac:dyDescent="0.3">
      <c r="A2812" s="373" t="s">
        <v>22</v>
      </c>
      <c r="B2812" s="373" t="s">
        <v>61</v>
      </c>
      <c r="C2812" s="373" t="s">
        <v>257</v>
      </c>
      <c r="D2812" s="373"/>
      <c r="E2812" s="373" t="s">
        <v>408</v>
      </c>
      <c r="F2812" s="373" t="s">
        <v>76</v>
      </c>
      <c r="G2812" s="637" t="s">
        <v>5004</v>
      </c>
      <c r="H2812" s="461" t="s">
        <v>5177</v>
      </c>
      <c r="I2812" s="178" t="s">
        <v>5202</v>
      </c>
      <c r="J2812" s="729">
        <v>45251</v>
      </c>
      <c r="K2812" s="773">
        <v>0.66666666666666663</v>
      </c>
      <c r="L2812" s="729">
        <v>45251</v>
      </c>
      <c r="M2812" s="773">
        <v>0.70833333333333337</v>
      </c>
      <c r="N2812" s="373">
        <v>1</v>
      </c>
      <c r="O2812" s="184" t="s">
        <v>17</v>
      </c>
      <c r="P2812" s="375" t="s">
        <v>4639</v>
      </c>
      <c r="Q2812" s="179" t="s">
        <v>1441</v>
      </c>
      <c r="R2812" s="31" t="s">
        <v>95</v>
      </c>
      <c r="S2812" s="31" t="s">
        <v>273</v>
      </c>
      <c r="T2812" s="31" t="s">
        <v>273</v>
      </c>
      <c r="U2812" s="31">
        <f>IFERROR(VLOOKUP(CONCATENATE(Tabla1[[#This Row],[Severidad]]," ",Tabla1[[#This Row],[Complejidad]]),Catalogos!E$120:G$128,3,FALSE),"")</f>
        <v>64</v>
      </c>
      <c r="V2812" s="31" t="str">
        <f>IF(Tabla1[[#This Row],[Tiempo solución max (hrs)]]&lt;&gt;"",IF(Tabla1[[#This Row],[Tiempo solución max (hrs)]]&gt;=Tabla1[[#This Row],[Tiempo
(Hrs 00/100)]],"cumple","no cumple"),"")</f>
        <v>cumple</v>
      </c>
      <c r="W2812" s="376" t="s">
        <v>4210</v>
      </c>
      <c r="X2812" s="377" t="str">
        <f t="shared" si="217"/>
        <v>SSI</v>
      </c>
      <c r="Y2812" t="str">
        <f>SUBSTITUTE(Tabla1[[#This Row],[Descripción]],CHAR(10),"    I    ")</f>
        <v xml:space="preserve">Se le explicó al equipo que ya esta este procedimiento de banderas 'OBTENER_FG_PRORROGA' para que lo revisen y consuman desde el aplicativo </v>
      </c>
      <c r="Z2812" s="142">
        <f>VLOOKUP(Tabla1[[#This Row],[Perfil]],Catalogos!$B$75:$D$100,3,FALSE)*Tabla1[[#This Row],[Tiempo
(Hrs 00/100)]]*1.16</f>
        <v>696</v>
      </c>
    </row>
    <row r="2813" spans="1:26" ht="28.8" x14ac:dyDescent="0.3">
      <c r="A2813" s="373" t="s">
        <v>22</v>
      </c>
      <c r="B2813" s="373" t="s">
        <v>305</v>
      </c>
      <c r="C2813" s="373" t="s">
        <v>257</v>
      </c>
      <c r="D2813" s="373"/>
      <c r="E2813" s="373" t="s">
        <v>408</v>
      </c>
      <c r="F2813" s="373" t="s">
        <v>72</v>
      </c>
      <c r="G2813" s="637" t="s">
        <v>5005</v>
      </c>
      <c r="H2813" s="461" t="s">
        <v>5178</v>
      </c>
      <c r="I2813" s="178" t="s">
        <v>5178</v>
      </c>
      <c r="J2813" s="729">
        <v>45251</v>
      </c>
      <c r="K2813" s="773">
        <v>0.70833333333333337</v>
      </c>
      <c r="L2813" s="729">
        <v>45251</v>
      </c>
      <c r="M2813" s="773">
        <v>0.72916666666666663</v>
      </c>
      <c r="N2813" s="373">
        <v>0.5</v>
      </c>
      <c r="O2813" s="184" t="s">
        <v>17</v>
      </c>
      <c r="P2813" s="375" t="s">
        <v>4725</v>
      </c>
      <c r="Q2813" s="179" t="s">
        <v>1441</v>
      </c>
      <c r="R2813" s="31" t="s">
        <v>95</v>
      </c>
      <c r="S2813" s="31" t="s">
        <v>273</v>
      </c>
      <c r="T2813" s="31" t="s">
        <v>273</v>
      </c>
      <c r="U2813" s="31">
        <f>IFERROR(VLOOKUP(CONCATENATE(Tabla1[[#This Row],[Severidad]]," ",Tabla1[[#This Row],[Complejidad]]),Catalogos!E$120:G$128,3,FALSE),"")</f>
        <v>64</v>
      </c>
      <c r="V2813" s="31" t="str">
        <f>IF(Tabla1[[#This Row],[Tiempo solución max (hrs)]]&lt;&gt;"",IF(Tabla1[[#This Row],[Tiempo solución max (hrs)]]&gt;=Tabla1[[#This Row],[Tiempo
(Hrs 00/100)]],"cumple","no cumple"),"")</f>
        <v>cumple</v>
      </c>
      <c r="W2813" s="376" t="s">
        <v>4210</v>
      </c>
      <c r="X2813" s="377" t="str">
        <f t="shared" si="217"/>
        <v>SSI</v>
      </c>
      <c r="Y2813" t="str">
        <f>SUBSTITUTE(Tabla1[[#This Row],[Descripción]],CHAR(10),"    I    ")</f>
        <v>Se comenta que falto procedimiento de COMISIONADOS para las Resoluciones</v>
      </c>
      <c r="Z2813" s="142">
        <f>VLOOKUP(Tabla1[[#This Row],[Perfil]],Catalogos!$B$75:$D$100,3,FALSE)*Tabla1[[#This Row],[Tiempo
(Hrs 00/100)]]*1.16</f>
        <v>348</v>
      </c>
    </row>
    <row r="2814" spans="1:26" ht="28.8" x14ac:dyDescent="0.3">
      <c r="A2814" s="373" t="s">
        <v>22</v>
      </c>
      <c r="B2814" s="373" t="s">
        <v>23</v>
      </c>
      <c r="C2814" s="373" t="s">
        <v>257</v>
      </c>
      <c r="D2814" s="373"/>
      <c r="E2814" s="373" t="s">
        <v>408</v>
      </c>
      <c r="F2814" s="373" t="s">
        <v>23</v>
      </c>
      <c r="G2814" s="637" t="s">
        <v>5006</v>
      </c>
      <c r="H2814" s="461" t="s">
        <v>5179</v>
      </c>
      <c r="I2814" s="178" t="s">
        <v>5180</v>
      </c>
      <c r="J2814" s="729">
        <v>45251</v>
      </c>
      <c r="K2814" s="773">
        <v>0.72916666666666663</v>
      </c>
      <c r="L2814" s="729">
        <v>45251</v>
      </c>
      <c r="M2814" s="773">
        <v>0.75</v>
      </c>
      <c r="N2814" s="373">
        <v>0.5</v>
      </c>
      <c r="O2814" s="184" t="s">
        <v>17</v>
      </c>
      <c r="P2814" s="375" t="s">
        <v>4725</v>
      </c>
      <c r="Q2814" s="179" t="s">
        <v>1441</v>
      </c>
      <c r="R2814" s="31" t="s">
        <v>95</v>
      </c>
      <c r="S2814" s="31" t="s">
        <v>273</v>
      </c>
      <c r="T2814" s="31" t="s">
        <v>273</v>
      </c>
      <c r="U2814" s="31">
        <f>IFERROR(VLOOKUP(CONCATENATE(Tabla1[[#This Row],[Severidad]]," ",Tabla1[[#This Row],[Complejidad]]),Catalogos!E$120:G$128,3,FALSE),"")</f>
        <v>64</v>
      </c>
      <c r="V2814" s="31" t="str">
        <f>IF(Tabla1[[#This Row],[Tiempo solución max (hrs)]]&lt;&gt;"",IF(Tabla1[[#This Row],[Tiempo solución max (hrs)]]&gt;=Tabla1[[#This Row],[Tiempo
(Hrs 00/100)]],"cumple","no cumple"),"")</f>
        <v>cumple</v>
      </c>
      <c r="W2814" s="376" t="s">
        <v>4210</v>
      </c>
      <c r="X2814" s="377" t="str">
        <f t="shared" si="217"/>
        <v>SSI</v>
      </c>
      <c r="Y2814" t="str">
        <f>SUBSTITUTE(Tabla1[[#This Row],[Descripción]],CHAR(10),"    I    ")</f>
        <v xml:space="preserve">Se construyó la consulta para tratar el 7mo procedimiento 'OBTENER_COMISIONADO' de RESOLUCIONES </v>
      </c>
      <c r="Z2814" s="142">
        <f>VLOOKUP(Tabla1[[#This Row],[Perfil]],Catalogos!$B$75:$D$100,3,FALSE)*Tabla1[[#This Row],[Tiempo
(Hrs 00/100)]]*1.16</f>
        <v>348</v>
      </c>
    </row>
    <row r="2815" spans="1:26" ht="28.8" x14ac:dyDescent="0.3">
      <c r="A2815" s="373" t="s">
        <v>22</v>
      </c>
      <c r="B2815" s="373" t="s">
        <v>23</v>
      </c>
      <c r="C2815" s="373" t="s">
        <v>257</v>
      </c>
      <c r="D2815" s="373"/>
      <c r="E2815" s="373" t="s">
        <v>408</v>
      </c>
      <c r="F2815" s="373" t="s">
        <v>75</v>
      </c>
      <c r="G2815" s="637" t="s">
        <v>5007</v>
      </c>
      <c r="H2815" s="461" t="s">
        <v>4660</v>
      </c>
      <c r="I2815" s="178" t="s">
        <v>4660</v>
      </c>
      <c r="J2815" s="729">
        <v>45251</v>
      </c>
      <c r="K2815" s="773">
        <v>0.75</v>
      </c>
      <c r="L2815" s="729">
        <v>45251</v>
      </c>
      <c r="M2815" s="773">
        <v>0.77083333333333337</v>
      </c>
      <c r="N2815" s="373">
        <v>0.5</v>
      </c>
      <c r="O2815" s="184" t="s">
        <v>17</v>
      </c>
      <c r="P2815" s="375" t="s">
        <v>4725</v>
      </c>
      <c r="Q2815" s="179" t="s">
        <v>1441</v>
      </c>
      <c r="R2815" s="31" t="s">
        <v>95</v>
      </c>
      <c r="S2815" s="31" t="s">
        <v>273</v>
      </c>
      <c r="T2815" s="31" t="s">
        <v>273</v>
      </c>
      <c r="U2815" s="31">
        <f>IFERROR(VLOOKUP(CONCATENATE(Tabla1[[#This Row],[Severidad]]," ",Tabla1[[#This Row],[Complejidad]]),Catalogos!E$120:G$128,3,FALSE),"")</f>
        <v>64</v>
      </c>
      <c r="V2815" s="31" t="str">
        <f>IF(Tabla1[[#This Row],[Tiempo solución max (hrs)]]&lt;&gt;"",IF(Tabla1[[#This Row],[Tiempo solución max (hrs)]]&gt;=Tabla1[[#This Row],[Tiempo
(Hrs 00/100)]],"cumple","no cumple"),"")</f>
        <v>cumple</v>
      </c>
      <c r="W2815" s="376" t="s">
        <v>4210</v>
      </c>
      <c r="X2815" s="377" t="str">
        <f t="shared" si="217"/>
        <v>SSI</v>
      </c>
      <c r="Y2815" t="str">
        <f>SUBSTITUTE(Tabla1[[#This Row],[Descripción]],CHAR(10),"    I    ")</f>
        <v xml:space="preserve">Se validó que la información que retorna la consulta con los distintos parametros sea la correcta </v>
      </c>
      <c r="Z2815" s="142">
        <f>VLOOKUP(Tabla1[[#This Row],[Perfil]],Catalogos!$B$75:$D$100,3,FALSE)*Tabla1[[#This Row],[Tiempo
(Hrs 00/100)]]*1.16</f>
        <v>348</v>
      </c>
    </row>
    <row r="2816" spans="1:26" ht="43.2" x14ac:dyDescent="0.3">
      <c r="A2816" s="373" t="s">
        <v>22</v>
      </c>
      <c r="B2816" s="373" t="s">
        <v>23</v>
      </c>
      <c r="C2816" s="373" t="s">
        <v>257</v>
      </c>
      <c r="D2816" s="373"/>
      <c r="E2816" s="373" t="s">
        <v>408</v>
      </c>
      <c r="F2816" s="373" t="s">
        <v>23</v>
      </c>
      <c r="G2816" s="637" t="s">
        <v>5008</v>
      </c>
      <c r="H2816" s="461" t="s">
        <v>4788</v>
      </c>
      <c r="I2816" s="178" t="s">
        <v>4789</v>
      </c>
      <c r="J2816" s="729">
        <v>45251</v>
      </c>
      <c r="K2816" s="773">
        <v>0.77083333333333337</v>
      </c>
      <c r="L2816" s="729">
        <v>45251</v>
      </c>
      <c r="M2816" s="773">
        <v>0.83333333333333337</v>
      </c>
      <c r="N2816" s="373">
        <v>1.5</v>
      </c>
      <c r="O2816" s="184" t="s">
        <v>17</v>
      </c>
      <c r="P2816" s="375" t="s">
        <v>4725</v>
      </c>
      <c r="Q2816" s="179" t="s">
        <v>1441</v>
      </c>
      <c r="R2816" s="31" t="s">
        <v>95</v>
      </c>
      <c r="S2816" s="31" t="s">
        <v>273</v>
      </c>
      <c r="T2816" s="31" t="s">
        <v>273</v>
      </c>
      <c r="U2816" s="31">
        <f>IFERROR(VLOOKUP(CONCATENATE(Tabla1[[#This Row],[Severidad]]," ",Tabla1[[#This Row],[Complejidad]]),Catalogos!E$120:G$128,3,FALSE),"")</f>
        <v>64</v>
      </c>
      <c r="V2816" s="31" t="str">
        <f>IF(Tabla1[[#This Row],[Tiempo solución max (hrs)]]&lt;&gt;"",IF(Tabla1[[#This Row],[Tiempo solución max (hrs)]]&gt;=Tabla1[[#This Row],[Tiempo
(Hrs 00/100)]],"cumple","no cumple"),"")</f>
        <v>cumple</v>
      </c>
      <c r="W2816" s="376" t="s">
        <v>4210</v>
      </c>
      <c r="X2816" s="377" t="str">
        <f t="shared" si="217"/>
        <v>SSI</v>
      </c>
      <c r="Y2816" t="str">
        <f>SUBSTITUTE(Tabla1[[#This Row],[Descripción]],CHAR(10),"    I    ")</f>
        <v>Se trabajó en el 7mo procedimiento 'OBTENER_COMISIONADO' con sus respectivas variables TAB y con su consulta previamente validada, se compila sin erro</v>
      </c>
      <c r="Z2816" s="142">
        <f>VLOOKUP(Tabla1[[#This Row],[Perfil]],Catalogos!$B$75:$D$100,3,FALSE)*Tabla1[[#This Row],[Tiempo
(Hrs 00/100)]]*1.16</f>
        <v>1044</v>
      </c>
    </row>
    <row r="2817" spans="1:26" ht="43.2" x14ac:dyDescent="0.3">
      <c r="A2817" s="373" t="s">
        <v>22</v>
      </c>
      <c r="B2817" s="373" t="s">
        <v>23</v>
      </c>
      <c r="C2817" s="373" t="s">
        <v>257</v>
      </c>
      <c r="D2817" s="373"/>
      <c r="E2817" s="373" t="s">
        <v>408</v>
      </c>
      <c r="F2817" s="373" t="s">
        <v>75</v>
      </c>
      <c r="G2817" s="637" t="s">
        <v>5009</v>
      </c>
      <c r="H2817" s="461" t="s">
        <v>4790</v>
      </c>
      <c r="I2817" s="178" t="s">
        <v>4791</v>
      </c>
      <c r="J2817" s="729">
        <v>45252</v>
      </c>
      <c r="K2817" s="773">
        <v>0.375</v>
      </c>
      <c r="L2817" s="729">
        <v>45252</v>
      </c>
      <c r="M2817" s="773">
        <v>0.41666666666666669</v>
      </c>
      <c r="N2817" s="373">
        <v>1</v>
      </c>
      <c r="O2817" s="184" t="s">
        <v>17</v>
      </c>
      <c r="P2817" s="375" t="s">
        <v>4725</v>
      </c>
      <c r="Q2817" s="179" t="s">
        <v>1441</v>
      </c>
      <c r="R2817" s="31" t="s">
        <v>95</v>
      </c>
      <c r="S2817" s="31" t="s">
        <v>273</v>
      </c>
      <c r="T2817" s="31" t="s">
        <v>273</v>
      </c>
      <c r="U2817" s="31">
        <f>IFERROR(VLOOKUP(CONCATENATE(Tabla1[[#This Row],[Severidad]]," ",Tabla1[[#This Row],[Complejidad]]),Catalogos!E$120:G$128,3,FALSE),"")</f>
        <v>64</v>
      </c>
      <c r="V2817" s="31" t="str">
        <f>IF(Tabla1[[#This Row],[Tiempo solución max (hrs)]]&lt;&gt;"",IF(Tabla1[[#This Row],[Tiempo solución max (hrs)]]&gt;=Tabla1[[#This Row],[Tiempo
(Hrs 00/100)]],"cumple","no cumple"),"")</f>
        <v>cumple</v>
      </c>
      <c r="W2817" s="376" t="s">
        <v>4210</v>
      </c>
      <c r="X2817" s="377" t="str">
        <f t="shared" si="217"/>
        <v>SSI</v>
      </c>
      <c r="Y2817" t="str">
        <f>SUBSTITUTE(Tabla1[[#This Row],[Descripción]],CHAR(10),"    I    ")</f>
        <v xml:space="preserve">Se validó el paquete-procedimiento 'OBTENER_COMISIONADO' con el bloque anónimo correcto y se tuvo un resultado exitoso con la salida del cursor completo </v>
      </c>
      <c r="Z2817" s="142">
        <f>VLOOKUP(Tabla1[[#This Row],[Perfil]],Catalogos!$B$75:$D$100,3,FALSE)*Tabla1[[#This Row],[Tiempo
(Hrs 00/100)]]*1.16</f>
        <v>696</v>
      </c>
    </row>
    <row r="2818" spans="1:26" ht="28.8" x14ac:dyDescent="0.3">
      <c r="A2818" s="373" t="s">
        <v>22</v>
      </c>
      <c r="B2818" s="373" t="s">
        <v>61</v>
      </c>
      <c r="C2818" s="373" t="s">
        <v>257</v>
      </c>
      <c r="D2818" s="373"/>
      <c r="E2818" s="373" t="s">
        <v>408</v>
      </c>
      <c r="F2818" s="373" t="s">
        <v>76</v>
      </c>
      <c r="G2818" s="373" t="s">
        <v>5010</v>
      </c>
      <c r="H2818" s="461" t="s">
        <v>4707</v>
      </c>
      <c r="I2818" s="178" t="s">
        <v>5203</v>
      </c>
      <c r="J2818" s="729">
        <v>45252</v>
      </c>
      <c r="K2818" s="773">
        <v>0.41666666666666669</v>
      </c>
      <c r="L2818" s="729">
        <v>45252</v>
      </c>
      <c r="M2818" s="773">
        <v>0.4375</v>
      </c>
      <c r="N2818" s="373">
        <v>0.5</v>
      </c>
      <c r="O2818" s="184" t="s">
        <v>17</v>
      </c>
      <c r="P2818" s="375" t="s">
        <v>4725</v>
      </c>
      <c r="Q2818" s="179" t="s">
        <v>1441</v>
      </c>
      <c r="R2818" s="31" t="s">
        <v>95</v>
      </c>
      <c r="S2818" s="31" t="s">
        <v>273</v>
      </c>
      <c r="T2818" s="31" t="s">
        <v>273</v>
      </c>
      <c r="U2818" s="31">
        <f>IFERROR(VLOOKUP(CONCATENATE(Tabla1[[#This Row],[Severidad]]," ",Tabla1[[#This Row],[Complejidad]]),Catalogos!E$120:G$128,3,FALSE),"")</f>
        <v>64</v>
      </c>
      <c r="V2818" s="31" t="str">
        <f>IF(Tabla1[[#This Row],[Tiempo solución max (hrs)]]&lt;&gt;"",IF(Tabla1[[#This Row],[Tiempo solución max (hrs)]]&gt;=Tabla1[[#This Row],[Tiempo
(Hrs 00/100)]],"cumple","no cumple"),"")</f>
        <v>cumple</v>
      </c>
      <c r="W2818" s="376" t="s">
        <v>4210</v>
      </c>
      <c r="X2818" s="377" t="str">
        <f t="shared" si="217"/>
        <v>SSI</v>
      </c>
      <c r="Y2818" t="str">
        <f>SUBSTITUTE(Tabla1[[#This Row],[Descripción]],CHAR(10),"    I    ")</f>
        <v xml:space="preserve">Se le explicó al equipo que ya esta esté 7mo procedimiento para que lo revisen y consuman desde el aplicación </v>
      </c>
      <c r="Z2818" s="142">
        <f>VLOOKUP(Tabla1[[#This Row],[Perfil]],Catalogos!$B$75:$D$100,3,FALSE)*Tabla1[[#This Row],[Tiempo
(Hrs 00/100)]]*1.16</f>
        <v>348</v>
      </c>
    </row>
    <row r="2819" spans="1:26" ht="43.2" x14ac:dyDescent="0.3">
      <c r="A2819" s="373" t="s">
        <v>22</v>
      </c>
      <c r="B2819" s="373" t="s">
        <v>23</v>
      </c>
      <c r="C2819" s="373" t="s">
        <v>257</v>
      </c>
      <c r="D2819" s="373"/>
      <c r="E2819" s="373" t="s">
        <v>408</v>
      </c>
      <c r="F2819" s="373" t="s">
        <v>23</v>
      </c>
      <c r="G2819" s="373" t="s">
        <v>5011</v>
      </c>
      <c r="H2819" s="461" t="s">
        <v>4792</v>
      </c>
      <c r="I2819" s="178" t="s">
        <v>4793</v>
      </c>
      <c r="J2819" s="729">
        <v>45252</v>
      </c>
      <c r="K2819" s="773">
        <v>0.4375</v>
      </c>
      <c r="L2819" s="729">
        <v>45252</v>
      </c>
      <c r="M2819" s="773">
        <v>0.47916666666666669</v>
      </c>
      <c r="N2819" s="373">
        <v>1</v>
      </c>
      <c r="O2819" s="184" t="s">
        <v>17</v>
      </c>
      <c r="P2819" s="375" t="s">
        <v>4639</v>
      </c>
      <c r="Q2819" s="179" t="s">
        <v>1441</v>
      </c>
      <c r="R2819" s="31" t="s">
        <v>95</v>
      </c>
      <c r="S2819" s="31" t="s">
        <v>273</v>
      </c>
      <c r="T2819" s="31" t="s">
        <v>273</v>
      </c>
      <c r="U2819" s="31">
        <f>IFERROR(VLOOKUP(CONCATENATE(Tabla1[[#This Row],[Severidad]]," ",Tabla1[[#This Row],[Complejidad]]),Catalogos!E$120:G$128,3,FALSE),"")</f>
        <v>64</v>
      </c>
      <c r="V2819" s="31" t="str">
        <f>IF(Tabla1[[#This Row],[Tiempo solución max (hrs)]]&lt;&gt;"",IF(Tabla1[[#This Row],[Tiempo solución max (hrs)]]&gt;=Tabla1[[#This Row],[Tiempo
(Hrs 00/100)]],"cumple","no cumple"),"")</f>
        <v>cumple</v>
      </c>
      <c r="W2819" s="376" t="s">
        <v>4210</v>
      </c>
      <c r="X2819" s="377" t="str">
        <f t="shared" si="217"/>
        <v>SSI</v>
      </c>
      <c r="Y2819" t="str">
        <f>SUBSTITUTE(Tabla1[[#This Row],[Descripción]],CHAR(10),"    I    ")</f>
        <v xml:space="preserve">Se construyeron las distintas consultas para tratar el 7mo procedimiento de banderas 'OBTENER_FG_PREVENCION' de SOLICITUDES, para tratar los condicionales </v>
      </c>
      <c r="Z2819" s="142">
        <f>VLOOKUP(Tabla1[[#This Row],[Perfil]],Catalogos!$B$75:$D$100,3,FALSE)*Tabla1[[#This Row],[Tiempo
(Hrs 00/100)]]*1.16</f>
        <v>696</v>
      </c>
    </row>
    <row r="2820" spans="1:26" ht="28.8" x14ac:dyDescent="0.3">
      <c r="A2820" s="373" t="s">
        <v>22</v>
      </c>
      <c r="B2820" s="373" t="s">
        <v>23</v>
      </c>
      <c r="C2820" s="373" t="s">
        <v>257</v>
      </c>
      <c r="D2820" s="373"/>
      <c r="E2820" s="373" t="s">
        <v>408</v>
      </c>
      <c r="F2820" s="373" t="s">
        <v>75</v>
      </c>
      <c r="G2820" s="373" t="s">
        <v>5012</v>
      </c>
      <c r="H2820" s="461" t="s">
        <v>4794</v>
      </c>
      <c r="I2820" s="178" t="s">
        <v>4794</v>
      </c>
      <c r="J2820" s="729">
        <v>45252</v>
      </c>
      <c r="K2820" s="773">
        <v>0.47916666666666669</v>
      </c>
      <c r="L2820" s="729">
        <v>45252</v>
      </c>
      <c r="M2820" s="773">
        <v>0.52083333333333337</v>
      </c>
      <c r="N2820" s="373">
        <v>1</v>
      </c>
      <c r="O2820" s="184" t="s">
        <v>17</v>
      </c>
      <c r="P2820" s="375" t="s">
        <v>4639</v>
      </c>
      <c r="Q2820" s="179" t="s">
        <v>1441</v>
      </c>
      <c r="R2820" s="31" t="s">
        <v>95</v>
      </c>
      <c r="S2820" s="31" t="s">
        <v>273</v>
      </c>
      <c r="T2820" s="31" t="s">
        <v>273</v>
      </c>
      <c r="U2820" s="31">
        <f>IFERROR(VLOOKUP(CONCATENATE(Tabla1[[#This Row],[Severidad]]," ",Tabla1[[#This Row],[Complejidad]]),Catalogos!E$120:G$128,3,FALSE),"")</f>
        <v>64</v>
      </c>
      <c r="V2820" s="31" t="str">
        <f>IF(Tabla1[[#This Row],[Tiempo solución max (hrs)]]&lt;&gt;"",IF(Tabla1[[#This Row],[Tiempo solución max (hrs)]]&gt;=Tabla1[[#This Row],[Tiempo
(Hrs 00/100)]],"cumple","no cumple"),"")</f>
        <v>cumple</v>
      </c>
      <c r="W2820" s="376" t="s">
        <v>4210</v>
      </c>
      <c r="X2820" s="377" t="str">
        <f t="shared" si="217"/>
        <v>SSI</v>
      </c>
      <c r="Y2820" t="str">
        <f>SUBSTITUTE(Tabla1[[#This Row],[Descripción]],CHAR(10),"    I    ")</f>
        <v xml:space="preserve">Se validó que la información que retorna de las distintas consultas con los distintos parametros sea la correcta </v>
      </c>
      <c r="Z2820" s="142">
        <f>VLOOKUP(Tabla1[[#This Row],[Perfil]],Catalogos!$B$75:$D$100,3,FALSE)*Tabla1[[#This Row],[Tiempo
(Hrs 00/100)]]*1.16</f>
        <v>696</v>
      </c>
    </row>
    <row r="2821" spans="1:26" ht="43.2" x14ac:dyDescent="0.3">
      <c r="A2821" s="373" t="s">
        <v>22</v>
      </c>
      <c r="B2821" s="373" t="s">
        <v>23</v>
      </c>
      <c r="C2821" s="373" t="s">
        <v>257</v>
      </c>
      <c r="D2821" s="373"/>
      <c r="E2821" s="373" t="s">
        <v>408</v>
      </c>
      <c r="F2821" s="373" t="s">
        <v>23</v>
      </c>
      <c r="G2821" s="373" t="s">
        <v>5013</v>
      </c>
      <c r="H2821" s="461" t="s">
        <v>4795</v>
      </c>
      <c r="I2821" s="178" t="s">
        <v>4796</v>
      </c>
      <c r="J2821" s="729">
        <v>45252</v>
      </c>
      <c r="K2821" s="773">
        <v>0.52083333333333337</v>
      </c>
      <c r="L2821" s="729">
        <v>45252</v>
      </c>
      <c r="M2821" s="773">
        <v>0.58333333333333337</v>
      </c>
      <c r="N2821" s="373">
        <v>1.5</v>
      </c>
      <c r="O2821" s="184" t="s">
        <v>17</v>
      </c>
      <c r="P2821" s="375" t="s">
        <v>4639</v>
      </c>
      <c r="Q2821" s="179" t="s">
        <v>1441</v>
      </c>
      <c r="R2821" s="31" t="s">
        <v>95</v>
      </c>
      <c r="S2821" s="31" t="s">
        <v>273</v>
      </c>
      <c r="T2821" s="31" t="s">
        <v>273</v>
      </c>
      <c r="U2821" s="31">
        <f>IFERROR(VLOOKUP(CONCATENATE(Tabla1[[#This Row],[Severidad]]," ",Tabla1[[#This Row],[Complejidad]]),Catalogos!E$120:G$128,3,FALSE),"")</f>
        <v>64</v>
      </c>
      <c r="V2821" s="31" t="str">
        <f>IF(Tabla1[[#This Row],[Tiempo solución max (hrs)]]&lt;&gt;"",IF(Tabla1[[#This Row],[Tiempo solución max (hrs)]]&gt;=Tabla1[[#This Row],[Tiempo
(Hrs 00/100)]],"cumple","no cumple"),"")</f>
        <v>cumple</v>
      </c>
      <c r="W2821" s="376" t="s">
        <v>4210</v>
      </c>
      <c r="X2821" s="377" t="str">
        <f t="shared" si="217"/>
        <v>SSI</v>
      </c>
      <c r="Y2821" t="str">
        <f>SUBSTITUTE(Tabla1[[#This Row],[Descripción]],CHAR(10),"    I    ")</f>
        <v xml:space="preserve">Se trabajó con los ajustes del 7mo procedimiento de banderas 'OBTENER_FG_PREVENCION', con las consultas necesarias de las condicionantes previamente validadas, se compila sin errores </v>
      </c>
      <c r="Z2821" s="142">
        <f>VLOOKUP(Tabla1[[#This Row],[Perfil]],Catalogos!$B$75:$D$100,3,FALSE)*Tabla1[[#This Row],[Tiempo
(Hrs 00/100)]]*1.16</f>
        <v>1044</v>
      </c>
    </row>
    <row r="2822" spans="1:26" ht="43.2" x14ac:dyDescent="0.3">
      <c r="A2822" s="373" t="s">
        <v>22</v>
      </c>
      <c r="B2822" s="373" t="s">
        <v>23</v>
      </c>
      <c r="C2822" s="373" t="s">
        <v>257</v>
      </c>
      <c r="D2822" s="373"/>
      <c r="E2822" s="373" t="s">
        <v>408</v>
      </c>
      <c r="F2822" s="373" t="s">
        <v>75</v>
      </c>
      <c r="G2822" s="373" t="s">
        <v>5014</v>
      </c>
      <c r="H2822" s="461" t="s">
        <v>3640</v>
      </c>
      <c r="I2822" s="178" t="s">
        <v>4797</v>
      </c>
      <c r="J2822" s="729">
        <v>45252</v>
      </c>
      <c r="K2822" s="773">
        <v>0.58333333333333337</v>
      </c>
      <c r="L2822" s="729">
        <v>45252</v>
      </c>
      <c r="M2822" s="773">
        <v>0.60416666666666663</v>
      </c>
      <c r="N2822" s="373">
        <v>0.5</v>
      </c>
      <c r="O2822" s="184" t="s">
        <v>17</v>
      </c>
      <c r="P2822" s="375" t="s">
        <v>4639</v>
      </c>
      <c r="Q2822" s="179" t="s">
        <v>1441</v>
      </c>
      <c r="R2822" s="31" t="s">
        <v>95</v>
      </c>
      <c r="S2822" s="31" t="s">
        <v>273</v>
      </c>
      <c r="T2822" s="31" t="s">
        <v>273</v>
      </c>
      <c r="U2822" s="31">
        <f>IFERROR(VLOOKUP(CONCATENATE(Tabla1[[#This Row],[Severidad]]," ",Tabla1[[#This Row],[Complejidad]]),Catalogos!E$120:G$128,3,FALSE),"")</f>
        <v>64</v>
      </c>
      <c r="V2822" s="31" t="str">
        <f>IF(Tabla1[[#This Row],[Tiempo solución max (hrs)]]&lt;&gt;"",IF(Tabla1[[#This Row],[Tiempo solución max (hrs)]]&gt;=Tabla1[[#This Row],[Tiempo
(Hrs 00/100)]],"cumple","no cumple"),"")</f>
        <v>cumple</v>
      </c>
      <c r="W2822" s="376" t="s">
        <v>4210</v>
      </c>
      <c r="X2822" s="377" t="str">
        <f t="shared" si="217"/>
        <v>SSI</v>
      </c>
      <c r="Y2822" t="str">
        <f>SUBSTITUTE(Tabla1[[#This Row],[Descripción]],CHAR(10),"    I    ")</f>
        <v xml:space="preserve">Se validó el paquete-procedimiento 'OBTENER_FG_PREVENCION' con el bloque anónimo correcto y se tuvo un resultado exitoso con la salida del cursor completo </v>
      </c>
      <c r="Z2822" s="142">
        <f>VLOOKUP(Tabla1[[#This Row],[Perfil]],Catalogos!$B$75:$D$100,3,FALSE)*Tabla1[[#This Row],[Tiempo
(Hrs 00/100)]]*1.16</f>
        <v>348</v>
      </c>
    </row>
    <row r="2823" spans="1:26" ht="43.2" x14ac:dyDescent="0.3">
      <c r="A2823" s="373" t="s">
        <v>22</v>
      </c>
      <c r="B2823" s="373" t="s">
        <v>61</v>
      </c>
      <c r="C2823" s="373" t="s">
        <v>257</v>
      </c>
      <c r="D2823" s="373"/>
      <c r="E2823" s="373" t="s">
        <v>408</v>
      </c>
      <c r="F2823" s="373" t="s">
        <v>76</v>
      </c>
      <c r="G2823" s="373" t="s">
        <v>5015</v>
      </c>
      <c r="H2823" s="461" t="s">
        <v>4798</v>
      </c>
      <c r="I2823" s="178" t="s">
        <v>5204</v>
      </c>
      <c r="J2823" s="729">
        <v>45252</v>
      </c>
      <c r="K2823" s="773">
        <v>0.66666666666666663</v>
      </c>
      <c r="L2823" s="729">
        <v>45252</v>
      </c>
      <c r="M2823" s="773">
        <v>0.6875</v>
      </c>
      <c r="N2823" s="373">
        <v>0.5</v>
      </c>
      <c r="O2823" s="184" t="s">
        <v>17</v>
      </c>
      <c r="P2823" s="375" t="s">
        <v>4639</v>
      </c>
      <c r="Q2823" s="179" t="s">
        <v>1441</v>
      </c>
      <c r="R2823" s="31" t="s">
        <v>95</v>
      </c>
      <c r="S2823" s="31" t="s">
        <v>273</v>
      </c>
      <c r="T2823" s="31" t="s">
        <v>273</v>
      </c>
      <c r="U2823" s="31">
        <f>IFERROR(VLOOKUP(CONCATENATE(Tabla1[[#This Row],[Severidad]]," ",Tabla1[[#This Row],[Complejidad]]),Catalogos!E$120:G$128,3,FALSE),"")</f>
        <v>64</v>
      </c>
      <c r="V2823" s="31" t="str">
        <f>IF(Tabla1[[#This Row],[Tiempo solución max (hrs)]]&lt;&gt;"",IF(Tabla1[[#This Row],[Tiempo solución max (hrs)]]&gt;=Tabla1[[#This Row],[Tiempo
(Hrs 00/100)]],"cumple","no cumple"),"")</f>
        <v>cumple</v>
      </c>
      <c r="W2823" s="376" t="s">
        <v>4210</v>
      </c>
      <c r="X2823" s="377" t="str">
        <f t="shared" si="217"/>
        <v>SSI</v>
      </c>
      <c r="Y2823" t="str">
        <f>SUBSTITUTE(Tabla1[[#This Row],[Descripción]],CHAR(10),"    I    ")</f>
        <v xml:space="preserve">Se le explicó al equipo que ya estan los ajustes para el 7mo procedimiento de banderas 'OBTENER_FG_PREVENCION',para que lo revisen y consuman desde el aplicativo </v>
      </c>
      <c r="Z2823" s="142">
        <f>VLOOKUP(Tabla1[[#This Row],[Perfil]],Catalogos!$B$75:$D$100,3,FALSE)*Tabla1[[#This Row],[Tiempo
(Hrs 00/100)]]*1.16</f>
        <v>348</v>
      </c>
    </row>
    <row r="2824" spans="1:26" ht="43.2" x14ac:dyDescent="0.3">
      <c r="A2824" s="373" t="s">
        <v>22</v>
      </c>
      <c r="B2824" s="373" t="s">
        <v>23</v>
      </c>
      <c r="C2824" s="373" t="s">
        <v>257</v>
      </c>
      <c r="D2824" s="373"/>
      <c r="E2824" s="373" t="s">
        <v>408</v>
      </c>
      <c r="F2824" s="373" t="s">
        <v>23</v>
      </c>
      <c r="G2824" s="373" t="s">
        <v>5016</v>
      </c>
      <c r="H2824" s="461" t="s">
        <v>4799</v>
      </c>
      <c r="I2824" s="178" t="s">
        <v>4800</v>
      </c>
      <c r="J2824" s="729">
        <v>45252</v>
      </c>
      <c r="K2824" s="773">
        <v>0.6875</v>
      </c>
      <c r="L2824" s="729">
        <v>45252</v>
      </c>
      <c r="M2824" s="773">
        <v>0.72916666666666663</v>
      </c>
      <c r="N2824" s="373">
        <v>1</v>
      </c>
      <c r="O2824" s="184" t="s">
        <v>17</v>
      </c>
      <c r="P2824" s="375" t="s">
        <v>4639</v>
      </c>
      <c r="Q2824" s="179" t="s">
        <v>1441</v>
      </c>
      <c r="R2824" s="31" t="s">
        <v>95</v>
      </c>
      <c r="S2824" s="31" t="s">
        <v>273</v>
      </c>
      <c r="T2824" s="31" t="s">
        <v>273</v>
      </c>
      <c r="U2824" s="31">
        <f>IFERROR(VLOOKUP(CONCATENATE(Tabla1[[#This Row],[Severidad]]," ",Tabla1[[#This Row],[Complejidad]]),Catalogos!E$120:G$128,3,FALSE),"")</f>
        <v>64</v>
      </c>
      <c r="V2824" s="31" t="str">
        <f>IF(Tabla1[[#This Row],[Tiempo solución max (hrs)]]&lt;&gt;"",IF(Tabla1[[#This Row],[Tiempo solución max (hrs)]]&gt;=Tabla1[[#This Row],[Tiempo
(Hrs 00/100)]],"cumple","no cumple"),"")</f>
        <v>cumple</v>
      </c>
      <c r="W2824" s="376" t="s">
        <v>4210</v>
      </c>
      <c r="X2824" s="377" t="str">
        <f t="shared" ref="X2824:X2836" si="218">IF(C2824&lt;&gt;"",C2824,D2824)</f>
        <v>SSI</v>
      </c>
      <c r="Y2824" t="str">
        <f>SUBSTITUTE(Tabla1[[#This Row],[Descripción]],CHAR(10),"    I    ")</f>
        <v xml:space="preserve">Se construyeron las distintas consultas para tratar el 8vo procedimiento de banderas 'OBTENER_FG_DISPONIBILIDAD' de SOLICITUDES, para tratar los condicionales </v>
      </c>
      <c r="Z2824" s="142">
        <f>VLOOKUP(Tabla1[[#This Row],[Perfil]],Catalogos!$B$75:$D$100,3,FALSE)*Tabla1[[#This Row],[Tiempo
(Hrs 00/100)]]*1.16</f>
        <v>696</v>
      </c>
    </row>
    <row r="2825" spans="1:26" ht="28.8" x14ac:dyDescent="0.3">
      <c r="A2825" s="373" t="s">
        <v>22</v>
      </c>
      <c r="B2825" s="373" t="s">
        <v>23</v>
      </c>
      <c r="C2825" s="373" t="s">
        <v>257</v>
      </c>
      <c r="D2825" s="373"/>
      <c r="E2825" s="373" t="s">
        <v>408</v>
      </c>
      <c r="F2825" s="373" t="s">
        <v>75</v>
      </c>
      <c r="G2825" s="373" t="s">
        <v>5017</v>
      </c>
      <c r="H2825" s="461" t="s">
        <v>4794</v>
      </c>
      <c r="I2825" s="178" t="s">
        <v>4794</v>
      </c>
      <c r="J2825" s="729">
        <v>45252</v>
      </c>
      <c r="K2825" s="773">
        <v>0.72916666666666663</v>
      </c>
      <c r="L2825" s="729">
        <v>45252</v>
      </c>
      <c r="M2825" s="773">
        <v>0.77083333333333337</v>
      </c>
      <c r="N2825" s="373">
        <v>1</v>
      </c>
      <c r="O2825" s="184" t="s">
        <v>17</v>
      </c>
      <c r="P2825" s="375" t="s">
        <v>4639</v>
      </c>
      <c r="Q2825" s="179" t="s">
        <v>1441</v>
      </c>
      <c r="R2825" s="31" t="s">
        <v>95</v>
      </c>
      <c r="S2825" s="31" t="s">
        <v>273</v>
      </c>
      <c r="T2825" s="31" t="s">
        <v>273</v>
      </c>
      <c r="U2825" s="31">
        <f>IFERROR(VLOOKUP(CONCATENATE(Tabla1[[#This Row],[Severidad]]," ",Tabla1[[#This Row],[Complejidad]]),Catalogos!E$120:G$128,3,FALSE),"")</f>
        <v>64</v>
      </c>
      <c r="V2825" s="31" t="str">
        <f>IF(Tabla1[[#This Row],[Tiempo solución max (hrs)]]&lt;&gt;"",IF(Tabla1[[#This Row],[Tiempo solución max (hrs)]]&gt;=Tabla1[[#This Row],[Tiempo
(Hrs 00/100)]],"cumple","no cumple"),"")</f>
        <v>cumple</v>
      </c>
      <c r="W2825" s="376" t="s">
        <v>4210</v>
      </c>
      <c r="X2825" s="377" t="str">
        <f t="shared" si="218"/>
        <v>SSI</v>
      </c>
      <c r="Y2825" t="str">
        <f>SUBSTITUTE(Tabla1[[#This Row],[Descripción]],CHAR(10),"    I    ")</f>
        <v xml:space="preserve">Se validó que la información que retorna de las distintas consultas con los distintos parametros sea la correcta </v>
      </c>
      <c r="Z2825" s="142">
        <f>VLOOKUP(Tabla1[[#This Row],[Perfil]],Catalogos!$B$75:$D$100,3,FALSE)*Tabla1[[#This Row],[Tiempo
(Hrs 00/100)]]*1.16</f>
        <v>696</v>
      </c>
    </row>
    <row r="2826" spans="1:26" ht="43.2" x14ac:dyDescent="0.3">
      <c r="A2826" s="373" t="s">
        <v>22</v>
      </c>
      <c r="B2826" s="373" t="s">
        <v>23</v>
      </c>
      <c r="C2826" s="373" t="s">
        <v>257</v>
      </c>
      <c r="D2826" s="373"/>
      <c r="E2826" s="373" t="s">
        <v>408</v>
      </c>
      <c r="F2826" s="373" t="s">
        <v>23</v>
      </c>
      <c r="G2826" s="373" t="s">
        <v>5018</v>
      </c>
      <c r="H2826" s="461" t="s">
        <v>4801</v>
      </c>
      <c r="I2826" s="178" t="s">
        <v>4802</v>
      </c>
      <c r="J2826" s="729">
        <v>45252</v>
      </c>
      <c r="K2826" s="773">
        <v>0.77083333333333337</v>
      </c>
      <c r="L2826" s="729">
        <v>45252</v>
      </c>
      <c r="M2826" s="773">
        <v>0.79166666666666663</v>
      </c>
      <c r="N2826" s="373">
        <v>0.5</v>
      </c>
      <c r="O2826" s="184" t="s">
        <v>17</v>
      </c>
      <c r="P2826" s="375" t="s">
        <v>4639</v>
      </c>
      <c r="Q2826" s="179" t="s">
        <v>1441</v>
      </c>
      <c r="R2826" s="31" t="s">
        <v>95</v>
      </c>
      <c r="S2826" s="31" t="s">
        <v>273</v>
      </c>
      <c r="T2826" s="31" t="s">
        <v>273</v>
      </c>
      <c r="U2826" s="31">
        <f>IFERROR(VLOOKUP(CONCATENATE(Tabla1[[#This Row],[Severidad]]," ",Tabla1[[#This Row],[Complejidad]]),Catalogos!E$120:G$128,3,FALSE),"")</f>
        <v>64</v>
      </c>
      <c r="V2826" s="31" t="str">
        <f>IF(Tabla1[[#This Row],[Tiempo solución max (hrs)]]&lt;&gt;"",IF(Tabla1[[#This Row],[Tiempo solución max (hrs)]]&gt;=Tabla1[[#This Row],[Tiempo
(Hrs 00/100)]],"cumple","no cumple"),"")</f>
        <v>cumple</v>
      </c>
      <c r="W2826" s="376" t="s">
        <v>4210</v>
      </c>
      <c r="X2826" s="377" t="str">
        <f t="shared" si="218"/>
        <v>SSI</v>
      </c>
      <c r="Y2826" t="str">
        <f>SUBSTITUTE(Tabla1[[#This Row],[Descripción]],CHAR(10),"    I    ")</f>
        <v xml:space="preserve">Se trabajó con los ajustes del 8vo procedimiento de banderas 'OBTENER_FG_DISPONIBILIDAD', con las consultas necesarias de las condicionantes previamente validadas, se compila sin errores </v>
      </c>
      <c r="Z2826" s="142">
        <f>VLOOKUP(Tabla1[[#This Row],[Perfil]],Catalogos!$B$75:$D$100,3,FALSE)*Tabla1[[#This Row],[Tiempo
(Hrs 00/100)]]*1.16</f>
        <v>348</v>
      </c>
    </row>
    <row r="2827" spans="1:26" ht="43.2" x14ac:dyDescent="0.3">
      <c r="A2827" s="373" t="s">
        <v>22</v>
      </c>
      <c r="B2827" s="373" t="s">
        <v>23</v>
      </c>
      <c r="C2827" s="373" t="s">
        <v>257</v>
      </c>
      <c r="D2827" s="373"/>
      <c r="E2827" s="373" t="s">
        <v>408</v>
      </c>
      <c r="F2827" s="373" t="s">
        <v>75</v>
      </c>
      <c r="G2827" s="373" t="s">
        <v>5019</v>
      </c>
      <c r="H2827" s="461" t="s">
        <v>3647</v>
      </c>
      <c r="I2827" s="178" t="s">
        <v>4803</v>
      </c>
      <c r="J2827" s="729">
        <v>45253</v>
      </c>
      <c r="K2827" s="773">
        <v>0.375</v>
      </c>
      <c r="L2827" s="729">
        <v>45253</v>
      </c>
      <c r="M2827" s="773">
        <v>0.41666666666666669</v>
      </c>
      <c r="N2827" s="373">
        <v>1</v>
      </c>
      <c r="O2827" s="184" t="s">
        <v>17</v>
      </c>
      <c r="P2827" s="375" t="s">
        <v>4639</v>
      </c>
      <c r="Q2827" s="179" t="s">
        <v>1441</v>
      </c>
      <c r="R2827" s="31" t="s">
        <v>95</v>
      </c>
      <c r="S2827" s="31" t="s">
        <v>273</v>
      </c>
      <c r="T2827" s="31" t="s">
        <v>273</v>
      </c>
      <c r="U2827" s="31">
        <f>IFERROR(VLOOKUP(CONCATENATE(Tabla1[[#This Row],[Severidad]]," ",Tabla1[[#This Row],[Complejidad]]),Catalogos!E$120:G$128,3,FALSE),"")</f>
        <v>64</v>
      </c>
      <c r="V2827" s="31" t="str">
        <f>IF(Tabla1[[#This Row],[Tiempo solución max (hrs)]]&lt;&gt;"",IF(Tabla1[[#This Row],[Tiempo solución max (hrs)]]&gt;=Tabla1[[#This Row],[Tiempo
(Hrs 00/100)]],"cumple","no cumple"),"")</f>
        <v>cumple</v>
      </c>
      <c r="W2827" s="376" t="s">
        <v>4210</v>
      </c>
      <c r="X2827" s="377" t="str">
        <f t="shared" si="218"/>
        <v>SSI</v>
      </c>
      <c r="Y2827" t="str">
        <f>SUBSTITUTE(Tabla1[[#This Row],[Descripción]],CHAR(10),"    I    ")</f>
        <v xml:space="preserve">Se validó el paquete-procedimiento 'OBTENER_FG_DISPONIBILIDAD' con el bloque anónimo correcto y se tuvo un resultado exitoso con la salida del cursor completo </v>
      </c>
      <c r="Z2827" s="142">
        <f>VLOOKUP(Tabla1[[#This Row],[Perfil]],Catalogos!$B$75:$D$100,3,FALSE)*Tabla1[[#This Row],[Tiempo
(Hrs 00/100)]]*1.16</f>
        <v>696</v>
      </c>
    </row>
    <row r="2828" spans="1:26" ht="43.2" x14ac:dyDescent="0.3">
      <c r="A2828" s="373" t="s">
        <v>22</v>
      </c>
      <c r="B2828" s="373" t="s">
        <v>61</v>
      </c>
      <c r="C2828" s="373" t="s">
        <v>257</v>
      </c>
      <c r="D2828" s="373"/>
      <c r="E2828" s="373" t="s">
        <v>408</v>
      </c>
      <c r="F2828" s="373" t="s">
        <v>76</v>
      </c>
      <c r="G2828" s="373" t="s">
        <v>5020</v>
      </c>
      <c r="H2828" s="461" t="s">
        <v>4804</v>
      </c>
      <c r="I2828" s="178" t="s">
        <v>5205</v>
      </c>
      <c r="J2828" s="729">
        <v>45253</v>
      </c>
      <c r="K2828" s="773">
        <v>0.41666666666666669</v>
      </c>
      <c r="L2828" s="729">
        <v>45253</v>
      </c>
      <c r="M2828" s="773">
        <v>0.4375</v>
      </c>
      <c r="N2828" s="373">
        <v>0.5</v>
      </c>
      <c r="O2828" s="184" t="s">
        <v>17</v>
      </c>
      <c r="P2828" s="375" t="s">
        <v>4639</v>
      </c>
      <c r="Q2828" s="179" t="s">
        <v>1441</v>
      </c>
      <c r="R2828" s="31" t="s">
        <v>95</v>
      </c>
      <c r="S2828" s="31" t="s">
        <v>273</v>
      </c>
      <c r="T2828" s="31" t="s">
        <v>273</v>
      </c>
      <c r="U2828" s="31">
        <f>IFERROR(VLOOKUP(CONCATENATE(Tabla1[[#This Row],[Severidad]]," ",Tabla1[[#This Row],[Complejidad]]),Catalogos!E$120:G$128,3,FALSE),"")</f>
        <v>64</v>
      </c>
      <c r="V2828" s="31" t="str">
        <f>IF(Tabla1[[#This Row],[Tiempo solución max (hrs)]]&lt;&gt;"",IF(Tabla1[[#This Row],[Tiempo solución max (hrs)]]&gt;=Tabla1[[#This Row],[Tiempo
(Hrs 00/100)]],"cumple","no cumple"),"")</f>
        <v>cumple</v>
      </c>
      <c r="W2828" s="376" t="s">
        <v>4210</v>
      </c>
      <c r="X2828" s="377" t="str">
        <f t="shared" si="218"/>
        <v>SSI</v>
      </c>
      <c r="Y2828" t="str">
        <f>SUBSTITUTE(Tabla1[[#This Row],[Descripción]],CHAR(10),"    I    ")</f>
        <v>Se le explicó al equipo que ya estan los ajustes para el 8vo procedimiento de banderas 'OBTENER_FG_DISPONIBILIDAD',para que lo revisen y consuman desde el aplicativo</v>
      </c>
      <c r="Z2828" s="142">
        <f>VLOOKUP(Tabla1[[#This Row],[Perfil]],Catalogos!$B$75:$D$100,3,FALSE)*Tabla1[[#This Row],[Tiempo
(Hrs 00/100)]]*1.16</f>
        <v>348</v>
      </c>
    </row>
    <row r="2829" spans="1:26" ht="43.2" x14ac:dyDescent="0.3">
      <c r="A2829" s="373" t="s">
        <v>22</v>
      </c>
      <c r="B2829" s="373" t="s">
        <v>23</v>
      </c>
      <c r="C2829" s="373" t="s">
        <v>257</v>
      </c>
      <c r="D2829" s="373"/>
      <c r="E2829" s="373" t="s">
        <v>408</v>
      </c>
      <c r="F2829" s="373" t="s">
        <v>23</v>
      </c>
      <c r="G2829" s="373" t="s">
        <v>5021</v>
      </c>
      <c r="H2829" s="461" t="s">
        <v>4805</v>
      </c>
      <c r="I2829" s="178" t="s">
        <v>4806</v>
      </c>
      <c r="J2829" s="729">
        <v>45253</v>
      </c>
      <c r="K2829" s="773">
        <v>0.4375</v>
      </c>
      <c r="L2829" s="729">
        <v>45253</v>
      </c>
      <c r="M2829" s="773">
        <v>0.47916666666666669</v>
      </c>
      <c r="N2829" s="373">
        <v>1</v>
      </c>
      <c r="O2829" s="184" t="s">
        <v>17</v>
      </c>
      <c r="P2829" s="375" t="s">
        <v>4641</v>
      </c>
      <c r="Q2829" s="179" t="s">
        <v>1441</v>
      </c>
      <c r="R2829" s="31" t="s">
        <v>95</v>
      </c>
      <c r="S2829" s="31" t="s">
        <v>273</v>
      </c>
      <c r="T2829" s="31" t="s">
        <v>273</v>
      </c>
      <c r="U2829" s="31">
        <f>IFERROR(VLOOKUP(CONCATENATE(Tabla1[[#This Row],[Severidad]]," ",Tabla1[[#This Row],[Complejidad]]),Catalogos!E$120:G$128,3,FALSE),"")</f>
        <v>64</v>
      </c>
      <c r="V2829" s="31" t="str">
        <f>IF(Tabla1[[#This Row],[Tiempo solución max (hrs)]]&lt;&gt;"",IF(Tabla1[[#This Row],[Tiempo solución max (hrs)]]&gt;=Tabla1[[#This Row],[Tiempo
(Hrs 00/100)]],"cumple","no cumple"),"")</f>
        <v>cumple</v>
      </c>
      <c r="W2829" s="376" t="s">
        <v>4210</v>
      </c>
      <c r="X2829" s="377" t="str">
        <f t="shared" si="218"/>
        <v>SSI</v>
      </c>
      <c r="Y2829" t="str">
        <f>SUBSTITUTE(Tabla1[[#This Row],[Descripción]],CHAR(10),"    I    ")</f>
        <v xml:space="preserve">Se construyeron las distintas consultas para tratar el 13vo procedimiento de banderas 'OBTENER_FG_QUEJA' de SOLICITUDES, para tratar los condicionales </v>
      </c>
      <c r="Z2829" s="142">
        <f>VLOOKUP(Tabla1[[#This Row],[Perfil]],Catalogos!$B$75:$D$100,3,FALSE)*Tabla1[[#This Row],[Tiempo
(Hrs 00/100)]]*1.16</f>
        <v>696</v>
      </c>
    </row>
    <row r="2830" spans="1:26" ht="28.8" x14ac:dyDescent="0.3">
      <c r="A2830" s="373" t="s">
        <v>22</v>
      </c>
      <c r="B2830" s="373" t="s">
        <v>23</v>
      </c>
      <c r="C2830" s="373" t="s">
        <v>257</v>
      </c>
      <c r="D2830" s="373"/>
      <c r="E2830" s="373" t="s">
        <v>408</v>
      </c>
      <c r="F2830" s="373" t="s">
        <v>75</v>
      </c>
      <c r="G2830" s="373" t="s">
        <v>5022</v>
      </c>
      <c r="H2830" s="461" t="s">
        <v>4807</v>
      </c>
      <c r="I2830" s="178" t="s">
        <v>4807</v>
      </c>
      <c r="J2830" s="729">
        <v>45253</v>
      </c>
      <c r="K2830" s="773">
        <v>0.47916666666666669</v>
      </c>
      <c r="L2830" s="729">
        <v>45253</v>
      </c>
      <c r="M2830" s="773">
        <v>0.52083333333333337</v>
      </c>
      <c r="N2830" s="373">
        <v>1</v>
      </c>
      <c r="O2830" s="184" t="s">
        <v>17</v>
      </c>
      <c r="P2830" s="375" t="s">
        <v>4641</v>
      </c>
      <c r="Q2830" s="179" t="s">
        <v>1441</v>
      </c>
      <c r="R2830" s="31" t="s">
        <v>95</v>
      </c>
      <c r="S2830" s="31" t="s">
        <v>273</v>
      </c>
      <c r="T2830" s="31" t="s">
        <v>273</v>
      </c>
      <c r="U2830" s="31">
        <f>IFERROR(VLOOKUP(CONCATENATE(Tabla1[[#This Row],[Severidad]]," ",Tabla1[[#This Row],[Complejidad]]),Catalogos!E$120:G$128,3,FALSE),"")</f>
        <v>64</v>
      </c>
      <c r="V2830" s="31" t="str">
        <f>IF(Tabla1[[#This Row],[Tiempo solución max (hrs)]]&lt;&gt;"",IF(Tabla1[[#This Row],[Tiempo solución max (hrs)]]&gt;=Tabla1[[#This Row],[Tiempo
(Hrs 00/100)]],"cumple","no cumple"),"")</f>
        <v>cumple</v>
      </c>
      <c r="W2830" s="376" t="s">
        <v>4210</v>
      </c>
      <c r="X2830" s="377" t="str">
        <f t="shared" si="218"/>
        <v>SSI</v>
      </c>
      <c r="Y2830" t="str">
        <f>SUBSTITUTE(Tabla1[[#This Row],[Descripción]],CHAR(10),"    I    ")</f>
        <v xml:space="preserve">Se validó que la información que retorna de las distintas consultas con los distintos parametros sea la correcta - </v>
      </c>
      <c r="Z2830" s="142">
        <f>VLOOKUP(Tabla1[[#This Row],[Perfil]],Catalogos!$B$75:$D$100,3,FALSE)*Tabla1[[#This Row],[Tiempo
(Hrs 00/100)]]*1.16</f>
        <v>696</v>
      </c>
    </row>
    <row r="2831" spans="1:26" ht="43.2" x14ac:dyDescent="0.3">
      <c r="A2831" s="373" t="s">
        <v>22</v>
      </c>
      <c r="B2831" s="373" t="s">
        <v>23</v>
      </c>
      <c r="C2831" s="373" t="s">
        <v>257</v>
      </c>
      <c r="D2831" s="373"/>
      <c r="E2831" s="373" t="s">
        <v>408</v>
      </c>
      <c r="F2831" s="373" t="s">
        <v>23</v>
      </c>
      <c r="G2831" s="373" t="s">
        <v>5023</v>
      </c>
      <c r="H2831" s="461" t="s">
        <v>4808</v>
      </c>
      <c r="I2831" s="178" t="s">
        <v>4809</v>
      </c>
      <c r="J2831" s="729">
        <v>45253</v>
      </c>
      <c r="K2831" s="773">
        <v>0.52083333333333337</v>
      </c>
      <c r="L2831" s="729">
        <v>45253</v>
      </c>
      <c r="M2831" s="773">
        <v>0.5625</v>
      </c>
      <c r="N2831" s="373">
        <v>1</v>
      </c>
      <c r="O2831" s="184" t="s">
        <v>17</v>
      </c>
      <c r="P2831" s="375" t="s">
        <v>4641</v>
      </c>
      <c r="Q2831" s="179" t="s">
        <v>1441</v>
      </c>
      <c r="R2831" s="31" t="s">
        <v>95</v>
      </c>
      <c r="S2831" s="31" t="s">
        <v>273</v>
      </c>
      <c r="T2831" s="31" t="s">
        <v>273</v>
      </c>
      <c r="U2831" s="31">
        <f>IFERROR(VLOOKUP(CONCATENATE(Tabla1[[#This Row],[Severidad]]," ",Tabla1[[#This Row],[Complejidad]]),Catalogos!E$120:G$128,3,FALSE),"")</f>
        <v>64</v>
      </c>
      <c r="V2831" s="31" t="str">
        <f>IF(Tabla1[[#This Row],[Tiempo solución max (hrs)]]&lt;&gt;"",IF(Tabla1[[#This Row],[Tiempo solución max (hrs)]]&gt;=Tabla1[[#This Row],[Tiempo
(Hrs 00/100)]],"cumple","no cumple"),"")</f>
        <v>cumple</v>
      </c>
      <c r="W2831" s="376" t="s">
        <v>4210</v>
      </c>
      <c r="X2831" s="377" t="str">
        <f t="shared" si="218"/>
        <v>SSI</v>
      </c>
      <c r="Y2831" t="str">
        <f>SUBSTITUTE(Tabla1[[#This Row],[Descripción]],CHAR(10),"    I    ")</f>
        <v>Se trabajó con los ajustes del 13vo procedimiento de banderas 'OBTENER_FG_QUEJA', con las consultas necesarias de las condicionantes previamente validadas, se compila sin errores</v>
      </c>
      <c r="Z2831" s="142">
        <f>VLOOKUP(Tabla1[[#This Row],[Perfil]],Catalogos!$B$75:$D$100,3,FALSE)*Tabla1[[#This Row],[Tiempo
(Hrs 00/100)]]*1.16</f>
        <v>696</v>
      </c>
    </row>
    <row r="2832" spans="1:26" ht="43.2" x14ac:dyDescent="0.3">
      <c r="A2832" s="373" t="s">
        <v>22</v>
      </c>
      <c r="B2832" s="373" t="s">
        <v>23</v>
      </c>
      <c r="C2832" s="373" t="s">
        <v>257</v>
      </c>
      <c r="D2832" s="373"/>
      <c r="E2832" s="373" t="s">
        <v>408</v>
      </c>
      <c r="F2832" s="373" t="s">
        <v>75</v>
      </c>
      <c r="G2832" s="373" t="s">
        <v>5024</v>
      </c>
      <c r="H2832" s="461" t="s">
        <v>4763</v>
      </c>
      <c r="I2832" s="178" t="s">
        <v>4764</v>
      </c>
      <c r="J2832" s="729">
        <v>45253</v>
      </c>
      <c r="K2832" s="773">
        <v>0.5625</v>
      </c>
      <c r="L2832" s="729">
        <v>45253</v>
      </c>
      <c r="M2832" s="773">
        <v>0.60416666666666663</v>
      </c>
      <c r="N2832" s="373">
        <v>1</v>
      </c>
      <c r="O2832" s="184" t="s">
        <v>17</v>
      </c>
      <c r="P2832" s="375" t="s">
        <v>4641</v>
      </c>
      <c r="Q2832" s="179" t="s">
        <v>1441</v>
      </c>
      <c r="R2832" s="31" t="s">
        <v>95</v>
      </c>
      <c r="S2832" s="31" t="s">
        <v>273</v>
      </c>
      <c r="T2832" s="31" t="s">
        <v>273</v>
      </c>
      <c r="U2832" s="31">
        <f>IFERROR(VLOOKUP(CONCATENATE(Tabla1[[#This Row],[Severidad]]," ",Tabla1[[#This Row],[Complejidad]]),Catalogos!E$120:G$128,3,FALSE),"")</f>
        <v>64</v>
      </c>
      <c r="V2832" s="31" t="str">
        <f>IF(Tabla1[[#This Row],[Tiempo solución max (hrs)]]&lt;&gt;"",IF(Tabla1[[#This Row],[Tiempo solución max (hrs)]]&gt;=Tabla1[[#This Row],[Tiempo
(Hrs 00/100)]],"cumple","no cumple"),"")</f>
        <v>cumple</v>
      </c>
      <c r="W2832" s="376" t="s">
        <v>4210</v>
      </c>
      <c r="X2832" s="377" t="str">
        <f t="shared" si="218"/>
        <v>SSI</v>
      </c>
      <c r="Y2832" t="str">
        <f>SUBSTITUTE(Tabla1[[#This Row],[Descripción]],CHAR(10),"    I    ")</f>
        <v xml:space="preserve">Se validó el paquete-procedimiento 'OBTENER_FG_QUEJA' con el bloque anónimo correcto y se tuvo un resultado exitoso con la salida del cursor completo </v>
      </c>
      <c r="Z2832" s="142">
        <f>VLOOKUP(Tabla1[[#This Row],[Perfil]],Catalogos!$B$75:$D$100,3,FALSE)*Tabla1[[#This Row],[Tiempo
(Hrs 00/100)]]*1.16</f>
        <v>696</v>
      </c>
    </row>
    <row r="2833" spans="1:26" ht="43.2" x14ac:dyDescent="0.3">
      <c r="A2833" s="373" t="s">
        <v>22</v>
      </c>
      <c r="B2833" s="373" t="s">
        <v>23</v>
      </c>
      <c r="C2833" s="373" t="s">
        <v>257</v>
      </c>
      <c r="D2833" s="373"/>
      <c r="E2833" s="373" t="s">
        <v>408</v>
      </c>
      <c r="F2833" s="373" t="s">
        <v>23</v>
      </c>
      <c r="G2833" s="373" t="s">
        <v>5025</v>
      </c>
      <c r="H2833" s="461" t="s">
        <v>4810</v>
      </c>
      <c r="I2833" s="178" t="s">
        <v>4811</v>
      </c>
      <c r="J2833" s="729">
        <v>45253</v>
      </c>
      <c r="K2833" s="773">
        <v>0.66666666666666663</v>
      </c>
      <c r="L2833" s="729">
        <v>45253</v>
      </c>
      <c r="M2833" s="773">
        <v>0.70833333333333337</v>
      </c>
      <c r="N2833" s="373">
        <v>1</v>
      </c>
      <c r="O2833" s="184" t="s">
        <v>17</v>
      </c>
      <c r="P2833" s="375" t="s">
        <v>4641</v>
      </c>
      <c r="Q2833" s="179" t="s">
        <v>1441</v>
      </c>
      <c r="R2833" s="31" t="s">
        <v>95</v>
      </c>
      <c r="S2833" s="31" t="s">
        <v>273</v>
      </c>
      <c r="T2833" s="31" t="s">
        <v>273</v>
      </c>
      <c r="U2833" s="31">
        <f>IFERROR(VLOOKUP(CONCATENATE(Tabla1[[#This Row],[Severidad]]," ",Tabla1[[#This Row],[Complejidad]]),Catalogos!E$120:G$128,3,FALSE),"")</f>
        <v>64</v>
      </c>
      <c r="V2833" s="31" t="str">
        <f>IF(Tabla1[[#This Row],[Tiempo solución max (hrs)]]&lt;&gt;"",IF(Tabla1[[#This Row],[Tiempo solución max (hrs)]]&gt;=Tabla1[[#This Row],[Tiempo
(Hrs 00/100)]],"cumple","no cumple"),"")</f>
        <v>cumple</v>
      </c>
      <c r="W2833" s="376" t="s">
        <v>4210</v>
      </c>
      <c r="X2833" s="377" t="str">
        <f t="shared" si="218"/>
        <v>SSI</v>
      </c>
      <c r="Y2833" t="str">
        <f>SUBSTITUTE(Tabla1[[#This Row],[Descripción]],CHAR(10),"    I    ")</f>
        <v xml:space="preserve">Se construyeron las distintas consultas para tratar el 5to procedimiento de banderas 'OBTENER_FG_AMPLIADO' de QUEJAS, para tratar los condicionales </v>
      </c>
      <c r="Z2833" s="142">
        <f>VLOOKUP(Tabla1[[#This Row],[Perfil]],Catalogos!$B$75:$D$100,3,FALSE)*Tabla1[[#This Row],[Tiempo
(Hrs 00/100)]]*1.16</f>
        <v>696</v>
      </c>
    </row>
    <row r="2834" spans="1:26" ht="28.8" x14ac:dyDescent="0.3">
      <c r="A2834" s="373" t="s">
        <v>22</v>
      </c>
      <c r="B2834" s="373" t="s">
        <v>23</v>
      </c>
      <c r="C2834" s="373" t="s">
        <v>257</v>
      </c>
      <c r="D2834" s="373"/>
      <c r="E2834" s="373" t="s">
        <v>408</v>
      </c>
      <c r="F2834" s="373" t="s">
        <v>75</v>
      </c>
      <c r="G2834" s="373" t="s">
        <v>5026</v>
      </c>
      <c r="H2834" s="461" t="s">
        <v>4794</v>
      </c>
      <c r="I2834" s="178" t="s">
        <v>4794</v>
      </c>
      <c r="J2834" s="729">
        <v>45253</v>
      </c>
      <c r="K2834" s="773">
        <v>0.70833333333333337</v>
      </c>
      <c r="L2834" s="729">
        <v>45253</v>
      </c>
      <c r="M2834" s="773">
        <v>0.75</v>
      </c>
      <c r="N2834" s="373">
        <v>1</v>
      </c>
      <c r="O2834" s="184" t="s">
        <v>17</v>
      </c>
      <c r="P2834" s="375" t="s">
        <v>4641</v>
      </c>
      <c r="Q2834" s="179" t="s">
        <v>1441</v>
      </c>
      <c r="R2834" s="31" t="s">
        <v>95</v>
      </c>
      <c r="S2834" s="31" t="s">
        <v>273</v>
      </c>
      <c r="T2834" s="31" t="s">
        <v>273</v>
      </c>
      <c r="U2834" s="31">
        <f>IFERROR(VLOOKUP(CONCATENATE(Tabla1[[#This Row],[Severidad]]," ",Tabla1[[#This Row],[Complejidad]]),Catalogos!E$120:G$128,3,FALSE),"")</f>
        <v>64</v>
      </c>
      <c r="V2834" s="31" t="str">
        <f>IF(Tabla1[[#This Row],[Tiempo solución max (hrs)]]&lt;&gt;"",IF(Tabla1[[#This Row],[Tiempo solución max (hrs)]]&gt;=Tabla1[[#This Row],[Tiempo
(Hrs 00/100)]],"cumple","no cumple"),"")</f>
        <v>cumple</v>
      </c>
      <c r="W2834" s="376" t="s">
        <v>4210</v>
      </c>
      <c r="X2834" s="377" t="str">
        <f t="shared" si="218"/>
        <v>SSI</v>
      </c>
      <c r="Y2834" t="str">
        <f>SUBSTITUTE(Tabla1[[#This Row],[Descripción]],CHAR(10),"    I    ")</f>
        <v xml:space="preserve">Se validó que la información que retorna de las distintas consultas con los distintos parametros sea la correcta </v>
      </c>
      <c r="Z2834" s="142">
        <f>VLOOKUP(Tabla1[[#This Row],[Perfil]],Catalogos!$B$75:$D$100,3,FALSE)*Tabla1[[#This Row],[Tiempo
(Hrs 00/100)]]*1.16</f>
        <v>696</v>
      </c>
    </row>
    <row r="2835" spans="1:26" ht="43.2" x14ac:dyDescent="0.3">
      <c r="A2835" s="373" t="s">
        <v>22</v>
      </c>
      <c r="B2835" s="373" t="s">
        <v>23</v>
      </c>
      <c r="C2835" s="373" t="s">
        <v>257</v>
      </c>
      <c r="D2835" s="373"/>
      <c r="E2835" s="373" t="s">
        <v>408</v>
      </c>
      <c r="F2835" s="373" t="s">
        <v>23</v>
      </c>
      <c r="G2835" s="373" t="s">
        <v>5027</v>
      </c>
      <c r="H2835" s="461" t="s">
        <v>4812</v>
      </c>
      <c r="I2835" s="178" t="s">
        <v>4813</v>
      </c>
      <c r="J2835" s="729">
        <v>45253</v>
      </c>
      <c r="K2835" s="773">
        <v>0.75</v>
      </c>
      <c r="L2835" s="729">
        <v>45253</v>
      </c>
      <c r="M2835" s="773">
        <v>0.79166666666666663</v>
      </c>
      <c r="N2835" s="373">
        <v>1</v>
      </c>
      <c r="O2835" s="184" t="s">
        <v>17</v>
      </c>
      <c r="P2835" s="375" t="s">
        <v>4641</v>
      </c>
      <c r="Q2835" s="179" t="s">
        <v>1441</v>
      </c>
      <c r="R2835" s="31" t="s">
        <v>95</v>
      </c>
      <c r="S2835" s="31" t="s">
        <v>273</v>
      </c>
      <c r="T2835" s="31" t="s">
        <v>273</v>
      </c>
      <c r="U2835" s="31">
        <f>IFERROR(VLOOKUP(CONCATENATE(Tabla1[[#This Row],[Severidad]]," ",Tabla1[[#This Row],[Complejidad]]),Catalogos!E$120:G$128,3,FALSE),"")</f>
        <v>64</v>
      </c>
      <c r="V2835" s="31" t="str">
        <f>IF(Tabla1[[#This Row],[Tiempo solución max (hrs)]]&lt;&gt;"",IF(Tabla1[[#This Row],[Tiempo solución max (hrs)]]&gt;=Tabla1[[#This Row],[Tiempo
(Hrs 00/100)]],"cumple","no cumple"),"")</f>
        <v>cumple</v>
      </c>
      <c r="W2835" s="376" t="s">
        <v>4210</v>
      </c>
      <c r="X2835" s="377" t="str">
        <f t="shared" si="218"/>
        <v>SSI</v>
      </c>
      <c r="Y2835" t="str">
        <f>SUBSTITUTE(Tabla1[[#This Row],[Descripción]],CHAR(10),"    I    ")</f>
        <v>Se trabajó con los ajustes del 5to procedimiento de banderas 'OBTENER_FG_AMPLIADO', con las consultas necesarias de las condicionantes previamente validadas, se compila sin errores</v>
      </c>
      <c r="Z2835" s="142">
        <f>VLOOKUP(Tabla1[[#This Row],[Perfil]],Catalogos!$B$75:$D$100,3,FALSE)*Tabla1[[#This Row],[Tiempo
(Hrs 00/100)]]*1.16</f>
        <v>696</v>
      </c>
    </row>
    <row r="2836" spans="1:26" ht="43.2" x14ac:dyDescent="0.3">
      <c r="A2836" s="373" t="s">
        <v>22</v>
      </c>
      <c r="B2836" s="373" t="s">
        <v>23</v>
      </c>
      <c r="C2836" s="373" t="s">
        <v>257</v>
      </c>
      <c r="D2836" s="373"/>
      <c r="E2836" s="373" t="s">
        <v>408</v>
      </c>
      <c r="F2836" s="373" t="s">
        <v>75</v>
      </c>
      <c r="G2836" s="373" t="s">
        <v>5028</v>
      </c>
      <c r="H2836" s="461" t="s">
        <v>4693</v>
      </c>
      <c r="I2836" s="178" t="s">
        <v>4694</v>
      </c>
      <c r="J2836" s="729">
        <v>45254</v>
      </c>
      <c r="K2836" s="773">
        <v>0.375</v>
      </c>
      <c r="L2836" s="729">
        <v>45254</v>
      </c>
      <c r="M2836" s="773">
        <v>0.41666666666666669</v>
      </c>
      <c r="N2836" s="373">
        <v>1</v>
      </c>
      <c r="O2836" s="184" t="s">
        <v>17</v>
      </c>
      <c r="P2836" s="375" t="s">
        <v>4641</v>
      </c>
      <c r="Q2836" s="179" t="s">
        <v>1441</v>
      </c>
      <c r="R2836" s="31" t="s">
        <v>95</v>
      </c>
      <c r="S2836" s="31" t="s">
        <v>273</v>
      </c>
      <c r="T2836" s="31" t="s">
        <v>273</v>
      </c>
      <c r="U2836" s="31">
        <f>IFERROR(VLOOKUP(CONCATENATE(Tabla1[[#This Row],[Severidad]]," ",Tabla1[[#This Row],[Complejidad]]),Catalogos!E$120:G$128,3,FALSE),"")</f>
        <v>64</v>
      </c>
      <c r="V2836" s="31" t="str">
        <f>IF(Tabla1[[#This Row],[Tiempo solución max (hrs)]]&lt;&gt;"",IF(Tabla1[[#This Row],[Tiempo solución max (hrs)]]&gt;=Tabla1[[#This Row],[Tiempo
(Hrs 00/100)]],"cumple","no cumple"),"")</f>
        <v>cumple</v>
      </c>
      <c r="W2836" s="376" t="s">
        <v>4210</v>
      </c>
      <c r="X2836" s="377" t="str">
        <f t="shared" si="218"/>
        <v>SSI</v>
      </c>
      <c r="Y2836" t="str">
        <f>SUBSTITUTE(Tabla1[[#This Row],[Descripción]],CHAR(10),"    I    ")</f>
        <v xml:space="preserve">Se validó el paquete-procedimiento 'OBTENER_FG_AMPLIADO' con el bloque anónimo correcto y se tuvo un resultado exitoso con la salida del cursor completo </v>
      </c>
      <c r="Z2836" s="142">
        <f>VLOOKUP(Tabla1[[#This Row],[Perfil]],Catalogos!$B$75:$D$100,3,FALSE)*Tabla1[[#This Row],[Tiempo
(Hrs 00/100)]]*1.16</f>
        <v>696</v>
      </c>
    </row>
    <row r="2837" spans="1:26" ht="43.2" x14ac:dyDescent="0.3">
      <c r="A2837" s="373" t="s">
        <v>22</v>
      </c>
      <c r="B2837" s="373" t="s">
        <v>61</v>
      </c>
      <c r="C2837" s="373" t="s">
        <v>257</v>
      </c>
      <c r="D2837" s="373"/>
      <c r="E2837" s="373" t="s">
        <v>408</v>
      </c>
      <c r="F2837" s="373" t="s">
        <v>76</v>
      </c>
      <c r="G2837" s="373" t="s">
        <v>5029</v>
      </c>
      <c r="H2837" s="461" t="s">
        <v>4814</v>
      </c>
      <c r="I2837" s="178" t="s">
        <v>5206</v>
      </c>
      <c r="J2837" s="729">
        <v>45254</v>
      </c>
      <c r="K2837" s="773">
        <v>0.41666666666666669</v>
      </c>
      <c r="L2837" s="729">
        <v>45254</v>
      </c>
      <c r="M2837" s="773">
        <v>0.4375</v>
      </c>
      <c r="N2837" s="373">
        <v>0.5</v>
      </c>
      <c r="O2837" s="184" t="s">
        <v>17</v>
      </c>
      <c r="P2837" s="375" t="s">
        <v>4641</v>
      </c>
      <c r="Q2837" s="179" t="s">
        <v>1441</v>
      </c>
      <c r="R2837" s="31" t="s">
        <v>95</v>
      </c>
      <c r="S2837" s="31" t="s">
        <v>273</v>
      </c>
      <c r="T2837" s="31" t="s">
        <v>273</v>
      </c>
      <c r="U2837" s="31">
        <f>IFERROR(VLOOKUP(CONCATENATE(Tabla1[[#This Row],[Severidad]]," ",Tabla1[[#This Row],[Complejidad]]),Catalogos!E$120:G$128,3,FALSE),"")</f>
        <v>64</v>
      </c>
      <c r="V2837" s="31" t="str">
        <f>IF(Tabla1[[#This Row],[Tiempo solución max (hrs)]]&lt;&gt;"",IF(Tabla1[[#This Row],[Tiempo solución max (hrs)]]&gt;=Tabla1[[#This Row],[Tiempo
(Hrs 00/100)]],"cumple","no cumple"),"")</f>
        <v>cumple</v>
      </c>
      <c r="W2837" s="376" t="s">
        <v>4210</v>
      </c>
      <c r="X2837" s="377" t="str">
        <f>IF(C2837&lt;&gt;"",C2837,D2837)</f>
        <v>SSI</v>
      </c>
      <c r="Y2837" t="str">
        <f>SUBSTITUTE(Tabla1[[#This Row],[Descripción]],CHAR(10),"    I    ")</f>
        <v xml:space="preserve">Se le explicó al equipo que ya estan los ajustes para el 5to procedimiento de banderas 'OBTENER_FG_AMPLIADO',para que lo revisen y consuman desde el aplicativo </v>
      </c>
      <c r="Z2837" s="142">
        <f>VLOOKUP(Tabla1[[#This Row],[Perfil]],Catalogos!$B$75:$D$100,3,FALSE)*Tabla1[[#This Row],[Tiempo
(Hrs 00/100)]]*1.16</f>
        <v>348</v>
      </c>
    </row>
    <row r="2838" spans="1:26" ht="43.2" x14ac:dyDescent="0.3">
      <c r="A2838" s="373" t="s">
        <v>22</v>
      </c>
      <c r="B2838" s="373" t="s">
        <v>23</v>
      </c>
      <c r="C2838" s="373" t="s">
        <v>257</v>
      </c>
      <c r="D2838" s="373"/>
      <c r="E2838" s="373" t="s">
        <v>408</v>
      </c>
      <c r="F2838" s="373" t="s">
        <v>23</v>
      </c>
      <c r="G2838" s="373" t="s">
        <v>5030</v>
      </c>
      <c r="H2838" s="461" t="s">
        <v>4815</v>
      </c>
      <c r="I2838" s="178" t="s">
        <v>4816</v>
      </c>
      <c r="J2838" s="729">
        <v>45254</v>
      </c>
      <c r="K2838" s="773">
        <v>0.4375</v>
      </c>
      <c r="L2838" s="729">
        <v>45254</v>
      </c>
      <c r="M2838" s="773">
        <v>0.47916666666666669</v>
      </c>
      <c r="N2838" s="373">
        <v>1</v>
      </c>
      <c r="O2838" s="184" t="s">
        <v>17</v>
      </c>
      <c r="P2838" s="375" t="s">
        <v>4641</v>
      </c>
      <c r="Q2838" s="179" t="s">
        <v>1441</v>
      </c>
      <c r="R2838" s="31" t="s">
        <v>95</v>
      </c>
      <c r="S2838" s="31" t="s">
        <v>273</v>
      </c>
      <c r="T2838" s="31" t="s">
        <v>273</v>
      </c>
      <c r="U2838" s="31">
        <f>IFERROR(VLOOKUP(CONCATENATE(Tabla1[[#This Row],[Severidad]]," ",Tabla1[[#This Row],[Complejidad]]),Catalogos!E$120:G$128,3,FALSE),"")</f>
        <v>64</v>
      </c>
      <c r="V2838" s="31" t="str">
        <f>IF(Tabla1[[#This Row],[Tiempo solución max (hrs)]]&lt;&gt;"",IF(Tabla1[[#This Row],[Tiempo solución max (hrs)]]&gt;=Tabla1[[#This Row],[Tiempo
(Hrs 00/100)]],"cumple","no cumple"),"")</f>
        <v>cumple</v>
      </c>
      <c r="W2838" s="376" t="s">
        <v>4210</v>
      </c>
      <c r="X2838" s="377" t="str">
        <f>IF(C2838&lt;&gt;"",C2838,D2838)</f>
        <v>SSI</v>
      </c>
      <c r="Y2838" t="str">
        <f>SUBSTITUTE(Tabla1[[#This Row],[Descripción]],CHAR(10),"    I    ")</f>
        <v>Se construyeron las distintas consultas para tratar el 6to procedimiento de banderas 'OBTENER_FG_ADMITIDO' de QUEJAS, para tratar los condicionales</v>
      </c>
      <c r="Z2838" s="142">
        <f>VLOOKUP(Tabla1[[#This Row],[Perfil]],Catalogos!$B$75:$D$100,3,FALSE)*Tabla1[[#This Row],[Tiempo
(Hrs 00/100)]]*1.16</f>
        <v>696</v>
      </c>
    </row>
    <row r="2839" spans="1:26" ht="28.8" x14ac:dyDescent="0.3">
      <c r="A2839" s="373" t="s">
        <v>22</v>
      </c>
      <c r="B2839" s="373" t="s">
        <v>23</v>
      </c>
      <c r="C2839" s="373" t="s">
        <v>257</v>
      </c>
      <c r="D2839" s="373"/>
      <c r="E2839" s="373" t="s">
        <v>408</v>
      </c>
      <c r="F2839" s="373" t="s">
        <v>75</v>
      </c>
      <c r="G2839" s="373" t="s">
        <v>5031</v>
      </c>
      <c r="H2839" s="461" t="s">
        <v>4794</v>
      </c>
      <c r="I2839" s="178" t="s">
        <v>4794</v>
      </c>
      <c r="J2839" s="729">
        <v>45254</v>
      </c>
      <c r="K2839" s="773">
        <v>0.47916666666666669</v>
      </c>
      <c r="L2839" s="729">
        <v>45254</v>
      </c>
      <c r="M2839" s="773">
        <v>0.52083333333333337</v>
      </c>
      <c r="N2839" s="373">
        <v>1</v>
      </c>
      <c r="O2839" s="184" t="s">
        <v>17</v>
      </c>
      <c r="P2839" s="375" t="s">
        <v>4641</v>
      </c>
      <c r="Q2839" s="179" t="s">
        <v>1441</v>
      </c>
      <c r="R2839" s="31" t="s">
        <v>95</v>
      </c>
      <c r="S2839" s="31" t="s">
        <v>273</v>
      </c>
      <c r="T2839" s="31" t="s">
        <v>273</v>
      </c>
      <c r="U2839" s="31">
        <f>IFERROR(VLOOKUP(CONCATENATE(Tabla1[[#This Row],[Severidad]]," ",Tabla1[[#This Row],[Complejidad]]),Catalogos!E$120:G$128,3,FALSE),"")</f>
        <v>64</v>
      </c>
      <c r="V2839" s="31" t="str">
        <f>IF(Tabla1[[#This Row],[Tiempo solución max (hrs)]]&lt;&gt;"",IF(Tabla1[[#This Row],[Tiempo solución max (hrs)]]&gt;=Tabla1[[#This Row],[Tiempo
(Hrs 00/100)]],"cumple","no cumple"),"")</f>
        <v>cumple</v>
      </c>
      <c r="W2839" s="376" t="s">
        <v>4210</v>
      </c>
      <c r="X2839" s="377" t="str">
        <f>IF(C2839&lt;&gt;"",C2839,D2839)</f>
        <v>SSI</v>
      </c>
      <c r="Y2839" t="str">
        <f>SUBSTITUTE(Tabla1[[#This Row],[Descripción]],CHAR(10),"    I    ")</f>
        <v xml:space="preserve">Se validó que la información que retorna de las distintas consultas con los distintos parametros sea la correcta </v>
      </c>
      <c r="Z2839" s="142">
        <f>VLOOKUP(Tabla1[[#This Row],[Perfil]],Catalogos!$B$75:$D$100,3,FALSE)*Tabla1[[#This Row],[Tiempo
(Hrs 00/100)]]*1.16</f>
        <v>696</v>
      </c>
    </row>
    <row r="2840" spans="1:26" ht="43.2" x14ac:dyDescent="0.3">
      <c r="A2840" s="373" t="s">
        <v>22</v>
      </c>
      <c r="B2840" s="373" t="s">
        <v>23</v>
      </c>
      <c r="C2840" s="373" t="s">
        <v>257</v>
      </c>
      <c r="D2840" s="373"/>
      <c r="E2840" s="373" t="s">
        <v>408</v>
      </c>
      <c r="F2840" s="373" t="s">
        <v>23</v>
      </c>
      <c r="G2840" s="373" t="s">
        <v>5032</v>
      </c>
      <c r="H2840" s="461" t="s">
        <v>4817</v>
      </c>
      <c r="I2840" s="178" t="s">
        <v>4818</v>
      </c>
      <c r="J2840" s="729">
        <v>45254</v>
      </c>
      <c r="K2840" s="773">
        <v>0.52083333333333337</v>
      </c>
      <c r="L2840" s="729">
        <v>45254</v>
      </c>
      <c r="M2840" s="773">
        <v>0.5625</v>
      </c>
      <c r="N2840" s="373">
        <v>1</v>
      </c>
      <c r="O2840" s="184" t="s">
        <v>17</v>
      </c>
      <c r="P2840" s="375" t="s">
        <v>4641</v>
      </c>
      <c r="Q2840" s="179" t="s">
        <v>1441</v>
      </c>
      <c r="R2840" s="31" t="s">
        <v>95</v>
      </c>
      <c r="S2840" s="31" t="s">
        <v>273</v>
      </c>
      <c r="T2840" s="31" t="s">
        <v>273</v>
      </c>
      <c r="U2840" s="31">
        <f>IFERROR(VLOOKUP(CONCATENATE(Tabla1[[#This Row],[Severidad]]," ",Tabla1[[#This Row],[Complejidad]]),Catalogos!E$120:G$128,3,FALSE),"")</f>
        <v>64</v>
      </c>
      <c r="V2840" s="31" t="str">
        <f>IF(Tabla1[[#This Row],[Tiempo solución max (hrs)]]&lt;&gt;"",IF(Tabla1[[#This Row],[Tiempo solución max (hrs)]]&gt;=Tabla1[[#This Row],[Tiempo
(Hrs 00/100)]],"cumple","no cumple"),"")</f>
        <v>cumple</v>
      </c>
      <c r="W2840" s="376" t="s">
        <v>4210</v>
      </c>
      <c r="X2840" s="377" t="str">
        <f>IF(C2840&lt;&gt;"",C2840,D2840)</f>
        <v>SSI</v>
      </c>
      <c r="Y2840" t="str">
        <f>SUBSTITUTE(Tabla1[[#This Row],[Descripción]],CHAR(10),"    I    ")</f>
        <v xml:space="preserve">Se trabajó con los ajustes del 6to procedimiento de banderas 'OBTENER_FG_ADMITIDO', con las consultas necesarias de las condicionantes previamente validadas, se compila sin errores </v>
      </c>
      <c r="Z2840" s="142">
        <f>VLOOKUP(Tabla1[[#This Row],[Perfil]],Catalogos!$B$75:$D$100,3,FALSE)*Tabla1[[#This Row],[Tiempo
(Hrs 00/100)]]*1.16</f>
        <v>696</v>
      </c>
    </row>
    <row r="2841" spans="1:26" ht="43.2" x14ac:dyDescent="0.3">
      <c r="A2841" s="373" t="s">
        <v>22</v>
      </c>
      <c r="B2841" s="373" t="s">
        <v>23</v>
      </c>
      <c r="C2841" s="373" t="s">
        <v>257</v>
      </c>
      <c r="D2841" s="373"/>
      <c r="E2841" s="373" t="s">
        <v>408</v>
      </c>
      <c r="F2841" s="373" t="s">
        <v>75</v>
      </c>
      <c r="G2841" s="373" t="s">
        <v>5033</v>
      </c>
      <c r="H2841" s="461" t="s">
        <v>4699</v>
      </c>
      <c r="I2841" s="178" t="s">
        <v>4700</v>
      </c>
      <c r="J2841" s="729">
        <v>45254</v>
      </c>
      <c r="K2841" s="773">
        <v>0.5625</v>
      </c>
      <c r="L2841" s="729">
        <v>45254</v>
      </c>
      <c r="M2841" s="773">
        <v>0.60416666666666663</v>
      </c>
      <c r="N2841" s="373">
        <v>1</v>
      </c>
      <c r="O2841" s="184" t="s">
        <v>17</v>
      </c>
      <c r="P2841" s="375" t="s">
        <v>4641</v>
      </c>
      <c r="Q2841" s="179" t="s">
        <v>1441</v>
      </c>
      <c r="R2841" s="31" t="s">
        <v>95</v>
      </c>
      <c r="S2841" s="31" t="s">
        <v>273</v>
      </c>
      <c r="T2841" s="31" t="s">
        <v>273</v>
      </c>
      <c r="U2841" s="31">
        <f>IFERROR(VLOOKUP(CONCATENATE(Tabla1[[#This Row],[Severidad]]," ",Tabla1[[#This Row],[Complejidad]]),Catalogos!E$120:G$128,3,FALSE),"")</f>
        <v>64</v>
      </c>
      <c r="V2841" s="31" t="str">
        <f>IF(Tabla1[[#This Row],[Tiempo solución max (hrs)]]&lt;&gt;"",IF(Tabla1[[#This Row],[Tiempo solución max (hrs)]]&gt;=Tabla1[[#This Row],[Tiempo
(Hrs 00/100)]],"cumple","no cumple"),"")</f>
        <v>cumple</v>
      </c>
      <c r="W2841" s="376" t="s">
        <v>4210</v>
      </c>
      <c r="X2841" s="377" t="str">
        <f>IF(C2841&lt;&gt;"",C2841,D2841)</f>
        <v>SSI</v>
      </c>
      <c r="Y2841" t="str">
        <f>SUBSTITUTE(Tabla1[[#This Row],[Descripción]],CHAR(10),"    I    ")</f>
        <v xml:space="preserve">Se validó el paquete-procedimiento 'OBTENER_FG_ADMITIDO' con el bloque anónimo correcto y se tuvo un resultado exitoso con la salida del cursor completo </v>
      </c>
      <c r="Z2841" s="142">
        <f>VLOOKUP(Tabla1[[#This Row],[Perfil]],Catalogos!$B$75:$D$100,3,FALSE)*Tabla1[[#This Row],[Tiempo
(Hrs 00/100)]]*1.16</f>
        <v>696</v>
      </c>
    </row>
    <row r="2842" spans="1:26" ht="43.2" x14ac:dyDescent="0.3">
      <c r="A2842" s="373" t="s">
        <v>22</v>
      </c>
      <c r="B2842" s="373" t="s">
        <v>23</v>
      </c>
      <c r="C2842" s="373" t="s">
        <v>257</v>
      </c>
      <c r="D2842" s="373"/>
      <c r="E2842" s="373" t="s">
        <v>408</v>
      </c>
      <c r="F2842" s="373" t="s">
        <v>23</v>
      </c>
      <c r="G2842" s="373" t="s">
        <v>5034</v>
      </c>
      <c r="H2842" s="461" t="s">
        <v>4819</v>
      </c>
      <c r="I2842" s="178" t="s">
        <v>4820</v>
      </c>
      <c r="J2842" s="729">
        <v>45254</v>
      </c>
      <c r="K2842" s="773">
        <v>0.66666666666666663</v>
      </c>
      <c r="L2842" s="729">
        <v>45254</v>
      </c>
      <c r="M2842" s="773">
        <v>0.70833333333333337</v>
      </c>
      <c r="N2842" s="373">
        <v>1</v>
      </c>
      <c r="O2842" s="184" t="s">
        <v>17</v>
      </c>
      <c r="P2842" s="375" t="s">
        <v>4641</v>
      </c>
      <c r="Q2842" s="179" t="s">
        <v>1441</v>
      </c>
      <c r="R2842" s="31" t="s">
        <v>95</v>
      </c>
      <c r="S2842" s="31" t="s">
        <v>273</v>
      </c>
      <c r="T2842" s="31" t="s">
        <v>273</v>
      </c>
      <c r="U2842" s="31">
        <f>IFERROR(VLOOKUP(CONCATENATE(Tabla1[[#This Row],[Severidad]]," ",Tabla1[[#This Row],[Complejidad]]),Catalogos!E$120:G$128,3,FALSE),"")</f>
        <v>64</v>
      </c>
      <c r="V2842" s="31" t="str">
        <f>IF(Tabla1[[#This Row],[Tiempo solución max (hrs)]]&lt;&gt;"",IF(Tabla1[[#This Row],[Tiempo solución max (hrs)]]&gt;=Tabla1[[#This Row],[Tiempo
(Hrs 00/100)]],"cumple","no cumple"),"")</f>
        <v>cumple</v>
      </c>
      <c r="W2842" s="376" t="s">
        <v>4210</v>
      </c>
      <c r="X2842" s="377" t="str">
        <f t="shared" ref="X2842:X2873" si="219">IF(C2842&lt;&gt;"",C2842,D2842)</f>
        <v>SSI</v>
      </c>
      <c r="Y2842" t="str">
        <f>SUBSTITUTE(Tabla1[[#This Row],[Descripción]],CHAR(10),"    I    ")</f>
        <v>Se construyerón las distintas consultas para tratar el 7mo procedimiento de banderas 'OBTENER_FG_PREVENIDO' de QUEJAS, para tratar los condicionales</v>
      </c>
      <c r="Z2842" s="142">
        <f>VLOOKUP(Tabla1[[#This Row],[Perfil]],Catalogos!$B$75:$D$100,3,FALSE)*Tabla1[[#This Row],[Tiempo
(Hrs 00/100)]]*1.16</f>
        <v>696</v>
      </c>
    </row>
    <row r="2843" spans="1:26" ht="28.8" x14ac:dyDescent="0.3">
      <c r="A2843" s="373" t="s">
        <v>22</v>
      </c>
      <c r="B2843" s="373" t="s">
        <v>23</v>
      </c>
      <c r="C2843" s="373" t="s">
        <v>257</v>
      </c>
      <c r="D2843" s="373"/>
      <c r="E2843" s="373" t="s">
        <v>408</v>
      </c>
      <c r="F2843" s="373" t="s">
        <v>75</v>
      </c>
      <c r="G2843" s="373" t="s">
        <v>5035</v>
      </c>
      <c r="H2843" s="461" t="s">
        <v>4794</v>
      </c>
      <c r="I2843" s="178" t="s">
        <v>4794</v>
      </c>
      <c r="J2843" s="729">
        <v>45254</v>
      </c>
      <c r="K2843" s="773">
        <v>0.70833333333333337</v>
      </c>
      <c r="L2843" s="729">
        <v>45254</v>
      </c>
      <c r="M2843" s="773">
        <v>0.75</v>
      </c>
      <c r="N2843" s="373">
        <v>1</v>
      </c>
      <c r="O2843" s="184" t="s">
        <v>17</v>
      </c>
      <c r="P2843" s="375" t="s">
        <v>4641</v>
      </c>
      <c r="Q2843" s="179" t="s">
        <v>1441</v>
      </c>
      <c r="R2843" s="31" t="s">
        <v>95</v>
      </c>
      <c r="S2843" s="31" t="s">
        <v>273</v>
      </c>
      <c r="T2843" s="31" t="s">
        <v>273</v>
      </c>
      <c r="U2843" s="31">
        <f>IFERROR(VLOOKUP(CONCATENATE(Tabla1[[#This Row],[Severidad]]," ",Tabla1[[#This Row],[Complejidad]]),Catalogos!E$120:G$128,3,FALSE),"")</f>
        <v>64</v>
      </c>
      <c r="V2843" s="31" t="str">
        <f>IF(Tabla1[[#This Row],[Tiempo solución max (hrs)]]&lt;&gt;"",IF(Tabla1[[#This Row],[Tiempo solución max (hrs)]]&gt;=Tabla1[[#This Row],[Tiempo
(Hrs 00/100)]],"cumple","no cumple"),"")</f>
        <v>cumple</v>
      </c>
      <c r="W2843" s="376" t="s">
        <v>4210</v>
      </c>
      <c r="X2843" s="377" t="str">
        <f t="shared" si="219"/>
        <v>SSI</v>
      </c>
      <c r="Y2843" t="str">
        <f>SUBSTITUTE(Tabla1[[#This Row],[Descripción]],CHAR(10),"    I    ")</f>
        <v xml:space="preserve">Se validó que la información que retorna de las distintas consultas con los distintos parametros sea la correcta </v>
      </c>
      <c r="Z2843" s="142">
        <f>VLOOKUP(Tabla1[[#This Row],[Perfil]],Catalogos!$B$75:$D$100,3,FALSE)*Tabla1[[#This Row],[Tiempo
(Hrs 00/100)]]*1.16</f>
        <v>696</v>
      </c>
    </row>
    <row r="2844" spans="1:26" ht="43.2" x14ac:dyDescent="0.3">
      <c r="A2844" s="373" t="s">
        <v>22</v>
      </c>
      <c r="B2844" s="373" t="s">
        <v>23</v>
      </c>
      <c r="C2844" s="373" t="s">
        <v>257</v>
      </c>
      <c r="D2844" s="373"/>
      <c r="E2844" s="373" t="s">
        <v>408</v>
      </c>
      <c r="F2844" s="373" t="s">
        <v>23</v>
      </c>
      <c r="G2844" s="373" t="s">
        <v>5036</v>
      </c>
      <c r="H2844" s="461" t="s">
        <v>5181</v>
      </c>
      <c r="I2844" s="178" t="s">
        <v>5182</v>
      </c>
      <c r="J2844" s="729">
        <v>45254</v>
      </c>
      <c r="K2844" s="773">
        <v>0.75</v>
      </c>
      <c r="L2844" s="729">
        <v>45254</v>
      </c>
      <c r="M2844" s="773">
        <v>0.79166666666666663</v>
      </c>
      <c r="N2844" s="373">
        <v>1</v>
      </c>
      <c r="O2844" s="184" t="s">
        <v>17</v>
      </c>
      <c r="P2844" s="375" t="s">
        <v>4641</v>
      </c>
      <c r="Q2844" s="179" t="s">
        <v>1441</v>
      </c>
      <c r="R2844" s="31" t="s">
        <v>95</v>
      </c>
      <c r="S2844" s="31" t="s">
        <v>273</v>
      </c>
      <c r="T2844" s="31" t="s">
        <v>273</v>
      </c>
      <c r="U2844" s="31">
        <f>IFERROR(VLOOKUP(CONCATENATE(Tabla1[[#This Row],[Severidad]]," ",Tabla1[[#This Row],[Complejidad]]),Catalogos!E$120:G$128,3,FALSE),"")</f>
        <v>64</v>
      </c>
      <c r="V2844" s="31" t="str">
        <f>IF(Tabla1[[#This Row],[Tiempo solución max (hrs)]]&lt;&gt;"",IF(Tabla1[[#This Row],[Tiempo solución max (hrs)]]&gt;=Tabla1[[#This Row],[Tiempo
(Hrs 00/100)]],"cumple","no cumple"),"")</f>
        <v>cumple</v>
      </c>
      <c r="W2844" s="376" t="s">
        <v>4210</v>
      </c>
      <c r="X2844" s="377" t="str">
        <f t="shared" si="219"/>
        <v>SSI</v>
      </c>
      <c r="Y2844" t="str">
        <f>SUBSTITUTE(Tabla1[[#This Row],[Descripción]],CHAR(10),"    I    ")</f>
        <v xml:space="preserve">Se trabajó con los ajustes del 7mo procedimiento de banderas 'OBTENER_FG_PREVENIDO', con las consultas necesarias de las condicionantes previamente validadas, se compila sin errores </v>
      </c>
      <c r="Z2844" s="142">
        <f>VLOOKUP(Tabla1[[#This Row],[Perfil]],Catalogos!$B$75:$D$100,3,FALSE)*Tabla1[[#This Row],[Tiempo
(Hrs 00/100)]]*1.16</f>
        <v>696</v>
      </c>
    </row>
    <row r="2845" spans="1:26" ht="43.2" x14ac:dyDescent="0.3">
      <c r="A2845" s="373" t="s">
        <v>22</v>
      </c>
      <c r="B2845" s="373" t="s">
        <v>23</v>
      </c>
      <c r="C2845" s="373" t="s">
        <v>257</v>
      </c>
      <c r="D2845" s="373"/>
      <c r="E2845" s="373" t="s">
        <v>408</v>
      </c>
      <c r="F2845" s="373" t="s">
        <v>75</v>
      </c>
      <c r="G2845" s="373" t="s">
        <v>5037</v>
      </c>
      <c r="H2845" s="461" t="s">
        <v>4705</v>
      </c>
      <c r="I2845" s="178" t="s">
        <v>4706</v>
      </c>
      <c r="J2845" s="729">
        <v>45257</v>
      </c>
      <c r="K2845" s="773">
        <v>0.375</v>
      </c>
      <c r="L2845" s="729">
        <v>45257</v>
      </c>
      <c r="M2845" s="773">
        <v>0.41666666666666669</v>
      </c>
      <c r="N2845" s="373">
        <v>1</v>
      </c>
      <c r="O2845" s="184" t="s">
        <v>17</v>
      </c>
      <c r="P2845" s="375" t="s">
        <v>4641</v>
      </c>
      <c r="Q2845" s="179" t="s">
        <v>1441</v>
      </c>
      <c r="R2845" s="31" t="s">
        <v>95</v>
      </c>
      <c r="S2845" s="31" t="s">
        <v>273</v>
      </c>
      <c r="T2845" s="31" t="s">
        <v>273</v>
      </c>
      <c r="U2845" s="31">
        <f>IFERROR(VLOOKUP(CONCATENATE(Tabla1[[#This Row],[Severidad]]," ",Tabla1[[#This Row],[Complejidad]]),Catalogos!E$120:G$128,3,FALSE),"")</f>
        <v>64</v>
      </c>
      <c r="V2845" s="31" t="str">
        <f>IF(Tabla1[[#This Row],[Tiempo solución max (hrs)]]&lt;&gt;"",IF(Tabla1[[#This Row],[Tiempo solución max (hrs)]]&gt;=Tabla1[[#This Row],[Tiempo
(Hrs 00/100)]],"cumple","no cumple"),"")</f>
        <v>cumple</v>
      </c>
      <c r="W2845" s="376" t="s">
        <v>4210</v>
      </c>
      <c r="X2845" s="377" t="str">
        <f t="shared" si="219"/>
        <v>SSI</v>
      </c>
      <c r="Y2845" t="str">
        <f>SUBSTITUTE(Tabla1[[#This Row],[Descripción]],CHAR(10),"    I    ")</f>
        <v xml:space="preserve">Se validó el paquete-procedimiento 'OBTENER_FG_PREVENIDO' con el bloque anónimo correcto y se tuvo un resultado exitoso con la salida del cursor completo </v>
      </c>
      <c r="Z2845" s="142">
        <f>VLOOKUP(Tabla1[[#This Row],[Perfil]],Catalogos!$B$75:$D$100,3,FALSE)*Tabla1[[#This Row],[Tiempo
(Hrs 00/100)]]*1.16</f>
        <v>696</v>
      </c>
    </row>
    <row r="2846" spans="1:26" ht="43.2" x14ac:dyDescent="0.3">
      <c r="A2846" s="373" t="s">
        <v>22</v>
      </c>
      <c r="B2846" s="373" t="s">
        <v>61</v>
      </c>
      <c r="C2846" s="373" t="s">
        <v>257</v>
      </c>
      <c r="D2846" s="373"/>
      <c r="E2846" s="373" t="s">
        <v>408</v>
      </c>
      <c r="F2846" s="373" t="s">
        <v>76</v>
      </c>
      <c r="G2846" s="373" t="s">
        <v>5038</v>
      </c>
      <c r="H2846" s="461" t="s">
        <v>5183</v>
      </c>
      <c r="I2846" s="178" t="s">
        <v>5207</v>
      </c>
      <c r="J2846" s="729">
        <v>45257</v>
      </c>
      <c r="K2846" s="773">
        <v>0.41666666666666669</v>
      </c>
      <c r="L2846" s="729">
        <v>45257</v>
      </c>
      <c r="M2846" s="773">
        <v>0.4375</v>
      </c>
      <c r="N2846" s="373">
        <v>0.5</v>
      </c>
      <c r="O2846" s="184" t="s">
        <v>17</v>
      </c>
      <c r="P2846" s="375" t="s">
        <v>4641</v>
      </c>
      <c r="Q2846" s="179" t="s">
        <v>1441</v>
      </c>
      <c r="R2846" s="31" t="s">
        <v>95</v>
      </c>
      <c r="S2846" s="31" t="s">
        <v>273</v>
      </c>
      <c r="T2846" s="31" t="s">
        <v>273</v>
      </c>
      <c r="U2846" s="31">
        <f>IFERROR(VLOOKUP(CONCATENATE(Tabla1[[#This Row],[Severidad]]," ",Tabla1[[#This Row],[Complejidad]]),Catalogos!E$120:G$128,3,FALSE),"")</f>
        <v>64</v>
      </c>
      <c r="V2846" s="31" t="str">
        <f>IF(Tabla1[[#This Row],[Tiempo solución max (hrs)]]&lt;&gt;"",IF(Tabla1[[#This Row],[Tiempo solución max (hrs)]]&gt;=Tabla1[[#This Row],[Tiempo
(Hrs 00/100)]],"cumple","no cumple"),"")</f>
        <v>cumple</v>
      </c>
      <c r="W2846" s="376" t="s">
        <v>4210</v>
      </c>
      <c r="X2846" s="377" t="str">
        <f t="shared" si="219"/>
        <v>SSI</v>
      </c>
      <c r="Y2846" t="str">
        <f>SUBSTITUTE(Tabla1[[#This Row],[Descripción]],CHAR(10),"    I    ")</f>
        <v xml:space="preserve">Se le explicó al equipo que ya estan los ajustes para el 7mo procedimiento de banderas 'OBTENER_FG_PREVENIDO',para que lo revisen y consuman desde el aplicativo </v>
      </c>
      <c r="Z2846" s="142">
        <f>VLOOKUP(Tabla1[[#This Row],[Perfil]],Catalogos!$B$75:$D$100,3,FALSE)*Tabla1[[#This Row],[Tiempo
(Hrs 00/100)]]*1.16</f>
        <v>348</v>
      </c>
    </row>
    <row r="2847" spans="1:26" ht="43.2" x14ac:dyDescent="0.3">
      <c r="A2847" s="373" t="s">
        <v>22</v>
      </c>
      <c r="B2847" s="373" t="s">
        <v>23</v>
      </c>
      <c r="C2847" s="373" t="s">
        <v>257</v>
      </c>
      <c r="D2847" s="373"/>
      <c r="E2847" s="373" t="s">
        <v>408</v>
      </c>
      <c r="F2847" s="373" t="s">
        <v>23</v>
      </c>
      <c r="G2847" s="373" t="s">
        <v>5039</v>
      </c>
      <c r="H2847" s="461" t="s">
        <v>4821</v>
      </c>
      <c r="I2847" s="178" t="s">
        <v>4822</v>
      </c>
      <c r="J2847" s="729">
        <v>45257</v>
      </c>
      <c r="K2847" s="773">
        <v>0.4375</v>
      </c>
      <c r="L2847" s="729">
        <v>45257</v>
      </c>
      <c r="M2847" s="773">
        <v>0.47916666666666669</v>
      </c>
      <c r="N2847" s="373">
        <v>1</v>
      </c>
      <c r="O2847" s="184" t="s">
        <v>17</v>
      </c>
      <c r="P2847" s="375" t="s">
        <v>4641</v>
      </c>
      <c r="Q2847" s="179" t="s">
        <v>1441</v>
      </c>
      <c r="R2847" s="31" t="s">
        <v>95</v>
      </c>
      <c r="S2847" s="31" t="s">
        <v>273</v>
      </c>
      <c r="T2847" s="31" t="s">
        <v>273</v>
      </c>
      <c r="U2847" s="31">
        <f>IFERROR(VLOOKUP(CONCATENATE(Tabla1[[#This Row],[Severidad]]," ",Tabla1[[#This Row],[Complejidad]]),Catalogos!E$120:G$128,3,FALSE),"")</f>
        <v>64</v>
      </c>
      <c r="V2847" s="31" t="str">
        <f>IF(Tabla1[[#This Row],[Tiempo solución max (hrs)]]&lt;&gt;"",IF(Tabla1[[#This Row],[Tiempo solución max (hrs)]]&gt;=Tabla1[[#This Row],[Tiempo
(Hrs 00/100)]],"cumple","no cumple"),"")</f>
        <v>cumple</v>
      </c>
      <c r="W2847" s="376" t="s">
        <v>4210</v>
      </c>
      <c r="X2847" s="377" t="str">
        <f t="shared" si="219"/>
        <v>SSI</v>
      </c>
      <c r="Y2847" t="str">
        <f>SUBSTITUTE(Tabla1[[#This Row],[Descripción]],CHAR(10),"    I    ")</f>
        <v xml:space="preserve">Se construyeron las distintas consultas para tratar el 8vo procedimiento de banderas 'OBTENER_FG_DESECHADO' de QUEJAS, para tratar los condicionales </v>
      </c>
      <c r="Z2847" s="142">
        <f>VLOOKUP(Tabla1[[#This Row],[Perfil]],Catalogos!$B$75:$D$100,3,FALSE)*Tabla1[[#This Row],[Tiempo
(Hrs 00/100)]]*1.16</f>
        <v>696</v>
      </c>
    </row>
    <row r="2848" spans="1:26" ht="28.8" x14ac:dyDescent="0.3">
      <c r="A2848" s="373" t="s">
        <v>22</v>
      </c>
      <c r="B2848" s="373" t="s">
        <v>23</v>
      </c>
      <c r="C2848" s="373" t="s">
        <v>257</v>
      </c>
      <c r="D2848" s="373"/>
      <c r="E2848" s="373" t="s">
        <v>408</v>
      </c>
      <c r="F2848" s="373" t="s">
        <v>75</v>
      </c>
      <c r="G2848" s="373" t="s">
        <v>5040</v>
      </c>
      <c r="H2848" s="461" t="s">
        <v>4823</v>
      </c>
      <c r="I2848" s="178" t="s">
        <v>4794</v>
      </c>
      <c r="J2848" s="729">
        <v>45257</v>
      </c>
      <c r="K2848" s="773">
        <v>0.47916666666666669</v>
      </c>
      <c r="L2848" s="729">
        <v>45257</v>
      </c>
      <c r="M2848" s="773">
        <v>0.52083333333333337</v>
      </c>
      <c r="N2848" s="373">
        <v>1</v>
      </c>
      <c r="O2848" s="184" t="s">
        <v>17</v>
      </c>
      <c r="P2848" s="375" t="s">
        <v>4641</v>
      </c>
      <c r="Q2848" s="179" t="s">
        <v>1441</v>
      </c>
      <c r="R2848" s="31" t="s">
        <v>95</v>
      </c>
      <c r="S2848" s="31" t="s">
        <v>273</v>
      </c>
      <c r="T2848" s="31" t="s">
        <v>273</v>
      </c>
      <c r="U2848" s="31">
        <f>IFERROR(VLOOKUP(CONCATENATE(Tabla1[[#This Row],[Severidad]]," ",Tabla1[[#This Row],[Complejidad]]),Catalogos!E$120:G$128,3,FALSE),"")</f>
        <v>64</v>
      </c>
      <c r="V2848" s="31" t="str">
        <f>IF(Tabla1[[#This Row],[Tiempo solución max (hrs)]]&lt;&gt;"",IF(Tabla1[[#This Row],[Tiempo solución max (hrs)]]&gt;=Tabla1[[#This Row],[Tiempo
(Hrs 00/100)]],"cumple","no cumple"),"")</f>
        <v>cumple</v>
      </c>
      <c r="W2848" s="376" t="s">
        <v>4210</v>
      </c>
      <c r="X2848" s="377" t="str">
        <f t="shared" si="219"/>
        <v>SSI</v>
      </c>
      <c r="Y2848" t="str">
        <f>SUBSTITUTE(Tabla1[[#This Row],[Descripción]],CHAR(10),"    I    ")</f>
        <v xml:space="preserve">Se validó que la información que retorna de las distintas consultas con los distintos parametros sea la correcta </v>
      </c>
      <c r="Z2848" s="142">
        <f>VLOOKUP(Tabla1[[#This Row],[Perfil]],Catalogos!$B$75:$D$100,3,FALSE)*Tabla1[[#This Row],[Tiempo
(Hrs 00/100)]]*1.16</f>
        <v>696</v>
      </c>
    </row>
    <row r="2849" spans="1:26" ht="43.2" x14ac:dyDescent="0.3">
      <c r="A2849" s="373" t="s">
        <v>22</v>
      </c>
      <c r="B2849" s="373" t="s">
        <v>23</v>
      </c>
      <c r="C2849" s="373" t="s">
        <v>257</v>
      </c>
      <c r="D2849" s="373"/>
      <c r="E2849" s="373" t="s">
        <v>408</v>
      </c>
      <c r="F2849" s="373" t="s">
        <v>23</v>
      </c>
      <c r="G2849" s="373" t="s">
        <v>5041</v>
      </c>
      <c r="H2849" s="461" t="s">
        <v>4824</v>
      </c>
      <c r="I2849" s="178" t="s">
        <v>4825</v>
      </c>
      <c r="J2849" s="729">
        <v>45257</v>
      </c>
      <c r="K2849" s="773">
        <v>0.52083333333333337</v>
      </c>
      <c r="L2849" s="729">
        <v>45257</v>
      </c>
      <c r="M2849" s="773">
        <v>0.5625</v>
      </c>
      <c r="N2849" s="373">
        <v>1</v>
      </c>
      <c r="O2849" s="184" t="s">
        <v>17</v>
      </c>
      <c r="P2849" s="375" t="s">
        <v>4641</v>
      </c>
      <c r="Q2849" s="179" t="s">
        <v>1441</v>
      </c>
      <c r="R2849" s="31" t="s">
        <v>95</v>
      </c>
      <c r="S2849" s="31" t="s">
        <v>273</v>
      </c>
      <c r="T2849" s="31" t="s">
        <v>273</v>
      </c>
      <c r="U2849" s="31">
        <f>IFERROR(VLOOKUP(CONCATENATE(Tabla1[[#This Row],[Severidad]]," ",Tabla1[[#This Row],[Complejidad]]),Catalogos!E$120:G$128,3,FALSE),"")</f>
        <v>64</v>
      </c>
      <c r="V2849" s="31" t="str">
        <f>IF(Tabla1[[#This Row],[Tiempo solución max (hrs)]]&lt;&gt;"",IF(Tabla1[[#This Row],[Tiempo solución max (hrs)]]&gt;=Tabla1[[#This Row],[Tiempo
(Hrs 00/100)]],"cumple","no cumple"),"")</f>
        <v>cumple</v>
      </c>
      <c r="W2849" s="376" t="s">
        <v>4210</v>
      </c>
      <c r="X2849" s="377" t="str">
        <f t="shared" si="219"/>
        <v>SSI</v>
      </c>
      <c r="Y2849" t="str">
        <f>SUBSTITUTE(Tabla1[[#This Row],[Descripción]],CHAR(10),"    I    ")</f>
        <v xml:space="preserve">Se trabajó con los ajustes del 8vo procedimiento de banderas 'OBTENER_FG_DESECHADO', con las consultas necesarias de las condicionantes previamente validadas, se compila sin errores </v>
      </c>
      <c r="Z2849" s="142">
        <f>VLOOKUP(Tabla1[[#This Row],[Perfil]],Catalogos!$B$75:$D$100,3,FALSE)*Tabla1[[#This Row],[Tiempo
(Hrs 00/100)]]*1.16</f>
        <v>696</v>
      </c>
    </row>
    <row r="2850" spans="1:26" ht="43.2" x14ac:dyDescent="0.3">
      <c r="A2850" s="373" t="s">
        <v>22</v>
      </c>
      <c r="B2850" s="373" t="s">
        <v>23</v>
      </c>
      <c r="C2850" s="373" t="s">
        <v>257</v>
      </c>
      <c r="D2850" s="373"/>
      <c r="E2850" s="373" t="s">
        <v>408</v>
      </c>
      <c r="F2850" s="373" t="s">
        <v>75</v>
      </c>
      <c r="G2850" s="373" t="s">
        <v>5042</v>
      </c>
      <c r="H2850" s="461" t="s">
        <v>4711</v>
      </c>
      <c r="I2850" s="178" t="s">
        <v>4712</v>
      </c>
      <c r="J2850" s="729">
        <v>45257</v>
      </c>
      <c r="K2850" s="773">
        <v>0.5625</v>
      </c>
      <c r="L2850" s="729">
        <v>45257</v>
      </c>
      <c r="M2850" s="773">
        <v>0.60416666666666663</v>
      </c>
      <c r="N2850" s="373">
        <v>1</v>
      </c>
      <c r="O2850" s="184" t="s">
        <v>17</v>
      </c>
      <c r="P2850" s="375" t="s">
        <v>4641</v>
      </c>
      <c r="Q2850" s="179" t="s">
        <v>1441</v>
      </c>
      <c r="R2850" s="31" t="s">
        <v>95</v>
      </c>
      <c r="S2850" s="31" t="s">
        <v>273</v>
      </c>
      <c r="T2850" s="31" t="s">
        <v>273</v>
      </c>
      <c r="U2850" s="31">
        <f>IFERROR(VLOOKUP(CONCATENATE(Tabla1[[#This Row],[Severidad]]," ",Tabla1[[#This Row],[Complejidad]]),Catalogos!E$120:G$128,3,FALSE),"")</f>
        <v>64</v>
      </c>
      <c r="V2850" s="31" t="str">
        <f>IF(Tabla1[[#This Row],[Tiempo solución max (hrs)]]&lt;&gt;"",IF(Tabla1[[#This Row],[Tiempo solución max (hrs)]]&gt;=Tabla1[[#This Row],[Tiempo
(Hrs 00/100)]],"cumple","no cumple"),"")</f>
        <v>cumple</v>
      </c>
      <c r="W2850" s="376" t="s">
        <v>4210</v>
      </c>
      <c r="X2850" s="377" t="str">
        <f t="shared" si="219"/>
        <v>SSI</v>
      </c>
      <c r="Y2850" t="str">
        <f>SUBSTITUTE(Tabla1[[#This Row],[Descripción]],CHAR(10),"    I    ")</f>
        <v xml:space="preserve">Se validó el paquete-procedimiento 'OBTENER_FG_DESECHADO' con el bloque anónimo correcto y se tuvo un resultado exitoso con la salida del cursor completo </v>
      </c>
      <c r="Z2850" s="142">
        <f>VLOOKUP(Tabla1[[#This Row],[Perfil]],Catalogos!$B$75:$D$100,3,FALSE)*Tabla1[[#This Row],[Tiempo
(Hrs 00/100)]]*1.16</f>
        <v>696</v>
      </c>
    </row>
    <row r="2851" spans="1:26" ht="43.2" x14ac:dyDescent="0.3">
      <c r="A2851" s="373" t="s">
        <v>22</v>
      </c>
      <c r="B2851" s="373" t="s">
        <v>23</v>
      </c>
      <c r="C2851" s="373" t="s">
        <v>257</v>
      </c>
      <c r="D2851" s="373"/>
      <c r="E2851" s="373" t="s">
        <v>408</v>
      </c>
      <c r="F2851" s="373" t="s">
        <v>23</v>
      </c>
      <c r="G2851" s="373" t="s">
        <v>5043</v>
      </c>
      <c r="H2851" s="461" t="s">
        <v>4826</v>
      </c>
      <c r="I2851" s="178" t="s">
        <v>5184</v>
      </c>
      <c r="J2851" s="729">
        <v>45257</v>
      </c>
      <c r="K2851" s="773">
        <v>0.66666666666666663</v>
      </c>
      <c r="L2851" s="729">
        <v>45257</v>
      </c>
      <c r="M2851" s="773">
        <v>0.70833333333333337</v>
      </c>
      <c r="N2851" s="373">
        <v>1</v>
      </c>
      <c r="O2851" s="184" t="s">
        <v>17</v>
      </c>
      <c r="P2851" s="375" t="s">
        <v>4641</v>
      </c>
      <c r="Q2851" s="179" t="s">
        <v>1441</v>
      </c>
      <c r="R2851" s="31" t="s">
        <v>95</v>
      </c>
      <c r="S2851" s="31" t="s">
        <v>273</v>
      </c>
      <c r="T2851" s="31" t="s">
        <v>273</v>
      </c>
      <c r="U2851" s="31">
        <f>IFERROR(VLOOKUP(CONCATENATE(Tabla1[[#This Row],[Severidad]]," ",Tabla1[[#This Row],[Complejidad]]),Catalogos!E$120:G$128,3,FALSE),"")</f>
        <v>64</v>
      </c>
      <c r="V2851" s="31" t="str">
        <f>IF(Tabla1[[#This Row],[Tiempo solución max (hrs)]]&lt;&gt;"",IF(Tabla1[[#This Row],[Tiempo solución max (hrs)]]&gt;=Tabla1[[#This Row],[Tiempo
(Hrs 00/100)]],"cumple","no cumple"),"")</f>
        <v>cumple</v>
      </c>
      <c r="W2851" s="376" t="s">
        <v>4210</v>
      </c>
      <c r="X2851" s="377" t="str">
        <f t="shared" si="219"/>
        <v>SSI</v>
      </c>
      <c r="Y2851" t="str">
        <f>SUBSTITUTE(Tabla1[[#This Row],[Descripción]],CHAR(10),"    I    ")</f>
        <v xml:space="preserve">Se construyeron las distintas consultas para tratar el 4to procedimiento de banderas 'OBTENER_FGTIENEINSTRUCCION' de RESOLUCIONES, para tratar los condicionales </v>
      </c>
      <c r="Z2851" s="142">
        <f>VLOOKUP(Tabla1[[#This Row],[Perfil]],Catalogos!$B$75:$D$100,3,FALSE)*Tabla1[[#This Row],[Tiempo
(Hrs 00/100)]]*1.16</f>
        <v>696</v>
      </c>
    </row>
    <row r="2852" spans="1:26" ht="28.8" x14ac:dyDescent="0.3">
      <c r="A2852" s="373" t="s">
        <v>22</v>
      </c>
      <c r="B2852" s="373" t="s">
        <v>23</v>
      </c>
      <c r="C2852" s="373" t="s">
        <v>257</v>
      </c>
      <c r="D2852" s="373"/>
      <c r="E2852" s="373" t="s">
        <v>408</v>
      </c>
      <c r="F2852" s="373" t="s">
        <v>75</v>
      </c>
      <c r="G2852" s="373" t="s">
        <v>5044</v>
      </c>
      <c r="H2852" s="461" t="s">
        <v>4794</v>
      </c>
      <c r="I2852" s="178" t="s">
        <v>4794</v>
      </c>
      <c r="J2852" s="729">
        <v>45257</v>
      </c>
      <c r="K2852" s="773">
        <v>0.70833333333333337</v>
      </c>
      <c r="L2852" s="729">
        <v>45257</v>
      </c>
      <c r="M2852" s="773">
        <v>0.75</v>
      </c>
      <c r="N2852" s="373">
        <v>1</v>
      </c>
      <c r="O2852" s="184" t="s">
        <v>17</v>
      </c>
      <c r="P2852" s="375" t="s">
        <v>4641</v>
      </c>
      <c r="Q2852" s="179" t="s">
        <v>1441</v>
      </c>
      <c r="R2852" s="31" t="s">
        <v>95</v>
      </c>
      <c r="S2852" s="31" t="s">
        <v>273</v>
      </c>
      <c r="T2852" s="31" t="s">
        <v>273</v>
      </c>
      <c r="U2852" s="31">
        <f>IFERROR(VLOOKUP(CONCATENATE(Tabla1[[#This Row],[Severidad]]," ",Tabla1[[#This Row],[Complejidad]]),Catalogos!E$120:G$128,3,FALSE),"")</f>
        <v>64</v>
      </c>
      <c r="V2852" s="31" t="str">
        <f>IF(Tabla1[[#This Row],[Tiempo solución max (hrs)]]&lt;&gt;"",IF(Tabla1[[#This Row],[Tiempo solución max (hrs)]]&gt;=Tabla1[[#This Row],[Tiempo
(Hrs 00/100)]],"cumple","no cumple"),"")</f>
        <v>cumple</v>
      </c>
      <c r="W2852" s="376" t="s">
        <v>4210</v>
      </c>
      <c r="X2852" s="377" t="str">
        <f t="shared" si="219"/>
        <v>SSI</v>
      </c>
      <c r="Y2852" t="str">
        <f>SUBSTITUTE(Tabla1[[#This Row],[Descripción]],CHAR(10),"    I    ")</f>
        <v xml:space="preserve">Se validó que la información que retorna de las distintas consultas con los distintos parametros sea la correcta </v>
      </c>
      <c r="Z2852" s="142">
        <f>VLOOKUP(Tabla1[[#This Row],[Perfil]],Catalogos!$B$75:$D$100,3,FALSE)*Tabla1[[#This Row],[Tiempo
(Hrs 00/100)]]*1.16</f>
        <v>696</v>
      </c>
    </row>
    <row r="2853" spans="1:26" ht="43.2" x14ac:dyDescent="0.3">
      <c r="A2853" s="373" t="s">
        <v>22</v>
      </c>
      <c r="B2853" s="373" t="s">
        <v>23</v>
      </c>
      <c r="C2853" s="373" t="s">
        <v>257</v>
      </c>
      <c r="D2853" s="373"/>
      <c r="E2853" s="373" t="s">
        <v>408</v>
      </c>
      <c r="F2853" s="373" t="s">
        <v>23</v>
      </c>
      <c r="G2853" s="373" t="s">
        <v>5045</v>
      </c>
      <c r="H2853" s="461" t="s">
        <v>4827</v>
      </c>
      <c r="I2853" s="178" t="s">
        <v>4828</v>
      </c>
      <c r="J2853" s="729">
        <v>45257</v>
      </c>
      <c r="K2853" s="773">
        <v>0.75</v>
      </c>
      <c r="L2853" s="729">
        <v>45257</v>
      </c>
      <c r="M2853" s="773">
        <v>0.79166666666666663</v>
      </c>
      <c r="N2853" s="373">
        <v>1</v>
      </c>
      <c r="O2853" s="184" t="s">
        <v>17</v>
      </c>
      <c r="P2853" s="375" t="s">
        <v>4641</v>
      </c>
      <c r="Q2853" s="179" t="s">
        <v>1441</v>
      </c>
      <c r="R2853" s="31" t="s">
        <v>95</v>
      </c>
      <c r="S2853" s="31" t="s">
        <v>273</v>
      </c>
      <c r="T2853" s="31" t="s">
        <v>273</v>
      </c>
      <c r="U2853" s="31">
        <f>IFERROR(VLOOKUP(CONCATENATE(Tabla1[[#This Row],[Severidad]]," ",Tabla1[[#This Row],[Complejidad]]),Catalogos!E$120:G$128,3,FALSE),"")</f>
        <v>64</v>
      </c>
      <c r="V2853" s="31" t="str">
        <f>IF(Tabla1[[#This Row],[Tiempo solución max (hrs)]]&lt;&gt;"",IF(Tabla1[[#This Row],[Tiempo solución max (hrs)]]&gt;=Tabla1[[#This Row],[Tiempo
(Hrs 00/100)]],"cumple","no cumple"),"")</f>
        <v>cumple</v>
      </c>
      <c r="W2853" s="376" t="s">
        <v>4210</v>
      </c>
      <c r="X2853" s="377" t="str">
        <f t="shared" si="219"/>
        <v>SSI</v>
      </c>
      <c r="Y2853" t="str">
        <f>SUBSTITUTE(Tabla1[[#This Row],[Descripción]],CHAR(10),"    I    ")</f>
        <v xml:space="preserve">Se trabajó con los ajustes del 4to procedimiento de banderas 'OBTENER_FGTIENEINSTRUCCION', con las consultas necesarias de las condicionantes previamente validadas, se compila sin errores </v>
      </c>
      <c r="Z2853" s="142">
        <f>VLOOKUP(Tabla1[[#This Row],[Perfil]],Catalogos!$B$75:$D$100,3,FALSE)*Tabla1[[#This Row],[Tiempo
(Hrs 00/100)]]*1.16</f>
        <v>696</v>
      </c>
    </row>
    <row r="2854" spans="1:26" ht="43.2" x14ac:dyDescent="0.3">
      <c r="A2854" s="373" t="s">
        <v>22</v>
      </c>
      <c r="B2854" s="373" t="s">
        <v>23</v>
      </c>
      <c r="C2854" s="373" t="s">
        <v>257</v>
      </c>
      <c r="D2854" s="373"/>
      <c r="E2854" s="373" t="s">
        <v>408</v>
      </c>
      <c r="F2854" s="373" t="s">
        <v>75</v>
      </c>
      <c r="G2854" s="373" t="s">
        <v>5046</v>
      </c>
      <c r="H2854" s="461" t="s">
        <v>4748</v>
      </c>
      <c r="I2854" s="178" t="s">
        <v>4749</v>
      </c>
      <c r="J2854" s="729">
        <v>45258</v>
      </c>
      <c r="K2854" s="773">
        <v>0.375</v>
      </c>
      <c r="L2854" s="729">
        <v>45258</v>
      </c>
      <c r="M2854" s="773">
        <v>0.41666666666666669</v>
      </c>
      <c r="N2854" s="373">
        <v>1</v>
      </c>
      <c r="O2854" s="184" t="s">
        <v>17</v>
      </c>
      <c r="P2854" s="375" t="s">
        <v>4641</v>
      </c>
      <c r="Q2854" s="179" t="s">
        <v>1441</v>
      </c>
      <c r="R2854" s="31" t="s">
        <v>95</v>
      </c>
      <c r="S2854" s="31" t="s">
        <v>273</v>
      </c>
      <c r="T2854" s="31" t="s">
        <v>273</v>
      </c>
      <c r="U2854" s="31">
        <f>IFERROR(VLOOKUP(CONCATENATE(Tabla1[[#This Row],[Severidad]]," ",Tabla1[[#This Row],[Complejidad]]),Catalogos!E$120:G$128,3,FALSE),"")</f>
        <v>64</v>
      </c>
      <c r="V2854" s="31" t="str">
        <f>IF(Tabla1[[#This Row],[Tiempo solución max (hrs)]]&lt;&gt;"",IF(Tabla1[[#This Row],[Tiempo solución max (hrs)]]&gt;=Tabla1[[#This Row],[Tiempo
(Hrs 00/100)]],"cumple","no cumple"),"")</f>
        <v>cumple</v>
      </c>
      <c r="W2854" s="376" t="s">
        <v>4210</v>
      </c>
      <c r="X2854" s="377" t="str">
        <f t="shared" si="219"/>
        <v>SSI</v>
      </c>
      <c r="Y2854" t="str">
        <f>SUBSTITUTE(Tabla1[[#This Row],[Descripción]],CHAR(10),"    I    ")</f>
        <v xml:space="preserve">Se validó el paquete-procedimiento 'OBTENER_FGTIENEINSTRUCCION' con el bloque anónimo correcto y se tuvo un resultado exitoso con la salida del cursor completo </v>
      </c>
      <c r="Z2854" s="142">
        <f>VLOOKUP(Tabla1[[#This Row],[Perfil]],Catalogos!$B$75:$D$100,3,FALSE)*Tabla1[[#This Row],[Tiempo
(Hrs 00/100)]]*1.16</f>
        <v>696</v>
      </c>
    </row>
    <row r="2855" spans="1:26" ht="43.2" x14ac:dyDescent="0.3">
      <c r="A2855" s="373" t="s">
        <v>22</v>
      </c>
      <c r="B2855" s="373" t="s">
        <v>61</v>
      </c>
      <c r="C2855" s="373" t="s">
        <v>257</v>
      </c>
      <c r="D2855" s="373"/>
      <c r="E2855" s="373" t="s">
        <v>408</v>
      </c>
      <c r="F2855" s="373" t="s">
        <v>76</v>
      </c>
      <c r="G2855" s="373" t="s">
        <v>5047</v>
      </c>
      <c r="H2855" s="461" t="s">
        <v>4829</v>
      </c>
      <c r="I2855" s="178" t="s">
        <v>5208</v>
      </c>
      <c r="J2855" s="729">
        <v>45258</v>
      </c>
      <c r="K2855" s="773">
        <v>0.41666666666666669</v>
      </c>
      <c r="L2855" s="729">
        <v>45258</v>
      </c>
      <c r="M2855" s="773">
        <v>0.4375</v>
      </c>
      <c r="N2855" s="373">
        <v>0.5</v>
      </c>
      <c r="O2855" s="184" t="s">
        <v>17</v>
      </c>
      <c r="P2855" s="375" t="s">
        <v>4641</v>
      </c>
      <c r="Q2855" s="179" t="s">
        <v>1441</v>
      </c>
      <c r="R2855" s="31" t="s">
        <v>95</v>
      </c>
      <c r="S2855" s="31" t="s">
        <v>273</v>
      </c>
      <c r="T2855" s="31" t="s">
        <v>273</v>
      </c>
      <c r="U2855" s="31">
        <f>IFERROR(VLOOKUP(CONCATENATE(Tabla1[[#This Row],[Severidad]]," ",Tabla1[[#This Row],[Complejidad]]),Catalogos!E$120:G$128,3,FALSE),"")</f>
        <v>64</v>
      </c>
      <c r="V2855" s="31" t="str">
        <f>IF(Tabla1[[#This Row],[Tiempo solución max (hrs)]]&lt;&gt;"",IF(Tabla1[[#This Row],[Tiempo solución max (hrs)]]&gt;=Tabla1[[#This Row],[Tiempo
(Hrs 00/100)]],"cumple","no cumple"),"")</f>
        <v>cumple</v>
      </c>
      <c r="W2855" s="376" t="s">
        <v>4210</v>
      </c>
      <c r="X2855" s="377" t="str">
        <f t="shared" si="219"/>
        <v>SSI</v>
      </c>
      <c r="Y2855" t="str">
        <f>SUBSTITUTE(Tabla1[[#This Row],[Descripción]],CHAR(10),"    I    ")</f>
        <v xml:space="preserve">Se le explicó al equipo que ya estan los ajustes para el 4to procedimiento de banderas 'OBTENER_FGTIENEINSTRUCCION',para que lo revisen y consuman desde el aplicativo </v>
      </c>
      <c r="Z2855" s="142">
        <f>VLOOKUP(Tabla1[[#This Row],[Perfil]],Catalogos!$B$75:$D$100,3,FALSE)*Tabla1[[#This Row],[Tiempo
(Hrs 00/100)]]*1.16</f>
        <v>348</v>
      </c>
    </row>
    <row r="2856" spans="1:26" ht="28.8" x14ac:dyDescent="0.3">
      <c r="A2856" s="373" t="s">
        <v>22</v>
      </c>
      <c r="B2856" s="373" t="s">
        <v>23</v>
      </c>
      <c r="C2856" s="373" t="s">
        <v>257</v>
      </c>
      <c r="D2856" s="373"/>
      <c r="E2856" s="373" t="s">
        <v>408</v>
      </c>
      <c r="F2856" s="373" t="s">
        <v>75</v>
      </c>
      <c r="G2856" s="373" t="s">
        <v>5048</v>
      </c>
      <c r="H2856" s="461" t="s">
        <v>4830</v>
      </c>
      <c r="I2856" s="178" t="s">
        <v>4831</v>
      </c>
      <c r="J2856" s="729">
        <v>45258</v>
      </c>
      <c r="K2856" s="773">
        <v>0.4375</v>
      </c>
      <c r="L2856" s="729">
        <v>45258</v>
      </c>
      <c r="M2856" s="773">
        <v>0.45833333333333331</v>
      </c>
      <c r="N2856" s="373">
        <v>0.5</v>
      </c>
      <c r="O2856" s="184" t="s">
        <v>17</v>
      </c>
      <c r="P2856" s="375" t="s">
        <v>4641</v>
      </c>
      <c r="Q2856" s="179" t="s">
        <v>1441</v>
      </c>
      <c r="R2856" s="31" t="s">
        <v>95</v>
      </c>
      <c r="S2856" s="31" t="s">
        <v>273</v>
      </c>
      <c r="T2856" s="31" t="s">
        <v>273</v>
      </c>
      <c r="U2856" s="31">
        <f>IFERROR(VLOOKUP(CONCATENATE(Tabla1[[#This Row],[Severidad]]," ",Tabla1[[#This Row],[Complejidad]]),Catalogos!E$120:G$128,3,FALSE),"")</f>
        <v>64</v>
      </c>
      <c r="V2856" s="31" t="str">
        <f>IF(Tabla1[[#This Row],[Tiempo solución max (hrs)]]&lt;&gt;"",IF(Tabla1[[#This Row],[Tiempo solución max (hrs)]]&gt;=Tabla1[[#This Row],[Tiempo
(Hrs 00/100)]],"cumple","no cumple"),"")</f>
        <v>cumple</v>
      </c>
      <c r="W2856" s="376" t="s">
        <v>4210</v>
      </c>
      <c r="X2856" s="377" t="str">
        <f t="shared" si="219"/>
        <v>SSI</v>
      </c>
      <c r="Y2856" t="str">
        <f>SUBSTITUTE(Tabla1[[#This Row],[Descripción]],CHAR(10),"    I    ")</f>
        <v xml:space="preserve">Se le proporciono bloque anónimo para ejecutar procedimientos de bandera a equipo para que puedan validar los cambios aplicados </v>
      </c>
      <c r="Z2856" s="142">
        <f>VLOOKUP(Tabla1[[#This Row],[Perfil]],Catalogos!$B$75:$D$100,3,FALSE)*Tabla1[[#This Row],[Tiempo
(Hrs 00/100)]]*1.16</f>
        <v>348</v>
      </c>
    </row>
    <row r="2857" spans="1:26" ht="55.2" x14ac:dyDescent="0.3">
      <c r="A2857" s="373" t="s">
        <v>22</v>
      </c>
      <c r="B2857" s="373" t="s">
        <v>305</v>
      </c>
      <c r="C2857" s="373" t="s">
        <v>257</v>
      </c>
      <c r="D2857" s="373"/>
      <c r="E2857" s="373" t="s">
        <v>408</v>
      </c>
      <c r="F2857" s="373" t="s">
        <v>72</v>
      </c>
      <c r="G2857" s="373" t="s">
        <v>5049</v>
      </c>
      <c r="H2857" s="461" t="s">
        <v>4832</v>
      </c>
      <c r="I2857" s="178" t="s">
        <v>4832</v>
      </c>
      <c r="J2857" s="729">
        <v>45258</v>
      </c>
      <c r="K2857" s="773">
        <v>0.45833333333333331</v>
      </c>
      <c r="L2857" s="729">
        <v>45258</v>
      </c>
      <c r="M2857" s="773">
        <v>0.5</v>
      </c>
      <c r="N2857" s="373">
        <v>1</v>
      </c>
      <c r="O2857" s="184" t="s">
        <v>17</v>
      </c>
      <c r="P2857" s="375" t="s">
        <v>4639</v>
      </c>
      <c r="Q2857" s="179" t="s">
        <v>1441</v>
      </c>
      <c r="R2857" s="31" t="s">
        <v>95</v>
      </c>
      <c r="S2857" s="31" t="s">
        <v>273</v>
      </c>
      <c r="T2857" s="31" t="s">
        <v>273</v>
      </c>
      <c r="U2857" s="31">
        <f>IFERROR(VLOOKUP(CONCATENATE(Tabla1[[#This Row],[Severidad]]," ",Tabla1[[#This Row],[Complejidad]]),Catalogos!E$120:G$128,3,FALSE),"")</f>
        <v>64</v>
      </c>
      <c r="V2857" s="31" t="str">
        <f>IF(Tabla1[[#This Row],[Tiempo solución max (hrs)]]&lt;&gt;"",IF(Tabla1[[#This Row],[Tiempo solución max (hrs)]]&gt;=Tabla1[[#This Row],[Tiempo
(Hrs 00/100)]],"cumple","no cumple"),"")</f>
        <v>cumple</v>
      </c>
      <c r="W2857" s="376" t="s">
        <v>4210</v>
      </c>
      <c r="X2857" s="377" t="str">
        <f t="shared" si="219"/>
        <v>SSI</v>
      </c>
      <c r="Y2857" t="str">
        <f>SUBSTITUTE(Tabla1[[#This Row],[Descripción]],CHAR(10),"    I    ")</f>
        <v xml:space="preserve">Se detecto cambio en vista de 'BI.SISAI_VWM_SOLICITUDES_ESTADISTICAS' ya que el campo de 'ID_ULTIMA_RESPUESTA' ya cambio por 'ID_TIPO_RESPUESTA' </v>
      </c>
      <c r="Z2857" s="142">
        <f>VLOOKUP(Tabla1[[#This Row],[Perfil]],Catalogos!$B$75:$D$100,3,FALSE)*Tabla1[[#This Row],[Tiempo
(Hrs 00/100)]]*1.16</f>
        <v>696</v>
      </c>
    </row>
    <row r="2858" spans="1:26" ht="28.8" x14ac:dyDescent="0.3">
      <c r="A2858" s="373" t="s">
        <v>22</v>
      </c>
      <c r="B2858" s="373" t="s">
        <v>23</v>
      </c>
      <c r="C2858" s="373" t="s">
        <v>257</v>
      </c>
      <c r="D2858" s="373"/>
      <c r="E2858" s="373" t="s">
        <v>408</v>
      </c>
      <c r="F2858" s="373" t="s">
        <v>23</v>
      </c>
      <c r="G2858" s="373" t="s">
        <v>5050</v>
      </c>
      <c r="H2858" s="461" t="s">
        <v>4833</v>
      </c>
      <c r="I2858" s="178" t="s">
        <v>4833</v>
      </c>
      <c r="J2858" s="729">
        <v>45258</v>
      </c>
      <c r="K2858" s="773">
        <v>0.5</v>
      </c>
      <c r="L2858" s="729">
        <v>45258</v>
      </c>
      <c r="M2858" s="773">
        <v>0.54166666666666663</v>
      </c>
      <c r="N2858" s="373">
        <v>1</v>
      </c>
      <c r="O2858" s="184" t="s">
        <v>17</v>
      </c>
      <c r="P2858" s="375" t="s">
        <v>4639</v>
      </c>
      <c r="Q2858" s="179" t="s">
        <v>1441</v>
      </c>
      <c r="R2858" s="31" t="s">
        <v>95</v>
      </c>
      <c r="S2858" s="31" t="s">
        <v>273</v>
      </c>
      <c r="T2858" s="31" t="s">
        <v>273</v>
      </c>
      <c r="U2858" s="31">
        <f>IFERROR(VLOOKUP(CONCATENATE(Tabla1[[#This Row],[Severidad]]," ",Tabla1[[#This Row],[Complejidad]]),Catalogos!E$120:G$128,3,FALSE),"")</f>
        <v>64</v>
      </c>
      <c r="V2858" s="31" t="str">
        <f>IF(Tabla1[[#This Row],[Tiempo solución max (hrs)]]&lt;&gt;"",IF(Tabla1[[#This Row],[Tiempo solución max (hrs)]]&gt;=Tabla1[[#This Row],[Tiempo
(Hrs 00/100)]],"cumple","no cumple"),"")</f>
        <v>cumple</v>
      </c>
      <c r="W2858" s="376" t="s">
        <v>4210</v>
      </c>
      <c r="X2858" s="377" t="str">
        <f t="shared" si="219"/>
        <v>SSI</v>
      </c>
      <c r="Y2858" t="str">
        <f>SUBSTITUTE(Tabla1[[#This Row],[Descripción]],CHAR(10),"    I    ")</f>
        <v xml:space="preserve">Se reconstruyeron las consultas del 1er procedimiento de 'OBTENER_TIPO_SOLICITUD' de SOLICITUDES </v>
      </c>
      <c r="Z2858" s="142">
        <f>VLOOKUP(Tabla1[[#This Row],[Perfil]],Catalogos!$B$75:$D$100,3,FALSE)*Tabla1[[#This Row],[Tiempo
(Hrs 00/100)]]*1.16</f>
        <v>696</v>
      </c>
    </row>
    <row r="2859" spans="1:26" ht="43.2" x14ac:dyDescent="0.3">
      <c r="A2859" s="373" t="s">
        <v>22</v>
      </c>
      <c r="B2859" s="373" t="s">
        <v>23</v>
      </c>
      <c r="C2859" s="373" t="s">
        <v>257</v>
      </c>
      <c r="D2859" s="373"/>
      <c r="E2859" s="373" t="s">
        <v>408</v>
      </c>
      <c r="F2859" s="373" t="s">
        <v>23</v>
      </c>
      <c r="G2859" s="373" t="s">
        <v>5051</v>
      </c>
      <c r="H2859" s="461" t="s">
        <v>4834</v>
      </c>
      <c r="I2859" s="178" t="s">
        <v>4835</v>
      </c>
      <c r="J2859" s="729">
        <v>45258</v>
      </c>
      <c r="K2859" s="773">
        <v>0.54166666666666663</v>
      </c>
      <c r="L2859" s="729">
        <v>45258</v>
      </c>
      <c r="M2859" s="773">
        <v>0.58333333333333337</v>
      </c>
      <c r="N2859" s="373">
        <v>1</v>
      </c>
      <c r="O2859" s="184" t="s">
        <v>17</v>
      </c>
      <c r="P2859" s="375" t="s">
        <v>4639</v>
      </c>
      <c r="Q2859" s="179" t="s">
        <v>1441</v>
      </c>
      <c r="R2859" s="31" t="s">
        <v>95</v>
      </c>
      <c r="S2859" s="31" t="s">
        <v>273</v>
      </c>
      <c r="T2859" s="31" t="s">
        <v>273</v>
      </c>
      <c r="U2859" s="31">
        <f>IFERROR(VLOOKUP(CONCATENATE(Tabla1[[#This Row],[Severidad]]," ",Tabla1[[#This Row],[Complejidad]]),Catalogos!E$120:G$128,3,FALSE),"")</f>
        <v>64</v>
      </c>
      <c r="V2859" s="31" t="str">
        <f>IF(Tabla1[[#This Row],[Tiempo solución max (hrs)]]&lt;&gt;"",IF(Tabla1[[#This Row],[Tiempo solución max (hrs)]]&gt;=Tabla1[[#This Row],[Tiempo
(Hrs 00/100)]],"cumple","no cumple"),"")</f>
        <v>cumple</v>
      </c>
      <c r="W2859" s="376" t="s">
        <v>4210</v>
      </c>
      <c r="X2859" s="377" t="str">
        <f t="shared" si="219"/>
        <v>SSI</v>
      </c>
      <c r="Y2859" t="str">
        <f>SUBSTITUTE(Tabla1[[#This Row],[Descripción]],CHAR(10),"    I    ")</f>
        <v xml:space="preserve">Se trabajó con los ajustes del 1er procedimiento de 'OBTENER_TIPO_SOLICITUD', con el cambio del campo actualizado en la vista materializada, se compila sin errores </v>
      </c>
      <c r="Z2859" s="142">
        <f>VLOOKUP(Tabla1[[#This Row],[Perfil]],Catalogos!$B$75:$D$100,3,FALSE)*Tabla1[[#This Row],[Tiempo
(Hrs 00/100)]]*1.16</f>
        <v>696</v>
      </c>
    </row>
    <row r="2860" spans="1:26" ht="43.2" x14ac:dyDescent="0.3">
      <c r="A2860" s="373" t="s">
        <v>22</v>
      </c>
      <c r="B2860" s="373" t="s">
        <v>23</v>
      </c>
      <c r="C2860" s="373" t="s">
        <v>257</v>
      </c>
      <c r="D2860" s="373"/>
      <c r="E2860" s="373" t="s">
        <v>408</v>
      </c>
      <c r="F2860" s="373" t="s">
        <v>75</v>
      </c>
      <c r="G2860" s="373" t="s">
        <v>5052</v>
      </c>
      <c r="H2860" s="461" t="s">
        <v>3538</v>
      </c>
      <c r="I2860" s="178" t="s">
        <v>4836</v>
      </c>
      <c r="J2860" s="729">
        <v>45258</v>
      </c>
      <c r="K2860" s="773">
        <v>0.58333333333333337</v>
      </c>
      <c r="L2860" s="729">
        <v>45258</v>
      </c>
      <c r="M2860" s="773">
        <v>0.60416666666666663</v>
      </c>
      <c r="N2860" s="373">
        <v>0.5</v>
      </c>
      <c r="O2860" s="184" t="s">
        <v>17</v>
      </c>
      <c r="P2860" s="375" t="s">
        <v>4639</v>
      </c>
      <c r="Q2860" s="179" t="s">
        <v>1441</v>
      </c>
      <c r="R2860" s="31" t="s">
        <v>95</v>
      </c>
      <c r="S2860" s="31" t="s">
        <v>273</v>
      </c>
      <c r="T2860" s="31" t="s">
        <v>273</v>
      </c>
      <c r="U2860" s="31">
        <f>IFERROR(VLOOKUP(CONCATENATE(Tabla1[[#This Row],[Severidad]]," ",Tabla1[[#This Row],[Complejidad]]),Catalogos!E$120:G$128,3,FALSE),"")</f>
        <v>64</v>
      </c>
      <c r="V2860" s="31" t="str">
        <f>IF(Tabla1[[#This Row],[Tiempo solución max (hrs)]]&lt;&gt;"",IF(Tabla1[[#This Row],[Tiempo solución max (hrs)]]&gt;=Tabla1[[#This Row],[Tiempo
(Hrs 00/100)]],"cumple","no cumple"),"")</f>
        <v>cumple</v>
      </c>
      <c r="W2860" s="376" t="s">
        <v>4210</v>
      </c>
      <c r="X2860" s="377" t="str">
        <f t="shared" si="219"/>
        <v>SSI</v>
      </c>
      <c r="Y2860" t="str">
        <f>SUBSTITUTE(Tabla1[[#This Row],[Descripción]],CHAR(10),"    I    ")</f>
        <v xml:space="preserve">Se validó el paquete-procedimiento 'OBTENER_TIPO_SOLICITUD' con el bloque anónimo correcto y se tuvo un resultado exitoso con la salida del cursor completo de nuevo </v>
      </c>
      <c r="Z2860" s="142">
        <f>VLOOKUP(Tabla1[[#This Row],[Perfil]],Catalogos!$B$75:$D$100,3,FALSE)*Tabla1[[#This Row],[Tiempo
(Hrs 00/100)]]*1.16</f>
        <v>348</v>
      </c>
    </row>
    <row r="2861" spans="1:26" ht="28.8" x14ac:dyDescent="0.3">
      <c r="A2861" s="373" t="s">
        <v>22</v>
      </c>
      <c r="B2861" s="373" t="s">
        <v>23</v>
      </c>
      <c r="C2861" s="373" t="s">
        <v>257</v>
      </c>
      <c r="D2861" s="373"/>
      <c r="E2861" s="373" t="s">
        <v>408</v>
      </c>
      <c r="F2861" s="373" t="s">
        <v>23</v>
      </c>
      <c r="G2861" s="373" t="s">
        <v>5053</v>
      </c>
      <c r="H2861" s="461" t="s">
        <v>4837</v>
      </c>
      <c r="I2861" s="178" t="s">
        <v>4837</v>
      </c>
      <c r="J2861" s="729">
        <v>45258</v>
      </c>
      <c r="K2861" s="773">
        <v>0.66666666666666663</v>
      </c>
      <c r="L2861" s="729">
        <v>45258</v>
      </c>
      <c r="M2861" s="773">
        <v>0.6875</v>
      </c>
      <c r="N2861" s="373">
        <v>0.5</v>
      </c>
      <c r="O2861" s="184" t="s">
        <v>17</v>
      </c>
      <c r="P2861" s="375" t="s">
        <v>4639</v>
      </c>
      <c r="Q2861" s="179" t="s">
        <v>1441</v>
      </c>
      <c r="R2861" s="31" t="s">
        <v>95</v>
      </c>
      <c r="S2861" s="31" t="s">
        <v>273</v>
      </c>
      <c r="T2861" s="31" t="s">
        <v>273</v>
      </c>
      <c r="U2861" s="31">
        <f>IFERROR(VLOOKUP(CONCATENATE(Tabla1[[#This Row],[Severidad]]," ",Tabla1[[#This Row],[Complejidad]]),Catalogos!E$120:G$128,3,FALSE),"")</f>
        <v>64</v>
      </c>
      <c r="V2861" s="31" t="str">
        <f>IF(Tabla1[[#This Row],[Tiempo solución max (hrs)]]&lt;&gt;"",IF(Tabla1[[#This Row],[Tiempo solución max (hrs)]]&gt;=Tabla1[[#This Row],[Tiempo
(Hrs 00/100)]],"cumple","no cumple"),"")</f>
        <v>cumple</v>
      </c>
      <c r="W2861" s="376" t="s">
        <v>4210</v>
      </c>
      <c r="X2861" s="377" t="str">
        <f t="shared" si="219"/>
        <v>SSI</v>
      </c>
      <c r="Y2861" t="str">
        <f>SUBSTITUTE(Tabla1[[#This Row],[Descripción]],CHAR(10),"    I    ")</f>
        <v xml:space="preserve">Se reconstruyeron las consultas del 2do procedimiento de 'OBTENER_DERECHO_DP' de SOLICITUDES </v>
      </c>
      <c r="Z2861" s="142">
        <f>VLOOKUP(Tabla1[[#This Row],[Perfil]],Catalogos!$B$75:$D$100,3,FALSE)*Tabla1[[#This Row],[Tiempo
(Hrs 00/100)]]*1.16</f>
        <v>348</v>
      </c>
    </row>
    <row r="2862" spans="1:26" ht="43.2" x14ac:dyDescent="0.3">
      <c r="A2862" s="373" t="s">
        <v>22</v>
      </c>
      <c r="B2862" s="373" t="s">
        <v>23</v>
      </c>
      <c r="C2862" s="373" t="s">
        <v>257</v>
      </c>
      <c r="D2862" s="373"/>
      <c r="E2862" s="373" t="s">
        <v>408</v>
      </c>
      <c r="F2862" s="373" t="s">
        <v>23</v>
      </c>
      <c r="G2862" s="373" t="s">
        <v>5054</v>
      </c>
      <c r="H2862" s="461" t="s">
        <v>4838</v>
      </c>
      <c r="I2862" s="178" t="s">
        <v>4839</v>
      </c>
      <c r="J2862" s="729">
        <v>45258</v>
      </c>
      <c r="K2862" s="773">
        <v>0.6875</v>
      </c>
      <c r="L2862" s="729">
        <v>45258</v>
      </c>
      <c r="M2862" s="773">
        <v>0.70833333333333337</v>
      </c>
      <c r="N2862" s="373">
        <v>0.5</v>
      </c>
      <c r="O2862" s="184" t="s">
        <v>17</v>
      </c>
      <c r="P2862" s="375" t="s">
        <v>4639</v>
      </c>
      <c r="Q2862" s="179" t="s">
        <v>1441</v>
      </c>
      <c r="R2862" s="31" t="s">
        <v>95</v>
      </c>
      <c r="S2862" s="31" t="s">
        <v>273</v>
      </c>
      <c r="T2862" s="31" t="s">
        <v>273</v>
      </c>
      <c r="U2862" s="31">
        <f>IFERROR(VLOOKUP(CONCATENATE(Tabla1[[#This Row],[Severidad]]," ",Tabla1[[#This Row],[Complejidad]]),Catalogos!E$120:G$128,3,FALSE),"")</f>
        <v>64</v>
      </c>
      <c r="V2862" s="31" t="str">
        <f>IF(Tabla1[[#This Row],[Tiempo solución max (hrs)]]&lt;&gt;"",IF(Tabla1[[#This Row],[Tiempo solución max (hrs)]]&gt;=Tabla1[[#This Row],[Tiempo
(Hrs 00/100)]],"cumple","no cumple"),"")</f>
        <v>cumple</v>
      </c>
      <c r="W2862" s="376" t="s">
        <v>4210</v>
      </c>
      <c r="X2862" s="377" t="str">
        <f t="shared" si="219"/>
        <v>SSI</v>
      </c>
      <c r="Y2862" t="str">
        <f>SUBSTITUTE(Tabla1[[#This Row],[Descripción]],CHAR(10),"    I    ")</f>
        <v xml:space="preserve">Se trabajó con los ajustes del 2do procedimiento de 'OBTENER_DERECHO_DP', con el cambio del campo actualizado en la vista materializada, se compila sin errores </v>
      </c>
      <c r="Z2862" s="142">
        <f>VLOOKUP(Tabla1[[#This Row],[Perfil]],Catalogos!$B$75:$D$100,3,FALSE)*Tabla1[[#This Row],[Tiempo
(Hrs 00/100)]]*1.16</f>
        <v>348</v>
      </c>
    </row>
    <row r="2863" spans="1:26" ht="43.2" x14ac:dyDescent="0.3">
      <c r="A2863" s="373" t="s">
        <v>22</v>
      </c>
      <c r="B2863" s="373" t="s">
        <v>23</v>
      </c>
      <c r="C2863" s="373" t="s">
        <v>257</v>
      </c>
      <c r="D2863" s="373"/>
      <c r="E2863" s="373" t="s">
        <v>408</v>
      </c>
      <c r="F2863" s="373" t="s">
        <v>75</v>
      </c>
      <c r="G2863" s="373" t="s">
        <v>5055</v>
      </c>
      <c r="H2863" s="461" t="s">
        <v>3596</v>
      </c>
      <c r="I2863" s="178" t="s">
        <v>4840</v>
      </c>
      <c r="J2863" s="729">
        <v>45258</v>
      </c>
      <c r="K2863" s="773">
        <v>0.70833333333333337</v>
      </c>
      <c r="L2863" s="729">
        <v>45258</v>
      </c>
      <c r="M2863" s="773">
        <v>0.72916666666666663</v>
      </c>
      <c r="N2863" s="373">
        <v>0.5</v>
      </c>
      <c r="O2863" s="184" t="s">
        <v>17</v>
      </c>
      <c r="P2863" s="375" t="s">
        <v>4639</v>
      </c>
      <c r="Q2863" s="179" t="s">
        <v>1441</v>
      </c>
      <c r="R2863" s="31" t="s">
        <v>95</v>
      </c>
      <c r="S2863" s="31" t="s">
        <v>273</v>
      </c>
      <c r="T2863" s="31" t="s">
        <v>273</v>
      </c>
      <c r="U2863" s="31">
        <f>IFERROR(VLOOKUP(CONCATENATE(Tabla1[[#This Row],[Severidad]]," ",Tabla1[[#This Row],[Complejidad]]),Catalogos!E$120:G$128,3,FALSE),"")</f>
        <v>64</v>
      </c>
      <c r="V2863" s="31" t="str">
        <f>IF(Tabla1[[#This Row],[Tiempo solución max (hrs)]]&lt;&gt;"",IF(Tabla1[[#This Row],[Tiempo solución max (hrs)]]&gt;=Tabla1[[#This Row],[Tiempo
(Hrs 00/100)]],"cumple","no cumple"),"")</f>
        <v>cumple</v>
      </c>
      <c r="W2863" s="376" t="s">
        <v>4210</v>
      </c>
      <c r="X2863" s="377" t="str">
        <f t="shared" si="219"/>
        <v>SSI</v>
      </c>
      <c r="Y2863" t="str">
        <f>SUBSTITUTE(Tabla1[[#This Row],[Descripción]],CHAR(10),"    I    ")</f>
        <v xml:space="preserve">Se validó el paquete-procedimiento 'OBTENER_DERECHO_DP' con el bloque anónimo correcto y se tuvo un resultado exitoso con la salida del cursor completo de nuevo </v>
      </c>
      <c r="Z2863" s="142">
        <f>VLOOKUP(Tabla1[[#This Row],[Perfil]],Catalogos!$B$75:$D$100,3,FALSE)*Tabla1[[#This Row],[Tiempo
(Hrs 00/100)]]*1.16</f>
        <v>348</v>
      </c>
    </row>
    <row r="2864" spans="1:26" ht="28.8" x14ac:dyDescent="0.3">
      <c r="A2864" s="373" t="s">
        <v>22</v>
      </c>
      <c r="B2864" s="373" t="s">
        <v>23</v>
      </c>
      <c r="C2864" s="373" t="s">
        <v>257</v>
      </c>
      <c r="D2864" s="373"/>
      <c r="E2864" s="373" t="s">
        <v>408</v>
      </c>
      <c r="F2864" s="373" t="s">
        <v>23</v>
      </c>
      <c r="G2864" s="373" t="s">
        <v>5056</v>
      </c>
      <c r="H2864" s="461" t="s">
        <v>4841</v>
      </c>
      <c r="I2864" s="178" t="s">
        <v>4841</v>
      </c>
      <c r="J2864" s="729">
        <v>45258</v>
      </c>
      <c r="K2864" s="773">
        <v>0.72916666666666663</v>
      </c>
      <c r="L2864" s="729">
        <v>45258</v>
      </c>
      <c r="M2864" s="773">
        <v>0.75</v>
      </c>
      <c r="N2864" s="373">
        <v>0.5</v>
      </c>
      <c r="O2864" s="184" t="s">
        <v>17</v>
      </c>
      <c r="P2864" s="375" t="s">
        <v>4639</v>
      </c>
      <c r="Q2864" s="179" t="s">
        <v>1441</v>
      </c>
      <c r="R2864" s="31" t="s">
        <v>95</v>
      </c>
      <c r="S2864" s="31" t="s">
        <v>273</v>
      </c>
      <c r="T2864" s="31" t="s">
        <v>273</v>
      </c>
      <c r="U2864" s="31">
        <f>IFERROR(VLOOKUP(CONCATENATE(Tabla1[[#This Row],[Severidad]]," ",Tabla1[[#This Row],[Complejidad]]),Catalogos!E$120:G$128,3,FALSE),"")</f>
        <v>64</v>
      </c>
      <c r="V2864" s="31" t="str">
        <f>IF(Tabla1[[#This Row],[Tiempo solución max (hrs)]]&lt;&gt;"",IF(Tabla1[[#This Row],[Tiempo solución max (hrs)]]&gt;=Tabla1[[#This Row],[Tiempo
(Hrs 00/100)]],"cumple","no cumple"),"")</f>
        <v>cumple</v>
      </c>
      <c r="W2864" s="376" t="s">
        <v>4210</v>
      </c>
      <c r="X2864" s="377" t="str">
        <f t="shared" si="219"/>
        <v>SSI</v>
      </c>
      <c r="Y2864" t="str">
        <f>SUBSTITUTE(Tabla1[[#This Row],[Descripción]],CHAR(10),"    I    ")</f>
        <v xml:space="preserve">Se reconstruyeron las consultas del 3er procedimiento de 'OBTENER_MEDIO_ENTRADA' de SOLICITUDES </v>
      </c>
      <c r="Z2864" s="142">
        <f>VLOOKUP(Tabla1[[#This Row],[Perfil]],Catalogos!$B$75:$D$100,3,FALSE)*Tabla1[[#This Row],[Tiempo
(Hrs 00/100)]]*1.16</f>
        <v>348</v>
      </c>
    </row>
    <row r="2865" spans="1:26" ht="43.2" x14ac:dyDescent="0.3">
      <c r="A2865" s="373" t="s">
        <v>22</v>
      </c>
      <c r="B2865" s="373" t="s">
        <v>23</v>
      </c>
      <c r="C2865" s="373" t="s">
        <v>257</v>
      </c>
      <c r="D2865" s="373"/>
      <c r="E2865" s="373" t="s">
        <v>408</v>
      </c>
      <c r="F2865" s="373" t="s">
        <v>23</v>
      </c>
      <c r="G2865" s="373" t="s">
        <v>5057</v>
      </c>
      <c r="H2865" s="461" t="s">
        <v>4842</v>
      </c>
      <c r="I2865" s="178" t="s">
        <v>4843</v>
      </c>
      <c r="J2865" s="729">
        <v>45258</v>
      </c>
      <c r="K2865" s="773">
        <v>0.75</v>
      </c>
      <c r="L2865" s="729">
        <v>45259</v>
      </c>
      <c r="M2865" s="773">
        <v>0.77083333333333337</v>
      </c>
      <c r="N2865" s="373">
        <v>0.5</v>
      </c>
      <c r="O2865" s="184" t="s">
        <v>17</v>
      </c>
      <c r="P2865" s="375" t="s">
        <v>4639</v>
      </c>
      <c r="Q2865" s="179" t="s">
        <v>1441</v>
      </c>
      <c r="R2865" s="31" t="s">
        <v>95</v>
      </c>
      <c r="S2865" s="31" t="s">
        <v>273</v>
      </c>
      <c r="T2865" s="31" t="s">
        <v>273</v>
      </c>
      <c r="U2865" s="31">
        <f>IFERROR(VLOOKUP(CONCATENATE(Tabla1[[#This Row],[Severidad]]," ",Tabla1[[#This Row],[Complejidad]]),Catalogos!E$120:G$128,3,FALSE),"")</f>
        <v>64</v>
      </c>
      <c r="V2865" s="31" t="str">
        <f>IF(Tabla1[[#This Row],[Tiempo solución max (hrs)]]&lt;&gt;"",IF(Tabla1[[#This Row],[Tiempo solución max (hrs)]]&gt;=Tabla1[[#This Row],[Tiempo
(Hrs 00/100)]],"cumple","no cumple"),"")</f>
        <v>cumple</v>
      </c>
      <c r="W2865" s="376" t="s">
        <v>4210</v>
      </c>
      <c r="X2865" s="377" t="str">
        <f t="shared" si="219"/>
        <v>SSI</v>
      </c>
      <c r="Y2865" t="str">
        <f>SUBSTITUTE(Tabla1[[#This Row],[Descripción]],CHAR(10),"    I    ")</f>
        <v xml:space="preserve">Se trabajó con los ajustes del 3er procedimiento de 'OBTENER_MEDIO_ENTRADA', con el cambio del campo actualizado en la vista materializada, se compila sin errores </v>
      </c>
      <c r="Z2865" s="142">
        <f>VLOOKUP(Tabla1[[#This Row],[Perfil]],Catalogos!$B$75:$D$100,3,FALSE)*Tabla1[[#This Row],[Tiempo
(Hrs 00/100)]]*1.16</f>
        <v>348</v>
      </c>
    </row>
    <row r="2866" spans="1:26" ht="43.2" x14ac:dyDescent="0.3">
      <c r="A2866" s="373" t="s">
        <v>22</v>
      </c>
      <c r="B2866" s="373" t="s">
        <v>23</v>
      </c>
      <c r="C2866" s="373" t="s">
        <v>257</v>
      </c>
      <c r="D2866" s="373"/>
      <c r="E2866" s="373" t="s">
        <v>408</v>
      </c>
      <c r="F2866" s="373" t="s">
        <v>75</v>
      </c>
      <c r="G2866" s="373" t="s">
        <v>5058</v>
      </c>
      <c r="H2866" s="461" t="s">
        <v>3604</v>
      </c>
      <c r="I2866" s="178" t="s">
        <v>4844</v>
      </c>
      <c r="J2866" s="729">
        <v>45258</v>
      </c>
      <c r="K2866" s="773">
        <v>0.77083333333333337</v>
      </c>
      <c r="L2866" s="729">
        <v>45259</v>
      </c>
      <c r="M2866" s="773">
        <v>0.79166666666666663</v>
      </c>
      <c r="N2866" s="373">
        <v>0.5</v>
      </c>
      <c r="O2866" s="184" t="s">
        <v>17</v>
      </c>
      <c r="P2866" s="375" t="s">
        <v>4639</v>
      </c>
      <c r="Q2866" s="179" t="s">
        <v>1441</v>
      </c>
      <c r="R2866" s="31" t="s">
        <v>95</v>
      </c>
      <c r="S2866" s="31" t="s">
        <v>273</v>
      </c>
      <c r="T2866" s="31" t="s">
        <v>273</v>
      </c>
      <c r="U2866" s="31">
        <f>IFERROR(VLOOKUP(CONCATENATE(Tabla1[[#This Row],[Severidad]]," ",Tabla1[[#This Row],[Complejidad]]),Catalogos!E$120:G$128,3,FALSE),"")</f>
        <v>64</v>
      </c>
      <c r="V2866" s="31" t="str">
        <f>IF(Tabla1[[#This Row],[Tiempo solución max (hrs)]]&lt;&gt;"",IF(Tabla1[[#This Row],[Tiempo solución max (hrs)]]&gt;=Tabla1[[#This Row],[Tiempo
(Hrs 00/100)]],"cumple","no cumple"),"")</f>
        <v>cumple</v>
      </c>
      <c r="W2866" s="376" t="s">
        <v>4210</v>
      </c>
      <c r="X2866" s="377" t="str">
        <f t="shared" si="219"/>
        <v>SSI</v>
      </c>
      <c r="Y2866" t="str">
        <f>SUBSTITUTE(Tabla1[[#This Row],[Descripción]],CHAR(10),"    I    ")</f>
        <v xml:space="preserve">Se validó el paquete-procedimiento 'OBTENER_MEDIO_ENTRADA' con el bloque anónimo correcto y se tuvo un resultado exitoso con la salida del cursor completo de nuevo </v>
      </c>
      <c r="Z2866" s="142">
        <f>VLOOKUP(Tabla1[[#This Row],[Perfil]],Catalogos!$B$75:$D$100,3,FALSE)*Tabla1[[#This Row],[Tiempo
(Hrs 00/100)]]*1.16</f>
        <v>348</v>
      </c>
    </row>
    <row r="2867" spans="1:26" ht="28.8" x14ac:dyDescent="0.3">
      <c r="A2867" s="373" t="s">
        <v>22</v>
      </c>
      <c r="B2867" s="373" t="s">
        <v>23</v>
      </c>
      <c r="C2867" s="373" t="s">
        <v>257</v>
      </c>
      <c r="D2867" s="373"/>
      <c r="E2867" s="373" t="s">
        <v>408</v>
      </c>
      <c r="F2867" s="373" t="s">
        <v>23</v>
      </c>
      <c r="G2867" s="373" t="s">
        <v>5059</v>
      </c>
      <c r="H2867" s="461" t="s">
        <v>4845</v>
      </c>
      <c r="I2867" s="178" t="s">
        <v>4845</v>
      </c>
      <c r="J2867" s="729">
        <v>45258</v>
      </c>
      <c r="K2867" s="773">
        <v>0.79166666666666663</v>
      </c>
      <c r="L2867" s="729">
        <v>45259</v>
      </c>
      <c r="M2867" s="773">
        <v>0.83333333333333337</v>
      </c>
      <c r="N2867" s="373">
        <v>1</v>
      </c>
      <c r="O2867" s="184" t="s">
        <v>17</v>
      </c>
      <c r="P2867" s="375" t="s">
        <v>4639</v>
      </c>
      <c r="Q2867" s="179" t="s">
        <v>1441</v>
      </c>
      <c r="R2867" s="31" t="s">
        <v>95</v>
      </c>
      <c r="S2867" s="31" t="s">
        <v>273</v>
      </c>
      <c r="T2867" s="31" t="s">
        <v>273</v>
      </c>
      <c r="U2867" s="31">
        <f>IFERROR(VLOOKUP(CONCATENATE(Tabla1[[#This Row],[Severidad]]," ",Tabla1[[#This Row],[Complejidad]]),Catalogos!E$120:G$128,3,FALSE),"")</f>
        <v>64</v>
      </c>
      <c r="V2867" s="31" t="str">
        <f>IF(Tabla1[[#This Row],[Tiempo solución max (hrs)]]&lt;&gt;"",IF(Tabla1[[#This Row],[Tiempo solución max (hrs)]]&gt;=Tabla1[[#This Row],[Tiempo
(Hrs 00/100)]],"cumple","no cumple"),"")</f>
        <v>cumple</v>
      </c>
      <c r="W2867" s="376" t="s">
        <v>4210</v>
      </c>
      <c r="X2867" s="377" t="str">
        <f t="shared" si="219"/>
        <v>SSI</v>
      </c>
      <c r="Y2867" t="str">
        <f>SUBSTITUTE(Tabla1[[#This Row],[Descripción]],CHAR(10),"    I    ")</f>
        <v xml:space="preserve">Se reconstruyeron las consultas del 4to procedimiento de 'OBTENER_MODALIDAD_ENTREGA' de SOLICITUDES </v>
      </c>
      <c r="Z2867" s="142">
        <f>VLOOKUP(Tabla1[[#This Row],[Perfil]],Catalogos!$B$75:$D$100,3,FALSE)*Tabla1[[#This Row],[Tiempo
(Hrs 00/100)]]*1.16</f>
        <v>696</v>
      </c>
    </row>
    <row r="2868" spans="1:26" ht="43.2" x14ac:dyDescent="0.3">
      <c r="A2868" s="373" t="s">
        <v>22</v>
      </c>
      <c r="B2868" s="373" t="s">
        <v>23</v>
      </c>
      <c r="C2868" s="373" t="s">
        <v>257</v>
      </c>
      <c r="D2868" s="373"/>
      <c r="E2868" s="373" t="s">
        <v>408</v>
      </c>
      <c r="F2868" s="373" t="s">
        <v>23</v>
      </c>
      <c r="G2868" s="373" t="s">
        <v>5060</v>
      </c>
      <c r="H2868" s="461" t="s">
        <v>4846</v>
      </c>
      <c r="I2868" s="178" t="s">
        <v>4847</v>
      </c>
      <c r="J2868" s="729">
        <v>45259</v>
      </c>
      <c r="K2868" s="773">
        <v>0.375</v>
      </c>
      <c r="L2868" s="729">
        <v>45259</v>
      </c>
      <c r="M2868" s="773">
        <v>0.39583333333333331</v>
      </c>
      <c r="N2868" s="373">
        <v>0.5</v>
      </c>
      <c r="O2868" s="184" t="s">
        <v>17</v>
      </c>
      <c r="P2868" s="375" t="s">
        <v>4639</v>
      </c>
      <c r="Q2868" s="179" t="s">
        <v>1441</v>
      </c>
      <c r="R2868" s="31" t="s">
        <v>95</v>
      </c>
      <c r="S2868" s="31" t="s">
        <v>273</v>
      </c>
      <c r="T2868" s="31" t="s">
        <v>273</v>
      </c>
      <c r="U2868" s="31">
        <f>IFERROR(VLOOKUP(CONCATENATE(Tabla1[[#This Row],[Severidad]]," ",Tabla1[[#This Row],[Complejidad]]),Catalogos!E$120:G$128,3,FALSE),"")</f>
        <v>64</v>
      </c>
      <c r="V2868" s="31" t="str">
        <f>IF(Tabla1[[#This Row],[Tiempo solución max (hrs)]]&lt;&gt;"",IF(Tabla1[[#This Row],[Tiempo solución max (hrs)]]&gt;=Tabla1[[#This Row],[Tiempo
(Hrs 00/100)]],"cumple","no cumple"),"")</f>
        <v>cumple</v>
      </c>
      <c r="W2868" s="376" t="s">
        <v>4210</v>
      </c>
      <c r="X2868" s="377" t="str">
        <f t="shared" si="219"/>
        <v>SSI</v>
      </c>
      <c r="Y2868" t="str">
        <f>SUBSTITUTE(Tabla1[[#This Row],[Descripción]],CHAR(10),"    I    ")</f>
        <v xml:space="preserve">Se trabajó con los ajustes del 4to procedimiento de 'OBTENER_MODALIDAD_ENTREGA', con el cambio del campo actualizado en la vista materializada, se compila sin errores </v>
      </c>
      <c r="Z2868" s="142">
        <f>VLOOKUP(Tabla1[[#This Row],[Perfil]],Catalogos!$B$75:$D$100,3,FALSE)*Tabla1[[#This Row],[Tiempo
(Hrs 00/100)]]*1.16</f>
        <v>348</v>
      </c>
    </row>
    <row r="2869" spans="1:26" ht="43.2" x14ac:dyDescent="0.3">
      <c r="A2869" s="373" t="s">
        <v>22</v>
      </c>
      <c r="B2869" s="373" t="s">
        <v>23</v>
      </c>
      <c r="C2869" s="373" t="s">
        <v>257</v>
      </c>
      <c r="D2869" s="373"/>
      <c r="E2869" s="373" t="s">
        <v>408</v>
      </c>
      <c r="F2869" s="373" t="s">
        <v>75</v>
      </c>
      <c r="G2869" s="373" t="s">
        <v>5061</v>
      </c>
      <c r="H2869" s="461" t="s">
        <v>3611</v>
      </c>
      <c r="I2869" s="178" t="s">
        <v>4848</v>
      </c>
      <c r="J2869" s="729">
        <v>45259</v>
      </c>
      <c r="K2869" s="773">
        <v>0.39583333333333331</v>
      </c>
      <c r="L2869" s="729">
        <v>45259</v>
      </c>
      <c r="M2869" s="773">
        <v>0.41666666666666669</v>
      </c>
      <c r="N2869" s="373">
        <v>0.5</v>
      </c>
      <c r="O2869" s="184" t="s">
        <v>17</v>
      </c>
      <c r="P2869" s="375" t="s">
        <v>4639</v>
      </c>
      <c r="Q2869" s="179" t="s">
        <v>1441</v>
      </c>
      <c r="R2869" s="31" t="s">
        <v>95</v>
      </c>
      <c r="S2869" s="31" t="s">
        <v>273</v>
      </c>
      <c r="T2869" s="31" t="s">
        <v>273</v>
      </c>
      <c r="U2869" s="31">
        <f>IFERROR(VLOOKUP(CONCATENATE(Tabla1[[#This Row],[Severidad]]," ",Tabla1[[#This Row],[Complejidad]]),Catalogos!E$120:G$128,3,FALSE),"")</f>
        <v>64</v>
      </c>
      <c r="V2869" s="31" t="str">
        <f>IF(Tabla1[[#This Row],[Tiempo solución max (hrs)]]&lt;&gt;"",IF(Tabla1[[#This Row],[Tiempo solución max (hrs)]]&gt;=Tabla1[[#This Row],[Tiempo
(Hrs 00/100)]],"cumple","no cumple"),"")</f>
        <v>cumple</v>
      </c>
      <c r="W2869" s="376" t="s">
        <v>4210</v>
      </c>
      <c r="X2869" s="377" t="str">
        <f t="shared" si="219"/>
        <v>SSI</v>
      </c>
      <c r="Y2869" t="str">
        <f>SUBSTITUTE(Tabla1[[#This Row],[Descripción]],CHAR(10),"    I    ")</f>
        <v xml:space="preserve">Se validó el paquete-procedimiento 'OBTENER_MODALIDAD_ENTREGA' con el bloque anónimo correcto y se tuvo un resultado exitoso con la salida del cursor completo de nuevo </v>
      </c>
      <c r="Z2869" s="142">
        <f>VLOOKUP(Tabla1[[#This Row],[Perfil]],Catalogos!$B$75:$D$100,3,FALSE)*Tabla1[[#This Row],[Tiempo
(Hrs 00/100)]]*1.16</f>
        <v>348</v>
      </c>
    </row>
    <row r="2870" spans="1:26" ht="28.8" x14ac:dyDescent="0.3">
      <c r="A2870" s="373" t="s">
        <v>22</v>
      </c>
      <c r="B2870" s="373" t="s">
        <v>23</v>
      </c>
      <c r="C2870" s="373" t="s">
        <v>257</v>
      </c>
      <c r="D2870" s="373"/>
      <c r="E2870" s="373" t="s">
        <v>408</v>
      </c>
      <c r="F2870" s="373" t="s">
        <v>23</v>
      </c>
      <c r="G2870" s="373" t="s">
        <v>5062</v>
      </c>
      <c r="H2870" s="461" t="s">
        <v>4849</v>
      </c>
      <c r="I2870" s="178" t="s">
        <v>4849</v>
      </c>
      <c r="J2870" s="729">
        <v>45259</v>
      </c>
      <c r="K2870" s="773">
        <v>0.41666666666666669</v>
      </c>
      <c r="L2870" s="729">
        <v>45259</v>
      </c>
      <c r="M2870" s="773">
        <v>0.45833333333333331</v>
      </c>
      <c r="N2870" s="373">
        <v>1</v>
      </c>
      <c r="O2870" s="184" t="s">
        <v>17</v>
      </c>
      <c r="P2870" s="375" t="s">
        <v>4639</v>
      </c>
      <c r="Q2870" s="179" t="s">
        <v>1441</v>
      </c>
      <c r="R2870" s="31" t="s">
        <v>95</v>
      </c>
      <c r="S2870" s="31" t="s">
        <v>273</v>
      </c>
      <c r="T2870" s="31" t="s">
        <v>273</v>
      </c>
      <c r="U2870" s="31">
        <f>IFERROR(VLOOKUP(CONCATENATE(Tabla1[[#This Row],[Severidad]]," ",Tabla1[[#This Row],[Complejidad]]),Catalogos!E$120:G$128,3,FALSE),"")</f>
        <v>64</v>
      </c>
      <c r="V2870" s="31" t="str">
        <f>IF(Tabla1[[#This Row],[Tiempo solución max (hrs)]]&lt;&gt;"",IF(Tabla1[[#This Row],[Tiempo solución max (hrs)]]&gt;=Tabla1[[#This Row],[Tiempo
(Hrs 00/100)]],"cumple","no cumple"),"")</f>
        <v>cumple</v>
      </c>
      <c r="W2870" s="376" t="s">
        <v>4210</v>
      </c>
      <c r="X2870" s="377" t="str">
        <f t="shared" si="219"/>
        <v>SSI</v>
      </c>
      <c r="Y2870" t="str">
        <f>SUBSTITUTE(Tabla1[[#This Row],[Descripción]],CHAR(10),"    I    ")</f>
        <v xml:space="preserve">Se reconstruyeron las consultas del 5to procedimiento de 'OBTENER_RECIBO_NOTIFICACION' de SOLICITUDES </v>
      </c>
      <c r="Z2870" s="142">
        <f>VLOOKUP(Tabla1[[#This Row],[Perfil]],Catalogos!$B$75:$D$100,3,FALSE)*Tabla1[[#This Row],[Tiempo
(Hrs 00/100)]]*1.16</f>
        <v>696</v>
      </c>
    </row>
    <row r="2871" spans="1:26" ht="43.2" x14ac:dyDescent="0.3">
      <c r="A2871" s="373" t="s">
        <v>22</v>
      </c>
      <c r="B2871" s="373" t="s">
        <v>23</v>
      </c>
      <c r="C2871" s="373" t="s">
        <v>257</v>
      </c>
      <c r="D2871" s="373"/>
      <c r="E2871" s="373" t="s">
        <v>408</v>
      </c>
      <c r="F2871" s="373" t="s">
        <v>23</v>
      </c>
      <c r="G2871" s="373" t="s">
        <v>5063</v>
      </c>
      <c r="H2871" s="461" t="s">
        <v>4850</v>
      </c>
      <c r="I2871" s="178" t="s">
        <v>4851</v>
      </c>
      <c r="J2871" s="729">
        <v>45259</v>
      </c>
      <c r="K2871" s="773">
        <v>0.45833333333333331</v>
      </c>
      <c r="L2871" s="729">
        <v>45259</v>
      </c>
      <c r="M2871" s="773">
        <v>0.47916666666666669</v>
      </c>
      <c r="N2871" s="373">
        <v>0.5</v>
      </c>
      <c r="O2871" s="184" t="s">
        <v>17</v>
      </c>
      <c r="P2871" s="375" t="s">
        <v>4639</v>
      </c>
      <c r="Q2871" s="179" t="s">
        <v>1441</v>
      </c>
      <c r="R2871" s="31" t="s">
        <v>95</v>
      </c>
      <c r="S2871" s="31" t="s">
        <v>273</v>
      </c>
      <c r="T2871" s="31" t="s">
        <v>273</v>
      </c>
      <c r="U2871" s="31">
        <f>IFERROR(VLOOKUP(CONCATENATE(Tabla1[[#This Row],[Severidad]]," ",Tabla1[[#This Row],[Complejidad]]),Catalogos!E$120:G$128,3,FALSE),"")</f>
        <v>64</v>
      </c>
      <c r="V2871" s="31" t="str">
        <f>IF(Tabla1[[#This Row],[Tiempo solución max (hrs)]]&lt;&gt;"",IF(Tabla1[[#This Row],[Tiempo solución max (hrs)]]&gt;=Tabla1[[#This Row],[Tiempo
(Hrs 00/100)]],"cumple","no cumple"),"")</f>
        <v>cumple</v>
      </c>
      <c r="W2871" s="376" t="s">
        <v>4210</v>
      </c>
      <c r="X2871" s="377" t="str">
        <f t="shared" si="219"/>
        <v>SSI</v>
      </c>
      <c r="Y2871" t="str">
        <f>SUBSTITUTE(Tabla1[[#This Row],[Descripción]],CHAR(10),"    I    ")</f>
        <v xml:space="preserve">Se trabajó con los ajustes del 5to procedimiento de 'OBTENER_RECIBO_NOTIFICACION', con el cambio del campo actualizado en la vista materializada, se compila sin errores </v>
      </c>
      <c r="Z2871" s="142">
        <f>VLOOKUP(Tabla1[[#This Row],[Perfil]],Catalogos!$B$75:$D$100,3,FALSE)*Tabla1[[#This Row],[Tiempo
(Hrs 00/100)]]*1.16</f>
        <v>348</v>
      </c>
    </row>
    <row r="2872" spans="1:26" ht="43.2" x14ac:dyDescent="0.3">
      <c r="A2872" s="373" t="s">
        <v>22</v>
      </c>
      <c r="B2872" s="373" t="s">
        <v>23</v>
      </c>
      <c r="C2872" s="373" t="s">
        <v>257</v>
      </c>
      <c r="D2872" s="373"/>
      <c r="E2872" s="373" t="s">
        <v>408</v>
      </c>
      <c r="F2872" s="373" t="s">
        <v>75</v>
      </c>
      <c r="G2872" s="373" t="s">
        <v>5064</v>
      </c>
      <c r="H2872" s="461" t="s">
        <v>4852</v>
      </c>
      <c r="I2872" s="178" t="s">
        <v>4853</v>
      </c>
      <c r="J2872" s="729">
        <v>45259</v>
      </c>
      <c r="K2872" s="773">
        <v>0.47916666666666669</v>
      </c>
      <c r="L2872" s="729">
        <v>45259</v>
      </c>
      <c r="M2872" s="773">
        <v>0.5</v>
      </c>
      <c r="N2872" s="373">
        <v>0.5</v>
      </c>
      <c r="O2872" s="184" t="s">
        <v>17</v>
      </c>
      <c r="P2872" s="375" t="s">
        <v>4639</v>
      </c>
      <c r="Q2872" s="179" t="s">
        <v>1441</v>
      </c>
      <c r="R2872" s="31" t="s">
        <v>95</v>
      </c>
      <c r="S2872" s="31" t="s">
        <v>273</v>
      </c>
      <c r="T2872" s="31" t="s">
        <v>273</v>
      </c>
      <c r="U2872" s="31">
        <f>IFERROR(VLOOKUP(CONCATENATE(Tabla1[[#This Row],[Severidad]]," ",Tabla1[[#This Row],[Complejidad]]),Catalogos!E$120:G$128,3,FALSE),"")</f>
        <v>64</v>
      </c>
      <c r="V2872" s="31" t="str">
        <f>IF(Tabla1[[#This Row],[Tiempo solución max (hrs)]]&lt;&gt;"",IF(Tabla1[[#This Row],[Tiempo solución max (hrs)]]&gt;=Tabla1[[#This Row],[Tiempo
(Hrs 00/100)]],"cumple","no cumple"),"")</f>
        <v>cumple</v>
      </c>
      <c r="W2872" s="376" t="s">
        <v>4210</v>
      </c>
      <c r="X2872" s="377" t="str">
        <f t="shared" si="219"/>
        <v>SSI</v>
      </c>
      <c r="Y2872" t="str">
        <f>SUBSTITUTE(Tabla1[[#This Row],[Descripción]],CHAR(10),"    I    ")</f>
        <v xml:space="preserve">Se validó el paquete-procedimiento 'OBTENER_RECIBO_NOTIFICACION' con el bloque anónimo correcto y se tuvo un resultado exitoso con la salida del cursor completo de nuevo </v>
      </c>
      <c r="Z2872" s="142">
        <f>VLOOKUP(Tabla1[[#This Row],[Perfil]],Catalogos!$B$75:$D$100,3,FALSE)*Tabla1[[#This Row],[Tiempo
(Hrs 00/100)]]*1.16</f>
        <v>348</v>
      </c>
    </row>
    <row r="2873" spans="1:26" ht="28.8" x14ac:dyDescent="0.3">
      <c r="A2873" s="373" t="s">
        <v>22</v>
      </c>
      <c r="B2873" s="373" t="s">
        <v>23</v>
      </c>
      <c r="C2873" s="373" t="s">
        <v>257</v>
      </c>
      <c r="D2873" s="373"/>
      <c r="E2873" s="373" t="s">
        <v>408</v>
      </c>
      <c r="F2873" s="373" t="s">
        <v>23</v>
      </c>
      <c r="G2873" s="373" t="s">
        <v>5065</v>
      </c>
      <c r="H2873" s="461" t="s">
        <v>4854</v>
      </c>
      <c r="I2873" s="178" t="s">
        <v>4854</v>
      </c>
      <c r="J2873" s="729">
        <v>45259</v>
      </c>
      <c r="K2873" s="773">
        <v>0.5</v>
      </c>
      <c r="L2873" s="729">
        <v>45259</v>
      </c>
      <c r="M2873" s="773">
        <v>0.52083333333333337</v>
      </c>
      <c r="N2873" s="373">
        <v>0.5</v>
      </c>
      <c r="O2873" s="184" t="s">
        <v>17</v>
      </c>
      <c r="P2873" s="375" t="s">
        <v>4639</v>
      </c>
      <c r="Q2873" s="179" t="s">
        <v>1441</v>
      </c>
      <c r="R2873" s="31" t="s">
        <v>95</v>
      </c>
      <c r="S2873" s="31" t="s">
        <v>273</v>
      </c>
      <c r="T2873" s="31" t="s">
        <v>273</v>
      </c>
      <c r="U2873" s="31">
        <f>IFERROR(VLOOKUP(CONCATENATE(Tabla1[[#This Row],[Severidad]]," ",Tabla1[[#This Row],[Complejidad]]),Catalogos!E$120:G$128,3,FALSE),"")</f>
        <v>64</v>
      </c>
      <c r="V2873" s="31" t="str">
        <f>IF(Tabla1[[#This Row],[Tiempo solución max (hrs)]]&lt;&gt;"",IF(Tabla1[[#This Row],[Tiempo solución max (hrs)]]&gt;=Tabla1[[#This Row],[Tiempo
(Hrs 00/100)]],"cumple","no cumple"),"")</f>
        <v>cumple</v>
      </c>
      <c r="W2873" s="376" t="s">
        <v>4210</v>
      </c>
      <c r="X2873" s="377" t="str">
        <f t="shared" si="219"/>
        <v>SSI</v>
      </c>
      <c r="Y2873" t="str">
        <f>SUBSTITUTE(Tabla1[[#This Row],[Descripción]],CHAR(10),"    I    ")</f>
        <v xml:space="preserve">Se reconstruyeron las consultas del 6to procedimiento de 'OBTENER_FG_PRORROGA' de SOLICITUDES </v>
      </c>
      <c r="Z2873" s="142">
        <f>VLOOKUP(Tabla1[[#This Row],[Perfil]],Catalogos!$B$75:$D$100,3,FALSE)*Tabla1[[#This Row],[Tiempo
(Hrs 00/100)]]*1.16</f>
        <v>348</v>
      </c>
    </row>
    <row r="2874" spans="1:26" ht="43.2" x14ac:dyDescent="0.3">
      <c r="A2874" s="373" t="s">
        <v>22</v>
      </c>
      <c r="B2874" s="373" t="s">
        <v>23</v>
      </c>
      <c r="C2874" s="373" t="s">
        <v>257</v>
      </c>
      <c r="D2874" s="373"/>
      <c r="E2874" s="373" t="s">
        <v>408</v>
      </c>
      <c r="F2874" s="373" t="s">
        <v>23</v>
      </c>
      <c r="G2874" s="373" t="s">
        <v>5066</v>
      </c>
      <c r="H2874" s="461" t="s">
        <v>4855</v>
      </c>
      <c r="I2874" s="178" t="s">
        <v>4856</v>
      </c>
      <c r="J2874" s="729">
        <v>45259</v>
      </c>
      <c r="K2874" s="773">
        <v>0.52083333333333337</v>
      </c>
      <c r="L2874" s="729">
        <v>45259</v>
      </c>
      <c r="M2874" s="773">
        <v>0.54166666666666663</v>
      </c>
      <c r="N2874" s="373">
        <v>0.5</v>
      </c>
      <c r="O2874" s="184" t="s">
        <v>17</v>
      </c>
      <c r="P2874" s="375" t="s">
        <v>4639</v>
      </c>
      <c r="Q2874" s="179" t="s">
        <v>1441</v>
      </c>
      <c r="R2874" s="31" t="s">
        <v>95</v>
      </c>
      <c r="S2874" s="31" t="s">
        <v>273</v>
      </c>
      <c r="T2874" s="31" t="s">
        <v>273</v>
      </c>
      <c r="U2874" s="31">
        <f>IFERROR(VLOOKUP(CONCATENATE(Tabla1[[#This Row],[Severidad]]," ",Tabla1[[#This Row],[Complejidad]]),Catalogos!E$120:G$128,3,FALSE),"")</f>
        <v>64</v>
      </c>
      <c r="V2874" s="31" t="str">
        <f>IF(Tabla1[[#This Row],[Tiempo solución max (hrs)]]&lt;&gt;"",IF(Tabla1[[#This Row],[Tiempo solución max (hrs)]]&gt;=Tabla1[[#This Row],[Tiempo
(Hrs 00/100)]],"cumple","no cumple"),"")</f>
        <v>cumple</v>
      </c>
      <c r="W2874" s="376" t="s">
        <v>4210</v>
      </c>
      <c r="X2874" s="377" t="str">
        <f t="shared" ref="X2874:X2920" si="220">IF(C2874&lt;&gt;"",C2874,D2874)</f>
        <v>SSI</v>
      </c>
      <c r="Y2874" t="str">
        <f>SUBSTITUTE(Tabla1[[#This Row],[Descripción]],CHAR(10),"    I    ")</f>
        <v xml:space="preserve">Se trabajó con los ajustes del 6to procedimiento de 'OBTENER_FG_PRORROGA', con el cambio del campo actualizado en la vista materializada, se compila sin errores </v>
      </c>
      <c r="Z2874" s="142">
        <f>VLOOKUP(Tabla1[[#This Row],[Perfil]],Catalogos!$B$75:$D$100,3,FALSE)*Tabla1[[#This Row],[Tiempo
(Hrs 00/100)]]*1.16</f>
        <v>348</v>
      </c>
    </row>
    <row r="2875" spans="1:26" ht="43.2" x14ac:dyDescent="0.3">
      <c r="A2875" s="373" t="s">
        <v>22</v>
      </c>
      <c r="B2875" s="373" t="s">
        <v>23</v>
      </c>
      <c r="C2875" s="373" t="s">
        <v>257</v>
      </c>
      <c r="D2875" s="373"/>
      <c r="E2875" s="373" t="s">
        <v>408</v>
      </c>
      <c r="F2875" s="373" t="s">
        <v>75</v>
      </c>
      <c r="G2875" s="373" t="s">
        <v>5067</v>
      </c>
      <c r="H2875" s="461" t="s">
        <v>3633</v>
      </c>
      <c r="I2875" s="178" t="s">
        <v>4857</v>
      </c>
      <c r="J2875" s="729">
        <v>45259</v>
      </c>
      <c r="K2875" s="773">
        <v>0.54166666666666663</v>
      </c>
      <c r="L2875" s="729">
        <v>45259</v>
      </c>
      <c r="M2875" s="773">
        <v>0.5625</v>
      </c>
      <c r="N2875" s="373">
        <v>0.5</v>
      </c>
      <c r="O2875" s="184" t="s">
        <v>17</v>
      </c>
      <c r="P2875" s="375" t="s">
        <v>4639</v>
      </c>
      <c r="Q2875" s="179" t="s">
        <v>1441</v>
      </c>
      <c r="R2875" s="31" t="s">
        <v>95</v>
      </c>
      <c r="S2875" s="31" t="s">
        <v>273</v>
      </c>
      <c r="T2875" s="31" t="s">
        <v>273</v>
      </c>
      <c r="U2875" s="31">
        <f>IFERROR(VLOOKUP(CONCATENATE(Tabla1[[#This Row],[Severidad]]," ",Tabla1[[#This Row],[Complejidad]]),Catalogos!E$120:G$128,3,FALSE),"")</f>
        <v>64</v>
      </c>
      <c r="V2875" s="31" t="str">
        <f>IF(Tabla1[[#This Row],[Tiempo solución max (hrs)]]&lt;&gt;"",IF(Tabla1[[#This Row],[Tiempo solución max (hrs)]]&gt;=Tabla1[[#This Row],[Tiempo
(Hrs 00/100)]],"cumple","no cumple"),"")</f>
        <v>cumple</v>
      </c>
      <c r="W2875" s="376" t="s">
        <v>4210</v>
      </c>
      <c r="X2875" s="377" t="str">
        <f t="shared" si="220"/>
        <v>SSI</v>
      </c>
      <c r="Y2875" t="str">
        <f>SUBSTITUTE(Tabla1[[#This Row],[Descripción]],CHAR(10),"    I    ")</f>
        <v xml:space="preserve">Se validó el paquete-procedimiento 'OBTENER_FG_PRORROGA' con el bloque anónimo correcto y se tuvo un resultado exitoso con la salida del cursor completo de nuevo </v>
      </c>
      <c r="Z2875" s="142">
        <f>VLOOKUP(Tabla1[[#This Row],[Perfil]],Catalogos!$B$75:$D$100,3,FALSE)*Tabla1[[#This Row],[Tiempo
(Hrs 00/100)]]*1.16</f>
        <v>348</v>
      </c>
    </row>
    <row r="2876" spans="1:26" ht="28.8" x14ac:dyDescent="0.3">
      <c r="A2876" s="373" t="s">
        <v>22</v>
      </c>
      <c r="B2876" s="373" t="s">
        <v>23</v>
      </c>
      <c r="C2876" s="373" t="s">
        <v>257</v>
      </c>
      <c r="D2876" s="373"/>
      <c r="E2876" s="373" t="s">
        <v>408</v>
      </c>
      <c r="F2876" s="373" t="s">
        <v>23</v>
      </c>
      <c r="G2876" s="373" t="s">
        <v>5068</v>
      </c>
      <c r="H2876" s="461" t="s">
        <v>4858</v>
      </c>
      <c r="I2876" s="178" t="s">
        <v>4858</v>
      </c>
      <c r="J2876" s="729">
        <v>45259</v>
      </c>
      <c r="K2876" s="773">
        <v>0.5625</v>
      </c>
      <c r="L2876" s="729">
        <v>45259</v>
      </c>
      <c r="M2876" s="773">
        <v>0.60416666666666663</v>
      </c>
      <c r="N2876" s="373">
        <v>1</v>
      </c>
      <c r="O2876" s="184" t="s">
        <v>17</v>
      </c>
      <c r="P2876" s="375" t="s">
        <v>4639</v>
      </c>
      <c r="Q2876" s="179" t="s">
        <v>1441</v>
      </c>
      <c r="R2876" s="31" t="s">
        <v>95</v>
      </c>
      <c r="S2876" s="31" t="s">
        <v>273</v>
      </c>
      <c r="T2876" s="31" t="s">
        <v>273</v>
      </c>
      <c r="U2876" s="31">
        <f>IFERROR(VLOOKUP(CONCATENATE(Tabla1[[#This Row],[Severidad]]," ",Tabla1[[#This Row],[Complejidad]]),Catalogos!E$120:G$128,3,FALSE),"")</f>
        <v>64</v>
      </c>
      <c r="V2876" s="31" t="str">
        <f>IF(Tabla1[[#This Row],[Tiempo solución max (hrs)]]&lt;&gt;"",IF(Tabla1[[#This Row],[Tiempo solución max (hrs)]]&gt;=Tabla1[[#This Row],[Tiempo
(Hrs 00/100)]],"cumple","no cumple"),"")</f>
        <v>cumple</v>
      </c>
      <c r="W2876" s="376" t="s">
        <v>4210</v>
      </c>
      <c r="X2876" s="377" t="str">
        <f t="shared" si="220"/>
        <v>SSI</v>
      </c>
      <c r="Y2876" t="str">
        <f>SUBSTITUTE(Tabla1[[#This Row],[Descripción]],CHAR(10),"    I    ")</f>
        <v xml:space="preserve">Se reconstruyeron las consultas del 7mo procedimiento de 'OBTENER_FG_PREVENCION' de SOLICITUDES </v>
      </c>
      <c r="Z2876" s="142">
        <f>VLOOKUP(Tabla1[[#This Row],[Perfil]],Catalogos!$B$75:$D$100,3,FALSE)*Tabla1[[#This Row],[Tiempo
(Hrs 00/100)]]*1.16</f>
        <v>696</v>
      </c>
    </row>
    <row r="2877" spans="1:26" ht="43.2" x14ac:dyDescent="0.3">
      <c r="A2877" s="373" t="s">
        <v>22</v>
      </c>
      <c r="B2877" s="373" t="s">
        <v>23</v>
      </c>
      <c r="C2877" s="373" t="s">
        <v>257</v>
      </c>
      <c r="D2877" s="373"/>
      <c r="E2877" s="373" t="s">
        <v>408</v>
      </c>
      <c r="F2877" s="373" t="s">
        <v>75</v>
      </c>
      <c r="G2877" s="373" t="s">
        <v>5069</v>
      </c>
      <c r="H2877" s="461" t="s">
        <v>3640</v>
      </c>
      <c r="I2877" s="178" t="s">
        <v>4859</v>
      </c>
      <c r="J2877" s="729">
        <v>45259</v>
      </c>
      <c r="K2877" s="773">
        <v>0.66666666666666663</v>
      </c>
      <c r="L2877" s="729">
        <v>45259</v>
      </c>
      <c r="M2877" s="773">
        <v>0.70833333333333337</v>
      </c>
      <c r="N2877" s="373">
        <v>1</v>
      </c>
      <c r="O2877" s="184" t="s">
        <v>17</v>
      </c>
      <c r="P2877" s="375" t="s">
        <v>4639</v>
      </c>
      <c r="Q2877" s="179" t="s">
        <v>1441</v>
      </c>
      <c r="R2877" s="31" t="s">
        <v>95</v>
      </c>
      <c r="S2877" s="31" t="s">
        <v>273</v>
      </c>
      <c r="T2877" s="31" t="s">
        <v>273</v>
      </c>
      <c r="U2877" s="31">
        <f>IFERROR(VLOOKUP(CONCATENATE(Tabla1[[#This Row],[Severidad]]," ",Tabla1[[#This Row],[Complejidad]]),Catalogos!E$120:G$128,3,FALSE),"")</f>
        <v>64</v>
      </c>
      <c r="V2877" s="31" t="str">
        <f>IF(Tabla1[[#This Row],[Tiempo solución max (hrs)]]&lt;&gt;"",IF(Tabla1[[#This Row],[Tiempo solución max (hrs)]]&gt;=Tabla1[[#This Row],[Tiempo
(Hrs 00/100)]],"cumple","no cumple"),"")</f>
        <v>cumple</v>
      </c>
      <c r="W2877" s="376" t="s">
        <v>4210</v>
      </c>
      <c r="X2877" s="377" t="str">
        <f t="shared" si="220"/>
        <v>SSI</v>
      </c>
      <c r="Y2877" t="str">
        <f>SUBSTITUTE(Tabla1[[#This Row],[Descripción]],CHAR(10),"    I    ")</f>
        <v xml:space="preserve">Se validó el paquete-procedimiento 'OBTENER_FG_PREVENCION' con el bloque anónimo correcto y se tuvo un resultado exitoso con la salida del cursor completo de nuevo </v>
      </c>
      <c r="Z2877" s="142">
        <f>VLOOKUP(Tabla1[[#This Row],[Perfil]],Catalogos!$B$75:$D$100,3,FALSE)*Tabla1[[#This Row],[Tiempo
(Hrs 00/100)]]*1.16</f>
        <v>696</v>
      </c>
    </row>
    <row r="2878" spans="1:26" ht="28.8" x14ac:dyDescent="0.3">
      <c r="A2878" s="373" t="s">
        <v>22</v>
      </c>
      <c r="B2878" s="373" t="s">
        <v>23</v>
      </c>
      <c r="C2878" s="373" t="s">
        <v>257</v>
      </c>
      <c r="D2878" s="373"/>
      <c r="E2878" s="373" t="s">
        <v>408</v>
      </c>
      <c r="F2878" s="373" t="s">
        <v>23</v>
      </c>
      <c r="G2878" s="373" t="s">
        <v>5070</v>
      </c>
      <c r="H2878" s="461" t="s">
        <v>4860</v>
      </c>
      <c r="I2878" s="178" t="s">
        <v>4860</v>
      </c>
      <c r="J2878" s="729">
        <v>45259</v>
      </c>
      <c r="K2878" s="773">
        <v>0.70833333333333337</v>
      </c>
      <c r="L2878" s="729">
        <v>45259</v>
      </c>
      <c r="M2878" s="773">
        <v>0.75</v>
      </c>
      <c r="N2878" s="373">
        <v>1</v>
      </c>
      <c r="O2878" s="184" t="s">
        <v>17</v>
      </c>
      <c r="P2878" s="375" t="s">
        <v>4639</v>
      </c>
      <c r="Q2878" s="179" t="s">
        <v>1441</v>
      </c>
      <c r="R2878" s="31" t="s">
        <v>95</v>
      </c>
      <c r="S2878" s="31" t="s">
        <v>273</v>
      </c>
      <c r="T2878" s="31" t="s">
        <v>273</v>
      </c>
      <c r="U2878" s="31">
        <f>IFERROR(VLOOKUP(CONCATENATE(Tabla1[[#This Row],[Severidad]]," ",Tabla1[[#This Row],[Complejidad]]),Catalogos!E$120:G$128,3,FALSE),"")</f>
        <v>64</v>
      </c>
      <c r="V2878" s="31" t="str">
        <f>IF(Tabla1[[#This Row],[Tiempo solución max (hrs)]]&lt;&gt;"",IF(Tabla1[[#This Row],[Tiempo solución max (hrs)]]&gt;=Tabla1[[#This Row],[Tiempo
(Hrs 00/100)]],"cumple","no cumple"),"")</f>
        <v>cumple</v>
      </c>
      <c r="W2878" s="376" t="s">
        <v>4210</v>
      </c>
      <c r="X2878" s="377" t="str">
        <f t="shared" si="220"/>
        <v>SSI</v>
      </c>
      <c r="Y2878" t="str">
        <f>SUBSTITUTE(Tabla1[[#This Row],[Descripción]],CHAR(10),"    I    ")</f>
        <v xml:space="preserve">Se reconstruyeron las consultas del 8vo procedimiento de 'OBTENER_FG_DISPONIBILIDAD' de SOLICITUDES </v>
      </c>
      <c r="Z2878" s="142">
        <f>VLOOKUP(Tabla1[[#This Row],[Perfil]],Catalogos!$B$75:$D$100,3,FALSE)*Tabla1[[#This Row],[Tiempo
(Hrs 00/100)]]*1.16</f>
        <v>696</v>
      </c>
    </row>
    <row r="2879" spans="1:26" ht="43.2" x14ac:dyDescent="0.3">
      <c r="A2879" s="373" t="s">
        <v>22</v>
      </c>
      <c r="B2879" s="373" t="s">
        <v>23</v>
      </c>
      <c r="C2879" s="373" t="s">
        <v>257</v>
      </c>
      <c r="D2879" s="373"/>
      <c r="E2879" s="373" t="s">
        <v>408</v>
      </c>
      <c r="F2879" s="373" t="s">
        <v>23</v>
      </c>
      <c r="G2879" s="373" t="s">
        <v>5071</v>
      </c>
      <c r="H2879" s="461" t="s">
        <v>4861</v>
      </c>
      <c r="I2879" s="178" t="s">
        <v>4862</v>
      </c>
      <c r="J2879" s="729">
        <v>45259</v>
      </c>
      <c r="K2879" s="773">
        <v>0.75</v>
      </c>
      <c r="L2879" s="729">
        <v>45259</v>
      </c>
      <c r="M2879" s="773">
        <v>0.77083333333333337</v>
      </c>
      <c r="N2879" s="373">
        <v>0.5</v>
      </c>
      <c r="O2879" s="184" t="s">
        <v>17</v>
      </c>
      <c r="P2879" s="375" t="s">
        <v>4639</v>
      </c>
      <c r="Q2879" s="179" t="s">
        <v>1441</v>
      </c>
      <c r="R2879" s="31" t="s">
        <v>95</v>
      </c>
      <c r="S2879" s="31" t="s">
        <v>273</v>
      </c>
      <c r="T2879" s="31" t="s">
        <v>273</v>
      </c>
      <c r="U2879" s="31">
        <f>IFERROR(VLOOKUP(CONCATENATE(Tabla1[[#This Row],[Severidad]]," ",Tabla1[[#This Row],[Complejidad]]),Catalogos!E$120:G$128,3,FALSE),"")</f>
        <v>64</v>
      </c>
      <c r="V2879" s="31" t="str">
        <f>IF(Tabla1[[#This Row],[Tiempo solución max (hrs)]]&lt;&gt;"",IF(Tabla1[[#This Row],[Tiempo solución max (hrs)]]&gt;=Tabla1[[#This Row],[Tiempo
(Hrs 00/100)]],"cumple","no cumple"),"")</f>
        <v>cumple</v>
      </c>
      <c r="W2879" s="376" t="s">
        <v>4210</v>
      </c>
      <c r="X2879" s="377" t="str">
        <f t="shared" si="220"/>
        <v>SSI</v>
      </c>
      <c r="Y2879" t="str">
        <f>SUBSTITUTE(Tabla1[[#This Row],[Descripción]],CHAR(10),"    I    ")</f>
        <v xml:space="preserve">Se trabajó con los ajustes del 8vo procedimiento de 'OBTENER_FG_DISPONIBILIDAD', con el cambio del campo actualizado en la vista materializada, se compila sin errores </v>
      </c>
      <c r="Z2879" s="142">
        <f>VLOOKUP(Tabla1[[#This Row],[Perfil]],Catalogos!$B$75:$D$100,3,FALSE)*Tabla1[[#This Row],[Tiempo
(Hrs 00/100)]]*1.16</f>
        <v>348</v>
      </c>
    </row>
    <row r="2880" spans="1:26" ht="43.2" x14ac:dyDescent="0.3">
      <c r="A2880" s="373" t="s">
        <v>22</v>
      </c>
      <c r="B2880" s="373" t="s">
        <v>23</v>
      </c>
      <c r="C2880" s="373" t="s">
        <v>257</v>
      </c>
      <c r="D2880" s="373"/>
      <c r="E2880" s="373" t="s">
        <v>408</v>
      </c>
      <c r="F2880" s="373" t="s">
        <v>75</v>
      </c>
      <c r="G2880" s="373" t="s">
        <v>5072</v>
      </c>
      <c r="H2880" s="461" t="s">
        <v>4863</v>
      </c>
      <c r="I2880" s="178" t="s">
        <v>4864</v>
      </c>
      <c r="J2880" s="729">
        <v>45259</v>
      </c>
      <c r="K2880" s="773">
        <v>0.77083333333333337</v>
      </c>
      <c r="L2880" s="729">
        <v>45259</v>
      </c>
      <c r="M2880" s="773">
        <v>0.79166666666666663</v>
      </c>
      <c r="N2880" s="373">
        <v>0.5</v>
      </c>
      <c r="O2880" s="184" t="s">
        <v>17</v>
      </c>
      <c r="P2880" s="375" t="s">
        <v>4639</v>
      </c>
      <c r="Q2880" s="179" t="s">
        <v>1441</v>
      </c>
      <c r="R2880" s="31" t="s">
        <v>95</v>
      </c>
      <c r="S2880" s="31" t="s">
        <v>273</v>
      </c>
      <c r="T2880" s="31" t="s">
        <v>273</v>
      </c>
      <c r="U2880" s="31">
        <f>IFERROR(VLOOKUP(CONCATENATE(Tabla1[[#This Row],[Severidad]]," ",Tabla1[[#This Row],[Complejidad]]),Catalogos!E$120:G$128,3,FALSE),"")</f>
        <v>64</v>
      </c>
      <c r="V2880" s="31" t="str">
        <f>IF(Tabla1[[#This Row],[Tiempo solución max (hrs)]]&lt;&gt;"",IF(Tabla1[[#This Row],[Tiempo solución max (hrs)]]&gt;=Tabla1[[#This Row],[Tiempo
(Hrs 00/100)]],"cumple","no cumple"),"")</f>
        <v>cumple</v>
      </c>
      <c r="W2880" s="376" t="s">
        <v>4210</v>
      </c>
      <c r="X2880" s="377" t="str">
        <f t="shared" si="220"/>
        <v>SSI</v>
      </c>
      <c r="Y2880" t="str">
        <f>SUBSTITUTE(Tabla1[[#This Row],[Descripción]],CHAR(10),"    I    ")</f>
        <v xml:space="preserve">Se validó el paquete-procedimiento 'OBTENER_FG_DISPONIBILIDAD' con el bloque anónimo correcto y se tuvo un resultado exitoso con la salida del cursor completo de nuevo </v>
      </c>
      <c r="Z2880" s="142">
        <f>VLOOKUP(Tabla1[[#This Row],[Perfil]],Catalogos!$B$75:$D$100,3,FALSE)*Tabla1[[#This Row],[Tiempo
(Hrs 00/100)]]*1.16</f>
        <v>348</v>
      </c>
    </row>
    <row r="2881" spans="1:26" ht="28.8" x14ac:dyDescent="0.3">
      <c r="A2881" s="373" t="s">
        <v>22</v>
      </c>
      <c r="B2881" s="373" t="s">
        <v>23</v>
      </c>
      <c r="C2881" s="373" t="s">
        <v>257</v>
      </c>
      <c r="D2881" s="373"/>
      <c r="E2881" s="373" t="s">
        <v>408</v>
      </c>
      <c r="F2881" s="373" t="s">
        <v>23</v>
      </c>
      <c r="G2881" s="373" t="s">
        <v>5073</v>
      </c>
      <c r="H2881" s="461" t="s">
        <v>4865</v>
      </c>
      <c r="I2881" s="178" t="s">
        <v>4865</v>
      </c>
      <c r="J2881" s="729">
        <v>45259</v>
      </c>
      <c r="K2881" s="773">
        <v>0.79166666666666663</v>
      </c>
      <c r="L2881" s="729">
        <v>45259</v>
      </c>
      <c r="M2881" s="773">
        <v>0.8125</v>
      </c>
      <c r="N2881" s="373">
        <v>0.5</v>
      </c>
      <c r="O2881" s="184" t="s">
        <v>17</v>
      </c>
      <c r="P2881" s="375" t="s">
        <v>4639</v>
      </c>
      <c r="Q2881" s="179" t="s">
        <v>1441</v>
      </c>
      <c r="R2881" s="31" t="s">
        <v>95</v>
      </c>
      <c r="S2881" s="31" t="s">
        <v>273</v>
      </c>
      <c r="T2881" s="31" t="s">
        <v>273</v>
      </c>
      <c r="U2881" s="31">
        <f>IFERROR(VLOOKUP(CONCATENATE(Tabla1[[#This Row],[Severidad]]," ",Tabla1[[#This Row],[Complejidad]]),Catalogos!E$120:G$128,3,FALSE),"")</f>
        <v>64</v>
      </c>
      <c r="V2881" s="31" t="str">
        <f>IF(Tabla1[[#This Row],[Tiempo solución max (hrs)]]&lt;&gt;"",IF(Tabla1[[#This Row],[Tiempo solución max (hrs)]]&gt;=Tabla1[[#This Row],[Tiempo
(Hrs 00/100)]],"cumple","no cumple"),"")</f>
        <v>cumple</v>
      </c>
      <c r="W2881" s="376" t="s">
        <v>4210</v>
      </c>
      <c r="X2881" s="377" t="str">
        <f t="shared" si="220"/>
        <v>SSI</v>
      </c>
      <c r="Y2881" t="str">
        <f>SUBSTITUTE(Tabla1[[#This Row],[Descripción]],CHAR(10),"    I    ")</f>
        <v xml:space="preserve">Se reconstruyeron las consultas del 9no procedimiento de 'OBTENER_ULTIMA_RESPUESTA' de SOLICITUDES </v>
      </c>
      <c r="Z2881" s="142">
        <f>VLOOKUP(Tabla1[[#This Row],[Perfil]],Catalogos!$B$75:$D$100,3,FALSE)*Tabla1[[#This Row],[Tiempo
(Hrs 00/100)]]*1.16</f>
        <v>348</v>
      </c>
    </row>
    <row r="2882" spans="1:26" ht="43.2" x14ac:dyDescent="0.3">
      <c r="A2882" s="373" t="s">
        <v>22</v>
      </c>
      <c r="B2882" s="373" t="s">
        <v>23</v>
      </c>
      <c r="C2882" s="373" t="s">
        <v>257</v>
      </c>
      <c r="D2882" s="373"/>
      <c r="E2882" s="373" t="s">
        <v>408</v>
      </c>
      <c r="F2882" s="373" t="s">
        <v>23</v>
      </c>
      <c r="G2882" s="373" t="s">
        <v>5074</v>
      </c>
      <c r="H2882" s="461" t="s">
        <v>4866</v>
      </c>
      <c r="I2882" s="178" t="s">
        <v>4867</v>
      </c>
      <c r="J2882" s="729">
        <v>45260</v>
      </c>
      <c r="K2882" s="773">
        <v>0.375</v>
      </c>
      <c r="L2882" s="729">
        <v>45260</v>
      </c>
      <c r="M2882" s="773">
        <v>0.39583333333333331</v>
      </c>
      <c r="N2882" s="373">
        <v>0.5</v>
      </c>
      <c r="O2882" s="184" t="s">
        <v>17</v>
      </c>
      <c r="P2882" s="375" t="s">
        <v>4639</v>
      </c>
      <c r="Q2882" s="179" t="s">
        <v>1441</v>
      </c>
      <c r="R2882" s="31" t="s">
        <v>95</v>
      </c>
      <c r="S2882" s="31" t="s">
        <v>273</v>
      </c>
      <c r="T2882" s="31" t="s">
        <v>273</v>
      </c>
      <c r="U2882" s="31">
        <f>IFERROR(VLOOKUP(CONCATENATE(Tabla1[[#This Row],[Severidad]]," ",Tabla1[[#This Row],[Complejidad]]),Catalogos!E$120:G$128,3,FALSE),"")</f>
        <v>64</v>
      </c>
      <c r="V2882" s="31" t="str">
        <f>IF(Tabla1[[#This Row],[Tiempo solución max (hrs)]]&lt;&gt;"",IF(Tabla1[[#This Row],[Tiempo solución max (hrs)]]&gt;=Tabla1[[#This Row],[Tiempo
(Hrs 00/100)]],"cumple","no cumple"),"")</f>
        <v>cumple</v>
      </c>
      <c r="W2882" s="376" t="s">
        <v>4210</v>
      </c>
      <c r="X2882" s="377" t="str">
        <f t="shared" si="220"/>
        <v>SSI</v>
      </c>
      <c r="Y2882" t="str">
        <f>SUBSTITUTE(Tabla1[[#This Row],[Descripción]],CHAR(10),"    I    ")</f>
        <v xml:space="preserve">Se trabajó con los ajustes del 9no procedimiento de 'OBTENER_ULTIMA_RESPUESTA', con el cambio del campo actualizado en la vista materializada, se compila sin errores </v>
      </c>
      <c r="Z2882" s="142">
        <f>VLOOKUP(Tabla1[[#This Row],[Perfil]],Catalogos!$B$75:$D$100,3,FALSE)*Tabla1[[#This Row],[Tiempo
(Hrs 00/100)]]*1.16</f>
        <v>348</v>
      </c>
    </row>
    <row r="2883" spans="1:26" ht="28.8" x14ac:dyDescent="0.3">
      <c r="A2883" s="373" t="s">
        <v>22</v>
      </c>
      <c r="B2883" s="373" t="s">
        <v>23</v>
      </c>
      <c r="C2883" s="373" t="s">
        <v>257</v>
      </c>
      <c r="D2883" s="373"/>
      <c r="E2883" s="373" t="s">
        <v>408</v>
      </c>
      <c r="F2883" s="373" t="s">
        <v>23</v>
      </c>
      <c r="G2883" s="373" t="s">
        <v>5075</v>
      </c>
      <c r="H2883" s="461" t="s">
        <v>4868</v>
      </c>
      <c r="I2883" s="178" t="s">
        <v>4868</v>
      </c>
      <c r="J2883" s="729">
        <v>45260</v>
      </c>
      <c r="K2883" s="773">
        <v>0.39583333333333331</v>
      </c>
      <c r="L2883" s="729">
        <v>45260</v>
      </c>
      <c r="M2883" s="773">
        <v>0.45833333333333331</v>
      </c>
      <c r="N2883" s="373">
        <v>1.5</v>
      </c>
      <c r="O2883" s="184" t="s">
        <v>17</v>
      </c>
      <c r="P2883" s="375" t="s">
        <v>4639</v>
      </c>
      <c r="Q2883" s="179" t="s">
        <v>1441</v>
      </c>
      <c r="R2883" s="31" t="s">
        <v>95</v>
      </c>
      <c r="S2883" s="31" t="s">
        <v>273</v>
      </c>
      <c r="T2883" s="31" t="s">
        <v>273</v>
      </c>
      <c r="U2883" s="31">
        <f>IFERROR(VLOOKUP(CONCATENATE(Tabla1[[#This Row],[Severidad]]," ",Tabla1[[#This Row],[Complejidad]]),Catalogos!E$120:G$128,3,FALSE),"")</f>
        <v>64</v>
      </c>
      <c r="V2883" s="31" t="str">
        <f>IF(Tabla1[[#This Row],[Tiempo solución max (hrs)]]&lt;&gt;"",IF(Tabla1[[#This Row],[Tiempo solución max (hrs)]]&gt;=Tabla1[[#This Row],[Tiempo
(Hrs 00/100)]],"cumple","no cumple"),"")</f>
        <v>cumple</v>
      </c>
      <c r="W2883" s="376" t="s">
        <v>4210</v>
      </c>
      <c r="X2883" s="377" t="str">
        <f t="shared" si="220"/>
        <v>SSI</v>
      </c>
      <c r="Y2883" t="str">
        <f>SUBSTITUTE(Tabla1[[#This Row],[Descripción]],CHAR(10),"    I    ")</f>
        <v xml:space="preserve">Se reconstruyeron las consultas del 10mo procedimiento de 'OBTENER_SOLICITUDESXDIA' de SOLICITUDES </v>
      </c>
      <c r="Z2883" s="142">
        <f>VLOOKUP(Tabla1[[#This Row],[Perfil]],Catalogos!$B$75:$D$100,3,FALSE)*Tabla1[[#This Row],[Tiempo
(Hrs 00/100)]]*1.16</f>
        <v>1044</v>
      </c>
    </row>
    <row r="2884" spans="1:26" ht="43.2" x14ac:dyDescent="0.3">
      <c r="A2884" s="373" t="s">
        <v>22</v>
      </c>
      <c r="B2884" s="373" t="s">
        <v>23</v>
      </c>
      <c r="C2884" s="373" t="s">
        <v>257</v>
      </c>
      <c r="D2884" s="373"/>
      <c r="E2884" s="373" t="s">
        <v>408</v>
      </c>
      <c r="F2884" s="373" t="s">
        <v>23</v>
      </c>
      <c r="G2884" s="373" t="s">
        <v>5076</v>
      </c>
      <c r="H2884" s="461" t="s">
        <v>4869</v>
      </c>
      <c r="I2884" s="178" t="s">
        <v>4870</v>
      </c>
      <c r="J2884" s="729">
        <v>45260</v>
      </c>
      <c r="K2884" s="773">
        <v>0.45833333333333331</v>
      </c>
      <c r="L2884" s="729">
        <v>45260</v>
      </c>
      <c r="M2884" s="773">
        <v>0.5</v>
      </c>
      <c r="N2884" s="373">
        <v>1</v>
      </c>
      <c r="O2884" s="184" t="s">
        <v>17</v>
      </c>
      <c r="P2884" s="375" t="s">
        <v>4639</v>
      </c>
      <c r="Q2884" s="179" t="s">
        <v>1441</v>
      </c>
      <c r="R2884" s="31" t="s">
        <v>95</v>
      </c>
      <c r="S2884" s="31" t="s">
        <v>273</v>
      </c>
      <c r="T2884" s="31" t="s">
        <v>273</v>
      </c>
      <c r="U2884" s="31">
        <f>IFERROR(VLOOKUP(CONCATENATE(Tabla1[[#This Row],[Severidad]]," ",Tabla1[[#This Row],[Complejidad]]),Catalogos!E$120:G$128,3,FALSE),"")</f>
        <v>64</v>
      </c>
      <c r="V2884" s="31" t="str">
        <f>IF(Tabla1[[#This Row],[Tiempo solución max (hrs)]]&lt;&gt;"",IF(Tabla1[[#This Row],[Tiempo solución max (hrs)]]&gt;=Tabla1[[#This Row],[Tiempo
(Hrs 00/100)]],"cumple","no cumple"),"")</f>
        <v>cumple</v>
      </c>
      <c r="W2884" s="376" t="s">
        <v>4210</v>
      </c>
      <c r="X2884" s="377" t="str">
        <f t="shared" si="220"/>
        <v>SSI</v>
      </c>
      <c r="Y2884" t="str">
        <f>SUBSTITUTE(Tabla1[[#This Row],[Descripción]],CHAR(10),"    I    ")</f>
        <v xml:space="preserve">Se trabajó con los ajustes del 10mo procedimiento de 'OBTENER_SOLICITUDESXDIA', con el cambio del campo actualizado en la vista materializada, se compila sin errores </v>
      </c>
      <c r="Z2884" s="142">
        <f>VLOOKUP(Tabla1[[#This Row],[Perfil]],Catalogos!$B$75:$D$100,3,FALSE)*Tabla1[[#This Row],[Tiempo
(Hrs 00/100)]]*1.16</f>
        <v>696</v>
      </c>
    </row>
    <row r="2885" spans="1:26" ht="43.2" x14ac:dyDescent="0.3">
      <c r="A2885" s="373" t="s">
        <v>22</v>
      </c>
      <c r="B2885" s="373" t="s">
        <v>23</v>
      </c>
      <c r="C2885" s="373" t="s">
        <v>257</v>
      </c>
      <c r="D2885" s="373"/>
      <c r="E2885" s="373" t="s">
        <v>408</v>
      </c>
      <c r="F2885" s="373" t="s">
        <v>75</v>
      </c>
      <c r="G2885" s="373" t="s">
        <v>5077</v>
      </c>
      <c r="H2885" s="461" t="s">
        <v>3661</v>
      </c>
      <c r="I2885" s="178" t="s">
        <v>4871</v>
      </c>
      <c r="J2885" s="729">
        <v>45260</v>
      </c>
      <c r="K2885" s="773">
        <v>0.5</v>
      </c>
      <c r="L2885" s="729">
        <v>45260</v>
      </c>
      <c r="M2885" s="773">
        <v>0.52083333333333337</v>
      </c>
      <c r="N2885" s="373">
        <v>0.5</v>
      </c>
      <c r="O2885" s="184" t="s">
        <v>17</v>
      </c>
      <c r="P2885" s="375" t="s">
        <v>4639</v>
      </c>
      <c r="Q2885" s="179" t="s">
        <v>1441</v>
      </c>
      <c r="R2885" s="31" t="s">
        <v>95</v>
      </c>
      <c r="S2885" s="31" t="s">
        <v>273</v>
      </c>
      <c r="T2885" s="31" t="s">
        <v>273</v>
      </c>
      <c r="U2885" s="31">
        <f>IFERROR(VLOOKUP(CONCATENATE(Tabla1[[#This Row],[Severidad]]," ",Tabla1[[#This Row],[Complejidad]]),Catalogos!E$120:G$128,3,FALSE),"")</f>
        <v>64</v>
      </c>
      <c r="V2885" s="31" t="str">
        <f>IF(Tabla1[[#This Row],[Tiempo solución max (hrs)]]&lt;&gt;"",IF(Tabla1[[#This Row],[Tiempo solución max (hrs)]]&gt;=Tabla1[[#This Row],[Tiempo
(Hrs 00/100)]],"cumple","no cumple"),"")</f>
        <v>cumple</v>
      </c>
      <c r="W2885" s="376" t="s">
        <v>4210</v>
      </c>
      <c r="X2885" s="377" t="str">
        <f t="shared" si="220"/>
        <v>SSI</v>
      </c>
      <c r="Y2885" t="str">
        <f>SUBSTITUTE(Tabla1[[#This Row],[Descripción]],CHAR(10),"    I    ")</f>
        <v xml:space="preserve">Se validó el paquete-procedimiento 'OBTENER_SOLICITUDESXDIA' con el bloque anónimo correcto y se tuvo un resultado exitoso con la salida del cursor completo de nuevo </v>
      </c>
      <c r="Z2885" s="142">
        <f>VLOOKUP(Tabla1[[#This Row],[Perfil]],Catalogos!$B$75:$D$100,3,FALSE)*Tabla1[[#This Row],[Tiempo
(Hrs 00/100)]]*1.16</f>
        <v>348</v>
      </c>
    </row>
    <row r="2886" spans="1:26" ht="28.8" x14ac:dyDescent="0.3">
      <c r="A2886" s="373" t="s">
        <v>22</v>
      </c>
      <c r="B2886" s="373" t="s">
        <v>23</v>
      </c>
      <c r="C2886" s="373" t="s">
        <v>257</v>
      </c>
      <c r="D2886" s="373"/>
      <c r="E2886" s="373" t="s">
        <v>408</v>
      </c>
      <c r="F2886" s="373" t="s">
        <v>23</v>
      </c>
      <c r="G2886" s="373" t="s">
        <v>5078</v>
      </c>
      <c r="H2886" s="461" t="s">
        <v>4872</v>
      </c>
      <c r="I2886" s="178" t="s">
        <v>4872</v>
      </c>
      <c r="J2886" s="729">
        <v>45260</v>
      </c>
      <c r="K2886" s="773">
        <v>0.52083333333333337</v>
      </c>
      <c r="L2886" s="729">
        <v>45260</v>
      </c>
      <c r="M2886" s="773">
        <v>0.54166666666666663</v>
      </c>
      <c r="N2886" s="373">
        <v>0.5</v>
      </c>
      <c r="O2886" s="184" t="s">
        <v>17</v>
      </c>
      <c r="P2886" s="375" t="s">
        <v>4639</v>
      </c>
      <c r="Q2886" s="179" t="s">
        <v>1441</v>
      </c>
      <c r="R2886" s="31" t="s">
        <v>95</v>
      </c>
      <c r="S2886" s="31" t="s">
        <v>273</v>
      </c>
      <c r="T2886" s="31" t="s">
        <v>273</v>
      </c>
      <c r="U2886" s="31">
        <f>IFERROR(VLOOKUP(CONCATENATE(Tabla1[[#This Row],[Severidad]]," ",Tabla1[[#This Row],[Complejidad]]),Catalogos!E$120:G$128,3,FALSE),"")</f>
        <v>64</v>
      </c>
      <c r="V2886" s="31" t="str">
        <f>IF(Tabla1[[#This Row],[Tiempo solución max (hrs)]]&lt;&gt;"",IF(Tabla1[[#This Row],[Tiempo solución max (hrs)]]&gt;=Tabla1[[#This Row],[Tiempo
(Hrs 00/100)]],"cumple","no cumple"),"")</f>
        <v>cumple</v>
      </c>
      <c r="W2886" s="376" t="s">
        <v>4210</v>
      </c>
      <c r="X2886" s="377" t="str">
        <f t="shared" si="220"/>
        <v>SSI</v>
      </c>
      <c r="Y2886" t="str">
        <f>SUBSTITUTE(Tabla1[[#This Row],[Descripción]],CHAR(10),"    I    ")</f>
        <v xml:space="preserve">Se reconstruyeron las consultas del 11vo procedimiento de 'OBTENER_ESTATUS' de SOLICITUDES </v>
      </c>
      <c r="Z2886" s="142">
        <f>VLOOKUP(Tabla1[[#This Row],[Perfil]],Catalogos!$B$75:$D$100,3,FALSE)*Tabla1[[#This Row],[Tiempo
(Hrs 00/100)]]*1.16</f>
        <v>348</v>
      </c>
    </row>
    <row r="2887" spans="1:26" ht="43.2" x14ac:dyDescent="0.3">
      <c r="A2887" s="373" t="s">
        <v>22</v>
      </c>
      <c r="B2887" s="373" t="s">
        <v>23</v>
      </c>
      <c r="C2887" s="373" t="s">
        <v>257</v>
      </c>
      <c r="D2887" s="373"/>
      <c r="E2887" s="373" t="s">
        <v>408</v>
      </c>
      <c r="F2887" s="373" t="s">
        <v>23</v>
      </c>
      <c r="G2887" s="373" t="s">
        <v>5079</v>
      </c>
      <c r="H2887" s="461" t="s">
        <v>4873</v>
      </c>
      <c r="I2887" s="178" t="s">
        <v>4874</v>
      </c>
      <c r="J2887" s="729">
        <v>45260</v>
      </c>
      <c r="K2887" s="773">
        <v>0.54166666666666663</v>
      </c>
      <c r="L2887" s="729">
        <v>45260</v>
      </c>
      <c r="M2887" s="773">
        <v>0.58333333333333337</v>
      </c>
      <c r="N2887" s="373">
        <v>1</v>
      </c>
      <c r="O2887" s="184" t="s">
        <v>17</v>
      </c>
      <c r="P2887" s="375" t="s">
        <v>4639</v>
      </c>
      <c r="Q2887" s="179" t="s">
        <v>1441</v>
      </c>
      <c r="R2887" s="31" t="s">
        <v>95</v>
      </c>
      <c r="S2887" s="31" t="s">
        <v>273</v>
      </c>
      <c r="T2887" s="31" t="s">
        <v>273</v>
      </c>
      <c r="U2887" s="31">
        <f>IFERROR(VLOOKUP(CONCATENATE(Tabla1[[#This Row],[Severidad]]," ",Tabla1[[#This Row],[Complejidad]]),Catalogos!E$120:G$128,3,FALSE),"")</f>
        <v>64</v>
      </c>
      <c r="V2887" s="31" t="str">
        <f>IF(Tabla1[[#This Row],[Tiempo solución max (hrs)]]&lt;&gt;"",IF(Tabla1[[#This Row],[Tiempo solución max (hrs)]]&gt;=Tabla1[[#This Row],[Tiempo
(Hrs 00/100)]],"cumple","no cumple"),"")</f>
        <v>cumple</v>
      </c>
      <c r="W2887" s="376" t="s">
        <v>4210</v>
      </c>
      <c r="X2887" s="377" t="str">
        <f t="shared" si="220"/>
        <v>SSI</v>
      </c>
      <c r="Y2887" t="str">
        <f>SUBSTITUTE(Tabla1[[#This Row],[Descripción]],CHAR(10),"    I    ")</f>
        <v xml:space="preserve">Se trabajó con los ajustes del 11vo procedimiento de 'OBTENER_ESTATUS', con el cambio del campo actualizado en la vista materializada, se compila sin errores </v>
      </c>
      <c r="Z2887" s="142">
        <f>VLOOKUP(Tabla1[[#This Row],[Perfil]],Catalogos!$B$75:$D$100,3,FALSE)*Tabla1[[#This Row],[Tiempo
(Hrs 00/100)]]*1.16</f>
        <v>696</v>
      </c>
    </row>
    <row r="2888" spans="1:26" ht="43.2" x14ac:dyDescent="0.3">
      <c r="A2888" s="373" t="s">
        <v>22</v>
      </c>
      <c r="B2888" s="373" t="s">
        <v>23</v>
      </c>
      <c r="C2888" s="373" t="s">
        <v>257</v>
      </c>
      <c r="D2888" s="373"/>
      <c r="E2888" s="373" t="s">
        <v>408</v>
      </c>
      <c r="F2888" s="373" t="s">
        <v>75</v>
      </c>
      <c r="G2888" s="373" t="s">
        <v>5080</v>
      </c>
      <c r="H2888" s="461" t="s">
        <v>3668</v>
      </c>
      <c r="I2888" s="178" t="s">
        <v>4875</v>
      </c>
      <c r="J2888" s="729">
        <v>45260</v>
      </c>
      <c r="K2888" s="773">
        <v>0.58333333333333337</v>
      </c>
      <c r="L2888" s="729">
        <v>45260</v>
      </c>
      <c r="M2888" s="773">
        <v>0.60416666666666663</v>
      </c>
      <c r="N2888" s="373">
        <v>0.5</v>
      </c>
      <c r="O2888" s="184" t="s">
        <v>17</v>
      </c>
      <c r="P2888" s="375" t="s">
        <v>4639</v>
      </c>
      <c r="Q2888" s="179" t="s">
        <v>1441</v>
      </c>
      <c r="R2888" s="31" t="s">
        <v>95</v>
      </c>
      <c r="S2888" s="31" t="s">
        <v>273</v>
      </c>
      <c r="T2888" s="31" t="s">
        <v>273</v>
      </c>
      <c r="U2888" s="31">
        <f>IFERROR(VLOOKUP(CONCATENATE(Tabla1[[#This Row],[Severidad]]," ",Tabla1[[#This Row],[Complejidad]]),Catalogos!E$120:G$128,3,FALSE),"")</f>
        <v>64</v>
      </c>
      <c r="V2888" s="31" t="str">
        <f>IF(Tabla1[[#This Row],[Tiempo solución max (hrs)]]&lt;&gt;"",IF(Tabla1[[#This Row],[Tiempo solución max (hrs)]]&gt;=Tabla1[[#This Row],[Tiempo
(Hrs 00/100)]],"cumple","no cumple"),"")</f>
        <v>cumple</v>
      </c>
      <c r="W2888" s="376" t="s">
        <v>4210</v>
      </c>
      <c r="X2888" s="377" t="str">
        <f t="shared" si="220"/>
        <v>SSI</v>
      </c>
      <c r="Y2888" t="str">
        <f>SUBSTITUTE(Tabla1[[#This Row],[Descripción]],CHAR(10),"    I    ")</f>
        <v>Se validó el paquete-procedimiento 'OBTENER_ESTATUS' con el bloque anónimo correcto y se tuvo un resultado exitoso con la salida del cursor completo de nuevo</v>
      </c>
      <c r="Z2888" s="142">
        <f>VLOOKUP(Tabla1[[#This Row],[Perfil]],Catalogos!$B$75:$D$100,3,FALSE)*Tabla1[[#This Row],[Tiempo
(Hrs 00/100)]]*1.16</f>
        <v>348</v>
      </c>
    </row>
    <row r="2889" spans="1:26" ht="43.2" x14ac:dyDescent="0.3">
      <c r="A2889" s="373" t="s">
        <v>22</v>
      </c>
      <c r="B2889" s="373" t="s">
        <v>23</v>
      </c>
      <c r="C2889" s="373" t="s">
        <v>257</v>
      </c>
      <c r="D2889" s="373"/>
      <c r="E2889" s="373" t="s">
        <v>408</v>
      </c>
      <c r="F2889" s="373" t="s">
        <v>23</v>
      </c>
      <c r="G2889" s="373" t="s">
        <v>5081</v>
      </c>
      <c r="H2889" s="461" t="s">
        <v>4876</v>
      </c>
      <c r="I2889" s="178" t="s">
        <v>4877</v>
      </c>
      <c r="J2889" s="729">
        <v>45260</v>
      </c>
      <c r="K2889" s="773">
        <v>0.66666666666666663</v>
      </c>
      <c r="L2889" s="729">
        <v>45260</v>
      </c>
      <c r="M2889" s="773">
        <v>0.70833333333333337</v>
      </c>
      <c r="N2889" s="373">
        <v>1</v>
      </c>
      <c r="O2889" s="184" t="s">
        <v>17</v>
      </c>
      <c r="P2889" s="375" t="s">
        <v>4639</v>
      </c>
      <c r="Q2889" s="179" t="s">
        <v>1441</v>
      </c>
      <c r="R2889" s="31" t="s">
        <v>95</v>
      </c>
      <c r="S2889" s="31" t="s">
        <v>273</v>
      </c>
      <c r="T2889" s="31" t="s">
        <v>273</v>
      </c>
      <c r="U2889" s="31">
        <f>IFERROR(VLOOKUP(CONCATENATE(Tabla1[[#This Row],[Severidad]]," ",Tabla1[[#This Row],[Complejidad]]),Catalogos!E$120:G$128,3,FALSE),"")</f>
        <v>64</v>
      </c>
      <c r="V2889" s="31" t="str">
        <f>IF(Tabla1[[#This Row],[Tiempo solución max (hrs)]]&lt;&gt;"",IF(Tabla1[[#This Row],[Tiempo solución max (hrs)]]&gt;=Tabla1[[#This Row],[Tiempo
(Hrs 00/100)]],"cumple","no cumple"),"")</f>
        <v>cumple</v>
      </c>
      <c r="W2889" s="376" t="s">
        <v>4210</v>
      </c>
      <c r="X2889" s="377" t="str">
        <f t="shared" si="220"/>
        <v>SSI</v>
      </c>
      <c r="Y2889" t="str">
        <f>SUBSTITUTE(Tabla1[[#This Row],[Descripción]],CHAR(10),"    I    ")</f>
        <v xml:space="preserve">Se trabajó con los ajustes del 12vo procedimiento de 'OBTENER_TEMATICA', con el cambio del campo actualizado en la vista materializada, se compila sin errores </v>
      </c>
      <c r="Z2889" s="142">
        <f>VLOOKUP(Tabla1[[#This Row],[Perfil]],Catalogos!$B$75:$D$100,3,FALSE)*Tabla1[[#This Row],[Tiempo
(Hrs 00/100)]]*1.16</f>
        <v>696</v>
      </c>
    </row>
    <row r="2890" spans="1:26" ht="43.2" x14ac:dyDescent="0.3">
      <c r="A2890" s="373" t="s">
        <v>22</v>
      </c>
      <c r="B2890" s="373" t="s">
        <v>23</v>
      </c>
      <c r="C2890" s="373" t="s">
        <v>257</v>
      </c>
      <c r="D2890" s="373"/>
      <c r="E2890" s="373" t="s">
        <v>408</v>
      </c>
      <c r="F2890" s="373" t="s">
        <v>75</v>
      </c>
      <c r="G2890" s="373" t="s">
        <v>5082</v>
      </c>
      <c r="H2890" s="461" t="s">
        <v>4878</v>
      </c>
      <c r="I2890" s="178" t="s">
        <v>4879</v>
      </c>
      <c r="J2890" s="729">
        <v>45260</v>
      </c>
      <c r="K2890" s="773">
        <v>0.70833333333333337</v>
      </c>
      <c r="L2890" s="729">
        <v>45260</v>
      </c>
      <c r="M2890" s="773">
        <v>0.72916666666666663</v>
      </c>
      <c r="N2890" s="373">
        <v>0.5</v>
      </c>
      <c r="O2890" s="184" t="s">
        <v>17</v>
      </c>
      <c r="P2890" s="375" t="s">
        <v>4639</v>
      </c>
      <c r="Q2890" s="179" t="s">
        <v>1441</v>
      </c>
      <c r="R2890" s="31" t="s">
        <v>95</v>
      </c>
      <c r="S2890" s="31" t="s">
        <v>273</v>
      </c>
      <c r="T2890" s="31" t="s">
        <v>273</v>
      </c>
      <c r="U2890" s="31">
        <f>IFERROR(VLOOKUP(CONCATENATE(Tabla1[[#This Row],[Severidad]]," ",Tabla1[[#This Row],[Complejidad]]),Catalogos!E$120:G$128,3,FALSE),"")</f>
        <v>64</v>
      </c>
      <c r="V2890" s="31" t="str">
        <f>IF(Tabla1[[#This Row],[Tiempo solución max (hrs)]]&lt;&gt;"",IF(Tabla1[[#This Row],[Tiempo solución max (hrs)]]&gt;=Tabla1[[#This Row],[Tiempo
(Hrs 00/100)]],"cumple","no cumple"),"")</f>
        <v>cumple</v>
      </c>
      <c r="W2890" s="376" t="s">
        <v>4210</v>
      </c>
      <c r="X2890" s="377" t="str">
        <f t="shared" si="220"/>
        <v>SSI</v>
      </c>
      <c r="Y2890" t="str">
        <f>SUBSTITUTE(Tabla1[[#This Row],[Descripción]],CHAR(10),"    I    ")</f>
        <v xml:space="preserve">Se validó el paquete-procedimiento 'OBTENER_TEMATICA' con el bloque anónimo correcto y se tuvo un resultado exitoso con la salida del cursor completo de nuevo </v>
      </c>
      <c r="Z2890" s="142">
        <f>VLOOKUP(Tabla1[[#This Row],[Perfil]],Catalogos!$B$75:$D$100,3,FALSE)*Tabla1[[#This Row],[Tiempo
(Hrs 00/100)]]*1.16</f>
        <v>348</v>
      </c>
    </row>
    <row r="2891" spans="1:26" ht="28.8" x14ac:dyDescent="0.3">
      <c r="A2891" s="373" t="s">
        <v>22</v>
      </c>
      <c r="B2891" s="373" t="s">
        <v>23</v>
      </c>
      <c r="C2891" s="373" t="s">
        <v>257</v>
      </c>
      <c r="D2891" s="373"/>
      <c r="E2891" s="373" t="s">
        <v>408</v>
      </c>
      <c r="F2891" s="373" t="s">
        <v>23</v>
      </c>
      <c r="G2891" s="373" t="s">
        <v>5083</v>
      </c>
      <c r="H2891" s="461" t="s">
        <v>4880</v>
      </c>
      <c r="I2891" s="178" t="s">
        <v>4880</v>
      </c>
      <c r="J2891" s="729">
        <v>45260</v>
      </c>
      <c r="K2891" s="773">
        <v>0.72916666666666663</v>
      </c>
      <c r="L2891" s="729">
        <v>45260</v>
      </c>
      <c r="M2891" s="773">
        <v>0.75</v>
      </c>
      <c r="N2891" s="373">
        <v>0.5</v>
      </c>
      <c r="O2891" s="184" t="s">
        <v>17</v>
      </c>
      <c r="P2891" s="375" t="s">
        <v>4639</v>
      </c>
      <c r="Q2891" s="179" t="s">
        <v>1441</v>
      </c>
      <c r="R2891" s="31" t="s">
        <v>95</v>
      </c>
      <c r="S2891" s="31" t="s">
        <v>273</v>
      </c>
      <c r="T2891" s="31" t="s">
        <v>273</v>
      </c>
      <c r="U2891" s="31">
        <f>IFERROR(VLOOKUP(CONCATENATE(Tabla1[[#This Row],[Severidad]]," ",Tabla1[[#This Row],[Complejidad]]),Catalogos!E$120:G$128,3,FALSE),"")</f>
        <v>64</v>
      </c>
      <c r="V2891" s="31" t="str">
        <f>IF(Tabla1[[#This Row],[Tiempo solución max (hrs)]]&lt;&gt;"",IF(Tabla1[[#This Row],[Tiempo solución max (hrs)]]&gt;=Tabla1[[#This Row],[Tiempo
(Hrs 00/100)]],"cumple","no cumple"),"")</f>
        <v>cumple</v>
      </c>
      <c r="W2891" s="376" t="s">
        <v>4210</v>
      </c>
      <c r="X2891" s="377" t="str">
        <f t="shared" si="220"/>
        <v>SSI</v>
      </c>
      <c r="Y2891" t="str">
        <f>SUBSTITUTE(Tabla1[[#This Row],[Descripción]],CHAR(10),"    I    ")</f>
        <v xml:space="preserve">Se reconstruyeron las consultas del 13vo procedimiento de 'OBTENER_FG_QUEJA' de SOLICITUDES </v>
      </c>
      <c r="Z2891" s="142">
        <f>VLOOKUP(Tabla1[[#This Row],[Perfil]],Catalogos!$B$75:$D$100,3,FALSE)*Tabla1[[#This Row],[Tiempo
(Hrs 00/100)]]*1.16</f>
        <v>348</v>
      </c>
    </row>
    <row r="2892" spans="1:26" ht="43.2" x14ac:dyDescent="0.3">
      <c r="A2892" s="373" t="s">
        <v>22</v>
      </c>
      <c r="B2892" s="373" t="s">
        <v>23</v>
      </c>
      <c r="C2892" s="373" t="s">
        <v>257</v>
      </c>
      <c r="D2892" s="373"/>
      <c r="E2892" s="373" t="s">
        <v>408</v>
      </c>
      <c r="F2892" s="373" t="s">
        <v>23</v>
      </c>
      <c r="G2892" s="373" t="s">
        <v>5084</v>
      </c>
      <c r="H2892" s="461" t="s">
        <v>4881</v>
      </c>
      <c r="I2892" s="178" t="s">
        <v>4882</v>
      </c>
      <c r="J2892" s="729">
        <v>45260</v>
      </c>
      <c r="K2892" s="773">
        <v>0.75</v>
      </c>
      <c r="L2892" s="729">
        <v>45260</v>
      </c>
      <c r="M2892" s="773">
        <v>0.79166666666666663</v>
      </c>
      <c r="N2892" s="373">
        <v>1</v>
      </c>
      <c r="O2892" s="184" t="s">
        <v>17</v>
      </c>
      <c r="P2892" s="375" t="s">
        <v>4639</v>
      </c>
      <c r="Q2892" s="179" t="s">
        <v>1441</v>
      </c>
      <c r="R2892" s="31" t="s">
        <v>95</v>
      </c>
      <c r="S2892" s="31" t="s">
        <v>273</v>
      </c>
      <c r="T2892" s="31" t="s">
        <v>273</v>
      </c>
      <c r="U2892" s="31">
        <f>IFERROR(VLOOKUP(CONCATENATE(Tabla1[[#This Row],[Severidad]]," ",Tabla1[[#This Row],[Complejidad]]),Catalogos!E$120:G$128,3,FALSE),"")</f>
        <v>64</v>
      </c>
      <c r="V2892" s="31" t="str">
        <f>IF(Tabla1[[#This Row],[Tiempo solución max (hrs)]]&lt;&gt;"",IF(Tabla1[[#This Row],[Tiempo solución max (hrs)]]&gt;=Tabla1[[#This Row],[Tiempo
(Hrs 00/100)]],"cumple","no cumple"),"")</f>
        <v>cumple</v>
      </c>
      <c r="W2892" s="376" t="s">
        <v>4210</v>
      </c>
      <c r="X2892" s="377" t="str">
        <f t="shared" si="220"/>
        <v>SSI</v>
      </c>
      <c r="Y2892" t="str">
        <f>SUBSTITUTE(Tabla1[[#This Row],[Descripción]],CHAR(10),"    I    ")</f>
        <v xml:space="preserve">Se trabajó con los ajustes del 13vo procedimiento de 'OBTENER_FG_QUEJA', con el cambio del campo actualizado en la vista materializada, se compila sin errores </v>
      </c>
      <c r="Z2892" s="142">
        <f>VLOOKUP(Tabla1[[#This Row],[Perfil]],Catalogos!$B$75:$D$100,3,FALSE)*Tabla1[[#This Row],[Tiempo
(Hrs 00/100)]]*1.16</f>
        <v>696</v>
      </c>
    </row>
    <row r="2893" spans="1:26" ht="43.2" x14ac:dyDescent="0.3">
      <c r="A2893" s="373" t="s">
        <v>22</v>
      </c>
      <c r="B2893" s="373" t="s">
        <v>23</v>
      </c>
      <c r="C2893" s="373" t="s">
        <v>257</v>
      </c>
      <c r="D2893" s="373"/>
      <c r="E2893" s="373" t="s">
        <v>408</v>
      </c>
      <c r="F2893" s="373" t="s">
        <v>75</v>
      </c>
      <c r="G2893" s="373" t="s">
        <v>5085</v>
      </c>
      <c r="H2893" s="461" t="s">
        <v>4883</v>
      </c>
      <c r="I2893" s="178" t="s">
        <v>4884</v>
      </c>
      <c r="J2893" s="729">
        <v>45260</v>
      </c>
      <c r="K2893" s="773">
        <v>0.79166666666666663</v>
      </c>
      <c r="L2893" s="729">
        <v>45260</v>
      </c>
      <c r="M2893" s="773">
        <v>0.8125</v>
      </c>
      <c r="N2893" s="373">
        <v>0.5</v>
      </c>
      <c r="O2893" s="184" t="s">
        <v>17</v>
      </c>
      <c r="P2893" s="375" t="s">
        <v>4639</v>
      </c>
      <c r="Q2893" s="179" t="s">
        <v>1441</v>
      </c>
      <c r="R2893" s="31" t="s">
        <v>95</v>
      </c>
      <c r="S2893" s="31" t="s">
        <v>273</v>
      </c>
      <c r="T2893" s="31" t="s">
        <v>273</v>
      </c>
      <c r="U2893" s="31">
        <f>IFERROR(VLOOKUP(CONCATENATE(Tabla1[[#This Row],[Severidad]]," ",Tabla1[[#This Row],[Complejidad]]),Catalogos!E$120:G$128,3,FALSE),"")</f>
        <v>64</v>
      </c>
      <c r="V2893" s="31" t="str">
        <f>IF(Tabla1[[#This Row],[Tiempo solución max (hrs)]]&lt;&gt;"",IF(Tabla1[[#This Row],[Tiempo solución max (hrs)]]&gt;=Tabla1[[#This Row],[Tiempo
(Hrs 00/100)]],"cumple","no cumple"),"")</f>
        <v>cumple</v>
      </c>
      <c r="W2893" s="376" t="s">
        <v>4210</v>
      </c>
      <c r="X2893" s="377" t="str">
        <f t="shared" si="220"/>
        <v>SSI</v>
      </c>
      <c r="Y2893" t="str">
        <f>SUBSTITUTE(Tabla1[[#This Row],[Descripción]],CHAR(10),"    I    ")</f>
        <v xml:space="preserve">Se validó el paquete-procedimiento 'OBTENER_FG_QUEJA' con el bloque anónimo correcto y se tuvo un resultado exitoso con la salida del cursor completo de nuevo </v>
      </c>
      <c r="Z2893" s="142">
        <f>VLOOKUP(Tabla1[[#This Row],[Perfil]],Catalogos!$B$75:$D$100,3,FALSE)*Tabla1[[#This Row],[Tiempo
(Hrs 00/100)]]*1.16</f>
        <v>348</v>
      </c>
    </row>
    <row r="2894" spans="1:26" ht="14.4" x14ac:dyDescent="0.3">
      <c r="A2894" s="614" t="s">
        <v>58</v>
      </c>
      <c r="B2894" s="614" t="s">
        <v>305</v>
      </c>
      <c r="C2894" s="489" t="s">
        <v>155</v>
      </c>
      <c r="D2894" s="614"/>
      <c r="E2894" s="614" t="s">
        <v>1399</v>
      </c>
      <c r="F2894" s="614" t="s">
        <v>74</v>
      </c>
      <c r="G2894" s="614" t="s">
        <v>5210</v>
      </c>
      <c r="H2894" s="688" t="s">
        <v>5211</v>
      </c>
      <c r="I2894" s="689" t="s">
        <v>5226</v>
      </c>
      <c r="J2894" s="690">
        <v>45231</v>
      </c>
      <c r="K2894" s="773">
        <v>0.38055555555555554</v>
      </c>
      <c r="L2894" s="690">
        <v>45231</v>
      </c>
      <c r="M2894" s="773">
        <v>0.83888888888888891</v>
      </c>
      <c r="N2894" s="373">
        <v>9.5</v>
      </c>
      <c r="O2894" s="691" t="s">
        <v>17</v>
      </c>
      <c r="P2894" s="375" t="s">
        <v>2481</v>
      </c>
      <c r="Q2894" s="615" t="s">
        <v>1442</v>
      </c>
      <c r="R2894" s="616" t="s">
        <v>79</v>
      </c>
      <c r="S2894" s="31" t="s">
        <v>273</v>
      </c>
      <c r="T2894" s="31" t="s">
        <v>273</v>
      </c>
      <c r="U2894" s="31">
        <f>IFERROR(VLOOKUP(CONCATENATE(Tabla1[[#This Row],[Severidad]]," ",Tabla1[[#This Row],[Complejidad]]),Catalogos!E$120:G$128,3,FALSE),"")</f>
        <v>64</v>
      </c>
      <c r="V2894" s="31" t="str">
        <f>IF(Tabla1[[#This Row],[Tiempo solución max (hrs)]]&lt;&gt;"",IF(Tabla1[[#This Row],[Tiempo solución max (hrs)]]&gt;=Tabla1[[#This Row],[Tiempo
(Hrs 00/100)]],"cumple","no cumple"),"")</f>
        <v>cumple</v>
      </c>
      <c r="W2894" s="376" t="s">
        <v>4210</v>
      </c>
      <c r="X2894" s="377" t="str">
        <f t="shared" si="220"/>
        <v>DS</v>
      </c>
      <c r="Y2894" t="str">
        <f>SUBSTITUTE(Tabla1[[#This Row],[Descripción]],CHAR(10),"    I    ")</f>
        <v>Configuración inicial de los pipeline para los servicios existentes</v>
      </c>
      <c r="Z2894" s="142">
        <f>VLOOKUP(Tabla1[[#This Row],[Perfil]],Catalogos!$B$75:$D$100,3,FALSE)*Tabla1[[#This Row],[Tiempo
(Hrs 00/100)]]*1.16</f>
        <v>6611.9999999999991</v>
      </c>
    </row>
    <row r="2895" spans="1:26" ht="27.6" x14ac:dyDescent="0.3">
      <c r="A2895" s="617" t="s">
        <v>58</v>
      </c>
      <c r="B2895" s="617" t="s">
        <v>305</v>
      </c>
      <c r="C2895" s="692" t="s">
        <v>155</v>
      </c>
      <c r="D2895" s="617"/>
      <c r="E2895" s="617" t="s">
        <v>1399</v>
      </c>
      <c r="F2895" s="617" t="s">
        <v>74</v>
      </c>
      <c r="G2895" s="614" t="s">
        <v>5212</v>
      </c>
      <c r="H2895" s="461" t="s">
        <v>5213</v>
      </c>
      <c r="I2895" s="178" t="s">
        <v>5227</v>
      </c>
      <c r="J2895" s="690">
        <v>45233</v>
      </c>
      <c r="K2895" s="773">
        <v>0.375</v>
      </c>
      <c r="L2895" s="690">
        <v>45233</v>
      </c>
      <c r="M2895" s="773">
        <v>0.83333333333333337</v>
      </c>
      <c r="N2895" s="373">
        <v>9.5</v>
      </c>
      <c r="O2895" s="691" t="s">
        <v>17</v>
      </c>
      <c r="P2895" s="375" t="s">
        <v>2481</v>
      </c>
      <c r="Q2895" s="615" t="s">
        <v>1442</v>
      </c>
      <c r="R2895" s="616" t="s">
        <v>79</v>
      </c>
      <c r="S2895" s="31" t="s">
        <v>273</v>
      </c>
      <c r="T2895" s="31" t="s">
        <v>273</v>
      </c>
      <c r="U2895" s="31">
        <f>IFERROR(VLOOKUP(CONCATENATE(Tabla1[[#This Row],[Severidad]]," ",Tabla1[[#This Row],[Complejidad]]),Catalogos!E$120:G$128,3,FALSE),"")</f>
        <v>64</v>
      </c>
      <c r="V2895" s="31" t="str">
        <f>IF(Tabla1[[#This Row],[Tiempo solución max (hrs)]]&lt;&gt;"",IF(Tabla1[[#This Row],[Tiempo solución max (hrs)]]&gt;=Tabla1[[#This Row],[Tiempo
(Hrs 00/100)]],"cumple","no cumple"),"")</f>
        <v>cumple</v>
      </c>
      <c r="W2895" s="376" t="s">
        <v>4210</v>
      </c>
      <c r="X2895" s="377" t="str">
        <f t="shared" si="220"/>
        <v>DS</v>
      </c>
      <c r="Y2895" t="str">
        <f>SUBSTITUTE(Tabla1[[#This Row],[Descripción]],CHAR(10),"    I    ")</f>
        <v>Implementación junto con el equipo de infraestructura de los k8s</v>
      </c>
      <c r="Z2895" s="142">
        <f>VLOOKUP(Tabla1[[#This Row],[Perfil]],Catalogos!$B$75:$D$100,3,FALSE)*Tabla1[[#This Row],[Tiempo
(Hrs 00/100)]]*1.16</f>
        <v>6611.9999999999991</v>
      </c>
    </row>
    <row r="2896" spans="1:26" ht="28.8" x14ac:dyDescent="0.3">
      <c r="A2896" s="617" t="s">
        <v>58</v>
      </c>
      <c r="B2896" s="617" t="s">
        <v>305</v>
      </c>
      <c r="C2896" s="692" t="s">
        <v>155</v>
      </c>
      <c r="D2896" s="617"/>
      <c r="E2896" s="617" t="s">
        <v>1399</v>
      </c>
      <c r="F2896" s="617" t="s">
        <v>74</v>
      </c>
      <c r="G2896" s="614" t="s">
        <v>5214</v>
      </c>
      <c r="H2896" s="461" t="s">
        <v>5211</v>
      </c>
      <c r="I2896" s="178" t="s">
        <v>5215</v>
      </c>
      <c r="J2896" s="690">
        <v>45236</v>
      </c>
      <c r="K2896" s="773">
        <v>0.375</v>
      </c>
      <c r="L2896" s="690">
        <v>45236</v>
      </c>
      <c r="M2896" s="773">
        <v>0.83333333333333337</v>
      </c>
      <c r="N2896" s="373">
        <v>9.5</v>
      </c>
      <c r="O2896" s="691" t="s">
        <v>411</v>
      </c>
      <c r="P2896" s="375" t="s">
        <v>2481</v>
      </c>
      <c r="Q2896" s="615" t="s">
        <v>1442</v>
      </c>
      <c r="R2896" s="616" t="s">
        <v>79</v>
      </c>
      <c r="S2896" s="31" t="s">
        <v>273</v>
      </c>
      <c r="T2896" s="31" t="s">
        <v>273</v>
      </c>
      <c r="U2896" s="31">
        <f>IFERROR(VLOOKUP(CONCATENATE(Tabla1[[#This Row],[Severidad]]," ",Tabla1[[#This Row],[Complejidad]]),Catalogos!E$120:G$128,3,FALSE),"")</f>
        <v>64</v>
      </c>
      <c r="V2896" s="31" t="str">
        <f>IF(Tabla1[[#This Row],[Tiempo solución max (hrs)]]&lt;&gt;"",IF(Tabla1[[#This Row],[Tiempo solución max (hrs)]]&gt;=Tabla1[[#This Row],[Tiempo
(Hrs 00/100)]],"cumple","no cumple"),"")</f>
        <v>cumple</v>
      </c>
      <c r="W2896" s="376" t="s">
        <v>4210</v>
      </c>
      <c r="X2896" s="377" t="str">
        <f t="shared" si="220"/>
        <v>DS</v>
      </c>
      <c r="Y2896" t="str">
        <f>SUBSTITUTE(Tabla1[[#This Row],[Descripción]],CHAR(10),"    I    ")</f>
        <v>Continuación configuración de  los pipeline para los servicios que ya se tienen</v>
      </c>
      <c r="Z2896" s="142">
        <f>VLOOKUP(Tabla1[[#This Row],[Perfil]],Catalogos!$B$75:$D$100,3,FALSE)*Tabla1[[#This Row],[Tiempo
(Hrs 00/100)]]*1.16</f>
        <v>6611.9999999999991</v>
      </c>
    </row>
    <row r="2897" spans="1:26" ht="28.8" x14ac:dyDescent="0.3">
      <c r="A2897" s="617" t="s">
        <v>58</v>
      </c>
      <c r="B2897" s="617" t="s">
        <v>305</v>
      </c>
      <c r="C2897" s="692" t="s">
        <v>155</v>
      </c>
      <c r="D2897" s="617"/>
      <c r="E2897" s="617" t="s">
        <v>1399</v>
      </c>
      <c r="F2897" s="617" t="s">
        <v>74</v>
      </c>
      <c r="G2897" s="614" t="s">
        <v>5214</v>
      </c>
      <c r="H2897" s="461" t="s">
        <v>5211</v>
      </c>
      <c r="I2897" s="178" t="s">
        <v>5215</v>
      </c>
      <c r="J2897" s="690">
        <v>45237</v>
      </c>
      <c r="K2897" s="773">
        <v>0.375</v>
      </c>
      <c r="L2897" s="690">
        <v>45237</v>
      </c>
      <c r="M2897" s="773">
        <v>0.83333333333333337</v>
      </c>
      <c r="N2897" s="373">
        <v>9.5</v>
      </c>
      <c r="O2897" s="691" t="s">
        <v>411</v>
      </c>
      <c r="P2897" s="375" t="s">
        <v>2481</v>
      </c>
      <c r="Q2897" s="615" t="s">
        <v>1442</v>
      </c>
      <c r="R2897" s="616" t="s">
        <v>79</v>
      </c>
      <c r="S2897" s="31" t="s">
        <v>273</v>
      </c>
      <c r="T2897" s="31" t="s">
        <v>273</v>
      </c>
      <c r="U2897" s="31">
        <f>IFERROR(VLOOKUP(CONCATENATE(Tabla1[[#This Row],[Severidad]]," ",Tabla1[[#This Row],[Complejidad]]),Catalogos!E$120:G$128,3,FALSE),"")</f>
        <v>64</v>
      </c>
      <c r="V2897" s="31" t="str">
        <f>IF(Tabla1[[#This Row],[Tiempo solución max (hrs)]]&lt;&gt;"",IF(Tabla1[[#This Row],[Tiempo solución max (hrs)]]&gt;=Tabla1[[#This Row],[Tiempo
(Hrs 00/100)]],"cumple","no cumple"),"")</f>
        <v>cumple</v>
      </c>
      <c r="W2897" s="376" t="s">
        <v>4210</v>
      </c>
      <c r="X2897" s="377" t="str">
        <f t="shared" si="220"/>
        <v>DS</v>
      </c>
      <c r="Y2897" t="str">
        <f>SUBSTITUTE(Tabla1[[#This Row],[Descripción]],CHAR(10),"    I    ")</f>
        <v>Continuación configuración de  los pipeline para los servicios que ya se tienen</v>
      </c>
      <c r="Z2897" s="142">
        <f>VLOOKUP(Tabla1[[#This Row],[Perfil]],Catalogos!$B$75:$D$100,3,FALSE)*Tabla1[[#This Row],[Tiempo
(Hrs 00/100)]]*1.16</f>
        <v>6611.9999999999991</v>
      </c>
    </row>
    <row r="2898" spans="1:26" ht="28.8" x14ac:dyDescent="0.3">
      <c r="A2898" s="617" t="s">
        <v>58</v>
      </c>
      <c r="B2898" s="617" t="s">
        <v>305</v>
      </c>
      <c r="C2898" s="692" t="s">
        <v>155</v>
      </c>
      <c r="D2898" s="617"/>
      <c r="E2898" s="617" t="s">
        <v>1399</v>
      </c>
      <c r="F2898" s="617" t="s">
        <v>74</v>
      </c>
      <c r="G2898" s="614" t="s">
        <v>5214</v>
      </c>
      <c r="H2898" s="461" t="s">
        <v>5211</v>
      </c>
      <c r="I2898" s="178" t="s">
        <v>5215</v>
      </c>
      <c r="J2898" s="690">
        <v>45238</v>
      </c>
      <c r="K2898" s="773">
        <v>0.375</v>
      </c>
      <c r="L2898" s="690">
        <v>45238</v>
      </c>
      <c r="M2898" s="773">
        <v>0.83333333333333337</v>
      </c>
      <c r="N2898" s="373">
        <v>9.5</v>
      </c>
      <c r="O2898" s="691" t="s">
        <v>411</v>
      </c>
      <c r="P2898" s="375" t="s">
        <v>2481</v>
      </c>
      <c r="Q2898" s="615" t="s">
        <v>1442</v>
      </c>
      <c r="R2898" s="616" t="s">
        <v>79</v>
      </c>
      <c r="S2898" s="31" t="s">
        <v>273</v>
      </c>
      <c r="T2898" s="31" t="s">
        <v>273</v>
      </c>
      <c r="U2898" s="31">
        <f>IFERROR(VLOOKUP(CONCATENATE(Tabla1[[#This Row],[Severidad]]," ",Tabla1[[#This Row],[Complejidad]]),Catalogos!E$120:G$128,3,FALSE),"")</f>
        <v>64</v>
      </c>
      <c r="V2898" s="31" t="str">
        <f>IF(Tabla1[[#This Row],[Tiempo solución max (hrs)]]&lt;&gt;"",IF(Tabla1[[#This Row],[Tiempo solución max (hrs)]]&gt;=Tabla1[[#This Row],[Tiempo
(Hrs 00/100)]],"cumple","no cumple"),"")</f>
        <v>cumple</v>
      </c>
      <c r="W2898" s="376" t="s">
        <v>4210</v>
      </c>
      <c r="X2898" s="377" t="str">
        <f t="shared" si="220"/>
        <v>DS</v>
      </c>
      <c r="Y2898" t="str">
        <f>SUBSTITUTE(Tabla1[[#This Row],[Descripción]],CHAR(10),"    I    ")</f>
        <v>Continuación configuración de  los pipeline para los servicios que ya se tienen</v>
      </c>
      <c r="Z2898" s="142">
        <f>VLOOKUP(Tabla1[[#This Row],[Perfil]],Catalogos!$B$75:$D$100,3,FALSE)*Tabla1[[#This Row],[Tiempo
(Hrs 00/100)]]*1.16</f>
        <v>6611.9999999999991</v>
      </c>
    </row>
    <row r="2899" spans="1:26" ht="28.8" x14ac:dyDescent="0.3">
      <c r="A2899" s="617" t="s">
        <v>58</v>
      </c>
      <c r="B2899" s="617" t="s">
        <v>305</v>
      </c>
      <c r="C2899" s="692" t="s">
        <v>155</v>
      </c>
      <c r="D2899" s="617"/>
      <c r="E2899" s="617" t="s">
        <v>1399</v>
      </c>
      <c r="F2899" s="617" t="s">
        <v>74</v>
      </c>
      <c r="G2899" s="614" t="s">
        <v>5214</v>
      </c>
      <c r="H2899" s="461" t="s">
        <v>5211</v>
      </c>
      <c r="I2899" s="178" t="s">
        <v>5215</v>
      </c>
      <c r="J2899" s="690">
        <v>45239</v>
      </c>
      <c r="K2899" s="773">
        <v>0.375</v>
      </c>
      <c r="L2899" s="690">
        <v>45239</v>
      </c>
      <c r="M2899" s="773">
        <v>0.83333333333333337</v>
      </c>
      <c r="N2899" s="373">
        <v>9.5</v>
      </c>
      <c r="O2899" s="691" t="s">
        <v>411</v>
      </c>
      <c r="P2899" s="375" t="s">
        <v>2481</v>
      </c>
      <c r="Q2899" s="615" t="s">
        <v>1442</v>
      </c>
      <c r="R2899" s="616" t="s">
        <v>79</v>
      </c>
      <c r="S2899" s="31" t="s">
        <v>273</v>
      </c>
      <c r="T2899" s="31" t="s">
        <v>273</v>
      </c>
      <c r="U2899" s="31">
        <f>IFERROR(VLOOKUP(CONCATENATE(Tabla1[[#This Row],[Severidad]]," ",Tabla1[[#This Row],[Complejidad]]),Catalogos!E$120:G$128,3,FALSE),"")</f>
        <v>64</v>
      </c>
      <c r="V2899" s="31" t="str">
        <f>IF(Tabla1[[#This Row],[Tiempo solución max (hrs)]]&lt;&gt;"",IF(Tabla1[[#This Row],[Tiempo solución max (hrs)]]&gt;=Tabla1[[#This Row],[Tiempo
(Hrs 00/100)]],"cumple","no cumple"),"")</f>
        <v>cumple</v>
      </c>
      <c r="W2899" s="376" t="s">
        <v>4210</v>
      </c>
      <c r="X2899" s="377" t="str">
        <f t="shared" si="220"/>
        <v>DS</v>
      </c>
      <c r="Y2899" t="str">
        <f>SUBSTITUTE(Tabla1[[#This Row],[Descripción]],CHAR(10),"    I    ")</f>
        <v>Continuación configuración de  los pipeline para los servicios que ya se tienen</v>
      </c>
      <c r="Z2899" s="142">
        <f>VLOOKUP(Tabla1[[#This Row],[Perfil]],Catalogos!$B$75:$D$100,3,FALSE)*Tabla1[[#This Row],[Tiempo
(Hrs 00/100)]]*1.16</f>
        <v>6611.9999999999991</v>
      </c>
    </row>
    <row r="2900" spans="1:26" ht="28.8" x14ac:dyDescent="0.3">
      <c r="A2900" s="617" t="s">
        <v>58</v>
      </c>
      <c r="B2900" s="617" t="s">
        <v>305</v>
      </c>
      <c r="C2900" s="692" t="s">
        <v>155</v>
      </c>
      <c r="D2900" s="617"/>
      <c r="E2900" s="693" t="s">
        <v>1399</v>
      </c>
      <c r="F2900" s="617" t="s">
        <v>74</v>
      </c>
      <c r="G2900" s="614" t="s">
        <v>5214</v>
      </c>
      <c r="H2900" s="461" t="s">
        <v>5211</v>
      </c>
      <c r="I2900" s="178" t="s">
        <v>5215</v>
      </c>
      <c r="J2900" s="690">
        <v>45240</v>
      </c>
      <c r="K2900" s="773">
        <v>0.38194444444444442</v>
      </c>
      <c r="L2900" s="690">
        <v>45240</v>
      </c>
      <c r="M2900" s="773">
        <v>0.84027777777777779</v>
      </c>
      <c r="N2900" s="373">
        <v>9.5</v>
      </c>
      <c r="O2900" s="691" t="s">
        <v>17</v>
      </c>
      <c r="P2900" s="375" t="s">
        <v>2481</v>
      </c>
      <c r="Q2900" s="615" t="s">
        <v>1442</v>
      </c>
      <c r="R2900" s="616" t="s">
        <v>79</v>
      </c>
      <c r="S2900" s="31" t="s">
        <v>273</v>
      </c>
      <c r="T2900" s="31" t="s">
        <v>273</v>
      </c>
      <c r="U2900" s="31">
        <f>IFERROR(VLOOKUP(CONCATENATE(Tabla1[[#This Row],[Severidad]]," ",Tabla1[[#This Row],[Complejidad]]),Catalogos!E$120:G$128,3,FALSE),"")</f>
        <v>64</v>
      </c>
      <c r="V2900" s="31" t="str">
        <f>IF(Tabla1[[#This Row],[Tiempo solución max (hrs)]]&lt;&gt;"",IF(Tabla1[[#This Row],[Tiempo solución max (hrs)]]&gt;=Tabla1[[#This Row],[Tiempo
(Hrs 00/100)]],"cumple","no cumple"),"")</f>
        <v>cumple</v>
      </c>
      <c r="W2900" s="376" t="s">
        <v>4210</v>
      </c>
      <c r="X2900" s="377" t="str">
        <f t="shared" si="220"/>
        <v>DS</v>
      </c>
      <c r="Y2900" t="str">
        <f>SUBSTITUTE(Tabla1[[#This Row],[Descripción]],CHAR(10),"    I    ")</f>
        <v>Continuación configuración de  los pipeline para los servicios que ya se tienen</v>
      </c>
      <c r="Z2900" s="142">
        <f>VLOOKUP(Tabla1[[#This Row],[Perfil]],Catalogos!$B$75:$D$100,3,FALSE)*Tabla1[[#This Row],[Tiempo
(Hrs 00/100)]]*1.16</f>
        <v>6611.9999999999991</v>
      </c>
    </row>
    <row r="2901" spans="1:26" ht="14.4" x14ac:dyDescent="0.3">
      <c r="A2901" s="617" t="s">
        <v>58</v>
      </c>
      <c r="B2901" s="694" t="s">
        <v>305</v>
      </c>
      <c r="C2901" s="692" t="s">
        <v>155</v>
      </c>
      <c r="D2901" s="617"/>
      <c r="E2901" s="179" t="s">
        <v>1399</v>
      </c>
      <c r="F2901" s="373" t="s">
        <v>74</v>
      </c>
      <c r="G2901" s="614" t="s">
        <v>5216</v>
      </c>
      <c r="H2901" s="461" t="s">
        <v>5217</v>
      </c>
      <c r="I2901" s="538" t="s">
        <v>5228</v>
      </c>
      <c r="J2901" s="690">
        <v>45243</v>
      </c>
      <c r="K2901" s="773">
        <v>0.375</v>
      </c>
      <c r="L2901" s="690">
        <v>45243</v>
      </c>
      <c r="M2901" s="773">
        <v>0.83333333333333337</v>
      </c>
      <c r="N2901" s="373">
        <v>9.5</v>
      </c>
      <c r="O2901" s="691" t="s">
        <v>17</v>
      </c>
      <c r="P2901" s="375" t="s">
        <v>2481</v>
      </c>
      <c r="Q2901" s="615" t="s">
        <v>1442</v>
      </c>
      <c r="R2901" s="616" t="s">
        <v>79</v>
      </c>
      <c r="S2901" s="31" t="s">
        <v>273</v>
      </c>
      <c r="T2901" s="31" t="s">
        <v>273</v>
      </c>
      <c r="U2901" s="31">
        <f>IFERROR(VLOOKUP(CONCATENATE(Tabla1[[#This Row],[Severidad]]," ",Tabla1[[#This Row],[Complejidad]]),Catalogos!E$120:G$128,3,FALSE),"")</f>
        <v>64</v>
      </c>
      <c r="V2901" s="31" t="str">
        <f>IF(Tabla1[[#This Row],[Tiempo solución max (hrs)]]&lt;&gt;"",IF(Tabla1[[#This Row],[Tiempo solución max (hrs)]]&gt;=Tabla1[[#This Row],[Tiempo
(Hrs 00/100)]],"cumple","no cumple"),"")</f>
        <v>cumple</v>
      </c>
      <c r="W2901" s="376" t="s">
        <v>4210</v>
      </c>
      <c r="X2901" s="377" t="str">
        <f t="shared" si="220"/>
        <v>DS</v>
      </c>
      <c r="Y2901" t="str">
        <f>SUBSTITUTE(Tabla1[[#This Row],[Descripción]],CHAR(10),"    I    ")</f>
        <v>Uso de herramientas para ajustes a pipelines</v>
      </c>
      <c r="Z2901" s="142">
        <f>VLOOKUP(Tabla1[[#This Row],[Perfil]],Catalogos!$B$75:$D$100,3,FALSE)*Tabla1[[#This Row],[Tiempo
(Hrs 00/100)]]*1.16</f>
        <v>6611.9999999999991</v>
      </c>
    </row>
    <row r="2902" spans="1:26" ht="28.8" x14ac:dyDescent="0.3">
      <c r="A2902" s="617" t="s">
        <v>58</v>
      </c>
      <c r="B2902" s="694" t="s">
        <v>305</v>
      </c>
      <c r="C2902" s="692" t="s">
        <v>155</v>
      </c>
      <c r="D2902" s="617"/>
      <c r="E2902" s="179" t="s">
        <v>1399</v>
      </c>
      <c r="F2902" s="373" t="s">
        <v>74</v>
      </c>
      <c r="G2902" s="614" t="s">
        <v>5219</v>
      </c>
      <c r="H2902" s="461" t="s">
        <v>5218</v>
      </c>
      <c r="I2902" s="467" t="s">
        <v>5229</v>
      </c>
      <c r="J2902" s="690">
        <v>45244</v>
      </c>
      <c r="K2902" s="773">
        <v>0.375</v>
      </c>
      <c r="L2902" s="690">
        <v>45244</v>
      </c>
      <c r="M2902" s="773">
        <v>0.83333333333333337</v>
      </c>
      <c r="N2902" s="373">
        <v>9.5</v>
      </c>
      <c r="O2902" s="691" t="s">
        <v>17</v>
      </c>
      <c r="P2902" s="375" t="s">
        <v>2481</v>
      </c>
      <c r="Q2902" s="615" t="s">
        <v>1442</v>
      </c>
      <c r="R2902" s="616" t="s">
        <v>79</v>
      </c>
      <c r="S2902" s="31" t="s">
        <v>273</v>
      </c>
      <c r="T2902" s="31" t="s">
        <v>273</v>
      </c>
      <c r="U2902" s="31">
        <f>IFERROR(VLOOKUP(CONCATENATE(Tabla1[[#This Row],[Severidad]]," ",Tabla1[[#This Row],[Complejidad]]),Catalogos!E$120:G$128,3,FALSE),"")</f>
        <v>64</v>
      </c>
      <c r="V2902" s="31" t="str">
        <f>IF(Tabla1[[#This Row],[Tiempo solución max (hrs)]]&lt;&gt;"",IF(Tabla1[[#This Row],[Tiempo solución max (hrs)]]&gt;=Tabla1[[#This Row],[Tiempo
(Hrs 00/100)]],"cumple","no cumple"),"")</f>
        <v>cumple</v>
      </c>
      <c r="W2902" s="376" t="s">
        <v>4210</v>
      </c>
      <c r="X2902" s="377" t="str">
        <f t="shared" si="220"/>
        <v>DS</v>
      </c>
      <c r="Y2902" t="str">
        <f>SUBSTITUTE(Tabla1[[#This Row],[Descripción]],CHAR(10),"    I    ")</f>
        <v>Analisis de gitlab y github para el uso de sub carpetas, resolviendose por medio de sparse checkout</v>
      </c>
      <c r="Z2902" s="142">
        <f>VLOOKUP(Tabla1[[#This Row],[Perfil]],Catalogos!$B$75:$D$100,3,FALSE)*Tabla1[[#This Row],[Tiempo
(Hrs 00/100)]]*1.16</f>
        <v>6611.9999999999991</v>
      </c>
    </row>
    <row r="2903" spans="1:26" ht="14.4" x14ac:dyDescent="0.3">
      <c r="A2903" s="617" t="s">
        <v>58</v>
      </c>
      <c r="B2903" s="694" t="s">
        <v>305</v>
      </c>
      <c r="C2903" s="692" t="s">
        <v>155</v>
      </c>
      <c r="D2903" s="617"/>
      <c r="E2903" s="179" t="s">
        <v>1399</v>
      </c>
      <c r="F2903" s="373" t="s">
        <v>74</v>
      </c>
      <c r="G2903" s="614" t="s">
        <v>5221</v>
      </c>
      <c r="H2903" s="461" t="s">
        <v>5217</v>
      </c>
      <c r="I2903" s="538" t="s">
        <v>5228</v>
      </c>
      <c r="J2903" s="690">
        <v>45245</v>
      </c>
      <c r="K2903" s="773">
        <v>0.375</v>
      </c>
      <c r="L2903" s="690">
        <v>45245</v>
      </c>
      <c r="M2903" s="773">
        <v>0.83333333333333337</v>
      </c>
      <c r="N2903" s="373">
        <v>9.5</v>
      </c>
      <c r="O2903" s="691" t="s">
        <v>17</v>
      </c>
      <c r="P2903" s="375" t="s">
        <v>2481</v>
      </c>
      <c r="Q2903" s="615" t="s">
        <v>1442</v>
      </c>
      <c r="R2903" s="616" t="s">
        <v>79</v>
      </c>
      <c r="S2903" s="31" t="s">
        <v>273</v>
      </c>
      <c r="T2903" s="31" t="s">
        <v>273</v>
      </c>
      <c r="U2903" s="31">
        <f>IFERROR(VLOOKUP(CONCATENATE(Tabla1[[#This Row],[Severidad]]," ",Tabla1[[#This Row],[Complejidad]]),Catalogos!E$120:G$128,3,FALSE),"")</f>
        <v>64</v>
      </c>
      <c r="V2903" s="31" t="str">
        <f>IF(Tabla1[[#This Row],[Tiempo solución max (hrs)]]&lt;&gt;"",IF(Tabla1[[#This Row],[Tiempo solución max (hrs)]]&gt;=Tabla1[[#This Row],[Tiempo
(Hrs 00/100)]],"cumple","no cumple"),"")</f>
        <v>cumple</v>
      </c>
      <c r="W2903" s="376" t="s">
        <v>4210</v>
      </c>
      <c r="X2903" s="377" t="str">
        <f t="shared" si="220"/>
        <v>DS</v>
      </c>
      <c r="Y2903" t="str">
        <f>SUBSTITUTE(Tabla1[[#This Row],[Descripción]],CHAR(10),"    I    ")</f>
        <v>Uso de herramientas para ajustes a pipelines</v>
      </c>
      <c r="Z2903" s="142">
        <f>VLOOKUP(Tabla1[[#This Row],[Perfil]],Catalogos!$B$75:$D$100,3,FALSE)*Tabla1[[#This Row],[Tiempo
(Hrs 00/100)]]*1.16</f>
        <v>6611.9999999999991</v>
      </c>
    </row>
    <row r="2904" spans="1:26" ht="14.4" x14ac:dyDescent="0.3">
      <c r="A2904" s="617" t="s">
        <v>58</v>
      </c>
      <c r="B2904" s="694" t="s">
        <v>305</v>
      </c>
      <c r="C2904" s="692" t="s">
        <v>155</v>
      </c>
      <c r="D2904" s="617"/>
      <c r="E2904" s="179" t="s">
        <v>1399</v>
      </c>
      <c r="F2904" s="373" t="s">
        <v>74</v>
      </c>
      <c r="G2904" s="614" t="s">
        <v>5222</v>
      </c>
      <c r="H2904" s="461" t="s">
        <v>5220</v>
      </c>
      <c r="I2904" s="538" t="s">
        <v>5230</v>
      </c>
      <c r="J2904" s="690">
        <v>45246</v>
      </c>
      <c r="K2904" s="773">
        <v>0.375</v>
      </c>
      <c r="L2904" s="690">
        <v>45246</v>
      </c>
      <c r="M2904" s="773">
        <v>0.83333333333333337</v>
      </c>
      <c r="N2904" s="373">
        <v>9.5</v>
      </c>
      <c r="O2904" s="691" t="s">
        <v>17</v>
      </c>
      <c r="P2904" s="375" t="s">
        <v>2481</v>
      </c>
      <c r="Q2904" s="615" t="s">
        <v>1442</v>
      </c>
      <c r="R2904" s="616" t="s">
        <v>79</v>
      </c>
      <c r="S2904" s="31" t="s">
        <v>273</v>
      </c>
      <c r="T2904" s="31" t="s">
        <v>273</v>
      </c>
      <c r="U2904" s="31">
        <f>IFERROR(VLOOKUP(CONCATENATE(Tabla1[[#This Row],[Severidad]]," ",Tabla1[[#This Row],[Complejidad]]),Catalogos!E$120:G$128,3,FALSE),"")</f>
        <v>64</v>
      </c>
      <c r="V2904" s="31" t="str">
        <f>IF(Tabla1[[#This Row],[Tiempo solución max (hrs)]]&lt;&gt;"",IF(Tabla1[[#This Row],[Tiempo solución max (hrs)]]&gt;=Tabla1[[#This Row],[Tiempo
(Hrs 00/100)]],"cumple","no cumple"),"")</f>
        <v>cumple</v>
      </c>
      <c r="W2904" s="376" t="s">
        <v>4210</v>
      </c>
      <c r="X2904" s="377" t="str">
        <f t="shared" si="220"/>
        <v>DS</v>
      </c>
      <c r="Y2904" t="str">
        <f>SUBSTITUTE(Tabla1[[#This Row],[Descripción]],CHAR(10),"    I    ")</f>
        <v>Configuración del pipleline de CD para actualizarlo con el "git push"</v>
      </c>
      <c r="Z2904" s="142">
        <f>VLOOKUP(Tabla1[[#This Row],[Perfil]],Catalogos!$B$75:$D$100,3,FALSE)*Tabla1[[#This Row],[Tiempo
(Hrs 00/100)]]*1.16</f>
        <v>6611.9999999999991</v>
      </c>
    </row>
    <row r="2905" spans="1:26" ht="14.4" x14ac:dyDescent="0.3">
      <c r="A2905" s="617" t="s">
        <v>58</v>
      </c>
      <c r="B2905" s="695" t="s">
        <v>305</v>
      </c>
      <c r="C2905" s="692" t="s">
        <v>155</v>
      </c>
      <c r="D2905" s="693"/>
      <c r="E2905" s="179" t="s">
        <v>1399</v>
      </c>
      <c r="F2905" s="373" t="s">
        <v>74</v>
      </c>
      <c r="G2905" s="614" t="s">
        <v>5224</v>
      </c>
      <c r="H2905" s="461" t="s">
        <v>5217</v>
      </c>
      <c r="I2905" s="538" t="s">
        <v>5228</v>
      </c>
      <c r="J2905" s="690">
        <v>45247</v>
      </c>
      <c r="K2905" s="773">
        <v>0.375</v>
      </c>
      <c r="L2905" s="690">
        <v>45247</v>
      </c>
      <c r="M2905" s="773">
        <v>0.83333333333333337</v>
      </c>
      <c r="N2905" s="373">
        <v>9.5</v>
      </c>
      <c r="O2905" s="691" t="s">
        <v>17</v>
      </c>
      <c r="P2905" s="375" t="s">
        <v>2481</v>
      </c>
      <c r="Q2905" s="615" t="s">
        <v>1442</v>
      </c>
      <c r="R2905" s="616" t="s">
        <v>79</v>
      </c>
      <c r="S2905" s="31" t="s">
        <v>273</v>
      </c>
      <c r="T2905" s="31" t="s">
        <v>273</v>
      </c>
      <c r="U2905" s="31">
        <f>IFERROR(VLOOKUP(CONCATENATE(Tabla1[[#This Row],[Severidad]]," ",Tabla1[[#This Row],[Complejidad]]),Catalogos!E$120:G$128,3,FALSE),"")</f>
        <v>64</v>
      </c>
      <c r="V2905" s="31" t="str">
        <f>IF(Tabla1[[#This Row],[Tiempo solución max (hrs)]]&lt;&gt;"",IF(Tabla1[[#This Row],[Tiempo solución max (hrs)]]&gt;=Tabla1[[#This Row],[Tiempo
(Hrs 00/100)]],"cumple","no cumple"),"")</f>
        <v>cumple</v>
      </c>
      <c r="W2905" s="376" t="s">
        <v>4210</v>
      </c>
      <c r="X2905" s="377" t="str">
        <f t="shared" si="220"/>
        <v>DS</v>
      </c>
      <c r="Y2905" t="str">
        <f>SUBSTITUTE(Tabla1[[#This Row],[Descripción]],CHAR(10),"    I    ")</f>
        <v>Uso de herramientas para ajustes a pipelines</v>
      </c>
      <c r="Z2905" s="142">
        <f>VLOOKUP(Tabla1[[#This Row],[Perfil]],Catalogos!$B$75:$D$100,3,FALSE)*Tabla1[[#This Row],[Tiempo
(Hrs 00/100)]]*1.16</f>
        <v>6611.9999999999991</v>
      </c>
    </row>
    <row r="2906" spans="1:26" ht="14.4" x14ac:dyDescent="0.3">
      <c r="A2906" s="373" t="s">
        <v>58</v>
      </c>
      <c r="B2906" s="184" t="s">
        <v>305</v>
      </c>
      <c r="C2906" s="692" t="s">
        <v>155</v>
      </c>
      <c r="D2906" s="179"/>
      <c r="E2906" s="373" t="s">
        <v>1399</v>
      </c>
      <c r="F2906" s="373" t="s">
        <v>74</v>
      </c>
      <c r="G2906" s="614" t="s">
        <v>5233</v>
      </c>
      <c r="H2906" s="461" t="s">
        <v>5223</v>
      </c>
      <c r="I2906" s="538" t="s">
        <v>5231</v>
      </c>
      <c r="J2906" s="690">
        <v>45251</v>
      </c>
      <c r="K2906" s="773">
        <v>0.38194444444444442</v>
      </c>
      <c r="L2906" s="690">
        <v>45251</v>
      </c>
      <c r="M2906" s="773">
        <v>0.84027777777777779</v>
      </c>
      <c r="N2906" s="373">
        <v>9.5</v>
      </c>
      <c r="O2906" s="691" t="s">
        <v>411</v>
      </c>
      <c r="P2906" s="375" t="s">
        <v>3417</v>
      </c>
      <c r="Q2906" s="615" t="s">
        <v>1442</v>
      </c>
      <c r="R2906" s="616" t="s">
        <v>79</v>
      </c>
      <c r="S2906" s="31" t="s">
        <v>273</v>
      </c>
      <c r="T2906" s="31" t="s">
        <v>273</v>
      </c>
      <c r="U2906" s="31">
        <f>IFERROR(VLOOKUP(CONCATENATE(Tabla1[[#This Row],[Severidad]]," ",Tabla1[[#This Row],[Complejidad]]),Catalogos!E$120:G$128,3,FALSE),"")</f>
        <v>64</v>
      </c>
      <c r="V2906" s="31" t="str">
        <f>IF(Tabla1[[#This Row],[Tiempo solución max (hrs)]]&lt;&gt;"",IF(Tabla1[[#This Row],[Tiempo solución max (hrs)]]&gt;=Tabla1[[#This Row],[Tiempo
(Hrs 00/100)]],"cumple","no cumple"),"")</f>
        <v>cumple</v>
      </c>
      <c r="W2906" s="376" t="s">
        <v>4210</v>
      </c>
      <c r="X2906" s="377" t="str">
        <f t="shared" si="220"/>
        <v>DS</v>
      </c>
      <c r="Y2906" t="str">
        <f>SUBSTITUTE(Tabla1[[#This Row],[Descripción]],CHAR(10),"    I    ")</f>
        <v>Se configuró argocd para soportar el monitoreo de subcarpeta de github</v>
      </c>
      <c r="Z2906" s="142">
        <f>VLOOKUP(Tabla1[[#This Row],[Perfil]],Catalogos!$B$75:$D$100,3,FALSE)*Tabla1[[#This Row],[Tiempo
(Hrs 00/100)]]*1.16</f>
        <v>6611.9999999999991</v>
      </c>
    </row>
    <row r="2907" spans="1:26" ht="14.4" x14ac:dyDescent="0.3">
      <c r="A2907" s="373" t="s">
        <v>58</v>
      </c>
      <c r="B2907" s="184" t="s">
        <v>305</v>
      </c>
      <c r="C2907" s="692" t="s">
        <v>155</v>
      </c>
      <c r="D2907" s="179"/>
      <c r="E2907" s="373" t="s">
        <v>1399</v>
      </c>
      <c r="F2907" s="373" t="s">
        <v>74</v>
      </c>
      <c r="G2907" s="614" t="s">
        <v>5233</v>
      </c>
      <c r="H2907" s="461" t="s">
        <v>5223</v>
      </c>
      <c r="I2907" s="538" t="s">
        <v>5231</v>
      </c>
      <c r="J2907" s="690">
        <v>45252</v>
      </c>
      <c r="K2907" s="773">
        <v>0.3833333333333333</v>
      </c>
      <c r="L2907" s="690">
        <v>45252</v>
      </c>
      <c r="M2907" s="773">
        <v>0.84166666666666667</v>
      </c>
      <c r="N2907" s="373">
        <v>9.5</v>
      </c>
      <c r="O2907" s="691" t="s">
        <v>411</v>
      </c>
      <c r="P2907" s="375" t="s">
        <v>3417</v>
      </c>
      <c r="Q2907" s="615" t="s">
        <v>1442</v>
      </c>
      <c r="R2907" s="616" t="s">
        <v>79</v>
      </c>
      <c r="S2907" s="31" t="s">
        <v>273</v>
      </c>
      <c r="T2907" s="31" t="s">
        <v>273</v>
      </c>
      <c r="U2907" s="31">
        <f>IFERROR(VLOOKUP(CONCATENATE(Tabla1[[#This Row],[Severidad]]," ",Tabla1[[#This Row],[Complejidad]]),Catalogos!E$120:G$128,3,FALSE),"")</f>
        <v>64</v>
      </c>
      <c r="V2907" s="31" t="str">
        <f>IF(Tabla1[[#This Row],[Tiempo solución max (hrs)]]&lt;&gt;"",IF(Tabla1[[#This Row],[Tiempo solución max (hrs)]]&gt;=Tabla1[[#This Row],[Tiempo
(Hrs 00/100)]],"cumple","no cumple"),"")</f>
        <v>cumple</v>
      </c>
      <c r="W2907" s="376" t="s">
        <v>4210</v>
      </c>
      <c r="X2907" s="377" t="str">
        <f t="shared" si="220"/>
        <v>DS</v>
      </c>
      <c r="Y2907" t="str">
        <f>SUBSTITUTE(Tabla1[[#This Row],[Descripción]],CHAR(10),"    I    ")</f>
        <v>Se configuró argocd para soportar el monitoreo de subcarpeta de github</v>
      </c>
      <c r="Z2907" s="142">
        <f>VLOOKUP(Tabla1[[#This Row],[Perfil]],Catalogos!$B$75:$D$100,3,FALSE)*Tabla1[[#This Row],[Tiempo
(Hrs 00/100)]]*1.16</f>
        <v>6611.9999999999991</v>
      </c>
    </row>
    <row r="2908" spans="1:26" ht="14.4" x14ac:dyDescent="0.3">
      <c r="A2908" s="373" t="s">
        <v>58</v>
      </c>
      <c r="B2908" s="184" t="s">
        <v>305</v>
      </c>
      <c r="C2908" s="692" t="s">
        <v>155</v>
      </c>
      <c r="D2908" s="179"/>
      <c r="E2908" s="373" t="s">
        <v>1399</v>
      </c>
      <c r="F2908" s="373" t="s">
        <v>74</v>
      </c>
      <c r="G2908" s="614" t="s">
        <v>5233</v>
      </c>
      <c r="H2908" s="461" t="s">
        <v>5223</v>
      </c>
      <c r="I2908" s="538" t="s">
        <v>5231</v>
      </c>
      <c r="J2908" s="690">
        <v>45253</v>
      </c>
      <c r="K2908" s="773">
        <v>0.38194444444444442</v>
      </c>
      <c r="L2908" s="690">
        <v>45253</v>
      </c>
      <c r="M2908" s="773">
        <v>0.84027777777777779</v>
      </c>
      <c r="N2908" s="373">
        <v>9.5</v>
      </c>
      <c r="O2908" s="691" t="s">
        <v>17</v>
      </c>
      <c r="P2908" s="375" t="s">
        <v>3417</v>
      </c>
      <c r="Q2908" s="615" t="s">
        <v>1442</v>
      </c>
      <c r="R2908" s="616" t="s">
        <v>79</v>
      </c>
      <c r="S2908" s="31" t="s">
        <v>273</v>
      </c>
      <c r="T2908" s="31" t="s">
        <v>273</v>
      </c>
      <c r="U2908" s="31">
        <f>IFERROR(VLOOKUP(CONCATENATE(Tabla1[[#This Row],[Severidad]]," ",Tabla1[[#This Row],[Complejidad]]),Catalogos!E$120:G$128,3,FALSE),"")</f>
        <v>64</v>
      </c>
      <c r="V2908" s="31" t="str">
        <f>IF(Tabla1[[#This Row],[Tiempo solución max (hrs)]]&lt;&gt;"",IF(Tabla1[[#This Row],[Tiempo solución max (hrs)]]&gt;=Tabla1[[#This Row],[Tiempo
(Hrs 00/100)]],"cumple","no cumple"),"")</f>
        <v>cumple</v>
      </c>
      <c r="W2908" s="376" t="s">
        <v>4210</v>
      </c>
      <c r="X2908" s="377" t="str">
        <f t="shared" si="220"/>
        <v>DS</v>
      </c>
      <c r="Y2908" t="str">
        <f>SUBSTITUTE(Tabla1[[#This Row],[Descripción]],CHAR(10),"    I    ")</f>
        <v>Se configuró argocd para soportar el monitoreo de subcarpeta de github</v>
      </c>
      <c r="Z2908" s="142">
        <f>VLOOKUP(Tabla1[[#This Row],[Perfil]],Catalogos!$B$75:$D$100,3,FALSE)*Tabla1[[#This Row],[Tiempo
(Hrs 00/100)]]*1.16</f>
        <v>6611.9999999999991</v>
      </c>
    </row>
    <row r="2909" spans="1:26" ht="28.8" x14ac:dyDescent="0.3">
      <c r="A2909" s="373" t="s">
        <v>58</v>
      </c>
      <c r="B2909" s="184" t="s">
        <v>305</v>
      </c>
      <c r="C2909" s="692" t="s">
        <v>155</v>
      </c>
      <c r="D2909" s="179"/>
      <c r="E2909" s="373" t="s">
        <v>1399</v>
      </c>
      <c r="F2909" s="373" t="s">
        <v>74</v>
      </c>
      <c r="G2909" s="614" t="s">
        <v>5234</v>
      </c>
      <c r="H2909" s="461" t="s">
        <v>5225</v>
      </c>
      <c r="I2909" s="538" t="s">
        <v>5232</v>
      </c>
      <c r="J2909" s="690">
        <v>45254</v>
      </c>
      <c r="K2909" s="773">
        <v>0.38055555555555554</v>
      </c>
      <c r="L2909" s="690">
        <v>45254</v>
      </c>
      <c r="M2909" s="773">
        <v>0.83888888888888891</v>
      </c>
      <c r="N2909" s="373">
        <v>9.5</v>
      </c>
      <c r="O2909" s="691" t="s">
        <v>411</v>
      </c>
      <c r="P2909" s="375" t="s">
        <v>3417</v>
      </c>
      <c r="Q2909" s="615" t="s">
        <v>1442</v>
      </c>
      <c r="R2909" s="616" t="s">
        <v>79</v>
      </c>
      <c r="S2909" s="31" t="s">
        <v>273</v>
      </c>
      <c r="T2909" s="31" t="s">
        <v>273</v>
      </c>
      <c r="U2909" s="31">
        <f>IFERROR(VLOOKUP(CONCATENATE(Tabla1[[#This Row],[Severidad]]," ",Tabla1[[#This Row],[Complejidad]]),Catalogos!E$120:G$128,3,FALSE),"")</f>
        <v>64</v>
      </c>
      <c r="V2909" s="31" t="str">
        <f>IF(Tabla1[[#This Row],[Tiempo solución max (hrs)]]&lt;&gt;"",IF(Tabla1[[#This Row],[Tiempo solución max (hrs)]]&gt;=Tabla1[[#This Row],[Tiempo
(Hrs 00/100)]],"cumple","no cumple"),"")</f>
        <v>cumple</v>
      </c>
      <c r="W2909" s="376" t="s">
        <v>4210</v>
      </c>
      <c r="X2909" s="377" t="str">
        <f t="shared" si="220"/>
        <v>DS</v>
      </c>
      <c r="Y2909" t="str">
        <f>SUBSTITUTE(Tabla1[[#This Row],[Descripción]],CHAR(10),"    I    ")</f>
        <v>Finalización de pipelines y configuración de dependencias para trabajar de forma nativa con k8s</v>
      </c>
      <c r="Z2909" s="142">
        <f>VLOOKUP(Tabla1[[#This Row],[Perfil]],Catalogos!$B$75:$D$100,3,FALSE)*Tabla1[[#This Row],[Tiempo
(Hrs 00/100)]]*1.16</f>
        <v>6611.9999999999991</v>
      </c>
    </row>
    <row r="2910" spans="1:26" ht="28.8" x14ac:dyDescent="0.3">
      <c r="A2910" s="373" t="s">
        <v>58</v>
      </c>
      <c r="B2910" s="184" t="s">
        <v>305</v>
      </c>
      <c r="C2910" s="692" t="s">
        <v>155</v>
      </c>
      <c r="D2910" s="179"/>
      <c r="E2910" s="373" t="s">
        <v>1399</v>
      </c>
      <c r="F2910" s="373" t="s">
        <v>76</v>
      </c>
      <c r="G2910" s="614" t="s">
        <v>5234</v>
      </c>
      <c r="H2910" s="461" t="s">
        <v>5225</v>
      </c>
      <c r="I2910" s="538" t="s">
        <v>5232</v>
      </c>
      <c r="J2910" s="690">
        <v>45257</v>
      </c>
      <c r="K2910" s="773">
        <v>0.375</v>
      </c>
      <c r="L2910" s="690">
        <v>45257</v>
      </c>
      <c r="M2910" s="773">
        <v>0.83333333333333337</v>
      </c>
      <c r="N2910" s="373">
        <v>9.5</v>
      </c>
      <c r="O2910" s="691" t="s">
        <v>411</v>
      </c>
      <c r="P2910" s="375" t="s">
        <v>3417</v>
      </c>
      <c r="Q2910" s="615" t="s">
        <v>1442</v>
      </c>
      <c r="R2910" s="616" t="s">
        <v>79</v>
      </c>
      <c r="S2910" s="31" t="s">
        <v>273</v>
      </c>
      <c r="T2910" s="31" t="s">
        <v>273</v>
      </c>
      <c r="U2910" s="31">
        <f>IFERROR(VLOOKUP(CONCATENATE(Tabla1[[#This Row],[Severidad]]," ",Tabla1[[#This Row],[Complejidad]]),Catalogos!E$120:G$128,3,FALSE),"")</f>
        <v>64</v>
      </c>
      <c r="V2910" s="31" t="str">
        <f>IF(Tabla1[[#This Row],[Tiempo solución max (hrs)]]&lt;&gt;"",IF(Tabla1[[#This Row],[Tiempo solución max (hrs)]]&gt;=Tabla1[[#This Row],[Tiempo
(Hrs 00/100)]],"cumple","no cumple"),"")</f>
        <v>cumple</v>
      </c>
      <c r="W2910" s="376" t="s">
        <v>4210</v>
      </c>
      <c r="X2910" s="377" t="str">
        <f t="shared" si="220"/>
        <v>DS</v>
      </c>
      <c r="Y2910" t="str">
        <f>SUBSTITUTE(Tabla1[[#This Row],[Descripción]],CHAR(10),"    I    ")</f>
        <v>Finalización de pipelines y configuración de dependencias para trabajar de forma nativa con k8s</v>
      </c>
      <c r="Z2910" s="142">
        <f>VLOOKUP(Tabla1[[#This Row],[Perfil]],Catalogos!$B$75:$D$100,3,FALSE)*Tabla1[[#This Row],[Tiempo
(Hrs 00/100)]]*1.16</f>
        <v>6611.9999999999991</v>
      </c>
    </row>
    <row r="2911" spans="1:26" ht="28.8" x14ac:dyDescent="0.3">
      <c r="A2911" s="373" t="s">
        <v>58</v>
      </c>
      <c r="B2911" s="184" t="s">
        <v>305</v>
      </c>
      <c r="C2911" s="692" t="s">
        <v>155</v>
      </c>
      <c r="D2911" s="179"/>
      <c r="E2911" s="373" t="s">
        <v>1399</v>
      </c>
      <c r="F2911" s="373" t="s">
        <v>76</v>
      </c>
      <c r="G2911" s="614" t="s">
        <v>5234</v>
      </c>
      <c r="H2911" s="461" t="s">
        <v>5225</v>
      </c>
      <c r="I2911" s="538" t="s">
        <v>5232</v>
      </c>
      <c r="J2911" s="690">
        <v>45258</v>
      </c>
      <c r="K2911" s="773">
        <v>0.375</v>
      </c>
      <c r="L2911" s="690">
        <v>45258</v>
      </c>
      <c r="M2911" s="773">
        <v>0.83333333333333337</v>
      </c>
      <c r="N2911" s="373">
        <v>9.5</v>
      </c>
      <c r="O2911" s="691" t="s">
        <v>411</v>
      </c>
      <c r="P2911" s="375" t="s">
        <v>3417</v>
      </c>
      <c r="Q2911" s="615" t="s">
        <v>1442</v>
      </c>
      <c r="R2911" s="616" t="s">
        <v>79</v>
      </c>
      <c r="S2911" s="31" t="s">
        <v>273</v>
      </c>
      <c r="T2911" s="31" t="s">
        <v>273</v>
      </c>
      <c r="U2911" s="31">
        <f>IFERROR(VLOOKUP(CONCATENATE(Tabla1[[#This Row],[Severidad]]," ",Tabla1[[#This Row],[Complejidad]]),Catalogos!E$120:G$128,3,FALSE),"")</f>
        <v>64</v>
      </c>
      <c r="V2911" s="31" t="str">
        <f>IF(Tabla1[[#This Row],[Tiempo solución max (hrs)]]&lt;&gt;"",IF(Tabla1[[#This Row],[Tiempo solución max (hrs)]]&gt;=Tabla1[[#This Row],[Tiempo
(Hrs 00/100)]],"cumple","no cumple"),"")</f>
        <v>cumple</v>
      </c>
      <c r="W2911" s="376" t="s">
        <v>4210</v>
      </c>
      <c r="X2911" s="377" t="str">
        <f t="shared" si="220"/>
        <v>DS</v>
      </c>
      <c r="Y2911" t="str">
        <f>SUBSTITUTE(Tabla1[[#This Row],[Descripción]],CHAR(10),"    I    ")</f>
        <v>Finalización de pipelines y configuración de dependencias para trabajar de forma nativa con k8s</v>
      </c>
      <c r="Z2911" s="142">
        <f>VLOOKUP(Tabla1[[#This Row],[Perfil]],Catalogos!$B$75:$D$100,3,FALSE)*Tabla1[[#This Row],[Tiempo
(Hrs 00/100)]]*1.16</f>
        <v>6611.9999999999991</v>
      </c>
    </row>
    <row r="2912" spans="1:26" ht="28.8" x14ac:dyDescent="0.3">
      <c r="A2912" s="373" t="s">
        <v>58</v>
      </c>
      <c r="B2912" s="184" t="s">
        <v>305</v>
      </c>
      <c r="C2912" s="692" t="s">
        <v>155</v>
      </c>
      <c r="D2912" s="179"/>
      <c r="E2912" s="373" t="s">
        <v>1399</v>
      </c>
      <c r="F2912" s="373" t="s">
        <v>76</v>
      </c>
      <c r="G2912" s="614" t="s">
        <v>5234</v>
      </c>
      <c r="H2912" s="461" t="s">
        <v>5225</v>
      </c>
      <c r="I2912" s="538" t="s">
        <v>5232</v>
      </c>
      <c r="J2912" s="690">
        <v>45259</v>
      </c>
      <c r="K2912" s="773">
        <v>0.375</v>
      </c>
      <c r="L2912" s="690">
        <v>45259</v>
      </c>
      <c r="M2912" s="773">
        <v>0.83333333333333337</v>
      </c>
      <c r="N2912" s="373">
        <v>10</v>
      </c>
      <c r="O2912" s="691" t="s">
        <v>411</v>
      </c>
      <c r="P2912" s="375" t="s">
        <v>3417</v>
      </c>
      <c r="Q2912" s="615" t="s">
        <v>1442</v>
      </c>
      <c r="R2912" s="616" t="s">
        <v>79</v>
      </c>
      <c r="S2912" s="31" t="s">
        <v>273</v>
      </c>
      <c r="T2912" s="31" t="s">
        <v>273</v>
      </c>
      <c r="U2912" s="31">
        <f>IFERROR(VLOOKUP(CONCATENATE(Tabla1[[#This Row],[Severidad]]," ",Tabla1[[#This Row],[Complejidad]]),Catalogos!E$120:G$128,3,FALSE),"")</f>
        <v>64</v>
      </c>
      <c r="V2912" s="31" t="str">
        <f>IF(Tabla1[[#This Row],[Tiempo solución max (hrs)]]&lt;&gt;"",IF(Tabla1[[#This Row],[Tiempo solución max (hrs)]]&gt;=Tabla1[[#This Row],[Tiempo
(Hrs 00/100)]],"cumple","no cumple"),"")</f>
        <v>cumple</v>
      </c>
      <c r="W2912" s="376" t="s">
        <v>4210</v>
      </c>
      <c r="X2912" s="377" t="str">
        <f t="shared" si="220"/>
        <v>DS</v>
      </c>
      <c r="Y2912" t="str">
        <f>SUBSTITUTE(Tabla1[[#This Row],[Descripción]],CHAR(10),"    I    ")</f>
        <v>Finalización de pipelines y configuración de dependencias para trabajar de forma nativa con k8s</v>
      </c>
      <c r="Z2912" s="142">
        <f>VLOOKUP(Tabla1[[#This Row],[Perfil]],Catalogos!$B$75:$D$100,3,FALSE)*Tabla1[[#This Row],[Tiempo
(Hrs 00/100)]]*1.16</f>
        <v>6959.9999999999991</v>
      </c>
    </row>
    <row r="2913" spans="1:27" ht="28.8" x14ac:dyDescent="0.3">
      <c r="A2913" s="373" t="s">
        <v>58</v>
      </c>
      <c r="B2913" s="184" t="s">
        <v>305</v>
      </c>
      <c r="C2913" s="692" t="s">
        <v>155</v>
      </c>
      <c r="D2913" s="179"/>
      <c r="E2913" s="373" t="s">
        <v>1399</v>
      </c>
      <c r="F2913" s="373" t="s">
        <v>76</v>
      </c>
      <c r="G2913" s="614" t="s">
        <v>5234</v>
      </c>
      <c r="H2913" s="461" t="s">
        <v>5225</v>
      </c>
      <c r="I2913" s="538" t="s">
        <v>5232</v>
      </c>
      <c r="J2913" s="690">
        <v>45260</v>
      </c>
      <c r="K2913" s="773">
        <v>0.375</v>
      </c>
      <c r="L2913" s="690">
        <v>45260</v>
      </c>
      <c r="M2913" s="773">
        <v>0.83333333333333337</v>
      </c>
      <c r="N2913" s="373">
        <v>9.5</v>
      </c>
      <c r="O2913" s="691" t="s">
        <v>17</v>
      </c>
      <c r="P2913" s="375" t="s">
        <v>3417</v>
      </c>
      <c r="Q2913" s="615" t="s">
        <v>1442</v>
      </c>
      <c r="R2913" s="616" t="s">
        <v>79</v>
      </c>
      <c r="S2913" s="31" t="s">
        <v>273</v>
      </c>
      <c r="T2913" s="31" t="s">
        <v>273</v>
      </c>
      <c r="U2913" s="31">
        <f>IFERROR(VLOOKUP(CONCATENATE(Tabla1[[#This Row],[Severidad]]," ",Tabla1[[#This Row],[Complejidad]]),Catalogos!E$120:G$128,3,FALSE),"")</f>
        <v>64</v>
      </c>
      <c r="V2913" s="31" t="str">
        <f>IF(Tabla1[[#This Row],[Tiempo solución max (hrs)]]&lt;&gt;"",IF(Tabla1[[#This Row],[Tiempo solución max (hrs)]]&gt;=Tabla1[[#This Row],[Tiempo
(Hrs 00/100)]],"cumple","no cumple"),"")</f>
        <v>cumple</v>
      </c>
      <c r="W2913" s="376" t="s">
        <v>4210</v>
      </c>
      <c r="X2913" s="377" t="str">
        <f t="shared" si="220"/>
        <v>DS</v>
      </c>
      <c r="Y2913" t="str">
        <f>SUBSTITUTE(Tabla1[[#This Row],[Descripción]],CHAR(10),"    I    ")</f>
        <v>Finalización de pipelines y configuración de dependencias para trabajar de forma nativa con k8s</v>
      </c>
      <c r="Z2913" s="142">
        <f>VLOOKUP(Tabla1[[#This Row],[Perfil]],Catalogos!$B$75:$D$100,3,FALSE)*Tabla1[[#This Row],[Tiempo
(Hrs 00/100)]]*1.16</f>
        <v>6611.9999999999991</v>
      </c>
    </row>
    <row r="2914" spans="1:27" ht="15" customHeight="1" x14ac:dyDescent="0.3">
      <c r="A2914" s="617" t="s">
        <v>22</v>
      </c>
      <c r="B2914" s="617" t="s">
        <v>23</v>
      </c>
      <c r="C2914" s="617" t="s">
        <v>49</v>
      </c>
      <c r="D2914" s="617"/>
      <c r="E2914" s="617" t="s">
        <v>4133</v>
      </c>
      <c r="F2914" s="617" t="s">
        <v>23</v>
      </c>
      <c r="G2914" s="696" t="s">
        <v>5330</v>
      </c>
      <c r="H2914" s="468" t="s">
        <v>5235</v>
      </c>
      <c r="I2914" s="467" t="s">
        <v>5236</v>
      </c>
      <c r="J2914" s="729">
        <v>45231</v>
      </c>
      <c r="K2914" s="773">
        <v>0.375</v>
      </c>
      <c r="L2914" s="729">
        <v>45231</v>
      </c>
      <c r="M2914" s="773">
        <v>0.60416666666666663</v>
      </c>
      <c r="N2914" s="617">
        <v>5.5</v>
      </c>
      <c r="O2914" s="697" t="s">
        <v>17</v>
      </c>
      <c r="P2914" s="454" t="s">
        <v>5237</v>
      </c>
      <c r="Q2914" s="143" t="s">
        <v>5376</v>
      </c>
      <c r="R2914" s="468" t="s">
        <v>40</v>
      </c>
      <c r="S2914" s="31" t="s">
        <v>273</v>
      </c>
      <c r="T2914" s="31" t="s">
        <v>273</v>
      </c>
      <c r="U2914" s="31">
        <f>IFERROR(VLOOKUP(CONCATENATE(Tabla1[[#This Row],[Severidad]]," ",Tabla1[[#This Row],[Complejidad]]),Catalogos!E$120:G$128,3,FALSE),"")</f>
        <v>64</v>
      </c>
      <c r="V2914" s="31" t="str">
        <f>IF(Tabla1[[#This Row],[Tiempo solución max (hrs)]]&lt;&gt;"",IF(Tabla1[[#This Row],[Tiempo solución max (hrs)]]&gt;=Tabla1[[#This Row],[Tiempo
(Hrs 00/100)]],"cumple","no cumple"),"")</f>
        <v>cumple</v>
      </c>
      <c r="W2914" s="376" t="s">
        <v>4210</v>
      </c>
      <c r="X2914" s="377" t="str">
        <f t="shared" si="220"/>
        <v>SAI</v>
      </c>
      <c r="Y2914" t="str">
        <f>SUBSTITUTE(Tabla1[[#This Row],[Descripción]],CHAR(10),"    I    ")</f>
        <v>1.1 Agregar pantalla de inicio que dirijan al SIPRON y a Pizarras de Avance de cada uno de los programas.</v>
      </c>
      <c r="Z2914" s="142">
        <f>VLOOKUP(Tabla1[[#This Row],[Perfil]],Catalogos!$B$75:$D$100,3,FALSE)*Tabla1[[#This Row],[Tiempo
(Hrs 00/100)]]*1.16</f>
        <v>4466</v>
      </c>
      <c r="AA2914" t="s">
        <v>3356</v>
      </c>
    </row>
    <row r="2915" spans="1:27" ht="15" customHeight="1" x14ac:dyDescent="0.3">
      <c r="A2915" s="617" t="s">
        <v>22</v>
      </c>
      <c r="B2915" s="617" t="s">
        <v>23</v>
      </c>
      <c r="C2915" s="617" t="s">
        <v>49</v>
      </c>
      <c r="D2915" s="617"/>
      <c r="E2915" s="617" t="s">
        <v>4133</v>
      </c>
      <c r="F2915" s="617" t="s">
        <v>23</v>
      </c>
      <c r="G2915" s="696" t="s">
        <v>5329</v>
      </c>
      <c r="H2915" s="468" t="s">
        <v>5235</v>
      </c>
      <c r="I2915" s="467" t="s">
        <v>5238</v>
      </c>
      <c r="J2915" s="729">
        <v>45231</v>
      </c>
      <c r="K2915" s="773">
        <v>0.66666666666666663</v>
      </c>
      <c r="L2915" s="729">
        <v>45231</v>
      </c>
      <c r="M2915" s="773">
        <v>0.79166666666666663</v>
      </c>
      <c r="N2915" s="617">
        <v>3</v>
      </c>
      <c r="O2915" s="697" t="s">
        <v>17</v>
      </c>
      <c r="P2915" s="454" t="s">
        <v>5237</v>
      </c>
      <c r="Q2915" s="143" t="s">
        <v>5376</v>
      </c>
      <c r="R2915" s="468" t="s">
        <v>40</v>
      </c>
      <c r="S2915" s="31" t="s">
        <v>273</v>
      </c>
      <c r="T2915" s="31" t="s">
        <v>273</v>
      </c>
      <c r="U2915" s="31">
        <f>IFERROR(VLOOKUP(CONCATENATE(Tabla1[[#This Row],[Severidad]]," ",Tabla1[[#This Row],[Complejidad]]),Catalogos!E$120:G$128,3,FALSE),"")</f>
        <v>64</v>
      </c>
      <c r="V2915" s="31" t="str">
        <f>IF(Tabla1[[#This Row],[Tiempo solución max (hrs)]]&lt;&gt;"",IF(Tabla1[[#This Row],[Tiempo solución max (hrs)]]&gt;=Tabla1[[#This Row],[Tiempo
(Hrs 00/100)]],"cumple","no cumple"),"")</f>
        <v>cumple</v>
      </c>
      <c r="W2915" s="376" t="s">
        <v>4210</v>
      </c>
      <c r="X2915" s="377" t="str">
        <f t="shared" si="220"/>
        <v>SAI</v>
      </c>
      <c r="Y2915" t="str">
        <f>SUBSTITUTE(Tabla1[[#This Row],[Descripción]],CHAR(10),"    I    ")</f>
        <v>1.2 Material de apoyo</v>
      </c>
      <c r="Z2915" s="142">
        <f>VLOOKUP(Tabla1[[#This Row],[Perfil]],Catalogos!$B$75:$D$100,3,FALSE)*Tabla1[[#This Row],[Tiempo
(Hrs 00/100)]]*1.16</f>
        <v>2436</v>
      </c>
      <c r="AA2915" t="s">
        <v>3356</v>
      </c>
    </row>
    <row r="2916" spans="1:27" ht="15" customHeight="1" x14ac:dyDescent="0.3">
      <c r="A2916" s="617" t="s">
        <v>22</v>
      </c>
      <c r="B2916" s="617" t="s">
        <v>23</v>
      </c>
      <c r="C2916" s="617" t="s">
        <v>49</v>
      </c>
      <c r="D2916" s="617"/>
      <c r="E2916" s="617" t="s">
        <v>4133</v>
      </c>
      <c r="F2916" s="617" t="s">
        <v>23</v>
      </c>
      <c r="G2916" s="696" t="s">
        <v>5241</v>
      </c>
      <c r="H2916" s="468" t="s">
        <v>5235</v>
      </c>
      <c r="I2916" s="467" t="s">
        <v>5239</v>
      </c>
      <c r="J2916" s="729">
        <v>45233</v>
      </c>
      <c r="K2916" s="773">
        <v>0.375</v>
      </c>
      <c r="L2916" s="729">
        <v>45233</v>
      </c>
      <c r="M2916" s="773">
        <v>0.60416666666666663</v>
      </c>
      <c r="N2916" s="617">
        <v>5.5</v>
      </c>
      <c r="O2916" s="697" t="s">
        <v>17</v>
      </c>
      <c r="P2916" s="454" t="s">
        <v>5237</v>
      </c>
      <c r="Q2916" s="143" t="s">
        <v>5376</v>
      </c>
      <c r="R2916" s="468" t="s">
        <v>40</v>
      </c>
      <c r="S2916" s="31" t="s">
        <v>273</v>
      </c>
      <c r="T2916" s="31" t="s">
        <v>273</v>
      </c>
      <c r="U2916" s="31">
        <f>IFERROR(VLOOKUP(CONCATENATE(Tabla1[[#This Row],[Severidad]]," ",Tabla1[[#This Row],[Complejidad]]),Catalogos!E$120:G$128,3,FALSE),"")</f>
        <v>64</v>
      </c>
      <c r="V2916" s="31" t="str">
        <f>IF(Tabla1[[#This Row],[Tiempo solución max (hrs)]]&lt;&gt;"",IF(Tabla1[[#This Row],[Tiempo solución max (hrs)]]&gt;=Tabla1[[#This Row],[Tiempo
(Hrs 00/100)]],"cumple","no cumple"),"")</f>
        <v>cumple</v>
      </c>
      <c r="W2916" s="376" t="s">
        <v>4210</v>
      </c>
      <c r="X2916" s="377" t="str">
        <f t="shared" si="220"/>
        <v>SAI</v>
      </c>
      <c r="Y2916" t="str">
        <f>SUBSTITUTE(Tabla1[[#This Row],[Descripción]],CHAR(10),"    I    ")</f>
        <v>1.3 Estructura de Programas</v>
      </c>
      <c r="Z2916" s="142">
        <f>VLOOKUP(Tabla1[[#This Row],[Perfil]],Catalogos!$B$75:$D$100,3,FALSE)*Tabla1[[#This Row],[Tiempo
(Hrs 00/100)]]*1.16</f>
        <v>4466</v>
      </c>
      <c r="AA2916" t="s">
        <v>3356</v>
      </c>
    </row>
    <row r="2917" spans="1:27" ht="15" customHeight="1" x14ac:dyDescent="0.3">
      <c r="A2917" s="617" t="s">
        <v>22</v>
      </c>
      <c r="B2917" s="617" t="s">
        <v>23</v>
      </c>
      <c r="C2917" s="617" t="s">
        <v>49</v>
      </c>
      <c r="D2917" s="617"/>
      <c r="E2917" s="617" t="s">
        <v>4133</v>
      </c>
      <c r="F2917" s="617" t="s">
        <v>23</v>
      </c>
      <c r="G2917" s="696" t="s">
        <v>5243</v>
      </c>
      <c r="H2917" s="468" t="s">
        <v>5235</v>
      </c>
      <c r="I2917" s="467" t="s">
        <v>5240</v>
      </c>
      <c r="J2917" s="729">
        <v>45233</v>
      </c>
      <c r="K2917" s="773">
        <v>0.66666666666666663</v>
      </c>
      <c r="L2917" s="729">
        <v>45233</v>
      </c>
      <c r="M2917" s="773">
        <v>0.79166666666666663</v>
      </c>
      <c r="N2917" s="617">
        <v>3</v>
      </c>
      <c r="O2917" s="697" t="s">
        <v>17</v>
      </c>
      <c r="P2917" s="454" t="s">
        <v>5237</v>
      </c>
      <c r="Q2917" s="143" t="s">
        <v>5376</v>
      </c>
      <c r="R2917" s="468" t="s">
        <v>40</v>
      </c>
      <c r="S2917" s="31" t="s">
        <v>273</v>
      </c>
      <c r="T2917" s="31" t="s">
        <v>273</v>
      </c>
      <c r="U2917" s="31">
        <f>IFERROR(VLOOKUP(CONCATENATE(Tabla1[[#This Row],[Severidad]]," ",Tabla1[[#This Row],[Complejidad]]),Catalogos!E$120:G$128,3,FALSE),"")</f>
        <v>64</v>
      </c>
      <c r="V2917" s="31" t="str">
        <f>IF(Tabla1[[#This Row],[Tiempo solución max (hrs)]]&lt;&gt;"",IF(Tabla1[[#This Row],[Tiempo solución max (hrs)]]&gt;=Tabla1[[#This Row],[Tiempo
(Hrs 00/100)]],"cumple","no cumple"),"")</f>
        <v>cumple</v>
      </c>
      <c r="W2917" s="376" t="s">
        <v>4210</v>
      </c>
      <c r="X2917" s="377" t="str">
        <f t="shared" si="220"/>
        <v>SAI</v>
      </c>
      <c r="Y2917" t="str">
        <f>SUBSTITUTE(Tabla1[[#This Row],[Descripción]],CHAR(10),"    I    ")</f>
        <v>1.4 Nombre del rol</v>
      </c>
      <c r="Z2917" s="142">
        <f>VLOOKUP(Tabla1[[#This Row],[Perfil]],Catalogos!$B$75:$D$100,3,FALSE)*Tabla1[[#This Row],[Tiempo
(Hrs 00/100)]]*1.16</f>
        <v>2436</v>
      </c>
      <c r="AA2917" t="s">
        <v>3356</v>
      </c>
    </row>
    <row r="2918" spans="1:27" ht="15" customHeight="1" x14ac:dyDescent="0.3">
      <c r="A2918" s="617" t="s">
        <v>22</v>
      </c>
      <c r="B2918" s="617" t="s">
        <v>23</v>
      </c>
      <c r="C2918" s="617" t="s">
        <v>49</v>
      </c>
      <c r="D2918" s="617"/>
      <c r="E2918" s="617" t="s">
        <v>4133</v>
      </c>
      <c r="F2918" s="617" t="s">
        <v>23</v>
      </c>
      <c r="G2918" s="696" t="s">
        <v>5244</v>
      </c>
      <c r="H2918" s="468" t="s">
        <v>5235</v>
      </c>
      <c r="I2918" s="467" t="s">
        <v>5242</v>
      </c>
      <c r="J2918" s="729">
        <v>45236</v>
      </c>
      <c r="K2918" s="773">
        <v>0.375</v>
      </c>
      <c r="L2918" s="729">
        <v>45236</v>
      </c>
      <c r="M2918" s="773">
        <v>0.83333333333333337</v>
      </c>
      <c r="N2918" s="617">
        <v>9</v>
      </c>
      <c r="O2918" s="697" t="s">
        <v>411</v>
      </c>
      <c r="P2918" s="183"/>
      <c r="Q2918" s="143" t="s">
        <v>5376</v>
      </c>
      <c r="R2918" s="468" t="s">
        <v>40</v>
      </c>
      <c r="S2918" s="31" t="s">
        <v>273</v>
      </c>
      <c r="T2918" s="31" t="s">
        <v>273</v>
      </c>
      <c r="U2918" s="31">
        <f>IFERROR(VLOOKUP(CONCATENATE(Tabla1[[#This Row],[Severidad]]," ",Tabla1[[#This Row],[Complejidad]]),Catalogos!E$120:G$128,3,FALSE),"")</f>
        <v>64</v>
      </c>
      <c r="V2918" s="31" t="str">
        <f>IF(Tabla1[[#This Row],[Tiempo solución max (hrs)]]&lt;&gt;"",IF(Tabla1[[#This Row],[Tiempo solución max (hrs)]]&gt;=Tabla1[[#This Row],[Tiempo
(Hrs 00/100)]],"cumple","no cumple"),"")</f>
        <v>cumple</v>
      </c>
      <c r="W2918" s="376" t="s">
        <v>4210</v>
      </c>
      <c r="X2918" s="377" t="str">
        <f t="shared" si="220"/>
        <v>SAI</v>
      </c>
      <c r="Y2918" t="str">
        <f>SUBSTITUTE(Tabla1[[#This Row],[Descripción]],CHAR(10),"    I    ")</f>
        <v>1.5 Cobertura</v>
      </c>
      <c r="Z2918" s="142">
        <f>VLOOKUP(Tabla1[[#This Row],[Perfil]],Catalogos!$B$75:$D$100,3,FALSE)*Tabla1[[#This Row],[Tiempo
(Hrs 00/100)]]*1.16</f>
        <v>7307.9999999999991</v>
      </c>
      <c r="AA2918" t="s">
        <v>3356</v>
      </c>
    </row>
    <row r="2919" spans="1:27" ht="15" customHeight="1" x14ac:dyDescent="0.3">
      <c r="A2919" s="617" t="s">
        <v>22</v>
      </c>
      <c r="B2919" s="617" t="s">
        <v>23</v>
      </c>
      <c r="C2919" s="617" t="s">
        <v>49</v>
      </c>
      <c r="D2919" s="617"/>
      <c r="E2919" s="617" t="s">
        <v>4133</v>
      </c>
      <c r="F2919" s="617" t="s">
        <v>23</v>
      </c>
      <c r="G2919" s="696" t="s">
        <v>5244</v>
      </c>
      <c r="H2919" s="468" t="s">
        <v>5235</v>
      </c>
      <c r="I2919" s="467" t="s">
        <v>5242</v>
      </c>
      <c r="J2919" s="729">
        <v>45237</v>
      </c>
      <c r="K2919" s="773">
        <v>0.375</v>
      </c>
      <c r="L2919" s="729">
        <v>45237</v>
      </c>
      <c r="M2919" s="773">
        <v>0.83333333333333337</v>
      </c>
      <c r="N2919" s="617">
        <v>9</v>
      </c>
      <c r="O2919" s="697" t="s">
        <v>17</v>
      </c>
      <c r="P2919" s="454" t="s">
        <v>5237</v>
      </c>
      <c r="Q2919" s="143" t="s">
        <v>5376</v>
      </c>
      <c r="R2919" s="468" t="s">
        <v>40</v>
      </c>
      <c r="S2919" s="31" t="s">
        <v>273</v>
      </c>
      <c r="T2919" s="31" t="s">
        <v>273</v>
      </c>
      <c r="U2919" s="31">
        <f>IFERROR(VLOOKUP(CONCATENATE(Tabla1[[#This Row],[Severidad]]," ",Tabla1[[#This Row],[Complejidad]]),Catalogos!E$120:G$128,3,FALSE),"")</f>
        <v>64</v>
      </c>
      <c r="V2919" s="31" t="str">
        <f>IF(Tabla1[[#This Row],[Tiempo solución max (hrs)]]&lt;&gt;"",IF(Tabla1[[#This Row],[Tiempo solución max (hrs)]]&gt;=Tabla1[[#This Row],[Tiempo
(Hrs 00/100)]],"cumple","no cumple"),"")</f>
        <v>cumple</v>
      </c>
      <c r="W2919" s="376" t="s">
        <v>4210</v>
      </c>
      <c r="X2919" s="377" t="str">
        <f t="shared" si="220"/>
        <v>SAI</v>
      </c>
      <c r="Y2919" t="str">
        <f>SUBSTITUTE(Tabla1[[#This Row],[Descripción]],CHAR(10),"    I    ")</f>
        <v>1.5 Cobertura</v>
      </c>
      <c r="Z2919" s="142">
        <f>VLOOKUP(Tabla1[[#This Row],[Perfil]],Catalogos!$B$75:$D$100,3,FALSE)*Tabla1[[#This Row],[Tiempo
(Hrs 00/100)]]*1.16</f>
        <v>7307.9999999999991</v>
      </c>
      <c r="AA2919" t="s">
        <v>3356</v>
      </c>
    </row>
    <row r="2920" spans="1:27" ht="15" customHeight="1" x14ac:dyDescent="0.3">
      <c r="A2920" s="617" t="s">
        <v>22</v>
      </c>
      <c r="B2920" s="617" t="s">
        <v>23</v>
      </c>
      <c r="C2920" s="617" t="s">
        <v>49</v>
      </c>
      <c r="D2920" s="617"/>
      <c r="E2920" s="617" t="s">
        <v>4133</v>
      </c>
      <c r="F2920" s="617" t="s">
        <v>23</v>
      </c>
      <c r="G2920" s="696" t="s">
        <v>5246</v>
      </c>
      <c r="H2920" s="468" t="s">
        <v>5235</v>
      </c>
      <c r="I2920" s="467" t="s">
        <v>5245</v>
      </c>
      <c r="J2920" s="729">
        <v>45238</v>
      </c>
      <c r="K2920" s="773">
        <v>0.375</v>
      </c>
      <c r="L2920" s="729">
        <v>45238</v>
      </c>
      <c r="M2920" s="773">
        <v>0.83333333333333337</v>
      </c>
      <c r="N2920" s="617">
        <v>9</v>
      </c>
      <c r="O2920" s="697" t="s">
        <v>17</v>
      </c>
      <c r="P2920" s="454" t="s">
        <v>5237</v>
      </c>
      <c r="Q2920" s="143" t="s">
        <v>5376</v>
      </c>
      <c r="R2920" s="468" t="s">
        <v>40</v>
      </c>
      <c r="S2920" s="31" t="s">
        <v>273</v>
      </c>
      <c r="T2920" s="31" t="s">
        <v>273</v>
      </c>
      <c r="U2920" s="31">
        <f>IFERROR(VLOOKUP(CONCATENATE(Tabla1[[#This Row],[Severidad]]," ",Tabla1[[#This Row],[Complejidad]]),Catalogos!E$120:G$128,3,FALSE),"")</f>
        <v>64</v>
      </c>
      <c r="V2920" s="31" t="str">
        <f>IF(Tabla1[[#This Row],[Tiempo solución max (hrs)]]&lt;&gt;"",IF(Tabla1[[#This Row],[Tiempo solución max (hrs)]]&gt;=Tabla1[[#This Row],[Tiempo
(Hrs 00/100)]],"cumple","no cumple"),"")</f>
        <v>cumple</v>
      </c>
      <c r="W2920" s="376" t="s">
        <v>4210</v>
      </c>
      <c r="X2920" s="377" t="str">
        <f t="shared" si="220"/>
        <v>SAI</v>
      </c>
      <c r="Y2920" t="str">
        <f>SUBSTITUTE(Tabla1[[#This Row],[Descripción]],CHAR(10),"    I    ")</f>
        <v>1.6 Funcionalidad de Pestaña "Pizarras" (Valorar visibilidad en 2023)- Inhabilitar en Rol Enlace y UA</v>
      </c>
      <c r="Z2920" s="142">
        <f>VLOOKUP(Tabla1[[#This Row],[Perfil]],Catalogos!$B$75:$D$100,3,FALSE)*Tabla1[[#This Row],[Tiempo
(Hrs 00/100)]]*1.16</f>
        <v>7307.9999999999991</v>
      </c>
      <c r="AA2920" t="s">
        <v>3356</v>
      </c>
    </row>
    <row r="2921" spans="1:27" ht="15" customHeight="1" x14ac:dyDescent="0.3">
      <c r="A2921" s="617" t="s">
        <v>22</v>
      </c>
      <c r="B2921" s="617" t="s">
        <v>23</v>
      </c>
      <c r="C2921" s="617" t="s">
        <v>49</v>
      </c>
      <c r="D2921" s="617"/>
      <c r="E2921" s="617" t="s">
        <v>4133</v>
      </c>
      <c r="F2921" s="617" t="s">
        <v>23</v>
      </c>
      <c r="G2921" s="327" t="s">
        <v>5248</v>
      </c>
      <c r="H2921" s="468" t="s">
        <v>5235</v>
      </c>
      <c r="I2921" s="467" t="s">
        <v>5247</v>
      </c>
      <c r="J2921" s="729">
        <v>45239</v>
      </c>
      <c r="K2921" s="773">
        <v>0.375</v>
      </c>
      <c r="L2921" s="729">
        <v>45239</v>
      </c>
      <c r="M2921" s="773">
        <v>0.79166666666666663</v>
      </c>
      <c r="N2921" s="617">
        <v>8.5</v>
      </c>
      <c r="O2921" s="697" t="s">
        <v>17</v>
      </c>
      <c r="P2921" s="454" t="s">
        <v>5237</v>
      </c>
      <c r="Q2921" s="143" t="s">
        <v>5376</v>
      </c>
      <c r="R2921" s="468" t="s">
        <v>40</v>
      </c>
      <c r="S2921" s="31" t="s">
        <v>273</v>
      </c>
      <c r="T2921" s="31" t="s">
        <v>273</v>
      </c>
      <c r="U2921" s="31">
        <f>IFERROR(VLOOKUP(CONCATENATE(Tabla1[[#This Row],[Severidad]]," ",Tabla1[[#This Row],[Complejidad]]),Catalogos!E$120:G$128,3,FALSE),"")</f>
        <v>64</v>
      </c>
      <c r="V2921" s="31" t="str">
        <f>IF(Tabla1[[#This Row],[Tiempo solución max (hrs)]]&lt;&gt;"",IF(Tabla1[[#This Row],[Tiempo solución max (hrs)]]&gt;=Tabla1[[#This Row],[Tiempo
(Hrs 00/100)]],"cumple","no cumple"),"")</f>
        <v>cumple</v>
      </c>
      <c r="W2921" s="376" t="s">
        <v>4210</v>
      </c>
      <c r="X2921" s="377" t="str">
        <f t="shared" ref="X2921:X2946" si="221">IF(C2921&lt;&gt;"",C2921,D2921)</f>
        <v>SAI</v>
      </c>
      <c r="Y2921" t="str">
        <f>SUBSTITUTE(Tabla1[[#This Row],[Descripción]],CHAR(10),"    I    ")</f>
        <v xml:space="preserve">1.7 Menu </v>
      </c>
      <c r="Z2921" s="142">
        <f>VLOOKUP(Tabla1[[#This Row],[Perfil]],Catalogos!$B$75:$D$100,3,FALSE)*Tabla1[[#This Row],[Tiempo
(Hrs 00/100)]]*1.16</f>
        <v>6901.9999999999991</v>
      </c>
      <c r="AA2921" t="s">
        <v>3356</v>
      </c>
    </row>
    <row r="2922" spans="1:27" ht="15" customHeight="1" x14ac:dyDescent="0.3">
      <c r="A2922" s="617" t="s">
        <v>22</v>
      </c>
      <c r="B2922" s="617" t="s">
        <v>23</v>
      </c>
      <c r="C2922" s="617" t="s">
        <v>49</v>
      </c>
      <c r="D2922" s="617"/>
      <c r="E2922" s="617" t="s">
        <v>4133</v>
      </c>
      <c r="F2922" s="617" t="s">
        <v>23</v>
      </c>
      <c r="G2922" s="327" t="s">
        <v>5250</v>
      </c>
      <c r="H2922" s="468" t="s">
        <v>5235</v>
      </c>
      <c r="I2922" s="467" t="s">
        <v>5249</v>
      </c>
      <c r="J2922" s="729">
        <v>45240</v>
      </c>
      <c r="K2922" s="773">
        <v>0.375</v>
      </c>
      <c r="L2922" s="729">
        <v>45240</v>
      </c>
      <c r="M2922" s="773">
        <v>0.79166666666666663</v>
      </c>
      <c r="N2922" s="183">
        <v>8.5</v>
      </c>
      <c r="O2922" s="697" t="s">
        <v>411</v>
      </c>
      <c r="P2922" s="183"/>
      <c r="Q2922" s="143" t="s">
        <v>5376</v>
      </c>
      <c r="R2922" s="468" t="s">
        <v>40</v>
      </c>
      <c r="S2922" s="31" t="s">
        <v>273</v>
      </c>
      <c r="T2922" s="31" t="s">
        <v>273</v>
      </c>
      <c r="U2922" s="31">
        <f>IFERROR(VLOOKUP(CONCATENATE(Tabla1[[#This Row],[Severidad]]," ",Tabla1[[#This Row],[Complejidad]]),Catalogos!E$120:G$128,3,FALSE),"")</f>
        <v>64</v>
      </c>
      <c r="V2922" s="31" t="str">
        <f>IF(Tabla1[[#This Row],[Tiempo solución max (hrs)]]&lt;&gt;"",IF(Tabla1[[#This Row],[Tiempo solución max (hrs)]]&gt;=Tabla1[[#This Row],[Tiempo
(Hrs 00/100)]],"cumple","no cumple"),"")</f>
        <v>cumple</v>
      </c>
      <c r="W2922" s="376" t="s">
        <v>4210</v>
      </c>
      <c r="X2922" s="377" t="str">
        <f t="shared" si="221"/>
        <v>SAI</v>
      </c>
      <c r="Y2922" t="str">
        <f>SUBSTITUTE(Tabla1[[#This Row],[Descripción]],CHAR(10),"    I    ")</f>
        <v>1.8 Generar un nuevo menú denominado “blog”</v>
      </c>
      <c r="Z2922" s="142">
        <f>VLOOKUP(Tabla1[[#This Row],[Perfil]],Catalogos!$B$75:$D$100,3,FALSE)*Tabla1[[#This Row],[Tiempo
(Hrs 00/100)]]*1.16</f>
        <v>6901.9999999999991</v>
      </c>
      <c r="AA2922" t="s">
        <v>3356</v>
      </c>
    </row>
    <row r="2923" spans="1:27" ht="15" customHeight="1" x14ac:dyDescent="0.3">
      <c r="A2923" s="617" t="s">
        <v>22</v>
      </c>
      <c r="B2923" s="617" t="s">
        <v>23</v>
      </c>
      <c r="C2923" s="617" t="s">
        <v>49</v>
      </c>
      <c r="D2923" s="617"/>
      <c r="E2923" s="617" t="s">
        <v>4133</v>
      </c>
      <c r="F2923" s="617" t="s">
        <v>23</v>
      </c>
      <c r="G2923" s="327" t="s">
        <v>5250</v>
      </c>
      <c r="H2923" s="468" t="s">
        <v>5235</v>
      </c>
      <c r="I2923" s="467" t="s">
        <v>5249</v>
      </c>
      <c r="J2923" s="729">
        <v>45243</v>
      </c>
      <c r="K2923" s="773">
        <v>0.375</v>
      </c>
      <c r="L2923" s="729">
        <v>45243</v>
      </c>
      <c r="M2923" s="773">
        <v>0.60416666666666663</v>
      </c>
      <c r="N2923" s="617">
        <v>5.5</v>
      </c>
      <c r="O2923" s="697" t="s">
        <v>17</v>
      </c>
      <c r="P2923" s="454" t="s">
        <v>5237</v>
      </c>
      <c r="Q2923" s="143" t="s">
        <v>5376</v>
      </c>
      <c r="R2923" s="468" t="s">
        <v>40</v>
      </c>
      <c r="S2923" s="31" t="s">
        <v>273</v>
      </c>
      <c r="T2923" s="31" t="s">
        <v>273</v>
      </c>
      <c r="U2923" s="31">
        <f>IFERROR(VLOOKUP(CONCATENATE(Tabla1[[#This Row],[Severidad]]," ",Tabla1[[#This Row],[Complejidad]]),Catalogos!E$120:G$128,3,FALSE),"")</f>
        <v>64</v>
      </c>
      <c r="V2923" s="31" t="str">
        <f>IF(Tabla1[[#This Row],[Tiempo solución max (hrs)]]&lt;&gt;"",IF(Tabla1[[#This Row],[Tiempo solución max (hrs)]]&gt;=Tabla1[[#This Row],[Tiempo
(Hrs 00/100)]],"cumple","no cumple"),"")</f>
        <v>cumple</v>
      </c>
      <c r="W2923" s="376" t="s">
        <v>4210</v>
      </c>
      <c r="X2923" s="377" t="str">
        <f t="shared" si="221"/>
        <v>SAI</v>
      </c>
      <c r="Y2923" t="str">
        <f>SUBSTITUTE(Tabla1[[#This Row],[Descripción]],CHAR(10),"    I    ")</f>
        <v>1.8 Generar un nuevo menú denominado “blog”</v>
      </c>
      <c r="Z2923" s="142">
        <f>VLOOKUP(Tabla1[[#This Row],[Perfil]],Catalogos!$B$75:$D$100,3,FALSE)*Tabla1[[#This Row],[Tiempo
(Hrs 00/100)]]*1.16</f>
        <v>4466</v>
      </c>
      <c r="AA2923" t="s">
        <v>3356</v>
      </c>
    </row>
    <row r="2924" spans="1:27" ht="15" customHeight="1" x14ac:dyDescent="0.3">
      <c r="A2924" s="617" t="s">
        <v>22</v>
      </c>
      <c r="B2924" s="617" t="s">
        <v>23</v>
      </c>
      <c r="C2924" s="617" t="s">
        <v>49</v>
      </c>
      <c r="D2924" s="617"/>
      <c r="E2924" s="617" t="s">
        <v>4133</v>
      </c>
      <c r="F2924" s="617" t="s">
        <v>23</v>
      </c>
      <c r="G2924" s="327" t="s">
        <v>5251</v>
      </c>
      <c r="H2924" s="698" t="s">
        <v>5252</v>
      </c>
      <c r="I2924" s="467" t="s">
        <v>5253</v>
      </c>
      <c r="J2924" s="729">
        <v>45243</v>
      </c>
      <c r="K2924" s="773">
        <v>0.66666666666666663</v>
      </c>
      <c r="L2924" s="729">
        <v>45243</v>
      </c>
      <c r="M2924" s="773">
        <v>0.83333333333333337</v>
      </c>
      <c r="N2924" s="617">
        <v>4</v>
      </c>
      <c r="O2924" s="697" t="s">
        <v>411</v>
      </c>
      <c r="P2924" s="367"/>
      <c r="Q2924" s="143" t="s">
        <v>5376</v>
      </c>
      <c r="R2924" s="468" t="s">
        <v>40</v>
      </c>
      <c r="S2924" s="31" t="s">
        <v>273</v>
      </c>
      <c r="T2924" s="31" t="s">
        <v>273</v>
      </c>
      <c r="U2924" s="31">
        <f>IFERROR(VLOOKUP(CONCATENATE(Tabla1[[#This Row],[Severidad]]," ",Tabla1[[#This Row],[Complejidad]]),Catalogos!E$120:G$128,3,FALSE),"")</f>
        <v>64</v>
      </c>
      <c r="V2924" s="31" t="str">
        <f>IF(Tabla1[[#This Row],[Tiempo solución max (hrs)]]&lt;&gt;"",IF(Tabla1[[#This Row],[Tiempo solución max (hrs)]]&gt;=Tabla1[[#This Row],[Tiempo
(Hrs 00/100)]],"cumple","no cumple"),"")</f>
        <v>cumple</v>
      </c>
      <c r="W2924" s="376" t="s">
        <v>4210</v>
      </c>
      <c r="X2924" s="377" t="str">
        <f t="shared" si="221"/>
        <v>SAI</v>
      </c>
      <c r="Y2924" t="str">
        <f>SUBSTITUTE(Tabla1[[#This Row],[Descripción]],CHAR(10),"    I    ")</f>
        <v>2.4.1 Integrar mensajería instantánea (Alerta de mensajes no leídos)</v>
      </c>
      <c r="Z2924" s="142">
        <f>VLOOKUP(Tabla1[[#This Row],[Perfil]],Catalogos!$B$75:$D$100,3,FALSE)*Tabla1[[#This Row],[Tiempo
(Hrs 00/100)]]*1.16</f>
        <v>3248</v>
      </c>
      <c r="AA2924" t="s">
        <v>3356</v>
      </c>
    </row>
    <row r="2925" spans="1:27" ht="15" customHeight="1" x14ac:dyDescent="0.3">
      <c r="A2925" s="617" t="s">
        <v>22</v>
      </c>
      <c r="B2925" s="617" t="s">
        <v>23</v>
      </c>
      <c r="C2925" s="617" t="s">
        <v>49</v>
      </c>
      <c r="D2925" s="617"/>
      <c r="E2925" s="617" t="s">
        <v>4133</v>
      </c>
      <c r="F2925" s="617" t="s">
        <v>23</v>
      </c>
      <c r="G2925" s="327" t="s">
        <v>5251</v>
      </c>
      <c r="H2925" s="698" t="s">
        <v>5252</v>
      </c>
      <c r="I2925" s="467" t="s">
        <v>5253</v>
      </c>
      <c r="J2925" s="729">
        <v>45244</v>
      </c>
      <c r="K2925" s="773">
        <v>0.375</v>
      </c>
      <c r="L2925" s="729">
        <v>45244</v>
      </c>
      <c r="M2925" s="773">
        <v>0.60416666666666663</v>
      </c>
      <c r="N2925" s="617">
        <v>5.5</v>
      </c>
      <c r="O2925" s="697" t="s">
        <v>17</v>
      </c>
      <c r="P2925" s="454" t="s">
        <v>5237</v>
      </c>
      <c r="Q2925" s="143" t="s">
        <v>5376</v>
      </c>
      <c r="R2925" s="468" t="s">
        <v>40</v>
      </c>
      <c r="S2925" s="31" t="s">
        <v>273</v>
      </c>
      <c r="T2925" s="31" t="s">
        <v>273</v>
      </c>
      <c r="U2925" s="31">
        <f>IFERROR(VLOOKUP(CONCATENATE(Tabla1[[#This Row],[Severidad]]," ",Tabla1[[#This Row],[Complejidad]]),Catalogos!E$120:G$128,3,FALSE),"")</f>
        <v>64</v>
      </c>
      <c r="V2925" s="31" t="str">
        <f>IF(Tabla1[[#This Row],[Tiempo solución max (hrs)]]&lt;&gt;"",IF(Tabla1[[#This Row],[Tiempo solución max (hrs)]]&gt;=Tabla1[[#This Row],[Tiempo
(Hrs 00/100)]],"cumple","no cumple"),"")</f>
        <v>cumple</v>
      </c>
      <c r="W2925" s="376" t="s">
        <v>4210</v>
      </c>
      <c r="X2925" s="377" t="str">
        <f t="shared" si="221"/>
        <v>SAI</v>
      </c>
      <c r="Y2925" t="str">
        <f>SUBSTITUTE(Tabla1[[#This Row],[Descripción]],CHAR(10),"    I    ")</f>
        <v>2.4.1 Integrar mensajería instantánea (Alerta de mensajes no leídos)</v>
      </c>
      <c r="Z2925" s="142">
        <f>VLOOKUP(Tabla1[[#This Row],[Perfil]],Catalogos!$B$75:$D$100,3,FALSE)*Tabla1[[#This Row],[Tiempo
(Hrs 00/100)]]*1.16</f>
        <v>4466</v>
      </c>
      <c r="AA2925" t="s">
        <v>3356</v>
      </c>
    </row>
    <row r="2926" spans="1:27" ht="15" customHeight="1" x14ac:dyDescent="0.3">
      <c r="A2926" s="617" t="s">
        <v>22</v>
      </c>
      <c r="B2926" s="617" t="s">
        <v>23</v>
      </c>
      <c r="C2926" s="617" t="s">
        <v>49</v>
      </c>
      <c r="D2926" s="617"/>
      <c r="E2926" s="617" t="s">
        <v>4133</v>
      </c>
      <c r="F2926" s="617" t="s">
        <v>23</v>
      </c>
      <c r="G2926" s="327" t="s">
        <v>5254</v>
      </c>
      <c r="H2926" s="698" t="s">
        <v>5252</v>
      </c>
      <c r="I2926" s="467" t="s">
        <v>5255</v>
      </c>
      <c r="J2926" s="729">
        <v>45244</v>
      </c>
      <c r="K2926" s="773">
        <v>0.66666666666666663</v>
      </c>
      <c r="L2926" s="729">
        <v>45244</v>
      </c>
      <c r="M2926" s="773">
        <v>0.83333333333333337</v>
      </c>
      <c r="N2926" s="617">
        <v>4</v>
      </c>
      <c r="O2926" s="697" t="s">
        <v>17</v>
      </c>
      <c r="P2926" s="454" t="s">
        <v>5237</v>
      </c>
      <c r="Q2926" s="143" t="s">
        <v>5376</v>
      </c>
      <c r="R2926" s="468" t="s">
        <v>40</v>
      </c>
      <c r="S2926" s="31" t="s">
        <v>273</v>
      </c>
      <c r="T2926" s="31" t="s">
        <v>273</v>
      </c>
      <c r="U2926" s="31">
        <f>IFERROR(VLOOKUP(CONCATENATE(Tabla1[[#This Row],[Severidad]]," ",Tabla1[[#This Row],[Complejidad]]),Catalogos!E$120:G$128,3,FALSE),"")</f>
        <v>64</v>
      </c>
      <c r="V2926" s="31" t="str">
        <f>IF(Tabla1[[#This Row],[Tiempo solución max (hrs)]]&lt;&gt;"",IF(Tabla1[[#This Row],[Tiempo solución max (hrs)]]&gt;=Tabla1[[#This Row],[Tiempo
(Hrs 00/100)]],"cumple","no cumple"),"")</f>
        <v>cumple</v>
      </c>
      <c r="W2926" s="376" t="s">
        <v>4210</v>
      </c>
      <c r="X2926" s="377" t="str">
        <f t="shared" si="221"/>
        <v>SAI</v>
      </c>
      <c r="Y2926" t="str">
        <f>SUBSTITUTE(Tabla1[[#This Row],[Descripción]],CHAR(10),"    I    ")</f>
        <v>2.4.2 esignación de programa por enlace (PROTAI-PRONADATOS, o en su caso, AMBOS)</v>
      </c>
      <c r="Z2926" s="142">
        <f>VLOOKUP(Tabla1[[#This Row],[Perfil]],Catalogos!$B$75:$D$100,3,FALSE)*Tabla1[[#This Row],[Tiempo
(Hrs 00/100)]]*1.16</f>
        <v>3248</v>
      </c>
      <c r="AA2926" t="s">
        <v>3356</v>
      </c>
    </row>
    <row r="2927" spans="1:27" ht="15" customHeight="1" x14ac:dyDescent="0.3">
      <c r="A2927" s="617" t="s">
        <v>22</v>
      </c>
      <c r="B2927" s="617" t="s">
        <v>23</v>
      </c>
      <c r="C2927" s="617" t="s">
        <v>49</v>
      </c>
      <c r="D2927" s="617"/>
      <c r="E2927" s="617" t="s">
        <v>4133</v>
      </c>
      <c r="F2927" s="617" t="s">
        <v>23</v>
      </c>
      <c r="G2927" s="327" t="s">
        <v>5256</v>
      </c>
      <c r="H2927" s="698" t="s">
        <v>5252</v>
      </c>
      <c r="I2927" s="467" t="s">
        <v>5257</v>
      </c>
      <c r="J2927" s="729">
        <v>45245</v>
      </c>
      <c r="K2927" s="773">
        <v>0.375</v>
      </c>
      <c r="L2927" s="729">
        <v>45245</v>
      </c>
      <c r="M2927" s="773">
        <v>0.45833333333333331</v>
      </c>
      <c r="N2927" s="617">
        <v>2</v>
      </c>
      <c r="O2927" s="697" t="s">
        <v>17</v>
      </c>
      <c r="P2927" s="454" t="s">
        <v>5237</v>
      </c>
      <c r="Q2927" s="143" t="s">
        <v>5376</v>
      </c>
      <c r="R2927" s="468" t="s">
        <v>40</v>
      </c>
      <c r="S2927" s="31" t="s">
        <v>273</v>
      </c>
      <c r="T2927" s="31" t="s">
        <v>273</v>
      </c>
      <c r="U2927" s="31">
        <f>IFERROR(VLOOKUP(CONCATENATE(Tabla1[[#This Row],[Severidad]]," ",Tabla1[[#This Row],[Complejidad]]),Catalogos!E$120:G$128,3,FALSE),"")</f>
        <v>64</v>
      </c>
      <c r="V2927" s="31" t="str">
        <f>IF(Tabla1[[#This Row],[Tiempo solución max (hrs)]]&lt;&gt;"",IF(Tabla1[[#This Row],[Tiempo solución max (hrs)]]&gt;=Tabla1[[#This Row],[Tiempo
(Hrs 00/100)]],"cumple","no cumple"),"")</f>
        <v>cumple</v>
      </c>
      <c r="W2927" s="376" t="s">
        <v>4210</v>
      </c>
      <c r="X2927" s="377" t="str">
        <f t="shared" si="221"/>
        <v>SAI</v>
      </c>
      <c r="Y2927" t="str">
        <f>SUBSTITUTE(Tabla1[[#This Row],[Descripción]],CHAR(10),"    I    ")</f>
        <v>3.1.1.Habilitar campos en Apartado "Nuevo" para la asignación de Líneas de Enlace a UA</v>
      </c>
      <c r="Z2927" s="142">
        <f>VLOOKUP(Tabla1[[#This Row],[Perfil]],Catalogos!$B$75:$D$100,3,FALSE)*Tabla1[[#This Row],[Tiempo
(Hrs 00/100)]]*1.16</f>
        <v>1624</v>
      </c>
      <c r="AA2927" t="s">
        <v>3356</v>
      </c>
    </row>
    <row r="2928" spans="1:27" ht="15" customHeight="1" x14ac:dyDescent="0.3">
      <c r="A2928" s="617" t="s">
        <v>22</v>
      </c>
      <c r="B2928" s="617" t="s">
        <v>23</v>
      </c>
      <c r="C2928" s="617" t="s">
        <v>49</v>
      </c>
      <c r="D2928" s="617"/>
      <c r="E2928" s="617" t="s">
        <v>4133</v>
      </c>
      <c r="F2928" s="617" t="s">
        <v>23</v>
      </c>
      <c r="G2928" s="327" t="s">
        <v>5258</v>
      </c>
      <c r="H2928" s="698" t="s">
        <v>5252</v>
      </c>
      <c r="I2928" s="467" t="s">
        <v>5259</v>
      </c>
      <c r="J2928" s="729">
        <v>45247</v>
      </c>
      <c r="K2928" s="773">
        <v>0.45833333333333331</v>
      </c>
      <c r="L2928" s="729">
        <v>45247</v>
      </c>
      <c r="M2928" s="773">
        <v>0.5</v>
      </c>
      <c r="N2928" s="617">
        <v>1</v>
      </c>
      <c r="O2928" s="697" t="s">
        <v>17</v>
      </c>
      <c r="P2928" s="454" t="s">
        <v>5237</v>
      </c>
      <c r="Q2928" s="143" t="s">
        <v>5376</v>
      </c>
      <c r="R2928" s="468" t="s">
        <v>40</v>
      </c>
      <c r="S2928" s="31" t="s">
        <v>273</v>
      </c>
      <c r="T2928" s="31" t="s">
        <v>273</v>
      </c>
      <c r="U2928" s="31">
        <f>IFERROR(VLOOKUP(CONCATENATE(Tabla1[[#This Row],[Severidad]]," ",Tabla1[[#This Row],[Complejidad]]),Catalogos!E$120:G$128,3,FALSE),"")</f>
        <v>64</v>
      </c>
      <c r="V2928" s="31" t="str">
        <f>IF(Tabla1[[#This Row],[Tiempo solución max (hrs)]]&lt;&gt;"",IF(Tabla1[[#This Row],[Tiempo solución max (hrs)]]&gt;=Tabla1[[#This Row],[Tiempo
(Hrs 00/100)]],"cumple","no cumple"),"")</f>
        <v>cumple</v>
      </c>
      <c r="W2928" s="376" t="s">
        <v>4210</v>
      </c>
      <c r="X2928" s="377" t="str">
        <f t="shared" si="221"/>
        <v>SAI</v>
      </c>
      <c r="Y2928" t="str">
        <f>SUBSTITUTE(Tabla1[[#This Row],[Descripción]],CHAR(10),"    I    ")</f>
        <v xml:space="preserve">3.2.1Integrar en los 3 roles, en todas las pantallas, el filtro de Numeración </v>
      </c>
      <c r="Z2928" s="142">
        <f>VLOOKUP(Tabla1[[#This Row],[Perfil]],Catalogos!$B$75:$D$100,3,FALSE)*Tabla1[[#This Row],[Tiempo
(Hrs 00/100)]]*1.16</f>
        <v>812</v>
      </c>
      <c r="AA2928" t="s">
        <v>3356</v>
      </c>
    </row>
    <row r="2929" spans="1:27" ht="15" customHeight="1" x14ac:dyDescent="0.3">
      <c r="A2929" s="617" t="s">
        <v>22</v>
      </c>
      <c r="B2929" s="617" t="s">
        <v>23</v>
      </c>
      <c r="C2929" s="617" t="s">
        <v>49</v>
      </c>
      <c r="D2929" s="617"/>
      <c r="E2929" s="617" t="s">
        <v>4133</v>
      </c>
      <c r="F2929" s="617" t="s">
        <v>23</v>
      </c>
      <c r="G2929" s="327" t="s">
        <v>5260</v>
      </c>
      <c r="H2929" s="698" t="s">
        <v>5252</v>
      </c>
      <c r="I2929" s="467" t="s">
        <v>5261</v>
      </c>
      <c r="J2929" s="729">
        <v>45247</v>
      </c>
      <c r="K2929" s="773">
        <v>0.5</v>
      </c>
      <c r="L2929" s="729">
        <v>45247</v>
      </c>
      <c r="M2929" s="773">
        <v>0.60416666666666663</v>
      </c>
      <c r="N2929" s="617">
        <v>2.5</v>
      </c>
      <c r="O2929" s="697" t="s">
        <v>17</v>
      </c>
      <c r="P2929" s="454" t="s">
        <v>5237</v>
      </c>
      <c r="Q2929" s="143" t="s">
        <v>5376</v>
      </c>
      <c r="R2929" s="468" t="s">
        <v>40</v>
      </c>
      <c r="S2929" s="31" t="s">
        <v>273</v>
      </c>
      <c r="T2929" s="31" t="s">
        <v>273</v>
      </c>
      <c r="U2929" s="31">
        <f>IFERROR(VLOOKUP(CONCATENATE(Tabla1[[#This Row],[Severidad]]," ",Tabla1[[#This Row],[Complejidad]]),Catalogos!E$120:G$128,3,FALSE),"")</f>
        <v>64</v>
      </c>
      <c r="V2929" s="31" t="str">
        <f>IF(Tabla1[[#This Row],[Tiempo solución max (hrs)]]&lt;&gt;"",IF(Tabla1[[#This Row],[Tiempo solución max (hrs)]]&gt;=Tabla1[[#This Row],[Tiempo
(Hrs 00/100)]],"cumple","no cumple"),"")</f>
        <v>cumple</v>
      </c>
      <c r="W2929" s="376" t="s">
        <v>4210</v>
      </c>
      <c r="X2929" s="377" t="str">
        <f t="shared" si="221"/>
        <v>SAI</v>
      </c>
      <c r="Y2929" t="str">
        <f>SUBSTITUTE(Tabla1[[#This Row],[Descripción]],CHAR(10),"    I    ")</f>
        <v>3.2.2 Eliminar filtros de Estrategia</v>
      </c>
      <c r="Z2929" s="142">
        <f>VLOOKUP(Tabla1[[#This Row],[Perfil]],Catalogos!$B$75:$D$100,3,FALSE)*Tabla1[[#This Row],[Tiempo
(Hrs 00/100)]]*1.16</f>
        <v>2029.9999999999998</v>
      </c>
      <c r="AA2929" t="s">
        <v>3356</v>
      </c>
    </row>
    <row r="2930" spans="1:27" ht="15" customHeight="1" x14ac:dyDescent="0.3">
      <c r="A2930" s="617" t="s">
        <v>22</v>
      </c>
      <c r="B2930" s="617" t="s">
        <v>23</v>
      </c>
      <c r="C2930" s="617" t="s">
        <v>49</v>
      </c>
      <c r="D2930" s="617"/>
      <c r="E2930" s="617" t="s">
        <v>4133</v>
      </c>
      <c r="F2930" s="617" t="s">
        <v>23</v>
      </c>
      <c r="G2930" s="327" t="s">
        <v>5262</v>
      </c>
      <c r="H2930" s="698" t="s">
        <v>5252</v>
      </c>
      <c r="I2930" s="467" t="s">
        <v>5263</v>
      </c>
      <c r="J2930" s="729">
        <v>45247</v>
      </c>
      <c r="K2930" s="773">
        <v>0.66666666666666663</v>
      </c>
      <c r="L2930" s="729">
        <v>45247</v>
      </c>
      <c r="M2930" s="773">
        <v>0.70833333333333337</v>
      </c>
      <c r="N2930" s="617">
        <v>1</v>
      </c>
      <c r="O2930" s="697" t="s">
        <v>17</v>
      </c>
      <c r="P2930" s="454" t="s">
        <v>5237</v>
      </c>
      <c r="Q2930" s="143" t="s">
        <v>5376</v>
      </c>
      <c r="R2930" s="468" t="s">
        <v>40</v>
      </c>
      <c r="S2930" s="31" t="s">
        <v>273</v>
      </c>
      <c r="T2930" s="31" t="s">
        <v>273</v>
      </c>
      <c r="U2930" s="31">
        <f>IFERROR(VLOOKUP(CONCATENATE(Tabla1[[#This Row],[Severidad]]," ",Tabla1[[#This Row],[Complejidad]]),Catalogos!E$120:G$128,3,FALSE),"")</f>
        <v>64</v>
      </c>
      <c r="V2930" s="31" t="str">
        <f>IF(Tabla1[[#This Row],[Tiempo solución max (hrs)]]&lt;&gt;"",IF(Tabla1[[#This Row],[Tiempo solución max (hrs)]]&gt;=Tabla1[[#This Row],[Tiempo
(Hrs 00/100)]],"cumple","no cumple"),"")</f>
        <v>cumple</v>
      </c>
      <c r="W2930" s="376" t="s">
        <v>4210</v>
      </c>
      <c r="X2930" s="377" t="str">
        <f t="shared" si="221"/>
        <v>SAI</v>
      </c>
      <c r="Y2930" t="str">
        <f>SUBSTITUTE(Tabla1[[#This Row],[Descripción]],CHAR(10),"    I    ")</f>
        <v>3.2.3 Agregar histórico de Estatus actividad</v>
      </c>
      <c r="Z2930" s="142">
        <f>VLOOKUP(Tabla1[[#This Row],[Perfil]],Catalogos!$B$75:$D$100,3,FALSE)*Tabla1[[#This Row],[Tiempo
(Hrs 00/100)]]*1.16</f>
        <v>812</v>
      </c>
      <c r="AA2930" t="s">
        <v>3356</v>
      </c>
    </row>
    <row r="2931" spans="1:27" ht="15" customHeight="1" x14ac:dyDescent="0.3">
      <c r="A2931" s="617" t="s">
        <v>22</v>
      </c>
      <c r="B2931" s="617" t="s">
        <v>23</v>
      </c>
      <c r="C2931" s="617" t="s">
        <v>49</v>
      </c>
      <c r="D2931" s="617"/>
      <c r="E2931" s="617" t="s">
        <v>4133</v>
      </c>
      <c r="F2931" s="617" t="s">
        <v>23</v>
      </c>
      <c r="G2931" s="327" t="s">
        <v>5264</v>
      </c>
      <c r="H2931" s="698" t="s">
        <v>5252</v>
      </c>
      <c r="I2931" s="467" t="s">
        <v>5265</v>
      </c>
      <c r="J2931" s="729">
        <v>45247</v>
      </c>
      <c r="K2931" s="773">
        <v>0.70833333333333337</v>
      </c>
      <c r="L2931" s="729">
        <v>45247</v>
      </c>
      <c r="M2931" s="773">
        <v>0.75</v>
      </c>
      <c r="N2931" s="617">
        <v>1</v>
      </c>
      <c r="O2931" s="697" t="s">
        <v>17</v>
      </c>
      <c r="P2931" s="454" t="s">
        <v>5237</v>
      </c>
      <c r="Q2931" s="143" t="s">
        <v>5376</v>
      </c>
      <c r="R2931" s="468" t="s">
        <v>40</v>
      </c>
      <c r="S2931" s="31" t="s">
        <v>273</v>
      </c>
      <c r="T2931" s="31" t="s">
        <v>273</v>
      </c>
      <c r="U2931" s="31">
        <f>IFERROR(VLOOKUP(CONCATENATE(Tabla1[[#This Row],[Severidad]]," ",Tabla1[[#This Row],[Complejidad]]),Catalogos!E$120:G$128,3,FALSE),"")</f>
        <v>64</v>
      </c>
      <c r="V2931" s="31" t="str">
        <f>IF(Tabla1[[#This Row],[Tiempo solución max (hrs)]]&lt;&gt;"",IF(Tabla1[[#This Row],[Tiempo solución max (hrs)]]&gt;=Tabla1[[#This Row],[Tiempo
(Hrs 00/100)]],"cumple","no cumple"),"")</f>
        <v>cumple</v>
      </c>
      <c r="W2931" s="376" t="s">
        <v>4210</v>
      </c>
      <c r="X2931" s="377" t="str">
        <f t="shared" si="221"/>
        <v>SAI</v>
      </c>
      <c r="Y2931" t="str">
        <f>SUBSTITUTE(Tabla1[[#This Row],[Descripción]],CHAR(10),"    I    ")</f>
        <v>3.2.4 Pop-ups que describan la acción a realizar en Formulario de Alta de Actividades</v>
      </c>
      <c r="Z2931" s="142">
        <f>VLOOKUP(Tabla1[[#This Row],[Perfil]],Catalogos!$B$75:$D$100,3,FALSE)*Tabla1[[#This Row],[Tiempo
(Hrs 00/100)]]*1.16</f>
        <v>812</v>
      </c>
      <c r="AA2931" t="s">
        <v>3356</v>
      </c>
    </row>
    <row r="2932" spans="1:27" ht="15" customHeight="1" x14ac:dyDescent="0.3">
      <c r="A2932" s="617" t="s">
        <v>22</v>
      </c>
      <c r="B2932" s="617" t="s">
        <v>23</v>
      </c>
      <c r="C2932" s="617" t="s">
        <v>49</v>
      </c>
      <c r="D2932" s="617"/>
      <c r="E2932" s="617" t="s">
        <v>4133</v>
      </c>
      <c r="F2932" s="617" t="s">
        <v>23</v>
      </c>
      <c r="G2932" s="327" t="s">
        <v>5266</v>
      </c>
      <c r="H2932" s="698" t="s">
        <v>5252</v>
      </c>
      <c r="I2932" s="467" t="s">
        <v>5267</v>
      </c>
      <c r="J2932" s="729">
        <v>45251</v>
      </c>
      <c r="K2932" s="773">
        <v>0.375</v>
      </c>
      <c r="L2932" s="729">
        <v>45251</v>
      </c>
      <c r="M2932" s="773">
        <v>0.60416666666666663</v>
      </c>
      <c r="N2932" s="617">
        <v>5.5</v>
      </c>
      <c r="O2932" s="697" t="s">
        <v>17</v>
      </c>
      <c r="P2932" s="454" t="s">
        <v>5237</v>
      </c>
      <c r="Q2932" s="143" t="s">
        <v>5376</v>
      </c>
      <c r="R2932" s="468" t="s">
        <v>40</v>
      </c>
      <c r="S2932" s="31" t="s">
        <v>273</v>
      </c>
      <c r="T2932" s="31" t="s">
        <v>273</v>
      </c>
      <c r="U2932" s="31">
        <f>IFERROR(VLOOKUP(CONCATENATE(Tabla1[[#This Row],[Severidad]]," ",Tabla1[[#This Row],[Complejidad]]),Catalogos!E$120:G$128,3,FALSE),"")</f>
        <v>64</v>
      </c>
      <c r="V2932" s="31" t="str">
        <f>IF(Tabla1[[#This Row],[Tiempo solución max (hrs)]]&lt;&gt;"",IF(Tabla1[[#This Row],[Tiempo solución max (hrs)]]&gt;=Tabla1[[#This Row],[Tiempo
(Hrs 00/100)]],"cumple","no cumple"),"")</f>
        <v>cumple</v>
      </c>
      <c r="W2932" s="376" t="s">
        <v>4210</v>
      </c>
      <c r="X2932" s="377" t="str">
        <f t="shared" si="221"/>
        <v>SAI</v>
      </c>
      <c r="Y2932" t="str">
        <f>SUBSTITUTE(Tabla1[[#This Row],[Descripción]],CHAR(10),"    I    ")</f>
        <v>3.2.5 Comentarios individuales en cada campo</v>
      </c>
      <c r="Z2932" s="142">
        <f>VLOOKUP(Tabla1[[#This Row],[Perfil]],Catalogos!$B$75:$D$100,3,FALSE)*Tabla1[[#This Row],[Tiempo
(Hrs 00/100)]]*1.16</f>
        <v>4466</v>
      </c>
      <c r="AA2932" t="s">
        <v>3356</v>
      </c>
    </row>
    <row r="2933" spans="1:27" ht="15" customHeight="1" x14ac:dyDescent="0.3">
      <c r="A2933" s="617" t="s">
        <v>22</v>
      </c>
      <c r="B2933" s="617" t="s">
        <v>23</v>
      </c>
      <c r="C2933" s="617" t="s">
        <v>49</v>
      </c>
      <c r="D2933" s="617"/>
      <c r="E2933" s="617" t="s">
        <v>4133</v>
      </c>
      <c r="F2933" s="617" t="s">
        <v>23</v>
      </c>
      <c r="G2933" s="327" t="s">
        <v>5268</v>
      </c>
      <c r="H2933" s="698" t="s">
        <v>5252</v>
      </c>
      <c r="I2933" s="699" t="s">
        <v>5269</v>
      </c>
      <c r="J2933" s="729">
        <v>45251</v>
      </c>
      <c r="K2933" s="773">
        <v>0.66666666666666663</v>
      </c>
      <c r="L2933" s="729">
        <v>45251</v>
      </c>
      <c r="M2933" s="773">
        <v>0.75</v>
      </c>
      <c r="N2933" s="617">
        <v>2</v>
      </c>
      <c r="O2933" s="697" t="s">
        <v>17</v>
      </c>
      <c r="P2933" s="454" t="s">
        <v>5237</v>
      </c>
      <c r="Q2933" s="143" t="s">
        <v>5376</v>
      </c>
      <c r="R2933" s="468" t="s">
        <v>40</v>
      </c>
      <c r="S2933" s="31" t="s">
        <v>273</v>
      </c>
      <c r="T2933" s="31" t="s">
        <v>273</v>
      </c>
      <c r="U2933" s="31">
        <f>IFERROR(VLOOKUP(CONCATENATE(Tabla1[[#This Row],[Severidad]]," ",Tabla1[[#This Row],[Complejidad]]),Catalogos!E$120:G$128,3,FALSE),"")</f>
        <v>64</v>
      </c>
      <c r="V2933" s="31" t="str">
        <f>IF(Tabla1[[#This Row],[Tiempo solución max (hrs)]]&lt;&gt;"",IF(Tabla1[[#This Row],[Tiempo solución max (hrs)]]&gt;=Tabla1[[#This Row],[Tiempo
(Hrs 00/100)]],"cumple","no cumple"),"")</f>
        <v>cumple</v>
      </c>
      <c r="W2933" s="376" t="s">
        <v>4210</v>
      </c>
      <c r="X2933" s="377" t="str">
        <f t="shared" si="221"/>
        <v>SAI</v>
      </c>
      <c r="Y2933" t="str">
        <f>SUBSTITUTE(Tabla1[[#This Row],[Descripción]],CHAR(10),"    I    ")</f>
        <v>3.2.6 Corregir incidencia en campo "Presupuesto"; no funciona la opción "No Incluido"</v>
      </c>
      <c r="Z2933" s="142">
        <f>VLOOKUP(Tabla1[[#This Row],[Perfil]],Catalogos!$B$75:$D$100,3,FALSE)*Tabla1[[#This Row],[Tiempo
(Hrs 00/100)]]*1.16</f>
        <v>1624</v>
      </c>
      <c r="AA2933" t="s">
        <v>3356</v>
      </c>
    </row>
    <row r="2934" spans="1:27" ht="15" customHeight="1" x14ac:dyDescent="0.3">
      <c r="A2934" s="617" t="s">
        <v>22</v>
      </c>
      <c r="B2934" s="617" t="s">
        <v>23</v>
      </c>
      <c r="C2934" s="617" t="s">
        <v>49</v>
      </c>
      <c r="D2934" s="617"/>
      <c r="E2934" s="617" t="s">
        <v>4133</v>
      </c>
      <c r="F2934" s="617" t="s">
        <v>23</v>
      </c>
      <c r="G2934" s="327" t="s">
        <v>5270</v>
      </c>
      <c r="H2934" s="698" t="s">
        <v>5252</v>
      </c>
      <c r="I2934" s="699" t="s">
        <v>5271</v>
      </c>
      <c r="J2934" s="729">
        <v>45251</v>
      </c>
      <c r="K2934" s="773">
        <v>0.75</v>
      </c>
      <c r="L2934" s="729">
        <v>45251</v>
      </c>
      <c r="M2934" s="773">
        <v>0.83333333333333337</v>
      </c>
      <c r="N2934" s="617">
        <v>2</v>
      </c>
      <c r="O2934" s="697" t="s">
        <v>17</v>
      </c>
      <c r="P2934" s="454" t="s">
        <v>5237</v>
      </c>
      <c r="Q2934" s="143" t="s">
        <v>5376</v>
      </c>
      <c r="R2934" s="468" t="s">
        <v>40</v>
      </c>
      <c r="S2934" s="31" t="s">
        <v>273</v>
      </c>
      <c r="T2934" s="31" t="s">
        <v>273</v>
      </c>
      <c r="U2934" s="31">
        <f>IFERROR(VLOOKUP(CONCATENATE(Tabla1[[#This Row],[Severidad]]," ",Tabla1[[#This Row],[Complejidad]]),Catalogos!E$120:G$128,3,FALSE),"")</f>
        <v>64</v>
      </c>
      <c r="V2934" s="31" t="str">
        <f>IF(Tabla1[[#This Row],[Tiempo solución max (hrs)]]&lt;&gt;"",IF(Tabla1[[#This Row],[Tiempo solución max (hrs)]]&gt;=Tabla1[[#This Row],[Tiempo
(Hrs 00/100)]],"cumple","no cumple"),"")</f>
        <v>cumple</v>
      </c>
      <c r="W2934" s="376" t="s">
        <v>4210</v>
      </c>
      <c r="X2934" s="377" t="str">
        <f t="shared" si="221"/>
        <v>SAI</v>
      </c>
      <c r="Y2934" t="str">
        <f>SUBSTITUTE(Tabla1[[#This Row],[Descripción]],CHAR(10),"    I    ")</f>
        <v>3.2.7 Agregar campo abierto donde se reporte la cantidad erogada para la actividad</v>
      </c>
      <c r="Z2934" s="142">
        <f>VLOOKUP(Tabla1[[#This Row],[Perfil]],Catalogos!$B$75:$D$100,3,FALSE)*Tabla1[[#This Row],[Tiempo
(Hrs 00/100)]]*1.16</f>
        <v>1624</v>
      </c>
      <c r="AA2934" t="s">
        <v>3356</v>
      </c>
    </row>
    <row r="2935" spans="1:27" ht="15" customHeight="1" x14ac:dyDescent="0.3">
      <c r="A2935" s="617" t="s">
        <v>22</v>
      </c>
      <c r="B2935" s="617" t="s">
        <v>23</v>
      </c>
      <c r="C2935" s="617" t="s">
        <v>49</v>
      </c>
      <c r="D2935" s="617"/>
      <c r="E2935" s="617" t="s">
        <v>4133</v>
      </c>
      <c r="F2935" s="617" t="s">
        <v>23</v>
      </c>
      <c r="G2935" s="327" t="s">
        <v>5272</v>
      </c>
      <c r="H2935" s="698" t="s">
        <v>5252</v>
      </c>
      <c r="I2935" s="699" t="s">
        <v>5273</v>
      </c>
      <c r="J2935" s="729">
        <v>45252</v>
      </c>
      <c r="K2935" s="773">
        <v>0.375</v>
      </c>
      <c r="L2935" s="729">
        <v>45252</v>
      </c>
      <c r="M2935" s="773">
        <v>0.45833333333333331</v>
      </c>
      <c r="N2935" s="617">
        <v>2</v>
      </c>
      <c r="O2935" s="697" t="s">
        <v>17</v>
      </c>
      <c r="P2935" s="454" t="s">
        <v>5237</v>
      </c>
      <c r="Q2935" s="143" t="s">
        <v>5376</v>
      </c>
      <c r="R2935" s="468" t="s">
        <v>40</v>
      </c>
      <c r="S2935" s="31" t="s">
        <v>273</v>
      </c>
      <c r="T2935" s="31" t="s">
        <v>273</v>
      </c>
      <c r="U2935" s="31">
        <f>IFERROR(VLOOKUP(CONCATENATE(Tabla1[[#This Row],[Severidad]]," ",Tabla1[[#This Row],[Complejidad]]),Catalogos!E$120:G$128,3,FALSE),"")</f>
        <v>64</v>
      </c>
      <c r="V2935" s="31" t="str">
        <f>IF(Tabla1[[#This Row],[Tiempo solución max (hrs)]]&lt;&gt;"",IF(Tabla1[[#This Row],[Tiempo solución max (hrs)]]&gt;=Tabla1[[#This Row],[Tiempo
(Hrs 00/100)]],"cumple","no cumple"),"")</f>
        <v>cumple</v>
      </c>
      <c r="W2935" s="376" t="s">
        <v>4210</v>
      </c>
      <c r="X2935" s="377" t="str">
        <f t="shared" si="221"/>
        <v>SAI</v>
      </c>
      <c r="Y2935" t="str">
        <f>SUBSTITUTE(Tabla1[[#This Row],[Descripción]],CHAR(10),"    I    ")</f>
        <v>3.2.8 Corregir incidencia de datos en los filtros; al aceptar la información, no se guarda correctamente lo seleccionado en combos de filtros.</v>
      </c>
      <c r="Z2935" s="142">
        <f>VLOOKUP(Tabla1[[#This Row],[Perfil]],Catalogos!$B$75:$D$100,3,FALSE)*Tabla1[[#This Row],[Tiempo
(Hrs 00/100)]]*1.16</f>
        <v>1624</v>
      </c>
      <c r="AA2935" t="s">
        <v>3356</v>
      </c>
    </row>
    <row r="2936" spans="1:27" ht="15" customHeight="1" x14ac:dyDescent="0.3">
      <c r="A2936" s="617" t="s">
        <v>22</v>
      </c>
      <c r="B2936" s="617" t="s">
        <v>23</v>
      </c>
      <c r="C2936" s="617" t="s">
        <v>49</v>
      </c>
      <c r="D2936" s="617"/>
      <c r="E2936" s="617" t="s">
        <v>4133</v>
      </c>
      <c r="F2936" s="617" t="s">
        <v>23</v>
      </c>
      <c r="G2936" s="327" t="s">
        <v>5274</v>
      </c>
      <c r="H2936" s="698" t="s">
        <v>5252</v>
      </c>
      <c r="I2936" s="699" t="s">
        <v>5275</v>
      </c>
      <c r="J2936" s="729">
        <v>45252</v>
      </c>
      <c r="K2936" s="773">
        <v>0.45833333333333331</v>
      </c>
      <c r="L2936" s="729">
        <v>45252</v>
      </c>
      <c r="M2936" s="773">
        <v>0.54166666666666663</v>
      </c>
      <c r="N2936" s="617">
        <v>2</v>
      </c>
      <c r="O2936" s="697" t="s">
        <v>17</v>
      </c>
      <c r="P2936" s="454" t="s">
        <v>5237</v>
      </c>
      <c r="Q2936" s="143" t="s">
        <v>5376</v>
      </c>
      <c r="R2936" s="468" t="s">
        <v>40</v>
      </c>
      <c r="S2936" s="31" t="s">
        <v>273</v>
      </c>
      <c r="T2936" s="31" t="s">
        <v>273</v>
      </c>
      <c r="U2936" s="31">
        <f>IFERROR(VLOOKUP(CONCATENATE(Tabla1[[#This Row],[Severidad]]," ",Tabla1[[#This Row],[Complejidad]]),Catalogos!E$120:G$128,3,FALSE),"")</f>
        <v>64</v>
      </c>
      <c r="V2936" s="31" t="str">
        <f>IF(Tabla1[[#This Row],[Tiempo solución max (hrs)]]&lt;&gt;"",IF(Tabla1[[#This Row],[Tiempo solución max (hrs)]]&gt;=Tabla1[[#This Row],[Tiempo
(Hrs 00/100)]],"cumple","no cumple"),"")</f>
        <v>cumple</v>
      </c>
      <c r="W2936" s="376" t="s">
        <v>4210</v>
      </c>
      <c r="X2936" s="377" t="str">
        <f t="shared" si="221"/>
        <v>SAI</v>
      </c>
      <c r="Y2936" t="str">
        <f>SUBSTITUTE(Tabla1[[#This Row],[Descripción]],CHAR(10),"    I    ")</f>
        <v>3.2.9 Agregar filtros de elección múltiple en los combos, es decir, que se puedan elegir uno o más opciones mediante casillas de verificación.</v>
      </c>
      <c r="Z2936" s="142">
        <f>VLOOKUP(Tabla1[[#This Row],[Perfil]],Catalogos!$B$75:$D$100,3,FALSE)*Tabla1[[#This Row],[Tiempo
(Hrs 00/100)]]*1.16</f>
        <v>1624</v>
      </c>
      <c r="AA2936" t="s">
        <v>3356</v>
      </c>
    </row>
    <row r="2937" spans="1:27" ht="15" customHeight="1" x14ac:dyDescent="0.3">
      <c r="A2937" s="617" t="s">
        <v>22</v>
      </c>
      <c r="B2937" s="617" t="s">
        <v>23</v>
      </c>
      <c r="C2937" s="617" t="s">
        <v>49</v>
      </c>
      <c r="D2937" s="501"/>
      <c r="E2937" s="617" t="s">
        <v>4133</v>
      </c>
      <c r="F2937" s="617" t="s">
        <v>23</v>
      </c>
      <c r="G2937" s="327" t="s">
        <v>5276</v>
      </c>
      <c r="H2937" s="698" t="s">
        <v>5252</v>
      </c>
      <c r="I2937" s="699" t="s">
        <v>5277</v>
      </c>
      <c r="J2937" s="729">
        <v>45252</v>
      </c>
      <c r="K2937" s="773">
        <v>0.54166666666666663</v>
      </c>
      <c r="L2937" s="729">
        <v>45252</v>
      </c>
      <c r="M2937" s="773">
        <v>0.60416666666666663</v>
      </c>
      <c r="N2937" s="692">
        <v>1.5</v>
      </c>
      <c r="O2937" s="697" t="s">
        <v>17</v>
      </c>
      <c r="P2937" s="454" t="s">
        <v>5237</v>
      </c>
      <c r="Q2937" s="143" t="s">
        <v>5376</v>
      </c>
      <c r="R2937" s="468" t="s">
        <v>40</v>
      </c>
      <c r="S2937" s="31" t="s">
        <v>273</v>
      </c>
      <c r="T2937" s="31" t="s">
        <v>273</v>
      </c>
      <c r="U2937" s="31">
        <f>IFERROR(VLOOKUP(CONCATENATE(Tabla1[[#This Row],[Severidad]]," ",Tabla1[[#This Row],[Complejidad]]),Catalogos!E$120:G$128,3,FALSE),"")</f>
        <v>64</v>
      </c>
      <c r="V2937" s="31" t="str">
        <f>IF(Tabla1[[#This Row],[Tiempo solución max (hrs)]]&lt;&gt;"",IF(Tabla1[[#This Row],[Tiempo solución max (hrs)]]&gt;=Tabla1[[#This Row],[Tiempo
(Hrs 00/100)]],"cumple","no cumple"),"")</f>
        <v>cumple</v>
      </c>
      <c r="W2937" s="376" t="s">
        <v>4210</v>
      </c>
      <c r="X2937" s="377" t="str">
        <f t="shared" si="221"/>
        <v>SAI</v>
      </c>
      <c r="Y2937" t="str">
        <f>SUBSTITUTE(Tabla1[[#This Row],[Descripción]],CHAR(10),"    I    ")</f>
        <v>3.2.10 Crear nuevo filtro "Región" (Sólo en el rol de Administrador)</v>
      </c>
      <c r="Z2937" s="142">
        <f>VLOOKUP(Tabla1[[#This Row],[Perfil]],Catalogos!$B$75:$D$100,3,FALSE)*Tabla1[[#This Row],[Tiempo
(Hrs 00/100)]]*1.16</f>
        <v>1218</v>
      </c>
      <c r="AA2937" t="s">
        <v>3356</v>
      </c>
    </row>
    <row r="2938" spans="1:27" ht="15" customHeight="1" x14ac:dyDescent="0.3">
      <c r="A2938" s="617" t="s">
        <v>22</v>
      </c>
      <c r="B2938" s="617" t="s">
        <v>23</v>
      </c>
      <c r="C2938" s="617" t="s">
        <v>49</v>
      </c>
      <c r="D2938" s="501"/>
      <c r="E2938" s="617" t="s">
        <v>4133</v>
      </c>
      <c r="F2938" s="617" t="s">
        <v>23</v>
      </c>
      <c r="G2938" s="327" t="s">
        <v>5278</v>
      </c>
      <c r="H2938" s="698" t="s">
        <v>5252</v>
      </c>
      <c r="I2938" s="699" t="s">
        <v>5279</v>
      </c>
      <c r="J2938" s="729">
        <v>45252</v>
      </c>
      <c r="K2938" s="773">
        <v>0.66666666666666663</v>
      </c>
      <c r="L2938" s="729">
        <v>45252</v>
      </c>
      <c r="M2938" s="773">
        <v>0.75</v>
      </c>
      <c r="N2938" s="692">
        <v>2</v>
      </c>
      <c r="O2938" s="697" t="s">
        <v>17</v>
      </c>
      <c r="P2938" s="454" t="s">
        <v>5237</v>
      </c>
      <c r="Q2938" s="143" t="s">
        <v>5376</v>
      </c>
      <c r="R2938" s="468" t="s">
        <v>40</v>
      </c>
      <c r="S2938" s="31" t="s">
        <v>273</v>
      </c>
      <c r="T2938" s="31" t="s">
        <v>273</v>
      </c>
      <c r="U2938" s="31">
        <f>IFERROR(VLOOKUP(CONCATENATE(Tabla1[[#This Row],[Severidad]]," ",Tabla1[[#This Row],[Complejidad]]),Catalogos!E$120:G$128,3,FALSE),"")</f>
        <v>64</v>
      </c>
      <c r="V2938" s="31" t="str">
        <f>IF(Tabla1[[#This Row],[Tiempo solución max (hrs)]]&lt;&gt;"",IF(Tabla1[[#This Row],[Tiempo solución max (hrs)]]&gt;=Tabla1[[#This Row],[Tiempo
(Hrs 00/100)]],"cumple","no cumple"),"")</f>
        <v>cumple</v>
      </c>
      <c r="W2938" s="376" t="s">
        <v>4210</v>
      </c>
      <c r="X2938" s="377" t="str">
        <f t="shared" si="221"/>
        <v>SAI</v>
      </c>
      <c r="Y2938" t="str">
        <f>SUBSTITUTE(Tabla1[[#This Row],[Descripción]],CHAR(10),"    I    ")</f>
        <v>3.2.11 Crear módulo o botón que permita descargar los reportes en datos abiertos (.csv) en todos los roles de usuarios</v>
      </c>
      <c r="Z2938" s="142">
        <f>VLOOKUP(Tabla1[[#This Row],[Perfil]],Catalogos!$B$75:$D$100,3,FALSE)*Tabla1[[#This Row],[Tiempo
(Hrs 00/100)]]*1.16</f>
        <v>1624</v>
      </c>
      <c r="AA2938" t="s">
        <v>3356</v>
      </c>
    </row>
    <row r="2939" spans="1:27" ht="15" customHeight="1" x14ac:dyDescent="0.3">
      <c r="A2939" s="617" t="s">
        <v>22</v>
      </c>
      <c r="B2939" s="617" t="s">
        <v>23</v>
      </c>
      <c r="C2939" s="617" t="s">
        <v>49</v>
      </c>
      <c r="D2939" s="501"/>
      <c r="E2939" s="617" t="s">
        <v>4133</v>
      </c>
      <c r="F2939" s="617" t="s">
        <v>23</v>
      </c>
      <c r="G2939" s="327" t="s">
        <v>5280</v>
      </c>
      <c r="H2939" s="698" t="s">
        <v>5252</v>
      </c>
      <c r="I2939" s="699" t="s">
        <v>5281</v>
      </c>
      <c r="J2939" s="729">
        <v>45252</v>
      </c>
      <c r="K2939" s="773">
        <v>0.75</v>
      </c>
      <c r="L2939" s="729">
        <v>45252</v>
      </c>
      <c r="M2939" s="773">
        <v>0.83333333333333337</v>
      </c>
      <c r="N2939" s="692">
        <v>2</v>
      </c>
      <c r="O2939" s="697" t="s">
        <v>17</v>
      </c>
      <c r="P2939" s="454" t="s">
        <v>5237</v>
      </c>
      <c r="Q2939" s="143" t="s">
        <v>5376</v>
      </c>
      <c r="R2939" s="468" t="s">
        <v>40</v>
      </c>
      <c r="S2939" s="31" t="s">
        <v>273</v>
      </c>
      <c r="T2939" s="31" t="s">
        <v>273</v>
      </c>
      <c r="U2939" s="31">
        <f>IFERROR(VLOOKUP(CONCATENATE(Tabla1[[#This Row],[Severidad]]," ",Tabla1[[#This Row],[Complejidad]]),Catalogos!E$120:G$128,3,FALSE),"")</f>
        <v>64</v>
      </c>
      <c r="V2939" s="31" t="str">
        <f>IF(Tabla1[[#This Row],[Tiempo solución max (hrs)]]&lt;&gt;"",IF(Tabla1[[#This Row],[Tiempo solución max (hrs)]]&gt;=Tabla1[[#This Row],[Tiempo
(Hrs 00/100)]],"cumple","no cumple"),"")</f>
        <v>cumple</v>
      </c>
      <c r="W2939" s="376" t="s">
        <v>4210</v>
      </c>
      <c r="X2939" s="377" t="str">
        <f t="shared" si="221"/>
        <v>SAI</v>
      </c>
      <c r="Y2939" t="str">
        <f>SUBSTITUTE(Tabla1[[#This Row],[Descripción]],CHAR(10),"    I    ")</f>
        <v>3.2.12 Modificar opciones de Estatus de "Revisión Integrante y Validado Integrante" a "Revisión Enlace y Validado Enlace"</v>
      </c>
      <c r="Z2939" s="142">
        <f>VLOOKUP(Tabla1[[#This Row],[Perfil]],Catalogos!$B$75:$D$100,3,FALSE)*Tabla1[[#This Row],[Tiempo
(Hrs 00/100)]]*1.16</f>
        <v>1624</v>
      </c>
      <c r="AA2939" t="s">
        <v>3356</v>
      </c>
    </row>
    <row r="2940" spans="1:27" ht="15" customHeight="1" x14ac:dyDescent="0.3">
      <c r="A2940" s="617" t="s">
        <v>22</v>
      </c>
      <c r="B2940" s="617" t="s">
        <v>23</v>
      </c>
      <c r="C2940" s="617" t="s">
        <v>49</v>
      </c>
      <c r="D2940" s="501"/>
      <c r="E2940" s="617" t="s">
        <v>4133</v>
      </c>
      <c r="F2940" s="617" t="s">
        <v>23</v>
      </c>
      <c r="G2940" s="327" t="s">
        <v>5282</v>
      </c>
      <c r="H2940" s="698" t="s">
        <v>5252</v>
      </c>
      <c r="I2940" s="699" t="s">
        <v>5283</v>
      </c>
      <c r="J2940" s="729">
        <v>45253</v>
      </c>
      <c r="K2940" s="773">
        <v>0.375</v>
      </c>
      <c r="L2940" s="729">
        <v>45253</v>
      </c>
      <c r="M2940" s="773">
        <v>0.45833333333333331</v>
      </c>
      <c r="N2940" s="692">
        <v>2</v>
      </c>
      <c r="O2940" s="697" t="s">
        <v>17</v>
      </c>
      <c r="P2940" s="454" t="s">
        <v>5237</v>
      </c>
      <c r="Q2940" s="143" t="s">
        <v>5376</v>
      </c>
      <c r="R2940" s="468" t="s">
        <v>40</v>
      </c>
      <c r="S2940" s="31" t="s">
        <v>273</v>
      </c>
      <c r="T2940" s="31" t="s">
        <v>273</v>
      </c>
      <c r="U2940" s="31">
        <f>IFERROR(VLOOKUP(CONCATENATE(Tabla1[[#This Row],[Severidad]]," ",Tabla1[[#This Row],[Complejidad]]),Catalogos!E$120:G$128,3,FALSE),"")</f>
        <v>64</v>
      </c>
      <c r="V2940" s="31" t="str">
        <f>IF(Tabla1[[#This Row],[Tiempo solución max (hrs)]]&lt;&gt;"",IF(Tabla1[[#This Row],[Tiempo solución max (hrs)]]&gt;=Tabla1[[#This Row],[Tiempo
(Hrs 00/100)]],"cumple","no cumple"),"")</f>
        <v>cumple</v>
      </c>
      <c r="W2940" s="376" t="s">
        <v>4210</v>
      </c>
      <c r="X2940" s="377" t="str">
        <f t="shared" si="221"/>
        <v>SAI</v>
      </c>
      <c r="Y2940" t="str">
        <f>SUBSTITUTE(Tabla1[[#This Row],[Descripción]],CHAR(10),"    I    ")</f>
        <v>3.2.13 Mensaje al SNT de Alerta de inicio y final de Proceso</v>
      </c>
      <c r="Z2940" s="142">
        <f>VLOOKUP(Tabla1[[#This Row],[Perfil]],Catalogos!$B$75:$D$100,3,FALSE)*Tabla1[[#This Row],[Tiempo
(Hrs 00/100)]]*1.16</f>
        <v>1624</v>
      </c>
      <c r="AA2940" t="s">
        <v>3356</v>
      </c>
    </row>
    <row r="2941" spans="1:27" ht="15" customHeight="1" x14ac:dyDescent="0.3">
      <c r="A2941" s="617" t="s">
        <v>22</v>
      </c>
      <c r="B2941" s="617" t="s">
        <v>23</v>
      </c>
      <c r="C2941" s="617" t="s">
        <v>49</v>
      </c>
      <c r="D2941" s="501"/>
      <c r="E2941" s="617" t="s">
        <v>4133</v>
      </c>
      <c r="F2941" s="617" t="s">
        <v>23</v>
      </c>
      <c r="G2941" s="327" t="s">
        <v>5284</v>
      </c>
      <c r="H2941" s="698" t="s">
        <v>5252</v>
      </c>
      <c r="I2941" s="699" t="s">
        <v>5285</v>
      </c>
      <c r="J2941" s="729">
        <v>45253</v>
      </c>
      <c r="K2941" s="773">
        <v>0.45833333333333331</v>
      </c>
      <c r="L2941" s="729">
        <v>45253</v>
      </c>
      <c r="M2941" s="773">
        <v>0.5</v>
      </c>
      <c r="N2941" s="692">
        <v>1</v>
      </c>
      <c r="O2941" s="697" t="s">
        <v>17</v>
      </c>
      <c r="P2941" s="454" t="s">
        <v>5237</v>
      </c>
      <c r="Q2941" s="143" t="s">
        <v>5376</v>
      </c>
      <c r="R2941" s="468" t="s">
        <v>40</v>
      </c>
      <c r="S2941" s="31" t="s">
        <v>273</v>
      </c>
      <c r="T2941" s="31" t="s">
        <v>273</v>
      </c>
      <c r="U2941" s="31">
        <f>IFERROR(VLOOKUP(CONCATENATE(Tabla1[[#This Row],[Severidad]]," ",Tabla1[[#This Row],[Complejidad]]),Catalogos!E$120:G$128,3,FALSE),"")</f>
        <v>64</v>
      </c>
      <c r="V2941" s="31" t="str">
        <f>IF(Tabla1[[#This Row],[Tiempo solución max (hrs)]]&lt;&gt;"",IF(Tabla1[[#This Row],[Tiempo solución max (hrs)]]&gt;=Tabla1[[#This Row],[Tiempo
(Hrs 00/100)]],"cumple","no cumple"),"")</f>
        <v>cumple</v>
      </c>
      <c r="W2941" s="376" t="s">
        <v>4210</v>
      </c>
      <c r="X2941" s="377" t="str">
        <f t="shared" si="221"/>
        <v>SAI</v>
      </c>
      <c r="Y2941" t="str">
        <f>SUBSTITUTE(Tabla1[[#This Row],[Descripción]],CHAR(10),"    I    ")</f>
        <v>3.2.14 Nueva columna de fecha y hora de carga; visualización de tabla inicial con actividades más recientes cargadas</v>
      </c>
      <c r="Z2941" s="142">
        <f>VLOOKUP(Tabla1[[#This Row],[Perfil]],Catalogos!$B$75:$D$100,3,FALSE)*Tabla1[[#This Row],[Tiempo
(Hrs 00/100)]]*1.16</f>
        <v>812</v>
      </c>
      <c r="AA2941" t="s">
        <v>3356</v>
      </c>
    </row>
    <row r="2942" spans="1:27" ht="15" customHeight="1" x14ac:dyDescent="0.3">
      <c r="A2942" s="617" t="s">
        <v>22</v>
      </c>
      <c r="B2942" s="617" t="s">
        <v>23</v>
      </c>
      <c r="C2942" s="617" t="s">
        <v>49</v>
      </c>
      <c r="D2942" s="501"/>
      <c r="E2942" s="617" t="s">
        <v>4133</v>
      </c>
      <c r="F2942" s="617" t="s">
        <v>23</v>
      </c>
      <c r="G2942" s="327" t="s">
        <v>5286</v>
      </c>
      <c r="H2942" s="698" t="s">
        <v>5252</v>
      </c>
      <c r="I2942" s="699" t="s">
        <v>5287</v>
      </c>
      <c r="J2942" s="729">
        <v>45253</v>
      </c>
      <c r="K2942" s="773">
        <v>0.5</v>
      </c>
      <c r="L2942" s="729">
        <v>45253</v>
      </c>
      <c r="M2942" s="773">
        <v>0.54166666666666696</v>
      </c>
      <c r="N2942" s="692">
        <v>1</v>
      </c>
      <c r="O2942" s="697" t="s">
        <v>17</v>
      </c>
      <c r="P2942" s="454" t="s">
        <v>5237</v>
      </c>
      <c r="Q2942" s="143" t="s">
        <v>5376</v>
      </c>
      <c r="R2942" s="468" t="s">
        <v>40</v>
      </c>
      <c r="S2942" s="31" t="s">
        <v>273</v>
      </c>
      <c r="T2942" s="31" t="s">
        <v>273</v>
      </c>
      <c r="U2942" s="31">
        <f>IFERROR(VLOOKUP(CONCATENATE(Tabla1[[#This Row],[Severidad]]," ",Tabla1[[#This Row],[Complejidad]]),Catalogos!E$120:G$128,3,FALSE),"")</f>
        <v>64</v>
      </c>
      <c r="V2942" s="31" t="str">
        <f>IF(Tabla1[[#This Row],[Tiempo solución max (hrs)]]&lt;&gt;"",IF(Tabla1[[#This Row],[Tiempo solución max (hrs)]]&gt;=Tabla1[[#This Row],[Tiempo
(Hrs 00/100)]],"cumple","no cumple"),"")</f>
        <v>cumple</v>
      </c>
      <c r="W2942" s="376" t="s">
        <v>4210</v>
      </c>
      <c r="X2942" s="377" t="str">
        <f t="shared" si="221"/>
        <v>SAI</v>
      </c>
      <c r="Y2942" t="str">
        <f>SUBSTITUTE(Tabla1[[#This Row],[Descripción]],CHAR(10),"    I    ")</f>
        <v>3.2.15 Activar flechas para ordenar por abreviatura de integrante.</v>
      </c>
      <c r="Z2942" s="142">
        <f>VLOOKUP(Tabla1[[#This Row],[Perfil]],Catalogos!$B$75:$D$100,3,FALSE)*Tabla1[[#This Row],[Tiempo
(Hrs 00/100)]]*1.16</f>
        <v>812</v>
      </c>
      <c r="AA2942" t="s">
        <v>3356</v>
      </c>
    </row>
    <row r="2943" spans="1:27" ht="15" customHeight="1" x14ac:dyDescent="0.3">
      <c r="A2943" s="617" t="s">
        <v>22</v>
      </c>
      <c r="B2943" s="617" t="s">
        <v>23</v>
      </c>
      <c r="C2943" s="617" t="s">
        <v>49</v>
      </c>
      <c r="D2943" s="501"/>
      <c r="E2943" s="617" t="s">
        <v>4133</v>
      </c>
      <c r="F2943" s="617" t="s">
        <v>23</v>
      </c>
      <c r="G2943" s="327" t="s">
        <v>5288</v>
      </c>
      <c r="H2943" s="698" t="s">
        <v>5252</v>
      </c>
      <c r="I2943" s="699" t="s">
        <v>5289</v>
      </c>
      <c r="J2943" s="729">
        <v>45253</v>
      </c>
      <c r="K2943" s="773">
        <v>0.54166666666666696</v>
      </c>
      <c r="L2943" s="729">
        <v>45253</v>
      </c>
      <c r="M2943" s="773">
        <v>0.70833333333333337</v>
      </c>
      <c r="N2943" s="692">
        <v>2.5</v>
      </c>
      <c r="O2943" s="697" t="s">
        <v>17</v>
      </c>
      <c r="P2943" s="454" t="s">
        <v>5237</v>
      </c>
      <c r="Q2943" s="143" t="s">
        <v>5376</v>
      </c>
      <c r="R2943" s="468" t="s">
        <v>40</v>
      </c>
      <c r="S2943" s="31" t="s">
        <v>273</v>
      </c>
      <c r="T2943" s="31" t="s">
        <v>273</v>
      </c>
      <c r="U2943" s="31">
        <f>IFERROR(VLOOKUP(CONCATENATE(Tabla1[[#This Row],[Severidad]]," ",Tabla1[[#This Row],[Complejidad]]),Catalogos!E$120:G$128,3,FALSE),"")</f>
        <v>64</v>
      </c>
      <c r="V2943" s="31" t="str">
        <f>IF(Tabla1[[#This Row],[Tiempo solución max (hrs)]]&lt;&gt;"",IF(Tabla1[[#This Row],[Tiempo solución max (hrs)]]&gt;=Tabla1[[#This Row],[Tiempo
(Hrs 00/100)]],"cumple","no cumple"),"")</f>
        <v>cumple</v>
      </c>
      <c r="W2943" s="376" t="s">
        <v>4210</v>
      </c>
      <c r="X2943" s="377" t="str">
        <f t="shared" si="221"/>
        <v>SAI</v>
      </c>
      <c r="Y2943" t="str">
        <f>SUBSTITUTE(Tabla1[[#This Row],[Descripción]],CHAR(10),"    I    ")</f>
        <v>3.2.16 Habilitar botón para que los Enlaces puedan asignar actividades a las UA una vez que éstas ya han sido creadas</v>
      </c>
      <c r="Z2943" s="142">
        <f>VLOOKUP(Tabla1[[#This Row],[Perfil]],Catalogos!$B$75:$D$100,3,FALSE)*Tabla1[[#This Row],[Tiempo
(Hrs 00/100)]]*1.16</f>
        <v>2029.9999999999998</v>
      </c>
      <c r="AA2943" t="s">
        <v>3356</v>
      </c>
    </row>
    <row r="2944" spans="1:27" ht="15" customHeight="1" x14ac:dyDescent="0.3">
      <c r="A2944" s="617" t="s">
        <v>22</v>
      </c>
      <c r="B2944" s="617" t="s">
        <v>23</v>
      </c>
      <c r="C2944" s="617" t="s">
        <v>49</v>
      </c>
      <c r="D2944" s="501"/>
      <c r="E2944" s="617" t="s">
        <v>4133</v>
      </c>
      <c r="F2944" s="617" t="s">
        <v>23</v>
      </c>
      <c r="G2944" s="327" t="s">
        <v>5290</v>
      </c>
      <c r="H2944" s="698" t="s">
        <v>5252</v>
      </c>
      <c r="I2944" s="699" t="s">
        <v>5291</v>
      </c>
      <c r="J2944" s="729">
        <v>45253</v>
      </c>
      <c r="K2944" s="773">
        <v>0.70833333333333337</v>
      </c>
      <c r="L2944" s="729">
        <v>45253</v>
      </c>
      <c r="M2944" s="773">
        <v>0.83333333333333337</v>
      </c>
      <c r="N2944" s="692">
        <v>3</v>
      </c>
      <c r="O2944" s="697" t="s">
        <v>17</v>
      </c>
      <c r="P2944" s="454" t="s">
        <v>5237</v>
      </c>
      <c r="Q2944" s="143" t="s">
        <v>5376</v>
      </c>
      <c r="R2944" s="468" t="s">
        <v>40</v>
      </c>
      <c r="S2944" s="31" t="s">
        <v>273</v>
      </c>
      <c r="T2944" s="31" t="s">
        <v>273</v>
      </c>
      <c r="U2944" s="31">
        <f>IFERROR(VLOOKUP(CONCATENATE(Tabla1[[#This Row],[Severidad]]," ",Tabla1[[#This Row],[Complejidad]]),Catalogos!E$120:G$128,3,FALSE),"")</f>
        <v>64</v>
      </c>
      <c r="V2944" s="31" t="str">
        <f>IF(Tabla1[[#This Row],[Tiempo solución max (hrs)]]&lt;&gt;"",IF(Tabla1[[#This Row],[Tiempo solución max (hrs)]]&gt;=Tabla1[[#This Row],[Tiempo
(Hrs 00/100)]],"cumple","no cumple"),"")</f>
        <v>cumple</v>
      </c>
      <c r="W2944" s="376" t="s">
        <v>4210</v>
      </c>
      <c r="X2944" s="377" t="str">
        <f t="shared" si="221"/>
        <v>SAI</v>
      </c>
      <c r="Y2944" t="str">
        <f>SUBSTITUTE(Tabla1[[#This Row],[Descripción]],CHAR(10),"    I    ")</f>
        <v>3.3.1 Crear módulo o botón que permita descargar los reportes en datos abiertos (.csv) en todos los roles de usuario</v>
      </c>
      <c r="Z2944" s="142">
        <f>VLOOKUP(Tabla1[[#This Row],[Perfil]],Catalogos!$B$75:$D$100,3,FALSE)*Tabla1[[#This Row],[Tiempo
(Hrs 00/100)]]*1.16</f>
        <v>2436</v>
      </c>
      <c r="AA2944" t="s">
        <v>3356</v>
      </c>
    </row>
    <row r="2945" spans="1:27" ht="15" customHeight="1" x14ac:dyDescent="0.3">
      <c r="A2945" s="617" t="s">
        <v>22</v>
      </c>
      <c r="B2945" s="617" t="s">
        <v>23</v>
      </c>
      <c r="C2945" s="617" t="s">
        <v>49</v>
      </c>
      <c r="D2945" s="501"/>
      <c r="E2945" s="617" t="s">
        <v>4133</v>
      </c>
      <c r="F2945" s="617" t="s">
        <v>23</v>
      </c>
      <c r="G2945" s="327" t="s">
        <v>5292</v>
      </c>
      <c r="H2945" s="698" t="s">
        <v>5252</v>
      </c>
      <c r="I2945" s="699" t="s">
        <v>5293</v>
      </c>
      <c r="J2945" s="729">
        <v>45254</v>
      </c>
      <c r="K2945" s="773">
        <v>0.375</v>
      </c>
      <c r="L2945" s="729">
        <v>45254</v>
      </c>
      <c r="M2945" s="773">
        <v>0.45833333333333331</v>
      </c>
      <c r="N2945" s="692">
        <v>2</v>
      </c>
      <c r="O2945" s="697" t="s">
        <v>17</v>
      </c>
      <c r="P2945" s="454" t="s">
        <v>5237</v>
      </c>
      <c r="Q2945" s="143" t="s">
        <v>5376</v>
      </c>
      <c r="R2945" s="468" t="s">
        <v>40</v>
      </c>
      <c r="S2945" s="31" t="s">
        <v>273</v>
      </c>
      <c r="T2945" s="31" t="s">
        <v>273</v>
      </c>
      <c r="U2945" s="31">
        <f>IFERROR(VLOOKUP(CONCATENATE(Tabla1[[#This Row],[Severidad]]," ",Tabla1[[#This Row],[Complejidad]]),Catalogos!E$120:G$128,3,FALSE),"")</f>
        <v>64</v>
      </c>
      <c r="V2945" s="31" t="str">
        <f>IF(Tabla1[[#This Row],[Tiempo solución max (hrs)]]&lt;&gt;"",IF(Tabla1[[#This Row],[Tiempo solución max (hrs)]]&gt;=Tabla1[[#This Row],[Tiempo
(Hrs 00/100)]],"cumple","no cumple"),"")</f>
        <v>cumple</v>
      </c>
      <c r="W2945" s="376" t="s">
        <v>4210</v>
      </c>
      <c r="X2945" s="377" t="str">
        <f t="shared" si="221"/>
        <v>SAI</v>
      </c>
      <c r="Y2945" t="str">
        <f>SUBSTITUTE(Tabla1[[#This Row],[Descripción]],CHAR(10),"    I    ")</f>
        <v>3.3.2 Modificar opciones de Estatus de "Revisión Integrante y Validado Integrante" a "Revisión Enlace y Validado Enlace"</v>
      </c>
      <c r="Z2945" s="142">
        <f>VLOOKUP(Tabla1[[#This Row],[Perfil]],Catalogos!$B$75:$D$100,3,FALSE)*Tabla1[[#This Row],[Tiempo
(Hrs 00/100)]]*1.16</f>
        <v>1624</v>
      </c>
      <c r="AA2945" t="s">
        <v>3356</v>
      </c>
    </row>
    <row r="2946" spans="1:27" ht="15" customHeight="1" x14ac:dyDescent="0.3">
      <c r="A2946" s="617" t="s">
        <v>22</v>
      </c>
      <c r="B2946" s="617" t="s">
        <v>23</v>
      </c>
      <c r="C2946" s="617" t="s">
        <v>49</v>
      </c>
      <c r="D2946" s="501"/>
      <c r="E2946" s="617" t="s">
        <v>4133</v>
      </c>
      <c r="F2946" s="617" t="s">
        <v>23</v>
      </c>
      <c r="G2946" s="327" t="s">
        <v>5294</v>
      </c>
      <c r="H2946" s="698" t="s">
        <v>5252</v>
      </c>
      <c r="I2946" s="699" t="s">
        <v>5295</v>
      </c>
      <c r="J2946" s="729">
        <v>45254</v>
      </c>
      <c r="K2946" s="773">
        <v>0.45833333333333331</v>
      </c>
      <c r="L2946" s="729">
        <v>45254</v>
      </c>
      <c r="M2946" s="773">
        <v>0.54166666666666663</v>
      </c>
      <c r="N2946" s="692">
        <v>2</v>
      </c>
      <c r="O2946" s="697" t="s">
        <v>17</v>
      </c>
      <c r="P2946" s="454" t="s">
        <v>5237</v>
      </c>
      <c r="Q2946" s="143" t="s">
        <v>5376</v>
      </c>
      <c r="R2946" s="468" t="s">
        <v>40</v>
      </c>
      <c r="S2946" s="31" t="s">
        <v>273</v>
      </c>
      <c r="T2946" s="31" t="s">
        <v>273</v>
      </c>
      <c r="U2946" s="31">
        <f>IFERROR(VLOOKUP(CONCATENATE(Tabla1[[#This Row],[Severidad]]," ",Tabla1[[#This Row],[Complejidad]]),Catalogos!E$120:G$128,3,FALSE),"")</f>
        <v>64</v>
      </c>
      <c r="V2946" s="31" t="str">
        <f>IF(Tabla1[[#This Row],[Tiempo solución max (hrs)]]&lt;&gt;"",IF(Tabla1[[#This Row],[Tiempo solución max (hrs)]]&gt;=Tabla1[[#This Row],[Tiempo
(Hrs 00/100)]],"cumple","no cumple"),"")</f>
        <v>cumple</v>
      </c>
      <c r="W2946" s="376" t="s">
        <v>4210</v>
      </c>
      <c r="X2946" s="377" t="str">
        <f t="shared" si="221"/>
        <v>SAI</v>
      </c>
      <c r="Y2946" t="str">
        <f>SUBSTITUTE(Tabla1[[#This Row],[Descripción]],CHAR(10),"    I    ")</f>
        <v>3.3.3 Mensaje al SNT de Alerta de inicio y final de Proceso</v>
      </c>
      <c r="Z2946" s="142">
        <f>VLOOKUP(Tabla1[[#This Row],[Perfil]],Catalogos!$B$75:$D$100,3,FALSE)*Tabla1[[#This Row],[Tiempo
(Hrs 00/100)]]*1.16</f>
        <v>1624</v>
      </c>
      <c r="AA2946" t="s">
        <v>3356</v>
      </c>
    </row>
    <row r="2947" spans="1:27" ht="15" customHeight="1" x14ac:dyDescent="0.3">
      <c r="A2947" s="617" t="s">
        <v>22</v>
      </c>
      <c r="B2947" s="617" t="s">
        <v>23</v>
      </c>
      <c r="C2947" s="617" t="s">
        <v>49</v>
      </c>
      <c r="D2947" s="501"/>
      <c r="E2947" s="617" t="s">
        <v>4133</v>
      </c>
      <c r="F2947" s="617" t="s">
        <v>23</v>
      </c>
      <c r="G2947" s="327" t="s">
        <v>5296</v>
      </c>
      <c r="H2947" s="698" t="s">
        <v>5252</v>
      </c>
      <c r="I2947" s="699" t="s">
        <v>5297</v>
      </c>
      <c r="J2947" s="729">
        <v>45254</v>
      </c>
      <c r="K2947" s="773">
        <v>0.54166666666666663</v>
      </c>
      <c r="L2947" s="729">
        <v>45254</v>
      </c>
      <c r="M2947" s="773">
        <v>0.625</v>
      </c>
      <c r="N2947" s="692">
        <v>2</v>
      </c>
      <c r="O2947" s="697" t="s">
        <v>17</v>
      </c>
      <c r="P2947" s="454" t="s">
        <v>5237</v>
      </c>
      <c r="Q2947" s="143" t="s">
        <v>5376</v>
      </c>
      <c r="R2947" s="468" t="s">
        <v>40</v>
      </c>
      <c r="S2947" s="31" t="s">
        <v>273</v>
      </c>
      <c r="T2947" s="31" t="s">
        <v>273</v>
      </c>
      <c r="U2947" s="31">
        <f>IFERROR(VLOOKUP(CONCATENATE(Tabla1[[#This Row],[Severidad]]," ",Tabla1[[#This Row],[Complejidad]]),Catalogos!E$120:G$128,3,FALSE),"")</f>
        <v>64</v>
      </c>
      <c r="V2947" s="31" t="str">
        <f>IF(Tabla1[[#This Row],[Tiempo solución max (hrs)]]&lt;&gt;"",IF(Tabla1[[#This Row],[Tiempo solución max (hrs)]]&gt;=Tabla1[[#This Row],[Tiempo
(Hrs 00/100)]],"cumple","no cumple"),"")</f>
        <v>cumple</v>
      </c>
      <c r="W2947" s="376" t="s">
        <v>4210</v>
      </c>
      <c r="X2947" s="377" t="str">
        <f t="shared" ref="X2947:X2978" si="222">IF(C2947&lt;&gt;"",C2947,D2947)</f>
        <v>SAI</v>
      </c>
      <c r="Y2947" t="str">
        <f>SUBSTITUTE(Tabla1[[#This Row],[Descripción]],CHAR(10),"    I    ")</f>
        <v>3.3.4 Nueva columna de fecha y hora de carga; visualización de tabla inicial con actividades más recientes cargadas</v>
      </c>
      <c r="Z2947" s="142">
        <f>VLOOKUP(Tabla1[[#This Row],[Perfil]],Catalogos!$B$75:$D$100,3,FALSE)*Tabla1[[#This Row],[Tiempo
(Hrs 00/100)]]*1.16</f>
        <v>1624</v>
      </c>
      <c r="AA2947" t="s">
        <v>3356</v>
      </c>
    </row>
    <row r="2948" spans="1:27" ht="15" customHeight="1" x14ac:dyDescent="0.3">
      <c r="A2948" s="617" t="s">
        <v>22</v>
      </c>
      <c r="B2948" s="617" t="s">
        <v>23</v>
      </c>
      <c r="C2948" s="617" t="s">
        <v>49</v>
      </c>
      <c r="D2948" s="501"/>
      <c r="E2948" s="617" t="s">
        <v>4133</v>
      </c>
      <c r="F2948" s="617" t="s">
        <v>23</v>
      </c>
      <c r="G2948" s="327" t="s">
        <v>5298</v>
      </c>
      <c r="H2948" s="698" t="s">
        <v>5252</v>
      </c>
      <c r="I2948" s="699" t="s">
        <v>5299</v>
      </c>
      <c r="J2948" s="729">
        <v>45257</v>
      </c>
      <c r="K2948" s="773">
        <v>0.375</v>
      </c>
      <c r="L2948" s="729">
        <v>45257</v>
      </c>
      <c r="M2948" s="773">
        <v>0.5</v>
      </c>
      <c r="N2948" s="692">
        <v>3</v>
      </c>
      <c r="O2948" s="700" t="s">
        <v>411</v>
      </c>
      <c r="P2948" s="454" t="s">
        <v>5237</v>
      </c>
      <c r="Q2948" s="143" t="s">
        <v>5376</v>
      </c>
      <c r="R2948" s="468" t="s">
        <v>40</v>
      </c>
      <c r="S2948" s="31" t="s">
        <v>273</v>
      </c>
      <c r="T2948" s="31" t="s">
        <v>273</v>
      </c>
      <c r="U2948" s="31">
        <f>IFERROR(VLOOKUP(CONCATENATE(Tabla1[[#This Row],[Severidad]]," ",Tabla1[[#This Row],[Complejidad]]),Catalogos!E$120:G$128,3,FALSE),"")</f>
        <v>64</v>
      </c>
      <c r="V2948" s="31" t="str">
        <f>IF(Tabla1[[#This Row],[Tiempo solución max (hrs)]]&lt;&gt;"",IF(Tabla1[[#This Row],[Tiempo solución max (hrs)]]&gt;=Tabla1[[#This Row],[Tiempo
(Hrs 00/100)]],"cumple","no cumple"),"")</f>
        <v>cumple</v>
      </c>
      <c r="W2948" s="376" t="s">
        <v>4210</v>
      </c>
      <c r="X2948" s="377" t="str">
        <f t="shared" si="222"/>
        <v>SAI</v>
      </c>
      <c r="Y2948" t="str">
        <f>SUBSTITUTE(Tabla1[[#This Row],[Descripción]],CHAR(10),"    I    ")</f>
        <v>3.3.5 Agregar filtros de opción múltiple en los combos, es decir, que se puedan elegir más de una opción</v>
      </c>
      <c r="Z2948" s="142">
        <f>VLOOKUP(Tabla1[[#This Row],[Perfil]],Catalogos!$B$75:$D$100,3,FALSE)*Tabla1[[#This Row],[Tiempo
(Hrs 00/100)]]*1.16</f>
        <v>2436</v>
      </c>
      <c r="AA2948" t="s">
        <v>3356</v>
      </c>
    </row>
    <row r="2949" spans="1:27" ht="15" customHeight="1" x14ac:dyDescent="0.3">
      <c r="A2949" s="617" t="s">
        <v>22</v>
      </c>
      <c r="B2949" s="617" t="s">
        <v>23</v>
      </c>
      <c r="C2949" s="617" t="s">
        <v>49</v>
      </c>
      <c r="D2949" s="501"/>
      <c r="E2949" s="617" t="s">
        <v>4133</v>
      </c>
      <c r="F2949" s="617" t="s">
        <v>23</v>
      </c>
      <c r="G2949" s="327" t="s">
        <v>5298</v>
      </c>
      <c r="H2949" s="698" t="s">
        <v>5252</v>
      </c>
      <c r="I2949" s="699" t="s">
        <v>5299</v>
      </c>
      <c r="J2949" s="729">
        <v>45257</v>
      </c>
      <c r="K2949" s="773">
        <v>0.5</v>
      </c>
      <c r="L2949" s="729">
        <v>45257</v>
      </c>
      <c r="M2949" s="773">
        <v>0.83333333333333337</v>
      </c>
      <c r="N2949" s="692">
        <v>6.5</v>
      </c>
      <c r="O2949" s="700" t="s">
        <v>17</v>
      </c>
      <c r="P2949" s="454" t="s">
        <v>5237</v>
      </c>
      <c r="Q2949" s="143" t="s">
        <v>5376</v>
      </c>
      <c r="R2949" s="468" t="s">
        <v>40</v>
      </c>
      <c r="S2949" s="31" t="s">
        <v>273</v>
      </c>
      <c r="T2949" s="31" t="s">
        <v>273</v>
      </c>
      <c r="U2949" s="31">
        <f>IFERROR(VLOOKUP(CONCATENATE(Tabla1[[#This Row],[Severidad]]," ",Tabla1[[#This Row],[Complejidad]]),Catalogos!E$120:G$128,3,FALSE),"")</f>
        <v>64</v>
      </c>
      <c r="V2949" s="31" t="str">
        <f>IF(Tabla1[[#This Row],[Tiempo solución max (hrs)]]&lt;&gt;"",IF(Tabla1[[#This Row],[Tiempo solución max (hrs)]]&gt;=Tabla1[[#This Row],[Tiempo
(Hrs 00/100)]],"cumple","no cumple"),"")</f>
        <v>cumple</v>
      </c>
      <c r="W2949" s="376" t="s">
        <v>4210</v>
      </c>
      <c r="X2949" s="377" t="str">
        <f t="shared" si="222"/>
        <v>SAI</v>
      </c>
      <c r="Y2949" t="str">
        <f>SUBSTITUTE(Tabla1[[#This Row],[Descripción]],CHAR(10),"    I    ")</f>
        <v>3.3.5 Agregar filtros de opción múltiple en los combos, es decir, que se puedan elegir más de una opción</v>
      </c>
      <c r="Z2949" s="142">
        <f>VLOOKUP(Tabla1[[#This Row],[Perfil]],Catalogos!$B$75:$D$100,3,FALSE)*Tabla1[[#This Row],[Tiempo
(Hrs 00/100)]]*1.16</f>
        <v>5278</v>
      </c>
      <c r="AA2949" t="s">
        <v>3356</v>
      </c>
    </row>
    <row r="2950" spans="1:27" ht="15" customHeight="1" x14ac:dyDescent="0.3">
      <c r="A2950" s="617" t="s">
        <v>22</v>
      </c>
      <c r="B2950" s="617" t="s">
        <v>23</v>
      </c>
      <c r="C2950" s="617" t="s">
        <v>49</v>
      </c>
      <c r="D2950" s="501"/>
      <c r="E2950" s="617" t="s">
        <v>4133</v>
      </c>
      <c r="F2950" s="617" t="s">
        <v>23</v>
      </c>
      <c r="G2950" s="327" t="s">
        <v>5300</v>
      </c>
      <c r="H2950" s="698" t="s">
        <v>5252</v>
      </c>
      <c r="I2950" s="699" t="s">
        <v>5302</v>
      </c>
      <c r="J2950" s="729">
        <v>45258</v>
      </c>
      <c r="K2950" s="773">
        <v>0.375</v>
      </c>
      <c r="L2950" s="729">
        <v>45258</v>
      </c>
      <c r="M2950" s="773">
        <v>0.41666666666666669</v>
      </c>
      <c r="N2950" s="692">
        <v>1</v>
      </c>
      <c r="O2950" s="700" t="s">
        <v>17</v>
      </c>
      <c r="P2950" s="454" t="s">
        <v>5237</v>
      </c>
      <c r="Q2950" s="143" t="s">
        <v>5376</v>
      </c>
      <c r="R2950" s="468" t="s">
        <v>40</v>
      </c>
      <c r="S2950" s="31" t="s">
        <v>273</v>
      </c>
      <c r="T2950" s="31" t="s">
        <v>273</v>
      </c>
      <c r="U2950" s="31">
        <f>IFERROR(VLOOKUP(CONCATENATE(Tabla1[[#This Row],[Severidad]]," ",Tabla1[[#This Row],[Complejidad]]),Catalogos!E$120:G$128,3,FALSE),"")</f>
        <v>64</v>
      </c>
      <c r="V2950" s="31" t="str">
        <f>IF(Tabla1[[#This Row],[Tiempo solución max (hrs)]]&lt;&gt;"",IF(Tabla1[[#This Row],[Tiempo solución max (hrs)]]&gt;=Tabla1[[#This Row],[Tiempo
(Hrs 00/100)]],"cumple","no cumple"),"")</f>
        <v>cumple</v>
      </c>
      <c r="W2950" s="376" t="s">
        <v>4210</v>
      </c>
      <c r="X2950" s="377" t="str">
        <f t="shared" si="222"/>
        <v>SAI</v>
      </c>
      <c r="Y2950" t="str">
        <f>SUBSTITUTE(Tabla1[[#This Row],[Descripción]],CHAR(10),"    I    ")</f>
        <v>3.3.6 Crear nuevo filtro "Región" solo para el rol de Administrador</v>
      </c>
      <c r="Z2950" s="142">
        <f>VLOOKUP(Tabla1[[#This Row],[Perfil]],Catalogos!$B$75:$D$100,3,FALSE)*Tabla1[[#This Row],[Tiempo
(Hrs 00/100)]]*1.16</f>
        <v>812</v>
      </c>
      <c r="AA2950" t="s">
        <v>3356</v>
      </c>
    </row>
    <row r="2951" spans="1:27" ht="15" customHeight="1" x14ac:dyDescent="0.3">
      <c r="A2951" s="617" t="s">
        <v>22</v>
      </c>
      <c r="B2951" s="617" t="s">
        <v>23</v>
      </c>
      <c r="C2951" s="617" t="s">
        <v>49</v>
      </c>
      <c r="D2951" s="501"/>
      <c r="E2951" s="617" t="s">
        <v>4133</v>
      </c>
      <c r="F2951" s="617" t="s">
        <v>23</v>
      </c>
      <c r="G2951" s="327" t="s">
        <v>5301</v>
      </c>
      <c r="H2951" s="698" t="s">
        <v>5252</v>
      </c>
      <c r="I2951" s="699" t="s">
        <v>5304</v>
      </c>
      <c r="J2951" s="729">
        <v>45258</v>
      </c>
      <c r="K2951" s="773">
        <v>0.41666666666666669</v>
      </c>
      <c r="L2951" s="729">
        <v>45258</v>
      </c>
      <c r="M2951" s="773">
        <v>0.45833333333333331</v>
      </c>
      <c r="N2951" s="692">
        <v>1</v>
      </c>
      <c r="O2951" s="700" t="s">
        <v>17</v>
      </c>
      <c r="P2951" s="454" t="s">
        <v>5237</v>
      </c>
      <c r="Q2951" s="143" t="s">
        <v>5376</v>
      </c>
      <c r="R2951" s="468" t="s">
        <v>40</v>
      </c>
      <c r="S2951" s="31" t="s">
        <v>273</v>
      </c>
      <c r="T2951" s="31" t="s">
        <v>273</v>
      </c>
      <c r="U2951" s="31">
        <f>IFERROR(VLOOKUP(CONCATENATE(Tabla1[[#This Row],[Severidad]]," ",Tabla1[[#This Row],[Complejidad]]),Catalogos!E$120:G$128,3,FALSE),"")</f>
        <v>64</v>
      </c>
      <c r="V2951" s="31" t="str">
        <f>IF(Tabla1[[#This Row],[Tiempo solución max (hrs)]]&lt;&gt;"",IF(Tabla1[[#This Row],[Tiempo solución max (hrs)]]&gt;=Tabla1[[#This Row],[Tiempo
(Hrs 00/100)]],"cumple","no cumple"),"")</f>
        <v>cumple</v>
      </c>
      <c r="W2951" s="376" t="s">
        <v>4210</v>
      </c>
      <c r="X2951" s="377" t="str">
        <f t="shared" si="222"/>
        <v>SAI</v>
      </c>
      <c r="Y2951" t="str">
        <f>SUBSTITUTE(Tabla1[[#This Row],[Descripción]],CHAR(10),"    I    ")</f>
        <v>3.3.7 Integrar en los 3 roles, en todas las pantallas, el filtro de Numeración para elegir actividad en el formulario</v>
      </c>
      <c r="Z2951" s="142">
        <f>VLOOKUP(Tabla1[[#This Row],[Perfil]],Catalogos!$B$75:$D$100,3,FALSE)*Tabla1[[#This Row],[Tiempo
(Hrs 00/100)]]*1.16</f>
        <v>812</v>
      </c>
      <c r="AA2951" t="s">
        <v>3356</v>
      </c>
    </row>
    <row r="2952" spans="1:27" ht="15" customHeight="1" x14ac:dyDescent="0.3">
      <c r="A2952" s="617" t="s">
        <v>22</v>
      </c>
      <c r="B2952" s="617" t="s">
        <v>23</v>
      </c>
      <c r="C2952" s="617" t="s">
        <v>49</v>
      </c>
      <c r="D2952" s="501"/>
      <c r="E2952" s="617" t="s">
        <v>4133</v>
      </c>
      <c r="F2952" s="617" t="s">
        <v>23</v>
      </c>
      <c r="G2952" s="327" t="s">
        <v>5303</v>
      </c>
      <c r="H2952" s="698" t="s">
        <v>5252</v>
      </c>
      <c r="I2952" s="699" t="s">
        <v>5306</v>
      </c>
      <c r="J2952" s="729">
        <v>45258</v>
      </c>
      <c r="K2952" s="773">
        <v>0.45833333333333331</v>
      </c>
      <c r="L2952" s="729">
        <v>45258</v>
      </c>
      <c r="M2952" s="773">
        <v>0.60416666666666663</v>
      </c>
      <c r="N2952" s="692">
        <v>3.5</v>
      </c>
      <c r="O2952" s="700" t="s">
        <v>17</v>
      </c>
      <c r="P2952" s="454" t="s">
        <v>5237</v>
      </c>
      <c r="Q2952" s="143" t="s">
        <v>5376</v>
      </c>
      <c r="R2952" s="468" t="s">
        <v>40</v>
      </c>
      <c r="S2952" s="31" t="s">
        <v>273</v>
      </c>
      <c r="T2952" s="31" t="s">
        <v>273</v>
      </c>
      <c r="U2952" s="31">
        <f>IFERROR(VLOOKUP(CONCATENATE(Tabla1[[#This Row],[Severidad]]," ",Tabla1[[#This Row],[Complejidad]]),Catalogos!E$120:G$128,3,FALSE),"")</f>
        <v>64</v>
      </c>
      <c r="V2952" s="31" t="str">
        <f>IF(Tabla1[[#This Row],[Tiempo solución max (hrs)]]&lt;&gt;"",IF(Tabla1[[#This Row],[Tiempo solución max (hrs)]]&gt;=Tabla1[[#This Row],[Tiempo
(Hrs 00/100)]],"cumple","no cumple"),"")</f>
        <v>cumple</v>
      </c>
      <c r="W2952" s="376" t="s">
        <v>4210</v>
      </c>
      <c r="X2952" s="377" t="str">
        <f t="shared" si="222"/>
        <v>SAI</v>
      </c>
      <c r="Y2952" t="str">
        <f>SUBSTITUTE(Tabla1[[#This Row],[Descripción]],CHAR(10),"    I    ")</f>
        <v>3.3.8 Pop-ups que describan la acción a realizar en Formulario de Seguimiento de Actividades</v>
      </c>
      <c r="Z2952" s="142">
        <f>VLOOKUP(Tabla1[[#This Row],[Perfil]],Catalogos!$B$75:$D$100,3,FALSE)*Tabla1[[#This Row],[Tiempo
(Hrs 00/100)]]*1.16</f>
        <v>2842</v>
      </c>
      <c r="AA2952" t="s">
        <v>3356</v>
      </c>
    </row>
    <row r="2953" spans="1:27" ht="15" customHeight="1" x14ac:dyDescent="0.3">
      <c r="A2953" s="617" t="s">
        <v>22</v>
      </c>
      <c r="B2953" s="617" t="s">
        <v>23</v>
      </c>
      <c r="C2953" s="617" t="s">
        <v>49</v>
      </c>
      <c r="D2953" s="501"/>
      <c r="E2953" s="617" t="s">
        <v>4133</v>
      </c>
      <c r="F2953" s="617" t="s">
        <v>23</v>
      </c>
      <c r="G2953" s="327" t="s">
        <v>5305</v>
      </c>
      <c r="H2953" s="698" t="s">
        <v>5308</v>
      </c>
      <c r="I2953" s="699" t="s">
        <v>5309</v>
      </c>
      <c r="J2953" s="729">
        <v>45258</v>
      </c>
      <c r="K2953" s="773">
        <v>0.66666666666666663</v>
      </c>
      <c r="L2953" s="729">
        <v>45258</v>
      </c>
      <c r="M2953" s="773">
        <v>0.75</v>
      </c>
      <c r="N2953" s="692">
        <v>2</v>
      </c>
      <c r="O2953" s="700" t="s">
        <v>17</v>
      </c>
      <c r="P2953" s="454" t="s">
        <v>5237</v>
      </c>
      <c r="Q2953" s="143" t="s">
        <v>5376</v>
      </c>
      <c r="R2953" s="468" t="s">
        <v>40</v>
      </c>
      <c r="S2953" s="31" t="s">
        <v>273</v>
      </c>
      <c r="T2953" s="31" t="s">
        <v>273</v>
      </c>
      <c r="U2953" s="31">
        <f>IFERROR(VLOOKUP(CONCATENATE(Tabla1[[#This Row],[Severidad]]," ",Tabla1[[#This Row],[Complejidad]]),Catalogos!E$120:G$128,3,FALSE),"")</f>
        <v>64</v>
      </c>
      <c r="V2953" s="31" t="str">
        <f>IF(Tabla1[[#This Row],[Tiempo solución max (hrs)]]&lt;&gt;"",IF(Tabla1[[#This Row],[Tiempo solución max (hrs)]]&gt;=Tabla1[[#This Row],[Tiempo
(Hrs 00/100)]],"cumple","no cumple"),"")</f>
        <v>cumple</v>
      </c>
      <c r="W2953" s="376" t="s">
        <v>4210</v>
      </c>
      <c r="X2953" s="377" t="str">
        <f t="shared" si="222"/>
        <v>SAI</v>
      </c>
      <c r="Y2953" t="str">
        <f>SUBSTITUTE(Tabla1[[#This Row],[Descripción]],CHAR(10),"    I    ")</f>
        <v xml:space="preserve">3.3.9 Habilitar botón para que los Enlaces puedan asignar actividades a las UA una vez que éstas ya han sido creadas </v>
      </c>
      <c r="Z2953" s="142">
        <f>VLOOKUP(Tabla1[[#This Row],[Perfil]],Catalogos!$B$75:$D$100,3,FALSE)*Tabla1[[#This Row],[Tiempo
(Hrs 00/100)]]*1.16</f>
        <v>1624</v>
      </c>
      <c r="AA2953" t="s">
        <v>3356</v>
      </c>
    </row>
    <row r="2954" spans="1:27" ht="15" customHeight="1" x14ac:dyDescent="0.3">
      <c r="A2954" s="617" t="s">
        <v>22</v>
      </c>
      <c r="B2954" s="617" t="s">
        <v>23</v>
      </c>
      <c r="C2954" s="617" t="s">
        <v>49</v>
      </c>
      <c r="D2954" s="501"/>
      <c r="E2954" s="617" t="s">
        <v>4133</v>
      </c>
      <c r="F2954" s="617" t="s">
        <v>23</v>
      </c>
      <c r="G2954" s="327" t="s">
        <v>5307</v>
      </c>
      <c r="H2954" s="698" t="s">
        <v>5308</v>
      </c>
      <c r="I2954" s="699" t="s">
        <v>5311</v>
      </c>
      <c r="J2954" s="729">
        <v>45258</v>
      </c>
      <c r="K2954" s="773">
        <v>0.75</v>
      </c>
      <c r="L2954" s="729">
        <v>45258</v>
      </c>
      <c r="M2954" s="773">
        <v>0.79166666666666696</v>
      </c>
      <c r="N2954" s="692">
        <v>1</v>
      </c>
      <c r="O2954" s="700" t="s">
        <v>411</v>
      </c>
      <c r="P2954" s="454" t="s">
        <v>5237</v>
      </c>
      <c r="Q2954" s="143" t="s">
        <v>5376</v>
      </c>
      <c r="R2954" s="468" t="s">
        <v>40</v>
      </c>
      <c r="S2954" s="31" t="s">
        <v>273</v>
      </c>
      <c r="T2954" s="31" t="s">
        <v>273</v>
      </c>
      <c r="U2954" s="31">
        <f>IFERROR(VLOOKUP(CONCATENATE(Tabla1[[#This Row],[Severidad]]," ",Tabla1[[#This Row],[Complejidad]]),Catalogos!E$120:G$128,3,FALSE),"")</f>
        <v>64</v>
      </c>
      <c r="V2954" s="31" t="str">
        <f>IF(Tabla1[[#This Row],[Tiempo solución max (hrs)]]&lt;&gt;"",IF(Tabla1[[#This Row],[Tiempo solución max (hrs)]]&gt;=Tabla1[[#This Row],[Tiempo
(Hrs 00/100)]],"cumple","no cumple"),"")</f>
        <v>cumple</v>
      </c>
      <c r="W2954" s="376" t="s">
        <v>4210</v>
      </c>
      <c r="X2954" s="377" t="str">
        <f t="shared" si="222"/>
        <v>SAI</v>
      </c>
      <c r="Y2954" t="str">
        <f>SUBSTITUTE(Tabla1[[#This Row],[Descripción]],CHAR(10),"    I    ")</f>
        <v>3.4.1 Funcionalidad total del apartado “Configuración de Procesos del SNT” en Rol de Enlace, así como la semaforización conforme al calendario configurado.</v>
      </c>
      <c r="Z2954" s="142">
        <f>VLOOKUP(Tabla1[[#This Row],[Perfil]],Catalogos!$B$75:$D$100,3,FALSE)*Tabla1[[#This Row],[Tiempo
(Hrs 00/100)]]*1.16</f>
        <v>812</v>
      </c>
      <c r="AA2954" t="s">
        <v>3356</v>
      </c>
    </row>
    <row r="2955" spans="1:27" ht="15" customHeight="1" x14ac:dyDescent="0.3">
      <c r="A2955" s="617" t="s">
        <v>22</v>
      </c>
      <c r="B2955" s="617" t="s">
        <v>23</v>
      </c>
      <c r="C2955" s="617" t="s">
        <v>49</v>
      </c>
      <c r="D2955" s="501"/>
      <c r="E2955" s="617" t="s">
        <v>4133</v>
      </c>
      <c r="F2955" s="617" t="s">
        <v>23</v>
      </c>
      <c r="G2955" s="327" t="s">
        <v>5307</v>
      </c>
      <c r="H2955" s="698" t="s">
        <v>5308</v>
      </c>
      <c r="I2955" s="699" t="s">
        <v>5311</v>
      </c>
      <c r="J2955" s="729">
        <v>45259</v>
      </c>
      <c r="K2955" s="773">
        <v>0.375</v>
      </c>
      <c r="L2955" s="729">
        <v>45259</v>
      </c>
      <c r="M2955" s="773">
        <v>0.41666666666666669</v>
      </c>
      <c r="N2955" s="692">
        <v>1</v>
      </c>
      <c r="O2955" s="700" t="s">
        <v>17</v>
      </c>
      <c r="P2955" s="454" t="s">
        <v>5237</v>
      </c>
      <c r="Q2955" s="143" t="s">
        <v>5376</v>
      </c>
      <c r="R2955" s="468" t="s">
        <v>40</v>
      </c>
      <c r="S2955" s="31" t="s">
        <v>273</v>
      </c>
      <c r="T2955" s="31" t="s">
        <v>273</v>
      </c>
      <c r="U2955" s="31">
        <f>IFERROR(VLOOKUP(CONCATENATE(Tabla1[[#This Row],[Severidad]]," ",Tabla1[[#This Row],[Complejidad]]),Catalogos!E$120:G$128,3,FALSE),"")</f>
        <v>64</v>
      </c>
      <c r="V2955" s="31" t="str">
        <f>IF(Tabla1[[#This Row],[Tiempo solución max (hrs)]]&lt;&gt;"",IF(Tabla1[[#This Row],[Tiempo solución max (hrs)]]&gt;=Tabla1[[#This Row],[Tiempo
(Hrs 00/100)]],"cumple","no cumple"),"")</f>
        <v>cumple</v>
      </c>
      <c r="W2955" s="376" t="s">
        <v>4210</v>
      </c>
      <c r="X2955" s="377" t="str">
        <f t="shared" si="222"/>
        <v>SAI</v>
      </c>
      <c r="Y2955" t="str">
        <f>SUBSTITUTE(Tabla1[[#This Row],[Descripción]],CHAR(10),"    I    ")</f>
        <v>3.4.1 Funcionalidad total del apartado “Configuración de Procesos del SNT” en Rol de Enlace, así como la semaforización conforme al calendario configurado.</v>
      </c>
      <c r="Z2955" s="142">
        <f>VLOOKUP(Tabla1[[#This Row],[Perfil]],Catalogos!$B$75:$D$100,3,FALSE)*Tabla1[[#This Row],[Tiempo
(Hrs 00/100)]]*1.16</f>
        <v>812</v>
      </c>
      <c r="AA2955" t="s">
        <v>3356</v>
      </c>
    </row>
    <row r="2956" spans="1:27" ht="15" customHeight="1" x14ac:dyDescent="0.3">
      <c r="A2956" s="617" t="s">
        <v>22</v>
      </c>
      <c r="B2956" s="617" t="s">
        <v>23</v>
      </c>
      <c r="C2956" s="617" t="s">
        <v>49</v>
      </c>
      <c r="D2956" s="501"/>
      <c r="E2956" s="617" t="s">
        <v>4133</v>
      </c>
      <c r="F2956" s="617" t="s">
        <v>23</v>
      </c>
      <c r="G2956" s="327" t="s">
        <v>5310</v>
      </c>
      <c r="H2956" s="698" t="s">
        <v>5308</v>
      </c>
      <c r="I2956" s="699" t="s">
        <v>5314</v>
      </c>
      <c r="J2956" s="729">
        <v>45259</v>
      </c>
      <c r="K2956" s="773">
        <v>0.41666666666666669</v>
      </c>
      <c r="L2956" s="729">
        <v>45259</v>
      </c>
      <c r="M2956" s="773">
        <v>0.45833333333333298</v>
      </c>
      <c r="N2956" s="692">
        <v>1</v>
      </c>
      <c r="O2956" s="700" t="s">
        <v>17</v>
      </c>
      <c r="P2956" s="454" t="s">
        <v>5237</v>
      </c>
      <c r="Q2956" s="143" t="s">
        <v>5376</v>
      </c>
      <c r="R2956" s="468" t="s">
        <v>40</v>
      </c>
      <c r="S2956" s="31" t="s">
        <v>273</v>
      </c>
      <c r="T2956" s="31" t="s">
        <v>273</v>
      </c>
      <c r="U2956" s="31">
        <f>IFERROR(VLOOKUP(CONCATENATE(Tabla1[[#This Row],[Severidad]]," ",Tabla1[[#This Row],[Complejidad]]),Catalogos!E$120:G$128,3,FALSE),"")</f>
        <v>64</v>
      </c>
      <c r="V2956" s="31" t="str">
        <f>IF(Tabla1[[#This Row],[Tiempo solución max (hrs)]]&lt;&gt;"",IF(Tabla1[[#This Row],[Tiempo solución max (hrs)]]&gt;=Tabla1[[#This Row],[Tiempo
(Hrs 00/100)]],"cumple","no cumple"),"")</f>
        <v>cumple</v>
      </c>
      <c r="W2956" s="376" t="s">
        <v>4210</v>
      </c>
      <c r="X2956" s="377" t="str">
        <f t="shared" si="222"/>
        <v>SAI</v>
      </c>
      <c r="Y2956" t="str">
        <f>SUBSTITUTE(Tabla1[[#This Row],[Descripción]],CHAR(10),"    I    ")</f>
        <v>3.4.2 Envío automático de correo electrónico para el inicio y fin de carga en los procesos correspondientes (Ruta de Implementación, Seguimiento y Formato ABC)</v>
      </c>
      <c r="Z2956" s="142">
        <f>VLOOKUP(Tabla1[[#This Row],[Perfil]],Catalogos!$B$75:$D$100,3,FALSE)*Tabla1[[#This Row],[Tiempo
(Hrs 00/100)]]*1.16</f>
        <v>812</v>
      </c>
      <c r="AA2956" t="s">
        <v>3356</v>
      </c>
    </row>
    <row r="2957" spans="1:27" ht="15" customHeight="1" x14ac:dyDescent="0.3">
      <c r="A2957" s="617" t="s">
        <v>22</v>
      </c>
      <c r="B2957" s="617" t="s">
        <v>23</v>
      </c>
      <c r="C2957" s="617" t="s">
        <v>49</v>
      </c>
      <c r="D2957" s="501"/>
      <c r="E2957" s="617" t="s">
        <v>4133</v>
      </c>
      <c r="F2957" s="617" t="s">
        <v>23</v>
      </c>
      <c r="G2957" s="327" t="s">
        <v>5312</v>
      </c>
      <c r="H2957" s="698" t="s">
        <v>5308</v>
      </c>
      <c r="I2957" s="699" t="s">
        <v>5316</v>
      </c>
      <c r="J2957" s="729">
        <v>45259</v>
      </c>
      <c r="K2957" s="773">
        <v>0.45833333333333298</v>
      </c>
      <c r="L2957" s="729">
        <v>45259</v>
      </c>
      <c r="M2957" s="773">
        <v>0.5</v>
      </c>
      <c r="N2957" s="692">
        <v>1</v>
      </c>
      <c r="O2957" s="700" t="s">
        <v>17</v>
      </c>
      <c r="P2957" s="454" t="s">
        <v>5237</v>
      </c>
      <c r="Q2957" s="143" t="s">
        <v>5376</v>
      </c>
      <c r="R2957" s="468" t="s">
        <v>40</v>
      </c>
      <c r="S2957" s="31" t="s">
        <v>273</v>
      </c>
      <c r="T2957" s="31" t="s">
        <v>273</v>
      </c>
      <c r="U2957" s="31">
        <f>IFERROR(VLOOKUP(CONCATENATE(Tabla1[[#This Row],[Severidad]]," ",Tabla1[[#This Row],[Complejidad]]),Catalogos!E$120:G$128,3,FALSE),"")</f>
        <v>64</v>
      </c>
      <c r="V2957" s="31" t="str">
        <f>IF(Tabla1[[#This Row],[Tiempo solución max (hrs)]]&lt;&gt;"",IF(Tabla1[[#This Row],[Tiempo solución max (hrs)]]&gt;=Tabla1[[#This Row],[Tiempo
(Hrs 00/100)]],"cumple","no cumple"),"")</f>
        <v>cumple</v>
      </c>
      <c r="W2957" s="376" t="s">
        <v>4210</v>
      </c>
      <c r="X2957" s="377" t="str">
        <f t="shared" si="222"/>
        <v>SAI</v>
      </c>
      <c r="Y2957" t="str">
        <f>SUBSTITUTE(Tabla1[[#This Row],[Descripción]],CHAR(10),"    I    ")</f>
        <v>3.4.3 Mensaje de Alerta de inicio de Proceso</v>
      </c>
      <c r="Z2957" s="142">
        <f>VLOOKUP(Tabla1[[#This Row],[Perfil]],Catalogos!$B$75:$D$100,3,FALSE)*Tabla1[[#This Row],[Tiempo
(Hrs 00/100)]]*1.16</f>
        <v>812</v>
      </c>
      <c r="AA2957" t="s">
        <v>3356</v>
      </c>
    </row>
    <row r="2958" spans="1:27" ht="15" customHeight="1" x14ac:dyDescent="0.3">
      <c r="A2958" s="617" t="s">
        <v>22</v>
      </c>
      <c r="B2958" s="617" t="s">
        <v>23</v>
      </c>
      <c r="C2958" s="617" t="s">
        <v>49</v>
      </c>
      <c r="D2958" s="501"/>
      <c r="E2958" s="617" t="s">
        <v>4133</v>
      </c>
      <c r="F2958" s="617" t="s">
        <v>23</v>
      </c>
      <c r="G2958" s="327" t="s">
        <v>5313</v>
      </c>
      <c r="H2958" s="698" t="s">
        <v>5308</v>
      </c>
      <c r="I2958" s="699" t="s">
        <v>5318</v>
      </c>
      <c r="J2958" s="729">
        <v>45259</v>
      </c>
      <c r="K2958" s="773">
        <v>0.5</v>
      </c>
      <c r="L2958" s="729">
        <v>45259</v>
      </c>
      <c r="M2958" s="773">
        <v>0.79166666666666696</v>
      </c>
      <c r="N2958" s="692">
        <v>5.5</v>
      </c>
      <c r="O2958" s="700" t="s">
        <v>411</v>
      </c>
      <c r="P2958" s="454" t="s">
        <v>5237</v>
      </c>
      <c r="Q2958" s="143" t="s">
        <v>5376</v>
      </c>
      <c r="R2958" s="468" t="s">
        <v>40</v>
      </c>
      <c r="S2958" s="31" t="s">
        <v>273</v>
      </c>
      <c r="T2958" s="31" t="s">
        <v>273</v>
      </c>
      <c r="U2958" s="31">
        <f>IFERROR(VLOOKUP(CONCATENATE(Tabla1[[#This Row],[Severidad]]," ",Tabla1[[#This Row],[Complejidad]]),Catalogos!E$120:G$128,3,FALSE),"")</f>
        <v>64</v>
      </c>
      <c r="V2958" s="31" t="str">
        <f>IF(Tabla1[[#This Row],[Tiempo solución max (hrs)]]&lt;&gt;"",IF(Tabla1[[#This Row],[Tiempo solución max (hrs)]]&gt;=Tabla1[[#This Row],[Tiempo
(Hrs 00/100)]],"cumple","no cumple"),"")</f>
        <v>cumple</v>
      </c>
      <c r="W2958" s="376" t="s">
        <v>4210</v>
      </c>
      <c r="X2958" s="377" t="str">
        <f t="shared" si="222"/>
        <v>SAI</v>
      </c>
      <c r="Y2958" t="str">
        <f>SUBSTITUTE(Tabla1[[#This Row],[Descripción]],CHAR(10),"    I    ")</f>
        <v>3.4.5 Funcionamiento de la apertura y cierre de Procesos en el Sistema para administrador</v>
      </c>
      <c r="Z2958" s="142">
        <f>VLOOKUP(Tabla1[[#This Row],[Perfil]],Catalogos!$B$75:$D$100,3,FALSE)*Tabla1[[#This Row],[Tiempo
(Hrs 00/100)]]*1.16</f>
        <v>4466</v>
      </c>
      <c r="AA2958" t="s">
        <v>3356</v>
      </c>
    </row>
    <row r="2959" spans="1:27" ht="15" customHeight="1" x14ac:dyDescent="0.3">
      <c r="A2959" s="617" t="s">
        <v>22</v>
      </c>
      <c r="B2959" s="617" t="s">
        <v>23</v>
      </c>
      <c r="C2959" s="617" t="s">
        <v>49</v>
      </c>
      <c r="D2959" s="501"/>
      <c r="E2959" s="617" t="s">
        <v>4133</v>
      </c>
      <c r="F2959" s="617" t="s">
        <v>23</v>
      </c>
      <c r="G2959" s="327" t="s">
        <v>5313</v>
      </c>
      <c r="H2959" s="698" t="s">
        <v>5308</v>
      </c>
      <c r="I2959" s="699" t="s">
        <v>5318</v>
      </c>
      <c r="J2959" s="729">
        <v>45260</v>
      </c>
      <c r="K2959" s="773">
        <v>0.375</v>
      </c>
      <c r="L2959" s="729">
        <v>45260</v>
      </c>
      <c r="M2959" s="773">
        <v>0.5</v>
      </c>
      <c r="N2959" s="692">
        <v>3</v>
      </c>
      <c r="O2959" s="700" t="s">
        <v>17</v>
      </c>
      <c r="P2959" s="454" t="s">
        <v>5237</v>
      </c>
      <c r="Q2959" s="143" t="s">
        <v>5376</v>
      </c>
      <c r="R2959" s="468" t="s">
        <v>40</v>
      </c>
      <c r="S2959" s="31" t="s">
        <v>273</v>
      </c>
      <c r="T2959" s="31" t="s">
        <v>273</v>
      </c>
      <c r="U2959" s="31">
        <f>IFERROR(VLOOKUP(CONCATENATE(Tabla1[[#This Row],[Severidad]]," ",Tabla1[[#This Row],[Complejidad]]),Catalogos!E$120:G$128,3,FALSE),"")</f>
        <v>64</v>
      </c>
      <c r="V2959" s="31" t="str">
        <f>IF(Tabla1[[#This Row],[Tiempo solución max (hrs)]]&lt;&gt;"",IF(Tabla1[[#This Row],[Tiempo solución max (hrs)]]&gt;=Tabla1[[#This Row],[Tiempo
(Hrs 00/100)]],"cumple","no cumple"),"")</f>
        <v>cumple</v>
      </c>
      <c r="W2959" s="376" t="s">
        <v>4210</v>
      </c>
      <c r="X2959" s="377" t="str">
        <f t="shared" si="222"/>
        <v>SAI</v>
      </c>
      <c r="Y2959" t="str">
        <f>SUBSTITUTE(Tabla1[[#This Row],[Descripción]],CHAR(10),"    I    ")</f>
        <v>3.4.5 Funcionamiento de la apertura y cierre de Procesos en el Sistema para administrador</v>
      </c>
      <c r="Z2959" s="142">
        <f>VLOOKUP(Tabla1[[#This Row],[Perfil]],Catalogos!$B$75:$D$100,3,FALSE)*Tabla1[[#This Row],[Tiempo
(Hrs 00/100)]]*1.16</f>
        <v>2436</v>
      </c>
      <c r="AA2959" t="s">
        <v>3356</v>
      </c>
    </row>
    <row r="2960" spans="1:27" ht="15" customHeight="1" x14ac:dyDescent="0.3">
      <c r="A2960" s="617" t="s">
        <v>22</v>
      </c>
      <c r="B2960" s="617" t="s">
        <v>23</v>
      </c>
      <c r="C2960" s="617" t="s">
        <v>49</v>
      </c>
      <c r="D2960" s="501"/>
      <c r="E2960" s="617" t="s">
        <v>4133</v>
      </c>
      <c r="F2960" s="617" t="s">
        <v>23</v>
      </c>
      <c r="G2960" s="327" t="s">
        <v>5315</v>
      </c>
      <c r="H2960" s="698" t="s">
        <v>5308</v>
      </c>
      <c r="I2960" s="699" t="s">
        <v>5321</v>
      </c>
      <c r="J2960" s="729">
        <v>45260</v>
      </c>
      <c r="K2960" s="773">
        <v>0.5</v>
      </c>
      <c r="L2960" s="729">
        <v>45260</v>
      </c>
      <c r="M2960" s="773">
        <v>0.60416666666666663</v>
      </c>
      <c r="N2960" s="692">
        <v>2.5</v>
      </c>
      <c r="O2960" s="700" t="s">
        <v>17</v>
      </c>
      <c r="P2960" s="454" t="s">
        <v>5237</v>
      </c>
      <c r="Q2960" s="143" t="s">
        <v>5376</v>
      </c>
      <c r="R2960" s="468" t="s">
        <v>40</v>
      </c>
      <c r="S2960" s="31" t="s">
        <v>273</v>
      </c>
      <c r="T2960" s="31" t="s">
        <v>273</v>
      </c>
      <c r="U2960" s="31">
        <f>IFERROR(VLOOKUP(CONCATENATE(Tabla1[[#This Row],[Severidad]]," ",Tabla1[[#This Row],[Complejidad]]),Catalogos!E$120:G$128,3,FALSE),"")</f>
        <v>64</v>
      </c>
      <c r="V2960" s="31" t="str">
        <f>IF(Tabla1[[#This Row],[Tiempo solución max (hrs)]]&lt;&gt;"",IF(Tabla1[[#This Row],[Tiempo solución max (hrs)]]&gt;=Tabla1[[#This Row],[Tiempo
(Hrs 00/100)]],"cumple","no cumple"),"")</f>
        <v>cumple</v>
      </c>
      <c r="W2960" s="376" t="s">
        <v>4210</v>
      </c>
      <c r="X2960" s="377" t="str">
        <f t="shared" si="222"/>
        <v>SAI</v>
      </c>
      <c r="Y2960" t="str">
        <f>SUBSTITUTE(Tabla1[[#This Row],[Descripción]],CHAR(10),"    I    ")</f>
        <v>3.5.1 Crear módulo o botón que permita descargar los reportes en datos abiertos (.csv) en todos los roles de usuario</v>
      </c>
      <c r="Z2960" s="142">
        <f>VLOOKUP(Tabla1[[#This Row],[Perfil]],Catalogos!$B$75:$D$100,3,FALSE)*Tabla1[[#This Row],[Tiempo
(Hrs 00/100)]]*1.16</f>
        <v>2029.9999999999998</v>
      </c>
      <c r="AA2960" t="s">
        <v>3356</v>
      </c>
    </row>
    <row r="2961" spans="1:27" ht="15" customHeight="1" x14ac:dyDescent="0.3">
      <c r="A2961" s="617" t="s">
        <v>22</v>
      </c>
      <c r="B2961" s="617" t="s">
        <v>23</v>
      </c>
      <c r="C2961" s="617" t="s">
        <v>49</v>
      </c>
      <c r="D2961" s="501"/>
      <c r="E2961" s="617" t="s">
        <v>4133</v>
      </c>
      <c r="F2961" s="617" t="s">
        <v>23</v>
      </c>
      <c r="G2961" s="327" t="s">
        <v>5317</v>
      </c>
      <c r="H2961" s="698" t="s">
        <v>5308</v>
      </c>
      <c r="I2961" s="699" t="s">
        <v>5323</v>
      </c>
      <c r="J2961" s="729">
        <v>45260</v>
      </c>
      <c r="K2961" s="773">
        <v>0.66666666666666663</v>
      </c>
      <c r="L2961" s="729">
        <v>45260</v>
      </c>
      <c r="M2961" s="773">
        <v>0.70833333333333337</v>
      </c>
      <c r="N2961" s="692">
        <v>1</v>
      </c>
      <c r="O2961" s="700" t="s">
        <v>17</v>
      </c>
      <c r="P2961" s="454" t="s">
        <v>5237</v>
      </c>
      <c r="Q2961" s="143" t="s">
        <v>5376</v>
      </c>
      <c r="R2961" s="468" t="s">
        <v>40</v>
      </c>
      <c r="S2961" s="31" t="s">
        <v>273</v>
      </c>
      <c r="T2961" s="31" t="s">
        <v>273</v>
      </c>
      <c r="U2961" s="31">
        <f>IFERROR(VLOOKUP(CONCATENATE(Tabla1[[#This Row],[Severidad]]," ",Tabla1[[#This Row],[Complejidad]]),Catalogos!E$120:G$128,3,FALSE),"")</f>
        <v>64</v>
      </c>
      <c r="V2961" s="31" t="str">
        <f>IF(Tabla1[[#This Row],[Tiempo solución max (hrs)]]&lt;&gt;"",IF(Tabla1[[#This Row],[Tiempo solución max (hrs)]]&gt;=Tabla1[[#This Row],[Tiempo
(Hrs 00/100)]],"cumple","no cumple"),"")</f>
        <v>cumple</v>
      </c>
      <c r="W2961" s="376" t="s">
        <v>4210</v>
      </c>
      <c r="X2961" s="377" t="str">
        <f t="shared" si="222"/>
        <v>SAI</v>
      </c>
      <c r="Y2961" t="str">
        <f>SUBSTITUTE(Tabla1[[#This Row],[Descripción]],CHAR(10),"    I    ")</f>
        <v>3.5.2 Modificar opciones de Estatus de "Revisión Integrante y Validado Integrante" a "Revisión Enlace y Validado Enlace"</v>
      </c>
      <c r="Z2961" s="142">
        <f>VLOOKUP(Tabla1[[#This Row],[Perfil]],Catalogos!$B$75:$D$100,3,FALSE)*Tabla1[[#This Row],[Tiempo
(Hrs 00/100)]]*1.16</f>
        <v>812</v>
      </c>
      <c r="AA2961" t="s">
        <v>3356</v>
      </c>
    </row>
    <row r="2962" spans="1:27" ht="15" customHeight="1" x14ac:dyDescent="0.3">
      <c r="A2962" s="617" t="s">
        <v>22</v>
      </c>
      <c r="B2962" s="617" t="s">
        <v>23</v>
      </c>
      <c r="C2962" s="617" t="s">
        <v>49</v>
      </c>
      <c r="D2962" s="501"/>
      <c r="E2962" s="617" t="s">
        <v>4133</v>
      </c>
      <c r="F2962" s="617" t="s">
        <v>23</v>
      </c>
      <c r="G2962" s="327" t="s">
        <v>5319</v>
      </c>
      <c r="H2962" s="698" t="s">
        <v>5308</v>
      </c>
      <c r="I2962" s="699" t="s">
        <v>5325</v>
      </c>
      <c r="J2962" s="729">
        <v>45260</v>
      </c>
      <c r="K2962" s="773">
        <v>0.70833333333333337</v>
      </c>
      <c r="L2962" s="729">
        <v>45260</v>
      </c>
      <c r="M2962" s="773">
        <v>0.75</v>
      </c>
      <c r="N2962" s="692">
        <v>1</v>
      </c>
      <c r="O2962" s="700" t="s">
        <v>17</v>
      </c>
      <c r="P2962" s="454" t="s">
        <v>5237</v>
      </c>
      <c r="Q2962" s="143" t="s">
        <v>5376</v>
      </c>
      <c r="R2962" s="468" t="s">
        <v>40</v>
      </c>
      <c r="S2962" s="31" t="s">
        <v>273</v>
      </c>
      <c r="T2962" s="31" t="s">
        <v>273</v>
      </c>
      <c r="U2962" s="31">
        <f>IFERROR(VLOOKUP(CONCATENATE(Tabla1[[#This Row],[Severidad]]," ",Tabla1[[#This Row],[Complejidad]]),Catalogos!E$120:G$128,3,FALSE),"")</f>
        <v>64</v>
      </c>
      <c r="V2962" s="31" t="str">
        <f>IF(Tabla1[[#This Row],[Tiempo solución max (hrs)]]&lt;&gt;"",IF(Tabla1[[#This Row],[Tiempo solución max (hrs)]]&gt;=Tabla1[[#This Row],[Tiempo
(Hrs 00/100)]],"cumple","no cumple"),"")</f>
        <v>cumple</v>
      </c>
      <c r="W2962" s="376" t="s">
        <v>4210</v>
      </c>
      <c r="X2962" s="377" t="str">
        <f t="shared" si="222"/>
        <v>SAI</v>
      </c>
      <c r="Y2962" t="str">
        <f>SUBSTITUTE(Tabla1[[#This Row],[Descripción]],CHAR(10),"    I    ")</f>
        <v>3.5.3 Mensaje de Alerta de inicio de Proceso</v>
      </c>
      <c r="Z2962" s="142">
        <f>VLOOKUP(Tabla1[[#This Row],[Perfil]],Catalogos!$B$75:$D$100,3,FALSE)*Tabla1[[#This Row],[Tiempo
(Hrs 00/100)]]*1.16</f>
        <v>812</v>
      </c>
      <c r="AA2962" t="s">
        <v>3356</v>
      </c>
    </row>
    <row r="2963" spans="1:27" ht="15" customHeight="1" x14ac:dyDescent="0.3">
      <c r="A2963" s="617" t="s">
        <v>22</v>
      </c>
      <c r="B2963" s="617" t="s">
        <v>23</v>
      </c>
      <c r="C2963" s="617" t="s">
        <v>49</v>
      </c>
      <c r="D2963" s="501"/>
      <c r="E2963" s="617" t="s">
        <v>4133</v>
      </c>
      <c r="F2963" s="617" t="s">
        <v>23</v>
      </c>
      <c r="G2963" s="327" t="s">
        <v>5320</v>
      </c>
      <c r="H2963" s="698" t="s">
        <v>5308</v>
      </c>
      <c r="I2963" s="699" t="s">
        <v>5326</v>
      </c>
      <c r="J2963" s="729">
        <v>45260</v>
      </c>
      <c r="K2963" s="773">
        <v>0.75</v>
      </c>
      <c r="L2963" s="729">
        <v>45260</v>
      </c>
      <c r="M2963" s="773">
        <v>0.79166666666666663</v>
      </c>
      <c r="N2963" s="692">
        <v>1</v>
      </c>
      <c r="O2963" s="700" t="s">
        <v>17</v>
      </c>
      <c r="P2963" s="454" t="s">
        <v>5237</v>
      </c>
      <c r="Q2963" s="143" t="s">
        <v>5376</v>
      </c>
      <c r="R2963" s="468" t="s">
        <v>40</v>
      </c>
      <c r="S2963" s="31" t="s">
        <v>273</v>
      </c>
      <c r="T2963" s="31" t="s">
        <v>273</v>
      </c>
      <c r="U2963" s="31">
        <f>IFERROR(VLOOKUP(CONCATENATE(Tabla1[[#This Row],[Severidad]]," ",Tabla1[[#This Row],[Complejidad]]),Catalogos!E$120:G$128,3,FALSE),"")</f>
        <v>64</v>
      </c>
      <c r="V2963" s="31" t="str">
        <f>IF(Tabla1[[#This Row],[Tiempo solución max (hrs)]]&lt;&gt;"",IF(Tabla1[[#This Row],[Tiempo solución max (hrs)]]&gt;=Tabla1[[#This Row],[Tiempo
(Hrs 00/100)]],"cumple","no cumple"),"")</f>
        <v>cumple</v>
      </c>
      <c r="W2963" s="376" t="s">
        <v>4210</v>
      </c>
      <c r="X2963" s="377" t="str">
        <f t="shared" si="222"/>
        <v>SAI</v>
      </c>
      <c r="Y2963" t="str">
        <f>SUBSTITUTE(Tabla1[[#This Row],[Descripción]],CHAR(10),"    I    ")</f>
        <v>3.5.4 Nueva columna de fecha y hora de carga; visualización de tabla inicial con actividades más recientes cargadas</v>
      </c>
      <c r="Z2963" s="142">
        <f>VLOOKUP(Tabla1[[#This Row],[Perfil]],Catalogos!$B$75:$D$100,3,FALSE)*Tabla1[[#This Row],[Tiempo
(Hrs 00/100)]]*1.16</f>
        <v>812</v>
      </c>
      <c r="AA2963" t="s">
        <v>3356</v>
      </c>
    </row>
    <row r="2964" spans="1:27" ht="15" customHeight="1" x14ac:dyDescent="0.3">
      <c r="A2964" s="617" t="s">
        <v>22</v>
      </c>
      <c r="B2964" s="617" t="s">
        <v>23</v>
      </c>
      <c r="C2964" s="617" t="s">
        <v>49</v>
      </c>
      <c r="D2964" s="501"/>
      <c r="E2964" s="617" t="s">
        <v>4133</v>
      </c>
      <c r="F2964" s="617" t="s">
        <v>23</v>
      </c>
      <c r="G2964" s="327" t="s">
        <v>5322</v>
      </c>
      <c r="H2964" s="698" t="s">
        <v>5308</v>
      </c>
      <c r="I2964" s="699" t="s">
        <v>5327</v>
      </c>
      <c r="J2964" s="729">
        <v>45260</v>
      </c>
      <c r="K2964" s="773">
        <v>0.79166666666666663</v>
      </c>
      <c r="L2964" s="729">
        <v>45260</v>
      </c>
      <c r="M2964" s="773">
        <v>0.875</v>
      </c>
      <c r="N2964" s="692">
        <v>2</v>
      </c>
      <c r="O2964" s="700" t="s">
        <v>17</v>
      </c>
      <c r="P2964" s="454" t="s">
        <v>5237</v>
      </c>
      <c r="Q2964" s="143" t="s">
        <v>5376</v>
      </c>
      <c r="R2964" s="468" t="s">
        <v>40</v>
      </c>
      <c r="S2964" s="31" t="s">
        <v>273</v>
      </c>
      <c r="T2964" s="31" t="s">
        <v>273</v>
      </c>
      <c r="U2964" s="31">
        <f>IFERROR(VLOOKUP(CONCATENATE(Tabla1[[#This Row],[Severidad]]," ",Tabla1[[#This Row],[Complejidad]]),Catalogos!E$120:G$128,3,FALSE),"")</f>
        <v>64</v>
      </c>
      <c r="V2964" s="31" t="str">
        <f>IF(Tabla1[[#This Row],[Tiempo solución max (hrs)]]&lt;&gt;"",IF(Tabla1[[#This Row],[Tiempo solución max (hrs)]]&gt;=Tabla1[[#This Row],[Tiempo
(Hrs 00/100)]],"cumple","no cumple"),"")</f>
        <v>cumple</v>
      </c>
      <c r="W2964" s="376" t="s">
        <v>4210</v>
      </c>
      <c r="X2964" s="377" t="str">
        <f t="shared" si="222"/>
        <v>SAI</v>
      </c>
      <c r="Y2964" t="str">
        <f>SUBSTITUTE(Tabla1[[#This Row],[Descripción]],CHAR(10),"    I    ")</f>
        <v>3.5.5 Agregar filtros de opción múltiple en los combos, es decir, que se puedan elegir más de una opción</v>
      </c>
      <c r="Z2964" s="142">
        <f>VLOOKUP(Tabla1[[#This Row],[Perfil]],Catalogos!$B$75:$D$100,3,FALSE)*Tabla1[[#This Row],[Tiempo
(Hrs 00/100)]]*1.16</f>
        <v>1624</v>
      </c>
      <c r="AA2964" t="s">
        <v>3356</v>
      </c>
    </row>
    <row r="2965" spans="1:27" ht="15" customHeight="1" x14ac:dyDescent="0.3">
      <c r="A2965" s="617" t="s">
        <v>22</v>
      </c>
      <c r="B2965" s="617" t="s">
        <v>23</v>
      </c>
      <c r="C2965" s="617" t="s">
        <v>49</v>
      </c>
      <c r="D2965" s="501"/>
      <c r="E2965" s="617" t="s">
        <v>4133</v>
      </c>
      <c r="F2965" s="617" t="s">
        <v>23</v>
      </c>
      <c r="G2965" s="327" t="s">
        <v>5324</v>
      </c>
      <c r="H2965" s="698" t="s">
        <v>5308</v>
      </c>
      <c r="I2965" s="699" t="s">
        <v>5328</v>
      </c>
      <c r="J2965" s="729">
        <v>45260</v>
      </c>
      <c r="K2965" s="773">
        <v>0.875</v>
      </c>
      <c r="L2965" s="729">
        <v>45260</v>
      </c>
      <c r="M2965" s="773">
        <v>0.91666666666666696</v>
      </c>
      <c r="N2965" s="692">
        <v>1</v>
      </c>
      <c r="O2965" s="700" t="s">
        <v>17</v>
      </c>
      <c r="P2965" s="454" t="s">
        <v>5237</v>
      </c>
      <c r="Q2965" s="143" t="s">
        <v>5376</v>
      </c>
      <c r="R2965" s="468" t="s">
        <v>40</v>
      </c>
      <c r="S2965" s="31" t="s">
        <v>273</v>
      </c>
      <c r="T2965" s="31" t="s">
        <v>273</v>
      </c>
      <c r="U2965" s="31">
        <f>IFERROR(VLOOKUP(CONCATENATE(Tabla1[[#This Row],[Severidad]]," ",Tabla1[[#This Row],[Complejidad]]),Catalogos!E$120:G$128,3,FALSE),"")</f>
        <v>64</v>
      </c>
      <c r="V2965" s="31" t="str">
        <f>IF(Tabla1[[#This Row],[Tiempo solución max (hrs)]]&lt;&gt;"",IF(Tabla1[[#This Row],[Tiempo solución max (hrs)]]&gt;=Tabla1[[#This Row],[Tiempo
(Hrs 00/100)]],"cumple","no cumple"),"")</f>
        <v>cumple</v>
      </c>
      <c r="W2965" s="376" t="s">
        <v>4210</v>
      </c>
      <c r="X2965" s="377" t="str">
        <f t="shared" si="222"/>
        <v>SAI</v>
      </c>
      <c r="Y2965" t="str">
        <f>SUBSTITUTE(Tabla1[[#This Row],[Descripción]],CHAR(10),"    I    ")</f>
        <v>3.5.6 Crear nuevo filtro "Región"</v>
      </c>
      <c r="Z2965" s="142">
        <f>VLOOKUP(Tabla1[[#This Row],[Perfil]],Catalogos!$B$75:$D$100,3,FALSE)*Tabla1[[#This Row],[Tiempo
(Hrs 00/100)]]*1.16</f>
        <v>812</v>
      </c>
      <c r="AA2965" t="s">
        <v>3356</v>
      </c>
    </row>
    <row r="2966" spans="1:27" ht="15" customHeight="1" x14ac:dyDescent="0.3">
      <c r="A2966" s="617" t="s">
        <v>22</v>
      </c>
      <c r="B2966" s="617" t="s">
        <v>23</v>
      </c>
      <c r="C2966" s="617" t="s">
        <v>49</v>
      </c>
      <c r="D2966" s="617"/>
      <c r="E2966" s="617" t="s">
        <v>4133</v>
      </c>
      <c r="F2966" s="617" t="s">
        <v>23</v>
      </c>
      <c r="G2966" s="696" t="s">
        <v>5331</v>
      </c>
      <c r="H2966" s="468" t="s">
        <v>5235</v>
      </c>
      <c r="I2966" s="467" t="s">
        <v>5238</v>
      </c>
      <c r="J2966" s="729">
        <v>45231</v>
      </c>
      <c r="K2966" s="773">
        <v>0.375</v>
      </c>
      <c r="L2966" s="729">
        <v>45231</v>
      </c>
      <c r="M2966" s="773">
        <v>0.79166666666666663</v>
      </c>
      <c r="N2966" s="617">
        <v>8</v>
      </c>
      <c r="O2966" s="697" t="s">
        <v>411</v>
      </c>
      <c r="P2966" s="701" t="s">
        <v>5332</v>
      </c>
      <c r="Q2966" s="143" t="s">
        <v>5375</v>
      </c>
      <c r="R2966" s="468" t="s">
        <v>40</v>
      </c>
      <c r="S2966" s="31" t="s">
        <v>273</v>
      </c>
      <c r="T2966" s="31" t="s">
        <v>273</v>
      </c>
      <c r="U2966" s="31">
        <f>IFERROR(VLOOKUP(CONCATENATE(Tabla1[[#This Row],[Severidad]]," ",Tabla1[[#This Row],[Complejidad]]),Catalogos!E$120:G$128,3,FALSE),"")</f>
        <v>64</v>
      </c>
      <c r="V2966" s="31" t="str">
        <f>IF(Tabla1[[#This Row],[Tiempo solución max (hrs)]]&lt;&gt;"",IF(Tabla1[[#This Row],[Tiempo solución max (hrs)]]&gt;=Tabla1[[#This Row],[Tiempo
(Hrs 00/100)]],"cumple","no cumple"),"")</f>
        <v>cumple</v>
      </c>
      <c r="W2966" s="376" t="s">
        <v>4210</v>
      </c>
      <c r="X2966" s="377" t="str">
        <f t="shared" si="222"/>
        <v>SAI</v>
      </c>
      <c r="Y2966" t="str">
        <f>SUBSTITUTE(Tabla1[[#This Row],[Descripción]],CHAR(10),"    I    ")</f>
        <v>1.2 Material de apoyo</v>
      </c>
      <c r="Z2966" s="142">
        <f>VLOOKUP(Tabla1[[#This Row],[Perfil]],Catalogos!$B$75:$D$100,3,FALSE)*Tabla1[[#This Row],[Tiempo
(Hrs 00/100)]]*1.16</f>
        <v>6496</v>
      </c>
      <c r="AA2966" t="s">
        <v>3356</v>
      </c>
    </row>
    <row r="2967" spans="1:27" ht="15" customHeight="1" x14ac:dyDescent="0.3">
      <c r="A2967" s="617" t="s">
        <v>22</v>
      </c>
      <c r="B2967" s="617" t="s">
        <v>23</v>
      </c>
      <c r="C2967" s="617" t="s">
        <v>49</v>
      </c>
      <c r="D2967" s="617"/>
      <c r="E2967" s="617" t="s">
        <v>4133</v>
      </c>
      <c r="F2967" s="617" t="s">
        <v>23</v>
      </c>
      <c r="G2967" s="696" t="s">
        <v>5331</v>
      </c>
      <c r="H2967" s="468" t="s">
        <v>5235</v>
      </c>
      <c r="I2967" s="467" t="s">
        <v>5238</v>
      </c>
      <c r="J2967" s="729">
        <v>45233</v>
      </c>
      <c r="K2967" s="773">
        <v>0.375</v>
      </c>
      <c r="L2967" s="729">
        <v>45233</v>
      </c>
      <c r="M2967" s="773">
        <v>0.625</v>
      </c>
      <c r="N2967" s="617">
        <v>6</v>
      </c>
      <c r="O2967" s="697" t="s">
        <v>17</v>
      </c>
      <c r="P2967" s="701" t="s">
        <v>5332</v>
      </c>
      <c r="Q2967" s="143" t="s">
        <v>5375</v>
      </c>
      <c r="R2967" s="468" t="s">
        <v>40</v>
      </c>
      <c r="S2967" s="31" t="s">
        <v>273</v>
      </c>
      <c r="T2967" s="31" t="s">
        <v>273</v>
      </c>
      <c r="U2967" s="31">
        <f>IFERROR(VLOOKUP(CONCATENATE(Tabla1[[#This Row],[Severidad]]," ",Tabla1[[#This Row],[Complejidad]]),Catalogos!E$120:G$128,3,FALSE),"")</f>
        <v>64</v>
      </c>
      <c r="V2967" s="31" t="str">
        <f>IF(Tabla1[[#This Row],[Tiempo solución max (hrs)]]&lt;&gt;"",IF(Tabla1[[#This Row],[Tiempo solución max (hrs)]]&gt;=Tabla1[[#This Row],[Tiempo
(Hrs 00/100)]],"cumple","no cumple"),"")</f>
        <v>cumple</v>
      </c>
      <c r="W2967" s="376" t="s">
        <v>4210</v>
      </c>
      <c r="X2967" s="377" t="str">
        <f t="shared" si="222"/>
        <v>SAI</v>
      </c>
      <c r="Y2967" t="str">
        <f>SUBSTITUTE(Tabla1[[#This Row],[Descripción]],CHAR(10),"    I    ")</f>
        <v>1.2 Material de apoyo</v>
      </c>
      <c r="Z2967" s="142">
        <f>VLOOKUP(Tabla1[[#This Row],[Perfil]],Catalogos!$B$75:$D$100,3,FALSE)*Tabla1[[#This Row],[Tiempo
(Hrs 00/100)]]*1.16</f>
        <v>4872</v>
      </c>
      <c r="AA2967" t="s">
        <v>3356</v>
      </c>
    </row>
    <row r="2968" spans="1:27" ht="15" customHeight="1" x14ac:dyDescent="0.3">
      <c r="A2968" s="617" t="s">
        <v>22</v>
      </c>
      <c r="B2968" s="617" t="s">
        <v>23</v>
      </c>
      <c r="C2968" s="617" t="s">
        <v>49</v>
      </c>
      <c r="D2968" s="617"/>
      <c r="E2968" s="617" t="s">
        <v>4133</v>
      </c>
      <c r="F2968" s="617" t="s">
        <v>23</v>
      </c>
      <c r="G2968" s="696" t="s">
        <v>5333</v>
      </c>
      <c r="H2968" s="468" t="s">
        <v>5235</v>
      </c>
      <c r="I2968" s="467" t="s">
        <v>5242</v>
      </c>
      <c r="J2968" s="729">
        <v>45236</v>
      </c>
      <c r="K2968" s="773">
        <v>0.375</v>
      </c>
      <c r="L2968" s="729">
        <v>45236</v>
      </c>
      <c r="M2968" s="773">
        <v>0.83333333333333337</v>
      </c>
      <c r="N2968" s="617">
        <v>9</v>
      </c>
      <c r="O2968" s="697" t="s">
        <v>411</v>
      </c>
      <c r="P2968" s="701" t="s">
        <v>5332</v>
      </c>
      <c r="Q2968" s="143" t="s">
        <v>5375</v>
      </c>
      <c r="R2968" s="468" t="s">
        <v>40</v>
      </c>
      <c r="S2968" s="31" t="s">
        <v>273</v>
      </c>
      <c r="T2968" s="31" t="s">
        <v>273</v>
      </c>
      <c r="U2968" s="31">
        <f>IFERROR(VLOOKUP(CONCATENATE(Tabla1[[#This Row],[Severidad]]," ",Tabla1[[#This Row],[Complejidad]]),Catalogos!E$120:G$128,3,FALSE),"")</f>
        <v>64</v>
      </c>
      <c r="V2968" s="31" t="str">
        <f>IF(Tabla1[[#This Row],[Tiempo solución max (hrs)]]&lt;&gt;"",IF(Tabla1[[#This Row],[Tiempo solución max (hrs)]]&gt;=Tabla1[[#This Row],[Tiempo
(Hrs 00/100)]],"cumple","no cumple"),"")</f>
        <v>cumple</v>
      </c>
      <c r="W2968" s="376" t="s">
        <v>4210</v>
      </c>
      <c r="X2968" s="377" t="str">
        <f t="shared" si="222"/>
        <v>SAI</v>
      </c>
      <c r="Y2968" t="str">
        <f>SUBSTITUTE(Tabla1[[#This Row],[Descripción]],CHAR(10),"    I    ")</f>
        <v>1.5 Cobertura</v>
      </c>
      <c r="Z2968" s="142">
        <f>VLOOKUP(Tabla1[[#This Row],[Perfil]],Catalogos!$B$75:$D$100,3,FALSE)*Tabla1[[#This Row],[Tiempo
(Hrs 00/100)]]*1.16</f>
        <v>7307.9999999999991</v>
      </c>
      <c r="AA2968" t="s">
        <v>3356</v>
      </c>
    </row>
    <row r="2969" spans="1:27" ht="15" customHeight="1" x14ac:dyDescent="0.3">
      <c r="A2969" s="617" t="s">
        <v>22</v>
      </c>
      <c r="B2969" s="617" t="s">
        <v>23</v>
      </c>
      <c r="C2969" s="617" t="s">
        <v>49</v>
      </c>
      <c r="D2969" s="617"/>
      <c r="E2969" s="617" t="s">
        <v>4133</v>
      </c>
      <c r="F2969" s="617" t="s">
        <v>23</v>
      </c>
      <c r="G2969" s="696" t="s">
        <v>5333</v>
      </c>
      <c r="H2969" s="468" t="s">
        <v>5235</v>
      </c>
      <c r="I2969" s="467" t="s">
        <v>5242</v>
      </c>
      <c r="J2969" s="729">
        <v>45237</v>
      </c>
      <c r="K2969" s="773">
        <v>0.375</v>
      </c>
      <c r="L2969" s="729">
        <v>45237</v>
      </c>
      <c r="M2969" s="773">
        <v>0.83333333333333337</v>
      </c>
      <c r="N2969" s="617">
        <v>9</v>
      </c>
      <c r="O2969" s="697" t="s">
        <v>17</v>
      </c>
      <c r="P2969" s="701" t="s">
        <v>5332</v>
      </c>
      <c r="Q2969" s="143" t="s">
        <v>5375</v>
      </c>
      <c r="R2969" s="468" t="s">
        <v>40</v>
      </c>
      <c r="S2969" s="31" t="s">
        <v>273</v>
      </c>
      <c r="T2969" s="31" t="s">
        <v>273</v>
      </c>
      <c r="U2969" s="31">
        <f>IFERROR(VLOOKUP(CONCATENATE(Tabla1[[#This Row],[Severidad]]," ",Tabla1[[#This Row],[Complejidad]]),Catalogos!E$120:G$128,3,FALSE),"")</f>
        <v>64</v>
      </c>
      <c r="V2969" s="31" t="str">
        <f>IF(Tabla1[[#This Row],[Tiempo solución max (hrs)]]&lt;&gt;"",IF(Tabla1[[#This Row],[Tiempo solución max (hrs)]]&gt;=Tabla1[[#This Row],[Tiempo
(Hrs 00/100)]],"cumple","no cumple"),"")</f>
        <v>cumple</v>
      </c>
      <c r="W2969" s="376" t="s">
        <v>4210</v>
      </c>
      <c r="X2969" s="377" t="str">
        <f t="shared" si="222"/>
        <v>SAI</v>
      </c>
      <c r="Y2969" t="str">
        <f>SUBSTITUTE(Tabla1[[#This Row],[Descripción]],CHAR(10),"    I    ")</f>
        <v>1.5 Cobertura</v>
      </c>
      <c r="Z2969" s="142">
        <f>VLOOKUP(Tabla1[[#This Row],[Perfil]],Catalogos!$B$75:$D$100,3,FALSE)*Tabla1[[#This Row],[Tiempo
(Hrs 00/100)]]*1.16</f>
        <v>7307.9999999999991</v>
      </c>
      <c r="AA2969" t="s">
        <v>3356</v>
      </c>
    </row>
    <row r="2970" spans="1:27" ht="15" customHeight="1" x14ac:dyDescent="0.3">
      <c r="A2970" s="617" t="s">
        <v>22</v>
      </c>
      <c r="B2970" s="617" t="s">
        <v>23</v>
      </c>
      <c r="C2970" s="617" t="s">
        <v>49</v>
      </c>
      <c r="D2970" s="617"/>
      <c r="E2970" s="617" t="s">
        <v>4133</v>
      </c>
      <c r="F2970" s="617" t="s">
        <v>23</v>
      </c>
      <c r="G2970" s="696" t="s">
        <v>5334</v>
      </c>
      <c r="H2970" s="468" t="s">
        <v>5235</v>
      </c>
      <c r="I2970" s="467" t="s">
        <v>5247</v>
      </c>
      <c r="J2970" s="729">
        <v>45238</v>
      </c>
      <c r="K2970" s="773">
        <v>0.375</v>
      </c>
      <c r="L2970" s="729">
        <v>45238</v>
      </c>
      <c r="M2970" s="773">
        <v>0.83333333333333337</v>
      </c>
      <c r="N2970" s="617">
        <v>9</v>
      </c>
      <c r="O2970" s="697" t="s">
        <v>17</v>
      </c>
      <c r="P2970" s="701" t="s">
        <v>5332</v>
      </c>
      <c r="Q2970" s="143" t="s">
        <v>5375</v>
      </c>
      <c r="R2970" s="468" t="s">
        <v>40</v>
      </c>
      <c r="S2970" s="31" t="s">
        <v>273</v>
      </c>
      <c r="T2970" s="31" t="s">
        <v>273</v>
      </c>
      <c r="U2970" s="31">
        <f>IFERROR(VLOOKUP(CONCATENATE(Tabla1[[#This Row],[Severidad]]," ",Tabla1[[#This Row],[Complejidad]]),Catalogos!E$120:G$128,3,FALSE),"")</f>
        <v>64</v>
      </c>
      <c r="V2970" s="31" t="str">
        <f>IF(Tabla1[[#This Row],[Tiempo solución max (hrs)]]&lt;&gt;"",IF(Tabla1[[#This Row],[Tiempo solución max (hrs)]]&gt;=Tabla1[[#This Row],[Tiempo
(Hrs 00/100)]],"cumple","no cumple"),"")</f>
        <v>cumple</v>
      </c>
      <c r="W2970" s="376" t="s">
        <v>4210</v>
      </c>
      <c r="X2970" s="377" t="str">
        <f t="shared" si="222"/>
        <v>SAI</v>
      </c>
      <c r="Y2970" t="str">
        <f>SUBSTITUTE(Tabla1[[#This Row],[Descripción]],CHAR(10),"    I    ")</f>
        <v xml:space="preserve">1.7 Menu </v>
      </c>
      <c r="Z2970" s="142">
        <f>VLOOKUP(Tabla1[[#This Row],[Perfil]],Catalogos!$B$75:$D$100,3,FALSE)*Tabla1[[#This Row],[Tiempo
(Hrs 00/100)]]*1.16</f>
        <v>7307.9999999999991</v>
      </c>
      <c r="AA2970" t="s">
        <v>3356</v>
      </c>
    </row>
    <row r="2971" spans="1:27" ht="15" customHeight="1" x14ac:dyDescent="0.3">
      <c r="A2971" s="617" t="s">
        <v>22</v>
      </c>
      <c r="B2971" s="617" t="s">
        <v>23</v>
      </c>
      <c r="C2971" s="617" t="s">
        <v>49</v>
      </c>
      <c r="D2971" s="617"/>
      <c r="E2971" s="617" t="s">
        <v>4133</v>
      </c>
      <c r="F2971" s="617" t="s">
        <v>23</v>
      </c>
      <c r="G2971" s="696" t="s">
        <v>5335</v>
      </c>
      <c r="H2971" s="468" t="s">
        <v>5235</v>
      </c>
      <c r="I2971" s="467" t="s">
        <v>5249</v>
      </c>
      <c r="J2971" s="729">
        <v>45239</v>
      </c>
      <c r="K2971" s="773">
        <v>0.375</v>
      </c>
      <c r="L2971" s="729">
        <v>45239</v>
      </c>
      <c r="M2971" s="773">
        <v>0.79166666666666663</v>
      </c>
      <c r="N2971" s="183">
        <v>8</v>
      </c>
      <c r="O2971" s="697" t="s">
        <v>411</v>
      </c>
      <c r="P2971" s="701" t="s">
        <v>5332</v>
      </c>
      <c r="Q2971" s="143" t="s">
        <v>5375</v>
      </c>
      <c r="R2971" s="468" t="s">
        <v>40</v>
      </c>
      <c r="S2971" s="31" t="s">
        <v>273</v>
      </c>
      <c r="T2971" s="31" t="s">
        <v>273</v>
      </c>
      <c r="U2971" s="31">
        <f>IFERROR(VLOOKUP(CONCATENATE(Tabla1[[#This Row],[Severidad]]," ",Tabla1[[#This Row],[Complejidad]]),Catalogos!E$120:G$128,3,FALSE),"")</f>
        <v>64</v>
      </c>
      <c r="V2971" s="31" t="str">
        <f>IF(Tabla1[[#This Row],[Tiempo solución max (hrs)]]&lt;&gt;"",IF(Tabla1[[#This Row],[Tiempo solución max (hrs)]]&gt;=Tabla1[[#This Row],[Tiempo
(Hrs 00/100)]],"cumple","no cumple"),"")</f>
        <v>cumple</v>
      </c>
      <c r="W2971" s="376" t="s">
        <v>4210</v>
      </c>
      <c r="X2971" s="377" t="str">
        <f t="shared" si="222"/>
        <v>SAI</v>
      </c>
      <c r="Y2971" t="str">
        <f>SUBSTITUTE(Tabla1[[#This Row],[Descripción]],CHAR(10),"    I    ")</f>
        <v>1.8 Generar un nuevo menú denominado “blog”</v>
      </c>
      <c r="Z2971" s="142">
        <f>VLOOKUP(Tabla1[[#This Row],[Perfil]],Catalogos!$B$75:$D$100,3,FALSE)*Tabla1[[#This Row],[Tiempo
(Hrs 00/100)]]*1.16</f>
        <v>6496</v>
      </c>
      <c r="AA2971" t="s">
        <v>3356</v>
      </c>
    </row>
    <row r="2972" spans="1:27" ht="15" customHeight="1" x14ac:dyDescent="0.3">
      <c r="A2972" s="617" t="s">
        <v>22</v>
      </c>
      <c r="B2972" s="617" t="s">
        <v>23</v>
      </c>
      <c r="C2972" s="617" t="s">
        <v>49</v>
      </c>
      <c r="D2972" s="617"/>
      <c r="E2972" s="617" t="s">
        <v>4133</v>
      </c>
      <c r="F2972" s="617" t="s">
        <v>23</v>
      </c>
      <c r="G2972" s="696" t="s">
        <v>5335</v>
      </c>
      <c r="H2972" s="468" t="s">
        <v>5235</v>
      </c>
      <c r="I2972" s="467" t="s">
        <v>5249</v>
      </c>
      <c r="J2972" s="729">
        <v>45240</v>
      </c>
      <c r="K2972" s="773">
        <v>0.375</v>
      </c>
      <c r="L2972" s="729">
        <v>45240</v>
      </c>
      <c r="M2972" s="773">
        <v>0.625</v>
      </c>
      <c r="N2972" s="617">
        <v>6</v>
      </c>
      <c r="O2972" s="697" t="s">
        <v>411</v>
      </c>
      <c r="P2972" s="701" t="s">
        <v>5332</v>
      </c>
      <c r="Q2972" s="143" t="s">
        <v>5375</v>
      </c>
      <c r="R2972" s="468" t="s">
        <v>40</v>
      </c>
      <c r="S2972" s="31" t="s">
        <v>273</v>
      </c>
      <c r="T2972" s="31" t="s">
        <v>273</v>
      </c>
      <c r="U2972" s="31">
        <f>IFERROR(VLOOKUP(CONCATENATE(Tabla1[[#This Row],[Severidad]]," ",Tabla1[[#This Row],[Complejidad]]),Catalogos!E$120:G$128,3,FALSE),"")</f>
        <v>64</v>
      </c>
      <c r="V2972" s="31" t="str">
        <f>IF(Tabla1[[#This Row],[Tiempo solución max (hrs)]]&lt;&gt;"",IF(Tabla1[[#This Row],[Tiempo solución max (hrs)]]&gt;=Tabla1[[#This Row],[Tiempo
(Hrs 00/100)]],"cumple","no cumple"),"")</f>
        <v>cumple</v>
      </c>
      <c r="W2972" s="376" t="s">
        <v>4210</v>
      </c>
      <c r="X2972" s="377" t="str">
        <f t="shared" si="222"/>
        <v>SAI</v>
      </c>
      <c r="Y2972" t="str">
        <f>SUBSTITUTE(Tabla1[[#This Row],[Descripción]],CHAR(10),"    I    ")</f>
        <v>1.8 Generar un nuevo menú denominado “blog”</v>
      </c>
      <c r="Z2972" s="142">
        <f>VLOOKUP(Tabla1[[#This Row],[Perfil]],Catalogos!$B$75:$D$100,3,FALSE)*Tabla1[[#This Row],[Tiempo
(Hrs 00/100)]]*1.16</f>
        <v>4872</v>
      </c>
      <c r="AA2972" t="s">
        <v>3356</v>
      </c>
    </row>
    <row r="2973" spans="1:27" ht="15" customHeight="1" x14ac:dyDescent="0.3">
      <c r="A2973" s="617" t="s">
        <v>22</v>
      </c>
      <c r="B2973" s="617" t="s">
        <v>23</v>
      </c>
      <c r="C2973" s="617" t="s">
        <v>49</v>
      </c>
      <c r="D2973" s="617"/>
      <c r="E2973" s="617" t="s">
        <v>4133</v>
      </c>
      <c r="F2973" s="617" t="s">
        <v>23</v>
      </c>
      <c r="G2973" s="696" t="s">
        <v>5335</v>
      </c>
      <c r="H2973" s="468" t="s">
        <v>5235</v>
      </c>
      <c r="I2973" s="467" t="s">
        <v>5249</v>
      </c>
      <c r="J2973" s="729">
        <v>45243</v>
      </c>
      <c r="K2973" s="773">
        <v>0.375</v>
      </c>
      <c r="L2973" s="729">
        <v>45243</v>
      </c>
      <c r="M2973" s="773">
        <v>0.83333333333333337</v>
      </c>
      <c r="N2973" s="617">
        <v>9</v>
      </c>
      <c r="O2973" s="697" t="s">
        <v>411</v>
      </c>
      <c r="P2973" s="701" t="s">
        <v>5332</v>
      </c>
      <c r="Q2973" s="143" t="s">
        <v>5375</v>
      </c>
      <c r="R2973" s="468" t="s">
        <v>40</v>
      </c>
      <c r="S2973" s="31" t="s">
        <v>273</v>
      </c>
      <c r="T2973" s="31" t="s">
        <v>273</v>
      </c>
      <c r="U2973" s="31">
        <f>IFERROR(VLOOKUP(CONCATENATE(Tabla1[[#This Row],[Severidad]]," ",Tabla1[[#This Row],[Complejidad]]),Catalogos!E$120:G$128,3,FALSE),"")</f>
        <v>64</v>
      </c>
      <c r="V2973" s="31" t="str">
        <f>IF(Tabla1[[#This Row],[Tiempo solución max (hrs)]]&lt;&gt;"",IF(Tabla1[[#This Row],[Tiempo solución max (hrs)]]&gt;=Tabla1[[#This Row],[Tiempo
(Hrs 00/100)]],"cumple","no cumple"),"")</f>
        <v>cumple</v>
      </c>
      <c r="W2973" s="376" t="s">
        <v>4210</v>
      </c>
      <c r="X2973" s="377" t="str">
        <f t="shared" si="222"/>
        <v>SAI</v>
      </c>
      <c r="Y2973" t="str">
        <f>SUBSTITUTE(Tabla1[[#This Row],[Descripción]],CHAR(10),"    I    ")</f>
        <v>1.8 Generar un nuevo menú denominado “blog”</v>
      </c>
      <c r="Z2973" s="142">
        <f>VLOOKUP(Tabla1[[#This Row],[Perfil]],Catalogos!$B$75:$D$100,3,FALSE)*Tabla1[[#This Row],[Tiempo
(Hrs 00/100)]]*1.16</f>
        <v>7307.9999999999991</v>
      </c>
      <c r="AA2973" t="s">
        <v>3356</v>
      </c>
    </row>
    <row r="2974" spans="1:27" ht="15" customHeight="1" x14ac:dyDescent="0.3">
      <c r="A2974" s="617" t="s">
        <v>22</v>
      </c>
      <c r="B2974" s="617" t="s">
        <v>23</v>
      </c>
      <c r="C2974" s="617" t="s">
        <v>49</v>
      </c>
      <c r="D2974" s="617"/>
      <c r="E2974" s="617" t="s">
        <v>4133</v>
      </c>
      <c r="F2974" s="617" t="s">
        <v>23</v>
      </c>
      <c r="G2974" s="696" t="s">
        <v>5335</v>
      </c>
      <c r="H2974" s="468" t="s">
        <v>5235</v>
      </c>
      <c r="I2974" s="467" t="s">
        <v>5249</v>
      </c>
      <c r="J2974" s="729">
        <v>45244</v>
      </c>
      <c r="K2974" s="773">
        <v>0.375</v>
      </c>
      <c r="L2974" s="729">
        <v>45244</v>
      </c>
      <c r="M2974" s="773">
        <v>0.83333333333333337</v>
      </c>
      <c r="N2974" s="617">
        <v>9</v>
      </c>
      <c r="O2974" s="697" t="s">
        <v>411</v>
      </c>
      <c r="P2974" s="701" t="s">
        <v>5332</v>
      </c>
      <c r="Q2974" s="143" t="s">
        <v>5375</v>
      </c>
      <c r="R2974" s="468" t="s">
        <v>40</v>
      </c>
      <c r="S2974" s="31" t="s">
        <v>273</v>
      </c>
      <c r="T2974" s="31" t="s">
        <v>273</v>
      </c>
      <c r="U2974" s="31">
        <f>IFERROR(VLOOKUP(CONCATENATE(Tabla1[[#This Row],[Severidad]]," ",Tabla1[[#This Row],[Complejidad]]),Catalogos!E$120:G$128,3,FALSE),"")</f>
        <v>64</v>
      </c>
      <c r="V2974" s="31" t="str">
        <f>IF(Tabla1[[#This Row],[Tiempo solución max (hrs)]]&lt;&gt;"",IF(Tabla1[[#This Row],[Tiempo solución max (hrs)]]&gt;=Tabla1[[#This Row],[Tiempo
(Hrs 00/100)]],"cumple","no cumple"),"")</f>
        <v>cumple</v>
      </c>
      <c r="W2974" s="376" t="s">
        <v>4210</v>
      </c>
      <c r="X2974" s="377" t="str">
        <f t="shared" si="222"/>
        <v>SAI</v>
      </c>
      <c r="Y2974" t="str">
        <f>SUBSTITUTE(Tabla1[[#This Row],[Descripción]],CHAR(10),"    I    ")</f>
        <v>1.8 Generar un nuevo menú denominado “blog”</v>
      </c>
      <c r="Z2974" s="142">
        <f>VLOOKUP(Tabla1[[#This Row],[Perfil]],Catalogos!$B$75:$D$100,3,FALSE)*Tabla1[[#This Row],[Tiempo
(Hrs 00/100)]]*1.16</f>
        <v>7307.9999999999991</v>
      </c>
      <c r="AA2974" t="s">
        <v>3356</v>
      </c>
    </row>
    <row r="2975" spans="1:27" ht="15" customHeight="1" x14ac:dyDescent="0.3">
      <c r="A2975" s="617" t="s">
        <v>22</v>
      </c>
      <c r="B2975" s="617" t="s">
        <v>23</v>
      </c>
      <c r="C2975" s="617" t="s">
        <v>49</v>
      </c>
      <c r="D2975" s="617"/>
      <c r="E2975" s="617" t="s">
        <v>4133</v>
      </c>
      <c r="F2975" s="617" t="s">
        <v>23</v>
      </c>
      <c r="G2975" s="696" t="s">
        <v>5335</v>
      </c>
      <c r="H2975" s="468" t="s">
        <v>5235</v>
      </c>
      <c r="I2975" s="467" t="s">
        <v>5249</v>
      </c>
      <c r="J2975" s="729">
        <v>45245</v>
      </c>
      <c r="K2975" s="773">
        <v>0.375</v>
      </c>
      <c r="L2975" s="729">
        <v>45245</v>
      </c>
      <c r="M2975" s="773">
        <v>0.79166666666666663</v>
      </c>
      <c r="N2975" s="617">
        <v>8</v>
      </c>
      <c r="O2975" s="697" t="s">
        <v>17</v>
      </c>
      <c r="P2975" s="701" t="s">
        <v>5332</v>
      </c>
      <c r="Q2975" s="143" t="s">
        <v>5375</v>
      </c>
      <c r="R2975" s="468" t="s">
        <v>40</v>
      </c>
      <c r="S2975" s="31" t="s">
        <v>273</v>
      </c>
      <c r="T2975" s="31" t="s">
        <v>273</v>
      </c>
      <c r="U2975" s="31">
        <f>IFERROR(VLOOKUP(CONCATENATE(Tabla1[[#This Row],[Severidad]]," ",Tabla1[[#This Row],[Complejidad]]),Catalogos!E$120:G$128,3,FALSE),"")</f>
        <v>64</v>
      </c>
      <c r="V2975" s="31" t="str">
        <f>IF(Tabla1[[#This Row],[Tiempo solución max (hrs)]]&lt;&gt;"",IF(Tabla1[[#This Row],[Tiempo solución max (hrs)]]&gt;=Tabla1[[#This Row],[Tiempo
(Hrs 00/100)]],"cumple","no cumple"),"")</f>
        <v>cumple</v>
      </c>
      <c r="W2975" s="376" t="s">
        <v>4210</v>
      </c>
      <c r="X2975" s="377" t="str">
        <f t="shared" si="222"/>
        <v>SAI</v>
      </c>
      <c r="Y2975" t="str">
        <f>SUBSTITUTE(Tabla1[[#This Row],[Descripción]],CHAR(10),"    I    ")</f>
        <v>1.8 Generar un nuevo menú denominado “blog”</v>
      </c>
      <c r="Z2975" s="142">
        <f>VLOOKUP(Tabla1[[#This Row],[Perfil]],Catalogos!$B$75:$D$100,3,FALSE)*Tabla1[[#This Row],[Tiempo
(Hrs 00/100)]]*1.16</f>
        <v>6496</v>
      </c>
      <c r="AA2975" t="s">
        <v>3356</v>
      </c>
    </row>
    <row r="2976" spans="1:27" ht="15" customHeight="1" x14ac:dyDescent="0.3">
      <c r="A2976" s="617" t="s">
        <v>22</v>
      </c>
      <c r="B2976" s="617" t="s">
        <v>23</v>
      </c>
      <c r="C2976" s="617" t="s">
        <v>49</v>
      </c>
      <c r="D2976" s="617"/>
      <c r="E2976" s="617" t="s">
        <v>4133</v>
      </c>
      <c r="F2976" s="617" t="s">
        <v>23</v>
      </c>
      <c r="G2976" s="696" t="s">
        <v>5336</v>
      </c>
      <c r="H2976" s="698" t="s">
        <v>5252</v>
      </c>
      <c r="I2976" s="467" t="s">
        <v>5253</v>
      </c>
      <c r="J2976" s="729">
        <v>45246</v>
      </c>
      <c r="K2976" s="773">
        <v>0.375</v>
      </c>
      <c r="L2976" s="729">
        <v>45246</v>
      </c>
      <c r="M2976" s="773">
        <v>0.83333333333333337</v>
      </c>
      <c r="N2976" s="617">
        <v>9</v>
      </c>
      <c r="O2976" s="697" t="s">
        <v>411</v>
      </c>
      <c r="P2976" s="701" t="s">
        <v>5332</v>
      </c>
      <c r="Q2976" s="143" t="s">
        <v>5375</v>
      </c>
      <c r="R2976" s="468" t="s">
        <v>40</v>
      </c>
      <c r="S2976" s="31" t="s">
        <v>273</v>
      </c>
      <c r="T2976" s="31" t="s">
        <v>273</v>
      </c>
      <c r="U2976" s="31">
        <f>IFERROR(VLOOKUP(CONCATENATE(Tabla1[[#This Row],[Severidad]]," ",Tabla1[[#This Row],[Complejidad]]),Catalogos!E$120:G$128,3,FALSE),"")</f>
        <v>64</v>
      </c>
      <c r="V2976" s="31" t="str">
        <f>IF(Tabla1[[#This Row],[Tiempo solución max (hrs)]]&lt;&gt;"",IF(Tabla1[[#This Row],[Tiempo solución max (hrs)]]&gt;=Tabla1[[#This Row],[Tiempo
(Hrs 00/100)]],"cumple","no cumple"),"")</f>
        <v>cumple</v>
      </c>
      <c r="W2976" s="376" t="s">
        <v>4210</v>
      </c>
      <c r="X2976" s="377" t="str">
        <f t="shared" si="222"/>
        <v>SAI</v>
      </c>
      <c r="Y2976" t="str">
        <f>SUBSTITUTE(Tabla1[[#This Row],[Descripción]],CHAR(10),"    I    ")</f>
        <v>2.4.1 Integrar mensajería instantánea (Alerta de mensajes no leídos)</v>
      </c>
      <c r="Z2976" s="142">
        <f>VLOOKUP(Tabla1[[#This Row],[Perfil]],Catalogos!$B$75:$D$100,3,FALSE)*Tabla1[[#This Row],[Tiempo
(Hrs 00/100)]]*1.16</f>
        <v>7307.9999999999991</v>
      </c>
      <c r="AA2976" t="s">
        <v>3356</v>
      </c>
    </row>
    <row r="2977" spans="1:27" ht="15" customHeight="1" x14ac:dyDescent="0.3">
      <c r="A2977" s="617" t="s">
        <v>22</v>
      </c>
      <c r="B2977" s="617" t="s">
        <v>23</v>
      </c>
      <c r="C2977" s="617" t="s">
        <v>49</v>
      </c>
      <c r="D2977" s="617"/>
      <c r="E2977" s="617" t="s">
        <v>4133</v>
      </c>
      <c r="F2977" s="617" t="s">
        <v>23</v>
      </c>
      <c r="G2977" s="696" t="s">
        <v>5336</v>
      </c>
      <c r="H2977" s="698" t="s">
        <v>5252</v>
      </c>
      <c r="I2977" s="467" t="s">
        <v>5253</v>
      </c>
      <c r="J2977" s="729">
        <v>45247</v>
      </c>
      <c r="K2977" s="773">
        <v>0.375</v>
      </c>
      <c r="L2977" s="729">
        <v>45247</v>
      </c>
      <c r="M2977" s="773">
        <v>0.54166666666666663</v>
      </c>
      <c r="N2977" s="617">
        <v>4</v>
      </c>
      <c r="O2977" s="697" t="s">
        <v>17</v>
      </c>
      <c r="P2977" s="701" t="s">
        <v>5332</v>
      </c>
      <c r="Q2977" s="143" t="s">
        <v>5375</v>
      </c>
      <c r="R2977" s="468" t="s">
        <v>40</v>
      </c>
      <c r="S2977" s="31" t="s">
        <v>273</v>
      </c>
      <c r="T2977" s="31" t="s">
        <v>273</v>
      </c>
      <c r="U2977" s="31">
        <f>IFERROR(VLOOKUP(CONCATENATE(Tabla1[[#This Row],[Severidad]]," ",Tabla1[[#This Row],[Complejidad]]),Catalogos!E$120:G$128,3,FALSE),"")</f>
        <v>64</v>
      </c>
      <c r="V2977" s="31" t="str">
        <f>IF(Tabla1[[#This Row],[Tiempo solución max (hrs)]]&lt;&gt;"",IF(Tabla1[[#This Row],[Tiempo solución max (hrs)]]&gt;=Tabla1[[#This Row],[Tiempo
(Hrs 00/100)]],"cumple","no cumple"),"")</f>
        <v>cumple</v>
      </c>
      <c r="W2977" s="376" t="s">
        <v>4210</v>
      </c>
      <c r="X2977" s="377" t="str">
        <f t="shared" si="222"/>
        <v>SAI</v>
      </c>
      <c r="Y2977" t="str">
        <f>SUBSTITUTE(Tabla1[[#This Row],[Descripción]],CHAR(10),"    I    ")</f>
        <v>2.4.1 Integrar mensajería instantánea (Alerta de mensajes no leídos)</v>
      </c>
      <c r="Z2977" s="142">
        <f>VLOOKUP(Tabla1[[#This Row],[Perfil]],Catalogos!$B$75:$D$100,3,FALSE)*Tabla1[[#This Row],[Tiempo
(Hrs 00/100)]]*1.16</f>
        <v>3248</v>
      </c>
      <c r="AA2977" t="s">
        <v>3356</v>
      </c>
    </row>
    <row r="2978" spans="1:27" ht="15" customHeight="1" x14ac:dyDescent="0.3">
      <c r="A2978" s="617" t="s">
        <v>22</v>
      </c>
      <c r="B2978" s="617" t="s">
        <v>23</v>
      </c>
      <c r="C2978" s="617" t="s">
        <v>49</v>
      </c>
      <c r="D2978" s="617"/>
      <c r="E2978" s="617" t="s">
        <v>4133</v>
      </c>
      <c r="F2978" s="617" t="s">
        <v>23</v>
      </c>
      <c r="G2978" s="696" t="s">
        <v>5337</v>
      </c>
      <c r="H2978" s="698" t="s">
        <v>5252</v>
      </c>
      <c r="I2978" s="467" t="s">
        <v>5255</v>
      </c>
      <c r="J2978" s="729">
        <v>45247</v>
      </c>
      <c r="K2978" s="773">
        <v>0.54166666666666663</v>
      </c>
      <c r="L2978" s="729">
        <v>45251</v>
      </c>
      <c r="M2978" s="773">
        <v>0.625</v>
      </c>
      <c r="N2978" s="617">
        <v>2</v>
      </c>
      <c r="O2978" s="697" t="s">
        <v>411</v>
      </c>
      <c r="P2978" s="701" t="s">
        <v>5332</v>
      </c>
      <c r="Q2978" s="143" t="s">
        <v>5375</v>
      </c>
      <c r="R2978" s="468" t="s">
        <v>40</v>
      </c>
      <c r="S2978" s="31" t="s">
        <v>273</v>
      </c>
      <c r="T2978" s="31" t="s">
        <v>273</v>
      </c>
      <c r="U2978" s="31">
        <f>IFERROR(VLOOKUP(CONCATENATE(Tabla1[[#This Row],[Severidad]]," ",Tabla1[[#This Row],[Complejidad]]),Catalogos!E$120:G$128,3,FALSE),"")</f>
        <v>64</v>
      </c>
      <c r="V2978" s="31" t="str">
        <f>IF(Tabla1[[#This Row],[Tiempo solución max (hrs)]]&lt;&gt;"",IF(Tabla1[[#This Row],[Tiempo solución max (hrs)]]&gt;=Tabla1[[#This Row],[Tiempo
(Hrs 00/100)]],"cumple","no cumple"),"")</f>
        <v>cumple</v>
      </c>
      <c r="W2978" s="376" t="s">
        <v>4210</v>
      </c>
      <c r="X2978" s="377" t="str">
        <f t="shared" si="222"/>
        <v>SAI</v>
      </c>
      <c r="Y2978" t="str">
        <f>SUBSTITUTE(Tabla1[[#This Row],[Descripción]],CHAR(10),"    I    ")</f>
        <v>2.4.2 esignación de programa por enlace (PROTAI-PRONADATOS, o en su caso, AMBOS)</v>
      </c>
      <c r="Z2978" s="142">
        <f>VLOOKUP(Tabla1[[#This Row],[Perfil]],Catalogos!$B$75:$D$100,3,FALSE)*Tabla1[[#This Row],[Tiempo
(Hrs 00/100)]]*1.16</f>
        <v>1624</v>
      </c>
      <c r="AA2978" t="s">
        <v>3356</v>
      </c>
    </row>
    <row r="2979" spans="1:27" ht="15" customHeight="1" x14ac:dyDescent="0.3">
      <c r="A2979" s="617" t="s">
        <v>22</v>
      </c>
      <c r="B2979" s="617" t="s">
        <v>23</v>
      </c>
      <c r="C2979" s="617" t="s">
        <v>49</v>
      </c>
      <c r="D2979" s="617"/>
      <c r="E2979" s="617" t="s">
        <v>4133</v>
      </c>
      <c r="F2979" s="617" t="s">
        <v>23</v>
      </c>
      <c r="G2979" s="696" t="s">
        <v>5337</v>
      </c>
      <c r="H2979" s="698" t="s">
        <v>5252</v>
      </c>
      <c r="I2979" s="467" t="s">
        <v>5255</v>
      </c>
      <c r="J2979" s="729">
        <v>45251</v>
      </c>
      <c r="K2979" s="773">
        <v>0.375</v>
      </c>
      <c r="L2979" s="729">
        <v>45251</v>
      </c>
      <c r="M2979" s="773">
        <v>0.54166666666666663</v>
      </c>
      <c r="N2979" s="617">
        <v>4</v>
      </c>
      <c r="O2979" s="697" t="s">
        <v>17</v>
      </c>
      <c r="P2979" s="701" t="s">
        <v>5332</v>
      </c>
      <c r="Q2979" s="143" t="s">
        <v>5375</v>
      </c>
      <c r="R2979" s="468" t="s">
        <v>40</v>
      </c>
      <c r="S2979" s="31" t="s">
        <v>273</v>
      </c>
      <c r="T2979" s="31" t="s">
        <v>273</v>
      </c>
      <c r="U2979" s="31">
        <f>IFERROR(VLOOKUP(CONCATENATE(Tabla1[[#This Row],[Severidad]]," ",Tabla1[[#This Row],[Complejidad]]),Catalogos!E$120:G$128,3,FALSE),"")</f>
        <v>64</v>
      </c>
      <c r="V2979" s="31" t="str">
        <f>IF(Tabla1[[#This Row],[Tiempo solución max (hrs)]]&lt;&gt;"",IF(Tabla1[[#This Row],[Tiempo solución max (hrs)]]&gt;=Tabla1[[#This Row],[Tiempo
(Hrs 00/100)]],"cumple","no cumple"),"")</f>
        <v>cumple</v>
      </c>
      <c r="W2979" s="376" t="s">
        <v>4210</v>
      </c>
      <c r="X2979" s="377" t="str">
        <f t="shared" ref="X2979:X3005" si="223">IF(C2979&lt;&gt;"",C2979,D2979)</f>
        <v>SAI</v>
      </c>
      <c r="Y2979" t="str">
        <f>SUBSTITUTE(Tabla1[[#This Row],[Descripción]],CHAR(10),"    I    ")</f>
        <v>2.4.2 esignación de programa por enlace (PROTAI-PRONADATOS, o en su caso, AMBOS)</v>
      </c>
      <c r="Z2979" s="142">
        <f>VLOOKUP(Tabla1[[#This Row],[Perfil]],Catalogos!$B$75:$D$100,3,FALSE)*Tabla1[[#This Row],[Tiempo
(Hrs 00/100)]]*1.16</f>
        <v>3248</v>
      </c>
      <c r="AA2979" t="s">
        <v>3356</v>
      </c>
    </row>
    <row r="2980" spans="1:27" ht="15" customHeight="1" x14ac:dyDescent="0.3">
      <c r="A2980" s="617" t="s">
        <v>22</v>
      </c>
      <c r="B2980" s="617" t="s">
        <v>23</v>
      </c>
      <c r="C2980" s="617" t="s">
        <v>49</v>
      </c>
      <c r="D2980" s="617"/>
      <c r="E2980" s="617" t="s">
        <v>4133</v>
      </c>
      <c r="F2980" s="617" t="s">
        <v>23</v>
      </c>
      <c r="G2980" s="696" t="s">
        <v>5338</v>
      </c>
      <c r="H2980" s="698" t="s">
        <v>5252</v>
      </c>
      <c r="I2980" s="467" t="s">
        <v>5257</v>
      </c>
      <c r="J2980" s="729">
        <v>45251</v>
      </c>
      <c r="K2980" s="773">
        <v>0.54166666666666663</v>
      </c>
      <c r="L2980" s="729">
        <v>45251</v>
      </c>
      <c r="M2980" s="773">
        <v>0.79166666666666663</v>
      </c>
      <c r="N2980" s="617">
        <v>4</v>
      </c>
      <c r="O2980" s="697" t="s">
        <v>411</v>
      </c>
      <c r="P2980" s="701" t="s">
        <v>5332</v>
      </c>
      <c r="Q2980" s="143" t="s">
        <v>5375</v>
      </c>
      <c r="R2980" s="468" t="s">
        <v>40</v>
      </c>
      <c r="S2980" s="31" t="s">
        <v>273</v>
      </c>
      <c r="T2980" s="31" t="s">
        <v>273</v>
      </c>
      <c r="U2980" s="31">
        <f>IFERROR(VLOOKUP(CONCATENATE(Tabla1[[#This Row],[Severidad]]," ",Tabla1[[#This Row],[Complejidad]]),Catalogos!E$120:G$128,3,FALSE),"")</f>
        <v>64</v>
      </c>
      <c r="V2980" s="31" t="str">
        <f>IF(Tabla1[[#This Row],[Tiempo solución max (hrs)]]&lt;&gt;"",IF(Tabla1[[#This Row],[Tiempo solución max (hrs)]]&gt;=Tabla1[[#This Row],[Tiempo
(Hrs 00/100)]],"cumple","no cumple"),"")</f>
        <v>cumple</v>
      </c>
      <c r="W2980" s="376" t="s">
        <v>4210</v>
      </c>
      <c r="X2980" s="377" t="str">
        <f t="shared" si="223"/>
        <v>SAI</v>
      </c>
      <c r="Y2980" t="str">
        <f>SUBSTITUTE(Tabla1[[#This Row],[Descripción]],CHAR(10),"    I    ")</f>
        <v>3.1.1.Habilitar campos en Apartado "Nuevo" para la asignación de Líneas de Enlace a UA</v>
      </c>
      <c r="Z2980" s="142">
        <f>VLOOKUP(Tabla1[[#This Row],[Perfil]],Catalogos!$B$75:$D$100,3,FALSE)*Tabla1[[#This Row],[Tiempo
(Hrs 00/100)]]*1.16</f>
        <v>3248</v>
      </c>
      <c r="AA2980" t="s">
        <v>3356</v>
      </c>
    </row>
    <row r="2981" spans="1:27" ht="15" customHeight="1" x14ac:dyDescent="0.3">
      <c r="A2981" s="617" t="s">
        <v>22</v>
      </c>
      <c r="B2981" s="617" t="s">
        <v>23</v>
      </c>
      <c r="C2981" s="617" t="s">
        <v>49</v>
      </c>
      <c r="D2981" s="617"/>
      <c r="E2981" s="617" t="s">
        <v>4133</v>
      </c>
      <c r="F2981" s="617" t="s">
        <v>23</v>
      </c>
      <c r="G2981" s="696" t="s">
        <v>5338</v>
      </c>
      <c r="H2981" s="698" t="s">
        <v>5252</v>
      </c>
      <c r="I2981" s="467" t="s">
        <v>5257</v>
      </c>
      <c r="J2981" s="729">
        <v>45252</v>
      </c>
      <c r="K2981" s="773">
        <v>0.375</v>
      </c>
      <c r="L2981" s="729">
        <v>45252</v>
      </c>
      <c r="M2981" s="773">
        <v>0.54166666666666663</v>
      </c>
      <c r="N2981" s="617">
        <v>4</v>
      </c>
      <c r="O2981" s="697" t="s">
        <v>17</v>
      </c>
      <c r="P2981" s="701" t="s">
        <v>5332</v>
      </c>
      <c r="Q2981" s="143" t="s">
        <v>5375</v>
      </c>
      <c r="R2981" s="468" t="s">
        <v>40</v>
      </c>
      <c r="S2981" s="31" t="s">
        <v>273</v>
      </c>
      <c r="T2981" s="31" t="s">
        <v>273</v>
      </c>
      <c r="U2981" s="31">
        <f>IFERROR(VLOOKUP(CONCATENATE(Tabla1[[#This Row],[Severidad]]," ",Tabla1[[#This Row],[Complejidad]]),Catalogos!E$120:G$128,3,FALSE),"")</f>
        <v>64</v>
      </c>
      <c r="V2981" s="31" t="str">
        <f>IF(Tabla1[[#This Row],[Tiempo solución max (hrs)]]&lt;&gt;"",IF(Tabla1[[#This Row],[Tiempo solución max (hrs)]]&gt;=Tabla1[[#This Row],[Tiempo
(Hrs 00/100)]],"cumple","no cumple"),"")</f>
        <v>cumple</v>
      </c>
      <c r="W2981" s="376" t="s">
        <v>4210</v>
      </c>
      <c r="X2981" s="377" t="str">
        <f t="shared" si="223"/>
        <v>SAI</v>
      </c>
      <c r="Y2981" t="str">
        <f>SUBSTITUTE(Tabla1[[#This Row],[Descripción]],CHAR(10),"    I    ")</f>
        <v>3.1.1.Habilitar campos en Apartado "Nuevo" para la asignación de Líneas de Enlace a UA</v>
      </c>
      <c r="Z2981" s="142">
        <f>VLOOKUP(Tabla1[[#This Row],[Perfil]],Catalogos!$B$75:$D$100,3,FALSE)*Tabla1[[#This Row],[Tiempo
(Hrs 00/100)]]*1.16</f>
        <v>3248</v>
      </c>
      <c r="AA2981" t="s">
        <v>3356</v>
      </c>
    </row>
    <row r="2982" spans="1:27" ht="15" customHeight="1" x14ac:dyDescent="0.3">
      <c r="A2982" s="617" t="s">
        <v>22</v>
      </c>
      <c r="B2982" s="617" t="s">
        <v>23</v>
      </c>
      <c r="C2982" s="617" t="s">
        <v>49</v>
      </c>
      <c r="D2982" s="617"/>
      <c r="E2982" s="617" t="s">
        <v>4133</v>
      </c>
      <c r="F2982" s="617" t="s">
        <v>23</v>
      </c>
      <c r="G2982" s="696" t="s">
        <v>5339</v>
      </c>
      <c r="H2982" s="698" t="s">
        <v>5252</v>
      </c>
      <c r="I2982" s="467" t="s">
        <v>5259</v>
      </c>
      <c r="J2982" s="729">
        <v>45252</v>
      </c>
      <c r="K2982" s="773">
        <v>0.54166666666666663</v>
      </c>
      <c r="L2982" s="729">
        <v>45252</v>
      </c>
      <c r="M2982" s="773">
        <v>0.79166666666666663</v>
      </c>
      <c r="N2982" s="617">
        <v>5</v>
      </c>
      <c r="O2982" s="697" t="s">
        <v>411</v>
      </c>
      <c r="P2982" s="701" t="s">
        <v>5332</v>
      </c>
      <c r="Q2982" s="143" t="s">
        <v>5375</v>
      </c>
      <c r="R2982" s="468" t="s">
        <v>40</v>
      </c>
      <c r="S2982" s="31" t="s">
        <v>273</v>
      </c>
      <c r="T2982" s="31" t="s">
        <v>273</v>
      </c>
      <c r="U2982" s="31">
        <f>IFERROR(VLOOKUP(CONCATENATE(Tabla1[[#This Row],[Severidad]]," ",Tabla1[[#This Row],[Complejidad]]),Catalogos!E$120:G$128,3,FALSE),"")</f>
        <v>64</v>
      </c>
      <c r="V2982" s="31" t="str">
        <f>IF(Tabla1[[#This Row],[Tiempo solución max (hrs)]]&lt;&gt;"",IF(Tabla1[[#This Row],[Tiempo solución max (hrs)]]&gt;=Tabla1[[#This Row],[Tiempo
(Hrs 00/100)]],"cumple","no cumple"),"")</f>
        <v>cumple</v>
      </c>
      <c r="W2982" s="376" t="s">
        <v>4210</v>
      </c>
      <c r="X2982" s="377" t="str">
        <f t="shared" si="223"/>
        <v>SAI</v>
      </c>
      <c r="Y2982" t="str">
        <f>SUBSTITUTE(Tabla1[[#This Row],[Descripción]],CHAR(10),"    I    ")</f>
        <v xml:space="preserve">3.2.1Integrar en los 3 roles, en todas las pantallas, el filtro de Numeración </v>
      </c>
      <c r="Z2982" s="142">
        <f>VLOOKUP(Tabla1[[#This Row],[Perfil]],Catalogos!$B$75:$D$100,3,FALSE)*Tabla1[[#This Row],[Tiempo
(Hrs 00/100)]]*1.16</f>
        <v>4059.9999999999995</v>
      </c>
      <c r="AA2982" t="s">
        <v>3356</v>
      </c>
    </row>
    <row r="2983" spans="1:27" ht="15" customHeight="1" x14ac:dyDescent="0.3">
      <c r="A2983" s="617" t="s">
        <v>22</v>
      </c>
      <c r="B2983" s="617" t="s">
        <v>23</v>
      </c>
      <c r="C2983" s="617" t="s">
        <v>49</v>
      </c>
      <c r="D2983" s="617"/>
      <c r="E2983" s="617" t="s">
        <v>4133</v>
      </c>
      <c r="F2983" s="617" t="s">
        <v>23</v>
      </c>
      <c r="G2983" s="696" t="s">
        <v>5339</v>
      </c>
      <c r="H2983" s="698" t="s">
        <v>5252</v>
      </c>
      <c r="I2983" s="467" t="s">
        <v>5259</v>
      </c>
      <c r="J2983" s="729">
        <v>45253</v>
      </c>
      <c r="K2983" s="773">
        <v>0.375</v>
      </c>
      <c r="L2983" s="729">
        <v>45253</v>
      </c>
      <c r="M2983" s="773">
        <v>0.5</v>
      </c>
      <c r="N2983" s="617">
        <v>3</v>
      </c>
      <c r="O2983" s="697" t="s">
        <v>17</v>
      </c>
      <c r="P2983" s="701" t="s">
        <v>5332</v>
      </c>
      <c r="Q2983" s="143" t="s">
        <v>5375</v>
      </c>
      <c r="R2983" s="468" t="s">
        <v>40</v>
      </c>
      <c r="S2983" s="31" t="s">
        <v>273</v>
      </c>
      <c r="T2983" s="31" t="s">
        <v>273</v>
      </c>
      <c r="U2983" s="31">
        <f>IFERROR(VLOOKUP(CONCATENATE(Tabla1[[#This Row],[Severidad]]," ",Tabla1[[#This Row],[Complejidad]]),Catalogos!E$120:G$128,3,FALSE),"")</f>
        <v>64</v>
      </c>
      <c r="V2983" s="31" t="str">
        <f>IF(Tabla1[[#This Row],[Tiempo solución max (hrs)]]&lt;&gt;"",IF(Tabla1[[#This Row],[Tiempo solución max (hrs)]]&gt;=Tabla1[[#This Row],[Tiempo
(Hrs 00/100)]],"cumple","no cumple"),"")</f>
        <v>cumple</v>
      </c>
      <c r="W2983" s="376" t="s">
        <v>4210</v>
      </c>
      <c r="X2983" s="377" t="str">
        <f t="shared" si="223"/>
        <v>SAI</v>
      </c>
      <c r="Y2983" t="str">
        <f>SUBSTITUTE(Tabla1[[#This Row],[Descripción]],CHAR(10),"    I    ")</f>
        <v xml:space="preserve">3.2.1Integrar en los 3 roles, en todas las pantallas, el filtro de Numeración </v>
      </c>
      <c r="Z2983" s="142">
        <f>VLOOKUP(Tabla1[[#This Row],[Perfil]],Catalogos!$B$75:$D$100,3,FALSE)*Tabla1[[#This Row],[Tiempo
(Hrs 00/100)]]*1.16</f>
        <v>2436</v>
      </c>
      <c r="AA2983" t="s">
        <v>3356</v>
      </c>
    </row>
    <row r="2984" spans="1:27" ht="15" customHeight="1" x14ac:dyDescent="0.3">
      <c r="A2984" s="617" t="s">
        <v>22</v>
      </c>
      <c r="B2984" s="617" t="s">
        <v>23</v>
      </c>
      <c r="C2984" s="617" t="s">
        <v>49</v>
      </c>
      <c r="D2984" s="617"/>
      <c r="E2984" s="617" t="s">
        <v>4133</v>
      </c>
      <c r="F2984" s="617" t="s">
        <v>23</v>
      </c>
      <c r="G2984" s="696" t="s">
        <v>5340</v>
      </c>
      <c r="H2984" s="698" t="s">
        <v>5252</v>
      </c>
      <c r="I2984" s="467" t="s">
        <v>5261</v>
      </c>
      <c r="J2984" s="729">
        <v>45253</v>
      </c>
      <c r="K2984" s="773">
        <v>0.5</v>
      </c>
      <c r="L2984" s="729">
        <v>45253</v>
      </c>
      <c r="M2984" s="773">
        <v>0.79166666666666663</v>
      </c>
      <c r="N2984" s="617">
        <v>5</v>
      </c>
      <c r="O2984" s="697" t="s">
        <v>17</v>
      </c>
      <c r="P2984" s="701" t="s">
        <v>5332</v>
      </c>
      <c r="Q2984" s="143" t="s">
        <v>5375</v>
      </c>
      <c r="R2984" s="468" t="s">
        <v>40</v>
      </c>
      <c r="S2984" s="31" t="s">
        <v>273</v>
      </c>
      <c r="T2984" s="31" t="s">
        <v>273</v>
      </c>
      <c r="U2984" s="31">
        <f>IFERROR(VLOOKUP(CONCATENATE(Tabla1[[#This Row],[Severidad]]," ",Tabla1[[#This Row],[Complejidad]]),Catalogos!E$120:G$128,3,FALSE),"")</f>
        <v>64</v>
      </c>
      <c r="V2984" s="31" t="str">
        <f>IF(Tabla1[[#This Row],[Tiempo solución max (hrs)]]&lt;&gt;"",IF(Tabla1[[#This Row],[Tiempo solución max (hrs)]]&gt;=Tabla1[[#This Row],[Tiempo
(Hrs 00/100)]],"cumple","no cumple"),"")</f>
        <v>cumple</v>
      </c>
      <c r="W2984" s="376" t="s">
        <v>4210</v>
      </c>
      <c r="X2984" s="377" t="str">
        <f t="shared" si="223"/>
        <v>SAI</v>
      </c>
      <c r="Y2984" t="str">
        <f>SUBSTITUTE(Tabla1[[#This Row],[Descripción]],CHAR(10),"    I    ")</f>
        <v>3.2.2 Eliminar filtros de Estrategia</v>
      </c>
      <c r="Z2984" s="142">
        <f>VLOOKUP(Tabla1[[#This Row],[Perfil]],Catalogos!$B$75:$D$100,3,FALSE)*Tabla1[[#This Row],[Tiempo
(Hrs 00/100)]]*1.16</f>
        <v>4059.9999999999995</v>
      </c>
      <c r="AA2984" t="s">
        <v>3356</v>
      </c>
    </row>
    <row r="2985" spans="1:27" ht="15" customHeight="1" x14ac:dyDescent="0.3">
      <c r="A2985" s="617" t="s">
        <v>22</v>
      </c>
      <c r="B2985" s="617" t="s">
        <v>23</v>
      </c>
      <c r="C2985" s="617" t="s">
        <v>49</v>
      </c>
      <c r="D2985" s="617"/>
      <c r="E2985" s="617" t="s">
        <v>4133</v>
      </c>
      <c r="F2985" s="617" t="s">
        <v>23</v>
      </c>
      <c r="G2985" s="696" t="s">
        <v>5341</v>
      </c>
      <c r="H2985" s="698" t="s">
        <v>5252</v>
      </c>
      <c r="I2985" s="467" t="s">
        <v>5263</v>
      </c>
      <c r="J2985" s="729">
        <v>45254</v>
      </c>
      <c r="K2985" s="773">
        <v>0.375</v>
      </c>
      <c r="L2985" s="729">
        <v>45254</v>
      </c>
      <c r="M2985" s="773">
        <v>0.625</v>
      </c>
      <c r="N2985" s="617">
        <v>6</v>
      </c>
      <c r="O2985" s="697" t="s">
        <v>411</v>
      </c>
      <c r="P2985" s="701" t="s">
        <v>5332</v>
      </c>
      <c r="Q2985" s="143" t="s">
        <v>5375</v>
      </c>
      <c r="R2985" s="468" t="s">
        <v>40</v>
      </c>
      <c r="S2985" s="31" t="s">
        <v>273</v>
      </c>
      <c r="T2985" s="31" t="s">
        <v>273</v>
      </c>
      <c r="U2985" s="31">
        <f>IFERROR(VLOOKUP(CONCATENATE(Tabla1[[#This Row],[Severidad]]," ",Tabla1[[#This Row],[Complejidad]]),Catalogos!E$120:G$128,3,FALSE),"")</f>
        <v>64</v>
      </c>
      <c r="V2985" s="31" t="str">
        <f>IF(Tabla1[[#This Row],[Tiempo solución max (hrs)]]&lt;&gt;"",IF(Tabla1[[#This Row],[Tiempo solución max (hrs)]]&gt;=Tabla1[[#This Row],[Tiempo
(Hrs 00/100)]],"cumple","no cumple"),"")</f>
        <v>cumple</v>
      </c>
      <c r="W2985" s="376" t="s">
        <v>4210</v>
      </c>
      <c r="X2985" s="377" t="str">
        <f t="shared" si="223"/>
        <v>SAI</v>
      </c>
      <c r="Y2985" t="str">
        <f>SUBSTITUTE(Tabla1[[#This Row],[Descripción]],CHAR(10),"    I    ")</f>
        <v>3.2.3 Agregar histórico de Estatus actividad</v>
      </c>
      <c r="Z2985" s="142">
        <f>VLOOKUP(Tabla1[[#This Row],[Perfil]],Catalogos!$B$75:$D$100,3,FALSE)*Tabla1[[#This Row],[Tiempo
(Hrs 00/100)]]*1.16</f>
        <v>4872</v>
      </c>
      <c r="AA2985" t="s">
        <v>3356</v>
      </c>
    </row>
    <row r="2986" spans="1:27" ht="15" customHeight="1" x14ac:dyDescent="0.3">
      <c r="A2986" s="617" t="s">
        <v>22</v>
      </c>
      <c r="B2986" s="617" t="s">
        <v>23</v>
      </c>
      <c r="C2986" s="617" t="s">
        <v>49</v>
      </c>
      <c r="D2986" s="617"/>
      <c r="E2986" s="617" t="s">
        <v>4133</v>
      </c>
      <c r="F2986" s="617" t="s">
        <v>23</v>
      </c>
      <c r="G2986" s="696" t="s">
        <v>5341</v>
      </c>
      <c r="H2986" s="698" t="s">
        <v>5252</v>
      </c>
      <c r="I2986" s="467" t="s">
        <v>5263</v>
      </c>
      <c r="J2986" s="729">
        <v>45257</v>
      </c>
      <c r="K2986" s="773">
        <v>0.375</v>
      </c>
      <c r="L2986" s="729">
        <v>45257</v>
      </c>
      <c r="M2986" s="773">
        <v>0.79166666666666663</v>
      </c>
      <c r="N2986" s="617">
        <v>8</v>
      </c>
      <c r="O2986" s="697" t="s">
        <v>411</v>
      </c>
      <c r="P2986" s="701" t="s">
        <v>5332</v>
      </c>
      <c r="Q2986" s="143" t="s">
        <v>5375</v>
      </c>
      <c r="R2986" s="468" t="s">
        <v>40</v>
      </c>
      <c r="S2986" s="31" t="s">
        <v>273</v>
      </c>
      <c r="T2986" s="31" t="s">
        <v>273</v>
      </c>
      <c r="U2986" s="31">
        <f>IFERROR(VLOOKUP(CONCATENATE(Tabla1[[#This Row],[Severidad]]," ",Tabla1[[#This Row],[Complejidad]]),Catalogos!E$120:G$128,3,FALSE),"")</f>
        <v>64</v>
      </c>
      <c r="V2986" s="31" t="str">
        <f>IF(Tabla1[[#This Row],[Tiempo solución max (hrs)]]&lt;&gt;"",IF(Tabla1[[#This Row],[Tiempo solución max (hrs)]]&gt;=Tabla1[[#This Row],[Tiempo
(Hrs 00/100)]],"cumple","no cumple"),"")</f>
        <v>cumple</v>
      </c>
      <c r="W2986" s="376" t="s">
        <v>4210</v>
      </c>
      <c r="X2986" s="377" t="str">
        <f t="shared" si="223"/>
        <v>SAI</v>
      </c>
      <c r="Y2986" t="str">
        <f>SUBSTITUTE(Tabla1[[#This Row],[Descripción]],CHAR(10),"    I    ")</f>
        <v>3.2.3 Agregar histórico de Estatus actividad</v>
      </c>
      <c r="Z2986" s="142">
        <f>VLOOKUP(Tabla1[[#This Row],[Perfil]],Catalogos!$B$75:$D$100,3,FALSE)*Tabla1[[#This Row],[Tiempo
(Hrs 00/100)]]*1.16</f>
        <v>6496</v>
      </c>
      <c r="AA2986" t="s">
        <v>3356</v>
      </c>
    </row>
    <row r="2987" spans="1:27" ht="15" customHeight="1" x14ac:dyDescent="0.3">
      <c r="A2987" s="617" t="s">
        <v>22</v>
      </c>
      <c r="B2987" s="617" t="s">
        <v>23</v>
      </c>
      <c r="C2987" s="617" t="s">
        <v>49</v>
      </c>
      <c r="D2987" s="617"/>
      <c r="E2987" s="617" t="s">
        <v>4133</v>
      </c>
      <c r="F2987" s="617" t="s">
        <v>23</v>
      </c>
      <c r="G2987" s="696" t="s">
        <v>5341</v>
      </c>
      <c r="H2987" s="698" t="s">
        <v>5252</v>
      </c>
      <c r="I2987" s="467" t="s">
        <v>5263</v>
      </c>
      <c r="J2987" s="729">
        <v>45258</v>
      </c>
      <c r="K2987" s="773">
        <v>0.375</v>
      </c>
      <c r="L2987" s="729">
        <v>45258</v>
      </c>
      <c r="M2987" s="773">
        <v>0.83333333333333337</v>
      </c>
      <c r="N2987" s="617">
        <v>9</v>
      </c>
      <c r="O2987" s="697" t="s">
        <v>17</v>
      </c>
      <c r="P2987" s="701" t="s">
        <v>5332</v>
      </c>
      <c r="Q2987" s="143" t="s">
        <v>5375</v>
      </c>
      <c r="R2987" s="468" t="s">
        <v>40</v>
      </c>
      <c r="S2987" s="31" t="s">
        <v>273</v>
      </c>
      <c r="T2987" s="31" t="s">
        <v>273</v>
      </c>
      <c r="U2987" s="31">
        <f>IFERROR(VLOOKUP(CONCATENATE(Tabla1[[#This Row],[Severidad]]," ",Tabla1[[#This Row],[Complejidad]]),Catalogos!E$120:G$128,3,FALSE),"")</f>
        <v>64</v>
      </c>
      <c r="V2987" s="31" t="str">
        <f>IF(Tabla1[[#This Row],[Tiempo solución max (hrs)]]&lt;&gt;"",IF(Tabla1[[#This Row],[Tiempo solución max (hrs)]]&gt;=Tabla1[[#This Row],[Tiempo
(Hrs 00/100)]],"cumple","no cumple"),"")</f>
        <v>cumple</v>
      </c>
      <c r="W2987" s="376" t="s">
        <v>4210</v>
      </c>
      <c r="X2987" s="377" t="str">
        <f t="shared" si="223"/>
        <v>SAI</v>
      </c>
      <c r="Y2987" t="str">
        <f>SUBSTITUTE(Tabla1[[#This Row],[Descripción]],CHAR(10),"    I    ")</f>
        <v>3.2.3 Agregar histórico de Estatus actividad</v>
      </c>
      <c r="Z2987" s="142">
        <f>VLOOKUP(Tabla1[[#This Row],[Perfil]],Catalogos!$B$75:$D$100,3,FALSE)*Tabla1[[#This Row],[Tiempo
(Hrs 00/100)]]*1.16</f>
        <v>7307.9999999999991</v>
      </c>
      <c r="AA2987" t="s">
        <v>3356</v>
      </c>
    </row>
    <row r="2988" spans="1:27" ht="15" customHeight="1" x14ac:dyDescent="0.3">
      <c r="A2988" s="617" t="s">
        <v>22</v>
      </c>
      <c r="B2988" s="617" t="s">
        <v>23</v>
      </c>
      <c r="C2988" s="617" t="s">
        <v>49</v>
      </c>
      <c r="D2988" s="617"/>
      <c r="E2988" s="617" t="s">
        <v>4133</v>
      </c>
      <c r="F2988" s="617" t="s">
        <v>23</v>
      </c>
      <c r="G2988" s="696" t="s">
        <v>5342</v>
      </c>
      <c r="H2988" s="698" t="s">
        <v>5252</v>
      </c>
      <c r="I2988" s="467" t="s">
        <v>5267</v>
      </c>
      <c r="J2988" s="729">
        <v>45259</v>
      </c>
      <c r="K2988" s="773">
        <v>0.375</v>
      </c>
      <c r="L2988" s="729">
        <v>45259</v>
      </c>
      <c r="M2988" s="773">
        <v>0.70833333333333337</v>
      </c>
      <c r="N2988" s="617">
        <v>6</v>
      </c>
      <c r="O2988" s="697" t="s">
        <v>17</v>
      </c>
      <c r="P2988" s="701" t="s">
        <v>5332</v>
      </c>
      <c r="Q2988" s="143" t="s">
        <v>5375</v>
      </c>
      <c r="R2988" s="468" t="s">
        <v>40</v>
      </c>
      <c r="S2988" s="31" t="s">
        <v>273</v>
      </c>
      <c r="T2988" s="31" t="s">
        <v>273</v>
      </c>
      <c r="U2988" s="31">
        <f>IFERROR(VLOOKUP(CONCATENATE(Tabla1[[#This Row],[Severidad]]," ",Tabla1[[#This Row],[Complejidad]]),Catalogos!E$120:G$128,3,FALSE),"")</f>
        <v>64</v>
      </c>
      <c r="V2988" s="31" t="str">
        <f>IF(Tabla1[[#This Row],[Tiempo solución max (hrs)]]&lt;&gt;"",IF(Tabla1[[#This Row],[Tiempo solución max (hrs)]]&gt;=Tabla1[[#This Row],[Tiempo
(Hrs 00/100)]],"cumple","no cumple"),"")</f>
        <v>cumple</v>
      </c>
      <c r="W2988" s="376" t="s">
        <v>4210</v>
      </c>
      <c r="X2988" s="377" t="str">
        <f t="shared" si="223"/>
        <v>SAI</v>
      </c>
      <c r="Y2988" t="str">
        <f>SUBSTITUTE(Tabla1[[#This Row],[Descripción]],CHAR(10),"    I    ")</f>
        <v>3.2.5 Comentarios individuales en cada campo</v>
      </c>
      <c r="Z2988" s="142">
        <f>VLOOKUP(Tabla1[[#This Row],[Perfil]],Catalogos!$B$75:$D$100,3,FALSE)*Tabla1[[#This Row],[Tiempo
(Hrs 00/100)]]*1.16</f>
        <v>4872</v>
      </c>
      <c r="AA2988" t="s">
        <v>3356</v>
      </c>
    </row>
    <row r="2989" spans="1:27" ht="15" customHeight="1" x14ac:dyDescent="0.3">
      <c r="A2989" s="617" t="s">
        <v>22</v>
      </c>
      <c r="B2989" s="617" t="s">
        <v>23</v>
      </c>
      <c r="C2989" s="617" t="s">
        <v>49</v>
      </c>
      <c r="D2989" s="617"/>
      <c r="E2989" s="617" t="s">
        <v>4133</v>
      </c>
      <c r="F2989" s="617" t="s">
        <v>23</v>
      </c>
      <c r="G2989" s="696" t="s">
        <v>5343</v>
      </c>
      <c r="H2989" s="698" t="s">
        <v>5252</v>
      </c>
      <c r="I2989" s="699" t="s">
        <v>5269</v>
      </c>
      <c r="J2989" s="729">
        <v>45259</v>
      </c>
      <c r="K2989" s="773">
        <v>0.70833333333333337</v>
      </c>
      <c r="L2989" s="729">
        <v>45259</v>
      </c>
      <c r="M2989" s="773">
        <v>0.79166666666666663</v>
      </c>
      <c r="N2989" s="617">
        <v>2</v>
      </c>
      <c r="O2989" s="697" t="s">
        <v>17</v>
      </c>
      <c r="P2989" s="701" t="s">
        <v>5332</v>
      </c>
      <c r="Q2989" s="143" t="s">
        <v>5375</v>
      </c>
      <c r="R2989" s="468" t="s">
        <v>40</v>
      </c>
      <c r="S2989" s="31" t="s">
        <v>273</v>
      </c>
      <c r="T2989" s="31" t="s">
        <v>273</v>
      </c>
      <c r="U2989" s="31">
        <f>IFERROR(VLOOKUP(CONCATENATE(Tabla1[[#This Row],[Severidad]]," ",Tabla1[[#This Row],[Complejidad]]),Catalogos!E$120:G$128,3,FALSE),"")</f>
        <v>64</v>
      </c>
      <c r="V2989" s="31" t="str">
        <f>IF(Tabla1[[#This Row],[Tiempo solución max (hrs)]]&lt;&gt;"",IF(Tabla1[[#This Row],[Tiempo solución max (hrs)]]&gt;=Tabla1[[#This Row],[Tiempo
(Hrs 00/100)]],"cumple","no cumple"),"")</f>
        <v>cumple</v>
      </c>
      <c r="W2989" s="376" t="s">
        <v>4210</v>
      </c>
      <c r="X2989" s="377" t="str">
        <f t="shared" si="223"/>
        <v>SAI</v>
      </c>
      <c r="Y2989" t="str">
        <f>SUBSTITUTE(Tabla1[[#This Row],[Descripción]],CHAR(10),"    I    ")</f>
        <v>3.2.6 Corregir incidencia en campo "Presupuesto"; no funciona la opción "No Incluido"</v>
      </c>
      <c r="Z2989" s="142">
        <f>VLOOKUP(Tabla1[[#This Row],[Perfil]],Catalogos!$B$75:$D$100,3,FALSE)*Tabla1[[#This Row],[Tiempo
(Hrs 00/100)]]*1.16</f>
        <v>1624</v>
      </c>
      <c r="AA2989" t="s">
        <v>3356</v>
      </c>
    </row>
    <row r="2990" spans="1:27" ht="15" customHeight="1" x14ac:dyDescent="0.3">
      <c r="A2990" s="617" t="s">
        <v>22</v>
      </c>
      <c r="B2990" s="617" t="s">
        <v>23</v>
      </c>
      <c r="C2990" s="617" t="s">
        <v>49</v>
      </c>
      <c r="D2990" s="617"/>
      <c r="E2990" s="617" t="s">
        <v>4133</v>
      </c>
      <c r="F2990" s="617" t="s">
        <v>23</v>
      </c>
      <c r="G2990" s="696" t="s">
        <v>5344</v>
      </c>
      <c r="H2990" s="698" t="s">
        <v>5252</v>
      </c>
      <c r="I2990" s="699" t="s">
        <v>5271</v>
      </c>
      <c r="J2990" s="729">
        <v>45260</v>
      </c>
      <c r="K2990" s="773">
        <v>0.375</v>
      </c>
      <c r="L2990" s="729">
        <v>45260</v>
      </c>
      <c r="M2990" s="773">
        <v>0.41666666666666669</v>
      </c>
      <c r="N2990" s="617">
        <v>1</v>
      </c>
      <c r="O2990" s="697" t="s">
        <v>17</v>
      </c>
      <c r="P2990" s="701" t="s">
        <v>5332</v>
      </c>
      <c r="Q2990" s="143" t="s">
        <v>5375</v>
      </c>
      <c r="R2990" s="468" t="s">
        <v>40</v>
      </c>
      <c r="S2990" s="31" t="s">
        <v>273</v>
      </c>
      <c r="T2990" s="31" t="s">
        <v>273</v>
      </c>
      <c r="U2990" s="31">
        <f>IFERROR(VLOOKUP(CONCATENATE(Tabla1[[#This Row],[Severidad]]," ",Tabla1[[#This Row],[Complejidad]]),Catalogos!E$120:G$128,3,FALSE),"")</f>
        <v>64</v>
      </c>
      <c r="V2990" s="31" t="str">
        <f>IF(Tabla1[[#This Row],[Tiempo solución max (hrs)]]&lt;&gt;"",IF(Tabla1[[#This Row],[Tiempo solución max (hrs)]]&gt;=Tabla1[[#This Row],[Tiempo
(Hrs 00/100)]],"cumple","no cumple"),"")</f>
        <v>cumple</v>
      </c>
      <c r="W2990" s="376" t="s">
        <v>4210</v>
      </c>
      <c r="X2990" s="377" t="str">
        <f t="shared" si="223"/>
        <v>SAI</v>
      </c>
      <c r="Y2990" t="str">
        <f>SUBSTITUTE(Tabla1[[#This Row],[Descripción]],CHAR(10),"    I    ")</f>
        <v>3.2.7 Agregar campo abierto donde se reporte la cantidad erogada para la actividad</v>
      </c>
      <c r="Z2990" s="142">
        <f>VLOOKUP(Tabla1[[#This Row],[Perfil]],Catalogos!$B$75:$D$100,3,FALSE)*Tabla1[[#This Row],[Tiempo
(Hrs 00/100)]]*1.16</f>
        <v>812</v>
      </c>
      <c r="AA2990" t="s">
        <v>3356</v>
      </c>
    </row>
    <row r="2991" spans="1:27" ht="15" customHeight="1" x14ac:dyDescent="0.3">
      <c r="A2991" s="617" t="s">
        <v>22</v>
      </c>
      <c r="B2991" s="617" t="s">
        <v>23</v>
      </c>
      <c r="C2991" s="617" t="s">
        <v>49</v>
      </c>
      <c r="D2991" s="617"/>
      <c r="E2991" s="617" t="s">
        <v>4133</v>
      </c>
      <c r="F2991" s="617" t="s">
        <v>23</v>
      </c>
      <c r="G2991" s="696" t="s">
        <v>5345</v>
      </c>
      <c r="H2991" s="698" t="s">
        <v>5252</v>
      </c>
      <c r="I2991" s="699" t="s">
        <v>5273</v>
      </c>
      <c r="J2991" s="729">
        <v>45260</v>
      </c>
      <c r="K2991" s="773">
        <v>0.41666666666666669</v>
      </c>
      <c r="L2991" s="729">
        <v>45260</v>
      </c>
      <c r="M2991" s="773">
        <v>0.79166666666666663</v>
      </c>
      <c r="N2991" s="617">
        <v>7</v>
      </c>
      <c r="O2991" s="697" t="s">
        <v>17</v>
      </c>
      <c r="P2991" s="701" t="s">
        <v>5332</v>
      </c>
      <c r="Q2991" s="143" t="s">
        <v>5375</v>
      </c>
      <c r="R2991" s="468" t="s">
        <v>40</v>
      </c>
      <c r="S2991" s="31" t="s">
        <v>273</v>
      </c>
      <c r="T2991" s="31" t="s">
        <v>273</v>
      </c>
      <c r="U2991" s="31">
        <f>IFERROR(VLOOKUP(CONCATENATE(Tabla1[[#This Row],[Severidad]]," ",Tabla1[[#This Row],[Complejidad]]),Catalogos!E$120:G$128,3,FALSE),"")</f>
        <v>64</v>
      </c>
      <c r="V2991" s="31" t="str">
        <f>IF(Tabla1[[#This Row],[Tiempo solución max (hrs)]]&lt;&gt;"",IF(Tabla1[[#This Row],[Tiempo solución max (hrs)]]&gt;=Tabla1[[#This Row],[Tiempo
(Hrs 00/100)]],"cumple","no cumple"),"")</f>
        <v>cumple</v>
      </c>
      <c r="W2991" s="376" t="s">
        <v>4210</v>
      </c>
      <c r="X2991" s="377" t="str">
        <f t="shared" si="223"/>
        <v>SAI</v>
      </c>
      <c r="Y2991" t="str">
        <f>SUBSTITUTE(Tabla1[[#This Row],[Descripción]],CHAR(10),"    I    ")</f>
        <v>3.2.8 Corregir incidencia de datos en los filtros; al aceptar la información, no se guarda correctamente lo seleccionado en combos de filtros.</v>
      </c>
      <c r="Z2991" s="142">
        <f>VLOOKUP(Tabla1[[#This Row],[Perfil]],Catalogos!$B$75:$D$100,3,FALSE)*Tabla1[[#This Row],[Tiempo
(Hrs 00/100)]]*1.16</f>
        <v>5684</v>
      </c>
      <c r="AA2991" t="s">
        <v>3356</v>
      </c>
    </row>
    <row r="2992" spans="1:27" ht="15" customHeight="1" thickBot="1" x14ac:dyDescent="0.35">
      <c r="A2992" s="224" t="s">
        <v>22</v>
      </c>
      <c r="B2992" s="224" t="s">
        <v>23</v>
      </c>
      <c r="C2992" s="224" t="s">
        <v>49</v>
      </c>
      <c r="D2992" s="224"/>
      <c r="E2992" s="224" t="s">
        <v>4133</v>
      </c>
      <c r="F2992" s="224" t="s">
        <v>75</v>
      </c>
      <c r="G2992" s="224" t="s">
        <v>5347</v>
      </c>
      <c r="H2992" s="702" t="s">
        <v>5348</v>
      </c>
      <c r="I2992" s="467" t="s">
        <v>5349</v>
      </c>
      <c r="J2992" s="729">
        <v>45231</v>
      </c>
      <c r="K2992" s="703">
        <v>0.375</v>
      </c>
      <c r="L2992" s="729">
        <v>45231</v>
      </c>
      <c r="M2992" s="663">
        <v>0.79166666666666663</v>
      </c>
      <c r="N2992" s="650">
        <v>8</v>
      </c>
      <c r="O2992" s="422" t="s">
        <v>411</v>
      </c>
      <c r="P2992" s="704" t="s">
        <v>5351</v>
      </c>
      <c r="Q2992" s="423" t="s">
        <v>4175</v>
      </c>
      <c r="R2992" s="705" t="s">
        <v>81</v>
      </c>
      <c r="S2992" s="31" t="s">
        <v>273</v>
      </c>
      <c r="T2992" s="31" t="s">
        <v>273</v>
      </c>
      <c r="U2992" s="31">
        <f>IFERROR(VLOOKUP(CONCATENATE(Tabla1[[#This Row],[Severidad]]," ",Tabla1[[#This Row],[Complejidad]]),Catalogos!E$120:G$128,3,FALSE),"")</f>
        <v>64</v>
      </c>
      <c r="V2992" s="31" t="str">
        <f>IF(Tabla1[[#This Row],[Tiempo solución max (hrs)]]&lt;&gt;"",IF(Tabla1[[#This Row],[Tiempo solución max (hrs)]]&gt;=Tabla1[[#This Row],[Tiempo
(Hrs 00/100)]],"cumple","no cumple"),"")</f>
        <v>cumple</v>
      </c>
      <c r="W2992" s="376" t="s">
        <v>4210</v>
      </c>
      <c r="X2992" s="377" t="str">
        <f t="shared" si="223"/>
        <v>SAI</v>
      </c>
      <c r="Y2992" t="str">
        <f>SUBSTITUTE(Tabla1[[#This Row],[Descripción]],CHAR(10),"    I    ")</f>
        <v>Se verifico el ambiente de pruebas y se inició con la ejecución de las pruebas Internas del SPRINT 1  (1.1)</v>
      </c>
      <c r="Z2992" s="142">
        <f>VLOOKUP(Tabla1[[#This Row],[Perfil]],Catalogos!$B$75:$D$100,3,FALSE)*Tabla1[[#This Row],[Tiempo
(Hrs 00/100)]]*1.16</f>
        <v>4640</v>
      </c>
      <c r="AA2992" t="s">
        <v>3356</v>
      </c>
    </row>
    <row r="2993" spans="1:27" ht="15" customHeight="1" thickBot="1" x14ac:dyDescent="0.35">
      <c r="A2993" s="224" t="s">
        <v>22</v>
      </c>
      <c r="B2993" s="224" t="s">
        <v>23</v>
      </c>
      <c r="C2993" s="224" t="s">
        <v>49</v>
      </c>
      <c r="D2993" s="224"/>
      <c r="E2993" s="224" t="s">
        <v>4133</v>
      </c>
      <c r="F2993" s="224" t="s">
        <v>75</v>
      </c>
      <c r="G2993" s="224" t="s">
        <v>5347</v>
      </c>
      <c r="H2993" s="702" t="s">
        <v>5348</v>
      </c>
      <c r="I2993" s="467" t="s">
        <v>5350</v>
      </c>
      <c r="J2993" s="729">
        <v>45233</v>
      </c>
      <c r="K2993" s="703">
        <v>0.375</v>
      </c>
      <c r="L2993" s="729">
        <v>45233</v>
      </c>
      <c r="M2993" s="663">
        <v>0.79166666666666663</v>
      </c>
      <c r="N2993" s="650">
        <v>8</v>
      </c>
      <c r="O2993" s="422" t="s">
        <v>17</v>
      </c>
      <c r="P2993" s="704" t="s">
        <v>5351</v>
      </c>
      <c r="Q2993" s="423" t="s">
        <v>4175</v>
      </c>
      <c r="R2993" s="705" t="s">
        <v>81</v>
      </c>
      <c r="S2993" s="31" t="s">
        <v>273</v>
      </c>
      <c r="T2993" s="31" t="s">
        <v>273</v>
      </c>
      <c r="U2993" s="31">
        <f>IFERROR(VLOOKUP(CONCATENATE(Tabla1[[#This Row],[Severidad]]," ",Tabla1[[#This Row],[Complejidad]]),Catalogos!E$120:G$128,3,FALSE),"")</f>
        <v>64</v>
      </c>
      <c r="V2993" s="31" t="str">
        <f>IF(Tabla1[[#This Row],[Tiempo solución max (hrs)]]&lt;&gt;"",IF(Tabla1[[#This Row],[Tiempo solución max (hrs)]]&gt;=Tabla1[[#This Row],[Tiempo
(Hrs 00/100)]],"cumple","no cumple"),"")</f>
        <v>cumple</v>
      </c>
      <c r="W2993" s="376" t="s">
        <v>4210</v>
      </c>
      <c r="X2993" s="377" t="str">
        <f t="shared" si="223"/>
        <v>SAI</v>
      </c>
      <c r="Y2993" t="str">
        <f>SUBSTITUTE(Tabla1[[#This Row],[Descripción]],CHAR(10),"    I    ")</f>
        <v>Ejecución y registro de incidentes de las pruebas Internas del SPRINT 1  (1.1)</v>
      </c>
      <c r="Z2993" s="142">
        <f>VLOOKUP(Tabla1[[#This Row],[Perfil]],Catalogos!$B$75:$D$100,3,FALSE)*Tabla1[[#This Row],[Tiempo
(Hrs 00/100)]]*1.16</f>
        <v>4640</v>
      </c>
      <c r="AA2993" t="s">
        <v>3356</v>
      </c>
    </row>
    <row r="2994" spans="1:27" ht="15" customHeight="1" thickBot="1" x14ac:dyDescent="0.35">
      <c r="A2994" s="224" t="s">
        <v>22</v>
      </c>
      <c r="B2994" s="224" t="s">
        <v>23</v>
      </c>
      <c r="C2994" s="224" t="s">
        <v>49</v>
      </c>
      <c r="D2994" s="224"/>
      <c r="E2994" s="224" t="s">
        <v>4133</v>
      </c>
      <c r="F2994" s="224" t="s">
        <v>75</v>
      </c>
      <c r="G2994" s="224" t="s">
        <v>5352</v>
      </c>
      <c r="H2994" s="702" t="s">
        <v>5348</v>
      </c>
      <c r="I2994" s="467" t="s">
        <v>5353</v>
      </c>
      <c r="J2994" s="729">
        <v>45236</v>
      </c>
      <c r="K2994" s="703">
        <v>0.375</v>
      </c>
      <c r="L2994" s="729">
        <v>45236</v>
      </c>
      <c r="M2994" s="663">
        <v>0.79166666666666663</v>
      </c>
      <c r="N2994" s="650">
        <v>8</v>
      </c>
      <c r="O2994" s="422" t="s">
        <v>17</v>
      </c>
      <c r="P2994" s="704" t="s">
        <v>5351</v>
      </c>
      <c r="Q2994" s="423" t="s">
        <v>4175</v>
      </c>
      <c r="R2994" s="705" t="s">
        <v>81</v>
      </c>
      <c r="S2994" s="31" t="s">
        <v>273</v>
      </c>
      <c r="T2994" s="31" t="s">
        <v>273</v>
      </c>
      <c r="U2994" s="31">
        <f>IFERROR(VLOOKUP(CONCATENATE(Tabla1[[#This Row],[Severidad]]," ",Tabla1[[#This Row],[Complejidad]]),Catalogos!E$120:G$128,3,FALSE),"")</f>
        <v>64</v>
      </c>
      <c r="V2994" s="31" t="str">
        <f>IF(Tabla1[[#This Row],[Tiempo solución max (hrs)]]&lt;&gt;"",IF(Tabla1[[#This Row],[Tiempo solución max (hrs)]]&gt;=Tabla1[[#This Row],[Tiempo
(Hrs 00/100)]],"cumple","no cumple"),"")</f>
        <v>cumple</v>
      </c>
      <c r="W2994" s="376" t="s">
        <v>4210</v>
      </c>
      <c r="X2994" s="377" t="str">
        <f t="shared" si="223"/>
        <v>SAI</v>
      </c>
      <c r="Y2994" t="str">
        <f>SUBSTITUTE(Tabla1[[#This Row],[Descripción]],CHAR(10),"    I    ")</f>
        <v>Ejecución y resgistro de incidentes de las pruebas Internas del SPRINT 1  (1.2)</v>
      </c>
      <c r="Z2994" s="142">
        <f>VLOOKUP(Tabla1[[#This Row],[Perfil]],Catalogos!$B$75:$D$100,3,FALSE)*Tabla1[[#This Row],[Tiempo
(Hrs 00/100)]]*1.16</f>
        <v>4640</v>
      </c>
      <c r="AA2994" t="s">
        <v>3356</v>
      </c>
    </row>
    <row r="2995" spans="1:27" ht="15" customHeight="1" thickBot="1" x14ac:dyDescent="0.35">
      <c r="A2995" s="224" t="s">
        <v>22</v>
      </c>
      <c r="B2995" s="224" t="s">
        <v>23</v>
      </c>
      <c r="C2995" s="224" t="s">
        <v>49</v>
      </c>
      <c r="D2995" s="224"/>
      <c r="E2995" s="224" t="s">
        <v>4133</v>
      </c>
      <c r="F2995" s="224" t="s">
        <v>75</v>
      </c>
      <c r="G2995" s="224" t="s">
        <v>5354</v>
      </c>
      <c r="H2995" s="702" t="s">
        <v>5348</v>
      </c>
      <c r="I2995" s="467" t="s">
        <v>5355</v>
      </c>
      <c r="J2995" s="729">
        <v>45237</v>
      </c>
      <c r="K2995" s="703">
        <v>0.375</v>
      </c>
      <c r="L2995" s="729">
        <v>45237</v>
      </c>
      <c r="M2995" s="663">
        <v>0.79166666666666663</v>
      </c>
      <c r="N2995" s="650">
        <v>8</v>
      </c>
      <c r="O2995" s="422" t="s">
        <v>17</v>
      </c>
      <c r="P2995" s="704" t="s">
        <v>5351</v>
      </c>
      <c r="Q2995" s="423" t="s">
        <v>4175</v>
      </c>
      <c r="R2995" s="705" t="s">
        <v>81</v>
      </c>
      <c r="S2995" s="31" t="s">
        <v>273</v>
      </c>
      <c r="T2995" s="31" t="s">
        <v>273</v>
      </c>
      <c r="U2995" s="31">
        <f>IFERROR(VLOOKUP(CONCATENATE(Tabla1[[#This Row],[Severidad]]," ",Tabla1[[#This Row],[Complejidad]]),Catalogos!E$120:G$128,3,FALSE),"")</f>
        <v>64</v>
      </c>
      <c r="V2995" s="31" t="str">
        <f>IF(Tabla1[[#This Row],[Tiempo solución max (hrs)]]&lt;&gt;"",IF(Tabla1[[#This Row],[Tiempo solución max (hrs)]]&gt;=Tabla1[[#This Row],[Tiempo
(Hrs 00/100)]],"cumple","no cumple"),"")</f>
        <v>cumple</v>
      </c>
      <c r="W2995" s="376" t="s">
        <v>4210</v>
      </c>
      <c r="X2995" s="377" t="str">
        <f t="shared" si="223"/>
        <v>SAI</v>
      </c>
      <c r="Y2995" t="str">
        <f>SUBSTITUTE(Tabla1[[#This Row],[Descripción]],CHAR(10),"    I    ")</f>
        <v>Ejecución y resgistro de incidentes de las pruebas Internas del SPRINT 1  (1.3)</v>
      </c>
      <c r="Z2995" s="142">
        <f>VLOOKUP(Tabla1[[#This Row],[Perfil]],Catalogos!$B$75:$D$100,3,FALSE)*Tabla1[[#This Row],[Tiempo
(Hrs 00/100)]]*1.16</f>
        <v>4640</v>
      </c>
      <c r="AA2995" t="s">
        <v>3356</v>
      </c>
    </row>
    <row r="2996" spans="1:27" ht="15" customHeight="1" thickBot="1" x14ac:dyDescent="0.35">
      <c r="A2996" s="224" t="s">
        <v>22</v>
      </c>
      <c r="B2996" s="224" t="s">
        <v>23</v>
      </c>
      <c r="C2996" s="224" t="s">
        <v>49</v>
      </c>
      <c r="D2996" s="224"/>
      <c r="E2996" s="224" t="s">
        <v>4133</v>
      </c>
      <c r="F2996" s="224" t="s">
        <v>75</v>
      </c>
      <c r="G2996" s="224" t="s">
        <v>5356</v>
      </c>
      <c r="H2996" s="702" t="s">
        <v>5348</v>
      </c>
      <c r="I2996" s="467" t="s">
        <v>5357</v>
      </c>
      <c r="J2996" s="729">
        <v>45238</v>
      </c>
      <c r="K2996" s="703">
        <v>0.375</v>
      </c>
      <c r="L2996" s="729">
        <v>45238</v>
      </c>
      <c r="M2996" s="663">
        <v>0.79166666666666663</v>
      </c>
      <c r="N2996" s="650">
        <v>8</v>
      </c>
      <c r="O2996" s="422" t="s">
        <v>17</v>
      </c>
      <c r="P2996" s="704" t="s">
        <v>5351</v>
      </c>
      <c r="Q2996" s="423" t="s">
        <v>4175</v>
      </c>
      <c r="R2996" s="705" t="s">
        <v>81</v>
      </c>
      <c r="S2996" s="31" t="s">
        <v>273</v>
      </c>
      <c r="T2996" s="31" t="s">
        <v>273</v>
      </c>
      <c r="U2996" s="31">
        <f>IFERROR(VLOOKUP(CONCATENATE(Tabla1[[#This Row],[Severidad]]," ",Tabla1[[#This Row],[Complejidad]]),Catalogos!E$120:G$128,3,FALSE),"")</f>
        <v>64</v>
      </c>
      <c r="V2996" s="31" t="str">
        <f>IF(Tabla1[[#This Row],[Tiempo solución max (hrs)]]&lt;&gt;"",IF(Tabla1[[#This Row],[Tiempo solución max (hrs)]]&gt;=Tabla1[[#This Row],[Tiempo
(Hrs 00/100)]],"cumple","no cumple"),"")</f>
        <v>cumple</v>
      </c>
      <c r="W2996" s="376" t="s">
        <v>4210</v>
      </c>
      <c r="X2996" s="377" t="str">
        <f t="shared" si="223"/>
        <v>SAI</v>
      </c>
      <c r="Y2996" t="str">
        <f>SUBSTITUTE(Tabla1[[#This Row],[Descripción]],CHAR(10),"    I    ")</f>
        <v>Ejecución y registro de las pruebas Internas del SPRINT 1  (1.4)</v>
      </c>
      <c r="Z2996" s="142">
        <f>VLOOKUP(Tabla1[[#This Row],[Perfil]],Catalogos!$B$75:$D$100,3,FALSE)*Tabla1[[#This Row],[Tiempo
(Hrs 00/100)]]*1.16</f>
        <v>4640</v>
      </c>
      <c r="AA2996" t="s">
        <v>3356</v>
      </c>
    </row>
    <row r="2997" spans="1:27" ht="15" customHeight="1" thickBot="1" x14ac:dyDescent="0.35">
      <c r="A2997" s="224" t="s">
        <v>22</v>
      </c>
      <c r="B2997" s="224" t="s">
        <v>23</v>
      </c>
      <c r="C2997" s="224" t="s">
        <v>49</v>
      </c>
      <c r="D2997" s="224"/>
      <c r="E2997" s="224" t="s">
        <v>4133</v>
      </c>
      <c r="F2997" s="224" t="s">
        <v>75</v>
      </c>
      <c r="G2997" s="224" t="s">
        <v>5358</v>
      </c>
      <c r="H2997" s="702" t="s">
        <v>5348</v>
      </c>
      <c r="I2997" s="467" t="s">
        <v>5359</v>
      </c>
      <c r="J2997" s="729">
        <v>45239</v>
      </c>
      <c r="K2997" s="703">
        <v>0.375</v>
      </c>
      <c r="L2997" s="729">
        <v>45239</v>
      </c>
      <c r="M2997" s="663">
        <v>0.79166666666666663</v>
      </c>
      <c r="N2997" s="650">
        <v>8</v>
      </c>
      <c r="O2997" s="422" t="s">
        <v>411</v>
      </c>
      <c r="P2997" s="704" t="s">
        <v>5351</v>
      </c>
      <c r="Q2997" s="423" t="s">
        <v>4175</v>
      </c>
      <c r="R2997" s="705" t="s">
        <v>81</v>
      </c>
      <c r="S2997" s="31" t="s">
        <v>273</v>
      </c>
      <c r="T2997" s="31" t="s">
        <v>273</v>
      </c>
      <c r="U2997" s="31">
        <f>IFERROR(VLOOKUP(CONCATENATE(Tabla1[[#This Row],[Severidad]]," ",Tabla1[[#This Row],[Complejidad]]),Catalogos!E$120:G$128,3,FALSE),"")</f>
        <v>64</v>
      </c>
      <c r="V2997" s="31" t="str">
        <f>IF(Tabla1[[#This Row],[Tiempo solución max (hrs)]]&lt;&gt;"",IF(Tabla1[[#This Row],[Tiempo solución max (hrs)]]&gt;=Tabla1[[#This Row],[Tiempo
(Hrs 00/100)]],"cumple","no cumple"),"")</f>
        <v>cumple</v>
      </c>
      <c r="W2997" s="376" t="s">
        <v>4210</v>
      </c>
      <c r="X2997" s="377" t="str">
        <f t="shared" si="223"/>
        <v>SAI</v>
      </c>
      <c r="Y2997" t="str">
        <f>SUBSTITUTE(Tabla1[[#This Row],[Descripción]],CHAR(10),"    I    ")</f>
        <v>Ejecución y registro de las pruebas Internas del SPRINT 1  (1.5)</v>
      </c>
      <c r="Z2997" s="142">
        <f>VLOOKUP(Tabla1[[#This Row],[Perfil]],Catalogos!$B$75:$D$100,3,FALSE)*Tabla1[[#This Row],[Tiempo
(Hrs 00/100)]]*1.16</f>
        <v>4640</v>
      </c>
      <c r="AA2997" t="s">
        <v>3356</v>
      </c>
    </row>
    <row r="2998" spans="1:27" ht="15" customHeight="1" thickBot="1" x14ac:dyDescent="0.35">
      <c r="A2998" s="224" t="s">
        <v>22</v>
      </c>
      <c r="B2998" s="224" t="s">
        <v>23</v>
      </c>
      <c r="C2998" s="224" t="s">
        <v>49</v>
      </c>
      <c r="D2998" s="224"/>
      <c r="E2998" s="224" t="s">
        <v>4133</v>
      </c>
      <c r="F2998" s="224" t="s">
        <v>75</v>
      </c>
      <c r="G2998" s="224" t="s">
        <v>5358</v>
      </c>
      <c r="H2998" s="702" t="s">
        <v>5348</v>
      </c>
      <c r="I2998" s="467" t="s">
        <v>5359</v>
      </c>
      <c r="J2998" s="729">
        <v>45240</v>
      </c>
      <c r="K2998" s="703">
        <v>0.375</v>
      </c>
      <c r="L2998" s="729">
        <v>45240</v>
      </c>
      <c r="M2998" s="663">
        <v>0.79166666666666663</v>
      </c>
      <c r="N2998" s="650">
        <v>8</v>
      </c>
      <c r="O2998" s="422" t="s">
        <v>411</v>
      </c>
      <c r="P2998" s="704" t="s">
        <v>5351</v>
      </c>
      <c r="Q2998" s="423" t="s">
        <v>4175</v>
      </c>
      <c r="R2998" s="705" t="s">
        <v>81</v>
      </c>
      <c r="S2998" s="31" t="s">
        <v>273</v>
      </c>
      <c r="T2998" s="31" t="s">
        <v>273</v>
      </c>
      <c r="U2998" s="31">
        <f>IFERROR(VLOOKUP(CONCATENATE(Tabla1[[#This Row],[Severidad]]," ",Tabla1[[#This Row],[Complejidad]]),Catalogos!E$120:G$128,3,FALSE),"")</f>
        <v>64</v>
      </c>
      <c r="V2998" s="31" t="str">
        <f>IF(Tabla1[[#This Row],[Tiempo solución max (hrs)]]&lt;&gt;"",IF(Tabla1[[#This Row],[Tiempo solución max (hrs)]]&gt;=Tabla1[[#This Row],[Tiempo
(Hrs 00/100)]],"cumple","no cumple"),"")</f>
        <v>cumple</v>
      </c>
      <c r="W2998" s="376" t="s">
        <v>4210</v>
      </c>
      <c r="X2998" s="377" t="str">
        <f t="shared" si="223"/>
        <v>SAI</v>
      </c>
      <c r="Y2998" t="str">
        <f>SUBSTITUTE(Tabla1[[#This Row],[Descripción]],CHAR(10),"    I    ")</f>
        <v>Ejecución y registro de las pruebas Internas del SPRINT 1  (1.5)</v>
      </c>
      <c r="Z2998" s="142">
        <f>VLOOKUP(Tabla1[[#This Row],[Perfil]],Catalogos!$B$75:$D$100,3,FALSE)*Tabla1[[#This Row],[Tiempo
(Hrs 00/100)]]*1.16</f>
        <v>4640</v>
      </c>
      <c r="AA2998" t="s">
        <v>3356</v>
      </c>
    </row>
    <row r="2999" spans="1:27" ht="15" customHeight="1" thickBot="1" x14ac:dyDescent="0.35">
      <c r="A2999" s="224" t="s">
        <v>22</v>
      </c>
      <c r="B2999" s="224" t="s">
        <v>23</v>
      </c>
      <c r="C2999" s="224" t="s">
        <v>49</v>
      </c>
      <c r="D2999" s="224"/>
      <c r="E2999" s="224" t="s">
        <v>4133</v>
      </c>
      <c r="F2999" s="224" t="s">
        <v>75</v>
      </c>
      <c r="G2999" s="224" t="s">
        <v>5358</v>
      </c>
      <c r="H2999" s="702" t="s">
        <v>5348</v>
      </c>
      <c r="I2999" s="467" t="s">
        <v>5359</v>
      </c>
      <c r="J2999" s="729">
        <v>45243</v>
      </c>
      <c r="K2999" s="703">
        <v>0.375</v>
      </c>
      <c r="L2999" s="729">
        <v>45243</v>
      </c>
      <c r="M2999" s="663">
        <v>0.79166666666666663</v>
      </c>
      <c r="N2999" s="650">
        <v>8</v>
      </c>
      <c r="O2999" s="422" t="s">
        <v>17</v>
      </c>
      <c r="P2999" s="704" t="s">
        <v>5351</v>
      </c>
      <c r="Q2999" s="423" t="s">
        <v>4175</v>
      </c>
      <c r="R2999" s="705" t="s">
        <v>81</v>
      </c>
      <c r="S2999" s="31" t="s">
        <v>273</v>
      </c>
      <c r="T2999" s="31" t="s">
        <v>273</v>
      </c>
      <c r="U2999" s="31">
        <f>IFERROR(VLOOKUP(CONCATENATE(Tabla1[[#This Row],[Severidad]]," ",Tabla1[[#This Row],[Complejidad]]),Catalogos!E$120:G$128,3,FALSE),"")</f>
        <v>64</v>
      </c>
      <c r="V2999" s="31" t="str">
        <f>IF(Tabla1[[#This Row],[Tiempo solución max (hrs)]]&lt;&gt;"",IF(Tabla1[[#This Row],[Tiempo solución max (hrs)]]&gt;=Tabla1[[#This Row],[Tiempo
(Hrs 00/100)]],"cumple","no cumple"),"")</f>
        <v>cumple</v>
      </c>
      <c r="W2999" s="376" t="s">
        <v>4210</v>
      </c>
      <c r="X2999" s="377" t="str">
        <f t="shared" si="223"/>
        <v>SAI</v>
      </c>
      <c r="Y2999" t="str">
        <f>SUBSTITUTE(Tabla1[[#This Row],[Descripción]],CHAR(10),"    I    ")</f>
        <v>Ejecución y registro de las pruebas Internas del SPRINT 1  (1.5)</v>
      </c>
      <c r="Z2999" s="142">
        <f>VLOOKUP(Tabla1[[#This Row],[Perfil]],Catalogos!$B$75:$D$100,3,FALSE)*Tabla1[[#This Row],[Tiempo
(Hrs 00/100)]]*1.16</f>
        <v>4640</v>
      </c>
      <c r="AA2999" t="s">
        <v>3356</v>
      </c>
    </row>
    <row r="3000" spans="1:27" ht="15" customHeight="1" thickBot="1" x14ac:dyDescent="0.35">
      <c r="A3000" s="224" t="s">
        <v>22</v>
      </c>
      <c r="B3000" s="224" t="s">
        <v>23</v>
      </c>
      <c r="C3000" s="224" t="s">
        <v>49</v>
      </c>
      <c r="D3000" s="224"/>
      <c r="E3000" s="224" t="s">
        <v>4133</v>
      </c>
      <c r="F3000" s="224" t="s">
        <v>75</v>
      </c>
      <c r="G3000" s="224" t="s">
        <v>5360</v>
      </c>
      <c r="H3000" s="702" t="s">
        <v>5348</v>
      </c>
      <c r="I3000" s="467" t="s">
        <v>5361</v>
      </c>
      <c r="J3000" s="729">
        <v>45244</v>
      </c>
      <c r="K3000" s="703">
        <v>0.375</v>
      </c>
      <c r="L3000" s="729">
        <v>45244</v>
      </c>
      <c r="M3000" s="663">
        <v>0.79166666666666663</v>
      </c>
      <c r="N3000" s="650">
        <v>8</v>
      </c>
      <c r="O3000" s="422" t="s">
        <v>411</v>
      </c>
      <c r="P3000" s="704" t="s">
        <v>5351</v>
      </c>
      <c r="Q3000" s="423" t="s">
        <v>4175</v>
      </c>
      <c r="R3000" s="705" t="s">
        <v>81</v>
      </c>
      <c r="S3000" s="31" t="s">
        <v>273</v>
      </c>
      <c r="T3000" s="31" t="s">
        <v>273</v>
      </c>
      <c r="U3000" s="31">
        <f>IFERROR(VLOOKUP(CONCATENATE(Tabla1[[#This Row],[Severidad]]," ",Tabla1[[#This Row],[Complejidad]]),Catalogos!E$120:G$128,3,FALSE),"")</f>
        <v>64</v>
      </c>
      <c r="V3000" s="31" t="str">
        <f>IF(Tabla1[[#This Row],[Tiempo solución max (hrs)]]&lt;&gt;"",IF(Tabla1[[#This Row],[Tiempo solución max (hrs)]]&gt;=Tabla1[[#This Row],[Tiempo
(Hrs 00/100)]],"cumple","no cumple"),"")</f>
        <v>cumple</v>
      </c>
      <c r="W3000" s="376" t="s">
        <v>4210</v>
      </c>
      <c r="X3000" s="377" t="str">
        <f t="shared" si="223"/>
        <v>SAI</v>
      </c>
      <c r="Y3000" t="str">
        <f>SUBSTITUTE(Tabla1[[#This Row],[Descripción]],CHAR(10),"    I    ")</f>
        <v>Ejecución y registro de las pruebas Internas del SPRINT 1  (1.6)</v>
      </c>
      <c r="Z3000" s="142">
        <f>VLOOKUP(Tabla1[[#This Row],[Perfil]],Catalogos!$B$75:$D$100,3,FALSE)*Tabla1[[#This Row],[Tiempo
(Hrs 00/100)]]*1.16</f>
        <v>4640</v>
      </c>
      <c r="AA3000" t="s">
        <v>3356</v>
      </c>
    </row>
    <row r="3001" spans="1:27" ht="15" customHeight="1" thickBot="1" x14ac:dyDescent="0.35">
      <c r="A3001" s="224" t="s">
        <v>22</v>
      </c>
      <c r="B3001" s="224" t="s">
        <v>23</v>
      </c>
      <c r="C3001" s="224" t="s">
        <v>49</v>
      </c>
      <c r="D3001" s="224"/>
      <c r="E3001" s="224" t="s">
        <v>4133</v>
      </c>
      <c r="F3001" s="224" t="s">
        <v>75</v>
      </c>
      <c r="G3001" s="224" t="s">
        <v>5360</v>
      </c>
      <c r="H3001" s="702" t="s">
        <v>5348</v>
      </c>
      <c r="I3001" s="467" t="s">
        <v>5361</v>
      </c>
      <c r="J3001" s="729">
        <v>45245</v>
      </c>
      <c r="K3001" s="703">
        <v>0.375</v>
      </c>
      <c r="L3001" s="729">
        <v>45245</v>
      </c>
      <c r="M3001" s="663">
        <v>0.79166666666666663</v>
      </c>
      <c r="N3001" s="650">
        <v>8</v>
      </c>
      <c r="O3001" s="422" t="s">
        <v>17</v>
      </c>
      <c r="P3001" s="704" t="s">
        <v>5351</v>
      </c>
      <c r="Q3001" s="423" t="s">
        <v>4175</v>
      </c>
      <c r="R3001" s="705" t="s">
        <v>81</v>
      </c>
      <c r="S3001" s="31" t="s">
        <v>273</v>
      </c>
      <c r="T3001" s="31" t="s">
        <v>273</v>
      </c>
      <c r="U3001" s="31">
        <f>IFERROR(VLOOKUP(CONCATENATE(Tabla1[[#This Row],[Severidad]]," ",Tabla1[[#This Row],[Complejidad]]),Catalogos!E$120:G$128,3,FALSE),"")</f>
        <v>64</v>
      </c>
      <c r="V3001" s="31" t="str">
        <f>IF(Tabla1[[#This Row],[Tiempo solución max (hrs)]]&lt;&gt;"",IF(Tabla1[[#This Row],[Tiempo solución max (hrs)]]&gt;=Tabla1[[#This Row],[Tiempo
(Hrs 00/100)]],"cumple","no cumple"),"")</f>
        <v>cumple</v>
      </c>
      <c r="W3001" s="376" t="s">
        <v>4210</v>
      </c>
      <c r="X3001" s="377" t="str">
        <f t="shared" si="223"/>
        <v>SAI</v>
      </c>
      <c r="Y3001" t="str">
        <f>SUBSTITUTE(Tabla1[[#This Row],[Descripción]],CHAR(10),"    I    ")</f>
        <v>Ejecución y registro de las pruebas Internas del SPRINT 1  (1.6)</v>
      </c>
      <c r="Z3001" s="142">
        <f>VLOOKUP(Tabla1[[#This Row],[Perfil]],Catalogos!$B$75:$D$100,3,FALSE)*Tabla1[[#This Row],[Tiempo
(Hrs 00/100)]]*1.16</f>
        <v>4640</v>
      </c>
      <c r="AA3001" t="s">
        <v>3356</v>
      </c>
    </row>
    <row r="3002" spans="1:27" ht="15" customHeight="1" thickBot="1" x14ac:dyDescent="0.35">
      <c r="A3002" s="224" t="s">
        <v>22</v>
      </c>
      <c r="B3002" s="224" t="s">
        <v>23</v>
      </c>
      <c r="C3002" s="224" t="s">
        <v>49</v>
      </c>
      <c r="D3002" s="224"/>
      <c r="E3002" s="224" t="s">
        <v>4133</v>
      </c>
      <c r="F3002" s="224" t="s">
        <v>75</v>
      </c>
      <c r="G3002" s="224" t="s">
        <v>5362</v>
      </c>
      <c r="H3002" s="702" t="s">
        <v>5348</v>
      </c>
      <c r="I3002" s="467" t="s">
        <v>5363</v>
      </c>
      <c r="J3002" s="729">
        <v>45246</v>
      </c>
      <c r="K3002" s="703">
        <v>0.375</v>
      </c>
      <c r="L3002" s="729">
        <v>45246</v>
      </c>
      <c r="M3002" s="663">
        <v>0.79166666666666663</v>
      </c>
      <c r="N3002" s="650">
        <v>8</v>
      </c>
      <c r="O3002" s="422" t="s">
        <v>411</v>
      </c>
      <c r="P3002" s="704" t="s">
        <v>5351</v>
      </c>
      <c r="Q3002" s="423" t="s">
        <v>4175</v>
      </c>
      <c r="R3002" s="705" t="s">
        <v>81</v>
      </c>
      <c r="S3002" s="31" t="s">
        <v>273</v>
      </c>
      <c r="T3002" s="31" t="s">
        <v>273</v>
      </c>
      <c r="U3002" s="31">
        <f>IFERROR(VLOOKUP(CONCATENATE(Tabla1[[#This Row],[Severidad]]," ",Tabla1[[#This Row],[Complejidad]]),Catalogos!E$120:G$128,3,FALSE),"")</f>
        <v>64</v>
      </c>
      <c r="V3002" s="31" t="str">
        <f>IF(Tabla1[[#This Row],[Tiempo solución max (hrs)]]&lt;&gt;"",IF(Tabla1[[#This Row],[Tiempo solución max (hrs)]]&gt;=Tabla1[[#This Row],[Tiempo
(Hrs 00/100)]],"cumple","no cumple"),"")</f>
        <v>cumple</v>
      </c>
      <c r="W3002" s="376" t="s">
        <v>4210</v>
      </c>
      <c r="X3002" s="377" t="str">
        <f t="shared" si="223"/>
        <v>SAI</v>
      </c>
      <c r="Y3002" t="str">
        <f>SUBSTITUTE(Tabla1[[#This Row],[Descripción]],CHAR(10),"    I    ")</f>
        <v>Ejecución y registro de las pruebas Internas del SPRINT 1  (1.7)</v>
      </c>
      <c r="Z3002" s="142">
        <f>VLOOKUP(Tabla1[[#This Row],[Perfil]],Catalogos!$B$75:$D$100,3,FALSE)*Tabla1[[#This Row],[Tiempo
(Hrs 00/100)]]*1.16</f>
        <v>4640</v>
      </c>
      <c r="AA3002" t="s">
        <v>3356</v>
      </c>
    </row>
    <row r="3003" spans="1:27" ht="15" customHeight="1" thickBot="1" x14ac:dyDescent="0.35">
      <c r="A3003" s="224" t="s">
        <v>22</v>
      </c>
      <c r="B3003" s="224" t="s">
        <v>23</v>
      </c>
      <c r="C3003" s="224" t="s">
        <v>49</v>
      </c>
      <c r="D3003" s="224"/>
      <c r="E3003" s="224" t="s">
        <v>4133</v>
      </c>
      <c r="F3003" s="224" t="s">
        <v>75</v>
      </c>
      <c r="G3003" s="224" t="s">
        <v>5362</v>
      </c>
      <c r="H3003" s="702" t="s">
        <v>5348</v>
      </c>
      <c r="I3003" s="467" t="s">
        <v>5363</v>
      </c>
      <c r="J3003" s="729">
        <v>45247</v>
      </c>
      <c r="K3003" s="703">
        <v>0.375</v>
      </c>
      <c r="L3003" s="729">
        <v>45247</v>
      </c>
      <c r="M3003" s="663">
        <v>0.79166666666666663</v>
      </c>
      <c r="N3003" s="650">
        <v>8</v>
      </c>
      <c r="O3003" s="422" t="s">
        <v>17</v>
      </c>
      <c r="P3003" s="704" t="s">
        <v>5351</v>
      </c>
      <c r="Q3003" s="423" t="s">
        <v>4175</v>
      </c>
      <c r="R3003" s="705" t="s">
        <v>81</v>
      </c>
      <c r="S3003" s="31" t="s">
        <v>273</v>
      </c>
      <c r="T3003" s="31" t="s">
        <v>273</v>
      </c>
      <c r="U3003" s="31">
        <f>IFERROR(VLOOKUP(CONCATENATE(Tabla1[[#This Row],[Severidad]]," ",Tabla1[[#This Row],[Complejidad]]),Catalogos!E$120:G$128,3,FALSE),"")</f>
        <v>64</v>
      </c>
      <c r="V3003" s="31" t="str">
        <f>IF(Tabla1[[#This Row],[Tiempo solución max (hrs)]]&lt;&gt;"",IF(Tabla1[[#This Row],[Tiempo solución max (hrs)]]&gt;=Tabla1[[#This Row],[Tiempo
(Hrs 00/100)]],"cumple","no cumple"),"")</f>
        <v>cumple</v>
      </c>
      <c r="W3003" s="376" t="s">
        <v>4210</v>
      </c>
      <c r="X3003" s="377" t="str">
        <f t="shared" si="223"/>
        <v>SAI</v>
      </c>
      <c r="Y3003" t="str">
        <f>SUBSTITUTE(Tabla1[[#This Row],[Descripción]],CHAR(10),"    I    ")</f>
        <v>Ejecución y registro de las pruebas Internas del SPRINT 1  (1.7)</v>
      </c>
      <c r="Z3003" s="142">
        <f>VLOOKUP(Tabla1[[#This Row],[Perfil]],Catalogos!$B$75:$D$100,3,FALSE)*Tabla1[[#This Row],[Tiempo
(Hrs 00/100)]]*1.16</f>
        <v>4640</v>
      </c>
      <c r="AA3003" t="s">
        <v>3356</v>
      </c>
    </row>
    <row r="3004" spans="1:27" ht="15" customHeight="1" thickBot="1" x14ac:dyDescent="0.35">
      <c r="A3004" s="224" t="s">
        <v>22</v>
      </c>
      <c r="B3004" s="224" t="s">
        <v>23</v>
      </c>
      <c r="C3004" s="224" t="s">
        <v>49</v>
      </c>
      <c r="D3004" s="224"/>
      <c r="E3004" s="224" t="s">
        <v>4133</v>
      </c>
      <c r="F3004" s="224" t="s">
        <v>75</v>
      </c>
      <c r="G3004" s="224" t="s">
        <v>5364</v>
      </c>
      <c r="H3004" s="702" t="s">
        <v>5348</v>
      </c>
      <c r="I3004" s="467" t="s">
        <v>5365</v>
      </c>
      <c r="J3004" s="729">
        <v>45251</v>
      </c>
      <c r="K3004" s="703">
        <v>0.375</v>
      </c>
      <c r="L3004" s="729">
        <v>45251</v>
      </c>
      <c r="M3004" s="663">
        <v>0.79166666666666663</v>
      </c>
      <c r="N3004" s="650">
        <v>8</v>
      </c>
      <c r="O3004" s="422" t="s">
        <v>411</v>
      </c>
      <c r="P3004" s="704" t="s">
        <v>5351</v>
      </c>
      <c r="Q3004" s="423" t="s">
        <v>4175</v>
      </c>
      <c r="R3004" s="705" t="s">
        <v>81</v>
      </c>
      <c r="S3004" s="31" t="s">
        <v>273</v>
      </c>
      <c r="T3004" s="31" t="s">
        <v>273</v>
      </c>
      <c r="U3004" s="31">
        <f>IFERROR(VLOOKUP(CONCATENATE(Tabla1[[#This Row],[Severidad]]," ",Tabla1[[#This Row],[Complejidad]]),Catalogos!E$120:G$128,3,FALSE),"")</f>
        <v>64</v>
      </c>
      <c r="V3004" s="31" t="str">
        <f>IF(Tabla1[[#This Row],[Tiempo solución max (hrs)]]&lt;&gt;"",IF(Tabla1[[#This Row],[Tiempo solución max (hrs)]]&gt;=Tabla1[[#This Row],[Tiempo
(Hrs 00/100)]],"cumple","no cumple"),"")</f>
        <v>cumple</v>
      </c>
      <c r="W3004" s="376" t="s">
        <v>4210</v>
      </c>
      <c r="X3004" s="377" t="str">
        <f t="shared" si="223"/>
        <v>SAI</v>
      </c>
      <c r="Y3004" t="str">
        <f>SUBSTITUTE(Tabla1[[#This Row],[Descripción]],CHAR(10),"    I    ")</f>
        <v>Ejecución y registro de las pruebas Internas del SPRINT 1  (1.8)</v>
      </c>
      <c r="Z3004" s="142">
        <f>VLOOKUP(Tabla1[[#This Row],[Perfil]],Catalogos!$B$75:$D$100,3,FALSE)*Tabla1[[#This Row],[Tiempo
(Hrs 00/100)]]*1.16</f>
        <v>4640</v>
      </c>
      <c r="AA3004" t="s">
        <v>3356</v>
      </c>
    </row>
    <row r="3005" spans="1:27" ht="15" customHeight="1" thickBot="1" x14ac:dyDescent="0.35">
      <c r="A3005" s="224" t="s">
        <v>22</v>
      </c>
      <c r="B3005" s="224" t="s">
        <v>23</v>
      </c>
      <c r="C3005" s="224" t="s">
        <v>49</v>
      </c>
      <c r="D3005" s="224"/>
      <c r="E3005" s="224" t="s">
        <v>4133</v>
      </c>
      <c r="F3005" s="224" t="s">
        <v>75</v>
      </c>
      <c r="G3005" s="224" t="s">
        <v>5364</v>
      </c>
      <c r="H3005" s="702" t="s">
        <v>5348</v>
      </c>
      <c r="I3005" s="467" t="s">
        <v>5365</v>
      </c>
      <c r="J3005" s="729">
        <v>45252</v>
      </c>
      <c r="K3005" s="703">
        <v>0.375</v>
      </c>
      <c r="L3005" s="729">
        <v>45252</v>
      </c>
      <c r="M3005" s="663">
        <v>0.79166666666666663</v>
      </c>
      <c r="N3005" s="650">
        <v>8</v>
      </c>
      <c r="O3005" s="422" t="s">
        <v>411</v>
      </c>
      <c r="P3005" s="704" t="s">
        <v>5351</v>
      </c>
      <c r="Q3005" s="423" t="s">
        <v>4175</v>
      </c>
      <c r="R3005" s="705" t="s">
        <v>81</v>
      </c>
      <c r="S3005" s="31" t="s">
        <v>273</v>
      </c>
      <c r="T3005" s="31" t="s">
        <v>273</v>
      </c>
      <c r="U3005" s="31">
        <f>IFERROR(VLOOKUP(CONCATENATE(Tabla1[[#This Row],[Severidad]]," ",Tabla1[[#This Row],[Complejidad]]),Catalogos!E$120:G$128,3,FALSE),"")</f>
        <v>64</v>
      </c>
      <c r="V3005" s="31" t="str">
        <f>IF(Tabla1[[#This Row],[Tiempo solución max (hrs)]]&lt;&gt;"",IF(Tabla1[[#This Row],[Tiempo solución max (hrs)]]&gt;=Tabla1[[#This Row],[Tiempo
(Hrs 00/100)]],"cumple","no cumple"),"")</f>
        <v>cumple</v>
      </c>
      <c r="W3005" s="376" t="s">
        <v>4210</v>
      </c>
      <c r="X3005" s="377" t="str">
        <f t="shared" si="223"/>
        <v>SAI</v>
      </c>
      <c r="Y3005" t="str">
        <f>SUBSTITUTE(Tabla1[[#This Row],[Descripción]],CHAR(10),"    I    ")</f>
        <v>Ejecución y registro de las pruebas Internas del SPRINT 1  (1.8)</v>
      </c>
      <c r="Z3005" s="142">
        <f>VLOOKUP(Tabla1[[#This Row],[Perfil]],Catalogos!$B$75:$D$100,3,FALSE)*Tabla1[[#This Row],[Tiempo
(Hrs 00/100)]]*1.16</f>
        <v>4640</v>
      </c>
      <c r="AA3005" t="s">
        <v>3356</v>
      </c>
    </row>
    <row r="3006" spans="1:27" ht="15" customHeight="1" thickBot="1" x14ac:dyDescent="0.35">
      <c r="A3006" s="224" t="s">
        <v>22</v>
      </c>
      <c r="B3006" s="224" t="s">
        <v>23</v>
      </c>
      <c r="C3006" s="224" t="s">
        <v>49</v>
      </c>
      <c r="D3006" s="224"/>
      <c r="E3006" s="224" t="s">
        <v>4133</v>
      </c>
      <c r="F3006" s="224" t="s">
        <v>75</v>
      </c>
      <c r="G3006" s="224" t="s">
        <v>5364</v>
      </c>
      <c r="H3006" s="702" t="s">
        <v>5348</v>
      </c>
      <c r="I3006" s="467" t="s">
        <v>5365</v>
      </c>
      <c r="J3006" s="729">
        <v>45253</v>
      </c>
      <c r="K3006" s="703">
        <v>0.375</v>
      </c>
      <c r="L3006" s="729">
        <v>45253</v>
      </c>
      <c r="M3006" s="663">
        <v>0.79166666666666663</v>
      </c>
      <c r="N3006" s="650">
        <v>8</v>
      </c>
      <c r="O3006" s="422" t="s">
        <v>411</v>
      </c>
      <c r="P3006" s="704" t="s">
        <v>5351</v>
      </c>
      <c r="Q3006" s="423" t="s">
        <v>4175</v>
      </c>
      <c r="R3006" s="705" t="s">
        <v>81</v>
      </c>
      <c r="S3006" s="31" t="s">
        <v>273</v>
      </c>
      <c r="T3006" s="31" t="s">
        <v>273</v>
      </c>
      <c r="U3006" s="31">
        <f>IFERROR(VLOOKUP(CONCATENATE(Tabla1[[#This Row],[Severidad]]," ",Tabla1[[#This Row],[Complejidad]]),Catalogos!E$120:G$128,3,FALSE),"")</f>
        <v>64</v>
      </c>
      <c r="V3006" s="31" t="str">
        <f>IF(Tabla1[[#This Row],[Tiempo solución max (hrs)]]&lt;&gt;"",IF(Tabla1[[#This Row],[Tiempo solución max (hrs)]]&gt;=Tabla1[[#This Row],[Tiempo
(Hrs 00/100)]],"cumple","no cumple"),"")</f>
        <v>cumple</v>
      </c>
      <c r="W3006" s="376" t="s">
        <v>4210</v>
      </c>
      <c r="X3006" s="377" t="str">
        <f t="shared" ref="X3006:X3011" si="224">IF(C3006&lt;&gt;"",C3006,D3006)</f>
        <v>SAI</v>
      </c>
      <c r="Y3006" t="str">
        <f>SUBSTITUTE(Tabla1[[#This Row],[Descripción]],CHAR(10),"    I    ")</f>
        <v>Ejecución y registro de las pruebas Internas del SPRINT 1  (1.8)</v>
      </c>
      <c r="Z3006" s="142">
        <f>VLOOKUP(Tabla1[[#This Row],[Perfil]],Catalogos!$B$75:$D$100,3,FALSE)*Tabla1[[#This Row],[Tiempo
(Hrs 00/100)]]*1.16</f>
        <v>4640</v>
      </c>
      <c r="AA3006" t="s">
        <v>3356</v>
      </c>
    </row>
    <row r="3007" spans="1:27" ht="15" customHeight="1" thickBot="1" x14ac:dyDescent="0.35">
      <c r="A3007" s="224" t="s">
        <v>22</v>
      </c>
      <c r="B3007" s="224" t="s">
        <v>23</v>
      </c>
      <c r="C3007" s="224" t="s">
        <v>49</v>
      </c>
      <c r="D3007" s="224"/>
      <c r="E3007" s="224" t="s">
        <v>4133</v>
      </c>
      <c r="F3007" s="224" t="s">
        <v>75</v>
      </c>
      <c r="G3007" s="224" t="s">
        <v>5364</v>
      </c>
      <c r="H3007" s="702" t="s">
        <v>5348</v>
      </c>
      <c r="I3007" s="467" t="s">
        <v>5365</v>
      </c>
      <c r="J3007" s="729">
        <v>45254</v>
      </c>
      <c r="K3007" s="703">
        <v>0.375</v>
      </c>
      <c r="L3007" s="729">
        <v>45254</v>
      </c>
      <c r="M3007" s="663">
        <v>0.79166666666666663</v>
      </c>
      <c r="N3007" s="650">
        <v>8</v>
      </c>
      <c r="O3007" s="422" t="s">
        <v>17</v>
      </c>
      <c r="P3007" s="704" t="s">
        <v>5351</v>
      </c>
      <c r="Q3007" s="423" t="s">
        <v>4175</v>
      </c>
      <c r="R3007" s="705" t="s">
        <v>81</v>
      </c>
      <c r="S3007" s="31" t="s">
        <v>273</v>
      </c>
      <c r="T3007" s="31" t="s">
        <v>273</v>
      </c>
      <c r="U3007" s="31">
        <f>IFERROR(VLOOKUP(CONCATENATE(Tabla1[[#This Row],[Severidad]]," ",Tabla1[[#This Row],[Complejidad]]),Catalogos!E$120:G$128,3,FALSE),"")</f>
        <v>64</v>
      </c>
      <c r="V3007" s="31" t="str">
        <f>IF(Tabla1[[#This Row],[Tiempo solución max (hrs)]]&lt;&gt;"",IF(Tabla1[[#This Row],[Tiempo solución max (hrs)]]&gt;=Tabla1[[#This Row],[Tiempo
(Hrs 00/100)]],"cumple","no cumple"),"")</f>
        <v>cumple</v>
      </c>
      <c r="W3007" s="376" t="s">
        <v>4210</v>
      </c>
      <c r="X3007" s="377" t="str">
        <f t="shared" si="224"/>
        <v>SAI</v>
      </c>
      <c r="Y3007" t="str">
        <f>SUBSTITUTE(Tabla1[[#This Row],[Descripción]],CHAR(10),"    I    ")</f>
        <v>Ejecución y registro de las pruebas Internas del SPRINT 1  (1.8)</v>
      </c>
      <c r="Z3007" s="142">
        <f>VLOOKUP(Tabla1[[#This Row],[Perfil]],Catalogos!$B$75:$D$100,3,FALSE)*Tabla1[[#This Row],[Tiempo
(Hrs 00/100)]]*1.16</f>
        <v>4640</v>
      </c>
      <c r="AA3007" t="s">
        <v>3356</v>
      </c>
    </row>
    <row r="3008" spans="1:27" ht="15" customHeight="1" thickBot="1" x14ac:dyDescent="0.35">
      <c r="A3008" s="224" t="s">
        <v>22</v>
      </c>
      <c r="B3008" s="224" t="s">
        <v>23</v>
      </c>
      <c r="C3008" s="224" t="s">
        <v>49</v>
      </c>
      <c r="D3008" s="224"/>
      <c r="E3008" s="224" t="s">
        <v>4133</v>
      </c>
      <c r="F3008" s="224" t="s">
        <v>75</v>
      </c>
      <c r="G3008" s="224" t="s">
        <v>5366</v>
      </c>
      <c r="H3008" s="702" t="s">
        <v>5367</v>
      </c>
      <c r="I3008" s="467" t="s">
        <v>5368</v>
      </c>
      <c r="J3008" s="729">
        <v>45257</v>
      </c>
      <c r="K3008" s="703">
        <v>0.375</v>
      </c>
      <c r="L3008" s="729">
        <v>45257</v>
      </c>
      <c r="M3008" s="663">
        <v>0.79166666666666663</v>
      </c>
      <c r="N3008" s="650">
        <v>8</v>
      </c>
      <c r="O3008" s="422" t="s">
        <v>411</v>
      </c>
      <c r="P3008" s="704" t="s">
        <v>5351</v>
      </c>
      <c r="Q3008" s="423" t="s">
        <v>4175</v>
      </c>
      <c r="R3008" s="705" t="s">
        <v>81</v>
      </c>
      <c r="S3008" s="31" t="s">
        <v>273</v>
      </c>
      <c r="T3008" s="31" t="s">
        <v>273</v>
      </c>
      <c r="U3008" s="31">
        <f>IFERROR(VLOOKUP(CONCATENATE(Tabla1[[#This Row],[Severidad]]," ",Tabla1[[#This Row],[Complejidad]]),Catalogos!E$120:G$128,3,FALSE),"")</f>
        <v>64</v>
      </c>
      <c r="V3008" s="31" t="str">
        <f>IF(Tabla1[[#This Row],[Tiempo solución max (hrs)]]&lt;&gt;"",IF(Tabla1[[#This Row],[Tiempo solución max (hrs)]]&gt;=Tabla1[[#This Row],[Tiempo
(Hrs 00/100)]],"cumple","no cumple"),"")</f>
        <v>cumple</v>
      </c>
      <c r="W3008" s="376" t="s">
        <v>4210</v>
      </c>
      <c r="X3008" s="377" t="str">
        <f t="shared" si="224"/>
        <v>SAI</v>
      </c>
      <c r="Y3008" t="str">
        <f>SUBSTITUTE(Tabla1[[#This Row],[Descripción]],CHAR(10),"    I    ")</f>
        <v>Ejecución y registro de las pruebas Internas del SPRINT 2 (MODULO DE PIZARRAS 5)</v>
      </c>
      <c r="Z3008" s="142">
        <f>VLOOKUP(Tabla1[[#This Row],[Perfil]],Catalogos!$B$75:$D$100,3,FALSE)*Tabla1[[#This Row],[Tiempo
(Hrs 00/100)]]*1.16</f>
        <v>4640</v>
      </c>
      <c r="AA3008" t="s">
        <v>3356</v>
      </c>
    </row>
    <row r="3009" spans="1:27" ht="15" customHeight="1" thickBot="1" x14ac:dyDescent="0.35">
      <c r="A3009" s="224" t="s">
        <v>22</v>
      </c>
      <c r="B3009" s="224" t="s">
        <v>23</v>
      </c>
      <c r="C3009" s="224" t="s">
        <v>49</v>
      </c>
      <c r="D3009" s="224"/>
      <c r="E3009" s="224" t="s">
        <v>4133</v>
      </c>
      <c r="F3009" s="224" t="s">
        <v>75</v>
      </c>
      <c r="G3009" s="224" t="s">
        <v>5366</v>
      </c>
      <c r="H3009" s="702" t="s">
        <v>5367</v>
      </c>
      <c r="I3009" s="467" t="s">
        <v>5368</v>
      </c>
      <c r="J3009" s="729">
        <v>45258</v>
      </c>
      <c r="K3009" s="703">
        <v>0.375</v>
      </c>
      <c r="L3009" s="729">
        <v>45258</v>
      </c>
      <c r="M3009" s="663">
        <v>0.79166666666666663</v>
      </c>
      <c r="N3009" s="650">
        <v>8</v>
      </c>
      <c r="O3009" s="422" t="s">
        <v>411</v>
      </c>
      <c r="P3009" s="704" t="s">
        <v>5351</v>
      </c>
      <c r="Q3009" s="423" t="s">
        <v>4175</v>
      </c>
      <c r="R3009" s="705" t="s">
        <v>81</v>
      </c>
      <c r="S3009" s="31" t="s">
        <v>273</v>
      </c>
      <c r="T3009" s="31" t="s">
        <v>273</v>
      </c>
      <c r="U3009" s="31">
        <f>IFERROR(VLOOKUP(CONCATENATE(Tabla1[[#This Row],[Severidad]]," ",Tabla1[[#This Row],[Complejidad]]),Catalogos!E$120:G$128,3,FALSE),"")</f>
        <v>64</v>
      </c>
      <c r="V3009" s="31" t="str">
        <f>IF(Tabla1[[#This Row],[Tiempo solución max (hrs)]]&lt;&gt;"",IF(Tabla1[[#This Row],[Tiempo solución max (hrs)]]&gt;=Tabla1[[#This Row],[Tiempo
(Hrs 00/100)]],"cumple","no cumple"),"")</f>
        <v>cumple</v>
      </c>
      <c r="W3009" s="376" t="s">
        <v>4210</v>
      </c>
      <c r="X3009" s="377" t="str">
        <f t="shared" si="224"/>
        <v>SAI</v>
      </c>
      <c r="Y3009" t="str">
        <f>SUBSTITUTE(Tabla1[[#This Row],[Descripción]],CHAR(10),"    I    ")</f>
        <v>Ejecución y registro de las pruebas Internas del SPRINT 2 (MODULO DE PIZARRAS 5)</v>
      </c>
      <c r="Z3009" s="142">
        <f>VLOOKUP(Tabla1[[#This Row],[Perfil]],Catalogos!$B$75:$D$100,3,FALSE)*Tabla1[[#This Row],[Tiempo
(Hrs 00/100)]]*1.16</f>
        <v>4640</v>
      </c>
      <c r="AA3009" t="s">
        <v>3356</v>
      </c>
    </row>
    <row r="3010" spans="1:27" ht="15" customHeight="1" thickBot="1" x14ac:dyDescent="0.35">
      <c r="A3010" s="224" t="s">
        <v>22</v>
      </c>
      <c r="B3010" s="224" t="s">
        <v>23</v>
      </c>
      <c r="C3010" s="224" t="s">
        <v>49</v>
      </c>
      <c r="D3010" s="224"/>
      <c r="E3010" s="224" t="s">
        <v>4133</v>
      </c>
      <c r="F3010" s="224" t="s">
        <v>75</v>
      </c>
      <c r="G3010" s="224" t="s">
        <v>5366</v>
      </c>
      <c r="H3010" s="702" t="s">
        <v>5367</v>
      </c>
      <c r="I3010" s="467" t="s">
        <v>5368</v>
      </c>
      <c r="J3010" s="729">
        <v>45259</v>
      </c>
      <c r="K3010" s="703">
        <v>0.375</v>
      </c>
      <c r="L3010" s="729">
        <v>45259</v>
      </c>
      <c r="M3010" s="663">
        <v>0.79166666666666663</v>
      </c>
      <c r="N3010" s="650">
        <v>8</v>
      </c>
      <c r="O3010" s="422" t="s">
        <v>411</v>
      </c>
      <c r="P3010" s="704" t="s">
        <v>5351</v>
      </c>
      <c r="Q3010" s="423" t="s">
        <v>4175</v>
      </c>
      <c r="R3010" s="705" t="s">
        <v>81</v>
      </c>
      <c r="S3010" s="31" t="s">
        <v>273</v>
      </c>
      <c r="T3010" s="31" t="s">
        <v>273</v>
      </c>
      <c r="U3010" s="31">
        <f>IFERROR(VLOOKUP(CONCATENATE(Tabla1[[#This Row],[Severidad]]," ",Tabla1[[#This Row],[Complejidad]]),Catalogos!E$120:G$128,3,FALSE),"")</f>
        <v>64</v>
      </c>
      <c r="V3010" s="31" t="str">
        <f>IF(Tabla1[[#This Row],[Tiempo solución max (hrs)]]&lt;&gt;"",IF(Tabla1[[#This Row],[Tiempo solución max (hrs)]]&gt;=Tabla1[[#This Row],[Tiempo
(Hrs 00/100)]],"cumple","no cumple"),"")</f>
        <v>cumple</v>
      </c>
      <c r="W3010" s="376" t="s">
        <v>4210</v>
      </c>
      <c r="X3010" s="377" t="str">
        <f t="shared" si="224"/>
        <v>SAI</v>
      </c>
      <c r="Y3010" t="str">
        <f>SUBSTITUTE(Tabla1[[#This Row],[Descripción]],CHAR(10),"    I    ")</f>
        <v>Ejecución y registro de las pruebas Internas del SPRINT 2 (MODULO DE PIZARRAS 5)</v>
      </c>
      <c r="Z3010" s="142">
        <f>VLOOKUP(Tabla1[[#This Row],[Perfil]],Catalogos!$B$75:$D$100,3,FALSE)*Tabla1[[#This Row],[Tiempo
(Hrs 00/100)]]*1.16</f>
        <v>4640</v>
      </c>
      <c r="AA3010" t="s">
        <v>3356</v>
      </c>
    </row>
    <row r="3011" spans="1:27" ht="15" customHeight="1" thickBot="1" x14ac:dyDescent="0.35">
      <c r="A3011" s="224" t="s">
        <v>22</v>
      </c>
      <c r="B3011" s="224" t="s">
        <v>23</v>
      </c>
      <c r="C3011" s="224" t="s">
        <v>49</v>
      </c>
      <c r="D3011" s="224"/>
      <c r="E3011" s="224" t="s">
        <v>4133</v>
      </c>
      <c r="F3011" s="224" t="s">
        <v>75</v>
      </c>
      <c r="G3011" s="224" t="s">
        <v>5366</v>
      </c>
      <c r="H3011" s="702" t="s">
        <v>5367</v>
      </c>
      <c r="I3011" s="467" t="s">
        <v>5368</v>
      </c>
      <c r="J3011" s="729">
        <v>45260</v>
      </c>
      <c r="K3011" s="703">
        <v>0.375</v>
      </c>
      <c r="L3011" s="729">
        <v>45260</v>
      </c>
      <c r="M3011" s="663">
        <v>0.79166666666666663</v>
      </c>
      <c r="N3011" s="650">
        <v>8</v>
      </c>
      <c r="O3011" s="422" t="s">
        <v>17</v>
      </c>
      <c r="P3011" s="704" t="s">
        <v>5351</v>
      </c>
      <c r="Q3011" s="423" t="s">
        <v>4175</v>
      </c>
      <c r="R3011" s="705" t="s">
        <v>81</v>
      </c>
      <c r="S3011" s="31" t="s">
        <v>273</v>
      </c>
      <c r="T3011" s="31" t="s">
        <v>273</v>
      </c>
      <c r="U3011" s="31">
        <f>IFERROR(VLOOKUP(CONCATENATE(Tabla1[[#This Row],[Severidad]]," ",Tabla1[[#This Row],[Complejidad]]),Catalogos!E$120:G$128,3,FALSE),"")</f>
        <v>64</v>
      </c>
      <c r="V3011" s="31" t="str">
        <f>IF(Tabla1[[#This Row],[Tiempo solución max (hrs)]]&lt;&gt;"",IF(Tabla1[[#This Row],[Tiempo solución max (hrs)]]&gt;=Tabla1[[#This Row],[Tiempo
(Hrs 00/100)]],"cumple","no cumple"),"")</f>
        <v>cumple</v>
      </c>
      <c r="W3011" s="376" t="s">
        <v>4210</v>
      </c>
      <c r="X3011" s="377" t="str">
        <f t="shared" si="224"/>
        <v>SAI</v>
      </c>
      <c r="Y3011" t="str">
        <f>SUBSTITUTE(Tabla1[[#This Row],[Descripción]],CHAR(10),"    I    ")</f>
        <v>Ejecución y registro de las pruebas Internas del SPRINT 2 (MODULO DE PIZARRAS 5)</v>
      </c>
      <c r="Z3011" s="142">
        <f>VLOOKUP(Tabla1[[#This Row],[Perfil]],Catalogos!$B$75:$D$100,3,FALSE)*Tabla1[[#This Row],[Tiempo
(Hrs 00/100)]]*1.16</f>
        <v>4640</v>
      </c>
      <c r="AA3011" t="s">
        <v>3356</v>
      </c>
    </row>
    <row r="3012" spans="1:27" ht="24" customHeight="1" x14ac:dyDescent="0.3">
      <c r="A3012" s="625" t="s">
        <v>22</v>
      </c>
      <c r="B3012" s="625" t="s">
        <v>23</v>
      </c>
      <c r="C3012" s="205" t="s">
        <v>155</v>
      </c>
      <c r="D3012" s="373"/>
      <c r="E3012" s="373" t="s">
        <v>375</v>
      </c>
      <c r="F3012" s="370" t="s">
        <v>23</v>
      </c>
      <c r="G3012" s="370" t="s">
        <v>5415</v>
      </c>
      <c r="H3012" s="461" t="s">
        <v>405</v>
      </c>
      <c r="I3012" s="467" t="s">
        <v>5416</v>
      </c>
      <c r="J3012" s="369">
        <v>45261</v>
      </c>
      <c r="K3012" s="747">
        <v>0.375</v>
      </c>
      <c r="L3012" s="369">
        <v>45261</v>
      </c>
      <c r="M3012" s="753">
        <v>0.79166666666666663</v>
      </c>
      <c r="N3012" s="210">
        <v>8.5</v>
      </c>
      <c r="O3012" s="184" t="s">
        <v>411</v>
      </c>
      <c r="P3012" s="375" t="s">
        <v>412</v>
      </c>
      <c r="Q3012" s="179" t="s">
        <v>4258</v>
      </c>
      <c r="R3012" s="628" t="s">
        <v>40</v>
      </c>
      <c r="S3012" s="31" t="s">
        <v>273</v>
      </c>
      <c r="T3012" s="31" t="s">
        <v>273</v>
      </c>
      <c r="U3012" s="31">
        <f>IFERROR(VLOOKUP(CONCATENATE(Tabla1[[#This Row],[Severidad]]," ",Tabla1[[#This Row],[Complejidad]]),Catalogos!E$120:G$128,3,FALSE),"")</f>
        <v>64</v>
      </c>
      <c r="V3012" s="31" t="str">
        <f>IF(Tabla1[[#This Row],[Tiempo solución max (hrs)]]&lt;&gt;"",IF(Tabla1[[#This Row],[Tiempo solución max (hrs)]]&gt;=Tabla1[[#This Row],[Tiempo
(Hrs 00/100)]],"cumple","no cumple"),"")</f>
        <v>cumple</v>
      </c>
      <c r="W3012" s="376" t="s">
        <v>5372</v>
      </c>
      <c r="X3012" s="377" t="str">
        <f t="shared" ref="X3012:X3043" si="225">IF(C3012&lt;&gt;"",C3012,D3012)</f>
        <v>DS</v>
      </c>
      <c r="Y3012" t="str">
        <f>SUBSTITUTE(Tabla1[[#This Row],[Descripción]],CHAR(10),"    I    ")</f>
        <v>Implementar adecuaciones al código fuente para atender hallazgos del módulo - SISAI</v>
      </c>
      <c r="Z3012" s="142">
        <f>VLOOKUP(Tabla1[[#This Row],[Perfil]],Catalogos!$B$75:$D$100,3,FALSE)*Tabla1[[#This Row],[Tiempo
(Hrs 00/100)]]*1.16</f>
        <v>6901.9999999999991</v>
      </c>
    </row>
    <row r="3013" spans="1:27" ht="24" customHeight="1" x14ac:dyDescent="0.3">
      <c r="A3013" s="625" t="s">
        <v>22</v>
      </c>
      <c r="B3013" s="625" t="s">
        <v>23</v>
      </c>
      <c r="C3013" s="205" t="s">
        <v>155</v>
      </c>
      <c r="D3013" s="373"/>
      <c r="E3013" s="373" t="s">
        <v>375</v>
      </c>
      <c r="F3013" s="370" t="s">
        <v>23</v>
      </c>
      <c r="G3013" s="370" t="s">
        <v>5415</v>
      </c>
      <c r="H3013" s="461" t="s">
        <v>405</v>
      </c>
      <c r="I3013" s="467" t="s">
        <v>5416</v>
      </c>
      <c r="J3013" s="369">
        <v>45264</v>
      </c>
      <c r="K3013" s="747">
        <v>0.375</v>
      </c>
      <c r="L3013" s="369">
        <v>45264</v>
      </c>
      <c r="M3013" s="753">
        <v>0.79166666666666663</v>
      </c>
      <c r="N3013" s="210">
        <v>8.5</v>
      </c>
      <c r="O3013" s="184" t="s">
        <v>411</v>
      </c>
      <c r="P3013" s="375" t="s">
        <v>412</v>
      </c>
      <c r="Q3013" s="179" t="s">
        <v>4258</v>
      </c>
      <c r="R3013" s="628" t="s">
        <v>40</v>
      </c>
      <c r="S3013" s="31" t="s">
        <v>273</v>
      </c>
      <c r="T3013" s="31" t="s">
        <v>273</v>
      </c>
      <c r="U3013" s="31">
        <f>IFERROR(VLOOKUP(CONCATENATE(Tabla1[[#This Row],[Severidad]]," ",Tabla1[[#This Row],[Complejidad]]),Catalogos!E$120:G$128,3,FALSE),"")</f>
        <v>64</v>
      </c>
      <c r="V3013" s="31" t="str">
        <f>IF(Tabla1[[#This Row],[Tiempo solución max (hrs)]]&lt;&gt;"",IF(Tabla1[[#This Row],[Tiempo solución max (hrs)]]&gt;=Tabla1[[#This Row],[Tiempo
(Hrs 00/100)]],"cumple","no cumple"),"")</f>
        <v>cumple</v>
      </c>
      <c r="W3013" s="376" t="s">
        <v>5372</v>
      </c>
      <c r="X3013" s="377" t="str">
        <f t="shared" ref="X3013:X3016" si="226">IF(C3013&lt;&gt;"",C3013,D3013)</f>
        <v>DS</v>
      </c>
      <c r="Y3013" t="str">
        <f>SUBSTITUTE(Tabla1[[#This Row],[Descripción]],CHAR(10),"    I    ")</f>
        <v>Implementar adecuaciones al código fuente para atender hallazgos del módulo - SISAI</v>
      </c>
      <c r="Z3013" s="142">
        <f>VLOOKUP(Tabla1[[#This Row],[Perfil]],Catalogos!$B$75:$D$100,3,FALSE)*Tabla1[[#This Row],[Tiempo
(Hrs 00/100)]]*1.16</f>
        <v>6901.9999999999991</v>
      </c>
    </row>
    <row r="3014" spans="1:27" ht="24" customHeight="1" x14ac:dyDescent="0.3">
      <c r="A3014" s="625" t="s">
        <v>22</v>
      </c>
      <c r="B3014" s="625" t="s">
        <v>23</v>
      </c>
      <c r="C3014" s="205" t="s">
        <v>155</v>
      </c>
      <c r="D3014" s="373"/>
      <c r="E3014" s="373" t="s">
        <v>375</v>
      </c>
      <c r="F3014" s="370" t="s">
        <v>23</v>
      </c>
      <c r="G3014" s="370" t="s">
        <v>5415</v>
      </c>
      <c r="H3014" s="461" t="s">
        <v>405</v>
      </c>
      <c r="I3014" s="467" t="s">
        <v>5416</v>
      </c>
      <c r="J3014" s="369">
        <v>45265</v>
      </c>
      <c r="K3014" s="747">
        <v>0.375</v>
      </c>
      <c r="L3014" s="369">
        <v>45265</v>
      </c>
      <c r="M3014" s="753">
        <v>0.79166666666666663</v>
      </c>
      <c r="N3014" s="210">
        <v>8.5</v>
      </c>
      <c r="O3014" s="184" t="s">
        <v>411</v>
      </c>
      <c r="P3014" s="375" t="s">
        <v>412</v>
      </c>
      <c r="Q3014" s="179" t="s">
        <v>4258</v>
      </c>
      <c r="R3014" s="628" t="s">
        <v>40</v>
      </c>
      <c r="S3014" s="31" t="s">
        <v>273</v>
      </c>
      <c r="T3014" s="31" t="s">
        <v>273</v>
      </c>
      <c r="U3014" s="31">
        <f>IFERROR(VLOOKUP(CONCATENATE(Tabla1[[#This Row],[Severidad]]," ",Tabla1[[#This Row],[Complejidad]]),Catalogos!E$120:G$128,3,FALSE),"")</f>
        <v>64</v>
      </c>
      <c r="V3014" s="31" t="str">
        <f>IF(Tabla1[[#This Row],[Tiempo solución max (hrs)]]&lt;&gt;"",IF(Tabla1[[#This Row],[Tiempo solución max (hrs)]]&gt;=Tabla1[[#This Row],[Tiempo
(Hrs 00/100)]],"cumple","no cumple"),"")</f>
        <v>cumple</v>
      </c>
      <c r="W3014" s="376" t="s">
        <v>5372</v>
      </c>
      <c r="X3014" s="377" t="str">
        <f t="shared" si="226"/>
        <v>DS</v>
      </c>
      <c r="Y3014" t="str">
        <f>SUBSTITUTE(Tabla1[[#This Row],[Descripción]],CHAR(10),"    I    ")</f>
        <v>Implementar adecuaciones al código fuente para atender hallazgos del módulo - SISAI</v>
      </c>
      <c r="Z3014" s="142">
        <f>VLOOKUP(Tabla1[[#This Row],[Perfil]],Catalogos!$B$75:$D$100,3,FALSE)*Tabla1[[#This Row],[Tiempo
(Hrs 00/100)]]*1.16</f>
        <v>6901.9999999999991</v>
      </c>
    </row>
    <row r="3015" spans="1:27" ht="24" customHeight="1" x14ac:dyDescent="0.3">
      <c r="A3015" s="625" t="s">
        <v>22</v>
      </c>
      <c r="B3015" s="625" t="s">
        <v>23</v>
      </c>
      <c r="C3015" s="205" t="s">
        <v>155</v>
      </c>
      <c r="D3015" s="373"/>
      <c r="E3015" s="373" t="s">
        <v>375</v>
      </c>
      <c r="F3015" s="370" t="s">
        <v>23</v>
      </c>
      <c r="G3015" s="370" t="s">
        <v>5415</v>
      </c>
      <c r="H3015" s="461" t="s">
        <v>405</v>
      </c>
      <c r="I3015" s="467" t="s">
        <v>5416</v>
      </c>
      <c r="J3015" s="369">
        <v>45266</v>
      </c>
      <c r="K3015" s="747">
        <v>0.375</v>
      </c>
      <c r="L3015" s="369">
        <v>45266</v>
      </c>
      <c r="M3015" s="753">
        <v>0.79166666666666663</v>
      </c>
      <c r="N3015" s="210">
        <v>8.5</v>
      </c>
      <c r="O3015" s="184" t="s">
        <v>17</v>
      </c>
      <c r="P3015" s="375" t="s">
        <v>412</v>
      </c>
      <c r="Q3015" s="179" t="s">
        <v>4258</v>
      </c>
      <c r="R3015" s="628" t="s">
        <v>40</v>
      </c>
      <c r="S3015" s="31" t="s">
        <v>273</v>
      </c>
      <c r="T3015" s="31" t="s">
        <v>273</v>
      </c>
      <c r="U3015" s="31">
        <f>IFERROR(VLOOKUP(CONCATENATE(Tabla1[[#This Row],[Severidad]]," ",Tabla1[[#This Row],[Complejidad]]),Catalogos!E$120:G$128,3,FALSE),"")</f>
        <v>64</v>
      </c>
      <c r="V3015" s="31" t="str">
        <f>IF(Tabla1[[#This Row],[Tiempo solución max (hrs)]]&lt;&gt;"",IF(Tabla1[[#This Row],[Tiempo solución max (hrs)]]&gt;=Tabla1[[#This Row],[Tiempo
(Hrs 00/100)]],"cumple","no cumple"),"")</f>
        <v>cumple</v>
      </c>
      <c r="W3015" s="376" t="s">
        <v>5372</v>
      </c>
      <c r="X3015" s="377" t="str">
        <f t="shared" si="226"/>
        <v>DS</v>
      </c>
      <c r="Y3015" t="str">
        <f>SUBSTITUTE(Tabla1[[#This Row],[Descripción]],CHAR(10),"    I    ")</f>
        <v>Implementar adecuaciones al código fuente para atender hallazgos del módulo - SISAI</v>
      </c>
      <c r="Z3015" s="142">
        <f>VLOOKUP(Tabla1[[#This Row],[Perfil]],Catalogos!$B$75:$D$100,3,FALSE)*Tabla1[[#This Row],[Tiempo
(Hrs 00/100)]]*1.16</f>
        <v>6901.9999999999991</v>
      </c>
    </row>
    <row r="3016" spans="1:27" ht="24" customHeight="1" x14ac:dyDescent="0.3">
      <c r="A3016" s="625" t="s">
        <v>22</v>
      </c>
      <c r="B3016" s="625" t="s">
        <v>23</v>
      </c>
      <c r="C3016" s="205" t="s">
        <v>155</v>
      </c>
      <c r="D3016" s="373"/>
      <c r="E3016" s="373" t="s">
        <v>375</v>
      </c>
      <c r="F3016" s="370" t="s">
        <v>23</v>
      </c>
      <c r="G3016" s="370" t="s">
        <v>5417</v>
      </c>
      <c r="H3016" s="461" t="s">
        <v>405</v>
      </c>
      <c r="I3016" s="467" t="s">
        <v>5419</v>
      </c>
      <c r="J3016" s="369">
        <v>45267</v>
      </c>
      <c r="K3016" s="747">
        <v>0.375</v>
      </c>
      <c r="L3016" s="369">
        <v>45267</v>
      </c>
      <c r="M3016" s="753">
        <v>0.79166666666666663</v>
      </c>
      <c r="N3016" s="210">
        <v>8.5</v>
      </c>
      <c r="O3016" s="184" t="s">
        <v>411</v>
      </c>
      <c r="P3016" s="375" t="s">
        <v>412</v>
      </c>
      <c r="Q3016" s="179" t="s">
        <v>4258</v>
      </c>
      <c r="R3016" s="628" t="s">
        <v>40</v>
      </c>
      <c r="S3016" s="31" t="s">
        <v>273</v>
      </c>
      <c r="T3016" s="31" t="s">
        <v>273</v>
      </c>
      <c r="U3016" s="31">
        <f>IFERROR(VLOOKUP(CONCATENATE(Tabla1[[#This Row],[Severidad]]," ",Tabla1[[#This Row],[Complejidad]]),Catalogos!E$120:G$128,3,FALSE),"")</f>
        <v>64</v>
      </c>
      <c r="V3016" s="31" t="str">
        <f>IF(Tabla1[[#This Row],[Tiempo solución max (hrs)]]&lt;&gt;"",IF(Tabla1[[#This Row],[Tiempo solución max (hrs)]]&gt;=Tabla1[[#This Row],[Tiempo
(Hrs 00/100)]],"cumple","no cumple"),"")</f>
        <v>cumple</v>
      </c>
      <c r="W3016" s="376" t="s">
        <v>5372</v>
      </c>
      <c r="X3016" s="377" t="str">
        <f t="shared" si="226"/>
        <v>DS</v>
      </c>
      <c r="Y3016" t="str">
        <f>SUBSTITUTE(Tabla1[[#This Row],[Descripción]],CHAR(10),"    I    ")</f>
        <v>Implementar adecuaciones al código fuente para atender hallazgos del módulo - SIGEMI</v>
      </c>
      <c r="Z3016" s="142">
        <f>VLOOKUP(Tabla1[[#This Row],[Perfil]],Catalogos!$B$75:$D$100,3,FALSE)*Tabla1[[#This Row],[Tiempo
(Hrs 00/100)]]*1.16</f>
        <v>6901.9999999999991</v>
      </c>
    </row>
    <row r="3017" spans="1:27" ht="24" customHeight="1" x14ac:dyDescent="0.3">
      <c r="A3017" s="625" t="s">
        <v>22</v>
      </c>
      <c r="B3017" s="625" t="s">
        <v>23</v>
      </c>
      <c r="C3017" s="205" t="s">
        <v>155</v>
      </c>
      <c r="D3017" s="373"/>
      <c r="E3017" s="373" t="s">
        <v>375</v>
      </c>
      <c r="F3017" s="370" t="s">
        <v>23</v>
      </c>
      <c r="G3017" s="370" t="s">
        <v>5417</v>
      </c>
      <c r="H3017" s="461" t="s">
        <v>405</v>
      </c>
      <c r="I3017" s="467" t="s">
        <v>5419</v>
      </c>
      <c r="J3017" s="369">
        <v>45268</v>
      </c>
      <c r="K3017" s="747">
        <v>0.375</v>
      </c>
      <c r="L3017" s="369">
        <v>45268</v>
      </c>
      <c r="M3017" s="753">
        <v>0.79166666666666663</v>
      </c>
      <c r="N3017" s="210">
        <v>8.5</v>
      </c>
      <c r="O3017" s="184" t="s">
        <v>411</v>
      </c>
      <c r="P3017" s="375" t="s">
        <v>412</v>
      </c>
      <c r="Q3017" s="179" t="s">
        <v>4258</v>
      </c>
      <c r="R3017" s="628" t="s">
        <v>40</v>
      </c>
      <c r="S3017" s="31" t="s">
        <v>273</v>
      </c>
      <c r="T3017" s="31" t="s">
        <v>273</v>
      </c>
      <c r="U3017" s="31">
        <f>IFERROR(VLOOKUP(CONCATENATE(Tabla1[[#This Row],[Severidad]]," ",Tabla1[[#This Row],[Complejidad]]),Catalogos!E$120:G$128,3,FALSE),"")</f>
        <v>64</v>
      </c>
      <c r="V3017" s="31" t="str">
        <f>IF(Tabla1[[#This Row],[Tiempo solución max (hrs)]]&lt;&gt;"",IF(Tabla1[[#This Row],[Tiempo solución max (hrs)]]&gt;=Tabla1[[#This Row],[Tiempo
(Hrs 00/100)]],"cumple","no cumple"),"")</f>
        <v>cumple</v>
      </c>
      <c r="W3017" s="376" t="s">
        <v>5372</v>
      </c>
      <c r="X3017" s="377" t="str">
        <f t="shared" ref="X3017:X3020" si="227">IF(C3017&lt;&gt;"",C3017,D3017)</f>
        <v>DS</v>
      </c>
      <c r="Y3017" t="str">
        <f>SUBSTITUTE(Tabla1[[#This Row],[Descripción]],CHAR(10),"    I    ")</f>
        <v>Implementar adecuaciones al código fuente para atender hallazgos del módulo - SIGEMI</v>
      </c>
      <c r="Z3017" s="142">
        <f>VLOOKUP(Tabla1[[#This Row],[Perfil]],Catalogos!$B$75:$D$100,3,FALSE)*Tabla1[[#This Row],[Tiempo
(Hrs 00/100)]]*1.16</f>
        <v>6901.9999999999991</v>
      </c>
    </row>
    <row r="3018" spans="1:27" ht="24" customHeight="1" x14ac:dyDescent="0.3">
      <c r="A3018" s="625" t="s">
        <v>22</v>
      </c>
      <c r="B3018" s="625" t="s">
        <v>23</v>
      </c>
      <c r="C3018" s="205" t="s">
        <v>155</v>
      </c>
      <c r="D3018" s="373"/>
      <c r="E3018" s="373" t="s">
        <v>375</v>
      </c>
      <c r="F3018" s="370" t="s">
        <v>23</v>
      </c>
      <c r="G3018" s="370" t="s">
        <v>5417</v>
      </c>
      <c r="H3018" s="461" t="s">
        <v>405</v>
      </c>
      <c r="I3018" s="467" t="s">
        <v>5419</v>
      </c>
      <c r="J3018" s="369">
        <v>45271</v>
      </c>
      <c r="K3018" s="747">
        <v>0.375</v>
      </c>
      <c r="L3018" s="369">
        <v>45271</v>
      </c>
      <c r="M3018" s="753">
        <v>0.79166666666666663</v>
      </c>
      <c r="N3018" s="210">
        <v>8.5</v>
      </c>
      <c r="O3018" s="184" t="s">
        <v>411</v>
      </c>
      <c r="P3018" s="375" t="s">
        <v>412</v>
      </c>
      <c r="Q3018" s="179" t="s">
        <v>4258</v>
      </c>
      <c r="R3018" s="628" t="s">
        <v>40</v>
      </c>
      <c r="S3018" s="31" t="s">
        <v>273</v>
      </c>
      <c r="T3018" s="31" t="s">
        <v>273</v>
      </c>
      <c r="U3018" s="31">
        <f>IFERROR(VLOOKUP(CONCATENATE(Tabla1[[#This Row],[Severidad]]," ",Tabla1[[#This Row],[Complejidad]]),Catalogos!E$120:G$128,3,FALSE),"")</f>
        <v>64</v>
      </c>
      <c r="V3018" s="31" t="str">
        <f>IF(Tabla1[[#This Row],[Tiempo solución max (hrs)]]&lt;&gt;"",IF(Tabla1[[#This Row],[Tiempo solución max (hrs)]]&gt;=Tabla1[[#This Row],[Tiempo
(Hrs 00/100)]],"cumple","no cumple"),"")</f>
        <v>cumple</v>
      </c>
      <c r="W3018" s="376" t="s">
        <v>5372</v>
      </c>
      <c r="X3018" s="377" t="str">
        <f t="shared" si="227"/>
        <v>DS</v>
      </c>
      <c r="Y3018" t="str">
        <f>SUBSTITUTE(Tabla1[[#This Row],[Descripción]],CHAR(10),"    I    ")</f>
        <v>Implementar adecuaciones al código fuente para atender hallazgos del módulo - SIGEMI</v>
      </c>
      <c r="Z3018" s="142">
        <f>VLOOKUP(Tabla1[[#This Row],[Perfil]],Catalogos!$B$75:$D$100,3,FALSE)*Tabla1[[#This Row],[Tiempo
(Hrs 00/100)]]*1.16</f>
        <v>6901.9999999999991</v>
      </c>
    </row>
    <row r="3019" spans="1:27" ht="24" customHeight="1" x14ac:dyDescent="0.3">
      <c r="A3019" s="625" t="s">
        <v>22</v>
      </c>
      <c r="B3019" s="625" t="s">
        <v>23</v>
      </c>
      <c r="C3019" s="205" t="s">
        <v>155</v>
      </c>
      <c r="D3019" s="373"/>
      <c r="E3019" s="373" t="s">
        <v>375</v>
      </c>
      <c r="F3019" s="370" t="s">
        <v>23</v>
      </c>
      <c r="G3019" s="370" t="s">
        <v>5417</v>
      </c>
      <c r="H3019" s="461" t="s">
        <v>405</v>
      </c>
      <c r="I3019" s="467" t="s">
        <v>5419</v>
      </c>
      <c r="J3019" s="369">
        <v>45272</v>
      </c>
      <c r="K3019" s="747">
        <v>0.375</v>
      </c>
      <c r="L3019" s="369">
        <v>45272</v>
      </c>
      <c r="M3019" s="753">
        <v>0.79166666666666663</v>
      </c>
      <c r="N3019" s="210">
        <v>8.5</v>
      </c>
      <c r="O3019" s="184" t="s">
        <v>17</v>
      </c>
      <c r="P3019" s="375" t="s">
        <v>412</v>
      </c>
      <c r="Q3019" s="179" t="s">
        <v>4258</v>
      </c>
      <c r="R3019" s="628" t="s">
        <v>40</v>
      </c>
      <c r="S3019" s="31" t="s">
        <v>273</v>
      </c>
      <c r="T3019" s="31" t="s">
        <v>273</v>
      </c>
      <c r="U3019" s="31">
        <f>IFERROR(VLOOKUP(CONCATENATE(Tabla1[[#This Row],[Severidad]]," ",Tabla1[[#This Row],[Complejidad]]),Catalogos!E$120:G$128,3,FALSE),"")</f>
        <v>64</v>
      </c>
      <c r="V3019" s="31" t="str">
        <f>IF(Tabla1[[#This Row],[Tiempo solución max (hrs)]]&lt;&gt;"",IF(Tabla1[[#This Row],[Tiempo solución max (hrs)]]&gt;=Tabla1[[#This Row],[Tiempo
(Hrs 00/100)]],"cumple","no cumple"),"")</f>
        <v>cumple</v>
      </c>
      <c r="W3019" s="376" t="s">
        <v>5372</v>
      </c>
      <c r="X3019" s="377" t="str">
        <f t="shared" si="227"/>
        <v>DS</v>
      </c>
      <c r="Y3019" t="str">
        <f>SUBSTITUTE(Tabla1[[#This Row],[Descripción]],CHAR(10),"    I    ")</f>
        <v>Implementar adecuaciones al código fuente para atender hallazgos del módulo - SIGEMI</v>
      </c>
      <c r="Z3019" s="142">
        <f>VLOOKUP(Tabla1[[#This Row],[Perfil]],Catalogos!$B$75:$D$100,3,FALSE)*Tabla1[[#This Row],[Tiempo
(Hrs 00/100)]]*1.16</f>
        <v>6901.9999999999991</v>
      </c>
    </row>
    <row r="3020" spans="1:27" ht="24" customHeight="1" x14ac:dyDescent="0.3">
      <c r="A3020" s="625" t="s">
        <v>22</v>
      </c>
      <c r="B3020" s="625" t="s">
        <v>23</v>
      </c>
      <c r="C3020" s="205" t="s">
        <v>155</v>
      </c>
      <c r="D3020" s="373"/>
      <c r="E3020" s="373" t="s">
        <v>375</v>
      </c>
      <c r="F3020" s="370" t="s">
        <v>23</v>
      </c>
      <c r="G3020" s="370" t="s">
        <v>5418</v>
      </c>
      <c r="H3020" s="461" t="s">
        <v>405</v>
      </c>
      <c r="I3020" s="467" t="s">
        <v>5420</v>
      </c>
      <c r="J3020" s="369">
        <v>45273</v>
      </c>
      <c r="K3020" s="747">
        <v>0.375</v>
      </c>
      <c r="L3020" s="369">
        <v>45273</v>
      </c>
      <c r="M3020" s="753">
        <v>0.79166666666666663</v>
      </c>
      <c r="N3020" s="210">
        <v>8.5</v>
      </c>
      <c r="O3020" s="184" t="s">
        <v>411</v>
      </c>
      <c r="P3020" s="375" t="s">
        <v>412</v>
      </c>
      <c r="Q3020" s="179" t="s">
        <v>4258</v>
      </c>
      <c r="R3020" s="628" t="s">
        <v>40</v>
      </c>
      <c r="S3020" s="31" t="s">
        <v>273</v>
      </c>
      <c r="T3020" s="31" t="s">
        <v>273</v>
      </c>
      <c r="U3020" s="31">
        <f>IFERROR(VLOOKUP(CONCATENATE(Tabla1[[#This Row],[Severidad]]," ",Tabla1[[#This Row],[Complejidad]]),Catalogos!E$120:G$128,3,FALSE),"")</f>
        <v>64</v>
      </c>
      <c r="V3020" s="31" t="str">
        <f>IF(Tabla1[[#This Row],[Tiempo solución max (hrs)]]&lt;&gt;"",IF(Tabla1[[#This Row],[Tiempo solución max (hrs)]]&gt;=Tabla1[[#This Row],[Tiempo
(Hrs 00/100)]],"cumple","no cumple"),"")</f>
        <v>cumple</v>
      </c>
      <c r="W3020" s="376" t="s">
        <v>5372</v>
      </c>
      <c r="X3020" s="377" t="str">
        <f t="shared" si="227"/>
        <v>DS</v>
      </c>
      <c r="Y3020" t="str">
        <f>SUBSTITUTE(Tabla1[[#This Row],[Descripción]],CHAR(10),"    I    ")</f>
        <v>Implementar adecuaciones al código fuente para atender hallazgos del módulo - Modulo de Usuarios</v>
      </c>
      <c r="Z3020" s="142">
        <f>VLOOKUP(Tabla1[[#This Row],[Perfil]],Catalogos!$B$75:$D$100,3,FALSE)*Tabla1[[#This Row],[Tiempo
(Hrs 00/100)]]*1.16</f>
        <v>6901.9999999999991</v>
      </c>
    </row>
    <row r="3021" spans="1:27" ht="24" customHeight="1" x14ac:dyDescent="0.3">
      <c r="A3021" s="625" t="s">
        <v>22</v>
      </c>
      <c r="B3021" s="625" t="s">
        <v>23</v>
      </c>
      <c r="C3021" s="205" t="s">
        <v>155</v>
      </c>
      <c r="D3021" s="373"/>
      <c r="E3021" s="373" t="s">
        <v>375</v>
      </c>
      <c r="F3021" s="370" t="s">
        <v>23</v>
      </c>
      <c r="G3021" s="370" t="s">
        <v>5418</v>
      </c>
      <c r="H3021" s="461" t="s">
        <v>405</v>
      </c>
      <c r="I3021" s="467" t="s">
        <v>5420</v>
      </c>
      <c r="J3021" s="369">
        <v>45274</v>
      </c>
      <c r="K3021" s="747">
        <v>0.375</v>
      </c>
      <c r="L3021" s="369">
        <v>45274</v>
      </c>
      <c r="M3021" s="753">
        <v>0.79166666666666663</v>
      </c>
      <c r="N3021" s="210">
        <v>8.5</v>
      </c>
      <c r="O3021" s="184" t="s">
        <v>411</v>
      </c>
      <c r="P3021" s="375" t="s">
        <v>412</v>
      </c>
      <c r="Q3021" s="179" t="s">
        <v>4258</v>
      </c>
      <c r="R3021" s="628" t="s">
        <v>40</v>
      </c>
      <c r="S3021" s="31" t="s">
        <v>273</v>
      </c>
      <c r="T3021" s="31" t="s">
        <v>273</v>
      </c>
      <c r="U3021" s="31">
        <f>IFERROR(VLOOKUP(CONCATENATE(Tabla1[[#This Row],[Severidad]]," ",Tabla1[[#This Row],[Complejidad]]),Catalogos!E$120:G$128,3,FALSE),"")</f>
        <v>64</v>
      </c>
      <c r="V3021" s="31" t="str">
        <f>IF(Tabla1[[#This Row],[Tiempo solución max (hrs)]]&lt;&gt;"",IF(Tabla1[[#This Row],[Tiempo solución max (hrs)]]&gt;=Tabla1[[#This Row],[Tiempo
(Hrs 00/100)]],"cumple","no cumple"),"")</f>
        <v>cumple</v>
      </c>
      <c r="W3021" s="376" t="s">
        <v>5372</v>
      </c>
      <c r="X3021" s="377" t="str">
        <f t="shared" ref="X3021:X3024" si="228">IF(C3021&lt;&gt;"",C3021,D3021)</f>
        <v>DS</v>
      </c>
      <c r="Y3021" t="str">
        <f>SUBSTITUTE(Tabla1[[#This Row],[Descripción]],CHAR(10),"    I    ")</f>
        <v>Implementar adecuaciones al código fuente para atender hallazgos del módulo - Modulo de Usuarios</v>
      </c>
      <c r="Z3021" s="142">
        <f>VLOOKUP(Tabla1[[#This Row],[Perfil]],Catalogos!$B$75:$D$100,3,FALSE)*Tabla1[[#This Row],[Tiempo
(Hrs 00/100)]]*1.16</f>
        <v>6901.9999999999991</v>
      </c>
    </row>
    <row r="3022" spans="1:27" ht="24" customHeight="1" x14ac:dyDescent="0.3">
      <c r="A3022" s="625" t="s">
        <v>22</v>
      </c>
      <c r="B3022" s="625" t="s">
        <v>23</v>
      </c>
      <c r="C3022" s="205" t="s">
        <v>155</v>
      </c>
      <c r="D3022" s="373"/>
      <c r="E3022" s="373" t="s">
        <v>375</v>
      </c>
      <c r="F3022" s="370" t="s">
        <v>23</v>
      </c>
      <c r="G3022" s="370" t="s">
        <v>5418</v>
      </c>
      <c r="H3022" s="461" t="s">
        <v>405</v>
      </c>
      <c r="I3022" s="467" t="s">
        <v>5420</v>
      </c>
      <c r="J3022" s="369">
        <v>45275</v>
      </c>
      <c r="K3022" s="747">
        <v>0.375</v>
      </c>
      <c r="L3022" s="369">
        <v>45275</v>
      </c>
      <c r="M3022" s="753">
        <v>0.79166666666666663</v>
      </c>
      <c r="N3022" s="210">
        <v>8.5</v>
      </c>
      <c r="O3022" s="184" t="s">
        <v>411</v>
      </c>
      <c r="P3022" s="375" t="s">
        <v>412</v>
      </c>
      <c r="Q3022" s="179" t="s">
        <v>4258</v>
      </c>
      <c r="R3022" s="628" t="s">
        <v>40</v>
      </c>
      <c r="S3022" s="31" t="s">
        <v>273</v>
      </c>
      <c r="T3022" s="31" t="s">
        <v>273</v>
      </c>
      <c r="U3022" s="31">
        <f>IFERROR(VLOOKUP(CONCATENATE(Tabla1[[#This Row],[Severidad]]," ",Tabla1[[#This Row],[Complejidad]]),Catalogos!E$120:G$128,3,FALSE),"")</f>
        <v>64</v>
      </c>
      <c r="V3022" s="31" t="str">
        <f>IF(Tabla1[[#This Row],[Tiempo solución max (hrs)]]&lt;&gt;"",IF(Tabla1[[#This Row],[Tiempo solución max (hrs)]]&gt;=Tabla1[[#This Row],[Tiempo
(Hrs 00/100)]],"cumple","no cumple"),"")</f>
        <v>cumple</v>
      </c>
      <c r="W3022" s="376" t="s">
        <v>5372</v>
      </c>
      <c r="X3022" s="377" t="str">
        <f t="shared" si="228"/>
        <v>DS</v>
      </c>
      <c r="Y3022" t="str">
        <f>SUBSTITUTE(Tabla1[[#This Row],[Descripción]],CHAR(10),"    I    ")</f>
        <v>Implementar adecuaciones al código fuente para atender hallazgos del módulo - Modulo de Usuarios</v>
      </c>
      <c r="Z3022" s="142">
        <f>VLOOKUP(Tabla1[[#This Row],[Perfil]],Catalogos!$B$75:$D$100,3,FALSE)*Tabla1[[#This Row],[Tiempo
(Hrs 00/100)]]*1.16</f>
        <v>6901.9999999999991</v>
      </c>
    </row>
    <row r="3023" spans="1:27" ht="24" customHeight="1" x14ac:dyDescent="0.3">
      <c r="A3023" s="625" t="s">
        <v>22</v>
      </c>
      <c r="B3023" s="625" t="s">
        <v>23</v>
      </c>
      <c r="C3023" s="205" t="s">
        <v>155</v>
      </c>
      <c r="D3023" s="373"/>
      <c r="E3023" s="373" t="s">
        <v>375</v>
      </c>
      <c r="F3023" s="370" t="s">
        <v>23</v>
      </c>
      <c r="G3023" s="370" t="s">
        <v>5418</v>
      </c>
      <c r="H3023" s="461" t="s">
        <v>405</v>
      </c>
      <c r="I3023" s="467" t="s">
        <v>5420</v>
      </c>
      <c r="J3023" s="369">
        <v>45278</v>
      </c>
      <c r="K3023" s="747">
        <v>0.375</v>
      </c>
      <c r="L3023" s="369">
        <v>45278</v>
      </c>
      <c r="M3023" s="753">
        <v>0.79166666666666663</v>
      </c>
      <c r="N3023" s="210">
        <v>8.5</v>
      </c>
      <c r="O3023" s="184" t="s">
        <v>17</v>
      </c>
      <c r="P3023" s="375" t="s">
        <v>412</v>
      </c>
      <c r="Q3023" s="179" t="s">
        <v>4258</v>
      </c>
      <c r="R3023" s="628" t="s">
        <v>40</v>
      </c>
      <c r="S3023" s="31" t="s">
        <v>273</v>
      </c>
      <c r="T3023" s="31" t="s">
        <v>273</v>
      </c>
      <c r="U3023" s="31">
        <f>IFERROR(VLOOKUP(CONCATENATE(Tabla1[[#This Row],[Severidad]]," ",Tabla1[[#This Row],[Complejidad]]),Catalogos!E$120:G$128,3,FALSE),"")</f>
        <v>64</v>
      </c>
      <c r="V3023" s="31" t="str">
        <f>IF(Tabla1[[#This Row],[Tiempo solución max (hrs)]]&lt;&gt;"",IF(Tabla1[[#This Row],[Tiempo solución max (hrs)]]&gt;=Tabla1[[#This Row],[Tiempo
(Hrs 00/100)]],"cumple","no cumple"),"")</f>
        <v>cumple</v>
      </c>
      <c r="W3023" s="376" t="s">
        <v>5372</v>
      </c>
      <c r="X3023" s="377" t="str">
        <f t="shared" si="228"/>
        <v>DS</v>
      </c>
      <c r="Y3023" t="str">
        <f>SUBSTITUTE(Tabla1[[#This Row],[Descripción]],CHAR(10),"    I    ")</f>
        <v>Implementar adecuaciones al código fuente para atender hallazgos del módulo - Modulo de Usuarios</v>
      </c>
      <c r="Z3023" s="142">
        <f>VLOOKUP(Tabla1[[#This Row],[Perfil]],Catalogos!$B$75:$D$100,3,FALSE)*Tabla1[[#This Row],[Tiempo
(Hrs 00/100)]]*1.16</f>
        <v>6901.9999999999991</v>
      </c>
    </row>
    <row r="3024" spans="1:27" ht="24" customHeight="1" x14ac:dyDescent="0.3">
      <c r="A3024" s="625" t="s">
        <v>22</v>
      </c>
      <c r="B3024" s="625" t="s">
        <v>23</v>
      </c>
      <c r="C3024" s="205" t="s">
        <v>155</v>
      </c>
      <c r="D3024" s="373"/>
      <c r="E3024" s="373" t="s">
        <v>375</v>
      </c>
      <c r="F3024" s="370" t="s">
        <v>23</v>
      </c>
      <c r="G3024" s="370" t="s">
        <v>5421</v>
      </c>
      <c r="H3024" s="461" t="s">
        <v>405</v>
      </c>
      <c r="I3024" s="467" t="s">
        <v>5422</v>
      </c>
      <c r="J3024" s="369">
        <v>45279</v>
      </c>
      <c r="K3024" s="747">
        <v>0.375</v>
      </c>
      <c r="L3024" s="369">
        <v>45279</v>
      </c>
      <c r="M3024" s="753">
        <v>0.79166666666666663</v>
      </c>
      <c r="N3024" s="210">
        <v>8.5</v>
      </c>
      <c r="O3024" s="184" t="s">
        <v>411</v>
      </c>
      <c r="P3024" s="375" t="s">
        <v>412</v>
      </c>
      <c r="Q3024" s="179" t="s">
        <v>4258</v>
      </c>
      <c r="R3024" s="628" t="s">
        <v>40</v>
      </c>
      <c r="S3024" s="31" t="s">
        <v>273</v>
      </c>
      <c r="T3024" s="31" t="s">
        <v>273</v>
      </c>
      <c r="U3024" s="31">
        <f>IFERROR(VLOOKUP(CONCATENATE(Tabla1[[#This Row],[Severidad]]," ",Tabla1[[#This Row],[Complejidad]]),Catalogos!E$120:G$128,3,FALSE),"")</f>
        <v>64</v>
      </c>
      <c r="V3024" s="31" t="str">
        <f>IF(Tabla1[[#This Row],[Tiempo solución max (hrs)]]&lt;&gt;"",IF(Tabla1[[#This Row],[Tiempo solución max (hrs)]]&gt;=Tabla1[[#This Row],[Tiempo
(Hrs 00/100)]],"cumple","no cumple"),"")</f>
        <v>cumple</v>
      </c>
      <c r="W3024" s="376" t="s">
        <v>5372</v>
      </c>
      <c r="X3024" s="377" t="str">
        <f t="shared" si="228"/>
        <v>DS</v>
      </c>
      <c r="Y3024" t="str">
        <f>SUBSTITUTE(Tabla1[[#This Row],[Descripción]],CHAR(10),"    I    ")</f>
        <v>Implementar adecuaciones al código fuente para atender hallazgos del módulo - Modulo de Reportes</v>
      </c>
      <c r="Z3024" s="142">
        <f>VLOOKUP(Tabla1[[#This Row],[Perfil]],Catalogos!$B$75:$D$100,3,FALSE)*Tabla1[[#This Row],[Tiempo
(Hrs 00/100)]]*1.16</f>
        <v>6901.9999999999991</v>
      </c>
    </row>
    <row r="3025" spans="1:26" ht="24" customHeight="1" x14ac:dyDescent="0.3">
      <c r="A3025" s="625" t="s">
        <v>22</v>
      </c>
      <c r="B3025" s="625" t="s">
        <v>23</v>
      </c>
      <c r="C3025" s="205" t="s">
        <v>155</v>
      </c>
      <c r="D3025" s="373"/>
      <c r="E3025" s="373" t="s">
        <v>375</v>
      </c>
      <c r="F3025" s="370" t="s">
        <v>23</v>
      </c>
      <c r="G3025" s="370" t="s">
        <v>5421</v>
      </c>
      <c r="H3025" s="461" t="s">
        <v>405</v>
      </c>
      <c r="I3025" s="467" t="s">
        <v>5422</v>
      </c>
      <c r="J3025" s="369">
        <v>45280</v>
      </c>
      <c r="K3025" s="747">
        <v>0.375</v>
      </c>
      <c r="L3025" s="369">
        <v>45280</v>
      </c>
      <c r="M3025" s="753">
        <v>0.79166666666666663</v>
      </c>
      <c r="N3025" s="210">
        <v>8.5</v>
      </c>
      <c r="O3025" s="184" t="s">
        <v>411</v>
      </c>
      <c r="P3025" s="375" t="s">
        <v>412</v>
      </c>
      <c r="Q3025" s="179" t="s">
        <v>4258</v>
      </c>
      <c r="R3025" s="628" t="s">
        <v>40</v>
      </c>
      <c r="S3025" s="31" t="s">
        <v>273</v>
      </c>
      <c r="T3025" s="31" t="s">
        <v>273</v>
      </c>
      <c r="U3025" s="31">
        <f>IFERROR(VLOOKUP(CONCATENATE(Tabla1[[#This Row],[Severidad]]," ",Tabla1[[#This Row],[Complejidad]]),Catalogos!E$120:G$128,3,FALSE),"")</f>
        <v>64</v>
      </c>
      <c r="V3025" s="31" t="str">
        <f>IF(Tabla1[[#This Row],[Tiempo solución max (hrs)]]&lt;&gt;"",IF(Tabla1[[#This Row],[Tiempo solución max (hrs)]]&gt;=Tabla1[[#This Row],[Tiempo
(Hrs 00/100)]],"cumple","no cumple"),"")</f>
        <v>cumple</v>
      </c>
      <c r="W3025" s="376" t="s">
        <v>5372</v>
      </c>
      <c r="X3025" s="377" t="str">
        <f t="shared" ref="X3025:X3028" si="229">IF(C3025&lt;&gt;"",C3025,D3025)</f>
        <v>DS</v>
      </c>
      <c r="Y3025" t="str">
        <f>SUBSTITUTE(Tabla1[[#This Row],[Descripción]],CHAR(10),"    I    ")</f>
        <v>Implementar adecuaciones al código fuente para atender hallazgos del módulo - Modulo de Reportes</v>
      </c>
      <c r="Z3025" s="142">
        <f>VLOOKUP(Tabla1[[#This Row],[Perfil]],Catalogos!$B$75:$D$100,3,FALSE)*Tabla1[[#This Row],[Tiempo
(Hrs 00/100)]]*1.16</f>
        <v>6901.9999999999991</v>
      </c>
    </row>
    <row r="3026" spans="1:26" ht="24" customHeight="1" x14ac:dyDescent="0.3">
      <c r="A3026" s="625" t="s">
        <v>22</v>
      </c>
      <c r="B3026" s="625" t="s">
        <v>23</v>
      </c>
      <c r="C3026" s="205" t="s">
        <v>155</v>
      </c>
      <c r="D3026" s="373"/>
      <c r="E3026" s="373" t="s">
        <v>375</v>
      </c>
      <c r="F3026" s="370" t="s">
        <v>23</v>
      </c>
      <c r="G3026" s="370" t="s">
        <v>5421</v>
      </c>
      <c r="H3026" s="461" t="s">
        <v>405</v>
      </c>
      <c r="I3026" s="467" t="s">
        <v>5422</v>
      </c>
      <c r="J3026" s="369">
        <v>45281</v>
      </c>
      <c r="K3026" s="747">
        <v>0.375</v>
      </c>
      <c r="L3026" s="369">
        <v>45281</v>
      </c>
      <c r="M3026" s="753">
        <v>0.79166666666666663</v>
      </c>
      <c r="N3026" s="210">
        <v>8.5</v>
      </c>
      <c r="O3026" s="184" t="s">
        <v>411</v>
      </c>
      <c r="P3026" s="375" t="s">
        <v>412</v>
      </c>
      <c r="Q3026" s="179" t="s">
        <v>4258</v>
      </c>
      <c r="R3026" s="628" t="s">
        <v>40</v>
      </c>
      <c r="S3026" s="31" t="s">
        <v>273</v>
      </c>
      <c r="T3026" s="31" t="s">
        <v>273</v>
      </c>
      <c r="U3026" s="31">
        <f>IFERROR(VLOOKUP(CONCATENATE(Tabla1[[#This Row],[Severidad]]," ",Tabla1[[#This Row],[Complejidad]]),Catalogos!E$120:G$128,3,FALSE),"")</f>
        <v>64</v>
      </c>
      <c r="V3026" s="31" t="str">
        <f>IF(Tabla1[[#This Row],[Tiempo solución max (hrs)]]&lt;&gt;"",IF(Tabla1[[#This Row],[Tiempo solución max (hrs)]]&gt;=Tabla1[[#This Row],[Tiempo
(Hrs 00/100)]],"cumple","no cumple"),"")</f>
        <v>cumple</v>
      </c>
      <c r="W3026" s="376" t="s">
        <v>5372</v>
      </c>
      <c r="X3026" s="377" t="str">
        <f t="shared" si="229"/>
        <v>DS</v>
      </c>
      <c r="Y3026" t="str">
        <f>SUBSTITUTE(Tabla1[[#This Row],[Descripción]],CHAR(10),"    I    ")</f>
        <v>Implementar adecuaciones al código fuente para atender hallazgos del módulo - Modulo de Reportes</v>
      </c>
      <c r="Z3026" s="142">
        <f>VLOOKUP(Tabla1[[#This Row],[Perfil]],Catalogos!$B$75:$D$100,3,FALSE)*Tabla1[[#This Row],[Tiempo
(Hrs 00/100)]]*1.16</f>
        <v>6901.9999999999991</v>
      </c>
    </row>
    <row r="3027" spans="1:26" ht="24" customHeight="1" x14ac:dyDescent="0.3">
      <c r="A3027" s="625" t="s">
        <v>22</v>
      </c>
      <c r="B3027" s="625" t="s">
        <v>23</v>
      </c>
      <c r="C3027" s="205" t="s">
        <v>155</v>
      </c>
      <c r="D3027" s="373"/>
      <c r="E3027" s="373" t="s">
        <v>375</v>
      </c>
      <c r="F3027" s="370" t="s">
        <v>23</v>
      </c>
      <c r="G3027" s="370" t="s">
        <v>5421</v>
      </c>
      <c r="H3027" s="461" t="s">
        <v>405</v>
      </c>
      <c r="I3027" s="467" t="s">
        <v>5422</v>
      </c>
      <c r="J3027" s="369">
        <v>45282</v>
      </c>
      <c r="K3027" s="747">
        <v>0.375</v>
      </c>
      <c r="L3027" s="369">
        <v>45282</v>
      </c>
      <c r="M3027" s="753">
        <v>0.79166666666666663</v>
      </c>
      <c r="N3027" s="210">
        <v>8.5</v>
      </c>
      <c r="O3027" s="184" t="s">
        <v>17</v>
      </c>
      <c r="P3027" s="375" t="s">
        <v>412</v>
      </c>
      <c r="Q3027" s="179" t="s">
        <v>4258</v>
      </c>
      <c r="R3027" s="628" t="s">
        <v>40</v>
      </c>
      <c r="S3027" s="31" t="s">
        <v>273</v>
      </c>
      <c r="T3027" s="31" t="s">
        <v>273</v>
      </c>
      <c r="U3027" s="31">
        <f>IFERROR(VLOOKUP(CONCATENATE(Tabla1[[#This Row],[Severidad]]," ",Tabla1[[#This Row],[Complejidad]]),Catalogos!E$120:G$128,3,FALSE),"")</f>
        <v>64</v>
      </c>
      <c r="V3027" s="31" t="str">
        <f>IF(Tabla1[[#This Row],[Tiempo solución max (hrs)]]&lt;&gt;"",IF(Tabla1[[#This Row],[Tiempo solución max (hrs)]]&gt;=Tabla1[[#This Row],[Tiempo
(Hrs 00/100)]],"cumple","no cumple"),"")</f>
        <v>cumple</v>
      </c>
      <c r="W3027" s="376" t="s">
        <v>5372</v>
      </c>
      <c r="X3027" s="377" t="str">
        <f t="shared" si="229"/>
        <v>DS</v>
      </c>
      <c r="Y3027" t="str">
        <f>SUBSTITUTE(Tabla1[[#This Row],[Descripción]],CHAR(10),"    I    ")</f>
        <v>Implementar adecuaciones al código fuente para atender hallazgos del módulo - Modulo de Reportes</v>
      </c>
      <c r="Z3027" s="142">
        <f>VLOOKUP(Tabla1[[#This Row],[Perfil]],Catalogos!$B$75:$D$100,3,FALSE)*Tabla1[[#This Row],[Tiempo
(Hrs 00/100)]]*1.16</f>
        <v>6901.9999999999991</v>
      </c>
    </row>
    <row r="3028" spans="1:26" ht="24" customHeight="1" x14ac:dyDescent="0.3">
      <c r="A3028" s="625" t="s">
        <v>22</v>
      </c>
      <c r="B3028" s="625" t="s">
        <v>23</v>
      </c>
      <c r="C3028" s="205" t="s">
        <v>155</v>
      </c>
      <c r="D3028" s="373"/>
      <c r="E3028" s="373" t="s">
        <v>375</v>
      </c>
      <c r="F3028" s="370" t="s">
        <v>23</v>
      </c>
      <c r="G3028" s="370" t="s">
        <v>5423</v>
      </c>
      <c r="H3028" s="461" t="s">
        <v>405</v>
      </c>
      <c r="I3028" s="467" t="s">
        <v>5424</v>
      </c>
      <c r="J3028" s="369">
        <v>45286</v>
      </c>
      <c r="K3028" s="747">
        <v>0.375</v>
      </c>
      <c r="L3028" s="369">
        <v>45286</v>
      </c>
      <c r="M3028" s="753">
        <v>0.79166666666666663</v>
      </c>
      <c r="N3028" s="210">
        <v>8.5</v>
      </c>
      <c r="O3028" s="184" t="s">
        <v>411</v>
      </c>
      <c r="P3028" s="375" t="s">
        <v>412</v>
      </c>
      <c r="Q3028" s="179" t="s">
        <v>4258</v>
      </c>
      <c r="R3028" s="628" t="s">
        <v>40</v>
      </c>
      <c r="S3028" s="31" t="s">
        <v>273</v>
      </c>
      <c r="T3028" s="31" t="s">
        <v>273</v>
      </c>
      <c r="U3028" s="31">
        <f>IFERROR(VLOOKUP(CONCATENATE(Tabla1[[#This Row],[Severidad]]," ",Tabla1[[#This Row],[Complejidad]]),Catalogos!E$120:G$128,3,FALSE),"")</f>
        <v>64</v>
      </c>
      <c r="V3028" s="31" t="str">
        <f>IF(Tabla1[[#This Row],[Tiempo solución max (hrs)]]&lt;&gt;"",IF(Tabla1[[#This Row],[Tiempo solución max (hrs)]]&gt;=Tabla1[[#This Row],[Tiempo
(Hrs 00/100)]],"cumple","no cumple"),"")</f>
        <v>cumple</v>
      </c>
      <c r="W3028" s="376" t="s">
        <v>5372</v>
      </c>
      <c r="X3028" s="377" t="str">
        <f t="shared" si="229"/>
        <v>DS</v>
      </c>
      <c r="Y3028" t="str">
        <f>SUBSTITUTE(Tabla1[[#This Row],[Descripción]],CHAR(10),"    I    ")</f>
        <v>Implementar adecuaciones al código fuente para atender hallazgos del módulo - Modulo de Soportes</v>
      </c>
      <c r="Z3028" s="142">
        <f>VLOOKUP(Tabla1[[#This Row],[Perfil]],Catalogos!$B$75:$D$100,3,FALSE)*Tabla1[[#This Row],[Tiempo
(Hrs 00/100)]]*1.16</f>
        <v>6901.9999999999991</v>
      </c>
    </row>
    <row r="3029" spans="1:26" ht="24" customHeight="1" x14ac:dyDescent="0.3">
      <c r="A3029" s="625" t="s">
        <v>22</v>
      </c>
      <c r="B3029" s="625" t="s">
        <v>23</v>
      </c>
      <c r="C3029" s="205" t="s">
        <v>155</v>
      </c>
      <c r="D3029" s="373"/>
      <c r="E3029" s="373" t="s">
        <v>375</v>
      </c>
      <c r="F3029" s="370" t="s">
        <v>23</v>
      </c>
      <c r="G3029" s="370" t="s">
        <v>5423</v>
      </c>
      <c r="H3029" s="461" t="s">
        <v>405</v>
      </c>
      <c r="I3029" s="467" t="s">
        <v>5424</v>
      </c>
      <c r="J3029" s="369">
        <v>45287</v>
      </c>
      <c r="K3029" s="747">
        <v>0.375</v>
      </c>
      <c r="L3029" s="369">
        <v>45287</v>
      </c>
      <c r="M3029" s="753">
        <v>0.79166666666666663</v>
      </c>
      <c r="N3029" s="210">
        <v>8.5</v>
      </c>
      <c r="O3029" s="184" t="s">
        <v>411</v>
      </c>
      <c r="P3029" s="375" t="s">
        <v>412</v>
      </c>
      <c r="Q3029" s="179" t="s">
        <v>4258</v>
      </c>
      <c r="R3029" s="628" t="s">
        <v>40</v>
      </c>
      <c r="S3029" s="31" t="s">
        <v>273</v>
      </c>
      <c r="T3029" s="31" t="s">
        <v>273</v>
      </c>
      <c r="U3029" s="31">
        <f>IFERROR(VLOOKUP(CONCATENATE(Tabla1[[#This Row],[Severidad]]," ",Tabla1[[#This Row],[Complejidad]]),Catalogos!E$120:G$128,3,FALSE),"")</f>
        <v>64</v>
      </c>
      <c r="V3029" s="31" t="str">
        <f>IF(Tabla1[[#This Row],[Tiempo solución max (hrs)]]&lt;&gt;"",IF(Tabla1[[#This Row],[Tiempo solución max (hrs)]]&gt;=Tabla1[[#This Row],[Tiempo
(Hrs 00/100)]],"cumple","no cumple"),"")</f>
        <v>cumple</v>
      </c>
      <c r="W3029" s="376" t="s">
        <v>5372</v>
      </c>
      <c r="X3029" s="377" t="str">
        <f t="shared" ref="X3029:X3032" si="230">IF(C3029&lt;&gt;"",C3029,D3029)</f>
        <v>DS</v>
      </c>
      <c r="Y3029" t="str">
        <f>SUBSTITUTE(Tabla1[[#This Row],[Descripción]],CHAR(10),"    I    ")</f>
        <v>Implementar adecuaciones al código fuente para atender hallazgos del módulo - Modulo de Soportes</v>
      </c>
      <c r="Z3029" s="142">
        <f>VLOOKUP(Tabla1[[#This Row],[Perfil]],Catalogos!$B$75:$D$100,3,FALSE)*Tabla1[[#This Row],[Tiempo
(Hrs 00/100)]]*1.16</f>
        <v>6901.9999999999991</v>
      </c>
    </row>
    <row r="3030" spans="1:26" ht="24" customHeight="1" x14ac:dyDescent="0.3">
      <c r="A3030" s="625" t="s">
        <v>22</v>
      </c>
      <c r="B3030" s="625" t="s">
        <v>23</v>
      </c>
      <c r="C3030" s="205" t="s">
        <v>155</v>
      </c>
      <c r="D3030" s="373"/>
      <c r="E3030" s="373" t="s">
        <v>375</v>
      </c>
      <c r="F3030" s="370" t="s">
        <v>23</v>
      </c>
      <c r="G3030" s="370" t="s">
        <v>5423</v>
      </c>
      <c r="H3030" s="461" t="s">
        <v>405</v>
      </c>
      <c r="I3030" s="467" t="s">
        <v>5424</v>
      </c>
      <c r="J3030" s="369">
        <v>45288</v>
      </c>
      <c r="K3030" s="747">
        <v>0.375</v>
      </c>
      <c r="L3030" s="369">
        <v>45288</v>
      </c>
      <c r="M3030" s="753">
        <v>0.79166666666666663</v>
      </c>
      <c r="N3030" s="210">
        <v>8.5</v>
      </c>
      <c r="O3030" s="184" t="s">
        <v>411</v>
      </c>
      <c r="P3030" s="375" t="s">
        <v>412</v>
      </c>
      <c r="Q3030" s="179" t="s">
        <v>4258</v>
      </c>
      <c r="R3030" s="628" t="s">
        <v>40</v>
      </c>
      <c r="S3030" s="31" t="s">
        <v>273</v>
      </c>
      <c r="T3030" s="31" t="s">
        <v>273</v>
      </c>
      <c r="U3030" s="31">
        <f>IFERROR(VLOOKUP(CONCATENATE(Tabla1[[#This Row],[Severidad]]," ",Tabla1[[#This Row],[Complejidad]]),Catalogos!E$120:G$128,3,FALSE),"")</f>
        <v>64</v>
      </c>
      <c r="V3030" s="31" t="str">
        <f>IF(Tabla1[[#This Row],[Tiempo solución max (hrs)]]&lt;&gt;"",IF(Tabla1[[#This Row],[Tiempo solución max (hrs)]]&gt;=Tabla1[[#This Row],[Tiempo
(Hrs 00/100)]],"cumple","no cumple"),"")</f>
        <v>cumple</v>
      </c>
      <c r="W3030" s="376" t="s">
        <v>5372</v>
      </c>
      <c r="X3030" s="377" t="str">
        <f t="shared" si="230"/>
        <v>DS</v>
      </c>
      <c r="Y3030" t="str">
        <f>SUBSTITUTE(Tabla1[[#This Row],[Descripción]],CHAR(10),"    I    ")</f>
        <v>Implementar adecuaciones al código fuente para atender hallazgos del módulo - Modulo de Soportes</v>
      </c>
      <c r="Z3030" s="142">
        <f>VLOOKUP(Tabla1[[#This Row],[Perfil]],Catalogos!$B$75:$D$100,3,FALSE)*Tabla1[[#This Row],[Tiempo
(Hrs 00/100)]]*1.16</f>
        <v>6901.9999999999991</v>
      </c>
    </row>
    <row r="3031" spans="1:26" ht="24" customHeight="1" x14ac:dyDescent="0.3">
      <c r="A3031" s="625" t="s">
        <v>22</v>
      </c>
      <c r="B3031" s="625" t="s">
        <v>23</v>
      </c>
      <c r="C3031" s="205" t="s">
        <v>155</v>
      </c>
      <c r="D3031" s="373"/>
      <c r="E3031" s="373" t="s">
        <v>375</v>
      </c>
      <c r="F3031" s="370" t="s">
        <v>23</v>
      </c>
      <c r="G3031" s="370" t="s">
        <v>5423</v>
      </c>
      <c r="H3031" s="461" t="s">
        <v>405</v>
      </c>
      <c r="I3031" s="467" t="s">
        <v>5424</v>
      </c>
      <c r="J3031" s="369">
        <v>45289</v>
      </c>
      <c r="K3031" s="747">
        <v>0.375</v>
      </c>
      <c r="L3031" s="369">
        <v>45289</v>
      </c>
      <c r="M3031" s="753">
        <v>0.75</v>
      </c>
      <c r="N3031" s="210">
        <v>7.5</v>
      </c>
      <c r="O3031" s="184" t="s">
        <v>17</v>
      </c>
      <c r="P3031" s="375" t="s">
        <v>412</v>
      </c>
      <c r="Q3031" s="179" t="s">
        <v>4258</v>
      </c>
      <c r="R3031" s="628" t="s">
        <v>40</v>
      </c>
      <c r="S3031" s="31" t="s">
        <v>273</v>
      </c>
      <c r="T3031" s="31" t="s">
        <v>273</v>
      </c>
      <c r="U3031" s="31">
        <f>IFERROR(VLOOKUP(CONCATENATE(Tabla1[[#This Row],[Severidad]]," ",Tabla1[[#This Row],[Complejidad]]),Catalogos!E$120:G$128,3,FALSE),"")</f>
        <v>64</v>
      </c>
      <c r="V3031" s="31" t="str">
        <f>IF(Tabla1[[#This Row],[Tiempo solución max (hrs)]]&lt;&gt;"",IF(Tabla1[[#This Row],[Tiempo solución max (hrs)]]&gt;=Tabla1[[#This Row],[Tiempo
(Hrs 00/100)]],"cumple","no cumple"),"")</f>
        <v>cumple</v>
      </c>
      <c r="W3031" s="376" t="s">
        <v>5372</v>
      </c>
      <c r="X3031" s="377" t="str">
        <f t="shared" si="230"/>
        <v>DS</v>
      </c>
      <c r="Y3031" t="str">
        <f>SUBSTITUTE(Tabla1[[#This Row],[Descripción]],CHAR(10),"    I    ")</f>
        <v>Implementar adecuaciones al código fuente para atender hallazgos del módulo - Modulo de Soportes</v>
      </c>
      <c r="Z3031" s="142">
        <f>VLOOKUP(Tabla1[[#This Row],[Perfil]],Catalogos!$B$75:$D$100,3,FALSE)*Tabla1[[#This Row],[Tiempo
(Hrs 00/100)]]*1.16</f>
        <v>6090</v>
      </c>
    </row>
    <row r="3032" spans="1:26" ht="15" customHeight="1" x14ac:dyDescent="0.3">
      <c r="A3032" s="625" t="s">
        <v>22</v>
      </c>
      <c r="B3032" s="625" t="s">
        <v>23</v>
      </c>
      <c r="C3032" s="205" t="s">
        <v>155</v>
      </c>
      <c r="D3032" s="373"/>
      <c r="E3032" s="373" t="s">
        <v>375</v>
      </c>
      <c r="F3032" s="370" t="s">
        <v>23</v>
      </c>
      <c r="G3032" s="370" t="s">
        <v>5425</v>
      </c>
      <c r="H3032" s="461" t="s">
        <v>405</v>
      </c>
      <c r="I3032" s="107" t="s">
        <v>5429</v>
      </c>
      <c r="J3032" s="369">
        <v>45261</v>
      </c>
      <c r="K3032" s="747">
        <v>0.375</v>
      </c>
      <c r="L3032" s="369">
        <v>45261</v>
      </c>
      <c r="M3032" s="753">
        <v>0.66666666666666663</v>
      </c>
      <c r="N3032" s="210">
        <v>7</v>
      </c>
      <c r="O3032" s="184" t="s">
        <v>17</v>
      </c>
      <c r="P3032" s="810" t="s">
        <v>5426</v>
      </c>
      <c r="Q3032" s="179" t="s">
        <v>4257</v>
      </c>
      <c r="R3032" s="628" t="s">
        <v>40</v>
      </c>
      <c r="S3032" s="31" t="s">
        <v>273</v>
      </c>
      <c r="T3032" s="31" t="s">
        <v>273</v>
      </c>
      <c r="U3032" s="31">
        <f>IFERROR(VLOOKUP(CONCATENATE(Tabla1[[#This Row],[Severidad]]," ",Tabla1[[#This Row],[Complejidad]]),Catalogos!E$120:G$128,3,FALSE),"")</f>
        <v>64</v>
      </c>
      <c r="V3032" s="31" t="str">
        <f>IF(Tabla1[[#This Row],[Tiempo solución max (hrs)]]&lt;&gt;"",IF(Tabla1[[#This Row],[Tiempo solución max (hrs)]]&gt;=Tabla1[[#This Row],[Tiempo
(Hrs 00/100)]],"cumple","no cumple"),"")</f>
        <v>cumple</v>
      </c>
      <c r="W3032" s="376" t="s">
        <v>5372</v>
      </c>
      <c r="X3032" s="377" t="str">
        <f t="shared" si="230"/>
        <v>DS</v>
      </c>
      <c r="Y3032" t="str">
        <f>SUBSTITUTE(Tabla1[[#This Row],[Descripción]],CHAR(10),"    I    ")</f>
        <v>Analisis de Requerimiento STP</v>
      </c>
      <c r="Z3032" s="142">
        <f>VLOOKUP(Tabla1[[#This Row],[Perfil]],Catalogos!$B$75:$D$100,3,FALSE)*Tabla1[[#This Row],[Tiempo
(Hrs 00/100)]]*1.16</f>
        <v>5684</v>
      </c>
    </row>
    <row r="3033" spans="1:26" ht="30" customHeight="1" x14ac:dyDescent="0.3">
      <c r="A3033" s="625" t="s">
        <v>22</v>
      </c>
      <c r="B3033" s="625" t="s">
        <v>23</v>
      </c>
      <c r="C3033" s="205" t="s">
        <v>155</v>
      </c>
      <c r="D3033" s="373"/>
      <c r="E3033" s="373" t="s">
        <v>375</v>
      </c>
      <c r="F3033" s="370" t="s">
        <v>23</v>
      </c>
      <c r="G3033" s="370" t="s">
        <v>5439</v>
      </c>
      <c r="H3033" s="461" t="s">
        <v>405</v>
      </c>
      <c r="I3033" s="107" t="s">
        <v>5427</v>
      </c>
      <c r="J3033" s="369">
        <v>45264</v>
      </c>
      <c r="K3033" s="747">
        <v>0.375</v>
      </c>
      <c r="L3033" s="369">
        <v>45264</v>
      </c>
      <c r="M3033" s="753">
        <v>0.79166666666666663</v>
      </c>
      <c r="N3033" s="210">
        <v>8.5</v>
      </c>
      <c r="O3033" s="184" t="s">
        <v>17</v>
      </c>
      <c r="P3033" s="810" t="s">
        <v>5426</v>
      </c>
      <c r="Q3033" s="179" t="s">
        <v>4257</v>
      </c>
      <c r="R3033" s="628" t="s">
        <v>40</v>
      </c>
      <c r="S3033" s="31" t="s">
        <v>273</v>
      </c>
      <c r="T3033" s="31" t="s">
        <v>273</v>
      </c>
      <c r="U3033" s="31">
        <f>IFERROR(VLOOKUP(CONCATENATE(Tabla1[[#This Row],[Severidad]]," ",Tabla1[[#This Row],[Complejidad]]),Catalogos!E$120:G$128,3,FALSE),"")</f>
        <v>64</v>
      </c>
      <c r="V3033" s="31" t="str">
        <f>IF(Tabla1[[#This Row],[Tiempo solución max (hrs)]]&lt;&gt;"",IF(Tabla1[[#This Row],[Tiempo solución max (hrs)]]&gt;=Tabla1[[#This Row],[Tiempo
(Hrs 00/100)]],"cumple","no cumple"),"")</f>
        <v>cumple</v>
      </c>
      <c r="W3033" s="376" t="s">
        <v>5372</v>
      </c>
      <c r="X3033" s="18" t="str">
        <f t="shared" si="225"/>
        <v>DS</v>
      </c>
      <c r="Y3033" t="str">
        <f>SUBSTITUTE(Tabla1[[#This Row],[Descripción]],CHAR(10),"    I    ")</f>
        <v>Modificar los objetos java y de base de datos para incluir la información de email de destinatario, mensaje enviado y nombre de los adjuntos</v>
      </c>
      <c r="Z3033" s="55">
        <f>VLOOKUP(Tabla1[[#This Row],[Perfil]],Catalogos!$B$75:$D$100,3,FALSE)*Tabla1[[#This Row],[Tiempo
(Hrs 00/100)]]*1.16</f>
        <v>6901.9999999999991</v>
      </c>
    </row>
    <row r="3034" spans="1:26" ht="48.75" customHeight="1" x14ac:dyDescent="0.3">
      <c r="A3034" s="625" t="s">
        <v>22</v>
      </c>
      <c r="B3034" s="625" t="s">
        <v>23</v>
      </c>
      <c r="C3034" s="205" t="s">
        <v>155</v>
      </c>
      <c r="D3034" s="373"/>
      <c r="E3034" s="373" t="s">
        <v>375</v>
      </c>
      <c r="F3034" s="370" t="s">
        <v>23</v>
      </c>
      <c r="G3034" s="370" t="s">
        <v>5440</v>
      </c>
      <c r="H3034" s="461" t="s">
        <v>405</v>
      </c>
      <c r="I3034" s="107" t="s">
        <v>5428</v>
      </c>
      <c r="J3034" s="369">
        <v>45265</v>
      </c>
      <c r="K3034" s="747">
        <v>0.375</v>
      </c>
      <c r="L3034" s="369">
        <v>45265</v>
      </c>
      <c r="M3034" s="753">
        <v>0.79166666666666663</v>
      </c>
      <c r="N3034" s="210">
        <v>8.5</v>
      </c>
      <c r="O3034" s="184" t="s">
        <v>411</v>
      </c>
      <c r="P3034" s="810" t="s">
        <v>5426</v>
      </c>
      <c r="Q3034" s="179" t="s">
        <v>4257</v>
      </c>
      <c r="R3034" s="628" t="s">
        <v>40</v>
      </c>
      <c r="S3034" s="31" t="s">
        <v>273</v>
      </c>
      <c r="T3034" s="31" t="s">
        <v>273</v>
      </c>
      <c r="U3034" s="31">
        <f>IFERROR(VLOOKUP(CONCATENATE(Tabla1[[#This Row],[Severidad]]," ",Tabla1[[#This Row],[Complejidad]]),Catalogos!E$120:G$128,3,FALSE),"")</f>
        <v>64</v>
      </c>
      <c r="V3034" s="31" t="str">
        <f>IF(Tabla1[[#This Row],[Tiempo solución max (hrs)]]&lt;&gt;"",IF(Tabla1[[#This Row],[Tiempo solución max (hrs)]]&gt;=Tabla1[[#This Row],[Tiempo
(Hrs 00/100)]],"cumple","no cumple"),"")</f>
        <v>cumple</v>
      </c>
      <c r="W3034" s="376" t="s">
        <v>5372</v>
      </c>
      <c r="X3034" s="18" t="str">
        <f t="shared" si="225"/>
        <v>DS</v>
      </c>
      <c r="Y3034" t="str">
        <f>SUBSTITUTE(Tabla1[[#This Row],[Descripción]],CHAR(10),"    I    ")</f>
        <v>Ajustar los manejadores de persistencia tanto para registrar como para recuperar la formación nueva</v>
      </c>
      <c r="Z3034" s="55">
        <f>VLOOKUP(Tabla1[[#This Row],[Perfil]],Catalogos!$B$75:$D$100,3,FALSE)*Tabla1[[#This Row],[Tiempo
(Hrs 00/100)]]*1.16</f>
        <v>6901.9999999999991</v>
      </c>
    </row>
    <row r="3035" spans="1:26" ht="47.25" customHeight="1" x14ac:dyDescent="0.3">
      <c r="A3035" s="625" t="s">
        <v>22</v>
      </c>
      <c r="B3035" s="625" t="s">
        <v>23</v>
      </c>
      <c r="C3035" s="205" t="s">
        <v>155</v>
      </c>
      <c r="D3035" s="373"/>
      <c r="E3035" s="373" t="s">
        <v>375</v>
      </c>
      <c r="F3035" s="370" t="s">
        <v>23</v>
      </c>
      <c r="G3035" s="370" t="s">
        <v>5440</v>
      </c>
      <c r="H3035" s="461" t="s">
        <v>405</v>
      </c>
      <c r="I3035" s="534" t="s">
        <v>5428</v>
      </c>
      <c r="J3035" s="369">
        <v>45266</v>
      </c>
      <c r="K3035" s="747">
        <v>0.375</v>
      </c>
      <c r="L3035" s="369">
        <v>45266</v>
      </c>
      <c r="M3035" s="753">
        <v>0.79166666666666663</v>
      </c>
      <c r="N3035" s="210">
        <v>8.5</v>
      </c>
      <c r="O3035" s="184" t="s">
        <v>17</v>
      </c>
      <c r="P3035" s="810" t="s">
        <v>5426</v>
      </c>
      <c r="Q3035" s="179" t="s">
        <v>4257</v>
      </c>
      <c r="R3035" s="628" t="s">
        <v>40</v>
      </c>
      <c r="S3035" s="31" t="s">
        <v>273</v>
      </c>
      <c r="T3035" s="31" t="s">
        <v>273</v>
      </c>
      <c r="U3035" s="31">
        <f>IFERROR(VLOOKUP(CONCATENATE(Tabla1[[#This Row],[Severidad]]," ",Tabla1[[#This Row],[Complejidad]]),Catalogos!E$120:G$128,3,FALSE),"")</f>
        <v>64</v>
      </c>
      <c r="V3035" s="31" t="str">
        <f>IF(Tabla1[[#This Row],[Tiempo solución max (hrs)]]&lt;&gt;"",IF(Tabla1[[#This Row],[Tiempo solución max (hrs)]]&gt;=Tabla1[[#This Row],[Tiempo
(Hrs 00/100)]],"cumple","no cumple"),"")</f>
        <v>cumple</v>
      </c>
      <c r="W3035" s="376" t="s">
        <v>5372</v>
      </c>
      <c r="X3035" s="18" t="str">
        <f t="shared" si="225"/>
        <v>DS</v>
      </c>
      <c r="Y3035" t="str">
        <f>SUBSTITUTE(Tabla1[[#This Row],[Descripción]],CHAR(10),"    I    ")</f>
        <v>Ajustar los manejadores de persistencia tanto para registrar como para recuperar la formación nueva</v>
      </c>
      <c r="Z3035" s="55">
        <f>VLOOKUP(Tabla1[[#This Row],[Perfil]],Catalogos!$B$75:$D$100,3,FALSE)*Tabla1[[#This Row],[Tiempo
(Hrs 00/100)]]*1.16</f>
        <v>6901.9999999999991</v>
      </c>
    </row>
    <row r="3036" spans="1:26" ht="41.25" customHeight="1" x14ac:dyDescent="0.3">
      <c r="A3036" s="625" t="s">
        <v>22</v>
      </c>
      <c r="B3036" s="625" t="s">
        <v>23</v>
      </c>
      <c r="C3036" s="205" t="s">
        <v>155</v>
      </c>
      <c r="D3036" s="373"/>
      <c r="E3036" s="373" t="s">
        <v>375</v>
      </c>
      <c r="F3036" s="370" t="s">
        <v>23</v>
      </c>
      <c r="G3036" s="370" t="s">
        <v>5441</v>
      </c>
      <c r="H3036" s="461" t="s">
        <v>405</v>
      </c>
      <c r="I3036" s="534" t="s">
        <v>5430</v>
      </c>
      <c r="J3036" s="369">
        <v>45267</v>
      </c>
      <c r="K3036" s="747">
        <v>0.375</v>
      </c>
      <c r="L3036" s="369">
        <v>45267</v>
      </c>
      <c r="M3036" s="753">
        <v>0.79166666666666663</v>
      </c>
      <c r="N3036" s="210">
        <v>8.5</v>
      </c>
      <c r="O3036" s="184" t="s">
        <v>411</v>
      </c>
      <c r="P3036" s="810" t="s">
        <v>5426</v>
      </c>
      <c r="Q3036" s="179" t="s">
        <v>4257</v>
      </c>
      <c r="R3036" s="628" t="s">
        <v>40</v>
      </c>
      <c r="S3036" s="31" t="s">
        <v>273</v>
      </c>
      <c r="T3036" s="31" t="s">
        <v>273</v>
      </c>
      <c r="U3036" s="31">
        <f>IFERROR(VLOOKUP(CONCATENATE(Tabla1[[#This Row],[Severidad]]," ",Tabla1[[#This Row],[Complejidad]]),Catalogos!E$120:G$128,3,FALSE),"")</f>
        <v>64</v>
      </c>
      <c r="V3036" s="31" t="str">
        <f>IF(Tabla1[[#This Row],[Tiempo solución max (hrs)]]&lt;&gt;"",IF(Tabla1[[#This Row],[Tiempo solución max (hrs)]]&gt;=Tabla1[[#This Row],[Tiempo
(Hrs 00/100)]],"cumple","no cumple"),"")</f>
        <v>cumple</v>
      </c>
      <c r="W3036" s="376" t="s">
        <v>5372</v>
      </c>
      <c r="X3036" s="18" t="str">
        <f t="shared" si="225"/>
        <v>DS</v>
      </c>
      <c r="Y3036" t="str">
        <f>SUBSTITUTE(Tabla1[[#This Row],[Descripción]],CHAR(10),"    I    ")</f>
        <v>Ajustar el motor de los acuses para imprimir la información nueva en caso de existir, tanto desde el módulo de consulta de acuses como en caliente al momento de ejecutar un proceso</v>
      </c>
      <c r="Z3036" s="55">
        <f>VLOOKUP(Tabla1[[#This Row],[Perfil]],Catalogos!$B$75:$D$100,3,FALSE)*Tabla1[[#This Row],[Tiempo
(Hrs 00/100)]]*1.16</f>
        <v>6901.9999999999991</v>
      </c>
    </row>
    <row r="3037" spans="1:26" ht="43.2" x14ac:dyDescent="0.3">
      <c r="A3037" s="625" t="s">
        <v>22</v>
      </c>
      <c r="B3037" s="625" t="s">
        <v>23</v>
      </c>
      <c r="C3037" s="205" t="s">
        <v>155</v>
      </c>
      <c r="D3037" s="373"/>
      <c r="E3037" s="373" t="s">
        <v>375</v>
      </c>
      <c r="F3037" s="370" t="s">
        <v>23</v>
      </c>
      <c r="G3037" s="370" t="s">
        <v>5441</v>
      </c>
      <c r="H3037" s="461" t="s">
        <v>405</v>
      </c>
      <c r="I3037" s="534" t="s">
        <v>5430</v>
      </c>
      <c r="J3037" s="369">
        <v>45268</v>
      </c>
      <c r="K3037" s="747">
        <v>0.375</v>
      </c>
      <c r="L3037" s="369">
        <v>45268</v>
      </c>
      <c r="M3037" s="753">
        <v>0.79166666666666663</v>
      </c>
      <c r="N3037" s="210">
        <v>8.5</v>
      </c>
      <c r="O3037" s="184" t="s">
        <v>17</v>
      </c>
      <c r="P3037" s="810" t="s">
        <v>5426</v>
      </c>
      <c r="Q3037" s="179" t="s">
        <v>4257</v>
      </c>
      <c r="R3037" s="628" t="s">
        <v>40</v>
      </c>
      <c r="S3037" s="31" t="s">
        <v>273</v>
      </c>
      <c r="T3037" s="31" t="s">
        <v>273</v>
      </c>
      <c r="U3037" s="31">
        <f>IFERROR(VLOOKUP(CONCATENATE(Tabla1[[#This Row],[Severidad]]," ",Tabla1[[#This Row],[Complejidad]]),Catalogos!E$120:G$128,3,FALSE),"")</f>
        <v>64</v>
      </c>
      <c r="V3037" s="31" t="str">
        <f>IF(Tabla1[[#This Row],[Tiempo solución max (hrs)]]&lt;&gt;"",IF(Tabla1[[#This Row],[Tiempo solución max (hrs)]]&gt;=Tabla1[[#This Row],[Tiempo
(Hrs 00/100)]],"cumple","no cumple"),"")</f>
        <v>cumple</v>
      </c>
      <c r="W3037" s="376" t="s">
        <v>5372</v>
      </c>
      <c r="X3037" s="18" t="str">
        <f t="shared" si="225"/>
        <v>DS</v>
      </c>
      <c r="Y3037" t="str">
        <f>SUBSTITUTE(Tabla1[[#This Row],[Descripción]],CHAR(10),"    I    ")</f>
        <v>Ajustar el motor de los acuses para imprimir la información nueva en caso de existir, tanto desde el módulo de consulta de acuses como en caliente al momento de ejecutar un proceso</v>
      </c>
      <c r="Z3037" s="55">
        <f>VLOOKUP(Tabla1[[#This Row],[Perfil]],Catalogos!$B$75:$D$100,3,FALSE)*Tabla1[[#This Row],[Tiempo
(Hrs 00/100)]]*1.16</f>
        <v>6901.9999999999991</v>
      </c>
    </row>
    <row r="3038" spans="1:26" ht="30" customHeight="1" x14ac:dyDescent="0.3">
      <c r="A3038" s="625" t="s">
        <v>22</v>
      </c>
      <c r="B3038" s="625" t="s">
        <v>23</v>
      </c>
      <c r="C3038" s="205" t="s">
        <v>155</v>
      </c>
      <c r="D3038" s="373"/>
      <c r="E3038" s="373" t="s">
        <v>375</v>
      </c>
      <c r="F3038" s="370" t="s">
        <v>23</v>
      </c>
      <c r="G3038" s="370" t="s">
        <v>5442</v>
      </c>
      <c r="H3038" s="461" t="s">
        <v>405</v>
      </c>
      <c r="I3038" s="534" t="s">
        <v>5431</v>
      </c>
      <c r="J3038" s="369">
        <v>45271</v>
      </c>
      <c r="K3038" s="747">
        <v>0.375</v>
      </c>
      <c r="L3038" s="369">
        <v>45271</v>
      </c>
      <c r="M3038" s="753">
        <v>0.79166666666666663</v>
      </c>
      <c r="N3038" s="210">
        <v>8.5</v>
      </c>
      <c r="O3038" s="184" t="s">
        <v>411</v>
      </c>
      <c r="P3038" s="810" t="s">
        <v>5426</v>
      </c>
      <c r="Q3038" s="179" t="s">
        <v>4257</v>
      </c>
      <c r="R3038" s="628" t="s">
        <v>40</v>
      </c>
      <c r="S3038" s="31" t="s">
        <v>273</v>
      </c>
      <c r="T3038" s="31" t="s">
        <v>273</v>
      </c>
      <c r="U3038" s="31">
        <f>IFERROR(VLOOKUP(CONCATENATE(Tabla1[[#This Row],[Severidad]]," ",Tabla1[[#This Row],[Complejidad]]),Catalogos!E$120:G$128,3,FALSE),"")</f>
        <v>64</v>
      </c>
      <c r="V3038" s="31" t="str">
        <f>IF(Tabla1[[#This Row],[Tiempo solución max (hrs)]]&lt;&gt;"",IF(Tabla1[[#This Row],[Tiempo solución max (hrs)]]&gt;=Tabla1[[#This Row],[Tiempo
(Hrs 00/100)]],"cumple","no cumple"),"")</f>
        <v>cumple</v>
      </c>
      <c r="W3038" s="376" t="s">
        <v>5372</v>
      </c>
      <c r="X3038" s="18" t="str">
        <f t="shared" si="225"/>
        <v>DS</v>
      </c>
      <c r="Y3038" t="str">
        <f>SUBSTITUTE(Tabla1[[#This Row],[Descripción]],CHAR(10),"    I    ")</f>
        <v>Recuperar durante el proceso de Comunicado de cumplimiento al recurrente y enviarlo al motor de acuses</v>
      </c>
      <c r="Z3038" s="55">
        <f>VLOOKUP(Tabla1[[#This Row],[Perfil]],Catalogos!$B$75:$D$100,3,FALSE)*Tabla1[[#This Row],[Tiempo
(Hrs 00/100)]]*1.16</f>
        <v>6901.9999999999991</v>
      </c>
    </row>
    <row r="3039" spans="1:26" ht="30" customHeight="1" x14ac:dyDescent="0.3">
      <c r="A3039" s="625" t="s">
        <v>22</v>
      </c>
      <c r="B3039" s="625" t="s">
        <v>23</v>
      </c>
      <c r="C3039" s="205" t="s">
        <v>155</v>
      </c>
      <c r="D3039" s="373"/>
      <c r="E3039" s="373" t="s">
        <v>375</v>
      </c>
      <c r="F3039" s="370" t="s">
        <v>23</v>
      </c>
      <c r="G3039" s="370" t="s">
        <v>5442</v>
      </c>
      <c r="H3039" s="461" t="s">
        <v>405</v>
      </c>
      <c r="I3039" s="534" t="s">
        <v>5431</v>
      </c>
      <c r="J3039" s="369">
        <v>45272</v>
      </c>
      <c r="K3039" s="747">
        <v>0.375</v>
      </c>
      <c r="L3039" s="369">
        <v>45272</v>
      </c>
      <c r="M3039" s="753">
        <v>0.79166666666666663</v>
      </c>
      <c r="N3039" s="210">
        <v>8.5</v>
      </c>
      <c r="O3039" s="184" t="s">
        <v>17</v>
      </c>
      <c r="P3039" s="810" t="s">
        <v>5426</v>
      </c>
      <c r="Q3039" s="179" t="s">
        <v>4257</v>
      </c>
      <c r="R3039" s="628" t="s">
        <v>40</v>
      </c>
      <c r="S3039" s="31" t="s">
        <v>273</v>
      </c>
      <c r="T3039" s="31" t="s">
        <v>273</v>
      </c>
      <c r="U3039" s="31">
        <f>IFERROR(VLOOKUP(CONCATENATE(Tabla1[[#This Row],[Severidad]]," ",Tabla1[[#This Row],[Complejidad]]),Catalogos!E$120:G$128,3,FALSE),"")</f>
        <v>64</v>
      </c>
      <c r="V3039" s="31" t="str">
        <f>IF(Tabla1[[#This Row],[Tiempo solución max (hrs)]]&lt;&gt;"",IF(Tabla1[[#This Row],[Tiempo solución max (hrs)]]&gt;=Tabla1[[#This Row],[Tiempo
(Hrs 00/100)]],"cumple","no cumple"),"")</f>
        <v>cumple</v>
      </c>
      <c r="W3039" s="376" t="s">
        <v>5372</v>
      </c>
      <c r="X3039" s="18" t="str">
        <f t="shared" si="225"/>
        <v>DS</v>
      </c>
      <c r="Y3039" t="str">
        <f>SUBSTITUTE(Tabla1[[#This Row],[Descripción]],CHAR(10),"    I    ")</f>
        <v>Recuperar durante el proceso de Comunicado de cumplimiento al recurrente y enviarlo al motor de acuses</v>
      </c>
      <c r="Z3039" s="55">
        <f>VLOOKUP(Tabla1[[#This Row],[Perfil]],Catalogos!$B$75:$D$100,3,FALSE)*Tabla1[[#This Row],[Tiempo
(Hrs 00/100)]]*1.16</f>
        <v>6901.9999999999991</v>
      </c>
    </row>
    <row r="3040" spans="1:26" ht="30" customHeight="1" x14ac:dyDescent="0.3">
      <c r="A3040" s="625" t="s">
        <v>22</v>
      </c>
      <c r="B3040" s="625" t="s">
        <v>23</v>
      </c>
      <c r="C3040" s="205" t="s">
        <v>155</v>
      </c>
      <c r="D3040" s="373"/>
      <c r="E3040" s="373" t="s">
        <v>375</v>
      </c>
      <c r="F3040" s="370" t="s">
        <v>23</v>
      </c>
      <c r="G3040" s="370" t="s">
        <v>5443</v>
      </c>
      <c r="H3040" s="461" t="s">
        <v>405</v>
      </c>
      <c r="I3040" s="534" t="s">
        <v>5432</v>
      </c>
      <c r="J3040" s="369">
        <v>45273</v>
      </c>
      <c r="K3040" s="747">
        <v>0.375</v>
      </c>
      <c r="L3040" s="369">
        <v>45273</v>
      </c>
      <c r="M3040" s="753">
        <v>0.79166666666666663</v>
      </c>
      <c r="N3040" s="210">
        <v>8.5</v>
      </c>
      <c r="O3040" s="184" t="s">
        <v>411</v>
      </c>
      <c r="P3040" s="810" t="s">
        <v>5426</v>
      </c>
      <c r="Q3040" s="179" t="s">
        <v>4257</v>
      </c>
      <c r="R3040" s="628" t="s">
        <v>40</v>
      </c>
      <c r="S3040" s="31" t="s">
        <v>273</v>
      </c>
      <c r="T3040" s="31" t="s">
        <v>273</v>
      </c>
      <c r="U3040" s="31">
        <f>IFERROR(VLOOKUP(CONCATENATE(Tabla1[[#This Row],[Severidad]]," ",Tabla1[[#This Row],[Complejidad]]),Catalogos!E$120:G$128,3,FALSE),"")</f>
        <v>64</v>
      </c>
      <c r="V3040" s="31" t="str">
        <f>IF(Tabla1[[#This Row],[Tiempo solución max (hrs)]]&lt;&gt;"",IF(Tabla1[[#This Row],[Tiempo solución max (hrs)]]&gt;=Tabla1[[#This Row],[Tiempo
(Hrs 00/100)]],"cumple","no cumple"),"")</f>
        <v>cumple</v>
      </c>
      <c r="W3040" s="376" t="s">
        <v>5372</v>
      </c>
      <c r="X3040" s="18" t="str">
        <f t="shared" si="225"/>
        <v>DS</v>
      </c>
      <c r="Y3040" t="str">
        <f>SUBSTITUTE(Tabla1[[#This Row],[Descripción]],CHAR(10),"    I    ")</f>
        <v>Recuperar durante el proceso de Comunicado de cumplimiento al sujeto obligado y enviarlo al motor de acuses</v>
      </c>
      <c r="Z3040" s="55">
        <f>VLOOKUP(Tabla1[[#This Row],[Perfil]],Catalogos!$B$75:$D$100,3,FALSE)*Tabla1[[#This Row],[Tiempo
(Hrs 00/100)]]*1.16</f>
        <v>6901.9999999999991</v>
      </c>
    </row>
    <row r="3041" spans="1:26" ht="30" customHeight="1" x14ac:dyDescent="0.3">
      <c r="A3041" s="625" t="s">
        <v>22</v>
      </c>
      <c r="B3041" s="625" t="s">
        <v>23</v>
      </c>
      <c r="C3041" s="205" t="s">
        <v>155</v>
      </c>
      <c r="D3041" s="373"/>
      <c r="E3041" s="373" t="s">
        <v>375</v>
      </c>
      <c r="F3041" s="370" t="s">
        <v>23</v>
      </c>
      <c r="G3041" s="370" t="s">
        <v>5443</v>
      </c>
      <c r="H3041" s="461" t="s">
        <v>405</v>
      </c>
      <c r="I3041" s="534" t="s">
        <v>5432</v>
      </c>
      <c r="J3041" s="369">
        <v>45274</v>
      </c>
      <c r="K3041" s="747">
        <v>0.375</v>
      </c>
      <c r="L3041" s="369">
        <v>45274</v>
      </c>
      <c r="M3041" s="753">
        <v>0.79166666666666663</v>
      </c>
      <c r="N3041" s="210">
        <v>8.5</v>
      </c>
      <c r="O3041" s="184" t="s">
        <v>17</v>
      </c>
      <c r="P3041" s="810" t="s">
        <v>5426</v>
      </c>
      <c r="Q3041" s="179" t="s">
        <v>4257</v>
      </c>
      <c r="R3041" s="628" t="s">
        <v>40</v>
      </c>
      <c r="S3041" s="31" t="s">
        <v>273</v>
      </c>
      <c r="T3041" s="31" t="s">
        <v>273</v>
      </c>
      <c r="U3041" s="31">
        <f>IFERROR(VLOOKUP(CONCATENATE(Tabla1[[#This Row],[Severidad]]," ",Tabla1[[#This Row],[Complejidad]]),Catalogos!E$120:G$128,3,FALSE),"")</f>
        <v>64</v>
      </c>
      <c r="V3041" s="31" t="str">
        <f>IF(Tabla1[[#This Row],[Tiempo solución max (hrs)]]&lt;&gt;"",IF(Tabla1[[#This Row],[Tiempo solución max (hrs)]]&gt;=Tabla1[[#This Row],[Tiempo
(Hrs 00/100)]],"cumple","no cumple"),"")</f>
        <v>cumple</v>
      </c>
      <c r="W3041" s="376" t="s">
        <v>5372</v>
      </c>
      <c r="X3041" s="18" t="str">
        <f t="shared" si="225"/>
        <v>DS</v>
      </c>
      <c r="Y3041" t="str">
        <f>SUBSTITUTE(Tabla1[[#This Row],[Descripción]],CHAR(10),"    I    ")</f>
        <v>Recuperar durante el proceso de Comunicado de cumplimiento al sujeto obligado y enviarlo al motor de acuses</v>
      </c>
      <c r="Z3041" s="55">
        <f>VLOOKUP(Tabla1[[#This Row],[Perfil]],Catalogos!$B$75:$D$100,3,FALSE)*Tabla1[[#This Row],[Tiempo
(Hrs 00/100)]]*1.16</f>
        <v>6901.9999999999991</v>
      </c>
    </row>
    <row r="3042" spans="1:26" ht="30" customHeight="1" x14ac:dyDescent="0.3">
      <c r="A3042" s="625" t="s">
        <v>22</v>
      </c>
      <c r="B3042" s="625" t="s">
        <v>23</v>
      </c>
      <c r="C3042" s="205" t="s">
        <v>155</v>
      </c>
      <c r="D3042" s="373"/>
      <c r="E3042" s="373" t="s">
        <v>375</v>
      </c>
      <c r="F3042" s="370" t="s">
        <v>23</v>
      </c>
      <c r="G3042" s="370" t="s">
        <v>5444</v>
      </c>
      <c r="H3042" s="461" t="s">
        <v>405</v>
      </c>
      <c r="I3042" s="534" t="s">
        <v>5433</v>
      </c>
      <c r="J3042" s="369">
        <v>45275</v>
      </c>
      <c r="K3042" s="747">
        <v>0.375</v>
      </c>
      <c r="L3042" s="369">
        <v>45275</v>
      </c>
      <c r="M3042" s="753">
        <v>0.79166666666666663</v>
      </c>
      <c r="N3042" s="210">
        <v>8.5</v>
      </c>
      <c r="O3042" s="184" t="s">
        <v>17</v>
      </c>
      <c r="P3042" s="810" t="s">
        <v>5426</v>
      </c>
      <c r="Q3042" s="179" t="s">
        <v>4257</v>
      </c>
      <c r="R3042" s="628" t="s">
        <v>40</v>
      </c>
      <c r="S3042" s="31" t="s">
        <v>273</v>
      </c>
      <c r="T3042" s="31" t="s">
        <v>273</v>
      </c>
      <c r="U3042" s="31">
        <f>IFERROR(VLOOKUP(CONCATENATE(Tabla1[[#This Row],[Severidad]]," ",Tabla1[[#This Row],[Complejidad]]),Catalogos!E$120:G$128,3,FALSE),"")</f>
        <v>64</v>
      </c>
      <c r="V3042" s="31" t="str">
        <f>IF(Tabla1[[#This Row],[Tiempo solución max (hrs)]]&lt;&gt;"",IF(Tabla1[[#This Row],[Tiempo solución max (hrs)]]&gt;=Tabla1[[#This Row],[Tiempo
(Hrs 00/100)]],"cumple","no cumple"),"")</f>
        <v>cumple</v>
      </c>
      <c r="W3042" s="376" t="s">
        <v>5372</v>
      </c>
      <c r="X3042" s="18" t="str">
        <f t="shared" si="225"/>
        <v>DS</v>
      </c>
      <c r="Y3042" t="str">
        <f>SUBSTITUTE(Tabla1[[#This Row],[Descripción]],CHAR(10),"    I    ")</f>
        <v>Realizar validación en proceso para informa al usuario que la notificación no se puede hacer ya que el medio de notificación estar fuera de la PNT</v>
      </c>
      <c r="Z3042" s="55">
        <f>VLOOKUP(Tabla1[[#This Row],[Perfil]],Catalogos!$B$75:$D$100,3,FALSE)*Tabla1[[#This Row],[Tiempo
(Hrs 00/100)]]*1.16</f>
        <v>6901.9999999999991</v>
      </c>
    </row>
    <row r="3043" spans="1:26" ht="30" customHeight="1" x14ac:dyDescent="0.3">
      <c r="A3043" s="625" t="s">
        <v>22</v>
      </c>
      <c r="B3043" s="625" t="s">
        <v>23</v>
      </c>
      <c r="C3043" s="205" t="s">
        <v>155</v>
      </c>
      <c r="D3043" s="373"/>
      <c r="E3043" s="373" t="s">
        <v>375</v>
      </c>
      <c r="F3043" s="370" t="s">
        <v>23</v>
      </c>
      <c r="G3043" s="370" t="s">
        <v>5445</v>
      </c>
      <c r="H3043" s="461" t="s">
        <v>405</v>
      </c>
      <c r="I3043" s="107" t="s">
        <v>5438</v>
      </c>
      <c r="J3043" s="369">
        <v>45278</v>
      </c>
      <c r="K3043" s="747">
        <v>0.375</v>
      </c>
      <c r="L3043" s="369">
        <v>45278</v>
      </c>
      <c r="M3043" s="753">
        <v>0.79166666666666663</v>
      </c>
      <c r="N3043" s="210">
        <v>8.5</v>
      </c>
      <c r="O3043" s="184" t="s">
        <v>17</v>
      </c>
      <c r="P3043" s="810" t="s">
        <v>5426</v>
      </c>
      <c r="Q3043" s="179" t="s">
        <v>4257</v>
      </c>
      <c r="R3043" s="628" t="s">
        <v>40</v>
      </c>
      <c r="S3043" s="31" t="s">
        <v>273</v>
      </c>
      <c r="T3043" s="31" t="s">
        <v>273</v>
      </c>
      <c r="U3043" s="31">
        <f>IFERROR(VLOOKUP(CONCATENATE(Tabla1[[#This Row],[Severidad]]," ",Tabla1[[#This Row],[Complejidad]]),Catalogos!E$120:G$128,3,FALSE),"")</f>
        <v>64</v>
      </c>
      <c r="V3043" s="31" t="str">
        <f>IF(Tabla1[[#This Row],[Tiempo solución max (hrs)]]&lt;&gt;"",IF(Tabla1[[#This Row],[Tiempo solución max (hrs)]]&gt;=Tabla1[[#This Row],[Tiempo
(Hrs 00/100)]],"cumple","no cumple"),"")</f>
        <v>cumple</v>
      </c>
      <c r="W3043" s="376" t="s">
        <v>5372</v>
      </c>
      <c r="X3043" s="18" t="str">
        <f t="shared" si="225"/>
        <v>DS</v>
      </c>
      <c r="Y3043" t="str">
        <f>SUBSTITUTE(Tabla1[[#This Row],[Descripción]],CHAR(10),"    I    ")</f>
        <v>Integrar servicios para permitir visualizar el mensaje de Vista tal como le llega al recurrente.</v>
      </c>
      <c r="Z3043" s="55">
        <f>VLOOKUP(Tabla1[[#This Row],[Perfil]],Catalogos!$B$75:$D$100,3,FALSE)*Tabla1[[#This Row],[Tiempo
(Hrs 00/100)]]*1.16</f>
        <v>6901.9999999999991</v>
      </c>
    </row>
    <row r="3044" spans="1:26" ht="30" customHeight="1" x14ac:dyDescent="0.3">
      <c r="A3044" s="625" t="s">
        <v>22</v>
      </c>
      <c r="B3044" s="625" t="s">
        <v>23</v>
      </c>
      <c r="C3044" s="205" t="s">
        <v>155</v>
      </c>
      <c r="D3044" s="373"/>
      <c r="E3044" s="373" t="s">
        <v>375</v>
      </c>
      <c r="F3044" s="370" t="s">
        <v>23</v>
      </c>
      <c r="G3044" s="370" t="s">
        <v>5446</v>
      </c>
      <c r="H3044" s="461" t="s">
        <v>405</v>
      </c>
      <c r="I3044" s="107" t="s">
        <v>5434</v>
      </c>
      <c r="J3044" s="369">
        <v>45279</v>
      </c>
      <c r="K3044" s="747">
        <v>0.375</v>
      </c>
      <c r="L3044" s="369">
        <v>45279</v>
      </c>
      <c r="M3044" s="753">
        <v>0.79166666666666663</v>
      </c>
      <c r="N3044" s="210">
        <v>8.5</v>
      </c>
      <c r="O3044" s="184" t="s">
        <v>411</v>
      </c>
      <c r="P3044" s="810" t="s">
        <v>5426</v>
      </c>
      <c r="Q3044" s="179" t="s">
        <v>4257</v>
      </c>
      <c r="R3044" s="628" t="s">
        <v>40</v>
      </c>
      <c r="S3044" s="31" t="s">
        <v>273</v>
      </c>
      <c r="T3044" s="31" t="s">
        <v>273</v>
      </c>
      <c r="U3044" s="31">
        <f>IFERROR(VLOOKUP(CONCATENATE(Tabla1[[#This Row],[Severidad]]," ",Tabla1[[#This Row],[Complejidad]]),Catalogos!E$120:G$128,3,FALSE),"")</f>
        <v>64</v>
      </c>
      <c r="V3044" s="31" t="str">
        <f>IF(Tabla1[[#This Row],[Tiempo solución max (hrs)]]&lt;&gt;"",IF(Tabla1[[#This Row],[Tiempo solución max (hrs)]]&gt;=Tabla1[[#This Row],[Tiempo
(Hrs 00/100)]],"cumple","no cumple"),"")</f>
        <v>cumple</v>
      </c>
      <c r="W3044" s="376" t="s">
        <v>5372</v>
      </c>
      <c r="X3044" s="18" t="str">
        <f t="shared" ref="X3044:X3093" si="231">IF(C3044&lt;&gt;"",C3044,D3044)</f>
        <v>DS</v>
      </c>
      <c r="Y3044" t="str">
        <f>SUBSTITUTE(Tabla1[[#This Row],[Descripción]],CHAR(10),"    I    ")</f>
        <v>Desarrollar la consulta de base de datos para el reporte</v>
      </c>
      <c r="Z3044" s="112">
        <f>VLOOKUP(Tabla1[[#This Row],[Perfil]],Catalogos!$B$75:$D$100,3,FALSE)*Tabla1[[#This Row],[Tiempo
(Hrs 00/100)]]*1.16</f>
        <v>6901.9999999999991</v>
      </c>
    </row>
    <row r="3045" spans="1:26" ht="30" customHeight="1" x14ac:dyDescent="0.3">
      <c r="A3045" s="625" t="s">
        <v>22</v>
      </c>
      <c r="B3045" s="625" t="s">
        <v>23</v>
      </c>
      <c r="C3045" s="205" t="s">
        <v>155</v>
      </c>
      <c r="D3045" s="373"/>
      <c r="E3045" s="373" t="s">
        <v>375</v>
      </c>
      <c r="F3045" s="370" t="s">
        <v>23</v>
      </c>
      <c r="G3045" s="370" t="s">
        <v>5446</v>
      </c>
      <c r="H3045" s="461" t="s">
        <v>405</v>
      </c>
      <c r="I3045" s="107" t="s">
        <v>5434</v>
      </c>
      <c r="J3045" s="369">
        <v>45280</v>
      </c>
      <c r="K3045" s="747">
        <v>0.375</v>
      </c>
      <c r="L3045" s="369">
        <v>45280</v>
      </c>
      <c r="M3045" s="753">
        <v>0.79166666666666663</v>
      </c>
      <c r="N3045" s="210">
        <v>8.5</v>
      </c>
      <c r="O3045" s="184" t="s">
        <v>17</v>
      </c>
      <c r="P3045" s="810" t="s">
        <v>5426</v>
      </c>
      <c r="Q3045" s="179" t="s">
        <v>4257</v>
      </c>
      <c r="R3045" s="628" t="s">
        <v>40</v>
      </c>
      <c r="S3045" s="31" t="s">
        <v>273</v>
      </c>
      <c r="T3045" s="31" t="s">
        <v>273</v>
      </c>
      <c r="U3045" s="31">
        <f>IFERROR(VLOOKUP(CONCATENATE(Tabla1[[#This Row],[Severidad]]," ",Tabla1[[#This Row],[Complejidad]]),Catalogos!E$120:G$128,3,FALSE),"")</f>
        <v>64</v>
      </c>
      <c r="V3045" s="31" t="str">
        <f>IF(Tabla1[[#This Row],[Tiempo solución max (hrs)]]&lt;&gt;"",IF(Tabla1[[#This Row],[Tiempo solución max (hrs)]]&gt;=Tabla1[[#This Row],[Tiempo
(Hrs 00/100)]],"cumple","no cumple"),"")</f>
        <v>cumple</v>
      </c>
      <c r="W3045" s="376" t="s">
        <v>5372</v>
      </c>
      <c r="X3045" s="18" t="str">
        <f t="shared" si="231"/>
        <v>DS</v>
      </c>
      <c r="Y3045" t="str">
        <f>SUBSTITUTE(Tabla1[[#This Row],[Descripción]],CHAR(10),"    I    ")</f>
        <v>Desarrollar la consulta de base de datos para el reporte</v>
      </c>
      <c r="Z3045" s="112">
        <f>VLOOKUP(Tabla1[[#This Row],[Perfil]],Catalogos!$B$75:$D$100,3,FALSE)*Tabla1[[#This Row],[Tiempo
(Hrs 00/100)]]*1.16</f>
        <v>6901.9999999999991</v>
      </c>
    </row>
    <row r="3046" spans="1:26" ht="30" customHeight="1" x14ac:dyDescent="0.3">
      <c r="A3046" s="625" t="s">
        <v>22</v>
      </c>
      <c r="B3046" s="625" t="s">
        <v>23</v>
      </c>
      <c r="C3046" s="205" t="s">
        <v>155</v>
      </c>
      <c r="D3046" s="373"/>
      <c r="E3046" s="373" t="s">
        <v>375</v>
      </c>
      <c r="F3046" s="370" t="s">
        <v>23</v>
      </c>
      <c r="G3046" s="370" t="s">
        <v>5447</v>
      </c>
      <c r="H3046" s="461" t="s">
        <v>405</v>
      </c>
      <c r="I3046" s="107" t="s">
        <v>5435</v>
      </c>
      <c r="J3046" s="369">
        <v>45281</v>
      </c>
      <c r="K3046" s="747">
        <v>0.375</v>
      </c>
      <c r="L3046" s="369">
        <v>45281</v>
      </c>
      <c r="M3046" s="753">
        <v>0.79166666666666663</v>
      </c>
      <c r="N3046" s="210">
        <v>8.5</v>
      </c>
      <c r="O3046" s="184" t="s">
        <v>411</v>
      </c>
      <c r="P3046" s="810" t="s">
        <v>5426</v>
      </c>
      <c r="Q3046" s="179" t="s">
        <v>4257</v>
      </c>
      <c r="R3046" s="628" t="s">
        <v>40</v>
      </c>
      <c r="S3046" s="31" t="s">
        <v>273</v>
      </c>
      <c r="T3046" s="31" t="s">
        <v>273</v>
      </c>
      <c r="U3046" s="31">
        <f>IFERROR(VLOOKUP(CONCATENATE(Tabla1[[#This Row],[Severidad]]," ",Tabla1[[#This Row],[Complejidad]]),Catalogos!E$120:G$128,3,FALSE),"")</f>
        <v>64</v>
      </c>
      <c r="V3046" s="31" t="str">
        <f>IF(Tabla1[[#This Row],[Tiempo solución max (hrs)]]&lt;&gt;"",IF(Tabla1[[#This Row],[Tiempo solución max (hrs)]]&gt;=Tabla1[[#This Row],[Tiempo
(Hrs 00/100)]],"cumple","no cumple"),"")</f>
        <v>cumple</v>
      </c>
      <c r="W3046" s="376" t="s">
        <v>5372</v>
      </c>
      <c r="X3046" s="18" t="str">
        <f t="shared" si="231"/>
        <v>DS</v>
      </c>
      <c r="Y3046" t="str">
        <f>SUBSTITUTE(Tabla1[[#This Row],[Descripción]],CHAR(10),"    I    ")</f>
        <v>Desarrollar el script de base de datos para dar los permisos de acceso al módulo de reportes al personal de la DGCR</v>
      </c>
      <c r="Z3046" s="112">
        <f>VLOOKUP(Tabla1[[#This Row],[Perfil]],Catalogos!$B$75:$D$100,3,FALSE)*Tabla1[[#This Row],[Tiempo
(Hrs 00/100)]]*1.16</f>
        <v>6901.9999999999991</v>
      </c>
    </row>
    <row r="3047" spans="1:26" ht="30" customHeight="1" x14ac:dyDescent="0.3">
      <c r="A3047" s="625" t="s">
        <v>22</v>
      </c>
      <c r="B3047" s="625" t="s">
        <v>23</v>
      </c>
      <c r="C3047" s="205" t="s">
        <v>155</v>
      </c>
      <c r="D3047" s="373"/>
      <c r="E3047" s="373" t="s">
        <v>375</v>
      </c>
      <c r="F3047" s="370" t="s">
        <v>23</v>
      </c>
      <c r="G3047" s="370" t="s">
        <v>5447</v>
      </c>
      <c r="H3047" s="461" t="s">
        <v>405</v>
      </c>
      <c r="I3047" s="107" t="s">
        <v>5435</v>
      </c>
      <c r="J3047" s="369">
        <v>45282</v>
      </c>
      <c r="K3047" s="747">
        <v>0.375</v>
      </c>
      <c r="L3047" s="369">
        <v>45282</v>
      </c>
      <c r="M3047" s="753">
        <v>0.79166666666666663</v>
      </c>
      <c r="N3047" s="210">
        <v>8.5</v>
      </c>
      <c r="O3047" s="184" t="s">
        <v>17</v>
      </c>
      <c r="P3047" s="810" t="s">
        <v>5426</v>
      </c>
      <c r="Q3047" s="179" t="s">
        <v>4257</v>
      </c>
      <c r="R3047" s="628" t="s">
        <v>40</v>
      </c>
      <c r="S3047" s="31" t="s">
        <v>273</v>
      </c>
      <c r="T3047" s="31" t="s">
        <v>273</v>
      </c>
      <c r="U3047" s="31">
        <f>IFERROR(VLOOKUP(CONCATENATE(Tabla1[[#This Row],[Severidad]]," ",Tabla1[[#This Row],[Complejidad]]),Catalogos!E$120:G$128,3,FALSE),"")</f>
        <v>64</v>
      </c>
      <c r="V3047" s="31" t="str">
        <f>IF(Tabla1[[#This Row],[Tiempo solución max (hrs)]]&lt;&gt;"",IF(Tabla1[[#This Row],[Tiempo solución max (hrs)]]&gt;=Tabla1[[#This Row],[Tiempo
(Hrs 00/100)]],"cumple","no cumple"),"")</f>
        <v>cumple</v>
      </c>
      <c r="W3047" s="376" t="s">
        <v>5372</v>
      </c>
      <c r="X3047" s="18" t="str">
        <f t="shared" si="231"/>
        <v>DS</v>
      </c>
      <c r="Y3047" t="str">
        <f>SUBSTITUTE(Tabla1[[#This Row],[Descripción]],CHAR(10),"    I    ")</f>
        <v>Desarrollar el script de base de datos para dar los permisos de acceso al módulo de reportes al personal de la DGCR</v>
      </c>
      <c r="Z3047" s="112">
        <f>VLOOKUP(Tabla1[[#This Row],[Perfil]],Catalogos!$B$75:$D$100,3,FALSE)*Tabla1[[#This Row],[Tiempo
(Hrs 00/100)]]*1.16</f>
        <v>6901.9999999999991</v>
      </c>
    </row>
    <row r="3048" spans="1:26" ht="30" customHeight="1" x14ac:dyDescent="0.3">
      <c r="A3048" s="625" t="s">
        <v>22</v>
      </c>
      <c r="B3048" s="625" t="s">
        <v>23</v>
      </c>
      <c r="C3048" s="205" t="s">
        <v>155</v>
      </c>
      <c r="D3048" s="373"/>
      <c r="E3048" s="373" t="s">
        <v>375</v>
      </c>
      <c r="F3048" s="370" t="s">
        <v>23</v>
      </c>
      <c r="G3048" s="370" t="s">
        <v>5448</v>
      </c>
      <c r="H3048" s="461" t="s">
        <v>405</v>
      </c>
      <c r="I3048" s="107" t="s">
        <v>5436</v>
      </c>
      <c r="J3048" s="369">
        <v>45286</v>
      </c>
      <c r="K3048" s="747">
        <v>0.375</v>
      </c>
      <c r="L3048" s="369">
        <v>45286</v>
      </c>
      <c r="M3048" s="753">
        <v>0.79166666666666663</v>
      </c>
      <c r="N3048" s="210">
        <v>8.5</v>
      </c>
      <c r="O3048" s="184" t="s">
        <v>411</v>
      </c>
      <c r="P3048" s="810" t="s">
        <v>5426</v>
      </c>
      <c r="Q3048" s="179" t="s">
        <v>4257</v>
      </c>
      <c r="R3048" s="628" t="s">
        <v>40</v>
      </c>
      <c r="S3048" s="31" t="s">
        <v>273</v>
      </c>
      <c r="T3048" s="31" t="s">
        <v>273</v>
      </c>
      <c r="U3048" s="31">
        <f>IFERROR(VLOOKUP(CONCATENATE(Tabla1[[#This Row],[Severidad]]," ",Tabla1[[#This Row],[Complejidad]]),Catalogos!E$120:G$128,3,FALSE),"")</f>
        <v>64</v>
      </c>
      <c r="V3048" s="31" t="str">
        <f>IF(Tabla1[[#This Row],[Tiempo solución max (hrs)]]&lt;&gt;"",IF(Tabla1[[#This Row],[Tiempo solución max (hrs)]]&gt;=Tabla1[[#This Row],[Tiempo
(Hrs 00/100)]],"cumple","no cumple"),"")</f>
        <v>cumple</v>
      </c>
      <c r="W3048" s="376" t="s">
        <v>5372</v>
      </c>
      <c r="X3048" s="18" t="str">
        <f t="shared" si="231"/>
        <v>DS</v>
      </c>
      <c r="Y3048" t="str">
        <f>SUBSTITUTE(Tabla1[[#This Row],[Descripción]],CHAR(10),"    I    ")</f>
        <v>Integrar el nuevo reporte la vista y el controlador del módulo de reportes</v>
      </c>
      <c r="Z3048" s="112">
        <f>VLOOKUP(Tabla1[[#This Row],[Perfil]],Catalogos!$B$75:$D$100,3,FALSE)*Tabla1[[#This Row],[Tiempo
(Hrs 00/100)]]*1.16</f>
        <v>6901.9999999999991</v>
      </c>
    </row>
    <row r="3049" spans="1:26" ht="30" customHeight="1" x14ac:dyDescent="0.3">
      <c r="A3049" s="625" t="s">
        <v>22</v>
      </c>
      <c r="B3049" s="625" t="s">
        <v>23</v>
      </c>
      <c r="C3049" s="205" t="s">
        <v>155</v>
      </c>
      <c r="D3049" s="373"/>
      <c r="E3049" s="373" t="s">
        <v>375</v>
      </c>
      <c r="F3049" s="370" t="s">
        <v>23</v>
      </c>
      <c r="G3049" s="370" t="s">
        <v>5448</v>
      </c>
      <c r="H3049" s="461" t="s">
        <v>405</v>
      </c>
      <c r="I3049" s="107" t="s">
        <v>5436</v>
      </c>
      <c r="J3049" s="369">
        <v>45287</v>
      </c>
      <c r="K3049" s="747">
        <v>0.375</v>
      </c>
      <c r="L3049" s="369">
        <v>45287</v>
      </c>
      <c r="M3049" s="753">
        <v>0.79166666666666663</v>
      </c>
      <c r="N3049" s="210">
        <v>8.5</v>
      </c>
      <c r="O3049" s="184" t="s">
        <v>17</v>
      </c>
      <c r="P3049" s="810" t="s">
        <v>5426</v>
      </c>
      <c r="Q3049" s="179" t="s">
        <v>4257</v>
      </c>
      <c r="R3049" s="628" t="s">
        <v>40</v>
      </c>
      <c r="S3049" s="31" t="s">
        <v>273</v>
      </c>
      <c r="T3049" s="31" t="s">
        <v>273</v>
      </c>
      <c r="U3049" s="31">
        <f>IFERROR(VLOOKUP(CONCATENATE(Tabla1[[#This Row],[Severidad]]," ",Tabla1[[#This Row],[Complejidad]]),Catalogos!E$120:G$128,3,FALSE),"")</f>
        <v>64</v>
      </c>
      <c r="V3049" s="31" t="str">
        <f>IF(Tabla1[[#This Row],[Tiempo solución max (hrs)]]&lt;&gt;"",IF(Tabla1[[#This Row],[Tiempo solución max (hrs)]]&gt;=Tabla1[[#This Row],[Tiempo
(Hrs 00/100)]],"cumple","no cumple"),"")</f>
        <v>cumple</v>
      </c>
      <c r="W3049" s="376" t="s">
        <v>5372</v>
      </c>
      <c r="X3049" s="18" t="str">
        <f t="shared" si="231"/>
        <v>DS</v>
      </c>
      <c r="Y3049" t="str">
        <f>SUBSTITUTE(Tabla1[[#This Row],[Descripción]],CHAR(10),"    I    ")</f>
        <v>Integrar el nuevo reporte la vista y el controlador del módulo de reportes</v>
      </c>
      <c r="Z3049" s="112">
        <f>VLOOKUP(Tabla1[[#This Row],[Perfil]],Catalogos!$B$75:$D$100,3,FALSE)*Tabla1[[#This Row],[Tiempo
(Hrs 00/100)]]*1.16</f>
        <v>6901.9999999999991</v>
      </c>
    </row>
    <row r="3050" spans="1:26" ht="30" customHeight="1" x14ac:dyDescent="0.3">
      <c r="A3050" s="625" t="s">
        <v>22</v>
      </c>
      <c r="B3050" s="625" t="s">
        <v>23</v>
      </c>
      <c r="C3050" s="205" t="s">
        <v>155</v>
      </c>
      <c r="D3050" s="373"/>
      <c r="E3050" s="373" t="s">
        <v>375</v>
      </c>
      <c r="F3050" s="370" t="s">
        <v>23</v>
      </c>
      <c r="G3050" s="370" t="s">
        <v>5449</v>
      </c>
      <c r="H3050" s="461" t="s">
        <v>405</v>
      </c>
      <c r="I3050" s="208" t="s">
        <v>5437</v>
      </c>
      <c r="J3050" s="369">
        <v>45288</v>
      </c>
      <c r="K3050" s="747">
        <v>0.375</v>
      </c>
      <c r="L3050" s="369">
        <v>45288</v>
      </c>
      <c r="M3050" s="753">
        <v>0.79166666666666663</v>
      </c>
      <c r="N3050" s="210">
        <v>8.5</v>
      </c>
      <c r="O3050" s="184" t="s">
        <v>411</v>
      </c>
      <c r="P3050" s="810" t="s">
        <v>5426</v>
      </c>
      <c r="Q3050" s="179" t="s">
        <v>4257</v>
      </c>
      <c r="R3050" s="628" t="s">
        <v>40</v>
      </c>
      <c r="S3050" s="31" t="s">
        <v>273</v>
      </c>
      <c r="T3050" s="31" t="s">
        <v>273</v>
      </c>
      <c r="U3050" s="31">
        <f>IFERROR(VLOOKUP(CONCATENATE(Tabla1[[#This Row],[Severidad]]," ",Tabla1[[#This Row],[Complejidad]]),Catalogos!E$120:G$128,3,FALSE),"")</f>
        <v>64</v>
      </c>
      <c r="V3050" s="31" t="str">
        <f>IF(Tabla1[[#This Row],[Tiempo solución max (hrs)]]&lt;&gt;"",IF(Tabla1[[#This Row],[Tiempo solución max (hrs)]]&gt;=Tabla1[[#This Row],[Tiempo
(Hrs 00/100)]],"cumple","no cumple"),"")</f>
        <v>cumple</v>
      </c>
      <c r="W3050" s="376" t="s">
        <v>5372</v>
      </c>
      <c r="X3050" s="18" t="str">
        <f t="shared" si="231"/>
        <v>DS</v>
      </c>
      <c r="Y3050" t="str">
        <f>SUBSTITUTE(Tabla1[[#This Row],[Descripción]],CHAR(10),"    I    ")</f>
        <v>Integrar servicios para que las respuestas de los cumplimientos de los sujetos obligados se puedan consultar en una vista pública.</v>
      </c>
      <c r="Z3050" s="112">
        <f>VLOOKUP(Tabla1[[#This Row],[Perfil]],Catalogos!$B$75:$D$100,3,FALSE)*Tabla1[[#This Row],[Tiempo
(Hrs 00/100)]]*1.16</f>
        <v>6901.9999999999991</v>
      </c>
    </row>
    <row r="3051" spans="1:26" ht="30" customHeight="1" x14ac:dyDescent="0.3">
      <c r="A3051" s="625" t="s">
        <v>22</v>
      </c>
      <c r="B3051" s="625" t="s">
        <v>23</v>
      </c>
      <c r="C3051" s="205" t="s">
        <v>155</v>
      </c>
      <c r="D3051" s="373"/>
      <c r="E3051" s="373" t="s">
        <v>375</v>
      </c>
      <c r="F3051" s="370" t="s">
        <v>23</v>
      </c>
      <c r="G3051" s="370" t="s">
        <v>5449</v>
      </c>
      <c r="H3051" s="461" t="s">
        <v>405</v>
      </c>
      <c r="I3051" s="208" t="s">
        <v>5437</v>
      </c>
      <c r="J3051" s="369">
        <v>45289</v>
      </c>
      <c r="K3051" s="747">
        <v>0.375</v>
      </c>
      <c r="L3051" s="369">
        <v>45289</v>
      </c>
      <c r="M3051" s="753">
        <v>0.625</v>
      </c>
      <c r="N3051" s="210">
        <v>6</v>
      </c>
      <c r="O3051" s="184" t="s">
        <v>17</v>
      </c>
      <c r="P3051" s="810" t="s">
        <v>5426</v>
      </c>
      <c r="Q3051" s="179" t="s">
        <v>4257</v>
      </c>
      <c r="R3051" s="628" t="s">
        <v>40</v>
      </c>
      <c r="S3051" s="31" t="s">
        <v>273</v>
      </c>
      <c r="T3051" s="31" t="s">
        <v>273</v>
      </c>
      <c r="U3051" s="31">
        <f>IFERROR(VLOOKUP(CONCATENATE(Tabla1[[#This Row],[Severidad]]," ",Tabla1[[#This Row],[Complejidad]]),Catalogos!E$120:G$128,3,FALSE),"")</f>
        <v>64</v>
      </c>
      <c r="V3051" s="31" t="str">
        <f>IF(Tabla1[[#This Row],[Tiempo solución max (hrs)]]&lt;&gt;"",IF(Tabla1[[#This Row],[Tiempo solución max (hrs)]]&gt;=Tabla1[[#This Row],[Tiempo
(Hrs 00/100)]],"cumple","no cumple"),"")</f>
        <v>cumple</v>
      </c>
      <c r="W3051" s="376" t="s">
        <v>5372</v>
      </c>
      <c r="X3051" s="18" t="str">
        <f t="shared" si="231"/>
        <v>DS</v>
      </c>
      <c r="Y3051" t="str">
        <f>SUBSTITUTE(Tabla1[[#This Row],[Descripción]],CHAR(10),"    I    ")</f>
        <v>Integrar servicios para que las respuestas de los cumplimientos de los sujetos obligados se puedan consultar en una vista pública.</v>
      </c>
      <c r="Z3051" s="112">
        <f>VLOOKUP(Tabla1[[#This Row],[Perfil]],Catalogos!$B$75:$D$100,3,FALSE)*Tabla1[[#This Row],[Tiempo
(Hrs 00/100)]]*1.16</f>
        <v>4872</v>
      </c>
    </row>
    <row r="3052" spans="1:26" ht="30" customHeight="1" x14ac:dyDescent="0.3">
      <c r="A3052" s="530" t="s">
        <v>22</v>
      </c>
      <c r="B3052" s="530" t="s">
        <v>23</v>
      </c>
      <c r="C3052" s="205" t="s">
        <v>155</v>
      </c>
      <c r="D3052" s="373"/>
      <c r="E3052" s="373" t="s">
        <v>375</v>
      </c>
      <c r="F3052" s="370" t="s">
        <v>23</v>
      </c>
      <c r="G3052" s="370" t="s">
        <v>5450</v>
      </c>
      <c r="H3052" s="461" t="s">
        <v>405</v>
      </c>
      <c r="I3052" s="405" t="s">
        <v>5462</v>
      </c>
      <c r="J3052" s="369">
        <v>45261</v>
      </c>
      <c r="K3052" s="747">
        <v>0.375</v>
      </c>
      <c r="L3052" s="369">
        <v>45261</v>
      </c>
      <c r="M3052" s="753">
        <v>0.625</v>
      </c>
      <c r="N3052" s="210">
        <v>6</v>
      </c>
      <c r="O3052" s="184" t="s">
        <v>17</v>
      </c>
      <c r="P3052" s="810" t="s">
        <v>5426</v>
      </c>
      <c r="Q3052" s="541" t="s">
        <v>1120</v>
      </c>
      <c r="R3052" s="202" t="s">
        <v>40</v>
      </c>
      <c r="S3052" s="31" t="s">
        <v>273</v>
      </c>
      <c r="T3052" s="31" t="s">
        <v>273</v>
      </c>
      <c r="U3052" s="31">
        <f>IFERROR(VLOOKUP(CONCATENATE(Tabla1[[#This Row],[Severidad]]," ",Tabla1[[#This Row],[Complejidad]]),Catalogos!E$120:G$128,3,FALSE),"")</f>
        <v>64</v>
      </c>
      <c r="V3052" s="31" t="str">
        <f>IF(Tabla1[[#This Row],[Tiempo solución max (hrs)]]&lt;&gt;"",IF(Tabla1[[#This Row],[Tiempo solución max (hrs)]]&gt;=Tabla1[[#This Row],[Tiempo
(Hrs 00/100)]],"cumple","no cumple"),"")</f>
        <v>cumple</v>
      </c>
      <c r="W3052" s="376" t="s">
        <v>5372</v>
      </c>
      <c r="X3052" s="377" t="str">
        <f t="shared" si="231"/>
        <v>DS</v>
      </c>
      <c r="Y3052" t="str">
        <f>SUBSTITUTE(Tabla1[[#This Row],[Descripción]],CHAR(10),"    I    ")</f>
        <v>Analizar RFC</v>
      </c>
      <c r="Z3052" s="142">
        <f>VLOOKUP(Tabla1[[#This Row],[Perfil]],Catalogos!$B$75:$D$100,3,FALSE)*Tabla1[[#This Row],[Tiempo
(Hrs 00/100)]]*1.16</f>
        <v>4872</v>
      </c>
    </row>
    <row r="3053" spans="1:26" ht="30" customHeight="1" x14ac:dyDescent="0.3">
      <c r="A3053" s="530" t="s">
        <v>22</v>
      </c>
      <c r="B3053" s="530" t="s">
        <v>23</v>
      </c>
      <c r="C3053" s="205" t="s">
        <v>155</v>
      </c>
      <c r="D3053" s="373"/>
      <c r="E3053" s="373" t="s">
        <v>375</v>
      </c>
      <c r="F3053" s="370" t="s">
        <v>23</v>
      </c>
      <c r="G3053" s="370" t="s">
        <v>5463</v>
      </c>
      <c r="H3053" s="461" t="s">
        <v>405</v>
      </c>
      <c r="I3053" s="405" t="s">
        <v>5451</v>
      </c>
      <c r="J3053" s="369">
        <v>45264</v>
      </c>
      <c r="K3053" s="747">
        <v>0.375</v>
      </c>
      <c r="L3053" s="369">
        <v>45264</v>
      </c>
      <c r="M3053" s="753">
        <v>0.79166666666666663</v>
      </c>
      <c r="N3053" s="210">
        <v>8.5</v>
      </c>
      <c r="O3053" s="184" t="s">
        <v>411</v>
      </c>
      <c r="P3053" s="810" t="s">
        <v>5426</v>
      </c>
      <c r="Q3053" s="541" t="s">
        <v>1120</v>
      </c>
      <c r="R3053" s="202" t="s">
        <v>40</v>
      </c>
      <c r="S3053" s="31" t="s">
        <v>273</v>
      </c>
      <c r="T3053" s="31" t="s">
        <v>273</v>
      </c>
      <c r="U3053" s="31">
        <f>IFERROR(VLOOKUP(CONCATENATE(Tabla1[[#This Row],[Severidad]]," ",Tabla1[[#This Row],[Complejidad]]),Catalogos!E$120:G$128,3,FALSE),"")</f>
        <v>64</v>
      </c>
      <c r="V3053" s="31" t="str">
        <f>IF(Tabla1[[#This Row],[Tiempo solución max (hrs)]]&lt;&gt;"",IF(Tabla1[[#This Row],[Tiempo solución max (hrs)]]&gt;=Tabla1[[#This Row],[Tiempo
(Hrs 00/100)]],"cumple","no cumple"),"")</f>
        <v>cumple</v>
      </c>
      <c r="W3053" s="376" t="s">
        <v>5372</v>
      </c>
      <c r="X3053" s="18" t="str">
        <f t="shared" si="231"/>
        <v>DS</v>
      </c>
      <c r="Y3053" t="str">
        <f>SUBSTITUTE(Tabla1[[#This Row],[Descripción]],CHAR(10),"    I    ")</f>
        <v>Modificación de reporte de turno</v>
      </c>
      <c r="Z3053" s="112">
        <f>VLOOKUP(Tabla1[[#This Row],[Perfil]],Catalogos!$B$75:$D$100,3,FALSE)*Tabla1[[#This Row],[Tiempo
(Hrs 00/100)]]*1.16</f>
        <v>6901.9999999999991</v>
      </c>
    </row>
    <row r="3054" spans="1:26" ht="30" customHeight="1" x14ac:dyDescent="0.3">
      <c r="A3054" s="530" t="s">
        <v>22</v>
      </c>
      <c r="B3054" s="530" t="s">
        <v>23</v>
      </c>
      <c r="C3054" s="205" t="s">
        <v>155</v>
      </c>
      <c r="D3054" s="373"/>
      <c r="E3054" s="373" t="s">
        <v>375</v>
      </c>
      <c r="F3054" s="370" t="s">
        <v>23</v>
      </c>
      <c r="G3054" s="370" t="s">
        <v>5463</v>
      </c>
      <c r="H3054" s="461" t="s">
        <v>405</v>
      </c>
      <c r="I3054" s="405" t="s">
        <v>5451</v>
      </c>
      <c r="J3054" s="369">
        <v>45265</v>
      </c>
      <c r="K3054" s="747">
        <v>0.375</v>
      </c>
      <c r="L3054" s="369">
        <v>45265</v>
      </c>
      <c r="M3054" s="753">
        <v>0.79166666666666663</v>
      </c>
      <c r="N3054" s="210">
        <v>8.5</v>
      </c>
      <c r="O3054" s="184" t="s">
        <v>17</v>
      </c>
      <c r="P3054" s="810" t="s">
        <v>5426</v>
      </c>
      <c r="Q3054" s="541" t="s">
        <v>1120</v>
      </c>
      <c r="R3054" s="202" t="s">
        <v>40</v>
      </c>
      <c r="S3054" s="31" t="s">
        <v>273</v>
      </c>
      <c r="T3054" s="31" t="s">
        <v>273</v>
      </c>
      <c r="U3054" s="31">
        <f>IFERROR(VLOOKUP(CONCATENATE(Tabla1[[#This Row],[Severidad]]," ",Tabla1[[#This Row],[Complejidad]]),Catalogos!E$120:G$128,3,FALSE),"")</f>
        <v>64</v>
      </c>
      <c r="V3054" s="31" t="str">
        <f>IF(Tabla1[[#This Row],[Tiempo solución max (hrs)]]&lt;&gt;"",IF(Tabla1[[#This Row],[Tiempo solución max (hrs)]]&gt;=Tabla1[[#This Row],[Tiempo
(Hrs 00/100)]],"cumple","no cumple"),"")</f>
        <v>cumple</v>
      </c>
      <c r="W3054" s="376" t="s">
        <v>5372</v>
      </c>
      <c r="X3054" s="18" t="str">
        <f t="shared" si="231"/>
        <v>DS</v>
      </c>
      <c r="Y3054" t="str">
        <f>SUBSTITUTE(Tabla1[[#This Row],[Descripción]],CHAR(10),"    I    ")</f>
        <v>Modificación de reporte de turno</v>
      </c>
      <c r="Z3054" s="112">
        <f>VLOOKUP(Tabla1[[#This Row],[Perfil]],Catalogos!$B$75:$D$100,3,FALSE)*Tabla1[[#This Row],[Tiempo
(Hrs 00/100)]]*1.16</f>
        <v>6901.9999999999991</v>
      </c>
    </row>
    <row r="3055" spans="1:26" ht="30" customHeight="1" x14ac:dyDescent="0.3">
      <c r="A3055" s="530" t="s">
        <v>22</v>
      </c>
      <c r="B3055" s="530" t="s">
        <v>23</v>
      </c>
      <c r="C3055" s="205" t="s">
        <v>155</v>
      </c>
      <c r="D3055" s="373"/>
      <c r="E3055" s="373" t="s">
        <v>375</v>
      </c>
      <c r="F3055" s="370" t="s">
        <v>23</v>
      </c>
      <c r="G3055" s="370" t="s">
        <v>5464</v>
      </c>
      <c r="H3055" s="461" t="s">
        <v>405</v>
      </c>
      <c r="I3055" s="405" t="s">
        <v>5452</v>
      </c>
      <c r="J3055" s="369">
        <v>45266</v>
      </c>
      <c r="K3055" s="747">
        <v>0.375</v>
      </c>
      <c r="L3055" s="369">
        <v>45266</v>
      </c>
      <c r="M3055" s="753">
        <v>0.79166666666666663</v>
      </c>
      <c r="N3055" s="210">
        <v>8.5</v>
      </c>
      <c r="O3055" s="184" t="s">
        <v>411</v>
      </c>
      <c r="P3055" s="810" t="s">
        <v>5426</v>
      </c>
      <c r="Q3055" s="541" t="s">
        <v>1120</v>
      </c>
      <c r="R3055" s="202" t="s">
        <v>40</v>
      </c>
      <c r="S3055" s="31" t="s">
        <v>273</v>
      </c>
      <c r="T3055" s="31" t="s">
        <v>273</v>
      </c>
      <c r="U3055" s="31">
        <f>IFERROR(VLOOKUP(CONCATENATE(Tabla1[[#This Row],[Severidad]]," ",Tabla1[[#This Row],[Complejidad]]),Catalogos!E$120:G$128,3,FALSE),"")</f>
        <v>64</v>
      </c>
      <c r="V3055" s="31" t="str">
        <f>IF(Tabla1[[#This Row],[Tiempo solución max (hrs)]]&lt;&gt;"",IF(Tabla1[[#This Row],[Tiempo solución max (hrs)]]&gt;=Tabla1[[#This Row],[Tiempo
(Hrs 00/100)]],"cumple","no cumple"),"")</f>
        <v>cumple</v>
      </c>
      <c r="W3055" s="376" t="s">
        <v>5372</v>
      </c>
      <c r="X3055" s="18" t="str">
        <f t="shared" si="231"/>
        <v>DS</v>
      </c>
      <c r="Y3055" t="str">
        <f>SUBSTITUTE(Tabla1[[#This Row],[Descripción]],CHAR(10),"    I    ")</f>
        <v>Desarrollo de formato de Admisión</v>
      </c>
      <c r="Z3055" s="112">
        <f>VLOOKUP(Tabla1[[#This Row],[Perfil]],Catalogos!$B$75:$D$100,3,FALSE)*Tabla1[[#This Row],[Tiempo
(Hrs 00/100)]]*1.16</f>
        <v>6901.9999999999991</v>
      </c>
    </row>
    <row r="3056" spans="1:26" ht="30" customHeight="1" x14ac:dyDescent="0.3">
      <c r="A3056" s="530" t="s">
        <v>22</v>
      </c>
      <c r="B3056" s="530" t="s">
        <v>23</v>
      </c>
      <c r="C3056" s="205" t="s">
        <v>155</v>
      </c>
      <c r="D3056" s="373"/>
      <c r="E3056" s="373" t="s">
        <v>375</v>
      </c>
      <c r="F3056" s="370" t="s">
        <v>23</v>
      </c>
      <c r="G3056" s="370" t="s">
        <v>5464</v>
      </c>
      <c r="H3056" s="461" t="s">
        <v>405</v>
      </c>
      <c r="I3056" s="405" t="s">
        <v>5452</v>
      </c>
      <c r="J3056" s="369">
        <v>45267</v>
      </c>
      <c r="K3056" s="747">
        <v>0.375</v>
      </c>
      <c r="L3056" s="369">
        <v>45267</v>
      </c>
      <c r="M3056" s="753">
        <v>0.79166666666666663</v>
      </c>
      <c r="N3056" s="210">
        <v>8.5</v>
      </c>
      <c r="O3056" s="184" t="s">
        <v>17</v>
      </c>
      <c r="P3056" s="810" t="s">
        <v>5426</v>
      </c>
      <c r="Q3056" s="541" t="s">
        <v>1120</v>
      </c>
      <c r="R3056" s="202" t="s">
        <v>40</v>
      </c>
      <c r="S3056" s="31" t="s">
        <v>273</v>
      </c>
      <c r="T3056" s="31" t="s">
        <v>273</v>
      </c>
      <c r="U3056" s="31">
        <f>IFERROR(VLOOKUP(CONCATENATE(Tabla1[[#This Row],[Severidad]]," ",Tabla1[[#This Row],[Complejidad]]),Catalogos!E$120:G$128,3,FALSE),"")</f>
        <v>64</v>
      </c>
      <c r="V3056" s="31" t="str">
        <f>IF(Tabla1[[#This Row],[Tiempo solución max (hrs)]]&lt;&gt;"",IF(Tabla1[[#This Row],[Tiempo solución max (hrs)]]&gt;=Tabla1[[#This Row],[Tiempo
(Hrs 00/100)]],"cumple","no cumple"),"")</f>
        <v>cumple</v>
      </c>
      <c r="W3056" s="376" t="s">
        <v>5372</v>
      </c>
      <c r="X3056" s="18" t="str">
        <f t="shared" si="231"/>
        <v>DS</v>
      </c>
      <c r="Y3056" t="str">
        <f>SUBSTITUTE(Tabla1[[#This Row],[Descripción]],CHAR(10),"    I    ")</f>
        <v>Desarrollo de formato de Admisión</v>
      </c>
      <c r="Z3056" s="112">
        <f>VLOOKUP(Tabla1[[#This Row],[Perfil]],Catalogos!$B$75:$D$100,3,FALSE)*Tabla1[[#This Row],[Tiempo
(Hrs 00/100)]]*1.16</f>
        <v>6901.9999999999991</v>
      </c>
    </row>
    <row r="3057" spans="1:27" ht="30" customHeight="1" x14ac:dyDescent="0.3">
      <c r="A3057" s="530" t="s">
        <v>22</v>
      </c>
      <c r="B3057" s="530" t="s">
        <v>23</v>
      </c>
      <c r="C3057" s="205" t="s">
        <v>155</v>
      </c>
      <c r="D3057" s="373"/>
      <c r="E3057" s="373" t="s">
        <v>375</v>
      </c>
      <c r="F3057" s="370" t="s">
        <v>23</v>
      </c>
      <c r="G3057" s="370" t="s">
        <v>5465</v>
      </c>
      <c r="H3057" s="461" t="s">
        <v>405</v>
      </c>
      <c r="I3057" s="405" t="s">
        <v>5453</v>
      </c>
      <c r="J3057" s="369">
        <v>45268</v>
      </c>
      <c r="K3057" s="747">
        <v>0.375</v>
      </c>
      <c r="L3057" s="369">
        <v>45268</v>
      </c>
      <c r="M3057" s="753">
        <v>0.64583333333333337</v>
      </c>
      <c r="N3057" s="210">
        <v>6.5</v>
      </c>
      <c r="O3057" s="184" t="s">
        <v>411</v>
      </c>
      <c r="P3057" s="810" t="s">
        <v>5426</v>
      </c>
      <c r="Q3057" s="541" t="s">
        <v>1120</v>
      </c>
      <c r="R3057" s="202" t="s">
        <v>40</v>
      </c>
      <c r="S3057" s="31" t="s">
        <v>273</v>
      </c>
      <c r="T3057" s="31" t="s">
        <v>273</v>
      </c>
      <c r="U3057" s="31">
        <f>IFERROR(VLOOKUP(CONCATENATE(Tabla1[[#This Row],[Severidad]]," ",Tabla1[[#This Row],[Complejidad]]),Catalogos!E$120:G$128,3,FALSE),"")</f>
        <v>64</v>
      </c>
      <c r="V3057" s="31" t="str">
        <f>IF(Tabla1[[#This Row],[Tiempo solución max (hrs)]]&lt;&gt;"",IF(Tabla1[[#This Row],[Tiempo solución max (hrs)]]&gt;=Tabla1[[#This Row],[Tiempo
(Hrs 00/100)]],"cumple","no cumple"),"")</f>
        <v>cumple</v>
      </c>
      <c r="W3057" s="376" t="s">
        <v>5372</v>
      </c>
      <c r="X3057" s="18" t="str">
        <f t="shared" si="231"/>
        <v>DS</v>
      </c>
      <c r="Y3057" t="str">
        <f>SUBSTITUTE(Tabla1[[#This Row],[Descripción]],CHAR(10),"    I    ")</f>
        <v xml:space="preserve">Desarrollo de formato de Prevención </v>
      </c>
      <c r="Z3057" s="112">
        <f>VLOOKUP(Tabla1[[#This Row],[Perfil]],Catalogos!$B$75:$D$100,3,FALSE)*Tabla1[[#This Row],[Tiempo
(Hrs 00/100)]]*1.16</f>
        <v>5278</v>
      </c>
    </row>
    <row r="3058" spans="1:27" ht="30" customHeight="1" x14ac:dyDescent="0.3">
      <c r="A3058" s="530" t="s">
        <v>22</v>
      </c>
      <c r="B3058" s="530" t="s">
        <v>23</v>
      </c>
      <c r="C3058" s="205" t="s">
        <v>155</v>
      </c>
      <c r="D3058" s="373"/>
      <c r="E3058" s="373" t="s">
        <v>375</v>
      </c>
      <c r="F3058" s="370" t="s">
        <v>23</v>
      </c>
      <c r="G3058" s="370" t="s">
        <v>5465</v>
      </c>
      <c r="H3058" s="461" t="s">
        <v>405</v>
      </c>
      <c r="I3058" s="405" t="s">
        <v>5453</v>
      </c>
      <c r="J3058" s="369">
        <v>45271</v>
      </c>
      <c r="K3058" s="747">
        <v>0.375</v>
      </c>
      <c r="L3058" s="369">
        <v>45271</v>
      </c>
      <c r="M3058" s="753">
        <v>0.79166666666666663</v>
      </c>
      <c r="N3058" s="210">
        <v>8.5</v>
      </c>
      <c r="O3058" s="184" t="s">
        <v>17</v>
      </c>
      <c r="P3058" s="810" t="s">
        <v>5426</v>
      </c>
      <c r="Q3058" s="541" t="s">
        <v>1120</v>
      </c>
      <c r="R3058" s="202" t="s">
        <v>40</v>
      </c>
      <c r="S3058" s="31" t="s">
        <v>273</v>
      </c>
      <c r="T3058" s="31" t="s">
        <v>273</v>
      </c>
      <c r="U3058" s="31">
        <f>IFERROR(VLOOKUP(CONCATENATE(Tabla1[[#This Row],[Severidad]]," ",Tabla1[[#This Row],[Complejidad]]),Catalogos!E$120:G$128,3,FALSE),"")</f>
        <v>64</v>
      </c>
      <c r="V3058" s="31" t="str">
        <f>IF(Tabla1[[#This Row],[Tiempo solución max (hrs)]]&lt;&gt;"",IF(Tabla1[[#This Row],[Tiempo solución max (hrs)]]&gt;=Tabla1[[#This Row],[Tiempo
(Hrs 00/100)]],"cumple","no cumple"),"")</f>
        <v>cumple</v>
      </c>
      <c r="W3058" s="376" t="s">
        <v>5372</v>
      </c>
      <c r="X3058" s="18" t="str">
        <f t="shared" si="231"/>
        <v>DS</v>
      </c>
      <c r="Y3058" t="str">
        <f>SUBSTITUTE(Tabla1[[#This Row],[Descripción]],CHAR(10),"    I    ")</f>
        <v xml:space="preserve">Desarrollo de formato de Prevención </v>
      </c>
      <c r="Z3058" s="112">
        <f>VLOOKUP(Tabla1[[#This Row],[Perfil]],Catalogos!$B$75:$D$100,3,FALSE)*Tabla1[[#This Row],[Tiempo
(Hrs 00/100)]]*1.16</f>
        <v>6901.9999999999991</v>
      </c>
    </row>
    <row r="3059" spans="1:27" ht="30" customHeight="1" x14ac:dyDescent="0.3">
      <c r="A3059" s="530" t="s">
        <v>22</v>
      </c>
      <c r="B3059" s="530" t="s">
        <v>23</v>
      </c>
      <c r="C3059" s="205" t="s">
        <v>155</v>
      </c>
      <c r="D3059" s="373"/>
      <c r="E3059" s="373" t="s">
        <v>375</v>
      </c>
      <c r="F3059" s="370" t="s">
        <v>23</v>
      </c>
      <c r="G3059" s="370" t="s">
        <v>5466</v>
      </c>
      <c r="H3059" s="461" t="s">
        <v>405</v>
      </c>
      <c r="I3059" s="405" t="s">
        <v>5454</v>
      </c>
      <c r="J3059" s="369">
        <v>45272</v>
      </c>
      <c r="K3059" s="747">
        <v>0.375</v>
      </c>
      <c r="L3059" s="369">
        <v>45272</v>
      </c>
      <c r="M3059" s="753">
        <v>0.79166666666666663</v>
      </c>
      <c r="N3059" s="210">
        <v>8.5</v>
      </c>
      <c r="O3059" s="184" t="s">
        <v>411</v>
      </c>
      <c r="P3059" s="810" t="s">
        <v>5426</v>
      </c>
      <c r="Q3059" s="541" t="s">
        <v>1120</v>
      </c>
      <c r="R3059" s="202" t="s">
        <v>40</v>
      </c>
      <c r="S3059" s="31" t="s">
        <v>273</v>
      </c>
      <c r="T3059" s="31" t="s">
        <v>273</v>
      </c>
      <c r="U3059" s="31">
        <f>IFERROR(VLOOKUP(CONCATENATE(Tabla1[[#This Row],[Severidad]]," ",Tabla1[[#This Row],[Complejidad]]),Catalogos!E$120:G$128,3,FALSE),"")</f>
        <v>64</v>
      </c>
      <c r="V3059" s="31" t="str">
        <f>IF(Tabla1[[#This Row],[Tiempo solución max (hrs)]]&lt;&gt;"",IF(Tabla1[[#This Row],[Tiempo solución max (hrs)]]&gt;=Tabla1[[#This Row],[Tiempo
(Hrs 00/100)]],"cumple","no cumple"),"")</f>
        <v>cumple</v>
      </c>
      <c r="W3059" s="376" t="s">
        <v>5372</v>
      </c>
      <c r="X3059" s="18" t="str">
        <f t="shared" si="231"/>
        <v>DS</v>
      </c>
      <c r="Y3059" t="str">
        <f>SUBSTITUTE(Tabla1[[#This Row],[Descripción]],CHAR(10),"    I    ")</f>
        <v xml:space="preserve">Desarrollo de formato de Desechamiento </v>
      </c>
      <c r="Z3059" s="112">
        <f>VLOOKUP(Tabla1[[#This Row],[Perfil]],Catalogos!$B$75:$D$100,3,FALSE)*Tabla1[[#This Row],[Tiempo
(Hrs 00/100)]]*1.16</f>
        <v>6901.9999999999991</v>
      </c>
    </row>
    <row r="3060" spans="1:27" ht="30" customHeight="1" x14ac:dyDescent="0.3">
      <c r="A3060" s="530" t="s">
        <v>22</v>
      </c>
      <c r="B3060" s="530" t="s">
        <v>23</v>
      </c>
      <c r="C3060" s="205" t="s">
        <v>155</v>
      </c>
      <c r="D3060" s="373"/>
      <c r="E3060" s="373" t="s">
        <v>375</v>
      </c>
      <c r="F3060" s="370" t="s">
        <v>23</v>
      </c>
      <c r="G3060" s="370" t="s">
        <v>5466</v>
      </c>
      <c r="H3060" s="461" t="s">
        <v>405</v>
      </c>
      <c r="I3060" s="405" t="s">
        <v>5454</v>
      </c>
      <c r="J3060" s="369">
        <v>45273</v>
      </c>
      <c r="K3060" s="747">
        <v>0.375</v>
      </c>
      <c r="L3060" s="369">
        <v>45273</v>
      </c>
      <c r="M3060" s="753">
        <v>0.79166666666666663</v>
      </c>
      <c r="N3060" s="210">
        <v>8.5</v>
      </c>
      <c r="O3060" s="184" t="s">
        <v>17</v>
      </c>
      <c r="P3060" s="810" t="s">
        <v>5426</v>
      </c>
      <c r="Q3060" s="541" t="s">
        <v>1120</v>
      </c>
      <c r="R3060" s="202" t="s">
        <v>40</v>
      </c>
      <c r="S3060" s="31" t="s">
        <v>273</v>
      </c>
      <c r="T3060" s="31" t="s">
        <v>273</v>
      </c>
      <c r="U3060" s="31">
        <f>IFERROR(VLOOKUP(CONCATENATE(Tabla1[[#This Row],[Severidad]]," ",Tabla1[[#This Row],[Complejidad]]),Catalogos!E$120:G$128,3,FALSE),"")</f>
        <v>64</v>
      </c>
      <c r="V3060" s="31" t="str">
        <f>IF(Tabla1[[#This Row],[Tiempo solución max (hrs)]]&lt;&gt;"",IF(Tabla1[[#This Row],[Tiempo solución max (hrs)]]&gt;=Tabla1[[#This Row],[Tiempo
(Hrs 00/100)]],"cumple","no cumple"),"")</f>
        <v>cumple</v>
      </c>
      <c r="W3060" s="376" t="s">
        <v>5372</v>
      </c>
      <c r="X3060" s="18" t="str">
        <f t="shared" si="231"/>
        <v>DS</v>
      </c>
      <c r="Y3060" t="str">
        <f>SUBSTITUTE(Tabla1[[#This Row],[Descripción]],CHAR(10),"    I    ")</f>
        <v xml:space="preserve">Desarrollo de formato de Desechamiento </v>
      </c>
      <c r="Z3060" s="112">
        <f>VLOOKUP(Tabla1[[#This Row],[Perfil]],Catalogos!$B$75:$D$100,3,FALSE)*Tabla1[[#This Row],[Tiempo
(Hrs 00/100)]]*1.16</f>
        <v>6901.9999999999991</v>
      </c>
    </row>
    <row r="3061" spans="1:27" ht="30" customHeight="1" x14ac:dyDescent="0.3">
      <c r="A3061" s="530" t="s">
        <v>22</v>
      </c>
      <c r="B3061" s="530" t="s">
        <v>23</v>
      </c>
      <c r="C3061" s="205" t="s">
        <v>155</v>
      </c>
      <c r="D3061" s="373"/>
      <c r="E3061" s="373" t="s">
        <v>375</v>
      </c>
      <c r="F3061" s="370" t="s">
        <v>23</v>
      </c>
      <c r="G3061" s="370" t="s">
        <v>5467</v>
      </c>
      <c r="H3061" s="461" t="s">
        <v>405</v>
      </c>
      <c r="I3061" s="405" t="s">
        <v>5455</v>
      </c>
      <c r="J3061" s="369">
        <v>45274</v>
      </c>
      <c r="K3061" s="747">
        <v>0.375</v>
      </c>
      <c r="L3061" s="369">
        <v>45274</v>
      </c>
      <c r="M3061" s="753">
        <v>0.79166666666666663</v>
      </c>
      <c r="N3061" s="210">
        <v>8.5</v>
      </c>
      <c r="O3061" s="184" t="s">
        <v>411</v>
      </c>
      <c r="P3061" s="810" t="s">
        <v>5426</v>
      </c>
      <c r="Q3061" s="541" t="s">
        <v>1120</v>
      </c>
      <c r="R3061" s="202" t="s">
        <v>40</v>
      </c>
      <c r="S3061" s="31" t="s">
        <v>273</v>
      </c>
      <c r="T3061" s="31" t="s">
        <v>273</v>
      </c>
      <c r="U3061" s="31">
        <f>IFERROR(VLOOKUP(CONCATENATE(Tabla1[[#This Row],[Severidad]]," ",Tabla1[[#This Row],[Complejidad]]),Catalogos!E$120:G$128,3,FALSE),"")</f>
        <v>64</v>
      </c>
      <c r="V3061" s="31" t="str">
        <f>IF(Tabla1[[#This Row],[Tiempo solución max (hrs)]]&lt;&gt;"",IF(Tabla1[[#This Row],[Tiempo solución max (hrs)]]&gt;=Tabla1[[#This Row],[Tiempo
(Hrs 00/100)]],"cumple","no cumple"),"")</f>
        <v>cumple</v>
      </c>
      <c r="W3061" s="376" t="s">
        <v>5372</v>
      </c>
      <c r="X3061" s="18" t="str">
        <f t="shared" si="231"/>
        <v>DS</v>
      </c>
      <c r="Y3061" t="str">
        <f>SUBSTITUTE(Tabla1[[#This Row],[Descripción]],CHAR(10),"    I    ")</f>
        <v>Desarrollo de reporte preparación de proyecto</v>
      </c>
      <c r="Z3061" s="112">
        <f>VLOOKUP(Tabla1[[#This Row],[Perfil]],Catalogos!$B$75:$D$100,3,FALSE)*Tabla1[[#This Row],[Tiempo
(Hrs 00/100)]]*1.16</f>
        <v>6901.9999999999991</v>
      </c>
    </row>
    <row r="3062" spans="1:27" ht="30" customHeight="1" x14ac:dyDescent="0.3">
      <c r="A3062" s="530" t="s">
        <v>22</v>
      </c>
      <c r="B3062" s="530" t="s">
        <v>23</v>
      </c>
      <c r="C3062" s="205" t="s">
        <v>155</v>
      </c>
      <c r="D3062" s="373"/>
      <c r="E3062" s="373" t="s">
        <v>375</v>
      </c>
      <c r="F3062" s="370" t="s">
        <v>23</v>
      </c>
      <c r="G3062" s="370" t="s">
        <v>5467</v>
      </c>
      <c r="H3062" s="461" t="s">
        <v>405</v>
      </c>
      <c r="I3062" s="405" t="s">
        <v>5455</v>
      </c>
      <c r="J3062" s="369">
        <v>45275</v>
      </c>
      <c r="K3062" s="747">
        <v>0.375</v>
      </c>
      <c r="L3062" s="369">
        <v>45275</v>
      </c>
      <c r="M3062" s="753">
        <v>0.79166666666666663</v>
      </c>
      <c r="N3062" s="210">
        <v>8.5</v>
      </c>
      <c r="O3062" s="184" t="s">
        <v>17</v>
      </c>
      <c r="P3062" s="810" t="s">
        <v>5426</v>
      </c>
      <c r="Q3062" s="541" t="s">
        <v>1120</v>
      </c>
      <c r="R3062" s="202" t="s">
        <v>40</v>
      </c>
      <c r="S3062" s="31" t="s">
        <v>273</v>
      </c>
      <c r="T3062" s="31" t="s">
        <v>273</v>
      </c>
      <c r="U3062" s="31">
        <f>IFERROR(VLOOKUP(CONCATENATE(Tabla1[[#This Row],[Severidad]]," ",Tabla1[[#This Row],[Complejidad]]),Catalogos!E$120:G$128,3,FALSE),"")</f>
        <v>64</v>
      </c>
      <c r="V3062" s="31" t="str">
        <f>IF(Tabla1[[#This Row],[Tiempo solución max (hrs)]]&lt;&gt;"",IF(Tabla1[[#This Row],[Tiempo solución max (hrs)]]&gt;=Tabla1[[#This Row],[Tiempo
(Hrs 00/100)]],"cumple","no cumple"),"")</f>
        <v>cumple</v>
      </c>
      <c r="W3062" s="376" t="s">
        <v>5372</v>
      </c>
      <c r="X3062" s="18" t="str">
        <f t="shared" si="231"/>
        <v>DS</v>
      </c>
      <c r="Y3062" t="str">
        <f>SUBSTITUTE(Tabla1[[#This Row],[Descripción]],CHAR(10),"    I    ")</f>
        <v>Desarrollo de reporte preparación de proyecto</v>
      </c>
      <c r="Z3062" s="112">
        <f>VLOOKUP(Tabla1[[#This Row],[Perfil]],Catalogos!$B$75:$D$100,3,FALSE)*Tabla1[[#This Row],[Tiempo
(Hrs 00/100)]]*1.16</f>
        <v>6901.9999999999991</v>
      </c>
    </row>
    <row r="3063" spans="1:27" ht="30" customHeight="1" x14ac:dyDescent="0.3">
      <c r="A3063" s="530" t="s">
        <v>22</v>
      </c>
      <c r="B3063" s="530" t="s">
        <v>23</v>
      </c>
      <c r="C3063" s="205" t="s">
        <v>155</v>
      </c>
      <c r="D3063" s="373"/>
      <c r="E3063" s="373" t="s">
        <v>375</v>
      </c>
      <c r="F3063" s="370" t="s">
        <v>23</v>
      </c>
      <c r="G3063" s="370" t="s">
        <v>5468</v>
      </c>
      <c r="H3063" s="461" t="s">
        <v>405</v>
      </c>
      <c r="I3063" s="405" t="s">
        <v>5456</v>
      </c>
      <c r="J3063" s="369">
        <v>45278</v>
      </c>
      <c r="K3063" s="747">
        <v>0.375</v>
      </c>
      <c r="L3063" s="369">
        <v>45278</v>
      </c>
      <c r="M3063" s="753">
        <v>0.79166666666666663</v>
      </c>
      <c r="N3063" s="210">
        <v>8.5</v>
      </c>
      <c r="O3063" s="184" t="s">
        <v>411</v>
      </c>
      <c r="P3063" s="810" t="s">
        <v>5426</v>
      </c>
      <c r="Q3063" s="541" t="s">
        <v>1120</v>
      </c>
      <c r="R3063" s="202" t="s">
        <v>40</v>
      </c>
      <c r="S3063" s="31" t="s">
        <v>273</v>
      </c>
      <c r="T3063" s="31" t="s">
        <v>273</v>
      </c>
      <c r="U3063" s="31">
        <f>IFERROR(VLOOKUP(CONCATENATE(Tabla1[[#This Row],[Severidad]]," ",Tabla1[[#This Row],[Complejidad]]),Catalogos!E$120:G$128,3,FALSE),"")</f>
        <v>64</v>
      </c>
      <c r="V3063" s="31" t="str">
        <f>IF(Tabla1[[#This Row],[Tiempo solución max (hrs)]]&lt;&gt;"",IF(Tabla1[[#This Row],[Tiempo solución max (hrs)]]&gt;=Tabla1[[#This Row],[Tiempo
(Hrs 00/100)]],"cumple","no cumple"),"")</f>
        <v>cumple</v>
      </c>
      <c r="W3063" s="376" t="s">
        <v>5372</v>
      </c>
      <c r="X3063" s="18" t="str">
        <f t="shared" si="231"/>
        <v>DS</v>
      </c>
      <c r="Y3063" t="str">
        <f>SUBSTITUTE(Tabla1[[#This Row],[Descripción]],CHAR(10),"    I    ")</f>
        <v>Modificar Objetos Java (Servicios y persistencia) para obtención de datos de plantillas</v>
      </c>
      <c r="Z3063" s="112">
        <f>VLOOKUP(Tabla1[[#This Row],[Perfil]],Catalogos!$B$75:$D$100,3,FALSE)*Tabla1[[#This Row],[Tiempo
(Hrs 00/100)]]*1.16</f>
        <v>6901.9999999999991</v>
      </c>
    </row>
    <row r="3064" spans="1:27" ht="30" customHeight="1" x14ac:dyDescent="0.3">
      <c r="A3064" s="530" t="s">
        <v>22</v>
      </c>
      <c r="B3064" s="530" t="s">
        <v>23</v>
      </c>
      <c r="C3064" s="205" t="s">
        <v>155</v>
      </c>
      <c r="D3064" s="373"/>
      <c r="E3064" s="373" t="s">
        <v>375</v>
      </c>
      <c r="F3064" s="370" t="s">
        <v>23</v>
      </c>
      <c r="G3064" s="370" t="s">
        <v>5469</v>
      </c>
      <c r="H3064" s="461" t="s">
        <v>405</v>
      </c>
      <c r="I3064" s="405" t="s">
        <v>5456</v>
      </c>
      <c r="J3064" s="369">
        <v>45279</v>
      </c>
      <c r="K3064" s="747">
        <v>0.375</v>
      </c>
      <c r="L3064" s="369">
        <v>45279</v>
      </c>
      <c r="M3064" s="753">
        <v>0.79166666666666663</v>
      </c>
      <c r="N3064" s="210">
        <v>8.5</v>
      </c>
      <c r="O3064" s="184" t="s">
        <v>17</v>
      </c>
      <c r="P3064" s="810" t="s">
        <v>5426</v>
      </c>
      <c r="Q3064" s="541" t="s">
        <v>1120</v>
      </c>
      <c r="R3064" s="202" t="s">
        <v>40</v>
      </c>
      <c r="S3064" s="31" t="s">
        <v>273</v>
      </c>
      <c r="T3064" s="31" t="s">
        <v>273</v>
      </c>
      <c r="U3064" s="31">
        <f>IFERROR(VLOOKUP(CONCATENATE(Tabla1[[#This Row],[Severidad]]," ",Tabla1[[#This Row],[Complejidad]]),Catalogos!E$120:G$128,3,FALSE),"")</f>
        <v>64</v>
      </c>
      <c r="V3064" s="31" t="str">
        <f>IF(Tabla1[[#This Row],[Tiempo solución max (hrs)]]&lt;&gt;"",IF(Tabla1[[#This Row],[Tiempo solución max (hrs)]]&gt;=Tabla1[[#This Row],[Tiempo
(Hrs 00/100)]],"cumple","no cumple"),"")</f>
        <v>cumple</v>
      </c>
      <c r="W3064" s="376" t="s">
        <v>5372</v>
      </c>
      <c r="X3064" s="18" t="str">
        <f t="shared" si="231"/>
        <v>DS</v>
      </c>
      <c r="Y3064" t="str">
        <f>SUBSTITUTE(Tabla1[[#This Row],[Descripción]],CHAR(10),"    I    ")</f>
        <v>Modificar Objetos Java (Servicios y persistencia) para obtención de datos de plantillas</v>
      </c>
      <c r="Z3064" s="112">
        <f>VLOOKUP(Tabla1[[#This Row],[Perfil]],Catalogos!$B$75:$D$100,3,FALSE)*Tabla1[[#This Row],[Tiempo
(Hrs 00/100)]]*1.16</f>
        <v>6901.9999999999991</v>
      </c>
    </row>
    <row r="3065" spans="1:27" ht="30" customHeight="1" x14ac:dyDescent="0.3">
      <c r="A3065" s="530" t="s">
        <v>22</v>
      </c>
      <c r="B3065" s="530" t="s">
        <v>23</v>
      </c>
      <c r="C3065" s="205" t="s">
        <v>155</v>
      </c>
      <c r="D3065" s="373"/>
      <c r="E3065" s="373" t="s">
        <v>375</v>
      </c>
      <c r="F3065" s="370" t="s">
        <v>23</v>
      </c>
      <c r="G3065" s="370" t="s">
        <v>5470</v>
      </c>
      <c r="H3065" s="461" t="s">
        <v>405</v>
      </c>
      <c r="I3065" s="405" t="s">
        <v>5457</v>
      </c>
      <c r="J3065" s="369">
        <v>45280</v>
      </c>
      <c r="K3065" s="747">
        <v>0.375</v>
      </c>
      <c r="L3065" s="369">
        <v>45280</v>
      </c>
      <c r="M3065" s="753">
        <v>0.79166666666666663</v>
      </c>
      <c r="N3065" s="210">
        <v>8.5</v>
      </c>
      <c r="O3065" s="184" t="s">
        <v>17</v>
      </c>
      <c r="P3065" s="810" t="s">
        <v>5426</v>
      </c>
      <c r="Q3065" s="541" t="s">
        <v>1120</v>
      </c>
      <c r="R3065" s="202" t="s">
        <v>40</v>
      </c>
      <c r="S3065" s="31" t="s">
        <v>273</v>
      </c>
      <c r="T3065" s="31" t="s">
        <v>273</v>
      </c>
      <c r="U3065" s="31">
        <f>IFERROR(VLOOKUP(CONCATENATE(Tabla1[[#This Row],[Severidad]]," ",Tabla1[[#This Row],[Complejidad]]),Catalogos!E$120:G$128,3,FALSE),"")</f>
        <v>64</v>
      </c>
      <c r="V3065" s="31" t="str">
        <f>IF(Tabla1[[#This Row],[Tiempo solución max (hrs)]]&lt;&gt;"",IF(Tabla1[[#This Row],[Tiempo solución max (hrs)]]&gt;=Tabla1[[#This Row],[Tiempo
(Hrs 00/100)]],"cumple","no cumple"),"")</f>
        <v>cumple</v>
      </c>
      <c r="W3065" s="376" t="s">
        <v>5372</v>
      </c>
      <c r="X3065" s="18" t="str">
        <f t="shared" si="231"/>
        <v>DS</v>
      </c>
      <c r="Y3065" t="str">
        <f>SUBSTITUTE(Tabla1[[#This Row],[Descripción]],CHAR(10),"    I    ")</f>
        <v xml:space="preserve">Modificar tabla "medi_tc_plant_acuerdo_conf" para importación de plantillas </v>
      </c>
      <c r="Z3065" s="112">
        <f>VLOOKUP(Tabla1[[#This Row],[Perfil]],Catalogos!$B$75:$D$100,3,FALSE)*Tabla1[[#This Row],[Tiempo
(Hrs 00/100)]]*1.16</f>
        <v>6901.9999999999991</v>
      </c>
    </row>
    <row r="3066" spans="1:27" ht="30" customHeight="1" x14ac:dyDescent="0.3">
      <c r="A3066" s="530" t="s">
        <v>22</v>
      </c>
      <c r="B3066" s="530" t="s">
        <v>23</v>
      </c>
      <c r="C3066" s="205" t="s">
        <v>155</v>
      </c>
      <c r="D3066" s="373"/>
      <c r="E3066" s="373" t="s">
        <v>375</v>
      </c>
      <c r="F3066" s="370" t="s">
        <v>23</v>
      </c>
      <c r="G3066" s="370" t="s">
        <v>5471</v>
      </c>
      <c r="H3066" s="461" t="s">
        <v>405</v>
      </c>
      <c r="I3066" s="405" t="s">
        <v>5458</v>
      </c>
      <c r="J3066" s="369">
        <v>45281</v>
      </c>
      <c r="K3066" s="747">
        <v>0.375</v>
      </c>
      <c r="L3066" s="369">
        <v>45281</v>
      </c>
      <c r="M3066" s="753">
        <v>0.79166666666666663</v>
      </c>
      <c r="N3066" s="210">
        <v>8.5</v>
      </c>
      <c r="O3066" s="184" t="s">
        <v>17</v>
      </c>
      <c r="P3066" s="810" t="s">
        <v>5426</v>
      </c>
      <c r="Q3066" s="541" t="s">
        <v>1120</v>
      </c>
      <c r="R3066" s="202" t="s">
        <v>40</v>
      </c>
      <c r="S3066" s="31" t="s">
        <v>273</v>
      </c>
      <c r="T3066" s="31" t="s">
        <v>273</v>
      </c>
      <c r="U3066" s="31">
        <f>IFERROR(VLOOKUP(CONCATENATE(Tabla1[[#This Row],[Severidad]]," ",Tabla1[[#This Row],[Complejidad]]),Catalogos!E$120:G$128,3,FALSE),"")</f>
        <v>64</v>
      </c>
      <c r="V3066" s="31" t="str">
        <f>IF(Tabla1[[#This Row],[Tiempo solución max (hrs)]]&lt;&gt;"",IF(Tabla1[[#This Row],[Tiempo solución max (hrs)]]&gt;=Tabla1[[#This Row],[Tiempo
(Hrs 00/100)]],"cumple","no cumple"),"")</f>
        <v>cumple</v>
      </c>
      <c r="W3066" s="376" t="s">
        <v>5372</v>
      </c>
      <c r="X3066" s="18" t="str">
        <f t="shared" si="231"/>
        <v>DS</v>
      </c>
      <c r="Y3066" t="str">
        <f>SUBSTITUTE(Tabla1[[#This Row],[Descripción]],CHAR(10),"    I    ")</f>
        <v>Modificar las tablas MEDI_TC_MENU_ROL y MEDI_TC_PANTALLA_ROL para permisos a los roles que podran descargar Plantilla Desechamiento y Preparacion Resolucion</v>
      </c>
      <c r="Z3066" s="112">
        <f>VLOOKUP(Tabla1[[#This Row],[Perfil]],Catalogos!$B$75:$D$100,3,FALSE)*Tabla1[[#This Row],[Tiempo
(Hrs 00/100)]]*1.16</f>
        <v>6901.9999999999991</v>
      </c>
    </row>
    <row r="3067" spans="1:27" ht="30" customHeight="1" x14ac:dyDescent="0.3">
      <c r="A3067" s="530" t="s">
        <v>22</v>
      </c>
      <c r="B3067" s="530" t="s">
        <v>23</v>
      </c>
      <c r="C3067" s="205" t="s">
        <v>155</v>
      </c>
      <c r="D3067" s="373"/>
      <c r="E3067" s="373" t="s">
        <v>375</v>
      </c>
      <c r="F3067" s="370" t="s">
        <v>23</v>
      </c>
      <c r="G3067" s="370" t="s">
        <v>5472</v>
      </c>
      <c r="H3067" s="461" t="s">
        <v>405</v>
      </c>
      <c r="I3067" s="405" t="s">
        <v>5459</v>
      </c>
      <c r="J3067" s="369">
        <v>45282</v>
      </c>
      <c r="K3067" s="747">
        <v>0.375</v>
      </c>
      <c r="L3067" s="369">
        <v>45282</v>
      </c>
      <c r="M3067" s="753">
        <v>0.79166666666666663</v>
      </c>
      <c r="N3067" s="210">
        <v>8.5</v>
      </c>
      <c r="O3067" s="184" t="s">
        <v>17</v>
      </c>
      <c r="P3067" s="810" t="s">
        <v>5426</v>
      </c>
      <c r="Q3067" s="541" t="s">
        <v>1120</v>
      </c>
      <c r="R3067" s="202" t="s">
        <v>40</v>
      </c>
      <c r="S3067" s="31" t="s">
        <v>273</v>
      </c>
      <c r="T3067" s="31" t="s">
        <v>273</v>
      </c>
      <c r="U3067" s="31">
        <f>IFERROR(VLOOKUP(CONCATENATE(Tabla1[[#This Row],[Severidad]]," ",Tabla1[[#This Row],[Complejidad]]),Catalogos!E$120:G$128,3,FALSE),"")</f>
        <v>64</v>
      </c>
      <c r="V3067" s="31" t="str">
        <f>IF(Tabla1[[#This Row],[Tiempo solución max (hrs)]]&lt;&gt;"",IF(Tabla1[[#This Row],[Tiempo solución max (hrs)]]&gt;=Tabla1[[#This Row],[Tiempo
(Hrs 00/100)]],"cumple","no cumple"),"")</f>
        <v>cumple</v>
      </c>
      <c r="W3067" s="376" t="s">
        <v>5372</v>
      </c>
      <c r="X3067" s="18" t="str">
        <f t="shared" si="231"/>
        <v>DS</v>
      </c>
      <c r="Y3067" t="str">
        <f>SUBSTITUTE(Tabla1[[#This Row],[Descripción]],CHAR(10),"    I    ")</f>
        <v>Recuperar fechas de SISAI (ultima respuesta y limite respuesta) y agregar los dias requeridos para mostrar en plantilla desechamiento en el Service</v>
      </c>
      <c r="Z3067" s="112">
        <f>VLOOKUP(Tabla1[[#This Row],[Perfil]],Catalogos!$B$75:$D$100,3,FALSE)*Tabla1[[#This Row],[Tiempo
(Hrs 00/100)]]*1.16</f>
        <v>6901.9999999999991</v>
      </c>
    </row>
    <row r="3068" spans="1:27" ht="30" customHeight="1" x14ac:dyDescent="0.3">
      <c r="A3068" s="530" t="s">
        <v>22</v>
      </c>
      <c r="B3068" s="530" t="s">
        <v>23</v>
      </c>
      <c r="C3068" s="205" t="s">
        <v>155</v>
      </c>
      <c r="D3068" s="373"/>
      <c r="E3068" s="373" t="s">
        <v>375</v>
      </c>
      <c r="F3068" s="370" t="s">
        <v>23</v>
      </c>
      <c r="G3068" s="370" t="s">
        <v>5473</v>
      </c>
      <c r="H3068" s="461" t="s">
        <v>405</v>
      </c>
      <c r="I3068" s="405" t="s">
        <v>5460</v>
      </c>
      <c r="J3068" s="369">
        <v>45286</v>
      </c>
      <c r="K3068" s="747">
        <v>0.375</v>
      </c>
      <c r="L3068" s="369">
        <v>45286</v>
      </c>
      <c r="M3068" s="753">
        <v>0.79166666666666663</v>
      </c>
      <c r="N3068" s="210">
        <v>8.5</v>
      </c>
      <c r="O3068" s="184" t="s">
        <v>411</v>
      </c>
      <c r="P3068" s="810" t="s">
        <v>5426</v>
      </c>
      <c r="Q3068" s="541" t="s">
        <v>1120</v>
      </c>
      <c r="R3068" s="202" t="s">
        <v>40</v>
      </c>
      <c r="S3068" s="31" t="s">
        <v>273</v>
      </c>
      <c r="T3068" s="31" t="s">
        <v>273</v>
      </c>
      <c r="U3068" s="31">
        <f>IFERROR(VLOOKUP(CONCATENATE(Tabla1[[#This Row],[Severidad]]," ",Tabla1[[#This Row],[Complejidad]]),Catalogos!E$120:G$128,3,FALSE),"")</f>
        <v>64</v>
      </c>
      <c r="V3068" s="31" t="str">
        <f>IF(Tabla1[[#This Row],[Tiempo solución max (hrs)]]&lt;&gt;"",IF(Tabla1[[#This Row],[Tiempo solución max (hrs)]]&gt;=Tabla1[[#This Row],[Tiempo
(Hrs 00/100)]],"cumple","no cumple"),"")</f>
        <v>cumple</v>
      </c>
      <c r="W3068" s="376" t="s">
        <v>5372</v>
      </c>
      <c r="X3068" s="18" t="str">
        <f t="shared" si="231"/>
        <v>DS</v>
      </c>
      <c r="Y3068" t="str">
        <f>SUBSTITUTE(Tabla1[[#This Row],[Descripción]],CHAR(10),"    I    ")</f>
        <v xml:space="preserve">Modificar Servicios para incorporar la plantilla Desechamiento en el Modulo de Generacion de Acuerdos </v>
      </c>
      <c r="Z3068" s="112">
        <f>VLOOKUP(Tabla1[[#This Row],[Perfil]],Catalogos!$B$75:$D$100,3,FALSE)*Tabla1[[#This Row],[Tiempo
(Hrs 00/100)]]*1.16</f>
        <v>6901.9999999999991</v>
      </c>
    </row>
    <row r="3069" spans="1:27" ht="30" customHeight="1" x14ac:dyDescent="0.3">
      <c r="A3069" s="530" t="s">
        <v>22</v>
      </c>
      <c r="B3069" s="530" t="s">
        <v>23</v>
      </c>
      <c r="C3069" s="205" t="s">
        <v>155</v>
      </c>
      <c r="D3069" s="373"/>
      <c r="E3069" s="373" t="s">
        <v>375</v>
      </c>
      <c r="F3069" s="370" t="s">
        <v>23</v>
      </c>
      <c r="G3069" s="370" t="s">
        <v>5473</v>
      </c>
      <c r="H3069" s="461" t="s">
        <v>405</v>
      </c>
      <c r="I3069" s="405" t="s">
        <v>5460</v>
      </c>
      <c r="J3069" s="369">
        <v>45287</v>
      </c>
      <c r="K3069" s="747">
        <v>0.375</v>
      </c>
      <c r="L3069" s="369">
        <v>45287</v>
      </c>
      <c r="M3069" s="753">
        <v>0.79166666666666663</v>
      </c>
      <c r="N3069" s="210">
        <v>8.5</v>
      </c>
      <c r="O3069" s="184" t="s">
        <v>17</v>
      </c>
      <c r="P3069" s="810" t="s">
        <v>5426</v>
      </c>
      <c r="Q3069" s="541" t="s">
        <v>1120</v>
      </c>
      <c r="R3069" s="202" t="s">
        <v>40</v>
      </c>
      <c r="S3069" s="31" t="s">
        <v>273</v>
      </c>
      <c r="T3069" s="31" t="s">
        <v>273</v>
      </c>
      <c r="U3069" s="31">
        <f>IFERROR(VLOOKUP(CONCATENATE(Tabla1[[#This Row],[Severidad]]," ",Tabla1[[#This Row],[Complejidad]]),Catalogos!E$120:G$128,3,FALSE),"")</f>
        <v>64</v>
      </c>
      <c r="V3069" s="31" t="str">
        <f>IF(Tabla1[[#This Row],[Tiempo solución max (hrs)]]&lt;&gt;"",IF(Tabla1[[#This Row],[Tiempo solución max (hrs)]]&gt;=Tabla1[[#This Row],[Tiempo
(Hrs 00/100)]],"cumple","no cumple"),"")</f>
        <v>cumple</v>
      </c>
      <c r="W3069" s="376" t="s">
        <v>5372</v>
      </c>
      <c r="X3069" s="18" t="str">
        <f t="shared" si="231"/>
        <v>DS</v>
      </c>
      <c r="Y3069" t="str">
        <f>SUBSTITUTE(Tabla1[[#This Row],[Descripción]],CHAR(10),"    I    ")</f>
        <v xml:space="preserve">Modificar Servicios para incorporar la plantilla Desechamiento en el Modulo de Generacion de Acuerdos </v>
      </c>
      <c r="Z3069" s="112">
        <f>VLOOKUP(Tabla1[[#This Row],[Perfil]],Catalogos!$B$75:$D$100,3,FALSE)*Tabla1[[#This Row],[Tiempo
(Hrs 00/100)]]*1.16</f>
        <v>6901.9999999999991</v>
      </c>
    </row>
    <row r="3070" spans="1:27" ht="30" customHeight="1" x14ac:dyDescent="0.3">
      <c r="A3070" s="530" t="s">
        <v>22</v>
      </c>
      <c r="B3070" s="530" t="s">
        <v>23</v>
      </c>
      <c r="C3070" s="205" t="s">
        <v>155</v>
      </c>
      <c r="D3070" s="373"/>
      <c r="E3070" s="373" t="s">
        <v>375</v>
      </c>
      <c r="F3070" s="370" t="s">
        <v>23</v>
      </c>
      <c r="G3070" s="370" t="s">
        <v>5474</v>
      </c>
      <c r="H3070" s="461" t="s">
        <v>405</v>
      </c>
      <c r="I3070" s="405" t="s">
        <v>5461</v>
      </c>
      <c r="J3070" s="369">
        <v>45288</v>
      </c>
      <c r="K3070" s="747">
        <v>0.375</v>
      </c>
      <c r="L3070" s="369">
        <v>45288</v>
      </c>
      <c r="M3070" s="753">
        <v>0.79166666666666663</v>
      </c>
      <c r="N3070" s="210">
        <v>8.5</v>
      </c>
      <c r="O3070" s="184" t="s">
        <v>411</v>
      </c>
      <c r="P3070" s="810" t="s">
        <v>5426</v>
      </c>
      <c r="Q3070" s="541" t="s">
        <v>1120</v>
      </c>
      <c r="R3070" s="202" t="s">
        <v>40</v>
      </c>
      <c r="S3070" s="31" t="s">
        <v>273</v>
      </c>
      <c r="T3070" s="31" t="s">
        <v>273</v>
      </c>
      <c r="U3070" s="31">
        <f>IFERROR(VLOOKUP(CONCATENATE(Tabla1[[#This Row],[Severidad]]," ",Tabla1[[#This Row],[Complejidad]]),Catalogos!E$120:G$128,3,FALSE),"")</f>
        <v>64</v>
      </c>
      <c r="V3070" s="31" t="str">
        <f>IF(Tabla1[[#This Row],[Tiempo solución max (hrs)]]&lt;&gt;"",IF(Tabla1[[#This Row],[Tiempo solución max (hrs)]]&gt;=Tabla1[[#This Row],[Tiempo
(Hrs 00/100)]],"cumple","no cumple"),"")</f>
        <v>cumple</v>
      </c>
      <c r="W3070" s="376" t="s">
        <v>5372</v>
      </c>
      <c r="X3070" s="18" t="str">
        <f t="shared" si="231"/>
        <v>DS</v>
      </c>
      <c r="Y3070" t="str">
        <f>SUBSTITUTE(Tabla1[[#This Row],[Descripción]],CHAR(10),"    I    ")</f>
        <v xml:space="preserve">Modificar Servisios para la plantilla de Preparacion de Resolucion e incorporarla en el Modulo de Generación de Acuerdos </v>
      </c>
      <c r="Z3070" s="112">
        <f>VLOOKUP(Tabla1[[#This Row],[Perfil]],Catalogos!$B$75:$D$100,3,FALSE)*Tabla1[[#This Row],[Tiempo
(Hrs 00/100)]]*1.16</f>
        <v>6901.9999999999991</v>
      </c>
    </row>
    <row r="3071" spans="1:27" ht="30" customHeight="1" x14ac:dyDescent="0.3">
      <c r="A3071" s="530" t="s">
        <v>22</v>
      </c>
      <c r="B3071" s="530" t="s">
        <v>23</v>
      </c>
      <c r="C3071" s="205" t="s">
        <v>155</v>
      </c>
      <c r="D3071" s="373"/>
      <c r="E3071" s="373" t="s">
        <v>375</v>
      </c>
      <c r="F3071" s="370" t="s">
        <v>23</v>
      </c>
      <c r="G3071" s="370" t="s">
        <v>5474</v>
      </c>
      <c r="H3071" s="461" t="s">
        <v>405</v>
      </c>
      <c r="I3071" s="405" t="s">
        <v>5461</v>
      </c>
      <c r="J3071" s="369">
        <v>45289</v>
      </c>
      <c r="K3071" s="747">
        <v>0.375</v>
      </c>
      <c r="L3071" s="369">
        <v>45289</v>
      </c>
      <c r="M3071" s="753">
        <v>0.625</v>
      </c>
      <c r="N3071" s="210">
        <v>6</v>
      </c>
      <c r="O3071" s="184" t="s">
        <v>17</v>
      </c>
      <c r="P3071" s="810" t="s">
        <v>5426</v>
      </c>
      <c r="Q3071" s="541" t="s">
        <v>1120</v>
      </c>
      <c r="R3071" s="202" t="s">
        <v>40</v>
      </c>
      <c r="S3071" s="31" t="s">
        <v>273</v>
      </c>
      <c r="T3071" s="31" t="s">
        <v>273</v>
      </c>
      <c r="U3071" s="31">
        <f>IFERROR(VLOOKUP(CONCATENATE(Tabla1[[#This Row],[Severidad]]," ",Tabla1[[#This Row],[Complejidad]]),Catalogos!E$120:G$128,3,FALSE),"")</f>
        <v>64</v>
      </c>
      <c r="V3071" s="31" t="str">
        <f>IF(Tabla1[[#This Row],[Tiempo solución max (hrs)]]&lt;&gt;"",IF(Tabla1[[#This Row],[Tiempo solución max (hrs)]]&gt;=Tabla1[[#This Row],[Tiempo
(Hrs 00/100)]],"cumple","no cumple"),"")</f>
        <v>cumple</v>
      </c>
      <c r="W3071" s="376" t="s">
        <v>5372</v>
      </c>
      <c r="X3071" s="18" t="str">
        <f t="shared" si="231"/>
        <v>DS</v>
      </c>
      <c r="Y3071" t="str">
        <f>SUBSTITUTE(Tabla1[[#This Row],[Descripción]],CHAR(10),"    I    ")</f>
        <v xml:space="preserve">Modificar Servisios para la plantilla de Preparacion de Resolucion e incorporarla en el Modulo de Generación de Acuerdos </v>
      </c>
      <c r="Z3071" s="112">
        <f>VLOOKUP(Tabla1[[#This Row],[Perfil]],Catalogos!$B$75:$D$100,3,FALSE)*Tabla1[[#This Row],[Tiempo
(Hrs 00/100)]]*1.16</f>
        <v>4872</v>
      </c>
    </row>
    <row r="3072" spans="1:27" ht="30" customHeight="1" x14ac:dyDescent="0.3">
      <c r="A3072" s="203" t="s">
        <v>22</v>
      </c>
      <c r="B3072" s="204" t="s">
        <v>305</v>
      </c>
      <c r="C3072" s="205" t="s">
        <v>16</v>
      </c>
      <c r="D3072" s="206"/>
      <c r="E3072" s="203" t="s">
        <v>3699</v>
      </c>
      <c r="F3072" s="203" t="s">
        <v>23</v>
      </c>
      <c r="G3072" s="198" t="s">
        <v>5506</v>
      </c>
      <c r="H3072" s="207" t="s">
        <v>5477</v>
      </c>
      <c r="I3072" s="208" t="s">
        <v>5484</v>
      </c>
      <c r="J3072" s="369">
        <v>45261</v>
      </c>
      <c r="K3072" s="747">
        <v>0.375</v>
      </c>
      <c r="L3072" s="369">
        <v>45261</v>
      </c>
      <c r="M3072" s="753">
        <v>0.625</v>
      </c>
      <c r="N3072" s="210">
        <v>6</v>
      </c>
      <c r="O3072" s="204" t="s">
        <v>411</v>
      </c>
      <c r="P3072" s="197" t="s">
        <v>5482</v>
      </c>
      <c r="Q3072" s="144" t="s">
        <v>5374</v>
      </c>
      <c r="R3072" s="209" t="s">
        <v>37</v>
      </c>
      <c r="S3072" s="31" t="s">
        <v>273</v>
      </c>
      <c r="T3072" s="31" t="s">
        <v>273</v>
      </c>
      <c r="U3072" s="31">
        <f>IFERROR(VLOOKUP(CONCATENATE(Tabla1[[#This Row],[Severidad]]," ",Tabla1[[#This Row],[Complejidad]]),Catalogos!E$120:G$128,3,FALSE),"")</f>
        <v>64</v>
      </c>
      <c r="V3072" s="31" t="str">
        <f>IF(Tabla1[[#This Row],[Tiempo solución max (hrs)]]&lt;&gt;"",IF(Tabla1[[#This Row],[Tiempo solución max (hrs)]]&gt;=Tabla1[[#This Row],[Tiempo
(Hrs 00/100)]],"cumple","no cumple"),"")</f>
        <v>cumple</v>
      </c>
      <c r="W3072" s="376" t="s">
        <v>5372</v>
      </c>
      <c r="X3072" s="18" t="str">
        <f t="shared" ref="X3072:X3080" si="232">IF(C3072&lt;&gt;"",C3072,D3072)</f>
        <v>SAW</v>
      </c>
      <c r="Y3072" t="str">
        <f>SUBSTITUTE(Tabla1[[#This Row],[Descripción]],CHAR(10),"    I    ")</f>
        <v>Se hace la carga del sitio por FTP</v>
      </c>
      <c r="Z3072" s="112">
        <f>VLOOKUP(Tabla1[[#This Row],[Perfil]],Catalogos!$B$75:$D$100,3,FALSE)*Tabla1[[#This Row],[Tiempo
(Hrs 00/100)]]*1.16</f>
        <v>3132</v>
      </c>
      <c r="AA3072" t="s">
        <v>3356</v>
      </c>
    </row>
    <row r="3073" spans="1:27" ht="30" customHeight="1" x14ac:dyDescent="0.3">
      <c r="A3073" s="198" t="s">
        <v>22</v>
      </c>
      <c r="B3073" s="198" t="s">
        <v>305</v>
      </c>
      <c r="C3073" s="205" t="s">
        <v>16</v>
      </c>
      <c r="D3073" s="198"/>
      <c r="E3073" s="198" t="s">
        <v>3699</v>
      </c>
      <c r="F3073" s="198" t="s">
        <v>23</v>
      </c>
      <c r="G3073" s="198" t="s">
        <v>5506</v>
      </c>
      <c r="H3073" s="207" t="s">
        <v>5477</v>
      </c>
      <c r="I3073" s="208" t="s">
        <v>5484</v>
      </c>
      <c r="J3073" s="369">
        <v>45264</v>
      </c>
      <c r="K3073" s="747">
        <v>0.375</v>
      </c>
      <c r="L3073" s="369">
        <v>45264</v>
      </c>
      <c r="M3073" s="753">
        <v>0.60416666666666663</v>
      </c>
      <c r="N3073" s="187">
        <v>5.5</v>
      </c>
      <c r="O3073" s="204" t="s">
        <v>17</v>
      </c>
      <c r="P3073" s="197" t="s">
        <v>5482</v>
      </c>
      <c r="Q3073" s="144" t="s">
        <v>5374</v>
      </c>
      <c r="R3073" s="202" t="s">
        <v>37</v>
      </c>
      <c r="S3073" s="31" t="s">
        <v>273</v>
      </c>
      <c r="T3073" s="31" t="s">
        <v>273</v>
      </c>
      <c r="U3073" s="31">
        <f>IFERROR(VLOOKUP(CONCATENATE(Tabla1[[#This Row],[Severidad]]," ",Tabla1[[#This Row],[Complejidad]]),Catalogos!E$120:G$128,3,FALSE),"")</f>
        <v>64</v>
      </c>
      <c r="V3073" s="31" t="str">
        <f>IF(Tabla1[[#This Row],[Tiempo solución max (hrs)]]&lt;&gt;"",IF(Tabla1[[#This Row],[Tiempo solución max (hrs)]]&gt;=Tabla1[[#This Row],[Tiempo
(Hrs 00/100)]],"cumple","no cumple"),"")</f>
        <v>cumple</v>
      </c>
      <c r="W3073" s="376" t="s">
        <v>5372</v>
      </c>
      <c r="X3073" s="18" t="str">
        <f t="shared" si="232"/>
        <v>SAW</v>
      </c>
      <c r="Y3073" t="str">
        <f>SUBSTITUTE(Tabla1[[#This Row],[Descripción]],CHAR(10),"    I    ")</f>
        <v>Se hace la carga del sitio por FTP</v>
      </c>
      <c r="Z3073" s="112">
        <f>VLOOKUP(Tabla1[[#This Row],[Perfil]],Catalogos!$B$75:$D$100,3,FALSE)*Tabla1[[#This Row],[Tiempo
(Hrs 00/100)]]*1.16</f>
        <v>2871</v>
      </c>
      <c r="AA3073" t="s">
        <v>3356</v>
      </c>
    </row>
    <row r="3074" spans="1:27" ht="30" customHeight="1" x14ac:dyDescent="0.3">
      <c r="A3074" s="198" t="s">
        <v>22</v>
      </c>
      <c r="B3074" s="198" t="s">
        <v>305</v>
      </c>
      <c r="C3074" s="200" t="s">
        <v>16</v>
      </c>
      <c r="D3074" s="198"/>
      <c r="E3074" s="198" t="s">
        <v>3699</v>
      </c>
      <c r="F3074" s="198" t="s">
        <v>23</v>
      </c>
      <c r="G3074" s="198" t="s">
        <v>5507</v>
      </c>
      <c r="H3074" s="207" t="s">
        <v>5477</v>
      </c>
      <c r="I3074" s="208" t="s">
        <v>5483</v>
      </c>
      <c r="J3074" s="369">
        <v>45264</v>
      </c>
      <c r="K3074" s="747">
        <v>0.66666666666666663</v>
      </c>
      <c r="L3074" s="369">
        <v>45264</v>
      </c>
      <c r="M3074" s="753">
        <v>0.79166666666666663</v>
      </c>
      <c r="N3074" s="187">
        <v>3</v>
      </c>
      <c r="O3074" s="204" t="s">
        <v>17</v>
      </c>
      <c r="P3074" s="197" t="s">
        <v>5482</v>
      </c>
      <c r="Q3074" s="144" t="s">
        <v>5374</v>
      </c>
      <c r="R3074" s="202" t="s">
        <v>37</v>
      </c>
      <c r="S3074" s="31" t="s">
        <v>273</v>
      </c>
      <c r="T3074" s="31" t="s">
        <v>273</v>
      </c>
      <c r="U3074" s="31">
        <f>IFERROR(VLOOKUP(CONCATENATE(Tabla1[[#This Row],[Severidad]]," ",Tabla1[[#This Row],[Complejidad]]),Catalogos!E$120:G$128,3,FALSE),"")</f>
        <v>64</v>
      </c>
      <c r="V3074" s="31" t="str">
        <f>IF(Tabla1[[#This Row],[Tiempo solución max (hrs)]]&lt;&gt;"",IF(Tabla1[[#This Row],[Tiempo solución max (hrs)]]&gt;=Tabla1[[#This Row],[Tiempo
(Hrs 00/100)]],"cumple","no cumple"),"")</f>
        <v>cumple</v>
      </c>
      <c r="W3074" s="376" t="s">
        <v>5372</v>
      </c>
      <c r="X3074" s="18" t="str">
        <f t="shared" si="232"/>
        <v>SAW</v>
      </c>
      <c r="Y3074" t="str">
        <f>SUBSTITUTE(Tabla1[[#This Row],[Descripción]],CHAR(10),"    I    ")</f>
        <v>Se continua con la carga del siito por ftp</v>
      </c>
      <c r="Z3074" s="112">
        <f>VLOOKUP(Tabla1[[#This Row],[Perfil]],Catalogos!$B$75:$D$100,3,FALSE)*Tabla1[[#This Row],[Tiempo
(Hrs 00/100)]]*1.16</f>
        <v>1566</v>
      </c>
      <c r="AA3074" t="s">
        <v>3356</v>
      </c>
    </row>
    <row r="3075" spans="1:27" ht="30" customHeight="1" x14ac:dyDescent="0.3">
      <c r="A3075" s="198" t="s">
        <v>22</v>
      </c>
      <c r="B3075" s="198" t="s">
        <v>305</v>
      </c>
      <c r="C3075" s="205" t="s">
        <v>16</v>
      </c>
      <c r="D3075" s="198"/>
      <c r="E3075" s="198" t="s">
        <v>3699</v>
      </c>
      <c r="F3075" s="198" t="s">
        <v>23</v>
      </c>
      <c r="G3075" s="198" t="s">
        <v>5508</v>
      </c>
      <c r="H3075" s="207" t="s">
        <v>5477</v>
      </c>
      <c r="I3075" s="208" t="s">
        <v>5481</v>
      </c>
      <c r="J3075" s="369">
        <v>45265</v>
      </c>
      <c r="K3075" s="747">
        <v>0.375</v>
      </c>
      <c r="L3075" s="369">
        <v>45265</v>
      </c>
      <c r="M3075" s="753">
        <v>0.60416666666666663</v>
      </c>
      <c r="N3075" s="187">
        <v>5.5</v>
      </c>
      <c r="O3075" s="204" t="s">
        <v>411</v>
      </c>
      <c r="P3075" s="197" t="s">
        <v>5480</v>
      </c>
      <c r="Q3075" s="144" t="s">
        <v>5374</v>
      </c>
      <c r="R3075" s="202" t="s">
        <v>37</v>
      </c>
      <c r="S3075" s="31" t="s">
        <v>273</v>
      </c>
      <c r="T3075" s="31" t="s">
        <v>273</v>
      </c>
      <c r="U3075" s="31">
        <f>IFERROR(VLOOKUP(CONCATENATE(Tabla1[[#This Row],[Severidad]]," ",Tabla1[[#This Row],[Complejidad]]),Catalogos!E$120:G$128,3,FALSE),"")</f>
        <v>64</v>
      </c>
      <c r="V3075" s="31" t="str">
        <f>IF(Tabla1[[#This Row],[Tiempo solución max (hrs)]]&lt;&gt;"",IF(Tabla1[[#This Row],[Tiempo solución max (hrs)]]&gt;=Tabla1[[#This Row],[Tiempo
(Hrs 00/100)]],"cumple","no cumple"),"")</f>
        <v>cumple</v>
      </c>
      <c r="W3075" s="376" t="s">
        <v>5372</v>
      </c>
      <c r="X3075" s="18" t="str">
        <f t="shared" si="232"/>
        <v>SAW</v>
      </c>
      <c r="Y3075" t="str">
        <f>SUBSTITUTE(Tabla1[[#This Row],[Descripción]],CHAR(10),"    I    ")</f>
        <v>Se hace la carga de base ded atos y habilitar VH</v>
      </c>
      <c r="Z3075" s="112">
        <f>VLOOKUP(Tabla1[[#This Row],[Perfil]],Catalogos!$B$75:$D$100,3,FALSE)*Tabla1[[#This Row],[Tiempo
(Hrs 00/100)]]*1.16</f>
        <v>2871</v>
      </c>
      <c r="AA3075" t="s">
        <v>3356</v>
      </c>
    </row>
    <row r="3076" spans="1:27" ht="30" customHeight="1" x14ac:dyDescent="0.3">
      <c r="A3076" s="203" t="s">
        <v>22</v>
      </c>
      <c r="B3076" s="204" t="s">
        <v>305</v>
      </c>
      <c r="C3076" s="205" t="s">
        <v>16</v>
      </c>
      <c r="D3076" s="206"/>
      <c r="E3076" s="203" t="s">
        <v>3699</v>
      </c>
      <c r="F3076" s="203" t="s">
        <v>23</v>
      </c>
      <c r="G3076" s="198" t="s">
        <v>5508</v>
      </c>
      <c r="H3076" s="207" t="s">
        <v>5477</v>
      </c>
      <c r="I3076" s="208" t="s">
        <v>5481</v>
      </c>
      <c r="J3076" s="369">
        <v>45265</v>
      </c>
      <c r="K3076" s="747">
        <v>0.66666666666666663</v>
      </c>
      <c r="L3076" s="369">
        <v>45265</v>
      </c>
      <c r="M3076" s="753">
        <v>0.79166666666666663</v>
      </c>
      <c r="N3076" s="210">
        <v>3</v>
      </c>
      <c r="O3076" s="204" t="s">
        <v>17</v>
      </c>
      <c r="P3076" s="197" t="s">
        <v>5480</v>
      </c>
      <c r="Q3076" s="144" t="s">
        <v>5374</v>
      </c>
      <c r="R3076" s="209" t="s">
        <v>37</v>
      </c>
      <c r="S3076" s="31" t="s">
        <v>273</v>
      </c>
      <c r="T3076" s="31" t="s">
        <v>273</v>
      </c>
      <c r="U3076" s="31">
        <f>IFERROR(VLOOKUP(CONCATENATE(Tabla1[[#This Row],[Severidad]]," ",Tabla1[[#This Row],[Complejidad]]),Catalogos!E$120:G$128,3,FALSE),"")</f>
        <v>64</v>
      </c>
      <c r="V3076" s="31" t="str">
        <f>IF(Tabla1[[#This Row],[Tiempo solución max (hrs)]]&lt;&gt;"",IF(Tabla1[[#This Row],[Tiempo solución max (hrs)]]&gt;=Tabla1[[#This Row],[Tiempo
(Hrs 00/100)]],"cumple","no cumple"),"")</f>
        <v>cumple</v>
      </c>
      <c r="W3076" s="376" t="s">
        <v>5372</v>
      </c>
      <c r="X3076" s="18" t="str">
        <f t="shared" si="232"/>
        <v>SAW</v>
      </c>
      <c r="Y3076" t="str">
        <f>SUBSTITUTE(Tabla1[[#This Row],[Descripción]],CHAR(10),"    I    ")</f>
        <v>Se hace la carga de base ded atos y habilitar VH</v>
      </c>
      <c r="Z3076" s="112">
        <f>VLOOKUP(Tabla1[[#This Row],[Perfil]],Catalogos!$B$75:$D$100,3,FALSE)*Tabla1[[#This Row],[Tiempo
(Hrs 00/100)]]*1.16</f>
        <v>1566</v>
      </c>
      <c r="AA3076" t="s">
        <v>3356</v>
      </c>
    </row>
    <row r="3077" spans="1:27" ht="30" customHeight="1" x14ac:dyDescent="0.3">
      <c r="A3077" s="203" t="s">
        <v>22</v>
      </c>
      <c r="B3077" s="204" t="s">
        <v>305</v>
      </c>
      <c r="C3077" s="205" t="s">
        <v>16</v>
      </c>
      <c r="D3077" s="206"/>
      <c r="E3077" s="203" t="s">
        <v>3699</v>
      </c>
      <c r="F3077" s="203" t="s">
        <v>23</v>
      </c>
      <c r="G3077" s="198" t="s">
        <v>5509</v>
      </c>
      <c r="H3077" s="207" t="s">
        <v>5477</v>
      </c>
      <c r="I3077" s="208" t="s">
        <v>5479</v>
      </c>
      <c r="J3077" s="369">
        <v>45266</v>
      </c>
      <c r="K3077" s="747">
        <v>0.375</v>
      </c>
      <c r="L3077" s="369">
        <v>45266</v>
      </c>
      <c r="M3077" s="753">
        <v>0.60416666666666663</v>
      </c>
      <c r="N3077" s="210">
        <v>5.5</v>
      </c>
      <c r="O3077" s="204" t="s">
        <v>411</v>
      </c>
      <c r="P3077" s="197" t="s">
        <v>5478</v>
      </c>
      <c r="Q3077" s="144" t="s">
        <v>5374</v>
      </c>
      <c r="R3077" s="209" t="s">
        <v>37</v>
      </c>
      <c r="S3077" s="31" t="s">
        <v>273</v>
      </c>
      <c r="T3077" s="31" t="s">
        <v>273</v>
      </c>
      <c r="U3077" s="31">
        <f>IFERROR(VLOOKUP(CONCATENATE(Tabla1[[#This Row],[Severidad]]," ",Tabla1[[#This Row],[Complejidad]]),Catalogos!E$120:G$128,3,FALSE),"")</f>
        <v>64</v>
      </c>
      <c r="V3077" s="31" t="str">
        <f>IF(Tabla1[[#This Row],[Tiempo solución max (hrs)]]&lt;&gt;"",IF(Tabla1[[#This Row],[Tiempo solución max (hrs)]]&gt;=Tabla1[[#This Row],[Tiempo
(Hrs 00/100)]],"cumple","no cumple"),"")</f>
        <v>cumple</v>
      </c>
      <c r="W3077" s="376" t="s">
        <v>5372</v>
      </c>
      <c r="X3077" s="18" t="str">
        <f t="shared" si="232"/>
        <v>SAW</v>
      </c>
      <c r="Y3077" t="str">
        <f>SUBSTITUTE(Tabla1[[#This Row],[Descripción]],CHAR(10),"    I    ")</f>
        <v>Se hace el llenado de la OT</v>
      </c>
      <c r="Z3077" s="112">
        <f>VLOOKUP(Tabla1[[#This Row],[Perfil]],Catalogos!$B$75:$D$100,3,FALSE)*Tabla1[[#This Row],[Tiempo
(Hrs 00/100)]]*1.16</f>
        <v>2871</v>
      </c>
      <c r="AA3077" t="s">
        <v>3356</v>
      </c>
    </row>
    <row r="3078" spans="1:27" ht="30" customHeight="1" x14ac:dyDescent="0.3">
      <c r="A3078" s="198" t="s">
        <v>22</v>
      </c>
      <c r="B3078" s="198" t="s">
        <v>305</v>
      </c>
      <c r="C3078" s="200" t="s">
        <v>16</v>
      </c>
      <c r="D3078" s="198"/>
      <c r="E3078" s="198" t="s">
        <v>3699</v>
      </c>
      <c r="F3078" s="198" t="s">
        <v>23</v>
      </c>
      <c r="G3078" s="198" t="s">
        <v>5509</v>
      </c>
      <c r="H3078" s="207" t="s">
        <v>5477</v>
      </c>
      <c r="I3078" s="208" t="s">
        <v>5479</v>
      </c>
      <c r="J3078" s="369">
        <v>45266</v>
      </c>
      <c r="K3078" s="747">
        <v>0.66666666666666663</v>
      </c>
      <c r="L3078" s="369">
        <v>45266</v>
      </c>
      <c r="M3078" s="753">
        <v>0.79166666666666663</v>
      </c>
      <c r="N3078" s="187">
        <v>3</v>
      </c>
      <c r="O3078" s="204" t="s">
        <v>17</v>
      </c>
      <c r="P3078" s="197" t="s">
        <v>5478</v>
      </c>
      <c r="Q3078" s="144" t="s">
        <v>5374</v>
      </c>
      <c r="R3078" s="202" t="s">
        <v>37</v>
      </c>
      <c r="S3078" s="31" t="s">
        <v>273</v>
      </c>
      <c r="T3078" s="31" t="s">
        <v>273</v>
      </c>
      <c r="U3078" s="31">
        <f>IFERROR(VLOOKUP(CONCATENATE(Tabla1[[#This Row],[Severidad]]," ",Tabla1[[#This Row],[Complejidad]]),Catalogos!E$120:G$128,3,FALSE),"")</f>
        <v>64</v>
      </c>
      <c r="V3078" s="31" t="str">
        <f>IF(Tabla1[[#This Row],[Tiempo solución max (hrs)]]&lt;&gt;"",IF(Tabla1[[#This Row],[Tiempo solución max (hrs)]]&gt;=Tabla1[[#This Row],[Tiempo
(Hrs 00/100)]],"cumple","no cumple"),"")</f>
        <v>cumple</v>
      </c>
      <c r="W3078" s="376" t="s">
        <v>5372</v>
      </c>
      <c r="X3078" s="18" t="str">
        <f t="shared" si="232"/>
        <v>SAW</v>
      </c>
      <c r="Y3078" t="str">
        <f>SUBSTITUTE(Tabla1[[#This Row],[Descripción]],CHAR(10),"    I    ")</f>
        <v>Se hace el llenado de la OT</v>
      </c>
      <c r="Z3078" s="112">
        <f>VLOOKUP(Tabla1[[#This Row],[Perfil]],Catalogos!$B$75:$D$100,3,FALSE)*Tabla1[[#This Row],[Tiempo
(Hrs 00/100)]]*1.16</f>
        <v>1566</v>
      </c>
      <c r="AA3078" t="s">
        <v>3356</v>
      </c>
    </row>
    <row r="3079" spans="1:27" ht="30" customHeight="1" x14ac:dyDescent="0.3">
      <c r="A3079" s="198" t="s">
        <v>22</v>
      </c>
      <c r="B3079" s="198" t="s">
        <v>305</v>
      </c>
      <c r="C3079" s="205" t="s">
        <v>16</v>
      </c>
      <c r="D3079" s="198"/>
      <c r="E3079" s="198" t="s">
        <v>3699</v>
      </c>
      <c r="F3079" s="198" t="s">
        <v>23</v>
      </c>
      <c r="G3079" s="198" t="s">
        <v>5510</v>
      </c>
      <c r="H3079" s="207" t="s">
        <v>5477</v>
      </c>
      <c r="I3079" s="208" t="s">
        <v>5476</v>
      </c>
      <c r="J3079" s="369">
        <v>45267</v>
      </c>
      <c r="K3079" s="747">
        <v>0.375</v>
      </c>
      <c r="L3079" s="369">
        <v>45267</v>
      </c>
      <c r="M3079" s="753">
        <v>0.60416666666666663</v>
      </c>
      <c r="N3079" s="187">
        <v>5.5</v>
      </c>
      <c r="O3079" s="204" t="s">
        <v>411</v>
      </c>
      <c r="P3079" s="197" t="s">
        <v>5475</v>
      </c>
      <c r="Q3079" s="144" t="s">
        <v>5374</v>
      </c>
      <c r="R3079" s="202" t="s">
        <v>37</v>
      </c>
      <c r="S3079" s="31" t="s">
        <v>273</v>
      </c>
      <c r="T3079" s="31" t="s">
        <v>273</v>
      </c>
      <c r="U3079" s="31">
        <f>IFERROR(VLOOKUP(CONCATENATE(Tabla1[[#This Row],[Severidad]]," ",Tabla1[[#This Row],[Complejidad]]),Catalogos!E$120:G$128,3,FALSE),"")</f>
        <v>64</v>
      </c>
      <c r="V3079" s="31" t="str">
        <f>IF(Tabla1[[#This Row],[Tiempo solución max (hrs)]]&lt;&gt;"",IF(Tabla1[[#This Row],[Tiempo solución max (hrs)]]&gt;=Tabla1[[#This Row],[Tiempo
(Hrs 00/100)]],"cumple","no cumple"),"")</f>
        <v>cumple</v>
      </c>
      <c r="W3079" s="376" t="s">
        <v>5372</v>
      </c>
      <c r="X3079" s="18" t="str">
        <f t="shared" si="232"/>
        <v>SAW</v>
      </c>
      <c r="Y3079" t="str">
        <f>SUBSTITUTE(Tabla1[[#This Row],[Descripción]],CHAR(10),"    I    ")</f>
        <v>Se vizualiza el sitio y se hacen pruebas de funcionalidad</v>
      </c>
      <c r="Z3079" s="112">
        <f>VLOOKUP(Tabla1[[#This Row],[Perfil]],Catalogos!$B$75:$D$100,3,FALSE)*Tabla1[[#This Row],[Tiempo
(Hrs 00/100)]]*1.16</f>
        <v>2871</v>
      </c>
      <c r="AA3079" t="s">
        <v>3356</v>
      </c>
    </row>
    <row r="3080" spans="1:27" ht="30" customHeight="1" x14ac:dyDescent="0.3">
      <c r="A3080" s="203" t="s">
        <v>22</v>
      </c>
      <c r="B3080" s="204" t="s">
        <v>305</v>
      </c>
      <c r="C3080" s="205" t="s">
        <v>16</v>
      </c>
      <c r="D3080" s="206"/>
      <c r="E3080" s="203" t="s">
        <v>3699</v>
      </c>
      <c r="F3080" s="203" t="s">
        <v>23</v>
      </c>
      <c r="G3080" s="198" t="s">
        <v>5510</v>
      </c>
      <c r="H3080" s="207" t="s">
        <v>5477</v>
      </c>
      <c r="I3080" s="208" t="s">
        <v>5476</v>
      </c>
      <c r="J3080" s="369">
        <v>45267</v>
      </c>
      <c r="K3080" s="747">
        <v>0.66666666666666663</v>
      </c>
      <c r="L3080" s="369">
        <v>45267</v>
      </c>
      <c r="M3080" s="753">
        <v>0.79166666666666663</v>
      </c>
      <c r="N3080" s="210">
        <v>3</v>
      </c>
      <c r="O3080" s="204" t="s">
        <v>17</v>
      </c>
      <c r="P3080" s="197" t="s">
        <v>5475</v>
      </c>
      <c r="Q3080" s="144" t="s">
        <v>5374</v>
      </c>
      <c r="R3080" s="209" t="s">
        <v>37</v>
      </c>
      <c r="S3080" s="31" t="s">
        <v>273</v>
      </c>
      <c r="T3080" s="31" t="s">
        <v>273</v>
      </c>
      <c r="U3080" s="31">
        <f>IFERROR(VLOOKUP(CONCATENATE(Tabla1[[#This Row],[Severidad]]," ",Tabla1[[#This Row],[Complejidad]]),Catalogos!E$120:G$128,3,FALSE),"")</f>
        <v>64</v>
      </c>
      <c r="V3080" s="31" t="str">
        <f>IF(Tabla1[[#This Row],[Tiempo solución max (hrs)]]&lt;&gt;"",IF(Tabla1[[#This Row],[Tiempo solución max (hrs)]]&gt;=Tabla1[[#This Row],[Tiempo
(Hrs 00/100)]],"cumple","no cumple"),"")</f>
        <v>cumple</v>
      </c>
      <c r="W3080" s="376" t="s">
        <v>5372</v>
      </c>
      <c r="X3080" s="18" t="str">
        <f t="shared" si="232"/>
        <v>SAW</v>
      </c>
      <c r="Y3080" t="str">
        <f>SUBSTITUTE(Tabla1[[#This Row],[Descripción]],CHAR(10),"    I    ")</f>
        <v>Se vizualiza el sitio y se hacen pruebas de funcionalidad</v>
      </c>
      <c r="Z3080" s="112">
        <f>VLOOKUP(Tabla1[[#This Row],[Perfil]],Catalogos!$B$75:$D$100,3,FALSE)*Tabla1[[#This Row],[Tiempo
(Hrs 00/100)]]*1.16</f>
        <v>1566</v>
      </c>
      <c r="AA3080" t="s">
        <v>3356</v>
      </c>
    </row>
    <row r="3081" spans="1:27" ht="30" customHeight="1" x14ac:dyDescent="0.3">
      <c r="A3081" s="198" t="s">
        <v>22</v>
      </c>
      <c r="B3081" s="198" t="s">
        <v>23</v>
      </c>
      <c r="C3081" s="205" t="s">
        <v>257</v>
      </c>
      <c r="D3081" s="198"/>
      <c r="E3081" s="198" t="s">
        <v>554</v>
      </c>
      <c r="F3081" s="198" t="s">
        <v>23</v>
      </c>
      <c r="G3081" s="224" t="s">
        <v>5523</v>
      </c>
      <c r="H3081" s="207" t="s">
        <v>4530</v>
      </c>
      <c r="I3081" s="208" t="s">
        <v>5511</v>
      </c>
      <c r="J3081" s="369">
        <v>45261</v>
      </c>
      <c r="K3081" s="747">
        <v>0.37847222222222227</v>
      </c>
      <c r="L3081" s="369">
        <v>45261</v>
      </c>
      <c r="M3081" s="753">
        <v>0.62847222222222221</v>
      </c>
      <c r="N3081" s="187">
        <v>6</v>
      </c>
      <c r="O3081" s="204" t="s">
        <v>17</v>
      </c>
      <c r="P3081" s="197" t="s">
        <v>4525</v>
      </c>
      <c r="Q3081" s="201" t="s">
        <v>558</v>
      </c>
      <c r="R3081" s="202" t="s">
        <v>263</v>
      </c>
      <c r="S3081" s="31" t="s">
        <v>273</v>
      </c>
      <c r="T3081" s="31" t="s">
        <v>273</v>
      </c>
      <c r="U3081" s="31">
        <f>IFERROR(VLOOKUP(CONCATENATE(Tabla1[[#This Row],[Severidad]]," ",Tabla1[[#This Row],[Complejidad]]),Catalogos!E$120:G$128,3,FALSE),"")</f>
        <v>64</v>
      </c>
      <c r="V3081" s="31" t="str">
        <f>IF(Tabla1[[#This Row],[Tiempo solución max (hrs)]]&lt;&gt;"",IF(Tabla1[[#This Row],[Tiempo solución max (hrs)]]&gt;=Tabla1[[#This Row],[Tiempo
(Hrs 00/100)]],"cumple","no cumple"),"")</f>
        <v>cumple</v>
      </c>
      <c r="W3081" s="376" t="s">
        <v>5372</v>
      </c>
      <c r="X3081" s="18" t="str">
        <f t="shared" si="231"/>
        <v>SSI</v>
      </c>
      <c r="Y3081" t="str">
        <f>SUBSTITUTE(Tabla1[[#This Row],[Descripción]],CHAR(10),"    I    ")</f>
        <v>Se valida el funcionamiento de los servicios de registro de quejas para datos personales</v>
      </c>
      <c r="Z3081" s="112">
        <f>VLOOKUP(Tabla1[[#This Row],[Perfil]],Catalogos!$B$75:$D$100,3,FALSE)*Tabla1[[#This Row],[Tiempo
(Hrs 00/100)]]*1.16</f>
        <v>3479.9999999999995</v>
      </c>
      <c r="AA3081" t="s">
        <v>3356</v>
      </c>
    </row>
    <row r="3082" spans="1:27" ht="30" customHeight="1" x14ac:dyDescent="0.3">
      <c r="A3082" s="198" t="s">
        <v>22</v>
      </c>
      <c r="B3082" s="198" t="s">
        <v>23</v>
      </c>
      <c r="C3082" s="205" t="s">
        <v>257</v>
      </c>
      <c r="D3082" s="198"/>
      <c r="E3082" s="198" t="s">
        <v>554</v>
      </c>
      <c r="F3082" s="198" t="s">
        <v>23</v>
      </c>
      <c r="G3082" s="224" t="s">
        <v>5524</v>
      </c>
      <c r="H3082" s="207" t="s">
        <v>4530</v>
      </c>
      <c r="I3082" s="208" t="s">
        <v>5512</v>
      </c>
      <c r="J3082" s="369">
        <v>45264</v>
      </c>
      <c r="K3082" s="747">
        <v>0.375</v>
      </c>
      <c r="L3082" s="369">
        <v>45264</v>
      </c>
      <c r="M3082" s="753">
        <v>0.79166666666666663</v>
      </c>
      <c r="N3082" s="187">
        <v>8</v>
      </c>
      <c r="O3082" s="204" t="s">
        <v>17</v>
      </c>
      <c r="P3082" s="197" t="s">
        <v>4525</v>
      </c>
      <c r="Q3082" s="201" t="s">
        <v>558</v>
      </c>
      <c r="R3082" s="202" t="s">
        <v>263</v>
      </c>
      <c r="S3082" s="31" t="s">
        <v>273</v>
      </c>
      <c r="T3082" s="31" t="s">
        <v>273</v>
      </c>
      <c r="U3082" s="31">
        <f>IFERROR(VLOOKUP(CONCATENATE(Tabla1[[#This Row],[Severidad]]," ",Tabla1[[#This Row],[Complejidad]]),Catalogos!E$120:G$128,3,FALSE),"")</f>
        <v>64</v>
      </c>
      <c r="V3082" s="31" t="str">
        <f>IF(Tabla1[[#This Row],[Tiempo solución max (hrs)]]&lt;&gt;"",IF(Tabla1[[#This Row],[Tiempo solución max (hrs)]]&gt;=Tabla1[[#This Row],[Tiempo
(Hrs 00/100)]],"cumple","no cumple"),"")</f>
        <v>cumple</v>
      </c>
      <c r="W3082" s="376" t="s">
        <v>5372</v>
      </c>
      <c r="X3082" s="18" t="str">
        <f t="shared" si="231"/>
        <v>SSI</v>
      </c>
      <c r="Y3082" t="str">
        <f>SUBSTITUTE(Tabla1[[#This Row],[Descripción]],CHAR(10),"    I    ")</f>
        <v>Se valida el funcionamiento de los servicios de respuesta de solicitudes disponibilidad con costo y rpevencion</v>
      </c>
      <c r="Z3082" s="112">
        <f>VLOOKUP(Tabla1[[#This Row],[Perfil]],Catalogos!$B$75:$D$100,3,FALSE)*Tabla1[[#This Row],[Tiempo
(Hrs 00/100)]]*1.16</f>
        <v>4640</v>
      </c>
      <c r="AA3082" t="s">
        <v>3356</v>
      </c>
    </row>
    <row r="3083" spans="1:27" ht="30" customHeight="1" x14ac:dyDescent="0.3">
      <c r="A3083" s="198" t="s">
        <v>22</v>
      </c>
      <c r="B3083" s="198" t="s">
        <v>23</v>
      </c>
      <c r="C3083" s="205" t="s">
        <v>257</v>
      </c>
      <c r="D3083" s="198"/>
      <c r="E3083" s="198" t="s">
        <v>554</v>
      </c>
      <c r="F3083" s="198" t="s">
        <v>23</v>
      </c>
      <c r="G3083" s="224" t="s">
        <v>5525</v>
      </c>
      <c r="H3083" s="207" t="s">
        <v>4530</v>
      </c>
      <c r="I3083" s="208" t="s">
        <v>5511</v>
      </c>
      <c r="J3083" s="369">
        <v>45265</v>
      </c>
      <c r="K3083" s="747">
        <v>0.375</v>
      </c>
      <c r="L3083" s="369">
        <v>45265</v>
      </c>
      <c r="M3083" s="753">
        <v>0.41666666666666669</v>
      </c>
      <c r="N3083" s="187">
        <v>1</v>
      </c>
      <c r="O3083" s="204" t="s">
        <v>17</v>
      </c>
      <c r="P3083" s="197" t="s">
        <v>4525</v>
      </c>
      <c r="Q3083" s="201" t="s">
        <v>558</v>
      </c>
      <c r="R3083" s="202" t="s">
        <v>263</v>
      </c>
      <c r="S3083" s="31" t="s">
        <v>273</v>
      </c>
      <c r="T3083" s="31" t="s">
        <v>273</v>
      </c>
      <c r="U3083" s="31">
        <f>IFERROR(VLOOKUP(CONCATENATE(Tabla1[[#This Row],[Severidad]]," ",Tabla1[[#This Row],[Complejidad]]),Catalogos!E$120:G$128,3,FALSE),"")</f>
        <v>64</v>
      </c>
      <c r="V3083" s="31" t="str">
        <f>IF(Tabla1[[#This Row],[Tiempo solución max (hrs)]]&lt;&gt;"",IF(Tabla1[[#This Row],[Tiempo solución max (hrs)]]&gt;=Tabla1[[#This Row],[Tiempo
(Hrs 00/100)]],"cumple","no cumple"),"")</f>
        <v>cumple</v>
      </c>
      <c r="W3083" s="376" t="s">
        <v>5372</v>
      </c>
      <c r="X3083" s="18" t="str">
        <f t="shared" si="231"/>
        <v>SSI</v>
      </c>
      <c r="Y3083" t="str">
        <f>SUBSTITUTE(Tabla1[[#This Row],[Descripción]],CHAR(10),"    I    ")</f>
        <v>Se valida el funcionamiento de los servicios de registro de quejas para datos personales</v>
      </c>
      <c r="Z3083" s="112">
        <f>VLOOKUP(Tabla1[[#This Row],[Perfil]],Catalogos!$B$75:$D$100,3,FALSE)*Tabla1[[#This Row],[Tiempo
(Hrs 00/100)]]*1.16</f>
        <v>580</v>
      </c>
      <c r="AA3083" t="s">
        <v>3356</v>
      </c>
    </row>
    <row r="3084" spans="1:27" ht="30" customHeight="1" x14ac:dyDescent="0.3">
      <c r="A3084" s="203" t="s">
        <v>22</v>
      </c>
      <c r="B3084" s="204" t="s">
        <v>23</v>
      </c>
      <c r="C3084" s="205" t="s">
        <v>257</v>
      </c>
      <c r="D3084" s="206"/>
      <c r="E3084" s="203" t="s">
        <v>554</v>
      </c>
      <c r="F3084" s="203" t="s">
        <v>23</v>
      </c>
      <c r="G3084" s="224" t="s">
        <v>5526</v>
      </c>
      <c r="H3084" s="207" t="s">
        <v>4530</v>
      </c>
      <c r="I3084" s="208" t="s">
        <v>5513</v>
      </c>
      <c r="J3084" s="369">
        <v>45265</v>
      </c>
      <c r="K3084" s="747">
        <v>0.41666666666666669</v>
      </c>
      <c r="L3084" s="369">
        <v>45265</v>
      </c>
      <c r="M3084" s="753">
        <v>0.75</v>
      </c>
      <c r="N3084" s="210">
        <v>6</v>
      </c>
      <c r="O3084" s="204" t="s">
        <v>17</v>
      </c>
      <c r="P3084" s="197" t="s">
        <v>4525</v>
      </c>
      <c r="Q3084" s="206" t="s">
        <v>558</v>
      </c>
      <c r="R3084" s="209" t="s">
        <v>263</v>
      </c>
      <c r="S3084" s="31" t="s">
        <v>273</v>
      </c>
      <c r="T3084" s="31" t="s">
        <v>273</v>
      </c>
      <c r="U3084" s="31">
        <f>IFERROR(VLOOKUP(CONCATENATE(Tabla1[[#This Row],[Severidad]]," ",Tabla1[[#This Row],[Complejidad]]),Catalogos!E$120:G$128,3,FALSE),"")</f>
        <v>64</v>
      </c>
      <c r="V3084" s="31" t="str">
        <f>IF(Tabla1[[#This Row],[Tiempo solución max (hrs)]]&lt;&gt;"",IF(Tabla1[[#This Row],[Tiempo solución max (hrs)]]&gt;=Tabla1[[#This Row],[Tiempo
(Hrs 00/100)]],"cumple","no cumple"),"")</f>
        <v>cumple</v>
      </c>
      <c r="W3084" s="376" t="s">
        <v>5372</v>
      </c>
      <c r="X3084" s="18" t="str">
        <f t="shared" si="231"/>
        <v>SSI</v>
      </c>
      <c r="Y3084" t="str">
        <f>SUBSTITUTE(Tabla1[[#This Row],[Descripción]],CHAR(10),"    I    ")</f>
        <v>Se valida el funcionamiento de los servicios de descargar de adjuntos para quejas</v>
      </c>
      <c r="Z3084" s="112">
        <f>VLOOKUP(Tabla1[[#This Row],[Perfil]],Catalogos!$B$75:$D$100,3,FALSE)*Tabla1[[#This Row],[Tiempo
(Hrs 00/100)]]*1.16</f>
        <v>3479.9999999999995</v>
      </c>
      <c r="AA3084" t="s">
        <v>3356</v>
      </c>
    </row>
    <row r="3085" spans="1:27" ht="30" customHeight="1" x14ac:dyDescent="0.3">
      <c r="A3085" s="203" t="s">
        <v>22</v>
      </c>
      <c r="B3085" s="204" t="s">
        <v>23</v>
      </c>
      <c r="C3085" s="205" t="s">
        <v>257</v>
      </c>
      <c r="D3085" s="206"/>
      <c r="E3085" s="203" t="s">
        <v>554</v>
      </c>
      <c r="F3085" s="203" t="s">
        <v>23</v>
      </c>
      <c r="G3085" s="224" t="s">
        <v>5527</v>
      </c>
      <c r="H3085" s="207" t="s">
        <v>5514</v>
      </c>
      <c r="I3085" s="208" t="s">
        <v>5515</v>
      </c>
      <c r="J3085" s="369">
        <v>45265</v>
      </c>
      <c r="K3085" s="747">
        <v>0.75</v>
      </c>
      <c r="L3085" s="369">
        <v>45265</v>
      </c>
      <c r="M3085" s="753">
        <v>0.79166666666666663</v>
      </c>
      <c r="N3085" s="210">
        <v>1</v>
      </c>
      <c r="O3085" s="204" t="s">
        <v>17</v>
      </c>
      <c r="P3085" s="197" t="s">
        <v>4525</v>
      </c>
      <c r="Q3085" s="206" t="s">
        <v>558</v>
      </c>
      <c r="R3085" s="209" t="s">
        <v>263</v>
      </c>
      <c r="S3085" s="31" t="s">
        <v>273</v>
      </c>
      <c r="T3085" s="31" t="s">
        <v>273</v>
      </c>
      <c r="U3085" s="31">
        <f>IFERROR(VLOOKUP(CONCATENATE(Tabla1[[#This Row],[Severidad]]," ",Tabla1[[#This Row],[Complejidad]]),Catalogos!E$120:G$128,3,FALSE),"")</f>
        <v>64</v>
      </c>
      <c r="V3085" s="31" t="str">
        <f>IF(Tabla1[[#This Row],[Tiempo solución max (hrs)]]&lt;&gt;"",IF(Tabla1[[#This Row],[Tiempo solución max (hrs)]]&gt;=Tabla1[[#This Row],[Tiempo
(Hrs 00/100)]],"cumple","no cumple"),"")</f>
        <v>cumple</v>
      </c>
      <c r="W3085" s="376" t="s">
        <v>5372</v>
      </c>
      <c r="X3085" s="18" t="str">
        <f t="shared" si="231"/>
        <v>SSI</v>
      </c>
      <c r="Y3085" t="str">
        <f>SUBSTITUTE(Tabla1[[#This Row],[Descripción]],CHAR(10),"    I    ")</f>
        <v>Se cambian las direcciones url para los servicios que consume la app</v>
      </c>
      <c r="Z3085" s="112">
        <f>VLOOKUP(Tabla1[[#This Row],[Perfil]],Catalogos!$B$75:$D$100,3,FALSE)*Tabla1[[#This Row],[Tiempo
(Hrs 00/100)]]*1.16</f>
        <v>580</v>
      </c>
      <c r="AA3085" t="s">
        <v>3356</v>
      </c>
    </row>
    <row r="3086" spans="1:27" ht="30" customHeight="1" x14ac:dyDescent="0.3">
      <c r="A3086" s="203" t="s">
        <v>22</v>
      </c>
      <c r="B3086" s="204" t="s">
        <v>23</v>
      </c>
      <c r="C3086" s="205" t="s">
        <v>257</v>
      </c>
      <c r="D3086" s="206"/>
      <c r="E3086" s="203" t="s">
        <v>554</v>
      </c>
      <c r="F3086" s="203" t="s">
        <v>23</v>
      </c>
      <c r="G3086" s="224" t="s">
        <v>5528</v>
      </c>
      <c r="H3086" s="207" t="s">
        <v>4530</v>
      </c>
      <c r="I3086" s="208" t="s">
        <v>5516</v>
      </c>
      <c r="J3086" s="369">
        <v>45266</v>
      </c>
      <c r="K3086" s="747">
        <v>0.375</v>
      </c>
      <c r="L3086" s="369">
        <v>45266</v>
      </c>
      <c r="M3086" s="753">
        <v>0.60416666666666663</v>
      </c>
      <c r="N3086" s="210">
        <v>5</v>
      </c>
      <c r="O3086" s="204" t="s">
        <v>17</v>
      </c>
      <c r="P3086" s="197" t="s">
        <v>4525</v>
      </c>
      <c r="Q3086" s="206" t="s">
        <v>558</v>
      </c>
      <c r="R3086" s="209" t="s">
        <v>263</v>
      </c>
      <c r="S3086" s="31" t="s">
        <v>273</v>
      </c>
      <c r="T3086" s="31" t="s">
        <v>273</v>
      </c>
      <c r="U3086" s="31">
        <f>IFERROR(VLOOKUP(CONCATENATE(Tabla1[[#This Row],[Severidad]]," ",Tabla1[[#This Row],[Complejidad]]),Catalogos!E$120:G$128,3,FALSE),"")</f>
        <v>64</v>
      </c>
      <c r="V3086" s="31" t="str">
        <f>IF(Tabla1[[#This Row],[Tiempo solución max (hrs)]]&lt;&gt;"",IF(Tabla1[[#This Row],[Tiempo solución max (hrs)]]&gt;=Tabla1[[#This Row],[Tiempo
(Hrs 00/100)]],"cumple","no cumple"),"")</f>
        <v>cumple</v>
      </c>
      <c r="W3086" s="376" t="s">
        <v>5372</v>
      </c>
      <c r="X3086" s="18" t="str">
        <f t="shared" si="231"/>
        <v>SSI</v>
      </c>
      <c r="Y3086" t="str">
        <f>SUBSTITUTE(Tabla1[[#This Row],[Descripción]],CHAR(10),"    I    ")</f>
        <v>Se valida el funcionamiento de los servicios de regtsitro de estadisticos en buscadores nacionales</v>
      </c>
      <c r="Z3086" s="112">
        <f>VLOOKUP(Tabla1[[#This Row],[Perfil]],Catalogos!$B$75:$D$100,3,FALSE)*Tabla1[[#This Row],[Tiempo
(Hrs 00/100)]]*1.16</f>
        <v>2900</v>
      </c>
      <c r="AA3086" t="s">
        <v>3356</v>
      </c>
    </row>
    <row r="3087" spans="1:27" ht="30" customHeight="1" x14ac:dyDescent="0.3">
      <c r="A3087" s="198" t="s">
        <v>22</v>
      </c>
      <c r="B3087" s="198" t="s">
        <v>23</v>
      </c>
      <c r="C3087" s="205" t="s">
        <v>257</v>
      </c>
      <c r="D3087" s="198"/>
      <c r="E3087" s="198" t="s">
        <v>554</v>
      </c>
      <c r="F3087" s="198" t="s">
        <v>23</v>
      </c>
      <c r="G3087" s="224" t="s">
        <v>5529</v>
      </c>
      <c r="H3087" s="207" t="s">
        <v>4530</v>
      </c>
      <c r="I3087" s="208" t="s">
        <v>5517</v>
      </c>
      <c r="J3087" s="369">
        <v>45266</v>
      </c>
      <c r="K3087" s="747">
        <v>0.66666666666666663</v>
      </c>
      <c r="L3087" s="369">
        <v>45266</v>
      </c>
      <c r="M3087" s="753">
        <v>0.70833333333333337</v>
      </c>
      <c r="N3087" s="187">
        <v>1</v>
      </c>
      <c r="O3087" s="204" t="s">
        <v>17</v>
      </c>
      <c r="P3087" s="197" t="s">
        <v>4525</v>
      </c>
      <c r="Q3087" s="201" t="s">
        <v>558</v>
      </c>
      <c r="R3087" s="202" t="s">
        <v>263</v>
      </c>
      <c r="S3087" s="31" t="s">
        <v>273</v>
      </c>
      <c r="T3087" s="31" t="s">
        <v>273</v>
      </c>
      <c r="U3087" s="31">
        <f>IFERROR(VLOOKUP(CONCATENATE(Tabla1[[#This Row],[Severidad]]," ",Tabla1[[#This Row],[Complejidad]]),Catalogos!E$120:G$128,3,FALSE),"")</f>
        <v>64</v>
      </c>
      <c r="V3087" s="31" t="str">
        <f>IF(Tabla1[[#This Row],[Tiempo solución max (hrs)]]&lt;&gt;"",IF(Tabla1[[#This Row],[Tiempo solución max (hrs)]]&gt;=Tabla1[[#This Row],[Tiempo
(Hrs 00/100)]],"cumple","no cumple"),"")</f>
        <v>cumple</v>
      </c>
      <c r="W3087" s="376" t="s">
        <v>5372</v>
      </c>
      <c r="X3087" s="18" t="str">
        <f t="shared" si="231"/>
        <v>SSI</v>
      </c>
      <c r="Y3087" t="str">
        <f>SUBSTITUTE(Tabla1[[#This Row],[Descripción]],CHAR(10),"    I    ")</f>
        <v>Se valida el funcionamiento de los servicios de regtsitro de estadisticos en datos de perfil</v>
      </c>
      <c r="Z3087" s="112">
        <f>VLOOKUP(Tabla1[[#This Row],[Perfil]],Catalogos!$B$75:$D$100,3,FALSE)*Tabla1[[#This Row],[Tiempo
(Hrs 00/100)]]*1.16</f>
        <v>580</v>
      </c>
      <c r="AA3087" t="s">
        <v>3356</v>
      </c>
    </row>
    <row r="3088" spans="1:27" ht="30" customHeight="1" x14ac:dyDescent="0.3">
      <c r="A3088" s="203" t="s">
        <v>22</v>
      </c>
      <c r="B3088" s="204" t="s">
        <v>23</v>
      </c>
      <c r="C3088" s="205" t="s">
        <v>257</v>
      </c>
      <c r="D3088" s="206"/>
      <c r="E3088" s="203" t="s">
        <v>554</v>
      </c>
      <c r="F3088" s="203" t="s">
        <v>23</v>
      </c>
      <c r="G3088" s="224" t="s">
        <v>5530</v>
      </c>
      <c r="H3088" s="207" t="s">
        <v>4530</v>
      </c>
      <c r="I3088" s="208" t="s">
        <v>5518</v>
      </c>
      <c r="J3088" s="369">
        <v>45266</v>
      </c>
      <c r="K3088" s="747">
        <v>0.70833333333333337</v>
      </c>
      <c r="L3088" s="369">
        <v>45266</v>
      </c>
      <c r="M3088" s="753">
        <v>0.79166666666666663</v>
      </c>
      <c r="N3088" s="210">
        <v>2</v>
      </c>
      <c r="O3088" s="204" t="s">
        <v>17</v>
      </c>
      <c r="P3088" s="197" t="s">
        <v>4525</v>
      </c>
      <c r="Q3088" s="206" t="s">
        <v>558</v>
      </c>
      <c r="R3088" s="209" t="s">
        <v>263</v>
      </c>
      <c r="S3088" s="31" t="s">
        <v>273</v>
      </c>
      <c r="T3088" s="31" t="s">
        <v>273</v>
      </c>
      <c r="U3088" s="31">
        <f>IFERROR(VLOOKUP(CONCATENATE(Tabla1[[#This Row],[Severidad]]," ",Tabla1[[#This Row],[Complejidad]]),Catalogos!E$120:G$128,3,FALSE),"")</f>
        <v>64</v>
      </c>
      <c r="V3088" s="31" t="str">
        <f>IF(Tabla1[[#This Row],[Tiempo solución max (hrs)]]&lt;&gt;"",IF(Tabla1[[#This Row],[Tiempo solución max (hrs)]]&gt;=Tabla1[[#This Row],[Tiempo
(Hrs 00/100)]],"cumple","no cumple"),"")</f>
        <v>cumple</v>
      </c>
      <c r="W3088" s="376" t="s">
        <v>5372</v>
      </c>
      <c r="X3088" s="18" t="str">
        <f t="shared" si="231"/>
        <v>SSI</v>
      </c>
      <c r="Y3088" t="str">
        <f>SUBSTITUTE(Tabla1[[#This Row],[Descripción]],CHAR(10),"    I    ")</f>
        <v>Se valida el funcionamiento de los servicios de regtsitro de borrado de token movil y registro de token</v>
      </c>
      <c r="Z3088" s="112">
        <f>VLOOKUP(Tabla1[[#This Row],[Perfil]],Catalogos!$B$75:$D$100,3,FALSE)*Tabla1[[#This Row],[Tiempo
(Hrs 00/100)]]*1.16</f>
        <v>1160</v>
      </c>
      <c r="AA3088" t="s">
        <v>3356</v>
      </c>
    </row>
    <row r="3089" spans="1:27" ht="30" customHeight="1" x14ac:dyDescent="0.3">
      <c r="A3089" s="198" t="s">
        <v>22</v>
      </c>
      <c r="B3089" s="198" t="s">
        <v>23</v>
      </c>
      <c r="C3089" s="205" t="s">
        <v>257</v>
      </c>
      <c r="D3089" s="198"/>
      <c r="E3089" s="198" t="s">
        <v>554</v>
      </c>
      <c r="F3089" s="198" t="s">
        <v>23</v>
      </c>
      <c r="G3089" s="224" t="s">
        <v>5531</v>
      </c>
      <c r="H3089" s="207" t="s">
        <v>4530</v>
      </c>
      <c r="I3089" s="208" t="s">
        <v>5516</v>
      </c>
      <c r="J3089" s="369">
        <v>45267</v>
      </c>
      <c r="K3089" s="747">
        <v>0.375</v>
      </c>
      <c r="L3089" s="369">
        <v>45267</v>
      </c>
      <c r="M3089" s="753">
        <v>0.79166666666666663</v>
      </c>
      <c r="N3089" s="187">
        <v>8</v>
      </c>
      <c r="O3089" s="204" t="s">
        <v>17</v>
      </c>
      <c r="P3089" s="197" t="s">
        <v>4525</v>
      </c>
      <c r="Q3089" s="201" t="s">
        <v>558</v>
      </c>
      <c r="R3089" s="202" t="s">
        <v>263</v>
      </c>
      <c r="S3089" s="31" t="s">
        <v>273</v>
      </c>
      <c r="T3089" s="31" t="s">
        <v>273</v>
      </c>
      <c r="U3089" s="31">
        <f>IFERROR(VLOOKUP(CONCATENATE(Tabla1[[#This Row],[Severidad]]," ",Tabla1[[#This Row],[Complejidad]]),Catalogos!E$120:G$128,3,FALSE),"")</f>
        <v>64</v>
      </c>
      <c r="V3089" s="31" t="str">
        <f>IF(Tabla1[[#This Row],[Tiempo solución max (hrs)]]&lt;&gt;"",IF(Tabla1[[#This Row],[Tiempo solución max (hrs)]]&gt;=Tabla1[[#This Row],[Tiempo
(Hrs 00/100)]],"cumple","no cumple"),"")</f>
        <v>cumple</v>
      </c>
      <c r="W3089" s="376" t="s">
        <v>5372</v>
      </c>
      <c r="X3089" s="18" t="str">
        <f t="shared" si="231"/>
        <v>SSI</v>
      </c>
      <c r="Y3089" t="str">
        <f>SUBSTITUTE(Tabla1[[#This Row],[Descripción]],CHAR(10),"    I    ")</f>
        <v>Se valida el funcionamiento de los servicios de regtsitro de estadisticos en buscadores nacionales</v>
      </c>
      <c r="Z3089" s="112">
        <f>VLOOKUP(Tabla1[[#This Row],[Perfil]],Catalogos!$B$75:$D$100,3,FALSE)*Tabla1[[#This Row],[Tiempo
(Hrs 00/100)]]*1.16</f>
        <v>4640</v>
      </c>
      <c r="AA3089" t="s">
        <v>3356</v>
      </c>
    </row>
    <row r="3090" spans="1:27" ht="30" customHeight="1" x14ac:dyDescent="0.3">
      <c r="A3090" s="203" t="s">
        <v>22</v>
      </c>
      <c r="B3090" s="204" t="s">
        <v>23</v>
      </c>
      <c r="C3090" s="205" t="s">
        <v>257</v>
      </c>
      <c r="D3090" s="206"/>
      <c r="E3090" s="203" t="s">
        <v>554</v>
      </c>
      <c r="F3090" s="203" t="s">
        <v>23</v>
      </c>
      <c r="G3090" s="224" t="s">
        <v>5532</v>
      </c>
      <c r="H3090" s="207" t="s">
        <v>5519</v>
      </c>
      <c r="I3090" s="208" t="s">
        <v>5520</v>
      </c>
      <c r="J3090" s="369">
        <v>45268</v>
      </c>
      <c r="K3090" s="747">
        <v>0.375</v>
      </c>
      <c r="L3090" s="369">
        <v>45268</v>
      </c>
      <c r="M3090" s="753">
        <v>0.79166666666666663</v>
      </c>
      <c r="N3090" s="210">
        <v>8</v>
      </c>
      <c r="O3090" s="204" t="s">
        <v>17</v>
      </c>
      <c r="P3090" s="197" t="s">
        <v>4525</v>
      </c>
      <c r="Q3090" s="206" t="s">
        <v>558</v>
      </c>
      <c r="R3090" s="209" t="s">
        <v>263</v>
      </c>
      <c r="S3090" s="31" t="s">
        <v>273</v>
      </c>
      <c r="T3090" s="31" t="s">
        <v>273</v>
      </c>
      <c r="U3090" s="31">
        <f>IFERROR(VLOOKUP(CONCATENATE(Tabla1[[#This Row],[Severidad]]," ",Tabla1[[#This Row],[Complejidad]]),Catalogos!E$120:G$128,3,FALSE),"")</f>
        <v>64</v>
      </c>
      <c r="V3090" s="31" t="str">
        <f>IF(Tabla1[[#This Row],[Tiempo solución max (hrs)]]&lt;&gt;"",IF(Tabla1[[#This Row],[Tiempo solución max (hrs)]]&gt;=Tabla1[[#This Row],[Tiempo
(Hrs 00/100)]],"cumple","no cumple"),"")</f>
        <v>cumple</v>
      </c>
      <c r="W3090" s="376" t="s">
        <v>5372</v>
      </c>
      <c r="X3090" s="18" t="str">
        <f t="shared" si="231"/>
        <v>SSI</v>
      </c>
      <c r="Y3090" t="str">
        <f>SUBSTITUTE(Tabla1[[#This Row],[Descripción]],CHAR(10),"    I    ")</f>
        <v>Se realiza el apoyo para realizar un compilado y configuracion de google play store</v>
      </c>
      <c r="Z3090" s="112">
        <f>VLOOKUP(Tabla1[[#This Row],[Perfil]],Catalogos!$B$75:$D$100,3,FALSE)*Tabla1[[#This Row],[Tiempo
(Hrs 00/100)]]*1.16</f>
        <v>4640</v>
      </c>
      <c r="AA3090" t="s">
        <v>3356</v>
      </c>
    </row>
    <row r="3091" spans="1:27" ht="30" customHeight="1" x14ac:dyDescent="0.3">
      <c r="A3091" s="203" t="s">
        <v>22</v>
      </c>
      <c r="B3091" s="204" t="s">
        <v>23</v>
      </c>
      <c r="C3091" s="205" t="s">
        <v>257</v>
      </c>
      <c r="D3091" s="206"/>
      <c r="E3091" s="203" t="s">
        <v>554</v>
      </c>
      <c r="F3091" s="203" t="s">
        <v>23</v>
      </c>
      <c r="G3091" s="224" t="s">
        <v>5533</v>
      </c>
      <c r="H3091" s="207" t="s">
        <v>5521</v>
      </c>
      <c r="I3091" s="208" t="s">
        <v>5522</v>
      </c>
      <c r="J3091" s="369">
        <v>45271</v>
      </c>
      <c r="K3091" s="747">
        <v>0.375</v>
      </c>
      <c r="L3091" s="369">
        <v>45271</v>
      </c>
      <c r="M3091" s="753">
        <v>0.79166666666666663</v>
      </c>
      <c r="N3091" s="210">
        <v>8</v>
      </c>
      <c r="O3091" s="204" t="s">
        <v>411</v>
      </c>
      <c r="P3091" s="197" t="s">
        <v>4525</v>
      </c>
      <c r="Q3091" s="206" t="s">
        <v>558</v>
      </c>
      <c r="R3091" s="209" t="s">
        <v>263</v>
      </c>
      <c r="S3091" s="31" t="s">
        <v>273</v>
      </c>
      <c r="T3091" s="31" t="s">
        <v>273</v>
      </c>
      <c r="U3091" s="31">
        <f>IFERROR(VLOOKUP(CONCATENATE(Tabla1[[#This Row],[Severidad]]," ",Tabla1[[#This Row],[Complejidad]]),Catalogos!E$120:G$128,3,FALSE),"")</f>
        <v>64</v>
      </c>
      <c r="V3091" s="31" t="str">
        <f>IF(Tabla1[[#This Row],[Tiempo solución max (hrs)]]&lt;&gt;"",IF(Tabla1[[#This Row],[Tiempo solución max (hrs)]]&gt;=Tabla1[[#This Row],[Tiempo
(Hrs 00/100)]],"cumple","no cumple"),"")</f>
        <v>cumple</v>
      </c>
      <c r="W3091" s="376" t="s">
        <v>5372</v>
      </c>
      <c r="X3091" s="18" t="str">
        <f t="shared" si="231"/>
        <v>SSI</v>
      </c>
      <c r="Y3091" t="str">
        <f>SUBSTITUTE(Tabla1[[#This Row],[Descripción]],CHAR(10),"    I    ")</f>
        <v>Se realiza el apoyo para realizar un compilados,corregir incidencias registradas por tiendas</v>
      </c>
      <c r="Z3091" s="112">
        <f>VLOOKUP(Tabla1[[#This Row],[Perfil]],Catalogos!$B$75:$D$100,3,FALSE)*Tabla1[[#This Row],[Tiempo
(Hrs 00/100)]]*1.16</f>
        <v>4640</v>
      </c>
      <c r="AA3091" t="s">
        <v>3356</v>
      </c>
    </row>
    <row r="3092" spans="1:27" ht="30" customHeight="1" x14ac:dyDescent="0.3">
      <c r="A3092" s="198" t="s">
        <v>22</v>
      </c>
      <c r="B3092" s="198" t="s">
        <v>23</v>
      </c>
      <c r="C3092" s="205" t="s">
        <v>257</v>
      </c>
      <c r="D3092" s="198"/>
      <c r="E3092" s="198" t="s">
        <v>554</v>
      </c>
      <c r="F3092" s="198" t="s">
        <v>23</v>
      </c>
      <c r="G3092" s="224" t="s">
        <v>5534</v>
      </c>
      <c r="H3092" s="207" t="s">
        <v>5521</v>
      </c>
      <c r="I3092" s="208" t="s">
        <v>5522</v>
      </c>
      <c r="J3092" s="369">
        <v>45272</v>
      </c>
      <c r="K3092" s="747">
        <v>0.375</v>
      </c>
      <c r="L3092" s="369">
        <v>45272</v>
      </c>
      <c r="M3092" s="753">
        <v>0.79166666666666663</v>
      </c>
      <c r="N3092" s="187">
        <v>8</v>
      </c>
      <c r="O3092" s="204" t="s">
        <v>411</v>
      </c>
      <c r="P3092" s="197" t="s">
        <v>4525</v>
      </c>
      <c r="Q3092" s="201" t="s">
        <v>558</v>
      </c>
      <c r="R3092" s="202" t="s">
        <v>263</v>
      </c>
      <c r="S3092" s="31" t="s">
        <v>273</v>
      </c>
      <c r="T3092" s="31" t="s">
        <v>273</v>
      </c>
      <c r="U3092" s="31">
        <f>IFERROR(VLOOKUP(CONCATENATE(Tabla1[[#This Row],[Severidad]]," ",Tabla1[[#This Row],[Complejidad]]),Catalogos!E$120:G$128,3,FALSE),"")</f>
        <v>64</v>
      </c>
      <c r="V3092" s="31" t="str">
        <f>IF(Tabla1[[#This Row],[Tiempo solución max (hrs)]]&lt;&gt;"",IF(Tabla1[[#This Row],[Tiempo solución max (hrs)]]&gt;=Tabla1[[#This Row],[Tiempo
(Hrs 00/100)]],"cumple","no cumple"),"")</f>
        <v>cumple</v>
      </c>
      <c r="W3092" s="376" t="s">
        <v>5372</v>
      </c>
      <c r="X3092" s="18" t="str">
        <f t="shared" si="231"/>
        <v>SSI</v>
      </c>
      <c r="Y3092" t="str">
        <f>SUBSTITUTE(Tabla1[[#This Row],[Descripción]],CHAR(10),"    I    ")</f>
        <v>Se realiza el apoyo para realizar un compilados,corregir incidencias registradas por tiendas</v>
      </c>
      <c r="Z3092" s="112">
        <f>VLOOKUP(Tabla1[[#This Row],[Perfil]],Catalogos!$B$75:$D$100,3,FALSE)*Tabla1[[#This Row],[Tiempo
(Hrs 00/100)]]*1.16</f>
        <v>4640</v>
      </c>
      <c r="AA3092" t="s">
        <v>3356</v>
      </c>
    </row>
    <row r="3093" spans="1:27" ht="30" customHeight="1" x14ac:dyDescent="0.3">
      <c r="A3093" s="203" t="s">
        <v>22</v>
      </c>
      <c r="B3093" s="204" t="s">
        <v>23</v>
      </c>
      <c r="C3093" s="205" t="s">
        <v>257</v>
      </c>
      <c r="D3093" s="206"/>
      <c r="E3093" s="203" t="s">
        <v>554</v>
      </c>
      <c r="F3093" s="203" t="s">
        <v>23</v>
      </c>
      <c r="G3093" s="224" t="s">
        <v>5534</v>
      </c>
      <c r="H3093" s="207" t="s">
        <v>5521</v>
      </c>
      <c r="I3093" s="208" t="s">
        <v>5522</v>
      </c>
      <c r="J3093" s="369">
        <v>45273</v>
      </c>
      <c r="K3093" s="747">
        <v>0.375</v>
      </c>
      <c r="L3093" s="369">
        <v>45273</v>
      </c>
      <c r="M3093" s="753">
        <v>0.79166666666666663</v>
      </c>
      <c r="N3093" s="210">
        <v>8</v>
      </c>
      <c r="O3093" s="204" t="s">
        <v>411</v>
      </c>
      <c r="P3093" s="197" t="s">
        <v>4525</v>
      </c>
      <c r="Q3093" s="206" t="s">
        <v>558</v>
      </c>
      <c r="R3093" s="209" t="s">
        <v>263</v>
      </c>
      <c r="S3093" s="31" t="s">
        <v>273</v>
      </c>
      <c r="T3093" s="31" t="s">
        <v>273</v>
      </c>
      <c r="U3093" s="31">
        <f>IFERROR(VLOOKUP(CONCATENATE(Tabla1[[#This Row],[Severidad]]," ",Tabla1[[#This Row],[Complejidad]]),Catalogos!E$120:G$128,3,FALSE),"")</f>
        <v>64</v>
      </c>
      <c r="V3093" s="31" t="str">
        <f>IF(Tabla1[[#This Row],[Tiempo solución max (hrs)]]&lt;&gt;"",IF(Tabla1[[#This Row],[Tiempo solución max (hrs)]]&gt;=Tabla1[[#This Row],[Tiempo
(Hrs 00/100)]],"cumple","no cumple"),"")</f>
        <v>cumple</v>
      </c>
      <c r="W3093" s="376" t="s">
        <v>5372</v>
      </c>
      <c r="X3093" s="18" t="str">
        <f t="shared" si="231"/>
        <v>SSI</v>
      </c>
      <c r="Y3093" t="str">
        <f>SUBSTITUTE(Tabla1[[#This Row],[Descripción]],CHAR(10),"    I    ")</f>
        <v>Se realiza el apoyo para realizar un compilados,corregir incidencias registradas por tiendas</v>
      </c>
      <c r="Z3093" s="112">
        <f>VLOOKUP(Tabla1[[#This Row],[Perfil]],Catalogos!$B$75:$D$100,3,FALSE)*Tabla1[[#This Row],[Tiempo
(Hrs 00/100)]]*1.16</f>
        <v>4640</v>
      </c>
      <c r="AA3093" t="s">
        <v>3356</v>
      </c>
    </row>
    <row r="3094" spans="1:27" ht="30" customHeight="1" x14ac:dyDescent="0.3">
      <c r="A3094" s="203" t="s">
        <v>22</v>
      </c>
      <c r="B3094" s="204" t="s">
        <v>23</v>
      </c>
      <c r="C3094" s="205" t="s">
        <v>257</v>
      </c>
      <c r="D3094" s="206"/>
      <c r="E3094" s="203" t="s">
        <v>554</v>
      </c>
      <c r="F3094" s="203" t="s">
        <v>23</v>
      </c>
      <c r="G3094" s="224" t="s">
        <v>5534</v>
      </c>
      <c r="H3094" s="207" t="s">
        <v>5521</v>
      </c>
      <c r="I3094" s="208" t="s">
        <v>5522</v>
      </c>
      <c r="J3094" s="369">
        <v>45274</v>
      </c>
      <c r="K3094" s="747">
        <v>0.375</v>
      </c>
      <c r="L3094" s="369">
        <v>45274</v>
      </c>
      <c r="M3094" s="753">
        <v>0.79166666666666663</v>
      </c>
      <c r="N3094" s="210">
        <v>8</v>
      </c>
      <c r="O3094" s="204" t="s">
        <v>411</v>
      </c>
      <c r="P3094" s="197" t="s">
        <v>4525</v>
      </c>
      <c r="Q3094" s="206" t="s">
        <v>558</v>
      </c>
      <c r="R3094" s="209" t="s">
        <v>263</v>
      </c>
      <c r="S3094" s="31" t="s">
        <v>273</v>
      </c>
      <c r="T3094" s="31" t="s">
        <v>273</v>
      </c>
      <c r="U3094" s="31">
        <f>IFERROR(VLOOKUP(CONCATENATE(Tabla1[[#This Row],[Severidad]]," ",Tabla1[[#This Row],[Complejidad]]),Catalogos!E$120:G$128,3,FALSE),"")</f>
        <v>64</v>
      </c>
      <c r="V3094" s="31" t="str">
        <f>IF(Tabla1[[#This Row],[Tiempo solución max (hrs)]]&lt;&gt;"",IF(Tabla1[[#This Row],[Tiempo solución max (hrs)]]&gt;=Tabla1[[#This Row],[Tiempo
(Hrs 00/100)]],"cumple","no cumple"),"")</f>
        <v>cumple</v>
      </c>
      <c r="W3094" s="376" t="s">
        <v>5372</v>
      </c>
      <c r="X3094" s="18" t="str">
        <f t="shared" ref="X3094:X3157" si="233">IF(C3094&lt;&gt;"",C3094,D3094)</f>
        <v>SSI</v>
      </c>
      <c r="Y3094" t="str">
        <f>SUBSTITUTE(Tabla1[[#This Row],[Descripción]],CHAR(10),"    I    ")</f>
        <v>Se realiza el apoyo para realizar un compilados,corregir incidencias registradas por tiendas</v>
      </c>
      <c r="Z3094" s="112">
        <f>VLOOKUP(Tabla1[[#This Row],[Perfil]],Catalogos!$B$75:$D$100,3,FALSE)*Tabla1[[#This Row],[Tiempo
(Hrs 00/100)]]*1.16</f>
        <v>4640</v>
      </c>
      <c r="AA3094" t="s">
        <v>3356</v>
      </c>
    </row>
    <row r="3095" spans="1:27" ht="30" customHeight="1" x14ac:dyDescent="0.3">
      <c r="A3095" s="203" t="s">
        <v>22</v>
      </c>
      <c r="B3095" s="204" t="s">
        <v>23</v>
      </c>
      <c r="C3095" s="205" t="s">
        <v>257</v>
      </c>
      <c r="D3095" s="206"/>
      <c r="E3095" s="203" t="s">
        <v>554</v>
      </c>
      <c r="F3095" s="203" t="s">
        <v>23</v>
      </c>
      <c r="G3095" s="224" t="s">
        <v>5534</v>
      </c>
      <c r="H3095" s="207" t="s">
        <v>5521</v>
      </c>
      <c r="I3095" s="208" t="s">
        <v>5522</v>
      </c>
      <c r="J3095" s="369">
        <v>45275</v>
      </c>
      <c r="K3095" s="747">
        <v>0.375</v>
      </c>
      <c r="L3095" s="369">
        <v>45275</v>
      </c>
      <c r="M3095" s="753">
        <v>0.79166666666666663</v>
      </c>
      <c r="N3095" s="210">
        <v>8</v>
      </c>
      <c r="O3095" s="204" t="s">
        <v>411</v>
      </c>
      <c r="P3095" s="197" t="s">
        <v>4525</v>
      </c>
      <c r="Q3095" s="206" t="s">
        <v>558</v>
      </c>
      <c r="R3095" s="209" t="s">
        <v>263</v>
      </c>
      <c r="S3095" s="31" t="s">
        <v>273</v>
      </c>
      <c r="T3095" s="31" t="s">
        <v>273</v>
      </c>
      <c r="U3095" s="31">
        <f>IFERROR(VLOOKUP(CONCATENATE(Tabla1[[#This Row],[Severidad]]," ",Tabla1[[#This Row],[Complejidad]]),Catalogos!E$120:G$128,3,FALSE),"")</f>
        <v>64</v>
      </c>
      <c r="V3095" s="31" t="str">
        <f>IF(Tabla1[[#This Row],[Tiempo solución max (hrs)]]&lt;&gt;"",IF(Tabla1[[#This Row],[Tiempo solución max (hrs)]]&gt;=Tabla1[[#This Row],[Tiempo
(Hrs 00/100)]],"cumple","no cumple"),"")</f>
        <v>cumple</v>
      </c>
      <c r="W3095" s="376" t="s">
        <v>5372</v>
      </c>
      <c r="X3095" s="18" t="str">
        <f t="shared" si="233"/>
        <v>SSI</v>
      </c>
      <c r="Y3095" t="str">
        <f>SUBSTITUTE(Tabla1[[#This Row],[Descripción]],CHAR(10),"    I    ")</f>
        <v>Se realiza el apoyo para realizar un compilados,corregir incidencias registradas por tiendas</v>
      </c>
      <c r="Z3095" s="112">
        <f>VLOOKUP(Tabla1[[#This Row],[Perfil]],Catalogos!$B$75:$D$100,3,FALSE)*Tabla1[[#This Row],[Tiempo
(Hrs 00/100)]]*1.16</f>
        <v>4640</v>
      </c>
      <c r="AA3095" t="s">
        <v>3356</v>
      </c>
    </row>
    <row r="3096" spans="1:27" ht="30" customHeight="1" x14ac:dyDescent="0.3">
      <c r="A3096" s="198" t="s">
        <v>22</v>
      </c>
      <c r="B3096" s="198" t="s">
        <v>23</v>
      </c>
      <c r="C3096" s="205" t="s">
        <v>257</v>
      </c>
      <c r="D3096" s="198"/>
      <c r="E3096" s="198" t="s">
        <v>554</v>
      </c>
      <c r="F3096" s="198" t="s">
        <v>23</v>
      </c>
      <c r="G3096" s="224" t="s">
        <v>5534</v>
      </c>
      <c r="H3096" s="207" t="s">
        <v>5521</v>
      </c>
      <c r="I3096" s="208" t="s">
        <v>5522</v>
      </c>
      <c r="J3096" s="369">
        <v>45278</v>
      </c>
      <c r="K3096" s="747">
        <v>0.375</v>
      </c>
      <c r="L3096" s="369">
        <v>45278</v>
      </c>
      <c r="M3096" s="753">
        <v>0.79166666666666663</v>
      </c>
      <c r="N3096" s="187">
        <v>8</v>
      </c>
      <c r="O3096" s="204" t="s">
        <v>411</v>
      </c>
      <c r="P3096" s="197" t="s">
        <v>4525</v>
      </c>
      <c r="Q3096" s="201" t="s">
        <v>558</v>
      </c>
      <c r="R3096" s="202" t="s">
        <v>263</v>
      </c>
      <c r="S3096" s="31" t="s">
        <v>273</v>
      </c>
      <c r="T3096" s="31" t="s">
        <v>273</v>
      </c>
      <c r="U3096" s="31">
        <f>IFERROR(VLOOKUP(CONCATENATE(Tabla1[[#This Row],[Severidad]]," ",Tabla1[[#This Row],[Complejidad]]),Catalogos!E$120:G$128,3,FALSE),"")</f>
        <v>64</v>
      </c>
      <c r="V3096" s="31" t="str">
        <f>IF(Tabla1[[#This Row],[Tiempo solución max (hrs)]]&lt;&gt;"",IF(Tabla1[[#This Row],[Tiempo solución max (hrs)]]&gt;=Tabla1[[#This Row],[Tiempo
(Hrs 00/100)]],"cumple","no cumple"),"")</f>
        <v>cumple</v>
      </c>
      <c r="W3096" s="376" t="s">
        <v>5372</v>
      </c>
      <c r="X3096" s="18" t="str">
        <f t="shared" si="233"/>
        <v>SSI</v>
      </c>
      <c r="Y3096" t="str">
        <f>SUBSTITUTE(Tabla1[[#This Row],[Descripción]],CHAR(10),"    I    ")</f>
        <v>Se realiza el apoyo para realizar un compilados,corregir incidencias registradas por tiendas</v>
      </c>
      <c r="Z3096" s="112">
        <f>VLOOKUP(Tabla1[[#This Row],[Perfil]],Catalogos!$B$75:$D$100,3,FALSE)*Tabla1[[#This Row],[Tiempo
(Hrs 00/100)]]*1.16</f>
        <v>4640</v>
      </c>
      <c r="AA3096" t="s">
        <v>3356</v>
      </c>
    </row>
    <row r="3097" spans="1:27" ht="30" customHeight="1" x14ac:dyDescent="0.3">
      <c r="A3097" s="203" t="s">
        <v>22</v>
      </c>
      <c r="B3097" s="204" t="s">
        <v>23</v>
      </c>
      <c r="C3097" s="205" t="s">
        <v>257</v>
      </c>
      <c r="D3097" s="206"/>
      <c r="E3097" s="203" t="s">
        <v>554</v>
      </c>
      <c r="F3097" s="203" t="s">
        <v>23</v>
      </c>
      <c r="G3097" s="224" t="s">
        <v>5534</v>
      </c>
      <c r="H3097" s="207" t="s">
        <v>5521</v>
      </c>
      <c r="I3097" s="208" t="s">
        <v>5522</v>
      </c>
      <c r="J3097" s="369">
        <v>45279</v>
      </c>
      <c r="K3097" s="747">
        <v>0.375</v>
      </c>
      <c r="L3097" s="369">
        <v>45279</v>
      </c>
      <c r="M3097" s="753">
        <v>0.79166666666666663</v>
      </c>
      <c r="N3097" s="210">
        <v>8</v>
      </c>
      <c r="O3097" s="204" t="s">
        <v>17</v>
      </c>
      <c r="P3097" s="197" t="s">
        <v>4525</v>
      </c>
      <c r="Q3097" s="206" t="s">
        <v>558</v>
      </c>
      <c r="R3097" s="209" t="s">
        <v>263</v>
      </c>
      <c r="S3097" s="31" t="s">
        <v>273</v>
      </c>
      <c r="T3097" s="31" t="s">
        <v>273</v>
      </c>
      <c r="U3097" s="31">
        <f>IFERROR(VLOOKUP(CONCATENATE(Tabla1[[#This Row],[Severidad]]," ",Tabla1[[#This Row],[Complejidad]]),Catalogos!E$120:G$128,3,FALSE),"")</f>
        <v>64</v>
      </c>
      <c r="V3097" s="31" t="str">
        <f>IF(Tabla1[[#This Row],[Tiempo solución max (hrs)]]&lt;&gt;"",IF(Tabla1[[#This Row],[Tiempo solución max (hrs)]]&gt;=Tabla1[[#This Row],[Tiempo
(Hrs 00/100)]],"cumple","no cumple"),"")</f>
        <v>cumple</v>
      </c>
      <c r="W3097" s="376" t="s">
        <v>5372</v>
      </c>
      <c r="X3097" s="18" t="str">
        <f t="shared" si="233"/>
        <v>SSI</v>
      </c>
      <c r="Y3097" t="str">
        <f>SUBSTITUTE(Tabla1[[#This Row],[Descripción]],CHAR(10),"    I    ")</f>
        <v>Se realiza el apoyo para realizar un compilados,corregir incidencias registradas por tiendas</v>
      </c>
      <c r="Z3097" s="112">
        <f>VLOOKUP(Tabla1[[#This Row],[Perfil]],Catalogos!$B$75:$D$100,3,FALSE)*Tabla1[[#This Row],[Tiempo
(Hrs 00/100)]]*1.16</f>
        <v>4640</v>
      </c>
      <c r="AA3097" t="s">
        <v>3356</v>
      </c>
    </row>
    <row r="3098" spans="1:27" ht="30" customHeight="1" x14ac:dyDescent="0.3">
      <c r="A3098" s="187" t="s">
        <v>22</v>
      </c>
      <c r="B3098" s="188" t="s">
        <v>68</v>
      </c>
      <c r="C3098" s="183" t="s">
        <v>16</v>
      </c>
      <c r="D3098" s="187"/>
      <c r="E3098" s="812" t="s">
        <v>503</v>
      </c>
      <c r="F3098" s="187" t="s">
        <v>75</v>
      </c>
      <c r="G3098" s="817" t="s">
        <v>5569</v>
      </c>
      <c r="H3098" s="813" t="s">
        <v>436</v>
      </c>
      <c r="I3098" s="189" t="s">
        <v>5535</v>
      </c>
      <c r="J3098" s="814">
        <v>45261</v>
      </c>
      <c r="K3098" s="815">
        <v>0.375</v>
      </c>
      <c r="L3098" s="814">
        <v>45261</v>
      </c>
      <c r="M3098" s="815">
        <v>0.5</v>
      </c>
      <c r="N3098" s="187">
        <v>3</v>
      </c>
      <c r="O3098" s="184" t="s">
        <v>17</v>
      </c>
      <c r="P3098" s="197"/>
      <c r="Q3098" s="182" t="s">
        <v>258</v>
      </c>
      <c r="R3098" s="621" t="s">
        <v>81</v>
      </c>
      <c r="S3098" s="31" t="s">
        <v>273</v>
      </c>
      <c r="T3098" s="31" t="s">
        <v>273</v>
      </c>
      <c r="U3098" s="31">
        <f>IFERROR(VLOOKUP(CONCATENATE(Tabla1[[#This Row],[Severidad]]," ",Tabla1[[#This Row],[Complejidad]]),Catalogos!E$120:G$128,3,FALSE),"")</f>
        <v>64</v>
      </c>
      <c r="V3098" s="31" t="str">
        <f>IF(Tabla1[[#This Row],[Tiempo solución max (hrs)]]&lt;&gt;"",IF(Tabla1[[#This Row],[Tiempo solución max (hrs)]]&gt;=Tabla1[[#This Row],[Tiempo
(Hrs 00/100)]],"cumple","no cumple"),"")</f>
        <v>cumple</v>
      </c>
      <c r="W3098" s="376" t="s">
        <v>5372</v>
      </c>
      <c r="X3098" s="18" t="str">
        <f t="shared" si="233"/>
        <v>SAW</v>
      </c>
      <c r="Y3098" t="str">
        <f>SUBSTITUTE(Tabla1[[#This Row],[Descripción]],CHAR(10),"    I    ")</f>
        <v xml:space="preserve">actualizacin avance de proyecto </v>
      </c>
      <c r="Z3098" s="112">
        <f>VLOOKUP(Tabla1[[#This Row],[Perfil]],Catalogos!$B$75:$D$100,3,FALSE)*Tabla1[[#This Row],[Tiempo
(Hrs 00/100)]]*1.16</f>
        <v>1739.9999999999998</v>
      </c>
    </row>
    <row r="3099" spans="1:27" ht="30" customHeight="1" x14ac:dyDescent="0.3">
      <c r="A3099" s="187" t="s">
        <v>22</v>
      </c>
      <c r="B3099" s="188" t="s">
        <v>68</v>
      </c>
      <c r="C3099" s="183" t="s">
        <v>16</v>
      </c>
      <c r="D3099" s="187"/>
      <c r="E3099" s="812" t="s">
        <v>503</v>
      </c>
      <c r="F3099" s="187" t="s">
        <v>75</v>
      </c>
      <c r="G3099" s="817" t="s">
        <v>5570</v>
      </c>
      <c r="H3099" s="813" t="s">
        <v>436</v>
      </c>
      <c r="I3099" s="816" t="s">
        <v>5536</v>
      </c>
      <c r="J3099" s="814">
        <v>45261</v>
      </c>
      <c r="K3099" s="815">
        <v>0.5</v>
      </c>
      <c r="L3099" s="814">
        <v>45261</v>
      </c>
      <c r="M3099" s="815">
        <v>0.75</v>
      </c>
      <c r="N3099" s="187">
        <v>5</v>
      </c>
      <c r="O3099" s="184" t="s">
        <v>17</v>
      </c>
      <c r="P3099" s="197"/>
      <c r="Q3099" s="182" t="s">
        <v>258</v>
      </c>
      <c r="R3099" s="621" t="s">
        <v>81</v>
      </c>
      <c r="S3099" s="31" t="s">
        <v>273</v>
      </c>
      <c r="T3099" s="31" t="s">
        <v>273</v>
      </c>
      <c r="U3099" s="31">
        <f>IFERROR(VLOOKUP(CONCATENATE(Tabla1[[#This Row],[Severidad]]," ",Tabla1[[#This Row],[Complejidad]]),Catalogos!E$120:G$128,3,FALSE),"")</f>
        <v>64</v>
      </c>
      <c r="V3099" s="31" t="str">
        <f>IF(Tabla1[[#This Row],[Tiempo solución max (hrs)]]&lt;&gt;"",IF(Tabla1[[#This Row],[Tiempo solución max (hrs)]]&gt;=Tabla1[[#This Row],[Tiempo
(Hrs 00/100)]],"cumple","no cumple"),"")</f>
        <v>cumple</v>
      </c>
      <c r="W3099" s="376" t="s">
        <v>5372</v>
      </c>
      <c r="X3099" s="18" t="str">
        <f t="shared" si="233"/>
        <v>SAW</v>
      </c>
      <c r="Y3099" t="str">
        <f>SUBSTITUTE(Tabla1[[#This Row],[Descripción]],CHAR(10),"    I    ")</f>
        <v xml:space="preserve">actualizacion sitio servicio profecional </v>
      </c>
      <c r="Z3099" s="112">
        <f>VLOOKUP(Tabla1[[#This Row],[Perfil]],Catalogos!$B$75:$D$100,3,FALSE)*Tabla1[[#This Row],[Tiempo
(Hrs 00/100)]]*1.16</f>
        <v>2900</v>
      </c>
    </row>
    <row r="3100" spans="1:27" ht="30" customHeight="1" x14ac:dyDescent="0.3">
      <c r="A3100" s="187" t="s">
        <v>22</v>
      </c>
      <c r="B3100" s="188" t="s">
        <v>68</v>
      </c>
      <c r="C3100" s="183" t="s">
        <v>16</v>
      </c>
      <c r="D3100" s="187"/>
      <c r="E3100" s="812" t="s">
        <v>503</v>
      </c>
      <c r="F3100" s="187" t="s">
        <v>75</v>
      </c>
      <c r="G3100" s="817" t="s">
        <v>5571</v>
      </c>
      <c r="H3100" s="813" t="s">
        <v>436</v>
      </c>
      <c r="I3100" s="620" t="s">
        <v>5537</v>
      </c>
      <c r="J3100" s="814">
        <v>45264</v>
      </c>
      <c r="K3100" s="815">
        <v>0.375</v>
      </c>
      <c r="L3100" s="814">
        <v>45264</v>
      </c>
      <c r="M3100" s="815">
        <v>0.52083333333333337</v>
      </c>
      <c r="N3100" s="187">
        <v>3.5</v>
      </c>
      <c r="O3100" s="184" t="s">
        <v>17</v>
      </c>
      <c r="P3100" s="197"/>
      <c r="Q3100" s="182" t="s">
        <v>258</v>
      </c>
      <c r="R3100" s="621" t="s">
        <v>81</v>
      </c>
      <c r="S3100" s="31" t="s">
        <v>273</v>
      </c>
      <c r="T3100" s="31" t="s">
        <v>273</v>
      </c>
      <c r="U3100" s="31">
        <f>IFERROR(VLOOKUP(CONCATENATE(Tabla1[[#This Row],[Severidad]]," ",Tabla1[[#This Row],[Complejidad]]),Catalogos!E$120:G$128,3,FALSE),"")</f>
        <v>64</v>
      </c>
      <c r="V3100" s="31" t="str">
        <f>IF(Tabla1[[#This Row],[Tiempo solución max (hrs)]]&lt;&gt;"",IF(Tabla1[[#This Row],[Tiempo solución max (hrs)]]&gt;=Tabla1[[#This Row],[Tiempo
(Hrs 00/100)]],"cumple","no cumple"),"")</f>
        <v>cumple</v>
      </c>
      <c r="W3100" s="376" t="s">
        <v>5372</v>
      </c>
      <c r="X3100" s="18" t="str">
        <f t="shared" si="233"/>
        <v>SAW</v>
      </c>
      <c r="Y3100" t="str">
        <f>SUBSTITUTE(Tabla1[[#This Row],[Descripción]],CHAR(10),"    I    ")</f>
        <v xml:space="preserve">actualizacion micrositio Resoluciones  </v>
      </c>
      <c r="Z3100" s="112">
        <f>VLOOKUP(Tabla1[[#This Row],[Perfil]],Catalogos!$B$75:$D$100,3,FALSE)*Tabla1[[#This Row],[Tiempo
(Hrs 00/100)]]*1.16</f>
        <v>2029.9999999999998</v>
      </c>
    </row>
    <row r="3101" spans="1:27" ht="30" customHeight="1" x14ac:dyDescent="0.3">
      <c r="A3101" s="187" t="s">
        <v>22</v>
      </c>
      <c r="B3101" s="188" t="s">
        <v>68</v>
      </c>
      <c r="C3101" s="183" t="s">
        <v>16</v>
      </c>
      <c r="D3101" s="187"/>
      <c r="E3101" s="812" t="s">
        <v>503</v>
      </c>
      <c r="F3101" s="187" t="s">
        <v>75</v>
      </c>
      <c r="G3101" s="817" t="s">
        <v>5572</v>
      </c>
      <c r="H3101" s="813" t="s">
        <v>436</v>
      </c>
      <c r="I3101" s="189" t="s">
        <v>5538</v>
      </c>
      <c r="J3101" s="814">
        <v>45264</v>
      </c>
      <c r="K3101" s="815">
        <v>0.52083333333333337</v>
      </c>
      <c r="L3101" s="814">
        <v>45264</v>
      </c>
      <c r="M3101" s="815">
        <v>0.60416666666666663</v>
      </c>
      <c r="N3101" s="187">
        <v>2</v>
      </c>
      <c r="O3101" s="184" t="s">
        <v>17</v>
      </c>
      <c r="P3101" s="197"/>
      <c r="Q3101" s="182" t="s">
        <v>258</v>
      </c>
      <c r="R3101" s="621" t="s">
        <v>81</v>
      </c>
      <c r="S3101" s="31" t="s">
        <v>273</v>
      </c>
      <c r="T3101" s="31" t="s">
        <v>273</v>
      </c>
      <c r="U3101" s="31">
        <f>IFERROR(VLOOKUP(CONCATENATE(Tabla1[[#This Row],[Severidad]]," ",Tabla1[[#This Row],[Complejidad]]),Catalogos!E$120:G$128,3,FALSE),"")</f>
        <v>64</v>
      </c>
      <c r="V3101" s="31" t="str">
        <f>IF(Tabla1[[#This Row],[Tiempo solución max (hrs)]]&lt;&gt;"",IF(Tabla1[[#This Row],[Tiempo solución max (hrs)]]&gt;=Tabla1[[#This Row],[Tiempo
(Hrs 00/100)]],"cumple","no cumple"),"")</f>
        <v>cumple</v>
      </c>
      <c r="W3101" s="376" t="s">
        <v>5372</v>
      </c>
      <c r="X3101" s="18" t="str">
        <f t="shared" si="233"/>
        <v>SAW</v>
      </c>
      <c r="Y3101" t="str">
        <f>SUBSTITUTE(Tabla1[[#This Row],[Descripción]],CHAR(10),"    I    ")</f>
        <v>actualizacion micrositio Buscadores</v>
      </c>
      <c r="Z3101" s="112">
        <f>VLOOKUP(Tabla1[[#This Row],[Perfil]],Catalogos!$B$75:$D$100,3,FALSE)*Tabla1[[#This Row],[Tiempo
(Hrs 00/100)]]*1.16</f>
        <v>1160</v>
      </c>
    </row>
    <row r="3102" spans="1:27" ht="30" customHeight="1" x14ac:dyDescent="0.3">
      <c r="A3102" s="187" t="s">
        <v>22</v>
      </c>
      <c r="B3102" s="188" t="s">
        <v>68</v>
      </c>
      <c r="C3102" s="183" t="s">
        <v>16</v>
      </c>
      <c r="D3102" s="187"/>
      <c r="E3102" s="812" t="s">
        <v>503</v>
      </c>
      <c r="F3102" s="187" t="s">
        <v>75</v>
      </c>
      <c r="G3102" s="817" t="s">
        <v>5573</v>
      </c>
      <c r="H3102" s="813" t="s">
        <v>436</v>
      </c>
      <c r="I3102" s="189" t="s">
        <v>5539</v>
      </c>
      <c r="J3102" s="814">
        <v>45264</v>
      </c>
      <c r="K3102" s="815">
        <v>0.66666666666666663</v>
      </c>
      <c r="L3102" s="814">
        <v>45264</v>
      </c>
      <c r="M3102" s="815">
        <v>0.79166666666666663</v>
      </c>
      <c r="N3102" s="187">
        <v>3</v>
      </c>
      <c r="O3102" s="184" t="s">
        <v>17</v>
      </c>
      <c r="P3102" s="197"/>
      <c r="Q3102" s="182" t="s">
        <v>258</v>
      </c>
      <c r="R3102" s="621" t="s">
        <v>81</v>
      </c>
      <c r="S3102" s="31" t="s">
        <v>273</v>
      </c>
      <c r="T3102" s="31" t="s">
        <v>273</v>
      </c>
      <c r="U3102" s="31">
        <f>IFERROR(VLOOKUP(CONCATENATE(Tabla1[[#This Row],[Severidad]]," ",Tabla1[[#This Row],[Complejidad]]),Catalogos!E$120:G$128,3,FALSE),"")</f>
        <v>64</v>
      </c>
      <c r="V3102" s="31" t="str">
        <f>IF(Tabla1[[#This Row],[Tiempo solución max (hrs)]]&lt;&gt;"",IF(Tabla1[[#This Row],[Tiempo solución max (hrs)]]&gt;=Tabla1[[#This Row],[Tiempo
(Hrs 00/100)]],"cumple","no cumple"),"")</f>
        <v>cumple</v>
      </c>
      <c r="W3102" s="376" t="s">
        <v>5372</v>
      </c>
      <c r="X3102" s="18" t="str">
        <f t="shared" si="233"/>
        <v>SAW</v>
      </c>
      <c r="Y3102" t="str">
        <f>SUBSTITUTE(Tabla1[[#This Row],[Descripción]],CHAR(10),"    I    ")</f>
        <v>actualizacion pagina web</v>
      </c>
      <c r="Z3102" s="112">
        <f>VLOOKUP(Tabla1[[#This Row],[Perfil]],Catalogos!$B$75:$D$100,3,FALSE)*Tabla1[[#This Row],[Tiempo
(Hrs 00/100)]]*1.16</f>
        <v>1739.9999999999998</v>
      </c>
    </row>
    <row r="3103" spans="1:27" ht="30" customHeight="1" x14ac:dyDescent="0.3">
      <c r="A3103" s="187" t="s">
        <v>22</v>
      </c>
      <c r="B3103" s="188" t="s">
        <v>68</v>
      </c>
      <c r="C3103" s="183" t="s">
        <v>16</v>
      </c>
      <c r="D3103" s="187"/>
      <c r="E3103" s="812" t="s">
        <v>503</v>
      </c>
      <c r="F3103" s="187" t="s">
        <v>75</v>
      </c>
      <c r="G3103" s="817" t="s">
        <v>5574</v>
      </c>
      <c r="H3103" s="813" t="s">
        <v>436</v>
      </c>
      <c r="I3103" s="189" t="s">
        <v>5540</v>
      </c>
      <c r="J3103" s="814">
        <v>45265</v>
      </c>
      <c r="K3103" s="815">
        <v>0.375</v>
      </c>
      <c r="L3103" s="814">
        <v>45265</v>
      </c>
      <c r="M3103" s="815">
        <v>0.47916666666666669</v>
      </c>
      <c r="N3103" s="187">
        <v>2.5</v>
      </c>
      <c r="O3103" s="184" t="s">
        <v>17</v>
      </c>
      <c r="P3103" s="197"/>
      <c r="Q3103" s="182" t="s">
        <v>258</v>
      </c>
      <c r="R3103" s="621" t="s">
        <v>81</v>
      </c>
      <c r="S3103" s="31" t="s">
        <v>273</v>
      </c>
      <c r="T3103" s="31" t="s">
        <v>273</v>
      </c>
      <c r="U3103" s="31">
        <f>IFERROR(VLOOKUP(CONCATENATE(Tabla1[[#This Row],[Severidad]]," ",Tabla1[[#This Row],[Complejidad]]),Catalogos!E$120:G$128,3,FALSE),"")</f>
        <v>64</v>
      </c>
      <c r="V3103" s="31" t="str">
        <f>IF(Tabla1[[#This Row],[Tiempo solución max (hrs)]]&lt;&gt;"",IF(Tabla1[[#This Row],[Tiempo solución max (hrs)]]&gt;=Tabla1[[#This Row],[Tiempo
(Hrs 00/100)]],"cumple","no cumple"),"")</f>
        <v>cumple</v>
      </c>
      <c r="W3103" s="376" t="s">
        <v>5372</v>
      </c>
      <c r="X3103" s="18" t="str">
        <f t="shared" si="233"/>
        <v>SAW</v>
      </c>
      <c r="Y3103" t="str">
        <f>SUBSTITUTE(Tabla1[[#This Row],[Descripción]],CHAR(10),"    I    ")</f>
        <v xml:space="preserve">actualizacion Parlamento abierto </v>
      </c>
      <c r="Z3103" s="112">
        <f>VLOOKUP(Tabla1[[#This Row],[Perfil]],Catalogos!$B$75:$D$100,3,FALSE)*Tabla1[[#This Row],[Tiempo
(Hrs 00/100)]]*1.16</f>
        <v>1450</v>
      </c>
    </row>
    <row r="3104" spans="1:27" ht="30" customHeight="1" x14ac:dyDescent="0.3">
      <c r="A3104" s="187" t="s">
        <v>22</v>
      </c>
      <c r="B3104" s="188" t="s">
        <v>68</v>
      </c>
      <c r="C3104" s="183" t="s">
        <v>16</v>
      </c>
      <c r="D3104" s="187"/>
      <c r="E3104" s="812" t="s">
        <v>503</v>
      </c>
      <c r="F3104" s="187" t="s">
        <v>75</v>
      </c>
      <c r="G3104" s="817" t="s">
        <v>5575</v>
      </c>
      <c r="H3104" s="813" t="s">
        <v>436</v>
      </c>
      <c r="I3104" s="620" t="s">
        <v>5541</v>
      </c>
      <c r="J3104" s="814">
        <v>45265</v>
      </c>
      <c r="K3104" s="815">
        <v>0.47916666666666669</v>
      </c>
      <c r="L3104" s="814">
        <v>45265</v>
      </c>
      <c r="M3104" s="815">
        <v>0.60416666666666663</v>
      </c>
      <c r="N3104" s="187">
        <v>3</v>
      </c>
      <c r="O3104" s="184" t="s">
        <v>17</v>
      </c>
      <c r="P3104" s="197"/>
      <c r="Q3104" s="182" t="s">
        <v>258</v>
      </c>
      <c r="R3104" s="621" t="s">
        <v>81</v>
      </c>
      <c r="S3104" s="31" t="s">
        <v>273</v>
      </c>
      <c r="T3104" s="31" t="s">
        <v>273</v>
      </c>
      <c r="U3104" s="31">
        <f>IFERROR(VLOOKUP(CONCATENATE(Tabla1[[#This Row],[Severidad]]," ",Tabla1[[#This Row],[Complejidad]]),Catalogos!E$120:G$128,3,FALSE),"")</f>
        <v>64</v>
      </c>
      <c r="V3104" s="31" t="str">
        <f>IF(Tabla1[[#This Row],[Tiempo solución max (hrs)]]&lt;&gt;"",IF(Tabla1[[#This Row],[Tiempo solución max (hrs)]]&gt;=Tabla1[[#This Row],[Tiempo
(Hrs 00/100)]],"cumple","no cumple"),"")</f>
        <v>cumple</v>
      </c>
      <c r="W3104" s="376" t="s">
        <v>5372</v>
      </c>
      <c r="X3104" s="18" t="str">
        <f t="shared" si="233"/>
        <v>SAW</v>
      </c>
      <c r="Y3104" t="str">
        <f>SUBSTITUTE(Tabla1[[#This Row],[Descripción]],CHAR(10),"    I    ")</f>
        <v>actualizacion servicios profecionales</v>
      </c>
      <c r="Z3104" s="112">
        <f>VLOOKUP(Tabla1[[#This Row],[Perfil]],Catalogos!$B$75:$D$100,3,FALSE)*Tabla1[[#This Row],[Tiempo
(Hrs 00/100)]]*1.16</f>
        <v>1739.9999999999998</v>
      </c>
    </row>
    <row r="3105" spans="1:26" ht="30" customHeight="1" x14ac:dyDescent="0.3">
      <c r="A3105" s="187" t="s">
        <v>22</v>
      </c>
      <c r="B3105" s="188" t="s">
        <v>68</v>
      </c>
      <c r="C3105" s="183" t="s">
        <v>16</v>
      </c>
      <c r="D3105" s="187"/>
      <c r="E3105" s="812" t="s">
        <v>503</v>
      </c>
      <c r="F3105" s="187" t="s">
        <v>75</v>
      </c>
      <c r="G3105" s="817" t="s">
        <v>5576</v>
      </c>
      <c r="H3105" s="813" t="s">
        <v>436</v>
      </c>
      <c r="I3105" s="189" t="s">
        <v>5542</v>
      </c>
      <c r="J3105" s="814">
        <v>45265</v>
      </c>
      <c r="K3105" s="815">
        <v>0.66666666666666663</v>
      </c>
      <c r="L3105" s="814">
        <v>45265</v>
      </c>
      <c r="M3105" s="815">
        <v>0.79166666666666663</v>
      </c>
      <c r="N3105" s="187">
        <v>3</v>
      </c>
      <c r="O3105" s="184" t="s">
        <v>17</v>
      </c>
      <c r="P3105" s="197"/>
      <c r="Q3105" s="182" t="s">
        <v>258</v>
      </c>
      <c r="R3105" s="621" t="s">
        <v>81</v>
      </c>
      <c r="S3105" s="31" t="s">
        <v>273</v>
      </c>
      <c r="T3105" s="31" t="s">
        <v>273</v>
      </c>
      <c r="U3105" s="31">
        <f>IFERROR(VLOOKUP(CONCATENATE(Tabla1[[#This Row],[Severidad]]," ",Tabla1[[#This Row],[Complejidad]]),Catalogos!E$120:G$128,3,FALSE),"")</f>
        <v>64</v>
      </c>
      <c r="V3105" s="31" t="str">
        <f>IF(Tabla1[[#This Row],[Tiempo solución max (hrs)]]&lt;&gt;"",IF(Tabla1[[#This Row],[Tiempo solución max (hrs)]]&gt;=Tabla1[[#This Row],[Tiempo
(Hrs 00/100)]],"cumple","no cumple"),"")</f>
        <v>cumple</v>
      </c>
      <c r="W3105" s="376" t="s">
        <v>5372</v>
      </c>
      <c r="X3105" s="18" t="str">
        <f t="shared" si="233"/>
        <v>SAW</v>
      </c>
      <c r="Y3105" t="str">
        <f>SUBSTITUTE(Tabla1[[#This Row],[Descripción]],CHAR(10),"    I    ")</f>
        <v>actualizacion revista  PVYS</v>
      </c>
      <c r="Z3105" s="112">
        <f>VLOOKUP(Tabla1[[#This Row],[Perfil]],Catalogos!$B$75:$D$100,3,FALSE)*Tabla1[[#This Row],[Tiempo
(Hrs 00/100)]]*1.16</f>
        <v>1739.9999999999998</v>
      </c>
    </row>
    <row r="3106" spans="1:26" ht="30" customHeight="1" x14ac:dyDescent="0.3">
      <c r="A3106" s="187" t="s">
        <v>22</v>
      </c>
      <c r="B3106" s="188" t="s">
        <v>68</v>
      </c>
      <c r="C3106" s="183" t="s">
        <v>16</v>
      </c>
      <c r="D3106" s="187"/>
      <c r="E3106" s="812" t="s">
        <v>503</v>
      </c>
      <c r="F3106" s="187" t="s">
        <v>75</v>
      </c>
      <c r="G3106" s="817" t="s">
        <v>5577</v>
      </c>
      <c r="H3106" s="813" t="s">
        <v>436</v>
      </c>
      <c r="I3106" s="816" t="s">
        <v>5543</v>
      </c>
      <c r="J3106" s="814">
        <v>45266</v>
      </c>
      <c r="K3106" s="815">
        <v>0.375</v>
      </c>
      <c r="L3106" s="814">
        <v>45266</v>
      </c>
      <c r="M3106" s="815">
        <v>0.47916666666666669</v>
      </c>
      <c r="N3106" s="187">
        <v>2.5</v>
      </c>
      <c r="O3106" s="184" t="s">
        <v>17</v>
      </c>
      <c r="P3106" s="197"/>
      <c r="Q3106" s="182" t="s">
        <v>258</v>
      </c>
      <c r="R3106" s="621" t="s">
        <v>81</v>
      </c>
      <c r="S3106" s="31" t="s">
        <v>273</v>
      </c>
      <c r="T3106" s="31" t="s">
        <v>273</v>
      </c>
      <c r="U3106" s="31">
        <f>IFERROR(VLOOKUP(CONCATENATE(Tabla1[[#This Row],[Severidad]]," ",Tabla1[[#This Row],[Complejidad]]),Catalogos!E$120:G$128,3,FALSE),"")</f>
        <v>64</v>
      </c>
      <c r="V3106" s="31" t="str">
        <f>IF(Tabla1[[#This Row],[Tiempo solución max (hrs)]]&lt;&gt;"",IF(Tabla1[[#This Row],[Tiempo solución max (hrs)]]&gt;=Tabla1[[#This Row],[Tiempo
(Hrs 00/100)]],"cumple","no cumple"),"")</f>
        <v>cumple</v>
      </c>
      <c r="W3106" s="376" t="s">
        <v>5372</v>
      </c>
      <c r="X3106" s="18" t="str">
        <f t="shared" si="233"/>
        <v>SAW</v>
      </c>
      <c r="Y3106" t="str">
        <f>SUBSTITUTE(Tabla1[[#This Row],[Descripción]],CHAR(10),"    I    ")</f>
        <v xml:space="preserve">actualizacion micrositio criterios </v>
      </c>
      <c r="Z3106" s="112">
        <f>VLOOKUP(Tabla1[[#This Row],[Perfil]],Catalogos!$B$75:$D$100,3,FALSE)*Tabla1[[#This Row],[Tiempo
(Hrs 00/100)]]*1.16</f>
        <v>1450</v>
      </c>
    </row>
    <row r="3107" spans="1:26" ht="30" customHeight="1" x14ac:dyDescent="0.3">
      <c r="A3107" s="187" t="s">
        <v>22</v>
      </c>
      <c r="B3107" s="188" t="s">
        <v>68</v>
      </c>
      <c r="C3107" s="183" t="s">
        <v>16</v>
      </c>
      <c r="D3107" s="187"/>
      <c r="E3107" s="812" t="s">
        <v>503</v>
      </c>
      <c r="F3107" s="187" t="s">
        <v>75</v>
      </c>
      <c r="G3107" s="817" t="s">
        <v>5578</v>
      </c>
      <c r="H3107" s="813" t="s">
        <v>436</v>
      </c>
      <c r="I3107" s="816" t="s">
        <v>5544</v>
      </c>
      <c r="J3107" s="814">
        <v>45266</v>
      </c>
      <c r="K3107" s="815">
        <v>0.47916666666666669</v>
      </c>
      <c r="L3107" s="814">
        <v>45266</v>
      </c>
      <c r="M3107" s="815">
        <v>0.60416666666666663</v>
      </c>
      <c r="N3107" s="187">
        <v>3</v>
      </c>
      <c r="O3107" s="184" t="s">
        <v>17</v>
      </c>
      <c r="P3107" s="197"/>
      <c r="Q3107" s="182" t="s">
        <v>258</v>
      </c>
      <c r="R3107" s="621" t="s">
        <v>81</v>
      </c>
      <c r="S3107" s="31" t="s">
        <v>273</v>
      </c>
      <c r="T3107" s="31" t="s">
        <v>273</v>
      </c>
      <c r="U3107" s="31">
        <f>IFERROR(VLOOKUP(CONCATENATE(Tabla1[[#This Row],[Severidad]]," ",Tabla1[[#This Row],[Complejidad]]),Catalogos!E$120:G$128,3,FALSE),"")</f>
        <v>64</v>
      </c>
      <c r="V3107" s="31" t="str">
        <f>IF(Tabla1[[#This Row],[Tiempo solución max (hrs)]]&lt;&gt;"",IF(Tabla1[[#This Row],[Tiempo solución max (hrs)]]&gt;=Tabla1[[#This Row],[Tiempo
(Hrs 00/100)]],"cumple","no cumple"),"")</f>
        <v>cumple</v>
      </c>
      <c r="W3107" s="376" t="s">
        <v>5372</v>
      </c>
      <c r="X3107" s="18" t="str">
        <f t="shared" si="233"/>
        <v>SAW</v>
      </c>
      <c r="Y3107" t="str">
        <f>SUBSTITUTE(Tabla1[[#This Row],[Descripción]],CHAR(10),"    I    ")</f>
        <v xml:space="preserve">actualizacion Resoluciones </v>
      </c>
      <c r="Z3107" s="112">
        <f>VLOOKUP(Tabla1[[#This Row],[Perfil]],Catalogos!$B$75:$D$100,3,FALSE)*Tabla1[[#This Row],[Tiempo
(Hrs 00/100)]]*1.16</f>
        <v>1739.9999999999998</v>
      </c>
    </row>
    <row r="3108" spans="1:26" ht="30" customHeight="1" x14ac:dyDescent="0.3">
      <c r="A3108" s="187" t="s">
        <v>22</v>
      </c>
      <c r="B3108" s="188" t="s">
        <v>68</v>
      </c>
      <c r="C3108" s="183" t="s">
        <v>16</v>
      </c>
      <c r="D3108" s="187"/>
      <c r="E3108" s="812" t="s">
        <v>503</v>
      </c>
      <c r="F3108" s="187" t="s">
        <v>75</v>
      </c>
      <c r="G3108" s="817" t="s">
        <v>5579</v>
      </c>
      <c r="H3108" s="813" t="s">
        <v>436</v>
      </c>
      <c r="I3108" s="816" t="s">
        <v>5536</v>
      </c>
      <c r="J3108" s="814">
        <v>45266</v>
      </c>
      <c r="K3108" s="815">
        <v>0.66666666666666663</v>
      </c>
      <c r="L3108" s="814">
        <v>45266</v>
      </c>
      <c r="M3108" s="815">
        <v>0.79166666666666663</v>
      </c>
      <c r="N3108" s="187">
        <v>3</v>
      </c>
      <c r="O3108" s="184" t="s">
        <v>17</v>
      </c>
      <c r="P3108" s="197"/>
      <c r="Q3108" s="182" t="s">
        <v>258</v>
      </c>
      <c r="R3108" s="621" t="s">
        <v>81</v>
      </c>
      <c r="S3108" s="31" t="s">
        <v>273</v>
      </c>
      <c r="T3108" s="31" t="s">
        <v>273</v>
      </c>
      <c r="U3108" s="31">
        <f>IFERROR(VLOOKUP(CONCATENATE(Tabla1[[#This Row],[Severidad]]," ",Tabla1[[#This Row],[Complejidad]]),Catalogos!E$120:G$128,3,FALSE),"")</f>
        <v>64</v>
      </c>
      <c r="V3108" s="31" t="str">
        <f>IF(Tabla1[[#This Row],[Tiempo solución max (hrs)]]&lt;&gt;"",IF(Tabla1[[#This Row],[Tiempo solución max (hrs)]]&gt;=Tabla1[[#This Row],[Tiempo
(Hrs 00/100)]],"cumple","no cumple"),"")</f>
        <v>cumple</v>
      </c>
      <c r="W3108" s="376" t="s">
        <v>5372</v>
      </c>
      <c r="X3108" s="18" t="str">
        <f t="shared" si="233"/>
        <v>SAW</v>
      </c>
      <c r="Y3108" t="str">
        <f>SUBSTITUTE(Tabla1[[#This Row],[Descripción]],CHAR(10),"    I    ")</f>
        <v xml:space="preserve">actualizacion sitio servicio profecional </v>
      </c>
      <c r="Z3108" s="112">
        <f>VLOOKUP(Tabla1[[#This Row],[Perfil]],Catalogos!$B$75:$D$100,3,FALSE)*Tabla1[[#This Row],[Tiempo
(Hrs 00/100)]]*1.16</f>
        <v>1739.9999999999998</v>
      </c>
    </row>
    <row r="3109" spans="1:26" ht="30" customHeight="1" x14ac:dyDescent="0.3">
      <c r="A3109" s="187" t="s">
        <v>22</v>
      </c>
      <c r="B3109" s="188" t="s">
        <v>68</v>
      </c>
      <c r="C3109" s="183" t="s">
        <v>16</v>
      </c>
      <c r="D3109" s="187"/>
      <c r="E3109" s="812" t="s">
        <v>503</v>
      </c>
      <c r="F3109" s="187" t="s">
        <v>75</v>
      </c>
      <c r="G3109" s="817" t="s">
        <v>5580</v>
      </c>
      <c r="H3109" s="813" t="s">
        <v>436</v>
      </c>
      <c r="I3109" s="189" t="s">
        <v>5545</v>
      </c>
      <c r="J3109" s="814">
        <v>45267</v>
      </c>
      <c r="K3109" s="815">
        <v>0.375</v>
      </c>
      <c r="L3109" s="814">
        <v>45267</v>
      </c>
      <c r="M3109" s="815">
        <v>0.45833333333333331</v>
      </c>
      <c r="N3109" s="187">
        <v>2</v>
      </c>
      <c r="O3109" s="184" t="s">
        <v>17</v>
      </c>
      <c r="P3109" s="197"/>
      <c r="Q3109" s="182" t="s">
        <v>258</v>
      </c>
      <c r="R3109" s="621" t="s">
        <v>81</v>
      </c>
      <c r="S3109" s="31" t="s">
        <v>273</v>
      </c>
      <c r="T3109" s="31" t="s">
        <v>273</v>
      </c>
      <c r="U3109" s="31">
        <f>IFERROR(VLOOKUP(CONCATENATE(Tabla1[[#This Row],[Severidad]]," ",Tabla1[[#This Row],[Complejidad]]),Catalogos!E$120:G$128,3,FALSE),"")</f>
        <v>64</v>
      </c>
      <c r="V3109" s="31" t="str">
        <f>IF(Tabla1[[#This Row],[Tiempo solución max (hrs)]]&lt;&gt;"",IF(Tabla1[[#This Row],[Tiempo solución max (hrs)]]&gt;=Tabla1[[#This Row],[Tiempo
(Hrs 00/100)]],"cumple","no cumple"),"")</f>
        <v>cumple</v>
      </c>
      <c r="W3109" s="376" t="s">
        <v>5372</v>
      </c>
      <c r="X3109" s="18" t="str">
        <f t="shared" si="233"/>
        <v>SAW</v>
      </c>
      <c r="Y3109" t="str">
        <f>SUBSTITUTE(Tabla1[[#This Row],[Descripción]],CHAR(10),"    I    ")</f>
        <v xml:space="preserve">actualizacion micrositio abramos mexico </v>
      </c>
      <c r="Z3109" s="112">
        <f>VLOOKUP(Tabla1[[#This Row],[Perfil]],Catalogos!$B$75:$D$100,3,FALSE)*Tabla1[[#This Row],[Tiempo
(Hrs 00/100)]]*1.16</f>
        <v>1160</v>
      </c>
    </row>
    <row r="3110" spans="1:26" ht="30" customHeight="1" x14ac:dyDescent="0.3">
      <c r="A3110" s="187" t="s">
        <v>22</v>
      </c>
      <c r="B3110" s="188" t="s">
        <v>68</v>
      </c>
      <c r="C3110" s="183" t="s">
        <v>16</v>
      </c>
      <c r="D3110" s="187"/>
      <c r="E3110" s="812" t="s">
        <v>503</v>
      </c>
      <c r="F3110" s="187" t="s">
        <v>75</v>
      </c>
      <c r="G3110" s="817" t="s">
        <v>5581</v>
      </c>
      <c r="H3110" s="813" t="s">
        <v>436</v>
      </c>
      <c r="I3110" s="816" t="s">
        <v>5546</v>
      </c>
      <c r="J3110" s="814">
        <v>45267</v>
      </c>
      <c r="K3110" s="815">
        <v>0.45833333333333331</v>
      </c>
      <c r="L3110" s="814">
        <v>45267</v>
      </c>
      <c r="M3110" s="815">
        <v>0.60416666666666663</v>
      </c>
      <c r="N3110" s="187">
        <v>3.5</v>
      </c>
      <c r="O3110" s="184" t="s">
        <v>17</v>
      </c>
      <c r="P3110" s="197"/>
      <c r="Q3110" s="182" t="s">
        <v>258</v>
      </c>
      <c r="R3110" s="621" t="s">
        <v>81</v>
      </c>
      <c r="S3110" s="31" t="s">
        <v>273</v>
      </c>
      <c r="T3110" s="31" t="s">
        <v>273</v>
      </c>
      <c r="U3110" s="31">
        <f>IFERROR(VLOOKUP(CONCATENATE(Tabla1[[#This Row],[Severidad]]," ",Tabla1[[#This Row],[Complejidad]]),Catalogos!E$120:G$128,3,FALSE),"")</f>
        <v>64</v>
      </c>
      <c r="V3110" s="31" t="str">
        <f>IF(Tabla1[[#This Row],[Tiempo solución max (hrs)]]&lt;&gt;"",IF(Tabla1[[#This Row],[Tiempo solución max (hrs)]]&gt;=Tabla1[[#This Row],[Tiempo
(Hrs 00/100)]],"cumple","no cumple"),"")</f>
        <v>cumple</v>
      </c>
      <c r="W3110" s="376" t="s">
        <v>5372</v>
      </c>
      <c r="X3110" s="18" t="str">
        <f t="shared" si="233"/>
        <v>SAW</v>
      </c>
      <c r="Y3110" t="str">
        <f>SUBSTITUTE(Tabla1[[#This Row],[Descripción]],CHAR(10),"    I    ")</f>
        <v>actualizacion revista SyT</v>
      </c>
      <c r="Z3110" s="112">
        <f>VLOOKUP(Tabla1[[#This Row],[Perfil]],Catalogos!$B$75:$D$100,3,FALSE)*Tabla1[[#This Row],[Tiempo
(Hrs 00/100)]]*1.16</f>
        <v>2029.9999999999998</v>
      </c>
    </row>
    <row r="3111" spans="1:26" ht="30" customHeight="1" x14ac:dyDescent="0.3">
      <c r="A3111" s="187" t="s">
        <v>22</v>
      </c>
      <c r="B3111" s="188" t="s">
        <v>68</v>
      </c>
      <c r="C3111" s="183" t="s">
        <v>16</v>
      </c>
      <c r="D3111" s="187"/>
      <c r="E3111" s="812" t="s">
        <v>503</v>
      </c>
      <c r="F3111" s="187" t="s">
        <v>75</v>
      </c>
      <c r="G3111" s="817" t="s">
        <v>5582</v>
      </c>
      <c r="H3111" s="813" t="s">
        <v>436</v>
      </c>
      <c r="I3111" s="189" t="s">
        <v>5535</v>
      </c>
      <c r="J3111" s="814">
        <v>45267</v>
      </c>
      <c r="K3111" s="815">
        <v>0.66666666666666663</v>
      </c>
      <c r="L3111" s="814">
        <v>45267</v>
      </c>
      <c r="M3111" s="815">
        <v>0.79166666666666663</v>
      </c>
      <c r="N3111" s="187">
        <v>3</v>
      </c>
      <c r="O3111" s="184" t="s">
        <v>17</v>
      </c>
      <c r="P3111" s="197"/>
      <c r="Q3111" s="182" t="s">
        <v>258</v>
      </c>
      <c r="R3111" s="621" t="s">
        <v>81</v>
      </c>
      <c r="S3111" s="31" t="s">
        <v>273</v>
      </c>
      <c r="T3111" s="31" t="s">
        <v>273</v>
      </c>
      <c r="U3111" s="31">
        <f>IFERROR(VLOOKUP(CONCATENATE(Tabla1[[#This Row],[Severidad]]," ",Tabla1[[#This Row],[Complejidad]]),Catalogos!E$120:G$128,3,FALSE),"")</f>
        <v>64</v>
      </c>
      <c r="V3111" s="31" t="str">
        <f>IF(Tabla1[[#This Row],[Tiempo solución max (hrs)]]&lt;&gt;"",IF(Tabla1[[#This Row],[Tiempo solución max (hrs)]]&gt;=Tabla1[[#This Row],[Tiempo
(Hrs 00/100)]],"cumple","no cumple"),"")</f>
        <v>cumple</v>
      </c>
      <c r="W3111" s="376" t="s">
        <v>5372</v>
      </c>
      <c r="X3111" s="18" t="str">
        <f t="shared" si="233"/>
        <v>SAW</v>
      </c>
      <c r="Y3111" t="str">
        <f>SUBSTITUTE(Tabla1[[#This Row],[Descripción]],CHAR(10),"    I    ")</f>
        <v xml:space="preserve">actualizacin avance de proyecto </v>
      </c>
      <c r="Z3111" s="112">
        <f>VLOOKUP(Tabla1[[#This Row],[Perfil]],Catalogos!$B$75:$D$100,3,FALSE)*Tabla1[[#This Row],[Tiempo
(Hrs 00/100)]]*1.16</f>
        <v>1739.9999999999998</v>
      </c>
    </row>
    <row r="3112" spans="1:26" ht="30" customHeight="1" x14ac:dyDescent="0.3">
      <c r="A3112" s="187" t="s">
        <v>22</v>
      </c>
      <c r="B3112" s="188" t="s">
        <v>68</v>
      </c>
      <c r="C3112" s="183" t="s">
        <v>16</v>
      </c>
      <c r="D3112" s="187"/>
      <c r="E3112" s="812" t="s">
        <v>503</v>
      </c>
      <c r="F3112" s="187" t="s">
        <v>75</v>
      </c>
      <c r="G3112" s="817" t="s">
        <v>5583</v>
      </c>
      <c r="H3112" s="813" t="s">
        <v>436</v>
      </c>
      <c r="I3112" s="816" t="s">
        <v>5547</v>
      </c>
      <c r="J3112" s="814">
        <v>45268</v>
      </c>
      <c r="K3112" s="815">
        <v>0.375</v>
      </c>
      <c r="L3112" s="814">
        <v>45268</v>
      </c>
      <c r="M3112" s="815">
        <v>0.5</v>
      </c>
      <c r="N3112" s="187">
        <v>3</v>
      </c>
      <c r="O3112" s="184" t="s">
        <v>17</v>
      </c>
      <c r="P3112" s="197"/>
      <c r="Q3112" s="182" t="s">
        <v>258</v>
      </c>
      <c r="R3112" s="621" t="s">
        <v>81</v>
      </c>
      <c r="S3112" s="31" t="s">
        <v>273</v>
      </c>
      <c r="T3112" s="31" t="s">
        <v>273</v>
      </c>
      <c r="U3112" s="31">
        <f>IFERROR(VLOOKUP(CONCATENATE(Tabla1[[#This Row],[Severidad]]," ",Tabla1[[#This Row],[Complejidad]]),Catalogos!E$120:G$128,3,FALSE),"")</f>
        <v>64</v>
      </c>
      <c r="V3112" s="31" t="str">
        <f>IF(Tabla1[[#This Row],[Tiempo solución max (hrs)]]&lt;&gt;"",IF(Tabla1[[#This Row],[Tiempo solución max (hrs)]]&gt;=Tabla1[[#This Row],[Tiempo
(Hrs 00/100)]],"cumple","no cumple"),"")</f>
        <v>cumple</v>
      </c>
      <c r="W3112" s="376" t="s">
        <v>5372</v>
      </c>
      <c r="X3112" s="18" t="str">
        <f t="shared" si="233"/>
        <v>SAW</v>
      </c>
      <c r="Y3112" t="str">
        <f>SUBSTITUTE(Tabla1[[#This Row],[Descripción]],CHAR(10),"    I    ")</f>
        <v xml:space="preserve">Actualizacion sitio cambio de control </v>
      </c>
      <c r="Z3112" s="112">
        <f>VLOOKUP(Tabla1[[#This Row],[Perfil]],Catalogos!$B$75:$D$100,3,FALSE)*Tabla1[[#This Row],[Tiempo
(Hrs 00/100)]]*1.16</f>
        <v>1739.9999999999998</v>
      </c>
    </row>
    <row r="3113" spans="1:26" ht="30" customHeight="1" x14ac:dyDescent="0.3">
      <c r="A3113" s="187" t="s">
        <v>22</v>
      </c>
      <c r="B3113" s="188" t="s">
        <v>68</v>
      </c>
      <c r="C3113" s="183" t="s">
        <v>16</v>
      </c>
      <c r="D3113" s="187"/>
      <c r="E3113" s="812" t="s">
        <v>503</v>
      </c>
      <c r="F3113" s="187" t="s">
        <v>75</v>
      </c>
      <c r="G3113" s="817" t="s">
        <v>5584</v>
      </c>
      <c r="H3113" s="813" t="s">
        <v>436</v>
      </c>
      <c r="I3113" s="816" t="s">
        <v>3720</v>
      </c>
      <c r="J3113" s="814">
        <v>45268</v>
      </c>
      <c r="K3113" s="815">
        <v>0.5</v>
      </c>
      <c r="L3113" s="814">
        <v>45268</v>
      </c>
      <c r="M3113" s="815">
        <v>0.75</v>
      </c>
      <c r="N3113" s="187">
        <v>5</v>
      </c>
      <c r="O3113" s="184" t="s">
        <v>17</v>
      </c>
      <c r="P3113" s="197"/>
      <c r="Q3113" s="182" t="s">
        <v>258</v>
      </c>
      <c r="R3113" s="621" t="s">
        <v>81</v>
      </c>
      <c r="S3113" s="31" t="s">
        <v>273</v>
      </c>
      <c r="T3113" s="31" t="s">
        <v>273</v>
      </c>
      <c r="U3113" s="31">
        <f>IFERROR(VLOOKUP(CONCATENATE(Tabla1[[#This Row],[Severidad]]," ",Tabla1[[#This Row],[Complejidad]]),Catalogos!E$120:G$128,3,FALSE),"")</f>
        <v>64</v>
      </c>
      <c r="V3113" s="31" t="str">
        <f>IF(Tabla1[[#This Row],[Tiempo solución max (hrs)]]&lt;&gt;"",IF(Tabla1[[#This Row],[Tiempo solución max (hrs)]]&gt;=Tabla1[[#This Row],[Tiempo
(Hrs 00/100)]],"cumple","no cumple"),"")</f>
        <v>cumple</v>
      </c>
      <c r="W3113" s="376" t="s">
        <v>5372</v>
      </c>
      <c r="X3113" s="18" t="str">
        <f t="shared" si="233"/>
        <v>SAW</v>
      </c>
      <c r="Y3113" t="str">
        <f>SUBSTITUTE(Tabla1[[#This Row],[Descripción]],CHAR(10),"    I    ")</f>
        <v xml:space="preserve">Actualizacion micrositio SNT </v>
      </c>
      <c r="Z3113" s="112">
        <f>VLOOKUP(Tabla1[[#This Row],[Perfil]],Catalogos!$B$75:$D$100,3,FALSE)*Tabla1[[#This Row],[Tiempo
(Hrs 00/100)]]*1.16</f>
        <v>2900</v>
      </c>
    </row>
    <row r="3114" spans="1:26" ht="30" customHeight="1" x14ac:dyDescent="0.3">
      <c r="A3114" s="187" t="s">
        <v>22</v>
      </c>
      <c r="B3114" s="188" t="s">
        <v>68</v>
      </c>
      <c r="C3114" s="183" t="s">
        <v>16</v>
      </c>
      <c r="D3114" s="187"/>
      <c r="E3114" s="812" t="s">
        <v>503</v>
      </c>
      <c r="F3114" s="187" t="s">
        <v>75</v>
      </c>
      <c r="G3114" s="817" t="s">
        <v>5585</v>
      </c>
      <c r="H3114" s="813" t="s">
        <v>436</v>
      </c>
      <c r="I3114" s="816" t="s">
        <v>5548</v>
      </c>
      <c r="J3114" s="814">
        <v>45271</v>
      </c>
      <c r="K3114" s="815">
        <v>0.375</v>
      </c>
      <c r="L3114" s="814">
        <v>45271</v>
      </c>
      <c r="M3114" s="815">
        <v>0.45833333333333331</v>
      </c>
      <c r="N3114" s="187">
        <v>2</v>
      </c>
      <c r="O3114" s="184" t="s">
        <v>17</v>
      </c>
      <c r="P3114" s="197"/>
      <c r="Q3114" s="182" t="s">
        <v>258</v>
      </c>
      <c r="R3114" s="621" t="s">
        <v>81</v>
      </c>
      <c r="S3114" s="31" t="s">
        <v>273</v>
      </c>
      <c r="T3114" s="31" t="s">
        <v>273</v>
      </c>
      <c r="U3114" s="31">
        <f>IFERROR(VLOOKUP(CONCATENATE(Tabla1[[#This Row],[Severidad]]," ",Tabla1[[#This Row],[Complejidad]]),Catalogos!E$120:G$128,3,FALSE),"")</f>
        <v>64</v>
      </c>
      <c r="V3114" s="31" t="str">
        <f>IF(Tabla1[[#This Row],[Tiempo solución max (hrs)]]&lt;&gt;"",IF(Tabla1[[#This Row],[Tiempo solución max (hrs)]]&gt;=Tabla1[[#This Row],[Tiempo
(Hrs 00/100)]],"cumple","no cumple"),"")</f>
        <v>cumple</v>
      </c>
      <c r="W3114" s="376" t="s">
        <v>5372</v>
      </c>
      <c r="X3114" s="18" t="str">
        <f t="shared" si="233"/>
        <v>SAW</v>
      </c>
      <c r="Y3114" t="str">
        <f>SUBSTITUTE(Tabla1[[#This Row],[Descripción]],CHAR(10),"    I    ")</f>
        <v xml:space="preserve">actualizacion estatus de requerimientos </v>
      </c>
      <c r="Z3114" s="112">
        <f>VLOOKUP(Tabla1[[#This Row],[Perfil]],Catalogos!$B$75:$D$100,3,FALSE)*Tabla1[[#This Row],[Tiempo
(Hrs 00/100)]]*1.16</f>
        <v>1160</v>
      </c>
    </row>
    <row r="3115" spans="1:26" ht="30" customHeight="1" x14ac:dyDescent="0.3">
      <c r="A3115" s="187" t="s">
        <v>22</v>
      </c>
      <c r="B3115" s="188" t="s">
        <v>68</v>
      </c>
      <c r="C3115" s="183" t="s">
        <v>16</v>
      </c>
      <c r="D3115" s="187"/>
      <c r="E3115" s="812" t="s">
        <v>503</v>
      </c>
      <c r="F3115" s="187" t="s">
        <v>75</v>
      </c>
      <c r="G3115" s="817" t="s">
        <v>5586</v>
      </c>
      <c r="H3115" s="813" t="s">
        <v>436</v>
      </c>
      <c r="I3115" s="816" t="s">
        <v>5549</v>
      </c>
      <c r="J3115" s="814">
        <v>45271</v>
      </c>
      <c r="K3115" s="815">
        <v>0.45833333333333331</v>
      </c>
      <c r="L3115" s="814">
        <v>45271</v>
      </c>
      <c r="M3115" s="815">
        <v>0.60416666666666663</v>
      </c>
      <c r="N3115" s="187">
        <v>3.5</v>
      </c>
      <c r="O3115" s="184" t="s">
        <v>17</v>
      </c>
      <c r="P3115" s="197"/>
      <c r="Q3115" s="182" t="s">
        <v>258</v>
      </c>
      <c r="R3115" s="621" t="s">
        <v>81</v>
      </c>
      <c r="S3115" s="31" t="s">
        <v>273</v>
      </c>
      <c r="T3115" s="31" t="s">
        <v>273</v>
      </c>
      <c r="U3115" s="31">
        <f>IFERROR(VLOOKUP(CONCATENATE(Tabla1[[#This Row],[Severidad]]," ",Tabla1[[#This Row],[Complejidad]]),Catalogos!E$120:G$128,3,FALSE),"")</f>
        <v>64</v>
      </c>
      <c r="V3115" s="31" t="str">
        <f>IF(Tabla1[[#This Row],[Tiempo solución max (hrs)]]&lt;&gt;"",IF(Tabla1[[#This Row],[Tiempo solución max (hrs)]]&gt;=Tabla1[[#This Row],[Tiempo
(Hrs 00/100)]],"cumple","no cumple"),"")</f>
        <v>cumple</v>
      </c>
      <c r="W3115" s="376" t="s">
        <v>5372</v>
      </c>
      <c r="X3115" s="18" t="str">
        <f t="shared" si="233"/>
        <v>SAW</v>
      </c>
      <c r="Y3115" t="str">
        <f>SUBSTITUTE(Tabla1[[#This Row],[Descripción]],CHAR(10),"    I    ")</f>
        <v>actualizacion inventarios de micrositios</v>
      </c>
      <c r="Z3115" s="112">
        <f>VLOOKUP(Tabla1[[#This Row],[Perfil]],Catalogos!$B$75:$D$100,3,FALSE)*Tabla1[[#This Row],[Tiempo
(Hrs 00/100)]]*1.16</f>
        <v>2029.9999999999998</v>
      </c>
    </row>
    <row r="3116" spans="1:26" ht="30" customHeight="1" x14ac:dyDescent="0.3">
      <c r="A3116" s="187" t="s">
        <v>22</v>
      </c>
      <c r="B3116" s="188" t="s">
        <v>68</v>
      </c>
      <c r="C3116" s="183" t="s">
        <v>16</v>
      </c>
      <c r="D3116" s="187"/>
      <c r="E3116" s="812" t="s">
        <v>503</v>
      </c>
      <c r="F3116" s="187" t="s">
        <v>75</v>
      </c>
      <c r="G3116" s="817" t="s">
        <v>5587</v>
      </c>
      <c r="H3116" s="813" t="s">
        <v>436</v>
      </c>
      <c r="I3116" s="816" t="s">
        <v>5543</v>
      </c>
      <c r="J3116" s="814">
        <v>45271</v>
      </c>
      <c r="K3116" s="815">
        <v>0.66666666666666663</v>
      </c>
      <c r="L3116" s="814">
        <v>45271</v>
      </c>
      <c r="M3116" s="815">
        <v>0.79166666666666663</v>
      </c>
      <c r="N3116" s="187">
        <v>3</v>
      </c>
      <c r="O3116" s="184" t="s">
        <v>17</v>
      </c>
      <c r="P3116" s="197"/>
      <c r="Q3116" s="182" t="s">
        <v>258</v>
      </c>
      <c r="R3116" s="621" t="s">
        <v>81</v>
      </c>
      <c r="S3116" s="31" t="s">
        <v>273</v>
      </c>
      <c r="T3116" s="31" t="s">
        <v>273</v>
      </c>
      <c r="U3116" s="31">
        <f>IFERROR(VLOOKUP(CONCATENATE(Tabla1[[#This Row],[Severidad]]," ",Tabla1[[#This Row],[Complejidad]]),Catalogos!E$120:G$128,3,FALSE),"")</f>
        <v>64</v>
      </c>
      <c r="V3116" s="31" t="str">
        <f>IF(Tabla1[[#This Row],[Tiempo solución max (hrs)]]&lt;&gt;"",IF(Tabla1[[#This Row],[Tiempo solución max (hrs)]]&gt;=Tabla1[[#This Row],[Tiempo
(Hrs 00/100)]],"cumple","no cumple"),"")</f>
        <v>cumple</v>
      </c>
      <c r="W3116" s="376" t="s">
        <v>5372</v>
      </c>
      <c r="X3116" s="18" t="str">
        <f t="shared" si="233"/>
        <v>SAW</v>
      </c>
      <c r="Y3116" t="str">
        <f>SUBSTITUTE(Tabla1[[#This Row],[Descripción]],CHAR(10),"    I    ")</f>
        <v xml:space="preserve">actualizacion micrositio criterios </v>
      </c>
      <c r="Z3116" s="112">
        <f>VLOOKUP(Tabla1[[#This Row],[Perfil]],Catalogos!$B$75:$D$100,3,FALSE)*Tabla1[[#This Row],[Tiempo
(Hrs 00/100)]]*1.16</f>
        <v>1739.9999999999998</v>
      </c>
    </row>
    <row r="3117" spans="1:26" ht="30" customHeight="1" x14ac:dyDescent="0.3">
      <c r="A3117" s="187" t="s">
        <v>22</v>
      </c>
      <c r="B3117" s="188" t="s">
        <v>68</v>
      </c>
      <c r="C3117" s="183" t="s">
        <v>16</v>
      </c>
      <c r="D3117" s="187"/>
      <c r="E3117" s="812" t="s">
        <v>503</v>
      </c>
      <c r="F3117" s="187" t="s">
        <v>75</v>
      </c>
      <c r="G3117" s="817" t="s">
        <v>5588</v>
      </c>
      <c r="H3117" s="813" t="s">
        <v>436</v>
      </c>
      <c r="I3117" s="816" t="s">
        <v>5550</v>
      </c>
      <c r="J3117" s="814">
        <v>45272</v>
      </c>
      <c r="K3117" s="815">
        <v>0.375</v>
      </c>
      <c r="L3117" s="814">
        <v>45272</v>
      </c>
      <c r="M3117" s="815">
        <v>0.52083333333333337</v>
      </c>
      <c r="N3117" s="187">
        <v>3.5</v>
      </c>
      <c r="O3117" s="184" t="s">
        <v>17</v>
      </c>
      <c r="P3117" s="197"/>
      <c r="Q3117" s="182" t="s">
        <v>258</v>
      </c>
      <c r="R3117" s="621" t="s">
        <v>81</v>
      </c>
      <c r="S3117" s="31" t="s">
        <v>273</v>
      </c>
      <c r="T3117" s="31" t="s">
        <v>273</v>
      </c>
      <c r="U3117" s="31">
        <f>IFERROR(VLOOKUP(CONCATENATE(Tabla1[[#This Row],[Severidad]]," ",Tabla1[[#This Row],[Complejidad]]),Catalogos!E$120:G$128,3,FALSE),"")</f>
        <v>64</v>
      </c>
      <c r="V3117" s="31" t="str">
        <f>IF(Tabla1[[#This Row],[Tiempo solución max (hrs)]]&lt;&gt;"",IF(Tabla1[[#This Row],[Tiempo solución max (hrs)]]&gt;=Tabla1[[#This Row],[Tiempo
(Hrs 00/100)]],"cumple","no cumple"),"")</f>
        <v>cumple</v>
      </c>
      <c r="W3117" s="376" t="s">
        <v>5372</v>
      </c>
      <c r="X3117" s="18" t="str">
        <f t="shared" si="233"/>
        <v>SAW</v>
      </c>
      <c r="Y3117" t="str">
        <f>SUBSTITUTE(Tabla1[[#This Row],[Descripción]],CHAR(10),"    I    ")</f>
        <v xml:space="preserve">Actualizacion Control Interno </v>
      </c>
      <c r="Z3117" s="112">
        <f>VLOOKUP(Tabla1[[#This Row],[Perfil]],Catalogos!$B$75:$D$100,3,FALSE)*Tabla1[[#This Row],[Tiempo
(Hrs 00/100)]]*1.16</f>
        <v>2029.9999999999998</v>
      </c>
    </row>
    <row r="3118" spans="1:26" ht="30" customHeight="1" x14ac:dyDescent="0.3">
      <c r="A3118" s="187" t="s">
        <v>22</v>
      </c>
      <c r="B3118" s="188" t="s">
        <v>68</v>
      </c>
      <c r="C3118" s="183" t="s">
        <v>16</v>
      </c>
      <c r="D3118" s="187"/>
      <c r="E3118" s="812" t="s">
        <v>503</v>
      </c>
      <c r="F3118" s="187" t="s">
        <v>75</v>
      </c>
      <c r="G3118" s="817" t="s">
        <v>5589</v>
      </c>
      <c r="H3118" s="813" t="s">
        <v>436</v>
      </c>
      <c r="I3118" s="816" t="s">
        <v>3722</v>
      </c>
      <c r="J3118" s="814">
        <v>45272</v>
      </c>
      <c r="K3118" s="815">
        <v>0.52083333333333337</v>
      </c>
      <c r="L3118" s="814">
        <v>45272</v>
      </c>
      <c r="M3118" s="815">
        <v>0.60416666666666663</v>
      </c>
      <c r="N3118" s="187">
        <v>2</v>
      </c>
      <c r="O3118" s="184" t="s">
        <v>17</v>
      </c>
      <c r="P3118" s="197"/>
      <c r="Q3118" s="182" t="s">
        <v>258</v>
      </c>
      <c r="R3118" s="621" t="s">
        <v>81</v>
      </c>
      <c r="S3118" s="31" t="s">
        <v>273</v>
      </c>
      <c r="T3118" s="31" t="s">
        <v>273</v>
      </c>
      <c r="U3118" s="31">
        <f>IFERROR(VLOOKUP(CONCATENATE(Tabla1[[#This Row],[Severidad]]," ",Tabla1[[#This Row],[Complejidad]]),Catalogos!E$120:G$128,3,FALSE),"")</f>
        <v>64</v>
      </c>
      <c r="V3118" s="31" t="str">
        <f>IF(Tabla1[[#This Row],[Tiempo solución max (hrs)]]&lt;&gt;"",IF(Tabla1[[#This Row],[Tiempo solución max (hrs)]]&gt;=Tabla1[[#This Row],[Tiempo
(Hrs 00/100)]],"cumple","no cumple"),"")</f>
        <v>cumple</v>
      </c>
      <c r="W3118" s="376" t="s">
        <v>5372</v>
      </c>
      <c r="X3118" s="18" t="str">
        <f t="shared" si="233"/>
        <v>SAW</v>
      </c>
      <c r="Y3118" t="str">
        <f>SUBSTITUTE(Tabla1[[#This Row],[Descripción]],CHAR(10),"    I    ")</f>
        <v xml:space="preserve">actualizacion pagina web </v>
      </c>
      <c r="Z3118" s="112">
        <f>VLOOKUP(Tabla1[[#This Row],[Perfil]],Catalogos!$B$75:$D$100,3,FALSE)*Tabla1[[#This Row],[Tiempo
(Hrs 00/100)]]*1.16</f>
        <v>1160</v>
      </c>
    </row>
    <row r="3119" spans="1:26" ht="30" customHeight="1" x14ac:dyDescent="0.3">
      <c r="A3119" s="187" t="s">
        <v>22</v>
      </c>
      <c r="B3119" s="188" t="s">
        <v>68</v>
      </c>
      <c r="C3119" s="183" t="s">
        <v>16</v>
      </c>
      <c r="D3119" s="187"/>
      <c r="E3119" s="812" t="s">
        <v>503</v>
      </c>
      <c r="F3119" s="187" t="s">
        <v>75</v>
      </c>
      <c r="G3119" s="817" t="s">
        <v>5590</v>
      </c>
      <c r="H3119" s="813" t="s">
        <v>436</v>
      </c>
      <c r="I3119" s="816" t="s">
        <v>5551</v>
      </c>
      <c r="J3119" s="814">
        <v>45272</v>
      </c>
      <c r="K3119" s="815">
        <v>0.66666666666666663</v>
      </c>
      <c r="L3119" s="814">
        <v>45272</v>
      </c>
      <c r="M3119" s="815">
        <v>0.79166666666666663</v>
      </c>
      <c r="N3119" s="187">
        <v>3</v>
      </c>
      <c r="O3119" s="184" t="s">
        <v>17</v>
      </c>
      <c r="P3119" s="197"/>
      <c r="Q3119" s="182" t="s">
        <v>258</v>
      </c>
      <c r="R3119" s="621" t="s">
        <v>81</v>
      </c>
      <c r="S3119" s="31" t="s">
        <v>273</v>
      </c>
      <c r="T3119" s="31" t="s">
        <v>273</v>
      </c>
      <c r="U3119" s="31">
        <f>IFERROR(VLOOKUP(CONCATENATE(Tabla1[[#This Row],[Severidad]]," ",Tabla1[[#This Row],[Complejidad]]),Catalogos!E$120:G$128,3,FALSE),"")</f>
        <v>64</v>
      </c>
      <c r="V3119" s="31" t="str">
        <f>IF(Tabla1[[#This Row],[Tiempo solución max (hrs)]]&lt;&gt;"",IF(Tabla1[[#This Row],[Tiempo solución max (hrs)]]&gt;=Tabla1[[#This Row],[Tiempo
(Hrs 00/100)]],"cumple","no cumple"),"")</f>
        <v>cumple</v>
      </c>
      <c r="W3119" s="376" t="s">
        <v>5372</v>
      </c>
      <c r="X3119" s="18" t="str">
        <f t="shared" si="233"/>
        <v>SAW</v>
      </c>
      <c r="Y3119" t="str">
        <f>SUBSTITUTE(Tabla1[[#This Row],[Descripción]],CHAR(10),"    I    ")</f>
        <v xml:space="preserve">Actualizacion micrositio criterios del SNT </v>
      </c>
      <c r="Z3119" s="112">
        <f>VLOOKUP(Tabla1[[#This Row],[Perfil]],Catalogos!$B$75:$D$100,3,FALSE)*Tabla1[[#This Row],[Tiempo
(Hrs 00/100)]]*1.16</f>
        <v>1739.9999999999998</v>
      </c>
    </row>
    <row r="3120" spans="1:26" ht="30" customHeight="1" x14ac:dyDescent="0.3">
      <c r="A3120" s="187" t="s">
        <v>22</v>
      </c>
      <c r="B3120" s="188" t="s">
        <v>68</v>
      </c>
      <c r="C3120" s="183" t="s">
        <v>16</v>
      </c>
      <c r="D3120" s="187"/>
      <c r="E3120" s="812" t="s">
        <v>503</v>
      </c>
      <c r="F3120" s="187" t="s">
        <v>75</v>
      </c>
      <c r="G3120" s="817" t="s">
        <v>5591</v>
      </c>
      <c r="H3120" s="813" t="s">
        <v>436</v>
      </c>
      <c r="I3120" s="816" t="s">
        <v>5552</v>
      </c>
      <c r="J3120" s="814">
        <v>45273</v>
      </c>
      <c r="K3120" s="815">
        <v>0.375</v>
      </c>
      <c r="L3120" s="814">
        <v>45273</v>
      </c>
      <c r="M3120" s="815">
        <v>0.60416666666666663</v>
      </c>
      <c r="N3120" s="187">
        <v>5.5</v>
      </c>
      <c r="O3120" s="184" t="s">
        <v>17</v>
      </c>
      <c r="P3120" s="197"/>
      <c r="Q3120" s="182" t="s">
        <v>258</v>
      </c>
      <c r="R3120" s="621" t="s">
        <v>81</v>
      </c>
      <c r="S3120" s="31" t="s">
        <v>273</v>
      </c>
      <c r="T3120" s="31" t="s">
        <v>273</v>
      </c>
      <c r="U3120" s="31">
        <f>IFERROR(VLOOKUP(CONCATENATE(Tabla1[[#This Row],[Severidad]]," ",Tabla1[[#This Row],[Complejidad]]),Catalogos!E$120:G$128,3,FALSE),"")</f>
        <v>64</v>
      </c>
      <c r="V3120" s="31" t="str">
        <f>IF(Tabla1[[#This Row],[Tiempo solución max (hrs)]]&lt;&gt;"",IF(Tabla1[[#This Row],[Tiempo solución max (hrs)]]&gt;=Tabla1[[#This Row],[Tiempo
(Hrs 00/100)]],"cumple","no cumple"),"")</f>
        <v>cumple</v>
      </c>
      <c r="W3120" s="376" t="s">
        <v>5372</v>
      </c>
      <c r="X3120" s="18" t="str">
        <f t="shared" si="233"/>
        <v>SAW</v>
      </c>
      <c r="Y3120" t="str">
        <f>SUBSTITUTE(Tabla1[[#This Row],[Descripción]],CHAR(10),"    I    ")</f>
        <v xml:space="preserve">actualizacion elemento de control </v>
      </c>
      <c r="Z3120" s="112">
        <f>VLOOKUP(Tabla1[[#This Row],[Perfil]],Catalogos!$B$75:$D$100,3,FALSE)*Tabla1[[#This Row],[Tiempo
(Hrs 00/100)]]*1.16</f>
        <v>3190</v>
      </c>
    </row>
    <row r="3121" spans="1:26" ht="30" customHeight="1" x14ac:dyDescent="0.3">
      <c r="A3121" s="187" t="s">
        <v>22</v>
      </c>
      <c r="B3121" s="188" t="s">
        <v>68</v>
      </c>
      <c r="C3121" s="183" t="s">
        <v>16</v>
      </c>
      <c r="D3121" s="187"/>
      <c r="E3121" s="812" t="s">
        <v>503</v>
      </c>
      <c r="F3121" s="187" t="s">
        <v>75</v>
      </c>
      <c r="G3121" s="817" t="s">
        <v>5592</v>
      </c>
      <c r="H3121" s="813" t="s">
        <v>436</v>
      </c>
      <c r="I3121" s="816" t="s">
        <v>5541</v>
      </c>
      <c r="J3121" s="814">
        <v>45273</v>
      </c>
      <c r="K3121" s="815">
        <v>0.66666666666666663</v>
      </c>
      <c r="L3121" s="814">
        <v>45273</v>
      </c>
      <c r="M3121" s="815">
        <v>0.79166666666666663</v>
      </c>
      <c r="N3121" s="187">
        <v>3</v>
      </c>
      <c r="O3121" s="184" t="s">
        <v>17</v>
      </c>
      <c r="P3121" s="197"/>
      <c r="Q3121" s="182" t="s">
        <v>258</v>
      </c>
      <c r="R3121" s="621" t="s">
        <v>81</v>
      </c>
      <c r="S3121" s="31" t="s">
        <v>273</v>
      </c>
      <c r="T3121" s="31" t="s">
        <v>273</v>
      </c>
      <c r="U3121" s="31">
        <f>IFERROR(VLOOKUP(CONCATENATE(Tabla1[[#This Row],[Severidad]]," ",Tabla1[[#This Row],[Complejidad]]),Catalogos!E$120:G$128,3,FALSE),"")</f>
        <v>64</v>
      </c>
      <c r="V3121" s="31" t="str">
        <f>IF(Tabla1[[#This Row],[Tiempo solución max (hrs)]]&lt;&gt;"",IF(Tabla1[[#This Row],[Tiempo solución max (hrs)]]&gt;=Tabla1[[#This Row],[Tiempo
(Hrs 00/100)]],"cumple","no cumple"),"")</f>
        <v>cumple</v>
      </c>
      <c r="W3121" s="376" t="s">
        <v>5372</v>
      </c>
      <c r="X3121" s="18" t="str">
        <f t="shared" si="233"/>
        <v>SAW</v>
      </c>
      <c r="Y3121" t="str">
        <f>SUBSTITUTE(Tabla1[[#This Row],[Descripción]],CHAR(10),"    I    ")</f>
        <v>actualizacion servicios profecionales</v>
      </c>
      <c r="Z3121" s="112">
        <f>VLOOKUP(Tabla1[[#This Row],[Perfil]],Catalogos!$B$75:$D$100,3,FALSE)*Tabla1[[#This Row],[Tiempo
(Hrs 00/100)]]*1.16</f>
        <v>1739.9999999999998</v>
      </c>
    </row>
    <row r="3122" spans="1:26" ht="30" customHeight="1" x14ac:dyDescent="0.3">
      <c r="A3122" s="187" t="s">
        <v>22</v>
      </c>
      <c r="B3122" s="188" t="s">
        <v>68</v>
      </c>
      <c r="C3122" s="183" t="s">
        <v>16</v>
      </c>
      <c r="D3122" s="187"/>
      <c r="E3122" s="812" t="s">
        <v>503</v>
      </c>
      <c r="F3122" s="187" t="s">
        <v>75</v>
      </c>
      <c r="G3122" s="817" t="s">
        <v>5593</v>
      </c>
      <c r="H3122" s="813" t="s">
        <v>436</v>
      </c>
      <c r="I3122" s="189" t="s">
        <v>2582</v>
      </c>
      <c r="J3122" s="814">
        <v>45274</v>
      </c>
      <c r="K3122" s="815">
        <v>0.375</v>
      </c>
      <c r="L3122" s="814">
        <v>45274</v>
      </c>
      <c r="M3122" s="815">
        <v>0.45833333333333331</v>
      </c>
      <c r="N3122" s="187">
        <v>2</v>
      </c>
      <c r="O3122" s="184" t="s">
        <v>17</v>
      </c>
      <c r="P3122" s="197"/>
      <c r="Q3122" s="182" t="s">
        <v>258</v>
      </c>
      <c r="R3122" s="621" t="s">
        <v>81</v>
      </c>
      <c r="S3122" s="31" t="s">
        <v>273</v>
      </c>
      <c r="T3122" s="31" t="s">
        <v>273</v>
      </c>
      <c r="U3122" s="31">
        <f>IFERROR(VLOOKUP(CONCATENATE(Tabla1[[#This Row],[Severidad]]," ",Tabla1[[#This Row],[Complejidad]]),Catalogos!E$120:G$128,3,FALSE),"")</f>
        <v>64</v>
      </c>
      <c r="V3122" s="31" t="str">
        <f>IF(Tabla1[[#This Row],[Tiempo solución max (hrs)]]&lt;&gt;"",IF(Tabla1[[#This Row],[Tiempo solución max (hrs)]]&gt;=Tabla1[[#This Row],[Tiempo
(Hrs 00/100)]],"cumple","no cumple"),"")</f>
        <v>cumple</v>
      </c>
      <c r="W3122" s="376" t="s">
        <v>5372</v>
      </c>
      <c r="X3122" s="18" t="str">
        <f t="shared" si="233"/>
        <v>SAW</v>
      </c>
      <c r="Y3122" t="str">
        <f>SUBSTITUTE(Tabla1[[#This Row],[Descripción]],CHAR(10),"    I    ")</f>
        <v xml:space="preserve">actualizacion parlamento abierto </v>
      </c>
      <c r="Z3122" s="112">
        <f>VLOOKUP(Tabla1[[#This Row],[Perfil]],Catalogos!$B$75:$D$100,3,FALSE)*Tabla1[[#This Row],[Tiempo
(Hrs 00/100)]]*1.16</f>
        <v>1160</v>
      </c>
    </row>
    <row r="3123" spans="1:26" ht="30" customHeight="1" x14ac:dyDescent="0.3">
      <c r="A3123" s="187" t="s">
        <v>22</v>
      </c>
      <c r="B3123" s="188" t="s">
        <v>68</v>
      </c>
      <c r="C3123" s="183" t="s">
        <v>16</v>
      </c>
      <c r="D3123" s="187"/>
      <c r="E3123" s="812" t="s">
        <v>503</v>
      </c>
      <c r="F3123" s="187" t="s">
        <v>75</v>
      </c>
      <c r="G3123" s="817" t="s">
        <v>5594</v>
      </c>
      <c r="H3123" s="813" t="s">
        <v>436</v>
      </c>
      <c r="I3123" s="816" t="s">
        <v>5553</v>
      </c>
      <c r="J3123" s="814">
        <v>45274</v>
      </c>
      <c r="K3123" s="815">
        <v>0.45833333333333331</v>
      </c>
      <c r="L3123" s="814">
        <v>45274</v>
      </c>
      <c r="M3123" s="815">
        <v>0.60416666666666663</v>
      </c>
      <c r="N3123" s="187">
        <v>3.5</v>
      </c>
      <c r="O3123" s="184" t="s">
        <v>17</v>
      </c>
      <c r="P3123" s="197"/>
      <c r="Q3123" s="182" t="s">
        <v>258</v>
      </c>
      <c r="R3123" s="621" t="s">
        <v>81</v>
      </c>
      <c r="S3123" s="31" t="s">
        <v>273</v>
      </c>
      <c r="T3123" s="31" t="s">
        <v>273</v>
      </c>
      <c r="U3123" s="31">
        <f>IFERROR(VLOOKUP(CONCATENATE(Tabla1[[#This Row],[Severidad]]," ",Tabla1[[#This Row],[Complejidad]]),Catalogos!E$120:G$128,3,FALSE),"")</f>
        <v>64</v>
      </c>
      <c r="V3123" s="31" t="str">
        <f>IF(Tabla1[[#This Row],[Tiempo solución max (hrs)]]&lt;&gt;"",IF(Tabla1[[#This Row],[Tiempo solución max (hrs)]]&gt;=Tabla1[[#This Row],[Tiempo
(Hrs 00/100)]],"cumple","no cumple"),"")</f>
        <v>cumple</v>
      </c>
      <c r="W3123" s="376" t="s">
        <v>5372</v>
      </c>
      <c r="X3123" s="18" t="str">
        <f t="shared" si="233"/>
        <v>SAW</v>
      </c>
      <c r="Y3123" t="str">
        <f>SUBSTITUTE(Tabla1[[#This Row],[Descripción]],CHAR(10),"    I    ")</f>
        <v xml:space="preserve">actualizacion version de SACP </v>
      </c>
      <c r="Z3123" s="112">
        <f>VLOOKUP(Tabla1[[#This Row],[Perfil]],Catalogos!$B$75:$D$100,3,FALSE)*Tabla1[[#This Row],[Tiempo
(Hrs 00/100)]]*1.16</f>
        <v>2029.9999999999998</v>
      </c>
    </row>
    <row r="3124" spans="1:26" ht="30" customHeight="1" x14ac:dyDescent="0.3">
      <c r="A3124" s="187" t="s">
        <v>22</v>
      </c>
      <c r="B3124" s="188" t="s">
        <v>68</v>
      </c>
      <c r="C3124" s="183" t="s">
        <v>16</v>
      </c>
      <c r="D3124" s="187"/>
      <c r="E3124" s="812" t="s">
        <v>503</v>
      </c>
      <c r="F3124" s="187" t="s">
        <v>75</v>
      </c>
      <c r="G3124" s="817" t="s">
        <v>5595</v>
      </c>
      <c r="H3124" s="813" t="s">
        <v>436</v>
      </c>
      <c r="I3124" s="189" t="s">
        <v>5535</v>
      </c>
      <c r="J3124" s="814">
        <v>45274</v>
      </c>
      <c r="K3124" s="815">
        <v>0.66666666666666663</v>
      </c>
      <c r="L3124" s="814">
        <v>45274</v>
      </c>
      <c r="M3124" s="815">
        <v>0.79166666666666663</v>
      </c>
      <c r="N3124" s="187">
        <v>3</v>
      </c>
      <c r="O3124" s="184" t="s">
        <v>17</v>
      </c>
      <c r="P3124" s="197"/>
      <c r="Q3124" s="182" t="s">
        <v>258</v>
      </c>
      <c r="R3124" s="621" t="s">
        <v>81</v>
      </c>
      <c r="S3124" s="31" t="s">
        <v>273</v>
      </c>
      <c r="T3124" s="31" t="s">
        <v>273</v>
      </c>
      <c r="U3124" s="31">
        <f>IFERROR(VLOOKUP(CONCATENATE(Tabla1[[#This Row],[Severidad]]," ",Tabla1[[#This Row],[Complejidad]]),Catalogos!E$120:G$128,3,FALSE),"")</f>
        <v>64</v>
      </c>
      <c r="V3124" s="31" t="str">
        <f>IF(Tabla1[[#This Row],[Tiempo solución max (hrs)]]&lt;&gt;"",IF(Tabla1[[#This Row],[Tiempo solución max (hrs)]]&gt;=Tabla1[[#This Row],[Tiempo
(Hrs 00/100)]],"cumple","no cumple"),"")</f>
        <v>cumple</v>
      </c>
      <c r="W3124" s="376" t="s">
        <v>5372</v>
      </c>
      <c r="X3124" s="18" t="str">
        <f t="shared" si="233"/>
        <v>SAW</v>
      </c>
      <c r="Y3124" t="str">
        <f>SUBSTITUTE(Tabla1[[#This Row],[Descripción]],CHAR(10),"    I    ")</f>
        <v xml:space="preserve">actualizacin avance de proyecto </v>
      </c>
      <c r="Z3124" s="112">
        <f>VLOOKUP(Tabla1[[#This Row],[Perfil]],Catalogos!$B$75:$D$100,3,FALSE)*Tabla1[[#This Row],[Tiempo
(Hrs 00/100)]]*1.16</f>
        <v>1739.9999999999998</v>
      </c>
    </row>
    <row r="3125" spans="1:26" ht="30" customHeight="1" x14ac:dyDescent="0.3">
      <c r="A3125" s="187" t="s">
        <v>22</v>
      </c>
      <c r="B3125" s="188" t="s">
        <v>68</v>
      </c>
      <c r="C3125" s="183" t="s">
        <v>16</v>
      </c>
      <c r="D3125" s="187"/>
      <c r="E3125" s="812" t="s">
        <v>503</v>
      </c>
      <c r="F3125" s="187" t="s">
        <v>75</v>
      </c>
      <c r="G3125" s="817" t="s">
        <v>5596</v>
      </c>
      <c r="H3125" s="813" t="s">
        <v>436</v>
      </c>
      <c r="I3125" s="816" t="s">
        <v>5554</v>
      </c>
      <c r="J3125" s="814">
        <v>45275</v>
      </c>
      <c r="K3125" s="815">
        <v>0.375</v>
      </c>
      <c r="L3125" s="814">
        <v>45275</v>
      </c>
      <c r="M3125" s="815">
        <v>0.5</v>
      </c>
      <c r="N3125" s="187">
        <v>3</v>
      </c>
      <c r="O3125" s="184" t="s">
        <v>17</v>
      </c>
      <c r="P3125" s="197"/>
      <c r="Q3125" s="182" t="s">
        <v>258</v>
      </c>
      <c r="R3125" s="621" t="s">
        <v>81</v>
      </c>
      <c r="S3125" s="31" t="s">
        <v>273</v>
      </c>
      <c r="T3125" s="31" t="s">
        <v>273</v>
      </c>
      <c r="U3125" s="31">
        <f>IFERROR(VLOOKUP(CONCATENATE(Tabla1[[#This Row],[Severidad]]," ",Tabla1[[#This Row],[Complejidad]]),Catalogos!E$120:G$128,3,FALSE),"")</f>
        <v>64</v>
      </c>
      <c r="V3125" s="31" t="str">
        <f>IF(Tabla1[[#This Row],[Tiempo solución max (hrs)]]&lt;&gt;"",IF(Tabla1[[#This Row],[Tiempo solución max (hrs)]]&gt;=Tabla1[[#This Row],[Tiempo
(Hrs 00/100)]],"cumple","no cumple"),"")</f>
        <v>cumple</v>
      </c>
      <c r="W3125" s="376" t="s">
        <v>5372</v>
      </c>
      <c r="X3125" s="18" t="str">
        <f t="shared" si="233"/>
        <v>SAW</v>
      </c>
      <c r="Y3125" t="str">
        <f>SUBSTITUTE(Tabla1[[#This Row],[Descripción]],CHAR(10),"    I    ")</f>
        <v xml:space="preserve">actualizacion status de requerimiento </v>
      </c>
      <c r="Z3125" s="112">
        <f>VLOOKUP(Tabla1[[#This Row],[Perfil]],Catalogos!$B$75:$D$100,3,FALSE)*Tabla1[[#This Row],[Tiempo
(Hrs 00/100)]]*1.16</f>
        <v>1739.9999999999998</v>
      </c>
    </row>
    <row r="3126" spans="1:26" ht="30" customHeight="1" x14ac:dyDescent="0.3">
      <c r="A3126" s="187" t="s">
        <v>22</v>
      </c>
      <c r="B3126" s="188" t="s">
        <v>68</v>
      </c>
      <c r="C3126" s="183" t="s">
        <v>16</v>
      </c>
      <c r="D3126" s="187"/>
      <c r="E3126" s="812" t="s">
        <v>503</v>
      </c>
      <c r="F3126" s="187" t="s">
        <v>75</v>
      </c>
      <c r="G3126" s="817" t="s">
        <v>5597</v>
      </c>
      <c r="H3126" s="813" t="s">
        <v>436</v>
      </c>
      <c r="I3126" s="816" t="s">
        <v>5555</v>
      </c>
      <c r="J3126" s="814">
        <v>45275</v>
      </c>
      <c r="K3126" s="815">
        <v>0.5</v>
      </c>
      <c r="L3126" s="814">
        <v>45275</v>
      </c>
      <c r="M3126" s="815">
        <v>0.75</v>
      </c>
      <c r="N3126" s="187">
        <v>5</v>
      </c>
      <c r="O3126" s="184" t="s">
        <v>17</v>
      </c>
      <c r="P3126" s="197"/>
      <c r="Q3126" s="182" t="s">
        <v>258</v>
      </c>
      <c r="R3126" s="621" t="s">
        <v>81</v>
      </c>
      <c r="S3126" s="31" t="s">
        <v>273</v>
      </c>
      <c r="T3126" s="31" t="s">
        <v>273</v>
      </c>
      <c r="U3126" s="31">
        <f>IFERROR(VLOOKUP(CONCATENATE(Tabla1[[#This Row],[Severidad]]," ",Tabla1[[#This Row],[Complejidad]]),Catalogos!E$120:G$128,3,FALSE),"")</f>
        <v>64</v>
      </c>
      <c r="V3126" s="31" t="str">
        <f>IF(Tabla1[[#This Row],[Tiempo solución max (hrs)]]&lt;&gt;"",IF(Tabla1[[#This Row],[Tiempo solución max (hrs)]]&gt;=Tabla1[[#This Row],[Tiempo
(Hrs 00/100)]],"cumple","no cumple"),"")</f>
        <v>cumple</v>
      </c>
      <c r="W3126" s="376" t="s">
        <v>5372</v>
      </c>
      <c r="X3126" s="18" t="str">
        <f t="shared" si="233"/>
        <v>SAW</v>
      </c>
      <c r="Y3126" t="str">
        <f>SUBSTITUTE(Tabla1[[#This Row],[Descripción]],CHAR(10),"    I    ")</f>
        <v xml:space="preserve">actualizacion inventario de micrositio </v>
      </c>
      <c r="Z3126" s="112">
        <f>VLOOKUP(Tabla1[[#This Row],[Perfil]],Catalogos!$B$75:$D$100,3,FALSE)*Tabla1[[#This Row],[Tiempo
(Hrs 00/100)]]*1.16</f>
        <v>2900</v>
      </c>
    </row>
    <row r="3127" spans="1:26" ht="30" customHeight="1" x14ac:dyDescent="0.3">
      <c r="A3127" s="187" t="s">
        <v>22</v>
      </c>
      <c r="B3127" s="188" t="s">
        <v>68</v>
      </c>
      <c r="C3127" s="183" t="s">
        <v>16</v>
      </c>
      <c r="D3127" s="187"/>
      <c r="E3127" s="812" t="s">
        <v>503</v>
      </c>
      <c r="F3127" s="187" t="s">
        <v>75</v>
      </c>
      <c r="G3127" s="817" t="s">
        <v>5598</v>
      </c>
      <c r="H3127" s="813" t="s">
        <v>436</v>
      </c>
      <c r="I3127" s="816" t="s">
        <v>5556</v>
      </c>
      <c r="J3127" s="814">
        <v>45278</v>
      </c>
      <c r="K3127" s="815">
        <v>0.375</v>
      </c>
      <c r="L3127" s="814">
        <v>45278</v>
      </c>
      <c r="M3127" s="815">
        <v>0.60416666666666663</v>
      </c>
      <c r="N3127" s="187">
        <v>5.5</v>
      </c>
      <c r="O3127" s="184" t="s">
        <v>17</v>
      </c>
      <c r="P3127" s="197"/>
      <c r="Q3127" s="182" t="s">
        <v>258</v>
      </c>
      <c r="R3127" s="621" t="s">
        <v>81</v>
      </c>
      <c r="S3127" s="31" t="s">
        <v>273</v>
      </c>
      <c r="T3127" s="31" t="s">
        <v>273</v>
      </c>
      <c r="U3127" s="31">
        <f>IFERROR(VLOOKUP(CONCATENATE(Tabla1[[#This Row],[Severidad]]," ",Tabla1[[#This Row],[Complejidad]]),Catalogos!E$120:G$128,3,FALSE),"")</f>
        <v>64</v>
      </c>
      <c r="V3127" s="31" t="str">
        <f>IF(Tabla1[[#This Row],[Tiempo solución max (hrs)]]&lt;&gt;"",IF(Tabla1[[#This Row],[Tiempo solución max (hrs)]]&gt;=Tabla1[[#This Row],[Tiempo
(Hrs 00/100)]],"cumple","no cumple"),"")</f>
        <v>cumple</v>
      </c>
      <c r="W3127" s="376" t="s">
        <v>5372</v>
      </c>
      <c r="X3127" s="18" t="str">
        <f t="shared" si="233"/>
        <v>SAW</v>
      </c>
      <c r="Y3127" t="str">
        <f>SUBSTITUTE(Tabla1[[#This Row],[Descripción]],CHAR(10),"    I    ")</f>
        <v xml:space="preserve">elementos de control interno asociados </v>
      </c>
      <c r="Z3127" s="112">
        <f>VLOOKUP(Tabla1[[#This Row],[Perfil]],Catalogos!$B$75:$D$100,3,FALSE)*Tabla1[[#This Row],[Tiempo
(Hrs 00/100)]]*1.16</f>
        <v>3190</v>
      </c>
    </row>
    <row r="3128" spans="1:26" ht="30" customHeight="1" x14ac:dyDescent="0.3">
      <c r="A3128" s="187" t="s">
        <v>22</v>
      </c>
      <c r="B3128" s="188" t="s">
        <v>68</v>
      </c>
      <c r="C3128" s="183" t="s">
        <v>16</v>
      </c>
      <c r="D3128" s="187"/>
      <c r="E3128" s="812" t="s">
        <v>503</v>
      </c>
      <c r="F3128" s="187" t="s">
        <v>75</v>
      </c>
      <c r="G3128" s="817" t="s">
        <v>5599</v>
      </c>
      <c r="H3128" s="813" t="s">
        <v>436</v>
      </c>
      <c r="I3128" s="816" t="s">
        <v>5557</v>
      </c>
      <c r="J3128" s="814">
        <v>45278</v>
      </c>
      <c r="K3128" s="815">
        <v>0.66666666666666663</v>
      </c>
      <c r="L3128" s="814">
        <v>45278</v>
      </c>
      <c r="M3128" s="815">
        <v>0.79166666666666663</v>
      </c>
      <c r="N3128" s="187">
        <v>3</v>
      </c>
      <c r="O3128" s="184" t="s">
        <v>17</v>
      </c>
      <c r="P3128" s="197"/>
      <c r="Q3128" s="182" t="s">
        <v>258</v>
      </c>
      <c r="R3128" s="621" t="s">
        <v>81</v>
      </c>
      <c r="S3128" s="31" t="s">
        <v>273</v>
      </c>
      <c r="T3128" s="31" t="s">
        <v>273</v>
      </c>
      <c r="U3128" s="31">
        <f>IFERROR(VLOOKUP(CONCATENATE(Tabla1[[#This Row],[Severidad]]," ",Tabla1[[#This Row],[Complejidad]]),Catalogos!E$120:G$128,3,FALSE),"")</f>
        <v>64</v>
      </c>
      <c r="V3128" s="31" t="str">
        <f>IF(Tabla1[[#This Row],[Tiempo solución max (hrs)]]&lt;&gt;"",IF(Tabla1[[#This Row],[Tiempo solución max (hrs)]]&gt;=Tabla1[[#This Row],[Tiempo
(Hrs 00/100)]],"cumple","no cumple"),"")</f>
        <v>cumple</v>
      </c>
      <c r="W3128" s="376" t="s">
        <v>5372</v>
      </c>
      <c r="X3128" s="18" t="str">
        <f t="shared" si="233"/>
        <v>SAW</v>
      </c>
      <c r="Y3128" t="str">
        <f>SUBSTITUTE(Tabla1[[#This Row],[Descripción]],CHAR(10),"    I    ")</f>
        <v xml:space="preserve">actualizacion ambiente de control parametros </v>
      </c>
      <c r="Z3128" s="112">
        <f>VLOOKUP(Tabla1[[#This Row],[Perfil]],Catalogos!$B$75:$D$100,3,FALSE)*Tabla1[[#This Row],[Tiempo
(Hrs 00/100)]]*1.16</f>
        <v>1739.9999999999998</v>
      </c>
    </row>
    <row r="3129" spans="1:26" ht="30" customHeight="1" x14ac:dyDescent="0.3">
      <c r="A3129" s="187" t="s">
        <v>22</v>
      </c>
      <c r="B3129" s="188" t="s">
        <v>68</v>
      </c>
      <c r="C3129" s="183" t="s">
        <v>16</v>
      </c>
      <c r="D3129" s="187"/>
      <c r="E3129" s="812" t="s">
        <v>503</v>
      </c>
      <c r="F3129" s="187" t="s">
        <v>75</v>
      </c>
      <c r="G3129" s="817" t="s">
        <v>5600</v>
      </c>
      <c r="H3129" s="813" t="s">
        <v>436</v>
      </c>
      <c r="I3129" s="816" t="s">
        <v>5558</v>
      </c>
      <c r="J3129" s="814">
        <v>45279</v>
      </c>
      <c r="K3129" s="815">
        <v>0.375</v>
      </c>
      <c r="L3129" s="814">
        <v>45279</v>
      </c>
      <c r="M3129" s="815">
        <v>0.60416666666666663</v>
      </c>
      <c r="N3129" s="187">
        <v>5.5</v>
      </c>
      <c r="O3129" s="184" t="s">
        <v>17</v>
      </c>
      <c r="P3129" s="197"/>
      <c r="Q3129" s="182" t="s">
        <v>258</v>
      </c>
      <c r="R3129" s="621" t="s">
        <v>81</v>
      </c>
      <c r="S3129" s="31" t="s">
        <v>273</v>
      </c>
      <c r="T3129" s="31" t="s">
        <v>273</v>
      </c>
      <c r="U3129" s="31">
        <f>IFERROR(VLOOKUP(CONCATENATE(Tabla1[[#This Row],[Severidad]]," ",Tabla1[[#This Row],[Complejidad]]),Catalogos!E$120:G$128,3,FALSE),"")</f>
        <v>64</v>
      </c>
      <c r="V3129" s="31" t="str">
        <f>IF(Tabla1[[#This Row],[Tiempo solución max (hrs)]]&lt;&gt;"",IF(Tabla1[[#This Row],[Tiempo solución max (hrs)]]&gt;=Tabla1[[#This Row],[Tiempo
(Hrs 00/100)]],"cumple","no cumple"),"")</f>
        <v>cumple</v>
      </c>
      <c r="W3129" s="376" t="s">
        <v>5372</v>
      </c>
      <c r="X3129" s="18" t="str">
        <f t="shared" si="233"/>
        <v>SAW</v>
      </c>
      <c r="Y3129" t="str">
        <f>SUBSTITUTE(Tabla1[[#This Row],[Descripción]],CHAR(10),"    I    ")</f>
        <v xml:space="preserve">actualizacion AC principios basicos </v>
      </c>
      <c r="Z3129" s="112">
        <f>VLOOKUP(Tabla1[[#This Row],[Perfil]],Catalogos!$B$75:$D$100,3,FALSE)*Tabla1[[#This Row],[Tiempo
(Hrs 00/100)]]*1.16</f>
        <v>3190</v>
      </c>
    </row>
    <row r="3130" spans="1:26" ht="30" customHeight="1" x14ac:dyDescent="0.3">
      <c r="A3130" s="187" t="s">
        <v>22</v>
      </c>
      <c r="B3130" s="188" t="s">
        <v>68</v>
      </c>
      <c r="C3130" s="183" t="s">
        <v>16</v>
      </c>
      <c r="D3130" s="187"/>
      <c r="E3130" s="812" t="s">
        <v>503</v>
      </c>
      <c r="F3130" s="187" t="s">
        <v>75</v>
      </c>
      <c r="G3130" s="817" t="s">
        <v>5601</v>
      </c>
      <c r="H3130" s="813" t="s">
        <v>436</v>
      </c>
      <c r="I3130" s="816" t="s">
        <v>5559</v>
      </c>
      <c r="J3130" s="814">
        <v>45279</v>
      </c>
      <c r="K3130" s="815">
        <v>0.66666666666666663</v>
      </c>
      <c r="L3130" s="814">
        <v>45279</v>
      </c>
      <c r="M3130" s="815">
        <v>0.79166666666666663</v>
      </c>
      <c r="N3130" s="187">
        <v>3</v>
      </c>
      <c r="O3130" s="184" t="s">
        <v>17</v>
      </c>
      <c r="P3130" s="197"/>
      <c r="Q3130" s="182" t="s">
        <v>258</v>
      </c>
      <c r="R3130" s="621" t="s">
        <v>81</v>
      </c>
      <c r="S3130" s="31" t="s">
        <v>273</v>
      </c>
      <c r="T3130" s="31" t="s">
        <v>273</v>
      </c>
      <c r="U3130" s="31">
        <f>IFERROR(VLOOKUP(CONCATENATE(Tabla1[[#This Row],[Severidad]]," ",Tabla1[[#This Row],[Complejidad]]),Catalogos!E$120:G$128,3,FALSE),"")</f>
        <v>64</v>
      </c>
      <c r="V3130" s="31" t="str">
        <f>IF(Tabla1[[#This Row],[Tiempo solución max (hrs)]]&lt;&gt;"",IF(Tabla1[[#This Row],[Tiempo solución max (hrs)]]&gt;=Tabla1[[#This Row],[Tiempo
(Hrs 00/100)]],"cumple","no cumple"),"")</f>
        <v>cumple</v>
      </c>
      <c r="W3130" s="376" t="s">
        <v>5372</v>
      </c>
      <c r="X3130" s="18" t="str">
        <f t="shared" si="233"/>
        <v>SAW</v>
      </c>
      <c r="Y3130" t="str">
        <f>SUBSTITUTE(Tabla1[[#This Row],[Descripción]],CHAR(10),"    I    ")</f>
        <v xml:space="preserve">actualizacion ambiente de control asociados </v>
      </c>
      <c r="Z3130" s="112">
        <f>VLOOKUP(Tabla1[[#This Row],[Perfil]],Catalogos!$B$75:$D$100,3,FALSE)*Tabla1[[#This Row],[Tiempo
(Hrs 00/100)]]*1.16</f>
        <v>1739.9999999999998</v>
      </c>
    </row>
    <row r="3131" spans="1:26" ht="30" customHeight="1" x14ac:dyDescent="0.3">
      <c r="A3131" s="187" t="s">
        <v>22</v>
      </c>
      <c r="B3131" s="188" t="s">
        <v>68</v>
      </c>
      <c r="C3131" s="183" t="s">
        <v>16</v>
      </c>
      <c r="D3131" s="187"/>
      <c r="E3131" s="812" t="s">
        <v>503</v>
      </c>
      <c r="F3131" s="187" t="s">
        <v>75</v>
      </c>
      <c r="G3131" s="817" t="s">
        <v>5602</v>
      </c>
      <c r="H3131" s="813" t="s">
        <v>436</v>
      </c>
      <c r="I3131" s="189" t="s">
        <v>5560</v>
      </c>
      <c r="J3131" s="814">
        <v>45280</v>
      </c>
      <c r="K3131" s="815">
        <v>0.375</v>
      </c>
      <c r="L3131" s="814">
        <v>45280</v>
      </c>
      <c r="M3131" s="815">
        <v>0.60416666666666663</v>
      </c>
      <c r="N3131" s="187">
        <v>5.5</v>
      </c>
      <c r="O3131" s="184" t="s">
        <v>17</v>
      </c>
      <c r="P3131" s="197"/>
      <c r="Q3131" s="182" t="s">
        <v>258</v>
      </c>
      <c r="R3131" s="621" t="s">
        <v>81</v>
      </c>
      <c r="S3131" s="31" t="s">
        <v>273</v>
      </c>
      <c r="T3131" s="31" t="s">
        <v>273</v>
      </c>
      <c r="U3131" s="31">
        <f>IFERROR(VLOOKUP(CONCATENATE(Tabla1[[#This Row],[Severidad]]," ",Tabla1[[#This Row],[Complejidad]]),Catalogos!E$120:G$128,3,FALSE),"")</f>
        <v>64</v>
      </c>
      <c r="V3131" s="31" t="str">
        <f>IF(Tabla1[[#This Row],[Tiempo solución max (hrs)]]&lt;&gt;"",IF(Tabla1[[#This Row],[Tiempo solución max (hrs)]]&gt;=Tabla1[[#This Row],[Tiempo
(Hrs 00/100)]],"cumple","no cumple"),"")</f>
        <v>cumple</v>
      </c>
      <c r="W3131" s="376" t="s">
        <v>5372</v>
      </c>
      <c r="X3131" s="18" t="str">
        <f t="shared" si="233"/>
        <v>SAW</v>
      </c>
      <c r="Y3131" t="str">
        <f>SUBSTITUTE(Tabla1[[#This Row],[Descripción]],CHAR(10),"    I    ")</f>
        <v xml:space="preserve">actualizacion administracion de riesgos parametros </v>
      </c>
      <c r="Z3131" s="112">
        <f>VLOOKUP(Tabla1[[#This Row],[Perfil]],Catalogos!$B$75:$D$100,3,FALSE)*Tabla1[[#This Row],[Tiempo
(Hrs 00/100)]]*1.16</f>
        <v>3190</v>
      </c>
    </row>
    <row r="3132" spans="1:26" ht="30" customHeight="1" x14ac:dyDescent="0.3">
      <c r="A3132" s="187" t="s">
        <v>22</v>
      </c>
      <c r="B3132" s="188" t="s">
        <v>68</v>
      </c>
      <c r="C3132" s="183" t="s">
        <v>16</v>
      </c>
      <c r="D3132" s="187"/>
      <c r="E3132" s="812" t="s">
        <v>503</v>
      </c>
      <c r="F3132" s="187" t="s">
        <v>75</v>
      </c>
      <c r="G3132" s="817" t="s">
        <v>5603</v>
      </c>
      <c r="H3132" s="813" t="s">
        <v>436</v>
      </c>
      <c r="I3132" s="189" t="s">
        <v>5561</v>
      </c>
      <c r="J3132" s="814">
        <v>45280</v>
      </c>
      <c r="K3132" s="815">
        <v>0.66666666666666663</v>
      </c>
      <c r="L3132" s="814">
        <v>45280</v>
      </c>
      <c r="M3132" s="815">
        <v>0.79166666666666663</v>
      </c>
      <c r="N3132" s="187">
        <v>3</v>
      </c>
      <c r="O3132" s="184" t="s">
        <v>17</v>
      </c>
      <c r="P3132" s="197"/>
      <c r="Q3132" s="182" t="s">
        <v>258</v>
      </c>
      <c r="R3132" s="621" t="s">
        <v>81</v>
      </c>
      <c r="S3132" s="31" t="s">
        <v>273</v>
      </c>
      <c r="T3132" s="31" t="s">
        <v>273</v>
      </c>
      <c r="U3132" s="31">
        <f>IFERROR(VLOOKUP(CONCATENATE(Tabla1[[#This Row],[Severidad]]," ",Tabla1[[#This Row],[Complejidad]]),Catalogos!E$120:G$128,3,FALSE),"")</f>
        <v>64</v>
      </c>
      <c r="V3132" s="31" t="str">
        <f>IF(Tabla1[[#This Row],[Tiempo solución max (hrs)]]&lt;&gt;"",IF(Tabla1[[#This Row],[Tiempo solución max (hrs)]]&gt;=Tabla1[[#This Row],[Tiempo
(Hrs 00/100)]],"cumple","no cumple"),"")</f>
        <v>cumple</v>
      </c>
      <c r="W3132" s="376" t="s">
        <v>5372</v>
      </c>
      <c r="X3132" s="18" t="str">
        <f t="shared" si="233"/>
        <v>SAW</v>
      </c>
      <c r="Y3132" t="str">
        <f>SUBSTITUTE(Tabla1[[#This Row],[Descripción]],CHAR(10),"    I    ")</f>
        <v xml:space="preserve">actualizacion admin de riesgos principios basicos </v>
      </c>
      <c r="Z3132" s="112">
        <f>VLOOKUP(Tabla1[[#This Row],[Perfil]],Catalogos!$B$75:$D$100,3,FALSE)*Tabla1[[#This Row],[Tiempo
(Hrs 00/100)]]*1.16</f>
        <v>1739.9999999999998</v>
      </c>
    </row>
    <row r="3133" spans="1:26" ht="30" customHeight="1" x14ac:dyDescent="0.3">
      <c r="A3133" s="187" t="s">
        <v>22</v>
      </c>
      <c r="B3133" s="188" t="s">
        <v>68</v>
      </c>
      <c r="C3133" s="183" t="s">
        <v>16</v>
      </c>
      <c r="D3133" s="187"/>
      <c r="E3133" s="812" t="s">
        <v>503</v>
      </c>
      <c r="F3133" s="187" t="s">
        <v>75</v>
      </c>
      <c r="G3133" s="817" t="s">
        <v>5604</v>
      </c>
      <c r="H3133" s="813" t="s">
        <v>436</v>
      </c>
      <c r="I3133" s="189" t="s">
        <v>5562</v>
      </c>
      <c r="J3133" s="814">
        <v>45281</v>
      </c>
      <c r="K3133" s="815">
        <v>0.375</v>
      </c>
      <c r="L3133" s="814">
        <v>45281</v>
      </c>
      <c r="M3133" s="815">
        <v>0.60416666666666663</v>
      </c>
      <c r="N3133" s="187">
        <v>5.5</v>
      </c>
      <c r="O3133" s="184" t="s">
        <v>17</v>
      </c>
      <c r="P3133" s="197"/>
      <c r="Q3133" s="182" t="s">
        <v>258</v>
      </c>
      <c r="R3133" s="621" t="s">
        <v>81</v>
      </c>
      <c r="S3133" s="31" t="s">
        <v>273</v>
      </c>
      <c r="T3133" s="31" t="s">
        <v>273</v>
      </c>
      <c r="U3133" s="31">
        <f>IFERROR(VLOOKUP(CONCATENATE(Tabla1[[#This Row],[Severidad]]," ",Tabla1[[#This Row],[Complejidad]]),Catalogos!E$120:G$128,3,FALSE),"")</f>
        <v>64</v>
      </c>
      <c r="V3133" s="31" t="str">
        <f>IF(Tabla1[[#This Row],[Tiempo solución max (hrs)]]&lt;&gt;"",IF(Tabla1[[#This Row],[Tiempo solución max (hrs)]]&gt;=Tabla1[[#This Row],[Tiempo
(Hrs 00/100)]],"cumple","no cumple"),"")</f>
        <v>cumple</v>
      </c>
      <c r="W3133" s="376" t="s">
        <v>5372</v>
      </c>
      <c r="X3133" s="18" t="str">
        <f t="shared" si="233"/>
        <v>SAW</v>
      </c>
      <c r="Y3133" t="str">
        <f>SUBSTITUTE(Tabla1[[#This Row],[Descripción]],CHAR(10),"    I    ")</f>
        <v xml:space="preserve">actualizacion admin de riesgo elemento de control interno </v>
      </c>
      <c r="Z3133" s="112">
        <f>VLOOKUP(Tabla1[[#This Row],[Perfil]],Catalogos!$B$75:$D$100,3,FALSE)*Tabla1[[#This Row],[Tiempo
(Hrs 00/100)]]*1.16</f>
        <v>3190</v>
      </c>
    </row>
    <row r="3134" spans="1:26" ht="30" customHeight="1" x14ac:dyDescent="0.3">
      <c r="A3134" s="187" t="s">
        <v>22</v>
      </c>
      <c r="B3134" s="188" t="s">
        <v>68</v>
      </c>
      <c r="C3134" s="183" t="s">
        <v>16</v>
      </c>
      <c r="D3134" s="187"/>
      <c r="E3134" s="812" t="s">
        <v>503</v>
      </c>
      <c r="F3134" s="187" t="s">
        <v>75</v>
      </c>
      <c r="G3134" s="817" t="s">
        <v>5605</v>
      </c>
      <c r="H3134" s="813" t="s">
        <v>436</v>
      </c>
      <c r="I3134" s="189" t="s">
        <v>5563</v>
      </c>
      <c r="J3134" s="814">
        <v>45281</v>
      </c>
      <c r="K3134" s="815">
        <v>0.66666666666666663</v>
      </c>
      <c r="L3134" s="814">
        <v>45281</v>
      </c>
      <c r="M3134" s="815">
        <v>0.79166666666666663</v>
      </c>
      <c r="N3134" s="187">
        <v>3</v>
      </c>
      <c r="O3134" s="184" t="s">
        <v>17</v>
      </c>
      <c r="P3134" s="197"/>
      <c r="Q3134" s="182" t="s">
        <v>258</v>
      </c>
      <c r="R3134" s="621" t="s">
        <v>81</v>
      </c>
      <c r="S3134" s="31" t="s">
        <v>273</v>
      </c>
      <c r="T3134" s="31" t="s">
        <v>273</v>
      </c>
      <c r="U3134" s="31">
        <f>IFERROR(VLOOKUP(CONCATENATE(Tabla1[[#This Row],[Severidad]]," ",Tabla1[[#This Row],[Complejidad]]),Catalogos!E$120:G$128,3,FALSE),"")</f>
        <v>64</v>
      </c>
      <c r="V3134" s="31" t="str">
        <f>IF(Tabla1[[#This Row],[Tiempo solución max (hrs)]]&lt;&gt;"",IF(Tabla1[[#This Row],[Tiempo solución max (hrs)]]&gt;=Tabla1[[#This Row],[Tiempo
(Hrs 00/100)]],"cumple","no cumple"),"")</f>
        <v>cumple</v>
      </c>
      <c r="W3134" s="376" t="s">
        <v>5372</v>
      </c>
      <c r="X3134" s="18" t="str">
        <f t="shared" si="233"/>
        <v>SAW</v>
      </c>
      <c r="Y3134" t="str">
        <f>SUBSTITUTE(Tabla1[[#This Row],[Descripción]],CHAR(10),"    I    ")</f>
        <v xml:space="preserve">actualizacion de actividad de control parametros </v>
      </c>
      <c r="Z3134" s="112">
        <f>VLOOKUP(Tabla1[[#This Row],[Perfil]],Catalogos!$B$75:$D$100,3,FALSE)*Tabla1[[#This Row],[Tiempo
(Hrs 00/100)]]*1.16</f>
        <v>1739.9999999999998</v>
      </c>
    </row>
    <row r="3135" spans="1:26" ht="30" customHeight="1" x14ac:dyDescent="0.3">
      <c r="A3135" s="187" t="s">
        <v>22</v>
      </c>
      <c r="B3135" s="188" t="s">
        <v>68</v>
      </c>
      <c r="C3135" s="183" t="s">
        <v>16</v>
      </c>
      <c r="D3135" s="187"/>
      <c r="E3135" s="812" t="s">
        <v>503</v>
      </c>
      <c r="F3135" s="187" t="s">
        <v>75</v>
      </c>
      <c r="G3135" s="817" t="s">
        <v>5606</v>
      </c>
      <c r="H3135" s="813" t="s">
        <v>436</v>
      </c>
      <c r="I3135" s="189" t="s">
        <v>5564</v>
      </c>
      <c r="J3135" s="814">
        <v>45282</v>
      </c>
      <c r="K3135" s="815">
        <v>0.375</v>
      </c>
      <c r="L3135" s="814">
        <v>45282</v>
      </c>
      <c r="M3135" s="815">
        <v>0.5</v>
      </c>
      <c r="N3135" s="187">
        <v>3</v>
      </c>
      <c r="O3135" s="184" t="s">
        <v>17</v>
      </c>
      <c r="P3135" s="197"/>
      <c r="Q3135" s="182" t="s">
        <v>258</v>
      </c>
      <c r="R3135" s="621" t="s">
        <v>81</v>
      </c>
      <c r="S3135" s="31" t="s">
        <v>273</v>
      </c>
      <c r="T3135" s="31" t="s">
        <v>273</v>
      </c>
      <c r="U3135" s="31">
        <f>IFERROR(VLOOKUP(CONCATENATE(Tabla1[[#This Row],[Severidad]]," ",Tabla1[[#This Row],[Complejidad]]),Catalogos!E$120:G$128,3,FALSE),"")</f>
        <v>64</v>
      </c>
      <c r="V3135" s="31" t="str">
        <f>IF(Tabla1[[#This Row],[Tiempo solución max (hrs)]]&lt;&gt;"",IF(Tabla1[[#This Row],[Tiempo solución max (hrs)]]&gt;=Tabla1[[#This Row],[Tiempo
(Hrs 00/100)]],"cumple","no cumple"),"")</f>
        <v>cumple</v>
      </c>
      <c r="W3135" s="376" t="s">
        <v>5372</v>
      </c>
      <c r="X3135" s="18" t="str">
        <f t="shared" si="233"/>
        <v>SAW</v>
      </c>
      <c r="Y3135" t="str">
        <f>SUBSTITUTE(Tabla1[[#This Row],[Descripción]],CHAR(10),"    I    ")</f>
        <v xml:space="preserve">actualizacion de actividad de control principios basicos </v>
      </c>
      <c r="Z3135" s="112">
        <f>VLOOKUP(Tabla1[[#This Row],[Perfil]],Catalogos!$B$75:$D$100,3,FALSE)*Tabla1[[#This Row],[Tiempo
(Hrs 00/100)]]*1.16</f>
        <v>1739.9999999999998</v>
      </c>
    </row>
    <row r="3136" spans="1:26" ht="30" customHeight="1" x14ac:dyDescent="0.3">
      <c r="A3136" s="187" t="s">
        <v>22</v>
      </c>
      <c r="B3136" s="188" t="s">
        <v>68</v>
      </c>
      <c r="C3136" s="183" t="s">
        <v>16</v>
      </c>
      <c r="D3136" s="187"/>
      <c r="E3136" s="812" t="s">
        <v>503</v>
      </c>
      <c r="F3136" s="187" t="s">
        <v>75</v>
      </c>
      <c r="G3136" s="817" t="s">
        <v>5607</v>
      </c>
      <c r="H3136" s="813" t="s">
        <v>436</v>
      </c>
      <c r="I3136" s="816" t="s">
        <v>5565</v>
      </c>
      <c r="J3136" s="814">
        <v>45282</v>
      </c>
      <c r="K3136" s="815">
        <v>0.5</v>
      </c>
      <c r="L3136" s="814">
        <v>45282</v>
      </c>
      <c r="M3136" s="815">
        <v>0.625</v>
      </c>
      <c r="N3136" s="187">
        <v>3</v>
      </c>
      <c r="O3136" s="184" t="s">
        <v>17</v>
      </c>
      <c r="P3136" s="197"/>
      <c r="Q3136" s="182" t="s">
        <v>258</v>
      </c>
      <c r="R3136" s="621" t="s">
        <v>81</v>
      </c>
      <c r="S3136" s="31" t="s">
        <v>273</v>
      </c>
      <c r="T3136" s="31" t="s">
        <v>273</v>
      </c>
      <c r="U3136" s="31">
        <f>IFERROR(VLOOKUP(CONCATENATE(Tabla1[[#This Row],[Severidad]]," ",Tabla1[[#This Row],[Complejidad]]),Catalogos!E$120:G$128,3,FALSE),"")</f>
        <v>64</v>
      </c>
      <c r="V3136" s="31" t="str">
        <f>IF(Tabla1[[#This Row],[Tiempo solución max (hrs)]]&lt;&gt;"",IF(Tabla1[[#This Row],[Tiempo solución max (hrs)]]&gt;=Tabla1[[#This Row],[Tiempo
(Hrs 00/100)]],"cumple","no cumple"),"")</f>
        <v>cumple</v>
      </c>
      <c r="W3136" s="376" t="s">
        <v>5372</v>
      </c>
      <c r="X3136" s="18" t="str">
        <f t="shared" si="233"/>
        <v>SAW</v>
      </c>
      <c r="Y3136" t="str">
        <f>SUBSTITUTE(Tabla1[[#This Row],[Descripción]],CHAR(10),"    I    ")</f>
        <v xml:space="preserve">actualizacion de actividad de control elementos de control internos </v>
      </c>
      <c r="Z3136" s="112">
        <f>VLOOKUP(Tabla1[[#This Row],[Perfil]],Catalogos!$B$75:$D$100,3,FALSE)*Tabla1[[#This Row],[Tiempo
(Hrs 00/100)]]*1.16</f>
        <v>1739.9999999999998</v>
      </c>
    </row>
    <row r="3137" spans="1:26" ht="30" customHeight="1" x14ac:dyDescent="0.3">
      <c r="A3137" s="187" t="s">
        <v>22</v>
      </c>
      <c r="B3137" s="188" t="s">
        <v>68</v>
      </c>
      <c r="C3137" s="183" t="s">
        <v>16</v>
      </c>
      <c r="D3137" s="187"/>
      <c r="E3137" s="812" t="s">
        <v>503</v>
      </c>
      <c r="F3137" s="187" t="s">
        <v>75</v>
      </c>
      <c r="G3137" s="817" t="s">
        <v>5608</v>
      </c>
      <c r="H3137" s="813" t="s">
        <v>436</v>
      </c>
      <c r="I3137" s="816" t="s">
        <v>5566</v>
      </c>
      <c r="J3137" s="814">
        <v>45286</v>
      </c>
      <c r="K3137" s="815">
        <v>0.375</v>
      </c>
      <c r="L3137" s="814">
        <v>45286</v>
      </c>
      <c r="M3137" s="815">
        <v>0.45833333333333331</v>
      </c>
      <c r="N3137" s="187">
        <v>2</v>
      </c>
      <c r="O3137" s="184" t="s">
        <v>17</v>
      </c>
      <c r="P3137" s="197"/>
      <c r="Q3137" s="182" t="s">
        <v>258</v>
      </c>
      <c r="R3137" s="621" t="s">
        <v>81</v>
      </c>
      <c r="S3137" s="31" t="s">
        <v>273</v>
      </c>
      <c r="T3137" s="31" t="s">
        <v>273</v>
      </c>
      <c r="U3137" s="31">
        <f>IFERROR(VLOOKUP(CONCATENATE(Tabla1[[#This Row],[Severidad]]," ",Tabla1[[#This Row],[Complejidad]]),Catalogos!E$120:G$128,3,FALSE),"")</f>
        <v>64</v>
      </c>
      <c r="V3137" s="31" t="str">
        <f>IF(Tabla1[[#This Row],[Tiempo solución max (hrs)]]&lt;&gt;"",IF(Tabla1[[#This Row],[Tiempo solución max (hrs)]]&gt;=Tabla1[[#This Row],[Tiempo
(Hrs 00/100)]],"cumple","no cumple"),"")</f>
        <v>cumple</v>
      </c>
      <c r="W3137" s="376" t="s">
        <v>5372</v>
      </c>
      <c r="X3137" s="18" t="str">
        <f t="shared" si="233"/>
        <v>SAW</v>
      </c>
      <c r="Y3137" t="str">
        <f>SUBSTITUTE(Tabla1[[#This Row],[Descripción]],CHAR(10),"    I    ")</f>
        <v>actualizacion de supervision y mejora continua parametros</v>
      </c>
      <c r="Z3137" s="112">
        <f>VLOOKUP(Tabla1[[#This Row],[Perfil]],Catalogos!$B$75:$D$100,3,FALSE)*Tabla1[[#This Row],[Tiempo
(Hrs 00/100)]]*1.16</f>
        <v>1160</v>
      </c>
    </row>
    <row r="3138" spans="1:26" ht="30" customHeight="1" x14ac:dyDescent="0.3">
      <c r="A3138" s="187" t="s">
        <v>22</v>
      </c>
      <c r="B3138" s="188" t="s">
        <v>68</v>
      </c>
      <c r="C3138" s="183" t="s">
        <v>16</v>
      </c>
      <c r="D3138" s="187"/>
      <c r="E3138" s="812" t="s">
        <v>503</v>
      </c>
      <c r="F3138" s="187" t="s">
        <v>75</v>
      </c>
      <c r="G3138" s="817" t="s">
        <v>5609</v>
      </c>
      <c r="H3138" s="813" t="s">
        <v>436</v>
      </c>
      <c r="I3138" s="816" t="s">
        <v>5567</v>
      </c>
      <c r="J3138" s="814">
        <v>45286</v>
      </c>
      <c r="K3138" s="815">
        <v>0.45833333333333331</v>
      </c>
      <c r="L3138" s="814">
        <v>45286</v>
      </c>
      <c r="M3138" s="815">
        <v>0.60416666666666663</v>
      </c>
      <c r="N3138" s="187">
        <v>3.5</v>
      </c>
      <c r="O3138" s="184" t="s">
        <v>17</v>
      </c>
      <c r="P3138" s="197"/>
      <c r="Q3138" s="182" t="s">
        <v>258</v>
      </c>
      <c r="R3138" s="621" t="s">
        <v>81</v>
      </c>
      <c r="S3138" s="31" t="s">
        <v>273</v>
      </c>
      <c r="T3138" s="31" t="s">
        <v>273</v>
      </c>
      <c r="U3138" s="31">
        <f>IFERROR(VLOOKUP(CONCATENATE(Tabla1[[#This Row],[Severidad]]," ",Tabla1[[#This Row],[Complejidad]]),Catalogos!E$120:G$128,3,FALSE),"")</f>
        <v>64</v>
      </c>
      <c r="V3138" s="31" t="str">
        <f>IF(Tabla1[[#This Row],[Tiempo solución max (hrs)]]&lt;&gt;"",IF(Tabla1[[#This Row],[Tiempo solución max (hrs)]]&gt;=Tabla1[[#This Row],[Tiempo
(Hrs 00/100)]],"cumple","no cumple"),"")</f>
        <v>cumple</v>
      </c>
      <c r="W3138" s="376" t="s">
        <v>5372</v>
      </c>
      <c r="X3138" s="18" t="str">
        <f t="shared" si="233"/>
        <v>SAW</v>
      </c>
      <c r="Y3138" t="str">
        <f>SUBSTITUTE(Tabla1[[#This Row],[Descripción]],CHAR(10),"    I    ")</f>
        <v>actualizacion de supervision y mejora continua principios basicos</v>
      </c>
      <c r="Z3138" s="112">
        <f>VLOOKUP(Tabla1[[#This Row],[Perfil]],Catalogos!$B$75:$D$100,3,FALSE)*Tabla1[[#This Row],[Tiempo
(Hrs 00/100)]]*1.16</f>
        <v>2029.9999999999998</v>
      </c>
    </row>
    <row r="3139" spans="1:26" ht="30" customHeight="1" x14ac:dyDescent="0.3">
      <c r="A3139" s="187" t="s">
        <v>22</v>
      </c>
      <c r="B3139" s="188" t="s">
        <v>68</v>
      </c>
      <c r="C3139" s="183" t="s">
        <v>16</v>
      </c>
      <c r="D3139" s="187"/>
      <c r="E3139" s="812" t="s">
        <v>503</v>
      </c>
      <c r="F3139" s="187" t="s">
        <v>75</v>
      </c>
      <c r="G3139" s="817" t="s">
        <v>5610</v>
      </c>
      <c r="H3139" s="813" t="s">
        <v>436</v>
      </c>
      <c r="I3139" s="620" t="s">
        <v>5568</v>
      </c>
      <c r="J3139" s="814">
        <v>45286</v>
      </c>
      <c r="K3139" s="815">
        <v>0.66666666666666663</v>
      </c>
      <c r="L3139" s="814">
        <v>45286</v>
      </c>
      <c r="M3139" s="815">
        <v>0.85416666666666663</v>
      </c>
      <c r="N3139" s="187">
        <v>4.5</v>
      </c>
      <c r="O3139" s="184" t="s">
        <v>17</v>
      </c>
      <c r="P3139" s="197"/>
      <c r="Q3139" s="182" t="s">
        <v>258</v>
      </c>
      <c r="R3139" s="621" t="s">
        <v>81</v>
      </c>
      <c r="S3139" s="31" t="s">
        <v>273</v>
      </c>
      <c r="T3139" s="31" t="s">
        <v>273</v>
      </c>
      <c r="U3139" s="31">
        <f>IFERROR(VLOOKUP(CONCATENATE(Tabla1[[#This Row],[Severidad]]," ",Tabla1[[#This Row],[Complejidad]]),Catalogos!E$120:G$128,3,FALSE),"")</f>
        <v>64</v>
      </c>
      <c r="V3139" s="31" t="str">
        <f>IF(Tabla1[[#This Row],[Tiempo solución max (hrs)]]&lt;&gt;"",IF(Tabla1[[#This Row],[Tiempo solución max (hrs)]]&gt;=Tabla1[[#This Row],[Tiempo
(Hrs 00/100)]],"cumple","no cumple"),"")</f>
        <v>cumple</v>
      </c>
      <c r="W3139" s="376" t="s">
        <v>5372</v>
      </c>
      <c r="X3139" s="18" t="str">
        <f t="shared" si="233"/>
        <v>SAW</v>
      </c>
      <c r="Y3139" t="str">
        <f>SUBSTITUTE(Tabla1[[#This Row],[Descripción]],CHAR(10),"    I    ")</f>
        <v xml:space="preserve">actualizacion de supervision y mejora continua de elementos de control interno </v>
      </c>
      <c r="Z3139" s="112">
        <f>VLOOKUP(Tabla1[[#This Row],[Perfil]],Catalogos!$B$75:$D$100,3,FALSE)*Tabla1[[#This Row],[Tiempo
(Hrs 00/100)]]*1.16</f>
        <v>2610</v>
      </c>
    </row>
    <row r="3140" spans="1:26" ht="30" customHeight="1" x14ac:dyDescent="0.3">
      <c r="A3140" s="187" t="s">
        <v>22</v>
      </c>
      <c r="B3140" s="188" t="s">
        <v>68</v>
      </c>
      <c r="C3140" s="183" t="s">
        <v>16</v>
      </c>
      <c r="D3140" s="187"/>
      <c r="E3140" s="812" t="s">
        <v>503</v>
      </c>
      <c r="F3140" s="187" t="s">
        <v>75</v>
      </c>
      <c r="G3140" s="817" t="s">
        <v>5611</v>
      </c>
      <c r="H3140" s="813" t="s">
        <v>436</v>
      </c>
      <c r="I3140" s="189" t="s">
        <v>5542</v>
      </c>
      <c r="J3140" s="814">
        <v>45287</v>
      </c>
      <c r="K3140" s="815">
        <v>0.375</v>
      </c>
      <c r="L3140" s="814">
        <v>45287</v>
      </c>
      <c r="M3140" s="815">
        <v>0.60416666666666663</v>
      </c>
      <c r="N3140" s="187">
        <v>5.5</v>
      </c>
      <c r="O3140" s="184" t="s">
        <v>17</v>
      </c>
      <c r="P3140" s="197"/>
      <c r="Q3140" s="182" t="s">
        <v>258</v>
      </c>
      <c r="R3140" s="621" t="s">
        <v>81</v>
      </c>
      <c r="S3140" s="31" t="s">
        <v>273</v>
      </c>
      <c r="T3140" s="31" t="s">
        <v>273</v>
      </c>
      <c r="U3140" s="31">
        <f>IFERROR(VLOOKUP(CONCATENATE(Tabla1[[#This Row],[Severidad]]," ",Tabla1[[#This Row],[Complejidad]]),Catalogos!E$120:G$128,3,FALSE),"")</f>
        <v>64</v>
      </c>
      <c r="V3140" s="31" t="str">
        <f>IF(Tabla1[[#This Row],[Tiempo solución max (hrs)]]&lt;&gt;"",IF(Tabla1[[#This Row],[Tiempo solución max (hrs)]]&gt;=Tabla1[[#This Row],[Tiempo
(Hrs 00/100)]],"cumple","no cumple"),"")</f>
        <v>cumple</v>
      </c>
      <c r="W3140" s="376" t="s">
        <v>5372</v>
      </c>
      <c r="X3140" s="18" t="str">
        <f t="shared" si="233"/>
        <v>SAW</v>
      </c>
      <c r="Y3140" t="str">
        <f>SUBSTITUTE(Tabla1[[#This Row],[Descripción]],CHAR(10),"    I    ")</f>
        <v>actualizacion revista  PVYS</v>
      </c>
      <c r="Z3140" s="112">
        <f>VLOOKUP(Tabla1[[#This Row],[Perfil]],Catalogos!$B$75:$D$100,3,FALSE)*Tabla1[[#This Row],[Tiempo
(Hrs 00/100)]]*1.16</f>
        <v>3190</v>
      </c>
    </row>
    <row r="3141" spans="1:26" ht="30" customHeight="1" x14ac:dyDescent="0.3">
      <c r="A3141" s="187" t="s">
        <v>22</v>
      </c>
      <c r="B3141" s="188" t="s">
        <v>68</v>
      </c>
      <c r="C3141" s="183" t="s">
        <v>16</v>
      </c>
      <c r="D3141" s="187"/>
      <c r="E3141" s="812" t="s">
        <v>503</v>
      </c>
      <c r="F3141" s="187" t="s">
        <v>75</v>
      </c>
      <c r="G3141" s="817" t="s">
        <v>5612</v>
      </c>
      <c r="H3141" s="813" t="s">
        <v>436</v>
      </c>
      <c r="I3141" s="816" t="s">
        <v>3722</v>
      </c>
      <c r="J3141" s="814">
        <v>45287</v>
      </c>
      <c r="K3141" s="815">
        <v>0.66666666666666663</v>
      </c>
      <c r="L3141" s="814">
        <v>45287</v>
      </c>
      <c r="M3141" s="815">
        <v>0.83333333333333337</v>
      </c>
      <c r="N3141" s="187">
        <v>4</v>
      </c>
      <c r="O3141" s="184" t="s">
        <v>17</v>
      </c>
      <c r="P3141" s="197"/>
      <c r="Q3141" s="182" t="s">
        <v>258</v>
      </c>
      <c r="R3141" s="621" t="s">
        <v>81</v>
      </c>
      <c r="S3141" s="31" t="s">
        <v>273</v>
      </c>
      <c r="T3141" s="31" t="s">
        <v>273</v>
      </c>
      <c r="U3141" s="31">
        <f>IFERROR(VLOOKUP(CONCATENATE(Tabla1[[#This Row],[Severidad]]," ",Tabla1[[#This Row],[Complejidad]]),Catalogos!E$120:G$128,3,FALSE),"")</f>
        <v>64</v>
      </c>
      <c r="V3141" s="31" t="str">
        <f>IF(Tabla1[[#This Row],[Tiempo solución max (hrs)]]&lt;&gt;"",IF(Tabla1[[#This Row],[Tiempo solución max (hrs)]]&gt;=Tabla1[[#This Row],[Tiempo
(Hrs 00/100)]],"cumple","no cumple"),"")</f>
        <v>cumple</v>
      </c>
      <c r="W3141" s="376" t="s">
        <v>5372</v>
      </c>
      <c r="X3141" s="18" t="str">
        <f t="shared" si="233"/>
        <v>SAW</v>
      </c>
      <c r="Y3141" t="str">
        <f>SUBSTITUTE(Tabla1[[#This Row],[Descripción]],CHAR(10),"    I    ")</f>
        <v xml:space="preserve">actualizacion pagina web </v>
      </c>
      <c r="Z3141" s="112">
        <f>VLOOKUP(Tabla1[[#This Row],[Perfil]],Catalogos!$B$75:$D$100,3,FALSE)*Tabla1[[#This Row],[Tiempo
(Hrs 00/100)]]*1.16</f>
        <v>2320</v>
      </c>
    </row>
    <row r="3142" spans="1:26" ht="30" customHeight="1" x14ac:dyDescent="0.3">
      <c r="A3142" s="187" t="s">
        <v>22</v>
      </c>
      <c r="B3142" s="188" t="s">
        <v>68</v>
      </c>
      <c r="C3142" s="183" t="s">
        <v>16</v>
      </c>
      <c r="D3142" s="187"/>
      <c r="E3142" s="812" t="s">
        <v>503</v>
      </c>
      <c r="F3142" s="187" t="s">
        <v>75</v>
      </c>
      <c r="G3142" s="817" t="s">
        <v>5613</v>
      </c>
      <c r="H3142" s="813" t="s">
        <v>436</v>
      </c>
      <c r="I3142" s="816" t="s">
        <v>5541</v>
      </c>
      <c r="J3142" s="814">
        <v>45288</v>
      </c>
      <c r="K3142" s="815">
        <v>0.375</v>
      </c>
      <c r="L3142" s="814">
        <v>45288</v>
      </c>
      <c r="M3142" s="815">
        <v>0.52083333333333337</v>
      </c>
      <c r="N3142" s="187">
        <v>3.5</v>
      </c>
      <c r="O3142" s="184" t="s">
        <v>17</v>
      </c>
      <c r="P3142" s="197"/>
      <c r="Q3142" s="182" t="s">
        <v>258</v>
      </c>
      <c r="R3142" s="621" t="s">
        <v>81</v>
      </c>
      <c r="S3142" s="31" t="s">
        <v>273</v>
      </c>
      <c r="T3142" s="31" t="s">
        <v>273</v>
      </c>
      <c r="U3142" s="31">
        <f>IFERROR(VLOOKUP(CONCATENATE(Tabla1[[#This Row],[Severidad]]," ",Tabla1[[#This Row],[Complejidad]]),Catalogos!E$120:G$128,3,FALSE),"")</f>
        <v>64</v>
      </c>
      <c r="V3142" s="31" t="str">
        <f>IF(Tabla1[[#This Row],[Tiempo solución max (hrs)]]&lt;&gt;"",IF(Tabla1[[#This Row],[Tiempo solución max (hrs)]]&gt;=Tabla1[[#This Row],[Tiempo
(Hrs 00/100)]],"cumple","no cumple"),"")</f>
        <v>cumple</v>
      </c>
      <c r="W3142" s="376" t="s">
        <v>5372</v>
      </c>
      <c r="X3142" s="18" t="str">
        <f t="shared" si="233"/>
        <v>SAW</v>
      </c>
      <c r="Y3142" t="str">
        <f>SUBSTITUTE(Tabla1[[#This Row],[Descripción]],CHAR(10),"    I    ")</f>
        <v>actualizacion servicios profecionales</v>
      </c>
      <c r="Z3142" s="112">
        <f>VLOOKUP(Tabla1[[#This Row],[Perfil]],Catalogos!$B$75:$D$100,3,FALSE)*Tabla1[[#This Row],[Tiempo
(Hrs 00/100)]]*1.16</f>
        <v>2029.9999999999998</v>
      </c>
    </row>
    <row r="3143" spans="1:26" ht="30" customHeight="1" x14ac:dyDescent="0.3">
      <c r="A3143" s="187" t="s">
        <v>22</v>
      </c>
      <c r="B3143" s="188" t="s">
        <v>68</v>
      </c>
      <c r="C3143" s="183" t="s">
        <v>16</v>
      </c>
      <c r="D3143" s="187"/>
      <c r="E3143" s="812" t="s">
        <v>503</v>
      </c>
      <c r="F3143" s="187" t="s">
        <v>75</v>
      </c>
      <c r="G3143" s="817" t="s">
        <v>5614</v>
      </c>
      <c r="H3143" s="813" t="s">
        <v>436</v>
      </c>
      <c r="I3143" s="816" t="s">
        <v>5544</v>
      </c>
      <c r="J3143" s="814">
        <v>45288</v>
      </c>
      <c r="K3143" s="815">
        <v>0.52083333333333337</v>
      </c>
      <c r="L3143" s="814">
        <v>45288</v>
      </c>
      <c r="M3143" s="815">
        <v>0.60416666666666663</v>
      </c>
      <c r="N3143" s="187">
        <v>2</v>
      </c>
      <c r="O3143" s="184" t="s">
        <v>17</v>
      </c>
      <c r="P3143" s="197"/>
      <c r="Q3143" s="182" t="s">
        <v>258</v>
      </c>
      <c r="R3143" s="621" t="s">
        <v>81</v>
      </c>
      <c r="S3143" s="31" t="s">
        <v>273</v>
      </c>
      <c r="T3143" s="31" t="s">
        <v>273</v>
      </c>
      <c r="U3143" s="31">
        <f>IFERROR(VLOOKUP(CONCATENATE(Tabla1[[#This Row],[Severidad]]," ",Tabla1[[#This Row],[Complejidad]]),Catalogos!E$120:G$128,3,FALSE),"")</f>
        <v>64</v>
      </c>
      <c r="V3143" s="31" t="str">
        <f>IF(Tabla1[[#This Row],[Tiempo solución max (hrs)]]&lt;&gt;"",IF(Tabla1[[#This Row],[Tiempo solución max (hrs)]]&gt;=Tabla1[[#This Row],[Tiempo
(Hrs 00/100)]],"cumple","no cumple"),"")</f>
        <v>cumple</v>
      </c>
      <c r="W3143" s="376" t="s">
        <v>5372</v>
      </c>
      <c r="X3143" s="18" t="str">
        <f t="shared" si="233"/>
        <v>SAW</v>
      </c>
      <c r="Y3143" t="str">
        <f>SUBSTITUTE(Tabla1[[#This Row],[Descripción]],CHAR(10),"    I    ")</f>
        <v xml:space="preserve">actualizacion Resoluciones </v>
      </c>
      <c r="Z3143" s="112">
        <f>VLOOKUP(Tabla1[[#This Row],[Perfil]],Catalogos!$B$75:$D$100,3,FALSE)*Tabla1[[#This Row],[Tiempo
(Hrs 00/100)]]*1.16</f>
        <v>1160</v>
      </c>
    </row>
    <row r="3144" spans="1:26" ht="30" customHeight="1" x14ac:dyDescent="0.3">
      <c r="A3144" s="187" t="s">
        <v>22</v>
      </c>
      <c r="B3144" s="188" t="s">
        <v>68</v>
      </c>
      <c r="C3144" s="183" t="s">
        <v>16</v>
      </c>
      <c r="D3144" s="187"/>
      <c r="E3144" s="812" t="s">
        <v>503</v>
      </c>
      <c r="F3144" s="187" t="s">
        <v>75</v>
      </c>
      <c r="G3144" s="817" t="s">
        <v>5615</v>
      </c>
      <c r="H3144" s="813" t="s">
        <v>436</v>
      </c>
      <c r="I3144" s="189" t="s">
        <v>5535</v>
      </c>
      <c r="J3144" s="814">
        <v>45288</v>
      </c>
      <c r="K3144" s="815">
        <v>0.66666666666666663</v>
      </c>
      <c r="L3144" s="814">
        <v>45288</v>
      </c>
      <c r="M3144" s="815">
        <v>0.79166666666666663</v>
      </c>
      <c r="N3144" s="187">
        <v>3</v>
      </c>
      <c r="O3144" s="184" t="s">
        <v>17</v>
      </c>
      <c r="P3144" s="197"/>
      <c r="Q3144" s="182" t="s">
        <v>258</v>
      </c>
      <c r="R3144" s="621" t="s">
        <v>81</v>
      </c>
      <c r="S3144" s="31" t="s">
        <v>273</v>
      </c>
      <c r="T3144" s="31" t="s">
        <v>273</v>
      </c>
      <c r="U3144" s="31">
        <f>IFERROR(VLOOKUP(CONCATENATE(Tabla1[[#This Row],[Severidad]]," ",Tabla1[[#This Row],[Complejidad]]),Catalogos!E$120:G$128,3,FALSE),"")</f>
        <v>64</v>
      </c>
      <c r="V3144" s="31" t="str">
        <f>IF(Tabla1[[#This Row],[Tiempo solución max (hrs)]]&lt;&gt;"",IF(Tabla1[[#This Row],[Tiempo solución max (hrs)]]&gt;=Tabla1[[#This Row],[Tiempo
(Hrs 00/100)]],"cumple","no cumple"),"")</f>
        <v>cumple</v>
      </c>
      <c r="W3144" s="376" t="s">
        <v>5372</v>
      </c>
      <c r="X3144" s="18" t="str">
        <f t="shared" si="233"/>
        <v>SAW</v>
      </c>
      <c r="Y3144" t="str">
        <f>SUBSTITUTE(Tabla1[[#This Row],[Descripción]],CHAR(10),"    I    ")</f>
        <v xml:space="preserve">actualizacin avance de proyecto </v>
      </c>
      <c r="Z3144" s="112">
        <f>VLOOKUP(Tabla1[[#This Row],[Perfil]],Catalogos!$B$75:$D$100,3,FALSE)*Tabla1[[#This Row],[Tiempo
(Hrs 00/100)]]*1.16</f>
        <v>1739.9999999999998</v>
      </c>
    </row>
    <row r="3145" spans="1:26" ht="30" customHeight="1" x14ac:dyDescent="0.3">
      <c r="A3145" s="187" t="s">
        <v>22</v>
      </c>
      <c r="B3145" s="188" t="s">
        <v>68</v>
      </c>
      <c r="C3145" s="183" t="s">
        <v>16</v>
      </c>
      <c r="D3145" s="187"/>
      <c r="E3145" s="812" t="s">
        <v>503</v>
      </c>
      <c r="F3145" s="187" t="s">
        <v>75</v>
      </c>
      <c r="G3145" s="817" t="s">
        <v>5616</v>
      </c>
      <c r="H3145" s="813" t="s">
        <v>436</v>
      </c>
      <c r="I3145" s="816" t="s">
        <v>3720</v>
      </c>
      <c r="J3145" s="814">
        <v>45289</v>
      </c>
      <c r="K3145" s="815">
        <v>0.375</v>
      </c>
      <c r="L3145" s="814">
        <v>45289</v>
      </c>
      <c r="M3145" s="815">
        <v>0.5</v>
      </c>
      <c r="N3145" s="187">
        <v>3</v>
      </c>
      <c r="O3145" s="184" t="s">
        <v>17</v>
      </c>
      <c r="P3145" s="197"/>
      <c r="Q3145" s="182" t="s">
        <v>258</v>
      </c>
      <c r="R3145" s="621" t="s">
        <v>81</v>
      </c>
      <c r="S3145" s="31" t="s">
        <v>273</v>
      </c>
      <c r="T3145" s="31" t="s">
        <v>273</v>
      </c>
      <c r="U3145" s="31">
        <f>IFERROR(VLOOKUP(CONCATENATE(Tabla1[[#This Row],[Severidad]]," ",Tabla1[[#This Row],[Complejidad]]),Catalogos!E$120:G$128,3,FALSE),"")</f>
        <v>64</v>
      </c>
      <c r="V3145" s="31" t="str">
        <f>IF(Tabla1[[#This Row],[Tiempo solución max (hrs)]]&lt;&gt;"",IF(Tabla1[[#This Row],[Tiempo solución max (hrs)]]&gt;=Tabla1[[#This Row],[Tiempo
(Hrs 00/100)]],"cumple","no cumple"),"")</f>
        <v>cumple</v>
      </c>
      <c r="W3145" s="376" t="s">
        <v>5372</v>
      </c>
      <c r="X3145" s="18" t="str">
        <f t="shared" si="233"/>
        <v>SAW</v>
      </c>
      <c r="Y3145" t="str">
        <f>SUBSTITUTE(Tabla1[[#This Row],[Descripción]],CHAR(10),"    I    ")</f>
        <v xml:space="preserve">Actualizacion micrositio SNT </v>
      </c>
      <c r="Z3145" s="112">
        <f>VLOOKUP(Tabla1[[#This Row],[Perfil]],Catalogos!$B$75:$D$100,3,FALSE)*Tabla1[[#This Row],[Tiempo
(Hrs 00/100)]]*1.16</f>
        <v>1739.9999999999998</v>
      </c>
    </row>
    <row r="3146" spans="1:26" ht="30" customHeight="1" x14ac:dyDescent="0.3">
      <c r="A3146" s="187" t="s">
        <v>22</v>
      </c>
      <c r="B3146" s="188" t="s">
        <v>68</v>
      </c>
      <c r="C3146" s="183" t="s">
        <v>16</v>
      </c>
      <c r="D3146" s="187"/>
      <c r="E3146" s="812" t="s">
        <v>503</v>
      </c>
      <c r="F3146" s="187" t="s">
        <v>75</v>
      </c>
      <c r="G3146" s="817" t="s">
        <v>5617</v>
      </c>
      <c r="H3146" s="813" t="s">
        <v>436</v>
      </c>
      <c r="I3146" s="189" t="s">
        <v>5546</v>
      </c>
      <c r="J3146" s="814">
        <v>45289</v>
      </c>
      <c r="K3146" s="815">
        <v>0.5</v>
      </c>
      <c r="L3146" s="814">
        <v>45289</v>
      </c>
      <c r="M3146" s="815">
        <v>0.625</v>
      </c>
      <c r="N3146" s="187">
        <v>3</v>
      </c>
      <c r="O3146" s="184" t="s">
        <v>17</v>
      </c>
      <c r="P3146" s="197"/>
      <c r="Q3146" s="182" t="s">
        <v>258</v>
      </c>
      <c r="R3146" s="621" t="s">
        <v>81</v>
      </c>
      <c r="S3146" s="31" t="s">
        <v>273</v>
      </c>
      <c r="T3146" s="31" t="s">
        <v>273</v>
      </c>
      <c r="U3146" s="31">
        <f>IFERROR(VLOOKUP(CONCATENATE(Tabla1[[#This Row],[Severidad]]," ",Tabla1[[#This Row],[Complejidad]]),Catalogos!E$120:G$128,3,FALSE),"")</f>
        <v>64</v>
      </c>
      <c r="V3146" s="31" t="str">
        <f>IF(Tabla1[[#This Row],[Tiempo solución max (hrs)]]&lt;&gt;"",IF(Tabla1[[#This Row],[Tiempo solución max (hrs)]]&gt;=Tabla1[[#This Row],[Tiempo
(Hrs 00/100)]],"cumple","no cumple"),"")</f>
        <v>cumple</v>
      </c>
      <c r="W3146" s="376" t="s">
        <v>5372</v>
      </c>
      <c r="X3146" s="18" t="str">
        <f t="shared" si="233"/>
        <v>SAW</v>
      </c>
      <c r="Y3146" t="str">
        <f>SUBSTITUTE(Tabla1[[#This Row],[Descripción]],CHAR(10),"    I    ")</f>
        <v>actualizacion revista SyT</v>
      </c>
      <c r="Z3146" s="112">
        <f>VLOOKUP(Tabla1[[#This Row],[Perfil]],Catalogos!$B$75:$D$100,3,FALSE)*Tabla1[[#This Row],[Tiempo
(Hrs 00/100)]]*1.16</f>
        <v>1739.9999999999998</v>
      </c>
    </row>
    <row r="3147" spans="1:26" ht="30" customHeight="1" x14ac:dyDescent="0.3">
      <c r="A3147" s="818" t="s">
        <v>22</v>
      </c>
      <c r="B3147" s="187" t="s">
        <v>23</v>
      </c>
      <c r="C3147" s="187" t="s">
        <v>45</v>
      </c>
      <c r="D3147" s="187"/>
      <c r="E3147" s="187" t="s">
        <v>375</v>
      </c>
      <c r="F3147" s="187" t="s">
        <v>23</v>
      </c>
      <c r="G3147" s="187" t="s">
        <v>5682</v>
      </c>
      <c r="H3147" s="819" t="s">
        <v>5619</v>
      </c>
      <c r="I3147" s="820" t="s">
        <v>5620</v>
      </c>
      <c r="J3147" s="811">
        <v>45261</v>
      </c>
      <c r="K3147" s="815">
        <v>0.375</v>
      </c>
      <c r="L3147" s="811">
        <v>45261</v>
      </c>
      <c r="M3147" s="815">
        <v>0.79166666666666663</v>
      </c>
      <c r="N3147" s="187">
        <v>8</v>
      </c>
      <c r="O3147" s="188" t="s">
        <v>17</v>
      </c>
      <c r="P3147" s="197" t="s">
        <v>5621</v>
      </c>
      <c r="Q3147" s="179" t="s">
        <v>2415</v>
      </c>
      <c r="R3147" s="171" t="s">
        <v>40</v>
      </c>
      <c r="S3147" s="31" t="s">
        <v>273</v>
      </c>
      <c r="T3147" s="31" t="s">
        <v>273</v>
      </c>
      <c r="U3147" s="31">
        <f>IFERROR(VLOOKUP(CONCATENATE(Tabla1[[#This Row],[Severidad]]," ",Tabla1[[#This Row],[Complejidad]]),Catalogos!E$120:G$128,3,FALSE),"")</f>
        <v>64</v>
      </c>
      <c r="V3147" s="31" t="str">
        <f>IF(Tabla1[[#This Row],[Tiempo solución max (hrs)]]&lt;&gt;"",IF(Tabla1[[#This Row],[Tiempo solución max (hrs)]]&gt;=Tabla1[[#This Row],[Tiempo
(Hrs 00/100)]],"cumple","no cumple"),"")</f>
        <v>cumple</v>
      </c>
      <c r="W3147" s="376" t="s">
        <v>5372</v>
      </c>
      <c r="X3147" s="18" t="str">
        <f t="shared" si="233"/>
        <v>SPD</v>
      </c>
      <c r="Y3147" t="str">
        <f>SUBSTITUTE(Tabla1[[#This Row],[Descripción]],CHAR(10),"    I    ")</f>
        <v>Ejecutar primer ciclo de pruebas SAST</v>
      </c>
      <c r="Z3147" s="112">
        <f>VLOOKUP(Tabla1[[#This Row],[Perfil]],Catalogos!$B$75:$D$100,3,FALSE)*Tabla1[[#This Row],[Tiempo
(Hrs 00/100)]]*1.16</f>
        <v>6496</v>
      </c>
    </row>
    <row r="3148" spans="1:26" ht="30" customHeight="1" x14ac:dyDescent="0.3">
      <c r="A3148" s="818" t="s">
        <v>22</v>
      </c>
      <c r="B3148" s="187" t="s">
        <v>23</v>
      </c>
      <c r="C3148" s="187" t="s">
        <v>45</v>
      </c>
      <c r="D3148" s="187"/>
      <c r="E3148" s="187" t="s">
        <v>375</v>
      </c>
      <c r="F3148" s="187" t="s">
        <v>23</v>
      </c>
      <c r="G3148" s="187" t="s">
        <v>5683</v>
      </c>
      <c r="H3148" s="821" t="s">
        <v>5623</v>
      </c>
      <c r="I3148" s="820" t="s">
        <v>5624</v>
      </c>
      <c r="J3148" s="811">
        <v>45264</v>
      </c>
      <c r="K3148" s="815">
        <v>0.375</v>
      </c>
      <c r="L3148" s="811">
        <v>45264</v>
      </c>
      <c r="M3148" s="815">
        <v>0.83333333333333337</v>
      </c>
      <c r="N3148" s="187">
        <v>10</v>
      </c>
      <c r="O3148" s="188" t="s">
        <v>17</v>
      </c>
      <c r="P3148" s="197" t="s">
        <v>5625</v>
      </c>
      <c r="Q3148" s="179" t="s">
        <v>2415</v>
      </c>
      <c r="R3148" s="171" t="s">
        <v>40</v>
      </c>
      <c r="S3148" s="31" t="s">
        <v>273</v>
      </c>
      <c r="T3148" s="31" t="s">
        <v>273</v>
      </c>
      <c r="U3148" s="31">
        <f>IFERROR(VLOOKUP(CONCATENATE(Tabla1[[#This Row],[Severidad]]," ",Tabla1[[#This Row],[Complejidad]]),Catalogos!E$120:G$128,3,FALSE),"")</f>
        <v>64</v>
      </c>
      <c r="V3148" s="31" t="str">
        <f>IF(Tabla1[[#This Row],[Tiempo solución max (hrs)]]&lt;&gt;"",IF(Tabla1[[#This Row],[Tiempo solución max (hrs)]]&gt;=Tabla1[[#This Row],[Tiempo
(Hrs 00/100)]],"cumple","no cumple"),"")</f>
        <v>cumple</v>
      </c>
      <c r="W3148" s="376" t="s">
        <v>5372</v>
      </c>
      <c r="X3148" s="18" t="str">
        <f t="shared" si="233"/>
        <v>SPD</v>
      </c>
      <c r="Y3148" t="str">
        <f>SUBSTITUTE(Tabla1[[#This Row],[Descripción]],CHAR(10),"    I    ")</f>
        <v xml:space="preserve">Modificar código para atender vulnerabilidades del módulo  de Catálogos </v>
      </c>
      <c r="Z3148" s="112">
        <f>VLOOKUP(Tabla1[[#This Row],[Perfil]],Catalogos!$B$75:$D$100,3,FALSE)*Tabla1[[#This Row],[Tiempo
(Hrs 00/100)]]*1.16</f>
        <v>8119.9999999999991</v>
      </c>
    </row>
    <row r="3149" spans="1:26" ht="30" customHeight="1" x14ac:dyDescent="0.3">
      <c r="A3149" s="818" t="s">
        <v>22</v>
      </c>
      <c r="B3149" s="187" t="s">
        <v>23</v>
      </c>
      <c r="C3149" s="187" t="s">
        <v>45</v>
      </c>
      <c r="D3149" s="187"/>
      <c r="E3149" s="187" t="s">
        <v>375</v>
      </c>
      <c r="F3149" s="187" t="s">
        <v>23</v>
      </c>
      <c r="G3149" s="187" t="s">
        <v>5618</v>
      </c>
      <c r="H3149" s="821" t="s">
        <v>5627</v>
      </c>
      <c r="I3149" s="820" t="s">
        <v>5628</v>
      </c>
      <c r="J3149" s="811">
        <v>45265</v>
      </c>
      <c r="K3149" s="815">
        <v>0.375</v>
      </c>
      <c r="L3149" s="811">
        <v>45265</v>
      </c>
      <c r="M3149" s="815">
        <v>0.79166666666666663</v>
      </c>
      <c r="N3149" s="187">
        <v>8</v>
      </c>
      <c r="O3149" s="188" t="s">
        <v>17</v>
      </c>
      <c r="P3149" s="197" t="s">
        <v>5629</v>
      </c>
      <c r="Q3149" s="179" t="s">
        <v>2415</v>
      </c>
      <c r="R3149" s="171" t="s">
        <v>40</v>
      </c>
      <c r="S3149" s="31" t="s">
        <v>273</v>
      </c>
      <c r="T3149" s="31" t="s">
        <v>273</v>
      </c>
      <c r="U3149" s="31">
        <f>IFERROR(VLOOKUP(CONCATENATE(Tabla1[[#This Row],[Severidad]]," ",Tabla1[[#This Row],[Complejidad]]),Catalogos!E$120:G$128,3,FALSE),"")</f>
        <v>64</v>
      </c>
      <c r="V3149" s="31" t="str">
        <f>IF(Tabla1[[#This Row],[Tiempo solución max (hrs)]]&lt;&gt;"",IF(Tabla1[[#This Row],[Tiempo solución max (hrs)]]&gt;=Tabla1[[#This Row],[Tiempo
(Hrs 00/100)]],"cumple","no cumple"),"")</f>
        <v>cumple</v>
      </c>
      <c r="W3149" s="376" t="s">
        <v>5372</v>
      </c>
      <c r="X3149" s="18" t="str">
        <f t="shared" si="233"/>
        <v>SPD</v>
      </c>
      <c r="Y3149" t="str">
        <f>SUBSTITUTE(Tabla1[[#This Row],[Descripción]],CHAR(10),"    I    ")</f>
        <v xml:space="preserve">Modificar código para atender vulnerabilidades del módulo  de Commons </v>
      </c>
      <c r="Z3149" s="112">
        <f>VLOOKUP(Tabla1[[#This Row],[Perfil]],Catalogos!$B$75:$D$100,3,FALSE)*Tabla1[[#This Row],[Tiempo
(Hrs 00/100)]]*1.16</f>
        <v>6496</v>
      </c>
    </row>
    <row r="3150" spans="1:26" ht="30" customHeight="1" x14ac:dyDescent="0.3">
      <c r="A3150" s="818" t="s">
        <v>22</v>
      </c>
      <c r="B3150" s="187" t="s">
        <v>23</v>
      </c>
      <c r="C3150" s="187" t="s">
        <v>45</v>
      </c>
      <c r="D3150" s="187"/>
      <c r="E3150" s="187" t="s">
        <v>375</v>
      </c>
      <c r="F3150" s="187" t="s">
        <v>23</v>
      </c>
      <c r="G3150" s="187" t="s">
        <v>5622</v>
      </c>
      <c r="H3150" s="822" t="s">
        <v>5631</v>
      </c>
      <c r="I3150" s="820" t="s">
        <v>5632</v>
      </c>
      <c r="J3150" s="811">
        <v>45266</v>
      </c>
      <c r="K3150" s="815">
        <v>0.375</v>
      </c>
      <c r="L3150" s="811">
        <v>45266</v>
      </c>
      <c r="M3150" s="815">
        <v>0.83333333333333337</v>
      </c>
      <c r="N3150" s="187">
        <v>10</v>
      </c>
      <c r="O3150" s="188" t="s">
        <v>17</v>
      </c>
      <c r="P3150" s="197" t="s">
        <v>5633</v>
      </c>
      <c r="Q3150" s="179" t="s">
        <v>2415</v>
      </c>
      <c r="R3150" s="171" t="s">
        <v>40</v>
      </c>
      <c r="S3150" s="31" t="s">
        <v>273</v>
      </c>
      <c r="T3150" s="31" t="s">
        <v>273</v>
      </c>
      <c r="U3150" s="31">
        <f>IFERROR(VLOOKUP(CONCATENATE(Tabla1[[#This Row],[Severidad]]," ",Tabla1[[#This Row],[Complejidad]]),Catalogos!E$120:G$128,3,FALSE),"")</f>
        <v>64</v>
      </c>
      <c r="V3150" s="31" t="str">
        <f>IF(Tabla1[[#This Row],[Tiempo solución max (hrs)]]&lt;&gt;"",IF(Tabla1[[#This Row],[Tiempo solución max (hrs)]]&gt;=Tabla1[[#This Row],[Tiempo
(Hrs 00/100)]],"cumple","no cumple"),"")</f>
        <v>cumple</v>
      </c>
      <c r="W3150" s="376" t="s">
        <v>5372</v>
      </c>
      <c r="X3150" s="18" t="str">
        <f t="shared" si="233"/>
        <v>SPD</v>
      </c>
      <c r="Y3150" t="str">
        <f>SUBSTITUTE(Tabla1[[#This Row],[Descripción]],CHAR(10),"    I    ")</f>
        <v xml:space="preserve">Modificar código para atender vulnerabilidades del módulo  de Buscador Inteligente </v>
      </c>
      <c r="Z3150" s="112">
        <f>VLOOKUP(Tabla1[[#This Row],[Perfil]],Catalogos!$B$75:$D$100,3,FALSE)*Tabla1[[#This Row],[Tiempo
(Hrs 00/100)]]*1.16</f>
        <v>8119.9999999999991</v>
      </c>
    </row>
    <row r="3151" spans="1:26" ht="30" customHeight="1" x14ac:dyDescent="0.3">
      <c r="A3151" s="818" t="s">
        <v>22</v>
      </c>
      <c r="B3151" s="187" t="s">
        <v>23</v>
      </c>
      <c r="C3151" s="187" t="s">
        <v>45</v>
      </c>
      <c r="D3151" s="187"/>
      <c r="E3151" s="187" t="s">
        <v>375</v>
      </c>
      <c r="F3151" s="187" t="s">
        <v>23</v>
      </c>
      <c r="G3151" s="187" t="s">
        <v>5626</v>
      </c>
      <c r="H3151" s="823" t="s">
        <v>5635</v>
      </c>
      <c r="I3151" s="820" t="s">
        <v>5636</v>
      </c>
      <c r="J3151" s="811">
        <v>45267</v>
      </c>
      <c r="K3151" s="815">
        <v>0.375</v>
      </c>
      <c r="L3151" s="811">
        <v>45267</v>
      </c>
      <c r="M3151" s="815">
        <v>0.83333333333333337</v>
      </c>
      <c r="N3151" s="187">
        <v>10</v>
      </c>
      <c r="O3151" s="188" t="s">
        <v>17</v>
      </c>
      <c r="P3151" s="197" t="s">
        <v>5637</v>
      </c>
      <c r="Q3151" s="179" t="s">
        <v>2415</v>
      </c>
      <c r="R3151" s="171" t="s">
        <v>40</v>
      </c>
      <c r="S3151" s="31" t="s">
        <v>273</v>
      </c>
      <c r="T3151" s="31" t="s">
        <v>273</v>
      </c>
      <c r="U3151" s="31">
        <f>IFERROR(VLOOKUP(CONCATENATE(Tabla1[[#This Row],[Severidad]]," ",Tabla1[[#This Row],[Complejidad]]),Catalogos!E$120:G$128,3,FALSE),"")</f>
        <v>64</v>
      </c>
      <c r="V3151" s="31" t="str">
        <f>IF(Tabla1[[#This Row],[Tiempo solución max (hrs)]]&lt;&gt;"",IF(Tabla1[[#This Row],[Tiempo solución max (hrs)]]&gt;=Tabla1[[#This Row],[Tiempo
(Hrs 00/100)]],"cumple","no cumple"),"")</f>
        <v>cumple</v>
      </c>
      <c r="W3151" s="376" t="s">
        <v>5372</v>
      </c>
      <c r="X3151" s="18" t="str">
        <f t="shared" si="233"/>
        <v>SPD</v>
      </c>
      <c r="Y3151" t="str">
        <f>SUBSTITUTE(Tabla1[[#This Row],[Descripción]],CHAR(10),"    I    ")</f>
        <v xml:space="preserve">Modificar código para atender vulnerabilidades del módulo  de Datos Abiertos </v>
      </c>
      <c r="Z3151" s="112">
        <f>VLOOKUP(Tabla1[[#This Row],[Perfil]],Catalogos!$B$75:$D$100,3,FALSE)*Tabla1[[#This Row],[Tiempo
(Hrs 00/100)]]*1.16</f>
        <v>8119.9999999999991</v>
      </c>
    </row>
    <row r="3152" spans="1:26" ht="30" customHeight="1" x14ac:dyDescent="0.3">
      <c r="A3152" s="818" t="s">
        <v>22</v>
      </c>
      <c r="B3152" s="187" t="s">
        <v>23</v>
      </c>
      <c r="C3152" s="187" t="s">
        <v>45</v>
      </c>
      <c r="D3152" s="187"/>
      <c r="E3152" s="187" t="s">
        <v>375</v>
      </c>
      <c r="F3152" s="187" t="s">
        <v>23</v>
      </c>
      <c r="G3152" s="187" t="s">
        <v>5630</v>
      </c>
      <c r="H3152" s="824" t="s">
        <v>5639</v>
      </c>
      <c r="I3152" s="820" t="s">
        <v>5640</v>
      </c>
      <c r="J3152" s="811">
        <v>45268</v>
      </c>
      <c r="K3152" s="815">
        <v>0.375</v>
      </c>
      <c r="L3152" s="811">
        <v>45268</v>
      </c>
      <c r="M3152" s="815">
        <v>0.79166666666666663</v>
      </c>
      <c r="N3152" s="187">
        <v>8</v>
      </c>
      <c r="O3152" s="188" t="s">
        <v>17</v>
      </c>
      <c r="P3152" s="197" t="s">
        <v>5641</v>
      </c>
      <c r="Q3152" s="179" t="s">
        <v>2415</v>
      </c>
      <c r="R3152" s="171" t="s">
        <v>40</v>
      </c>
      <c r="S3152" s="31" t="s">
        <v>273</v>
      </c>
      <c r="T3152" s="31" t="s">
        <v>273</v>
      </c>
      <c r="U3152" s="31">
        <f>IFERROR(VLOOKUP(CONCATENATE(Tabla1[[#This Row],[Severidad]]," ",Tabla1[[#This Row],[Complejidad]]),Catalogos!E$120:G$128,3,FALSE),"")</f>
        <v>64</v>
      </c>
      <c r="V3152" s="31" t="str">
        <f>IF(Tabla1[[#This Row],[Tiempo solución max (hrs)]]&lt;&gt;"",IF(Tabla1[[#This Row],[Tiempo solución max (hrs)]]&gt;=Tabla1[[#This Row],[Tiempo
(Hrs 00/100)]],"cumple","no cumple"),"")</f>
        <v>cumple</v>
      </c>
      <c r="W3152" s="376" t="s">
        <v>5372</v>
      </c>
      <c r="X3152" s="18" t="str">
        <f t="shared" si="233"/>
        <v>SPD</v>
      </c>
      <c r="Y3152" t="str">
        <f>SUBSTITUTE(Tabla1[[#This Row],[Descripción]],CHAR(10),"    I    ")</f>
        <v>Modificar código para atender vulnerabilidades del módulo  de Catálogos Federados</v>
      </c>
      <c r="Z3152" s="112">
        <f>VLOOKUP(Tabla1[[#This Row],[Perfil]],Catalogos!$B$75:$D$100,3,FALSE)*Tabla1[[#This Row],[Tiempo
(Hrs 00/100)]]*1.16</f>
        <v>6496</v>
      </c>
    </row>
    <row r="3153" spans="1:26" ht="30" customHeight="1" x14ac:dyDescent="0.3">
      <c r="A3153" s="818" t="s">
        <v>22</v>
      </c>
      <c r="B3153" s="187" t="s">
        <v>23</v>
      </c>
      <c r="C3153" s="187" t="s">
        <v>45</v>
      </c>
      <c r="D3153" s="187"/>
      <c r="E3153" s="187" t="s">
        <v>375</v>
      </c>
      <c r="F3153" s="187" t="s">
        <v>23</v>
      </c>
      <c r="G3153" s="187" t="s">
        <v>5634</v>
      </c>
      <c r="H3153" s="823" t="s">
        <v>5643</v>
      </c>
      <c r="I3153" s="820" t="s">
        <v>5644</v>
      </c>
      <c r="J3153" s="811">
        <v>45271</v>
      </c>
      <c r="K3153" s="815">
        <v>0.375</v>
      </c>
      <c r="L3153" s="811">
        <v>45271</v>
      </c>
      <c r="M3153" s="815">
        <v>0.79166666666666663</v>
      </c>
      <c r="N3153" s="187">
        <v>8</v>
      </c>
      <c r="O3153" s="188" t="s">
        <v>17</v>
      </c>
      <c r="P3153" s="197" t="s">
        <v>5645</v>
      </c>
      <c r="Q3153" s="179" t="s">
        <v>2415</v>
      </c>
      <c r="R3153" s="171" t="s">
        <v>40</v>
      </c>
      <c r="S3153" s="31" t="s">
        <v>273</v>
      </c>
      <c r="T3153" s="31" t="s">
        <v>273</v>
      </c>
      <c r="U3153" s="31">
        <f>IFERROR(VLOOKUP(CONCATENATE(Tabla1[[#This Row],[Severidad]]," ",Tabla1[[#This Row],[Complejidad]]),Catalogos!E$120:G$128,3,FALSE),"")</f>
        <v>64</v>
      </c>
      <c r="V3153" s="31" t="str">
        <f>IF(Tabla1[[#This Row],[Tiempo solución max (hrs)]]&lt;&gt;"",IF(Tabla1[[#This Row],[Tiempo solución max (hrs)]]&gt;=Tabla1[[#This Row],[Tiempo
(Hrs 00/100)]],"cumple","no cumple"),"")</f>
        <v>cumple</v>
      </c>
      <c r="W3153" s="376" t="s">
        <v>5372</v>
      </c>
      <c r="X3153" s="18" t="str">
        <f t="shared" si="233"/>
        <v>SPD</v>
      </c>
      <c r="Y3153" t="str">
        <f>SUBSTITUTE(Tabla1[[#This Row],[Descripción]],CHAR(10),"    I    ")</f>
        <v xml:space="preserve">Modificar código para atender vulnerabilidades del módulo  de Administración de avisos </v>
      </c>
      <c r="Z3153" s="112">
        <f>VLOOKUP(Tabla1[[#This Row],[Perfil]],Catalogos!$B$75:$D$100,3,FALSE)*Tabla1[[#This Row],[Tiempo
(Hrs 00/100)]]*1.16</f>
        <v>6496</v>
      </c>
    </row>
    <row r="3154" spans="1:26" ht="30" customHeight="1" x14ac:dyDescent="0.3">
      <c r="A3154" s="818" t="s">
        <v>22</v>
      </c>
      <c r="B3154" s="187" t="s">
        <v>23</v>
      </c>
      <c r="C3154" s="187" t="s">
        <v>45</v>
      </c>
      <c r="D3154" s="187"/>
      <c r="E3154" s="187" t="s">
        <v>375</v>
      </c>
      <c r="F3154" s="187" t="s">
        <v>23</v>
      </c>
      <c r="G3154" s="187" t="s">
        <v>5638</v>
      </c>
      <c r="H3154" s="823" t="s">
        <v>5647</v>
      </c>
      <c r="I3154" s="820" t="s">
        <v>5648</v>
      </c>
      <c r="J3154" s="811">
        <v>45272</v>
      </c>
      <c r="K3154" s="815">
        <v>0.375</v>
      </c>
      <c r="L3154" s="811">
        <v>45272</v>
      </c>
      <c r="M3154" s="815">
        <v>0.79166666666666663</v>
      </c>
      <c r="N3154" s="187">
        <v>8</v>
      </c>
      <c r="O3154" s="188" t="s">
        <v>17</v>
      </c>
      <c r="P3154" s="197" t="s">
        <v>5649</v>
      </c>
      <c r="Q3154" s="179" t="s">
        <v>2415</v>
      </c>
      <c r="R3154" s="171" t="s">
        <v>40</v>
      </c>
      <c r="S3154" s="31" t="s">
        <v>273</v>
      </c>
      <c r="T3154" s="31" t="s">
        <v>273</v>
      </c>
      <c r="U3154" s="31">
        <f>IFERROR(VLOOKUP(CONCATENATE(Tabla1[[#This Row],[Severidad]]," ",Tabla1[[#This Row],[Complejidad]]),Catalogos!E$120:G$128,3,FALSE),"")</f>
        <v>64</v>
      </c>
      <c r="V3154" s="31" t="str">
        <f>IF(Tabla1[[#This Row],[Tiempo solución max (hrs)]]&lt;&gt;"",IF(Tabla1[[#This Row],[Tiempo solución max (hrs)]]&gt;=Tabla1[[#This Row],[Tiempo
(Hrs 00/100)]],"cumple","no cumple"),"")</f>
        <v>cumple</v>
      </c>
      <c r="W3154" s="376" t="s">
        <v>5372</v>
      </c>
      <c r="X3154" s="18" t="str">
        <f t="shared" si="233"/>
        <v>SPD</v>
      </c>
      <c r="Y3154" t="str">
        <f>SUBSTITUTE(Tabla1[[#This Row],[Descripción]],CHAR(10),"    I    ")</f>
        <v xml:space="preserve">Modificar código para atender vulnerabilidades del módulo  de Configuración </v>
      </c>
      <c r="Z3154" s="112">
        <f>VLOOKUP(Tabla1[[#This Row],[Perfil]],Catalogos!$B$75:$D$100,3,FALSE)*Tabla1[[#This Row],[Tiempo
(Hrs 00/100)]]*1.16</f>
        <v>6496</v>
      </c>
    </row>
    <row r="3155" spans="1:26" ht="30" customHeight="1" x14ac:dyDescent="0.3">
      <c r="A3155" s="818" t="s">
        <v>22</v>
      </c>
      <c r="B3155" s="187" t="s">
        <v>23</v>
      </c>
      <c r="C3155" s="187" t="s">
        <v>45</v>
      </c>
      <c r="D3155" s="187"/>
      <c r="E3155" s="187" t="s">
        <v>375</v>
      </c>
      <c r="F3155" s="187" t="s">
        <v>23</v>
      </c>
      <c r="G3155" s="187" t="s">
        <v>5642</v>
      </c>
      <c r="H3155" s="825" t="s">
        <v>5651</v>
      </c>
      <c r="I3155" s="820" t="s">
        <v>5652</v>
      </c>
      <c r="J3155" s="811">
        <v>45273</v>
      </c>
      <c r="K3155" s="815">
        <v>0.375</v>
      </c>
      <c r="L3155" s="811">
        <v>45273</v>
      </c>
      <c r="M3155" s="815">
        <v>0.79166666666666663</v>
      </c>
      <c r="N3155" s="187">
        <v>8</v>
      </c>
      <c r="O3155" s="188" t="s">
        <v>17</v>
      </c>
      <c r="P3155" s="197" t="s">
        <v>5653</v>
      </c>
      <c r="Q3155" s="179" t="s">
        <v>2415</v>
      </c>
      <c r="R3155" s="171" t="s">
        <v>40</v>
      </c>
      <c r="S3155" s="31" t="s">
        <v>273</v>
      </c>
      <c r="T3155" s="31" t="s">
        <v>273</v>
      </c>
      <c r="U3155" s="31">
        <f>IFERROR(VLOOKUP(CONCATENATE(Tabla1[[#This Row],[Severidad]]," ",Tabla1[[#This Row],[Complejidad]]),Catalogos!E$120:G$128,3,FALSE),"")</f>
        <v>64</v>
      </c>
      <c r="V3155" s="31" t="str">
        <f>IF(Tabla1[[#This Row],[Tiempo solución max (hrs)]]&lt;&gt;"",IF(Tabla1[[#This Row],[Tiempo solución max (hrs)]]&gt;=Tabla1[[#This Row],[Tiempo
(Hrs 00/100)]],"cumple","no cumple"),"")</f>
        <v>cumple</v>
      </c>
      <c r="W3155" s="376" t="s">
        <v>5372</v>
      </c>
      <c r="X3155" s="18" t="str">
        <f t="shared" si="233"/>
        <v>SPD</v>
      </c>
      <c r="Y3155" t="str">
        <f>SUBSTITUTE(Tabla1[[#This Row],[Descripción]],CHAR(10),"    I    ")</f>
        <v xml:space="preserve">Modificar código para atender vulnerabilidades del módulo  de Usuarios </v>
      </c>
      <c r="Z3155" s="112">
        <f>VLOOKUP(Tabla1[[#This Row],[Perfil]],Catalogos!$B$75:$D$100,3,FALSE)*Tabla1[[#This Row],[Tiempo
(Hrs 00/100)]]*1.16</f>
        <v>6496</v>
      </c>
    </row>
    <row r="3156" spans="1:26" ht="30" customHeight="1" x14ac:dyDescent="0.3">
      <c r="A3156" s="818" t="s">
        <v>22</v>
      </c>
      <c r="B3156" s="187" t="s">
        <v>23</v>
      </c>
      <c r="C3156" s="187" t="s">
        <v>45</v>
      </c>
      <c r="D3156" s="187"/>
      <c r="E3156" s="187" t="s">
        <v>375</v>
      </c>
      <c r="F3156" s="187" t="s">
        <v>23</v>
      </c>
      <c r="G3156" s="187" t="s">
        <v>5646</v>
      </c>
      <c r="H3156" s="826" t="s">
        <v>5655</v>
      </c>
      <c r="I3156" s="178" t="s">
        <v>5656</v>
      </c>
      <c r="J3156" s="811">
        <v>45274</v>
      </c>
      <c r="K3156" s="815">
        <v>0.375</v>
      </c>
      <c r="L3156" s="811">
        <v>45274</v>
      </c>
      <c r="M3156" s="815">
        <v>0.79166666666666663</v>
      </c>
      <c r="N3156" s="187">
        <v>8</v>
      </c>
      <c r="O3156" s="188" t="s">
        <v>17</v>
      </c>
      <c r="P3156" s="197" t="s">
        <v>647</v>
      </c>
      <c r="Q3156" s="179" t="s">
        <v>2415</v>
      </c>
      <c r="R3156" s="171" t="s">
        <v>40</v>
      </c>
      <c r="S3156" s="31" t="s">
        <v>273</v>
      </c>
      <c r="T3156" s="31" t="s">
        <v>273</v>
      </c>
      <c r="U3156" s="31">
        <f>IFERROR(VLOOKUP(CONCATENATE(Tabla1[[#This Row],[Severidad]]," ",Tabla1[[#This Row],[Complejidad]]),Catalogos!E$120:G$128,3,FALSE),"")</f>
        <v>64</v>
      </c>
      <c r="V3156" s="31" t="str">
        <f>IF(Tabla1[[#This Row],[Tiempo solución max (hrs)]]&lt;&gt;"",IF(Tabla1[[#This Row],[Tiempo solución max (hrs)]]&gt;=Tabla1[[#This Row],[Tiempo
(Hrs 00/100)]],"cumple","no cumple"),"")</f>
        <v>cumple</v>
      </c>
      <c r="W3156" s="376" t="s">
        <v>5372</v>
      </c>
      <c r="X3156" s="18" t="str">
        <f t="shared" si="233"/>
        <v>SPD</v>
      </c>
      <c r="Y3156" t="str">
        <f>SUBSTITUTE(Tabla1[[#This Row],[Descripción]],CHAR(10),"    I    ")</f>
        <v xml:space="preserve">Implementar validaciones para la obligatoriedad de los campos en el registro de la queja </v>
      </c>
      <c r="Z3156" s="112">
        <f>VLOOKUP(Tabla1[[#This Row],[Perfil]],Catalogos!$B$75:$D$100,3,FALSE)*Tabla1[[#This Row],[Tiempo
(Hrs 00/100)]]*1.16</f>
        <v>6496</v>
      </c>
    </row>
    <row r="3157" spans="1:26" ht="30" customHeight="1" x14ac:dyDescent="0.3">
      <c r="A3157" s="818" t="s">
        <v>22</v>
      </c>
      <c r="B3157" s="187" t="s">
        <v>23</v>
      </c>
      <c r="C3157" s="187" t="s">
        <v>45</v>
      </c>
      <c r="D3157" s="187"/>
      <c r="E3157" s="187" t="s">
        <v>375</v>
      </c>
      <c r="F3157" s="187" t="s">
        <v>23</v>
      </c>
      <c r="G3157" s="187" t="s">
        <v>5650</v>
      </c>
      <c r="H3157" s="461" t="s">
        <v>5658</v>
      </c>
      <c r="I3157" s="178" t="s">
        <v>5659</v>
      </c>
      <c r="J3157" s="811">
        <v>45275</v>
      </c>
      <c r="K3157" s="815">
        <v>0.375</v>
      </c>
      <c r="L3157" s="811">
        <v>45275</v>
      </c>
      <c r="M3157" s="815">
        <v>0.79166666666666663</v>
      </c>
      <c r="N3157" s="187">
        <v>8</v>
      </c>
      <c r="O3157" s="188" t="s">
        <v>17</v>
      </c>
      <c r="P3157" s="197" t="s">
        <v>647</v>
      </c>
      <c r="Q3157" s="179" t="s">
        <v>2415</v>
      </c>
      <c r="R3157" s="171" t="s">
        <v>40</v>
      </c>
      <c r="S3157" s="31" t="s">
        <v>273</v>
      </c>
      <c r="T3157" s="31" t="s">
        <v>273</v>
      </c>
      <c r="U3157" s="31">
        <f>IFERROR(VLOOKUP(CONCATENATE(Tabla1[[#This Row],[Severidad]]," ",Tabla1[[#This Row],[Complejidad]]),Catalogos!E$120:G$128,3,FALSE),"")</f>
        <v>64</v>
      </c>
      <c r="V3157" s="31" t="str">
        <f>IF(Tabla1[[#This Row],[Tiempo solución max (hrs)]]&lt;&gt;"",IF(Tabla1[[#This Row],[Tiempo solución max (hrs)]]&gt;=Tabla1[[#This Row],[Tiempo
(Hrs 00/100)]],"cumple","no cumple"),"")</f>
        <v>cumple</v>
      </c>
      <c r="W3157" s="376" t="s">
        <v>5372</v>
      </c>
      <c r="X3157" s="18" t="str">
        <f t="shared" si="233"/>
        <v>SPD</v>
      </c>
      <c r="Y3157" t="str">
        <f>SUBSTITUTE(Tabla1[[#This Row],[Descripción]],CHAR(10),"    I    ")</f>
        <v>Funcionalidad para poner en la comunicación el nombre del adjunto que se subió en sicom</v>
      </c>
      <c r="Z3157" s="112">
        <f>VLOOKUP(Tabla1[[#This Row],[Perfil]],Catalogos!$B$75:$D$100,3,FALSE)*Tabla1[[#This Row],[Tiempo
(Hrs 00/100)]]*1.16</f>
        <v>6496</v>
      </c>
    </row>
    <row r="3158" spans="1:26" ht="30" customHeight="1" x14ac:dyDescent="0.3">
      <c r="A3158" s="818" t="s">
        <v>22</v>
      </c>
      <c r="B3158" s="187" t="s">
        <v>23</v>
      </c>
      <c r="C3158" s="187" t="s">
        <v>45</v>
      </c>
      <c r="D3158" s="187"/>
      <c r="E3158" s="187" t="s">
        <v>375</v>
      </c>
      <c r="F3158" s="187" t="s">
        <v>23</v>
      </c>
      <c r="G3158" s="187" t="s">
        <v>5654</v>
      </c>
      <c r="H3158" s="461" t="s">
        <v>5661</v>
      </c>
      <c r="I3158" s="178" t="s">
        <v>5662</v>
      </c>
      <c r="J3158" s="811">
        <v>45278</v>
      </c>
      <c r="K3158" s="815">
        <v>0.375</v>
      </c>
      <c r="L3158" s="811">
        <v>45278</v>
      </c>
      <c r="M3158" s="815">
        <v>0.79166666666666663</v>
      </c>
      <c r="N3158" s="187">
        <v>8</v>
      </c>
      <c r="O3158" s="188" t="s">
        <v>17</v>
      </c>
      <c r="P3158" s="197" t="s">
        <v>647</v>
      </c>
      <c r="Q3158" s="179" t="s">
        <v>2415</v>
      </c>
      <c r="R3158" s="171" t="s">
        <v>40</v>
      </c>
      <c r="S3158" s="31" t="s">
        <v>273</v>
      </c>
      <c r="T3158" s="31" t="s">
        <v>273</v>
      </c>
      <c r="U3158" s="31">
        <f>IFERROR(VLOOKUP(CONCATENATE(Tabla1[[#This Row],[Severidad]]," ",Tabla1[[#This Row],[Complejidad]]),Catalogos!E$120:G$128,3,FALSE),"")</f>
        <v>64</v>
      </c>
      <c r="V3158" s="31" t="str">
        <f>IF(Tabla1[[#This Row],[Tiempo solución max (hrs)]]&lt;&gt;"",IF(Tabla1[[#This Row],[Tiempo solución max (hrs)]]&gt;=Tabla1[[#This Row],[Tiempo
(Hrs 00/100)]],"cumple","no cumple"),"")</f>
        <v>cumple</v>
      </c>
      <c r="W3158" s="376" t="s">
        <v>5372</v>
      </c>
      <c r="X3158" s="18" t="str">
        <f t="shared" ref="X3158:X3221" si="234">IF(C3158&lt;&gt;"",C3158,D3158)</f>
        <v>SPD</v>
      </c>
      <c r="Y3158" t="str">
        <f>SUBSTITUTE(Tabla1[[#This Row],[Descripción]],CHAR(10),"    I    ")</f>
        <v>Implementar funcionalidad para agregar el flujo de audiencia</v>
      </c>
      <c r="Z3158" s="112">
        <f>VLOOKUP(Tabla1[[#This Row],[Perfil]],Catalogos!$B$75:$D$100,3,FALSE)*Tabla1[[#This Row],[Tiempo
(Hrs 00/100)]]*1.16</f>
        <v>6496</v>
      </c>
    </row>
    <row r="3159" spans="1:26" ht="30" customHeight="1" x14ac:dyDescent="0.3">
      <c r="A3159" s="818" t="s">
        <v>22</v>
      </c>
      <c r="B3159" s="187" t="s">
        <v>23</v>
      </c>
      <c r="C3159" s="187" t="s">
        <v>45</v>
      </c>
      <c r="D3159" s="187"/>
      <c r="E3159" s="187" t="s">
        <v>375</v>
      </c>
      <c r="F3159" s="187" t="s">
        <v>23</v>
      </c>
      <c r="G3159" s="187" t="s">
        <v>5657</v>
      </c>
      <c r="H3159" s="461" t="s">
        <v>5664</v>
      </c>
      <c r="I3159" s="178" t="s">
        <v>5665</v>
      </c>
      <c r="J3159" s="811">
        <v>45279</v>
      </c>
      <c r="K3159" s="815">
        <v>0.375</v>
      </c>
      <c r="L3159" s="811">
        <v>45279</v>
      </c>
      <c r="M3159" s="815">
        <v>0.79166666666666663</v>
      </c>
      <c r="N3159" s="187">
        <v>8</v>
      </c>
      <c r="O3159" s="188" t="s">
        <v>17</v>
      </c>
      <c r="P3159" s="197" t="s">
        <v>647</v>
      </c>
      <c r="Q3159" s="179" t="s">
        <v>2415</v>
      </c>
      <c r="R3159" s="171" t="s">
        <v>40</v>
      </c>
      <c r="S3159" s="31" t="s">
        <v>273</v>
      </c>
      <c r="T3159" s="31" t="s">
        <v>273</v>
      </c>
      <c r="U3159" s="31">
        <f>IFERROR(VLOOKUP(CONCATENATE(Tabla1[[#This Row],[Severidad]]," ",Tabla1[[#This Row],[Complejidad]]),Catalogos!E$120:G$128,3,FALSE),"")</f>
        <v>64</v>
      </c>
      <c r="V3159" s="31" t="str">
        <f>IF(Tabla1[[#This Row],[Tiempo solución max (hrs)]]&lt;&gt;"",IF(Tabla1[[#This Row],[Tiempo solución max (hrs)]]&gt;=Tabla1[[#This Row],[Tiempo
(Hrs 00/100)]],"cumple","no cumple"),"")</f>
        <v>cumple</v>
      </c>
      <c r="W3159" s="376" t="s">
        <v>5372</v>
      </c>
      <c r="X3159" s="18" t="str">
        <f t="shared" si="234"/>
        <v>SPD</v>
      </c>
      <c r="Y3159" t="str">
        <f>SUBSTITUTE(Tabla1[[#This Row],[Descripción]],CHAR(10),"    I    ")</f>
        <v xml:space="preserve">Funcionalidad para descargar  adjunto de la solicitud </v>
      </c>
      <c r="Z3159" s="112">
        <f>VLOOKUP(Tabla1[[#This Row],[Perfil]],Catalogos!$B$75:$D$100,3,FALSE)*Tabla1[[#This Row],[Tiempo
(Hrs 00/100)]]*1.16</f>
        <v>6496</v>
      </c>
    </row>
    <row r="3160" spans="1:26" ht="30" customHeight="1" x14ac:dyDescent="0.3">
      <c r="A3160" s="818" t="s">
        <v>22</v>
      </c>
      <c r="B3160" s="187" t="s">
        <v>23</v>
      </c>
      <c r="C3160" s="187" t="s">
        <v>45</v>
      </c>
      <c r="D3160" s="187"/>
      <c r="E3160" s="187" t="s">
        <v>375</v>
      </c>
      <c r="F3160" s="187" t="s">
        <v>23</v>
      </c>
      <c r="G3160" s="187" t="s">
        <v>5660</v>
      </c>
      <c r="H3160" s="461" t="s">
        <v>5667</v>
      </c>
      <c r="I3160" s="178" t="s">
        <v>5668</v>
      </c>
      <c r="J3160" s="811">
        <v>45280</v>
      </c>
      <c r="K3160" s="815">
        <v>0.375</v>
      </c>
      <c r="L3160" s="811">
        <v>45280</v>
      </c>
      <c r="M3160" s="815">
        <v>0.79166666666666663</v>
      </c>
      <c r="N3160" s="187">
        <v>8</v>
      </c>
      <c r="O3160" s="188" t="s">
        <v>17</v>
      </c>
      <c r="P3160" s="197" t="s">
        <v>647</v>
      </c>
      <c r="Q3160" s="179" t="s">
        <v>2415</v>
      </c>
      <c r="R3160" s="171" t="s">
        <v>40</v>
      </c>
      <c r="S3160" s="31" t="s">
        <v>273</v>
      </c>
      <c r="T3160" s="31" t="s">
        <v>273</v>
      </c>
      <c r="U3160" s="31">
        <f>IFERROR(VLOOKUP(CONCATENATE(Tabla1[[#This Row],[Severidad]]," ",Tabla1[[#This Row],[Complejidad]]),Catalogos!E$120:G$128,3,FALSE),"")</f>
        <v>64</v>
      </c>
      <c r="V3160" s="31" t="str">
        <f>IF(Tabla1[[#This Row],[Tiempo solución max (hrs)]]&lt;&gt;"",IF(Tabla1[[#This Row],[Tiempo solución max (hrs)]]&gt;=Tabla1[[#This Row],[Tiempo
(Hrs 00/100)]],"cumple","no cumple"),"")</f>
        <v>cumple</v>
      </c>
      <c r="W3160" s="376" t="s">
        <v>5372</v>
      </c>
      <c r="X3160" s="18" t="str">
        <f t="shared" si="234"/>
        <v>SPD</v>
      </c>
      <c r="Y3160" t="str">
        <f>SUBSTITUTE(Tabla1[[#This Row],[Descripción]],CHAR(10),"    I    ")</f>
        <v xml:space="preserve">Modificar pantalla de las notificacioens para que actualice los datos  cuado se realice el tracking </v>
      </c>
      <c r="Z3160" s="112">
        <f>VLOOKUP(Tabla1[[#This Row],[Perfil]],Catalogos!$B$75:$D$100,3,FALSE)*Tabla1[[#This Row],[Tiempo
(Hrs 00/100)]]*1.16</f>
        <v>6496</v>
      </c>
    </row>
    <row r="3161" spans="1:26" ht="30" customHeight="1" x14ac:dyDescent="0.3">
      <c r="A3161" s="818" t="s">
        <v>22</v>
      </c>
      <c r="B3161" s="187" t="s">
        <v>23</v>
      </c>
      <c r="C3161" s="187" t="s">
        <v>45</v>
      </c>
      <c r="D3161" s="187"/>
      <c r="E3161" s="187" t="s">
        <v>375</v>
      </c>
      <c r="F3161" s="187" t="s">
        <v>23</v>
      </c>
      <c r="G3161" s="187" t="s">
        <v>5663</v>
      </c>
      <c r="H3161" s="461" t="s">
        <v>5667</v>
      </c>
      <c r="I3161" s="178" t="s">
        <v>5670</v>
      </c>
      <c r="J3161" s="811">
        <v>45281</v>
      </c>
      <c r="K3161" s="815">
        <v>0.375</v>
      </c>
      <c r="L3161" s="811">
        <v>45281</v>
      </c>
      <c r="M3161" s="815">
        <v>0.79166666666666663</v>
      </c>
      <c r="N3161" s="187">
        <v>8</v>
      </c>
      <c r="O3161" s="188" t="s">
        <v>17</v>
      </c>
      <c r="P3161" s="197" t="s">
        <v>647</v>
      </c>
      <c r="Q3161" s="179" t="s">
        <v>2415</v>
      </c>
      <c r="R3161" s="171" t="s">
        <v>40</v>
      </c>
      <c r="S3161" s="31" t="s">
        <v>273</v>
      </c>
      <c r="T3161" s="31" t="s">
        <v>273</v>
      </c>
      <c r="U3161" s="31">
        <f>IFERROR(VLOOKUP(CONCATENATE(Tabla1[[#This Row],[Severidad]]," ",Tabla1[[#This Row],[Complejidad]]),Catalogos!E$120:G$128,3,FALSE),"")</f>
        <v>64</v>
      </c>
      <c r="V3161" s="31" t="str">
        <f>IF(Tabla1[[#This Row],[Tiempo solución max (hrs)]]&lt;&gt;"",IF(Tabla1[[#This Row],[Tiempo solución max (hrs)]]&gt;=Tabla1[[#This Row],[Tiempo
(Hrs 00/100)]],"cumple","no cumple"),"")</f>
        <v>cumple</v>
      </c>
      <c r="W3161" s="376" t="s">
        <v>5372</v>
      </c>
      <c r="X3161" s="18" t="str">
        <f t="shared" si="234"/>
        <v>SPD</v>
      </c>
      <c r="Y3161" t="str">
        <f>SUBSTITUTE(Tabla1[[#This Row],[Descripción]],CHAR(10),"    I    ")</f>
        <v>Modificar pantalla para implementar el ordenamiento de mayor a menor en las notificaciones y RIA's</v>
      </c>
      <c r="Z3161" s="112">
        <f>VLOOKUP(Tabla1[[#This Row],[Perfil]],Catalogos!$B$75:$D$100,3,FALSE)*Tabla1[[#This Row],[Tiempo
(Hrs 00/100)]]*1.16</f>
        <v>6496</v>
      </c>
    </row>
    <row r="3162" spans="1:26" ht="30" customHeight="1" x14ac:dyDescent="0.3">
      <c r="A3162" s="818" t="s">
        <v>22</v>
      </c>
      <c r="B3162" s="187" t="s">
        <v>23</v>
      </c>
      <c r="C3162" s="187" t="s">
        <v>45</v>
      </c>
      <c r="D3162" s="187"/>
      <c r="E3162" s="187" t="s">
        <v>375</v>
      </c>
      <c r="F3162" s="187" t="s">
        <v>23</v>
      </c>
      <c r="G3162" s="187" t="s">
        <v>5666</v>
      </c>
      <c r="H3162" s="461" t="s">
        <v>5672</v>
      </c>
      <c r="I3162" s="178" t="s">
        <v>5673</v>
      </c>
      <c r="J3162" s="811">
        <v>45282</v>
      </c>
      <c r="K3162" s="815">
        <v>0.375</v>
      </c>
      <c r="L3162" s="811">
        <v>45282</v>
      </c>
      <c r="M3162" s="815">
        <v>0.79166666666666663</v>
      </c>
      <c r="N3162" s="187">
        <v>8</v>
      </c>
      <c r="O3162" s="188" t="s">
        <v>17</v>
      </c>
      <c r="P3162" s="197" t="s">
        <v>647</v>
      </c>
      <c r="Q3162" s="179" t="s">
        <v>2415</v>
      </c>
      <c r="R3162" s="171" t="s">
        <v>40</v>
      </c>
      <c r="S3162" s="31" t="s">
        <v>273</v>
      </c>
      <c r="T3162" s="31" t="s">
        <v>273</v>
      </c>
      <c r="U3162" s="31">
        <f>IFERROR(VLOOKUP(CONCATENATE(Tabla1[[#This Row],[Severidad]]," ",Tabla1[[#This Row],[Complejidad]]),Catalogos!E$120:G$128,3,FALSE),"")</f>
        <v>64</v>
      </c>
      <c r="V3162" s="31" t="str">
        <f>IF(Tabla1[[#This Row],[Tiempo solución max (hrs)]]&lt;&gt;"",IF(Tabla1[[#This Row],[Tiempo solución max (hrs)]]&gt;=Tabla1[[#This Row],[Tiempo
(Hrs 00/100)]],"cumple","no cumple"),"")</f>
        <v>cumple</v>
      </c>
      <c r="W3162" s="376" t="s">
        <v>5372</v>
      </c>
      <c r="X3162" s="18" t="str">
        <f t="shared" si="234"/>
        <v>SPD</v>
      </c>
      <c r="Y3162" t="str">
        <f>SUBSTITUTE(Tabla1[[#This Row],[Descripción]],CHAR(10),"    I    ")</f>
        <v>Desarrollo para mostrar texto de las notificaciones que se genero en sicom</v>
      </c>
      <c r="Z3162" s="112">
        <f>VLOOKUP(Tabla1[[#This Row],[Perfil]],Catalogos!$B$75:$D$100,3,FALSE)*Tabla1[[#This Row],[Tiempo
(Hrs 00/100)]]*1.16</f>
        <v>6496</v>
      </c>
    </row>
    <row r="3163" spans="1:26" ht="30" customHeight="1" x14ac:dyDescent="0.3">
      <c r="A3163" s="818" t="s">
        <v>22</v>
      </c>
      <c r="B3163" s="187" t="s">
        <v>23</v>
      </c>
      <c r="C3163" s="187" t="s">
        <v>45</v>
      </c>
      <c r="D3163" s="187"/>
      <c r="E3163" s="187" t="s">
        <v>375</v>
      </c>
      <c r="F3163" s="187" t="s">
        <v>23</v>
      </c>
      <c r="G3163" s="187" t="s">
        <v>5669</v>
      </c>
      <c r="H3163" s="461" t="s">
        <v>5675</v>
      </c>
      <c r="I3163" s="178" t="s">
        <v>5676</v>
      </c>
      <c r="J3163" s="811">
        <v>45286</v>
      </c>
      <c r="K3163" s="815">
        <v>0.375</v>
      </c>
      <c r="L3163" s="811">
        <v>45286</v>
      </c>
      <c r="M3163" s="815">
        <v>0.79166666666666663</v>
      </c>
      <c r="N3163" s="187">
        <v>8</v>
      </c>
      <c r="O3163" s="188" t="s">
        <v>17</v>
      </c>
      <c r="P3163" s="197" t="s">
        <v>647</v>
      </c>
      <c r="Q3163" s="179" t="s">
        <v>2415</v>
      </c>
      <c r="R3163" s="171" t="s">
        <v>40</v>
      </c>
      <c r="S3163" s="31" t="s">
        <v>273</v>
      </c>
      <c r="T3163" s="31" t="s">
        <v>273</v>
      </c>
      <c r="U3163" s="31">
        <f>IFERROR(VLOOKUP(CONCATENATE(Tabla1[[#This Row],[Severidad]]," ",Tabla1[[#This Row],[Complejidad]]),Catalogos!E$120:G$128,3,FALSE),"")</f>
        <v>64</v>
      </c>
      <c r="V3163" s="31" t="str">
        <f>IF(Tabla1[[#This Row],[Tiempo solución max (hrs)]]&lt;&gt;"",IF(Tabla1[[#This Row],[Tiempo solución max (hrs)]]&gt;=Tabla1[[#This Row],[Tiempo
(Hrs 00/100)]],"cumple","no cumple"),"")</f>
        <v>cumple</v>
      </c>
      <c r="W3163" s="376" t="s">
        <v>5372</v>
      </c>
      <c r="X3163" s="18" t="str">
        <f t="shared" si="234"/>
        <v>SPD</v>
      </c>
      <c r="Y3163" t="str">
        <f>SUBSTITUTE(Tabla1[[#This Row],[Descripción]],CHAR(10),"    I    ")</f>
        <v xml:space="preserve">Desarrollo para que en el cierre de instrucción mostrar el texto que se manda desde sigemi </v>
      </c>
      <c r="Z3163" s="112">
        <f>VLOOKUP(Tabla1[[#This Row],[Perfil]],Catalogos!$B$75:$D$100,3,FALSE)*Tabla1[[#This Row],[Tiempo
(Hrs 00/100)]]*1.16</f>
        <v>6496</v>
      </c>
    </row>
    <row r="3164" spans="1:26" ht="30" customHeight="1" x14ac:dyDescent="0.3">
      <c r="A3164" s="818" t="s">
        <v>22</v>
      </c>
      <c r="B3164" s="187" t="s">
        <v>23</v>
      </c>
      <c r="C3164" s="187" t="s">
        <v>45</v>
      </c>
      <c r="D3164" s="187"/>
      <c r="E3164" s="187" t="s">
        <v>375</v>
      </c>
      <c r="F3164" s="187" t="s">
        <v>23</v>
      </c>
      <c r="G3164" s="187" t="s">
        <v>5671</v>
      </c>
      <c r="H3164" s="461" t="s">
        <v>5678</v>
      </c>
      <c r="I3164" s="178" t="s">
        <v>5679</v>
      </c>
      <c r="J3164" s="811">
        <v>45287</v>
      </c>
      <c r="K3164" s="815">
        <v>0.375</v>
      </c>
      <c r="L3164" s="811">
        <v>45287</v>
      </c>
      <c r="M3164" s="815">
        <v>0.79166666666666663</v>
      </c>
      <c r="N3164" s="187">
        <v>8</v>
      </c>
      <c r="O3164" s="188" t="s">
        <v>17</v>
      </c>
      <c r="P3164" s="197" t="s">
        <v>647</v>
      </c>
      <c r="Q3164" s="179" t="s">
        <v>2415</v>
      </c>
      <c r="R3164" s="171" t="s">
        <v>40</v>
      </c>
      <c r="S3164" s="31" t="s">
        <v>273</v>
      </c>
      <c r="T3164" s="31" t="s">
        <v>273</v>
      </c>
      <c r="U3164" s="31">
        <f>IFERROR(VLOOKUP(CONCATENATE(Tabla1[[#This Row],[Severidad]]," ",Tabla1[[#This Row],[Complejidad]]),Catalogos!E$120:G$128,3,FALSE),"")</f>
        <v>64</v>
      </c>
      <c r="V3164" s="31" t="str">
        <f>IF(Tabla1[[#This Row],[Tiempo solución max (hrs)]]&lt;&gt;"",IF(Tabla1[[#This Row],[Tiempo solución max (hrs)]]&gt;=Tabla1[[#This Row],[Tiempo
(Hrs 00/100)]],"cumple","no cumple"),"")</f>
        <v>cumple</v>
      </c>
      <c r="W3164" s="376" t="s">
        <v>5372</v>
      </c>
      <c r="X3164" s="18" t="str">
        <f t="shared" si="234"/>
        <v>SPD</v>
      </c>
      <c r="Y3164" t="str">
        <f>SUBSTITUTE(Tabla1[[#This Row],[Descripción]],CHAR(10),"    I    ")</f>
        <v>Implementar configuración para considerar Fonts de tipo Arial para los reportes de Jasper</v>
      </c>
      <c r="Z3164" s="112">
        <f>VLOOKUP(Tabla1[[#This Row],[Perfil]],Catalogos!$B$75:$D$100,3,FALSE)*Tabla1[[#This Row],[Tiempo
(Hrs 00/100)]]*1.16</f>
        <v>6496</v>
      </c>
    </row>
    <row r="3165" spans="1:26" ht="30" customHeight="1" x14ac:dyDescent="0.3">
      <c r="A3165" s="818" t="s">
        <v>22</v>
      </c>
      <c r="B3165" s="187" t="s">
        <v>23</v>
      </c>
      <c r="C3165" s="187" t="s">
        <v>45</v>
      </c>
      <c r="D3165" s="187"/>
      <c r="E3165" s="187" t="s">
        <v>375</v>
      </c>
      <c r="F3165" s="187" t="s">
        <v>23</v>
      </c>
      <c r="G3165" s="187" t="s">
        <v>5674</v>
      </c>
      <c r="H3165" s="461" t="s">
        <v>5680</v>
      </c>
      <c r="I3165" s="538" t="s">
        <v>3405</v>
      </c>
      <c r="J3165" s="811">
        <v>45288</v>
      </c>
      <c r="K3165" s="815">
        <v>0.375</v>
      </c>
      <c r="L3165" s="811">
        <v>45288</v>
      </c>
      <c r="M3165" s="815">
        <v>0.79166666666666663</v>
      </c>
      <c r="N3165" s="187">
        <v>8</v>
      </c>
      <c r="O3165" s="188" t="s">
        <v>17</v>
      </c>
      <c r="P3165" s="197" t="s">
        <v>647</v>
      </c>
      <c r="Q3165" s="179" t="s">
        <v>2415</v>
      </c>
      <c r="R3165" s="171" t="s">
        <v>40</v>
      </c>
      <c r="S3165" s="31" t="s">
        <v>273</v>
      </c>
      <c r="T3165" s="31" t="s">
        <v>273</v>
      </c>
      <c r="U3165" s="31">
        <f>IFERROR(VLOOKUP(CONCATENATE(Tabla1[[#This Row],[Severidad]]," ",Tabla1[[#This Row],[Complejidad]]),Catalogos!E$120:G$128,3,FALSE),"")</f>
        <v>64</v>
      </c>
      <c r="V3165" s="31" t="str">
        <f>IF(Tabla1[[#This Row],[Tiempo solución max (hrs)]]&lt;&gt;"",IF(Tabla1[[#This Row],[Tiempo solución max (hrs)]]&gt;=Tabla1[[#This Row],[Tiempo
(Hrs 00/100)]],"cumple","no cumple"),"")</f>
        <v>cumple</v>
      </c>
      <c r="W3165" s="376" t="s">
        <v>5372</v>
      </c>
      <c r="X3165" s="18" t="str">
        <f t="shared" si="234"/>
        <v>SPD</v>
      </c>
      <c r="Y3165" t="str">
        <f>SUBSTITUTE(Tabla1[[#This Row],[Descripción]],CHAR(10),"    I    ")</f>
        <v>Desarrollo del servicio que permite registrar los requerimientos de comunicación responidos por el solicitante</v>
      </c>
      <c r="Z3165" s="112">
        <f>VLOOKUP(Tabla1[[#This Row],[Perfil]],Catalogos!$B$75:$D$100,3,FALSE)*Tabla1[[#This Row],[Tiempo
(Hrs 00/100)]]*1.16</f>
        <v>6496</v>
      </c>
    </row>
    <row r="3166" spans="1:26" ht="30" customHeight="1" x14ac:dyDescent="0.3">
      <c r="A3166" s="818" t="s">
        <v>22</v>
      </c>
      <c r="B3166" s="187" t="s">
        <v>23</v>
      </c>
      <c r="C3166" s="187" t="s">
        <v>45</v>
      </c>
      <c r="D3166" s="187"/>
      <c r="E3166" s="187" t="s">
        <v>375</v>
      </c>
      <c r="F3166" s="187" t="s">
        <v>23</v>
      </c>
      <c r="G3166" s="187" t="s">
        <v>5677</v>
      </c>
      <c r="H3166" s="461" t="s">
        <v>5681</v>
      </c>
      <c r="I3166" s="538" t="s">
        <v>3408</v>
      </c>
      <c r="J3166" s="811">
        <v>45289</v>
      </c>
      <c r="K3166" s="815">
        <v>0.375</v>
      </c>
      <c r="L3166" s="811">
        <v>45289</v>
      </c>
      <c r="M3166" s="815">
        <v>0.79166666666666663</v>
      </c>
      <c r="N3166" s="187">
        <v>8</v>
      </c>
      <c r="O3166" s="188" t="s">
        <v>17</v>
      </c>
      <c r="P3166" s="197" t="s">
        <v>647</v>
      </c>
      <c r="Q3166" s="179" t="s">
        <v>2415</v>
      </c>
      <c r="R3166" s="171" t="s">
        <v>40</v>
      </c>
      <c r="S3166" s="31" t="s">
        <v>273</v>
      </c>
      <c r="T3166" s="31" t="s">
        <v>273</v>
      </c>
      <c r="U3166" s="31">
        <f>IFERROR(VLOOKUP(CONCATENATE(Tabla1[[#This Row],[Severidad]]," ",Tabla1[[#This Row],[Complejidad]]),Catalogos!E$120:G$128,3,FALSE),"")</f>
        <v>64</v>
      </c>
      <c r="V3166" s="31" t="str">
        <f>IF(Tabla1[[#This Row],[Tiempo solución max (hrs)]]&lt;&gt;"",IF(Tabla1[[#This Row],[Tiempo solución max (hrs)]]&gt;=Tabla1[[#This Row],[Tiempo
(Hrs 00/100)]],"cumple","no cumple"),"")</f>
        <v>cumple</v>
      </c>
      <c r="W3166" s="376" t="s">
        <v>5372</v>
      </c>
      <c r="X3166" s="18" t="str">
        <f t="shared" si="234"/>
        <v>SPD</v>
      </c>
      <c r="Y3166" t="str">
        <f>SUBSTITUTE(Tabla1[[#This Row],[Descripción]],CHAR(10),"    I    ")</f>
        <v>Desarrollo del servicio que permite generar el acuse de registro de "comunicación"</v>
      </c>
      <c r="Z3166" s="112">
        <f>VLOOKUP(Tabla1[[#This Row],[Perfil]],Catalogos!$B$75:$D$100,3,FALSE)*Tabla1[[#This Row],[Tiempo
(Hrs 00/100)]]*1.16</f>
        <v>6496</v>
      </c>
    </row>
    <row r="3167" spans="1:26" ht="30" customHeight="1" x14ac:dyDescent="0.3">
      <c r="A3167" s="187" t="s">
        <v>2642</v>
      </c>
      <c r="B3167" s="187" t="s">
        <v>305</v>
      </c>
      <c r="C3167" s="187" t="s">
        <v>45</v>
      </c>
      <c r="D3167" s="187"/>
      <c r="E3167" s="187" t="s">
        <v>5716</v>
      </c>
      <c r="F3167" s="188" t="s">
        <v>77</v>
      </c>
      <c r="G3167" s="622" t="s">
        <v>5718</v>
      </c>
      <c r="H3167" s="827" t="s">
        <v>5684</v>
      </c>
      <c r="I3167" s="827" t="s">
        <v>5685</v>
      </c>
      <c r="J3167" s="811">
        <v>45261</v>
      </c>
      <c r="K3167" s="815">
        <v>0.375</v>
      </c>
      <c r="L3167" s="811">
        <v>45261</v>
      </c>
      <c r="M3167" s="815">
        <v>0.625</v>
      </c>
      <c r="N3167" s="187">
        <v>6</v>
      </c>
      <c r="O3167" s="188" t="s">
        <v>17</v>
      </c>
      <c r="P3167" s="367" t="s">
        <v>5686</v>
      </c>
      <c r="Q3167" s="182" t="s">
        <v>2649</v>
      </c>
      <c r="R3167" s="624" t="s">
        <v>81</v>
      </c>
      <c r="S3167" s="31" t="s">
        <v>273</v>
      </c>
      <c r="T3167" s="31" t="s">
        <v>273</v>
      </c>
      <c r="U3167" s="31">
        <f>IFERROR(VLOOKUP(CONCATENATE(Tabla1[[#This Row],[Severidad]]," ",Tabla1[[#This Row],[Complejidad]]),Catalogos!E$120:G$128,3,FALSE),"")</f>
        <v>64</v>
      </c>
      <c r="V3167" s="31" t="str">
        <f>IF(Tabla1[[#This Row],[Tiempo solución max (hrs)]]&lt;&gt;"",IF(Tabla1[[#This Row],[Tiempo solución max (hrs)]]&gt;=Tabla1[[#This Row],[Tiempo
(Hrs 00/100)]],"cumple","no cumple"),"")</f>
        <v>cumple</v>
      </c>
      <c r="W3167" s="376" t="s">
        <v>5372</v>
      </c>
      <c r="X3167" s="18" t="str">
        <f t="shared" si="234"/>
        <v>SPD</v>
      </c>
      <c r="Y3167" t="str">
        <f>SUBSTITUTE(Tabla1[[#This Row],[Descripción]],CHAR(10),"    I    ")</f>
        <v>Se terminan de validar los casos de prueba de testlink para iniciar las pruebas del módulo de usuarios</v>
      </c>
      <c r="Z3167" s="112">
        <f>VLOOKUP(Tabla1[[#This Row],[Perfil]],Catalogos!$B$75:$D$100,3,FALSE)*Tabla1[[#This Row],[Tiempo
(Hrs 00/100)]]*1.16</f>
        <v>3479.9999999999995</v>
      </c>
    </row>
    <row r="3168" spans="1:26" ht="30" customHeight="1" x14ac:dyDescent="0.3">
      <c r="A3168" s="187" t="s">
        <v>2642</v>
      </c>
      <c r="B3168" s="187" t="s">
        <v>68</v>
      </c>
      <c r="C3168" s="187" t="s">
        <v>45</v>
      </c>
      <c r="D3168" s="187"/>
      <c r="E3168" s="187" t="s">
        <v>5716</v>
      </c>
      <c r="F3168" s="188" t="s">
        <v>75</v>
      </c>
      <c r="G3168" s="622" t="s">
        <v>5719</v>
      </c>
      <c r="H3168" s="827" t="s">
        <v>5687</v>
      </c>
      <c r="I3168" s="827" t="s">
        <v>5688</v>
      </c>
      <c r="J3168" s="811">
        <v>45264</v>
      </c>
      <c r="K3168" s="815">
        <v>0.375</v>
      </c>
      <c r="L3168" s="811">
        <v>45264</v>
      </c>
      <c r="M3168" s="815">
        <v>0.79166666666666663</v>
      </c>
      <c r="N3168" s="187">
        <v>8.5</v>
      </c>
      <c r="O3168" s="188" t="s">
        <v>17</v>
      </c>
      <c r="P3168" s="367" t="s">
        <v>5689</v>
      </c>
      <c r="Q3168" s="182" t="s">
        <v>2649</v>
      </c>
      <c r="R3168" s="624" t="s">
        <v>81</v>
      </c>
      <c r="S3168" s="31" t="s">
        <v>273</v>
      </c>
      <c r="T3168" s="31" t="s">
        <v>273</v>
      </c>
      <c r="U3168" s="31">
        <f>IFERROR(VLOOKUP(CONCATENATE(Tabla1[[#This Row],[Severidad]]," ",Tabla1[[#This Row],[Complejidad]]),Catalogos!E$120:G$128,3,FALSE),"")</f>
        <v>64</v>
      </c>
      <c r="V3168" s="31" t="str">
        <f>IF(Tabla1[[#This Row],[Tiempo solución max (hrs)]]&lt;&gt;"",IF(Tabla1[[#This Row],[Tiempo solución max (hrs)]]&gt;=Tabla1[[#This Row],[Tiempo
(Hrs 00/100)]],"cumple","no cumple"),"")</f>
        <v>cumple</v>
      </c>
      <c r="W3168" s="376" t="s">
        <v>5372</v>
      </c>
      <c r="X3168" s="18" t="str">
        <f t="shared" si="234"/>
        <v>SPD</v>
      </c>
      <c r="Y3168" t="str">
        <f>SUBSTITUTE(Tabla1[[#This Row],[Descripción]],CHAR(10),"    I    ")</f>
        <v>Se da inicio a las pruebas de módulo de usuarios</v>
      </c>
      <c r="Z3168" s="112">
        <f>VLOOKUP(Tabla1[[#This Row],[Perfil]],Catalogos!$B$75:$D$100,3,FALSE)*Tabla1[[#This Row],[Tiempo
(Hrs 00/100)]]*1.16</f>
        <v>4930</v>
      </c>
    </row>
    <row r="3169" spans="1:27" ht="30" customHeight="1" x14ac:dyDescent="0.3">
      <c r="A3169" s="187" t="s">
        <v>2642</v>
      </c>
      <c r="B3169" s="187" t="s">
        <v>21</v>
      </c>
      <c r="C3169" s="187" t="s">
        <v>45</v>
      </c>
      <c r="D3169" s="187"/>
      <c r="E3169" s="187" t="s">
        <v>5716</v>
      </c>
      <c r="F3169" s="188" t="s">
        <v>75</v>
      </c>
      <c r="G3169" s="622" t="s">
        <v>5720</v>
      </c>
      <c r="H3169" s="827" t="s">
        <v>5690</v>
      </c>
      <c r="I3169" s="827" t="s">
        <v>5691</v>
      </c>
      <c r="J3169" s="811">
        <v>45265</v>
      </c>
      <c r="K3169" s="815">
        <v>0.375</v>
      </c>
      <c r="L3169" s="811">
        <v>45265</v>
      </c>
      <c r="M3169" s="815">
        <v>0.79166666666666663</v>
      </c>
      <c r="N3169" s="187">
        <v>8.5</v>
      </c>
      <c r="O3169" s="188" t="s">
        <v>17</v>
      </c>
      <c r="P3169" s="367" t="s">
        <v>5689</v>
      </c>
      <c r="Q3169" s="182" t="s">
        <v>2649</v>
      </c>
      <c r="R3169" s="624" t="s">
        <v>81</v>
      </c>
      <c r="S3169" s="31" t="s">
        <v>273</v>
      </c>
      <c r="T3169" s="31" t="s">
        <v>273</v>
      </c>
      <c r="U3169" s="31">
        <f>IFERROR(VLOOKUP(CONCATENATE(Tabla1[[#This Row],[Severidad]]," ",Tabla1[[#This Row],[Complejidad]]),Catalogos!E$120:G$128,3,FALSE),"")</f>
        <v>64</v>
      </c>
      <c r="V3169" s="31" t="str">
        <f>IF(Tabla1[[#This Row],[Tiempo solución max (hrs)]]&lt;&gt;"",IF(Tabla1[[#This Row],[Tiempo solución max (hrs)]]&gt;=Tabla1[[#This Row],[Tiempo
(Hrs 00/100)]],"cumple","no cumple"),"")</f>
        <v>cumple</v>
      </c>
      <c r="W3169" s="376" t="s">
        <v>5372</v>
      </c>
      <c r="X3169" s="18" t="str">
        <f t="shared" si="234"/>
        <v>SPD</v>
      </c>
      <c r="Y3169" t="str">
        <f>SUBSTITUTE(Tabla1[[#This Row],[Descripción]],CHAR(10),"    I    ")</f>
        <v>Se hace la detección de incidencias durante las pruebas de módulo de usuarios</v>
      </c>
      <c r="Z3169" s="112">
        <f>VLOOKUP(Tabla1[[#This Row],[Perfil]],Catalogos!$B$75:$D$100,3,FALSE)*Tabla1[[#This Row],[Tiempo
(Hrs 00/100)]]*1.16</f>
        <v>4930</v>
      </c>
    </row>
    <row r="3170" spans="1:27" ht="30" customHeight="1" x14ac:dyDescent="0.3">
      <c r="A3170" s="187" t="s">
        <v>2642</v>
      </c>
      <c r="B3170" s="187" t="s">
        <v>305</v>
      </c>
      <c r="C3170" s="187" t="s">
        <v>45</v>
      </c>
      <c r="D3170" s="187"/>
      <c r="E3170" s="187" t="s">
        <v>5716</v>
      </c>
      <c r="F3170" s="188" t="s">
        <v>75</v>
      </c>
      <c r="G3170" s="622" t="s">
        <v>5721</v>
      </c>
      <c r="H3170" s="827" t="s">
        <v>5692</v>
      </c>
      <c r="I3170" s="827" t="s">
        <v>5693</v>
      </c>
      <c r="J3170" s="811">
        <v>45266</v>
      </c>
      <c r="K3170" s="815">
        <v>0.375</v>
      </c>
      <c r="L3170" s="811">
        <v>45266</v>
      </c>
      <c r="M3170" s="815">
        <v>0.79166666666666663</v>
      </c>
      <c r="N3170" s="187">
        <v>8.5</v>
      </c>
      <c r="O3170" s="188" t="s">
        <v>17</v>
      </c>
      <c r="P3170" s="367" t="s">
        <v>5689</v>
      </c>
      <c r="Q3170" s="182" t="s">
        <v>2649</v>
      </c>
      <c r="R3170" s="624" t="s">
        <v>81</v>
      </c>
      <c r="S3170" s="31" t="s">
        <v>273</v>
      </c>
      <c r="T3170" s="31" t="s">
        <v>273</v>
      </c>
      <c r="U3170" s="31">
        <f>IFERROR(VLOOKUP(CONCATENATE(Tabla1[[#This Row],[Severidad]]," ",Tabla1[[#This Row],[Complejidad]]),Catalogos!E$120:G$128,3,FALSE),"")</f>
        <v>64</v>
      </c>
      <c r="V3170" s="31" t="str">
        <f>IF(Tabla1[[#This Row],[Tiempo solución max (hrs)]]&lt;&gt;"",IF(Tabla1[[#This Row],[Tiempo solución max (hrs)]]&gt;=Tabla1[[#This Row],[Tiempo
(Hrs 00/100)]],"cumple","no cumple"),"")</f>
        <v>cumple</v>
      </c>
      <c r="W3170" s="376" t="s">
        <v>5372</v>
      </c>
      <c r="X3170" s="18" t="str">
        <f t="shared" si="234"/>
        <v>SPD</v>
      </c>
      <c r="Y3170" t="str">
        <f>SUBSTITUTE(Tabla1[[#This Row],[Descripción]],CHAR(10),"    I    ")</f>
        <v>Se hace la documentación de las incidencias encontradas durante las pruebas de módulo de usuarios</v>
      </c>
      <c r="Z3170" s="112">
        <f>VLOOKUP(Tabla1[[#This Row],[Perfil]],Catalogos!$B$75:$D$100,3,FALSE)*Tabla1[[#This Row],[Tiempo
(Hrs 00/100)]]*1.16</f>
        <v>4930</v>
      </c>
    </row>
    <row r="3171" spans="1:27" ht="30" customHeight="1" x14ac:dyDescent="0.3">
      <c r="A3171" s="187" t="s">
        <v>2642</v>
      </c>
      <c r="B3171" s="187" t="s">
        <v>305</v>
      </c>
      <c r="C3171" s="676" t="s">
        <v>16</v>
      </c>
      <c r="D3171" s="187"/>
      <c r="E3171" s="187" t="s">
        <v>5717</v>
      </c>
      <c r="F3171" s="188" t="s">
        <v>72</v>
      </c>
      <c r="G3171" s="622" t="s">
        <v>5722</v>
      </c>
      <c r="H3171" s="827" t="s">
        <v>5694</v>
      </c>
      <c r="I3171" s="827" t="s">
        <v>5695</v>
      </c>
      <c r="J3171" s="811">
        <v>45267</v>
      </c>
      <c r="K3171" s="815">
        <v>0.375</v>
      </c>
      <c r="L3171" s="811">
        <v>45267</v>
      </c>
      <c r="M3171" s="815">
        <v>0.54166666666666663</v>
      </c>
      <c r="N3171" s="187">
        <v>4</v>
      </c>
      <c r="O3171" s="188" t="s">
        <v>17</v>
      </c>
      <c r="P3171" s="367" t="s">
        <v>5689</v>
      </c>
      <c r="Q3171" s="182" t="s">
        <v>2649</v>
      </c>
      <c r="R3171" s="624" t="s">
        <v>81</v>
      </c>
      <c r="S3171" s="31" t="s">
        <v>273</v>
      </c>
      <c r="T3171" s="31" t="s">
        <v>273</v>
      </c>
      <c r="U3171" s="31">
        <f>IFERROR(VLOOKUP(CONCATENATE(Tabla1[[#This Row],[Severidad]]," ",Tabla1[[#This Row],[Complejidad]]),Catalogos!E$120:G$128,3,FALSE),"")</f>
        <v>64</v>
      </c>
      <c r="V3171" s="31" t="str">
        <f>IF(Tabla1[[#This Row],[Tiempo solución max (hrs)]]&lt;&gt;"",IF(Tabla1[[#This Row],[Tiempo solución max (hrs)]]&gt;=Tabla1[[#This Row],[Tiempo
(Hrs 00/100)]],"cumple","no cumple"),"")</f>
        <v>cumple</v>
      </c>
      <c r="W3171" s="376" t="s">
        <v>5372</v>
      </c>
      <c r="X3171" s="18" t="str">
        <f t="shared" si="234"/>
        <v>SAW</v>
      </c>
      <c r="Y3171" t="str">
        <f>SUBSTITUTE(Tabla1[[#This Row],[Descripción]],CHAR(10),"    I    ")</f>
        <v>Se hace un nuevo seguimiento al dócumento de criterios de interpretación SNT</v>
      </c>
      <c r="Z3171" s="112">
        <f>VLOOKUP(Tabla1[[#This Row],[Perfil]],Catalogos!$B$75:$D$100,3,FALSE)*Tabla1[[#This Row],[Tiempo
(Hrs 00/100)]]*1.16</f>
        <v>2320</v>
      </c>
    </row>
    <row r="3172" spans="1:27" ht="30" customHeight="1" x14ac:dyDescent="0.3">
      <c r="A3172" s="187" t="s">
        <v>2642</v>
      </c>
      <c r="B3172" s="187" t="s">
        <v>305</v>
      </c>
      <c r="C3172" s="676" t="s">
        <v>16</v>
      </c>
      <c r="D3172" s="187"/>
      <c r="E3172" s="187" t="s">
        <v>5717</v>
      </c>
      <c r="F3172" s="188" t="s">
        <v>72</v>
      </c>
      <c r="G3172" s="622" t="s">
        <v>5723</v>
      </c>
      <c r="H3172" s="827" t="s">
        <v>5696</v>
      </c>
      <c r="I3172" s="827" t="s">
        <v>5697</v>
      </c>
      <c r="J3172" s="811">
        <v>45267</v>
      </c>
      <c r="K3172" s="815">
        <v>0.54166666666666663</v>
      </c>
      <c r="L3172" s="811">
        <v>45267</v>
      </c>
      <c r="M3172" s="815">
        <v>0.79166666666666663</v>
      </c>
      <c r="N3172" s="187">
        <v>4.5</v>
      </c>
      <c r="O3172" s="188" t="s">
        <v>17</v>
      </c>
      <c r="P3172" s="367" t="s">
        <v>5689</v>
      </c>
      <c r="Q3172" s="182" t="s">
        <v>2649</v>
      </c>
      <c r="R3172" s="624" t="s">
        <v>81</v>
      </c>
      <c r="S3172" s="31" t="s">
        <v>273</v>
      </c>
      <c r="T3172" s="31" t="s">
        <v>273</v>
      </c>
      <c r="U3172" s="31">
        <f>IFERROR(VLOOKUP(CONCATENATE(Tabla1[[#This Row],[Severidad]]," ",Tabla1[[#This Row],[Complejidad]]),Catalogos!E$120:G$128,3,FALSE),"")</f>
        <v>64</v>
      </c>
      <c r="V3172" s="31" t="str">
        <f>IF(Tabla1[[#This Row],[Tiempo solución max (hrs)]]&lt;&gt;"",IF(Tabla1[[#This Row],[Tiempo solución max (hrs)]]&gt;=Tabla1[[#This Row],[Tiempo
(Hrs 00/100)]],"cumple","no cumple"),"")</f>
        <v>cumple</v>
      </c>
      <c r="W3172" s="376" t="s">
        <v>5372</v>
      </c>
      <c r="X3172" s="18" t="str">
        <f t="shared" si="234"/>
        <v>SAW</v>
      </c>
      <c r="Y3172" t="str">
        <f>SUBSTITUTE(Tabla1[[#This Row],[Descripción]],CHAR(10),"    I    ")</f>
        <v>Se hace una validación de la nueva versión del micrositio de criterios de interpretación SNT</v>
      </c>
      <c r="Z3172" s="112">
        <f>VLOOKUP(Tabla1[[#This Row],[Perfil]],Catalogos!$B$75:$D$100,3,FALSE)*Tabla1[[#This Row],[Tiempo
(Hrs 00/100)]]*1.16</f>
        <v>2610</v>
      </c>
    </row>
    <row r="3173" spans="1:27" ht="30" customHeight="1" x14ac:dyDescent="0.3">
      <c r="A3173" s="187" t="s">
        <v>2642</v>
      </c>
      <c r="B3173" s="187" t="s">
        <v>305</v>
      </c>
      <c r="C3173" s="676" t="s">
        <v>16</v>
      </c>
      <c r="D3173" s="187"/>
      <c r="E3173" s="187" t="s">
        <v>5717</v>
      </c>
      <c r="F3173" s="188" t="s">
        <v>72</v>
      </c>
      <c r="G3173" s="622" t="s">
        <v>5724</v>
      </c>
      <c r="H3173" s="827" t="s">
        <v>5698</v>
      </c>
      <c r="I3173" s="827" t="s">
        <v>5699</v>
      </c>
      <c r="J3173" s="811">
        <v>45268</v>
      </c>
      <c r="K3173" s="815">
        <v>0.375</v>
      </c>
      <c r="L3173" s="811">
        <v>45268</v>
      </c>
      <c r="M3173" s="815">
        <v>0.625</v>
      </c>
      <c r="N3173" s="187">
        <v>6</v>
      </c>
      <c r="O3173" s="188" t="s">
        <v>17</v>
      </c>
      <c r="P3173" s="367" t="s">
        <v>5689</v>
      </c>
      <c r="Q3173" s="182" t="s">
        <v>2649</v>
      </c>
      <c r="R3173" s="624" t="s">
        <v>81</v>
      </c>
      <c r="S3173" s="31" t="s">
        <v>273</v>
      </c>
      <c r="T3173" s="31" t="s">
        <v>273</v>
      </c>
      <c r="U3173" s="31">
        <f>IFERROR(VLOOKUP(CONCATENATE(Tabla1[[#This Row],[Severidad]]," ",Tabla1[[#This Row],[Complejidad]]),Catalogos!E$120:G$128,3,FALSE),"")</f>
        <v>64</v>
      </c>
      <c r="V3173" s="31" t="str">
        <f>IF(Tabla1[[#This Row],[Tiempo solución max (hrs)]]&lt;&gt;"",IF(Tabla1[[#This Row],[Tiempo solución max (hrs)]]&gt;=Tabla1[[#This Row],[Tiempo
(Hrs 00/100)]],"cumple","no cumple"),"")</f>
        <v>cumple</v>
      </c>
      <c r="W3173" s="376" t="s">
        <v>5372</v>
      </c>
      <c r="X3173" s="18" t="str">
        <f t="shared" si="234"/>
        <v>SAW</v>
      </c>
      <c r="Y3173" t="str">
        <f>SUBSTITUTE(Tabla1[[#This Row],[Descripción]],CHAR(10),"    I    ")</f>
        <v>Se continua con la validación y revisión de los casos para las pruebasde la nueva versión de SNT</v>
      </c>
      <c r="Z3173" s="112">
        <f>VLOOKUP(Tabla1[[#This Row],[Perfil]],Catalogos!$B$75:$D$100,3,FALSE)*Tabla1[[#This Row],[Tiempo
(Hrs 00/100)]]*1.16</f>
        <v>3479.9999999999995</v>
      </c>
    </row>
    <row r="3174" spans="1:27" ht="30" customHeight="1" x14ac:dyDescent="0.3">
      <c r="A3174" s="187" t="s">
        <v>2642</v>
      </c>
      <c r="B3174" s="187" t="s">
        <v>65</v>
      </c>
      <c r="C3174" s="676" t="s">
        <v>16</v>
      </c>
      <c r="D3174" s="187"/>
      <c r="E3174" s="187" t="s">
        <v>5717</v>
      </c>
      <c r="F3174" s="188" t="s">
        <v>23</v>
      </c>
      <c r="G3174" s="622" t="s">
        <v>5725</v>
      </c>
      <c r="H3174" s="827" t="s">
        <v>5700</v>
      </c>
      <c r="I3174" s="827" t="s">
        <v>5701</v>
      </c>
      <c r="J3174" s="811">
        <v>45271</v>
      </c>
      <c r="K3174" s="815">
        <v>0.375</v>
      </c>
      <c r="L3174" s="811">
        <v>45271</v>
      </c>
      <c r="M3174" s="815">
        <v>0.8125</v>
      </c>
      <c r="N3174" s="187">
        <v>9</v>
      </c>
      <c r="O3174" s="676" t="s">
        <v>411</v>
      </c>
      <c r="P3174" s="367"/>
      <c r="Q3174" s="182" t="s">
        <v>2649</v>
      </c>
      <c r="R3174" s="624" t="s">
        <v>81</v>
      </c>
      <c r="S3174" s="31" t="s">
        <v>273</v>
      </c>
      <c r="T3174" s="31" t="s">
        <v>273</v>
      </c>
      <c r="U3174" s="31">
        <f>IFERROR(VLOOKUP(CONCATENATE(Tabla1[[#This Row],[Severidad]]," ",Tabla1[[#This Row],[Complejidad]]),Catalogos!E$120:G$128,3,FALSE),"")</f>
        <v>64</v>
      </c>
      <c r="V3174" s="31" t="str">
        <f>IF(Tabla1[[#This Row],[Tiempo solución max (hrs)]]&lt;&gt;"",IF(Tabla1[[#This Row],[Tiempo solución max (hrs)]]&gt;=Tabla1[[#This Row],[Tiempo
(Hrs 00/100)]],"cumple","no cumple"),"")</f>
        <v>cumple</v>
      </c>
      <c r="W3174" s="376" t="s">
        <v>5372</v>
      </c>
      <c r="X3174" s="18" t="str">
        <f t="shared" si="234"/>
        <v>SAW</v>
      </c>
      <c r="Y3174" t="str">
        <f>SUBSTITUTE(Tabla1[[#This Row],[Descripción]],CHAR(10),"    I    ")</f>
        <v>Se registran nuevos casos de la nueva versión de pruebas SNT</v>
      </c>
      <c r="Z3174" s="112">
        <f>VLOOKUP(Tabla1[[#This Row],[Perfil]],Catalogos!$B$75:$D$100,3,FALSE)*Tabla1[[#This Row],[Tiempo
(Hrs 00/100)]]*1.16</f>
        <v>5220</v>
      </c>
    </row>
    <row r="3175" spans="1:27" ht="30" customHeight="1" x14ac:dyDescent="0.3">
      <c r="A3175" s="187" t="s">
        <v>2642</v>
      </c>
      <c r="B3175" s="187" t="s">
        <v>65</v>
      </c>
      <c r="C3175" s="676" t="s">
        <v>16</v>
      </c>
      <c r="D3175" s="187"/>
      <c r="E3175" s="187" t="s">
        <v>5717</v>
      </c>
      <c r="F3175" s="188" t="s">
        <v>23</v>
      </c>
      <c r="G3175" s="622" t="s">
        <v>5726</v>
      </c>
      <c r="H3175" s="827" t="s">
        <v>5700</v>
      </c>
      <c r="I3175" s="827" t="s">
        <v>5701</v>
      </c>
      <c r="J3175" s="811">
        <v>45272</v>
      </c>
      <c r="K3175" s="815">
        <v>0.375</v>
      </c>
      <c r="L3175" s="811">
        <v>45272</v>
      </c>
      <c r="M3175" s="815">
        <v>0.79166666666666663</v>
      </c>
      <c r="N3175" s="187">
        <v>8.5</v>
      </c>
      <c r="O3175" s="188" t="s">
        <v>17</v>
      </c>
      <c r="P3175" s="367" t="s">
        <v>5702</v>
      </c>
      <c r="Q3175" s="182" t="s">
        <v>2649</v>
      </c>
      <c r="R3175" s="624" t="s">
        <v>81</v>
      </c>
      <c r="S3175" s="31" t="s">
        <v>273</v>
      </c>
      <c r="T3175" s="31" t="s">
        <v>273</v>
      </c>
      <c r="U3175" s="31">
        <f>IFERROR(VLOOKUP(CONCATENATE(Tabla1[[#This Row],[Severidad]]," ",Tabla1[[#This Row],[Complejidad]]),Catalogos!E$120:G$128,3,FALSE),"")</f>
        <v>64</v>
      </c>
      <c r="V3175" s="31" t="str">
        <f>IF(Tabla1[[#This Row],[Tiempo solución max (hrs)]]&lt;&gt;"",IF(Tabla1[[#This Row],[Tiempo solución max (hrs)]]&gt;=Tabla1[[#This Row],[Tiempo
(Hrs 00/100)]],"cumple","no cumple"),"")</f>
        <v>cumple</v>
      </c>
      <c r="W3175" s="376" t="s">
        <v>5372</v>
      </c>
      <c r="X3175" s="18" t="str">
        <f t="shared" si="234"/>
        <v>SAW</v>
      </c>
      <c r="Y3175" t="str">
        <f>SUBSTITUTE(Tabla1[[#This Row],[Descripción]],CHAR(10),"    I    ")</f>
        <v>Se registran nuevos casos de la nueva versión de pruebas SNT</v>
      </c>
      <c r="Z3175" s="112">
        <f>VLOOKUP(Tabla1[[#This Row],[Perfil]],Catalogos!$B$75:$D$100,3,FALSE)*Tabla1[[#This Row],[Tiempo
(Hrs 00/100)]]*1.16</f>
        <v>4930</v>
      </c>
    </row>
    <row r="3176" spans="1:27" ht="30" customHeight="1" x14ac:dyDescent="0.3">
      <c r="A3176" s="187" t="s">
        <v>2642</v>
      </c>
      <c r="B3176" s="187" t="s">
        <v>68</v>
      </c>
      <c r="C3176" s="676" t="s">
        <v>16</v>
      </c>
      <c r="D3176" s="187"/>
      <c r="E3176" s="187" t="s">
        <v>5717</v>
      </c>
      <c r="F3176" s="188" t="s">
        <v>75</v>
      </c>
      <c r="G3176" s="622" t="s">
        <v>5727</v>
      </c>
      <c r="H3176" s="827" t="s">
        <v>5703</v>
      </c>
      <c r="I3176" s="827" t="s">
        <v>5704</v>
      </c>
      <c r="J3176" s="811">
        <v>45273</v>
      </c>
      <c r="K3176" s="815">
        <v>0.375</v>
      </c>
      <c r="L3176" s="811">
        <v>45273</v>
      </c>
      <c r="M3176" s="815">
        <v>0.79166666666666663</v>
      </c>
      <c r="N3176" s="187">
        <v>8.5</v>
      </c>
      <c r="O3176" s="188" t="s">
        <v>17</v>
      </c>
      <c r="P3176" s="367" t="s">
        <v>5702</v>
      </c>
      <c r="Q3176" s="182" t="s">
        <v>2649</v>
      </c>
      <c r="R3176" s="624" t="s">
        <v>81</v>
      </c>
      <c r="S3176" s="31" t="s">
        <v>273</v>
      </c>
      <c r="T3176" s="31" t="s">
        <v>273</v>
      </c>
      <c r="U3176" s="31">
        <f>IFERROR(VLOOKUP(CONCATENATE(Tabla1[[#This Row],[Severidad]]," ",Tabla1[[#This Row],[Complejidad]]),Catalogos!E$120:G$128,3,FALSE),"")</f>
        <v>64</v>
      </c>
      <c r="V3176" s="31" t="str">
        <f>IF(Tabla1[[#This Row],[Tiempo solución max (hrs)]]&lt;&gt;"",IF(Tabla1[[#This Row],[Tiempo solución max (hrs)]]&gt;=Tabla1[[#This Row],[Tiempo
(Hrs 00/100)]],"cumple","no cumple"),"")</f>
        <v>cumple</v>
      </c>
      <c r="W3176" s="376" t="s">
        <v>5372</v>
      </c>
      <c r="X3176" s="18" t="str">
        <f t="shared" si="234"/>
        <v>SAW</v>
      </c>
      <c r="Y3176" t="str">
        <f>SUBSTITUTE(Tabla1[[#This Row],[Descripción]],CHAR(10),"    I    ")</f>
        <v>Se inician las pruebas del sistema de criterios de interpretación SNT</v>
      </c>
      <c r="Z3176" s="112">
        <f>VLOOKUP(Tabla1[[#This Row],[Perfil]],Catalogos!$B$75:$D$100,3,FALSE)*Tabla1[[#This Row],[Tiempo
(Hrs 00/100)]]*1.16</f>
        <v>4930</v>
      </c>
    </row>
    <row r="3177" spans="1:27" ht="30" customHeight="1" x14ac:dyDescent="0.3">
      <c r="A3177" s="187" t="s">
        <v>2642</v>
      </c>
      <c r="B3177" s="187" t="s">
        <v>68</v>
      </c>
      <c r="C3177" s="676" t="s">
        <v>16</v>
      </c>
      <c r="D3177" s="187"/>
      <c r="E3177" s="187" t="s">
        <v>5717</v>
      </c>
      <c r="F3177" s="188" t="s">
        <v>75</v>
      </c>
      <c r="G3177" s="622" t="s">
        <v>5728</v>
      </c>
      <c r="H3177" s="827" t="s">
        <v>5705</v>
      </c>
      <c r="I3177" s="827" t="s">
        <v>5706</v>
      </c>
      <c r="J3177" s="811">
        <v>45274</v>
      </c>
      <c r="K3177" s="815">
        <v>0.375</v>
      </c>
      <c r="L3177" s="811">
        <v>45274</v>
      </c>
      <c r="M3177" s="815">
        <v>0.79166666666666663</v>
      </c>
      <c r="N3177" s="187">
        <v>8.5</v>
      </c>
      <c r="O3177" s="188" t="s">
        <v>17</v>
      </c>
      <c r="P3177" s="367" t="s">
        <v>5702</v>
      </c>
      <c r="Q3177" s="182" t="s">
        <v>2649</v>
      </c>
      <c r="R3177" s="624" t="s">
        <v>81</v>
      </c>
      <c r="S3177" s="31" t="s">
        <v>273</v>
      </c>
      <c r="T3177" s="31" t="s">
        <v>273</v>
      </c>
      <c r="U3177" s="31">
        <f>IFERROR(VLOOKUP(CONCATENATE(Tabla1[[#This Row],[Severidad]]," ",Tabla1[[#This Row],[Complejidad]]),Catalogos!E$120:G$128,3,FALSE),"")</f>
        <v>64</v>
      </c>
      <c r="V3177" s="31" t="str">
        <f>IF(Tabla1[[#This Row],[Tiempo solución max (hrs)]]&lt;&gt;"",IF(Tabla1[[#This Row],[Tiempo solución max (hrs)]]&gt;=Tabla1[[#This Row],[Tiempo
(Hrs 00/100)]],"cumple","no cumple"),"")</f>
        <v>cumple</v>
      </c>
      <c r="W3177" s="376" t="s">
        <v>5372</v>
      </c>
      <c r="X3177" s="18" t="str">
        <f t="shared" si="234"/>
        <v>SAW</v>
      </c>
      <c r="Y3177" t="str">
        <f>SUBSTITUTE(Tabla1[[#This Row],[Descripción]],CHAR(10),"    I    ")</f>
        <v>Se realiza la ejecución de las pruebas de sitio de Criterios de Interpretación SNT de la parte de Buscadores</v>
      </c>
      <c r="Z3177" s="112">
        <f>VLOOKUP(Tabla1[[#This Row],[Perfil]],Catalogos!$B$75:$D$100,3,FALSE)*Tabla1[[#This Row],[Tiempo
(Hrs 00/100)]]*1.16</f>
        <v>4930</v>
      </c>
    </row>
    <row r="3178" spans="1:27" ht="30" customHeight="1" x14ac:dyDescent="0.3">
      <c r="A3178" s="187" t="s">
        <v>2642</v>
      </c>
      <c r="B3178" s="187" t="s">
        <v>68</v>
      </c>
      <c r="C3178" s="676" t="s">
        <v>16</v>
      </c>
      <c r="D3178" s="187"/>
      <c r="E3178" s="187" t="s">
        <v>5717</v>
      </c>
      <c r="F3178" s="188" t="s">
        <v>75</v>
      </c>
      <c r="G3178" s="622" t="s">
        <v>5729</v>
      </c>
      <c r="H3178" s="827" t="s">
        <v>5707</v>
      </c>
      <c r="I3178" s="827" t="s">
        <v>5708</v>
      </c>
      <c r="J3178" s="811">
        <v>45275</v>
      </c>
      <c r="K3178" s="815">
        <v>0.375</v>
      </c>
      <c r="L3178" s="811">
        <v>45275</v>
      </c>
      <c r="M3178" s="815">
        <v>0.625</v>
      </c>
      <c r="N3178" s="187">
        <v>6</v>
      </c>
      <c r="O3178" s="188" t="s">
        <v>17</v>
      </c>
      <c r="P3178" s="367" t="s">
        <v>5702</v>
      </c>
      <c r="Q3178" s="182" t="s">
        <v>2649</v>
      </c>
      <c r="R3178" s="624" t="s">
        <v>81</v>
      </c>
      <c r="S3178" s="31" t="s">
        <v>273</v>
      </c>
      <c r="T3178" s="31" t="s">
        <v>273</v>
      </c>
      <c r="U3178" s="31">
        <f>IFERROR(VLOOKUP(CONCATENATE(Tabla1[[#This Row],[Severidad]]," ",Tabla1[[#This Row],[Complejidad]]),Catalogos!E$120:G$128,3,FALSE),"")</f>
        <v>64</v>
      </c>
      <c r="V3178" s="31" t="str">
        <f>IF(Tabla1[[#This Row],[Tiempo solución max (hrs)]]&lt;&gt;"",IF(Tabla1[[#This Row],[Tiempo solución max (hrs)]]&gt;=Tabla1[[#This Row],[Tiempo
(Hrs 00/100)]],"cumple","no cumple"),"")</f>
        <v>cumple</v>
      </c>
      <c r="W3178" s="376" t="s">
        <v>5372</v>
      </c>
      <c r="X3178" s="18" t="str">
        <f t="shared" si="234"/>
        <v>SAW</v>
      </c>
      <c r="Y3178" t="str">
        <f>SUBSTITUTE(Tabla1[[#This Row],[Descripción]],CHAR(10),"    I    ")</f>
        <v>Se termina la validación y se documentan las pruebas del sitio Criterios de interpretación SNT Buscadores</v>
      </c>
      <c r="Z3178" s="112">
        <f>VLOOKUP(Tabla1[[#This Row],[Perfil]],Catalogos!$B$75:$D$100,3,FALSE)*Tabla1[[#This Row],[Tiempo
(Hrs 00/100)]]*1.16</f>
        <v>3479.9999999999995</v>
      </c>
    </row>
    <row r="3179" spans="1:27" ht="30" customHeight="1" x14ac:dyDescent="0.3">
      <c r="A3179" s="187" t="s">
        <v>2642</v>
      </c>
      <c r="B3179" s="187" t="s">
        <v>68</v>
      </c>
      <c r="C3179" s="676" t="s">
        <v>16</v>
      </c>
      <c r="D3179" s="187"/>
      <c r="E3179" s="187" t="s">
        <v>5717</v>
      </c>
      <c r="F3179" s="188" t="s">
        <v>75</v>
      </c>
      <c r="G3179" s="622" t="s">
        <v>5730</v>
      </c>
      <c r="H3179" s="827" t="s">
        <v>5709</v>
      </c>
      <c r="I3179" s="827" t="s">
        <v>5710</v>
      </c>
      <c r="J3179" s="811">
        <v>45278</v>
      </c>
      <c r="K3179" s="815">
        <v>0.375</v>
      </c>
      <c r="L3179" s="811">
        <v>45278</v>
      </c>
      <c r="M3179" s="815">
        <v>0.79166666666666663</v>
      </c>
      <c r="N3179" s="187">
        <v>8.5</v>
      </c>
      <c r="O3179" s="188" t="s">
        <v>17</v>
      </c>
      <c r="P3179" s="367" t="s">
        <v>5711</v>
      </c>
      <c r="Q3179" s="182" t="s">
        <v>2649</v>
      </c>
      <c r="R3179" s="624" t="s">
        <v>81</v>
      </c>
      <c r="S3179" s="31" t="s">
        <v>273</v>
      </c>
      <c r="T3179" s="31" t="s">
        <v>273</v>
      </c>
      <c r="U3179" s="31">
        <f>IFERROR(VLOOKUP(CONCATENATE(Tabla1[[#This Row],[Severidad]]," ",Tabla1[[#This Row],[Complejidad]]),Catalogos!E$120:G$128,3,FALSE),"")</f>
        <v>64</v>
      </c>
      <c r="V3179" s="31" t="str">
        <f>IF(Tabla1[[#This Row],[Tiempo solución max (hrs)]]&lt;&gt;"",IF(Tabla1[[#This Row],[Tiempo solución max (hrs)]]&gt;=Tabla1[[#This Row],[Tiempo
(Hrs 00/100)]],"cumple","no cumple"),"")</f>
        <v>cumple</v>
      </c>
      <c r="W3179" s="376" t="s">
        <v>5372</v>
      </c>
      <c r="X3179" s="18" t="str">
        <f t="shared" si="234"/>
        <v>SAW</v>
      </c>
      <c r="Y3179" t="str">
        <f>SUBSTITUTE(Tabla1[[#This Row],[Descripción]],CHAR(10),"    I    ")</f>
        <v>Se continua con la realización de las pruebas del sitio Criterios de Interpretación SNT Sitio</v>
      </c>
      <c r="Z3179" s="112">
        <f>VLOOKUP(Tabla1[[#This Row],[Perfil]],Catalogos!$B$75:$D$100,3,FALSE)*Tabla1[[#This Row],[Tiempo
(Hrs 00/100)]]*1.16</f>
        <v>4930</v>
      </c>
    </row>
    <row r="3180" spans="1:27" ht="30" customHeight="1" x14ac:dyDescent="0.3">
      <c r="A3180" s="187" t="s">
        <v>2642</v>
      </c>
      <c r="B3180" s="187" t="s">
        <v>68</v>
      </c>
      <c r="C3180" s="676" t="s">
        <v>16</v>
      </c>
      <c r="D3180" s="187"/>
      <c r="E3180" s="187" t="s">
        <v>5717</v>
      </c>
      <c r="F3180" s="188" t="s">
        <v>75</v>
      </c>
      <c r="G3180" s="622" t="s">
        <v>5731</v>
      </c>
      <c r="H3180" s="827" t="s">
        <v>5712</v>
      </c>
      <c r="I3180" s="827" t="s">
        <v>5713</v>
      </c>
      <c r="J3180" s="811">
        <v>45279</v>
      </c>
      <c r="K3180" s="815">
        <v>0.375</v>
      </c>
      <c r="L3180" s="811">
        <v>45279</v>
      </c>
      <c r="M3180" s="815">
        <v>0.79166666666666663</v>
      </c>
      <c r="N3180" s="187">
        <v>8.5</v>
      </c>
      <c r="O3180" s="188" t="s">
        <v>17</v>
      </c>
      <c r="P3180" s="367" t="s">
        <v>5711</v>
      </c>
      <c r="Q3180" s="182" t="s">
        <v>2649</v>
      </c>
      <c r="R3180" s="624" t="s">
        <v>81</v>
      </c>
      <c r="S3180" s="31" t="s">
        <v>273</v>
      </c>
      <c r="T3180" s="31" t="s">
        <v>273</v>
      </c>
      <c r="U3180" s="31">
        <f>IFERROR(VLOOKUP(CONCATENATE(Tabla1[[#This Row],[Severidad]]," ",Tabla1[[#This Row],[Complejidad]]),Catalogos!E$120:G$128,3,FALSE),"")</f>
        <v>64</v>
      </c>
      <c r="V3180" s="31" t="str">
        <f>IF(Tabla1[[#This Row],[Tiempo solución max (hrs)]]&lt;&gt;"",IF(Tabla1[[#This Row],[Tiempo solución max (hrs)]]&gt;=Tabla1[[#This Row],[Tiempo
(Hrs 00/100)]],"cumple","no cumple"),"")</f>
        <v>cumple</v>
      </c>
      <c r="W3180" s="376" t="s">
        <v>5372</v>
      </c>
      <c r="X3180" s="18" t="str">
        <f t="shared" si="234"/>
        <v>SAW</v>
      </c>
      <c r="Y3180" t="str">
        <f>SUBSTITUTE(Tabla1[[#This Row],[Descripción]],CHAR(10),"    I    ")</f>
        <v>Se documentan las pruebas de criterios de interpretación SNT sitio</v>
      </c>
      <c r="Z3180" s="112">
        <f>VLOOKUP(Tabla1[[#This Row],[Perfil]],Catalogos!$B$75:$D$100,3,FALSE)*Tabla1[[#This Row],[Tiempo
(Hrs 00/100)]]*1.16</f>
        <v>4930</v>
      </c>
    </row>
    <row r="3181" spans="1:27" ht="30" customHeight="1" x14ac:dyDescent="0.3">
      <c r="A3181" s="187" t="s">
        <v>2642</v>
      </c>
      <c r="B3181" s="187" t="s">
        <v>68</v>
      </c>
      <c r="C3181" s="676" t="s">
        <v>16</v>
      </c>
      <c r="D3181" s="187"/>
      <c r="E3181" s="187" t="s">
        <v>5717</v>
      </c>
      <c r="F3181" s="188" t="s">
        <v>75</v>
      </c>
      <c r="G3181" s="622" t="s">
        <v>5732</v>
      </c>
      <c r="H3181" s="827" t="s">
        <v>5714</v>
      </c>
      <c r="I3181" s="827" t="s">
        <v>5715</v>
      </c>
      <c r="J3181" s="811">
        <v>45280</v>
      </c>
      <c r="K3181" s="815">
        <v>0.375</v>
      </c>
      <c r="L3181" s="811">
        <v>45280</v>
      </c>
      <c r="M3181" s="815">
        <v>0.79166666666666663</v>
      </c>
      <c r="N3181" s="187">
        <v>8.5</v>
      </c>
      <c r="O3181" s="188" t="s">
        <v>17</v>
      </c>
      <c r="P3181" s="367" t="s">
        <v>5711</v>
      </c>
      <c r="Q3181" s="182" t="s">
        <v>2649</v>
      </c>
      <c r="R3181" s="624" t="s">
        <v>81</v>
      </c>
      <c r="S3181" s="31" t="s">
        <v>273</v>
      </c>
      <c r="T3181" s="31" t="s">
        <v>273</v>
      </c>
      <c r="U3181" s="31">
        <f>IFERROR(VLOOKUP(CONCATENATE(Tabla1[[#This Row],[Severidad]]," ",Tabla1[[#This Row],[Complejidad]]),Catalogos!E$120:G$128,3,FALSE),"")</f>
        <v>64</v>
      </c>
      <c r="V3181" s="31" t="str">
        <f>IF(Tabla1[[#This Row],[Tiempo solución max (hrs)]]&lt;&gt;"",IF(Tabla1[[#This Row],[Tiempo solución max (hrs)]]&gt;=Tabla1[[#This Row],[Tiempo
(Hrs 00/100)]],"cumple","no cumple"),"")</f>
        <v>cumple</v>
      </c>
      <c r="W3181" s="376" t="s">
        <v>5372</v>
      </c>
      <c r="X3181" s="18" t="str">
        <f t="shared" si="234"/>
        <v>SAW</v>
      </c>
      <c r="Y3181" t="str">
        <f>SUBSTITUTE(Tabla1[[#This Row],[Descripción]],CHAR(10),"    I    ")</f>
        <v>Se genera el documento de incidencias y se registran en testlink para su revisión con el equipo de desarrollo</v>
      </c>
      <c r="Z3181" s="112">
        <f>VLOOKUP(Tabla1[[#This Row],[Perfil]],Catalogos!$B$75:$D$100,3,FALSE)*Tabla1[[#This Row],[Tiempo
(Hrs 00/100)]]*1.16</f>
        <v>4930</v>
      </c>
    </row>
    <row r="3182" spans="1:27" ht="30" customHeight="1" x14ac:dyDescent="0.3">
      <c r="A3182" s="828" t="s">
        <v>22</v>
      </c>
      <c r="B3182" s="187" t="s">
        <v>23</v>
      </c>
      <c r="C3182" s="187" t="s">
        <v>49</v>
      </c>
      <c r="D3182" s="187"/>
      <c r="E3182" s="637" t="s">
        <v>4302</v>
      </c>
      <c r="F3182" s="187" t="s">
        <v>23</v>
      </c>
      <c r="G3182" s="373" t="s">
        <v>5753</v>
      </c>
      <c r="H3182" s="186" t="s">
        <v>5733</v>
      </c>
      <c r="I3182" s="189" t="s">
        <v>5734</v>
      </c>
      <c r="J3182" s="829">
        <v>45261</v>
      </c>
      <c r="K3182" s="815">
        <v>0.375</v>
      </c>
      <c r="L3182" s="829">
        <v>45260</v>
      </c>
      <c r="M3182" s="815">
        <v>0.625</v>
      </c>
      <c r="N3182" s="830">
        <v>6</v>
      </c>
      <c r="O3182" s="188" t="s">
        <v>17</v>
      </c>
      <c r="P3182" s="197" t="s">
        <v>4277</v>
      </c>
      <c r="Q3182" s="182" t="s">
        <v>3434</v>
      </c>
      <c r="R3182" s="171" t="s">
        <v>40</v>
      </c>
      <c r="S3182" s="31" t="s">
        <v>273</v>
      </c>
      <c r="T3182" s="31" t="s">
        <v>273</v>
      </c>
      <c r="U3182" s="31">
        <f>IFERROR(VLOOKUP(CONCATENATE(Tabla1[[#This Row],[Severidad]]," ",Tabla1[[#This Row],[Complejidad]]),Catalogos!E$120:G$128,3,FALSE),"")</f>
        <v>64</v>
      </c>
      <c r="V3182" s="31" t="str">
        <f>IF(Tabla1[[#This Row],[Tiempo solución max (hrs)]]&lt;&gt;"",IF(Tabla1[[#This Row],[Tiempo solución max (hrs)]]&gt;=Tabla1[[#This Row],[Tiempo
(Hrs 00/100)]],"cumple","no cumple"),"")</f>
        <v>cumple</v>
      </c>
      <c r="W3182" s="376" t="s">
        <v>5372</v>
      </c>
      <c r="X3182" s="18" t="str">
        <f t="shared" si="234"/>
        <v>SAI</v>
      </c>
      <c r="Y3182" t="str">
        <f>SUBSTITUTE(Tabla1[[#This Row],[Descripción]],CHAR(10),"    I    ")</f>
        <v>Se realizo reunion con el equipo para revisiar el nuevo proyecto, ver como levantarlo</v>
      </c>
      <c r="Z3182" s="112">
        <f>VLOOKUP(Tabla1[[#This Row],[Perfil]],Catalogos!$B$75:$D$100,3,FALSE)*Tabla1[[#This Row],[Tiempo
(Hrs 00/100)]]*1.16</f>
        <v>4872</v>
      </c>
      <c r="AA3182" t="s">
        <v>3356</v>
      </c>
    </row>
    <row r="3183" spans="1:27" ht="30" customHeight="1" x14ac:dyDescent="0.3">
      <c r="A3183" s="828" t="s">
        <v>22</v>
      </c>
      <c r="B3183" s="187" t="s">
        <v>23</v>
      </c>
      <c r="C3183" s="187" t="s">
        <v>49</v>
      </c>
      <c r="D3183" s="187"/>
      <c r="E3183" s="637" t="s">
        <v>4302</v>
      </c>
      <c r="F3183" s="187" t="s">
        <v>23</v>
      </c>
      <c r="G3183" s="373" t="s">
        <v>5754</v>
      </c>
      <c r="H3183" s="186" t="s">
        <v>5735</v>
      </c>
      <c r="I3183" s="189" t="s">
        <v>5736</v>
      </c>
      <c r="J3183" s="829">
        <v>45264</v>
      </c>
      <c r="K3183" s="815">
        <v>0.375</v>
      </c>
      <c r="L3183" s="829">
        <v>45260</v>
      </c>
      <c r="M3183" s="815">
        <v>0.8125</v>
      </c>
      <c r="N3183" s="830">
        <v>8.5</v>
      </c>
      <c r="O3183" s="188" t="s">
        <v>17</v>
      </c>
      <c r="P3183" s="197" t="s">
        <v>4277</v>
      </c>
      <c r="Q3183" s="182" t="s">
        <v>3434</v>
      </c>
      <c r="R3183" s="171" t="s">
        <v>40</v>
      </c>
      <c r="S3183" s="31" t="s">
        <v>273</v>
      </c>
      <c r="T3183" s="31" t="s">
        <v>273</v>
      </c>
      <c r="U3183" s="31">
        <f>IFERROR(VLOOKUP(CONCATENATE(Tabla1[[#This Row],[Severidad]]," ",Tabla1[[#This Row],[Complejidad]]),Catalogos!E$120:G$128,3,FALSE),"")</f>
        <v>64</v>
      </c>
      <c r="V3183" s="31" t="str">
        <f>IF(Tabla1[[#This Row],[Tiempo solución max (hrs)]]&lt;&gt;"",IF(Tabla1[[#This Row],[Tiempo solución max (hrs)]]&gt;=Tabla1[[#This Row],[Tiempo
(Hrs 00/100)]],"cumple","no cumple"),"")</f>
        <v>cumple</v>
      </c>
      <c r="W3183" s="376" t="s">
        <v>5372</v>
      </c>
      <c r="X3183" s="18" t="str">
        <f t="shared" si="234"/>
        <v>SAI</v>
      </c>
      <c r="Y3183" t="str">
        <f>SUBSTITUTE(Tabla1[[#This Row],[Descripción]],CHAR(10),"    I    ")</f>
        <v>Se genero el componente para el expediente</v>
      </c>
      <c r="Z3183" s="112">
        <f>VLOOKUP(Tabla1[[#This Row],[Perfil]],Catalogos!$B$75:$D$100,3,FALSE)*Tabla1[[#This Row],[Tiempo
(Hrs 00/100)]]*1.16</f>
        <v>6901.9999999999991</v>
      </c>
      <c r="AA3183" t="s">
        <v>3356</v>
      </c>
    </row>
    <row r="3184" spans="1:27" ht="30" customHeight="1" x14ac:dyDescent="0.3">
      <c r="A3184" s="828" t="s">
        <v>22</v>
      </c>
      <c r="B3184" s="187" t="s">
        <v>23</v>
      </c>
      <c r="C3184" s="187" t="s">
        <v>49</v>
      </c>
      <c r="D3184" s="187"/>
      <c r="E3184" s="637" t="s">
        <v>4302</v>
      </c>
      <c r="F3184" s="187" t="s">
        <v>23</v>
      </c>
      <c r="G3184" s="373" t="s">
        <v>5755</v>
      </c>
      <c r="H3184" s="186" t="s">
        <v>5737</v>
      </c>
      <c r="I3184" s="189" t="s">
        <v>5738</v>
      </c>
      <c r="J3184" s="829">
        <v>45265</v>
      </c>
      <c r="K3184" s="815">
        <v>0.375</v>
      </c>
      <c r="L3184" s="829">
        <v>45260</v>
      </c>
      <c r="M3184" s="815">
        <v>0.8125</v>
      </c>
      <c r="N3184" s="830">
        <v>8.5</v>
      </c>
      <c r="O3184" s="188" t="s">
        <v>17</v>
      </c>
      <c r="P3184" s="197" t="s">
        <v>4277</v>
      </c>
      <c r="Q3184" s="182" t="s">
        <v>3434</v>
      </c>
      <c r="R3184" s="171" t="s">
        <v>40</v>
      </c>
      <c r="S3184" s="31" t="s">
        <v>273</v>
      </c>
      <c r="T3184" s="31" t="s">
        <v>273</v>
      </c>
      <c r="U3184" s="31">
        <f>IFERROR(VLOOKUP(CONCATENATE(Tabla1[[#This Row],[Severidad]]," ",Tabla1[[#This Row],[Complejidad]]),Catalogos!E$120:G$128,3,FALSE),"")</f>
        <v>64</v>
      </c>
      <c r="V3184" s="31" t="str">
        <f>IF(Tabla1[[#This Row],[Tiempo solución max (hrs)]]&lt;&gt;"",IF(Tabla1[[#This Row],[Tiempo solución max (hrs)]]&gt;=Tabla1[[#This Row],[Tiempo
(Hrs 00/100)]],"cumple","no cumple"),"")</f>
        <v>cumple</v>
      </c>
      <c r="W3184" s="376" t="s">
        <v>5372</v>
      </c>
      <c r="X3184" s="18" t="str">
        <f t="shared" si="234"/>
        <v>SAI</v>
      </c>
      <c r="Y3184" t="str">
        <f>SUBSTITUTE(Tabla1[[#This Row],[Descripción]],CHAR(10),"    I    ")</f>
        <v>Se genero el componente para la resolución</v>
      </c>
      <c r="Z3184" s="112">
        <f>VLOOKUP(Tabla1[[#This Row],[Perfil]],Catalogos!$B$75:$D$100,3,FALSE)*Tabla1[[#This Row],[Tiempo
(Hrs 00/100)]]*1.16</f>
        <v>6901.9999999999991</v>
      </c>
      <c r="AA3184" t="s">
        <v>3356</v>
      </c>
    </row>
    <row r="3185" spans="1:27" ht="30" customHeight="1" x14ac:dyDescent="0.3">
      <c r="A3185" s="828" t="s">
        <v>22</v>
      </c>
      <c r="B3185" s="187" t="s">
        <v>23</v>
      </c>
      <c r="C3185" s="187" t="s">
        <v>49</v>
      </c>
      <c r="D3185" s="187"/>
      <c r="E3185" s="637" t="s">
        <v>4302</v>
      </c>
      <c r="F3185" s="187" t="s">
        <v>23</v>
      </c>
      <c r="G3185" s="373" t="s">
        <v>5756</v>
      </c>
      <c r="H3185" s="186" t="s">
        <v>5739</v>
      </c>
      <c r="I3185" s="189" t="s">
        <v>5740</v>
      </c>
      <c r="J3185" s="829">
        <v>45266</v>
      </c>
      <c r="K3185" s="815">
        <v>0.375</v>
      </c>
      <c r="L3185" s="829">
        <v>45260</v>
      </c>
      <c r="M3185" s="815">
        <v>0.8125</v>
      </c>
      <c r="N3185" s="830">
        <v>8.5</v>
      </c>
      <c r="O3185" s="188" t="s">
        <v>17</v>
      </c>
      <c r="P3185" s="197" t="s">
        <v>4277</v>
      </c>
      <c r="Q3185" s="182" t="s">
        <v>3434</v>
      </c>
      <c r="R3185" s="171" t="s">
        <v>40</v>
      </c>
      <c r="S3185" s="31" t="s">
        <v>273</v>
      </c>
      <c r="T3185" s="31" t="s">
        <v>273</v>
      </c>
      <c r="U3185" s="31">
        <f>IFERROR(VLOOKUP(CONCATENATE(Tabla1[[#This Row],[Severidad]]," ",Tabla1[[#This Row],[Complejidad]]),Catalogos!E$120:G$128,3,FALSE),"")</f>
        <v>64</v>
      </c>
      <c r="V3185" s="31" t="str">
        <f>IF(Tabla1[[#This Row],[Tiempo solución max (hrs)]]&lt;&gt;"",IF(Tabla1[[#This Row],[Tiempo solución max (hrs)]]&gt;=Tabla1[[#This Row],[Tiempo
(Hrs 00/100)]],"cumple","no cumple"),"")</f>
        <v>cumple</v>
      </c>
      <c r="W3185" s="376" t="s">
        <v>5372</v>
      </c>
      <c r="X3185" s="18" t="str">
        <f t="shared" si="234"/>
        <v>SAI</v>
      </c>
      <c r="Y3185" t="str">
        <f>SUBSTITUTE(Tabla1[[#This Row],[Descripción]],CHAR(10),"    I    ")</f>
        <v>Se genero el componente para el proyectista</v>
      </c>
      <c r="Z3185" s="112">
        <f>VLOOKUP(Tabla1[[#This Row],[Perfil]],Catalogos!$B$75:$D$100,3,FALSE)*Tabla1[[#This Row],[Tiempo
(Hrs 00/100)]]*1.16</f>
        <v>6901.9999999999991</v>
      </c>
      <c r="AA3185" t="s">
        <v>3356</v>
      </c>
    </row>
    <row r="3186" spans="1:27" ht="30" customHeight="1" x14ac:dyDescent="0.3">
      <c r="A3186" s="828" t="s">
        <v>22</v>
      </c>
      <c r="B3186" s="187" t="s">
        <v>23</v>
      </c>
      <c r="C3186" s="187" t="s">
        <v>49</v>
      </c>
      <c r="D3186" s="187"/>
      <c r="E3186" s="637" t="s">
        <v>4302</v>
      </c>
      <c r="F3186" s="187" t="s">
        <v>23</v>
      </c>
      <c r="G3186" s="373" t="s">
        <v>5757</v>
      </c>
      <c r="H3186" s="186" t="s">
        <v>5741</v>
      </c>
      <c r="I3186" s="189" t="s">
        <v>5742</v>
      </c>
      <c r="J3186" s="829">
        <v>45267</v>
      </c>
      <c r="K3186" s="815">
        <v>0.375</v>
      </c>
      <c r="L3186" s="829">
        <v>45260</v>
      </c>
      <c r="M3186" s="815">
        <v>0.8125</v>
      </c>
      <c r="N3186" s="830">
        <v>8.5</v>
      </c>
      <c r="O3186" s="188" t="s">
        <v>17</v>
      </c>
      <c r="P3186" s="197" t="s">
        <v>4277</v>
      </c>
      <c r="Q3186" s="182" t="s">
        <v>3434</v>
      </c>
      <c r="R3186" s="171" t="s">
        <v>40</v>
      </c>
      <c r="S3186" s="31" t="s">
        <v>273</v>
      </c>
      <c r="T3186" s="31" t="s">
        <v>273</v>
      </c>
      <c r="U3186" s="31">
        <f>IFERROR(VLOOKUP(CONCATENATE(Tabla1[[#This Row],[Severidad]]," ",Tabla1[[#This Row],[Complejidad]]),Catalogos!E$120:G$128,3,FALSE),"")</f>
        <v>64</v>
      </c>
      <c r="V3186" s="31" t="str">
        <f>IF(Tabla1[[#This Row],[Tiempo solución max (hrs)]]&lt;&gt;"",IF(Tabla1[[#This Row],[Tiempo solución max (hrs)]]&gt;=Tabla1[[#This Row],[Tiempo
(Hrs 00/100)]],"cumple","no cumple"),"")</f>
        <v>cumple</v>
      </c>
      <c r="W3186" s="376" t="s">
        <v>5372</v>
      </c>
      <c r="X3186" s="18" t="str">
        <f t="shared" si="234"/>
        <v>SAI</v>
      </c>
      <c r="Y3186" t="str">
        <f>SUBSTITUTE(Tabla1[[#This Row],[Descripción]],CHAR(10),"    I    ")</f>
        <v>Se genero un servicio dummy para la carga de los catalogos</v>
      </c>
      <c r="Z3186" s="112">
        <f>VLOOKUP(Tabla1[[#This Row],[Perfil]],Catalogos!$B$75:$D$100,3,FALSE)*Tabla1[[#This Row],[Tiempo
(Hrs 00/100)]]*1.16</f>
        <v>6901.9999999999991</v>
      </c>
      <c r="AA3186" t="s">
        <v>3356</v>
      </c>
    </row>
    <row r="3187" spans="1:27" ht="30" customHeight="1" x14ac:dyDescent="0.3">
      <c r="A3187" s="828" t="s">
        <v>22</v>
      </c>
      <c r="B3187" s="187" t="s">
        <v>23</v>
      </c>
      <c r="C3187" s="187" t="s">
        <v>49</v>
      </c>
      <c r="D3187" s="187"/>
      <c r="E3187" s="637" t="s">
        <v>4302</v>
      </c>
      <c r="F3187" s="187" t="s">
        <v>23</v>
      </c>
      <c r="G3187" s="373" t="s">
        <v>5758</v>
      </c>
      <c r="H3187" s="186" t="s">
        <v>5743</v>
      </c>
      <c r="I3187" s="189" t="s">
        <v>5744</v>
      </c>
      <c r="J3187" s="829">
        <v>45268</v>
      </c>
      <c r="K3187" s="815">
        <v>0.375</v>
      </c>
      <c r="L3187" s="829">
        <v>45260</v>
      </c>
      <c r="M3187" s="815">
        <v>0.625</v>
      </c>
      <c r="N3187" s="830">
        <v>6</v>
      </c>
      <c r="O3187" s="188" t="s">
        <v>17</v>
      </c>
      <c r="P3187" s="197" t="s">
        <v>4277</v>
      </c>
      <c r="Q3187" s="182" t="s">
        <v>3434</v>
      </c>
      <c r="R3187" s="171" t="s">
        <v>40</v>
      </c>
      <c r="S3187" s="31" t="s">
        <v>273</v>
      </c>
      <c r="T3187" s="31" t="s">
        <v>273</v>
      </c>
      <c r="U3187" s="31">
        <f>IFERROR(VLOOKUP(CONCATENATE(Tabla1[[#This Row],[Severidad]]," ",Tabla1[[#This Row],[Complejidad]]),Catalogos!E$120:G$128,3,FALSE),"")</f>
        <v>64</v>
      </c>
      <c r="V3187" s="31" t="str">
        <f>IF(Tabla1[[#This Row],[Tiempo solución max (hrs)]]&lt;&gt;"",IF(Tabla1[[#This Row],[Tiempo solución max (hrs)]]&gt;=Tabla1[[#This Row],[Tiempo
(Hrs 00/100)]],"cumple","no cumple"),"")</f>
        <v>cumple</v>
      </c>
      <c r="W3187" s="376" t="s">
        <v>5372</v>
      </c>
      <c r="X3187" s="18" t="str">
        <f t="shared" si="234"/>
        <v>SAI</v>
      </c>
      <c r="Y3187" t="str">
        <f>SUBSTITUTE(Tabla1[[#This Row],[Descripción]],CHAR(10),"    I    ")</f>
        <v xml:space="preserve">Se realiza un analisis para ver como esta implementado el manejo de las rutas dentro del nuevo sistema </v>
      </c>
      <c r="Z3187" s="112">
        <f>VLOOKUP(Tabla1[[#This Row],[Perfil]],Catalogos!$B$75:$D$100,3,FALSE)*Tabla1[[#This Row],[Tiempo
(Hrs 00/100)]]*1.16</f>
        <v>4872</v>
      </c>
      <c r="AA3187" t="s">
        <v>3356</v>
      </c>
    </row>
    <row r="3188" spans="1:27" ht="30" customHeight="1" x14ac:dyDescent="0.3">
      <c r="A3188" s="828" t="s">
        <v>22</v>
      </c>
      <c r="B3188" s="187" t="s">
        <v>23</v>
      </c>
      <c r="C3188" s="187" t="s">
        <v>49</v>
      </c>
      <c r="D3188" s="187"/>
      <c r="E3188" s="637" t="s">
        <v>4302</v>
      </c>
      <c r="F3188" s="187" t="s">
        <v>23</v>
      </c>
      <c r="G3188" s="373" t="s">
        <v>5759</v>
      </c>
      <c r="H3188" s="186" t="s">
        <v>5745</v>
      </c>
      <c r="I3188" s="189" t="s">
        <v>5746</v>
      </c>
      <c r="J3188" s="829">
        <v>45271</v>
      </c>
      <c r="K3188" s="815">
        <v>0.375</v>
      </c>
      <c r="L3188" s="829">
        <v>45260</v>
      </c>
      <c r="M3188" s="815">
        <v>0.8125</v>
      </c>
      <c r="N3188" s="830">
        <v>8.5</v>
      </c>
      <c r="O3188" s="188" t="s">
        <v>17</v>
      </c>
      <c r="P3188" s="197" t="s">
        <v>4277</v>
      </c>
      <c r="Q3188" s="182" t="s">
        <v>3434</v>
      </c>
      <c r="R3188" s="171" t="s">
        <v>40</v>
      </c>
      <c r="S3188" s="31" t="s">
        <v>273</v>
      </c>
      <c r="T3188" s="31" t="s">
        <v>273</v>
      </c>
      <c r="U3188" s="31">
        <f>IFERROR(VLOOKUP(CONCATENATE(Tabla1[[#This Row],[Severidad]]," ",Tabla1[[#This Row],[Complejidad]]),Catalogos!E$120:G$128,3,FALSE),"")</f>
        <v>64</v>
      </c>
      <c r="V3188" s="31" t="str">
        <f>IF(Tabla1[[#This Row],[Tiempo solución max (hrs)]]&lt;&gt;"",IF(Tabla1[[#This Row],[Tiempo solución max (hrs)]]&gt;=Tabla1[[#This Row],[Tiempo
(Hrs 00/100)]],"cumple","no cumple"),"")</f>
        <v>cumple</v>
      </c>
      <c r="W3188" s="376" t="s">
        <v>5372</v>
      </c>
      <c r="X3188" s="18" t="str">
        <f t="shared" si="234"/>
        <v>SAI</v>
      </c>
      <c r="Y3188" t="str">
        <f>SUBSTITUTE(Tabla1[[#This Row],[Descripción]],CHAR(10),"    I    ")</f>
        <v>Se hace uso del componente existente, para esto se analisa como esta la implementación del mismo para poder hacer uso de el</v>
      </c>
      <c r="Z3188" s="112">
        <f>VLOOKUP(Tabla1[[#This Row],[Perfil]],Catalogos!$B$75:$D$100,3,FALSE)*Tabla1[[#This Row],[Tiempo
(Hrs 00/100)]]*1.16</f>
        <v>6901.9999999999991</v>
      </c>
      <c r="AA3188" t="s">
        <v>3356</v>
      </c>
    </row>
    <row r="3189" spans="1:27" ht="30" customHeight="1" x14ac:dyDescent="0.3">
      <c r="A3189" s="828" t="s">
        <v>22</v>
      </c>
      <c r="B3189" s="187" t="s">
        <v>23</v>
      </c>
      <c r="C3189" s="187" t="s">
        <v>49</v>
      </c>
      <c r="D3189" s="187"/>
      <c r="E3189" s="637" t="s">
        <v>4302</v>
      </c>
      <c r="F3189" s="187" t="s">
        <v>23</v>
      </c>
      <c r="G3189" s="373" t="s">
        <v>5760</v>
      </c>
      <c r="H3189" s="186" t="s">
        <v>5747</v>
      </c>
      <c r="I3189" s="189" t="s">
        <v>5748</v>
      </c>
      <c r="J3189" s="829">
        <v>45272</v>
      </c>
      <c r="K3189" s="815">
        <v>0.375</v>
      </c>
      <c r="L3189" s="829">
        <v>45260</v>
      </c>
      <c r="M3189" s="815">
        <v>0.8125</v>
      </c>
      <c r="N3189" s="830">
        <v>8.5</v>
      </c>
      <c r="O3189" s="188" t="s">
        <v>17</v>
      </c>
      <c r="P3189" s="197" t="s">
        <v>4277</v>
      </c>
      <c r="Q3189" s="182" t="s">
        <v>3434</v>
      </c>
      <c r="R3189" s="171" t="s">
        <v>40</v>
      </c>
      <c r="S3189" s="31" t="s">
        <v>273</v>
      </c>
      <c r="T3189" s="31" t="s">
        <v>273</v>
      </c>
      <c r="U3189" s="31">
        <f>IFERROR(VLOOKUP(CONCATENATE(Tabla1[[#This Row],[Severidad]]," ",Tabla1[[#This Row],[Complejidad]]),Catalogos!E$120:G$128,3,FALSE),"")</f>
        <v>64</v>
      </c>
      <c r="V3189" s="31" t="str">
        <f>IF(Tabla1[[#This Row],[Tiempo solución max (hrs)]]&lt;&gt;"",IF(Tabla1[[#This Row],[Tiempo solución max (hrs)]]&gt;=Tabla1[[#This Row],[Tiempo
(Hrs 00/100)]],"cumple","no cumple"),"")</f>
        <v>cumple</v>
      </c>
      <c r="W3189" s="376" t="s">
        <v>5372</v>
      </c>
      <c r="X3189" s="18" t="str">
        <f t="shared" si="234"/>
        <v>SAI</v>
      </c>
      <c r="Y3189" t="str">
        <f>SUBSTITUTE(Tabla1[[#This Row],[Descripción]],CHAR(10),"    I    ")</f>
        <v>Se hace el llamado al servicio existente</v>
      </c>
      <c r="Z3189" s="112">
        <f>VLOOKUP(Tabla1[[#This Row],[Perfil]],Catalogos!$B$75:$D$100,3,FALSE)*Tabla1[[#This Row],[Tiempo
(Hrs 00/100)]]*1.16</f>
        <v>6901.9999999999991</v>
      </c>
      <c r="AA3189" t="s">
        <v>3356</v>
      </c>
    </row>
    <row r="3190" spans="1:27" ht="30" customHeight="1" x14ac:dyDescent="0.3">
      <c r="A3190" s="828" t="s">
        <v>22</v>
      </c>
      <c r="B3190" s="187" t="s">
        <v>23</v>
      </c>
      <c r="C3190" s="187" t="s">
        <v>49</v>
      </c>
      <c r="D3190" s="187"/>
      <c r="E3190" s="637" t="s">
        <v>4302</v>
      </c>
      <c r="F3190" s="187" t="s">
        <v>23</v>
      </c>
      <c r="G3190" s="373" t="s">
        <v>5761</v>
      </c>
      <c r="H3190" s="244" t="s">
        <v>5749</v>
      </c>
      <c r="I3190" s="831" t="s">
        <v>5750</v>
      </c>
      <c r="J3190" s="829">
        <v>45273</v>
      </c>
      <c r="K3190" s="815">
        <v>0.375</v>
      </c>
      <c r="L3190" s="829">
        <v>45260</v>
      </c>
      <c r="M3190" s="815">
        <v>0.8125</v>
      </c>
      <c r="N3190" s="830">
        <v>8.5</v>
      </c>
      <c r="O3190" s="188" t="s">
        <v>17</v>
      </c>
      <c r="P3190" s="197" t="s">
        <v>4277</v>
      </c>
      <c r="Q3190" s="182" t="s">
        <v>3434</v>
      </c>
      <c r="R3190" s="171" t="s">
        <v>40</v>
      </c>
      <c r="S3190" s="31" t="s">
        <v>273</v>
      </c>
      <c r="T3190" s="31" t="s">
        <v>273</v>
      </c>
      <c r="U3190" s="31">
        <f>IFERROR(VLOOKUP(CONCATENATE(Tabla1[[#This Row],[Severidad]]," ",Tabla1[[#This Row],[Complejidad]]),Catalogos!E$120:G$128,3,FALSE),"")</f>
        <v>64</v>
      </c>
      <c r="V3190" s="31" t="str">
        <f>IF(Tabla1[[#This Row],[Tiempo solución max (hrs)]]&lt;&gt;"",IF(Tabla1[[#This Row],[Tiempo solución max (hrs)]]&gt;=Tabla1[[#This Row],[Tiempo
(Hrs 00/100)]],"cumple","no cumple"),"")</f>
        <v>cumple</v>
      </c>
      <c r="W3190" s="376" t="s">
        <v>5372</v>
      </c>
      <c r="X3190" s="18" t="str">
        <f t="shared" si="234"/>
        <v>SAI</v>
      </c>
      <c r="Y3190" t="str">
        <f>SUBSTITUTE(Tabla1[[#This Row],[Descripción]],CHAR(10),"    I    ")</f>
        <v>Se genera la base del servicio para poder realizar el filtrado de expedientes</v>
      </c>
      <c r="Z3190" s="112">
        <f>VLOOKUP(Tabla1[[#This Row],[Perfil]],Catalogos!$B$75:$D$100,3,FALSE)*Tabla1[[#This Row],[Tiempo
(Hrs 00/100)]]*1.16</f>
        <v>6901.9999999999991</v>
      </c>
      <c r="AA3190" t="s">
        <v>3356</v>
      </c>
    </row>
    <row r="3191" spans="1:27" ht="30" customHeight="1" x14ac:dyDescent="0.3">
      <c r="A3191" s="828" t="s">
        <v>22</v>
      </c>
      <c r="B3191" s="187" t="s">
        <v>23</v>
      </c>
      <c r="C3191" s="187" t="s">
        <v>49</v>
      </c>
      <c r="D3191" s="187"/>
      <c r="E3191" s="637" t="s">
        <v>4302</v>
      </c>
      <c r="F3191" s="187" t="s">
        <v>23</v>
      </c>
      <c r="G3191" s="373" t="s">
        <v>5762</v>
      </c>
      <c r="H3191" s="244" t="s">
        <v>5751</v>
      </c>
      <c r="I3191" s="831" t="s">
        <v>5752</v>
      </c>
      <c r="J3191" s="829">
        <v>45274</v>
      </c>
      <c r="K3191" s="815">
        <v>0.375</v>
      </c>
      <c r="L3191" s="829">
        <v>45260</v>
      </c>
      <c r="M3191" s="815">
        <v>0.8125</v>
      </c>
      <c r="N3191" s="830">
        <v>8.5</v>
      </c>
      <c r="O3191" s="188" t="s">
        <v>17</v>
      </c>
      <c r="P3191" s="197" t="s">
        <v>4277</v>
      </c>
      <c r="Q3191" s="182" t="s">
        <v>3434</v>
      </c>
      <c r="R3191" s="171" t="s">
        <v>40</v>
      </c>
      <c r="S3191" s="31" t="s">
        <v>273</v>
      </c>
      <c r="T3191" s="31" t="s">
        <v>273</v>
      </c>
      <c r="U3191" s="31">
        <f>IFERROR(VLOOKUP(CONCATENATE(Tabla1[[#This Row],[Severidad]]," ",Tabla1[[#This Row],[Complejidad]]),Catalogos!E$120:G$128,3,FALSE),"")</f>
        <v>64</v>
      </c>
      <c r="V3191" s="31" t="str">
        <f>IF(Tabla1[[#This Row],[Tiempo solución max (hrs)]]&lt;&gt;"",IF(Tabla1[[#This Row],[Tiempo solución max (hrs)]]&gt;=Tabla1[[#This Row],[Tiempo
(Hrs 00/100)]],"cumple","no cumple"),"")</f>
        <v>cumple</v>
      </c>
      <c r="W3191" s="376" t="s">
        <v>5372</v>
      </c>
      <c r="X3191" s="18" t="str">
        <f t="shared" si="234"/>
        <v>SAI</v>
      </c>
      <c r="Y3191" t="str">
        <f>SUBSTITUTE(Tabla1[[#This Row],[Descripción]],CHAR(10),"    I    ")</f>
        <v>Se hace la implementación para enviar los parametros necesarios de acuerdo al rol que tenga el usuario en sesion</v>
      </c>
      <c r="Z3191" s="112">
        <f>VLOOKUP(Tabla1[[#This Row],[Perfil]],Catalogos!$B$75:$D$100,3,FALSE)*Tabla1[[#This Row],[Tiempo
(Hrs 00/100)]]*1.16</f>
        <v>6901.9999999999991</v>
      </c>
      <c r="AA3191" t="s">
        <v>3356</v>
      </c>
    </row>
    <row r="3192" spans="1:27" ht="30" customHeight="1" x14ac:dyDescent="0.3">
      <c r="A3192" s="818" t="s">
        <v>22</v>
      </c>
      <c r="B3192" s="187" t="s">
        <v>305</v>
      </c>
      <c r="C3192" s="187" t="s">
        <v>257</v>
      </c>
      <c r="D3192" s="187"/>
      <c r="E3192" s="187" t="s">
        <v>408</v>
      </c>
      <c r="F3192" s="187" t="s">
        <v>72</v>
      </c>
      <c r="G3192" s="702" t="s">
        <v>5921</v>
      </c>
      <c r="H3192" s="186" t="s">
        <v>5763</v>
      </c>
      <c r="I3192" s="816" t="s">
        <v>5764</v>
      </c>
      <c r="J3192" s="811">
        <v>45261</v>
      </c>
      <c r="K3192" s="815">
        <v>0.375</v>
      </c>
      <c r="L3192" s="811">
        <v>45261</v>
      </c>
      <c r="M3192" s="815">
        <v>0.41666666666666669</v>
      </c>
      <c r="N3192" s="187">
        <v>1</v>
      </c>
      <c r="O3192" s="188" t="s">
        <v>17</v>
      </c>
      <c r="P3192" s="197" t="s">
        <v>4641</v>
      </c>
      <c r="Q3192" s="179" t="s">
        <v>1441</v>
      </c>
      <c r="R3192" s="31" t="s">
        <v>95</v>
      </c>
      <c r="S3192" s="31" t="s">
        <v>273</v>
      </c>
      <c r="T3192" s="31" t="s">
        <v>273</v>
      </c>
      <c r="U3192" s="31">
        <f>IFERROR(VLOOKUP(CONCATENATE(Tabla1[[#This Row],[Severidad]]," ",Tabla1[[#This Row],[Complejidad]]),Catalogos!E$120:G$128,3,FALSE),"")</f>
        <v>64</v>
      </c>
      <c r="V3192" s="31" t="str">
        <f>IF(Tabla1[[#This Row],[Tiempo solución max (hrs)]]&lt;&gt;"",IF(Tabla1[[#This Row],[Tiempo solución max (hrs)]]&gt;=Tabla1[[#This Row],[Tiempo
(Hrs 00/100)]],"cumple","no cumple"),"")</f>
        <v>cumple</v>
      </c>
      <c r="W3192" s="222" t="s">
        <v>5372</v>
      </c>
      <c r="X3192" s="18" t="str">
        <f t="shared" si="234"/>
        <v>SSI</v>
      </c>
      <c r="Y3192" t="str">
        <f>SUBSTITUTE(Tabla1[[#This Row],[Descripción]],CHAR(10),"    I    ")</f>
        <v>Se detecto cambio en vista de 'BI.IMPUGNACIONES_VWM_QUEJAS_ESTADISTICAS' ya que el campo de 'ID_STATUS' ya cambio por 'ID_ESTATUS'</v>
      </c>
      <c r="Z3192" s="112">
        <f>VLOOKUP(Tabla1[[#This Row],[Perfil]],Catalogos!$B$75:$D$100,3,FALSE)*Tabla1[[#This Row],[Tiempo
(Hrs 00/100)]]*1.16</f>
        <v>696</v>
      </c>
    </row>
    <row r="3193" spans="1:27" ht="30" customHeight="1" x14ac:dyDescent="0.3">
      <c r="A3193" s="828" t="s">
        <v>22</v>
      </c>
      <c r="B3193" s="187" t="s">
        <v>23</v>
      </c>
      <c r="C3193" s="187" t="s">
        <v>257</v>
      </c>
      <c r="D3193" s="187"/>
      <c r="E3193" s="187" t="s">
        <v>408</v>
      </c>
      <c r="F3193" s="187" t="s">
        <v>23</v>
      </c>
      <c r="G3193" s="702" t="s">
        <v>5922</v>
      </c>
      <c r="H3193" s="186" t="s">
        <v>5765</v>
      </c>
      <c r="I3193" s="189" t="s">
        <v>5765</v>
      </c>
      <c r="J3193" s="811">
        <v>45261</v>
      </c>
      <c r="K3193" s="815">
        <v>0.41666666666666669</v>
      </c>
      <c r="L3193" s="811">
        <v>45261</v>
      </c>
      <c r="M3193" s="815">
        <v>0.5</v>
      </c>
      <c r="N3193" s="187">
        <v>2</v>
      </c>
      <c r="O3193" s="188" t="s">
        <v>17</v>
      </c>
      <c r="P3193" s="197" t="s">
        <v>4641</v>
      </c>
      <c r="Q3193" s="179" t="s">
        <v>1441</v>
      </c>
      <c r="R3193" s="31" t="s">
        <v>95</v>
      </c>
      <c r="S3193" s="31" t="s">
        <v>273</v>
      </c>
      <c r="T3193" s="31" t="s">
        <v>273</v>
      </c>
      <c r="U3193" s="31">
        <f>IFERROR(VLOOKUP(CONCATENATE(Tabla1[[#This Row],[Severidad]]," ",Tabla1[[#This Row],[Complejidad]]),Catalogos!E$120:G$128,3,FALSE),"")</f>
        <v>64</v>
      </c>
      <c r="V3193" s="31" t="str">
        <f>IF(Tabla1[[#This Row],[Tiempo solución max (hrs)]]&lt;&gt;"",IF(Tabla1[[#This Row],[Tiempo solución max (hrs)]]&gt;=Tabla1[[#This Row],[Tiempo
(Hrs 00/100)]],"cumple","no cumple"),"")</f>
        <v>cumple</v>
      </c>
      <c r="W3193" s="222" t="s">
        <v>5372</v>
      </c>
      <c r="X3193" s="18" t="str">
        <f t="shared" si="234"/>
        <v>SSI</v>
      </c>
      <c r="Y3193" t="str">
        <f>SUBSTITUTE(Tabla1[[#This Row],[Descripción]],CHAR(10),"    I    ")</f>
        <v>Se reconstruyerón las consultas del 1er procedimiento de 'OBTENER_MEDIOREGISTRO' de QUEJAS</v>
      </c>
      <c r="Z3193" s="112">
        <f>VLOOKUP(Tabla1[[#This Row],[Perfil]],Catalogos!$B$75:$D$100,3,FALSE)*Tabla1[[#This Row],[Tiempo
(Hrs 00/100)]]*1.16</f>
        <v>1392</v>
      </c>
    </row>
    <row r="3194" spans="1:27" ht="30" customHeight="1" x14ac:dyDescent="0.3">
      <c r="A3194" s="832" t="s">
        <v>22</v>
      </c>
      <c r="B3194" s="187" t="s">
        <v>23</v>
      </c>
      <c r="C3194" s="187" t="s">
        <v>257</v>
      </c>
      <c r="D3194" s="187"/>
      <c r="E3194" s="187" t="s">
        <v>408</v>
      </c>
      <c r="F3194" s="187" t="s">
        <v>23</v>
      </c>
      <c r="G3194" s="702" t="s">
        <v>5923</v>
      </c>
      <c r="H3194" s="186" t="s">
        <v>5766</v>
      </c>
      <c r="I3194" s="189" t="s">
        <v>5767</v>
      </c>
      <c r="J3194" s="811">
        <v>45261</v>
      </c>
      <c r="K3194" s="815">
        <v>0.5</v>
      </c>
      <c r="L3194" s="811">
        <v>45261</v>
      </c>
      <c r="M3194" s="815">
        <v>0.60416666666666663</v>
      </c>
      <c r="N3194" s="187">
        <v>2.5</v>
      </c>
      <c r="O3194" s="188" t="s">
        <v>17</v>
      </c>
      <c r="P3194" s="197" t="s">
        <v>4641</v>
      </c>
      <c r="Q3194" s="179" t="s">
        <v>1441</v>
      </c>
      <c r="R3194" s="31" t="s">
        <v>95</v>
      </c>
      <c r="S3194" s="31" t="s">
        <v>273</v>
      </c>
      <c r="T3194" s="31" t="s">
        <v>273</v>
      </c>
      <c r="U3194" s="31">
        <f>IFERROR(VLOOKUP(CONCATENATE(Tabla1[[#This Row],[Severidad]]," ",Tabla1[[#This Row],[Complejidad]]),Catalogos!E$120:G$128,3,FALSE),"")</f>
        <v>64</v>
      </c>
      <c r="V3194" s="31" t="str">
        <f>IF(Tabla1[[#This Row],[Tiempo solución max (hrs)]]&lt;&gt;"",IF(Tabla1[[#This Row],[Tiempo solución max (hrs)]]&gt;=Tabla1[[#This Row],[Tiempo
(Hrs 00/100)]],"cumple","no cumple"),"")</f>
        <v>cumple</v>
      </c>
      <c r="W3194" s="222" t="s">
        <v>5372</v>
      </c>
      <c r="X3194" s="18" t="str">
        <f t="shared" si="234"/>
        <v>SSI</v>
      </c>
      <c r="Y3194" t="str">
        <f>SUBSTITUTE(Tabla1[[#This Row],[Descripción]],CHAR(10),"    I    ")</f>
        <v>Se trabajó con los ajustes del 1er procedimiento de 'OBTENER_MEDIOREGISTRO', con el cambio del campo actualizado en la vista materializada, se compila sin errores</v>
      </c>
      <c r="Z3194" s="112">
        <f>VLOOKUP(Tabla1[[#This Row],[Perfil]],Catalogos!$B$75:$D$100,3,FALSE)*Tabla1[[#This Row],[Tiempo
(Hrs 00/100)]]*1.16</f>
        <v>1739.9999999999998</v>
      </c>
    </row>
    <row r="3195" spans="1:27" ht="30" customHeight="1" x14ac:dyDescent="0.3">
      <c r="A3195" s="187" t="s">
        <v>22</v>
      </c>
      <c r="B3195" s="187" t="s">
        <v>23</v>
      </c>
      <c r="C3195" s="187" t="s">
        <v>257</v>
      </c>
      <c r="D3195" s="187"/>
      <c r="E3195" s="187" t="s">
        <v>408</v>
      </c>
      <c r="F3195" s="187" t="s">
        <v>75</v>
      </c>
      <c r="G3195" s="702" t="s">
        <v>5924</v>
      </c>
      <c r="H3195" s="186" t="s">
        <v>4668</v>
      </c>
      <c r="I3195" s="189" t="s">
        <v>5768</v>
      </c>
      <c r="J3195" s="811">
        <v>45261</v>
      </c>
      <c r="K3195" s="815">
        <v>0.66666666666666663</v>
      </c>
      <c r="L3195" s="811">
        <v>45261</v>
      </c>
      <c r="M3195" s="815">
        <v>0.6875</v>
      </c>
      <c r="N3195" s="187">
        <v>0.5</v>
      </c>
      <c r="O3195" s="188" t="s">
        <v>17</v>
      </c>
      <c r="P3195" s="197" t="s">
        <v>4641</v>
      </c>
      <c r="Q3195" s="179" t="s">
        <v>1441</v>
      </c>
      <c r="R3195" s="31" t="s">
        <v>95</v>
      </c>
      <c r="S3195" s="31" t="s">
        <v>273</v>
      </c>
      <c r="T3195" s="31" t="s">
        <v>273</v>
      </c>
      <c r="U3195" s="31">
        <f>IFERROR(VLOOKUP(CONCATENATE(Tabla1[[#This Row],[Severidad]]," ",Tabla1[[#This Row],[Complejidad]]),Catalogos!E$120:G$128,3,FALSE),"")</f>
        <v>64</v>
      </c>
      <c r="V3195" s="31" t="str">
        <f>IF(Tabla1[[#This Row],[Tiempo solución max (hrs)]]&lt;&gt;"",IF(Tabla1[[#This Row],[Tiempo solución max (hrs)]]&gt;=Tabla1[[#This Row],[Tiempo
(Hrs 00/100)]],"cumple","no cumple"),"")</f>
        <v>cumple</v>
      </c>
      <c r="W3195" s="222" t="s">
        <v>5372</v>
      </c>
      <c r="X3195" s="18" t="str">
        <f t="shared" si="234"/>
        <v>SSI</v>
      </c>
      <c r="Y3195" t="str">
        <f>SUBSTITUTE(Tabla1[[#This Row],[Descripción]],CHAR(10),"    I    ")</f>
        <v>Se validó el paquete-procedimiento 'OBTENER_MEDIOREGISTRO' con el bloque anónimo correcto y se tuvo un resultado exitoso con la salida del cursor completo de nuevo</v>
      </c>
      <c r="Z3195" s="112">
        <f>VLOOKUP(Tabla1[[#This Row],[Perfil]],Catalogos!$B$75:$D$100,3,FALSE)*Tabla1[[#This Row],[Tiempo
(Hrs 00/100)]]*1.16</f>
        <v>348</v>
      </c>
    </row>
    <row r="3196" spans="1:27" ht="30" customHeight="1" x14ac:dyDescent="0.3">
      <c r="A3196" s="187" t="s">
        <v>22</v>
      </c>
      <c r="B3196" s="187" t="s">
        <v>23</v>
      </c>
      <c r="C3196" s="187" t="s">
        <v>257</v>
      </c>
      <c r="D3196" s="187"/>
      <c r="E3196" s="187" t="s">
        <v>408</v>
      </c>
      <c r="F3196" s="187" t="s">
        <v>23</v>
      </c>
      <c r="G3196" s="702" t="s">
        <v>5925</v>
      </c>
      <c r="H3196" s="186" t="s">
        <v>5769</v>
      </c>
      <c r="I3196" s="189" t="s">
        <v>5769</v>
      </c>
      <c r="J3196" s="811">
        <v>45261</v>
      </c>
      <c r="K3196" s="815">
        <v>0.6875</v>
      </c>
      <c r="L3196" s="811">
        <v>45261</v>
      </c>
      <c r="M3196" s="815">
        <v>0.72916666666666663</v>
      </c>
      <c r="N3196" s="187">
        <v>1</v>
      </c>
      <c r="O3196" s="188" t="s">
        <v>17</v>
      </c>
      <c r="P3196" s="197" t="s">
        <v>4641</v>
      </c>
      <c r="Q3196" s="179" t="s">
        <v>1441</v>
      </c>
      <c r="R3196" s="31" t="s">
        <v>95</v>
      </c>
      <c r="S3196" s="31" t="s">
        <v>273</v>
      </c>
      <c r="T3196" s="31" t="s">
        <v>273</v>
      </c>
      <c r="U3196" s="31">
        <f>IFERROR(VLOOKUP(CONCATENATE(Tabla1[[#This Row],[Severidad]]," ",Tabla1[[#This Row],[Complejidad]]),Catalogos!E$120:G$128,3,FALSE),"")</f>
        <v>64</v>
      </c>
      <c r="V3196" s="31" t="str">
        <f>IF(Tabla1[[#This Row],[Tiempo solución max (hrs)]]&lt;&gt;"",IF(Tabla1[[#This Row],[Tiempo solución max (hrs)]]&gt;=Tabla1[[#This Row],[Tiempo
(Hrs 00/100)]],"cumple","no cumple"),"")</f>
        <v>cumple</v>
      </c>
      <c r="W3196" s="222" t="s">
        <v>5372</v>
      </c>
      <c r="X3196" s="18" t="str">
        <f t="shared" si="234"/>
        <v>SSI</v>
      </c>
      <c r="Y3196" t="str">
        <f>SUBSTITUTE(Tabla1[[#This Row],[Descripción]],CHAR(10),"    I    ")</f>
        <v>Se reconstruyerón las consultas del 2do procedimiento de 'OBTENER_MEDIONOTIFICACION' de QUEJAS</v>
      </c>
      <c r="Z3196" s="112">
        <f>VLOOKUP(Tabla1[[#This Row],[Perfil]],Catalogos!$B$75:$D$100,3,FALSE)*Tabla1[[#This Row],[Tiempo
(Hrs 00/100)]]*1.16</f>
        <v>696</v>
      </c>
    </row>
    <row r="3197" spans="1:27" ht="30" customHeight="1" x14ac:dyDescent="0.3">
      <c r="A3197" s="187" t="s">
        <v>22</v>
      </c>
      <c r="B3197" s="187" t="s">
        <v>23</v>
      </c>
      <c r="C3197" s="187" t="s">
        <v>257</v>
      </c>
      <c r="D3197" s="187"/>
      <c r="E3197" s="187" t="s">
        <v>408</v>
      </c>
      <c r="F3197" s="187" t="s">
        <v>23</v>
      </c>
      <c r="G3197" s="702" t="s">
        <v>5926</v>
      </c>
      <c r="H3197" s="186" t="s">
        <v>5770</v>
      </c>
      <c r="I3197" s="189" t="s">
        <v>5771</v>
      </c>
      <c r="J3197" s="811">
        <v>45261</v>
      </c>
      <c r="K3197" s="815">
        <v>0.72916666666666663</v>
      </c>
      <c r="L3197" s="811">
        <v>45261</v>
      </c>
      <c r="M3197" s="815">
        <v>0.77083333333333337</v>
      </c>
      <c r="N3197" s="187">
        <v>1</v>
      </c>
      <c r="O3197" s="188" t="s">
        <v>17</v>
      </c>
      <c r="P3197" s="197" t="s">
        <v>4641</v>
      </c>
      <c r="Q3197" s="179" t="s">
        <v>1441</v>
      </c>
      <c r="R3197" s="31" t="s">
        <v>95</v>
      </c>
      <c r="S3197" s="31" t="s">
        <v>273</v>
      </c>
      <c r="T3197" s="31" t="s">
        <v>273</v>
      </c>
      <c r="U3197" s="31">
        <f>IFERROR(VLOOKUP(CONCATENATE(Tabla1[[#This Row],[Severidad]]," ",Tabla1[[#This Row],[Complejidad]]),Catalogos!E$120:G$128,3,FALSE),"")</f>
        <v>64</v>
      </c>
      <c r="V3197" s="31" t="str">
        <f>IF(Tabla1[[#This Row],[Tiempo solución max (hrs)]]&lt;&gt;"",IF(Tabla1[[#This Row],[Tiempo solución max (hrs)]]&gt;=Tabla1[[#This Row],[Tiempo
(Hrs 00/100)]],"cumple","no cumple"),"")</f>
        <v>cumple</v>
      </c>
      <c r="W3197" s="222" t="s">
        <v>5372</v>
      </c>
      <c r="X3197" s="18" t="str">
        <f t="shared" si="234"/>
        <v>SSI</v>
      </c>
      <c r="Y3197" t="str">
        <f>SUBSTITUTE(Tabla1[[#This Row],[Descripción]],CHAR(10),"    I    ")</f>
        <v>Se trabajó con los ajustes del 2do procedimiento de 'OBTENER_MEDIONOTIFICACION', con el cambio del campo actualizado en la vista materializada, se compila sin errores</v>
      </c>
      <c r="Z3197" s="112">
        <f>VLOOKUP(Tabla1[[#This Row],[Perfil]],Catalogos!$B$75:$D$100,3,FALSE)*Tabla1[[#This Row],[Tiempo
(Hrs 00/100)]]*1.16</f>
        <v>696</v>
      </c>
    </row>
    <row r="3198" spans="1:27" ht="30" customHeight="1" x14ac:dyDescent="0.3">
      <c r="A3198" s="187" t="s">
        <v>22</v>
      </c>
      <c r="B3198" s="187" t="s">
        <v>23</v>
      </c>
      <c r="C3198" s="187" t="s">
        <v>257</v>
      </c>
      <c r="D3198" s="187"/>
      <c r="E3198" s="187" t="s">
        <v>408</v>
      </c>
      <c r="F3198" s="187" t="s">
        <v>75</v>
      </c>
      <c r="G3198" s="702" t="s">
        <v>5927</v>
      </c>
      <c r="H3198" s="186" t="s">
        <v>4674</v>
      </c>
      <c r="I3198" s="189" t="s">
        <v>5772</v>
      </c>
      <c r="J3198" s="811">
        <v>45261</v>
      </c>
      <c r="K3198" s="815">
        <v>0.77083333333333337</v>
      </c>
      <c r="L3198" s="811">
        <v>45261</v>
      </c>
      <c r="M3198" s="815">
        <v>0.875</v>
      </c>
      <c r="N3198" s="187">
        <v>2.5</v>
      </c>
      <c r="O3198" s="188" t="s">
        <v>17</v>
      </c>
      <c r="P3198" s="197" t="s">
        <v>4641</v>
      </c>
      <c r="Q3198" s="179" t="s">
        <v>1441</v>
      </c>
      <c r="R3198" s="31" t="s">
        <v>95</v>
      </c>
      <c r="S3198" s="31" t="s">
        <v>273</v>
      </c>
      <c r="T3198" s="31" t="s">
        <v>273</v>
      </c>
      <c r="U3198" s="31">
        <f>IFERROR(VLOOKUP(CONCATENATE(Tabla1[[#This Row],[Severidad]]," ",Tabla1[[#This Row],[Complejidad]]),Catalogos!E$120:G$128,3,FALSE),"")</f>
        <v>64</v>
      </c>
      <c r="V3198" s="31" t="str">
        <f>IF(Tabla1[[#This Row],[Tiempo solución max (hrs)]]&lt;&gt;"",IF(Tabla1[[#This Row],[Tiempo solución max (hrs)]]&gt;=Tabla1[[#This Row],[Tiempo
(Hrs 00/100)]],"cumple","no cumple"),"")</f>
        <v>cumple</v>
      </c>
      <c r="W3198" s="222" t="s">
        <v>5372</v>
      </c>
      <c r="X3198" s="18" t="str">
        <f t="shared" si="234"/>
        <v>SSI</v>
      </c>
      <c r="Y3198" t="str">
        <f>SUBSTITUTE(Tabla1[[#This Row],[Descripción]],CHAR(10),"    I    ")</f>
        <v>Se validó el paquete-procedimiento 'OBTENER_MEDIONOTIFICACION' con el bloque anónimo correcto y se tuvo un resultado exitoso con la salida del cursor completo de nuevo</v>
      </c>
      <c r="Z3198" s="112">
        <f>VLOOKUP(Tabla1[[#This Row],[Perfil]],Catalogos!$B$75:$D$100,3,FALSE)*Tabla1[[#This Row],[Tiempo
(Hrs 00/100)]]*1.16</f>
        <v>1739.9999999999998</v>
      </c>
    </row>
    <row r="3199" spans="1:27" ht="30" customHeight="1" x14ac:dyDescent="0.3">
      <c r="A3199" s="187" t="s">
        <v>22</v>
      </c>
      <c r="B3199" s="187" t="s">
        <v>23</v>
      </c>
      <c r="C3199" s="187" t="s">
        <v>257</v>
      </c>
      <c r="D3199" s="187"/>
      <c r="E3199" s="187" t="s">
        <v>408</v>
      </c>
      <c r="F3199" s="187" t="s">
        <v>23</v>
      </c>
      <c r="G3199" s="702" t="s">
        <v>5928</v>
      </c>
      <c r="H3199" s="186" t="s">
        <v>5773</v>
      </c>
      <c r="I3199" s="189" t="s">
        <v>5773</v>
      </c>
      <c r="J3199" s="811">
        <v>45264</v>
      </c>
      <c r="K3199" s="815">
        <v>0.375</v>
      </c>
      <c r="L3199" s="811">
        <v>45264</v>
      </c>
      <c r="M3199" s="815">
        <v>0.4375</v>
      </c>
      <c r="N3199" s="187">
        <v>1.5</v>
      </c>
      <c r="O3199" s="188" t="s">
        <v>17</v>
      </c>
      <c r="P3199" s="197" t="s">
        <v>4641</v>
      </c>
      <c r="Q3199" s="179" t="s">
        <v>1441</v>
      </c>
      <c r="R3199" s="31" t="s">
        <v>95</v>
      </c>
      <c r="S3199" s="31" t="s">
        <v>273</v>
      </c>
      <c r="T3199" s="31" t="s">
        <v>273</v>
      </c>
      <c r="U3199" s="31">
        <f>IFERROR(VLOOKUP(CONCATENATE(Tabla1[[#This Row],[Severidad]]," ",Tabla1[[#This Row],[Complejidad]]),Catalogos!E$120:G$128,3,FALSE),"")</f>
        <v>64</v>
      </c>
      <c r="V3199" s="31" t="str">
        <f>IF(Tabla1[[#This Row],[Tiempo solución max (hrs)]]&lt;&gt;"",IF(Tabla1[[#This Row],[Tiempo solución max (hrs)]]&gt;=Tabla1[[#This Row],[Tiempo
(Hrs 00/100)]],"cumple","no cumple"),"")</f>
        <v>cumple</v>
      </c>
      <c r="W3199" s="222" t="s">
        <v>5372</v>
      </c>
      <c r="X3199" s="18" t="str">
        <f t="shared" si="234"/>
        <v>SSI</v>
      </c>
      <c r="Y3199" t="str">
        <f>SUBSTITUTE(Tabla1[[#This Row],[Descripción]],CHAR(10),"    I    ")</f>
        <v>Se reconstruyerón las consultas del 3er procedimiento de 'OBTENER_TIPOSTATUS' de QUEJAS</v>
      </c>
      <c r="Z3199" s="112">
        <f>VLOOKUP(Tabla1[[#This Row],[Perfil]],Catalogos!$B$75:$D$100,3,FALSE)*Tabla1[[#This Row],[Tiempo
(Hrs 00/100)]]*1.16</f>
        <v>1044</v>
      </c>
    </row>
    <row r="3200" spans="1:27" ht="30" customHeight="1" x14ac:dyDescent="0.3">
      <c r="A3200" s="187" t="s">
        <v>22</v>
      </c>
      <c r="B3200" s="187" t="s">
        <v>23</v>
      </c>
      <c r="C3200" s="187" t="s">
        <v>257</v>
      </c>
      <c r="D3200" s="187"/>
      <c r="E3200" s="187" t="s">
        <v>408</v>
      </c>
      <c r="F3200" s="187" t="s">
        <v>23</v>
      </c>
      <c r="G3200" s="702" t="s">
        <v>5929</v>
      </c>
      <c r="H3200" s="186" t="s">
        <v>5774</v>
      </c>
      <c r="I3200" s="189" t="s">
        <v>5775</v>
      </c>
      <c r="J3200" s="811">
        <v>45264</v>
      </c>
      <c r="K3200" s="815">
        <v>0.4375</v>
      </c>
      <c r="L3200" s="811">
        <v>45264</v>
      </c>
      <c r="M3200" s="815">
        <v>0.5</v>
      </c>
      <c r="N3200" s="187">
        <v>1.5</v>
      </c>
      <c r="O3200" s="188" t="s">
        <v>17</v>
      </c>
      <c r="P3200" s="197" t="s">
        <v>4641</v>
      </c>
      <c r="Q3200" s="179" t="s">
        <v>1441</v>
      </c>
      <c r="R3200" s="31" t="s">
        <v>95</v>
      </c>
      <c r="S3200" s="31" t="s">
        <v>273</v>
      </c>
      <c r="T3200" s="31" t="s">
        <v>273</v>
      </c>
      <c r="U3200" s="31">
        <f>IFERROR(VLOOKUP(CONCATENATE(Tabla1[[#This Row],[Severidad]]," ",Tabla1[[#This Row],[Complejidad]]),Catalogos!E$120:G$128,3,FALSE),"")</f>
        <v>64</v>
      </c>
      <c r="V3200" s="31" t="str">
        <f>IF(Tabla1[[#This Row],[Tiempo solución max (hrs)]]&lt;&gt;"",IF(Tabla1[[#This Row],[Tiempo solución max (hrs)]]&gt;=Tabla1[[#This Row],[Tiempo
(Hrs 00/100)]],"cumple","no cumple"),"")</f>
        <v>cumple</v>
      </c>
      <c r="W3200" s="222" t="s">
        <v>5372</v>
      </c>
      <c r="X3200" s="18" t="str">
        <f t="shared" si="234"/>
        <v>SSI</v>
      </c>
      <c r="Y3200" t="str">
        <f>SUBSTITUTE(Tabla1[[#This Row],[Descripción]],CHAR(10),"    I    ")</f>
        <v>Se trabajó con los ajustes del 3er procedimiento de 'OBTENER_TIPOSTATUS', con el cambio del campo actualizado en la vista materializada, se compila sin errores</v>
      </c>
      <c r="Z3200" s="112">
        <f>VLOOKUP(Tabla1[[#This Row],[Perfil]],Catalogos!$B$75:$D$100,3,FALSE)*Tabla1[[#This Row],[Tiempo
(Hrs 00/100)]]*1.16</f>
        <v>1044</v>
      </c>
    </row>
    <row r="3201" spans="1:26" ht="30" customHeight="1" x14ac:dyDescent="0.3">
      <c r="A3201" s="187" t="s">
        <v>22</v>
      </c>
      <c r="B3201" s="187" t="s">
        <v>23</v>
      </c>
      <c r="C3201" s="187" t="s">
        <v>257</v>
      </c>
      <c r="D3201" s="187"/>
      <c r="E3201" s="187" t="s">
        <v>408</v>
      </c>
      <c r="F3201" s="187" t="s">
        <v>75</v>
      </c>
      <c r="G3201" s="702" t="s">
        <v>5930</v>
      </c>
      <c r="H3201" s="186" t="s">
        <v>4682</v>
      </c>
      <c r="I3201" s="189" t="s">
        <v>5776</v>
      </c>
      <c r="J3201" s="811">
        <v>45264</v>
      </c>
      <c r="K3201" s="815">
        <v>0.5</v>
      </c>
      <c r="L3201" s="811">
        <v>45264</v>
      </c>
      <c r="M3201" s="815">
        <v>0.54166666666666663</v>
      </c>
      <c r="N3201" s="187">
        <v>1</v>
      </c>
      <c r="O3201" s="188" t="s">
        <v>17</v>
      </c>
      <c r="P3201" s="197" t="s">
        <v>4641</v>
      </c>
      <c r="Q3201" s="179" t="s">
        <v>1441</v>
      </c>
      <c r="R3201" s="31" t="s">
        <v>95</v>
      </c>
      <c r="S3201" s="31" t="s">
        <v>273</v>
      </c>
      <c r="T3201" s="31" t="s">
        <v>273</v>
      </c>
      <c r="U3201" s="31">
        <f>IFERROR(VLOOKUP(CONCATENATE(Tabla1[[#This Row],[Severidad]]," ",Tabla1[[#This Row],[Complejidad]]),Catalogos!E$120:G$128,3,FALSE),"")</f>
        <v>64</v>
      </c>
      <c r="V3201" s="31" t="str">
        <f>IF(Tabla1[[#This Row],[Tiempo solución max (hrs)]]&lt;&gt;"",IF(Tabla1[[#This Row],[Tiempo solución max (hrs)]]&gt;=Tabla1[[#This Row],[Tiempo
(Hrs 00/100)]],"cumple","no cumple"),"")</f>
        <v>cumple</v>
      </c>
      <c r="W3201" s="222" t="s">
        <v>5372</v>
      </c>
      <c r="X3201" s="18" t="str">
        <f t="shared" si="234"/>
        <v>SSI</v>
      </c>
      <c r="Y3201" t="str">
        <f>SUBSTITUTE(Tabla1[[#This Row],[Descripción]],CHAR(10),"    I    ")</f>
        <v>Se validó el paquete-procedimiento 'OBTENER_TIPOSTATUS' con el bloque anónimo correcto y se tuvo un resultado exitoso con la salida del cursor completo de nuevo</v>
      </c>
      <c r="Z3201" s="112">
        <f>VLOOKUP(Tabla1[[#This Row],[Perfil]],Catalogos!$B$75:$D$100,3,FALSE)*Tabla1[[#This Row],[Tiempo
(Hrs 00/100)]]*1.16</f>
        <v>696</v>
      </c>
    </row>
    <row r="3202" spans="1:26" ht="30" customHeight="1" x14ac:dyDescent="0.3">
      <c r="A3202" s="187" t="s">
        <v>22</v>
      </c>
      <c r="B3202" s="187" t="s">
        <v>23</v>
      </c>
      <c r="C3202" s="187" t="s">
        <v>257</v>
      </c>
      <c r="D3202" s="187"/>
      <c r="E3202" s="187" t="s">
        <v>408</v>
      </c>
      <c r="F3202" s="187" t="s">
        <v>23</v>
      </c>
      <c r="G3202" s="702" t="s">
        <v>5931</v>
      </c>
      <c r="H3202" s="186" t="s">
        <v>5777</v>
      </c>
      <c r="I3202" s="189" t="s">
        <v>5777</v>
      </c>
      <c r="J3202" s="811">
        <v>45264</v>
      </c>
      <c r="K3202" s="815">
        <v>0.54166666666666663</v>
      </c>
      <c r="L3202" s="811">
        <v>45264</v>
      </c>
      <c r="M3202" s="815">
        <v>0.60416666666666663</v>
      </c>
      <c r="N3202" s="187">
        <v>1.5</v>
      </c>
      <c r="O3202" s="188" t="s">
        <v>17</v>
      </c>
      <c r="P3202" s="197" t="s">
        <v>4641</v>
      </c>
      <c r="Q3202" s="179" t="s">
        <v>1441</v>
      </c>
      <c r="R3202" s="31" t="s">
        <v>95</v>
      </c>
      <c r="S3202" s="31" t="s">
        <v>273</v>
      </c>
      <c r="T3202" s="31" t="s">
        <v>273</v>
      </c>
      <c r="U3202" s="31">
        <f>IFERROR(VLOOKUP(CONCATENATE(Tabla1[[#This Row],[Severidad]]," ",Tabla1[[#This Row],[Complejidad]]),Catalogos!E$120:G$128,3,FALSE),"")</f>
        <v>64</v>
      </c>
      <c r="V3202" s="31" t="str">
        <f>IF(Tabla1[[#This Row],[Tiempo solución max (hrs)]]&lt;&gt;"",IF(Tabla1[[#This Row],[Tiempo solución max (hrs)]]&gt;=Tabla1[[#This Row],[Tiempo
(Hrs 00/100)]],"cumple","no cumple"),"")</f>
        <v>cumple</v>
      </c>
      <c r="W3202" s="222" t="s">
        <v>5372</v>
      </c>
      <c r="X3202" s="18" t="str">
        <f t="shared" si="234"/>
        <v>SSI</v>
      </c>
      <c r="Y3202" t="str">
        <f>SUBSTITUTE(Tabla1[[#This Row],[Descripción]],CHAR(10),"    I    ")</f>
        <v>Se reconstruyerón las consultas del 4to procedimiento de 'OBTENER_TIPOMEDIOIMPUGNACION' de QUEJAS</v>
      </c>
      <c r="Z3202" s="112">
        <f>VLOOKUP(Tabla1[[#This Row],[Perfil]],Catalogos!$B$75:$D$100,3,FALSE)*Tabla1[[#This Row],[Tiempo
(Hrs 00/100)]]*1.16</f>
        <v>1044</v>
      </c>
    </row>
    <row r="3203" spans="1:26" ht="30" customHeight="1" x14ac:dyDescent="0.3">
      <c r="A3203" s="187" t="s">
        <v>22</v>
      </c>
      <c r="B3203" s="187" t="s">
        <v>23</v>
      </c>
      <c r="C3203" s="187" t="s">
        <v>257</v>
      </c>
      <c r="D3203" s="187"/>
      <c r="E3203" s="187" t="s">
        <v>408</v>
      </c>
      <c r="F3203" s="187" t="s">
        <v>23</v>
      </c>
      <c r="G3203" s="702" t="s">
        <v>5932</v>
      </c>
      <c r="H3203" s="186" t="s">
        <v>5778</v>
      </c>
      <c r="I3203" s="189" t="s">
        <v>5779</v>
      </c>
      <c r="J3203" s="811">
        <v>45264</v>
      </c>
      <c r="K3203" s="815">
        <v>0.66666666666666663</v>
      </c>
      <c r="L3203" s="811">
        <v>45264</v>
      </c>
      <c r="M3203" s="815">
        <v>0.6875</v>
      </c>
      <c r="N3203" s="187">
        <v>0.5</v>
      </c>
      <c r="O3203" s="188" t="s">
        <v>17</v>
      </c>
      <c r="P3203" s="197" t="s">
        <v>4641</v>
      </c>
      <c r="Q3203" s="179" t="s">
        <v>1441</v>
      </c>
      <c r="R3203" s="31" t="s">
        <v>95</v>
      </c>
      <c r="S3203" s="31" t="s">
        <v>273</v>
      </c>
      <c r="T3203" s="31" t="s">
        <v>273</v>
      </c>
      <c r="U3203" s="31">
        <f>IFERROR(VLOOKUP(CONCATENATE(Tabla1[[#This Row],[Severidad]]," ",Tabla1[[#This Row],[Complejidad]]),Catalogos!E$120:G$128,3,FALSE),"")</f>
        <v>64</v>
      </c>
      <c r="V3203" s="31" t="str">
        <f>IF(Tabla1[[#This Row],[Tiempo solución max (hrs)]]&lt;&gt;"",IF(Tabla1[[#This Row],[Tiempo solución max (hrs)]]&gt;=Tabla1[[#This Row],[Tiempo
(Hrs 00/100)]],"cumple","no cumple"),"")</f>
        <v>cumple</v>
      </c>
      <c r="W3203" s="222" t="s">
        <v>5372</v>
      </c>
      <c r="X3203" s="18" t="str">
        <f t="shared" si="234"/>
        <v>SSI</v>
      </c>
      <c r="Y3203" t="str">
        <f>SUBSTITUTE(Tabla1[[#This Row],[Descripción]],CHAR(10),"    I    ")</f>
        <v>Se trabajó con los ajustes del 4to procedimiento de 'OBTENER_TIPOMEDIOIMPUGNACION', con el cambio del campo actualizado en la vista materializada, se compila sin errores</v>
      </c>
      <c r="Z3203" s="112">
        <f>VLOOKUP(Tabla1[[#This Row],[Perfil]],Catalogos!$B$75:$D$100,3,FALSE)*Tabla1[[#This Row],[Tiempo
(Hrs 00/100)]]*1.16</f>
        <v>348</v>
      </c>
    </row>
    <row r="3204" spans="1:26" ht="30" customHeight="1" x14ac:dyDescent="0.3">
      <c r="A3204" s="187" t="s">
        <v>22</v>
      </c>
      <c r="B3204" s="187" t="s">
        <v>23</v>
      </c>
      <c r="C3204" s="187" t="s">
        <v>257</v>
      </c>
      <c r="D3204" s="187"/>
      <c r="E3204" s="187" t="s">
        <v>408</v>
      </c>
      <c r="F3204" s="187" t="s">
        <v>75</v>
      </c>
      <c r="G3204" s="702" t="s">
        <v>5933</v>
      </c>
      <c r="H3204" s="186" t="s">
        <v>4687</v>
      </c>
      <c r="I3204" s="189" t="s">
        <v>5780</v>
      </c>
      <c r="J3204" s="811">
        <v>45264</v>
      </c>
      <c r="K3204" s="815">
        <v>0.6875</v>
      </c>
      <c r="L3204" s="811">
        <v>45264</v>
      </c>
      <c r="M3204" s="815">
        <v>0.75</v>
      </c>
      <c r="N3204" s="187">
        <v>1.5</v>
      </c>
      <c r="O3204" s="188" t="s">
        <v>17</v>
      </c>
      <c r="P3204" s="197" t="s">
        <v>4641</v>
      </c>
      <c r="Q3204" s="179" t="s">
        <v>1441</v>
      </c>
      <c r="R3204" s="31" t="s">
        <v>95</v>
      </c>
      <c r="S3204" s="31" t="s">
        <v>273</v>
      </c>
      <c r="T3204" s="31" t="s">
        <v>273</v>
      </c>
      <c r="U3204" s="31">
        <f>IFERROR(VLOOKUP(CONCATENATE(Tabla1[[#This Row],[Severidad]]," ",Tabla1[[#This Row],[Complejidad]]),Catalogos!E$120:G$128,3,FALSE),"")</f>
        <v>64</v>
      </c>
      <c r="V3204" s="31" t="str">
        <f>IF(Tabla1[[#This Row],[Tiempo solución max (hrs)]]&lt;&gt;"",IF(Tabla1[[#This Row],[Tiempo solución max (hrs)]]&gt;=Tabla1[[#This Row],[Tiempo
(Hrs 00/100)]],"cumple","no cumple"),"")</f>
        <v>cumple</v>
      </c>
      <c r="W3204" s="222" t="s">
        <v>5372</v>
      </c>
      <c r="X3204" s="18" t="str">
        <f t="shared" si="234"/>
        <v>SSI</v>
      </c>
      <c r="Y3204" t="str">
        <f>SUBSTITUTE(Tabla1[[#This Row],[Descripción]],CHAR(10),"    I    ")</f>
        <v>Se validó el paquete-procedimiento 'OBTENER_TIPOMEDIOIMPUGNACION' con el bloque anónimo correcto y se tuvo un resultado exitoso con la salida del cursor completo de nuevo</v>
      </c>
      <c r="Z3204" s="112">
        <f>VLOOKUP(Tabla1[[#This Row],[Perfil]],Catalogos!$B$75:$D$100,3,FALSE)*Tabla1[[#This Row],[Tiempo
(Hrs 00/100)]]*1.16</f>
        <v>1044</v>
      </c>
    </row>
    <row r="3205" spans="1:26" ht="30" customHeight="1" x14ac:dyDescent="0.3">
      <c r="A3205" s="187" t="s">
        <v>22</v>
      </c>
      <c r="B3205" s="187" t="s">
        <v>23</v>
      </c>
      <c r="C3205" s="187" t="s">
        <v>257</v>
      </c>
      <c r="D3205" s="187"/>
      <c r="E3205" s="187" t="s">
        <v>408</v>
      </c>
      <c r="F3205" s="187" t="s">
        <v>23</v>
      </c>
      <c r="G3205" s="702" t="s">
        <v>5934</v>
      </c>
      <c r="H3205" s="186" t="s">
        <v>5781</v>
      </c>
      <c r="I3205" s="189" t="s">
        <v>5781</v>
      </c>
      <c r="J3205" s="811">
        <v>45264</v>
      </c>
      <c r="K3205" s="815">
        <v>0.75</v>
      </c>
      <c r="L3205" s="811">
        <v>45264</v>
      </c>
      <c r="M3205" s="815">
        <v>0.83333333333333337</v>
      </c>
      <c r="N3205" s="187">
        <v>2</v>
      </c>
      <c r="O3205" s="188" t="s">
        <v>17</v>
      </c>
      <c r="P3205" s="197" t="s">
        <v>4641</v>
      </c>
      <c r="Q3205" s="179" t="s">
        <v>1441</v>
      </c>
      <c r="R3205" s="31" t="s">
        <v>95</v>
      </c>
      <c r="S3205" s="31" t="s">
        <v>273</v>
      </c>
      <c r="T3205" s="31" t="s">
        <v>273</v>
      </c>
      <c r="U3205" s="31">
        <f>IFERROR(VLOOKUP(CONCATENATE(Tabla1[[#This Row],[Severidad]]," ",Tabla1[[#This Row],[Complejidad]]),Catalogos!E$120:G$128,3,FALSE),"")</f>
        <v>64</v>
      </c>
      <c r="V3205" s="31" t="str">
        <f>IF(Tabla1[[#This Row],[Tiempo solución max (hrs)]]&lt;&gt;"",IF(Tabla1[[#This Row],[Tiempo solución max (hrs)]]&gt;=Tabla1[[#This Row],[Tiempo
(Hrs 00/100)]],"cumple","no cumple"),"")</f>
        <v>cumple</v>
      </c>
      <c r="W3205" s="222" t="s">
        <v>5372</v>
      </c>
      <c r="X3205" s="18" t="str">
        <f t="shared" si="234"/>
        <v>SSI</v>
      </c>
      <c r="Y3205" t="str">
        <f>SUBSTITUTE(Tabla1[[#This Row],[Descripción]],CHAR(10),"    I    ")</f>
        <v>Se reconstruyerón las consultas del 5to procedimiento de 'OBTENER_FG_AMPLIADO' de QUEJAS</v>
      </c>
      <c r="Z3205" s="112">
        <f>VLOOKUP(Tabla1[[#This Row],[Perfil]],Catalogos!$B$75:$D$100,3,FALSE)*Tabla1[[#This Row],[Tiempo
(Hrs 00/100)]]*1.16</f>
        <v>1392</v>
      </c>
    </row>
    <row r="3206" spans="1:26" ht="30" customHeight="1" x14ac:dyDescent="0.3">
      <c r="A3206" s="187" t="s">
        <v>22</v>
      </c>
      <c r="B3206" s="187" t="s">
        <v>23</v>
      </c>
      <c r="C3206" s="187" t="s">
        <v>257</v>
      </c>
      <c r="D3206" s="187"/>
      <c r="E3206" s="187" t="s">
        <v>408</v>
      </c>
      <c r="F3206" s="187" t="s">
        <v>23</v>
      </c>
      <c r="G3206" s="702" t="s">
        <v>5935</v>
      </c>
      <c r="H3206" s="186" t="s">
        <v>5782</v>
      </c>
      <c r="I3206" s="189" t="s">
        <v>5783</v>
      </c>
      <c r="J3206" s="811">
        <v>45265</v>
      </c>
      <c r="K3206" s="815">
        <v>0.375</v>
      </c>
      <c r="L3206" s="811">
        <v>45265</v>
      </c>
      <c r="M3206" s="815">
        <v>0.45833333333333331</v>
      </c>
      <c r="N3206" s="187">
        <v>2</v>
      </c>
      <c r="O3206" s="188" t="s">
        <v>17</v>
      </c>
      <c r="P3206" s="197" t="s">
        <v>4641</v>
      </c>
      <c r="Q3206" s="179" t="s">
        <v>1441</v>
      </c>
      <c r="R3206" s="31" t="s">
        <v>95</v>
      </c>
      <c r="S3206" s="31" t="s">
        <v>273</v>
      </c>
      <c r="T3206" s="31" t="s">
        <v>273</v>
      </c>
      <c r="U3206" s="31">
        <f>IFERROR(VLOOKUP(CONCATENATE(Tabla1[[#This Row],[Severidad]]," ",Tabla1[[#This Row],[Complejidad]]),Catalogos!E$120:G$128,3,FALSE),"")</f>
        <v>64</v>
      </c>
      <c r="V3206" s="31" t="str">
        <f>IF(Tabla1[[#This Row],[Tiempo solución max (hrs)]]&lt;&gt;"",IF(Tabla1[[#This Row],[Tiempo solución max (hrs)]]&gt;=Tabla1[[#This Row],[Tiempo
(Hrs 00/100)]],"cumple","no cumple"),"")</f>
        <v>cumple</v>
      </c>
      <c r="W3206" s="222" t="s">
        <v>5372</v>
      </c>
      <c r="X3206" s="18" t="str">
        <f t="shared" si="234"/>
        <v>SSI</v>
      </c>
      <c r="Y3206" t="str">
        <f>SUBSTITUTE(Tabla1[[#This Row],[Descripción]],CHAR(10),"    I    ")</f>
        <v>Se trabajó con los ajustes del 5to procedimiento de 'OBTENER_FG_AMPLIADO', con el cambio del campo actualizado en la vista materializada, se compila sin errores</v>
      </c>
      <c r="Z3206" s="112">
        <f>VLOOKUP(Tabla1[[#This Row],[Perfil]],Catalogos!$B$75:$D$100,3,FALSE)*Tabla1[[#This Row],[Tiempo
(Hrs 00/100)]]*1.16</f>
        <v>1392</v>
      </c>
    </row>
    <row r="3207" spans="1:26" ht="30" customHeight="1" x14ac:dyDescent="0.3">
      <c r="A3207" s="187" t="s">
        <v>22</v>
      </c>
      <c r="B3207" s="187" t="s">
        <v>23</v>
      </c>
      <c r="C3207" s="187" t="s">
        <v>257</v>
      </c>
      <c r="D3207" s="187"/>
      <c r="E3207" s="187" t="s">
        <v>408</v>
      </c>
      <c r="F3207" s="187" t="s">
        <v>75</v>
      </c>
      <c r="G3207" s="702" t="s">
        <v>5936</v>
      </c>
      <c r="H3207" s="186" t="s">
        <v>4693</v>
      </c>
      <c r="I3207" s="189" t="s">
        <v>5784</v>
      </c>
      <c r="J3207" s="811">
        <v>45265</v>
      </c>
      <c r="K3207" s="815">
        <v>0.45833333333333331</v>
      </c>
      <c r="L3207" s="811">
        <v>45265</v>
      </c>
      <c r="M3207" s="815">
        <v>0.5</v>
      </c>
      <c r="N3207" s="187">
        <v>1</v>
      </c>
      <c r="O3207" s="188" t="s">
        <v>17</v>
      </c>
      <c r="P3207" s="197" t="s">
        <v>4641</v>
      </c>
      <c r="Q3207" s="179" t="s">
        <v>1441</v>
      </c>
      <c r="R3207" s="31" t="s">
        <v>95</v>
      </c>
      <c r="S3207" s="31" t="s">
        <v>273</v>
      </c>
      <c r="T3207" s="31" t="s">
        <v>273</v>
      </c>
      <c r="U3207" s="31">
        <f>IFERROR(VLOOKUP(CONCATENATE(Tabla1[[#This Row],[Severidad]]," ",Tabla1[[#This Row],[Complejidad]]),Catalogos!E$120:G$128,3,FALSE),"")</f>
        <v>64</v>
      </c>
      <c r="V3207" s="31" t="str">
        <f>IF(Tabla1[[#This Row],[Tiempo solución max (hrs)]]&lt;&gt;"",IF(Tabla1[[#This Row],[Tiempo solución max (hrs)]]&gt;=Tabla1[[#This Row],[Tiempo
(Hrs 00/100)]],"cumple","no cumple"),"")</f>
        <v>cumple</v>
      </c>
      <c r="W3207" s="222" t="s">
        <v>5372</v>
      </c>
      <c r="X3207" s="18" t="str">
        <f t="shared" si="234"/>
        <v>SSI</v>
      </c>
      <c r="Y3207" t="str">
        <f>SUBSTITUTE(Tabla1[[#This Row],[Descripción]],CHAR(10),"    I    ")</f>
        <v>Se validó el paquete-procedimiento 'OBTENER_FG_AMPLIADO' con el bloque anónimo correcto y se tuvo un resultado exitoso con la salida del cursor completo de nuevo</v>
      </c>
      <c r="Z3207" s="112">
        <f>VLOOKUP(Tabla1[[#This Row],[Perfil]],Catalogos!$B$75:$D$100,3,FALSE)*Tabla1[[#This Row],[Tiempo
(Hrs 00/100)]]*1.16</f>
        <v>696</v>
      </c>
    </row>
    <row r="3208" spans="1:26" ht="30" customHeight="1" x14ac:dyDescent="0.3">
      <c r="A3208" s="187" t="s">
        <v>22</v>
      </c>
      <c r="B3208" s="187" t="s">
        <v>23</v>
      </c>
      <c r="C3208" s="187" t="s">
        <v>257</v>
      </c>
      <c r="D3208" s="187"/>
      <c r="E3208" s="187" t="s">
        <v>408</v>
      </c>
      <c r="F3208" s="187" t="s">
        <v>23</v>
      </c>
      <c r="G3208" s="702" t="s">
        <v>5937</v>
      </c>
      <c r="H3208" s="186" t="s">
        <v>5785</v>
      </c>
      <c r="I3208" s="189" t="s">
        <v>5785</v>
      </c>
      <c r="J3208" s="811">
        <v>45265</v>
      </c>
      <c r="K3208" s="815">
        <v>0.5</v>
      </c>
      <c r="L3208" s="811">
        <v>45265</v>
      </c>
      <c r="M3208" s="815">
        <v>0.60416666666666663</v>
      </c>
      <c r="N3208" s="187">
        <v>2.5</v>
      </c>
      <c r="O3208" s="188" t="s">
        <v>17</v>
      </c>
      <c r="P3208" s="197" t="s">
        <v>4641</v>
      </c>
      <c r="Q3208" s="179" t="s">
        <v>1441</v>
      </c>
      <c r="R3208" s="31" t="s">
        <v>95</v>
      </c>
      <c r="S3208" s="31" t="s">
        <v>273</v>
      </c>
      <c r="T3208" s="31" t="s">
        <v>273</v>
      </c>
      <c r="U3208" s="31">
        <f>IFERROR(VLOOKUP(CONCATENATE(Tabla1[[#This Row],[Severidad]]," ",Tabla1[[#This Row],[Complejidad]]),Catalogos!E$120:G$128,3,FALSE),"")</f>
        <v>64</v>
      </c>
      <c r="V3208" s="31" t="str">
        <f>IF(Tabla1[[#This Row],[Tiempo solución max (hrs)]]&lt;&gt;"",IF(Tabla1[[#This Row],[Tiempo solución max (hrs)]]&gt;=Tabla1[[#This Row],[Tiempo
(Hrs 00/100)]],"cumple","no cumple"),"")</f>
        <v>cumple</v>
      </c>
      <c r="W3208" s="222" t="s">
        <v>5372</v>
      </c>
      <c r="X3208" s="18" t="str">
        <f t="shared" si="234"/>
        <v>SSI</v>
      </c>
      <c r="Y3208" t="str">
        <f>SUBSTITUTE(Tabla1[[#This Row],[Descripción]],CHAR(10),"    I    ")</f>
        <v>Se reconstruyerón las consultas del 6to procedimiento de 'OBTENER_FG_ADMITIDO' de QUEJAS</v>
      </c>
      <c r="Z3208" s="112">
        <f>VLOOKUP(Tabla1[[#This Row],[Perfil]],Catalogos!$B$75:$D$100,3,FALSE)*Tabla1[[#This Row],[Tiempo
(Hrs 00/100)]]*1.16</f>
        <v>1739.9999999999998</v>
      </c>
    </row>
    <row r="3209" spans="1:26" ht="30" customHeight="1" x14ac:dyDescent="0.3">
      <c r="A3209" s="187" t="s">
        <v>22</v>
      </c>
      <c r="B3209" s="187" t="s">
        <v>23</v>
      </c>
      <c r="C3209" s="187" t="s">
        <v>257</v>
      </c>
      <c r="D3209" s="187"/>
      <c r="E3209" s="187" t="s">
        <v>408</v>
      </c>
      <c r="F3209" s="187" t="s">
        <v>23</v>
      </c>
      <c r="G3209" s="702" t="s">
        <v>5938</v>
      </c>
      <c r="H3209" s="186" t="s">
        <v>5786</v>
      </c>
      <c r="I3209" s="189" t="s">
        <v>5787</v>
      </c>
      <c r="J3209" s="811">
        <v>45265</v>
      </c>
      <c r="K3209" s="815">
        <v>0.60416666666666663</v>
      </c>
      <c r="L3209" s="811">
        <v>45265</v>
      </c>
      <c r="M3209" s="815">
        <v>0.66666666666666663</v>
      </c>
      <c r="N3209" s="187">
        <v>1.5</v>
      </c>
      <c r="O3209" s="188" t="s">
        <v>17</v>
      </c>
      <c r="P3209" s="197" t="s">
        <v>4641</v>
      </c>
      <c r="Q3209" s="179" t="s">
        <v>1441</v>
      </c>
      <c r="R3209" s="31" t="s">
        <v>95</v>
      </c>
      <c r="S3209" s="31" t="s">
        <v>273</v>
      </c>
      <c r="T3209" s="31" t="s">
        <v>273</v>
      </c>
      <c r="U3209" s="31">
        <f>IFERROR(VLOOKUP(CONCATENATE(Tabla1[[#This Row],[Severidad]]," ",Tabla1[[#This Row],[Complejidad]]),Catalogos!E$120:G$128,3,FALSE),"")</f>
        <v>64</v>
      </c>
      <c r="V3209" s="31" t="str">
        <f>IF(Tabla1[[#This Row],[Tiempo solución max (hrs)]]&lt;&gt;"",IF(Tabla1[[#This Row],[Tiempo solución max (hrs)]]&gt;=Tabla1[[#This Row],[Tiempo
(Hrs 00/100)]],"cumple","no cumple"),"")</f>
        <v>cumple</v>
      </c>
      <c r="W3209" s="222" t="s">
        <v>5372</v>
      </c>
      <c r="X3209" s="18" t="str">
        <f t="shared" si="234"/>
        <v>SSI</v>
      </c>
      <c r="Y3209" t="str">
        <f>SUBSTITUTE(Tabla1[[#This Row],[Descripción]],CHAR(10),"    I    ")</f>
        <v>Se trabajó con los ajustes del 6to procedimiento de 'OBTENER_FG_ADMITIDO', con el cambio del campo actualizado en la vista materializada, se compila sin errores</v>
      </c>
      <c r="Z3209" s="112">
        <f>VLOOKUP(Tabla1[[#This Row],[Perfil]],Catalogos!$B$75:$D$100,3,FALSE)*Tabla1[[#This Row],[Tiempo
(Hrs 00/100)]]*1.16</f>
        <v>1044</v>
      </c>
    </row>
    <row r="3210" spans="1:26" ht="30" customHeight="1" x14ac:dyDescent="0.3">
      <c r="A3210" s="187" t="s">
        <v>22</v>
      </c>
      <c r="B3210" s="187" t="s">
        <v>23</v>
      </c>
      <c r="C3210" s="187" t="s">
        <v>257</v>
      </c>
      <c r="D3210" s="187"/>
      <c r="E3210" s="187" t="s">
        <v>408</v>
      </c>
      <c r="F3210" s="187" t="s">
        <v>75</v>
      </c>
      <c r="G3210" s="702" t="s">
        <v>5939</v>
      </c>
      <c r="H3210" s="186" t="s">
        <v>4699</v>
      </c>
      <c r="I3210" s="189" t="s">
        <v>5788</v>
      </c>
      <c r="J3210" s="811">
        <v>45265</v>
      </c>
      <c r="K3210" s="815">
        <v>0.66666666666666663</v>
      </c>
      <c r="L3210" s="811">
        <v>45265</v>
      </c>
      <c r="M3210" s="815">
        <v>0.70833333333333337</v>
      </c>
      <c r="N3210" s="187">
        <v>1</v>
      </c>
      <c r="O3210" s="188" t="s">
        <v>17</v>
      </c>
      <c r="P3210" s="197" t="s">
        <v>4641</v>
      </c>
      <c r="Q3210" s="179" t="s">
        <v>1441</v>
      </c>
      <c r="R3210" s="31" t="s">
        <v>95</v>
      </c>
      <c r="S3210" s="31" t="s">
        <v>273</v>
      </c>
      <c r="T3210" s="31" t="s">
        <v>273</v>
      </c>
      <c r="U3210" s="31">
        <f>IFERROR(VLOOKUP(CONCATENATE(Tabla1[[#This Row],[Severidad]]," ",Tabla1[[#This Row],[Complejidad]]),Catalogos!E$120:G$128,3,FALSE),"")</f>
        <v>64</v>
      </c>
      <c r="V3210" s="31" t="str">
        <f>IF(Tabla1[[#This Row],[Tiempo solución max (hrs)]]&lt;&gt;"",IF(Tabla1[[#This Row],[Tiempo solución max (hrs)]]&gt;=Tabla1[[#This Row],[Tiempo
(Hrs 00/100)]],"cumple","no cumple"),"")</f>
        <v>cumple</v>
      </c>
      <c r="W3210" s="222" t="s">
        <v>5372</v>
      </c>
      <c r="X3210" s="18" t="str">
        <f t="shared" si="234"/>
        <v>SSI</v>
      </c>
      <c r="Y3210" t="str">
        <f>SUBSTITUTE(Tabla1[[#This Row],[Descripción]],CHAR(10),"    I    ")</f>
        <v>Se validó el paquete-procedimiento 'OBTENER_FG_ADMITIDO' con el bloque anónimo correcto y se tuvo un resultado exitoso con la salida del cursor completo de nuevo</v>
      </c>
      <c r="Z3210" s="112">
        <f>VLOOKUP(Tabla1[[#This Row],[Perfil]],Catalogos!$B$75:$D$100,3,FALSE)*Tabla1[[#This Row],[Tiempo
(Hrs 00/100)]]*1.16</f>
        <v>696</v>
      </c>
    </row>
    <row r="3211" spans="1:26" ht="30" customHeight="1" x14ac:dyDescent="0.3">
      <c r="A3211" s="187" t="s">
        <v>22</v>
      </c>
      <c r="B3211" s="187" t="s">
        <v>23</v>
      </c>
      <c r="C3211" s="187" t="s">
        <v>257</v>
      </c>
      <c r="D3211" s="187"/>
      <c r="E3211" s="187" t="s">
        <v>408</v>
      </c>
      <c r="F3211" s="187" t="s">
        <v>23</v>
      </c>
      <c r="G3211" s="702" t="s">
        <v>5940</v>
      </c>
      <c r="H3211" s="186" t="s">
        <v>5789</v>
      </c>
      <c r="I3211" s="189" t="s">
        <v>5789</v>
      </c>
      <c r="J3211" s="811">
        <v>45265</v>
      </c>
      <c r="K3211" s="815">
        <v>0.70833333333333337</v>
      </c>
      <c r="L3211" s="811">
        <v>45265</v>
      </c>
      <c r="M3211" s="815">
        <v>0.75</v>
      </c>
      <c r="N3211" s="187">
        <v>1</v>
      </c>
      <c r="O3211" s="188" t="s">
        <v>17</v>
      </c>
      <c r="P3211" s="197" t="s">
        <v>4641</v>
      </c>
      <c r="Q3211" s="179" t="s">
        <v>1441</v>
      </c>
      <c r="R3211" s="31" t="s">
        <v>95</v>
      </c>
      <c r="S3211" s="31" t="s">
        <v>273</v>
      </c>
      <c r="T3211" s="31" t="s">
        <v>273</v>
      </c>
      <c r="U3211" s="31">
        <f>IFERROR(VLOOKUP(CONCATENATE(Tabla1[[#This Row],[Severidad]]," ",Tabla1[[#This Row],[Complejidad]]),Catalogos!E$120:G$128,3,FALSE),"")</f>
        <v>64</v>
      </c>
      <c r="V3211" s="31" t="str">
        <f>IF(Tabla1[[#This Row],[Tiempo solución max (hrs)]]&lt;&gt;"",IF(Tabla1[[#This Row],[Tiempo solución max (hrs)]]&gt;=Tabla1[[#This Row],[Tiempo
(Hrs 00/100)]],"cumple","no cumple"),"")</f>
        <v>cumple</v>
      </c>
      <c r="W3211" s="222" t="s">
        <v>5372</v>
      </c>
      <c r="X3211" s="18" t="str">
        <f t="shared" si="234"/>
        <v>SSI</v>
      </c>
      <c r="Y3211" t="str">
        <f>SUBSTITUTE(Tabla1[[#This Row],[Descripción]],CHAR(10),"    I    ")</f>
        <v>Se reconstruyerón las consultas del 7mo procedimiento de 'OBTENER_FG_PREVENIDO' de QUEJAS</v>
      </c>
      <c r="Z3211" s="112">
        <f>VLOOKUP(Tabla1[[#This Row],[Perfil]],Catalogos!$B$75:$D$100,3,FALSE)*Tabla1[[#This Row],[Tiempo
(Hrs 00/100)]]*1.16</f>
        <v>696</v>
      </c>
    </row>
    <row r="3212" spans="1:26" ht="30" customHeight="1" x14ac:dyDescent="0.3">
      <c r="A3212" s="187" t="s">
        <v>22</v>
      </c>
      <c r="B3212" s="187" t="s">
        <v>23</v>
      </c>
      <c r="C3212" s="187" t="s">
        <v>257</v>
      </c>
      <c r="D3212" s="187"/>
      <c r="E3212" s="187" t="s">
        <v>408</v>
      </c>
      <c r="F3212" s="187" t="s">
        <v>23</v>
      </c>
      <c r="G3212" s="702" t="s">
        <v>5941</v>
      </c>
      <c r="H3212" s="186" t="s">
        <v>5790</v>
      </c>
      <c r="I3212" s="189" t="s">
        <v>5791</v>
      </c>
      <c r="J3212" s="811">
        <v>45265</v>
      </c>
      <c r="K3212" s="815">
        <v>0.75</v>
      </c>
      <c r="L3212" s="811">
        <v>45265</v>
      </c>
      <c r="M3212" s="815">
        <v>0.85416666666666663</v>
      </c>
      <c r="N3212" s="187">
        <v>2.5</v>
      </c>
      <c r="O3212" s="188" t="s">
        <v>17</v>
      </c>
      <c r="P3212" s="197" t="s">
        <v>4641</v>
      </c>
      <c r="Q3212" s="179" t="s">
        <v>1441</v>
      </c>
      <c r="R3212" s="31" t="s">
        <v>95</v>
      </c>
      <c r="S3212" s="31" t="s">
        <v>273</v>
      </c>
      <c r="T3212" s="31" t="s">
        <v>273</v>
      </c>
      <c r="U3212" s="31">
        <f>IFERROR(VLOOKUP(CONCATENATE(Tabla1[[#This Row],[Severidad]]," ",Tabla1[[#This Row],[Complejidad]]),Catalogos!E$120:G$128,3,FALSE),"")</f>
        <v>64</v>
      </c>
      <c r="V3212" s="31" t="str">
        <f>IF(Tabla1[[#This Row],[Tiempo solución max (hrs)]]&lt;&gt;"",IF(Tabla1[[#This Row],[Tiempo solución max (hrs)]]&gt;=Tabla1[[#This Row],[Tiempo
(Hrs 00/100)]],"cumple","no cumple"),"")</f>
        <v>cumple</v>
      </c>
      <c r="W3212" s="222" t="s">
        <v>5372</v>
      </c>
      <c r="X3212" s="18" t="str">
        <f t="shared" si="234"/>
        <v>SSI</v>
      </c>
      <c r="Y3212" t="str">
        <f>SUBSTITUTE(Tabla1[[#This Row],[Descripción]],CHAR(10),"    I    ")</f>
        <v>Se trabajó con los ajustes del 7mo procedimiento de 'OBTENER_FG_PREVENIDO', con el cambio del campo actualizado en la vista materializada, se compila sin errores</v>
      </c>
      <c r="Z3212" s="112">
        <f>VLOOKUP(Tabla1[[#This Row],[Perfil]],Catalogos!$B$75:$D$100,3,FALSE)*Tabla1[[#This Row],[Tiempo
(Hrs 00/100)]]*1.16</f>
        <v>1739.9999999999998</v>
      </c>
    </row>
    <row r="3213" spans="1:26" ht="30" customHeight="1" x14ac:dyDescent="0.3">
      <c r="A3213" s="187" t="s">
        <v>22</v>
      </c>
      <c r="B3213" s="187" t="s">
        <v>23</v>
      </c>
      <c r="C3213" s="187" t="s">
        <v>257</v>
      </c>
      <c r="D3213" s="187"/>
      <c r="E3213" s="187" t="s">
        <v>408</v>
      </c>
      <c r="F3213" s="187" t="s">
        <v>75</v>
      </c>
      <c r="G3213" s="702" t="s">
        <v>5942</v>
      </c>
      <c r="H3213" s="186" t="s">
        <v>4705</v>
      </c>
      <c r="I3213" s="189" t="s">
        <v>5792</v>
      </c>
      <c r="J3213" s="811">
        <v>45266</v>
      </c>
      <c r="K3213" s="815">
        <v>0.375</v>
      </c>
      <c r="L3213" s="811">
        <v>45266</v>
      </c>
      <c r="M3213" s="815">
        <v>0.41666666666666669</v>
      </c>
      <c r="N3213" s="187">
        <v>1</v>
      </c>
      <c r="O3213" s="188" t="s">
        <v>17</v>
      </c>
      <c r="P3213" s="197" t="s">
        <v>4641</v>
      </c>
      <c r="Q3213" s="179" t="s">
        <v>1441</v>
      </c>
      <c r="R3213" s="31" t="s">
        <v>95</v>
      </c>
      <c r="S3213" s="31" t="s">
        <v>273</v>
      </c>
      <c r="T3213" s="31" t="s">
        <v>273</v>
      </c>
      <c r="U3213" s="31">
        <f>IFERROR(VLOOKUP(CONCATENATE(Tabla1[[#This Row],[Severidad]]," ",Tabla1[[#This Row],[Complejidad]]),Catalogos!E$120:G$128,3,FALSE),"")</f>
        <v>64</v>
      </c>
      <c r="V3213" s="31" t="str">
        <f>IF(Tabla1[[#This Row],[Tiempo solución max (hrs)]]&lt;&gt;"",IF(Tabla1[[#This Row],[Tiempo solución max (hrs)]]&gt;=Tabla1[[#This Row],[Tiempo
(Hrs 00/100)]],"cumple","no cumple"),"")</f>
        <v>cumple</v>
      </c>
      <c r="W3213" s="222" t="s">
        <v>5372</v>
      </c>
      <c r="X3213" s="18" t="str">
        <f t="shared" si="234"/>
        <v>SSI</v>
      </c>
      <c r="Y3213" t="str">
        <f>SUBSTITUTE(Tabla1[[#This Row],[Descripción]],CHAR(10),"    I    ")</f>
        <v>Se validó el paquete-procedimiento 'OBTENER_FG_PREVENIDO' con el bloque anónimo correcto y se tuvo un resultado exitoso con la salida del cursor completo de nuevo</v>
      </c>
      <c r="Z3213" s="112">
        <f>VLOOKUP(Tabla1[[#This Row],[Perfil]],Catalogos!$B$75:$D$100,3,FALSE)*Tabla1[[#This Row],[Tiempo
(Hrs 00/100)]]*1.16</f>
        <v>696</v>
      </c>
    </row>
    <row r="3214" spans="1:26" ht="30" customHeight="1" x14ac:dyDescent="0.3">
      <c r="A3214" s="187" t="s">
        <v>22</v>
      </c>
      <c r="B3214" s="187" t="s">
        <v>23</v>
      </c>
      <c r="C3214" s="187" t="s">
        <v>257</v>
      </c>
      <c r="D3214" s="187"/>
      <c r="E3214" s="187" t="s">
        <v>408</v>
      </c>
      <c r="F3214" s="187" t="s">
        <v>23</v>
      </c>
      <c r="G3214" s="702" t="s">
        <v>5943</v>
      </c>
      <c r="H3214" s="186" t="s">
        <v>5793</v>
      </c>
      <c r="I3214" s="189" t="s">
        <v>5793</v>
      </c>
      <c r="J3214" s="811">
        <v>45266</v>
      </c>
      <c r="K3214" s="815">
        <v>0.41666666666666669</v>
      </c>
      <c r="L3214" s="811">
        <v>45266</v>
      </c>
      <c r="M3214" s="815">
        <v>0.47916666666666669</v>
      </c>
      <c r="N3214" s="187">
        <v>1.5</v>
      </c>
      <c r="O3214" s="188" t="s">
        <v>17</v>
      </c>
      <c r="P3214" s="197" t="s">
        <v>4641</v>
      </c>
      <c r="Q3214" s="179" t="s">
        <v>1441</v>
      </c>
      <c r="R3214" s="31" t="s">
        <v>95</v>
      </c>
      <c r="S3214" s="31" t="s">
        <v>273</v>
      </c>
      <c r="T3214" s="31" t="s">
        <v>273</v>
      </c>
      <c r="U3214" s="31">
        <f>IFERROR(VLOOKUP(CONCATENATE(Tabla1[[#This Row],[Severidad]]," ",Tabla1[[#This Row],[Complejidad]]),Catalogos!E$120:G$128,3,FALSE),"")</f>
        <v>64</v>
      </c>
      <c r="V3214" s="31" t="str">
        <f>IF(Tabla1[[#This Row],[Tiempo solución max (hrs)]]&lt;&gt;"",IF(Tabla1[[#This Row],[Tiempo solución max (hrs)]]&gt;=Tabla1[[#This Row],[Tiempo
(Hrs 00/100)]],"cumple","no cumple"),"")</f>
        <v>cumple</v>
      </c>
      <c r="W3214" s="222" t="s">
        <v>5372</v>
      </c>
      <c r="X3214" s="18" t="str">
        <f t="shared" si="234"/>
        <v>SSI</v>
      </c>
      <c r="Y3214" t="str">
        <f>SUBSTITUTE(Tabla1[[#This Row],[Descripción]],CHAR(10),"    I    ")</f>
        <v>Se reconstruyerón las consultas del 8vo procedimiento de 'OBTENER_FG_DESECHADO' de QUEJAS</v>
      </c>
      <c r="Z3214" s="112">
        <f>VLOOKUP(Tabla1[[#This Row],[Perfil]],Catalogos!$B$75:$D$100,3,FALSE)*Tabla1[[#This Row],[Tiempo
(Hrs 00/100)]]*1.16</f>
        <v>1044</v>
      </c>
    </row>
    <row r="3215" spans="1:26" ht="30" customHeight="1" x14ac:dyDescent="0.3">
      <c r="A3215" s="187" t="s">
        <v>22</v>
      </c>
      <c r="B3215" s="187" t="s">
        <v>23</v>
      </c>
      <c r="C3215" s="187" t="s">
        <v>257</v>
      </c>
      <c r="D3215" s="187"/>
      <c r="E3215" s="187" t="s">
        <v>408</v>
      </c>
      <c r="F3215" s="187" t="s">
        <v>23</v>
      </c>
      <c r="G3215" s="702" t="s">
        <v>5944</v>
      </c>
      <c r="H3215" s="186" t="s">
        <v>5794</v>
      </c>
      <c r="I3215" s="189" t="s">
        <v>5795</v>
      </c>
      <c r="J3215" s="811">
        <v>45266</v>
      </c>
      <c r="K3215" s="815">
        <v>0.47916666666666669</v>
      </c>
      <c r="L3215" s="811">
        <v>45266</v>
      </c>
      <c r="M3215" s="815">
        <v>0.54166666666666663</v>
      </c>
      <c r="N3215" s="187">
        <v>1.5</v>
      </c>
      <c r="O3215" s="188" t="s">
        <v>17</v>
      </c>
      <c r="P3215" s="197" t="s">
        <v>4641</v>
      </c>
      <c r="Q3215" s="179" t="s">
        <v>1441</v>
      </c>
      <c r="R3215" s="31" t="s">
        <v>95</v>
      </c>
      <c r="S3215" s="31" t="s">
        <v>273</v>
      </c>
      <c r="T3215" s="31" t="s">
        <v>273</v>
      </c>
      <c r="U3215" s="31">
        <f>IFERROR(VLOOKUP(CONCATENATE(Tabla1[[#This Row],[Severidad]]," ",Tabla1[[#This Row],[Complejidad]]),Catalogos!E$120:G$128,3,FALSE),"")</f>
        <v>64</v>
      </c>
      <c r="V3215" s="31" t="str">
        <f>IF(Tabla1[[#This Row],[Tiempo solución max (hrs)]]&lt;&gt;"",IF(Tabla1[[#This Row],[Tiempo solución max (hrs)]]&gt;=Tabla1[[#This Row],[Tiempo
(Hrs 00/100)]],"cumple","no cumple"),"")</f>
        <v>cumple</v>
      </c>
      <c r="W3215" s="222" t="s">
        <v>5372</v>
      </c>
      <c r="X3215" s="18" t="str">
        <f t="shared" si="234"/>
        <v>SSI</v>
      </c>
      <c r="Y3215" t="str">
        <f>SUBSTITUTE(Tabla1[[#This Row],[Descripción]],CHAR(10),"    I    ")</f>
        <v>Se trabajó con los ajustes del 8vo procedimiento de 'OBTENER_FG_DESECHADO', con el cambio del campo actualizado en la vista materializada, se compila sin errores</v>
      </c>
      <c r="Z3215" s="112">
        <f>VLOOKUP(Tabla1[[#This Row],[Perfil]],Catalogos!$B$75:$D$100,3,FALSE)*Tabla1[[#This Row],[Tiempo
(Hrs 00/100)]]*1.16</f>
        <v>1044</v>
      </c>
    </row>
    <row r="3216" spans="1:26" ht="30" customHeight="1" x14ac:dyDescent="0.3">
      <c r="A3216" s="187" t="s">
        <v>22</v>
      </c>
      <c r="B3216" s="187" t="s">
        <v>23</v>
      </c>
      <c r="C3216" s="187" t="s">
        <v>257</v>
      </c>
      <c r="D3216" s="187"/>
      <c r="E3216" s="187" t="s">
        <v>408</v>
      </c>
      <c r="F3216" s="187" t="s">
        <v>75</v>
      </c>
      <c r="G3216" s="702" t="s">
        <v>5945</v>
      </c>
      <c r="H3216" s="186" t="s">
        <v>4711</v>
      </c>
      <c r="I3216" s="189" t="s">
        <v>5796</v>
      </c>
      <c r="J3216" s="811">
        <v>45266</v>
      </c>
      <c r="K3216" s="815">
        <v>0.54166666666666663</v>
      </c>
      <c r="L3216" s="811">
        <v>45266</v>
      </c>
      <c r="M3216" s="815">
        <v>0.60416666666666663</v>
      </c>
      <c r="N3216" s="187">
        <v>1</v>
      </c>
      <c r="O3216" s="188" t="s">
        <v>17</v>
      </c>
      <c r="P3216" s="197" t="s">
        <v>4641</v>
      </c>
      <c r="Q3216" s="179" t="s">
        <v>1441</v>
      </c>
      <c r="R3216" s="31" t="s">
        <v>95</v>
      </c>
      <c r="S3216" s="31" t="s">
        <v>273</v>
      </c>
      <c r="T3216" s="31" t="s">
        <v>273</v>
      </c>
      <c r="U3216" s="31">
        <f>IFERROR(VLOOKUP(CONCATENATE(Tabla1[[#This Row],[Severidad]]," ",Tabla1[[#This Row],[Complejidad]]),Catalogos!E$120:G$128,3,FALSE),"")</f>
        <v>64</v>
      </c>
      <c r="V3216" s="31" t="str">
        <f>IF(Tabla1[[#This Row],[Tiempo solución max (hrs)]]&lt;&gt;"",IF(Tabla1[[#This Row],[Tiempo solución max (hrs)]]&gt;=Tabla1[[#This Row],[Tiempo
(Hrs 00/100)]],"cumple","no cumple"),"")</f>
        <v>cumple</v>
      </c>
      <c r="W3216" s="222" t="s">
        <v>5372</v>
      </c>
      <c r="X3216" s="18" t="str">
        <f t="shared" si="234"/>
        <v>SSI</v>
      </c>
      <c r="Y3216" t="str">
        <f>SUBSTITUTE(Tabla1[[#This Row],[Descripción]],CHAR(10),"    I    ")</f>
        <v>Se validó el paquete-procedimiento 'OBTENER_FG_DESECHADO' con el bloque anónimo correcto y se tuvo un resultado exitoso con la salida del cursor completo de nuevo</v>
      </c>
      <c r="Z3216" s="112">
        <f>VLOOKUP(Tabla1[[#This Row],[Perfil]],Catalogos!$B$75:$D$100,3,FALSE)*Tabla1[[#This Row],[Tiempo
(Hrs 00/100)]]*1.16</f>
        <v>696</v>
      </c>
    </row>
    <row r="3217" spans="1:26" ht="30" customHeight="1" x14ac:dyDescent="0.3">
      <c r="A3217" s="187" t="s">
        <v>22</v>
      </c>
      <c r="B3217" s="187" t="s">
        <v>23</v>
      </c>
      <c r="C3217" s="187" t="s">
        <v>257</v>
      </c>
      <c r="D3217" s="187"/>
      <c r="E3217" s="187" t="s">
        <v>408</v>
      </c>
      <c r="F3217" s="187" t="s">
        <v>23</v>
      </c>
      <c r="G3217" s="702" t="s">
        <v>5946</v>
      </c>
      <c r="H3217" s="186" t="s">
        <v>5797</v>
      </c>
      <c r="I3217" s="189" t="s">
        <v>5797</v>
      </c>
      <c r="J3217" s="811">
        <v>45266</v>
      </c>
      <c r="K3217" s="815">
        <v>0.625</v>
      </c>
      <c r="L3217" s="811">
        <v>45266</v>
      </c>
      <c r="M3217" s="815">
        <v>0.6875</v>
      </c>
      <c r="N3217" s="187">
        <v>1.5</v>
      </c>
      <c r="O3217" s="188" t="s">
        <v>17</v>
      </c>
      <c r="P3217" s="197" t="s">
        <v>4641</v>
      </c>
      <c r="Q3217" s="179" t="s">
        <v>1441</v>
      </c>
      <c r="R3217" s="31" t="s">
        <v>95</v>
      </c>
      <c r="S3217" s="31" t="s">
        <v>273</v>
      </c>
      <c r="T3217" s="31" t="s">
        <v>273</v>
      </c>
      <c r="U3217" s="31">
        <f>IFERROR(VLOOKUP(CONCATENATE(Tabla1[[#This Row],[Severidad]]," ",Tabla1[[#This Row],[Complejidad]]),Catalogos!E$120:G$128,3,FALSE),"")</f>
        <v>64</v>
      </c>
      <c r="V3217" s="31" t="str">
        <f>IF(Tabla1[[#This Row],[Tiempo solución max (hrs)]]&lt;&gt;"",IF(Tabla1[[#This Row],[Tiempo solución max (hrs)]]&gt;=Tabla1[[#This Row],[Tiempo
(Hrs 00/100)]],"cumple","no cumple"),"")</f>
        <v>cumple</v>
      </c>
      <c r="W3217" s="222" t="s">
        <v>5372</v>
      </c>
      <c r="X3217" s="18" t="str">
        <f t="shared" si="234"/>
        <v>SSI</v>
      </c>
      <c r="Y3217" t="str">
        <f>SUBSTITUTE(Tabla1[[#This Row],[Descripción]],CHAR(10),"    I    ")</f>
        <v>Se reconstruyerón las consultas del 9no procedimiento de 'OBTENER_FECHAINTERPOSICION' de QUEJAS</v>
      </c>
      <c r="Z3217" s="112">
        <f>VLOOKUP(Tabla1[[#This Row],[Perfil]],Catalogos!$B$75:$D$100,3,FALSE)*Tabla1[[#This Row],[Tiempo
(Hrs 00/100)]]*1.16</f>
        <v>1044</v>
      </c>
    </row>
    <row r="3218" spans="1:26" ht="30" customHeight="1" x14ac:dyDescent="0.3">
      <c r="A3218" s="187" t="s">
        <v>22</v>
      </c>
      <c r="B3218" s="187" t="s">
        <v>23</v>
      </c>
      <c r="C3218" s="187" t="s">
        <v>257</v>
      </c>
      <c r="D3218" s="187"/>
      <c r="E3218" s="187" t="s">
        <v>408</v>
      </c>
      <c r="F3218" s="187" t="s">
        <v>23</v>
      </c>
      <c r="G3218" s="702" t="s">
        <v>5947</v>
      </c>
      <c r="H3218" s="186" t="s">
        <v>5798</v>
      </c>
      <c r="I3218" s="189" t="s">
        <v>5799</v>
      </c>
      <c r="J3218" s="811">
        <v>45266</v>
      </c>
      <c r="K3218" s="815">
        <v>0.6875</v>
      </c>
      <c r="L3218" s="811">
        <v>45266</v>
      </c>
      <c r="M3218" s="815">
        <v>0.72916666666666663</v>
      </c>
      <c r="N3218" s="187">
        <v>1</v>
      </c>
      <c r="O3218" s="188" t="s">
        <v>17</v>
      </c>
      <c r="P3218" s="197" t="s">
        <v>4641</v>
      </c>
      <c r="Q3218" s="179" t="s">
        <v>1441</v>
      </c>
      <c r="R3218" s="31" t="s">
        <v>95</v>
      </c>
      <c r="S3218" s="31" t="s">
        <v>273</v>
      </c>
      <c r="T3218" s="31" t="s">
        <v>273</v>
      </c>
      <c r="U3218" s="31">
        <f>IFERROR(VLOOKUP(CONCATENATE(Tabla1[[#This Row],[Severidad]]," ",Tabla1[[#This Row],[Complejidad]]),Catalogos!E$120:G$128,3,FALSE),"")</f>
        <v>64</v>
      </c>
      <c r="V3218" s="31" t="str">
        <f>IF(Tabla1[[#This Row],[Tiempo solución max (hrs)]]&lt;&gt;"",IF(Tabla1[[#This Row],[Tiempo solución max (hrs)]]&gt;=Tabla1[[#This Row],[Tiempo
(Hrs 00/100)]],"cumple","no cumple"),"")</f>
        <v>cumple</v>
      </c>
      <c r="W3218" s="222" t="s">
        <v>5372</v>
      </c>
      <c r="X3218" s="18" t="str">
        <f t="shared" si="234"/>
        <v>SSI</v>
      </c>
      <c r="Y3218" t="str">
        <f>SUBSTITUTE(Tabla1[[#This Row],[Descripción]],CHAR(10),"    I    ")</f>
        <v>Se trabajó con los ajustes del 9no procedimiento de 'OBTENER_FECHAINTERPOSICION', con el cambio del campo actualizado en la vista materializada, se compila sin errores</v>
      </c>
      <c r="Z3218" s="112">
        <f>VLOOKUP(Tabla1[[#This Row],[Perfil]],Catalogos!$B$75:$D$100,3,FALSE)*Tabla1[[#This Row],[Tiempo
(Hrs 00/100)]]*1.16</f>
        <v>696</v>
      </c>
    </row>
    <row r="3219" spans="1:26" ht="30" customHeight="1" x14ac:dyDescent="0.3">
      <c r="A3219" s="187" t="s">
        <v>22</v>
      </c>
      <c r="B3219" s="187" t="s">
        <v>23</v>
      </c>
      <c r="C3219" s="187" t="s">
        <v>257</v>
      </c>
      <c r="D3219" s="187"/>
      <c r="E3219" s="187" t="s">
        <v>408</v>
      </c>
      <c r="F3219" s="187" t="s">
        <v>75</v>
      </c>
      <c r="G3219" s="702" t="s">
        <v>5948</v>
      </c>
      <c r="H3219" s="186" t="s">
        <v>4717</v>
      </c>
      <c r="I3219" s="189" t="s">
        <v>5800</v>
      </c>
      <c r="J3219" s="811">
        <v>45266</v>
      </c>
      <c r="K3219" s="815">
        <v>0.72916666666666663</v>
      </c>
      <c r="L3219" s="811">
        <v>45266</v>
      </c>
      <c r="M3219" s="815">
        <v>0.85416666666666663</v>
      </c>
      <c r="N3219" s="187">
        <v>3</v>
      </c>
      <c r="O3219" s="188" t="s">
        <v>17</v>
      </c>
      <c r="P3219" s="197" t="s">
        <v>4641</v>
      </c>
      <c r="Q3219" s="179" t="s">
        <v>1441</v>
      </c>
      <c r="R3219" s="31" t="s">
        <v>95</v>
      </c>
      <c r="S3219" s="31" t="s">
        <v>273</v>
      </c>
      <c r="T3219" s="31" t="s">
        <v>273</v>
      </c>
      <c r="U3219" s="31">
        <f>IFERROR(VLOOKUP(CONCATENATE(Tabla1[[#This Row],[Severidad]]," ",Tabla1[[#This Row],[Complejidad]]),Catalogos!E$120:G$128,3,FALSE),"")</f>
        <v>64</v>
      </c>
      <c r="V3219" s="31" t="str">
        <f>IF(Tabla1[[#This Row],[Tiempo solución max (hrs)]]&lt;&gt;"",IF(Tabla1[[#This Row],[Tiempo solución max (hrs)]]&gt;=Tabla1[[#This Row],[Tiempo
(Hrs 00/100)]],"cumple","no cumple"),"")</f>
        <v>cumple</v>
      </c>
      <c r="W3219" s="222" t="s">
        <v>5372</v>
      </c>
      <c r="X3219" s="18" t="str">
        <f t="shared" si="234"/>
        <v>SSI</v>
      </c>
      <c r="Y3219" t="str">
        <f>SUBSTITUTE(Tabla1[[#This Row],[Descripción]],CHAR(10),"    I    ")</f>
        <v>Se validó el paquete-procedimiento 'OBTENER_FECHAINTERPOSICION' con el bloque anónimo correcto y se tuvo un resultado exitoso con la salida del cursor completo de nuevo</v>
      </c>
      <c r="Z3219" s="112">
        <f>VLOOKUP(Tabla1[[#This Row],[Perfil]],Catalogos!$B$75:$D$100,3,FALSE)*Tabla1[[#This Row],[Tiempo
(Hrs 00/100)]]*1.16</f>
        <v>2088</v>
      </c>
    </row>
    <row r="3220" spans="1:26" ht="30" customHeight="1" x14ac:dyDescent="0.3">
      <c r="A3220" s="187" t="s">
        <v>22</v>
      </c>
      <c r="B3220" s="187" t="s">
        <v>23</v>
      </c>
      <c r="C3220" s="187" t="s">
        <v>257</v>
      </c>
      <c r="D3220" s="187"/>
      <c r="E3220" s="187" t="s">
        <v>408</v>
      </c>
      <c r="F3220" s="187" t="s">
        <v>23</v>
      </c>
      <c r="G3220" s="702" t="s">
        <v>5949</v>
      </c>
      <c r="H3220" s="186" t="s">
        <v>5801</v>
      </c>
      <c r="I3220" s="189" t="s">
        <v>5801</v>
      </c>
      <c r="J3220" s="811">
        <v>45267</v>
      </c>
      <c r="K3220" s="815">
        <v>0.375</v>
      </c>
      <c r="L3220" s="811">
        <v>45267</v>
      </c>
      <c r="M3220" s="815">
        <v>0.4375</v>
      </c>
      <c r="N3220" s="187">
        <v>1.5</v>
      </c>
      <c r="O3220" s="188" t="s">
        <v>17</v>
      </c>
      <c r="P3220" s="197" t="s">
        <v>4641</v>
      </c>
      <c r="Q3220" s="179" t="s">
        <v>1441</v>
      </c>
      <c r="R3220" s="31" t="s">
        <v>95</v>
      </c>
      <c r="S3220" s="31" t="s">
        <v>273</v>
      </c>
      <c r="T3220" s="31" t="s">
        <v>273</v>
      </c>
      <c r="U3220" s="31">
        <f>IFERROR(VLOOKUP(CONCATENATE(Tabla1[[#This Row],[Severidad]]," ",Tabla1[[#This Row],[Complejidad]]),Catalogos!E$120:G$128,3,FALSE),"")</f>
        <v>64</v>
      </c>
      <c r="V3220" s="31" t="str">
        <f>IF(Tabla1[[#This Row],[Tiempo solución max (hrs)]]&lt;&gt;"",IF(Tabla1[[#This Row],[Tiempo solución max (hrs)]]&gt;=Tabla1[[#This Row],[Tiempo
(Hrs 00/100)]],"cumple","no cumple"),"")</f>
        <v>cumple</v>
      </c>
      <c r="W3220" s="222" t="s">
        <v>5372</v>
      </c>
      <c r="X3220" s="18" t="str">
        <f t="shared" si="234"/>
        <v>SSI</v>
      </c>
      <c r="Y3220" t="str">
        <f>SUBSTITUTE(Tabla1[[#This Row],[Descripción]],CHAR(10),"    I    ")</f>
        <v>Se reconstruyerón las consultas del 10mo procedimiento de 'OBTENER_FG_RESOLUCION' de QUEJAS</v>
      </c>
      <c r="Z3220" s="112">
        <f>VLOOKUP(Tabla1[[#This Row],[Perfil]],Catalogos!$B$75:$D$100,3,FALSE)*Tabla1[[#This Row],[Tiempo
(Hrs 00/100)]]*1.16</f>
        <v>1044</v>
      </c>
    </row>
    <row r="3221" spans="1:26" ht="30" customHeight="1" x14ac:dyDescent="0.3">
      <c r="A3221" s="187" t="s">
        <v>22</v>
      </c>
      <c r="B3221" s="187" t="s">
        <v>23</v>
      </c>
      <c r="C3221" s="187" t="s">
        <v>257</v>
      </c>
      <c r="D3221" s="187"/>
      <c r="E3221" s="187" t="s">
        <v>408</v>
      </c>
      <c r="F3221" s="187" t="s">
        <v>23</v>
      </c>
      <c r="G3221" s="702" t="s">
        <v>5950</v>
      </c>
      <c r="H3221" s="186" t="s">
        <v>5802</v>
      </c>
      <c r="I3221" s="189" t="s">
        <v>5803</v>
      </c>
      <c r="J3221" s="811">
        <v>45267</v>
      </c>
      <c r="K3221" s="815">
        <v>0.4375</v>
      </c>
      <c r="L3221" s="811">
        <v>45267</v>
      </c>
      <c r="M3221" s="815">
        <v>0.5</v>
      </c>
      <c r="N3221" s="187">
        <v>1.5</v>
      </c>
      <c r="O3221" s="188" t="s">
        <v>17</v>
      </c>
      <c r="P3221" s="197" t="s">
        <v>4641</v>
      </c>
      <c r="Q3221" s="179" t="s">
        <v>1441</v>
      </c>
      <c r="R3221" s="31" t="s">
        <v>95</v>
      </c>
      <c r="S3221" s="31" t="s">
        <v>273</v>
      </c>
      <c r="T3221" s="31" t="s">
        <v>273</v>
      </c>
      <c r="U3221" s="31">
        <f>IFERROR(VLOOKUP(CONCATENATE(Tabla1[[#This Row],[Severidad]]," ",Tabla1[[#This Row],[Complejidad]]),Catalogos!E$120:G$128,3,FALSE),"")</f>
        <v>64</v>
      </c>
      <c r="V3221" s="31" t="str">
        <f>IF(Tabla1[[#This Row],[Tiempo solución max (hrs)]]&lt;&gt;"",IF(Tabla1[[#This Row],[Tiempo solución max (hrs)]]&gt;=Tabla1[[#This Row],[Tiempo
(Hrs 00/100)]],"cumple","no cumple"),"")</f>
        <v>cumple</v>
      </c>
      <c r="W3221" s="222" t="s">
        <v>5372</v>
      </c>
      <c r="X3221" s="18" t="str">
        <f t="shared" si="234"/>
        <v>SSI</v>
      </c>
      <c r="Y3221" t="str">
        <f>SUBSTITUTE(Tabla1[[#This Row],[Descripción]],CHAR(10),"    I    ")</f>
        <v>Se trabajó con los ajustes del 10mo procedimiento de 'OBTENER_FG_RESOLUCION', con el cambio del campo actualizado en la vista materializada, se compila sin errores</v>
      </c>
      <c r="Z3221" s="112">
        <f>VLOOKUP(Tabla1[[#This Row],[Perfil]],Catalogos!$B$75:$D$100,3,FALSE)*Tabla1[[#This Row],[Tiempo
(Hrs 00/100)]]*1.16</f>
        <v>1044</v>
      </c>
    </row>
    <row r="3222" spans="1:26" ht="30" customHeight="1" x14ac:dyDescent="0.3">
      <c r="A3222" s="187" t="s">
        <v>22</v>
      </c>
      <c r="B3222" s="187" t="s">
        <v>23</v>
      </c>
      <c r="C3222" s="187" t="s">
        <v>257</v>
      </c>
      <c r="D3222" s="187"/>
      <c r="E3222" s="187" t="s">
        <v>408</v>
      </c>
      <c r="F3222" s="187" t="s">
        <v>75</v>
      </c>
      <c r="G3222" s="702" t="s">
        <v>5951</v>
      </c>
      <c r="H3222" s="186" t="s">
        <v>4769</v>
      </c>
      <c r="I3222" s="189" t="s">
        <v>5804</v>
      </c>
      <c r="J3222" s="811">
        <v>45267</v>
      </c>
      <c r="K3222" s="815">
        <v>0.5</v>
      </c>
      <c r="L3222" s="811">
        <v>45267</v>
      </c>
      <c r="M3222" s="815">
        <v>0.54166666666666663</v>
      </c>
      <c r="N3222" s="187">
        <v>1</v>
      </c>
      <c r="O3222" s="188" t="s">
        <v>17</v>
      </c>
      <c r="P3222" s="197" t="s">
        <v>4641</v>
      </c>
      <c r="Q3222" s="179" t="s">
        <v>1441</v>
      </c>
      <c r="R3222" s="31" t="s">
        <v>95</v>
      </c>
      <c r="S3222" s="31" t="s">
        <v>273</v>
      </c>
      <c r="T3222" s="31" t="s">
        <v>273</v>
      </c>
      <c r="U3222" s="31">
        <f>IFERROR(VLOOKUP(CONCATENATE(Tabla1[[#This Row],[Severidad]]," ",Tabla1[[#This Row],[Complejidad]]),Catalogos!E$120:G$128,3,FALSE),"")</f>
        <v>64</v>
      </c>
      <c r="V3222" s="31" t="str">
        <f>IF(Tabla1[[#This Row],[Tiempo solución max (hrs)]]&lt;&gt;"",IF(Tabla1[[#This Row],[Tiempo solución max (hrs)]]&gt;=Tabla1[[#This Row],[Tiempo
(Hrs 00/100)]],"cumple","no cumple"),"")</f>
        <v>cumple</v>
      </c>
      <c r="W3222" s="222" t="s">
        <v>5372</v>
      </c>
      <c r="X3222" s="18" t="str">
        <f t="shared" ref="X3222:X3281" si="235">IF(C3222&lt;&gt;"",C3222,D3222)</f>
        <v>SSI</v>
      </c>
      <c r="Y3222" t="str">
        <f>SUBSTITUTE(Tabla1[[#This Row],[Descripción]],CHAR(10),"    I    ")</f>
        <v>Se validó el paquete-procedimiento 'OBTENER_FG_RESOLUCION' con el bloque anónimo correcto y se tuvo un resultado exitoso con la salida del cursor completo de nuevo</v>
      </c>
      <c r="Z3222" s="112">
        <f>VLOOKUP(Tabla1[[#This Row],[Perfil]],Catalogos!$B$75:$D$100,3,FALSE)*Tabla1[[#This Row],[Tiempo
(Hrs 00/100)]]*1.16</f>
        <v>696</v>
      </c>
    </row>
    <row r="3223" spans="1:26" ht="30" customHeight="1" x14ac:dyDescent="0.3">
      <c r="A3223" s="187" t="s">
        <v>22</v>
      </c>
      <c r="B3223" s="187" t="s">
        <v>305</v>
      </c>
      <c r="C3223" s="187" t="s">
        <v>257</v>
      </c>
      <c r="D3223" s="187"/>
      <c r="E3223" s="187" t="s">
        <v>408</v>
      </c>
      <c r="F3223" s="187" t="s">
        <v>72</v>
      </c>
      <c r="G3223" s="702" t="s">
        <v>5952</v>
      </c>
      <c r="H3223" s="186" t="s">
        <v>5805</v>
      </c>
      <c r="I3223" s="816" t="s">
        <v>5806</v>
      </c>
      <c r="J3223" s="811">
        <v>45267</v>
      </c>
      <c r="K3223" s="815">
        <v>0.54166666666666663</v>
      </c>
      <c r="L3223" s="811">
        <v>45267</v>
      </c>
      <c r="M3223" s="815">
        <v>0.60416666666666663</v>
      </c>
      <c r="N3223" s="187">
        <v>1.5</v>
      </c>
      <c r="O3223" s="188" t="s">
        <v>17</v>
      </c>
      <c r="P3223" s="197" t="s">
        <v>5807</v>
      </c>
      <c r="Q3223" s="179" t="s">
        <v>1441</v>
      </c>
      <c r="R3223" s="31" t="s">
        <v>95</v>
      </c>
      <c r="S3223" s="31" t="s">
        <v>273</v>
      </c>
      <c r="T3223" s="31" t="s">
        <v>273</v>
      </c>
      <c r="U3223" s="31">
        <f>IFERROR(VLOOKUP(CONCATENATE(Tabla1[[#This Row],[Severidad]]," ",Tabla1[[#This Row],[Complejidad]]),Catalogos!E$120:G$128,3,FALSE),"")</f>
        <v>64</v>
      </c>
      <c r="V3223" s="31" t="str">
        <f>IF(Tabla1[[#This Row],[Tiempo solución max (hrs)]]&lt;&gt;"",IF(Tabla1[[#This Row],[Tiempo solución max (hrs)]]&gt;=Tabla1[[#This Row],[Tiempo
(Hrs 00/100)]],"cumple","no cumple"),"")</f>
        <v>cumple</v>
      </c>
      <c r="W3223" s="222" t="s">
        <v>5372</v>
      </c>
      <c r="X3223" s="18" t="str">
        <f t="shared" si="235"/>
        <v>SSI</v>
      </c>
      <c r="Y3223" t="str">
        <f>SUBSTITUTE(Tabla1[[#This Row],[Descripción]],CHAR(10),"    I    ")</f>
        <v>Se revisó el archivo 'Querys_Estadisiticas_Totales Nuevo' proporcionado por Samuel</v>
      </c>
      <c r="Z3223" s="112">
        <f>VLOOKUP(Tabla1[[#This Row],[Perfil]],Catalogos!$B$75:$D$100,3,FALSE)*Tabla1[[#This Row],[Tiempo
(Hrs 00/100)]]*1.16</f>
        <v>1044</v>
      </c>
    </row>
    <row r="3224" spans="1:26" ht="30" customHeight="1" x14ac:dyDescent="0.3">
      <c r="A3224" s="187" t="s">
        <v>22</v>
      </c>
      <c r="B3224" s="187" t="s">
        <v>305</v>
      </c>
      <c r="C3224" s="187" t="s">
        <v>257</v>
      </c>
      <c r="D3224" s="187"/>
      <c r="E3224" s="187" t="s">
        <v>408</v>
      </c>
      <c r="F3224" s="187" t="s">
        <v>72</v>
      </c>
      <c r="G3224" s="702" t="s">
        <v>5953</v>
      </c>
      <c r="H3224" s="186" t="s">
        <v>5808</v>
      </c>
      <c r="I3224" s="816" t="s">
        <v>5809</v>
      </c>
      <c r="J3224" s="811">
        <v>45267</v>
      </c>
      <c r="K3224" s="815">
        <v>0.70833333333333337</v>
      </c>
      <c r="L3224" s="811">
        <v>45267</v>
      </c>
      <c r="M3224" s="815">
        <v>0.66666666666666663</v>
      </c>
      <c r="N3224" s="187">
        <v>1</v>
      </c>
      <c r="O3224" s="188" t="s">
        <v>17</v>
      </c>
      <c r="P3224" s="197" t="s">
        <v>5807</v>
      </c>
      <c r="Q3224" s="179" t="s">
        <v>1441</v>
      </c>
      <c r="R3224" s="31" t="s">
        <v>95</v>
      </c>
      <c r="S3224" s="31" t="s">
        <v>273</v>
      </c>
      <c r="T3224" s="31" t="s">
        <v>273</v>
      </c>
      <c r="U3224" s="31">
        <f>IFERROR(VLOOKUP(CONCATENATE(Tabla1[[#This Row],[Severidad]]," ",Tabla1[[#This Row],[Complejidad]]),Catalogos!E$120:G$128,3,FALSE),"")</f>
        <v>64</v>
      </c>
      <c r="V3224" s="31" t="str">
        <f>IF(Tabla1[[#This Row],[Tiempo solución max (hrs)]]&lt;&gt;"",IF(Tabla1[[#This Row],[Tiempo solución max (hrs)]]&gt;=Tabla1[[#This Row],[Tiempo
(Hrs 00/100)]],"cumple","no cumple"),"")</f>
        <v>cumple</v>
      </c>
      <c r="W3224" s="222" t="s">
        <v>5372</v>
      </c>
      <c r="X3224" s="18" t="str">
        <f t="shared" si="235"/>
        <v>SSI</v>
      </c>
      <c r="Y3224" t="str">
        <f>SUBSTITUTE(Tabla1[[#This Row],[Descripción]],CHAR(10),"    I    ")</f>
        <v>Se dio retroalimentación rapida a Samuel sobre cuantos querys se van a trabajar del archivo 'Querys_Estadisiticas_Totales Nuevo'</v>
      </c>
      <c r="Z3224" s="112">
        <f>VLOOKUP(Tabla1[[#This Row],[Perfil]],Catalogos!$B$75:$D$100,3,FALSE)*Tabla1[[#This Row],[Tiempo
(Hrs 00/100)]]*1.16</f>
        <v>696</v>
      </c>
    </row>
    <row r="3225" spans="1:26" ht="30" customHeight="1" x14ac:dyDescent="0.3">
      <c r="A3225" s="187" t="s">
        <v>22</v>
      </c>
      <c r="B3225" s="187" t="s">
        <v>305</v>
      </c>
      <c r="C3225" s="187" t="s">
        <v>257</v>
      </c>
      <c r="D3225" s="187"/>
      <c r="E3225" s="187" t="s">
        <v>408</v>
      </c>
      <c r="F3225" s="187" t="s">
        <v>72</v>
      </c>
      <c r="G3225" s="702" t="s">
        <v>5954</v>
      </c>
      <c r="H3225" s="186" t="s">
        <v>5810</v>
      </c>
      <c r="I3225" s="816" t="s">
        <v>5811</v>
      </c>
      <c r="J3225" s="811">
        <v>45267</v>
      </c>
      <c r="K3225" s="815">
        <v>0.66666666666666663</v>
      </c>
      <c r="L3225" s="811">
        <v>45267</v>
      </c>
      <c r="M3225" s="815">
        <v>0.72916666666666663</v>
      </c>
      <c r="N3225" s="187">
        <v>1.5</v>
      </c>
      <c r="O3225" s="188" t="s">
        <v>17</v>
      </c>
      <c r="P3225" s="197" t="s">
        <v>5807</v>
      </c>
      <c r="Q3225" s="179" t="s">
        <v>1441</v>
      </c>
      <c r="R3225" s="31" t="s">
        <v>95</v>
      </c>
      <c r="S3225" s="31" t="s">
        <v>273</v>
      </c>
      <c r="T3225" s="31" t="s">
        <v>273</v>
      </c>
      <c r="U3225" s="31">
        <f>IFERROR(VLOOKUP(CONCATENATE(Tabla1[[#This Row],[Severidad]]," ",Tabla1[[#This Row],[Complejidad]]),Catalogos!E$120:G$128,3,FALSE),"")</f>
        <v>64</v>
      </c>
      <c r="V3225" s="31" t="str">
        <f>IF(Tabla1[[#This Row],[Tiempo solución max (hrs)]]&lt;&gt;"",IF(Tabla1[[#This Row],[Tiempo solución max (hrs)]]&gt;=Tabla1[[#This Row],[Tiempo
(Hrs 00/100)]],"cumple","no cumple"),"")</f>
        <v>cumple</v>
      </c>
      <c r="W3225" s="222" t="s">
        <v>5372</v>
      </c>
      <c r="X3225" s="18" t="str">
        <f t="shared" si="235"/>
        <v>SSI</v>
      </c>
      <c r="Y3225" t="str">
        <f>SUBSTITUTE(Tabla1[[#This Row],[Descripción]],CHAR(10),"    I    ")</f>
        <v>Se revisó el query 1 de 'TOTAL DE SOLICITUDES DE INFORMACIÓN' del archivo 'Querys_Estadisiticas_Totales Nuevo' de forma general, para verificar si no hay dudas a revisar con Samuel</v>
      </c>
      <c r="Z3225" s="55">
        <f>VLOOKUP(Tabla1[[#This Row],[Perfil]],Catalogos!$B$75:$D$100,3,FALSE)*Tabla1[[#This Row],[Tiempo
(Hrs 00/100)]]*1.16</f>
        <v>1044</v>
      </c>
    </row>
    <row r="3226" spans="1:26" ht="71.25" customHeight="1" x14ac:dyDescent="0.3">
      <c r="A3226" s="187" t="s">
        <v>22</v>
      </c>
      <c r="B3226" s="187" t="s">
        <v>305</v>
      </c>
      <c r="C3226" s="187" t="s">
        <v>257</v>
      </c>
      <c r="D3226" s="187"/>
      <c r="E3226" s="187" t="s">
        <v>408</v>
      </c>
      <c r="F3226" s="187" t="s">
        <v>72</v>
      </c>
      <c r="G3226" s="702" t="s">
        <v>5955</v>
      </c>
      <c r="H3226" s="186" t="s">
        <v>5812</v>
      </c>
      <c r="I3226" s="816" t="s">
        <v>5813</v>
      </c>
      <c r="J3226" s="811">
        <v>45267</v>
      </c>
      <c r="K3226" s="833">
        <v>0.72916666666666663</v>
      </c>
      <c r="L3226" s="811">
        <v>45267</v>
      </c>
      <c r="M3226" s="815">
        <v>0.85416666666666663</v>
      </c>
      <c r="N3226" s="187">
        <v>3</v>
      </c>
      <c r="O3226" s="188" t="s">
        <v>17</v>
      </c>
      <c r="P3226" s="197" t="s">
        <v>5807</v>
      </c>
      <c r="Q3226" s="179" t="s">
        <v>1441</v>
      </c>
      <c r="R3226" s="31" t="s">
        <v>95</v>
      </c>
      <c r="S3226" s="31" t="s">
        <v>273</v>
      </c>
      <c r="T3226" s="31" t="s">
        <v>273</v>
      </c>
      <c r="U3226" s="31">
        <f>IFERROR(VLOOKUP(CONCATENATE(Tabla1[[#This Row],[Severidad]]," ",Tabla1[[#This Row],[Complejidad]]),Catalogos!E$120:G$128,3,FALSE),"")</f>
        <v>64</v>
      </c>
      <c r="V3226" s="31" t="str">
        <f>IF(Tabla1[[#This Row],[Tiempo solución max (hrs)]]&lt;&gt;"",IF(Tabla1[[#This Row],[Tiempo solución max (hrs)]]&gt;=Tabla1[[#This Row],[Tiempo
(Hrs 00/100)]],"cumple","no cumple"),"")</f>
        <v>cumple</v>
      </c>
      <c r="W3226" s="222" t="s">
        <v>5372</v>
      </c>
      <c r="X3226" s="18" t="str">
        <f t="shared" si="235"/>
        <v>SSI</v>
      </c>
      <c r="Y3226" t="str">
        <f>SUBSTITUTE(Tabla1[[#This Row],[Descripción]],CHAR(10),"    I    ")</f>
        <v>Se revisó el query 1 de 'TOTAL DE RECURSOS DE REVISIÓN INGRESADOS ' del archivo 'Querys_Estadisiticas_Totales_Nuevo' de forma general, para verificar si no hay dudas a revisar con Samuel</v>
      </c>
      <c r="Z3226" s="55">
        <f>VLOOKUP(Tabla1[[#This Row],[Perfil]],Catalogos!$B$75:$D$100,3,FALSE)*Tabla1[[#This Row],[Tiempo
(Hrs 00/100)]]*1.16</f>
        <v>2088</v>
      </c>
    </row>
    <row r="3227" spans="1:26" ht="30" customHeight="1" x14ac:dyDescent="0.3">
      <c r="A3227" s="187" t="s">
        <v>22</v>
      </c>
      <c r="B3227" s="187" t="s">
        <v>305</v>
      </c>
      <c r="C3227" s="187" t="s">
        <v>257</v>
      </c>
      <c r="D3227" s="187"/>
      <c r="E3227" s="187" t="s">
        <v>408</v>
      </c>
      <c r="F3227" s="187" t="s">
        <v>72</v>
      </c>
      <c r="G3227" s="702" t="s">
        <v>5956</v>
      </c>
      <c r="H3227" s="186" t="s">
        <v>5814</v>
      </c>
      <c r="I3227" s="816" t="s">
        <v>5815</v>
      </c>
      <c r="J3227" s="811">
        <v>45268</v>
      </c>
      <c r="K3227" s="815">
        <v>0.375</v>
      </c>
      <c r="L3227" s="811">
        <v>45268</v>
      </c>
      <c r="M3227" s="815">
        <v>0.4375</v>
      </c>
      <c r="N3227" s="187">
        <v>1.5</v>
      </c>
      <c r="O3227" s="188" t="s">
        <v>17</v>
      </c>
      <c r="P3227" s="197" t="s">
        <v>5807</v>
      </c>
      <c r="Q3227" s="179" t="s">
        <v>1441</v>
      </c>
      <c r="R3227" s="31" t="s">
        <v>95</v>
      </c>
      <c r="S3227" s="31" t="s">
        <v>273</v>
      </c>
      <c r="T3227" s="31" t="s">
        <v>273</v>
      </c>
      <c r="U3227" s="31">
        <f>IFERROR(VLOOKUP(CONCATENATE(Tabla1[[#This Row],[Severidad]]," ",Tabla1[[#This Row],[Complejidad]]),Catalogos!E$120:G$128,3,FALSE),"")</f>
        <v>64</v>
      </c>
      <c r="V3227" s="31" t="str">
        <f>IF(Tabla1[[#This Row],[Tiempo solución max (hrs)]]&lt;&gt;"",IF(Tabla1[[#This Row],[Tiempo solución max (hrs)]]&gt;=Tabla1[[#This Row],[Tiempo
(Hrs 00/100)]],"cumple","no cumple"),"")</f>
        <v>cumple</v>
      </c>
      <c r="W3227" s="222" t="s">
        <v>5372</v>
      </c>
      <c r="X3227" s="18" t="str">
        <f t="shared" si="235"/>
        <v>SSI</v>
      </c>
      <c r="Y3227" t="str">
        <f>SUBSTITUTE(Tabla1[[#This Row],[Descripción]],CHAR(10),"    I    ")</f>
        <v>Se revisó el query 2 de 'TOTAL DE RECURSOS DE REVISIÓN INGRESADOS ' del archivo 'Querys_Estadisiticas_Totales_Nuevo' de forma general, para verificar si no hay dudas a revisar con Samuel</v>
      </c>
      <c r="Z3227" s="55">
        <f>VLOOKUP(Tabla1[[#This Row],[Perfil]],Catalogos!$B$75:$D$100,3,FALSE)*Tabla1[[#This Row],[Tiempo
(Hrs 00/100)]]*1.16</f>
        <v>1044</v>
      </c>
    </row>
    <row r="3228" spans="1:26" ht="30" customHeight="1" x14ac:dyDescent="0.3">
      <c r="A3228" s="187" t="s">
        <v>22</v>
      </c>
      <c r="B3228" s="187" t="s">
        <v>305</v>
      </c>
      <c r="C3228" s="187" t="s">
        <v>257</v>
      </c>
      <c r="D3228" s="187"/>
      <c r="E3228" s="187" t="s">
        <v>408</v>
      </c>
      <c r="F3228" s="187" t="s">
        <v>72</v>
      </c>
      <c r="G3228" s="702" t="s">
        <v>5957</v>
      </c>
      <c r="H3228" s="186" t="s">
        <v>5816</v>
      </c>
      <c r="I3228" s="816" t="s">
        <v>5817</v>
      </c>
      <c r="J3228" s="811">
        <v>45268</v>
      </c>
      <c r="K3228" s="815">
        <v>0.4375</v>
      </c>
      <c r="L3228" s="811">
        <v>45268</v>
      </c>
      <c r="M3228" s="815">
        <v>0.5</v>
      </c>
      <c r="N3228" s="187">
        <v>1.5</v>
      </c>
      <c r="O3228" s="188" t="s">
        <v>17</v>
      </c>
      <c r="P3228" s="197" t="s">
        <v>5807</v>
      </c>
      <c r="Q3228" s="179" t="s">
        <v>1441</v>
      </c>
      <c r="R3228" s="31" t="s">
        <v>95</v>
      </c>
      <c r="S3228" s="31" t="s">
        <v>273</v>
      </c>
      <c r="T3228" s="31" t="s">
        <v>273</v>
      </c>
      <c r="U3228" s="31">
        <f>IFERROR(VLOOKUP(CONCATENATE(Tabla1[[#This Row],[Severidad]]," ",Tabla1[[#This Row],[Complejidad]]),Catalogos!E$120:G$128,3,FALSE),"")</f>
        <v>64</v>
      </c>
      <c r="V3228" s="31" t="str">
        <f>IF(Tabla1[[#This Row],[Tiempo solución max (hrs)]]&lt;&gt;"",IF(Tabla1[[#This Row],[Tiempo solución max (hrs)]]&gt;=Tabla1[[#This Row],[Tiempo
(Hrs 00/100)]],"cumple","no cumple"),"")</f>
        <v>cumple</v>
      </c>
      <c r="W3228" s="222" t="s">
        <v>5372</v>
      </c>
      <c r="X3228" s="18" t="str">
        <f t="shared" si="235"/>
        <v>SSI</v>
      </c>
      <c r="Y3228" t="str">
        <f>SUBSTITUTE(Tabla1[[#This Row],[Descripción]],CHAR(10),"    I    ")</f>
        <v>Se revisó el query 3 de 'TOTAL DE RECURSOS DE REVISIÓN INGRESADOS ' del archivo 'Querys_Estadisiticas_Totales_Nuevo' de forma general, para verificar si no hay dudas a revisar con Samuel</v>
      </c>
      <c r="Z3228" s="55">
        <f>VLOOKUP(Tabla1[[#This Row],[Perfil]],Catalogos!$B$75:$D$100,3,FALSE)*Tabla1[[#This Row],[Tiempo
(Hrs 00/100)]]*1.16</f>
        <v>1044</v>
      </c>
    </row>
    <row r="3229" spans="1:26" ht="58.5" customHeight="1" x14ac:dyDescent="0.3">
      <c r="A3229" s="187" t="s">
        <v>22</v>
      </c>
      <c r="B3229" s="187" t="s">
        <v>305</v>
      </c>
      <c r="C3229" s="187" t="s">
        <v>257</v>
      </c>
      <c r="D3229" s="187"/>
      <c r="E3229" s="187" t="s">
        <v>408</v>
      </c>
      <c r="F3229" s="187" t="s">
        <v>72</v>
      </c>
      <c r="G3229" s="702" t="s">
        <v>5958</v>
      </c>
      <c r="H3229" s="186" t="s">
        <v>5818</v>
      </c>
      <c r="I3229" s="816" t="s">
        <v>5819</v>
      </c>
      <c r="J3229" s="811">
        <v>45268</v>
      </c>
      <c r="K3229" s="815">
        <v>0.5</v>
      </c>
      <c r="L3229" s="811">
        <v>45268</v>
      </c>
      <c r="M3229" s="815">
        <v>0.5625</v>
      </c>
      <c r="N3229" s="187">
        <v>1.5</v>
      </c>
      <c r="O3229" s="188" t="s">
        <v>17</v>
      </c>
      <c r="P3229" s="197" t="s">
        <v>5807</v>
      </c>
      <c r="Q3229" s="179" t="s">
        <v>1441</v>
      </c>
      <c r="R3229" s="31" t="s">
        <v>95</v>
      </c>
      <c r="S3229" s="31" t="s">
        <v>273</v>
      </c>
      <c r="T3229" s="31" t="s">
        <v>273</v>
      </c>
      <c r="U3229" s="31">
        <f>IFERROR(VLOOKUP(CONCATENATE(Tabla1[[#This Row],[Severidad]]," ",Tabla1[[#This Row],[Complejidad]]),Catalogos!E$120:G$128,3,FALSE),"")</f>
        <v>64</v>
      </c>
      <c r="V3229" s="31" t="str">
        <f>IF(Tabla1[[#This Row],[Tiempo solución max (hrs)]]&lt;&gt;"",IF(Tabla1[[#This Row],[Tiempo solución max (hrs)]]&gt;=Tabla1[[#This Row],[Tiempo
(Hrs 00/100)]],"cumple","no cumple"),"")</f>
        <v>cumple</v>
      </c>
      <c r="W3229" s="222" t="s">
        <v>5372</v>
      </c>
      <c r="X3229" s="18" t="str">
        <f t="shared" si="235"/>
        <v>SSI</v>
      </c>
      <c r="Y3229" t="str">
        <f>SUBSTITUTE(Tabla1[[#This Row],[Descripción]],CHAR(10),"    I    ")</f>
        <v>Se revisó el query 1 de 'TOTAL DE RECURSOS DE REVISIÓN GESTIONADOS' del archivo 'Querys_Estadisiticas_Totales_Nuevo' de forma general, para verificar si no hay dudas a revisar con Samuel</v>
      </c>
      <c r="Z3229" s="55">
        <f>VLOOKUP(Tabla1[[#This Row],[Perfil]],Catalogos!$B$75:$D$100,3,FALSE)*Tabla1[[#This Row],[Tiempo
(Hrs 00/100)]]*1.16</f>
        <v>1044</v>
      </c>
    </row>
    <row r="3230" spans="1:26" ht="30" customHeight="1" x14ac:dyDescent="0.3">
      <c r="A3230" s="187" t="s">
        <v>22</v>
      </c>
      <c r="B3230" s="187" t="s">
        <v>305</v>
      </c>
      <c r="C3230" s="187" t="s">
        <v>257</v>
      </c>
      <c r="D3230" s="187"/>
      <c r="E3230" s="187" t="s">
        <v>408</v>
      </c>
      <c r="F3230" s="187" t="s">
        <v>72</v>
      </c>
      <c r="G3230" s="702" t="s">
        <v>5959</v>
      </c>
      <c r="H3230" s="186" t="s">
        <v>5820</v>
      </c>
      <c r="I3230" s="816" t="s">
        <v>5821</v>
      </c>
      <c r="J3230" s="811">
        <v>45268</v>
      </c>
      <c r="K3230" s="815">
        <v>0.5625</v>
      </c>
      <c r="L3230" s="811">
        <v>45268</v>
      </c>
      <c r="M3230" s="815">
        <v>0.60416666666666663</v>
      </c>
      <c r="N3230" s="187">
        <v>1</v>
      </c>
      <c r="O3230" s="188" t="s">
        <v>17</v>
      </c>
      <c r="P3230" s="197" t="s">
        <v>5807</v>
      </c>
      <c r="Q3230" s="179" t="s">
        <v>1441</v>
      </c>
      <c r="R3230" s="31" t="s">
        <v>95</v>
      </c>
      <c r="S3230" s="31" t="s">
        <v>273</v>
      </c>
      <c r="T3230" s="31" t="s">
        <v>273</v>
      </c>
      <c r="U3230" s="31">
        <f>IFERROR(VLOOKUP(CONCATENATE(Tabla1[[#This Row],[Severidad]]," ",Tabla1[[#This Row],[Complejidad]]),Catalogos!E$120:G$128,3,FALSE),"")</f>
        <v>64</v>
      </c>
      <c r="V3230" s="31" t="str">
        <f>IF(Tabla1[[#This Row],[Tiempo solución max (hrs)]]&lt;&gt;"",IF(Tabla1[[#This Row],[Tiempo solución max (hrs)]]&gt;=Tabla1[[#This Row],[Tiempo
(Hrs 00/100)]],"cumple","no cumple"),"")</f>
        <v>cumple</v>
      </c>
      <c r="W3230" s="222" t="s">
        <v>5372</v>
      </c>
      <c r="X3230" s="18" t="str">
        <f t="shared" si="235"/>
        <v>SSI</v>
      </c>
      <c r="Y3230" t="str">
        <f>SUBSTITUTE(Tabla1[[#This Row],[Descripción]],CHAR(10),"    I    ")</f>
        <v>Se revisó el query 1 de 'TOTAL DE OBLIGACIONES DE TRANSPARENCIA' del archivo 'Querys_Estadisiticas_Totales_Nuevo' de forma general, para verificar si no hay dudas a revisar con Samuel</v>
      </c>
      <c r="Z3230" s="112">
        <f>VLOOKUP(Tabla1[[#This Row],[Perfil]],Catalogos!$B$75:$D$100,3,FALSE)*Tabla1[[#This Row],[Tiempo
(Hrs 00/100)]]*1.16</f>
        <v>696</v>
      </c>
    </row>
    <row r="3231" spans="1:26" ht="30" customHeight="1" x14ac:dyDescent="0.3">
      <c r="A3231" s="187" t="s">
        <v>22</v>
      </c>
      <c r="B3231" s="187" t="s">
        <v>305</v>
      </c>
      <c r="C3231" s="187" t="s">
        <v>257</v>
      </c>
      <c r="D3231" s="187"/>
      <c r="E3231" s="187" t="s">
        <v>408</v>
      </c>
      <c r="F3231" s="187" t="s">
        <v>72</v>
      </c>
      <c r="G3231" s="702" t="s">
        <v>5960</v>
      </c>
      <c r="H3231" s="186" t="s">
        <v>5822</v>
      </c>
      <c r="I3231" s="816" t="s">
        <v>5823</v>
      </c>
      <c r="J3231" s="811">
        <v>45268</v>
      </c>
      <c r="K3231" s="815">
        <v>0.66666666666666663</v>
      </c>
      <c r="L3231" s="811">
        <v>45268</v>
      </c>
      <c r="M3231" s="815">
        <v>0.70833333333333337</v>
      </c>
      <c r="N3231" s="187">
        <v>1</v>
      </c>
      <c r="O3231" s="188" t="s">
        <v>17</v>
      </c>
      <c r="P3231" s="197" t="s">
        <v>5807</v>
      </c>
      <c r="Q3231" s="179" t="s">
        <v>1441</v>
      </c>
      <c r="R3231" s="31" t="s">
        <v>95</v>
      </c>
      <c r="S3231" s="31" t="s">
        <v>273</v>
      </c>
      <c r="T3231" s="31" t="s">
        <v>273</v>
      </c>
      <c r="U3231" s="31">
        <f>IFERROR(VLOOKUP(CONCATENATE(Tabla1[[#This Row],[Severidad]]," ",Tabla1[[#This Row],[Complejidad]]),Catalogos!E$120:G$128,3,FALSE),"")</f>
        <v>64</v>
      </c>
      <c r="V3231" s="31" t="str">
        <f>IF(Tabla1[[#This Row],[Tiempo solución max (hrs)]]&lt;&gt;"",IF(Tabla1[[#This Row],[Tiempo solución max (hrs)]]&gt;=Tabla1[[#This Row],[Tiempo
(Hrs 00/100)]],"cumple","no cumple"),"")</f>
        <v>cumple</v>
      </c>
      <c r="W3231" s="222" t="s">
        <v>5372</v>
      </c>
      <c r="X3231" s="18" t="str">
        <f t="shared" si="235"/>
        <v>SSI</v>
      </c>
      <c r="Y3231" t="str">
        <f>SUBSTITUTE(Tabla1[[#This Row],[Descripción]],CHAR(10),"    I    ")</f>
        <v>Se revisó el query 1 de 'TOTAL CONSULTA EN LOS BUSCADORES' del archivo 'Querys_Estadisiticas_Totales_Nuevo' de forma general, para verificar si no hay dudas a revisar con Samuel</v>
      </c>
      <c r="Z3231" s="112">
        <f>VLOOKUP(Tabla1[[#This Row],[Perfil]],Catalogos!$B$75:$D$100,3,FALSE)*Tabla1[[#This Row],[Tiempo
(Hrs 00/100)]]*1.16</f>
        <v>696</v>
      </c>
    </row>
    <row r="3232" spans="1:26" ht="30" customHeight="1" x14ac:dyDescent="0.3">
      <c r="A3232" s="187" t="s">
        <v>22</v>
      </c>
      <c r="B3232" s="187" t="s">
        <v>305</v>
      </c>
      <c r="C3232" s="187" t="s">
        <v>257</v>
      </c>
      <c r="D3232" s="187"/>
      <c r="E3232" s="187" t="s">
        <v>408</v>
      </c>
      <c r="F3232" s="187" t="s">
        <v>72</v>
      </c>
      <c r="G3232" s="702" t="s">
        <v>5961</v>
      </c>
      <c r="H3232" s="186" t="s">
        <v>5824</v>
      </c>
      <c r="I3232" s="816" t="s">
        <v>5825</v>
      </c>
      <c r="J3232" s="811">
        <v>45268</v>
      </c>
      <c r="K3232" s="815">
        <v>0.70833333333333337</v>
      </c>
      <c r="L3232" s="811">
        <v>45268</v>
      </c>
      <c r="M3232" s="815">
        <v>0.75</v>
      </c>
      <c r="N3232" s="187">
        <v>1</v>
      </c>
      <c r="O3232" s="188" t="s">
        <v>17</v>
      </c>
      <c r="P3232" s="197" t="s">
        <v>5807</v>
      </c>
      <c r="Q3232" s="179" t="s">
        <v>1441</v>
      </c>
      <c r="R3232" s="31" t="s">
        <v>95</v>
      </c>
      <c r="S3232" s="31" t="s">
        <v>273</v>
      </c>
      <c r="T3232" s="31" t="s">
        <v>273</v>
      </c>
      <c r="U3232" s="31">
        <f>IFERROR(VLOOKUP(CONCATENATE(Tabla1[[#This Row],[Severidad]]," ",Tabla1[[#This Row],[Complejidad]]),Catalogos!E$120:G$128,3,FALSE),"")</f>
        <v>64</v>
      </c>
      <c r="V3232" s="31" t="str">
        <f>IF(Tabla1[[#This Row],[Tiempo solución max (hrs)]]&lt;&gt;"",IF(Tabla1[[#This Row],[Tiempo solución max (hrs)]]&gt;=Tabla1[[#This Row],[Tiempo
(Hrs 00/100)]],"cumple","no cumple"),"")</f>
        <v>cumple</v>
      </c>
      <c r="W3232" s="222" t="s">
        <v>5372</v>
      </c>
      <c r="X3232" s="18" t="str">
        <f t="shared" si="235"/>
        <v>SSI</v>
      </c>
      <c r="Y3232" t="str">
        <f>SUBSTITUTE(Tabla1[[#This Row],[Descripción]],CHAR(10),"    I    ")</f>
        <v>Se revisó el query 2 de 'TOTAL CONSULTA EN LOS BUSCADORES' del archivo 'Querys_Estadisiticas_Totales_Nuevo' de forma general, para verificar si no hay dudas a revisar con Samuel</v>
      </c>
      <c r="Z3232" s="112">
        <f>VLOOKUP(Tabla1[[#This Row],[Perfil]],Catalogos!$B$75:$D$100,3,FALSE)*Tabla1[[#This Row],[Tiempo
(Hrs 00/100)]]*1.16</f>
        <v>696</v>
      </c>
    </row>
    <row r="3233" spans="1:26" ht="30" customHeight="1" x14ac:dyDescent="0.3">
      <c r="A3233" s="187" t="s">
        <v>22</v>
      </c>
      <c r="B3233" s="187" t="s">
        <v>305</v>
      </c>
      <c r="C3233" s="187" t="s">
        <v>257</v>
      </c>
      <c r="D3233" s="187"/>
      <c r="E3233" s="187" t="s">
        <v>408</v>
      </c>
      <c r="F3233" s="187" t="s">
        <v>72</v>
      </c>
      <c r="G3233" s="702" t="s">
        <v>5962</v>
      </c>
      <c r="H3233" s="186" t="s">
        <v>5826</v>
      </c>
      <c r="I3233" s="816" t="s">
        <v>5827</v>
      </c>
      <c r="J3233" s="811">
        <v>45268</v>
      </c>
      <c r="K3233" s="815">
        <v>0.75</v>
      </c>
      <c r="L3233" s="811">
        <v>45268</v>
      </c>
      <c r="M3233" s="815">
        <v>0.85416666666666663</v>
      </c>
      <c r="N3233" s="187">
        <v>2.5</v>
      </c>
      <c r="O3233" s="188" t="s">
        <v>17</v>
      </c>
      <c r="P3233" s="197" t="s">
        <v>5807</v>
      </c>
      <c r="Q3233" s="179" t="s">
        <v>1441</v>
      </c>
      <c r="R3233" s="31" t="s">
        <v>95</v>
      </c>
      <c r="S3233" s="31" t="s">
        <v>273</v>
      </c>
      <c r="T3233" s="31" t="s">
        <v>273</v>
      </c>
      <c r="U3233" s="31">
        <f>IFERROR(VLOOKUP(CONCATENATE(Tabla1[[#This Row],[Severidad]]," ",Tabla1[[#This Row],[Complejidad]]),Catalogos!E$120:G$128,3,FALSE),"")</f>
        <v>64</v>
      </c>
      <c r="V3233" s="31" t="str">
        <f>IF(Tabla1[[#This Row],[Tiempo solución max (hrs)]]&lt;&gt;"",IF(Tabla1[[#This Row],[Tiempo solución max (hrs)]]&gt;=Tabla1[[#This Row],[Tiempo
(Hrs 00/100)]],"cumple","no cumple"),"")</f>
        <v>cumple</v>
      </c>
      <c r="W3233" s="222" t="s">
        <v>5372</v>
      </c>
      <c r="X3233" s="18" t="str">
        <f t="shared" si="235"/>
        <v>SSI</v>
      </c>
      <c r="Y3233" t="str">
        <f>SUBSTITUTE(Tabla1[[#This Row],[Descripción]],CHAR(10),"    I    ")</f>
        <v>Se revisó el query 3 de 'TOTAL CONSULTA EN LOS BUSCADORES' del archivo 'Querys_Estadisiticas_Totales_Nuevo' de forma general, para verificar si no hay dudas a revisar con Samuel</v>
      </c>
      <c r="Z3233" s="112">
        <f>VLOOKUP(Tabla1[[#This Row],[Perfil]],Catalogos!$B$75:$D$100,3,FALSE)*Tabla1[[#This Row],[Tiempo
(Hrs 00/100)]]*1.16</f>
        <v>1739.9999999999998</v>
      </c>
    </row>
    <row r="3234" spans="1:26" ht="30" customHeight="1" x14ac:dyDescent="0.3">
      <c r="A3234" s="187" t="s">
        <v>22</v>
      </c>
      <c r="B3234" s="187" t="s">
        <v>305</v>
      </c>
      <c r="C3234" s="187" t="s">
        <v>257</v>
      </c>
      <c r="D3234" s="187"/>
      <c r="E3234" s="187" t="s">
        <v>408</v>
      </c>
      <c r="F3234" s="187" t="s">
        <v>72</v>
      </c>
      <c r="G3234" s="702" t="s">
        <v>5963</v>
      </c>
      <c r="H3234" s="186" t="s">
        <v>5828</v>
      </c>
      <c r="I3234" s="816" t="s">
        <v>5829</v>
      </c>
      <c r="J3234" s="811">
        <v>45271</v>
      </c>
      <c r="K3234" s="815">
        <v>0.375</v>
      </c>
      <c r="L3234" s="811">
        <v>45271</v>
      </c>
      <c r="M3234" s="815">
        <v>0.41666666666666669</v>
      </c>
      <c r="N3234" s="187">
        <v>1</v>
      </c>
      <c r="O3234" s="188" t="s">
        <v>17</v>
      </c>
      <c r="P3234" s="197" t="s">
        <v>5807</v>
      </c>
      <c r="Q3234" s="179" t="s">
        <v>1441</v>
      </c>
      <c r="R3234" s="31" t="s">
        <v>95</v>
      </c>
      <c r="S3234" s="31" t="s">
        <v>273</v>
      </c>
      <c r="T3234" s="31" t="s">
        <v>273</v>
      </c>
      <c r="U3234" s="31">
        <f>IFERROR(VLOOKUP(CONCATENATE(Tabla1[[#This Row],[Severidad]]," ",Tabla1[[#This Row],[Complejidad]]),Catalogos!E$120:G$128,3,FALSE),"")</f>
        <v>64</v>
      </c>
      <c r="V3234" s="31" t="str">
        <f>IF(Tabla1[[#This Row],[Tiempo solución max (hrs)]]&lt;&gt;"",IF(Tabla1[[#This Row],[Tiempo solución max (hrs)]]&gt;=Tabla1[[#This Row],[Tiempo
(Hrs 00/100)]],"cumple","no cumple"),"")</f>
        <v>cumple</v>
      </c>
      <c r="W3234" s="222" t="s">
        <v>5372</v>
      </c>
      <c r="X3234" s="18" t="str">
        <f t="shared" si="235"/>
        <v>SSI</v>
      </c>
      <c r="Y3234" t="str">
        <f>SUBSTITUTE(Tabla1[[#This Row],[Descripción]],CHAR(10),"    I    ")</f>
        <v>Se revisó el query 1 de 'TOTAL TEMAS BIG DATA DE LOS REGISTROS DE SOLICITUDES' del archivo 'Querys_Estadisiticas_Totales_Nuevo' de forma general, para verificar si no hay dudas a revisar con Samuel</v>
      </c>
      <c r="Z3234" s="112">
        <f>VLOOKUP(Tabla1[[#This Row],[Perfil]],Catalogos!$B$75:$D$100,3,FALSE)*Tabla1[[#This Row],[Tiempo
(Hrs 00/100)]]*1.16</f>
        <v>696</v>
      </c>
    </row>
    <row r="3235" spans="1:26" ht="30" customHeight="1" x14ac:dyDescent="0.3">
      <c r="A3235" s="187" t="s">
        <v>22</v>
      </c>
      <c r="B3235" s="187" t="s">
        <v>305</v>
      </c>
      <c r="C3235" s="187" t="s">
        <v>257</v>
      </c>
      <c r="D3235" s="187"/>
      <c r="E3235" s="187" t="s">
        <v>408</v>
      </c>
      <c r="F3235" s="187" t="s">
        <v>72</v>
      </c>
      <c r="G3235" s="702" t="s">
        <v>5964</v>
      </c>
      <c r="H3235" s="186" t="s">
        <v>5830</v>
      </c>
      <c r="I3235" s="816" t="s">
        <v>5831</v>
      </c>
      <c r="J3235" s="811">
        <v>45271</v>
      </c>
      <c r="K3235" s="815">
        <v>0.41666666666666669</v>
      </c>
      <c r="L3235" s="811">
        <v>45271</v>
      </c>
      <c r="M3235" s="815">
        <v>0.47916666666666669</v>
      </c>
      <c r="N3235" s="187">
        <v>1.5</v>
      </c>
      <c r="O3235" s="188" t="s">
        <v>17</v>
      </c>
      <c r="P3235" s="197" t="s">
        <v>5807</v>
      </c>
      <c r="Q3235" s="179" t="s">
        <v>1441</v>
      </c>
      <c r="R3235" s="31" t="s">
        <v>95</v>
      </c>
      <c r="S3235" s="31" t="s">
        <v>273</v>
      </c>
      <c r="T3235" s="31" t="s">
        <v>273</v>
      </c>
      <c r="U3235" s="31">
        <f>IFERROR(VLOOKUP(CONCATENATE(Tabla1[[#This Row],[Severidad]]," ",Tabla1[[#This Row],[Complejidad]]),Catalogos!E$120:G$128,3,FALSE),"")</f>
        <v>64</v>
      </c>
      <c r="V3235" s="31" t="str">
        <f>IF(Tabla1[[#This Row],[Tiempo solución max (hrs)]]&lt;&gt;"",IF(Tabla1[[#This Row],[Tiempo solución max (hrs)]]&gt;=Tabla1[[#This Row],[Tiempo
(Hrs 00/100)]],"cumple","no cumple"),"")</f>
        <v>cumple</v>
      </c>
      <c r="W3235" s="222" t="s">
        <v>5372</v>
      </c>
      <c r="X3235" s="18" t="str">
        <f t="shared" si="235"/>
        <v>SSI</v>
      </c>
      <c r="Y3235" t="str">
        <f>SUBSTITUTE(Tabla1[[#This Row],[Descripción]],CHAR(10),"    I    ")</f>
        <v>Se revisó el query 1 de 'TEMAS BIG DATA' del archivo 'Querys_Estadisiticas_Totales_Nuevo' de forma general, para verificar si no hay dudas a revisar con Samuel</v>
      </c>
      <c r="Z3235" s="112">
        <f>VLOOKUP(Tabla1[[#This Row],[Perfil]],Catalogos!$B$75:$D$100,3,FALSE)*Tabla1[[#This Row],[Tiempo
(Hrs 00/100)]]*1.16</f>
        <v>1044</v>
      </c>
    </row>
    <row r="3236" spans="1:26" ht="30" customHeight="1" x14ac:dyDescent="0.3">
      <c r="A3236" s="187" t="s">
        <v>22</v>
      </c>
      <c r="B3236" s="187" t="s">
        <v>305</v>
      </c>
      <c r="C3236" s="187" t="s">
        <v>257</v>
      </c>
      <c r="D3236" s="187"/>
      <c r="E3236" s="187" t="s">
        <v>408</v>
      </c>
      <c r="F3236" s="187" t="s">
        <v>72</v>
      </c>
      <c r="G3236" s="702" t="s">
        <v>5965</v>
      </c>
      <c r="H3236" s="186" t="s">
        <v>5832</v>
      </c>
      <c r="I3236" s="816" t="s">
        <v>5833</v>
      </c>
      <c r="J3236" s="811">
        <v>45271</v>
      </c>
      <c r="K3236" s="815">
        <v>0.47916666666666669</v>
      </c>
      <c r="L3236" s="811">
        <v>45271</v>
      </c>
      <c r="M3236" s="815">
        <v>0.52083333333333337</v>
      </c>
      <c r="N3236" s="187">
        <v>1</v>
      </c>
      <c r="O3236" s="188" t="s">
        <v>17</v>
      </c>
      <c r="P3236" s="197" t="s">
        <v>5807</v>
      </c>
      <c r="Q3236" s="179" t="s">
        <v>1441</v>
      </c>
      <c r="R3236" s="31" t="s">
        <v>95</v>
      </c>
      <c r="S3236" s="31" t="s">
        <v>273</v>
      </c>
      <c r="T3236" s="31" t="s">
        <v>273</v>
      </c>
      <c r="U3236" s="31">
        <f>IFERROR(VLOOKUP(CONCATENATE(Tabla1[[#This Row],[Severidad]]," ",Tabla1[[#This Row],[Complejidad]]),Catalogos!E$120:G$128,3,FALSE),"")</f>
        <v>64</v>
      </c>
      <c r="V3236" s="31" t="str">
        <f>IF(Tabla1[[#This Row],[Tiempo solución max (hrs)]]&lt;&gt;"",IF(Tabla1[[#This Row],[Tiempo solución max (hrs)]]&gt;=Tabla1[[#This Row],[Tiempo
(Hrs 00/100)]],"cumple","no cumple"),"")</f>
        <v>cumple</v>
      </c>
      <c r="W3236" s="222" t="s">
        <v>5372</v>
      </c>
      <c r="X3236" s="18" t="str">
        <f t="shared" si="235"/>
        <v>SSI</v>
      </c>
      <c r="Y3236" t="str">
        <f>SUBSTITUTE(Tabla1[[#This Row],[Descripción]],CHAR(10),"    I    ")</f>
        <v>Se revisó el query 1 de 'TOTAL DE SOLICITUDES' del archivo 'Querys_Estadisiticas_Totales_Nuevo' de forma general, para verificar si no hay dudas a revisar con Samuel</v>
      </c>
      <c r="Z3236" s="112">
        <f>VLOOKUP(Tabla1[[#This Row],[Perfil]],Catalogos!$B$75:$D$100,3,FALSE)*Tabla1[[#This Row],[Tiempo
(Hrs 00/100)]]*1.16</f>
        <v>696</v>
      </c>
    </row>
    <row r="3237" spans="1:26" ht="30" customHeight="1" x14ac:dyDescent="0.3">
      <c r="A3237" s="187" t="s">
        <v>22</v>
      </c>
      <c r="B3237" s="187" t="s">
        <v>23</v>
      </c>
      <c r="C3237" s="187" t="s">
        <v>257</v>
      </c>
      <c r="D3237" s="187"/>
      <c r="E3237" s="187" t="s">
        <v>408</v>
      </c>
      <c r="F3237" s="187" t="s">
        <v>23</v>
      </c>
      <c r="G3237" s="702" t="s">
        <v>5966</v>
      </c>
      <c r="H3237" s="186" t="s">
        <v>5834</v>
      </c>
      <c r="I3237" s="816" t="s">
        <v>5835</v>
      </c>
      <c r="J3237" s="811">
        <v>45271</v>
      </c>
      <c r="K3237" s="815">
        <v>0.52083333333333337</v>
      </c>
      <c r="L3237" s="811">
        <v>45271</v>
      </c>
      <c r="M3237" s="815">
        <v>0.60416666666666663</v>
      </c>
      <c r="N3237" s="187">
        <v>2</v>
      </c>
      <c r="O3237" s="188" t="s">
        <v>17</v>
      </c>
      <c r="P3237" s="197" t="s">
        <v>5807</v>
      </c>
      <c r="Q3237" s="179" t="s">
        <v>1441</v>
      </c>
      <c r="R3237" s="31" t="s">
        <v>95</v>
      </c>
      <c r="S3237" s="31" t="s">
        <v>273</v>
      </c>
      <c r="T3237" s="31" t="s">
        <v>273</v>
      </c>
      <c r="U3237" s="31">
        <f>IFERROR(VLOOKUP(CONCATENATE(Tabla1[[#This Row],[Severidad]]," ",Tabla1[[#This Row],[Complejidad]]),Catalogos!E$120:G$128,3,FALSE),"")</f>
        <v>64</v>
      </c>
      <c r="V3237" s="31" t="str">
        <f>IF(Tabla1[[#This Row],[Tiempo solución max (hrs)]]&lt;&gt;"",IF(Tabla1[[#This Row],[Tiempo solución max (hrs)]]&gt;=Tabla1[[#This Row],[Tiempo
(Hrs 00/100)]],"cumple","no cumple"),"")</f>
        <v>cumple</v>
      </c>
      <c r="W3237" s="222" t="s">
        <v>5372</v>
      </c>
      <c r="X3237" s="18" t="str">
        <f t="shared" si="235"/>
        <v>SSI</v>
      </c>
      <c r="Y3237" t="str">
        <f>SUBSTITUTE(Tabla1[[#This Row],[Descripción]],CHAR(10),"    I    ")</f>
        <v>Se comenzó a trabajar con el query 1 'TOTAL DE SOLICITUDES DE INFORMACIÓN' del archivo 'Querys_Estadisiticas_Totales_Nvo', validando información para analizar forma de mejorar lo</v>
      </c>
      <c r="Z3237" s="112">
        <f>VLOOKUP(Tabla1[[#This Row],[Perfil]],Catalogos!$B$75:$D$100,3,FALSE)*Tabla1[[#This Row],[Tiempo
(Hrs 00/100)]]*1.16</f>
        <v>1392</v>
      </c>
    </row>
    <row r="3238" spans="1:26" ht="30" customHeight="1" x14ac:dyDescent="0.3">
      <c r="A3238" s="187" t="s">
        <v>22</v>
      </c>
      <c r="B3238" s="187" t="s">
        <v>23</v>
      </c>
      <c r="C3238" s="187" t="s">
        <v>257</v>
      </c>
      <c r="D3238" s="187"/>
      <c r="E3238" s="187" t="s">
        <v>408</v>
      </c>
      <c r="F3238" s="187" t="s">
        <v>23</v>
      </c>
      <c r="G3238" s="702" t="s">
        <v>5967</v>
      </c>
      <c r="H3238" s="186" t="s">
        <v>2910</v>
      </c>
      <c r="I3238" s="816" t="s">
        <v>2911</v>
      </c>
      <c r="J3238" s="811">
        <v>45271</v>
      </c>
      <c r="K3238" s="815">
        <v>0.66666666666666663</v>
      </c>
      <c r="L3238" s="811">
        <v>45271</v>
      </c>
      <c r="M3238" s="815">
        <v>0.6875</v>
      </c>
      <c r="N3238" s="187">
        <v>0.5</v>
      </c>
      <c r="O3238" s="188" t="s">
        <v>17</v>
      </c>
      <c r="P3238" s="197" t="s">
        <v>5807</v>
      </c>
      <c r="Q3238" s="179" t="s">
        <v>1441</v>
      </c>
      <c r="R3238" s="31" t="s">
        <v>95</v>
      </c>
      <c r="S3238" s="31" t="s">
        <v>273</v>
      </c>
      <c r="T3238" s="31" t="s">
        <v>273</v>
      </c>
      <c r="U3238" s="31">
        <f>IFERROR(VLOOKUP(CONCATENATE(Tabla1[[#This Row],[Severidad]]," ",Tabla1[[#This Row],[Complejidad]]),Catalogos!E$120:G$128,3,FALSE),"")</f>
        <v>64</v>
      </c>
      <c r="V3238" s="31" t="str">
        <f>IF(Tabla1[[#This Row],[Tiempo solución max (hrs)]]&lt;&gt;"",IF(Tabla1[[#This Row],[Tiempo solución max (hrs)]]&gt;=Tabla1[[#This Row],[Tiempo
(Hrs 00/100)]],"cumple","no cumple"),"")</f>
        <v>cumple</v>
      </c>
      <c r="W3238" s="222" t="s">
        <v>5372</v>
      </c>
      <c r="X3238" s="18" t="str">
        <f t="shared" si="235"/>
        <v>SSI</v>
      </c>
      <c r="Y3238" t="str">
        <f>SUBSTITUTE(Tabla1[[#This Row],[Descripción]],CHAR(10),"    I    ")</f>
        <v>Se trabajó con el Header del Nuevo Paquete 'SISAI.PACK_SISAI3' y se crea con el usuario SIAI</v>
      </c>
      <c r="Z3238" s="112">
        <f>VLOOKUP(Tabla1[[#This Row],[Perfil]],Catalogos!$B$75:$D$100,3,FALSE)*Tabla1[[#This Row],[Tiempo
(Hrs 00/100)]]*1.16</f>
        <v>348</v>
      </c>
    </row>
    <row r="3239" spans="1:26" ht="30" customHeight="1" x14ac:dyDescent="0.3">
      <c r="A3239" s="187" t="s">
        <v>22</v>
      </c>
      <c r="B3239" s="187" t="s">
        <v>23</v>
      </c>
      <c r="C3239" s="187" t="s">
        <v>257</v>
      </c>
      <c r="D3239" s="187"/>
      <c r="E3239" s="187" t="s">
        <v>408</v>
      </c>
      <c r="F3239" s="187" t="s">
        <v>23</v>
      </c>
      <c r="G3239" s="702" t="s">
        <v>5968</v>
      </c>
      <c r="H3239" s="186" t="s">
        <v>2912</v>
      </c>
      <c r="I3239" s="816" t="s">
        <v>2913</v>
      </c>
      <c r="J3239" s="811">
        <v>45271</v>
      </c>
      <c r="K3239" s="815">
        <v>0.6875</v>
      </c>
      <c r="L3239" s="811">
        <v>45271</v>
      </c>
      <c r="M3239" s="815">
        <v>0.70833333333333337</v>
      </c>
      <c r="N3239" s="187">
        <v>0.5</v>
      </c>
      <c r="O3239" s="188" t="s">
        <v>17</v>
      </c>
      <c r="P3239" s="197" t="s">
        <v>5807</v>
      </c>
      <c r="Q3239" s="179" t="s">
        <v>1441</v>
      </c>
      <c r="R3239" s="31" t="s">
        <v>95</v>
      </c>
      <c r="S3239" s="31" t="s">
        <v>273</v>
      </c>
      <c r="T3239" s="31" t="s">
        <v>273</v>
      </c>
      <c r="U3239" s="31">
        <f>IFERROR(VLOOKUP(CONCATENATE(Tabla1[[#This Row],[Severidad]]," ",Tabla1[[#This Row],[Complejidad]]),Catalogos!E$120:G$128,3,FALSE),"")</f>
        <v>64</v>
      </c>
      <c r="V3239" s="31" t="str">
        <f>IF(Tabla1[[#This Row],[Tiempo solución max (hrs)]]&lt;&gt;"",IF(Tabla1[[#This Row],[Tiempo solución max (hrs)]]&gt;=Tabla1[[#This Row],[Tiempo
(Hrs 00/100)]],"cumple","no cumple"),"")</f>
        <v>cumple</v>
      </c>
      <c r="W3239" s="222" t="s">
        <v>5372</v>
      </c>
      <c r="X3239" s="18" t="str">
        <f t="shared" si="235"/>
        <v>SSI</v>
      </c>
      <c r="Y3239" t="str">
        <f>SUBSTITUTE(Tabla1[[#This Row],[Descripción]],CHAR(10),"    I    ")</f>
        <v>Se trabajó con el Body del Nuevo Paquete 'SISAI.PACK_SISAI3' y se crea con el usuario SISAI</v>
      </c>
      <c r="Z3239" s="112">
        <f>VLOOKUP(Tabla1[[#This Row],[Perfil]],Catalogos!$B$75:$D$100,3,FALSE)*Tabla1[[#This Row],[Tiempo
(Hrs 00/100)]]*1.16</f>
        <v>348</v>
      </c>
    </row>
    <row r="3240" spans="1:26" ht="30" customHeight="1" x14ac:dyDescent="0.3">
      <c r="A3240" s="187" t="s">
        <v>22</v>
      </c>
      <c r="B3240" s="187" t="s">
        <v>305</v>
      </c>
      <c r="C3240" s="187" t="s">
        <v>257</v>
      </c>
      <c r="D3240" s="187"/>
      <c r="E3240" s="187" t="s">
        <v>408</v>
      </c>
      <c r="F3240" s="187" t="s">
        <v>72</v>
      </c>
      <c r="G3240" s="702" t="s">
        <v>5969</v>
      </c>
      <c r="H3240" s="186" t="s">
        <v>5836</v>
      </c>
      <c r="I3240" s="816" t="s">
        <v>5837</v>
      </c>
      <c r="J3240" s="811">
        <v>45271</v>
      </c>
      <c r="K3240" s="815">
        <v>0.70833333333333337</v>
      </c>
      <c r="L3240" s="811">
        <v>45271</v>
      </c>
      <c r="M3240" s="815">
        <v>0.83333333333333337</v>
      </c>
      <c r="N3240" s="187">
        <v>3</v>
      </c>
      <c r="O3240" s="188" t="s">
        <v>17</v>
      </c>
      <c r="P3240" s="197" t="s">
        <v>5807</v>
      </c>
      <c r="Q3240" s="179" t="s">
        <v>1441</v>
      </c>
      <c r="R3240" s="31" t="s">
        <v>95</v>
      </c>
      <c r="S3240" s="31" t="s">
        <v>273</v>
      </c>
      <c r="T3240" s="31" t="s">
        <v>273</v>
      </c>
      <c r="U3240" s="31">
        <f>IFERROR(VLOOKUP(CONCATENATE(Tabla1[[#This Row],[Severidad]]," ",Tabla1[[#This Row],[Complejidad]]),Catalogos!E$120:G$128,3,FALSE),"")</f>
        <v>64</v>
      </c>
      <c r="V3240" s="31" t="str">
        <f>IF(Tabla1[[#This Row],[Tiempo solución max (hrs)]]&lt;&gt;"",IF(Tabla1[[#This Row],[Tiempo solución max (hrs)]]&gt;=Tabla1[[#This Row],[Tiempo
(Hrs 00/100)]],"cumple","no cumple"),"")</f>
        <v>cumple</v>
      </c>
      <c r="W3240" s="222" t="s">
        <v>5372</v>
      </c>
      <c r="X3240" s="18" t="str">
        <f t="shared" si="235"/>
        <v>SSI</v>
      </c>
      <c r="Y3240" t="str">
        <f>SUBSTITUTE(Tabla1[[#This Row],[Descripción]],CHAR(10),"    I    ")</f>
        <v>Se revisó el Query #1 del archivo IEDEPNT para la Funcionalidad 1 'TOTAL DE SOLICITUDES DE INFORMACIÓN', se hicieron las primeras ejecuciones con los parámetros para entender su funcionamiento</v>
      </c>
      <c r="Z3240" s="112">
        <f>VLOOKUP(Tabla1[[#This Row],[Perfil]],Catalogos!$B$75:$D$100,3,FALSE)*Tabla1[[#This Row],[Tiempo
(Hrs 00/100)]]*1.16</f>
        <v>2088</v>
      </c>
    </row>
    <row r="3241" spans="1:26" ht="30" customHeight="1" x14ac:dyDescent="0.3">
      <c r="A3241" s="187" t="s">
        <v>22</v>
      </c>
      <c r="B3241" s="187" t="s">
        <v>23</v>
      </c>
      <c r="C3241" s="187" t="s">
        <v>257</v>
      </c>
      <c r="D3241" s="187"/>
      <c r="E3241" s="187" t="s">
        <v>408</v>
      </c>
      <c r="F3241" s="187" t="s">
        <v>23</v>
      </c>
      <c r="G3241" s="702" t="s">
        <v>5970</v>
      </c>
      <c r="H3241" s="186" t="s">
        <v>5838</v>
      </c>
      <c r="I3241" s="816" t="s">
        <v>5839</v>
      </c>
      <c r="J3241" s="811">
        <v>45272</v>
      </c>
      <c r="K3241" s="815">
        <v>0.375</v>
      </c>
      <c r="L3241" s="811">
        <v>45272</v>
      </c>
      <c r="M3241" s="815">
        <v>0.4375</v>
      </c>
      <c r="N3241" s="187">
        <v>1.5</v>
      </c>
      <c r="O3241" s="188" t="s">
        <v>17</v>
      </c>
      <c r="P3241" s="197" t="s">
        <v>5807</v>
      </c>
      <c r="Q3241" s="179" t="s">
        <v>1441</v>
      </c>
      <c r="R3241" s="31" t="s">
        <v>95</v>
      </c>
      <c r="S3241" s="31" t="s">
        <v>273</v>
      </c>
      <c r="T3241" s="31" t="s">
        <v>273</v>
      </c>
      <c r="U3241" s="31">
        <f>IFERROR(VLOOKUP(CONCATENATE(Tabla1[[#This Row],[Severidad]]," ",Tabla1[[#This Row],[Complejidad]]),Catalogos!E$120:G$128,3,FALSE),"")</f>
        <v>64</v>
      </c>
      <c r="V3241" s="31" t="str">
        <f>IF(Tabla1[[#This Row],[Tiempo solución max (hrs)]]&lt;&gt;"",IF(Tabla1[[#This Row],[Tiempo solución max (hrs)]]&gt;=Tabla1[[#This Row],[Tiempo
(Hrs 00/100)]],"cumple","no cumple"),"")</f>
        <v>cumple</v>
      </c>
      <c r="W3241" s="222" t="s">
        <v>5372</v>
      </c>
      <c r="X3241" s="18" t="str">
        <f t="shared" si="235"/>
        <v>SSI</v>
      </c>
      <c r="Y3241" t="str">
        <f>SUBSTITUTE(Tabla1[[#This Row],[Descripción]],CHAR(10),"    I    ")</f>
        <v>Se optimizó el Query #1 del archivo IEDEPNT (Funcionalidad 1) para tener una versión mejorada en tiempo de respuesta y costo</v>
      </c>
      <c r="Z3241" s="112">
        <f>VLOOKUP(Tabla1[[#This Row],[Perfil]],Catalogos!$B$75:$D$100,3,FALSE)*Tabla1[[#This Row],[Tiempo
(Hrs 00/100)]]*1.16</f>
        <v>1044</v>
      </c>
    </row>
    <row r="3242" spans="1:26" ht="30" customHeight="1" x14ac:dyDescent="0.3">
      <c r="A3242" s="187" t="s">
        <v>22</v>
      </c>
      <c r="B3242" s="187" t="s">
        <v>23</v>
      </c>
      <c r="C3242" s="187" t="s">
        <v>257</v>
      </c>
      <c r="D3242" s="187"/>
      <c r="E3242" s="187" t="s">
        <v>408</v>
      </c>
      <c r="F3242" s="187" t="s">
        <v>23</v>
      </c>
      <c r="G3242" s="702" t="s">
        <v>5971</v>
      </c>
      <c r="H3242" s="186" t="s">
        <v>3020</v>
      </c>
      <c r="I3242" s="816" t="s">
        <v>3021</v>
      </c>
      <c r="J3242" s="811">
        <v>45272</v>
      </c>
      <c r="K3242" s="815">
        <v>0.4375</v>
      </c>
      <c r="L3242" s="811">
        <v>45272</v>
      </c>
      <c r="M3242" s="815">
        <v>0.5</v>
      </c>
      <c r="N3242" s="187">
        <v>1.5</v>
      </c>
      <c r="O3242" s="188" t="s">
        <v>17</v>
      </c>
      <c r="P3242" s="197" t="s">
        <v>5807</v>
      </c>
      <c r="Q3242" s="179" t="s">
        <v>1441</v>
      </c>
      <c r="R3242" s="31" t="s">
        <v>95</v>
      </c>
      <c r="S3242" s="31" t="s">
        <v>273</v>
      </c>
      <c r="T3242" s="31" t="s">
        <v>273</v>
      </c>
      <c r="U3242" s="31">
        <f>IFERROR(VLOOKUP(CONCATENATE(Tabla1[[#This Row],[Severidad]]," ",Tabla1[[#This Row],[Complejidad]]),Catalogos!E$120:G$128,3,FALSE),"")</f>
        <v>64</v>
      </c>
      <c r="V3242" s="31" t="str">
        <f>IF(Tabla1[[#This Row],[Tiempo solución max (hrs)]]&lt;&gt;"",IF(Tabla1[[#This Row],[Tiempo solución max (hrs)]]&gt;=Tabla1[[#This Row],[Tiempo
(Hrs 00/100)]],"cumple","no cumple"),"")</f>
        <v>cumple</v>
      </c>
      <c r="W3242" s="222" t="s">
        <v>5372</v>
      </c>
      <c r="X3242" s="18" t="str">
        <f t="shared" si="235"/>
        <v>SSI</v>
      </c>
      <c r="Y3242" t="str">
        <f>SUBSTITUTE(Tabla1[[#This Row],[Descripción]],CHAR(10),"    I    ")</f>
        <v>Se creó el nuevo procedimiento 'FUNC1_TOTSOLDEINFOQ1' en el paquete 'PACK_SISAI3', con la funcionalidad del Query #1</v>
      </c>
      <c r="Z3242" s="112">
        <f>VLOOKUP(Tabla1[[#This Row],[Perfil]],Catalogos!$B$75:$D$100,3,FALSE)*Tabla1[[#This Row],[Tiempo
(Hrs 00/100)]]*1.16</f>
        <v>1044</v>
      </c>
    </row>
    <row r="3243" spans="1:26" ht="30" customHeight="1" x14ac:dyDescent="0.3">
      <c r="A3243" s="187" t="s">
        <v>22</v>
      </c>
      <c r="B3243" s="187" t="s">
        <v>23</v>
      </c>
      <c r="C3243" s="187" t="s">
        <v>257</v>
      </c>
      <c r="D3243" s="187"/>
      <c r="E3243" s="187" t="s">
        <v>408</v>
      </c>
      <c r="F3243" s="187" t="s">
        <v>23</v>
      </c>
      <c r="G3243" s="702" t="s">
        <v>5972</v>
      </c>
      <c r="H3243" s="186" t="s">
        <v>2922</v>
      </c>
      <c r="I3243" s="816" t="s">
        <v>2922</v>
      </c>
      <c r="J3243" s="811">
        <v>45272</v>
      </c>
      <c r="K3243" s="815">
        <v>0.5</v>
      </c>
      <c r="L3243" s="811">
        <v>45272</v>
      </c>
      <c r="M3243" s="815">
        <v>0.54166666666666663</v>
      </c>
      <c r="N3243" s="187">
        <v>1</v>
      </c>
      <c r="O3243" s="188" t="s">
        <v>17</v>
      </c>
      <c r="P3243" s="197" t="s">
        <v>5807</v>
      </c>
      <c r="Q3243" s="179" t="s">
        <v>1441</v>
      </c>
      <c r="R3243" s="31" t="s">
        <v>95</v>
      </c>
      <c r="S3243" s="31" t="s">
        <v>273</v>
      </c>
      <c r="T3243" s="31" t="s">
        <v>273</v>
      </c>
      <c r="U3243" s="31">
        <f>IFERROR(VLOOKUP(CONCATENATE(Tabla1[[#This Row],[Severidad]]," ",Tabla1[[#This Row],[Complejidad]]),Catalogos!E$120:G$128,3,FALSE),"")</f>
        <v>64</v>
      </c>
      <c r="V3243" s="31" t="str">
        <f>IF(Tabla1[[#This Row],[Tiempo solución max (hrs)]]&lt;&gt;"",IF(Tabla1[[#This Row],[Tiempo solución max (hrs)]]&gt;=Tabla1[[#This Row],[Tiempo
(Hrs 00/100)]],"cumple","no cumple"),"")</f>
        <v>cumple</v>
      </c>
      <c r="W3243" s="222" t="s">
        <v>5372</v>
      </c>
      <c r="X3243" s="18" t="str">
        <f t="shared" si="235"/>
        <v>SSI</v>
      </c>
      <c r="Y3243" t="str">
        <f>SUBSTITUTE(Tabla1[[#This Row],[Descripción]],CHAR(10),"    I    ")</f>
        <v>Se verificó campo por campo del query 1 de la Funcionalidad 1, validando el tipo de dato y longitud exactos</v>
      </c>
      <c r="Z3243" s="112">
        <f>VLOOKUP(Tabla1[[#This Row],[Perfil]],Catalogos!$B$75:$D$100,3,FALSE)*Tabla1[[#This Row],[Tiempo
(Hrs 00/100)]]*1.16</f>
        <v>696</v>
      </c>
    </row>
    <row r="3244" spans="1:26" ht="30" customHeight="1" x14ac:dyDescent="0.3">
      <c r="A3244" s="187" t="s">
        <v>22</v>
      </c>
      <c r="B3244" s="187" t="s">
        <v>23</v>
      </c>
      <c r="C3244" s="187" t="s">
        <v>257</v>
      </c>
      <c r="D3244" s="187"/>
      <c r="E3244" s="187" t="s">
        <v>408</v>
      </c>
      <c r="F3244" s="187" t="s">
        <v>23</v>
      </c>
      <c r="G3244" s="702" t="s">
        <v>5973</v>
      </c>
      <c r="H3244" s="186" t="s">
        <v>2923</v>
      </c>
      <c r="I3244" s="816" t="s">
        <v>2923</v>
      </c>
      <c r="J3244" s="811">
        <v>45272</v>
      </c>
      <c r="K3244" s="815">
        <v>0.54166666666666663</v>
      </c>
      <c r="L3244" s="811">
        <v>45272</v>
      </c>
      <c r="M3244" s="815">
        <v>0.60416666666666663</v>
      </c>
      <c r="N3244" s="187">
        <v>1.5</v>
      </c>
      <c r="O3244" s="188" t="s">
        <v>17</v>
      </c>
      <c r="P3244" s="197" t="s">
        <v>5807</v>
      </c>
      <c r="Q3244" s="179" t="s">
        <v>1441</v>
      </c>
      <c r="R3244" s="31" t="s">
        <v>95</v>
      </c>
      <c r="S3244" s="31" t="s">
        <v>273</v>
      </c>
      <c r="T3244" s="31" t="s">
        <v>273</v>
      </c>
      <c r="U3244" s="31">
        <f>IFERROR(VLOOKUP(CONCATENATE(Tabla1[[#This Row],[Severidad]]," ",Tabla1[[#This Row],[Complejidad]]),Catalogos!E$120:G$128,3,FALSE),"")</f>
        <v>64</v>
      </c>
      <c r="V3244" s="31" t="str">
        <f>IF(Tabla1[[#This Row],[Tiempo solución max (hrs)]]&lt;&gt;"",IF(Tabla1[[#This Row],[Tiempo solución max (hrs)]]&gt;=Tabla1[[#This Row],[Tiempo
(Hrs 00/100)]],"cumple","no cumple"),"")</f>
        <v>cumple</v>
      </c>
      <c r="W3244" s="222" t="s">
        <v>5372</v>
      </c>
      <c r="X3244" s="18" t="str">
        <f t="shared" si="235"/>
        <v>SSI</v>
      </c>
      <c r="Y3244" t="str">
        <f>SUBSTITUTE(Tabla1[[#This Row],[Descripción]],CHAR(10),"    I    ")</f>
        <v>Se declararon las variables en bloque anónimo con validación exacta de tamaños de tipos de datos, del query 1 de la Funcionalidad 1</v>
      </c>
      <c r="Z3244" s="112">
        <f>VLOOKUP(Tabla1[[#This Row],[Perfil]],Catalogos!$B$75:$D$100,3,FALSE)*Tabla1[[#This Row],[Tiempo
(Hrs 00/100)]]*1.16</f>
        <v>1044</v>
      </c>
    </row>
    <row r="3245" spans="1:26" ht="30" customHeight="1" x14ac:dyDescent="0.3">
      <c r="A3245" s="187" t="s">
        <v>22</v>
      </c>
      <c r="B3245" s="187" t="s">
        <v>23</v>
      </c>
      <c r="C3245" s="187" t="s">
        <v>257</v>
      </c>
      <c r="D3245" s="187"/>
      <c r="E3245" s="187" t="s">
        <v>408</v>
      </c>
      <c r="F3245" s="187" t="s">
        <v>75</v>
      </c>
      <c r="G3245" s="702" t="s">
        <v>5974</v>
      </c>
      <c r="H3245" s="186" t="s">
        <v>3024</v>
      </c>
      <c r="I3245" s="816" t="s">
        <v>2925</v>
      </c>
      <c r="J3245" s="811">
        <v>45272</v>
      </c>
      <c r="K3245" s="833">
        <v>0.66666666666666663</v>
      </c>
      <c r="L3245" s="811">
        <v>45272</v>
      </c>
      <c r="M3245" s="815">
        <v>0.6875</v>
      </c>
      <c r="N3245" s="187">
        <v>0.5</v>
      </c>
      <c r="O3245" s="188" t="s">
        <v>17</v>
      </c>
      <c r="P3245" s="197" t="s">
        <v>5807</v>
      </c>
      <c r="Q3245" s="179" t="s">
        <v>1441</v>
      </c>
      <c r="R3245" s="31" t="s">
        <v>95</v>
      </c>
      <c r="S3245" s="31" t="s">
        <v>273</v>
      </c>
      <c r="T3245" s="31" t="s">
        <v>273</v>
      </c>
      <c r="U3245" s="31">
        <f>IFERROR(VLOOKUP(CONCATENATE(Tabla1[[#This Row],[Severidad]]," ",Tabla1[[#This Row],[Complejidad]]),Catalogos!E$120:G$128,3,FALSE),"")</f>
        <v>64</v>
      </c>
      <c r="V3245" s="31" t="str">
        <f>IF(Tabla1[[#This Row],[Tiempo solución max (hrs)]]&lt;&gt;"",IF(Tabla1[[#This Row],[Tiempo solución max (hrs)]]&gt;=Tabla1[[#This Row],[Tiempo
(Hrs 00/100)]],"cumple","no cumple"),"")</f>
        <v>cumple</v>
      </c>
      <c r="W3245" s="222" t="s">
        <v>5372</v>
      </c>
      <c r="X3245" s="18" t="str">
        <f t="shared" si="235"/>
        <v>SSI</v>
      </c>
      <c r="Y3245" t="str">
        <f>SUBSTITUTE(Tabla1[[#This Row],[Descripción]],CHAR(10),"    I    ")</f>
        <v xml:space="preserve">Se validó el paquete-procedimiento de la funcionalidad 1 - Query # 1 con el bloque anónimo correcto y se tuvo un resultado exitoso con la salida del cursor completo </v>
      </c>
      <c r="Z3245" s="112">
        <f>VLOOKUP(Tabla1[[#This Row],[Perfil]],Catalogos!$B$75:$D$100,3,FALSE)*Tabla1[[#This Row],[Tiempo
(Hrs 00/100)]]*1.16</f>
        <v>348</v>
      </c>
    </row>
    <row r="3246" spans="1:26" ht="30" customHeight="1" x14ac:dyDescent="0.3">
      <c r="A3246" s="187" t="s">
        <v>22</v>
      </c>
      <c r="B3246" s="187" t="s">
        <v>65</v>
      </c>
      <c r="C3246" s="187" t="s">
        <v>257</v>
      </c>
      <c r="D3246" s="187"/>
      <c r="E3246" s="187" t="s">
        <v>408</v>
      </c>
      <c r="F3246" s="187" t="s">
        <v>76</v>
      </c>
      <c r="G3246" s="702" t="s">
        <v>5975</v>
      </c>
      <c r="H3246" s="186" t="s">
        <v>5840</v>
      </c>
      <c r="I3246" s="816" t="s">
        <v>5841</v>
      </c>
      <c r="J3246" s="811">
        <v>45272</v>
      </c>
      <c r="K3246" s="815">
        <v>0.6875</v>
      </c>
      <c r="L3246" s="811">
        <v>45272</v>
      </c>
      <c r="M3246" s="815">
        <v>0.70833333333333337</v>
      </c>
      <c r="N3246" s="187">
        <v>0.5</v>
      </c>
      <c r="O3246" s="188" t="s">
        <v>17</v>
      </c>
      <c r="P3246" s="197" t="s">
        <v>5807</v>
      </c>
      <c r="Q3246" s="179" t="s">
        <v>1441</v>
      </c>
      <c r="R3246" s="31" t="s">
        <v>95</v>
      </c>
      <c r="S3246" s="31" t="s">
        <v>273</v>
      </c>
      <c r="T3246" s="31" t="s">
        <v>273</v>
      </c>
      <c r="U3246" s="31">
        <f>IFERROR(VLOOKUP(CONCATENATE(Tabla1[[#This Row],[Severidad]]," ",Tabla1[[#This Row],[Complejidad]]),Catalogos!E$120:G$128,3,FALSE),"")</f>
        <v>64</v>
      </c>
      <c r="V3246" s="31" t="str">
        <f>IF(Tabla1[[#This Row],[Tiempo solución max (hrs)]]&lt;&gt;"",IF(Tabla1[[#This Row],[Tiempo solución max (hrs)]]&gt;=Tabla1[[#This Row],[Tiempo
(Hrs 00/100)]],"cumple","no cumple"),"")</f>
        <v>cumple</v>
      </c>
      <c r="W3246" s="222" t="s">
        <v>5372</v>
      </c>
      <c r="X3246" s="18" t="str">
        <f t="shared" si="235"/>
        <v>SSI</v>
      </c>
      <c r="Y3246" t="str">
        <f>SUBSTITUTE(Tabla1[[#This Row],[Descripción]],CHAR(10),"    I    ")</f>
        <v>Se actualizó el documento 'Querys_Estadisiticas_Totales_Nuevo' con los comentarios sobre el Query 1 de la Funcionalidad 1</v>
      </c>
      <c r="Z3246" s="112">
        <f>VLOOKUP(Tabla1[[#This Row],[Perfil]],Catalogos!$B$75:$D$100,3,FALSE)*Tabla1[[#This Row],[Tiempo
(Hrs 00/100)]]*1.16</f>
        <v>348</v>
      </c>
    </row>
    <row r="3247" spans="1:26" ht="30" customHeight="1" x14ac:dyDescent="0.3">
      <c r="A3247" s="187" t="s">
        <v>22</v>
      </c>
      <c r="B3247" s="187" t="s">
        <v>305</v>
      </c>
      <c r="C3247" s="187" t="s">
        <v>257</v>
      </c>
      <c r="D3247" s="187"/>
      <c r="E3247" s="187" t="s">
        <v>408</v>
      </c>
      <c r="F3247" s="187" t="s">
        <v>72</v>
      </c>
      <c r="G3247" s="702" t="s">
        <v>5976</v>
      </c>
      <c r="H3247" s="186" t="s">
        <v>5842</v>
      </c>
      <c r="I3247" s="816" t="s">
        <v>5843</v>
      </c>
      <c r="J3247" s="811">
        <v>45272</v>
      </c>
      <c r="K3247" s="815">
        <v>0.70833333333333337</v>
      </c>
      <c r="L3247" s="811">
        <v>45272</v>
      </c>
      <c r="M3247" s="815">
        <v>0.83333333333333337</v>
      </c>
      <c r="N3247" s="187">
        <v>3</v>
      </c>
      <c r="O3247" s="188" t="s">
        <v>17</v>
      </c>
      <c r="P3247" s="197" t="s">
        <v>5807</v>
      </c>
      <c r="Q3247" s="179" t="s">
        <v>1441</v>
      </c>
      <c r="R3247" s="31" t="s">
        <v>95</v>
      </c>
      <c r="S3247" s="31" t="s">
        <v>273</v>
      </c>
      <c r="T3247" s="31" t="s">
        <v>273</v>
      </c>
      <c r="U3247" s="31">
        <f>IFERROR(VLOOKUP(CONCATENATE(Tabla1[[#This Row],[Severidad]]," ",Tabla1[[#This Row],[Complejidad]]),Catalogos!E$120:G$128,3,FALSE),"")</f>
        <v>64</v>
      </c>
      <c r="V3247" s="31" t="str">
        <f>IF(Tabla1[[#This Row],[Tiempo solución max (hrs)]]&lt;&gt;"",IF(Tabla1[[#This Row],[Tiempo solución max (hrs)]]&gt;=Tabla1[[#This Row],[Tiempo
(Hrs 00/100)]],"cumple","no cumple"),"")</f>
        <v>cumple</v>
      </c>
      <c r="W3247" s="222" t="s">
        <v>5372</v>
      </c>
      <c r="X3247" s="18" t="str">
        <f t="shared" si="235"/>
        <v>SSI</v>
      </c>
      <c r="Y3247" t="str">
        <f>SUBSTITUTE(Tabla1[[#This Row],[Descripción]],CHAR(10),"    I    ")</f>
        <v>Se revisó el Query #1 del archivo IEDEPNT para la Funcionalidad 2 'TOTAL DE RECURSOS DE REVISIÓN INGRESADOS - Recursos de HCOM E INFOMEX', se hicieron las primeras ejecuciones con los parámetros para entender su funcionamiento</v>
      </c>
      <c r="Z3247" s="112">
        <f>VLOOKUP(Tabla1[[#This Row],[Perfil]],Catalogos!$B$75:$D$100,3,FALSE)*Tabla1[[#This Row],[Tiempo
(Hrs 00/100)]]*1.16</f>
        <v>2088</v>
      </c>
    </row>
    <row r="3248" spans="1:26" ht="30" customHeight="1" x14ac:dyDescent="0.3">
      <c r="A3248" s="187" t="s">
        <v>22</v>
      </c>
      <c r="B3248" s="187" t="s">
        <v>23</v>
      </c>
      <c r="C3248" s="187" t="s">
        <v>257</v>
      </c>
      <c r="D3248" s="187"/>
      <c r="E3248" s="187" t="s">
        <v>408</v>
      </c>
      <c r="F3248" s="187" t="s">
        <v>23</v>
      </c>
      <c r="G3248" s="702" t="s">
        <v>5977</v>
      </c>
      <c r="H3248" s="186" t="s">
        <v>5844</v>
      </c>
      <c r="I3248" s="816" t="s">
        <v>5845</v>
      </c>
      <c r="J3248" s="811">
        <v>45273</v>
      </c>
      <c r="K3248" s="815">
        <v>0.375</v>
      </c>
      <c r="L3248" s="811">
        <v>45273</v>
      </c>
      <c r="M3248" s="815">
        <v>0.4375</v>
      </c>
      <c r="N3248" s="187">
        <v>1.5</v>
      </c>
      <c r="O3248" s="188" t="s">
        <v>17</v>
      </c>
      <c r="P3248" s="197" t="s">
        <v>5807</v>
      </c>
      <c r="Q3248" s="179" t="s">
        <v>1441</v>
      </c>
      <c r="R3248" s="31" t="s">
        <v>95</v>
      </c>
      <c r="S3248" s="31" t="s">
        <v>273</v>
      </c>
      <c r="T3248" s="31" t="s">
        <v>273</v>
      </c>
      <c r="U3248" s="31">
        <f>IFERROR(VLOOKUP(CONCATENATE(Tabla1[[#This Row],[Severidad]]," ",Tabla1[[#This Row],[Complejidad]]),Catalogos!E$120:G$128,3,FALSE),"")</f>
        <v>64</v>
      </c>
      <c r="V3248" s="31" t="str">
        <f>IF(Tabla1[[#This Row],[Tiempo solución max (hrs)]]&lt;&gt;"",IF(Tabla1[[#This Row],[Tiempo solución max (hrs)]]&gt;=Tabla1[[#This Row],[Tiempo
(Hrs 00/100)]],"cumple","no cumple"),"")</f>
        <v>cumple</v>
      </c>
      <c r="W3248" s="222" t="s">
        <v>5372</v>
      </c>
      <c r="X3248" s="18" t="str">
        <f t="shared" si="235"/>
        <v>SSI</v>
      </c>
      <c r="Y3248" t="str">
        <f>SUBSTITUTE(Tabla1[[#This Row],[Descripción]],CHAR(10),"    I    ")</f>
        <v>Se optimizó el Query #1 del archivo IEDEPNT (Funcionalidad 2) para tener una versión mejorada en tiempo de respuesta y costo</v>
      </c>
      <c r="Z3248" s="112">
        <f>VLOOKUP(Tabla1[[#This Row],[Perfil]],Catalogos!$B$75:$D$100,3,FALSE)*Tabla1[[#This Row],[Tiempo
(Hrs 00/100)]]*1.16</f>
        <v>1044</v>
      </c>
    </row>
    <row r="3249" spans="1:26" ht="30" customHeight="1" x14ac:dyDescent="0.3">
      <c r="A3249" s="187" t="s">
        <v>22</v>
      </c>
      <c r="B3249" s="187" t="s">
        <v>23</v>
      </c>
      <c r="C3249" s="187" t="s">
        <v>257</v>
      </c>
      <c r="D3249" s="187"/>
      <c r="E3249" s="187" t="s">
        <v>408</v>
      </c>
      <c r="F3249" s="187" t="s">
        <v>23</v>
      </c>
      <c r="G3249" s="702" t="s">
        <v>5978</v>
      </c>
      <c r="H3249" s="186" t="s">
        <v>3030</v>
      </c>
      <c r="I3249" s="816" t="s">
        <v>3031</v>
      </c>
      <c r="J3249" s="811">
        <v>45273</v>
      </c>
      <c r="K3249" s="815">
        <v>0.4375</v>
      </c>
      <c r="L3249" s="811">
        <v>45273</v>
      </c>
      <c r="M3249" s="815">
        <v>0.5</v>
      </c>
      <c r="N3249" s="187">
        <v>1.5</v>
      </c>
      <c r="O3249" s="188" t="s">
        <v>17</v>
      </c>
      <c r="P3249" s="197" t="s">
        <v>5807</v>
      </c>
      <c r="Q3249" s="179" t="s">
        <v>1441</v>
      </c>
      <c r="R3249" s="31" t="s">
        <v>95</v>
      </c>
      <c r="S3249" s="31" t="s">
        <v>273</v>
      </c>
      <c r="T3249" s="31" t="s">
        <v>273</v>
      </c>
      <c r="U3249" s="31">
        <f>IFERROR(VLOOKUP(CONCATENATE(Tabla1[[#This Row],[Severidad]]," ",Tabla1[[#This Row],[Complejidad]]),Catalogos!E$120:G$128,3,FALSE),"")</f>
        <v>64</v>
      </c>
      <c r="V3249" s="31" t="str">
        <f>IF(Tabla1[[#This Row],[Tiempo solución max (hrs)]]&lt;&gt;"",IF(Tabla1[[#This Row],[Tiempo solución max (hrs)]]&gt;=Tabla1[[#This Row],[Tiempo
(Hrs 00/100)]],"cumple","no cumple"),"")</f>
        <v>cumple</v>
      </c>
      <c r="W3249" s="222" t="s">
        <v>5372</v>
      </c>
      <c r="X3249" s="18" t="str">
        <f t="shared" si="235"/>
        <v>SSI</v>
      </c>
      <c r="Y3249" t="str">
        <f>SUBSTITUTE(Tabla1[[#This Row],[Descripción]],CHAR(10),"    I    ")</f>
        <v>Se creó el nuevo procedimiento 'FUNC2_TOTRRIHCOMEINFOMEXQ1' en el paquete 'PACK_SISAI3', con la funcionalidad del Query #1</v>
      </c>
      <c r="Z3249" s="112">
        <f>VLOOKUP(Tabla1[[#This Row],[Perfil]],Catalogos!$B$75:$D$100,3,FALSE)*Tabla1[[#This Row],[Tiempo
(Hrs 00/100)]]*1.16</f>
        <v>1044</v>
      </c>
    </row>
    <row r="3250" spans="1:26" ht="30" customHeight="1" x14ac:dyDescent="0.3">
      <c r="A3250" s="187" t="s">
        <v>22</v>
      </c>
      <c r="B3250" s="187" t="s">
        <v>23</v>
      </c>
      <c r="C3250" s="187" t="s">
        <v>257</v>
      </c>
      <c r="D3250" s="187"/>
      <c r="E3250" s="187" t="s">
        <v>408</v>
      </c>
      <c r="F3250" s="187" t="s">
        <v>23</v>
      </c>
      <c r="G3250" s="702" t="s">
        <v>5979</v>
      </c>
      <c r="H3250" s="186" t="s">
        <v>2934</v>
      </c>
      <c r="I3250" s="816" t="s">
        <v>2934</v>
      </c>
      <c r="J3250" s="811">
        <v>45273</v>
      </c>
      <c r="K3250" s="815">
        <v>0.5</v>
      </c>
      <c r="L3250" s="811">
        <v>45273</v>
      </c>
      <c r="M3250" s="815">
        <v>0.54166666666666663</v>
      </c>
      <c r="N3250" s="187">
        <v>1</v>
      </c>
      <c r="O3250" s="188" t="s">
        <v>17</v>
      </c>
      <c r="P3250" s="197" t="s">
        <v>5807</v>
      </c>
      <c r="Q3250" s="179" t="s">
        <v>1441</v>
      </c>
      <c r="R3250" s="31" t="s">
        <v>95</v>
      </c>
      <c r="S3250" s="31" t="s">
        <v>273</v>
      </c>
      <c r="T3250" s="31" t="s">
        <v>273</v>
      </c>
      <c r="U3250" s="31">
        <f>IFERROR(VLOOKUP(CONCATENATE(Tabla1[[#This Row],[Severidad]]," ",Tabla1[[#This Row],[Complejidad]]),Catalogos!E$120:G$128,3,FALSE),"")</f>
        <v>64</v>
      </c>
      <c r="V3250" s="31" t="str">
        <f>IF(Tabla1[[#This Row],[Tiempo solución max (hrs)]]&lt;&gt;"",IF(Tabla1[[#This Row],[Tiempo solución max (hrs)]]&gt;=Tabla1[[#This Row],[Tiempo
(Hrs 00/100)]],"cumple","no cumple"),"")</f>
        <v>cumple</v>
      </c>
      <c r="W3250" s="222" t="s">
        <v>5372</v>
      </c>
      <c r="X3250" s="18" t="str">
        <f t="shared" si="235"/>
        <v>SSI</v>
      </c>
      <c r="Y3250" t="str">
        <f>SUBSTITUTE(Tabla1[[#This Row],[Descripción]],CHAR(10),"    I    ")</f>
        <v>Se verificó campo por campo del query 1 de la Funcionalidad 2, validando el tipo de dato y longitud exactos</v>
      </c>
      <c r="Z3250" s="112">
        <f>VLOOKUP(Tabla1[[#This Row],[Perfil]],Catalogos!$B$75:$D$100,3,FALSE)*Tabla1[[#This Row],[Tiempo
(Hrs 00/100)]]*1.16</f>
        <v>696</v>
      </c>
    </row>
    <row r="3251" spans="1:26" ht="30" customHeight="1" x14ac:dyDescent="0.3">
      <c r="A3251" s="187" t="s">
        <v>22</v>
      </c>
      <c r="B3251" s="187" t="s">
        <v>23</v>
      </c>
      <c r="C3251" s="187" t="s">
        <v>257</v>
      </c>
      <c r="D3251" s="187"/>
      <c r="E3251" s="187" t="s">
        <v>408</v>
      </c>
      <c r="F3251" s="187" t="s">
        <v>23</v>
      </c>
      <c r="G3251" s="702" t="s">
        <v>5980</v>
      </c>
      <c r="H3251" s="186" t="s">
        <v>2935</v>
      </c>
      <c r="I3251" s="816" t="s">
        <v>2935</v>
      </c>
      <c r="J3251" s="811">
        <v>45273</v>
      </c>
      <c r="K3251" s="815">
        <v>0.54166666666666663</v>
      </c>
      <c r="L3251" s="811">
        <v>45273</v>
      </c>
      <c r="M3251" s="815">
        <v>0.60416666666666663</v>
      </c>
      <c r="N3251" s="187">
        <v>1.5</v>
      </c>
      <c r="O3251" s="188" t="s">
        <v>17</v>
      </c>
      <c r="P3251" s="197" t="s">
        <v>5807</v>
      </c>
      <c r="Q3251" s="179" t="s">
        <v>1441</v>
      </c>
      <c r="R3251" s="31" t="s">
        <v>95</v>
      </c>
      <c r="S3251" s="31" t="s">
        <v>273</v>
      </c>
      <c r="T3251" s="31" t="s">
        <v>273</v>
      </c>
      <c r="U3251" s="31">
        <f>IFERROR(VLOOKUP(CONCATENATE(Tabla1[[#This Row],[Severidad]]," ",Tabla1[[#This Row],[Complejidad]]),Catalogos!E$120:G$128,3,FALSE),"")</f>
        <v>64</v>
      </c>
      <c r="V3251" s="31" t="str">
        <f>IF(Tabla1[[#This Row],[Tiempo solución max (hrs)]]&lt;&gt;"",IF(Tabla1[[#This Row],[Tiempo solución max (hrs)]]&gt;=Tabla1[[#This Row],[Tiempo
(Hrs 00/100)]],"cumple","no cumple"),"")</f>
        <v>cumple</v>
      </c>
      <c r="W3251" s="222" t="s">
        <v>5372</v>
      </c>
      <c r="X3251" s="18" t="str">
        <f t="shared" si="235"/>
        <v>SSI</v>
      </c>
      <c r="Y3251" t="str">
        <f>SUBSTITUTE(Tabla1[[#This Row],[Descripción]],CHAR(10),"    I    ")</f>
        <v>Se declararon las variables en bloque anónimo con validación exacta de tamaños de tipos de datos, del query 1 de la Funcionalidad 2</v>
      </c>
      <c r="Z3251" s="112">
        <f>VLOOKUP(Tabla1[[#This Row],[Perfil]],Catalogos!$B$75:$D$100,3,FALSE)*Tabla1[[#This Row],[Tiempo
(Hrs 00/100)]]*1.16</f>
        <v>1044</v>
      </c>
    </row>
    <row r="3252" spans="1:26" ht="30" customHeight="1" x14ac:dyDescent="0.3">
      <c r="A3252" s="187" t="s">
        <v>22</v>
      </c>
      <c r="B3252" s="187" t="s">
        <v>23</v>
      </c>
      <c r="C3252" s="187" t="s">
        <v>257</v>
      </c>
      <c r="D3252" s="187"/>
      <c r="E3252" s="187" t="s">
        <v>408</v>
      </c>
      <c r="F3252" s="187" t="s">
        <v>75</v>
      </c>
      <c r="G3252" s="702" t="s">
        <v>5981</v>
      </c>
      <c r="H3252" s="186" t="s">
        <v>3032</v>
      </c>
      <c r="I3252" s="816" t="s">
        <v>2937</v>
      </c>
      <c r="J3252" s="811">
        <v>45273</v>
      </c>
      <c r="K3252" s="815">
        <v>0.66666666666666663</v>
      </c>
      <c r="L3252" s="811">
        <v>45273</v>
      </c>
      <c r="M3252" s="815">
        <v>0.70833333333333337</v>
      </c>
      <c r="N3252" s="187">
        <v>1</v>
      </c>
      <c r="O3252" s="188" t="s">
        <v>17</v>
      </c>
      <c r="P3252" s="197" t="s">
        <v>5807</v>
      </c>
      <c r="Q3252" s="179" t="s">
        <v>1441</v>
      </c>
      <c r="R3252" s="31" t="s">
        <v>95</v>
      </c>
      <c r="S3252" s="31" t="s">
        <v>273</v>
      </c>
      <c r="T3252" s="31" t="s">
        <v>273</v>
      </c>
      <c r="U3252" s="31">
        <f>IFERROR(VLOOKUP(CONCATENATE(Tabla1[[#This Row],[Severidad]]," ",Tabla1[[#This Row],[Complejidad]]),Catalogos!E$120:G$128,3,FALSE),"")</f>
        <v>64</v>
      </c>
      <c r="V3252" s="31" t="str">
        <f>IF(Tabla1[[#This Row],[Tiempo solución max (hrs)]]&lt;&gt;"",IF(Tabla1[[#This Row],[Tiempo solución max (hrs)]]&gt;=Tabla1[[#This Row],[Tiempo
(Hrs 00/100)]],"cumple","no cumple"),"")</f>
        <v>cumple</v>
      </c>
      <c r="W3252" s="222" t="s">
        <v>5372</v>
      </c>
      <c r="X3252" s="18" t="str">
        <f t="shared" si="235"/>
        <v>SSI</v>
      </c>
      <c r="Y3252" t="str">
        <f>SUBSTITUTE(Tabla1[[#This Row],[Descripción]],CHAR(10),"    I    ")</f>
        <v xml:space="preserve">Se validó el paquete-procedimiento de la funcionalidad 2 - Query # 1 con el bloque anónimo correcto y se tuvo un resultado exitoso con la salida del cursor completo </v>
      </c>
      <c r="Z3252" s="112">
        <f>VLOOKUP(Tabla1[[#This Row],[Perfil]],Catalogos!$B$75:$D$100,3,FALSE)*Tabla1[[#This Row],[Tiempo
(Hrs 00/100)]]*1.16</f>
        <v>696</v>
      </c>
    </row>
    <row r="3253" spans="1:26" ht="30" customHeight="1" x14ac:dyDescent="0.3">
      <c r="A3253" s="187" t="s">
        <v>22</v>
      </c>
      <c r="B3253" s="187" t="s">
        <v>65</v>
      </c>
      <c r="C3253" s="187" t="s">
        <v>257</v>
      </c>
      <c r="D3253" s="187"/>
      <c r="E3253" s="187" t="s">
        <v>408</v>
      </c>
      <c r="F3253" s="187" t="s">
        <v>76</v>
      </c>
      <c r="G3253" s="702" t="s">
        <v>5982</v>
      </c>
      <c r="H3253" s="186" t="s">
        <v>5846</v>
      </c>
      <c r="I3253" s="816" t="s">
        <v>5847</v>
      </c>
      <c r="J3253" s="811">
        <v>45273</v>
      </c>
      <c r="K3253" s="815">
        <v>0.70833333333333337</v>
      </c>
      <c r="L3253" s="811">
        <v>45273</v>
      </c>
      <c r="M3253" s="815">
        <v>0.75</v>
      </c>
      <c r="N3253" s="187">
        <v>1</v>
      </c>
      <c r="O3253" s="188" t="s">
        <v>17</v>
      </c>
      <c r="P3253" s="197" t="s">
        <v>5807</v>
      </c>
      <c r="Q3253" s="179" t="s">
        <v>1441</v>
      </c>
      <c r="R3253" s="31" t="s">
        <v>95</v>
      </c>
      <c r="S3253" s="31" t="s">
        <v>273</v>
      </c>
      <c r="T3253" s="31" t="s">
        <v>273</v>
      </c>
      <c r="U3253" s="31">
        <f>IFERROR(VLOOKUP(CONCATENATE(Tabla1[[#This Row],[Severidad]]," ",Tabla1[[#This Row],[Complejidad]]),Catalogos!E$120:G$128,3,FALSE),"")</f>
        <v>64</v>
      </c>
      <c r="V3253" s="31" t="str">
        <f>IF(Tabla1[[#This Row],[Tiempo solución max (hrs)]]&lt;&gt;"",IF(Tabla1[[#This Row],[Tiempo solución max (hrs)]]&gt;=Tabla1[[#This Row],[Tiempo
(Hrs 00/100)]],"cumple","no cumple"),"")</f>
        <v>cumple</v>
      </c>
      <c r="W3253" s="222" t="s">
        <v>5372</v>
      </c>
      <c r="X3253" s="18" t="str">
        <f t="shared" si="235"/>
        <v>SSI</v>
      </c>
      <c r="Y3253" t="str">
        <f>SUBSTITUTE(Tabla1[[#This Row],[Descripción]],CHAR(10),"    I    ")</f>
        <v>Se actualizó el documento 'Querys_Estadisiticas_Totales_Nuevo' con los comentarios sobre el Query 1 de la Funcionalidad 2</v>
      </c>
      <c r="Z3253" s="112">
        <f>VLOOKUP(Tabla1[[#This Row],[Perfil]],Catalogos!$B$75:$D$100,3,FALSE)*Tabla1[[#This Row],[Tiempo
(Hrs 00/100)]]*1.16</f>
        <v>696</v>
      </c>
    </row>
    <row r="3254" spans="1:26" ht="30" customHeight="1" x14ac:dyDescent="0.3">
      <c r="A3254" s="187" t="s">
        <v>22</v>
      </c>
      <c r="B3254" s="187" t="s">
        <v>305</v>
      </c>
      <c r="C3254" s="187" t="s">
        <v>257</v>
      </c>
      <c r="D3254" s="187"/>
      <c r="E3254" s="187" t="s">
        <v>408</v>
      </c>
      <c r="F3254" s="187" t="s">
        <v>72</v>
      </c>
      <c r="G3254" s="702" t="s">
        <v>5983</v>
      </c>
      <c r="H3254" s="186" t="s">
        <v>5848</v>
      </c>
      <c r="I3254" s="816" t="s">
        <v>5849</v>
      </c>
      <c r="J3254" s="811">
        <v>45273</v>
      </c>
      <c r="K3254" s="815">
        <v>0.75</v>
      </c>
      <c r="L3254" s="811">
        <v>45273</v>
      </c>
      <c r="M3254" s="815">
        <v>0.83333333333333337</v>
      </c>
      <c r="N3254" s="187">
        <v>2</v>
      </c>
      <c r="O3254" s="188" t="s">
        <v>17</v>
      </c>
      <c r="P3254" s="197" t="s">
        <v>5807</v>
      </c>
      <c r="Q3254" s="179" t="s">
        <v>1441</v>
      </c>
      <c r="R3254" s="31" t="s">
        <v>95</v>
      </c>
      <c r="S3254" s="31" t="s">
        <v>273</v>
      </c>
      <c r="T3254" s="31" t="s">
        <v>273</v>
      </c>
      <c r="U3254" s="31">
        <f>IFERROR(VLOOKUP(CONCATENATE(Tabla1[[#This Row],[Severidad]]," ",Tabla1[[#This Row],[Complejidad]]),Catalogos!E$120:G$128,3,FALSE),"")</f>
        <v>64</v>
      </c>
      <c r="V3254" s="31" t="str">
        <f>IF(Tabla1[[#This Row],[Tiempo solución max (hrs)]]&lt;&gt;"",IF(Tabla1[[#This Row],[Tiempo solución max (hrs)]]&gt;=Tabla1[[#This Row],[Tiempo
(Hrs 00/100)]],"cumple","no cumple"),"")</f>
        <v>cumple</v>
      </c>
      <c r="W3254" s="222" t="s">
        <v>5372</v>
      </c>
      <c r="X3254" s="18" t="str">
        <f t="shared" si="235"/>
        <v>SSI</v>
      </c>
      <c r="Y3254" t="str">
        <f>SUBSTITUTE(Tabla1[[#This Row],[Descripción]],CHAR(10),"    I    ")</f>
        <v>Se revisó el Query #2 del archivo IEDEPNT para la Funcionalidad 2 'TOTAL DE RECURSOS DE REVISIÓN INGRESADOS - Obtiene los recursos de revisión interpuestos', se hicieron las primeras ejecuciones con los parámetros para entender su funcionamiento</v>
      </c>
      <c r="Z3254" s="112">
        <f>VLOOKUP(Tabla1[[#This Row],[Perfil]],Catalogos!$B$75:$D$100,3,FALSE)*Tabla1[[#This Row],[Tiempo
(Hrs 00/100)]]*1.16</f>
        <v>1392</v>
      </c>
    </row>
    <row r="3255" spans="1:26" ht="30" customHeight="1" x14ac:dyDescent="0.3">
      <c r="A3255" s="187" t="s">
        <v>22</v>
      </c>
      <c r="B3255" s="187" t="s">
        <v>23</v>
      </c>
      <c r="C3255" s="187" t="s">
        <v>257</v>
      </c>
      <c r="D3255" s="187"/>
      <c r="E3255" s="187" t="s">
        <v>408</v>
      </c>
      <c r="F3255" s="187" t="s">
        <v>23</v>
      </c>
      <c r="G3255" s="702" t="s">
        <v>5984</v>
      </c>
      <c r="H3255" s="186" t="s">
        <v>5850</v>
      </c>
      <c r="I3255" s="816" t="s">
        <v>5851</v>
      </c>
      <c r="J3255" s="811">
        <v>45274</v>
      </c>
      <c r="K3255" s="815">
        <v>0.375</v>
      </c>
      <c r="L3255" s="811">
        <v>45274</v>
      </c>
      <c r="M3255" s="815">
        <v>0.4375</v>
      </c>
      <c r="N3255" s="187">
        <v>1.5</v>
      </c>
      <c r="O3255" s="188" t="s">
        <v>17</v>
      </c>
      <c r="P3255" s="197" t="s">
        <v>5807</v>
      </c>
      <c r="Q3255" s="179" t="s">
        <v>1441</v>
      </c>
      <c r="R3255" s="31" t="s">
        <v>95</v>
      </c>
      <c r="S3255" s="31" t="s">
        <v>273</v>
      </c>
      <c r="T3255" s="31" t="s">
        <v>273</v>
      </c>
      <c r="U3255" s="31">
        <f>IFERROR(VLOOKUP(CONCATENATE(Tabla1[[#This Row],[Severidad]]," ",Tabla1[[#This Row],[Complejidad]]),Catalogos!E$120:G$128,3,FALSE),"")</f>
        <v>64</v>
      </c>
      <c r="V3255" s="31" t="str">
        <f>IF(Tabla1[[#This Row],[Tiempo solución max (hrs)]]&lt;&gt;"",IF(Tabla1[[#This Row],[Tiempo solución max (hrs)]]&gt;=Tabla1[[#This Row],[Tiempo
(Hrs 00/100)]],"cumple","no cumple"),"")</f>
        <v>cumple</v>
      </c>
      <c r="W3255" s="222" t="s">
        <v>5372</v>
      </c>
      <c r="X3255" s="18" t="str">
        <f t="shared" si="235"/>
        <v>SSI</v>
      </c>
      <c r="Y3255" t="str">
        <f>SUBSTITUTE(Tabla1[[#This Row],[Descripción]],CHAR(10),"    I    ")</f>
        <v>Se optimizó el Query #2 del archivo IEDEPNT (Funcionalidad 2) para tener una versión mejorada en tiempo de respuesta y costo</v>
      </c>
      <c r="Z3255" s="112">
        <f>VLOOKUP(Tabla1[[#This Row],[Perfil]],Catalogos!$B$75:$D$100,3,FALSE)*Tabla1[[#This Row],[Tiempo
(Hrs 00/100)]]*1.16</f>
        <v>1044</v>
      </c>
    </row>
    <row r="3256" spans="1:26" ht="30" customHeight="1" x14ac:dyDescent="0.3">
      <c r="A3256" s="187" t="s">
        <v>22</v>
      </c>
      <c r="B3256" s="187" t="s">
        <v>23</v>
      </c>
      <c r="C3256" s="187" t="s">
        <v>257</v>
      </c>
      <c r="D3256" s="187"/>
      <c r="E3256" s="187" t="s">
        <v>408</v>
      </c>
      <c r="F3256" s="187" t="s">
        <v>23</v>
      </c>
      <c r="G3256" s="702" t="s">
        <v>5985</v>
      </c>
      <c r="H3256" s="186" t="s">
        <v>3038</v>
      </c>
      <c r="I3256" s="816" t="s">
        <v>3039</v>
      </c>
      <c r="J3256" s="811">
        <v>45274</v>
      </c>
      <c r="K3256" s="815">
        <v>0.4375</v>
      </c>
      <c r="L3256" s="811">
        <v>45274</v>
      </c>
      <c r="M3256" s="815">
        <v>0.5</v>
      </c>
      <c r="N3256" s="187">
        <v>1.5</v>
      </c>
      <c r="O3256" s="188" t="s">
        <v>17</v>
      </c>
      <c r="P3256" s="197" t="s">
        <v>5807</v>
      </c>
      <c r="Q3256" s="179" t="s">
        <v>1441</v>
      </c>
      <c r="R3256" s="31" t="s">
        <v>95</v>
      </c>
      <c r="S3256" s="31" t="s">
        <v>273</v>
      </c>
      <c r="T3256" s="31" t="s">
        <v>273</v>
      </c>
      <c r="U3256" s="31">
        <f>IFERROR(VLOOKUP(CONCATENATE(Tabla1[[#This Row],[Severidad]]," ",Tabla1[[#This Row],[Complejidad]]),Catalogos!E$120:G$128,3,FALSE),"")</f>
        <v>64</v>
      </c>
      <c r="V3256" s="31" t="str">
        <f>IF(Tabla1[[#This Row],[Tiempo solución max (hrs)]]&lt;&gt;"",IF(Tabla1[[#This Row],[Tiempo solución max (hrs)]]&gt;=Tabla1[[#This Row],[Tiempo
(Hrs 00/100)]],"cumple","no cumple"),"")</f>
        <v>cumple</v>
      </c>
      <c r="W3256" s="222" t="s">
        <v>5372</v>
      </c>
      <c r="X3256" s="18" t="str">
        <f t="shared" si="235"/>
        <v>SSI</v>
      </c>
      <c r="Y3256" t="str">
        <f>SUBSTITUTE(Tabla1[[#This Row],[Descripción]],CHAR(10),"    I    ")</f>
        <v>Se creó el nuevo procedimiento 'FUNC2_TOTRRIOBTRECREVINTERPUQ2' en el paquete 'PACK_SISAI3', con la funcionalidad del Query #2</v>
      </c>
      <c r="Z3256" s="112">
        <f>VLOOKUP(Tabla1[[#This Row],[Perfil]],Catalogos!$B$75:$D$100,3,FALSE)*Tabla1[[#This Row],[Tiempo
(Hrs 00/100)]]*1.16</f>
        <v>1044</v>
      </c>
    </row>
    <row r="3257" spans="1:26" ht="30" customHeight="1" x14ac:dyDescent="0.3">
      <c r="A3257" s="187" t="s">
        <v>22</v>
      </c>
      <c r="B3257" s="187" t="s">
        <v>23</v>
      </c>
      <c r="C3257" s="187" t="s">
        <v>257</v>
      </c>
      <c r="D3257" s="187"/>
      <c r="E3257" s="187" t="s">
        <v>408</v>
      </c>
      <c r="F3257" s="187" t="s">
        <v>23</v>
      </c>
      <c r="G3257" s="702" t="s">
        <v>5986</v>
      </c>
      <c r="H3257" s="186" t="s">
        <v>3040</v>
      </c>
      <c r="I3257" s="816" t="s">
        <v>3040</v>
      </c>
      <c r="J3257" s="811">
        <v>45274</v>
      </c>
      <c r="K3257" s="815">
        <v>0.5</v>
      </c>
      <c r="L3257" s="811">
        <v>45274</v>
      </c>
      <c r="M3257" s="815">
        <v>0.54166666666666663</v>
      </c>
      <c r="N3257" s="187">
        <v>1</v>
      </c>
      <c r="O3257" s="188" t="s">
        <v>17</v>
      </c>
      <c r="P3257" s="197" t="s">
        <v>5807</v>
      </c>
      <c r="Q3257" s="179" t="s">
        <v>1441</v>
      </c>
      <c r="R3257" s="31" t="s">
        <v>95</v>
      </c>
      <c r="S3257" s="31" t="s">
        <v>273</v>
      </c>
      <c r="T3257" s="31" t="s">
        <v>273</v>
      </c>
      <c r="U3257" s="31">
        <f>IFERROR(VLOOKUP(CONCATENATE(Tabla1[[#This Row],[Severidad]]," ",Tabla1[[#This Row],[Complejidad]]),Catalogos!E$120:G$128,3,FALSE),"")</f>
        <v>64</v>
      </c>
      <c r="V3257" s="31" t="str">
        <f>IF(Tabla1[[#This Row],[Tiempo solución max (hrs)]]&lt;&gt;"",IF(Tabla1[[#This Row],[Tiempo solución max (hrs)]]&gt;=Tabla1[[#This Row],[Tiempo
(Hrs 00/100)]],"cumple","no cumple"),"")</f>
        <v>cumple</v>
      </c>
      <c r="W3257" s="222" t="s">
        <v>5372</v>
      </c>
      <c r="X3257" s="18" t="str">
        <f t="shared" si="235"/>
        <v>SSI</v>
      </c>
      <c r="Y3257" t="str">
        <f>SUBSTITUTE(Tabla1[[#This Row],[Descripción]],CHAR(10),"    I    ")</f>
        <v>Se verificó campo por campo del query 2 de la Funcionalidad 2, validando el tipo de dato y longitud exactos</v>
      </c>
      <c r="Z3257" s="112">
        <f>VLOOKUP(Tabla1[[#This Row],[Perfil]],Catalogos!$B$75:$D$100,3,FALSE)*Tabla1[[#This Row],[Tiempo
(Hrs 00/100)]]*1.16</f>
        <v>696</v>
      </c>
    </row>
    <row r="3258" spans="1:26" ht="30" customHeight="1" x14ac:dyDescent="0.3">
      <c r="A3258" s="187" t="s">
        <v>22</v>
      </c>
      <c r="B3258" s="187" t="s">
        <v>23</v>
      </c>
      <c r="C3258" s="187" t="s">
        <v>257</v>
      </c>
      <c r="D3258" s="187"/>
      <c r="E3258" s="187" t="s">
        <v>408</v>
      </c>
      <c r="F3258" s="187" t="s">
        <v>23</v>
      </c>
      <c r="G3258" s="702" t="s">
        <v>5987</v>
      </c>
      <c r="H3258" s="186" t="s">
        <v>3041</v>
      </c>
      <c r="I3258" s="816" t="s">
        <v>3041</v>
      </c>
      <c r="J3258" s="811">
        <v>45274</v>
      </c>
      <c r="K3258" s="815">
        <v>0.54166666666666663</v>
      </c>
      <c r="L3258" s="811">
        <v>45274</v>
      </c>
      <c r="M3258" s="815">
        <v>0.60416666666666663</v>
      </c>
      <c r="N3258" s="187">
        <v>1.5</v>
      </c>
      <c r="O3258" s="188" t="s">
        <v>17</v>
      </c>
      <c r="P3258" s="197" t="s">
        <v>5807</v>
      </c>
      <c r="Q3258" s="179" t="s">
        <v>1441</v>
      </c>
      <c r="R3258" s="31" t="s">
        <v>95</v>
      </c>
      <c r="S3258" s="31" t="s">
        <v>273</v>
      </c>
      <c r="T3258" s="31" t="s">
        <v>273</v>
      </c>
      <c r="U3258" s="31">
        <f>IFERROR(VLOOKUP(CONCATENATE(Tabla1[[#This Row],[Severidad]]," ",Tabla1[[#This Row],[Complejidad]]),Catalogos!E$120:G$128,3,FALSE),"")</f>
        <v>64</v>
      </c>
      <c r="V3258" s="31" t="str">
        <f>IF(Tabla1[[#This Row],[Tiempo solución max (hrs)]]&lt;&gt;"",IF(Tabla1[[#This Row],[Tiempo solución max (hrs)]]&gt;=Tabla1[[#This Row],[Tiempo
(Hrs 00/100)]],"cumple","no cumple"),"")</f>
        <v>cumple</v>
      </c>
      <c r="W3258" s="222" t="s">
        <v>5372</v>
      </c>
      <c r="X3258" s="18" t="str">
        <f t="shared" si="235"/>
        <v>SSI</v>
      </c>
      <c r="Y3258" t="str">
        <f>SUBSTITUTE(Tabla1[[#This Row],[Descripción]],CHAR(10),"    I    ")</f>
        <v>Se declararon las variables en bloque anónimo con validación exacta de tamaños de tipos de datos, del query 2 de la Funcionalidad 2</v>
      </c>
      <c r="Z3258" s="112">
        <f>VLOOKUP(Tabla1[[#This Row],[Perfil]],Catalogos!$B$75:$D$100,3,FALSE)*Tabla1[[#This Row],[Tiempo
(Hrs 00/100)]]*1.16</f>
        <v>1044</v>
      </c>
    </row>
    <row r="3259" spans="1:26" ht="30" customHeight="1" x14ac:dyDescent="0.3">
      <c r="A3259" s="187" t="s">
        <v>22</v>
      </c>
      <c r="B3259" s="187" t="s">
        <v>23</v>
      </c>
      <c r="C3259" s="187" t="s">
        <v>257</v>
      </c>
      <c r="D3259" s="187"/>
      <c r="E3259" s="187" t="s">
        <v>408</v>
      </c>
      <c r="F3259" s="187" t="s">
        <v>75</v>
      </c>
      <c r="G3259" s="702" t="s">
        <v>5988</v>
      </c>
      <c r="H3259" s="186" t="s">
        <v>3042</v>
      </c>
      <c r="I3259" s="816" t="s">
        <v>3043</v>
      </c>
      <c r="J3259" s="811">
        <v>45274</v>
      </c>
      <c r="K3259" s="815">
        <v>0.66666666666666663</v>
      </c>
      <c r="L3259" s="811">
        <v>45274</v>
      </c>
      <c r="M3259" s="815">
        <v>0.70833333333333337</v>
      </c>
      <c r="N3259" s="187">
        <v>1</v>
      </c>
      <c r="O3259" s="188" t="s">
        <v>17</v>
      </c>
      <c r="P3259" s="197" t="s">
        <v>5807</v>
      </c>
      <c r="Q3259" s="179" t="s">
        <v>1441</v>
      </c>
      <c r="R3259" s="31" t="s">
        <v>95</v>
      </c>
      <c r="S3259" s="31" t="s">
        <v>273</v>
      </c>
      <c r="T3259" s="31" t="s">
        <v>273</v>
      </c>
      <c r="U3259" s="31">
        <f>IFERROR(VLOOKUP(CONCATENATE(Tabla1[[#This Row],[Severidad]]," ",Tabla1[[#This Row],[Complejidad]]),Catalogos!E$120:G$128,3,FALSE),"")</f>
        <v>64</v>
      </c>
      <c r="V3259" s="31" t="str">
        <f>IF(Tabla1[[#This Row],[Tiempo solución max (hrs)]]&lt;&gt;"",IF(Tabla1[[#This Row],[Tiempo solución max (hrs)]]&gt;=Tabla1[[#This Row],[Tiempo
(Hrs 00/100)]],"cumple","no cumple"),"")</f>
        <v>cumple</v>
      </c>
      <c r="W3259" s="222" t="s">
        <v>5372</v>
      </c>
      <c r="X3259" s="18" t="str">
        <f t="shared" si="235"/>
        <v>SSI</v>
      </c>
      <c r="Y3259" t="str">
        <f>SUBSTITUTE(Tabla1[[#This Row],[Descripción]],CHAR(10),"    I    ")</f>
        <v xml:space="preserve">Se validó el paquete-procedimiento de la funcionalidad 2 - Query # 2 con el bloque anónimo correcto y se tuvo un resultado exitoso con la salida del cursor completo </v>
      </c>
      <c r="Z3259" s="112">
        <f>VLOOKUP(Tabla1[[#This Row],[Perfil]],Catalogos!$B$75:$D$100,3,FALSE)*Tabla1[[#This Row],[Tiempo
(Hrs 00/100)]]*1.16</f>
        <v>696</v>
      </c>
    </row>
    <row r="3260" spans="1:26" ht="30" customHeight="1" x14ac:dyDescent="0.3">
      <c r="A3260" s="187" t="s">
        <v>22</v>
      </c>
      <c r="B3260" s="187" t="s">
        <v>65</v>
      </c>
      <c r="C3260" s="187" t="s">
        <v>257</v>
      </c>
      <c r="D3260" s="187"/>
      <c r="E3260" s="187" t="s">
        <v>408</v>
      </c>
      <c r="F3260" s="187" t="s">
        <v>76</v>
      </c>
      <c r="G3260" s="702" t="s">
        <v>5989</v>
      </c>
      <c r="H3260" s="186" t="s">
        <v>5852</v>
      </c>
      <c r="I3260" s="816" t="s">
        <v>5853</v>
      </c>
      <c r="J3260" s="811">
        <v>45274</v>
      </c>
      <c r="K3260" s="815">
        <v>0.70833333333333337</v>
      </c>
      <c r="L3260" s="811">
        <v>45274</v>
      </c>
      <c r="M3260" s="815">
        <v>0.77083333333333337</v>
      </c>
      <c r="N3260" s="187">
        <v>1.5</v>
      </c>
      <c r="O3260" s="188" t="s">
        <v>17</v>
      </c>
      <c r="P3260" s="197" t="s">
        <v>5807</v>
      </c>
      <c r="Q3260" s="179" t="s">
        <v>1441</v>
      </c>
      <c r="R3260" s="31" t="s">
        <v>95</v>
      </c>
      <c r="S3260" s="31" t="s">
        <v>273</v>
      </c>
      <c r="T3260" s="31" t="s">
        <v>273</v>
      </c>
      <c r="U3260" s="31">
        <f>IFERROR(VLOOKUP(CONCATENATE(Tabla1[[#This Row],[Severidad]]," ",Tabla1[[#This Row],[Complejidad]]),Catalogos!E$120:G$128,3,FALSE),"")</f>
        <v>64</v>
      </c>
      <c r="V3260" s="31" t="str">
        <f>IF(Tabla1[[#This Row],[Tiempo solución max (hrs)]]&lt;&gt;"",IF(Tabla1[[#This Row],[Tiempo solución max (hrs)]]&gt;=Tabla1[[#This Row],[Tiempo
(Hrs 00/100)]],"cumple","no cumple"),"")</f>
        <v>cumple</v>
      </c>
      <c r="W3260" s="222" t="s">
        <v>5372</v>
      </c>
      <c r="X3260" s="18" t="str">
        <f t="shared" si="235"/>
        <v>SSI</v>
      </c>
      <c r="Y3260" t="str">
        <f>SUBSTITUTE(Tabla1[[#This Row],[Descripción]],CHAR(10),"    I    ")</f>
        <v>Se actualizó el documento 'Querys_Estadisiticas_Totales_Nuevo' con los comentarios sobre el Query 2 de la Funcionalidad 2</v>
      </c>
      <c r="Z3260" s="112">
        <f>VLOOKUP(Tabla1[[#This Row],[Perfil]],Catalogos!$B$75:$D$100,3,FALSE)*Tabla1[[#This Row],[Tiempo
(Hrs 00/100)]]*1.16</f>
        <v>1044</v>
      </c>
    </row>
    <row r="3261" spans="1:26" ht="30" customHeight="1" x14ac:dyDescent="0.3">
      <c r="A3261" s="187" t="s">
        <v>22</v>
      </c>
      <c r="B3261" s="187" t="s">
        <v>305</v>
      </c>
      <c r="C3261" s="187" t="s">
        <v>257</v>
      </c>
      <c r="D3261" s="187"/>
      <c r="E3261" s="187" t="s">
        <v>408</v>
      </c>
      <c r="F3261" s="187" t="s">
        <v>72</v>
      </c>
      <c r="G3261" s="702" t="s">
        <v>5990</v>
      </c>
      <c r="H3261" s="186" t="s">
        <v>5854</v>
      </c>
      <c r="I3261" s="816" t="s">
        <v>5855</v>
      </c>
      <c r="J3261" s="811">
        <v>45274</v>
      </c>
      <c r="K3261" s="815">
        <v>0.77083333333333337</v>
      </c>
      <c r="L3261" s="811">
        <v>45274</v>
      </c>
      <c r="M3261" s="815">
        <v>0.83333333333333337</v>
      </c>
      <c r="N3261" s="187">
        <v>1.5</v>
      </c>
      <c r="O3261" s="188" t="s">
        <v>17</v>
      </c>
      <c r="P3261" s="197" t="s">
        <v>5807</v>
      </c>
      <c r="Q3261" s="179" t="s">
        <v>1441</v>
      </c>
      <c r="R3261" s="31" t="s">
        <v>95</v>
      </c>
      <c r="S3261" s="31" t="s">
        <v>273</v>
      </c>
      <c r="T3261" s="31" t="s">
        <v>273</v>
      </c>
      <c r="U3261" s="31">
        <f>IFERROR(VLOOKUP(CONCATENATE(Tabla1[[#This Row],[Severidad]]," ",Tabla1[[#This Row],[Complejidad]]),Catalogos!E$120:G$128,3,FALSE),"")</f>
        <v>64</v>
      </c>
      <c r="V3261" s="31" t="str">
        <f>IF(Tabla1[[#This Row],[Tiempo solución max (hrs)]]&lt;&gt;"",IF(Tabla1[[#This Row],[Tiempo solución max (hrs)]]&gt;=Tabla1[[#This Row],[Tiempo
(Hrs 00/100)]],"cumple","no cumple"),"")</f>
        <v>cumple</v>
      </c>
      <c r="W3261" s="222" t="s">
        <v>5372</v>
      </c>
      <c r="X3261" s="18" t="str">
        <f t="shared" si="235"/>
        <v>SSI</v>
      </c>
      <c r="Y3261" t="str">
        <f>SUBSTITUTE(Tabla1[[#This Row],[Descripción]],CHAR(10),"    I    ")</f>
        <v>Se revisó el Query #3 del archivo IEDEPNT para la Funcionalidad 2 'TOTAL DE RECURSOS DE REVISIÓN INGRESADOS - Obtiene los recursos de revisión gestionados fuera', se hicieron las primeras ejecuciones con los parámetros para entender su funcionamiento</v>
      </c>
      <c r="Z3261" s="112">
        <f>VLOOKUP(Tabla1[[#This Row],[Perfil]],Catalogos!$B$75:$D$100,3,FALSE)*Tabla1[[#This Row],[Tiempo
(Hrs 00/100)]]*1.16</f>
        <v>1044</v>
      </c>
    </row>
    <row r="3262" spans="1:26" ht="30" customHeight="1" x14ac:dyDescent="0.3">
      <c r="A3262" s="187" t="s">
        <v>22</v>
      </c>
      <c r="B3262" s="187" t="s">
        <v>23</v>
      </c>
      <c r="C3262" s="187" t="s">
        <v>257</v>
      </c>
      <c r="D3262" s="187"/>
      <c r="E3262" s="187" t="s">
        <v>408</v>
      </c>
      <c r="F3262" s="187" t="s">
        <v>23</v>
      </c>
      <c r="G3262" s="702" t="s">
        <v>5991</v>
      </c>
      <c r="H3262" s="186" t="s">
        <v>5856</v>
      </c>
      <c r="I3262" s="816" t="s">
        <v>5857</v>
      </c>
      <c r="J3262" s="811">
        <v>45275</v>
      </c>
      <c r="K3262" s="815">
        <v>0.375</v>
      </c>
      <c r="L3262" s="811">
        <v>45275</v>
      </c>
      <c r="M3262" s="815">
        <v>0.4375</v>
      </c>
      <c r="N3262" s="187">
        <v>1.5</v>
      </c>
      <c r="O3262" s="188" t="s">
        <v>17</v>
      </c>
      <c r="P3262" s="197" t="s">
        <v>5807</v>
      </c>
      <c r="Q3262" s="179" t="s">
        <v>1441</v>
      </c>
      <c r="R3262" s="31" t="s">
        <v>95</v>
      </c>
      <c r="S3262" s="31" t="s">
        <v>273</v>
      </c>
      <c r="T3262" s="31" t="s">
        <v>273</v>
      </c>
      <c r="U3262" s="31">
        <f>IFERROR(VLOOKUP(CONCATENATE(Tabla1[[#This Row],[Severidad]]," ",Tabla1[[#This Row],[Complejidad]]),Catalogos!E$120:G$128,3,FALSE),"")</f>
        <v>64</v>
      </c>
      <c r="V3262" s="31" t="str">
        <f>IF(Tabla1[[#This Row],[Tiempo solución max (hrs)]]&lt;&gt;"",IF(Tabla1[[#This Row],[Tiempo solución max (hrs)]]&gt;=Tabla1[[#This Row],[Tiempo
(Hrs 00/100)]],"cumple","no cumple"),"")</f>
        <v>cumple</v>
      </c>
      <c r="W3262" s="222" t="s">
        <v>5372</v>
      </c>
      <c r="X3262" s="18" t="str">
        <f t="shared" si="235"/>
        <v>SSI</v>
      </c>
      <c r="Y3262" t="str">
        <f>SUBSTITUTE(Tabla1[[#This Row],[Descripción]],CHAR(10),"    I    ")</f>
        <v>Se optimizó el Query #3 del archivo IEDEPNT (Funcionalidad 2) para tener una versión mejorada en tiempo de respuesta y costo</v>
      </c>
      <c r="Z3262" s="112">
        <f>VLOOKUP(Tabla1[[#This Row],[Perfil]],Catalogos!$B$75:$D$100,3,FALSE)*Tabla1[[#This Row],[Tiempo
(Hrs 00/100)]]*1.16</f>
        <v>1044</v>
      </c>
    </row>
    <row r="3263" spans="1:26" ht="30" customHeight="1" x14ac:dyDescent="0.3">
      <c r="A3263" s="187" t="s">
        <v>22</v>
      </c>
      <c r="B3263" s="187" t="s">
        <v>23</v>
      </c>
      <c r="C3263" s="187" t="s">
        <v>257</v>
      </c>
      <c r="D3263" s="187"/>
      <c r="E3263" s="187" t="s">
        <v>408</v>
      </c>
      <c r="F3263" s="187" t="s">
        <v>23</v>
      </c>
      <c r="G3263" s="702" t="s">
        <v>5992</v>
      </c>
      <c r="H3263" s="186" t="s">
        <v>3049</v>
      </c>
      <c r="I3263" s="816" t="s">
        <v>3050</v>
      </c>
      <c r="J3263" s="811">
        <v>45275</v>
      </c>
      <c r="K3263" s="815">
        <v>0.4375</v>
      </c>
      <c r="L3263" s="811">
        <v>45275</v>
      </c>
      <c r="M3263" s="815">
        <v>0.5</v>
      </c>
      <c r="N3263" s="187">
        <v>1.5</v>
      </c>
      <c r="O3263" s="188" t="s">
        <v>17</v>
      </c>
      <c r="P3263" s="197" t="s">
        <v>5807</v>
      </c>
      <c r="Q3263" s="179" t="s">
        <v>1441</v>
      </c>
      <c r="R3263" s="31" t="s">
        <v>95</v>
      </c>
      <c r="S3263" s="31" t="s">
        <v>273</v>
      </c>
      <c r="T3263" s="31" t="s">
        <v>273</v>
      </c>
      <c r="U3263" s="31">
        <f>IFERROR(VLOOKUP(CONCATENATE(Tabla1[[#This Row],[Severidad]]," ",Tabla1[[#This Row],[Complejidad]]),Catalogos!E$120:G$128,3,FALSE),"")</f>
        <v>64</v>
      </c>
      <c r="V3263" s="31" t="str">
        <f>IF(Tabla1[[#This Row],[Tiempo solución max (hrs)]]&lt;&gt;"",IF(Tabla1[[#This Row],[Tiempo solución max (hrs)]]&gt;=Tabla1[[#This Row],[Tiempo
(Hrs 00/100)]],"cumple","no cumple"),"")</f>
        <v>cumple</v>
      </c>
      <c r="W3263" s="222" t="s">
        <v>5372</v>
      </c>
      <c r="X3263" s="18" t="str">
        <f t="shared" si="235"/>
        <v>SSI</v>
      </c>
      <c r="Y3263" t="str">
        <f>SUBSTITUTE(Tabla1[[#This Row],[Descripción]],CHAR(10),"    I    ")</f>
        <v>Se creó el nuevo procedimiento 'FUNC2_TOTRRIOBTRECREVGESTFUEQ3' en el paquete 'PACK_SISAI3', con la funcionalidad del Query #3</v>
      </c>
      <c r="Z3263" s="112">
        <f>VLOOKUP(Tabla1[[#This Row],[Perfil]],Catalogos!$B$75:$D$100,3,FALSE)*Tabla1[[#This Row],[Tiempo
(Hrs 00/100)]]*1.16</f>
        <v>1044</v>
      </c>
    </row>
    <row r="3264" spans="1:26" ht="30" customHeight="1" x14ac:dyDescent="0.3">
      <c r="A3264" s="187" t="s">
        <v>22</v>
      </c>
      <c r="B3264" s="187" t="s">
        <v>23</v>
      </c>
      <c r="C3264" s="187" t="s">
        <v>257</v>
      </c>
      <c r="D3264" s="187"/>
      <c r="E3264" s="187" t="s">
        <v>408</v>
      </c>
      <c r="F3264" s="187" t="s">
        <v>23</v>
      </c>
      <c r="G3264" s="702" t="s">
        <v>5993</v>
      </c>
      <c r="H3264" s="186" t="s">
        <v>3051</v>
      </c>
      <c r="I3264" s="816" t="s">
        <v>3051</v>
      </c>
      <c r="J3264" s="811">
        <v>45275</v>
      </c>
      <c r="K3264" s="815">
        <v>0.5</v>
      </c>
      <c r="L3264" s="811">
        <v>45275</v>
      </c>
      <c r="M3264" s="815">
        <v>0.54166666666666663</v>
      </c>
      <c r="N3264" s="187">
        <v>1</v>
      </c>
      <c r="O3264" s="188" t="s">
        <v>17</v>
      </c>
      <c r="P3264" s="197" t="s">
        <v>5807</v>
      </c>
      <c r="Q3264" s="179" t="s">
        <v>1441</v>
      </c>
      <c r="R3264" s="31" t="s">
        <v>95</v>
      </c>
      <c r="S3264" s="31" t="s">
        <v>273</v>
      </c>
      <c r="T3264" s="31" t="s">
        <v>273</v>
      </c>
      <c r="U3264" s="31">
        <f>IFERROR(VLOOKUP(CONCATENATE(Tabla1[[#This Row],[Severidad]]," ",Tabla1[[#This Row],[Complejidad]]),Catalogos!E$120:G$128,3,FALSE),"")</f>
        <v>64</v>
      </c>
      <c r="V3264" s="31" t="str">
        <f>IF(Tabla1[[#This Row],[Tiempo solución max (hrs)]]&lt;&gt;"",IF(Tabla1[[#This Row],[Tiempo solución max (hrs)]]&gt;=Tabla1[[#This Row],[Tiempo
(Hrs 00/100)]],"cumple","no cumple"),"")</f>
        <v>cumple</v>
      </c>
      <c r="W3264" s="222" t="s">
        <v>5372</v>
      </c>
      <c r="X3264" s="18" t="str">
        <f t="shared" si="235"/>
        <v>SSI</v>
      </c>
      <c r="Y3264" t="str">
        <f>SUBSTITUTE(Tabla1[[#This Row],[Descripción]],CHAR(10),"    I    ")</f>
        <v>Se verificó campo por campo del query 3 de la Funcionalidad 2, validando el tipo de dato y longitud exactos</v>
      </c>
      <c r="Z3264" s="112">
        <f>VLOOKUP(Tabla1[[#This Row],[Perfil]],Catalogos!$B$75:$D$100,3,FALSE)*Tabla1[[#This Row],[Tiempo
(Hrs 00/100)]]*1.16</f>
        <v>696</v>
      </c>
    </row>
    <row r="3265" spans="1:26" ht="30" customHeight="1" x14ac:dyDescent="0.3">
      <c r="A3265" s="187" t="s">
        <v>22</v>
      </c>
      <c r="B3265" s="187" t="s">
        <v>23</v>
      </c>
      <c r="C3265" s="187" t="s">
        <v>257</v>
      </c>
      <c r="D3265" s="187"/>
      <c r="E3265" s="187" t="s">
        <v>408</v>
      </c>
      <c r="F3265" s="187" t="s">
        <v>23</v>
      </c>
      <c r="G3265" s="702" t="s">
        <v>5994</v>
      </c>
      <c r="H3265" s="186" t="s">
        <v>3052</v>
      </c>
      <c r="I3265" s="816" t="s">
        <v>3052</v>
      </c>
      <c r="J3265" s="811">
        <v>45275</v>
      </c>
      <c r="K3265" s="815">
        <v>0.54166666666666663</v>
      </c>
      <c r="L3265" s="811">
        <v>45275</v>
      </c>
      <c r="M3265" s="815">
        <v>0.60416666666666663</v>
      </c>
      <c r="N3265" s="187">
        <v>1.5</v>
      </c>
      <c r="O3265" s="188" t="s">
        <v>17</v>
      </c>
      <c r="P3265" s="197" t="s">
        <v>5807</v>
      </c>
      <c r="Q3265" s="179" t="s">
        <v>1441</v>
      </c>
      <c r="R3265" s="31" t="s">
        <v>95</v>
      </c>
      <c r="S3265" s="31" t="s">
        <v>273</v>
      </c>
      <c r="T3265" s="31" t="s">
        <v>273</v>
      </c>
      <c r="U3265" s="31">
        <f>IFERROR(VLOOKUP(CONCATENATE(Tabla1[[#This Row],[Severidad]]," ",Tabla1[[#This Row],[Complejidad]]),Catalogos!E$120:G$128,3,FALSE),"")</f>
        <v>64</v>
      </c>
      <c r="V3265" s="31" t="str">
        <f>IF(Tabla1[[#This Row],[Tiempo solución max (hrs)]]&lt;&gt;"",IF(Tabla1[[#This Row],[Tiempo solución max (hrs)]]&gt;=Tabla1[[#This Row],[Tiempo
(Hrs 00/100)]],"cumple","no cumple"),"")</f>
        <v>cumple</v>
      </c>
      <c r="W3265" s="222" t="s">
        <v>5372</v>
      </c>
      <c r="X3265" s="18" t="str">
        <f t="shared" si="235"/>
        <v>SSI</v>
      </c>
      <c r="Y3265" t="str">
        <f>SUBSTITUTE(Tabla1[[#This Row],[Descripción]],CHAR(10),"    I    ")</f>
        <v>Se declararon las variables en bloque anónimo con validación exacta de tamaños de tipos de datos, del query 3 de la Funcionalidad 2</v>
      </c>
      <c r="Z3265" s="112">
        <f>VLOOKUP(Tabla1[[#This Row],[Perfil]],Catalogos!$B$75:$D$100,3,FALSE)*Tabla1[[#This Row],[Tiempo
(Hrs 00/100)]]*1.16</f>
        <v>1044</v>
      </c>
    </row>
    <row r="3266" spans="1:26" ht="30" customHeight="1" x14ac:dyDescent="0.3">
      <c r="A3266" s="187" t="s">
        <v>22</v>
      </c>
      <c r="B3266" s="187" t="s">
        <v>23</v>
      </c>
      <c r="C3266" s="187" t="s">
        <v>257</v>
      </c>
      <c r="D3266" s="187"/>
      <c r="E3266" s="187" t="s">
        <v>408</v>
      </c>
      <c r="F3266" s="187" t="s">
        <v>75</v>
      </c>
      <c r="G3266" s="702" t="s">
        <v>5995</v>
      </c>
      <c r="H3266" s="186" t="s">
        <v>3053</v>
      </c>
      <c r="I3266" s="816" t="s">
        <v>3054</v>
      </c>
      <c r="J3266" s="811">
        <v>45275</v>
      </c>
      <c r="K3266" s="815">
        <v>0.66666666666666663</v>
      </c>
      <c r="L3266" s="811">
        <v>45275</v>
      </c>
      <c r="M3266" s="815">
        <v>0.6875</v>
      </c>
      <c r="N3266" s="187">
        <v>0.5</v>
      </c>
      <c r="O3266" s="188" t="s">
        <v>411</v>
      </c>
      <c r="P3266" s="197" t="s">
        <v>5807</v>
      </c>
      <c r="Q3266" s="179" t="s">
        <v>1441</v>
      </c>
      <c r="R3266" s="31" t="s">
        <v>95</v>
      </c>
      <c r="S3266" s="31" t="s">
        <v>273</v>
      </c>
      <c r="T3266" s="31" t="s">
        <v>273</v>
      </c>
      <c r="U3266" s="31">
        <f>IFERROR(VLOOKUP(CONCATENATE(Tabla1[[#This Row],[Severidad]]," ",Tabla1[[#This Row],[Complejidad]]),Catalogos!E$120:G$128,3,FALSE),"")</f>
        <v>64</v>
      </c>
      <c r="V3266" s="31" t="str">
        <f>IF(Tabla1[[#This Row],[Tiempo solución max (hrs)]]&lt;&gt;"",IF(Tabla1[[#This Row],[Tiempo solución max (hrs)]]&gt;=Tabla1[[#This Row],[Tiempo
(Hrs 00/100)]],"cumple","no cumple"),"")</f>
        <v>cumple</v>
      </c>
      <c r="W3266" s="222" t="s">
        <v>5372</v>
      </c>
      <c r="X3266" s="18" t="str">
        <f t="shared" si="235"/>
        <v>SSI</v>
      </c>
      <c r="Y3266" t="str">
        <f>SUBSTITUTE(Tabla1[[#This Row],[Descripción]],CHAR(10),"    I    ")</f>
        <v xml:space="preserve">Se validó el paquete-procedimiento de la funcionalidad 2 - Query # 3 con el bloque anónimo correcto y se tuvo un resultado exitoso con la salida del cursor completo </v>
      </c>
      <c r="Z3266" s="112">
        <f>VLOOKUP(Tabla1[[#This Row],[Perfil]],Catalogos!$B$75:$D$100,3,FALSE)*Tabla1[[#This Row],[Tiempo
(Hrs 00/100)]]*1.16</f>
        <v>348</v>
      </c>
    </row>
    <row r="3267" spans="1:26" ht="30" customHeight="1" x14ac:dyDescent="0.3">
      <c r="A3267" s="187" t="s">
        <v>22</v>
      </c>
      <c r="B3267" s="187" t="s">
        <v>23</v>
      </c>
      <c r="C3267" s="187" t="s">
        <v>257</v>
      </c>
      <c r="D3267" s="187"/>
      <c r="E3267" s="187" t="s">
        <v>408</v>
      </c>
      <c r="F3267" s="187" t="s">
        <v>76</v>
      </c>
      <c r="G3267" s="702" t="s">
        <v>5996</v>
      </c>
      <c r="H3267" s="186" t="s">
        <v>5858</v>
      </c>
      <c r="I3267" s="816" t="s">
        <v>5859</v>
      </c>
      <c r="J3267" s="811">
        <v>45275</v>
      </c>
      <c r="K3267" s="815">
        <v>0.6875</v>
      </c>
      <c r="L3267" s="811">
        <v>45275</v>
      </c>
      <c r="M3267" s="815">
        <v>0.70833333333333337</v>
      </c>
      <c r="N3267" s="187">
        <v>0.5</v>
      </c>
      <c r="O3267" s="188" t="s">
        <v>17</v>
      </c>
      <c r="P3267" s="197" t="s">
        <v>5807</v>
      </c>
      <c r="Q3267" s="179" t="s">
        <v>1441</v>
      </c>
      <c r="R3267" s="31" t="s">
        <v>95</v>
      </c>
      <c r="S3267" s="31" t="s">
        <v>273</v>
      </c>
      <c r="T3267" s="31" t="s">
        <v>273</v>
      </c>
      <c r="U3267" s="31">
        <f>IFERROR(VLOOKUP(CONCATENATE(Tabla1[[#This Row],[Severidad]]," ",Tabla1[[#This Row],[Complejidad]]),Catalogos!E$120:G$128,3,FALSE),"")</f>
        <v>64</v>
      </c>
      <c r="V3267" s="31" t="str">
        <f>IF(Tabla1[[#This Row],[Tiempo solución max (hrs)]]&lt;&gt;"",IF(Tabla1[[#This Row],[Tiempo solución max (hrs)]]&gt;=Tabla1[[#This Row],[Tiempo
(Hrs 00/100)]],"cumple","no cumple"),"")</f>
        <v>cumple</v>
      </c>
      <c r="W3267" s="222" t="s">
        <v>5372</v>
      </c>
      <c r="X3267" s="18" t="str">
        <f t="shared" si="235"/>
        <v>SSI</v>
      </c>
      <c r="Y3267" t="str">
        <f>SUBSTITUTE(Tabla1[[#This Row],[Descripción]],CHAR(10),"    I    ")</f>
        <v>Se actualizó el documento 'Querys_Estadisiticas_Totales_Nuevo' con los comentarios sobre el Query 3 de la Funcionalidad 2</v>
      </c>
      <c r="Z3267" s="112">
        <f>VLOOKUP(Tabla1[[#This Row],[Perfil]],Catalogos!$B$75:$D$100,3,FALSE)*Tabla1[[#This Row],[Tiempo
(Hrs 00/100)]]*1.16</f>
        <v>348</v>
      </c>
    </row>
    <row r="3268" spans="1:26" ht="30" customHeight="1" x14ac:dyDescent="0.3">
      <c r="A3268" s="187" t="s">
        <v>22</v>
      </c>
      <c r="B3268" s="187" t="s">
        <v>305</v>
      </c>
      <c r="C3268" s="187" t="s">
        <v>257</v>
      </c>
      <c r="D3268" s="187"/>
      <c r="E3268" s="187" t="s">
        <v>408</v>
      </c>
      <c r="F3268" s="187" t="s">
        <v>72</v>
      </c>
      <c r="G3268" s="702" t="s">
        <v>5997</v>
      </c>
      <c r="H3268" s="186" t="s">
        <v>5860</v>
      </c>
      <c r="I3268" s="816" t="s">
        <v>5861</v>
      </c>
      <c r="J3268" s="811">
        <v>45275</v>
      </c>
      <c r="K3268" s="815">
        <v>0.70833333333333337</v>
      </c>
      <c r="L3268" s="811">
        <v>45275</v>
      </c>
      <c r="M3268" s="815">
        <v>0.79166666666666663</v>
      </c>
      <c r="N3268" s="187">
        <v>2</v>
      </c>
      <c r="O3268" s="188" t="s">
        <v>17</v>
      </c>
      <c r="P3268" s="197" t="s">
        <v>5807</v>
      </c>
      <c r="Q3268" s="179" t="s">
        <v>1441</v>
      </c>
      <c r="R3268" s="31" t="s">
        <v>95</v>
      </c>
      <c r="S3268" s="31" t="s">
        <v>273</v>
      </c>
      <c r="T3268" s="31" t="s">
        <v>273</v>
      </c>
      <c r="U3268" s="31">
        <f>IFERROR(VLOOKUP(CONCATENATE(Tabla1[[#This Row],[Severidad]]," ",Tabla1[[#This Row],[Complejidad]]),Catalogos!E$120:G$128,3,FALSE),"")</f>
        <v>64</v>
      </c>
      <c r="V3268" s="31" t="str">
        <f>IF(Tabla1[[#This Row],[Tiempo solución max (hrs)]]&lt;&gt;"",IF(Tabla1[[#This Row],[Tiempo solución max (hrs)]]&gt;=Tabla1[[#This Row],[Tiempo
(Hrs 00/100)]],"cumple","no cumple"),"")</f>
        <v>cumple</v>
      </c>
      <c r="W3268" s="222" t="s">
        <v>5372</v>
      </c>
      <c r="X3268" s="18" t="str">
        <f t="shared" si="235"/>
        <v>SSI</v>
      </c>
      <c r="Y3268" t="str">
        <f>SUBSTITUTE(Tabla1[[#This Row],[Descripción]],CHAR(10),"    I    ")</f>
        <v>Se revisó el Query #1 del archivo IEDEPNT para la Funcionalidad 3 'TOTAL DE RECURSOS DE REVISIÓN GESTIONADOS', se hicieron las primeras ejecuciones con los parámetros para entender su funcionamiento</v>
      </c>
      <c r="Z3268" s="112">
        <f>VLOOKUP(Tabla1[[#This Row],[Perfil]],Catalogos!$B$75:$D$100,3,FALSE)*Tabla1[[#This Row],[Tiempo
(Hrs 00/100)]]*1.16</f>
        <v>1392</v>
      </c>
    </row>
    <row r="3269" spans="1:26" ht="30" customHeight="1" x14ac:dyDescent="0.3">
      <c r="A3269" s="187" t="s">
        <v>22</v>
      </c>
      <c r="B3269" s="187" t="s">
        <v>23</v>
      </c>
      <c r="C3269" s="187" t="s">
        <v>257</v>
      </c>
      <c r="D3269" s="187"/>
      <c r="E3269" s="187" t="s">
        <v>408</v>
      </c>
      <c r="F3269" s="187" t="s">
        <v>23</v>
      </c>
      <c r="G3269" s="702" t="s">
        <v>5998</v>
      </c>
      <c r="H3269" s="186" t="s">
        <v>5862</v>
      </c>
      <c r="I3269" s="816" t="s">
        <v>5863</v>
      </c>
      <c r="J3269" s="811">
        <v>45278</v>
      </c>
      <c r="K3269" s="815">
        <v>0.375</v>
      </c>
      <c r="L3269" s="811">
        <v>45278</v>
      </c>
      <c r="M3269" s="815">
        <v>0.4375</v>
      </c>
      <c r="N3269" s="187">
        <v>1.5</v>
      </c>
      <c r="O3269" s="188" t="s">
        <v>17</v>
      </c>
      <c r="P3269" s="197" t="s">
        <v>5807</v>
      </c>
      <c r="Q3269" s="179" t="s">
        <v>1441</v>
      </c>
      <c r="R3269" s="31" t="s">
        <v>95</v>
      </c>
      <c r="S3269" s="31" t="s">
        <v>273</v>
      </c>
      <c r="T3269" s="31" t="s">
        <v>273</v>
      </c>
      <c r="U3269" s="31">
        <f>IFERROR(VLOOKUP(CONCATENATE(Tabla1[[#This Row],[Severidad]]," ",Tabla1[[#This Row],[Complejidad]]),Catalogos!E$120:G$128,3,FALSE),"")</f>
        <v>64</v>
      </c>
      <c r="V3269" s="31" t="str">
        <f>IF(Tabla1[[#This Row],[Tiempo solución max (hrs)]]&lt;&gt;"",IF(Tabla1[[#This Row],[Tiempo solución max (hrs)]]&gt;=Tabla1[[#This Row],[Tiempo
(Hrs 00/100)]],"cumple","no cumple"),"")</f>
        <v>cumple</v>
      </c>
      <c r="W3269" s="222" t="s">
        <v>5372</v>
      </c>
      <c r="X3269" s="18" t="str">
        <f t="shared" si="235"/>
        <v>SSI</v>
      </c>
      <c r="Y3269" t="str">
        <f>SUBSTITUTE(Tabla1[[#This Row],[Descripción]],CHAR(10),"    I    ")</f>
        <v>Se optimizó el Query #1 del archivo IEDEPNT (Funcionalidad 3) para tener una versión mejorada en tiempo de respuesta y costo</v>
      </c>
      <c r="Z3269" s="112">
        <f>VLOOKUP(Tabla1[[#This Row],[Perfil]],Catalogos!$B$75:$D$100,3,FALSE)*Tabla1[[#This Row],[Tiempo
(Hrs 00/100)]]*1.16</f>
        <v>1044</v>
      </c>
    </row>
    <row r="3270" spans="1:26" ht="30" customHeight="1" x14ac:dyDescent="0.3">
      <c r="A3270" s="187" t="s">
        <v>22</v>
      </c>
      <c r="B3270" s="187" t="s">
        <v>23</v>
      </c>
      <c r="C3270" s="187" t="s">
        <v>257</v>
      </c>
      <c r="D3270" s="187"/>
      <c r="E3270" s="187" t="s">
        <v>408</v>
      </c>
      <c r="F3270" s="187" t="s">
        <v>23</v>
      </c>
      <c r="G3270" s="702" t="s">
        <v>5999</v>
      </c>
      <c r="H3270" s="186" t="s">
        <v>3060</v>
      </c>
      <c r="I3270" s="816" t="s">
        <v>3061</v>
      </c>
      <c r="J3270" s="811">
        <v>45278</v>
      </c>
      <c r="K3270" s="815">
        <v>0.4375</v>
      </c>
      <c r="L3270" s="811">
        <v>45278</v>
      </c>
      <c r="M3270" s="815">
        <v>0.5</v>
      </c>
      <c r="N3270" s="187">
        <v>1.5</v>
      </c>
      <c r="O3270" s="188" t="s">
        <v>17</v>
      </c>
      <c r="P3270" s="197" t="s">
        <v>5807</v>
      </c>
      <c r="Q3270" s="179" t="s">
        <v>1441</v>
      </c>
      <c r="R3270" s="31" t="s">
        <v>95</v>
      </c>
      <c r="S3270" s="31" t="s">
        <v>273</v>
      </c>
      <c r="T3270" s="31" t="s">
        <v>273</v>
      </c>
      <c r="U3270" s="31">
        <f>IFERROR(VLOOKUP(CONCATENATE(Tabla1[[#This Row],[Severidad]]," ",Tabla1[[#This Row],[Complejidad]]),Catalogos!E$120:G$128,3,FALSE),"")</f>
        <v>64</v>
      </c>
      <c r="V3270" s="31" t="str">
        <f>IF(Tabla1[[#This Row],[Tiempo solución max (hrs)]]&lt;&gt;"",IF(Tabla1[[#This Row],[Tiempo solución max (hrs)]]&gt;=Tabla1[[#This Row],[Tiempo
(Hrs 00/100)]],"cumple","no cumple"),"")</f>
        <v>cumple</v>
      </c>
      <c r="W3270" s="222" t="s">
        <v>5372</v>
      </c>
      <c r="X3270" s="18" t="str">
        <f t="shared" si="235"/>
        <v>SSI</v>
      </c>
      <c r="Y3270" t="str">
        <f>SUBSTITUTE(Tabla1[[#This Row],[Descripción]],CHAR(10),"    I    ")</f>
        <v>Se creó el nuevo procedimiento 'FUNC3_TOTRECREVGESTIOQ1' en el paquete 'PACK_SISAI3', con la funcionalidad del Query #1</v>
      </c>
      <c r="Z3270" s="112">
        <f>VLOOKUP(Tabla1[[#This Row],[Perfil]],Catalogos!$B$75:$D$100,3,FALSE)*Tabla1[[#This Row],[Tiempo
(Hrs 00/100)]]*1.16</f>
        <v>1044</v>
      </c>
    </row>
    <row r="3271" spans="1:26" ht="30" customHeight="1" x14ac:dyDescent="0.3">
      <c r="A3271" s="187" t="s">
        <v>22</v>
      </c>
      <c r="B3271" s="187" t="s">
        <v>23</v>
      </c>
      <c r="C3271" s="187" t="s">
        <v>257</v>
      </c>
      <c r="D3271" s="187"/>
      <c r="E3271" s="187" t="s">
        <v>408</v>
      </c>
      <c r="F3271" s="187" t="s">
        <v>23</v>
      </c>
      <c r="G3271" s="702" t="s">
        <v>6000</v>
      </c>
      <c r="H3271" s="186" t="s">
        <v>2946</v>
      </c>
      <c r="I3271" s="816" t="s">
        <v>2946</v>
      </c>
      <c r="J3271" s="811">
        <v>45278</v>
      </c>
      <c r="K3271" s="815">
        <v>0.5</v>
      </c>
      <c r="L3271" s="811">
        <v>45278</v>
      </c>
      <c r="M3271" s="815">
        <v>0.54166666666666663</v>
      </c>
      <c r="N3271" s="187">
        <v>1</v>
      </c>
      <c r="O3271" s="188" t="s">
        <v>17</v>
      </c>
      <c r="P3271" s="197" t="s">
        <v>5807</v>
      </c>
      <c r="Q3271" s="179" t="s">
        <v>1441</v>
      </c>
      <c r="R3271" s="31" t="s">
        <v>95</v>
      </c>
      <c r="S3271" s="31" t="s">
        <v>273</v>
      </c>
      <c r="T3271" s="31" t="s">
        <v>273</v>
      </c>
      <c r="U3271" s="31">
        <f>IFERROR(VLOOKUP(CONCATENATE(Tabla1[[#This Row],[Severidad]]," ",Tabla1[[#This Row],[Complejidad]]),Catalogos!E$120:G$128,3,FALSE),"")</f>
        <v>64</v>
      </c>
      <c r="V3271" s="31" t="str">
        <f>IF(Tabla1[[#This Row],[Tiempo solución max (hrs)]]&lt;&gt;"",IF(Tabla1[[#This Row],[Tiempo solución max (hrs)]]&gt;=Tabla1[[#This Row],[Tiempo
(Hrs 00/100)]],"cumple","no cumple"),"")</f>
        <v>cumple</v>
      </c>
      <c r="W3271" s="222" t="s">
        <v>5372</v>
      </c>
      <c r="X3271" s="18" t="str">
        <f t="shared" si="235"/>
        <v>SSI</v>
      </c>
      <c r="Y3271" t="str">
        <f>SUBSTITUTE(Tabla1[[#This Row],[Descripción]],CHAR(10),"    I    ")</f>
        <v>Se verificó campo por campo del query 1 de la Funcionalidad 3, validando el tipo de dato y longitud exactos</v>
      </c>
      <c r="Z3271" s="112">
        <f>VLOOKUP(Tabla1[[#This Row],[Perfil]],Catalogos!$B$75:$D$100,3,FALSE)*Tabla1[[#This Row],[Tiempo
(Hrs 00/100)]]*1.16</f>
        <v>696</v>
      </c>
    </row>
    <row r="3272" spans="1:26" ht="30" customHeight="1" x14ac:dyDescent="0.3">
      <c r="A3272" s="187" t="s">
        <v>22</v>
      </c>
      <c r="B3272" s="187" t="s">
        <v>23</v>
      </c>
      <c r="C3272" s="187" t="s">
        <v>257</v>
      </c>
      <c r="D3272" s="187"/>
      <c r="E3272" s="187" t="s">
        <v>408</v>
      </c>
      <c r="F3272" s="187" t="s">
        <v>23</v>
      </c>
      <c r="G3272" s="702" t="s">
        <v>6001</v>
      </c>
      <c r="H3272" s="186" t="s">
        <v>2947</v>
      </c>
      <c r="I3272" s="816" t="s">
        <v>2947</v>
      </c>
      <c r="J3272" s="811">
        <v>45278</v>
      </c>
      <c r="K3272" s="815">
        <v>0.54166666666666663</v>
      </c>
      <c r="L3272" s="811">
        <v>45278</v>
      </c>
      <c r="M3272" s="815">
        <v>0.60416666666666663</v>
      </c>
      <c r="N3272" s="187">
        <v>1.5</v>
      </c>
      <c r="O3272" s="188" t="s">
        <v>17</v>
      </c>
      <c r="P3272" s="197" t="s">
        <v>5807</v>
      </c>
      <c r="Q3272" s="179" t="s">
        <v>1441</v>
      </c>
      <c r="R3272" s="31" t="s">
        <v>95</v>
      </c>
      <c r="S3272" s="31" t="s">
        <v>273</v>
      </c>
      <c r="T3272" s="31" t="s">
        <v>273</v>
      </c>
      <c r="U3272" s="31">
        <f>IFERROR(VLOOKUP(CONCATENATE(Tabla1[[#This Row],[Severidad]]," ",Tabla1[[#This Row],[Complejidad]]),Catalogos!E$120:G$128,3,FALSE),"")</f>
        <v>64</v>
      </c>
      <c r="V3272" s="31" t="str">
        <f>IF(Tabla1[[#This Row],[Tiempo solución max (hrs)]]&lt;&gt;"",IF(Tabla1[[#This Row],[Tiempo solución max (hrs)]]&gt;=Tabla1[[#This Row],[Tiempo
(Hrs 00/100)]],"cumple","no cumple"),"")</f>
        <v>cumple</v>
      </c>
      <c r="W3272" s="222" t="s">
        <v>5372</v>
      </c>
      <c r="X3272" s="18" t="str">
        <f t="shared" si="235"/>
        <v>SSI</v>
      </c>
      <c r="Y3272" t="str">
        <f>SUBSTITUTE(Tabla1[[#This Row],[Descripción]],CHAR(10),"    I    ")</f>
        <v>Se declararon las variables en bloque anónimo con validación exacta de tamaños de tipos de datos, del query 1 de la Funcionalidad 3</v>
      </c>
      <c r="Z3272" s="112">
        <f>VLOOKUP(Tabla1[[#This Row],[Perfil]],Catalogos!$B$75:$D$100,3,FALSE)*Tabla1[[#This Row],[Tiempo
(Hrs 00/100)]]*1.16</f>
        <v>1044</v>
      </c>
    </row>
    <row r="3273" spans="1:26" ht="30" customHeight="1" x14ac:dyDescent="0.3">
      <c r="A3273" s="187" t="s">
        <v>22</v>
      </c>
      <c r="B3273" s="187" t="s">
        <v>23</v>
      </c>
      <c r="C3273" s="187" t="s">
        <v>257</v>
      </c>
      <c r="D3273" s="187"/>
      <c r="E3273" s="187" t="s">
        <v>408</v>
      </c>
      <c r="F3273" s="187" t="s">
        <v>75</v>
      </c>
      <c r="G3273" s="702" t="s">
        <v>6002</v>
      </c>
      <c r="H3273" s="186" t="s">
        <v>3062</v>
      </c>
      <c r="I3273" s="816" t="s">
        <v>2949</v>
      </c>
      <c r="J3273" s="811">
        <v>45278</v>
      </c>
      <c r="K3273" s="815">
        <v>0.66666666666666663</v>
      </c>
      <c r="L3273" s="811">
        <v>45278</v>
      </c>
      <c r="M3273" s="815">
        <v>0.6875</v>
      </c>
      <c r="N3273" s="187">
        <v>0.5</v>
      </c>
      <c r="O3273" s="188" t="s">
        <v>17</v>
      </c>
      <c r="P3273" s="197" t="s">
        <v>5807</v>
      </c>
      <c r="Q3273" s="179" t="s">
        <v>1441</v>
      </c>
      <c r="R3273" s="31" t="s">
        <v>95</v>
      </c>
      <c r="S3273" s="31" t="s">
        <v>273</v>
      </c>
      <c r="T3273" s="31" t="s">
        <v>273</v>
      </c>
      <c r="U3273" s="31">
        <f>IFERROR(VLOOKUP(CONCATENATE(Tabla1[[#This Row],[Severidad]]," ",Tabla1[[#This Row],[Complejidad]]),Catalogos!E$120:G$128,3,FALSE),"")</f>
        <v>64</v>
      </c>
      <c r="V3273" s="31" t="str">
        <f>IF(Tabla1[[#This Row],[Tiempo solución max (hrs)]]&lt;&gt;"",IF(Tabla1[[#This Row],[Tiempo solución max (hrs)]]&gt;=Tabla1[[#This Row],[Tiempo
(Hrs 00/100)]],"cumple","no cumple"),"")</f>
        <v>cumple</v>
      </c>
      <c r="W3273" s="222" t="s">
        <v>5372</v>
      </c>
      <c r="X3273" s="18" t="str">
        <f t="shared" si="235"/>
        <v>SSI</v>
      </c>
      <c r="Y3273" t="str">
        <f>SUBSTITUTE(Tabla1[[#This Row],[Descripción]],CHAR(10),"    I    ")</f>
        <v xml:space="preserve">Se validó el paquete-procedimiento de la funcionalidad 3 - Query # 1 con el bloque anónimo correcto y se tuvo un resultado exitoso con la salida del cursor completo </v>
      </c>
      <c r="Z3273" s="112">
        <f>VLOOKUP(Tabla1[[#This Row],[Perfil]],Catalogos!$B$75:$D$100,3,FALSE)*Tabla1[[#This Row],[Tiempo
(Hrs 00/100)]]*1.16</f>
        <v>348</v>
      </c>
    </row>
    <row r="3274" spans="1:26" ht="30" customHeight="1" x14ac:dyDescent="0.3">
      <c r="A3274" s="187" t="s">
        <v>22</v>
      </c>
      <c r="B3274" s="187" t="s">
        <v>65</v>
      </c>
      <c r="C3274" s="187" t="s">
        <v>257</v>
      </c>
      <c r="D3274" s="187"/>
      <c r="E3274" s="187" t="s">
        <v>408</v>
      </c>
      <c r="F3274" s="187" t="s">
        <v>76</v>
      </c>
      <c r="G3274" s="702" t="s">
        <v>6003</v>
      </c>
      <c r="H3274" s="186" t="s">
        <v>5864</v>
      </c>
      <c r="I3274" s="816" t="s">
        <v>5865</v>
      </c>
      <c r="J3274" s="811">
        <v>45278</v>
      </c>
      <c r="K3274" s="815">
        <v>0.6875</v>
      </c>
      <c r="L3274" s="811">
        <v>45278</v>
      </c>
      <c r="M3274" s="815">
        <v>0.70833333333333337</v>
      </c>
      <c r="N3274" s="187">
        <v>0.5</v>
      </c>
      <c r="O3274" s="188" t="s">
        <v>17</v>
      </c>
      <c r="P3274" s="197" t="s">
        <v>5807</v>
      </c>
      <c r="Q3274" s="179" t="s">
        <v>1441</v>
      </c>
      <c r="R3274" s="31" t="s">
        <v>95</v>
      </c>
      <c r="S3274" s="31" t="s">
        <v>273</v>
      </c>
      <c r="T3274" s="31" t="s">
        <v>273</v>
      </c>
      <c r="U3274" s="31">
        <f>IFERROR(VLOOKUP(CONCATENATE(Tabla1[[#This Row],[Severidad]]," ",Tabla1[[#This Row],[Complejidad]]),Catalogos!E$120:G$128,3,FALSE),"")</f>
        <v>64</v>
      </c>
      <c r="V3274" s="31" t="str">
        <f>IF(Tabla1[[#This Row],[Tiempo solución max (hrs)]]&lt;&gt;"",IF(Tabla1[[#This Row],[Tiempo solución max (hrs)]]&gt;=Tabla1[[#This Row],[Tiempo
(Hrs 00/100)]],"cumple","no cumple"),"")</f>
        <v>cumple</v>
      </c>
      <c r="W3274" s="222" t="s">
        <v>5372</v>
      </c>
      <c r="X3274" s="18" t="str">
        <f t="shared" si="235"/>
        <v>SSI</v>
      </c>
      <c r="Y3274" t="str">
        <f>SUBSTITUTE(Tabla1[[#This Row],[Descripción]],CHAR(10),"    I    ")</f>
        <v>Se actualizó el documento 'Querys_Estadisiticas_Totales_Nuevo' con los comentarios sobre el Query 1 de la Funcionalidad 3</v>
      </c>
      <c r="Z3274" s="112">
        <f>VLOOKUP(Tabla1[[#This Row],[Perfil]],Catalogos!$B$75:$D$100,3,FALSE)*Tabla1[[#This Row],[Tiempo
(Hrs 00/100)]]*1.16</f>
        <v>348</v>
      </c>
    </row>
    <row r="3275" spans="1:26" ht="30" customHeight="1" x14ac:dyDescent="0.3">
      <c r="A3275" s="187" t="s">
        <v>22</v>
      </c>
      <c r="B3275" s="187" t="s">
        <v>305</v>
      </c>
      <c r="C3275" s="187" t="s">
        <v>257</v>
      </c>
      <c r="D3275" s="187"/>
      <c r="E3275" s="187" t="s">
        <v>408</v>
      </c>
      <c r="F3275" s="187" t="s">
        <v>72</v>
      </c>
      <c r="G3275" s="702" t="s">
        <v>6004</v>
      </c>
      <c r="H3275" s="186" t="s">
        <v>5866</v>
      </c>
      <c r="I3275" s="816" t="s">
        <v>5867</v>
      </c>
      <c r="J3275" s="811">
        <v>45278</v>
      </c>
      <c r="K3275" s="815">
        <v>0.70833333333333337</v>
      </c>
      <c r="L3275" s="811">
        <v>45278</v>
      </c>
      <c r="M3275" s="815">
        <v>0.83333333333333337</v>
      </c>
      <c r="N3275" s="187">
        <v>3</v>
      </c>
      <c r="O3275" s="188" t="s">
        <v>17</v>
      </c>
      <c r="P3275" s="197" t="s">
        <v>5807</v>
      </c>
      <c r="Q3275" s="179" t="s">
        <v>1441</v>
      </c>
      <c r="R3275" s="31" t="s">
        <v>95</v>
      </c>
      <c r="S3275" s="31" t="s">
        <v>273</v>
      </c>
      <c r="T3275" s="31" t="s">
        <v>273</v>
      </c>
      <c r="U3275" s="31">
        <f>IFERROR(VLOOKUP(CONCATENATE(Tabla1[[#This Row],[Severidad]]," ",Tabla1[[#This Row],[Complejidad]]),Catalogos!E$120:G$128,3,FALSE),"")</f>
        <v>64</v>
      </c>
      <c r="V3275" s="31" t="str">
        <f>IF(Tabla1[[#This Row],[Tiempo solución max (hrs)]]&lt;&gt;"",IF(Tabla1[[#This Row],[Tiempo solución max (hrs)]]&gt;=Tabla1[[#This Row],[Tiempo
(Hrs 00/100)]],"cumple","no cumple"),"")</f>
        <v>cumple</v>
      </c>
      <c r="W3275" s="222" t="s">
        <v>5372</v>
      </c>
      <c r="X3275" s="18" t="str">
        <f t="shared" si="235"/>
        <v>SSI</v>
      </c>
      <c r="Y3275" t="str">
        <f>SUBSTITUTE(Tabla1[[#This Row],[Descripción]],CHAR(10),"    I    ")</f>
        <v>Se revisó el Query #1 del archivo IEDEPNT para la Funcionalidad 4 'TOTAL DE OBLIGACIONES DE TRANSPARENCIA', se hicieron las primeras ejecuciones con los parámetros para entender su funcionamiento</v>
      </c>
      <c r="Z3275" s="112">
        <f>VLOOKUP(Tabla1[[#This Row],[Perfil]],Catalogos!$B$75:$D$100,3,FALSE)*Tabla1[[#This Row],[Tiempo
(Hrs 00/100)]]*1.16</f>
        <v>2088</v>
      </c>
    </row>
    <row r="3276" spans="1:26" ht="30" customHeight="1" x14ac:dyDescent="0.3">
      <c r="A3276" s="187" t="s">
        <v>22</v>
      </c>
      <c r="B3276" s="187" t="s">
        <v>23</v>
      </c>
      <c r="C3276" s="187" t="s">
        <v>257</v>
      </c>
      <c r="D3276" s="187"/>
      <c r="E3276" s="187" t="s">
        <v>408</v>
      </c>
      <c r="F3276" s="187" t="s">
        <v>23</v>
      </c>
      <c r="G3276" s="702" t="s">
        <v>6005</v>
      </c>
      <c r="H3276" s="186" t="s">
        <v>5868</v>
      </c>
      <c r="I3276" s="816" t="s">
        <v>5869</v>
      </c>
      <c r="J3276" s="811">
        <v>45279</v>
      </c>
      <c r="K3276" s="815">
        <v>0.375</v>
      </c>
      <c r="L3276" s="811">
        <v>45279</v>
      </c>
      <c r="M3276" s="815">
        <v>0.4375</v>
      </c>
      <c r="N3276" s="187">
        <v>1.5</v>
      </c>
      <c r="O3276" s="188" t="s">
        <v>17</v>
      </c>
      <c r="P3276" s="197" t="s">
        <v>5807</v>
      </c>
      <c r="Q3276" s="179" t="s">
        <v>1441</v>
      </c>
      <c r="R3276" s="31" t="s">
        <v>95</v>
      </c>
      <c r="S3276" s="31" t="s">
        <v>273</v>
      </c>
      <c r="T3276" s="31" t="s">
        <v>273</v>
      </c>
      <c r="U3276" s="31">
        <f>IFERROR(VLOOKUP(CONCATENATE(Tabla1[[#This Row],[Severidad]]," ",Tabla1[[#This Row],[Complejidad]]),Catalogos!E$120:G$128,3,FALSE),"")</f>
        <v>64</v>
      </c>
      <c r="V3276" s="31" t="str">
        <f>IF(Tabla1[[#This Row],[Tiempo solución max (hrs)]]&lt;&gt;"",IF(Tabla1[[#This Row],[Tiempo solución max (hrs)]]&gt;=Tabla1[[#This Row],[Tiempo
(Hrs 00/100)]],"cumple","no cumple"),"")</f>
        <v>cumple</v>
      </c>
      <c r="W3276" s="222" t="s">
        <v>5372</v>
      </c>
      <c r="X3276" s="18" t="str">
        <f t="shared" si="235"/>
        <v>SSI</v>
      </c>
      <c r="Y3276" t="str">
        <f>SUBSTITUTE(Tabla1[[#This Row],[Descripción]],CHAR(10),"    I    ")</f>
        <v>Se optimizó el Query #1 del archivo IEDEPNT (Funcionalidad 4) para tener una versión mejorada en tiempo de respuesta y costo</v>
      </c>
      <c r="Z3276" s="112">
        <f>VLOOKUP(Tabla1[[#This Row],[Perfil]],Catalogos!$B$75:$D$100,3,FALSE)*Tabla1[[#This Row],[Tiempo
(Hrs 00/100)]]*1.16</f>
        <v>1044</v>
      </c>
    </row>
    <row r="3277" spans="1:26" ht="30" customHeight="1" x14ac:dyDescent="0.3">
      <c r="A3277" s="187" t="s">
        <v>22</v>
      </c>
      <c r="B3277" s="187" t="s">
        <v>23</v>
      </c>
      <c r="C3277" s="187" t="s">
        <v>257</v>
      </c>
      <c r="D3277" s="187"/>
      <c r="E3277" s="187" t="s">
        <v>408</v>
      </c>
      <c r="F3277" s="187" t="s">
        <v>23</v>
      </c>
      <c r="G3277" s="702" t="s">
        <v>6006</v>
      </c>
      <c r="H3277" s="186" t="s">
        <v>3068</v>
      </c>
      <c r="I3277" s="816" t="s">
        <v>3069</v>
      </c>
      <c r="J3277" s="811">
        <v>45279</v>
      </c>
      <c r="K3277" s="815">
        <v>0.4375</v>
      </c>
      <c r="L3277" s="811">
        <v>45279</v>
      </c>
      <c r="M3277" s="815">
        <v>0.5</v>
      </c>
      <c r="N3277" s="187">
        <v>1.5</v>
      </c>
      <c r="O3277" s="188" t="s">
        <v>17</v>
      </c>
      <c r="P3277" s="197" t="s">
        <v>5807</v>
      </c>
      <c r="Q3277" s="179" t="s">
        <v>1441</v>
      </c>
      <c r="R3277" s="31" t="s">
        <v>95</v>
      </c>
      <c r="S3277" s="31" t="s">
        <v>273</v>
      </c>
      <c r="T3277" s="31" t="s">
        <v>273</v>
      </c>
      <c r="U3277" s="31">
        <f>IFERROR(VLOOKUP(CONCATENATE(Tabla1[[#This Row],[Severidad]]," ",Tabla1[[#This Row],[Complejidad]]),Catalogos!E$120:G$128,3,FALSE),"")</f>
        <v>64</v>
      </c>
      <c r="V3277" s="31" t="str">
        <f>IF(Tabla1[[#This Row],[Tiempo solución max (hrs)]]&lt;&gt;"",IF(Tabla1[[#This Row],[Tiempo solución max (hrs)]]&gt;=Tabla1[[#This Row],[Tiempo
(Hrs 00/100)]],"cumple","no cumple"),"")</f>
        <v>cumple</v>
      </c>
      <c r="W3277" s="222" t="s">
        <v>5372</v>
      </c>
      <c r="X3277" s="18" t="str">
        <f t="shared" si="235"/>
        <v>SSI</v>
      </c>
      <c r="Y3277" t="str">
        <f>SUBSTITUTE(Tabla1[[#This Row],[Descripción]],CHAR(10),"    I    ")</f>
        <v>Se creó el nuevo procedimiento 'FUNC4_TOTOBLTRANSPAQ1' en el paquete 'PACK_SISAI3', con la funcionalidad del Query #1</v>
      </c>
      <c r="Z3277" s="112">
        <f>VLOOKUP(Tabla1[[#This Row],[Perfil]],Catalogos!$B$75:$D$100,3,FALSE)*Tabla1[[#This Row],[Tiempo
(Hrs 00/100)]]*1.16</f>
        <v>1044</v>
      </c>
    </row>
    <row r="3278" spans="1:26" ht="30" customHeight="1" x14ac:dyDescent="0.3">
      <c r="A3278" s="187" t="s">
        <v>22</v>
      </c>
      <c r="B3278" s="187" t="s">
        <v>23</v>
      </c>
      <c r="C3278" s="187" t="s">
        <v>257</v>
      </c>
      <c r="D3278" s="187"/>
      <c r="E3278" s="187" t="s">
        <v>408</v>
      </c>
      <c r="F3278" s="187" t="s">
        <v>23</v>
      </c>
      <c r="G3278" s="702" t="s">
        <v>6007</v>
      </c>
      <c r="H3278" s="186" t="s">
        <v>2957</v>
      </c>
      <c r="I3278" s="816" t="s">
        <v>2957</v>
      </c>
      <c r="J3278" s="811">
        <v>45279</v>
      </c>
      <c r="K3278" s="815">
        <v>0.5</v>
      </c>
      <c r="L3278" s="811">
        <v>45279</v>
      </c>
      <c r="M3278" s="815">
        <v>0.54166666666666663</v>
      </c>
      <c r="N3278" s="187">
        <v>1</v>
      </c>
      <c r="O3278" s="188" t="s">
        <v>17</v>
      </c>
      <c r="P3278" s="197" t="s">
        <v>5807</v>
      </c>
      <c r="Q3278" s="179" t="s">
        <v>1441</v>
      </c>
      <c r="R3278" s="31" t="s">
        <v>95</v>
      </c>
      <c r="S3278" s="31" t="s">
        <v>273</v>
      </c>
      <c r="T3278" s="31" t="s">
        <v>273</v>
      </c>
      <c r="U3278" s="31">
        <f>IFERROR(VLOOKUP(CONCATENATE(Tabla1[[#This Row],[Severidad]]," ",Tabla1[[#This Row],[Complejidad]]),Catalogos!E$120:G$128,3,FALSE),"")</f>
        <v>64</v>
      </c>
      <c r="V3278" s="31" t="str">
        <f>IF(Tabla1[[#This Row],[Tiempo solución max (hrs)]]&lt;&gt;"",IF(Tabla1[[#This Row],[Tiempo solución max (hrs)]]&gt;=Tabla1[[#This Row],[Tiempo
(Hrs 00/100)]],"cumple","no cumple"),"")</f>
        <v>cumple</v>
      </c>
      <c r="W3278" s="222" t="s">
        <v>5372</v>
      </c>
      <c r="X3278" s="18" t="str">
        <f t="shared" si="235"/>
        <v>SSI</v>
      </c>
      <c r="Y3278" t="str">
        <f>SUBSTITUTE(Tabla1[[#This Row],[Descripción]],CHAR(10),"    I    ")</f>
        <v>Se verificó campo por campo del query 1 de la Funcionalidad 4, validando el tipo de dato y longitud exactos</v>
      </c>
      <c r="Z3278" s="112">
        <f>VLOOKUP(Tabla1[[#This Row],[Perfil]],Catalogos!$B$75:$D$100,3,FALSE)*Tabla1[[#This Row],[Tiempo
(Hrs 00/100)]]*1.16</f>
        <v>696</v>
      </c>
    </row>
    <row r="3279" spans="1:26" ht="30" customHeight="1" x14ac:dyDescent="0.3">
      <c r="A3279" s="187" t="s">
        <v>22</v>
      </c>
      <c r="B3279" s="187" t="s">
        <v>23</v>
      </c>
      <c r="C3279" s="187" t="s">
        <v>257</v>
      </c>
      <c r="D3279" s="187"/>
      <c r="E3279" s="187" t="s">
        <v>408</v>
      </c>
      <c r="F3279" s="187" t="s">
        <v>23</v>
      </c>
      <c r="G3279" s="702" t="s">
        <v>6008</v>
      </c>
      <c r="H3279" s="186" t="s">
        <v>2958</v>
      </c>
      <c r="I3279" s="816" t="s">
        <v>2958</v>
      </c>
      <c r="J3279" s="811">
        <v>45279</v>
      </c>
      <c r="K3279" s="815">
        <v>0.54166666666666663</v>
      </c>
      <c r="L3279" s="811">
        <v>45279</v>
      </c>
      <c r="M3279" s="815">
        <v>0.60416666666666663</v>
      </c>
      <c r="N3279" s="187">
        <v>1.5</v>
      </c>
      <c r="O3279" s="188" t="s">
        <v>17</v>
      </c>
      <c r="P3279" s="197" t="s">
        <v>5807</v>
      </c>
      <c r="Q3279" s="179" t="s">
        <v>1441</v>
      </c>
      <c r="R3279" s="31" t="s">
        <v>95</v>
      </c>
      <c r="S3279" s="31" t="s">
        <v>273</v>
      </c>
      <c r="T3279" s="31" t="s">
        <v>273</v>
      </c>
      <c r="U3279" s="31">
        <f>IFERROR(VLOOKUP(CONCATENATE(Tabla1[[#This Row],[Severidad]]," ",Tabla1[[#This Row],[Complejidad]]),Catalogos!E$120:G$128,3,FALSE),"")</f>
        <v>64</v>
      </c>
      <c r="V3279" s="31" t="str">
        <f>IF(Tabla1[[#This Row],[Tiempo solución max (hrs)]]&lt;&gt;"",IF(Tabla1[[#This Row],[Tiempo solución max (hrs)]]&gt;=Tabla1[[#This Row],[Tiempo
(Hrs 00/100)]],"cumple","no cumple"),"")</f>
        <v>cumple</v>
      </c>
      <c r="W3279" s="222" t="s">
        <v>5372</v>
      </c>
      <c r="X3279" s="18" t="str">
        <f t="shared" si="235"/>
        <v>SSI</v>
      </c>
      <c r="Y3279" t="str">
        <f>SUBSTITUTE(Tabla1[[#This Row],[Descripción]],CHAR(10),"    I    ")</f>
        <v>Se declararon las variables en bloque anónimo con validación exacta de tamaños de tipos de datos, del query 1 de la Funcionalidad 4</v>
      </c>
      <c r="Z3279" s="112">
        <f>VLOOKUP(Tabla1[[#This Row],[Perfil]],Catalogos!$B$75:$D$100,3,FALSE)*Tabla1[[#This Row],[Tiempo
(Hrs 00/100)]]*1.16</f>
        <v>1044</v>
      </c>
    </row>
    <row r="3280" spans="1:26" ht="30" customHeight="1" x14ac:dyDescent="0.3">
      <c r="A3280" s="187" t="s">
        <v>22</v>
      </c>
      <c r="B3280" s="187" t="s">
        <v>23</v>
      </c>
      <c r="C3280" s="187" t="s">
        <v>257</v>
      </c>
      <c r="D3280" s="187"/>
      <c r="E3280" s="187" t="s">
        <v>408</v>
      </c>
      <c r="F3280" s="187" t="s">
        <v>75</v>
      </c>
      <c r="G3280" s="702" t="s">
        <v>6009</v>
      </c>
      <c r="H3280" s="186" t="s">
        <v>3070</v>
      </c>
      <c r="I3280" s="816" t="s">
        <v>2960</v>
      </c>
      <c r="J3280" s="811">
        <v>45279</v>
      </c>
      <c r="K3280" s="815">
        <v>0.66666666666666663</v>
      </c>
      <c r="L3280" s="811">
        <v>45279</v>
      </c>
      <c r="M3280" s="815">
        <v>0.6875</v>
      </c>
      <c r="N3280" s="187">
        <v>0.5</v>
      </c>
      <c r="O3280" s="188" t="s">
        <v>17</v>
      </c>
      <c r="P3280" s="197" t="s">
        <v>5807</v>
      </c>
      <c r="Q3280" s="179" t="s">
        <v>1441</v>
      </c>
      <c r="R3280" s="31" t="s">
        <v>95</v>
      </c>
      <c r="S3280" s="31" t="s">
        <v>273</v>
      </c>
      <c r="T3280" s="31" t="s">
        <v>273</v>
      </c>
      <c r="U3280" s="31">
        <f>IFERROR(VLOOKUP(CONCATENATE(Tabla1[[#This Row],[Severidad]]," ",Tabla1[[#This Row],[Complejidad]]),Catalogos!E$120:G$128,3,FALSE),"")</f>
        <v>64</v>
      </c>
      <c r="V3280" s="31" t="str">
        <f>IF(Tabla1[[#This Row],[Tiempo solución max (hrs)]]&lt;&gt;"",IF(Tabla1[[#This Row],[Tiempo solución max (hrs)]]&gt;=Tabla1[[#This Row],[Tiempo
(Hrs 00/100)]],"cumple","no cumple"),"")</f>
        <v>cumple</v>
      </c>
      <c r="W3280" s="222" t="s">
        <v>5372</v>
      </c>
      <c r="X3280" s="18" t="str">
        <f t="shared" si="235"/>
        <v>SSI</v>
      </c>
      <c r="Y3280" t="str">
        <f>SUBSTITUTE(Tabla1[[#This Row],[Descripción]],CHAR(10),"    I    ")</f>
        <v xml:space="preserve">Se validó el paquete-procedimiento de la funcionalidad 4 - Query # 1 con el bloque anónimo correcto y se tuvo un resultado exitoso con la salida del cursor completo </v>
      </c>
      <c r="Z3280" s="112">
        <f>VLOOKUP(Tabla1[[#This Row],[Perfil]],Catalogos!$B$75:$D$100,3,FALSE)*Tabla1[[#This Row],[Tiempo
(Hrs 00/100)]]*1.16</f>
        <v>348</v>
      </c>
    </row>
    <row r="3281" spans="1:26" ht="30" customHeight="1" x14ac:dyDescent="0.3">
      <c r="A3281" s="187" t="s">
        <v>22</v>
      </c>
      <c r="B3281" s="187" t="s">
        <v>65</v>
      </c>
      <c r="C3281" s="187" t="s">
        <v>257</v>
      </c>
      <c r="D3281" s="187"/>
      <c r="E3281" s="187" t="s">
        <v>408</v>
      </c>
      <c r="F3281" s="187" t="s">
        <v>76</v>
      </c>
      <c r="G3281" s="702" t="s">
        <v>6010</v>
      </c>
      <c r="H3281" s="186" t="s">
        <v>5870</v>
      </c>
      <c r="I3281" s="816" t="s">
        <v>5871</v>
      </c>
      <c r="J3281" s="811">
        <v>45279</v>
      </c>
      <c r="K3281" s="815">
        <v>0.6875</v>
      </c>
      <c r="L3281" s="811">
        <v>45279</v>
      </c>
      <c r="M3281" s="815">
        <v>0.70833333333333337</v>
      </c>
      <c r="N3281" s="187">
        <v>0.5</v>
      </c>
      <c r="O3281" s="188" t="s">
        <v>17</v>
      </c>
      <c r="P3281" s="197" t="s">
        <v>5807</v>
      </c>
      <c r="Q3281" s="179" t="s">
        <v>1441</v>
      </c>
      <c r="R3281" s="31" t="s">
        <v>95</v>
      </c>
      <c r="S3281" s="31" t="s">
        <v>273</v>
      </c>
      <c r="T3281" s="31" t="s">
        <v>273</v>
      </c>
      <c r="U3281" s="31">
        <f>IFERROR(VLOOKUP(CONCATENATE(Tabla1[[#This Row],[Severidad]]," ",Tabla1[[#This Row],[Complejidad]]),Catalogos!E$120:G$128,3,FALSE),"")</f>
        <v>64</v>
      </c>
      <c r="V3281" s="31" t="str">
        <f>IF(Tabla1[[#This Row],[Tiempo solución max (hrs)]]&lt;&gt;"",IF(Tabla1[[#This Row],[Tiempo solución max (hrs)]]&gt;=Tabla1[[#This Row],[Tiempo
(Hrs 00/100)]],"cumple","no cumple"),"")</f>
        <v>cumple</v>
      </c>
      <c r="W3281" s="222" t="s">
        <v>5372</v>
      </c>
      <c r="X3281" s="18" t="str">
        <f t="shared" si="235"/>
        <v>SSI</v>
      </c>
      <c r="Y3281" t="str">
        <f>SUBSTITUTE(Tabla1[[#This Row],[Descripción]],CHAR(10),"    I    ")</f>
        <v>Se actualizó el documento 'Querys_Estadisiticas_Totales_Nuevo' con los comentarios sobre el Query 1 de la Funcionalidad 4</v>
      </c>
      <c r="Z3281" s="112">
        <f>VLOOKUP(Tabla1[[#This Row],[Perfil]],Catalogos!$B$75:$D$100,3,FALSE)*Tabla1[[#This Row],[Tiempo
(Hrs 00/100)]]*1.16</f>
        <v>348</v>
      </c>
    </row>
    <row r="3282" spans="1:26" ht="30" customHeight="1" x14ac:dyDescent="0.3">
      <c r="A3282" s="187" t="s">
        <v>22</v>
      </c>
      <c r="B3282" s="187" t="s">
        <v>305</v>
      </c>
      <c r="C3282" s="187" t="s">
        <v>257</v>
      </c>
      <c r="D3282" s="187"/>
      <c r="E3282" s="187" t="s">
        <v>408</v>
      </c>
      <c r="F3282" s="187" t="s">
        <v>72</v>
      </c>
      <c r="G3282" s="702" t="s">
        <v>6011</v>
      </c>
      <c r="H3282" s="186" t="s">
        <v>5872</v>
      </c>
      <c r="I3282" s="816" t="s">
        <v>5873</v>
      </c>
      <c r="J3282" s="811">
        <v>45279</v>
      </c>
      <c r="K3282" s="815">
        <v>0.70833333333333337</v>
      </c>
      <c r="L3282" s="811">
        <v>45279</v>
      </c>
      <c r="M3282" s="815">
        <v>0.85416666666666663</v>
      </c>
      <c r="N3282" s="187">
        <v>3.5</v>
      </c>
      <c r="O3282" s="188" t="s">
        <v>17</v>
      </c>
      <c r="P3282" s="197" t="s">
        <v>5807</v>
      </c>
      <c r="Q3282" s="179" t="s">
        <v>1441</v>
      </c>
      <c r="R3282" s="31" t="s">
        <v>95</v>
      </c>
      <c r="S3282" s="31" t="s">
        <v>273</v>
      </c>
      <c r="T3282" s="31" t="s">
        <v>273</v>
      </c>
      <c r="U3282" s="31">
        <f>IFERROR(VLOOKUP(CONCATENATE(Tabla1[[#This Row],[Severidad]]," ",Tabla1[[#This Row],[Complejidad]]),Catalogos!E$120:G$128,3,FALSE),"")</f>
        <v>64</v>
      </c>
      <c r="V3282" s="31" t="str">
        <f>IF(Tabla1[[#This Row],[Tiempo solución max (hrs)]]&lt;&gt;"",IF(Tabla1[[#This Row],[Tiempo solución max (hrs)]]&gt;=Tabla1[[#This Row],[Tiempo
(Hrs 00/100)]],"cumple","no cumple"),"")</f>
        <v>cumple</v>
      </c>
      <c r="W3282" s="222" t="s">
        <v>5372</v>
      </c>
      <c r="X3282" s="18" t="str">
        <f t="shared" ref="X3282:X3330" si="236">IF(C3282&lt;&gt;"",C3282,D3282)</f>
        <v>SSI</v>
      </c>
      <c r="Y3282" t="str">
        <f>SUBSTITUTE(Tabla1[[#This Row],[Descripción]],CHAR(10),"    I    ")</f>
        <v>Se revisó el Query #1 del archivo IEDEPNT para la Funcionalidad 5 'TOTAL CONSULTA EN LOS BUSCADORES - Buscador Nacional', se hicieron las primeras ejecuciones con los parámetros para entender su funcionamiento</v>
      </c>
      <c r="Z3282" s="112">
        <f>VLOOKUP(Tabla1[[#This Row],[Perfil]],Catalogos!$B$75:$D$100,3,FALSE)*Tabla1[[#This Row],[Tiempo
(Hrs 00/100)]]*1.16</f>
        <v>2436</v>
      </c>
    </row>
    <row r="3283" spans="1:26" ht="30" customHeight="1" x14ac:dyDescent="0.3">
      <c r="A3283" s="187" t="s">
        <v>22</v>
      </c>
      <c r="B3283" s="187" t="s">
        <v>23</v>
      </c>
      <c r="C3283" s="187" t="s">
        <v>257</v>
      </c>
      <c r="D3283" s="187"/>
      <c r="E3283" s="187" t="s">
        <v>408</v>
      </c>
      <c r="F3283" s="187" t="s">
        <v>23</v>
      </c>
      <c r="G3283" s="702" t="s">
        <v>6012</v>
      </c>
      <c r="H3283" s="186" t="s">
        <v>5874</v>
      </c>
      <c r="I3283" s="816" t="s">
        <v>5875</v>
      </c>
      <c r="J3283" s="811">
        <v>45280</v>
      </c>
      <c r="K3283" s="815">
        <v>0.375</v>
      </c>
      <c r="L3283" s="811">
        <v>45280</v>
      </c>
      <c r="M3283" s="815">
        <v>0.4375</v>
      </c>
      <c r="N3283" s="187">
        <v>1.5</v>
      </c>
      <c r="O3283" s="188" t="s">
        <v>17</v>
      </c>
      <c r="P3283" s="197" t="s">
        <v>5807</v>
      </c>
      <c r="Q3283" s="179" t="s">
        <v>1441</v>
      </c>
      <c r="R3283" s="31" t="s">
        <v>95</v>
      </c>
      <c r="S3283" s="31" t="s">
        <v>273</v>
      </c>
      <c r="T3283" s="31" t="s">
        <v>273</v>
      </c>
      <c r="U3283" s="31">
        <f>IFERROR(VLOOKUP(CONCATENATE(Tabla1[[#This Row],[Severidad]]," ",Tabla1[[#This Row],[Complejidad]]),Catalogos!E$120:G$128,3,FALSE),"")</f>
        <v>64</v>
      </c>
      <c r="V3283" s="31" t="str">
        <f>IF(Tabla1[[#This Row],[Tiempo solución max (hrs)]]&lt;&gt;"",IF(Tabla1[[#This Row],[Tiempo solución max (hrs)]]&gt;=Tabla1[[#This Row],[Tiempo
(Hrs 00/100)]],"cumple","no cumple"),"")</f>
        <v>cumple</v>
      </c>
      <c r="W3283" s="222" t="s">
        <v>5372</v>
      </c>
      <c r="X3283" s="18" t="str">
        <f t="shared" si="236"/>
        <v>SSI</v>
      </c>
      <c r="Y3283" t="str">
        <f>SUBSTITUTE(Tabla1[[#This Row],[Descripción]],CHAR(10),"    I    ")</f>
        <v>Se optimizó el Query #1 del archivo IEDEPNT (Funcionalidad 5) para tener una versión mejorada en tiempo de respuesta y costo</v>
      </c>
      <c r="Z3283" s="112">
        <f>VLOOKUP(Tabla1[[#This Row],[Perfil]],Catalogos!$B$75:$D$100,3,FALSE)*Tabla1[[#This Row],[Tiempo
(Hrs 00/100)]]*1.16</f>
        <v>1044</v>
      </c>
    </row>
    <row r="3284" spans="1:26" ht="30" customHeight="1" x14ac:dyDescent="0.3">
      <c r="A3284" s="187" t="s">
        <v>22</v>
      </c>
      <c r="B3284" s="187" t="s">
        <v>23</v>
      </c>
      <c r="C3284" s="187" t="s">
        <v>257</v>
      </c>
      <c r="D3284" s="187"/>
      <c r="E3284" s="187" t="s">
        <v>408</v>
      </c>
      <c r="F3284" s="187" t="s">
        <v>23</v>
      </c>
      <c r="G3284" s="702" t="s">
        <v>6013</v>
      </c>
      <c r="H3284" s="186" t="s">
        <v>3076</v>
      </c>
      <c r="I3284" s="816" t="s">
        <v>3077</v>
      </c>
      <c r="J3284" s="811">
        <v>45280</v>
      </c>
      <c r="K3284" s="815">
        <v>0.4375</v>
      </c>
      <c r="L3284" s="811">
        <v>45280</v>
      </c>
      <c r="M3284" s="815">
        <v>0.5</v>
      </c>
      <c r="N3284" s="187">
        <v>1.5</v>
      </c>
      <c r="O3284" s="188" t="s">
        <v>17</v>
      </c>
      <c r="P3284" s="197" t="s">
        <v>5807</v>
      </c>
      <c r="Q3284" s="179" t="s">
        <v>1441</v>
      </c>
      <c r="R3284" s="31" t="s">
        <v>95</v>
      </c>
      <c r="S3284" s="31" t="s">
        <v>273</v>
      </c>
      <c r="T3284" s="31" t="s">
        <v>273</v>
      </c>
      <c r="U3284" s="31">
        <f>IFERROR(VLOOKUP(CONCATENATE(Tabla1[[#This Row],[Severidad]]," ",Tabla1[[#This Row],[Complejidad]]),Catalogos!E$120:G$128,3,FALSE),"")</f>
        <v>64</v>
      </c>
      <c r="V3284" s="31" t="str">
        <f>IF(Tabla1[[#This Row],[Tiempo solución max (hrs)]]&lt;&gt;"",IF(Tabla1[[#This Row],[Tiempo solución max (hrs)]]&gt;=Tabla1[[#This Row],[Tiempo
(Hrs 00/100)]],"cumple","no cumple"),"")</f>
        <v>cumple</v>
      </c>
      <c r="W3284" s="222" t="s">
        <v>5372</v>
      </c>
      <c r="X3284" s="18" t="str">
        <f t="shared" si="236"/>
        <v>SSI</v>
      </c>
      <c r="Y3284" t="str">
        <f>SUBSTITUTE(Tabla1[[#This Row],[Descripción]],CHAR(10),"    I    ")</f>
        <v>Se creó el nuevo procedimiento 'FUNC5_TOTCONSBUSCADONACQ1' en el paquete 'PACK_SISAI3', con la funcionalidad del Query #1</v>
      </c>
      <c r="Z3284" s="112">
        <f>VLOOKUP(Tabla1[[#This Row],[Perfil]],Catalogos!$B$75:$D$100,3,FALSE)*Tabla1[[#This Row],[Tiempo
(Hrs 00/100)]]*1.16</f>
        <v>1044</v>
      </c>
    </row>
    <row r="3285" spans="1:26" ht="30" customHeight="1" x14ac:dyDescent="0.3">
      <c r="A3285" s="187" t="s">
        <v>22</v>
      </c>
      <c r="B3285" s="187" t="s">
        <v>23</v>
      </c>
      <c r="C3285" s="187" t="s">
        <v>257</v>
      </c>
      <c r="D3285" s="187"/>
      <c r="E3285" s="187" t="s">
        <v>408</v>
      </c>
      <c r="F3285" s="187" t="s">
        <v>23</v>
      </c>
      <c r="G3285" s="702" t="s">
        <v>6014</v>
      </c>
      <c r="H3285" s="186" t="s">
        <v>2967</v>
      </c>
      <c r="I3285" s="816" t="s">
        <v>2967</v>
      </c>
      <c r="J3285" s="811">
        <v>45280</v>
      </c>
      <c r="K3285" s="815">
        <v>0.5</v>
      </c>
      <c r="L3285" s="811">
        <v>45280</v>
      </c>
      <c r="M3285" s="815">
        <v>0.5625</v>
      </c>
      <c r="N3285" s="187">
        <v>1.5</v>
      </c>
      <c r="O3285" s="188" t="s">
        <v>17</v>
      </c>
      <c r="P3285" s="197" t="s">
        <v>5807</v>
      </c>
      <c r="Q3285" s="179" t="s">
        <v>1441</v>
      </c>
      <c r="R3285" s="31" t="s">
        <v>95</v>
      </c>
      <c r="S3285" s="31" t="s">
        <v>273</v>
      </c>
      <c r="T3285" s="31" t="s">
        <v>273</v>
      </c>
      <c r="U3285" s="31">
        <f>IFERROR(VLOOKUP(CONCATENATE(Tabla1[[#This Row],[Severidad]]," ",Tabla1[[#This Row],[Complejidad]]),Catalogos!E$120:G$128,3,FALSE),"")</f>
        <v>64</v>
      </c>
      <c r="V3285" s="31" t="str">
        <f>IF(Tabla1[[#This Row],[Tiempo solución max (hrs)]]&lt;&gt;"",IF(Tabla1[[#This Row],[Tiempo solución max (hrs)]]&gt;=Tabla1[[#This Row],[Tiempo
(Hrs 00/100)]],"cumple","no cumple"),"")</f>
        <v>cumple</v>
      </c>
      <c r="W3285" s="222" t="s">
        <v>5372</v>
      </c>
      <c r="X3285" s="18" t="str">
        <f t="shared" si="236"/>
        <v>SSI</v>
      </c>
      <c r="Y3285" t="str">
        <f>SUBSTITUTE(Tabla1[[#This Row],[Descripción]],CHAR(10),"    I    ")</f>
        <v>Se verificó campo por campo del query 1 de la Funcionalidad 5, validando el tipo de dato y longitud exactos</v>
      </c>
      <c r="Z3285" s="112">
        <f>VLOOKUP(Tabla1[[#This Row],[Perfil]],Catalogos!$B$75:$D$100,3,FALSE)*Tabla1[[#This Row],[Tiempo
(Hrs 00/100)]]*1.16</f>
        <v>1044</v>
      </c>
    </row>
    <row r="3286" spans="1:26" ht="30" customHeight="1" x14ac:dyDescent="0.3">
      <c r="A3286" s="187" t="s">
        <v>22</v>
      </c>
      <c r="B3286" s="187" t="s">
        <v>23</v>
      </c>
      <c r="C3286" s="187" t="s">
        <v>257</v>
      </c>
      <c r="D3286" s="187"/>
      <c r="E3286" s="187" t="s">
        <v>408</v>
      </c>
      <c r="F3286" s="187" t="s">
        <v>23</v>
      </c>
      <c r="G3286" s="702" t="s">
        <v>6015</v>
      </c>
      <c r="H3286" s="186" t="s">
        <v>2968</v>
      </c>
      <c r="I3286" s="816" t="s">
        <v>2968</v>
      </c>
      <c r="J3286" s="811">
        <v>45280</v>
      </c>
      <c r="K3286" s="815">
        <v>0.5625</v>
      </c>
      <c r="L3286" s="811">
        <v>45280</v>
      </c>
      <c r="M3286" s="815">
        <v>0.60416666666666663</v>
      </c>
      <c r="N3286" s="187">
        <v>1</v>
      </c>
      <c r="O3286" s="188" t="s">
        <v>17</v>
      </c>
      <c r="P3286" s="197" t="s">
        <v>5807</v>
      </c>
      <c r="Q3286" s="179" t="s">
        <v>1441</v>
      </c>
      <c r="R3286" s="31" t="s">
        <v>95</v>
      </c>
      <c r="S3286" s="31" t="s">
        <v>273</v>
      </c>
      <c r="T3286" s="31" t="s">
        <v>273</v>
      </c>
      <c r="U3286" s="31">
        <f>IFERROR(VLOOKUP(CONCATENATE(Tabla1[[#This Row],[Severidad]]," ",Tabla1[[#This Row],[Complejidad]]),Catalogos!E$120:G$128,3,FALSE),"")</f>
        <v>64</v>
      </c>
      <c r="V3286" s="31" t="str">
        <f>IF(Tabla1[[#This Row],[Tiempo solución max (hrs)]]&lt;&gt;"",IF(Tabla1[[#This Row],[Tiempo solución max (hrs)]]&gt;=Tabla1[[#This Row],[Tiempo
(Hrs 00/100)]],"cumple","no cumple"),"")</f>
        <v>cumple</v>
      </c>
      <c r="W3286" s="222" t="s">
        <v>5372</v>
      </c>
      <c r="X3286" s="18" t="str">
        <f t="shared" si="236"/>
        <v>SSI</v>
      </c>
      <c r="Y3286" t="str">
        <f>SUBSTITUTE(Tabla1[[#This Row],[Descripción]],CHAR(10),"    I    ")</f>
        <v>Se declararon las variables en bloque anónimo con validación exacta de tamaños de tipos de datos, del query 1 de la Funcionalidad 5</v>
      </c>
      <c r="Z3286" s="112">
        <f>VLOOKUP(Tabla1[[#This Row],[Perfil]],Catalogos!$B$75:$D$100,3,FALSE)*Tabla1[[#This Row],[Tiempo
(Hrs 00/100)]]*1.16</f>
        <v>696</v>
      </c>
    </row>
    <row r="3287" spans="1:26" ht="30" customHeight="1" x14ac:dyDescent="0.3">
      <c r="A3287" s="187" t="s">
        <v>22</v>
      </c>
      <c r="B3287" s="187" t="s">
        <v>23</v>
      </c>
      <c r="C3287" s="187" t="s">
        <v>257</v>
      </c>
      <c r="D3287" s="187"/>
      <c r="E3287" s="187" t="s">
        <v>408</v>
      </c>
      <c r="F3287" s="187" t="s">
        <v>75</v>
      </c>
      <c r="G3287" s="702" t="s">
        <v>6016</v>
      </c>
      <c r="H3287" s="186" t="s">
        <v>3078</v>
      </c>
      <c r="I3287" s="816" t="s">
        <v>2970</v>
      </c>
      <c r="J3287" s="811">
        <v>45280</v>
      </c>
      <c r="K3287" s="815">
        <v>0.60416666666666663</v>
      </c>
      <c r="L3287" s="811">
        <v>45280</v>
      </c>
      <c r="M3287" s="815">
        <v>0.75</v>
      </c>
      <c r="N3287" s="187">
        <v>1.5</v>
      </c>
      <c r="O3287" s="188" t="s">
        <v>17</v>
      </c>
      <c r="P3287" s="197" t="s">
        <v>5807</v>
      </c>
      <c r="Q3287" s="179" t="s">
        <v>1441</v>
      </c>
      <c r="R3287" s="31" t="s">
        <v>95</v>
      </c>
      <c r="S3287" s="31" t="s">
        <v>273</v>
      </c>
      <c r="T3287" s="31" t="s">
        <v>273</v>
      </c>
      <c r="U3287" s="31">
        <f>IFERROR(VLOOKUP(CONCATENATE(Tabla1[[#This Row],[Severidad]]," ",Tabla1[[#This Row],[Complejidad]]),Catalogos!E$120:G$128,3,FALSE),"")</f>
        <v>64</v>
      </c>
      <c r="V3287" s="31" t="str">
        <f>IF(Tabla1[[#This Row],[Tiempo solución max (hrs)]]&lt;&gt;"",IF(Tabla1[[#This Row],[Tiempo solución max (hrs)]]&gt;=Tabla1[[#This Row],[Tiempo
(Hrs 00/100)]],"cumple","no cumple"),"")</f>
        <v>cumple</v>
      </c>
      <c r="W3287" s="222" t="s">
        <v>5372</v>
      </c>
      <c r="X3287" s="18" t="str">
        <f t="shared" si="236"/>
        <v>SSI</v>
      </c>
      <c r="Y3287" t="str">
        <f>SUBSTITUTE(Tabla1[[#This Row],[Descripción]],CHAR(10),"    I    ")</f>
        <v xml:space="preserve">Se validó el paquete-procedimiento de la funcionalidad 5 - Query # 1 con el bloque anónimo correcto y se tuvo un resultado exitoso con la salida del cursor completo </v>
      </c>
      <c r="Z3287" s="112">
        <f>VLOOKUP(Tabla1[[#This Row],[Perfil]],Catalogos!$B$75:$D$100,3,FALSE)*Tabla1[[#This Row],[Tiempo
(Hrs 00/100)]]*1.16</f>
        <v>1044</v>
      </c>
    </row>
    <row r="3288" spans="1:26" ht="30" customHeight="1" x14ac:dyDescent="0.3">
      <c r="A3288" s="187" t="s">
        <v>22</v>
      </c>
      <c r="B3288" s="187" t="s">
        <v>65</v>
      </c>
      <c r="C3288" s="187" t="s">
        <v>257</v>
      </c>
      <c r="D3288" s="187"/>
      <c r="E3288" s="187" t="s">
        <v>408</v>
      </c>
      <c r="F3288" s="187" t="s">
        <v>76</v>
      </c>
      <c r="G3288" s="702" t="s">
        <v>6017</v>
      </c>
      <c r="H3288" s="186" t="s">
        <v>5876</v>
      </c>
      <c r="I3288" s="816" t="s">
        <v>5877</v>
      </c>
      <c r="J3288" s="811">
        <v>45280</v>
      </c>
      <c r="K3288" s="815">
        <v>0.75</v>
      </c>
      <c r="L3288" s="811">
        <v>45280</v>
      </c>
      <c r="M3288" s="815">
        <v>0.83333333333333337</v>
      </c>
      <c r="N3288" s="187">
        <v>2</v>
      </c>
      <c r="O3288" s="188" t="s">
        <v>17</v>
      </c>
      <c r="P3288" s="197" t="s">
        <v>5807</v>
      </c>
      <c r="Q3288" s="179" t="s">
        <v>1441</v>
      </c>
      <c r="R3288" s="31" t="s">
        <v>95</v>
      </c>
      <c r="S3288" s="31" t="s">
        <v>273</v>
      </c>
      <c r="T3288" s="31" t="s">
        <v>273</v>
      </c>
      <c r="U3288" s="31">
        <f>IFERROR(VLOOKUP(CONCATENATE(Tabla1[[#This Row],[Severidad]]," ",Tabla1[[#This Row],[Complejidad]]),Catalogos!E$120:G$128,3,FALSE),"")</f>
        <v>64</v>
      </c>
      <c r="V3288" s="31" t="str">
        <f>IF(Tabla1[[#This Row],[Tiempo solución max (hrs)]]&lt;&gt;"",IF(Tabla1[[#This Row],[Tiempo solución max (hrs)]]&gt;=Tabla1[[#This Row],[Tiempo
(Hrs 00/100)]],"cumple","no cumple"),"")</f>
        <v>cumple</v>
      </c>
      <c r="W3288" s="222" t="s">
        <v>5372</v>
      </c>
      <c r="X3288" s="18" t="str">
        <f t="shared" si="236"/>
        <v>SSI</v>
      </c>
      <c r="Y3288" t="str">
        <f>SUBSTITUTE(Tabla1[[#This Row],[Descripción]],CHAR(10),"    I    ")</f>
        <v>Se actualizó el documento 'Querys_Estadisiticas_Totales_Nuevo' con los comentarios sobre el Query 1 de la Funcionalidad 5</v>
      </c>
      <c r="Z3288" s="112">
        <f>VLOOKUP(Tabla1[[#This Row],[Perfil]],Catalogos!$B$75:$D$100,3,FALSE)*Tabla1[[#This Row],[Tiempo
(Hrs 00/100)]]*1.16</f>
        <v>1392</v>
      </c>
    </row>
    <row r="3289" spans="1:26" ht="30" customHeight="1" x14ac:dyDescent="0.3">
      <c r="A3289" s="187" t="s">
        <v>22</v>
      </c>
      <c r="B3289" s="187" t="s">
        <v>305</v>
      </c>
      <c r="C3289" s="187" t="s">
        <v>257</v>
      </c>
      <c r="D3289" s="187"/>
      <c r="E3289" s="187" t="s">
        <v>408</v>
      </c>
      <c r="F3289" s="187" t="s">
        <v>72</v>
      </c>
      <c r="G3289" s="702" t="s">
        <v>6018</v>
      </c>
      <c r="H3289" s="186" t="s">
        <v>5878</v>
      </c>
      <c r="I3289" s="816" t="s">
        <v>5879</v>
      </c>
      <c r="J3289" s="811">
        <v>45281</v>
      </c>
      <c r="K3289" s="815">
        <v>0.375</v>
      </c>
      <c r="L3289" s="811">
        <v>45281</v>
      </c>
      <c r="M3289" s="815">
        <v>0.4375</v>
      </c>
      <c r="N3289" s="187">
        <v>1.5</v>
      </c>
      <c r="O3289" s="188" t="s">
        <v>17</v>
      </c>
      <c r="P3289" s="197" t="s">
        <v>5807</v>
      </c>
      <c r="Q3289" s="179" t="s">
        <v>1441</v>
      </c>
      <c r="R3289" s="31" t="s">
        <v>95</v>
      </c>
      <c r="S3289" s="31" t="s">
        <v>273</v>
      </c>
      <c r="T3289" s="31" t="s">
        <v>273</v>
      </c>
      <c r="U3289" s="31">
        <f>IFERROR(VLOOKUP(CONCATENATE(Tabla1[[#This Row],[Severidad]]," ",Tabla1[[#This Row],[Complejidad]]),Catalogos!E$120:G$128,3,FALSE),"")</f>
        <v>64</v>
      </c>
      <c r="V3289" s="31" t="str">
        <f>IF(Tabla1[[#This Row],[Tiempo solución max (hrs)]]&lt;&gt;"",IF(Tabla1[[#This Row],[Tiempo solución max (hrs)]]&gt;=Tabla1[[#This Row],[Tiempo
(Hrs 00/100)]],"cumple","no cumple"),"")</f>
        <v>cumple</v>
      </c>
      <c r="W3289" s="222" t="s">
        <v>5372</v>
      </c>
      <c r="X3289" s="18" t="str">
        <f t="shared" si="236"/>
        <v>SSI</v>
      </c>
      <c r="Y3289" t="str">
        <f>SUBSTITUTE(Tabla1[[#This Row],[Descripción]],CHAR(10),"    I    ")</f>
        <v>Se revisó el Query #2 del archivo IEDEPNT para la Funcionalidad 5 'TOTAL CONSULTA EN LOS BUSCADORES - Buscadores temáticos', se hicieron las primeras ejecuciones con los parámetros para entender su funcionamiento</v>
      </c>
      <c r="Z3289" s="112">
        <f>VLOOKUP(Tabla1[[#This Row],[Perfil]],Catalogos!$B$75:$D$100,3,FALSE)*Tabla1[[#This Row],[Tiempo
(Hrs 00/100)]]*1.16</f>
        <v>1044</v>
      </c>
    </row>
    <row r="3290" spans="1:26" ht="30" customHeight="1" x14ac:dyDescent="0.3">
      <c r="A3290" s="187" t="s">
        <v>22</v>
      </c>
      <c r="B3290" s="187" t="s">
        <v>23</v>
      </c>
      <c r="C3290" s="187" t="s">
        <v>257</v>
      </c>
      <c r="D3290" s="187"/>
      <c r="E3290" s="187" t="s">
        <v>408</v>
      </c>
      <c r="F3290" s="187" t="s">
        <v>23</v>
      </c>
      <c r="G3290" s="702" t="s">
        <v>6019</v>
      </c>
      <c r="H3290" s="186" t="s">
        <v>3082</v>
      </c>
      <c r="I3290" s="816" t="s">
        <v>3083</v>
      </c>
      <c r="J3290" s="811">
        <v>45281</v>
      </c>
      <c r="K3290" s="815">
        <v>0.4375</v>
      </c>
      <c r="L3290" s="811">
        <v>45281</v>
      </c>
      <c r="M3290" s="815">
        <v>0.5</v>
      </c>
      <c r="N3290" s="187">
        <v>1.5</v>
      </c>
      <c r="O3290" s="188" t="s">
        <v>17</v>
      </c>
      <c r="P3290" s="197" t="s">
        <v>5807</v>
      </c>
      <c r="Q3290" s="179" t="s">
        <v>1441</v>
      </c>
      <c r="R3290" s="31" t="s">
        <v>95</v>
      </c>
      <c r="S3290" s="31" t="s">
        <v>273</v>
      </c>
      <c r="T3290" s="31" t="s">
        <v>273</v>
      </c>
      <c r="U3290" s="31">
        <f>IFERROR(VLOOKUP(CONCATENATE(Tabla1[[#This Row],[Severidad]]," ",Tabla1[[#This Row],[Complejidad]]),Catalogos!E$120:G$128,3,FALSE),"")</f>
        <v>64</v>
      </c>
      <c r="V3290" s="31" t="str">
        <f>IF(Tabla1[[#This Row],[Tiempo solución max (hrs)]]&lt;&gt;"",IF(Tabla1[[#This Row],[Tiempo solución max (hrs)]]&gt;=Tabla1[[#This Row],[Tiempo
(Hrs 00/100)]],"cumple","no cumple"),"")</f>
        <v>cumple</v>
      </c>
      <c r="W3290" s="222" t="s">
        <v>5372</v>
      </c>
      <c r="X3290" s="18" t="str">
        <f t="shared" si="236"/>
        <v>SSI</v>
      </c>
      <c r="Y3290" t="str">
        <f>SUBSTITUTE(Tabla1[[#This Row],[Descripción]],CHAR(10),"    I    ")</f>
        <v>Se optimizó el Query #2 del archivo IEDEPNI (Funcionalidad 5) para tener una versión mejorada en tiempo de respuesta y costo</v>
      </c>
      <c r="Z3290" s="112">
        <f>VLOOKUP(Tabla1[[#This Row],[Perfil]],Catalogos!$B$75:$D$100,3,FALSE)*Tabla1[[#This Row],[Tiempo
(Hrs 00/100)]]*1.16</f>
        <v>1044</v>
      </c>
    </row>
    <row r="3291" spans="1:26" ht="30" customHeight="1" x14ac:dyDescent="0.3">
      <c r="A3291" s="187" t="s">
        <v>22</v>
      </c>
      <c r="B3291" s="187" t="s">
        <v>23</v>
      </c>
      <c r="C3291" s="187" t="s">
        <v>257</v>
      </c>
      <c r="D3291" s="187"/>
      <c r="E3291" s="187" t="s">
        <v>408</v>
      </c>
      <c r="F3291" s="187" t="s">
        <v>23</v>
      </c>
      <c r="G3291" s="702" t="s">
        <v>6020</v>
      </c>
      <c r="H3291" s="186" t="s">
        <v>3084</v>
      </c>
      <c r="I3291" s="816" t="s">
        <v>3085</v>
      </c>
      <c r="J3291" s="811">
        <v>45281</v>
      </c>
      <c r="K3291" s="815">
        <v>0.5</v>
      </c>
      <c r="L3291" s="811">
        <v>45281</v>
      </c>
      <c r="M3291" s="815">
        <v>0.5625</v>
      </c>
      <c r="N3291" s="187">
        <v>1.5</v>
      </c>
      <c r="O3291" s="188" t="s">
        <v>17</v>
      </c>
      <c r="P3291" s="197" t="s">
        <v>5807</v>
      </c>
      <c r="Q3291" s="179" t="s">
        <v>1441</v>
      </c>
      <c r="R3291" s="31" t="s">
        <v>95</v>
      </c>
      <c r="S3291" s="31" t="s">
        <v>273</v>
      </c>
      <c r="T3291" s="31" t="s">
        <v>273</v>
      </c>
      <c r="U3291" s="31">
        <f>IFERROR(VLOOKUP(CONCATENATE(Tabla1[[#This Row],[Severidad]]," ",Tabla1[[#This Row],[Complejidad]]),Catalogos!E$120:G$128,3,FALSE),"")</f>
        <v>64</v>
      </c>
      <c r="V3291" s="31" t="str">
        <f>IF(Tabla1[[#This Row],[Tiempo solución max (hrs)]]&lt;&gt;"",IF(Tabla1[[#This Row],[Tiempo solución max (hrs)]]&gt;=Tabla1[[#This Row],[Tiempo
(Hrs 00/100)]],"cumple","no cumple"),"")</f>
        <v>cumple</v>
      </c>
      <c r="W3291" s="222" t="s">
        <v>5372</v>
      </c>
      <c r="X3291" s="18" t="str">
        <f t="shared" si="236"/>
        <v>SSI</v>
      </c>
      <c r="Y3291" t="str">
        <f>SUBSTITUTE(Tabla1[[#This Row],[Descripción]],CHAR(10),"    I    ")</f>
        <v>Se creó el nuevo procedimiento 'FUNC5_TOTCONSBUSCADOTEMATICOQ2' en el paquete 'PACK_SISAI3', con la funcionalidad del Query #2</v>
      </c>
      <c r="Z3291" s="112">
        <f>VLOOKUP(Tabla1[[#This Row],[Perfil]],Catalogos!$B$75:$D$100,3,FALSE)*Tabla1[[#This Row],[Tiempo
(Hrs 00/100)]]*1.16</f>
        <v>1044</v>
      </c>
    </row>
    <row r="3292" spans="1:26" ht="30" customHeight="1" x14ac:dyDescent="0.3">
      <c r="A3292" s="187" t="s">
        <v>22</v>
      </c>
      <c r="B3292" s="187" t="s">
        <v>23</v>
      </c>
      <c r="C3292" s="187" t="s">
        <v>257</v>
      </c>
      <c r="D3292" s="187"/>
      <c r="E3292" s="187" t="s">
        <v>408</v>
      </c>
      <c r="F3292" s="187" t="s">
        <v>23</v>
      </c>
      <c r="G3292" s="702" t="s">
        <v>6021</v>
      </c>
      <c r="H3292" s="186" t="s">
        <v>3086</v>
      </c>
      <c r="I3292" s="816" t="s">
        <v>3086</v>
      </c>
      <c r="J3292" s="811">
        <v>45281</v>
      </c>
      <c r="K3292" s="815">
        <v>0.5625</v>
      </c>
      <c r="L3292" s="811">
        <v>45281</v>
      </c>
      <c r="M3292" s="815">
        <v>0.60416666666666663</v>
      </c>
      <c r="N3292" s="187">
        <v>1</v>
      </c>
      <c r="O3292" s="188" t="s">
        <v>17</v>
      </c>
      <c r="P3292" s="197" t="s">
        <v>5807</v>
      </c>
      <c r="Q3292" s="179" t="s">
        <v>1441</v>
      </c>
      <c r="R3292" s="31" t="s">
        <v>95</v>
      </c>
      <c r="S3292" s="31" t="s">
        <v>273</v>
      </c>
      <c r="T3292" s="31" t="s">
        <v>273</v>
      </c>
      <c r="U3292" s="31">
        <f>IFERROR(VLOOKUP(CONCATENATE(Tabla1[[#This Row],[Severidad]]," ",Tabla1[[#This Row],[Complejidad]]),Catalogos!E$120:G$128,3,FALSE),"")</f>
        <v>64</v>
      </c>
      <c r="V3292" s="31" t="str">
        <f>IF(Tabla1[[#This Row],[Tiempo solución max (hrs)]]&lt;&gt;"",IF(Tabla1[[#This Row],[Tiempo solución max (hrs)]]&gt;=Tabla1[[#This Row],[Tiempo
(Hrs 00/100)]],"cumple","no cumple"),"")</f>
        <v>cumple</v>
      </c>
      <c r="W3292" s="222" t="s">
        <v>5372</v>
      </c>
      <c r="X3292" s="18" t="str">
        <f t="shared" si="236"/>
        <v>SSI</v>
      </c>
      <c r="Y3292" t="str">
        <f>SUBSTITUTE(Tabla1[[#This Row],[Descripción]],CHAR(10),"    I    ")</f>
        <v>Se verificó campo por campo del query 2 de la Funcionalidad 5, validando el tipo de dato y longitud exactos</v>
      </c>
      <c r="Z3292" s="112">
        <f>VLOOKUP(Tabla1[[#This Row],[Perfil]],Catalogos!$B$75:$D$100,3,FALSE)*Tabla1[[#This Row],[Tiempo
(Hrs 00/100)]]*1.16</f>
        <v>696</v>
      </c>
    </row>
    <row r="3293" spans="1:26" ht="30" customHeight="1" x14ac:dyDescent="0.3">
      <c r="A3293" s="187" t="s">
        <v>22</v>
      </c>
      <c r="B3293" s="187" t="s">
        <v>23</v>
      </c>
      <c r="C3293" s="187" t="s">
        <v>257</v>
      </c>
      <c r="D3293" s="187"/>
      <c r="E3293" s="187" t="s">
        <v>408</v>
      </c>
      <c r="F3293" s="187" t="s">
        <v>23</v>
      </c>
      <c r="G3293" s="702" t="s">
        <v>6022</v>
      </c>
      <c r="H3293" s="186" t="s">
        <v>3087</v>
      </c>
      <c r="I3293" s="816" t="s">
        <v>3087</v>
      </c>
      <c r="J3293" s="811">
        <v>45281</v>
      </c>
      <c r="K3293" s="815">
        <v>0.66666666666666663</v>
      </c>
      <c r="L3293" s="811">
        <v>45281</v>
      </c>
      <c r="M3293" s="815">
        <v>0.70833333333333337</v>
      </c>
      <c r="N3293" s="187">
        <v>1</v>
      </c>
      <c r="O3293" s="188" t="s">
        <v>17</v>
      </c>
      <c r="P3293" s="197" t="s">
        <v>5807</v>
      </c>
      <c r="Q3293" s="179" t="s">
        <v>1441</v>
      </c>
      <c r="R3293" s="31" t="s">
        <v>95</v>
      </c>
      <c r="S3293" s="31" t="s">
        <v>273</v>
      </c>
      <c r="T3293" s="31" t="s">
        <v>273</v>
      </c>
      <c r="U3293" s="31">
        <f>IFERROR(VLOOKUP(CONCATENATE(Tabla1[[#This Row],[Severidad]]," ",Tabla1[[#This Row],[Complejidad]]),Catalogos!E$120:G$128,3,FALSE),"")</f>
        <v>64</v>
      </c>
      <c r="V3293" s="31" t="str">
        <f>IF(Tabla1[[#This Row],[Tiempo solución max (hrs)]]&lt;&gt;"",IF(Tabla1[[#This Row],[Tiempo solución max (hrs)]]&gt;=Tabla1[[#This Row],[Tiempo
(Hrs 00/100)]],"cumple","no cumple"),"")</f>
        <v>cumple</v>
      </c>
      <c r="W3293" s="222" t="s">
        <v>5372</v>
      </c>
      <c r="X3293" s="18" t="str">
        <f t="shared" si="236"/>
        <v>SSI</v>
      </c>
      <c r="Y3293" t="str">
        <f>SUBSTITUTE(Tabla1[[#This Row],[Descripción]],CHAR(10),"    I    ")</f>
        <v>Se declararon las variables en bloque anónimo con validación exacta de tamaños de tipos de datos, del query 2 de la Funcionalidad 5</v>
      </c>
      <c r="Z3293" s="112">
        <f>VLOOKUP(Tabla1[[#This Row],[Perfil]],Catalogos!$B$75:$D$100,3,FALSE)*Tabla1[[#This Row],[Tiempo
(Hrs 00/100)]]*1.16</f>
        <v>696</v>
      </c>
    </row>
    <row r="3294" spans="1:26" ht="30" customHeight="1" x14ac:dyDescent="0.3">
      <c r="A3294" s="187" t="s">
        <v>22</v>
      </c>
      <c r="B3294" s="187" t="s">
        <v>23</v>
      </c>
      <c r="C3294" s="187" t="s">
        <v>257</v>
      </c>
      <c r="D3294" s="187"/>
      <c r="E3294" s="187" t="s">
        <v>408</v>
      </c>
      <c r="F3294" s="187" t="s">
        <v>75</v>
      </c>
      <c r="G3294" s="702" t="s">
        <v>6023</v>
      </c>
      <c r="H3294" s="186" t="s">
        <v>3088</v>
      </c>
      <c r="I3294" s="816" t="s">
        <v>3089</v>
      </c>
      <c r="J3294" s="811">
        <v>45281</v>
      </c>
      <c r="K3294" s="815">
        <v>0.70833333333333337</v>
      </c>
      <c r="L3294" s="811">
        <v>45281</v>
      </c>
      <c r="M3294" s="815">
        <v>0.8125</v>
      </c>
      <c r="N3294" s="187">
        <v>2.5</v>
      </c>
      <c r="O3294" s="188" t="s">
        <v>17</v>
      </c>
      <c r="P3294" s="197" t="s">
        <v>5807</v>
      </c>
      <c r="Q3294" s="179" t="s">
        <v>1441</v>
      </c>
      <c r="R3294" s="31" t="s">
        <v>95</v>
      </c>
      <c r="S3294" s="31" t="s">
        <v>273</v>
      </c>
      <c r="T3294" s="31" t="s">
        <v>273</v>
      </c>
      <c r="U3294" s="31">
        <f>IFERROR(VLOOKUP(CONCATENATE(Tabla1[[#This Row],[Severidad]]," ",Tabla1[[#This Row],[Complejidad]]),Catalogos!E$120:G$128,3,FALSE),"")</f>
        <v>64</v>
      </c>
      <c r="V3294" s="31" t="str">
        <f>IF(Tabla1[[#This Row],[Tiempo solución max (hrs)]]&lt;&gt;"",IF(Tabla1[[#This Row],[Tiempo solución max (hrs)]]&gt;=Tabla1[[#This Row],[Tiempo
(Hrs 00/100)]],"cumple","no cumple"),"")</f>
        <v>cumple</v>
      </c>
      <c r="W3294" s="222" t="s">
        <v>5372</v>
      </c>
      <c r="X3294" s="18" t="str">
        <f t="shared" si="236"/>
        <v>SSI</v>
      </c>
      <c r="Y3294" t="str">
        <f>SUBSTITUTE(Tabla1[[#This Row],[Descripción]],CHAR(10),"    I    ")</f>
        <v xml:space="preserve">Se validó el paquete-procedimiento de la funcionalidad 5 - Query # 2 con el bloque anónimo correcto y se tuvo un resultado exitoso con la salida del cursor completo </v>
      </c>
      <c r="Z3294" s="112">
        <f>VLOOKUP(Tabla1[[#This Row],[Perfil]],Catalogos!$B$75:$D$100,3,FALSE)*Tabla1[[#This Row],[Tiempo
(Hrs 00/100)]]*1.16</f>
        <v>1739.9999999999998</v>
      </c>
    </row>
    <row r="3295" spans="1:26" ht="30" customHeight="1" x14ac:dyDescent="0.3">
      <c r="A3295" s="187" t="s">
        <v>22</v>
      </c>
      <c r="B3295" s="187" t="s">
        <v>65</v>
      </c>
      <c r="C3295" s="187" t="s">
        <v>257</v>
      </c>
      <c r="D3295" s="187"/>
      <c r="E3295" s="187" t="s">
        <v>408</v>
      </c>
      <c r="F3295" s="187" t="s">
        <v>76</v>
      </c>
      <c r="G3295" s="702" t="s">
        <v>6024</v>
      </c>
      <c r="H3295" s="186" t="s">
        <v>5880</v>
      </c>
      <c r="I3295" s="816" t="s">
        <v>5881</v>
      </c>
      <c r="J3295" s="811">
        <v>45282</v>
      </c>
      <c r="K3295" s="815">
        <v>0.375</v>
      </c>
      <c r="L3295" s="811">
        <v>45282</v>
      </c>
      <c r="M3295" s="815">
        <v>0.41666666666666669</v>
      </c>
      <c r="N3295" s="187">
        <v>1</v>
      </c>
      <c r="O3295" s="188" t="s">
        <v>17</v>
      </c>
      <c r="P3295" s="197" t="s">
        <v>5807</v>
      </c>
      <c r="Q3295" s="179" t="s">
        <v>1441</v>
      </c>
      <c r="R3295" s="31" t="s">
        <v>95</v>
      </c>
      <c r="S3295" s="31" t="s">
        <v>273</v>
      </c>
      <c r="T3295" s="31" t="s">
        <v>273</v>
      </c>
      <c r="U3295" s="31">
        <f>IFERROR(VLOOKUP(CONCATENATE(Tabla1[[#This Row],[Severidad]]," ",Tabla1[[#This Row],[Complejidad]]),Catalogos!E$120:G$128,3,FALSE),"")</f>
        <v>64</v>
      </c>
      <c r="V3295" s="31" t="str">
        <f>IF(Tabla1[[#This Row],[Tiempo solución max (hrs)]]&lt;&gt;"",IF(Tabla1[[#This Row],[Tiempo solución max (hrs)]]&gt;=Tabla1[[#This Row],[Tiempo
(Hrs 00/100)]],"cumple","no cumple"),"")</f>
        <v>cumple</v>
      </c>
      <c r="W3295" s="222" t="s">
        <v>5372</v>
      </c>
      <c r="X3295" s="18" t="str">
        <f t="shared" si="236"/>
        <v>SSI</v>
      </c>
      <c r="Y3295" t="str">
        <f>SUBSTITUTE(Tabla1[[#This Row],[Descripción]],CHAR(10),"    I    ")</f>
        <v>Se actualizó el documento 'Querys_Estadisiticas_Totales_Nuevo' con los comentarios sobre el Query 2 de la Funcionalidad 5</v>
      </c>
      <c r="Z3295" s="112">
        <f>VLOOKUP(Tabla1[[#This Row],[Perfil]],Catalogos!$B$75:$D$100,3,FALSE)*Tabla1[[#This Row],[Tiempo
(Hrs 00/100)]]*1.16</f>
        <v>696</v>
      </c>
    </row>
    <row r="3296" spans="1:26" ht="30" customHeight="1" x14ac:dyDescent="0.3">
      <c r="A3296" s="187" t="s">
        <v>22</v>
      </c>
      <c r="B3296" s="187" t="s">
        <v>305</v>
      </c>
      <c r="C3296" s="187" t="s">
        <v>257</v>
      </c>
      <c r="D3296" s="187"/>
      <c r="E3296" s="187" t="s">
        <v>408</v>
      </c>
      <c r="F3296" s="187" t="s">
        <v>72</v>
      </c>
      <c r="G3296" s="702" t="s">
        <v>6025</v>
      </c>
      <c r="H3296" s="186" t="s">
        <v>5882</v>
      </c>
      <c r="I3296" s="816" t="s">
        <v>5883</v>
      </c>
      <c r="J3296" s="811">
        <v>45282</v>
      </c>
      <c r="K3296" s="815">
        <v>0.41666666666666669</v>
      </c>
      <c r="L3296" s="811">
        <v>45282</v>
      </c>
      <c r="M3296" s="815">
        <v>0.47916666666666669</v>
      </c>
      <c r="N3296" s="187">
        <v>1.5</v>
      </c>
      <c r="O3296" s="188" t="s">
        <v>17</v>
      </c>
      <c r="P3296" s="197" t="s">
        <v>5807</v>
      </c>
      <c r="Q3296" s="179" t="s">
        <v>1441</v>
      </c>
      <c r="R3296" s="31" t="s">
        <v>95</v>
      </c>
      <c r="S3296" s="31" t="s">
        <v>273</v>
      </c>
      <c r="T3296" s="31" t="s">
        <v>273</v>
      </c>
      <c r="U3296" s="31">
        <f>IFERROR(VLOOKUP(CONCATENATE(Tabla1[[#This Row],[Severidad]]," ",Tabla1[[#This Row],[Complejidad]]),Catalogos!E$120:G$128,3,FALSE),"")</f>
        <v>64</v>
      </c>
      <c r="V3296" s="31" t="str">
        <f>IF(Tabla1[[#This Row],[Tiempo solución max (hrs)]]&lt;&gt;"",IF(Tabla1[[#This Row],[Tiempo solución max (hrs)]]&gt;=Tabla1[[#This Row],[Tiempo
(Hrs 00/100)]],"cumple","no cumple"),"")</f>
        <v>cumple</v>
      </c>
      <c r="W3296" s="222" t="s">
        <v>5372</v>
      </c>
      <c r="X3296" s="18" t="str">
        <f t="shared" si="236"/>
        <v>SSI</v>
      </c>
      <c r="Y3296" t="str">
        <f>SUBSTITUTE(Tabla1[[#This Row],[Descripción]],CHAR(10),"    I    ")</f>
        <v>Se revisó el Query #3 del archivo IEDEPNT para la Funcionalidad 5 'TOTAL CONSULTA EN LOS BUSCADORES - Buscador de Género', se hicieron las primeras ejecuciones con los parámetros para entender su funcionamiento</v>
      </c>
      <c r="Z3296" s="112">
        <f>VLOOKUP(Tabla1[[#This Row],[Perfil]],Catalogos!$B$75:$D$100,3,FALSE)*Tabla1[[#This Row],[Tiempo
(Hrs 00/100)]]*1.16</f>
        <v>1044</v>
      </c>
    </row>
    <row r="3297" spans="1:26" ht="30" customHeight="1" x14ac:dyDescent="0.3">
      <c r="A3297" s="187" t="s">
        <v>22</v>
      </c>
      <c r="B3297" s="187" t="s">
        <v>23</v>
      </c>
      <c r="C3297" s="187" t="s">
        <v>257</v>
      </c>
      <c r="D3297" s="187"/>
      <c r="E3297" s="187" t="s">
        <v>408</v>
      </c>
      <c r="F3297" s="187" t="s">
        <v>23</v>
      </c>
      <c r="G3297" s="702" t="s">
        <v>6026</v>
      </c>
      <c r="H3297" s="186" t="s">
        <v>5884</v>
      </c>
      <c r="I3297" s="816" t="s">
        <v>5885</v>
      </c>
      <c r="J3297" s="811">
        <v>45282</v>
      </c>
      <c r="K3297" s="815">
        <v>0.47916666666666669</v>
      </c>
      <c r="L3297" s="811">
        <v>45282</v>
      </c>
      <c r="M3297" s="815">
        <v>0.54166666666666663</v>
      </c>
      <c r="N3297" s="187">
        <v>1.5</v>
      </c>
      <c r="O3297" s="188" t="s">
        <v>17</v>
      </c>
      <c r="P3297" s="197" t="s">
        <v>5807</v>
      </c>
      <c r="Q3297" s="179" t="s">
        <v>1441</v>
      </c>
      <c r="R3297" s="31" t="s">
        <v>95</v>
      </c>
      <c r="S3297" s="31" t="s">
        <v>273</v>
      </c>
      <c r="T3297" s="31" t="s">
        <v>273</v>
      </c>
      <c r="U3297" s="31">
        <f>IFERROR(VLOOKUP(CONCATENATE(Tabla1[[#This Row],[Severidad]]," ",Tabla1[[#This Row],[Complejidad]]),Catalogos!E$120:G$128,3,FALSE),"")</f>
        <v>64</v>
      </c>
      <c r="V3297" s="31" t="str">
        <f>IF(Tabla1[[#This Row],[Tiempo solución max (hrs)]]&lt;&gt;"",IF(Tabla1[[#This Row],[Tiempo solución max (hrs)]]&gt;=Tabla1[[#This Row],[Tiempo
(Hrs 00/100)]],"cumple","no cumple"),"")</f>
        <v>cumple</v>
      </c>
      <c r="W3297" s="222" t="s">
        <v>5372</v>
      </c>
      <c r="X3297" s="18" t="str">
        <f t="shared" si="236"/>
        <v>SSI</v>
      </c>
      <c r="Y3297" t="str">
        <f>SUBSTITUTE(Tabla1[[#This Row],[Descripción]],CHAR(10),"    I    ")</f>
        <v>Se optimizó el Query #3 del archivo IEDEPNT (Funcionalidad 5) para tener una versión mejorada en tiempo de respuesta y costo</v>
      </c>
      <c r="Z3297" s="112">
        <f>VLOOKUP(Tabla1[[#This Row],[Perfil]],Catalogos!$B$75:$D$100,3,FALSE)*Tabla1[[#This Row],[Tiempo
(Hrs 00/100)]]*1.16</f>
        <v>1044</v>
      </c>
    </row>
    <row r="3298" spans="1:26" ht="30" customHeight="1" x14ac:dyDescent="0.3">
      <c r="A3298" s="187" t="s">
        <v>22</v>
      </c>
      <c r="B3298" s="187" t="s">
        <v>23</v>
      </c>
      <c r="C3298" s="187" t="s">
        <v>257</v>
      </c>
      <c r="D3298" s="187"/>
      <c r="E3298" s="187" t="s">
        <v>408</v>
      </c>
      <c r="F3298" s="187" t="s">
        <v>23</v>
      </c>
      <c r="G3298" s="702" t="s">
        <v>6027</v>
      </c>
      <c r="H3298" s="186" t="s">
        <v>5886</v>
      </c>
      <c r="I3298" s="816" t="s">
        <v>5887</v>
      </c>
      <c r="J3298" s="811">
        <v>45282</v>
      </c>
      <c r="K3298" s="815">
        <v>0.54166666666666663</v>
      </c>
      <c r="L3298" s="811">
        <v>45282</v>
      </c>
      <c r="M3298" s="815">
        <v>0.60416666666666663</v>
      </c>
      <c r="N3298" s="187">
        <v>1.5</v>
      </c>
      <c r="O3298" s="188" t="s">
        <v>17</v>
      </c>
      <c r="P3298" s="197" t="s">
        <v>5807</v>
      </c>
      <c r="Q3298" s="179" t="s">
        <v>1441</v>
      </c>
      <c r="R3298" s="31" t="s">
        <v>95</v>
      </c>
      <c r="S3298" s="31" t="s">
        <v>273</v>
      </c>
      <c r="T3298" s="31" t="s">
        <v>273</v>
      </c>
      <c r="U3298" s="31">
        <f>IFERROR(VLOOKUP(CONCATENATE(Tabla1[[#This Row],[Severidad]]," ",Tabla1[[#This Row],[Complejidad]]),Catalogos!E$120:G$128,3,FALSE),"")</f>
        <v>64</v>
      </c>
      <c r="V3298" s="31" t="str">
        <f>IF(Tabla1[[#This Row],[Tiempo solución max (hrs)]]&lt;&gt;"",IF(Tabla1[[#This Row],[Tiempo solución max (hrs)]]&gt;=Tabla1[[#This Row],[Tiempo
(Hrs 00/100)]],"cumple","no cumple"),"")</f>
        <v>cumple</v>
      </c>
      <c r="W3298" s="222" t="s">
        <v>5372</v>
      </c>
      <c r="X3298" s="18" t="str">
        <f t="shared" si="236"/>
        <v>SSI</v>
      </c>
      <c r="Y3298" t="str">
        <f>SUBSTITUTE(Tabla1[[#This Row],[Descripción]],CHAR(10),"    I    ")</f>
        <v>Se creó el nuevo procedimiento 'FUNC5_TOTCONSBUSCADODGENEROQ3' en el paquete 'PACK_SISAI3', con la funcionalidad del Query #2</v>
      </c>
      <c r="Z3298" s="112">
        <f>VLOOKUP(Tabla1[[#This Row],[Perfil]],Catalogos!$B$75:$D$100,3,FALSE)*Tabla1[[#This Row],[Tiempo
(Hrs 00/100)]]*1.16</f>
        <v>1044</v>
      </c>
    </row>
    <row r="3299" spans="1:26" ht="30" customHeight="1" x14ac:dyDescent="0.3">
      <c r="A3299" s="187" t="s">
        <v>22</v>
      </c>
      <c r="B3299" s="187" t="s">
        <v>23</v>
      </c>
      <c r="C3299" s="187" t="s">
        <v>257</v>
      </c>
      <c r="D3299" s="187"/>
      <c r="E3299" s="187" t="s">
        <v>408</v>
      </c>
      <c r="F3299" s="187" t="s">
        <v>23</v>
      </c>
      <c r="G3299" s="702" t="s">
        <v>6028</v>
      </c>
      <c r="H3299" s="186" t="s">
        <v>5888</v>
      </c>
      <c r="I3299" s="816" t="s">
        <v>5888</v>
      </c>
      <c r="J3299" s="811">
        <v>45282</v>
      </c>
      <c r="K3299" s="815">
        <v>0.66666666666666663</v>
      </c>
      <c r="L3299" s="811">
        <v>45282</v>
      </c>
      <c r="M3299" s="815">
        <v>0.70833333333333337</v>
      </c>
      <c r="N3299" s="187">
        <v>1</v>
      </c>
      <c r="O3299" s="188" t="s">
        <v>17</v>
      </c>
      <c r="P3299" s="197" t="s">
        <v>5807</v>
      </c>
      <c r="Q3299" s="179" t="s">
        <v>1441</v>
      </c>
      <c r="R3299" s="31" t="s">
        <v>95</v>
      </c>
      <c r="S3299" s="31" t="s">
        <v>273</v>
      </c>
      <c r="T3299" s="31" t="s">
        <v>273</v>
      </c>
      <c r="U3299" s="31">
        <f>IFERROR(VLOOKUP(CONCATENATE(Tabla1[[#This Row],[Severidad]]," ",Tabla1[[#This Row],[Complejidad]]),Catalogos!E$120:G$128,3,FALSE),"")</f>
        <v>64</v>
      </c>
      <c r="V3299" s="31" t="str">
        <f>IF(Tabla1[[#This Row],[Tiempo solución max (hrs)]]&lt;&gt;"",IF(Tabla1[[#This Row],[Tiempo solución max (hrs)]]&gt;=Tabla1[[#This Row],[Tiempo
(Hrs 00/100)]],"cumple","no cumple"),"")</f>
        <v>cumple</v>
      </c>
      <c r="W3299" s="222" t="s">
        <v>5372</v>
      </c>
      <c r="X3299" s="18" t="str">
        <f t="shared" si="236"/>
        <v>SSI</v>
      </c>
      <c r="Y3299" t="str">
        <f>SUBSTITUTE(Tabla1[[#This Row],[Descripción]],CHAR(10),"    I    ")</f>
        <v>Se verificó campo por campo del query 3 de la Funcionalidad 5, validando el tipo de dato y longitud exactos</v>
      </c>
      <c r="Z3299" s="112">
        <f>VLOOKUP(Tabla1[[#This Row],[Perfil]],Catalogos!$B$75:$D$100,3,FALSE)*Tabla1[[#This Row],[Tiempo
(Hrs 00/100)]]*1.16</f>
        <v>696</v>
      </c>
    </row>
    <row r="3300" spans="1:26" ht="30" customHeight="1" x14ac:dyDescent="0.3">
      <c r="A3300" s="187" t="s">
        <v>22</v>
      </c>
      <c r="B3300" s="187" t="s">
        <v>23</v>
      </c>
      <c r="C3300" s="187" t="s">
        <v>257</v>
      </c>
      <c r="D3300" s="187"/>
      <c r="E3300" s="187" t="s">
        <v>408</v>
      </c>
      <c r="F3300" s="187" t="s">
        <v>23</v>
      </c>
      <c r="G3300" s="702" t="s">
        <v>6029</v>
      </c>
      <c r="H3300" s="186" t="s">
        <v>5889</v>
      </c>
      <c r="I3300" s="816" t="s">
        <v>5889</v>
      </c>
      <c r="J3300" s="811">
        <v>45282</v>
      </c>
      <c r="K3300" s="815">
        <v>0.70833333333333337</v>
      </c>
      <c r="L3300" s="811">
        <v>45282</v>
      </c>
      <c r="M3300" s="815">
        <v>0.79166666666666663</v>
      </c>
      <c r="N3300" s="187">
        <v>2</v>
      </c>
      <c r="O3300" s="188" t="s">
        <v>17</v>
      </c>
      <c r="P3300" s="197" t="s">
        <v>5807</v>
      </c>
      <c r="Q3300" s="179" t="s">
        <v>1441</v>
      </c>
      <c r="R3300" s="31" t="s">
        <v>95</v>
      </c>
      <c r="S3300" s="31" t="s">
        <v>273</v>
      </c>
      <c r="T3300" s="31" t="s">
        <v>273</v>
      </c>
      <c r="U3300" s="31">
        <f>IFERROR(VLOOKUP(CONCATENATE(Tabla1[[#This Row],[Severidad]]," ",Tabla1[[#This Row],[Complejidad]]),Catalogos!E$120:G$128,3,FALSE),"")</f>
        <v>64</v>
      </c>
      <c r="V3300" s="31" t="str">
        <f>IF(Tabla1[[#This Row],[Tiempo solución max (hrs)]]&lt;&gt;"",IF(Tabla1[[#This Row],[Tiempo solución max (hrs)]]&gt;=Tabla1[[#This Row],[Tiempo
(Hrs 00/100)]],"cumple","no cumple"),"")</f>
        <v>cumple</v>
      </c>
      <c r="W3300" s="222" t="s">
        <v>5372</v>
      </c>
      <c r="X3300" s="18" t="str">
        <f t="shared" si="236"/>
        <v>SSI</v>
      </c>
      <c r="Y3300" t="str">
        <f>SUBSTITUTE(Tabla1[[#This Row],[Descripción]],CHAR(10),"    I    ")</f>
        <v>Se declararon las variables en bloque anónimo con validación exacta de tamaños de tipos de datos, del query 3 de la Funcionalidad 5</v>
      </c>
      <c r="Z3300" s="112">
        <f>VLOOKUP(Tabla1[[#This Row],[Perfil]],Catalogos!$B$75:$D$100,3,FALSE)*Tabla1[[#This Row],[Tiempo
(Hrs 00/100)]]*1.16</f>
        <v>1392</v>
      </c>
    </row>
    <row r="3301" spans="1:26" ht="30" customHeight="1" x14ac:dyDescent="0.3">
      <c r="A3301" s="187" t="s">
        <v>22</v>
      </c>
      <c r="B3301" s="187" t="s">
        <v>23</v>
      </c>
      <c r="C3301" s="187" t="s">
        <v>257</v>
      </c>
      <c r="D3301" s="187"/>
      <c r="E3301" s="187" t="s">
        <v>408</v>
      </c>
      <c r="F3301" s="187" t="s">
        <v>75</v>
      </c>
      <c r="G3301" s="702" t="s">
        <v>6030</v>
      </c>
      <c r="H3301" s="186" t="s">
        <v>5890</v>
      </c>
      <c r="I3301" s="816" t="s">
        <v>5891</v>
      </c>
      <c r="J3301" s="811">
        <v>45286</v>
      </c>
      <c r="K3301" s="815">
        <v>0.375</v>
      </c>
      <c r="L3301" s="811">
        <v>45286</v>
      </c>
      <c r="M3301" s="815">
        <v>0.4375</v>
      </c>
      <c r="N3301" s="187">
        <v>1.5</v>
      </c>
      <c r="O3301" s="188" t="s">
        <v>17</v>
      </c>
      <c r="P3301" s="197" t="s">
        <v>5807</v>
      </c>
      <c r="Q3301" s="179" t="s">
        <v>1441</v>
      </c>
      <c r="R3301" s="31" t="s">
        <v>95</v>
      </c>
      <c r="S3301" s="31" t="s">
        <v>273</v>
      </c>
      <c r="T3301" s="31" t="s">
        <v>273</v>
      </c>
      <c r="U3301" s="31">
        <f>IFERROR(VLOOKUP(CONCATENATE(Tabla1[[#This Row],[Severidad]]," ",Tabla1[[#This Row],[Complejidad]]),Catalogos!E$120:G$128,3,FALSE),"")</f>
        <v>64</v>
      </c>
      <c r="V3301" s="31" t="str">
        <f>IF(Tabla1[[#This Row],[Tiempo solución max (hrs)]]&lt;&gt;"",IF(Tabla1[[#This Row],[Tiempo solución max (hrs)]]&gt;=Tabla1[[#This Row],[Tiempo
(Hrs 00/100)]],"cumple","no cumple"),"")</f>
        <v>cumple</v>
      </c>
      <c r="W3301" s="222" t="s">
        <v>5372</v>
      </c>
      <c r="X3301" s="18" t="str">
        <f t="shared" si="236"/>
        <v>SSI</v>
      </c>
      <c r="Y3301" t="str">
        <f>SUBSTITUTE(Tabla1[[#This Row],[Descripción]],CHAR(10),"    I    ")</f>
        <v xml:space="preserve">Se validó el paquete-procedimiento de la funcionalidad 5 - Query # 3 con el bloque anónimo correcto y se tuvo un resultado exitoso con la salida del cursor completo </v>
      </c>
      <c r="Z3301" s="112">
        <f>VLOOKUP(Tabla1[[#This Row],[Perfil]],Catalogos!$B$75:$D$100,3,FALSE)*Tabla1[[#This Row],[Tiempo
(Hrs 00/100)]]*1.16</f>
        <v>1044</v>
      </c>
    </row>
    <row r="3302" spans="1:26" ht="30" customHeight="1" x14ac:dyDescent="0.3">
      <c r="A3302" s="187" t="s">
        <v>22</v>
      </c>
      <c r="B3302" s="187" t="s">
        <v>65</v>
      </c>
      <c r="C3302" s="187" t="s">
        <v>257</v>
      </c>
      <c r="D3302" s="187"/>
      <c r="E3302" s="187" t="s">
        <v>408</v>
      </c>
      <c r="F3302" s="187" t="s">
        <v>76</v>
      </c>
      <c r="G3302" s="702" t="s">
        <v>6031</v>
      </c>
      <c r="H3302" s="186" t="s">
        <v>5892</v>
      </c>
      <c r="I3302" s="816" t="s">
        <v>5893</v>
      </c>
      <c r="J3302" s="811">
        <v>45286</v>
      </c>
      <c r="K3302" s="815">
        <v>0.4375</v>
      </c>
      <c r="L3302" s="811">
        <v>45286</v>
      </c>
      <c r="M3302" s="815">
        <v>0.47916666666666669</v>
      </c>
      <c r="N3302" s="187">
        <v>1</v>
      </c>
      <c r="O3302" s="188" t="s">
        <v>17</v>
      </c>
      <c r="P3302" s="197" t="s">
        <v>5807</v>
      </c>
      <c r="Q3302" s="179" t="s">
        <v>1441</v>
      </c>
      <c r="R3302" s="31" t="s">
        <v>95</v>
      </c>
      <c r="S3302" s="31" t="s">
        <v>273</v>
      </c>
      <c r="T3302" s="31" t="s">
        <v>273</v>
      </c>
      <c r="U3302" s="31">
        <f>IFERROR(VLOOKUP(CONCATENATE(Tabla1[[#This Row],[Severidad]]," ",Tabla1[[#This Row],[Complejidad]]),Catalogos!E$120:G$128,3,FALSE),"")</f>
        <v>64</v>
      </c>
      <c r="V3302" s="31" t="str">
        <f>IF(Tabla1[[#This Row],[Tiempo solución max (hrs)]]&lt;&gt;"",IF(Tabla1[[#This Row],[Tiempo solución max (hrs)]]&gt;=Tabla1[[#This Row],[Tiempo
(Hrs 00/100)]],"cumple","no cumple"),"")</f>
        <v>cumple</v>
      </c>
      <c r="W3302" s="222" t="s">
        <v>5372</v>
      </c>
      <c r="X3302" s="18" t="str">
        <f t="shared" si="236"/>
        <v>SSI</v>
      </c>
      <c r="Y3302" t="str">
        <f>SUBSTITUTE(Tabla1[[#This Row],[Descripción]],CHAR(10),"    I    ")</f>
        <v>Se actualizó el documento 'Querys_Estadisiticas_Totales_Nuevo' con los comentarios sobre el Query 3 de la Funcionalidad 5</v>
      </c>
      <c r="Z3302" s="112">
        <f>VLOOKUP(Tabla1[[#This Row],[Perfil]],Catalogos!$B$75:$D$100,3,FALSE)*Tabla1[[#This Row],[Tiempo
(Hrs 00/100)]]*1.16</f>
        <v>696</v>
      </c>
    </row>
    <row r="3303" spans="1:26" ht="30" customHeight="1" x14ac:dyDescent="0.3">
      <c r="A3303" s="187" t="s">
        <v>22</v>
      </c>
      <c r="B3303" s="187" t="s">
        <v>305</v>
      </c>
      <c r="C3303" s="187" t="s">
        <v>257</v>
      </c>
      <c r="D3303" s="187"/>
      <c r="E3303" s="187" t="s">
        <v>408</v>
      </c>
      <c r="F3303" s="187" t="s">
        <v>72</v>
      </c>
      <c r="G3303" s="702" t="s">
        <v>6032</v>
      </c>
      <c r="H3303" s="186" t="s">
        <v>5894</v>
      </c>
      <c r="I3303" s="816" t="s">
        <v>5895</v>
      </c>
      <c r="J3303" s="811">
        <v>45286</v>
      </c>
      <c r="K3303" s="815">
        <v>0.47916666666666669</v>
      </c>
      <c r="L3303" s="811">
        <v>45286</v>
      </c>
      <c r="M3303" s="815">
        <v>0.54166666666666663</v>
      </c>
      <c r="N3303" s="187">
        <v>1.5</v>
      </c>
      <c r="O3303" s="188" t="s">
        <v>17</v>
      </c>
      <c r="P3303" s="197" t="s">
        <v>5807</v>
      </c>
      <c r="Q3303" s="179" t="s">
        <v>1441</v>
      </c>
      <c r="R3303" s="31" t="s">
        <v>95</v>
      </c>
      <c r="S3303" s="31" t="s">
        <v>273</v>
      </c>
      <c r="T3303" s="31" t="s">
        <v>273</v>
      </c>
      <c r="U3303" s="31">
        <f>IFERROR(VLOOKUP(CONCATENATE(Tabla1[[#This Row],[Severidad]]," ",Tabla1[[#This Row],[Complejidad]]),Catalogos!E$120:G$128,3,FALSE),"")</f>
        <v>64</v>
      </c>
      <c r="V3303" s="31" t="str">
        <f>IF(Tabla1[[#This Row],[Tiempo solución max (hrs)]]&lt;&gt;"",IF(Tabla1[[#This Row],[Tiempo solución max (hrs)]]&gt;=Tabla1[[#This Row],[Tiempo
(Hrs 00/100)]],"cumple","no cumple"),"")</f>
        <v>cumple</v>
      </c>
      <c r="W3303" s="222" t="s">
        <v>5372</v>
      </c>
      <c r="X3303" s="18" t="str">
        <f t="shared" si="236"/>
        <v>SSI</v>
      </c>
      <c r="Y3303" t="str">
        <f>SUBSTITUTE(Tabla1[[#This Row],[Descripción]],CHAR(10),"    I    ")</f>
        <v>Se revisó el Query #1 del archivo IEDEPNT para la Funcionalidad 6 'TOTAL TEMAS BIG DATA DE LOS REGISTROS DE SOLICITUDES', se hicieron las primeras ejecuciones con los parámetros para entender su funcionamiento</v>
      </c>
      <c r="Z3303" s="112">
        <f>VLOOKUP(Tabla1[[#This Row],[Perfil]],Catalogos!$B$75:$D$100,3,FALSE)*Tabla1[[#This Row],[Tiempo
(Hrs 00/100)]]*1.16</f>
        <v>1044</v>
      </c>
    </row>
    <row r="3304" spans="1:26" ht="30" customHeight="1" x14ac:dyDescent="0.3">
      <c r="A3304" s="187" t="s">
        <v>22</v>
      </c>
      <c r="B3304" s="187" t="s">
        <v>23</v>
      </c>
      <c r="C3304" s="187" t="s">
        <v>257</v>
      </c>
      <c r="D3304" s="187"/>
      <c r="E3304" s="187" t="s">
        <v>408</v>
      </c>
      <c r="F3304" s="187" t="s">
        <v>23</v>
      </c>
      <c r="G3304" s="702" t="s">
        <v>6033</v>
      </c>
      <c r="H3304" s="186" t="s">
        <v>5896</v>
      </c>
      <c r="I3304" s="816" t="s">
        <v>5897</v>
      </c>
      <c r="J3304" s="811">
        <v>45286</v>
      </c>
      <c r="K3304" s="815">
        <v>0.54166666666666663</v>
      </c>
      <c r="L3304" s="811">
        <v>45286</v>
      </c>
      <c r="M3304" s="815">
        <v>0.60416666666666663</v>
      </c>
      <c r="N3304" s="187">
        <v>2</v>
      </c>
      <c r="O3304" s="188" t="s">
        <v>17</v>
      </c>
      <c r="P3304" s="197" t="s">
        <v>5807</v>
      </c>
      <c r="Q3304" s="179" t="s">
        <v>1441</v>
      </c>
      <c r="R3304" s="31" t="s">
        <v>95</v>
      </c>
      <c r="S3304" s="31" t="s">
        <v>273</v>
      </c>
      <c r="T3304" s="31" t="s">
        <v>273</v>
      </c>
      <c r="U3304" s="31">
        <f>IFERROR(VLOOKUP(CONCATENATE(Tabla1[[#This Row],[Severidad]]," ",Tabla1[[#This Row],[Complejidad]]),Catalogos!E$120:G$128,3,FALSE),"")</f>
        <v>64</v>
      </c>
      <c r="V3304" s="31" t="str">
        <f>IF(Tabla1[[#This Row],[Tiempo solución max (hrs)]]&lt;&gt;"",IF(Tabla1[[#This Row],[Tiempo solución max (hrs)]]&gt;=Tabla1[[#This Row],[Tiempo
(Hrs 00/100)]],"cumple","no cumple"),"")</f>
        <v>cumple</v>
      </c>
      <c r="W3304" s="222" t="s">
        <v>5372</v>
      </c>
      <c r="X3304" s="18" t="str">
        <f t="shared" si="236"/>
        <v>SSI</v>
      </c>
      <c r="Y3304" t="str">
        <f>SUBSTITUTE(Tabla1[[#This Row],[Descripción]],CHAR(10),"    I    ")</f>
        <v>Se optimizó el Query #1 del archivo IEDEPNT (Funcionalidad 6) para tener una versión mejorada en tiempo de respuesta y costo</v>
      </c>
      <c r="Z3304" s="112">
        <f>VLOOKUP(Tabla1[[#This Row],[Perfil]],Catalogos!$B$75:$D$100,3,FALSE)*Tabla1[[#This Row],[Tiempo
(Hrs 00/100)]]*1.16</f>
        <v>1392</v>
      </c>
    </row>
    <row r="3305" spans="1:26" ht="30" customHeight="1" x14ac:dyDescent="0.3">
      <c r="A3305" s="187" t="s">
        <v>22</v>
      </c>
      <c r="B3305" s="187" t="s">
        <v>23</v>
      </c>
      <c r="C3305" s="187" t="s">
        <v>257</v>
      </c>
      <c r="D3305" s="187"/>
      <c r="E3305" s="187" t="s">
        <v>408</v>
      </c>
      <c r="F3305" s="187" t="s">
        <v>23</v>
      </c>
      <c r="G3305" s="702" t="s">
        <v>6034</v>
      </c>
      <c r="H3305" s="186" t="s">
        <v>5898</v>
      </c>
      <c r="I3305" s="816" t="s">
        <v>5899</v>
      </c>
      <c r="J3305" s="811">
        <v>45286</v>
      </c>
      <c r="K3305" s="815">
        <v>0.66666666666666663</v>
      </c>
      <c r="L3305" s="811">
        <v>45286</v>
      </c>
      <c r="M3305" s="815">
        <v>0.72916666666666663</v>
      </c>
      <c r="N3305" s="187">
        <v>1.5</v>
      </c>
      <c r="O3305" s="188" t="s">
        <v>17</v>
      </c>
      <c r="P3305" s="197" t="s">
        <v>5807</v>
      </c>
      <c r="Q3305" s="179" t="s">
        <v>1441</v>
      </c>
      <c r="R3305" s="31" t="s">
        <v>95</v>
      </c>
      <c r="S3305" s="31" t="s">
        <v>273</v>
      </c>
      <c r="T3305" s="31" t="s">
        <v>273</v>
      </c>
      <c r="U3305" s="31">
        <f>IFERROR(VLOOKUP(CONCATENATE(Tabla1[[#This Row],[Severidad]]," ",Tabla1[[#This Row],[Complejidad]]),Catalogos!E$120:G$128,3,FALSE),"")</f>
        <v>64</v>
      </c>
      <c r="V3305" s="31" t="str">
        <f>IF(Tabla1[[#This Row],[Tiempo solución max (hrs)]]&lt;&gt;"",IF(Tabla1[[#This Row],[Tiempo solución max (hrs)]]&gt;=Tabla1[[#This Row],[Tiempo
(Hrs 00/100)]],"cumple","no cumple"),"")</f>
        <v>cumple</v>
      </c>
      <c r="W3305" s="222" t="s">
        <v>5372</v>
      </c>
      <c r="X3305" s="18" t="str">
        <f t="shared" si="236"/>
        <v>SSI</v>
      </c>
      <c r="Y3305" t="str">
        <f>SUBSTITUTE(Tabla1[[#This Row],[Descripción]],CHAR(10),"    I    ")</f>
        <v>Se creó el nuevo procedimiento 'FUNC6_TOTTEMBIGDATAREGSOLQ1' en el paquete 'PACK_SISAI3', con la funcionalidad del Query #1</v>
      </c>
      <c r="Z3305" s="112">
        <f>VLOOKUP(Tabla1[[#This Row],[Perfil]],Catalogos!$B$75:$D$100,3,FALSE)*Tabla1[[#This Row],[Tiempo
(Hrs 00/100)]]*1.16</f>
        <v>1044</v>
      </c>
    </row>
    <row r="3306" spans="1:26" ht="30" customHeight="1" x14ac:dyDescent="0.3">
      <c r="A3306" s="187" t="s">
        <v>22</v>
      </c>
      <c r="B3306" s="187" t="s">
        <v>23</v>
      </c>
      <c r="C3306" s="187" t="s">
        <v>257</v>
      </c>
      <c r="D3306" s="187"/>
      <c r="E3306" s="187" t="s">
        <v>408</v>
      </c>
      <c r="F3306" s="187" t="s">
        <v>23</v>
      </c>
      <c r="G3306" s="702" t="s">
        <v>6035</v>
      </c>
      <c r="H3306" s="186" t="s">
        <v>2978</v>
      </c>
      <c r="I3306" s="816" t="s">
        <v>2978</v>
      </c>
      <c r="J3306" s="811">
        <v>45286</v>
      </c>
      <c r="K3306" s="815">
        <v>0.72916666666666663</v>
      </c>
      <c r="L3306" s="811">
        <v>45286</v>
      </c>
      <c r="M3306" s="815">
        <v>0.79166666666666663</v>
      </c>
      <c r="N3306" s="187">
        <v>1.5</v>
      </c>
      <c r="O3306" s="188" t="s">
        <v>17</v>
      </c>
      <c r="P3306" s="197" t="s">
        <v>5807</v>
      </c>
      <c r="Q3306" s="179" t="s">
        <v>1441</v>
      </c>
      <c r="R3306" s="31" t="s">
        <v>95</v>
      </c>
      <c r="S3306" s="31" t="s">
        <v>273</v>
      </c>
      <c r="T3306" s="31" t="s">
        <v>273</v>
      </c>
      <c r="U3306" s="31">
        <f>IFERROR(VLOOKUP(CONCATENATE(Tabla1[[#This Row],[Severidad]]," ",Tabla1[[#This Row],[Complejidad]]),Catalogos!E$120:G$128,3,FALSE),"")</f>
        <v>64</v>
      </c>
      <c r="V3306" s="31" t="str">
        <f>IF(Tabla1[[#This Row],[Tiempo solución max (hrs)]]&lt;&gt;"",IF(Tabla1[[#This Row],[Tiempo solución max (hrs)]]&gt;=Tabla1[[#This Row],[Tiempo
(Hrs 00/100)]],"cumple","no cumple"),"")</f>
        <v>cumple</v>
      </c>
      <c r="W3306" s="222" t="s">
        <v>5372</v>
      </c>
      <c r="X3306" s="18" t="str">
        <f t="shared" si="236"/>
        <v>SSI</v>
      </c>
      <c r="Y3306" t="str">
        <f>SUBSTITUTE(Tabla1[[#This Row],[Descripción]],CHAR(10),"    I    ")</f>
        <v>Se verificó campo por campo del query 1 de la Funcionalidad 6, validando el tipo de dato y longitud exactos</v>
      </c>
      <c r="Z3306" s="112">
        <f>VLOOKUP(Tabla1[[#This Row],[Perfil]],Catalogos!$B$75:$D$100,3,FALSE)*Tabla1[[#This Row],[Tiempo
(Hrs 00/100)]]*1.16</f>
        <v>1044</v>
      </c>
    </row>
    <row r="3307" spans="1:26" ht="30" customHeight="1" x14ac:dyDescent="0.3">
      <c r="A3307" s="187" t="s">
        <v>22</v>
      </c>
      <c r="B3307" s="187" t="s">
        <v>23</v>
      </c>
      <c r="C3307" s="187" t="s">
        <v>257</v>
      </c>
      <c r="D3307" s="187"/>
      <c r="E3307" s="187" t="s">
        <v>408</v>
      </c>
      <c r="F3307" s="187" t="s">
        <v>23</v>
      </c>
      <c r="G3307" s="702" t="s">
        <v>6036</v>
      </c>
      <c r="H3307" s="186" t="s">
        <v>2979</v>
      </c>
      <c r="I3307" s="816" t="s">
        <v>2979</v>
      </c>
      <c r="J3307" s="811">
        <v>45287</v>
      </c>
      <c r="K3307" s="815">
        <v>0.375</v>
      </c>
      <c r="L3307" s="811">
        <v>45287</v>
      </c>
      <c r="M3307" s="815">
        <v>0.4375</v>
      </c>
      <c r="N3307" s="187">
        <v>1.5</v>
      </c>
      <c r="O3307" s="188" t="s">
        <v>17</v>
      </c>
      <c r="P3307" s="197" t="s">
        <v>5807</v>
      </c>
      <c r="Q3307" s="179" t="s">
        <v>1441</v>
      </c>
      <c r="R3307" s="31" t="s">
        <v>95</v>
      </c>
      <c r="S3307" s="31" t="s">
        <v>273</v>
      </c>
      <c r="T3307" s="31" t="s">
        <v>273</v>
      </c>
      <c r="U3307" s="31">
        <f>IFERROR(VLOOKUP(CONCATENATE(Tabla1[[#This Row],[Severidad]]," ",Tabla1[[#This Row],[Complejidad]]),Catalogos!E$120:G$128,3,FALSE),"")</f>
        <v>64</v>
      </c>
      <c r="V3307" s="31" t="str">
        <f>IF(Tabla1[[#This Row],[Tiempo solución max (hrs)]]&lt;&gt;"",IF(Tabla1[[#This Row],[Tiempo solución max (hrs)]]&gt;=Tabla1[[#This Row],[Tiempo
(Hrs 00/100)]],"cumple","no cumple"),"")</f>
        <v>cumple</v>
      </c>
      <c r="W3307" s="222" t="s">
        <v>5372</v>
      </c>
      <c r="X3307" s="18" t="str">
        <f t="shared" si="236"/>
        <v>SSI</v>
      </c>
      <c r="Y3307" t="str">
        <f>SUBSTITUTE(Tabla1[[#This Row],[Descripción]],CHAR(10),"    I    ")</f>
        <v>Se declararon las variables en bloque anónimo con validación exacta de tamaños de tipos de datos, del query 1 de la Funcionalidad 6</v>
      </c>
      <c r="Z3307" s="112">
        <f>VLOOKUP(Tabla1[[#This Row],[Perfil]],Catalogos!$B$75:$D$100,3,FALSE)*Tabla1[[#This Row],[Tiempo
(Hrs 00/100)]]*1.16</f>
        <v>1044</v>
      </c>
    </row>
    <row r="3308" spans="1:26" ht="30" customHeight="1" x14ac:dyDescent="0.3">
      <c r="A3308" s="187" t="s">
        <v>22</v>
      </c>
      <c r="B3308" s="187" t="s">
        <v>23</v>
      </c>
      <c r="C3308" s="187" t="s">
        <v>257</v>
      </c>
      <c r="D3308" s="187"/>
      <c r="E3308" s="187" t="s">
        <v>408</v>
      </c>
      <c r="F3308" s="187" t="s">
        <v>75</v>
      </c>
      <c r="G3308" s="702" t="s">
        <v>6037</v>
      </c>
      <c r="H3308" s="186" t="s">
        <v>2980</v>
      </c>
      <c r="I3308" s="816" t="s">
        <v>2981</v>
      </c>
      <c r="J3308" s="811">
        <v>45287</v>
      </c>
      <c r="K3308" s="815">
        <v>0.4375</v>
      </c>
      <c r="L3308" s="811">
        <v>45287</v>
      </c>
      <c r="M3308" s="815">
        <v>0.5</v>
      </c>
      <c r="N3308" s="187">
        <v>1.5</v>
      </c>
      <c r="O3308" s="188" t="s">
        <v>17</v>
      </c>
      <c r="P3308" s="197" t="s">
        <v>5807</v>
      </c>
      <c r="Q3308" s="179" t="s">
        <v>1441</v>
      </c>
      <c r="R3308" s="31" t="s">
        <v>95</v>
      </c>
      <c r="S3308" s="31" t="s">
        <v>273</v>
      </c>
      <c r="T3308" s="31" t="s">
        <v>273</v>
      </c>
      <c r="U3308" s="31">
        <f>IFERROR(VLOOKUP(CONCATENATE(Tabla1[[#This Row],[Severidad]]," ",Tabla1[[#This Row],[Complejidad]]),Catalogos!E$120:G$128,3,FALSE),"")</f>
        <v>64</v>
      </c>
      <c r="V3308" s="31" t="str">
        <f>IF(Tabla1[[#This Row],[Tiempo solución max (hrs)]]&lt;&gt;"",IF(Tabla1[[#This Row],[Tiempo solución max (hrs)]]&gt;=Tabla1[[#This Row],[Tiempo
(Hrs 00/100)]],"cumple","no cumple"),"")</f>
        <v>cumple</v>
      </c>
      <c r="W3308" s="222" t="s">
        <v>5372</v>
      </c>
      <c r="X3308" s="18" t="str">
        <f t="shared" si="236"/>
        <v>SSI</v>
      </c>
      <c r="Y3308" t="str">
        <f>SUBSTITUTE(Tabla1[[#This Row],[Descripción]],CHAR(10),"    I    ")</f>
        <v xml:space="preserve">Se validó el paquete-procedimiento de la funcionalidad 6 - Query # 1 con el bloque anónimo correcto y se tuvo un resultado exitoso con la salida del cursor completo </v>
      </c>
      <c r="Z3308" s="112">
        <f>VLOOKUP(Tabla1[[#This Row],[Perfil]],Catalogos!$B$75:$D$100,3,FALSE)*Tabla1[[#This Row],[Tiempo
(Hrs 00/100)]]*1.16</f>
        <v>1044</v>
      </c>
    </row>
    <row r="3309" spans="1:26" ht="30" customHeight="1" x14ac:dyDescent="0.3">
      <c r="A3309" s="187" t="s">
        <v>22</v>
      </c>
      <c r="B3309" s="187" t="s">
        <v>65</v>
      </c>
      <c r="C3309" s="187" t="s">
        <v>257</v>
      </c>
      <c r="D3309" s="187"/>
      <c r="E3309" s="187" t="s">
        <v>408</v>
      </c>
      <c r="F3309" s="187" t="s">
        <v>76</v>
      </c>
      <c r="G3309" s="702" t="s">
        <v>6038</v>
      </c>
      <c r="H3309" s="186" t="s">
        <v>5900</v>
      </c>
      <c r="I3309" s="816" t="s">
        <v>5901</v>
      </c>
      <c r="J3309" s="811">
        <v>45287</v>
      </c>
      <c r="K3309" s="815">
        <v>0.5</v>
      </c>
      <c r="L3309" s="811">
        <v>45287</v>
      </c>
      <c r="M3309" s="815">
        <v>0.54166666666666663</v>
      </c>
      <c r="N3309" s="187">
        <v>1</v>
      </c>
      <c r="O3309" s="188" t="s">
        <v>17</v>
      </c>
      <c r="P3309" s="197" t="s">
        <v>5807</v>
      </c>
      <c r="Q3309" s="179" t="s">
        <v>1441</v>
      </c>
      <c r="R3309" s="31" t="s">
        <v>95</v>
      </c>
      <c r="S3309" s="31" t="s">
        <v>273</v>
      </c>
      <c r="T3309" s="31" t="s">
        <v>273</v>
      </c>
      <c r="U3309" s="31">
        <f>IFERROR(VLOOKUP(CONCATENATE(Tabla1[[#This Row],[Severidad]]," ",Tabla1[[#This Row],[Complejidad]]),Catalogos!E$120:G$128,3,FALSE),"")</f>
        <v>64</v>
      </c>
      <c r="V3309" s="31" t="str">
        <f>IF(Tabla1[[#This Row],[Tiempo solución max (hrs)]]&lt;&gt;"",IF(Tabla1[[#This Row],[Tiempo solución max (hrs)]]&gt;=Tabla1[[#This Row],[Tiempo
(Hrs 00/100)]],"cumple","no cumple"),"")</f>
        <v>cumple</v>
      </c>
      <c r="W3309" s="222" t="s">
        <v>5372</v>
      </c>
      <c r="X3309" s="18" t="str">
        <f t="shared" si="236"/>
        <v>SSI</v>
      </c>
      <c r="Y3309" t="str">
        <f>SUBSTITUTE(Tabla1[[#This Row],[Descripción]],CHAR(10),"    I    ")</f>
        <v>Se actualizó el documento 'Querys_Estadisiticas_Totales_Nuevo' con los comentarios sobre el Query 1 de la Funcionalidad 6</v>
      </c>
      <c r="Z3309" s="112">
        <f>VLOOKUP(Tabla1[[#This Row],[Perfil]],Catalogos!$B$75:$D$100,3,FALSE)*Tabla1[[#This Row],[Tiempo
(Hrs 00/100)]]*1.16</f>
        <v>696</v>
      </c>
    </row>
    <row r="3310" spans="1:26" ht="30" customHeight="1" x14ac:dyDescent="0.3">
      <c r="A3310" s="187" t="s">
        <v>22</v>
      </c>
      <c r="B3310" s="187" t="s">
        <v>305</v>
      </c>
      <c r="C3310" s="187" t="s">
        <v>257</v>
      </c>
      <c r="D3310" s="187"/>
      <c r="E3310" s="187" t="s">
        <v>408</v>
      </c>
      <c r="F3310" s="187" t="s">
        <v>72</v>
      </c>
      <c r="G3310" s="702" t="s">
        <v>6039</v>
      </c>
      <c r="H3310" s="186" t="s">
        <v>5902</v>
      </c>
      <c r="I3310" s="816" t="s">
        <v>5903</v>
      </c>
      <c r="J3310" s="811">
        <v>45287</v>
      </c>
      <c r="K3310" s="815">
        <v>0.54166666666666663</v>
      </c>
      <c r="L3310" s="811">
        <v>45287</v>
      </c>
      <c r="M3310" s="815">
        <v>0.60416666666666663</v>
      </c>
      <c r="N3310" s="187">
        <v>1.5</v>
      </c>
      <c r="O3310" s="188" t="s">
        <v>17</v>
      </c>
      <c r="P3310" s="197" t="s">
        <v>5807</v>
      </c>
      <c r="Q3310" s="179" t="s">
        <v>1441</v>
      </c>
      <c r="R3310" s="31" t="s">
        <v>95</v>
      </c>
      <c r="S3310" s="31" t="s">
        <v>273</v>
      </c>
      <c r="T3310" s="31" t="s">
        <v>273</v>
      </c>
      <c r="U3310" s="31">
        <f>IFERROR(VLOOKUP(CONCATENATE(Tabla1[[#This Row],[Severidad]]," ",Tabla1[[#This Row],[Complejidad]]),Catalogos!E$120:G$128,3,FALSE),"")</f>
        <v>64</v>
      </c>
      <c r="V3310" s="31" t="str">
        <f>IF(Tabla1[[#This Row],[Tiempo solución max (hrs)]]&lt;&gt;"",IF(Tabla1[[#This Row],[Tiempo solución max (hrs)]]&gt;=Tabla1[[#This Row],[Tiempo
(Hrs 00/100)]],"cumple","no cumple"),"")</f>
        <v>cumple</v>
      </c>
      <c r="W3310" s="222" t="s">
        <v>5372</v>
      </c>
      <c r="X3310" s="18" t="str">
        <f t="shared" si="236"/>
        <v>SSI</v>
      </c>
      <c r="Y3310" t="str">
        <f>SUBSTITUTE(Tabla1[[#This Row],[Descripción]],CHAR(10),"    I    ")</f>
        <v>Se revisó el Query #1 del archivo IEDEPNT para la Funcionalidad 7 'TEMAS BIG DATA', se hicieron las primeras ejecuciones con los parámetros para entender su funcionamiento</v>
      </c>
      <c r="Z3310" s="112">
        <f>VLOOKUP(Tabla1[[#This Row],[Perfil]],Catalogos!$B$75:$D$100,3,FALSE)*Tabla1[[#This Row],[Tiempo
(Hrs 00/100)]]*1.16</f>
        <v>1044</v>
      </c>
    </row>
    <row r="3311" spans="1:26" ht="30" customHeight="1" x14ac:dyDescent="0.3">
      <c r="A3311" s="187" t="s">
        <v>22</v>
      </c>
      <c r="B3311" s="187" t="s">
        <v>23</v>
      </c>
      <c r="C3311" s="187" t="s">
        <v>257</v>
      </c>
      <c r="D3311" s="187"/>
      <c r="E3311" s="187" t="s">
        <v>408</v>
      </c>
      <c r="F3311" s="187" t="s">
        <v>23</v>
      </c>
      <c r="G3311" s="702" t="s">
        <v>6040</v>
      </c>
      <c r="H3311" s="186" t="s">
        <v>5904</v>
      </c>
      <c r="I3311" s="816" t="s">
        <v>5905</v>
      </c>
      <c r="J3311" s="811">
        <v>45287</v>
      </c>
      <c r="K3311" s="815">
        <v>0.66666666666666663</v>
      </c>
      <c r="L3311" s="811">
        <v>45287</v>
      </c>
      <c r="M3311" s="815">
        <v>0.70833333333333337</v>
      </c>
      <c r="N3311" s="187">
        <v>1</v>
      </c>
      <c r="O3311" s="188" t="s">
        <v>17</v>
      </c>
      <c r="P3311" s="197" t="s">
        <v>5807</v>
      </c>
      <c r="Q3311" s="179" t="s">
        <v>1441</v>
      </c>
      <c r="R3311" s="31" t="s">
        <v>95</v>
      </c>
      <c r="S3311" s="31" t="s">
        <v>273</v>
      </c>
      <c r="T3311" s="31" t="s">
        <v>273</v>
      </c>
      <c r="U3311" s="31">
        <f>IFERROR(VLOOKUP(CONCATENATE(Tabla1[[#This Row],[Severidad]]," ",Tabla1[[#This Row],[Complejidad]]),Catalogos!E$120:G$128,3,FALSE),"")</f>
        <v>64</v>
      </c>
      <c r="V3311" s="31" t="str">
        <f>IF(Tabla1[[#This Row],[Tiempo solución max (hrs)]]&lt;&gt;"",IF(Tabla1[[#This Row],[Tiempo solución max (hrs)]]&gt;=Tabla1[[#This Row],[Tiempo
(Hrs 00/100)]],"cumple","no cumple"),"")</f>
        <v>cumple</v>
      </c>
      <c r="W3311" s="222" t="s">
        <v>5372</v>
      </c>
      <c r="X3311" s="18" t="str">
        <f t="shared" si="236"/>
        <v>SSI</v>
      </c>
      <c r="Y3311" t="str">
        <f>SUBSTITUTE(Tabla1[[#This Row],[Descripción]],CHAR(10),"    I    ")</f>
        <v>Se optimizó el Query #1 del archivo IEDEPNT (Funcionalidad 7) para tener una versión mejorada en tiempo de respuesta y costo</v>
      </c>
      <c r="Z3311" s="112">
        <f>VLOOKUP(Tabla1[[#This Row],[Perfil]],Catalogos!$B$75:$D$100,3,FALSE)*Tabla1[[#This Row],[Tiempo
(Hrs 00/100)]]*1.16</f>
        <v>696</v>
      </c>
    </row>
    <row r="3312" spans="1:26" ht="30" customHeight="1" x14ac:dyDescent="0.3">
      <c r="A3312" s="187" t="s">
        <v>22</v>
      </c>
      <c r="B3312" s="187" t="s">
        <v>23</v>
      </c>
      <c r="C3312" s="187" t="s">
        <v>257</v>
      </c>
      <c r="D3312" s="187"/>
      <c r="E3312" s="187" t="s">
        <v>408</v>
      </c>
      <c r="F3312" s="187" t="s">
        <v>23</v>
      </c>
      <c r="G3312" s="702" t="s">
        <v>6041</v>
      </c>
      <c r="H3312" s="186" t="s">
        <v>5906</v>
      </c>
      <c r="I3312" s="816" t="s">
        <v>5907</v>
      </c>
      <c r="J3312" s="811">
        <v>45287</v>
      </c>
      <c r="K3312" s="815">
        <v>0.70833333333333337</v>
      </c>
      <c r="L3312" s="811">
        <v>45287</v>
      </c>
      <c r="M3312" s="815">
        <v>0.8125</v>
      </c>
      <c r="N3312" s="187">
        <v>2.5</v>
      </c>
      <c r="O3312" s="188" t="s">
        <v>17</v>
      </c>
      <c r="P3312" s="197" t="s">
        <v>5807</v>
      </c>
      <c r="Q3312" s="179" t="s">
        <v>1441</v>
      </c>
      <c r="R3312" s="31" t="s">
        <v>95</v>
      </c>
      <c r="S3312" s="31" t="s">
        <v>273</v>
      </c>
      <c r="T3312" s="31" t="s">
        <v>273</v>
      </c>
      <c r="U3312" s="31">
        <f>IFERROR(VLOOKUP(CONCATENATE(Tabla1[[#This Row],[Severidad]]," ",Tabla1[[#This Row],[Complejidad]]),Catalogos!E$120:G$128,3,FALSE),"")</f>
        <v>64</v>
      </c>
      <c r="V3312" s="31" t="str">
        <f>IF(Tabla1[[#This Row],[Tiempo solución max (hrs)]]&lt;&gt;"",IF(Tabla1[[#This Row],[Tiempo solución max (hrs)]]&gt;=Tabla1[[#This Row],[Tiempo
(Hrs 00/100)]],"cumple","no cumple"),"")</f>
        <v>cumple</v>
      </c>
      <c r="W3312" s="222" t="s">
        <v>5372</v>
      </c>
      <c r="X3312" s="18" t="str">
        <f t="shared" si="236"/>
        <v>SSI</v>
      </c>
      <c r="Y3312" t="str">
        <f>SUBSTITUTE(Tabla1[[#This Row],[Descripción]],CHAR(10),"    I    ")</f>
        <v>Se creó el nuevo procedimiento 'FUNC7_TEMBIGDATAQ1' en el paquete 'PACK_SISAI3', con la funcionalidad del Query #1</v>
      </c>
      <c r="Z3312" s="112">
        <f>VLOOKUP(Tabla1[[#This Row],[Perfil]],Catalogos!$B$75:$D$100,3,FALSE)*Tabla1[[#This Row],[Tiempo
(Hrs 00/100)]]*1.16</f>
        <v>1739.9999999999998</v>
      </c>
    </row>
    <row r="3313" spans="1:27" ht="30" customHeight="1" x14ac:dyDescent="0.3">
      <c r="A3313" s="187" t="s">
        <v>22</v>
      </c>
      <c r="B3313" s="187" t="s">
        <v>23</v>
      </c>
      <c r="C3313" s="187" t="s">
        <v>257</v>
      </c>
      <c r="D3313" s="187"/>
      <c r="E3313" s="187" t="s">
        <v>408</v>
      </c>
      <c r="F3313" s="187" t="s">
        <v>23</v>
      </c>
      <c r="G3313" s="702" t="s">
        <v>6042</v>
      </c>
      <c r="H3313" s="186" t="s">
        <v>2990</v>
      </c>
      <c r="I3313" s="816" t="s">
        <v>2990</v>
      </c>
      <c r="J3313" s="811">
        <v>45288</v>
      </c>
      <c r="K3313" s="815">
        <v>0.375</v>
      </c>
      <c r="L3313" s="811">
        <v>45288</v>
      </c>
      <c r="M3313" s="815">
        <v>0.4375</v>
      </c>
      <c r="N3313" s="187">
        <v>1.5</v>
      </c>
      <c r="O3313" s="188" t="s">
        <v>17</v>
      </c>
      <c r="P3313" s="197" t="s">
        <v>5807</v>
      </c>
      <c r="Q3313" s="179" t="s">
        <v>1441</v>
      </c>
      <c r="R3313" s="31" t="s">
        <v>95</v>
      </c>
      <c r="S3313" s="31" t="s">
        <v>273</v>
      </c>
      <c r="T3313" s="31" t="s">
        <v>273</v>
      </c>
      <c r="U3313" s="31">
        <f>IFERROR(VLOOKUP(CONCATENATE(Tabla1[[#This Row],[Severidad]]," ",Tabla1[[#This Row],[Complejidad]]),Catalogos!E$120:G$128,3,FALSE),"")</f>
        <v>64</v>
      </c>
      <c r="V3313" s="31" t="str">
        <f>IF(Tabla1[[#This Row],[Tiempo solución max (hrs)]]&lt;&gt;"",IF(Tabla1[[#This Row],[Tiempo solución max (hrs)]]&gt;=Tabla1[[#This Row],[Tiempo
(Hrs 00/100)]],"cumple","no cumple"),"")</f>
        <v>cumple</v>
      </c>
      <c r="W3313" s="222" t="s">
        <v>5372</v>
      </c>
      <c r="X3313" s="18" t="str">
        <f t="shared" si="236"/>
        <v>SSI</v>
      </c>
      <c r="Y3313" t="str">
        <f>SUBSTITUTE(Tabla1[[#This Row],[Descripción]],CHAR(10),"    I    ")</f>
        <v>Se verificó campo por campo del query 1 de la Funcionalidad 7, validando el tipo de dato y longitud exactos</v>
      </c>
      <c r="Z3313" s="112">
        <f>VLOOKUP(Tabla1[[#This Row],[Perfil]],Catalogos!$B$75:$D$100,3,FALSE)*Tabla1[[#This Row],[Tiempo
(Hrs 00/100)]]*1.16</f>
        <v>1044</v>
      </c>
    </row>
    <row r="3314" spans="1:27" ht="30" customHeight="1" x14ac:dyDescent="0.3">
      <c r="A3314" s="187" t="s">
        <v>22</v>
      </c>
      <c r="B3314" s="187" t="s">
        <v>23</v>
      </c>
      <c r="C3314" s="187" t="s">
        <v>257</v>
      </c>
      <c r="D3314" s="187"/>
      <c r="E3314" s="187" t="s">
        <v>408</v>
      </c>
      <c r="F3314" s="187" t="s">
        <v>23</v>
      </c>
      <c r="G3314" s="702" t="s">
        <v>6043</v>
      </c>
      <c r="H3314" s="186" t="s">
        <v>2991</v>
      </c>
      <c r="I3314" s="816" t="s">
        <v>2991</v>
      </c>
      <c r="J3314" s="811">
        <v>45288</v>
      </c>
      <c r="K3314" s="815">
        <v>0.4375</v>
      </c>
      <c r="L3314" s="811">
        <v>45288</v>
      </c>
      <c r="M3314" s="815">
        <v>0.5</v>
      </c>
      <c r="N3314" s="187">
        <v>1.5</v>
      </c>
      <c r="O3314" s="188" t="s">
        <v>17</v>
      </c>
      <c r="P3314" s="197" t="s">
        <v>5807</v>
      </c>
      <c r="Q3314" s="179" t="s">
        <v>1441</v>
      </c>
      <c r="R3314" s="31" t="s">
        <v>95</v>
      </c>
      <c r="S3314" s="31" t="s">
        <v>273</v>
      </c>
      <c r="T3314" s="31" t="s">
        <v>273</v>
      </c>
      <c r="U3314" s="31">
        <f>IFERROR(VLOOKUP(CONCATENATE(Tabla1[[#This Row],[Severidad]]," ",Tabla1[[#This Row],[Complejidad]]),Catalogos!E$120:G$128,3,FALSE),"")</f>
        <v>64</v>
      </c>
      <c r="V3314" s="31" t="str">
        <f>IF(Tabla1[[#This Row],[Tiempo solución max (hrs)]]&lt;&gt;"",IF(Tabla1[[#This Row],[Tiempo solución max (hrs)]]&gt;=Tabla1[[#This Row],[Tiempo
(Hrs 00/100)]],"cumple","no cumple"),"")</f>
        <v>cumple</v>
      </c>
      <c r="W3314" s="222" t="s">
        <v>5372</v>
      </c>
      <c r="X3314" s="18" t="str">
        <f t="shared" si="236"/>
        <v>SSI</v>
      </c>
      <c r="Y3314" t="str">
        <f>SUBSTITUTE(Tabla1[[#This Row],[Descripción]],CHAR(10),"    I    ")</f>
        <v>Se declararon las variables en bloque anónimo con validación exacta de tamaños de tipos de datos, del query 1 de la Funcionalidad 7</v>
      </c>
      <c r="Z3314" s="112">
        <f>VLOOKUP(Tabla1[[#This Row],[Perfil]],Catalogos!$B$75:$D$100,3,FALSE)*Tabla1[[#This Row],[Tiempo
(Hrs 00/100)]]*1.16</f>
        <v>1044</v>
      </c>
    </row>
    <row r="3315" spans="1:27" ht="30" customHeight="1" x14ac:dyDescent="0.3">
      <c r="A3315" s="187" t="s">
        <v>22</v>
      </c>
      <c r="B3315" s="187" t="s">
        <v>23</v>
      </c>
      <c r="C3315" s="187" t="s">
        <v>257</v>
      </c>
      <c r="D3315" s="187"/>
      <c r="E3315" s="187" t="s">
        <v>408</v>
      </c>
      <c r="F3315" s="187" t="s">
        <v>75</v>
      </c>
      <c r="G3315" s="702" t="s">
        <v>6044</v>
      </c>
      <c r="H3315" s="186" t="s">
        <v>2992</v>
      </c>
      <c r="I3315" s="816" t="s">
        <v>2993</v>
      </c>
      <c r="J3315" s="811">
        <v>45288</v>
      </c>
      <c r="K3315" s="815">
        <v>0.5</v>
      </c>
      <c r="L3315" s="811">
        <v>45288</v>
      </c>
      <c r="M3315" s="815">
        <v>0.60416666666666663</v>
      </c>
      <c r="N3315" s="187">
        <v>1.5</v>
      </c>
      <c r="O3315" s="188" t="s">
        <v>17</v>
      </c>
      <c r="P3315" s="197" t="s">
        <v>5807</v>
      </c>
      <c r="Q3315" s="179" t="s">
        <v>1441</v>
      </c>
      <c r="R3315" s="31" t="s">
        <v>95</v>
      </c>
      <c r="S3315" s="31" t="s">
        <v>273</v>
      </c>
      <c r="T3315" s="31" t="s">
        <v>273</v>
      </c>
      <c r="U3315" s="31">
        <f>IFERROR(VLOOKUP(CONCATENATE(Tabla1[[#This Row],[Severidad]]," ",Tabla1[[#This Row],[Complejidad]]),Catalogos!E$120:G$128,3,FALSE),"")</f>
        <v>64</v>
      </c>
      <c r="V3315" s="31" t="str">
        <f>IF(Tabla1[[#This Row],[Tiempo solución max (hrs)]]&lt;&gt;"",IF(Tabla1[[#This Row],[Tiempo solución max (hrs)]]&gt;=Tabla1[[#This Row],[Tiempo
(Hrs 00/100)]],"cumple","no cumple"),"")</f>
        <v>cumple</v>
      </c>
      <c r="W3315" s="222" t="s">
        <v>5372</v>
      </c>
      <c r="X3315" s="18" t="str">
        <f t="shared" si="236"/>
        <v>SSI</v>
      </c>
      <c r="Y3315" t="str">
        <f>SUBSTITUTE(Tabla1[[#This Row],[Descripción]],CHAR(10),"    I    ")</f>
        <v xml:space="preserve">Se validó el paquete-procedimiento de la funcionalidad 7 - Query # 1 con el bloque anónimo correcto y se tuvo un resultado exitoso con la salida del cursor completo </v>
      </c>
      <c r="Z3315" s="112">
        <f>VLOOKUP(Tabla1[[#This Row],[Perfil]],Catalogos!$B$75:$D$100,3,FALSE)*Tabla1[[#This Row],[Tiempo
(Hrs 00/100)]]*1.16</f>
        <v>1044</v>
      </c>
    </row>
    <row r="3316" spans="1:27" ht="30" customHeight="1" x14ac:dyDescent="0.3">
      <c r="A3316" s="187" t="s">
        <v>22</v>
      </c>
      <c r="B3316" s="187" t="s">
        <v>65</v>
      </c>
      <c r="C3316" s="187" t="s">
        <v>257</v>
      </c>
      <c r="D3316" s="187"/>
      <c r="E3316" s="187" t="s">
        <v>408</v>
      </c>
      <c r="F3316" s="187" t="s">
        <v>76</v>
      </c>
      <c r="G3316" s="702" t="s">
        <v>6045</v>
      </c>
      <c r="H3316" s="186" t="s">
        <v>5908</v>
      </c>
      <c r="I3316" s="816" t="s">
        <v>5909</v>
      </c>
      <c r="J3316" s="811">
        <v>45288</v>
      </c>
      <c r="K3316" s="815">
        <v>0.66666666666666663</v>
      </c>
      <c r="L3316" s="811">
        <v>45288</v>
      </c>
      <c r="M3316" s="815">
        <v>0.6875</v>
      </c>
      <c r="N3316" s="187">
        <v>0.5</v>
      </c>
      <c r="O3316" s="188" t="s">
        <v>17</v>
      </c>
      <c r="P3316" s="197" t="s">
        <v>5807</v>
      </c>
      <c r="Q3316" s="179" t="s">
        <v>1441</v>
      </c>
      <c r="R3316" s="31" t="s">
        <v>95</v>
      </c>
      <c r="S3316" s="31" t="s">
        <v>273</v>
      </c>
      <c r="T3316" s="31" t="s">
        <v>273</v>
      </c>
      <c r="U3316" s="31">
        <f>IFERROR(VLOOKUP(CONCATENATE(Tabla1[[#This Row],[Severidad]]," ",Tabla1[[#This Row],[Complejidad]]),Catalogos!E$120:G$128,3,FALSE),"")</f>
        <v>64</v>
      </c>
      <c r="V3316" s="31" t="str">
        <f>IF(Tabla1[[#This Row],[Tiempo solución max (hrs)]]&lt;&gt;"",IF(Tabla1[[#This Row],[Tiempo solución max (hrs)]]&gt;=Tabla1[[#This Row],[Tiempo
(Hrs 00/100)]],"cumple","no cumple"),"")</f>
        <v>cumple</v>
      </c>
      <c r="W3316" s="222" t="s">
        <v>5372</v>
      </c>
      <c r="X3316" s="18" t="str">
        <f t="shared" si="236"/>
        <v>SSI</v>
      </c>
      <c r="Y3316" t="str">
        <f>SUBSTITUTE(Tabla1[[#This Row],[Descripción]],CHAR(10),"    I    ")</f>
        <v>Se actualizó el documento 'Querys_Estadisiticas_Totales_Nuevo' con los comentarios sobre el Query 1 de la Funcionalidad 7</v>
      </c>
      <c r="Z3316" s="112">
        <f>VLOOKUP(Tabla1[[#This Row],[Perfil]],Catalogos!$B$75:$D$100,3,FALSE)*Tabla1[[#This Row],[Tiempo
(Hrs 00/100)]]*1.16</f>
        <v>348</v>
      </c>
    </row>
    <row r="3317" spans="1:27" ht="30" customHeight="1" x14ac:dyDescent="0.3">
      <c r="A3317" s="187" t="s">
        <v>22</v>
      </c>
      <c r="B3317" s="187" t="s">
        <v>305</v>
      </c>
      <c r="C3317" s="187" t="s">
        <v>257</v>
      </c>
      <c r="D3317" s="187"/>
      <c r="E3317" s="187" t="s">
        <v>408</v>
      </c>
      <c r="F3317" s="187" t="s">
        <v>72</v>
      </c>
      <c r="G3317" s="702" t="s">
        <v>6046</v>
      </c>
      <c r="H3317" s="186" t="s">
        <v>5910</v>
      </c>
      <c r="I3317" s="816" t="s">
        <v>5911</v>
      </c>
      <c r="J3317" s="811">
        <v>45288</v>
      </c>
      <c r="K3317" s="815">
        <v>0.6875</v>
      </c>
      <c r="L3317" s="811">
        <v>45288</v>
      </c>
      <c r="M3317" s="815">
        <v>0.72916666666666663</v>
      </c>
      <c r="N3317" s="187">
        <v>1</v>
      </c>
      <c r="O3317" s="188" t="s">
        <v>17</v>
      </c>
      <c r="P3317" s="197" t="s">
        <v>5807</v>
      </c>
      <c r="Q3317" s="179" t="s">
        <v>1441</v>
      </c>
      <c r="R3317" s="31" t="s">
        <v>95</v>
      </c>
      <c r="S3317" s="31" t="s">
        <v>273</v>
      </c>
      <c r="T3317" s="31" t="s">
        <v>273</v>
      </c>
      <c r="U3317" s="31">
        <f>IFERROR(VLOOKUP(CONCATENATE(Tabla1[[#This Row],[Severidad]]," ",Tabla1[[#This Row],[Complejidad]]),Catalogos!E$120:G$128,3,FALSE),"")</f>
        <v>64</v>
      </c>
      <c r="V3317" s="31" t="str">
        <f>IF(Tabla1[[#This Row],[Tiempo solución max (hrs)]]&lt;&gt;"",IF(Tabla1[[#This Row],[Tiempo solución max (hrs)]]&gt;=Tabla1[[#This Row],[Tiempo
(Hrs 00/100)]],"cumple","no cumple"),"")</f>
        <v>cumple</v>
      </c>
      <c r="W3317" s="222" t="s">
        <v>5372</v>
      </c>
      <c r="X3317" s="18" t="str">
        <f t="shared" si="236"/>
        <v>SSI</v>
      </c>
      <c r="Y3317" t="str">
        <f>SUBSTITUTE(Tabla1[[#This Row],[Descripción]],CHAR(10),"    I    ")</f>
        <v>Se revisó el Query #1 del archivo IEDEPNT para la Funcionalidad 8 'TOTAL DE SOLICITUDES', se hicieron las primeras ejecuciones con los parámetros para entender su funcionamiento</v>
      </c>
      <c r="Z3317" s="112">
        <f>VLOOKUP(Tabla1[[#This Row],[Perfil]],Catalogos!$B$75:$D$100,3,FALSE)*Tabla1[[#This Row],[Tiempo
(Hrs 00/100)]]*1.16</f>
        <v>696</v>
      </c>
    </row>
    <row r="3318" spans="1:27" ht="30" customHeight="1" x14ac:dyDescent="0.3">
      <c r="A3318" s="187" t="s">
        <v>22</v>
      </c>
      <c r="B3318" s="187" t="s">
        <v>23</v>
      </c>
      <c r="C3318" s="187" t="s">
        <v>257</v>
      </c>
      <c r="D3318" s="187"/>
      <c r="E3318" s="187" t="s">
        <v>408</v>
      </c>
      <c r="F3318" s="187" t="s">
        <v>23</v>
      </c>
      <c r="G3318" s="702" t="s">
        <v>6047</v>
      </c>
      <c r="H3318" s="186" t="s">
        <v>5912</v>
      </c>
      <c r="I3318" s="816" t="s">
        <v>5913</v>
      </c>
      <c r="J3318" s="811">
        <v>45288</v>
      </c>
      <c r="K3318" s="815">
        <v>0.72916666666666663</v>
      </c>
      <c r="L3318" s="811">
        <v>45288</v>
      </c>
      <c r="M3318" s="815">
        <v>0.79166666666666663</v>
      </c>
      <c r="N3318" s="187">
        <v>1.5</v>
      </c>
      <c r="O3318" s="188" t="s">
        <v>17</v>
      </c>
      <c r="P3318" s="197" t="s">
        <v>5807</v>
      </c>
      <c r="Q3318" s="179" t="s">
        <v>1441</v>
      </c>
      <c r="R3318" s="31" t="s">
        <v>95</v>
      </c>
      <c r="S3318" s="31" t="s">
        <v>273</v>
      </c>
      <c r="T3318" s="31" t="s">
        <v>273</v>
      </c>
      <c r="U3318" s="31">
        <f>IFERROR(VLOOKUP(CONCATENATE(Tabla1[[#This Row],[Severidad]]," ",Tabla1[[#This Row],[Complejidad]]),Catalogos!E$120:G$128,3,FALSE),"")</f>
        <v>64</v>
      </c>
      <c r="V3318" s="31" t="str">
        <f>IF(Tabla1[[#This Row],[Tiempo solución max (hrs)]]&lt;&gt;"",IF(Tabla1[[#This Row],[Tiempo solución max (hrs)]]&gt;=Tabla1[[#This Row],[Tiempo
(Hrs 00/100)]],"cumple","no cumple"),"")</f>
        <v>cumple</v>
      </c>
      <c r="W3318" s="222" t="s">
        <v>5372</v>
      </c>
      <c r="X3318" s="18" t="str">
        <f t="shared" si="236"/>
        <v>SSI</v>
      </c>
      <c r="Y3318" t="str">
        <f>SUBSTITUTE(Tabla1[[#This Row],[Descripción]],CHAR(10),"    I    ")</f>
        <v>Se optimizó el Query #1 del archivo IEDEPNT (Funcionalidad 8) para tener una versión mejorada en tiempo de respuesta y costo</v>
      </c>
      <c r="Z3318" s="112">
        <f>VLOOKUP(Tabla1[[#This Row],[Perfil]],Catalogos!$B$75:$D$100,3,FALSE)*Tabla1[[#This Row],[Tiempo
(Hrs 00/100)]]*1.16</f>
        <v>1044</v>
      </c>
    </row>
    <row r="3319" spans="1:27" ht="30" customHeight="1" x14ac:dyDescent="0.3">
      <c r="A3319" s="187" t="s">
        <v>22</v>
      </c>
      <c r="B3319" s="187" t="s">
        <v>23</v>
      </c>
      <c r="C3319" s="187" t="s">
        <v>257</v>
      </c>
      <c r="D3319" s="187"/>
      <c r="E3319" s="187" t="s">
        <v>408</v>
      </c>
      <c r="F3319" s="187" t="s">
        <v>23</v>
      </c>
      <c r="G3319" s="702" t="s">
        <v>6048</v>
      </c>
      <c r="H3319" s="186" t="s">
        <v>5914</v>
      </c>
      <c r="I3319" s="816" t="s">
        <v>5915</v>
      </c>
      <c r="J3319" s="811">
        <v>45289</v>
      </c>
      <c r="K3319" s="815">
        <v>0.375</v>
      </c>
      <c r="L3319" s="811">
        <v>45289</v>
      </c>
      <c r="M3319" s="815">
        <v>0.4375</v>
      </c>
      <c r="N3319" s="187">
        <v>1.5</v>
      </c>
      <c r="O3319" s="188" t="s">
        <v>17</v>
      </c>
      <c r="P3319" s="197" t="s">
        <v>5807</v>
      </c>
      <c r="Q3319" s="179" t="s">
        <v>1441</v>
      </c>
      <c r="R3319" s="31" t="s">
        <v>95</v>
      </c>
      <c r="S3319" s="31" t="s">
        <v>273</v>
      </c>
      <c r="T3319" s="31" t="s">
        <v>273</v>
      </c>
      <c r="U3319" s="31">
        <f>IFERROR(VLOOKUP(CONCATENATE(Tabla1[[#This Row],[Severidad]]," ",Tabla1[[#This Row],[Complejidad]]),Catalogos!E$120:G$128,3,FALSE),"")</f>
        <v>64</v>
      </c>
      <c r="V3319" s="31" t="str">
        <f>IF(Tabla1[[#This Row],[Tiempo solución max (hrs)]]&lt;&gt;"",IF(Tabla1[[#This Row],[Tiempo solución max (hrs)]]&gt;=Tabla1[[#This Row],[Tiempo
(Hrs 00/100)]],"cumple","no cumple"),"")</f>
        <v>cumple</v>
      </c>
      <c r="W3319" s="222" t="s">
        <v>5372</v>
      </c>
      <c r="X3319" s="18" t="str">
        <f t="shared" si="236"/>
        <v>SSI</v>
      </c>
      <c r="Y3319" t="str">
        <f>SUBSTITUTE(Tabla1[[#This Row],[Descripción]],CHAR(10),"    I    ")</f>
        <v>Se creó el nuevo procedimiento 'FUNC8_TOTSOLICITUDESQ1' en el paquete 'PACK_SISAI3', con la funcionalidad del Query #1</v>
      </c>
      <c r="Z3319" s="112">
        <f>VLOOKUP(Tabla1[[#This Row],[Perfil]],Catalogos!$B$75:$D$100,3,FALSE)*Tabla1[[#This Row],[Tiempo
(Hrs 00/100)]]*1.16</f>
        <v>1044</v>
      </c>
    </row>
    <row r="3320" spans="1:27" ht="30" customHeight="1" x14ac:dyDescent="0.3">
      <c r="A3320" s="187" t="s">
        <v>22</v>
      </c>
      <c r="B3320" s="187" t="s">
        <v>23</v>
      </c>
      <c r="C3320" s="187" t="s">
        <v>257</v>
      </c>
      <c r="D3320" s="187"/>
      <c r="E3320" s="187" t="s">
        <v>408</v>
      </c>
      <c r="F3320" s="187" t="s">
        <v>23</v>
      </c>
      <c r="G3320" s="702" t="s">
        <v>6049</v>
      </c>
      <c r="H3320" s="186" t="s">
        <v>3011</v>
      </c>
      <c r="I3320" s="816" t="s">
        <v>3011</v>
      </c>
      <c r="J3320" s="811">
        <v>45289</v>
      </c>
      <c r="K3320" s="815">
        <v>0.4375</v>
      </c>
      <c r="L3320" s="811">
        <v>45289</v>
      </c>
      <c r="M3320" s="815">
        <v>0.5</v>
      </c>
      <c r="N3320" s="187">
        <v>1.5</v>
      </c>
      <c r="O3320" s="188" t="s">
        <v>17</v>
      </c>
      <c r="P3320" s="197" t="s">
        <v>5807</v>
      </c>
      <c r="Q3320" s="179" t="s">
        <v>1441</v>
      </c>
      <c r="R3320" s="31" t="s">
        <v>95</v>
      </c>
      <c r="S3320" s="31" t="s">
        <v>273</v>
      </c>
      <c r="T3320" s="31" t="s">
        <v>273</v>
      </c>
      <c r="U3320" s="31">
        <f>IFERROR(VLOOKUP(CONCATENATE(Tabla1[[#This Row],[Severidad]]," ",Tabla1[[#This Row],[Complejidad]]),Catalogos!E$120:G$128,3,FALSE),"")</f>
        <v>64</v>
      </c>
      <c r="V3320" s="31" t="str">
        <f>IF(Tabla1[[#This Row],[Tiempo solución max (hrs)]]&lt;&gt;"",IF(Tabla1[[#This Row],[Tiempo solución max (hrs)]]&gt;=Tabla1[[#This Row],[Tiempo
(Hrs 00/100)]],"cumple","no cumple"),"")</f>
        <v>cumple</v>
      </c>
      <c r="W3320" s="222" t="s">
        <v>5372</v>
      </c>
      <c r="X3320" s="18" t="str">
        <f t="shared" si="236"/>
        <v>SSI</v>
      </c>
      <c r="Y3320" t="str">
        <f>SUBSTITUTE(Tabla1[[#This Row],[Descripción]],CHAR(10),"    I    ")</f>
        <v>Se verificó campo por campo del query 1 de la Funcionalidad 8, validando el tipo de dato y longitud exactos</v>
      </c>
      <c r="Z3320" s="112">
        <f>VLOOKUP(Tabla1[[#This Row],[Perfil]],Catalogos!$B$75:$D$100,3,FALSE)*Tabla1[[#This Row],[Tiempo
(Hrs 00/100)]]*1.16</f>
        <v>1044</v>
      </c>
    </row>
    <row r="3321" spans="1:27" ht="30" customHeight="1" x14ac:dyDescent="0.3">
      <c r="A3321" s="187" t="s">
        <v>22</v>
      </c>
      <c r="B3321" s="187" t="s">
        <v>23</v>
      </c>
      <c r="C3321" s="187" t="s">
        <v>257</v>
      </c>
      <c r="D3321" s="187"/>
      <c r="E3321" s="187" t="s">
        <v>408</v>
      </c>
      <c r="F3321" s="187" t="s">
        <v>23</v>
      </c>
      <c r="G3321" s="702" t="s">
        <v>6050</v>
      </c>
      <c r="H3321" s="186" t="s">
        <v>3012</v>
      </c>
      <c r="I3321" s="816" t="s">
        <v>3012</v>
      </c>
      <c r="J3321" s="811">
        <v>45289</v>
      </c>
      <c r="K3321" s="815">
        <v>0.5</v>
      </c>
      <c r="L3321" s="811">
        <v>45289</v>
      </c>
      <c r="M3321" s="815">
        <v>0.54166666666666663</v>
      </c>
      <c r="N3321" s="187">
        <v>1</v>
      </c>
      <c r="O3321" s="188" t="s">
        <v>17</v>
      </c>
      <c r="P3321" s="197" t="s">
        <v>5807</v>
      </c>
      <c r="Q3321" s="179" t="s">
        <v>1441</v>
      </c>
      <c r="R3321" s="31" t="s">
        <v>95</v>
      </c>
      <c r="S3321" s="31" t="s">
        <v>273</v>
      </c>
      <c r="T3321" s="31" t="s">
        <v>273</v>
      </c>
      <c r="U3321" s="31">
        <f>IFERROR(VLOOKUP(CONCATENATE(Tabla1[[#This Row],[Severidad]]," ",Tabla1[[#This Row],[Complejidad]]),Catalogos!E$120:G$128,3,FALSE),"")</f>
        <v>64</v>
      </c>
      <c r="V3321" s="31" t="str">
        <f>IF(Tabla1[[#This Row],[Tiempo solución max (hrs)]]&lt;&gt;"",IF(Tabla1[[#This Row],[Tiempo solución max (hrs)]]&gt;=Tabla1[[#This Row],[Tiempo
(Hrs 00/100)]],"cumple","no cumple"),"")</f>
        <v>cumple</v>
      </c>
      <c r="W3321" s="222" t="s">
        <v>5372</v>
      </c>
      <c r="X3321" s="18" t="str">
        <f t="shared" si="236"/>
        <v>SSI</v>
      </c>
      <c r="Y3321" t="str">
        <f>SUBSTITUTE(Tabla1[[#This Row],[Descripción]],CHAR(10),"    I    ")</f>
        <v>Se declararon las variables en bloque anónimo con validación exacta de tamaños de tipos de datos, del query 1 de la Funcionalidad 8</v>
      </c>
      <c r="Z3321" s="112">
        <f>VLOOKUP(Tabla1[[#This Row],[Perfil]],Catalogos!$B$75:$D$100,3,FALSE)*Tabla1[[#This Row],[Tiempo
(Hrs 00/100)]]*1.16</f>
        <v>696</v>
      </c>
    </row>
    <row r="3322" spans="1:27" ht="30" customHeight="1" x14ac:dyDescent="0.3">
      <c r="A3322" s="187" t="s">
        <v>22</v>
      </c>
      <c r="B3322" s="187" t="s">
        <v>23</v>
      </c>
      <c r="C3322" s="187" t="s">
        <v>257</v>
      </c>
      <c r="D3322" s="187"/>
      <c r="E3322" s="187" t="s">
        <v>408</v>
      </c>
      <c r="F3322" s="187" t="s">
        <v>75</v>
      </c>
      <c r="G3322" s="702" t="s">
        <v>6051</v>
      </c>
      <c r="H3322" s="186" t="s">
        <v>3013</v>
      </c>
      <c r="I3322" s="816" t="s">
        <v>3014</v>
      </c>
      <c r="J3322" s="811">
        <v>45289</v>
      </c>
      <c r="K3322" s="815">
        <v>0.54166666666666663</v>
      </c>
      <c r="L3322" s="811">
        <v>45289</v>
      </c>
      <c r="M3322" s="815">
        <v>0.60416666666666663</v>
      </c>
      <c r="N3322" s="187">
        <v>1.5</v>
      </c>
      <c r="O3322" s="188" t="s">
        <v>17</v>
      </c>
      <c r="P3322" s="197" t="s">
        <v>5807</v>
      </c>
      <c r="Q3322" s="179" t="s">
        <v>1441</v>
      </c>
      <c r="R3322" s="31" t="s">
        <v>95</v>
      </c>
      <c r="S3322" s="31" t="s">
        <v>273</v>
      </c>
      <c r="T3322" s="31" t="s">
        <v>273</v>
      </c>
      <c r="U3322" s="31">
        <f>IFERROR(VLOOKUP(CONCATENATE(Tabla1[[#This Row],[Severidad]]," ",Tabla1[[#This Row],[Complejidad]]),Catalogos!E$120:G$128,3,FALSE),"")</f>
        <v>64</v>
      </c>
      <c r="V3322" s="31" t="str">
        <f>IF(Tabla1[[#This Row],[Tiempo solución max (hrs)]]&lt;&gt;"",IF(Tabla1[[#This Row],[Tiempo solución max (hrs)]]&gt;=Tabla1[[#This Row],[Tiempo
(Hrs 00/100)]],"cumple","no cumple"),"")</f>
        <v>cumple</v>
      </c>
      <c r="W3322" s="222" t="s">
        <v>5372</v>
      </c>
      <c r="X3322" s="18" t="str">
        <f t="shared" si="236"/>
        <v>SSI</v>
      </c>
      <c r="Y3322" t="str">
        <f>SUBSTITUTE(Tabla1[[#This Row],[Descripción]],CHAR(10),"    I    ")</f>
        <v xml:space="preserve">Se validó el paquete-procedimiento de la funcionalidad 8 - Query # 1 con el bloque anónimo correcto y se tuvo un resultado exitoso con la salida del cursor completo </v>
      </c>
      <c r="Z3322" s="112">
        <f>VLOOKUP(Tabla1[[#This Row],[Perfil]],Catalogos!$B$75:$D$100,3,FALSE)*Tabla1[[#This Row],[Tiempo
(Hrs 00/100)]]*1.16</f>
        <v>1044</v>
      </c>
    </row>
    <row r="3323" spans="1:27" ht="30" customHeight="1" x14ac:dyDescent="0.3">
      <c r="A3323" s="187" t="s">
        <v>22</v>
      </c>
      <c r="B3323" s="187" t="s">
        <v>65</v>
      </c>
      <c r="C3323" s="187" t="s">
        <v>257</v>
      </c>
      <c r="D3323" s="187"/>
      <c r="E3323" s="187" t="s">
        <v>408</v>
      </c>
      <c r="F3323" s="187" t="s">
        <v>76</v>
      </c>
      <c r="G3323" s="702" t="s">
        <v>6052</v>
      </c>
      <c r="H3323" s="186" t="s">
        <v>5916</v>
      </c>
      <c r="I3323" s="816" t="s">
        <v>5917</v>
      </c>
      <c r="J3323" s="811">
        <v>45289</v>
      </c>
      <c r="K3323" s="815">
        <v>0.66666666666666663</v>
      </c>
      <c r="L3323" s="811">
        <v>45289</v>
      </c>
      <c r="M3323" s="815">
        <v>0.6875</v>
      </c>
      <c r="N3323" s="187">
        <v>0.5</v>
      </c>
      <c r="O3323" s="188" t="s">
        <v>17</v>
      </c>
      <c r="P3323" s="197" t="s">
        <v>5807</v>
      </c>
      <c r="Q3323" s="179" t="s">
        <v>1441</v>
      </c>
      <c r="R3323" s="31" t="s">
        <v>95</v>
      </c>
      <c r="S3323" s="31" t="s">
        <v>273</v>
      </c>
      <c r="T3323" s="31" t="s">
        <v>273</v>
      </c>
      <c r="U3323" s="31">
        <f>IFERROR(VLOOKUP(CONCATENATE(Tabla1[[#This Row],[Severidad]]," ",Tabla1[[#This Row],[Complejidad]]),Catalogos!E$120:G$128,3,FALSE),"")</f>
        <v>64</v>
      </c>
      <c r="V3323" s="31" t="str">
        <f>IF(Tabla1[[#This Row],[Tiempo solución max (hrs)]]&lt;&gt;"",IF(Tabla1[[#This Row],[Tiempo solución max (hrs)]]&gt;=Tabla1[[#This Row],[Tiempo
(Hrs 00/100)]],"cumple","no cumple"),"")</f>
        <v>cumple</v>
      </c>
      <c r="W3323" s="222" t="s">
        <v>5372</v>
      </c>
      <c r="X3323" s="18" t="str">
        <f t="shared" si="236"/>
        <v>SSI</v>
      </c>
      <c r="Y3323" t="str">
        <f>SUBSTITUTE(Tabla1[[#This Row],[Descripción]],CHAR(10),"    I    ")</f>
        <v>Se actualizó el documento 'Querys_Estadisiticas_Totales_Nuevo' con los comentarios sobre el Query 1 de la Funcionalidad 8</v>
      </c>
      <c r="Z3323" s="112">
        <f>VLOOKUP(Tabla1[[#This Row],[Perfil]],Catalogos!$B$75:$D$100,3,FALSE)*Tabla1[[#This Row],[Tiempo
(Hrs 00/100)]]*1.16</f>
        <v>348</v>
      </c>
    </row>
    <row r="3324" spans="1:27" ht="30" customHeight="1" x14ac:dyDescent="0.3">
      <c r="A3324" s="187" t="s">
        <v>22</v>
      </c>
      <c r="B3324" s="187" t="s">
        <v>305</v>
      </c>
      <c r="C3324" s="187" t="s">
        <v>257</v>
      </c>
      <c r="D3324" s="187"/>
      <c r="E3324" s="187" t="s">
        <v>408</v>
      </c>
      <c r="F3324" s="187" t="s">
        <v>72</v>
      </c>
      <c r="G3324" s="702" t="s">
        <v>6053</v>
      </c>
      <c r="H3324" s="186" t="s">
        <v>5918</v>
      </c>
      <c r="I3324" s="186" t="s">
        <v>5919</v>
      </c>
      <c r="J3324" s="811">
        <v>45289</v>
      </c>
      <c r="K3324" s="815">
        <v>0.6875</v>
      </c>
      <c r="L3324" s="811">
        <v>45289</v>
      </c>
      <c r="M3324" s="815">
        <v>0.75</v>
      </c>
      <c r="N3324" s="187">
        <v>1.5</v>
      </c>
      <c r="O3324" s="188" t="s">
        <v>17</v>
      </c>
      <c r="P3324" s="197" t="s">
        <v>5807</v>
      </c>
      <c r="Q3324" s="179" t="s">
        <v>1441</v>
      </c>
      <c r="R3324" s="31" t="s">
        <v>95</v>
      </c>
      <c r="S3324" s="31" t="s">
        <v>273</v>
      </c>
      <c r="T3324" s="31" t="s">
        <v>273</v>
      </c>
      <c r="U3324" s="31">
        <f>IFERROR(VLOOKUP(CONCATENATE(Tabla1[[#This Row],[Severidad]]," ",Tabla1[[#This Row],[Complejidad]]),Catalogos!E$120:G$128,3,FALSE),"")</f>
        <v>64</v>
      </c>
      <c r="V3324" s="31" t="str">
        <f>IF(Tabla1[[#This Row],[Tiempo solución max (hrs)]]&lt;&gt;"",IF(Tabla1[[#This Row],[Tiempo solución max (hrs)]]&gt;=Tabla1[[#This Row],[Tiempo
(Hrs 00/100)]],"cumple","no cumple"),"")</f>
        <v>cumple</v>
      </c>
      <c r="W3324" s="222" t="s">
        <v>5372</v>
      </c>
      <c r="X3324" s="18" t="str">
        <f t="shared" si="236"/>
        <v>SSI</v>
      </c>
      <c r="Y3324" t="str">
        <f>SUBSTITUTE(Tabla1[[#This Row],[Descripción]],CHAR(10),"    I    ")</f>
        <v>Se revalidaron de forma general las consultas de los queris mejorados para determinar si aún había algo mas a mejorar</v>
      </c>
      <c r="Z3324" s="112">
        <f>VLOOKUP(Tabla1[[#This Row],[Perfil]],Catalogos!$B$75:$D$100,3,FALSE)*Tabla1[[#This Row],[Tiempo
(Hrs 00/100)]]*1.16</f>
        <v>1044</v>
      </c>
    </row>
    <row r="3325" spans="1:27" ht="30" customHeight="1" x14ac:dyDescent="0.3">
      <c r="A3325" s="187" t="s">
        <v>22</v>
      </c>
      <c r="B3325" s="187" t="s">
        <v>23</v>
      </c>
      <c r="C3325" s="187" t="s">
        <v>257</v>
      </c>
      <c r="D3325" s="187"/>
      <c r="E3325" s="187" t="s">
        <v>408</v>
      </c>
      <c r="F3325" s="187" t="s">
        <v>23</v>
      </c>
      <c r="G3325" s="702" t="s">
        <v>6054</v>
      </c>
      <c r="H3325" s="186" t="s">
        <v>5920</v>
      </c>
      <c r="I3325" s="186" t="s">
        <v>5920</v>
      </c>
      <c r="J3325" s="811">
        <v>45289</v>
      </c>
      <c r="K3325" s="815">
        <v>0.75</v>
      </c>
      <c r="L3325" s="811">
        <v>45289</v>
      </c>
      <c r="M3325" s="815">
        <v>0.83333333333333337</v>
      </c>
      <c r="N3325" s="187">
        <v>2</v>
      </c>
      <c r="O3325" s="188" t="s">
        <v>17</v>
      </c>
      <c r="P3325" s="197" t="s">
        <v>5807</v>
      </c>
      <c r="Q3325" s="179" t="s">
        <v>1441</v>
      </c>
      <c r="R3325" s="31" t="s">
        <v>95</v>
      </c>
      <c r="S3325" s="31" t="s">
        <v>273</v>
      </c>
      <c r="T3325" s="31" t="s">
        <v>273</v>
      </c>
      <c r="U3325" s="31">
        <f>IFERROR(VLOOKUP(CONCATENATE(Tabla1[[#This Row],[Severidad]]," ",Tabla1[[#This Row],[Complejidad]]),Catalogos!E$120:G$128,3,FALSE),"")</f>
        <v>64</v>
      </c>
      <c r="V3325" s="31" t="str">
        <f>IF(Tabla1[[#This Row],[Tiempo solución max (hrs)]]&lt;&gt;"",IF(Tabla1[[#This Row],[Tiempo solución max (hrs)]]&gt;=Tabla1[[#This Row],[Tiempo
(Hrs 00/100)]],"cumple","no cumple"),"")</f>
        <v>cumple</v>
      </c>
      <c r="W3325" s="222" t="s">
        <v>5372</v>
      </c>
      <c r="X3325" s="18" t="str">
        <f t="shared" si="236"/>
        <v>SSI</v>
      </c>
      <c r="Y3325" t="str">
        <f>SUBSTITUTE(Tabla1[[#This Row],[Descripción]],CHAR(10),"    I    ")</f>
        <v>Se actualizaron algunos de los procedimientos con las ultimas mejoras detectadas</v>
      </c>
      <c r="Z3325" s="112">
        <f>VLOOKUP(Tabla1[[#This Row],[Perfil]],Catalogos!$B$75:$D$100,3,FALSE)*Tabla1[[#This Row],[Tiempo
(Hrs 00/100)]]*1.16</f>
        <v>1392</v>
      </c>
    </row>
    <row r="3326" spans="1:27" ht="30" customHeight="1" thickBot="1" x14ac:dyDescent="0.35">
      <c r="A3326" s="834" t="s">
        <v>22</v>
      </c>
      <c r="B3326" s="834" t="s">
        <v>23</v>
      </c>
      <c r="C3326" s="834" t="s">
        <v>49</v>
      </c>
      <c r="D3326" s="834"/>
      <c r="E3326" s="677" t="s">
        <v>4133</v>
      </c>
      <c r="F3326" s="834" t="s">
        <v>23</v>
      </c>
      <c r="G3326" s="677" t="s">
        <v>6055</v>
      </c>
      <c r="H3326" s="835" t="s">
        <v>5086</v>
      </c>
      <c r="I3326" s="836" t="s">
        <v>5087</v>
      </c>
      <c r="J3326" s="837">
        <v>45261</v>
      </c>
      <c r="K3326" s="838">
        <v>0.375</v>
      </c>
      <c r="L3326" s="837">
        <v>45261</v>
      </c>
      <c r="M3326" s="839">
        <v>0.39583333333333331</v>
      </c>
      <c r="N3326" s="840">
        <v>0.5</v>
      </c>
      <c r="O3326" s="841" t="s">
        <v>17</v>
      </c>
      <c r="P3326" s="842" t="s">
        <v>5088</v>
      </c>
      <c r="Q3326" s="843" t="s">
        <v>28</v>
      </c>
      <c r="R3326" s="684" t="s">
        <v>78</v>
      </c>
      <c r="S3326" s="31" t="s">
        <v>273</v>
      </c>
      <c r="T3326" s="31" t="s">
        <v>273</v>
      </c>
      <c r="U3326" s="31">
        <f>IFERROR(VLOOKUP(CONCATENATE(Tabla1[[#This Row],[Severidad]]," ",Tabla1[[#This Row],[Complejidad]]),Catalogos!E$120:G$128,3,FALSE),"")</f>
        <v>64</v>
      </c>
      <c r="V3326" s="31" t="str">
        <f>IF(Tabla1[[#This Row],[Tiempo solución max (hrs)]]&lt;&gt;"",IF(Tabla1[[#This Row],[Tiempo solución max (hrs)]]&gt;=Tabla1[[#This Row],[Tiempo
(Hrs 00/100)]],"cumple","no cumple"),"")</f>
        <v>cumple</v>
      </c>
      <c r="W3326" s="222" t="s">
        <v>5372</v>
      </c>
      <c r="X3326" s="18" t="str">
        <f t="shared" si="236"/>
        <v>SAI</v>
      </c>
      <c r="Y3326" t="str">
        <f>SUBSTITUTE(Tabla1[[#This Row],[Descripción]],CHAR(10),"    I    ")</f>
        <v>Toma de avance diario y actualización de cronograma</v>
      </c>
      <c r="Z3326" s="112">
        <f>VLOOKUP(Tabla1[[#This Row],[Perfil]],Catalogos!$B$75:$D$100,3,FALSE)*Tabla1[[#This Row],[Tiempo
(Hrs 00/100)]]*1.16</f>
        <v>348</v>
      </c>
      <c r="AA3326" t="s">
        <v>3356</v>
      </c>
    </row>
    <row r="3327" spans="1:27" ht="30" customHeight="1" thickBot="1" x14ac:dyDescent="0.35">
      <c r="A3327" s="834" t="s">
        <v>22</v>
      </c>
      <c r="B3327" s="834" t="s">
        <v>23</v>
      </c>
      <c r="C3327" s="834" t="s">
        <v>49</v>
      </c>
      <c r="D3327" s="834"/>
      <c r="E3327" s="677" t="s">
        <v>4133</v>
      </c>
      <c r="F3327" s="834" t="s">
        <v>23</v>
      </c>
      <c r="G3327" s="677" t="s">
        <v>6056</v>
      </c>
      <c r="H3327" s="835" t="s">
        <v>5086</v>
      </c>
      <c r="I3327" s="836" t="s">
        <v>5087</v>
      </c>
      <c r="J3327" s="837">
        <v>45264</v>
      </c>
      <c r="K3327" s="838">
        <v>0.375</v>
      </c>
      <c r="L3327" s="837">
        <v>45264</v>
      </c>
      <c r="M3327" s="839">
        <v>0.39583333333333331</v>
      </c>
      <c r="N3327" s="840">
        <v>0.5</v>
      </c>
      <c r="O3327" s="841" t="s">
        <v>17</v>
      </c>
      <c r="P3327" s="842" t="s">
        <v>5088</v>
      </c>
      <c r="Q3327" s="843" t="s">
        <v>28</v>
      </c>
      <c r="R3327" s="684" t="s">
        <v>78</v>
      </c>
      <c r="S3327" s="31" t="s">
        <v>273</v>
      </c>
      <c r="T3327" s="31" t="s">
        <v>273</v>
      </c>
      <c r="U3327" s="31">
        <f>IFERROR(VLOOKUP(CONCATENATE(Tabla1[[#This Row],[Severidad]]," ",Tabla1[[#This Row],[Complejidad]]),Catalogos!E$120:G$128,3,FALSE),"")</f>
        <v>64</v>
      </c>
      <c r="V3327" s="31" t="str">
        <f>IF(Tabla1[[#This Row],[Tiempo solución max (hrs)]]&lt;&gt;"",IF(Tabla1[[#This Row],[Tiempo solución max (hrs)]]&gt;=Tabla1[[#This Row],[Tiempo
(Hrs 00/100)]],"cumple","no cumple"),"")</f>
        <v>cumple</v>
      </c>
      <c r="W3327" s="222" t="s">
        <v>5372</v>
      </c>
      <c r="X3327" s="18" t="str">
        <f t="shared" si="236"/>
        <v>SAI</v>
      </c>
      <c r="Y3327" t="str">
        <f>SUBSTITUTE(Tabla1[[#This Row],[Descripción]],CHAR(10),"    I    ")</f>
        <v>Toma de avance diario y actualización de cronograma</v>
      </c>
      <c r="Z3327" s="112">
        <f>VLOOKUP(Tabla1[[#This Row],[Perfil]],Catalogos!$B$75:$D$100,3,FALSE)*Tabla1[[#This Row],[Tiempo
(Hrs 00/100)]]*1.16</f>
        <v>348</v>
      </c>
      <c r="AA3327" t="s">
        <v>3356</v>
      </c>
    </row>
    <row r="3328" spans="1:27" ht="30" customHeight="1" thickBot="1" x14ac:dyDescent="0.35">
      <c r="A3328" s="834" t="s">
        <v>22</v>
      </c>
      <c r="B3328" s="834" t="s">
        <v>23</v>
      </c>
      <c r="C3328" s="834" t="s">
        <v>49</v>
      </c>
      <c r="D3328" s="834"/>
      <c r="E3328" s="677" t="s">
        <v>4133</v>
      </c>
      <c r="F3328" s="834" t="s">
        <v>23</v>
      </c>
      <c r="G3328" s="677" t="s">
        <v>6057</v>
      </c>
      <c r="H3328" s="835" t="s">
        <v>5086</v>
      </c>
      <c r="I3328" s="836" t="s">
        <v>5091</v>
      </c>
      <c r="J3328" s="837">
        <v>45264</v>
      </c>
      <c r="K3328" s="838">
        <v>0.45833333333333331</v>
      </c>
      <c r="L3328" s="837">
        <v>45264</v>
      </c>
      <c r="M3328" s="839">
        <v>0.5</v>
      </c>
      <c r="N3328" s="840">
        <v>1</v>
      </c>
      <c r="O3328" s="841" t="s">
        <v>17</v>
      </c>
      <c r="P3328" s="842" t="s">
        <v>5092</v>
      </c>
      <c r="Q3328" s="843" t="s">
        <v>28</v>
      </c>
      <c r="R3328" s="684" t="s">
        <v>78</v>
      </c>
      <c r="S3328" s="31" t="s">
        <v>273</v>
      </c>
      <c r="T3328" s="31" t="s">
        <v>273</v>
      </c>
      <c r="U3328" s="31">
        <f>IFERROR(VLOOKUP(CONCATENATE(Tabla1[[#This Row],[Severidad]]," ",Tabla1[[#This Row],[Complejidad]]),Catalogos!E$120:G$128,3,FALSE),"")</f>
        <v>64</v>
      </c>
      <c r="V3328" s="31" t="str">
        <f>IF(Tabla1[[#This Row],[Tiempo solución max (hrs)]]&lt;&gt;"",IF(Tabla1[[#This Row],[Tiempo solución max (hrs)]]&gt;=Tabla1[[#This Row],[Tiempo
(Hrs 00/100)]],"cumple","no cumple"),"")</f>
        <v>cumple</v>
      </c>
      <c r="W3328" s="222" t="s">
        <v>5372</v>
      </c>
      <c r="X3328" s="18" t="str">
        <f t="shared" si="236"/>
        <v>SAI</v>
      </c>
      <c r="Y3328" t="str">
        <f>SUBSTITUTE(Tabla1[[#This Row],[Descripción]],CHAR(10),"    I    ")</f>
        <v>Revisión y actualización de Plan de riesgos</v>
      </c>
      <c r="Z3328" s="112">
        <f>VLOOKUP(Tabla1[[#This Row],[Perfil]],Catalogos!$B$75:$D$100,3,FALSE)*Tabla1[[#This Row],[Tiempo
(Hrs 00/100)]]*1.16</f>
        <v>696</v>
      </c>
      <c r="AA3328" t="s">
        <v>3356</v>
      </c>
    </row>
    <row r="3329" spans="1:27" ht="30" customHeight="1" thickBot="1" x14ac:dyDescent="0.35">
      <c r="A3329" s="834" t="s">
        <v>22</v>
      </c>
      <c r="B3329" s="834" t="s">
        <v>23</v>
      </c>
      <c r="C3329" s="834" t="s">
        <v>49</v>
      </c>
      <c r="D3329" s="834"/>
      <c r="E3329" s="677" t="s">
        <v>4133</v>
      </c>
      <c r="F3329" s="834" t="s">
        <v>23</v>
      </c>
      <c r="G3329" s="677" t="s">
        <v>6058</v>
      </c>
      <c r="H3329" s="835" t="s">
        <v>5086</v>
      </c>
      <c r="I3329" s="836" t="s">
        <v>5094</v>
      </c>
      <c r="J3329" s="837">
        <v>45264</v>
      </c>
      <c r="K3329" s="838">
        <v>0.5</v>
      </c>
      <c r="L3329" s="837">
        <v>45264</v>
      </c>
      <c r="M3329" s="839">
        <v>0.54166666666666663</v>
      </c>
      <c r="N3329" s="840">
        <v>1</v>
      </c>
      <c r="O3329" s="841" t="s">
        <v>17</v>
      </c>
      <c r="P3329" s="842" t="s">
        <v>5095</v>
      </c>
      <c r="Q3329" s="843" t="s">
        <v>28</v>
      </c>
      <c r="R3329" s="684" t="s">
        <v>78</v>
      </c>
      <c r="S3329" s="31" t="s">
        <v>273</v>
      </c>
      <c r="T3329" s="31" t="s">
        <v>273</v>
      </c>
      <c r="U3329" s="31">
        <f>IFERROR(VLOOKUP(CONCATENATE(Tabla1[[#This Row],[Severidad]]," ",Tabla1[[#This Row],[Complejidad]]),Catalogos!E$120:G$128,3,FALSE),"")</f>
        <v>64</v>
      </c>
      <c r="V3329" s="31" t="str">
        <f>IF(Tabla1[[#This Row],[Tiempo solución max (hrs)]]&lt;&gt;"",IF(Tabla1[[#This Row],[Tiempo solución max (hrs)]]&gt;=Tabla1[[#This Row],[Tiempo
(Hrs 00/100)]],"cumple","no cumple"),"")</f>
        <v>cumple</v>
      </c>
      <c r="W3329" s="222" t="s">
        <v>5372</v>
      </c>
      <c r="X3329" s="18" t="str">
        <f t="shared" si="236"/>
        <v>SAI</v>
      </c>
      <c r="Y3329" t="str">
        <f>SUBSTITUTE(Tabla1[[#This Row],[Descripción]],CHAR(10),"    I    ")</f>
        <v>Generación de Presentación semanal de estatus del proyecto</v>
      </c>
      <c r="Z3329" s="112">
        <f>VLOOKUP(Tabla1[[#This Row],[Perfil]],Catalogos!$B$75:$D$100,3,FALSE)*Tabla1[[#This Row],[Tiempo
(Hrs 00/100)]]*1.16</f>
        <v>696</v>
      </c>
      <c r="AA3329" t="s">
        <v>3356</v>
      </c>
    </row>
    <row r="3330" spans="1:27" ht="30" customHeight="1" thickBot="1" x14ac:dyDescent="0.35">
      <c r="A3330" s="834" t="s">
        <v>22</v>
      </c>
      <c r="B3330" s="834" t="s">
        <v>23</v>
      </c>
      <c r="C3330" s="834" t="s">
        <v>49</v>
      </c>
      <c r="D3330" s="834"/>
      <c r="E3330" s="677" t="s">
        <v>4133</v>
      </c>
      <c r="F3330" s="834" t="s">
        <v>23</v>
      </c>
      <c r="G3330" s="677" t="s">
        <v>6060</v>
      </c>
      <c r="H3330" s="835" t="s">
        <v>5086</v>
      </c>
      <c r="I3330" s="836" t="s">
        <v>6059</v>
      </c>
      <c r="J3330" s="837">
        <v>45264</v>
      </c>
      <c r="K3330" s="838">
        <v>0.5</v>
      </c>
      <c r="L3330" s="837">
        <v>45264</v>
      </c>
      <c r="M3330" s="839">
        <v>0.54166666666666663</v>
      </c>
      <c r="N3330" s="840">
        <v>1</v>
      </c>
      <c r="O3330" s="841" t="s">
        <v>17</v>
      </c>
      <c r="P3330" s="842" t="s">
        <v>5098</v>
      </c>
      <c r="Q3330" s="843" t="s">
        <v>28</v>
      </c>
      <c r="R3330" s="684" t="s">
        <v>78</v>
      </c>
      <c r="S3330" s="31" t="s">
        <v>273</v>
      </c>
      <c r="T3330" s="31" t="s">
        <v>273</v>
      </c>
      <c r="U3330" s="31">
        <f>IFERROR(VLOOKUP(CONCATENATE(Tabla1[[#This Row],[Severidad]]," ",Tabla1[[#This Row],[Complejidad]]),Catalogos!E$120:G$128,3,FALSE),"")</f>
        <v>64</v>
      </c>
      <c r="V3330" s="31" t="str">
        <f>IF(Tabla1[[#This Row],[Tiempo solución max (hrs)]]&lt;&gt;"",IF(Tabla1[[#This Row],[Tiempo solución max (hrs)]]&gt;=Tabla1[[#This Row],[Tiempo
(Hrs 00/100)]],"cumple","no cumple"),"")</f>
        <v>cumple</v>
      </c>
      <c r="W3330" s="222" t="s">
        <v>5372</v>
      </c>
      <c r="X3330" s="18" t="str">
        <f t="shared" si="236"/>
        <v>SAI</v>
      </c>
      <c r="Y3330" t="str">
        <f>SUBSTITUTE(Tabla1[[#This Row],[Descripción]],CHAR(10),"    I    ")</f>
        <v>Presentación avance semanal del 27 de noviembre al 01 de diciembre 2023</v>
      </c>
      <c r="Z3330" s="112">
        <f>VLOOKUP(Tabla1[[#This Row],[Perfil]],Catalogos!$B$75:$D$100,3,FALSE)*Tabla1[[#This Row],[Tiempo
(Hrs 00/100)]]*1.16</f>
        <v>696</v>
      </c>
      <c r="AA3330" t="s">
        <v>3356</v>
      </c>
    </row>
    <row r="3331" spans="1:27" ht="30" customHeight="1" thickBot="1" x14ac:dyDescent="0.35">
      <c r="A3331" s="834" t="s">
        <v>22</v>
      </c>
      <c r="B3331" s="834" t="s">
        <v>23</v>
      </c>
      <c r="C3331" s="834" t="s">
        <v>49</v>
      </c>
      <c r="D3331" s="834"/>
      <c r="E3331" s="677" t="s">
        <v>4133</v>
      </c>
      <c r="F3331" s="834" t="s">
        <v>23</v>
      </c>
      <c r="G3331" s="677" t="s">
        <v>6062</v>
      </c>
      <c r="H3331" s="835" t="s">
        <v>5086</v>
      </c>
      <c r="I3331" s="836" t="s">
        <v>5087</v>
      </c>
      <c r="J3331" s="837">
        <v>45265</v>
      </c>
      <c r="K3331" s="838">
        <v>0.375</v>
      </c>
      <c r="L3331" s="837">
        <v>45265</v>
      </c>
      <c r="M3331" s="839">
        <v>0.39583333333333331</v>
      </c>
      <c r="N3331" s="840">
        <v>0.5</v>
      </c>
      <c r="O3331" s="841" t="s">
        <v>17</v>
      </c>
      <c r="P3331" s="842" t="s">
        <v>5088</v>
      </c>
      <c r="Q3331" s="843" t="s">
        <v>28</v>
      </c>
      <c r="R3331" s="684" t="s">
        <v>78</v>
      </c>
      <c r="S3331" s="31" t="s">
        <v>273</v>
      </c>
      <c r="T3331" s="31" t="s">
        <v>273</v>
      </c>
      <c r="U3331" s="31">
        <f>IFERROR(VLOOKUP(CONCATENATE(Tabla1[[#This Row],[Severidad]]," ",Tabla1[[#This Row],[Complejidad]]),Catalogos!E$120:G$128,3,FALSE),"")</f>
        <v>64</v>
      </c>
      <c r="V3331" s="31" t="str">
        <f>IF(Tabla1[[#This Row],[Tiempo solución max (hrs)]]&lt;&gt;"",IF(Tabla1[[#This Row],[Tiempo solución max (hrs)]]&gt;=Tabla1[[#This Row],[Tiempo
(Hrs 00/100)]],"cumple","no cumple"),"")</f>
        <v>cumple</v>
      </c>
      <c r="W3331" s="222" t="s">
        <v>5372</v>
      </c>
      <c r="X3331" s="18" t="str">
        <f>IF(C3331&lt;&gt;"",C3331,D3331)</f>
        <v>SAI</v>
      </c>
      <c r="Y3331" t="str">
        <f>SUBSTITUTE(Tabla1[[#This Row],[Descripción]],CHAR(10),"    I    ")</f>
        <v>Toma de avance diario y actualización de cronograma</v>
      </c>
      <c r="Z3331" s="112">
        <f>VLOOKUP(Tabla1[[#This Row],[Perfil]],Catalogos!$B$75:$D$100,3,FALSE)*Tabla1[[#This Row],[Tiempo
(Hrs 00/100)]]*1.16</f>
        <v>348</v>
      </c>
      <c r="AA3331" t="s">
        <v>3356</v>
      </c>
    </row>
    <row r="3332" spans="1:27" ht="30" customHeight="1" thickBot="1" x14ac:dyDescent="0.35">
      <c r="A3332" s="834" t="s">
        <v>22</v>
      </c>
      <c r="B3332" s="834" t="s">
        <v>23</v>
      </c>
      <c r="C3332" s="834" t="s">
        <v>49</v>
      </c>
      <c r="D3332" s="834"/>
      <c r="E3332" s="677" t="s">
        <v>6061</v>
      </c>
      <c r="F3332" s="834" t="s">
        <v>23</v>
      </c>
      <c r="G3332" s="677" t="s">
        <v>6064</v>
      </c>
      <c r="H3332" s="835" t="s">
        <v>5086</v>
      </c>
      <c r="I3332" s="836" t="s">
        <v>5087</v>
      </c>
      <c r="J3332" s="837">
        <v>45266</v>
      </c>
      <c r="K3332" s="838">
        <v>0.375</v>
      </c>
      <c r="L3332" s="837">
        <v>45266</v>
      </c>
      <c r="M3332" s="839">
        <v>0.39583333333333331</v>
      </c>
      <c r="N3332" s="840">
        <v>0.5</v>
      </c>
      <c r="O3332" s="841" t="s">
        <v>17</v>
      </c>
      <c r="P3332" s="842" t="s">
        <v>5088</v>
      </c>
      <c r="Q3332" s="843" t="s">
        <v>28</v>
      </c>
      <c r="R3332" s="684" t="s">
        <v>78</v>
      </c>
      <c r="S3332" s="31" t="s">
        <v>273</v>
      </c>
      <c r="T3332" s="31" t="s">
        <v>273</v>
      </c>
      <c r="U3332" s="31">
        <f>IFERROR(VLOOKUP(CONCATENATE(Tabla1[[#This Row],[Severidad]]," ",Tabla1[[#This Row],[Complejidad]]),Catalogos!E$120:G$128,3,FALSE),"")</f>
        <v>64</v>
      </c>
      <c r="V3332" s="31" t="str">
        <f>IF(Tabla1[[#This Row],[Tiempo solución max (hrs)]]&lt;&gt;"",IF(Tabla1[[#This Row],[Tiempo solución max (hrs)]]&gt;=Tabla1[[#This Row],[Tiempo
(Hrs 00/100)]],"cumple","no cumple"),"")</f>
        <v>cumple</v>
      </c>
      <c r="W3332" s="222" t="s">
        <v>5372</v>
      </c>
      <c r="X3332" s="18" t="str">
        <f t="shared" ref="X3332:X3395" si="237">IF(C3332&lt;&gt;"",C3332,D3332)</f>
        <v>SAI</v>
      </c>
      <c r="Y3332" t="str">
        <f>SUBSTITUTE(Tabla1[[#This Row],[Descripción]],CHAR(10),"    I    ")</f>
        <v>Toma de avance diario y actualización de cronograma</v>
      </c>
      <c r="Z3332" s="112">
        <f>VLOOKUP(Tabla1[[#This Row],[Perfil]],Catalogos!$B$75:$D$100,3,FALSE)*Tabla1[[#This Row],[Tiempo
(Hrs 00/100)]]*1.16</f>
        <v>348</v>
      </c>
      <c r="AA3332" t="s">
        <v>3356</v>
      </c>
    </row>
    <row r="3333" spans="1:27" ht="30" customHeight="1" thickBot="1" x14ac:dyDescent="0.35">
      <c r="A3333" s="834" t="s">
        <v>22</v>
      </c>
      <c r="B3333" s="834" t="s">
        <v>23</v>
      </c>
      <c r="C3333" s="834" t="s">
        <v>49</v>
      </c>
      <c r="D3333" s="834"/>
      <c r="E3333" s="677" t="s">
        <v>6063</v>
      </c>
      <c r="F3333" s="834" t="s">
        <v>23</v>
      </c>
      <c r="G3333" s="677" t="s">
        <v>6066</v>
      </c>
      <c r="H3333" s="835" t="s">
        <v>5086</v>
      </c>
      <c r="I3333" s="836" t="s">
        <v>5087</v>
      </c>
      <c r="J3333" s="837">
        <v>45267</v>
      </c>
      <c r="K3333" s="838">
        <v>0.375</v>
      </c>
      <c r="L3333" s="837">
        <v>45267</v>
      </c>
      <c r="M3333" s="839">
        <v>0.39583333333333331</v>
      </c>
      <c r="N3333" s="840">
        <v>0.5</v>
      </c>
      <c r="O3333" s="841" t="s">
        <v>17</v>
      </c>
      <c r="P3333" s="842" t="s">
        <v>5088</v>
      </c>
      <c r="Q3333" s="843" t="s">
        <v>28</v>
      </c>
      <c r="R3333" s="684" t="s">
        <v>78</v>
      </c>
      <c r="S3333" s="31" t="s">
        <v>273</v>
      </c>
      <c r="T3333" s="31" t="s">
        <v>273</v>
      </c>
      <c r="U3333" s="31">
        <f>IFERROR(VLOOKUP(CONCATENATE(Tabla1[[#This Row],[Severidad]]," ",Tabla1[[#This Row],[Complejidad]]),Catalogos!E$120:G$128,3,FALSE),"")</f>
        <v>64</v>
      </c>
      <c r="V3333" s="31" t="str">
        <f>IF(Tabla1[[#This Row],[Tiempo solución max (hrs)]]&lt;&gt;"",IF(Tabla1[[#This Row],[Tiempo solución max (hrs)]]&gt;=Tabla1[[#This Row],[Tiempo
(Hrs 00/100)]],"cumple","no cumple"),"")</f>
        <v>cumple</v>
      </c>
      <c r="W3333" s="222" t="s">
        <v>5372</v>
      </c>
      <c r="X3333" s="18" t="str">
        <f t="shared" si="237"/>
        <v>SAI</v>
      </c>
      <c r="Y3333" t="str">
        <f>SUBSTITUTE(Tabla1[[#This Row],[Descripción]],CHAR(10),"    I    ")</f>
        <v>Toma de avance diario y actualización de cronograma</v>
      </c>
      <c r="Z3333" s="112">
        <f>VLOOKUP(Tabla1[[#This Row],[Perfil]],Catalogos!$B$75:$D$100,3,FALSE)*Tabla1[[#This Row],[Tiempo
(Hrs 00/100)]]*1.16</f>
        <v>348</v>
      </c>
      <c r="AA3333" t="s">
        <v>3356</v>
      </c>
    </row>
    <row r="3334" spans="1:27" ht="30" customHeight="1" thickBot="1" x14ac:dyDescent="0.35">
      <c r="A3334" s="834" t="s">
        <v>22</v>
      </c>
      <c r="B3334" s="834" t="s">
        <v>23</v>
      </c>
      <c r="C3334" s="834" t="s">
        <v>49</v>
      </c>
      <c r="D3334" s="834"/>
      <c r="E3334" s="677" t="s">
        <v>6065</v>
      </c>
      <c r="F3334" s="834" t="s">
        <v>23</v>
      </c>
      <c r="G3334" s="677" t="s">
        <v>6068</v>
      </c>
      <c r="H3334" s="835" t="s">
        <v>5086</v>
      </c>
      <c r="I3334" s="836" t="s">
        <v>5087</v>
      </c>
      <c r="J3334" s="837">
        <v>45268</v>
      </c>
      <c r="K3334" s="838">
        <v>0.375</v>
      </c>
      <c r="L3334" s="837">
        <v>45268</v>
      </c>
      <c r="M3334" s="839">
        <v>0.39583333333333331</v>
      </c>
      <c r="N3334" s="840">
        <v>0.5</v>
      </c>
      <c r="O3334" s="841" t="s">
        <v>17</v>
      </c>
      <c r="P3334" s="842" t="s">
        <v>5088</v>
      </c>
      <c r="Q3334" s="843" t="s">
        <v>28</v>
      </c>
      <c r="R3334" s="684" t="s">
        <v>78</v>
      </c>
      <c r="S3334" s="31" t="s">
        <v>273</v>
      </c>
      <c r="T3334" s="31" t="s">
        <v>273</v>
      </c>
      <c r="U3334" s="31">
        <f>IFERROR(VLOOKUP(CONCATENATE(Tabla1[[#This Row],[Severidad]]," ",Tabla1[[#This Row],[Complejidad]]),Catalogos!E$120:G$128,3,FALSE),"")</f>
        <v>64</v>
      </c>
      <c r="V3334" s="31" t="str">
        <f>IF(Tabla1[[#This Row],[Tiempo solución max (hrs)]]&lt;&gt;"",IF(Tabla1[[#This Row],[Tiempo solución max (hrs)]]&gt;=Tabla1[[#This Row],[Tiempo
(Hrs 00/100)]],"cumple","no cumple"),"")</f>
        <v>cumple</v>
      </c>
      <c r="W3334" s="222" t="s">
        <v>5372</v>
      </c>
      <c r="X3334" s="18" t="str">
        <f t="shared" si="237"/>
        <v>SAI</v>
      </c>
      <c r="Y3334" t="str">
        <f>SUBSTITUTE(Tabla1[[#This Row],[Descripción]],CHAR(10),"    I    ")</f>
        <v>Toma de avance diario y actualización de cronograma</v>
      </c>
      <c r="Z3334" s="112">
        <f>VLOOKUP(Tabla1[[#This Row],[Perfil]],Catalogos!$B$75:$D$100,3,FALSE)*Tabla1[[#This Row],[Tiempo
(Hrs 00/100)]]*1.16</f>
        <v>348</v>
      </c>
      <c r="AA3334" t="s">
        <v>3356</v>
      </c>
    </row>
    <row r="3335" spans="1:27" ht="30" customHeight="1" thickBot="1" x14ac:dyDescent="0.35">
      <c r="A3335" s="834" t="s">
        <v>22</v>
      </c>
      <c r="B3335" s="834" t="s">
        <v>23</v>
      </c>
      <c r="C3335" s="834" t="s">
        <v>49</v>
      </c>
      <c r="D3335" s="834"/>
      <c r="E3335" s="677" t="s">
        <v>6067</v>
      </c>
      <c r="F3335" s="834" t="s">
        <v>23</v>
      </c>
      <c r="G3335" s="677" t="s">
        <v>6070</v>
      </c>
      <c r="H3335" s="835" t="s">
        <v>5086</v>
      </c>
      <c r="I3335" s="836" t="s">
        <v>5087</v>
      </c>
      <c r="J3335" s="837">
        <v>45271</v>
      </c>
      <c r="K3335" s="838">
        <v>0.375</v>
      </c>
      <c r="L3335" s="837">
        <v>45271</v>
      </c>
      <c r="M3335" s="839">
        <v>0.39583333333333331</v>
      </c>
      <c r="N3335" s="840">
        <v>0.5</v>
      </c>
      <c r="O3335" s="841" t="s">
        <v>17</v>
      </c>
      <c r="P3335" s="842" t="s">
        <v>5088</v>
      </c>
      <c r="Q3335" s="843" t="s">
        <v>28</v>
      </c>
      <c r="R3335" s="684" t="s">
        <v>78</v>
      </c>
      <c r="S3335" s="31" t="s">
        <v>273</v>
      </c>
      <c r="T3335" s="31" t="s">
        <v>273</v>
      </c>
      <c r="U3335" s="31">
        <f>IFERROR(VLOOKUP(CONCATENATE(Tabla1[[#This Row],[Severidad]]," ",Tabla1[[#This Row],[Complejidad]]),Catalogos!E$120:G$128,3,FALSE),"")</f>
        <v>64</v>
      </c>
      <c r="V3335" s="31" t="str">
        <f>IF(Tabla1[[#This Row],[Tiempo solución max (hrs)]]&lt;&gt;"",IF(Tabla1[[#This Row],[Tiempo solución max (hrs)]]&gt;=Tabla1[[#This Row],[Tiempo
(Hrs 00/100)]],"cumple","no cumple"),"")</f>
        <v>cumple</v>
      </c>
      <c r="W3335" s="222" t="s">
        <v>5372</v>
      </c>
      <c r="X3335" s="18" t="str">
        <f t="shared" si="237"/>
        <v>SAI</v>
      </c>
      <c r="Y3335" t="str">
        <f>SUBSTITUTE(Tabla1[[#This Row],[Descripción]],CHAR(10),"    I    ")</f>
        <v>Toma de avance diario y actualización de cronograma</v>
      </c>
      <c r="Z3335" s="112">
        <f>VLOOKUP(Tabla1[[#This Row],[Perfil]],Catalogos!$B$75:$D$100,3,FALSE)*Tabla1[[#This Row],[Tiempo
(Hrs 00/100)]]*1.16</f>
        <v>348</v>
      </c>
      <c r="AA3335" t="s">
        <v>3356</v>
      </c>
    </row>
    <row r="3336" spans="1:27" ht="30" customHeight="1" thickBot="1" x14ac:dyDescent="0.35">
      <c r="A3336" s="834" t="s">
        <v>22</v>
      </c>
      <c r="B3336" s="834" t="s">
        <v>23</v>
      </c>
      <c r="C3336" s="834" t="s">
        <v>49</v>
      </c>
      <c r="D3336" s="834"/>
      <c r="E3336" s="677" t="s">
        <v>6069</v>
      </c>
      <c r="F3336" s="834" t="s">
        <v>23</v>
      </c>
      <c r="G3336" s="677" t="s">
        <v>6072</v>
      </c>
      <c r="H3336" s="835" t="s">
        <v>5086</v>
      </c>
      <c r="I3336" s="836" t="s">
        <v>5091</v>
      </c>
      <c r="J3336" s="837">
        <v>45271</v>
      </c>
      <c r="K3336" s="838">
        <v>0.375</v>
      </c>
      <c r="L3336" s="837">
        <v>45271</v>
      </c>
      <c r="M3336" s="839">
        <v>0.41666666666666669</v>
      </c>
      <c r="N3336" s="840">
        <v>1</v>
      </c>
      <c r="O3336" s="841" t="s">
        <v>17</v>
      </c>
      <c r="P3336" s="842" t="s">
        <v>5092</v>
      </c>
      <c r="Q3336" s="843" t="s">
        <v>28</v>
      </c>
      <c r="R3336" s="684" t="s">
        <v>78</v>
      </c>
      <c r="S3336" s="31" t="s">
        <v>273</v>
      </c>
      <c r="T3336" s="31" t="s">
        <v>273</v>
      </c>
      <c r="U3336" s="31">
        <f>IFERROR(VLOOKUP(CONCATENATE(Tabla1[[#This Row],[Severidad]]," ",Tabla1[[#This Row],[Complejidad]]),Catalogos!E$120:G$128,3,FALSE),"")</f>
        <v>64</v>
      </c>
      <c r="V3336" s="31" t="str">
        <f>IF(Tabla1[[#This Row],[Tiempo solución max (hrs)]]&lt;&gt;"",IF(Tabla1[[#This Row],[Tiempo solución max (hrs)]]&gt;=Tabla1[[#This Row],[Tiempo
(Hrs 00/100)]],"cumple","no cumple"),"")</f>
        <v>cumple</v>
      </c>
      <c r="W3336" s="222" t="s">
        <v>5372</v>
      </c>
      <c r="X3336" s="18" t="str">
        <f t="shared" si="237"/>
        <v>SAI</v>
      </c>
      <c r="Y3336" t="str">
        <f>SUBSTITUTE(Tabla1[[#This Row],[Descripción]],CHAR(10),"    I    ")</f>
        <v>Revisión y actualización de Plan de riesgos</v>
      </c>
      <c r="Z3336" s="112">
        <f>VLOOKUP(Tabla1[[#This Row],[Perfil]],Catalogos!$B$75:$D$100,3,FALSE)*Tabla1[[#This Row],[Tiempo
(Hrs 00/100)]]*1.16</f>
        <v>696</v>
      </c>
      <c r="AA3336" t="s">
        <v>3356</v>
      </c>
    </row>
    <row r="3337" spans="1:27" ht="30" customHeight="1" thickBot="1" x14ac:dyDescent="0.35">
      <c r="A3337" s="834" t="s">
        <v>22</v>
      </c>
      <c r="B3337" s="834" t="s">
        <v>23</v>
      </c>
      <c r="C3337" s="834" t="s">
        <v>49</v>
      </c>
      <c r="D3337" s="834"/>
      <c r="E3337" s="677" t="s">
        <v>6071</v>
      </c>
      <c r="F3337" s="834" t="s">
        <v>23</v>
      </c>
      <c r="G3337" s="677" t="s">
        <v>6073</v>
      </c>
      <c r="H3337" s="835" t="s">
        <v>5086</v>
      </c>
      <c r="I3337" s="836" t="s">
        <v>5094</v>
      </c>
      <c r="J3337" s="837">
        <v>45271</v>
      </c>
      <c r="K3337" s="838">
        <v>0.375</v>
      </c>
      <c r="L3337" s="837">
        <v>45271</v>
      </c>
      <c r="M3337" s="839">
        <v>0.41666666666666669</v>
      </c>
      <c r="N3337" s="840">
        <v>1</v>
      </c>
      <c r="O3337" s="841" t="s">
        <v>17</v>
      </c>
      <c r="P3337" s="842" t="s">
        <v>5095</v>
      </c>
      <c r="Q3337" s="843" t="s">
        <v>28</v>
      </c>
      <c r="R3337" s="684" t="s">
        <v>78</v>
      </c>
      <c r="S3337" s="31" t="s">
        <v>273</v>
      </c>
      <c r="T3337" s="31" t="s">
        <v>273</v>
      </c>
      <c r="U3337" s="31">
        <f>IFERROR(VLOOKUP(CONCATENATE(Tabla1[[#This Row],[Severidad]]," ",Tabla1[[#This Row],[Complejidad]]),Catalogos!E$120:G$128,3,FALSE),"")</f>
        <v>64</v>
      </c>
      <c r="V3337" s="31" t="str">
        <f>IF(Tabla1[[#This Row],[Tiempo solución max (hrs)]]&lt;&gt;"",IF(Tabla1[[#This Row],[Tiempo solución max (hrs)]]&gt;=Tabla1[[#This Row],[Tiempo
(Hrs 00/100)]],"cumple","no cumple"),"")</f>
        <v>cumple</v>
      </c>
      <c r="W3337" s="222" t="s">
        <v>5372</v>
      </c>
      <c r="X3337" s="18" t="str">
        <f t="shared" si="237"/>
        <v>SAI</v>
      </c>
      <c r="Y3337" t="str">
        <f>SUBSTITUTE(Tabla1[[#This Row],[Descripción]],CHAR(10),"    I    ")</f>
        <v>Generación de Presentación semanal de estatus del proyecto</v>
      </c>
      <c r="Z3337" s="112">
        <f>VLOOKUP(Tabla1[[#This Row],[Perfil]],Catalogos!$B$75:$D$100,3,FALSE)*Tabla1[[#This Row],[Tiempo
(Hrs 00/100)]]*1.16</f>
        <v>696</v>
      </c>
      <c r="AA3337" t="s">
        <v>3356</v>
      </c>
    </row>
    <row r="3338" spans="1:27" ht="30" customHeight="1" thickBot="1" x14ac:dyDescent="0.35">
      <c r="A3338" s="834" t="s">
        <v>22</v>
      </c>
      <c r="B3338" s="834" t="s">
        <v>23</v>
      </c>
      <c r="C3338" s="834" t="s">
        <v>49</v>
      </c>
      <c r="D3338" s="834"/>
      <c r="E3338" s="677" t="s">
        <v>4133</v>
      </c>
      <c r="F3338" s="834" t="s">
        <v>23</v>
      </c>
      <c r="G3338" s="677" t="s">
        <v>6075</v>
      </c>
      <c r="H3338" s="835" t="s">
        <v>5086</v>
      </c>
      <c r="I3338" s="836" t="s">
        <v>6074</v>
      </c>
      <c r="J3338" s="837">
        <v>45271</v>
      </c>
      <c r="K3338" s="838">
        <v>0.5</v>
      </c>
      <c r="L3338" s="837">
        <v>45271</v>
      </c>
      <c r="M3338" s="839">
        <v>0.54166666666666663</v>
      </c>
      <c r="N3338" s="840">
        <v>1</v>
      </c>
      <c r="O3338" s="841" t="s">
        <v>17</v>
      </c>
      <c r="P3338" s="842" t="s">
        <v>5098</v>
      </c>
      <c r="Q3338" s="843" t="s">
        <v>28</v>
      </c>
      <c r="R3338" s="684" t="s">
        <v>78</v>
      </c>
      <c r="S3338" s="31" t="s">
        <v>273</v>
      </c>
      <c r="T3338" s="31" t="s">
        <v>273</v>
      </c>
      <c r="U3338" s="31">
        <f>IFERROR(VLOOKUP(CONCATENATE(Tabla1[[#This Row],[Severidad]]," ",Tabla1[[#This Row],[Complejidad]]),Catalogos!E$120:G$128,3,FALSE),"")</f>
        <v>64</v>
      </c>
      <c r="V3338" s="31" t="str">
        <f>IF(Tabla1[[#This Row],[Tiempo solución max (hrs)]]&lt;&gt;"",IF(Tabla1[[#This Row],[Tiempo solución max (hrs)]]&gt;=Tabla1[[#This Row],[Tiempo
(Hrs 00/100)]],"cumple","no cumple"),"")</f>
        <v>cumple</v>
      </c>
      <c r="W3338" s="222" t="s">
        <v>5372</v>
      </c>
      <c r="X3338" s="18" t="str">
        <f t="shared" si="237"/>
        <v>SAI</v>
      </c>
      <c r="Y3338" t="str">
        <f>SUBSTITUTE(Tabla1[[#This Row],[Descripción]],CHAR(10),"    I    ")</f>
        <v>Presentación avance semanal del 04 al 08 de diciembre 2023</v>
      </c>
      <c r="Z3338" s="112">
        <f>VLOOKUP(Tabla1[[#This Row],[Perfil]],Catalogos!$B$75:$D$100,3,FALSE)*Tabla1[[#This Row],[Tiempo
(Hrs 00/100)]]*1.16</f>
        <v>696</v>
      </c>
      <c r="AA3338" t="s">
        <v>3356</v>
      </c>
    </row>
    <row r="3339" spans="1:27" ht="30" customHeight="1" thickBot="1" x14ac:dyDescent="0.35">
      <c r="A3339" s="834" t="s">
        <v>22</v>
      </c>
      <c r="B3339" s="834" t="s">
        <v>23</v>
      </c>
      <c r="C3339" s="834" t="s">
        <v>49</v>
      </c>
      <c r="D3339" s="834"/>
      <c r="E3339" s="677" t="s">
        <v>4133</v>
      </c>
      <c r="F3339" s="834" t="s">
        <v>23</v>
      </c>
      <c r="G3339" s="677" t="s">
        <v>6076</v>
      </c>
      <c r="H3339" s="835" t="s">
        <v>5086</v>
      </c>
      <c r="I3339" s="836" t="s">
        <v>5087</v>
      </c>
      <c r="J3339" s="837">
        <v>45272</v>
      </c>
      <c r="K3339" s="838">
        <v>0.375</v>
      </c>
      <c r="L3339" s="837">
        <v>45272</v>
      </c>
      <c r="M3339" s="839">
        <v>0.39583333333333331</v>
      </c>
      <c r="N3339" s="840">
        <v>0.5</v>
      </c>
      <c r="O3339" s="841" t="s">
        <v>17</v>
      </c>
      <c r="P3339" s="842" t="s">
        <v>5088</v>
      </c>
      <c r="Q3339" s="843" t="s">
        <v>28</v>
      </c>
      <c r="R3339" s="684" t="s">
        <v>78</v>
      </c>
      <c r="S3339" s="31" t="s">
        <v>273</v>
      </c>
      <c r="T3339" s="31" t="s">
        <v>273</v>
      </c>
      <c r="U3339" s="31">
        <f>IFERROR(VLOOKUP(CONCATENATE(Tabla1[[#This Row],[Severidad]]," ",Tabla1[[#This Row],[Complejidad]]),Catalogos!E$120:G$128,3,FALSE),"")</f>
        <v>64</v>
      </c>
      <c r="V3339" s="31" t="str">
        <f>IF(Tabla1[[#This Row],[Tiempo solución max (hrs)]]&lt;&gt;"",IF(Tabla1[[#This Row],[Tiempo solución max (hrs)]]&gt;=Tabla1[[#This Row],[Tiempo
(Hrs 00/100)]],"cumple","no cumple"),"")</f>
        <v>cumple</v>
      </c>
      <c r="W3339" s="222" t="s">
        <v>5372</v>
      </c>
      <c r="X3339" s="18" t="str">
        <f t="shared" si="237"/>
        <v>SAI</v>
      </c>
      <c r="Y3339" t="str">
        <f>SUBSTITUTE(Tabla1[[#This Row],[Descripción]],CHAR(10),"    I    ")</f>
        <v>Toma de avance diario y actualización de cronograma</v>
      </c>
      <c r="Z3339" s="112">
        <f>VLOOKUP(Tabla1[[#This Row],[Perfil]],Catalogos!$B$75:$D$100,3,FALSE)*Tabla1[[#This Row],[Tiempo
(Hrs 00/100)]]*1.16</f>
        <v>348</v>
      </c>
      <c r="AA3339" t="s">
        <v>3356</v>
      </c>
    </row>
    <row r="3340" spans="1:27" ht="30" customHeight="1" thickBot="1" x14ac:dyDescent="0.35">
      <c r="A3340" s="834" t="s">
        <v>22</v>
      </c>
      <c r="B3340" s="834" t="s">
        <v>23</v>
      </c>
      <c r="C3340" s="834" t="s">
        <v>49</v>
      </c>
      <c r="D3340" s="834"/>
      <c r="E3340" s="677" t="s">
        <v>4133</v>
      </c>
      <c r="F3340" s="834" t="s">
        <v>23</v>
      </c>
      <c r="G3340" s="677" t="s">
        <v>6077</v>
      </c>
      <c r="H3340" s="835" t="s">
        <v>5086</v>
      </c>
      <c r="I3340" s="836" t="s">
        <v>5087</v>
      </c>
      <c r="J3340" s="837">
        <v>45273</v>
      </c>
      <c r="K3340" s="838">
        <v>0.375</v>
      </c>
      <c r="L3340" s="837">
        <v>45273</v>
      </c>
      <c r="M3340" s="839">
        <v>0.41666666666666669</v>
      </c>
      <c r="N3340" s="840">
        <v>1</v>
      </c>
      <c r="O3340" s="841" t="s">
        <v>17</v>
      </c>
      <c r="P3340" s="842" t="s">
        <v>5088</v>
      </c>
      <c r="Q3340" s="843" t="s">
        <v>28</v>
      </c>
      <c r="R3340" s="684" t="s">
        <v>78</v>
      </c>
      <c r="S3340" s="31" t="s">
        <v>273</v>
      </c>
      <c r="T3340" s="31" t="s">
        <v>273</v>
      </c>
      <c r="U3340" s="31">
        <f>IFERROR(VLOOKUP(CONCATENATE(Tabla1[[#This Row],[Severidad]]," ",Tabla1[[#This Row],[Complejidad]]),Catalogos!E$120:G$128,3,FALSE),"")</f>
        <v>64</v>
      </c>
      <c r="V3340" s="31" t="str">
        <f>IF(Tabla1[[#This Row],[Tiempo solución max (hrs)]]&lt;&gt;"",IF(Tabla1[[#This Row],[Tiempo solución max (hrs)]]&gt;=Tabla1[[#This Row],[Tiempo
(Hrs 00/100)]],"cumple","no cumple"),"")</f>
        <v>cumple</v>
      </c>
      <c r="W3340" s="222" t="s">
        <v>5372</v>
      </c>
      <c r="X3340" s="18" t="str">
        <f t="shared" si="237"/>
        <v>SAI</v>
      </c>
      <c r="Y3340" t="str">
        <f>SUBSTITUTE(Tabla1[[#This Row],[Descripción]],CHAR(10),"    I    ")</f>
        <v>Toma de avance diario y actualización de cronograma</v>
      </c>
      <c r="Z3340" s="112">
        <f>VLOOKUP(Tabla1[[#This Row],[Perfil]],Catalogos!$B$75:$D$100,3,FALSE)*Tabla1[[#This Row],[Tiempo
(Hrs 00/100)]]*1.16</f>
        <v>696</v>
      </c>
      <c r="AA3340" t="s">
        <v>3356</v>
      </c>
    </row>
    <row r="3341" spans="1:27" ht="30" customHeight="1" thickBot="1" x14ac:dyDescent="0.35">
      <c r="A3341" s="834" t="s">
        <v>22</v>
      </c>
      <c r="B3341" s="834" t="s">
        <v>23</v>
      </c>
      <c r="C3341" s="834" t="s">
        <v>49</v>
      </c>
      <c r="D3341" s="834"/>
      <c r="E3341" s="677" t="s">
        <v>4133</v>
      </c>
      <c r="F3341" s="834" t="s">
        <v>23</v>
      </c>
      <c r="G3341" s="677" t="s">
        <v>6078</v>
      </c>
      <c r="H3341" s="835" t="s">
        <v>5086</v>
      </c>
      <c r="I3341" s="836" t="s">
        <v>5087</v>
      </c>
      <c r="J3341" s="837">
        <v>45274</v>
      </c>
      <c r="K3341" s="838">
        <v>0.375</v>
      </c>
      <c r="L3341" s="837">
        <v>45274</v>
      </c>
      <c r="M3341" s="839">
        <v>0.41666666666666669</v>
      </c>
      <c r="N3341" s="840">
        <v>1</v>
      </c>
      <c r="O3341" s="841" t="s">
        <v>17</v>
      </c>
      <c r="P3341" s="842" t="s">
        <v>5088</v>
      </c>
      <c r="Q3341" s="843" t="s">
        <v>28</v>
      </c>
      <c r="R3341" s="684" t="s">
        <v>78</v>
      </c>
      <c r="S3341" s="31" t="s">
        <v>273</v>
      </c>
      <c r="T3341" s="31" t="s">
        <v>273</v>
      </c>
      <c r="U3341" s="31">
        <f>IFERROR(VLOOKUP(CONCATENATE(Tabla1[[#This Row],[Severidad]]," ",Tabla1[[#This Row],[Complejidad]]),Catalogos!E$120:G$128,3,FALSE),"")</f>
        <v>64</v>
      </c>
      <c r="V3341" s="31" t="str">
        <f>IF(Tabla1[[#This Row],[Tiempo solución max (hrs)]]&lt;&gt;"",IF(Tabla1[[#This Row],[Tiempo solución max (hrs)]]&gt;=Tabla1[[#This Row],[Tiempo
(Hrs 00/100)]],"cumple","no cumple"),"")</f>
        <v>cumple</v>
      </c>
      <c r="W3341" s="222" t="s">
        <v>5372</v>
      </c>
      <c r="X3341" s="18" t="str">
        <f t="shared" si="237"/>
        <v>SAI</v>
      </c>
      <c r="Y3341" t="str">
        <f>SUBSTITUTE(Tabla1[[#This Row],[Descripción]],CHAR(10),"    I    ")</f>
        <v>Toma de avance diario y actualización de cronograma</v>
      </c>
      <c r="Z3341" s="112">
        <f>VLOOKUP(Tabla1[[#This Row],[Perfil]],Catalogos!$B$75:$D$100,3,FALSE)*Tabla1[[#This Row],[Tiempo
(Hrs 00/100)]]*1.16</f>
        <v>696</v>
      </c>
      <c r="AA3341" t="s">
        <v>3356</v>
      </c>
    </row>
    <row r="3342" spans="1:27" ht="30" customHeight="1" thickBot="1" x14ac:dyDescent="0.35">
      <c r="A3342" s="834" t="s">
        <v>22</v>
      </c>
      <c r="B3342" s="834" t="s">
        <v>23</v>
      </c>
      <c r="C3342" s="834" t="s">
        <v>49</v>
      </c>
      <c r="D3342" s="834"/>
      <c r="E3342" s="677" t="s">
        <v>4133</v>
      </c>
      <c r="F3342" s="834" t="s">
        <v>23</v>
      </c>
      <c r="G3342" s="677" t="s">
        <v>6079</v>
      </c>
      <c r="H3342" s="835" t="s">
        <v>5086</v>
      </c>
      <c r="I3342" s="836" t="s">
        <v>5087</v>
      </c>
      <c r="J3342" s="837">
        <v>45275</v>
      </c>
      <c r="K3342" s="838">
        <v>0.375</v>
      </c>
      <c r="L3342" s="837">
        <v>45275</v>
      </c>
      <c r="M3342" s="839">
        <v>0.39583333333333331</v>
      </c>
      <c r="N3342" s="840">
        <v>0.5</v>
      </c>
      <c r="O3342" s="841" t="s">
        <v>17</v>
      </c>
      <c r="P3342" s="842" t="s">
        <v>5088</v>
      </c>
      <c r="Q3342" s="843" t="s">
        <v>28</v>
      </c>
      <c r="R3342" s="684" t="s">
        <v>78</v>
      </c>
      <c r="S3342" s="31" t="s">
        <v>273</v>
      </c>
      <c r="T3342" s="31" t="s">
        <v>273</v>
      </c>
      <c r="U3342" s="31">
        <f>IFERROR(VLOOKUP(CONCATENATE(Tabla1[[#This Row],[Severidad]]," ",Tabla1[[#This Row],[Complejidad]]),Catalogos!E$120:G$128,3,FALSE),"")</f>
        <v>64</v>
      </c>
      <c r="V3342" s="31" t="str">
        <f>IF(Tabla1[[#This Row],[Tiempo solución max (hrs)]]&lt;&gt;"",IF(Tabla1[[#This Row],[Tiempo solución max (hrs)]]&gt;=Tabla1[[#This Row],[Tiempo
(Hrs 00/100)]],"cumple","no cumple"),"")</f>
        <v>cumple</v>
      </c>
      <c r="W3342" s="222" t="s">
        <v>5372</v>
      </c>
      <c r="X3342" s="18" t="str">
        <f t="shared" si="237"/>
        <v>SAI</v>
      </c>
      <c r="Y3342" t="str">
        <f>SUBSTITUTE(Tabla1[[#This Row],[Descripción]],CHAR(10),"    I    ")</f>
        <v>Toma de avance diario y actualización de cronograma</v>
      </c>
      <c r="Z3342" s="112">
        <f>VLOOKUP(Tabla1[[#This Row],[Perfil]],Catalogos!$B$75:$D$100,3,FALSE)*Tabla1[[#This Row],[Tiempo
(Hrs 00/100)]]*1.16</f>
        <v>348</v>
      </c>
      <c r="AA3342" t="s">
        <v>3356</v>
      </c>
    </row>
    <row r="3343" spans="1:27" ht="30" customHeight="1" thickBot="1" x14ac:dyDescent="0.35">
      <c r="A3343" s="834" t="s">
        <v>22</v>
      </c>
      <c r="B3343" s="834" t="s">
        <v>23</v>
      </c>
      <c r="C3343" s="834" t="s">
        <v>49</v>
      </c>
      <c r="D3343" s="834"/>
      <c r="E3343" s="677" t="s">
        <v>4133</v>
      </c>
      <c r="F3343" s="834" t="s">
        <v>23</v>
      </c>
      <c r="G3343" s="677" t="s">
        <v>6080</v>
      </c>
      <c r="H3343" s="835" t="s">
        <v>5086</v>
      </c>
      <c r="I3343" s="836" t="s">
        <v>5087</v>
      </c>
      <c r="J3343" s="837">
        <v>45278</v>
      </c>
      <c r="K3343" s="838">
        <v>0.375</v>
      </c>
      <c r="L3343" s="837">
        <v>45278</v>
      </c>
      <c r="M3343" s="839">
        <v>0.39583333333333331</v>
      </c>
      <c r="N3343" s="840">
        <v>0.5</v>
      </c>
      <c r="O3343" s="841" t="s">
        <v>17</v>
      </c>
      <c r="P3343" s="842" t="s">
        <v>5088</v>
      </c>
      <c r="Q3343" s="843" t="s">
        <v>28</v>
      </c>
      <c r="R3343" s="684" t="s">
        <v>78</v>
      </c>
      <c r="S3343" s="31" t="s">
        <v>273</v>
      </c>
      <c r="T3343" s="31" t="s">
        <v>273</v>
      </c>
      <c r="U3343" s="31">
        <f>IFERROR(VLOOKUP(CONCATENATE(Tabla1[[#This Row],[Severidad]]," ",Tabla1[[#This Row],[Complejidad]]),Catalogos!E$120:G$128,3,FALSE),"")</f>
        <v>64</v>
      </c>
      <c r="V3343" s="31" t="str">
        <f>IF(Tabla1[[#This Row],[Tiempo solución max (hrs)]]&lt;&gt;"",IF(Tabla1[[#This Row],[Tiempo solución max (hrs)]]&gt;=Tabla1[[#This Row],[Tiempo
(Hrs 00/100)]],"cumple","no cumple"),"")</f>
        <v>cumple</v>
      </c>
      <c r="W3343" s="222" t="s">
        <v>5372</v>
      </c>
      <c r="X3343" s="18" t="str">
        <f t="shared" si="237"/>
        <v>SAI</v>
      </c>
      <c r="Y3343" t="str">
        <f>SUBSTITUTE(Tabla1[[#This Row],[Descripción]],CHAR(10),"    I    ")</f>
        <v>Toma de avance diario y actualización de cronograma</v>
      </c>
      <c r="Z3343" s="112">
        <f>VLOOKUP(Tabla1[[#This Row],[Perfil]],Catalogos!$B$75:$D$100,3,FALSE)*Tabla1[[#This Row],[Tiempo
(Hrs 00/100)]]*1.16</f>
        <v>348</v>
      </c>
      <c r="AA3343" t="s">
        <v>3356</v>
      </c>
    </row>
    <row r="3344" spans="1:27" ht="30" customHeight="1" thickBot="1" x14ac:dyDescent="0.35">
      <c r="A3344" s="834" t="s">
        <v>22</v>
      </c>
      <c r="B3344" s="834" t="s">
        <v>23</v>
      </c>
      <c r="C3344" s="834" t="s">
        <v>49</v>
      </c>
      <c r="D3344" s="834"/>
      <c r="E3344" s="677" t="s">
        <v>4133</v>
      </c>
      <c r="F3344" s="834" t="s">
        <v>23</v>
      </c>
      <c r="G3344" s="677" t="s">
        <v>6081</v>
      </c>
      <c r="H3344" s="835" t="s">
        <v>5086</v>
      </c>
      <c r="I3344" s="836" t="s">
        <v>5091</v>
      </c>
      <c r="J3344" s="837">
        <v>45278</v>
      </c>
      <c r="K3344" s="838">
        <v>0.375</v>
      </c>
      <c r="L3344" s="837">
        <v>45278</v>
      </c>
      <c r="M3344" s="839">
        <v>0.41666666666666669</v>
      </c>
      <c r="N3344" s="840">
        <v>1</v>
      </c>
      <c r="O3344" s="841" t="s">
        <v>17</v>
      </c>
      <c r="P3344" s="842" t="s">
        <v>5092</v>
      </c>
      <c r="Q3344" s="843" t="s">
        <v>28</v>
      </c>
      <c r="R3344" s="684" t="s">
        <v>78</v>
      </c>
      <c r="S3344" s="31" t="s">
        <v>273</v>
      </c>
      <c r="T3344" s="31" t="s">
        <v>273</v>
      </c>
      <c r="U3344" s="31">
        <f>IFERROR(VLOOKUP(CONCATENATE(Tabla1[[#This Row],[Severidad]]," ",Tabla1[[#This Row],[Complejidad]]),Catalogos!E$120:G$128,3,FALSE),"")</f>
        <v>64</v>
      </c>
      <c r="V3344" s="31" t="str">
        <f>IF(Tabla1[[#This Row],[Tiempo solución max (hrs)]]&lt;&gt;"",IF(Tabla1[[#This Row],[Tiempo solución max (hrs)]]&gt;=Tabla1[[#This Row],[Tiempo
(Hrs 00/100)]],"cumple","no cumple"),"")</f>
        <v>cumple</v>
      </c>
      <c r="W3344" s="222" t="s">
        <v>5372</v>
      </c>
      <c r="X3344" s="18" t="str">
        <f t="shared" si="237"/>
        <v>SAI</v>
      </c>
      <c r="Y3344" t="str">
        <f>SUBSTITUTE(Tabla1[[#This Row],[Descripción]],CHAR(10),"    I    ")</f>
        <v>Revisión y actualización de Plan de riesgos</v>
      </c>
      <c r="Z3344" s="112">
        <f>VLOOKUP(Tabla1[[#This Row],[Perfil]],Catalogos!$B$75:$D$100,3,FALSE)*Tabla1[[#This Row],[Tiempo
(Hrs 00/100)]]*1.16</f>
        <v>696</v>
      </c>
      <c r="AA3344" t="s">
        <v>3356</v>
      </c>
    </row>
    <row r="3345" spans="1:27" ht="30" customHeight="1" thickBot="1" x14ac:dyDescent="0.35">
      <c r="A3345" s="834" t="s">
        <v>22</v>
      </c>
      <c r="B3345" s="834" t="s">
        <v>23</v>
      </c>
      <c r="C3345" s="834" t="s">
        <v>49</v>
      </c>
      <c r="D3345" s="834"/>
      <c r="E3345" s="677" t="s">
        <v>4133</v>
      </c>
      <c r="F3345" s="834" t="s">
        <v>23</v>
      </c>
      <c r="G3345" s="677" t="s">
        <v>6082</v>
      </c>
      <c r="H3345" s="835" t="s">
        <v>5086</v>
      </c>
      <c r="I3345" s="836" t="s">
        <v>5094</v>
      </c>
      <c r="J3345" s="837">
        <v>45278</v>
      </c>
      <c r="K3345" s="838">
        <v>0.375</v>
      </c>
      <c r="L3345" s="837">
        <v>45278</v>
      </c>
      <c r="M3345" s="839">
        <v>0.41666666666666669</v>
      </c>
      <c r="N3345" s="840">
        <v>1</v>
      </c>
      <c r="O3345" s="841" t="s">
        <v>17</v>
      </c>
      <c r="P3345" s="842" t="s">
        <v>5095</v>
      </c>
      <c r="Q3345" s="843" t="s">
        <v>28</v>
      </c>
      <c r="R3345" s="684" t="s">
        <v>78</v>
      </c>
      <c r="S3345" s="31" t="s">
        <v>273</v>
      </c>
      <c r="T3345" s="31" t="s">
        <v>273</v>
      </c>
      <c r="U3345" s="31">
        <f>IFERROR(VLOOKUP(CONCATENATE(Tabla1[[#This Row],[Severidad]]," ",Tabla1[[#This Row],[Complejidad]]),Catalogos!E$120:G$128,3,FALSE),"")</f>
        <v>64</v>
      </c>
      <c r="V3345" s="31" t="str">
        <f>IF(Tabla1[[#This Row],[Tiempo solución max (hrs)]]&lt;&gt;"",IF(Tabla1[[#This Row],[Tiempo solución max (hrs)]]&gt;=Tabla1[[#This Row],[Tiempo
(Hrs 00/100)]],"cumple","no cumple"),"")</f>
        <v>cumple</v>
      </c>
      <c r="W3345" s="222" t="s">
        <v>5372</v>
      </c>
      <c r="X3345" s="18" t="str">
        <f t="shared" si="237"/>
        <v>SAI</v>
      </c>
      <c r="Y3345" t="str">
        <f>SUBSTITUTE(Tabla1[[#This Row],[Descripción]],CHAR(10),"    I    ")</f>
        <v>Generación de Presentación semanal de estatus del proyecto</v>
      </c>
      <c r="Z3345" s="112">
        <f>VLOOKUP(Tabla1[[#This Row],[Perfil]],Catalogos!$B$75:$D$100,3,FALSE)*Tabla1[[#This Row],[Tiempo
(Hrs 00/100)]]*1.16</f>
        <v>696</v>
      </c>
      <c r="AA3345" t="s">
        <v>3356</v>
      </c>
    </row>
    <row r="3346" spans="1:27" ht="30" customHeight="1" thickBot="1" x14ac:dyDescent="0.35">
      <c r="A3346" s="834" t="s">
        <v>22</v>
      </c>
      <c r="B3346" s="834" t="s">
        <v>23</v>
      </c>
      <c r="C3346" s="834" t="s">
        <v>49</v>
      </c>
      <c r="D3346" s="834"/>
      <c r="E3346" s="677" t="s">
        <v>4133</v>
      </c>
      <c r="F3346" s="834" t="s">
        <v>23</v>
      </c>
      <c r="G3346" s="677" t="s">
        <v>6084</v>
      </c>
      <c r="H3346" s="835" t="s">
        <v>5086</v>
      </c>
      <c r="I3346" s="836" t="s">
        <v>6083</v>
      </c>
      <c r="J3346" s="837">
        <v>45278</v>
      </c>
      <c r="K3346" s="838">
        <v>0.5</v>
      </c>
      <c r="L3346" s="837">
        <v>45278</v>
      </c>
      <c r="M3346" s="839">
        <v>0.54166666666666663</v>
      </c>
      <c r="N3346" s="840">
        <v>1</v>
      </c>
      <c r="O3346" s="841" t="s">
        <v>17</v>
      </c>
      <c r="P3346" s="842" t="s">
        <v>5098</v>
      </c>
      <c r="Q3346" s="843" t="s">
        <v>28</v>
      </c>
      <c r="R3346" s="684" t="s">
        <v>78</v>
      </c>
      <c r="S3346" s="31" t="s">
        <v>273</v>
      </c>
      <c r="T3346" s="31" t="s">
        <v>273</v>
      </c>
      <c r="U3346" s="31">
        <f>IFERROR(VLOOKUP(CONCATENATE(Tabla1[[#This Row],[Severidad]]," ",Tabla1[[#This Row],[Complejidad]]),Catalogos!E$120:G$128,3,FALSE),"")</f>
        <v>64</v>
      </c>
      <c r="V3346" s="31" t="str">
        <f>IF(Tabla1[[#This Row],[Tiempo solución max (hrs)]]&lt;&gt;"",IF(Tabla1[[#This Row],[Tiempo solución max (hrs)]]&gt;=Tabla1[[#This Row],[Tiempo
(Hrs 00/100)]],"cumple","no cumple"),"")</f>
        <v>cumple</v>
      </c>
      <c r="W3346" s="222" t="s">
        <v>5372</v>
      </c>
      <c r="X3346" s="18" t="str">
        <f t="shared" si="237"/>
        <v>SAI</v>
      </c>
      <c r="Y3346" t="str">
        <f>SUBSTITUTE(Tabla1[[#This Row],[Descripción]],CHAR(10),"    I    ")</f>
        <v>Presentación avance semanal del 11 al 15 de diciembre 2023</v>
      </c>
      <c r="Z3346" s="112">
        <f>VLOOKUP(Tabla1[[#This Row],[Perfil]],Catalogos!$B$75:$D$100,3,FALSE)*Tabla1[[#This Row],[Tiempo
(Hrs 00/100)]]*1.16</f>
        <v>696</v>
      </c>
      <c r="AA3346" t="s">
        <v>3356</v>
      </c>
    </row>
    <row r="3347" spans="1:27" ht="30" customHeight="1" thickBot="1" x14ac:dyDescent="0.35">
      <c r="A3347" s="834" t="s">
        <v>22</v>
      </c>
      <c r="B3347" s="834" t="s">
        <v>23</v>
      </c>
      <c r="C3347" s="834" t="s">
        <v>49</v>
      </c>
      <c r="D3347" s="834"/>
      <c r="E3347" s="677" t="s">
        <v>4133</v>
      </c>
      <c r="F3347" s="834" t="s">
        <v>23</v>
      </c>
      <c r="G3347" s="677" t="s">
        <v>6085</v>
      </c>
      <c r="H3347" s="835" t="s">
        <v>5086</v>
      </c>
      <c r="I3347" s="836" t="s">
        <v>5087</v>
      </c>
      <c r="J3347" s="837">
        <v>45279</v>
      </c>
      <c r="K3347" s="838">
        <v>0.375</v>
      </c>
      <c r="L3347" s="837">
        <v>45279</v>
      </c>
      <c r="M3347" s="839">
        <v>0.41666666666666669</v>
      </c>
      <c r="N3347" s="840">
        <v>1</v>
      </c>
      <c r="O3347" s="841" t="s">
        <v>17</v>
      </c>
      <c r="P3347" s="842" t="s">
        <v>5088</v>
      </c>
      <c r="Q3347" s="843" t="s">
        <v>28</v>
      </c>
      <c r="R3347" s="684" t="s">
        <v>78</v>
      </c>
      <c r="S3347" s="31" t="s">
        <v>273</v>
      </c>
      <c r="T3347" s="31" t="s">
        <v>273</v>
      </c>
      <c r="U3347" s="31">
        <f>IFERROR(VLOOKUP(CONCATENATE(Tabla1[[#This Row],[Severidad]]," ",Tabla1[[#This Row],[Complejidad]]),Catalogos!E$120:G$128,3,FALSE),"")</f>
        <v>64</v>
      </c>
      <c r="V3347" s="31" t="str">
        <f>IF(Tabla1[[#This Row],[Tiempo solución max (hrs)]]&lt;&gt;"",IF(Tabla1[[#This Row],[Tiempo solución max (hrs)]]&gt;=Tabla1[[#This Row],[Tiempo
(Hrs 00/100)]],"cumple","no cumple"),"")</f>
        <v>cumple</v>
      </c>
      <c r="W3347" s="222" t="s">
        <v>5372</v>
      </c>
      <c r="X3347" s="18" t="str">
        <f t="shared" si="237"/>
        <v>SAI</v>
      </c>
      <c r="Y3347" t="str">
        <f>SUBSTITUTE(Tabla1[[#This Row],[Descripción]],CHAR(10),"    I    ")</f>
        <v>Toma de avance diario y actualización de cronograma</v>
      </c>
      <c r="Z3347" s="112">
        <f>VLOOKUP(Tabla1[[#This Row],[Perfil]],Catalogos!$B$75:$D$100,3,FALSE)*Tabla1[[#This Row],[Tiempo
(Hrs 00/100)]]*1.16</f>
        <v>696</v>
      </c>
      <c r="AA3347" t="s">
        <v>3356</v>
      </c>
    </row>
    <row r="3348" spans="1:27" ht="30" customHeight="1" thickBot="1" x14ac:dyDescent="0.35">
      <c r="A3348" s="834" t="s">
        <v>22</v>
      </c>
      <c r="B3348" s="834" t="s">
        <v>23</v>
      </c>
      <c r="C3348" s="834" t="s">
        <v>49</v>
      </c>
      <c r="D3348" s="834"/>
      <c r="E3348" s="677" t="s">
        <v>4133</v>
      </c>
      <c r="F3348" s="834" t="s">
        <v>23</v>
      </c>
      <c r="G3348" s="677" t="s">
        <v>6086</v>
      </c>
      <c r="H3348" s="835" t="s">
        <v>5086</v>
      </c>
      <c r="I3348" s="836" t="s">
        <v>5087</v>
      </c>
      <c r="J3348" s="837">
        <v>45280</v>
      </c>
      <c r="K3348" s="838">
        <v>0.375</v>
      </c>
      <c r="L3348" s="837">
        <v>45280</v>
      </c>
      <c r="M3348" s="839">
        <v>0.41666666666666669</v>
      </c>
      <c r="N3348" s="840">
        <v>1</v>
      </c>
      <c r="O3348" s="841" t="s">
        <v>17</v>
      </c>
      <c r="P3348" s="842" t="s">
        <v>5088</v>
      </c>
      <c r="Q3348" s="843" t="s">
        <v>28</v>
      </c>
      <c r="R3348" s="684" t="s">
        <v>78</v>
      </c>
      <c r="S3348" s="31" t="s">
        <v>273</v>
      </c>
      <c r="T3348" s="31" t="s">
        <v>273</v>
      </c>
      <c r="U3348" s="31">
        <f>IFERROR(VLOOKUP(CONCATENATE(Tabla1[[#This Row],[Severidad]]," ",Tabla1[[#This Row],[Complejidad]]),Catalogos!E$120:G$128,3,FALSE),"")</f>
        <v>64</v>
      </c>
      <c r="V3348" s="31" t="str">
        <f>IF(Tabla1[[#This Row],[Tiempo solución max (hrs)]]&lt;&gt;"",IF(Tabla1[[#This Row],[Tiempo solución max (hrs)]]&gt;=Tabla1[[#This Row],[Tiempo
(Hrs 00/100)]],"cumple","no cumple"),"")</f>
        <v>cumple</v>
      </c>
      <c r="W3348" s="222" t="s">
        <v>5372</v>
      </c>
      <c r="X3348" s="18" t="str">
        <f t="shared" si="237"/>
        <v>SAI</v>
      </c>
      <c r="Y3348" t="str">
        <f>SUBSTITUTE(Tabla1[[#This Row],[Descripción]],CHAR(10),"    I    ")</f>
        <v>Toma de avance diario y actualización de cronograma</v>
      </c>
      <c r="Z3348" s="112">
        <f>VLOOKUP(Tabla1[[#This Row],[Perfil]],Catalogos!$B$75:$D$100,3,FALSE)*Tabla1[[#This Row],[Tiempo
(Hrs 00/100)]]*1.16</f>
        <v>696</v>
      </c>
      <c r="AA3348" t="s">
        <v>3356</v>
      </c>
    </row>
    <row r="3349" spans="1:27" ht="30" customHeight="1" thickBot="1" x14ac:dyDescent="0.35">
      <c r="A3349" s="834" t="s">
        <v>22</v>
      </c>
      <c r="B3349" s="834" t="s">
        <v>23</v>
      </c>
      <c r="C3349" s="834" t="s">
        <v>49</v>
      </c>
      <c r="D3349" s="834"/>
      <c r="E3349" s="677" t="s">
        <v>4133</v>
      </c>
      <c r="F3349" s="834" t="s">
        <v>23</v>
      </c>
      <c r="G3349" s="677" t="s">
        <v>6087</v>
      </c>
      <c r="H3349" s="835" t="s">
        <v>5086</v>
      </c>
      <c r="I3349" s="836" t="s">
        <v>5087</v>
      </c>
      <c r="J3349" s="837">
        <v>45281</v>
      </c>
      <c r="K3349" s="838">
        <v>0.375</v>
      </c>
      <c r="L3349" s="837">
        <v>45281</v>
      </c>
      <c r="M3349" s="839">
        <v>0.39583333333333331</v>
      </c>
      <c r="N3349" s="840">
        <v>0.5</v>
      </c>
      <c r="O3349" s="841" t="s">
        <v>17</v>
      </c>
      <c r="P3349" s="842" t="s">
        <v>5088</v>
      </c>
      <c r="Q3349" s="843" t="s">
        <v>28</v>
      </c>
      <c r="R3349" s="684" t="s">
        <v>78</v>
      </c>
      <c r="S3349" s="31" t="s">
        <v>273</v>
      </c>
      <c r="T3349" s="31" t="s">
        <v>273</v>
      </c>
      <c r="U3349" s="31">
        <f>IFERROR(VLOOKUP(CONCATENATE(Tabla1[[#This Row],[Severidad]]," ",Tabla1[[#This Row],[Complejidad]]),Catalogos!E$120:G$128,3,FALSE),"")</f>
        <v>64</v>
      </c>
      <c r="V3349" s="31" t="str">
        <f>IF(Tabla1[[#This Row],[Tiempo solución max (hrs)]]&lt;&gt;"",IF(Tabla1[[#This Row],[Tiempo solución max (hrs)]]&gt;=Tabla1[[#This Row],[Tiempo
(Hrs 00/100)]],"cumple","no cumple"),"")</f>
        <v>cumple</v>
      </c>
      <c r="W3349" s="222" t="s">
        <v>5372</v>
      </c>
      <c r="X3349" s="18" t="str">
        <f t="shared" si="237"/>
        <v>SAI</v>
      </c>
      <c r="Y3349" t="str">
        <f>SUBSTITUTE(Tabla1[[#This Row],[Descripción]],CHAR(10),"    I    ")</f>
        <v>Toma de avance diario y actualización de cronograma</v>
      </c>
      <c r="Z3349" s="112">
        <f>VLOOKUP(Tabla1[[#This Row],[Perfil]],Catalogos!$B$75:$D$100,3,FALSE)*Tabla1[[#This Row],[Tiempo
(Hrs 00/100)]]*1.16</f>
        <v>348</v>
      </c>
      <c r="AA3349" t="s">
        <v>3356</v>
      </c>
    </row>
    <row r="3350" spans="1:27" ht="30" customHeight="1" thickBot="1" x14ac:dyDescent="0.35">
      <c r="A3350" s="834" t="s">
        <v>22</v>
      </c>
      <c r="B3350" s="834" t="s">
        <v>23</v>
      </c>
      <c r="C3350" s="834" t="s">
        <v>49</v>
      </c>
      <c r="D3350" s="834"/>
      <c r="E3350" s="677" t="s">
        <v>4133</v>
      </c>
      <c r="F3350" s="834" t="s">
        <v>23</v>
      </c>
      <c r="G3350" s="677" t="s">
        <v>6088</v>
      </c>
      <c r="H3350" s="835" t="s">
        <v>5086</v>
      </c>
      <c r="I3350" s="836" t="s">
        <v>5087</v>
      </c>
      <c r="J3350" s="837">
        <v>45282</v>
      </c>
      <c r="K3350" s="838">
        <v>0.375</v>
      </c>
      <c r="L3350" s="837">
        <v>45282</v>
      </c>
      <c r="M3350" s="839">
        <v>0.41666666666666669</v>
      </c>
      <c r="N3350" s="840">
        <v>1</v>
      </c>
      <c r="O3350" s="841" t="s">
        <v>17</v>
      </c>
      <c r="P3350" s="842" t="s">
        <v>5088</v>
      </c>
      <c r="Q3350" s="843" t="s">
        <v>28</v>
      </c>
      <c r="R3350" s="684" t="s">
        <v>78</v>
      </c>
      <c r="S3350" s="31" t="s">
        <v>273</v>
      </c>
      <c r="T3350" s="31" t="s">
        <v>273</v>
      </c>
      <c r="U3350" s="31">
        <f>IFERROR(VLOOKUP(CONCATENATE(Tabla1[[#This Row],[Severidad]]," ",Tabla1[[#This Row],[Complejidad]]),Catalogos!E$120:G$128,3,FALSE),"")</f>
        <v>64</v>
      </c>
      <c r="V3350" s="31" t="str">
        <f>IF(Tabla1[[#This Row],[Tiempo solución max (hrs)]]&lt;&gt;"",IF(Tabla1[[#This Row],[Tiempo solución max (hrs)]]&gt;=Tabla1[[#This Row],[Tiempo
(Hrs 00/100)]],"cumple","no cumple"),"")</f>
        <v>cumple</v>
      </c>
      <c r="W3350" s="222" t="s">
        <v>5372</v>
      </c>
      <c r="X3350" s="18" t="str">
        <f t="shared" si="237"/>
        <v>SAI</v>
      </c>
      <c r="Y3350" t="str">
        <f>SUBSTITUTE(Tabla1[[#This Row],[Descripción]],CHAR(10),"    I    ")</f>
        <v>Toma de avance diario y actualización de cronograma</v>
      </c>
      <c r="Z3350" s="112">
        <f>VLOOKUP(Tabla1[[#This Row],[Perfil]],Catalogos!$B$75:$D$100,3,FALSE)*Tabla1[[#This Row],[Tiempo
(Hrs 00/100)]]*1.16</f>
        <v>696</v>
      </c>
      <c r="AA3350" t="s">
        <v>3356</v>
      </c>
    </row>
    <row r="3351" spans="1:27" ht="30" customHeight="1" thickBot="1" x14ac:dyDescent="0.35">
      <c r="A3351" s="834" t="s">
        <v>22</v>
      </c>
      <c r="B3351" s="834" t="s">
        <v>23</v>
      </c>
      <c r="C3351" s="834" t="s">
        <v>49</v>
      </c>
      <c r="D3351" s="834"/>
      <c r="E3351" s="677" t="s">
        <v>4133</v>
      </c>
      <c r="F3351" s="834" t="s">
        <v>23</v>
      </c>
      <c r="G3351" s="677" t="s">
        <v>6089</v>
      </c>
      <c r="H3351" s="835" t="s">
        <v>5086</v>
      </c>
      <c r="I3351" s="836" t="s">
        <v>5091</v>
      </c>
      <c r="J3351" s="837">
        <v>45286</v>
      </c>
      <c r="K3351" s="838">
        <v>0.375</v>
      </c>
      <c r="L3351" s="837">
        <v>45286</v>
      </c>
      <c r="M3351" s="839">
        <v>0.41666666666666669</v>
      </c>
      <c r="N3351" s="840">
        <v>1</v>
      </c>
      <c r="O3351" s="841" t="s">
        <v>17</v>
      </c>
      <c r="P3351" s="842" t="s">
        <v>5092</v>
      </c>
      <c r="Q3351" s="843" t="s">
        <v>28</v>
      </c>
      <c r="R3351" s="684" t="s">
        <v>78</v>
      </c>
      <c r="S3351" s="31" t="s">
        <v>273</v>
      </c>
      <c r="T3351" s="31" t="s">
        <v>273</v>
      </c>
      <c r="U3351" s="31">
        <f>IFERROR(VLOOKUP(CONCATENATE(Tabla1[[#This Row],[Severidad]]," ",Tabla1[[#This Row],[Complejidad]]),Catalogos!E$120:G$128,3,FALSE),"")</f>
        <v>64</v>
      </c>
      <c r="V3351" s="31" t="str">
        <f>IF(Tabla1[[#This Row],[Tiempo solución max (hrs)]]&lt;&gt;"",IF(Tabla1[[#This Row],[Tiempo solución max (hrs)]]&gt;=Tabla1[[#This Row],[Tiempo
(Hrs 00/100)]],"cumple","no cumple"),"")</f>
        <v>cumple</v>
      </c>
      <c r="W3351" s="222" t="s">
        <v>5372</v>
      </c>
      <c r="X3351" s="18" t="str">
        <f t="shared" si="237"/>
        <v>SAI</v>
      </c>
      <c r="Y3351" t="str">
        <f>SUBSTITUTE(Tabla1[[#This Row],[Descripción]],CHAR(10),"    I    ")</f>
        <v>Revisión y actualización de Plan de riesgos</v>
      </c>
      <c r="Z3351" s="112">
        <f>VLOOKUP(Tabla1[[#This Row],[Perfil]],Catalogos!$B$75:$D$100,3,FALSE)*Tabla1[[#This Row],[Tiempo
(Hrs 00/100)]]*1.16</f>
        <v>696</v>
      </c>
      <c r="AA3351" t="s">
        <v>3356</v>
      </c>
    </row>
    <row r="3352" spans="1:27" ht="30" customHeight="1" thickBot="1" x14ac:dyDescent="0.35">
      <c r="A3352" s="834" t="s">
        <v>22</v>
      </c>
      <c r="B3352" s="834" t="s">
        <v>23</v>
      </c>
      <c r="C3352" s="834" t="s">
        <v>49</v>
      </c>
      <c r="D3352" s="834"/>
      <c r="E3352" s="677" t="s">
        <v>4133</v>
      </c>
      <c r="F3352" s="834" t="s">
        <v>23</v>
      </c>
      <c r="G3352" s="677" t="s">
        <v>6090</v>
      </c>
      <c r="H3352" s="835" t="s">
        <v>5086</v>
      </c>
      <c r="I3352" s="836" t="s">
        <v>5094</v>
      </c>
      <c r="J3352" s="837">
        <v>45286</v>
      </c>
      <c r="K3352" s="838">
        <v>0.375</v>
      </c>
      <c r="L3352" s="837">
        <v>45286</v>
      </c>
      <c r="M3352" s="839">
        <v>0.41666666666666669</v>
      </c>
      <c r="N3352" s="840">
        <v>1</v>
      </c>
      <c r="O3352" s="841" t="s">
        <v>17</v>
      </c>
      <c r="P3352" s="842" t="s">
        <v>5095</v>
      </c>
      <c r="Q3352" s="843" t="s">
        <v>28</v>
      </c>
      <c r="R3352" s="684" t="s">
        <v>78</v>
      </c>
      <c r="S3352" s="31" t="s">
        <v>273</v>
      </c>
      <c r="T3352" s="31" t="s">
        <v>273</v>
      </c>
      <c r="U3352" s="31">
        <f>IFERROR(VLOOKUP(CONCATENATE(Tabla1[[#This Row],[Severidad]]," ",Tabla1[[#This Row],[Complejidad]]),Catalogos!E$120:G$128,3,FALSE),"")</f>
        <v>64</v>
      </c>
      <c r="V3352" s="31" t="str">
        <f>IF(Tabla1[[#This Row],[Tiempo solución max (hrs)]]&lt;&gt;"",IF(Tabla1[[#This Row],[Tiempo solución max (hrs)]]&gt;=Tabla1[[#This Row],[Tiempo
(Hrs 00/100)]],"cumple","no cumple"),"")</f>
        <v>cumple</v>
      </c>
      <c r="W3352" s="222" t="s">
        <v>5372</v>
      </c>
      <c r="X3352" s="18" t="str">
        <f t="shared" si="237"/>
        <v>SAI</v>
      </c>
      <c r="Y3352" t="str">
        <f>SUBSTITUTE(Tabla1[[#This Row],[Descripción]],CHAR(10),"    I    ")</f>
        <v>Generación de Presentación semanal de estatus del proyecto</v>
      </c>
      <c r="Z3352" s="112">
        <f>VLOOKUP(Tabla1[[#This Row],[Perfil]],Catalogos!$B$75:$D$100,3,FALSE)*Tabla1[[#This Row],[Tiempo
(Hrs 00/100)]]*1.16</f>
        <v>696</v>
      </c>
      <c r="AA3352" t="s">
        <v>3356</v>
      </c>
    </row>
    <row r="3353" spans="1:27" ht="30" customHeight="1" thickBot="1" x14ac:dyDescent="0.35">
      <c r="A3353" s="834" t="s">
        <v>22</v>
      </c>
      <c r="B3353" s="834" t="s">
        <v>23</v>
      </c>
      <c r="C3353" s="834" t="s">
        <v>49</v>
      </c>
      <c r="D3353" s="834"/>
      <c r="E3353" s="677" t="s">
        <v>4133</v>
      </c>
      <c r="F3353" s="834" t="s">
        <v>23</v>
      </c>
      <c r="G3353" s="677" t="s">
        <v>6092</v>
      </c>
      <c r="H3353" s="835" t="s">
        <v>5086</v>
      </c>
      <c r="I3353" s="836" t="s">
        <v>6091</v>
      </c>
      <c r="J3353" s="837">
        <v>45286</v>
      </c>
      <c r="K3353" s="838">
        <v>0.5</v>
      </c>
      <c r="L3353" s="837">
        <v>45286</v>
      </c>
      <c r="M3353" s="839">
        <v>0.54166666666666663</v>
      </c>
      <c r="N3353" s="840">
        <v>1</v>
      </c>
      <c r="O3353" s="841" t="s">
        <v>17</v>
      </c>
      <c r="P3353" s="842" t="s">
        <v>5098</v>
      </c>
      <c r="Q3353" s="843" t="s">
        <v>28</v>
      </c>
      <c r="R3353" s="684" t="s">
        <v>78</v>
      </c>
      <c r="S3353" s="31" t="s">
        <v>273</v>
      </c>
      <c r="T3353" s="31" t="s">
        <v>273</v>
      </c>
      <c r="U3353" s="31">
        <f>IFERROR(VLOOKUP(CONCATENATE(Tabla1[[#This Row],[Severidad]]," ",Tabla1[[#This Row],[Complejidad]]),Catalogos!E$120:G$128,3,FALSE),"")</f>
        <v>64</v>
      </c>
      <c r="V3353" s="31" t="str">
        <f>IF(Tabla1[[#This Row],[Tiempo solución max (hrs)]]&lt;&gt;"",IF(Tabla1[[#This Row],[Tiempo solución max (hrs)]]&gt;=Tabla1[[#This Row],[Tiempo
(Hrs 00/100)]],"cumple","no cumple"),"")</f>
        <v>cumple</v>
      </c>
      <c r="W3353" s="222" t="s">
        <v>5372</v>
      </c>
      <c r="X3353" s="18" t="str">
        <f t="shared" si="237"/>
        <v>SAI</v>
      </c>
      <c r="Y3353" t="str">
        <f>SUBSTITUTE(Tabla1[[#This Row],[Descripción]],CHAR(10),"    I    ")</f>
        <v>Presentación avance semanal del 18 al 22 de diciembre 2026</v>
      </c>
      <c r="Z3353" s="112">
        <f>VLOOKUP(Tabla1[[#This Row],[Perfil]],Catalogos!$B$75:$D$100,3,FALSE)*Tabla1[[#This Row],[Tiempo
(Hrs 00/100)]]*1.16</f>
        <v>696</v>
      </c>
      <c r="AA3353" t="s">
        <v>3356</v>
      </c>
    </row>
    <row r="3354" spans="1:27" ht="30" customHeight="1" thickBot="1" x14ac:dyDescent="0.35">
      <c r="A3354" s="834" t="s">
        <v>22</v>
      </c>
      <c r="B3354" s="834" t="s">
        <v>23</v>
      </c>
      <c r="C3354" s="834" t="s">
        <v>49</v>
      </c>
      <c r="D3354" s="834"/>
      <c r="E3354" s="677" t="s">
        <v>4133</v>
      </c>
      <c r="F3354" s="834" t="s">
        <v>23</v>
      </c>
      <c r="G3354" s="677" t="s">
        <v>6093</v>
      </c>
      <c r="H3354" s="835" t="s">
        <v>5086</v>
      </c>
      <c r="I3354" s="836" t="s">
        <v>5087</v>
      </c>
      <c r="J3354" s="837">
        <v>45287</v>
      </c>
      <c r="K3354" s="838">
        <v>0.375</v>
      </c>
      <c r="L3354" s="837">
        <v>45287</v>
      </c>
      <c r="M3354" s="839">
        <v>0.39583333333333331</v>
      </c>
      <c r="N3354" s="840">
        <v>0.5</v>
      </c>
      <c r="O3354" s="841" t="s">
        <v>17</v>
      </c>
      <c r="P3354" s="842" t="s">
        <v>5088</v>
      </c>
      <c r="Q3354" s="843" t="s">
        <v>28</v>
      </c>
      <c r="R3354" s="684" t="s">
        <v>78</v>
      </c>
      <c r="S3354" s="31" t="s">
        <v>273</v>
      </c>
      <c r="T3354" s="31" t="s">
        <v>273</v>
      </c>
      <c r="U3354" s="31">
        <f>IFERROR(VLOOKUP(CONCATENATE(Tabla1[[#This Row],[Severidad]]," ",Tabla1[[#This Row],[Complejidad]]),Catalogos!E$120:G$128,3,FALSE),"")</f>
        <v>64</v>
      </c>
      <c r="V3354" s="31" t="str">
        <f>IF(Tabla1[[#This Row],[Tiempo solución max (hrs)]]&lt;&gt;"",IF(Tabla1[[#This Row],[Tiempo solución max (hrs)]]&gt;=Tabla1[[#This Row],[Tiempo
(Hrs 00/100)]],"cumple","no cumple"),"")</f>
        <v>cumple</v>
      </c>
      <c r="W3354" s="222" t="s">
        <v>5372</v>
      </c>
      <c r="X3354" s="18" t="str">
        <f t="shared" si="237"/>
        <v>SAI</v>
      </c>
      <c r="Y3354" t="str">
        <f>SUBSTITUTE(Tabla1[[#This Row],[Descripción]],CHAR(10),"    I    ")</f>
        <v>Toma de avance diario y actualización de cronograma</v>
      </c>
      <c r="Z3354" s="112">
        <f>VLOOKUP(Tabla1[[#This Row],[Perfil]],Catalogos!$B$75:$D$100,3,FALSE)*Tabla1[[#This Row],[Tiempo
(Hrs 00/100)]]*1.16</f>
        <v>348</v>
      </c>
      <c r="AA3354" t="s">
        <v>3356</v>
      </c>
    </row>
    <row r="3355" spans="1:27" ht="30" customHeight="1" thickBot="1" x14ac:dyDescent="0.35">
      <c r="A3355" s="834" t="s">
        <v>22</v>
      </c>
      <c r="B3355" s="834" t="s">
        <v>23</v>
      </c>
      <c r="C3355" s="834" t="s">
        <v>49</v>
      </c>
      <c r="D3355" s="834"/>
      <c r="E3355" s="677" t="s">
        <v>4133</v>
      </c>
      <c r="F3355" s="834" t="s">
        <v>23</v>
      </c>
      <c r="G3355" s="677" t="s">
        <v>6094</v>
      </c>
      <c r="H3355" s="835" t="s">
        <v>5086</v>
      </c>
      <c r="I3355" s="836" t="s">
        <v>5087</v>
      </c>
      <c r="J3355" s="837">
        <v>45288</v>
      </c>
      <c r="K3355" s="838">
        <v>0.375</v>
      </c>
      <c r="L3355" s="837">
        <v>45288</v>
      </c>
      <c r="M3355" s="839">
        <v>0.39583333333333331</v>
      </c>
      <c r="N3355" s="840">
        <v>0.5</v>
      </c>
      <c r="O3355" s="841" t="s">
        <v>17</v>
      </c>
      <c r="P3355" s="842" t="s">
        <v>5088</v>
      </c>
      <c r="Q3355" s="843" t="s">
        <v>28</v>
      </c>
      <c r="R3355" s="684" t="s">
        <v>78</v>
      </c>
      <c r="S3355" s="31" t="s">
        <v>273</v>
      </c>
      <c r="T3355" s="31" t="s">
        <v>273</v>
      </c>
      <c r="U3355" s="31">
        <f>IFERROR(VLOOKUP(CONCATENATE(Tabla1[[#This Row],[Severidad]]," ",Tabla1[[#This Row],[Complejidad]]),Catalogos!E$120:G$128,3,FALSE),"")</f>
        <v>64</v>
      </c>
      <c r="V3355" s="31" t="str">
        <f>IF(Tabla1[[#This Row],[Tiempo solución max (hrs)]]&lt;&gt;"",IF(Tabla1[[#This Row],[Tiempo solución max (hrs)]]&gt;=Tabla1[[#This Row],[Tiempo
(Hrs 00/100)]],"cumple","no cumple"),"")</f>
        <v>cumple</v>
      </c>
      <c r="W3355" s="222" t="s">
        <v>5372</v>
      </c>
      <c r="X3355" s="18" t="str">
        <f t="shared" si="237"/>
        <v>SAI</v>
      </c>
      <c r="Y3355" t="str">
        <f>SUBSTITUTE(Tabla1[[#This Row],[Descripción]],CHAR(10),"    I    ")</f>
        <v>Toma de avance diario y actualización de cronograma</v>
      </c>
      <c r="Z3355" s="112">
        <f>VLOOKUP(Tabla1[[#This Row],[Perfil]],Catalogos!$B$75:$D$100,3,FALSE)*Tabla1[[#This Row],[Tiempo
(Hrs 00/100)]]*1.16</f>
        <v>348</v>
      </c>
      <c r="AA3355" t="s">
        <v>3356</v>
      </c>
    </row>
    <row r="3356" spans="1:27" ht="30" customHeight="1" thickBot="1" x14ac:dyDescent="0.35">
      <c r="A3356" s="834" t="s">
        <v>22</v>
      </c>
      <c r="B3356" s="834" t="s">
        <v>23</v>
      </c>
      <c r="C3356" s="834" t="s">
        <v>49</v>
      </c>
      <c r="D3356" s="834"/>
      <c r="E3356" s="677" t="s">
        <v>4133</v>
      </c>
      <c r="F3356" s="834" t="s">
        <v>23</v>
      </c>
      <c r="G3356" s="224" t="s">
        <v>6095</v>
      </c>
      <c r="H3356" s="835" t="s">
        <v>5086</v>
      </c>
      <c r="I3356" s="836" t="s">
        <v>5087</v>
      </c>
      <c r="J3356" s="837">
        <v>45289</v>
      </c>
      <c r="K3356" s="838">
        <v>0.375</v>
      </c>
      <c r="L3356" s="837">
        <v>45289</v>
      </c>
      <c r="M3356" s="839">
        <v>0.39583333333333331</v>
      </c>
      <c r="N3356" s="840">
        <v>0.5</v>
      </c>
      <c r="O3356" s="841" t="s">
        <v>17</v>
      </c>
      <c r="P3356" s="842" t="s">
        <v>5088</v>
      </c>
      <c r="Q3356" s="843" t="s">
        <v>28</v>
      </c>
      <c r="R3356" s="684" t="s">
        <v>78</v>
      </c>
      <c r="S3356" s="31" t="s">
        <v>273</v>
      </c>
      <c r="T3356" s="31" t="s">
        <v>273</v>
      </c>
      <c r="U3356" s="31">
        <f>IFERROR(VLOOKUP(CONCATENATE(Tabla1[[#This Row],[Severidad]]," ",Tabla1[[#This Row],[Complejidad]]),Catalogos!E$120:G$128,3,FALSE),"")</f>
        <v>64</v>
      </c>
      <c r="V3356" s="31" t="str">
        <f>IF(Tabla1[[#This Row],[Tiempo solución max (hrs)]]&lt;&gt;"",IF(Tabla1[[#This Row],[Tiempo solución max (hrs)]]&gt;=Tabla1[[#This Row],[Tiempo
(Hrs 00/100)]],"cumple","no cumple"),"")</f>
        <v>cumple</v>
      </c>
      <c r="W3356" s="222" t="s">
        <v>5372</v>
      </c>
      <c r="X3356" s="18" t="str">
        <f t="shared" si="237"/>
        <v>SAI</v>
      </c>
      <c r="Y3356" t="str">
        <f>SUBSTITUTE(Tabla1[[#This Row],[Descripción]],CHAR(10),"    I    ")</f>
        <v>Toma de avance diario y actualización de cronograma</v>
      </c>
      <c r="Z3356" s="112">
        <f>VLOOKUP(Tabla1[[#This Row],[Perfil]],Catalogos!$B$75:$D$100,3,FALSE)*Tabla1[[#This Row],[Tiempo
(Hrs 00/100)]]*1.16</f>
        <v>348</v>
      </c>
      <c r="AA3356" t="s">
        <v>3356</v>
      </c>
    </row>
    <row r="3357" spans="1:27" ht="30" customHeight="1" x14ac:dyDescent="0.3">
      <c r="A3357" s="198" t="s">
        <v>22</v>
      </c>
      <c r="B3357" s="198" t="s">
        <v>23</v>
      </c>
      <c r="C3357" s="205" t="s">
        <v>49</v>
      </c>
      <c r="D3357" s="198"/>
      <c r="E3357" s="198" t="s">
        <v>4133</v>
      </c>
      <c r="F3357" s="198" t="s">
        <v>75</v>
      </c>
      <c r="G3357" s="702" t="s">
        <v>6099</v>
      </c>
      <c r="H3357" s="207" t="s">
        <v>5348</v>
      </c>
      <c r="I3357" s="208" t="s">
        <v>6096</v>
      </c>
      <c r="J3357" s="369">
        <v>45282</v>
      </c>
      <c r="K3357" s="747">
        <v>0.375</v>
      </c>
      <c r="L3357" s="369">
        <v>45282</v>
      </c>
      <c r="M3357" s="753">
        <v>0.54166666666666663</v>
      </c>
      <c r="N3357" s="187">
        <v>4</v>
      </c>
      <c r="O3357" s="204" t="s">
        <v>17</v>
      </c>
      <c r="P3357" s="197" t="s">
        <v>5351</v>
      </c>
      <c r="Q3357" s="201" t="s">
        <v>4175</v>
      </c>
      <c r="R3357" s="202" t="s">
        <v>81</v>
      </c>
      <c r="S3357" s="31" t="s">
        <v>273</v>
      </c>
      <c r="T3357" s="31" t="s">
        <v>273</v>
      </c>
      <c r="U3357" s="31">
        <f>IFERROR(VLOOKUP(CONCATENATE(Tabla1[[#This Row],[Severidad]]," ",Tabla1[[#This Row],[Complejidad]]),Catalogos!E$120:G$128,3,FALSE),"")</f>
        <v>64</v>
      </c>
      <c r="V3357" s="31" t="str">
        <f>IF(Tabla1[[#This Row],[Tiempo solución max (hrs)]]&lt;&gt;"",IF(Tabla1[[#This Row],[Tiempo solución max (hrs)]]&gt;=Tabla1[[#This Row],[Tiempo
(Hrs 00/100)]],"cumple","no cumple"),"")</f>
        <v>cumple</v>
      </c>
      <c r="W3357" s="222" t="s">
        <v>5372</v>
      </c>
      <c r="X3357" s="18" t="str">
        <f t="shared" si="237"/>
        <v>SAI</v>
      </c>
      <c r="Y3357" t="str">
        <f>SUBSTITUTE(Tabla1[[#This Row],[Descripción]],CHAR(10),"    I    ")</f>
        <v>Ejecución y registro de incidentes de las pruebas Internas del SPRINT 5</v>
      </c>
      <c r="Z3357" s="112">
        <f>VLOOKUP(Tabla1[[#This Row],[Perfil]],Catalogos!$B$75:$D$100,3,FALSE)*Tabla1[[#This Row],[Tiempo
(Hrs 00/100)]]*1.16</f>
        <v>2320</v>
      </c>
      <c r="AA3357" t="s">
        <v>3356</v>
      </c>
    </row>
    <row r="3358" spans="1:27" ht="30" customHeight="1" x14ac:dyDescent="0.3">
      <c r="A3358" s="198" t="s">
        <v>22</v>
      </c>
      <c r="B3358" s="198" t="s">
        <v>23</v>
      </c>
      <c r="C3358" s="205" t="s">
        <v>49</v>
      </c>
      <c r="D3358" s="198"/>
      <c r="E3358" s="198" t="s">
        <v>4133</v>
      </c>
      <c r="F3358" s="198" t="s">
        <v>75</v>
      </c>
      <c r="G3358" s="702" t="s">
        <v>6100</v>
      </c>
      <c r="H3358" s="207" t="s">
        <v>5348</v>
      </c>
      <c r="I3358" s="208" t="s">
        <v>6097</v>
      </c>
      <c r="J3358" s="369">
        <v>45288</v>
      </c>
      <c r="K3358" s="747">
        <v>0.375</v>
      </c>
      <c r="L3358" s="369">
        <v>45288</v>
      </c>
      <c r="M3358" s="753">
        <v>0.54166666666666663</v>
      </c>
      <c r="N3358" s="187">
        <v>4</v>
      </c>
      <c r="O3358" s="204" t="s">
        <v>17</v>
      </c>
      <c r="P3358" s="197" t="s">
        <v>5351</v>
      </c>
      <c r="Q3358" s="201" t="s">
        <v>4175</v>
      </c>
      <c r="R3358" s="202" t="s">
        <v>81</v>
      </c>
      <c r="S3358" s="31" t="s">
        <v>273</v>
      </c>
      <c r="T3358" s="31" t="s">
        <v>273</v>
      </c>
      <c r="U3358" s="31">
        <f>IFERROR(VLOOKUP(CONCATENATE(Tabla1[[#This Row],[Severidad]]," ",Tabla1[[#This Row],[Complejidad]]),Catalogos!E$120:G$128,3,FALSE),"")</f>
        <v>64</v>
      </c>
      <c r="V3358" s="31" t="str">
        <f>IF(Tabla1[[#This Row],[Tiempo solución max (hrs)]]&lt;&gt;"",IF(Tabla1[[#This Row],[Tiempo solución max (hrs)]]&gt;=Tabla1[[#This Row],[Tiempo
(Hrs 00/100)]],"cumple","no cumple"),"")</f>
        <v>cumple</v>
      </c>
      <c r="W3358" s="222" t="s">
        <v>5372</v>
      </c>
      <c r="X3358" s="18" t="str">
        <f t="shared" si="237"/>
        <v>SAI</v>
      </c>
      <c r="Y3358" t="str">
        <f>SUBSTITUTE(Tabla1[[#This Row],[Descripción]],CHAR(10),"    I    ")</f>
        <v>Ejecución y registro de incidentes de las pruebas Internas del SPRINT 3</v>
      </c>
      <c r="Z3358" s="112">
        <f>VLOOKUP(Tabla1[[#This Row],[Perfil]],Catalogos!$B$75:$D$100,3,FALSE)*Tabla1[[#This Row],[Tiempo
(Hrs 00/100)]]*1.16</f>
        <v>2320</v>
      </c>
      <c r="AA3358" t="s">
        <v>3356</v>
      </c>
    </row>
    <row r="3359" spans="1:27" ht="30" customHeight="1" x14ac:dyDescent="0.3">
      <c r="A3359" s="198" t="s">
        <v>22</v>
      </c>
      <c r="B3359" s="198" t="s">
        <v>23</v>
      </c>
      <c r="C3359" s="205" t="s">
        <v>49</v>
      </c>
      <c r="D3359" s="198"/>
      <c r="E3359" s="198" t="s">
        <v>4133</v>
      </c>
      <c r="F3359" s="198" t="s">
        <v>75</v>
      </c>
      <c r="G3359" s="702" t="s">
        <v>6101</v>
      </c>
      <c r="H3359" s="207" t="s">
        <v>5348</v>
      </c>
      <c r="I3359" s="208" t="s">
        <v>6098</v>
      </c>
      <c r="J3359" s="369">
        <v>45288</v>
      </c>
      <c r="K3359" s="747">
        <v>0.375</v>
      </c>
      <c r="L3359" s="369">
        <v>45288</v>
      </c>
      <c r="M3359" s="753">
        <v>0.54166666666666663</v>
      </c>
      <c r="N3359" s="187">
        <v>4</v>
      </c>
      <c r="O3359" s="204" t="s">
        <v>17</v>
      </c>
      <c r="P3359" s="197" t="s">
        <v>5351</v>
      </c>
      <c r="Q3359" s="201" t="s">
        <v>4175</v>
      </c>
      <c r="R3359" s="202" t="s">
        <v>81</v>
      </c>
      <c r="S3359" s="31" t="s">
        <v>273</v>
      </c>
      <c r="T3359" s="31" t="s">
        <v>273</v>
      </c>
      <c r="U3359" s="31">
        <f>IFERROR(VLOOKUP(CONCATENATE(Tabla1[[#This Row],[Severidad]]," ",Tabla1[[#This Row],[Complejidad]]),Catalogos!E$120:G$128,3,FALSE),"")</f>
        <v>64</v>
      </c>
      <c r="V3359" s="31" t="str">
        <f>IF(Tabla1[[#This Row],[Tiempo solución max (hrs)]]&lt;&gt;"",IF(Tabla1[[#This Row],[Tiempo solución max (hrs)]]&gt;=Tabla1[[#This Row],[Tiempo
(Hrs 00/100)]],"cumple","no cumple"),"")</f>
        <v>cumple</v>
      </c>
      <c r="W3359" s="222" t="s">
        <v>5372</v>
      </c>
      <c r="X3359" s="18" t="str">
        <f t="shared" si="237"/>
        <v>SAI</v>
      </c>
      <c r="Y3359" t="str">
        <f>SUBSTITUTE(Tabla1[[#This Row],[Descripción]],CHAR(10),"    I    ")</f>
        <v>Ejecución y resgistro de incidentes de las pruebas Internas del SPRINT 4</v>
      </c>
      <c r="Z3359" s="112">
        <f>VLOOKUP(Tabla1[[#This Row],[Perfil]],Catalogos!$B$75:$D$100,3,FALSE)*Tabla1[[#This Row],[Tiempo
(Hrs 00/100)]]*1.16</f>
        <v>2320</v>
      </c>
      <c r="AA3359" t="s">
        <v>3356</v>
      </c>
    </row>
    <row r="3360" spans="1:27" ht="30" customHeight="1" x14ac:dyDescent="0.3">
      <c r="A3360" s="828" t="s">
        <v>22</v>
      </c>
      <c r="B3360" s="828" t="s">
        <v>23</v>
      </c>
      <c r="C3360" s="828" t="s">
        <v>49</v>
      </c>
      <c r="D3360" s="501"/>
      <c r="E3360" s="828" t="s">
        <v>4133</v>
      </c>
      <c r="F3360" s="828" t="s">
        <v>23</v>
      </c>
      <c r="G3360" s="846" t="s">
        <v>6119</v>
      </c>
      <c r="H3360" s="844" t="s">
        <v>6102</v>
      </c>
      <c r="I3360" s="827" t="s">
        <v>6103</v>
      </c>
      <c r="J3360" s="811">
        <v>45261</v>
      </c>
      <c r="K3360" s="815">
        <v>0.375</v>
      </c>
      <c r="L3360" s="811">
        <v>45261</v>
      </c>
      <c r="M3360" s="815">
        <v>0.5</v>
      </c>
      <c r="N3360" s="692">
        <v>3</v>
      </c>
      <c r="O3360" s="700" t="s">
        <v>17</v>
      </c>
      <c r="P3360" s="845" t="s">
        <v>5237</v>
      </c>
      <c r="Q3360" s="828" t="s">
        <v>5376</v>
      </c>
      <c r="R3360" s="468" t="s">
        <v>40</v>
      </c>
      <c r="S3360" s="31" t="s">
        <v>273</v>
      </c>
      <c r="T3360" s="31" t="s">
        <v>273</v>
      </c>
      <c r="U3360" s="31">
        <f>IFERROR(VLOOKUP(CONCATENATE(Tabla1[[#This Row],[Severidad]]," ",Tabla1[[#This Row],[Complejidad]]),Catalogos!E$120:G$128,3,FALSE),"")</f>
        <v>64</v>
      </c>
      <c r="V3360" s="31" t="str">
        <f>IF(Tabla1[[#This Row],[Tiempo solución max (hrs)]]&lt;&gt;"",IF(Tabla1[[#This Row],[Tiempo solución max (hrs)]]&gt;=Tabla1[[#This Row],[Tiempo
(Hrs 00/100)]],"cumple","no cumple"),"")</f>
        <v>cumple</v>
      </c>
      <c r="W3360" s="222" t="s">
        <v>5372</v>
      </c>
      <c r="X3360" s="18" t="str">
        <f t="shared" si="237"/>
        <v>SAI</v>
      </c>
      <c r="Y3360" t="str">
        <f>SUBSTITUTE(Tabla1[[#This Row],[Descripción]],CHAR(10),"    I    ")</f>
        <v>3.5.7 Activar flechas para ordenar por abreviatura de integrante</v>
      </c>
      <c r="Z3360" s="112">
        <f>VLOOKUP(Tabla1[[#This Row],[Perfil]],Catalogos!$B$75:$D$100,3,FALSE)*Tabla1[[#This Row],[Tiempo
(Hrs 00/100)]]*1.16</f>
        <v>2436</v>
      </c>
      <c r="AA3360" t="s">
        <v>3356</v>
      </c>
    </row>
    <row r="3361" spans="1:27" ht="30" customHeight="1" x14ac:dyDescent="0.3">
      <c r="A3361" s="828" t="s">
        <v>22</v>
      </c>
      <c r="B3361" s="828" t="s">
        <v>23</v>
      </c>
      <c r="C3361" s="828" t="s">
        <v>49</v>
      </c>
      <c r="D3361" s="828"/>
      <c r="E3361" s="828" t="s">
        <v>4133</v>
      </c>
      <c r="F3361" s="828" t="s">
        <v>23</v>
      </c>
      <c r="G3361" s="846" t="s">
        <v>6120</v>
      </c>
      <c r="H3361" s="844" t="s">
        <v>6102</v>
      </c>
      <c r="I3361" s="827" t="s">
        <v>6104</v>
      </c>
      <c r="J3361" s="811">
        <v>45261</v>
      </c>
      <c r="K3361" s="815">
        <v>0.5</v>
      </c>
      <c r="L3361" s="811">
        <v>45261</v>
      </c>
      <c r="M3361" s="815">
        <v>0.72916666666666663</v>
      </c>
      <c r="N3361" s="828">
        <v>4</v>
      </c>
      <c r="O3361" s="697" t="s">
        <v>17</v>
      </c>
      <c r="P3361" s="845" t="s">
        <v>5237</v>
      </c>
      <c r="Q3361" s="828" t="s">
        <v>5376</v>
      </c>
      <c r="R3361" s="468" t="s">
        <v>40</v>
      </c>
      <c r="S3361" s="31" t="s">
        <v>273</v>
      </c>
      <c r="T3361" s="31" t="s">
        <v>273</v>
      </c>
      <c r="U3361" s="31">
        <f>IFERROR(VLOOKUP(CONCATENATE(Tabla1[[#This Row],[Severidad]]," ",Tabla1[[#This Row],[Complejidad]]),Catalogos!E$120:G$128,3,FALSE),"")</f>
        <v>64</v>
      </c>
      <c r="V3361" s="31" t="str">
        <f>IF(Tabla1[[#This Row],[Tiempo solución max (hrs)]]&lt;&gt;"",IF(Tabla1[[#This Row],[Tiempo solución max (hrs)]]&gt;=Tabla1[[#This Row],[Tiempo
(Hrs 00/100)]],"cumple","no cumple"),"")</f>
        <v>cumple</v>
      </c>
      <c r="W3361" s="222" t="s">
        <v>5372</v>
      </c>
      <c r="X3361" s="18" t="str">
        <f t="shared" si="237"/>
        <v>SAI</v>
      </c>
      <c r="Y3361" t="str">
        <f>SUBSTITUTE(Tabla1[[#This Row],[Descripción]],CHAR(10),"    I    ")</f>
        <v>3.5.8 Agregar un cuadro que lleve el conteo de las altas, bajas o cambios que se van realizando por el integrante, mismo que pueda ser visualizado tanto por este como por el administrador, uno general y uno individual.</v>
      </c>
      <c r="Z3361" s="112">
        <f>VLOOKUP(Tabla1[[#This Row],[Perfil]],Catalogos!$B$75:$D$100,3,FALSE)*Tabla1[[#This Row],[Tiempo
(Hrs 00/100)]]*1.16</f>
        <v>3248</v>
      </c>
      <c r="AA3361" t="s">
        <v>3356</v>
      </c>
    </row>
    <row r="3362" spans="1:27" ht="30" customHeight="1" x14ac:dyDescent="0.3">
      <c r="A3362" s="828" t="s">
        <v>22</v>
      </c>
      <c r="B3362" s="828" t="s">
        <v>23</v>
      </c>
      <c r="C3362" s="828" t="s">
        <v>49</v>
      </c>
      <c r="D3362" s="828"/>
      <c r="E3362" s="828" t="s">
        <v>4133</v>
      </c>
      <c r="F3362" s="828" t="s">
        <v>23</v>
      </c>
      <c r="G3362" s="846" t="s">
        <v>6121</v>
      </c>
      <c r="H3362" s="844" t="s">
        <v>6102</v>
      </c>
      <c r="I3362" s="827" t="s">
        <v>6105</v>
      </c>
      <c r="J3362" s="811">
        <v>45261</v>
      </c>
      <c r="K3362" s="815">
        <v>0.72916666666666663</v>
      </c>
      <c r="L3362" s="811">
        <v>45263</v>
      </c>
      <c r="M3362" s="815">
        <v>0.85416666666666663</v>
      </c>
      <c r="N3362" s="828">
        <v>3</v>
      </c>
      <c r="O3362" s="697" t="s">
        <v>17</v>
      </c>
      <c r="P3362" s="845" t="s">
        <v>5237</v>
      </c>
      <c r="Q3362" s="828" t="s">
        <v>5376</v>
      </c>
      <c r="R3362" s="468" t="s">
        <v>40</v>
      </c>
      <c r="S3362" s="31" t="s">
        <v>273</v>
      </c>
      <c r="T3362" s="31" t="s">
        <v>273</v>
      </c>
      <c r="U3362" s="31">
        <f>IFERROR(VLOOKUP(CONCATENATE(Tabla1[[#This Row],[Severidad]]," ",Tabla1[[#This Row],[Complejidad]]),Catalogos!E$120:G$128,3,FALSE),"")</f>
        <v>64</v>
      </c>
      <c r="V3362" s="31" t="str">
        <f>IF(Tabla1[[#This Row],[Tiempo solución max (hrs)]]&lt;&gt;"",IF(Tabla1[[#This Row],[Tiempo solución max (hrs)]]&gt;=Tabla1[[#This Row],[Tiempo
(Hrs 00/100)]],"cumple","no cumple"),"")</f>
        <v>cumple</v>
      </c>
      <c r="W3362" s="222" t="s">
        <v>5372</v>
      </c>
      <c r="X3362" s="18" t="str">
        <f t="shared" si="237"/>
        <v>SAI</v>
      </c>
      <c r="Y3362" t="str">
        <f>SUBSTITUTE(Tabla1[[#This Row],[Descripción]],CHAR(10),"    I    ")</f>
        <v>3.5.9 Contar con un control que permita habilitar o deshabilitar el formato ABC</v>
      </c>
      <c r="Z3362" s="112">
        <f>VLOOKUP(Tabla1[[#This Row],[Perfil]],Catalogos!$B$75:$D$100,3,FALSE)*Tabla1[[#This Row],[Tiempo
(Hrs 00/100)]]*1.16</f>
        <v>2436</v>
      </c>
      <c r="AA3362" t="s">
        <v>3356</v>
      </c>
    </row>
    <row r="3363" spans="1:27" ht="30" customHeight="1" x14ac:dyDescent="0.3">
      <c r="A3363" s="828" t="s">
        <v>22</v>
      </c>
      <c r="B3363" s="828" t="s">
        <v>23</v>
      </c>
      <c r="C3363" s="828" t="s">
        <v>49</v>
      </c>
      <c r="D3363" s="828"/>
      <c r="E3363" s="828" t="s">
        <v>4133</v>
      </c>
      <c r="F3363" s="828" t="s">
        <v>23</v>
      </c>
      <c r="G3363" s="846" t="s">
        <v>6122</v>
      </c>
      <c r="H3363" s="844" t="s">
        <v>6102</v>
      </c>
      <c r="I3363" s="827" t="s">
        <v>6106</v>
      </c>
      <c r="J3363" s="811">
        <v>45264</v>
      </c>
      <c r="K3363" s="815">
        <v>0.375</v>
      </c>
      <c r="L3363" s="811">
        <v>45264</v>
      </c>
      <c r="M3363" s="815">
        <v>0.60416666666666663</v>
      </c>
      <c r="N3363" s="828">
        <v>5.5</v>
      </c>
      <c r="O3363" s="697" t="s">
        <v>17</v>
      </c>
      <c r="P3363" s="845" t="s">
        <v>5237</v>
      </c>
      <c r="Q3363" s="828" t="s">
        <v>5376</v>
      </c>
      <c r="R3363" s="468" t="s">
        <v>40</v>
      </c>
      <c r="S3363" s="31" t="s">
        <v>273</v>
      </c>
      <c r="T3363" s="31" t="s">
        <v>273</v>
      </c>
      <c r="U3363" s="31">
        <f>IFERROR(VLOOKUP(CONCATENATE(Tabla1[[#This Row],[Severidad]]," ",Tabla1[[#This Row],[Complejidad]]),Catalogos!E$120:G$128,3,FALSE),"")</f>
        <v>64</v>
      </c>
      <c r="V3363" s="31" t="str">
        <f>IF(Tabla1[[#This Row],[Tiempo solución max (hrs)]]&lt;&gt;"",IF(Tabla1[[#This Row],[Tiempo solución max (hrs)]]&gt;=Tabla1[[#This Row],[Tiempo
(Hrs 00/100)]],"cumple","no cumple"),"")</f>
        <v>cumple</v>
      </c>
      <c r="W3363" s="222" t="s">
        <v>5372</v>
      </c>
      <c r="X3363" s="18" t="str">
        <f t="shared" si="237"/>
        <v>SAI</v>
      </c>
      <c r="Y3363" t="str">
        <f>SUBSTITUTE(Tabla1[[#This Row],[Descripción]],CHAR(10),"    I    ")</f>
        <v xml:space="preserve">3.5.10 Habilitar botón para que los Enlaces puedan asignar actividades a las UA una vez que éstas ya han sido creadas </v>
      </c>
      <c r="Z3363" s="112">
        <f>VLOOKUP(Tabla1[[#This Row],[Perfil]],Catalogos!$B$75:$D$100,3,FALSE)*Tabla1[[#This Row],[Tiempo
(Hrs 00/100)]]*1.16</f>
        <v>4466</v>
      </c>
      <c r="AA3363" t="s">
        <v>3356</v>
      </c>
    </row>
    <row r="3364" spans="1:27" ht="30" customHeight="1" x14ac:dyDescent="0.3">
      <c r="A3364" s="828" t="s">
        <v>22</v>
      </c>
      <c r="B3364" s="828" t="s">
        <v>23</v>
      </c>
      <c r="C3364" s="828" t="s">
        <v>49</v>
      </c>
      <c r="D3364" s="828"/>
      <c r="E3364" s="828" t="s">
        <v>4133</v>
      </c>
      <c r="F3364" s="828" t="s">
        <v>23</v>
      </c>
      <c r="G3364" s="846" t="s">
        <v>6123</v>
      </c>
      <c r="H3364" s="844" t="s">
        <v>6107</v>
      </c>
      <c r="I3364" s="827" t="s">
        <v>5236</v>
      </c>
      <c r="J3364" s="811">
        <v>45264</v>
      </c>
      <c r="K3364" s="815">
        <v>0.66666666666666663</v>
      </c>
      <c r="L3364" s="811">
        <v>45265</v>
      </c>
      <c r="M3364" s="815">
        <v>0.6875</v>
      </c>
      <c r="N3364" s="828">
        <v>0.5</v>
      </c>
      <c r="O3364" s="697" t="s">
        <v>17</v>
      </c>
      <c r="P3364" s="183"/>
      <c r="Q3364" s="828" t="s">
        <v>5376</v>
      </c>
      <c r="R3364" s="468" t="s">
        <v>40</v>
      </c>
      <c r="S3364" s="31" t="s">
        <v>273</v>
      </c>
      <c r="T3364" s="31" t="s">
        <v>273</v>
      </c>
      <c r="U3364" s="31">
        <f>IFERROR(VLOOKUP(CONCATENATE(Tabla1[[#This Row],[Severidad]]," ",Tabla1[[#This Row],[Complejidad]]),Catalogos!E$120:G$128,3,FALSE),"")</f>
        <v>64</v>
      </c>
      <c r="V3364" s="31" t="str">
        <f>IF(Tabla1[[#This Row],[Tiempo solución max (hrs)]]&lt;&gt;"",IF(Tabla1[[#This Row],[Tiempo solución max (hrs)]]&gt;=Tabla1[[#This Row],[Tiempo
(Hrs 00/100)]],"cumple","no cumple"),"")</f>
        <v>cumple</v>
      </c>
      <c r="W3364" s="222" t="s">
        <v>5372</v>
      </c>
      <c r="X3364" s="18" t="str">
        <f t="shared" si="237"/>
        <v>SAI</v>
      </c>
      <c r="Y3364" t="str">
        <f>SUBSTITUTE(Tabla1[[#This Row],[Descripción]],CHAR(10),"    I    ")</f>
        <v>1.1 Agregar pantalla de inicio que dirijan al SIPRON y a Pizarras de Avance de cada uno de los programas.</v>
      </c>
      <c r="Z3364" s="112">
        <f>VLOOKUP(Tabla1[[#This Row],[Perfil]],Catalogos!$B$75:$D$100,3,FALSE)*Tabla1[[#This Row],[Tiempo
(Hrs 00/100)]]*1.16</f>
        <v>406</v>
      </c>
      <c r="AA3364" t="s">
        <v>3356</v>
      </c>
    </row>
    <row r="3365" spans="1:27" ht="30" customHeight="1" x14ac:dyDescent="0.3">
      <c r="A3365" s="828" t="s">
        <v>22</v>
      </c>
      <c r="B3365" s="828" t="s">
        <v>23</v>
      </c>
      <c r="C3365" s="828" t="s">
        <v>49</v>
      </c>
      <c r="D3365" s="828"/>
      <c r="E3365" s="828" t="s">
        <v>4133</v>
      </c>
      <c r="F3365" s="828" t="s">
        <v>23</v>
      </c>
      <c r="G3365" s="846" t="s">
        <v>6124</v>
      </c>
      <c r="H3365" s="844" t="s">
        <v>6107</v>
      </c>
      <c r="I3365" s="827" t="s">
        <v>5238</v>
      </c>
      <c r="J3365" s="811">
        <v>45264</v>
      </c>
      <c r="K3365" s="815">
        <v>0.6875</v>
      </c>
      <c r="L3365" s="811">
        <v>45266</v>
      </c>
      <c r="M3365" s="815">
        <v>0.70833333333333337</v>
      </c>
      <c r="N3365" s="828">
        <v>0.5</v>
      </c>
      <c r="O3365" s="697" t="s">
        <v>17</v>
      </c>
      <c r="P3365" s="845" t="s">
        <v>5237</v>
      </c>
      <c r="Q3365" s="828" t="s">
        <v>5376</v>
      </c>
      <c r="R3365" s="468" t="s">
        <v>40</v>
      </c>
      <c r="S3365" s="31" t="s">
        <v>273</v>
      </c>
      <c r="T3365" s="31" t="s">
        <v>273</v>
      </c>
      <c r="U3365" s="31">
        <f>IFERROR(VLOOKUP(CONCATENATE(Tabla1[[#This Row],[Severidad]]," ",Tabla1[[#This Row],[Complejidad]]),Catalogos!E$120:G$128,3,FALSE),"")</f>
        <v>64</v>
      </c>
      <c r="V3365" s="31" t="str">
        <f>IF(Tabla1[[#This Row],[Tiempo solución max (hrs)]]&lt;&gt;"",IF(Tabla1[[#This Row],[Tiempo solución max (hrs)]]&gt;=Tabla1[[#This Row],[Tiempo
(Hrs 00/100)]],"cumple","no cumple"),"")</f>
        <v>cumple</v>
      </c>
      <c r="W3365" s="222" t="s">
        <v>5372</v>
      </c>
      <c r="X3365" s="18" t="str">
        <f t="shared" si="237"/>
        <v>SAI</v>
      </c>
      <c r="Y3365" t="str">
        <f>SUBSTITUTE(Tabla1[[#This Row],[Descripción]],CHAR(10),"    I    ")</f>
        <v>1.2 Material de apoyo</v>
      </c>
      <c r="Z3365" s="112">
        <f>VLOOKUP(Tabla1[[#This Row],[Perfil]],Catalogos!$B$75:$D$100,3,FALSE)*Tabla1[[#This Row],[Tiempo
(Hrs 00/100)]]*1.16</f>
        <v>406</v>
      </c>
      <c r="AA3365" t="s">
        <v>3356</v>
      </c>
    </row>
    <row r="3366" spans="1:27" ht="30" customHeight="1" x14ac:dyDescent="0.3">
      <c r="A3366" s="828" t="s">
        <v>22</v>
      </c>
      <c r="B3366" s="828" t="s">
        <v>23</v>
      </c>
      <c r="C3366" s="828" t="s">
        <v>49</v>
      </c>
      <c r="D3366" s="828"/>
      <c r="E3366" s="828" t="s">
        <v>4133</v>
      </c>
      <c r="F3366" s="828" t="s">
        <v>23</v>
      </c>
      <c r="G3366" s="846" t="s">
        <v>6125</v>
      </c>
      <c r="H3366" s="844" t="s">
        <v>6107</v>
      </c>
      <c r="I3366" s="827" t="s">
        <v>5239</v>
      </c>
      <c r="J3366" s="811">
        <v>45264</v>
      </c>
      <c r="K3366" s="815">
        <v>0.70833333333333337</v>
      </c>
      <c r="L3366" s="811">
        <v>45267</v>
      </c>
      <c r="M3366" s="815">
        <v>0.72916666666666663</v>
      </c>
      <c r="N3366" s="828">
        <v>0.5</v>
      </c>
      <c r="O3366" s="697" t="s">
        <v>17</v>
      </c>
      <c r="P3366" s="845" t="s">
        <v>5237</v>
      </c>
      <c r="Q3366" s="828" t="s">
        <v>5376</v>
      </c>
      <c r="R3366" s="468" t="s">
        <v>40</v>
      </c>
      <c r="S3366" s="31" t="s">
        <v>273</v>
      </c>
      <c r="T3366" s="31" t="s">
        <v>273</v>
      </c>
      <c r="U3366" s="31">
        <f>IFERROR(VLOOKUP(CONCATENATE(Tabla1[[#This Row],[Severidad]]," ",Tabla1[[#This Row],[Complejidad]]),Catalogos!E$120:G$128,3,FALSE),"")</f>
        <v>64</v>
      </c>
      <c r="V3366" s="31" t="str">
        <f>IF(Tabla1[[#This Row],[Tiempo solución max (hrs)]]&lt;&gt;"",IF(Tabla1[[#This Row],[Tiempo solución max (hrs)]]&gt;=Tabla1[[#This Row],[Tiempo
(Hrs 00/100)]],"cumple","no cumple"),"")</f>
        <v>cumple</v>
      </c>
      <c r="W3366" s="222" t="s">
        <v>5372</v>
      </c>
      <c r="X3366" s="18" t="str">
        <f t="shared" si="237"/>
        <v>SAI</v>
      </c>
      <c r="Y3366" t="str">
        <f>SUBSTITUTE(Tabla1[[#This Row],[Descripción]],CHAR(10),"    I    ")</f>
        <v>1.3 Estructura de Programas</v>
      </c>
      <c r="Z3366" s="112">
        <f>VLOOKUP(Tabla1[[#This Row],[Perfil]],Catalogos!$B$75:$D$100,3,FALSE)*Tabla1[[#This Row],[Tiempo
(Hrs 00/100)]]*1.16</f>
        <v>406</v>
      </c>
      <c r="AA3366" t="s">
        <v>3356</v>
      </c>
    </row>
    <row r="3367" spans="1:27" ht="30" customHeight="1" x14ac:dyDescent="0.3">
      <c r="A3367" s="828" t="s">
        <v>22</v>
      </c>
      <c r="B3367" s="828" t="s">
        <v>23</v>
      </c>
      <c r="C3367" s="828" t="s">
        <v>49</v>
      </c>
      <c r="D3367" s="828"/>
      <c r="E3367" s="828" t="s">
        <v>4133</v>
      </c>
      <c r="F3367" s="828" t="s">
        <v>23</v>
      </c>
      <c r="G3367" s="846" t="s">
        <v>6126</v>
      </c>
      <c r="H3367" s="844" t="s">
        <v>6107</v>
      </c>
      <c r="I3367" s="827" t="s">
        <v>5240</v>
      </c>
      <c r="J3367" s="811">
        <v>45264</v>
      </c>
      <c r="K3367" s="815">
        <v>0.72916666666666663</v>
      </c>
      <c r="L3367" s="811">
        <v>45268</v>
      </c>
      <c r="M3367" s="815">
        <v>0.77083333333333337</v>
      </c>
      <c r="N3367" s="828">
        <v>1</v>
      </c>
      <c r="O3367" s="697" t="s">
        <v>17</v>
      </c>
      <c r="P3367" s="845" t="s">
        <v>5237</v>
      </c>
      <c r="Q3367" s="828" t="s">
        <v>5376</v>
      </c>
      <c r="R3367" s="468" t="s">
        <v>40</v>
      </c>
      <c r="S3367" s="31" t="s">
        <v>273</v>
      </c>
      <c r="T3367" s="31" t="s">
        <v>273</v>
      </c>
      <c r="U3367" s="31">
        <f>IFERROR(VLOOKUP(CONCATENATE(Tabla1[[#This Row],[Severidad]]," ",Tabla1[[#This Row],[Complejidad]]),Catalogos!E$120:G$128,3,FALSE),"")</f>
        <v>64</v>
      </c>
      <c r="V3367" s="31" t="str">
        <f>IF(Tabla1[[#This Row],[Tiempo solución max (hrs)]]&lt;&gt;"",IF(Tabla1[[#This Row],[Tiempo solución max (hrs)]]&gt;=Tabla1[[#This Row],[Tiempo
(Hrs 00/100)]],"cumple","no cumple"),"")</f>
        <v>cumple</v>
      </c>
      <c r="W3367" s="222" t="s">
        <v>5372</v>
      </c>
      <c r="X3367" s="18" t="str">
        <f t="shared" si="237"/>
        <v>SAI</v>
      </c>
      <c r="Y3367" t="str">
        <f>SUBSTITUTE(Tabla1[[#This Row],[Descripción]],CHAR(10),"    I    ")</f>
        <v>1.4 Nombre del rol</v>
      </c>
      <c r="Z3367" s="112">
        <f>VLOOKUP(Tabla1[[#This Row],[Perfil]],Catalogos!$B$75:$D$100,3,FALSE)*Tabla1[[#This Row],[Tiempo
(Hrs 00/100)]]*1.16</f>
        <v>812</v>
      </c>
      <c r="AA3367" t="s">
        <v>3356</v>
      </c>
    </row>
    <row r="3368" spans="1:27" ht="30" customHeight="1" x14ac:dyDescent="0.3">
      <c r="A3368" s="828" t="s">
        <v>22</v>
      </c>
      <c r="B3368" s="828" t="s">
        <v>23</v>
      </c>
      <c r="C3368" s="828" t="s">
        <v>49</v>
      </c>
      <c r="D3368" s="828"/>
      <c r="E3368" s="828" t="s">
        <v>4133</v>
      </c>
      <c r="F3368" s="828" t="s">
        <v>23</v>
      </c>
      <c r="G3368" s="846" t="s">
        <v>6127</v>
      </c>
      <c r="H3368" s="844" t="s">
        <v>6107</v>
      </c>
      <c r="I3368" s="827" t="s">
        <v>5242</v>
      </c>
      <c r="J3368" s="811">
        <v>45264</v>
      </c>
      <c r="K3368" s="815">
        <v>0.77083333333333337</v>
      </c>
      <c r="L3368" s="811">
        <v>45269</v>
      </c>
      <c r="M3368" s="815">
        <v>0.8125</v>
      </c>
      <c r="N3368" s="828">
        <v>1</v>
      </c>
      <c r="O3368" s="697" t="s">
        <v>17</v>
      </c>
      <c r="P3368" s="183"/>
      <c r="Q3368" s="828" t="s">
        <v>5376</v>
      </c>
      <c r="R3368" s="468" t="s">
        <v>40</v>
      </c>
      <c r="S3368" s="31" t="s">
        <v>273</v>
      </c>
      <c r="T3368" s="31" t="s">
        <v>273</v>
      </c>
      <c r="U3368" s="31">
        <f>IFERROR(VLOOKUP(CONCATENATE(Tabla1[[#This Row],[Severidad]]," ",Tabla1[[#This Row],[Complejidad]]),Catalogos!E$120:G$128,3,FALSE),"")</f>
        <v>64</v>
      </c>
      <c r="V3368" s="31" t="str">
        <f>IF(Tabla1[[#This Row],[Tiempo solución max (hrs)]]&lt;&gt;"",IF(Tabla1[[#This Row],[Tiempo solución max (hrs)]]&gt;=Tabla1[[#This Row],[Tiempo
(Hrs 00/100)]],"cumple","no cumple"),"")</f>
        <v>cumple</v>
      </c>
      <c r="W3368" s="222" t="s">
        <v>5372</v>
      </c>
      <c r="X3368" s="18" t="str">
        <f t="shared" si="237"/>
        <v>SAI</v>
      </c>
      <c r="Y3368" t="str">
        <f>SUBSTITUTE(Tabla1[[#This Row],[Descripción]],CHAR(10),"    I    ")</f>
        <v>1.5 Cobertura</v>
      </c>
      <c r="Z3368" s="112">
        <f>VLOOKUP(Tabla1[[#This Row],[Perfil]],Catalogos!$B$75:$D$100,3,FALSE)*Tabla1[[#This Row],[Tiempo
(Hrs 00/100)]]*1.16</f>
        <v>812</v>
      </c>
      <c r="AA3368" t="s">
        <v>3356</v>
      </c>
    </row>
    <row r="3369" spans="1:27" ht="30" customHeight="1" x14ac:dyDescent="0.3">
      <c r="A3369" s="828" t="s">
        <v>22</v>
      </c>
      <c r="B3369" s="828" t="s">
        <v>23</v>
      </c>
      <c r="C3369" s="828" t="s">
        <v>49</v>
      </c>
      <c r="D3369" s="828"/>
      <c r="E3369" s="828" t="s">
        <v>4133</v>
      </c>
      <c r="F3369" s="828" t="s">
        <v>23</v>
      </c>
      <c r="G3369" s="846" t="s">
        <v>6128</v>
      </c>
      <c r="H3369" s="844" t="s">
        <v>6107</v>
      </c>
      <c r="I3369" s="827" t="s">
        <v>5245</v>
      </c>
      <c r="J3369" s="811">
        <v>45265</v>
      </c>
      <c r="K3369" s="815">
        <v>0.375</v>
      </c>
      <c r="L3369" s="811">
        <v>45270</v>
      </c>
      <c r="M3369" s="815">
        <v>0.41666666666666669</v>
      </c>
      <c r="N3369" s="828">
        <v>1</v>
      </c>
      <c r="O3369" s="697" t="s">
        <v>17</v>
      </c>
      <c r="P3369" s="845" t="s">
        <v>5237</v>
      </c>
      <c r="Q3369" s="828" t="s">
        <v>5376</v>
      </c>
      <c r="R3369" s="468" t="s">
        <v>40</v>
      </c>
      <c r="S3369" s="31" t="s">
        <v>273</v>
      </c>
      <c r="T3369" s="31" t="s">
        <v>273</v>
      </c>
      <c r="U3369" s="31">
        <f>IFERROR(VLOOKUP(CONCATENATE(Tabla1[[#This Row],[Severidad]]," ",Tabla1[[#This Row],[Complejidad]]),Catalogos!E$120:G$128,3,FALSE),"")</f>
        <v>64</v>
      </c>
      <c r="V3369" s="31" t="str">
        <f>IF(Tabla1[[#This Row],[Tiempo solución max (hrs)]]&lt;&gt;"",IF(Tabla1[[#This Row],[Tiempo solución max (hrs)]]&gt;=Tabla1[[#This Row],[Tiempo
(Hrs 00/100)]],"cumple","no cumple"),"")</f>
        <v>cumple</v>
      </c>
      <c r="W3369" s="222" t="s">
        <v>5372</v>
      </c>
      <c r="X3369" s="18" t="str">
        <f t="shared" si="237"/>
        <v>SAI</v>
      </c>
      <c r="Y3369" t="str">
        <f>SUBSTITUTE(Tabla1[[#This Row],[Descripción]],CHAR(10),"    I    ")</f>
        <v>1.6 Funcionalidad de Pestaña "Pizarras" (Valorar visibilidad en 2023)- Inhabilitar en Rol Enlace y UA</v>
      </c>
      <c r="Z3369" s="112">
        <f>VLOOKUP(Tabla1[[#This Row],[Perfil]],Catalogos!$B$75:$D$100,3,FALSE)*Tabla1[[#This Row],[Tiempo
(Hrs 00/100)]]*1.16</f>
        <v>812</v>
      </c>
      <c r="AA3369" t="s">
        <v>3356</v>
      </c>
    </row>
    <row r="3370" spans="1:27" ht="30" customHeight="1" x14ac:dyDescent="0.3">
      <c r="A3370" s="828" t="s">
        <v>22</v>
      </c>
      <c r="B3370" s="828" t="s">
        <v>23</v>
      </c>
      <c r="C3370" s="828" t="s">
        <v>49</v>
      </c>
      <c r="D3370" s="828"/>
      <c r="E3370" s="828" t="s">
        <v>4133</v>
      </c>
      <c r="F3370" s="828" t="s">
        <v>23</v>
      </c>
      <c r="G3370" s="846" t="s">
        <v>6129</v>
      </c>
      <c r="H3370" s="844" t="s">
        <v>6107</v>
      </c>
      <c r="I3370" s="827" t="s">
        <v>5247</v>
      </c>
      <c r="J3370" s="811">
        <v>45265</v>
      </c>
      <c r="K3370" s="815">
        <v>0.41666666666666669</v>
      </c>
      <c r="L3370" s="811">
        <v>45271</v>
      </c>
      <c r="M3370" s="815">
        <v>0.45833333333333331</v>
      </c>
      <c r="N3370" s="828">
        <v>1</v>
      </c>
      <c r="O3370" s="697" t="s">
        <v>17</v>
      </c>
      <c r="P3370" s="367"/>
      <c r="Q3370" s="828" t="s">
        <v>5376</v>
      </c>
      <c r="R3370" s="468" t="s">
        <v>40</v>
      </c>
      <c r="S3370" s="31" t="s">
        <v>273</v>
      </c>
      <c r="T3370" s="31" t="s">
        <v>273</v>
      </c>
      <c r="U3370" s="31">
        <f>IFERROR(VLOOKUP(CONCATENATE(Tabla1[[#This Row],[Severidad]]," ",Tabla1[[#This Row],[Complejidad]]),Catalogos!E$120:G$128,3,FALSE),"")</f>
        <v>64</v>
      </c>
      <c r="V3370" s="31" t="str">
        <f>IF(Tabla1[[#This Row],[Tiempo solución max (hrs)]]&lt;&gt;"",IF(Tabla1[[#This Row],[Tiempo solución max (hrs)]]&gt;=Tabla1[[#This Row],[Tiempo
(Hrs 00/100)]],"cumple","no cumple"),"")</f>
        <v>cumple</v>
      </c>
      <c r="W3370" s="222" t="s">
        <v>5372</v>
      </c>
      <c r="X3370" s="18" t="str">
        <f t="shared" si="237"/>
        <v>SAI</v>
      </c>
      <c r="Y3370" t="str">
        <f>SUBSTITUTE(Tabla1[[#This Row],[Descripción]],CHAR(10),"    I    ")</f>
        <v xml:space="preserve">1.7 Menu </v>
      </c>
      <c r="Z3370" s="112">
        <f>VLOOKUP(Tabla1[[#This Row],[Perfil]],Catalogos!$B$75:$D$100,3,FALSE)*Tabla1[[#This Row],[Tiempo
(Hrs 00/100)]]*1.16</f>
        <v>812</v>
      </c>
      <c r="AA3370" t="s">
        <v>3356</v>
      </c>
    </row>
    <row r="3371" spans="1:27" ht="30" customHeight="1" x14ac:dyDescent="0.3">
      <c r="A3371" s="828" t="s">
        <v>22</v>
      </c>
      <c r="B3371" s="828" t="s">
        <v>23</v>
      </c>
      <c r="C3371" s="828" t="s">
        <v>49</v>
      </c>
      <c r="D3371" s="828"/>
      <c r="E3371" s="828" t="s">
        <v>4133</v>
      </c>
      <c r="F3371" s="828" t="s">
        <v>23</v>
      </c>
      <c r="G3371" s="846" t="s">
        <v>6130</v>
      </c>
      <c r="H3371" s="844" t="s">
        <v>6107</v>
      </c>
      <c r="I3371" s="827" t="s">
        <v>5249</v>
      </c>
      <c r="J3371" s="811">
        <v>45265</v>
      </c>
      <c r="K3371" s="815">
        <v>0.45833333333333331</v>
      </c>
      <c r="L3371" s="811">
        <v>45272</v>
      </c>
      <c r="M3371" s="815">
        <v>0.5</v>
      </c>
      <c r="N3371" s="828">
        <v>1</v>
      </c>
      <c r="O3371" s="697" t="s">
        <v>17</v>
      </c>
      <c r="P3371" s="845" t="s">
        <v>5237</v>
      </c>
      <c r="Q3371" s="828" t="s">
        <v>5376</v>
      </c>
      <c r="R3371" s="468" t="s">
        <v>40</v>
      </c>
      <c r="S3371" s="31" t="s">
        <v>273</v>
      </c>
      <c r="T3371" s="31" t="s">
        <v>273</v>
      </c>
      <c r="U3371" s="31">
        <f>IFERROR(VLOOKUP(CONCATENATE(Tabla1[[#This Row],[Severidad]]," ",Tabla1[[#This Row],[Complejidad]]),Catalogos!E$120:G$128,3,FALSE),"")</f>
        <v>64</v>
      </c>
      <c r="V3371" s="31" t="str">
        <f>IF(Tabla1[[#This Row],[Tiempo solución max (hrs)]]&lt;&gt;"",IF(Tabla1[[#This Row],[Tiempo solución max (hrs)]]&gt;=Tabla1[[#This Row],[Tiempo
(Hrs 00/100)]],"cumple","no cumple"),"")</f>
        <v>cumple</v>
      </c>
      <c r="W3371" s="222" t="s">
        <v>5372</v>
      </c>
      <c r="X3371" s="18" t="str">
        <f t="shared" si="237"/>
        <v>SAI</v>
      </c>
      <c r="Y3371" t="str">
        <f>SUBSTITUTE(Tabla1[[#This Row],[Descripción]],CHAR(10),"    I    ")</f>
        <v>1.8 Generar un nuevo menú denominado “blog”</v>
      </c>
      <c r="Z3371" s="112">
        <f>VLOOKUP(Tabla1[[#This Row],[Perfil]],Catalogos!$B$75:$D$100,3,FALSE)*Tabla1[[#This Row],[Tiempo
(Hrs 00/100)]]*1.16</f>
        <v>812</v>
      </c>
      <c r="AA3371" t="s">
        <v>3356</v>
      </c>
    </row>
    <row r="3372" spans="1:27" ht="30" customHeight="1" x14ac:dyDescent="0.3">
      <c r="A3372" s="828" t="s">
        <v>22</v>
      </c>
      <c r="B3372" s="828" t="s">
        <v>23</v>
      </c>
      <c r="C3372" s="828" t="s">
        <v>49</v>
      </c>
      <c r="D3372" s="828"/>
      <c r="E3372" s="828" t="s">
        <v>4133</v>
      </c>
      <c r="F3372" s="828" t="s">
        <v>23</v>
      </c>
      <c r="G3372" s="846" t="s">
        <v>6131</v>
      </c>
      <c r="H3372" s="844" t="s">
        <v>6108</v>
      </c>
      <c r="I3372" s="827" t="s">
        <v>5131</v>
      </c>
      <c r="J3372" s="811">
        <v>45265</v>
      </c>
      <c r="K3372" s="815">
        <v>0.5</v>
      </c>
      <c r="L3372" s="811">
        <v>45273</v>
      </c>
      <c r="M3372" s="815">
        <v>0.54166666666666663</v>
      </c>
      <c r="N3372" s="828">
        <v>1</v>
      </c>
      <c r="O3372" s="697" t="s">
        <v>17</v>
      </c>
      <c r="P3372" s="845" t="s">
        <v>5237</v>
      </c>
      <c r="Q3372" s="828" t="s">
        <v>5376</v>
      </c>
      <c r="R3372" s="468" t="s">
        <v>40</v>
      </c>
      <c r="S3372" s="31" t="s">
        <v>273</v>
      </c>
      <c r="T3372" s="31" t="s">
        <v>273</v>
      </c>
      <c r="U3372" s="31">
        <f>IFERROR(VLOOKUP(CONCATENATE(Tabla1[[#This Row],[Severidad]]," ",Tabla1[[#This Row],[Complejidad]]),Catalogos!E$120:G$128,3,FALSE),"")</f>
        <v>64</v>
      </c>
      <c r="V3372" s="31" t="str">
        <f>IF(Tabla1[[#This Row],[Tiempo solución max (hrs)]]&lt;&gt;"",IF(Tabla1[[#This Row],[Tiempo solución max (hrs)]]&gt;=Tabla1[[#This Row],[Tiempo
(Hrs 00/100)]],"cumple","no cumple"),"")</f>
        <v>cumple</v>
      </c>
      <c r="W3372" s="222" t="s">
        <v>5372</v>
      </c>
      <c r="X3372" s="18" t="str">
        <f t="shared" si="237"/>
        <v>SAI</v>
      </c>
      <c r="Y3372" t="str">
        <f>SUBSTITUTE(Tabla1[[#This Row],[Descripción]],CHAR(10),"    I    ")</f>
        <v>Informe General</v>
      </c>
      <c r="Z3372" s="112">
        <f>VLOOKUP(Tabla1[[#This Row],[Perfil]],Catalogos!$B$75:$D$100,3,FALSE)*Tabla1[[#This Row],[Tiempo
(Hrs 00/100)]]*1.16</f>
        <v>812</v>
      </c>
      <c r="AA3372" t="s">
        <v>3356</v>
      </c>
    </row>
    <row r="3373" spans="1:27" ht="30" customHeight="1" x14ac:dyDescent="0.3">
      <c r="A3373" s="828" t="s">
        <v>22</v>
      </c>
      <c r="B3373" s="828" t="s">
        <v>23</v>
      </c>
      <c r="C3373" s="828" t="s">
        <v>49</v>
      </c>
      <c r="D3373" s="828"/>
      <c r="E3373" s="828" t="s">
        <v>4133</v>
      </c>
      <c r="F3373" s="828" t="s">
        <v>23</v>
      </c>
      <c r="G3373" s="846" t="s">
        <v>6132</v>
      </c>
      <c r="H3373" s="844" t="s">
        <v>6108</v>
      </c>
      <c r="I3373" s="827" t="s">
        <v>5134</v>
      </c>
      <c r="J3373" s="811">
        <v>45265</v>
      </c>
      <c r="K3373" s="815">
        <v>0.54166666666666663</v>
      </c>
      <c r="L3373" s="811">
        <v>45274</v>
      </c>
      <c r="M3373" s="815">
        <v>0.58333333333333337</v>
      </c>
      <c r="N3373" s="828">
        <v>1</v>
      </c>
      <c r="O3373" s="697" t="s">
        <v>17</v>
      </c>
      <c r="P3373" s="845" t="s">
        <v>5237</v>
      </c>
      <c r="Q3373" s="828" t="s">
        <v>5376</v>
      </c>
      <c r="R3373" s="468" t="s">
        <v>40</v>
      </c>
      <c r="S3373" s="31" t="s">
        <v>273</v>
      </c>
      <c r="T3373" s="31" t="s">
        <v>273</v>
      </c>
      <c r="U3373" s="31">
        <f>IFERROR(VLOOKUP(CONCATENATE(Tabla1[[#This Row],[Severidad]]," ",Tabla1[[#This Row],[Complejidad]]),Catalogos!E$120:G$128,3,FALSE),"")</f>
        <v>64</v>
      </c>
      <c r="V3373" s="31" t="str">
        <f>IF(Tabla1[[#This Row],[Tiempo solución max (hrs)]]&lt;&gt;"",IF(Tabla1[[#This Row],[Tiempo solución max (hrs)]]&gt;=Tabla1[[#This Row],[Tiempo
(Hrs 00/100)]],"cumple","no cumple"),"")</f>
        <v>cumple</v>
      </c>
      <c r="W3373" s="222" t="s">
        <v>5372</v>
      </c>
      <c r="X3373" s="18" t="str">
        <f t="shared" si="237"/>
        <v>SAI</v>
      </c>
      <c r="Y3373" t="str">
        <f>SUBSTITUTE(Tabla1[[#This Row],[Descripción]],CHAR(10),"    I    ")</f>
        <v>Tablero</v>
      </c>
      <c r="Z3373" s="112">
        <f>VLOOKUP(Tabla1[[#This Row],[Perfil]],Catalogos!$B$75:$D$100,3,FALSE)*Tabla1[[#This Row],[Tiempo
(Hrs 00/100)]]*1.16</f>
        <v>812</v>
      </c>
      <c r="AA3373" t="s">
        <v>3356</v>
      </c>
    </row>
    <row r="3374" spans="1:27" ht="30" customHeight="1" x14ac:dyDescent="0.3">
      <c r="A3374" s="828" t="s">
        <v>22</v>
      </c>
      <c r="B3374" s="828" t="s">
        <v>23</v>
      </c>
      <c r="C3374" s="828" t="s">
        <v>49</v>
      </c>
      <c r="D3374" s="828"/>
      <c r="E3374" s="828" t="s">
        <v>4133</v>
      </c>
      <c r="F3374" s="828" t="s">
        <v>23</v>
      </c>
      <c r="G3374" s="846" t="s">
        <v>6133</v>
      </c>
      <c r="H3374" s="844" t="s">
        <v>6108</v>
      </c>
      <c r="I3374" s="827" t="s">
        <v>5136</v>
      </c>
      <c r="J3374" s="811">
        <v>45265</v>
      </c>
      <c r="K3374" s="815">
        <v>0.5</v>
      </c>
      <c r="L3374" s="811">
        <v>45275</v>
      </c>
      <c r="M3374" s="815">
        <v>0.54166666666666663</v>
      </c>
      <c r="N3374" s="828">
        <v>1</v>
      </c>
      <c r="O3374" s="697" t="s">
        <v>17</v>
      </c>
      <c r="P3374" s="845" t="s">
        <v>5237</v>
      </c>
      <c r="Q3374" s="828" t="s">
        <v>5376</v>
      </c>
      <c r="R3374" s="468" t="s">
        <v>40</v>
      </c>
      <c r="S3374" s="31" t="s">
        <v>273</v>
      </c>
      <c r="T3374" s="31" t="s">
        <v>273</v>
      </c>
      <c r="U3374" s="31">
        <f>IFERROR(VLOOKUP(CONCATENATE(Tabla1[[#This Row],[Severidad]]," ",Tabla1[[#This Row],[Complejidad]]),Catalogos!E$120:G$128,3,FALSE),"")</f>
        <v>64</v>
      </c>
      <c r="V3374" s="31" t="str">
        <f>IF(Tabla1[[#This Row],[Tiempo solución max (hrs)]]&lt;&gt;"",IF(Tabla1[[#This Row],[Tiempo solución max (hrs)]]&gt;=Tabla1[[#This Row],[Tiempo
(Hrs 00/100)]],"cumple","no cumple"),"")</f>
        <v>cumple</v>
      </c>
      <c r="W3374" s="222" t="s">
        <v>5372</v>
      </c>
      <c r="X3374" s="18" t="str">
        <f t="shared" si="237"/>
        <v>SAI</v>
      </c>
      <c r="Y3374" t="str">
        <f>SUBSTITUTE(Tabla1[[#This Row],[Descripción]],CHAR(10),"    I    ")</f>
        <v>Cobertura General</v>
      </c>
      <c r="Z3374" s="112">
        <f>VLOOKUP(Tabla1[[#This Row],[Perfil]],Catalogos!$B$75:$D$100,3,FALSE)*Tabla1[[#This Row],[Tiempo
(Hrs 00/100)]]*1.16</f>
        <v>812</v>
      </c>
      <c r="AA3374" t="s">
        <v>3356</v>
      </c>
    </row>
    <row r="3375" spans="1:27" ht="30" customHeight="1" x14ac:dyDescent="0.3">
      <c r="A3375" s="828" t="s">
        <v>22</v>
      </c>
      <c r="B3375" s="828" t="s">
        <v>23</v>
      </c>
      <c r="C3375" s="828" t="s">
        <v>49</v>
      </c>
      <c r="D3375" s="828"/>
      <c r="E3375" s="828" t="s">
        <v>4133</v>
      </c>
      <c r="F3375" s="828" t="s">
        <v>23</v>
      </c>
      <c r="G3375" s="846" t="s">
        <v>6134</v>
      </c>
      <c r="H3375" s="844" t="s">
        <v>6108</v>
      </c>
      <c r="I3375" s="827" t="s">
        <v>5138</v>
      </c>
      <c r="J3375" s="811">
        <v>45265</v>
      </c>
      <c r="K3375" s="815">
        <v>0.54166666666666663</v>
      </c>
      <c r="L3375" s="811">
        <v>45276</v>
      </c>
      <c r="M3375" s="815">
        <v>0.58333333333333337</v>
      </c>
      <c r="N3375" s="828">
        <v>1</v>
      </c>
      <c r="O3375" s="697" t="s">
        <v>17</v>
      </c>
      <c r="P3375" s="845" t="s">
        <v>5237</v>
      </c>
      <c r="Q3375" s="828" t="s">
        <v>5376</v>
      </c>
      <c r="R3375" s="468" t="s">
        <v>40</v>
      </c>
      <c r="S3375" s="31" t="s">
        <v>273</v>
      </c>
      <c r="T3375" s="31" t="s">
        <v>273</v>
      </c>
      <c r="U3375" s="31">
        <f>IFERROR(VLOOKUP(CONCATENATE(Tabla1[[#This Row],[Severidad]]," ",Tabla1[[#This Row],[Complejidad]]),Catalogos!E$120:G$128,3,FALSE),"")</f>
        <v>64</v>
      </c>
      <c r="V3375" s="31" t="str">
        <f>IF(Tabla1[[#This Row],[Tiempo solución max (hrs)]]&lt;&gt;"",IF(Tabla1[[#This Row],[Tiempo solución max (hrs)]]&gt;=Tabla1[[#This Row],[Tiempo
(Hrs 00/100)]],"cumple","no cumple"),"")</f>
        <v>cumple</v>
      </c>
      <c r="W3375" s="222" t="s">
        <v>5372</v>
      </c>
      <c r="X3375" s="18" t="str">
        <f t="shared" si="237"/>
        <v>SAI</v>
      </c>
      <c r="Y3375" t="str">
        <f>SUBSTITUTE(Tabla1[[#This Row],[Descripción]],CHAR(10),"    I    ")</f>
        <v>Cobertura del Programa por LA</v>
      </c>
      <c r="Z3375" s="112">
        <f>VLOOKUP(Tabla1[[#This Row],[Perfil]],Catalogos!$B$75:$D$100,3,FALSE)*Tabla1[[#This Row],[Tiempo
(Hrs 00/100)]]*1.16</f>
        <v>812</v>
      </c>
      <c r="AA3375" t="s">
        <v>3356</v>
      </c>
    </row>
    <row r="3376" spans="1:27" ht="30" customHeight="1" x14ac:dyDescent="0.3">
      <c r="A3376" s="828" t="s">
        <v>22</v>
      </c>
      <c r="B3376" s="828" t="s">
        <v>23</v>
      </c>
      <c r="C3376" s="828" t="s">
        <v>49</v>
      </c>
      <c r="D3376" s="828"/>
      <c r="E3376" s="828" t="s">
        <v>4133</v>
      </c>
      <c r="F3376" s="828" t="s">
        <v>23</v>
      </c>
      <c r="G3376" s="846" t="s">
        <v>6135</v>
      </c>
      <c r="H3376" s="844" t="s">
        <v>6108</v>
      </c>
      <c r="I3376" s="827" t="s">
        <v>5140</v>
      </c>
      <c r="J3376" s="811">
        <v>45265</v>
      </c>
      <c r="K3376" s="815">
        <v>0.66666666666666663</v>
      </c>
      <c r="L3376" s="811">
        <v>45277</v>
      </c>
      <c r="M3376" s="815">
        <v>0.70833333333333337</v>
      </c>
      <c r="N3376" s="828">
        <v>1</v>
      </c>
      <c r="O3376" s="697" t="s">
        <v>17</v>
      </c>
      <c r="P3376" s="845" t="s">
        <v>5237</v>
      </c>
      <c r="Q3376" s="828" t="s">
        <v>5376</v>
      </c>
      <c r="R3376" s="468" t="s">
        <v>40</v>
      </c>
      <c r="S3376" s="31" t="s">
        <v>273</v>
      </c>
      <c r="T3376" s="31" t="s">
        <v>273</v>
      </c>
      <c r="U3376" s="31">
        <f>IFERROR(VLOOKUP(CONCATENATE(Tabla1[[#This Row],[Severidad]]," ",Tabla1[[#This Row],[Complejidad]]),Catalogos!E$120:G$128,3,FALSE),"")</f>
        <v>64</v>
      </c>
      <c r="V3376" s="31" t="str">
        <f>IF(Tabla1[[#This Row],[Tiempo solución max (hrs)]]&lt;&gt;"",IF(Tabla1[[#This Row],[Tiempo solución max (hrs)]]&gt;=Tabla1[[#This Row],[Tiempo
(Hrs 00/100)]],"cumple","no cumple"),"")</f>
        <v>cumple</v>
      </c>
      <c r="W3376" s="222" t="s">
        <v>5372</v>
      </c>
      <c r="X3376" s="18" t="str">
        <f t="shared" si="237"/>
        <v>SAI</v>
      </c>
      <c r="Y3376" t="str">
        <f>SUBSTITUTE(Tabla1[[#This Row],[Descripción]],CHAR(10),"    I    ")</f>
        <v>Cobertura de Actividades por Eje</v>
      </c>
      <c r="Z3376" s="112">
        <f>VLOOKUP(Tabla1[[#This Row],[Perfil]],Catalogos!$B$75:$D$100,3,FALSE)*Tabla1[[#This Row],[Tiempo
(Hrs 00/100)]]*1.16</f>
        <v>812</v>
      </c>
      <c r="AA3376" t="s">
        <v>3356</v>
      </c>
    </row>
    <row r="3377" spans="1:27" ht="30" customHeight="1" x14ac:dyDescent="0.3">
      <c r="A3377" s="828" t="s">
        <v>22</v>
      </c>
      <c r="B3377" s="828" t="s">
        <v>23</v>
      </c>
      <c r="C3377" s="828" t="s">
        <v>49</v>
      </c>
      <c r="D3377" s="828"/>
      <c r="E3377" s="828" t="s">
        <v>4133</v>
      </c>
      <c r="F3377" s="828" t="s">
        <v>23</v>
      </c>
      <c r="G3377" s="846" t="s">
        <v>6136</v>
      </c>
      <c r="H3377" s="844" t="s">
        <v>6108</v>
      </c>
      <c r="I3377" s="827" t="s">
        <v>6109</v>
      </c>
      <c r="J3377" s="811">
        <v>45265</v>
      </c>
      <c r="K3377" s="815">
        <v>0.70833333333333337</v>
      </c>
      <c r="L3377" s="811">
        <v>45278</v>
      </c>
      <c r="M3377" s="815">
        <v>0.75</v>
      </c>
      <c r="N3377" s="828">
        <v>1</v>
      </c>
      <c r="O3377" s="697" t="s">
        <v>17</v>
      </c>
      <c r="P3377" s="845" t="s">
        <v>5237</v>
      </c>
      <c r="Q3377" s="828" t="s">
        <v>5376</v>
      </c>
      <c r="R3377" s="468" t="s">
        <v>40</v>
      </c>
      <c r="S3377" s="31" t="s">
        <v>273</v>
      </c>
      <c r="T3377" s="31" t="s">
        <v>273</v>
      </c>
      <c r="U3377" s="31">
        <f>IFERROR(VLOOKUP(CONCATENATE(Tabla1[[#This Row],[Severidad]]," ",Tabla1[[#This Row],[Complejidad]]),Catalogos!E$120:G$128,3,FALSE),"")</f>
        <v>64</v>
      </c>
      <c r="V3377" s="31" t="str">
        <f>IF(Tabla1[[#This Row],[Tiempo solución max (hrs)]]&lt;&gt;"",IF(Tabla1[[#This Row],[Tiempo solución max (hrs)]]&gt;=Tabla1[[#This Row],[Tiempo
(Hrs 00/100)]],"cumple","no cumple"),"")</f>
        <v>cumple</v>
      </c>
      <c r="W3377" s="222" t="s">
        <v>5372</v>
      </c>
      <c r="X3377" s="18" t="str">
        <f t="shared" si="237"/>
        <v>SAI</v>
      </c>
      <c r="Y3377" t="str">
        <f>SUBSTITUTE(Tabla1[[#This Row],[Descripción]],CHAR(10),"    I    ")</f>
        <v>Cobertura de Acividades</v>
      </c>
      <c r="Z3377" s="112">
        <f>VLOOKUP(Tabla1[[#This Row],[Perfil]],Catalogos!$B$75:$D$100,3,FALSE)*Tabla1[[#This Row],[Tiempo
(Hrs 00/100)]]*1.16</f>
        <v>812</v>
      </c>
      <c r="AA3377" t="s">
        <v>3356</v>
      </c>
    </row>
    <row r="3378" spans="1:27" ht="30" customHeight="1" x14ac:dyDescent="0.3">
      <c r="A3378" s="828" t="s">
        <v>22</v>
      </c>
      <c r="B3378" s="828" t="s">
        <v>23</v>
      </c>
      <c r="C3378" s="828" t="s">
        <v>49</v>
      </c>
      <c r="D3378" s="828"/>
      <c r="E3378" s="828" t="s">
        <v>4133</v>
      </c>
      <c r="F3378" s="828" t="s">
        <v>23</v>
      </c>
      <c r="G3378" s="846" t="s">
        <v>6137</v>
      </c>
      <c r="H3378" s="844" t="s">
        <v>6108</v>
      </c>
      <c r="I3378" s="827" t="s">
        <v>6110</v>
      </c>
      <c r="J3378" s="811">
        <v>45265</v>
      </c>
      <c r="K3378" s="815">
        <v>0.75</v>
      </c>
      <c r="L3378" s="811">
        <v>45279</v>
      </c>
      <c r="M3378" s="815">
        <v>0.79166666666666663</v>
      </c>
      <c r="N3378" s="828">
        <v>1</v>
      </c>
      <c r="O3378" s="697" t="s">
        <v>17</v>
      </c>
      <c r="P3378" s="845" t="s">
        <v>5237</v>
      </c>
      <c r="Q3378" s="828" t="s">
        <v>5376</v>
      </c>
      <c r="R3378" s="468" t="s">
        <v>40</v>
      </c>
      <c r="S3378" s="31" t="s">
        <v>273</v>
      </c>
      <c r="T3378" s="31" t="s">
        <v>273</v>
      </c>
      <c r="U3378" s="31">
        <f>IFERROR(VLOOKUP(CONCATENATE(Tabla1[[#This Row],[Severidad]]," ",Tabla1[[#This Row],[Complejidad]]),Catalogos!E$120:G$128,3,FALSE),"")</f>
        <v>64</v>
      </c>
      <c r="V3378" s="31" t="str">
        <f>IF(Tabla1[[#This Row],[Tiempo solución max (hrs)]]&lt;&gt;"",IF(Tabla1[[#This Row],[Tiempo solución max (hrs)]]&gt;=Tabla1[[#This Row],[Tiempo
(Hrs 00/100)]],"cumple","no cumple"),"")</f>
        <v>cumple</v>
      </c>
      <c r="W3378" s="222" t="s">
        <v>5372</v>
      </c>
      <c r="X3378" s="18" t="str">
        <f t="shared" si="237"/>
        <v>SAI</v>
      </c>
      <c r="Y3378" t="str">
        <f>SUBSTITUTE(Tabla1[[#This Row],[Descripción]],CHAR(10),"    I    ")</f>
        <v>Cobertura del programa por Region</v>
      </c>
      <c r="Z3378" s="112">
        <f>VLOOKUP(Tabla1[[#This Row],[Perfil]],Catalogos!$B$75:$D$100,3,FALSE)*Tabla1[[#This Row],[Tiempo
(Hrs 00/100)]]*1.16</f>
        <v>812</v>
      </c>
      <c r="AA3378" t="s">
        <v>3356</v>
      </c>
    </row>
    <row r="3379" spans="1:27" ht="30" customHeight="1" x14ac:dyDescent="0.3">
      <c r="A3379" s="828" t="s">
        <v>22</v>
      </c>
      <c r="B3379" s="828" t="s">
        <v>23</v>
      </c>
      <c r="C3379" s="828" t="s">
        <v>49</v>
      </c>
      <c r="D3379" s="828"/>
      <c r="E3379" s="828" t="s">
        <v>4133</v>
      </c>
      <c r="F3379" s="828" t="s">
        <v>23</v>
      </c>
      <c r="G3379" s="846" t="s">
        <v>6138</v>
      </c>
      <c r="H3379" s="844" t="s">
        <v>6108</v>
      </c>
      <c r="I3379" s="827" t="s">
        <v>6111</v>
      </c>
      <c r="J3379" s="811">
        <v>45266</v>
      </c>
      <c r="K3379" s="815">
        <v>0.375</v>
      </c>
      <c r="L3379" s="811">
        <v>45280</v>
      </c>
      <c r="M3379" s="815">
        <v>0.41666666666666669</v>
      </c>
      <c r="N3379" s="828">
        <v>1</v>
      </c>
      <c r="O3379" s="697" t="s">
        <v>17</v>
      </c>
      <c r="P3379" s="845" t="s">
        <v>5237</v>
      </c>
      <c r="Q3379" s="828" t="s">
        <v>5376</v>
      </c>
      <c r="R3379" s="468" t="s">
        <v>40</v>
      </c>
      <c r="S3379" s="31" t="s">
        <v>273</v>
      </c>
      <c r="T3379" s="31" t="s">
        <v>273</v>
      </c>
      <c r="U3379" s="31">
        <f>IFERROR(VLOOKUP(CONCATENATE(Tabla1[[#This Row],[Severidad]]," ",Tabla1[[#This Row],[Complejidad]]),Catalogos!E$120:G$128,3,FALSE),"")</f>
        <v>64</v>
      </c>
      <c r="V3379" s="31" t="str">
        <f>IF(Tabla1[[#This Row],[Tiempo solución max (hrs)]]&lt;&gt;"",IF(Tabla1[[#This Row],[Tiempo solución max (hrs)]]&gt;=Tabla1[[#This Row],[Tiempo
(Hrs 00/100)]],"cumple","no cumple"),"")</f>
        <v>cumple</v>
      </c>
      <c r="W3379" s="222" t="s">
        <v>5372</v>
      </c>
      <c r="X3379" s="18" t="str">
        <f t="shared" si="237"/>
        <v>SAI</v>
      </c>
      <c r="Y3379" t="str">
        <f>SUBSTITUTE(Tabla1[[#This Row],[Descripción]],CHAR(10),"    I    ")</f>
        <v>Estatus Cumplimiento</v>
      </c>
      <c r="Z3379" s="112">
        <f>VLOOKUP(Tabla1[[#This Row],[Perfil]],Catalogos!$B$75:$D$100,3,FALSE)*Tabla1[[#This Row],[Tiempo
(Hrs 00/100)]]*1.16</f>
        <v>812</v>
      </c>
      <c r="AA3379" t="s">
        <v>3356</v>
      </c>
    </row>
    <row r="3380" spans="1:27" ht="30" customHeight="1" x14ac:dyDescent="0.3">
      <c r="A3380" s="828" t="s">
        <v>22</v>
      </c>
      <c r="B3380" s="828" t="s">
        <v>23</v>
      </c>
      <c r="C3380" s="828" t="s">
        <v>49</v>
      </c>
      <c r="D3380" s="828"/>
      <c r="E3380" s="828" t="s">
        <v>4133</v>
      </c>
      <c r="F3380" s="828" t="s">
        <v>23</v>
      </c>
      <c r="G3380" s="846" t="s">
        <v>6139</v>
      </c>
      <c r="H3380" s="844" t="s">
        <v>6108</v>
      </c>
      <c r="I3380" s="827" t="s">
        <v>5148</v>
      </c>
      <c r="J3380" s="811">
        <v>45266</v>
      </c>
      <c r="K3380" s="815">
        <v>0.41666666666666669</v>
      </c>
      <c r="L3380" s="811">
        <v>45281</v>
      </c>
      <c r="M3380" s="815">
        <v>0.45833333333333331</v>
      </c>
      <c r="N3380" s="828">
        <v>1</v>
      </c>
      <c r="O3380" s="697" t="s">
        <v>17</v>
      </c>
      <c r="P3380" s="845" t="s">
        <v>5237</v>
      </c>
      <c r="Q3380" s="828" t="s">
        <v>5376</v>
      </c>
      <c r="R3380" s="468" t="s">
        <v>40</v>
      </c>
      <c r="S3380" s="31" t="s">
        <v>273</v>
      </c>
      <c r="T3380" s="31" t="s">
        <v>273</v>
      </c>
      <c r="U3380" s="31">
        <f>IFERROR(VLOOKUP(CONCATENATE(Tabla1[[#This Row],[Severidad]]," ",Tabla1[[#This Row],[Complejidad]]),Catalogos!E$120:G$128,3,FALSE),"")</f>
        <v>64</v>
      </c>
      <c r="V3380" s="31" t="str">
        <f>IF(Tabla1[[#This Row],[Tiempo solución max (hrs)]]&lt;&gt;"",IF(Tabla1[[#This Row],[Tiempo solución max (hrs)]]&gt;=Tabla1[[#This Row],[Tiempo
(Hrs 00/100)]],"cumple","no cumple"),"")</f>
        <v>cumple</v>
      </c>
      <c r="W3380" s="222" t="s">
        <v>5372</v>
      </c>
      <c r="X3380" s="18" t="str">
        <f t="shared" si="237"/>
        <v>SAI</v>
      </c>
      <c r="Y3380" t="str">
        <f>SUBSTITUTE(Tabla1[[#This Row],[Descripción]],CHAR(10),"    I    ")</f>
        <v>Evidencias</v>
      </c>
      <c r="Z3380" s="112">
        <f>VLOOKUP(Tabla1[[#This Row],[Perfil]],Catalogos!$B$75:$D$100,3,FALSE)*Tabla1[[#This Row],[Tiempo
(Hrs 00/100)]]*1.16</f>
        <v>812</v>
      </c>
      <c r="AA3380" t="s">
        <v>3356</v>
      </c>
    </row>
    <row r="3381" spans="1:27" ht="30" customHeight="1" x14ac:dyDescent="0.3">
      <c r="A3381" s="828" t="s">
        <v>22</v>
      </c>
      <c r="B3381" s="828" t="s">
        <v>23</v>
      </c>
      <c r="C3381" s="828" t="s">
        <v>49</v>
      </c>
      <c r="D3381" s="828"/>
      <c r="E3381" s="828" t="s">
        <v>4133</v>
      </c>
      <c r="F3381" s="828" t="s">
        <v>23</v>
      </c>
      <c r="G3381" s="846" t="s">
        <v>6140</v>
      </c>
      <c r="H3381" s="844" t="s">
        <v>6108</v>
      </c>
      <c r="I3381" s="827" t="s">
        <v>5150</v>
      </c>
      <c r="J3381" s="811">
        <v>45266</v>
      </c>
      <c r="K3381" s="815">
        <v>0.45833333333333331</v>
      </c>
      <c r="L3381" s="811">
        <v>45282</v>
      </c>
      <c r="M3381" s="815">
        <v>0.5</v>
      </c>
      <c r="N3381" s="828">
        <v>1</v>
      </c>
      <c r="O3381" s="697" t="s">
        <v>17</v>
      </c>
      <c r="P3381" s="845" t="s">
        <v>5237</v>
      </c>
      <c r="Q3381" s="828" t="s">
        <v>5376</v>
      </c>
      <c r="R3381" s="468" t="s">
        <v>40</v>
      </c>
      <c r="S3381" s="31" t="s">
        <v>273</v>
      </c>
      <c r="T3381" s="31" t="s">
        <v>273</v>
      </c>
      <c r="U3381" s="31">
        <f>IFERROR(VLOOKUP(CONCATENATE(Tabla1[[#This Row],[Severidad]]," ",Tabla1[[#This Row],[Complejidad]]),Catalogos!E$120:G$128,3,FALSE),"")</f>
        <v>64</v>
      </c>
      <c r="V3381" s="31" t="str">
        <f>IF(Tabla1[[#This Row],[Tiempo solución max (hrs)]]&lt;&gt;"",IF(Tabla1[[#This Row],[Tiempo solución max (hrs)]]&gt;=Tabla1[[#This Row],[Tiempo
(Hrs 00/100)]],"cumple","no cumple"),"")</f>
        <v>cumple</v>
      </c>
      <c r="W3381" s="222" t="s">
        <v>5372</v>
      </c>
      <c r="X3381" s="18" t="str">
        <f t="shared" si="237"/>
        <v>SAI</v>
      </c>
      <c r="Y3381" t="str">
        <f>SUBSTITUTE(Tabla1[[#This Row],[Descripción]],CHAR(10),"    I    ")</f>
        <v>Actividades sin avance</v>
      </c>
      <c r="Z3381" s="112">
        <f>VLOOKUP(Tabla1[[#This Row],[Perfil]],Catalogos!$B$75:$D$100,3,FALSE)*Tabla1[[#This Row],[Tiempo
(Hrs 00/100)]]*1.16</f>
        <v>812</v>
      </c>
      <c r="AA3381" t="s">
        <v>3356</v>
      </c>
    </row>
    <row r="3382" spans="1:27" ht="30" customHeight="1" x14ac:dyDescent="0.3">
      <c r="A3382" s="828" t="s">
        <v>22</v>
      </c>
      <c r="B3382" s="828" t="s">
        <v>23</v>
      </c>
      <c r="C3382" s="828" t="s">
        <v>49</v>
      </c>
      <c r="D3382" s="828"/>
      <c r="E3382" s="828" t="s">
        <v>4133</v>
      </c>
      <c r="F3382" s="828" t="s">
        <v>23</v>
      </c>
      <c r="G3382" s="846" t="s">
        <v>6141</v>
      </c>
      <c r="H3382" s="844" t="s">
        <v>6108</v>
      </c>
      <c r="I3382" s="827" t="s">
        <v>6112</v>
      </c>
      <c r="J3382" s="811">
        <v>45266</v>
      </c>
      <c r="K3382" s="815">
        <v>0.5</v>
      </c>
      <c r="L3382" s="811">
        <v>45283</v>
      </c>
      <c r="M3382" s="815">
        <v>0.54166666666666663</v>
      </c>
      <c r="N3382" s="828">
        <v>1</v>
      </c>
      <c r="O3382" s="697" t="s">
        <v>17</v>
      </c>
      <c r="P3382" s="845" t="s">
        <v>5237</v>
      </c>
      <c r="Q3382" s="828" t="s">
        <v>5376</v>
      </c>
      <c r="R3382" s="468" t="s">
        <v>40</v>
      </c>
      <c r="S3382" s="31" t="s">
        <v>273</v>
      </c>
      <c r="T3382" s="31" t="s">
        <v>273</v>
      </c>
      <c r="U3382" s="31">
        <f>IFERROR(VLOOKUP(CONCATENATE(Tabla1[[#This Row],[Severidad]]," ",Tabla1[[#This Row],[Complejidad]]),Catalogos!E$120:G$128,3,FALSE),"")</f>
        <v>64</v>
      </c>
      <c r="V3382" s="31" t="str">
        <f>IF(Tabla1[[#This Row],[Tiempo solución max (hrs)]]&lt;&gt;"",IF(Tabla1[[#This Row],[Tiempo solución max (hrs)]]&gt;=Tabla1[[#This Row],[Tiempo
(Hrs 00/100)]],"cumple","no cumple"),"")</f>
        <v>cumple</v>
      </c>
      <c r="W3382" s="222" t="s">
        <v>5372</v>
      </c>
      <c r="X3382" s="18" t="str">
        <f t="shared" si="237"/>
        <v>SAI</v>
      </c>
      <c r="Y3382" t="str">
        <f>SUBSTITUTE(Tabla1[[#This Row],[Descripción]],CHAR(10),"    I    ")</f>
        <v>Avance por Integrante</v>
      </c>
      <c r="Z3382" s="112">
        <f>VLOOKUP(Tabla1[[#This Row],[Perfil]],Catalogos!$B$75:$D$100,3,FALSE)*Tabla1[[#This Row],[Tiempo
(Hrs 00/100)]]*1.16</f>
        <v>812</v>
      </c>
      <c r="AA3382" t="s">
        <v>3356</v>
      </c>
    </row>
    <row r="3383" spans="1:27" ht="30" customHeight="1" x14ac:dyDescent="0.3">
      <c r="A3383" s="828" t="s">
        <v>22</v>
      </c>
      <c r="B3383" s="828" t="s">
        <v>23</v>
      </c>
      <c r="C3383" s="828" t="s">
        <v>49</v>
      </c>
      <c r="D3383" s="501"/>
      <c r="E3383" s="828" t="s">
        <v>4133</v>
      </c>
      <c r="F3383" s="828" t="s">
        <v>23</v>
      </c>
      <c r="G3383" s="846" t="s">
        <v>6142</v>
      </c>
      <c r="H3383" s="844" t="s">
        <v>6108</v>
      </c>
      <c r="I3383" s="827" t="s">
        <v>6113</v>
      </c>
      <c r="J3383" s="811">
        <v>45266</v>
      </c>
      <c r="K3383" s="815">
        <v>0.54166666666666663</v>
      </c>
      <c r="L3383" s="811">
        <v>45284</v>
      </c>
      <c r="M3383" s="815">
        <v>0.60416666666666663</v>
      </c>
      <c r="N3383" s="828">
        <v>1.5</v>
      </c>
      <c r="O3383" s="697" t="s">
        <v>17</v>
      </c>
      <c r="P3383" s="845" t="s">
        <v>5237</v>
      </c>
      <c r="Q3383" s="828" t="s">
        <v>5376</v>
      </c>
      <c r="R3383" s="468" t="s">
        <v>40</v>
      </c>
      <c r="S3383" s="31" t="s">
        <v>273</v>
      </c>
      <c r="T3383" s="31" t="s">
        <v>273</v>
      </c>
      <c r="U3383" s="31">
        <f>IFERROR(VLOOKUP(CONCATENATE(Tabla1[[#This Row],[Severidad]]," ",Tabla1[[#This Row],[Complejidad]]),Catalogos!E$120:G$128,3,FALSE),"")</f>
        <v>64</v>
      </c>
      <c r="V3383" s="31" t="str">
        <f>IF(Tabla1[[#This Row],[Tiempo solución max (hrs)]]&lt;&gt;"",IF(Tabla1[[#This Row],[Tiempo solución max (hrs)]]&gt;=Tabla1[[#This Row],[Tiempo
(Hrs 00/100)]],"cumple","no cumple"),"")</f>
        <v>cumple</v>
      </c>
      <c r="W3383" s="222" t="s">
        <v>5372</v>
      </c>
      <c r="X3383" s="18" t="str">
        <f t="shared" si="237"/>
        <v>SAI</v>
      </c>
      <c r="Y3383" t="str">
        <f>SUBSTITUTE(Tabla1[[#This Row],[Descripción]],CHAR(10),"    I    ")</f>
        <v>Cuadro Comparativo</v>
      </c>
      <c r="Z3383" s="112">
        <f>VLOOKUP(Tabla1[[#This Row],[Perfil]],Catalogos!$B$75:$D$100,3,FALSE)*Tabla1[[#This Row],[Tiempo
(Hrs 00/100)]]*1.16</f>
        <v>1218</v>
      </c>
      <c r="AA3383" t="s">
        <v>3356</v>
      </c>
    </row>
    <row r="3384" spans="1:27" ht="30" customHeight="1" x14ac:dyDescent="0.3">
      <c r="A3384" s="828" t="s">
        <v>22</v>
      </c>
      <c r="B3384" s="828" t="s">
        <v>23</v>
      </c>
      <c r="C3384" s="828" t="s">
        <v>49</v>
      </c>
      <c r="D3384" s="501"/>
      <c r="E3384" s="828" t="s">
        <v>4133</v>
      </c>
      <c r="F3384" s="828" t="s">
        <v>23</v>
      </c>
      <c r="G3384" s="846" t="s">
        <v>6143</v>
      </c>
      <c r="H3384" s="844" t="s">
        <v>6114</v>
      </c>
      <c r="I3384" s="827" t="s">
        <v>5253</v>
      </c>
      <c r="J3384" s="811">
        <v>45266</v>
      </c>
      <c r="K3384" s="815">
        <v>0.66666666666666663</v>
      </c>
      <c r="L3384" s="811">
        <v>45285</v>
      </c>
      <c r="M3384" s="815">
        <v>0.6875</v>
      </c>
      <c r="N3384" s="828">
        <v>0.5</v>
      </c>
      <c r="O3384" s="697" t="s">
        <v>17</v>
      </c>
      <c r="P3384" s="845" t="s">
        <v>5237</v>
      </c>
      <c r="Q3384" s="828" t="s">
        <v>5376</v>
      </c>
      <c r="R3384" s="468" t="s">
        <v>40</v>
      </c>
      <c r="S3384" s="31" t="s">
        <v>273</v>
      </c>
      <c r="T3384" s="31" t="s">
        <v>273</v>
      </c>
      <c r="U3384" s="31">
        <f>IFERROR(VLOOKUP(CONCATENATE(Tabla1[[#This Row],[Severidad]]," ",Tabla1[[#This Row],[Complejidad]]),Catalogos!E$120:G$128,3,FALSE),"")</f>
        <v>64</v>
      </c>
      <c r="V3384" s="31" t="str">
        <f>IF(Tabla1[[#This Row],[Tiempo solución max (hrs)]]&lt;&gt;"",IF(Tabla1[[#This Row],[Tiempo solución max (hrs)]]&gt;=Tabla1[[#This Row],[Tiempo
(Hrs 00/100)]],"cumple","no cumple"),"")</f>
        <v>cumple</v>
      </c>
      <c r="W3384" s="222" t="s">
        <v>5372</v>
      </c>
      <c r="X3384" s="18" t="str">
        <f t="shared" si="237"/>
        <v>SAI</v>
      </c>
      <c r="Y3384" t="str">
        <f>SUBSTITUTE(Tabla1[[#This Row],[Descripción]],CHAR(10),"    I    ")</f>
        <v>2.4.1 Integrar mensajería instantánea (Alerta de mensajes no leídos)</v>
      </c>
      <c r="Z3384" s="112">
        <f>VLOOKUP(Tabla1[[#This Row],[Perfil]],Catalogos!$B$75:$D$100,3,FALSE)*Tabla1[[#This Row],[Tiempo
(Hrs 00/100)]]*1.16</f>
        <v>406</v>
      </c>
      <c r="AA3384" t="s">
        <v>3356</v>
      </c>
    </row>
    <row r="3385" spans="1:27" ht="30" customHeight="1" x14ac:dyDescent="0.3">
      <c r="A3385" s="828" t="s">
        <v>22</v>
      </c>
      <c r="B3385" s="828" t="s">
        <v>23</v>
      </c>
      <c r="C3385" s="828" t="s">
        <v>49</v>
      </c>
      <c r="D3385" s="501"/>
      <c r="E3385" s="828" t="s">
        <v>4133</v>
      </c>
      <c r="F3385" s="828" t="s">
        <v>23</v>
      </c>
      <c r="G3385" s="846" t="s">
        <v>6144</v>
      </c>
      <c r="H3385" s="844" t="s">
        <v>6114</v>
      </c>
      <c r="I3385" s="827" t="s">
        <v>5255</v>
      </c>
      <c r="J3385" s="811">
        <v>45266</v>
      </c>
      <c r="K3385" s="815">
        <v>0.6875</v>
      </c>
      <c r="L3385" s="811">
        <v>45286</v>
      </c>
      <c r="M3385" s="815">
        <v>0.72916666666666663</v>
      </c>
      <c r="N3385" s="828">
        <v>1</v>
      </c>
      <c r="O3385" s="697" t="s">
        <v>17</v>
      </c>
      <c r="P3385" s="845" t="s">
        <v>5237</v>
      </c>
      <c r="Q3385" s="828" t="s">
        <v>5376</v>
      </c>
      <c r="R3385" s="468" t="s">
        <v>40</v>
      </c>
      <c r="S3385" s="31" t="s">
        <v>273</v>
      </c>
      <c r="T3385" s="31" t="s">
        <v>273</v>
      </c>
      <c r="U3385" s="31">
        <f>IFERROR(VLOOKUP(CONCATENATE(Tabla1[[#This Row],[Severidad]]," ",Tabla1[[#This Row],[Complejidad]]),Catalogos!E$120:G$128,3,FALSE),"")</f>
        <v>64</v>
      </c>
      <c r="V3385" s="31" t="str">
        <f>IF(Tabla1[[#This Row],[Tiempo solución max (hrs)]]&lt;&gt;"",IF(Tabla1[[#This Row],[Tiempo solución max (hrs)]]&gt;=Tabla1[[#This Row],[Tiempo
(Hrs 00/100)]],"cumple","no cumple"),"")</f>
        <v>cumple</v>
      </c>
      <c r="W3385" s="222" t="s">
        <v>5372</v>
      </c>
      <c r="X3385" s="18" t="str">
        <f t="shared" si="237"/>
        <v>SAI</v>
      </c>
      <c r="Y3385" t="str">
        <f>SUBSTITUTE(Tabla1[[#This Row],[Descripción]],CHAR(10),"    I    ")</f>
        <v>2.4.2 esignación de programa por enlace (PROTAI-PRONADATOS, o en su caso, AMBOS)</v>
      </c>
      <c r="Z3385" s="112">
        <f>VLOOKUP(Tabla1[[#This Row],[Perfil]],Catalogos!$B$75:$D$100,3,FALSE)*Tabla1[[#This Row],[Tiempo
(Hrs 00/100)]]*1.16</f>
        <v>812</v>
      </c>
      <c r="AA3385" t="s">
        <v>3356</v>
      </c>
    </row>
    <row r="3386" spans="1:27" ht="30" customHeight="1" x14ac:dyDescent="0.3">
      <c r="A3386" s="828" t="s">
        <v>22</v>
      </c>
      <c r="B3386" s="828" t="s">
        <v>23</v>
      </c>
      <c r="C3386" s="828" t="s">
        <v>49</v>
      </c>
      <c r="D3386" s="501"/>
      <c r="E3386" s="828" t="s">
        <v>4133</v>
      </c>
      <c r="F3386" s="828" t="s">
        <v>23</v>
      </c>
      <c r="G3386" s="846" t="s">
        <v>6145</v>
      </c>
      <c r="H3386" s="844" t="s">
        <v>6114</v>
      </c>
      <c r="I3386" s="827" t="s">
        <v>6115</v>
      </c>
      <c r="J3386" s="811">
        <v>45266</v>
      </c>
      <c r="K3386" s="815">
        <v>0.72916666666666663</v>
      </c>
      <c r="L3386" s="811">
        <v>45287</v>
      </c>
      <c r="M3386" s="815">
        <v>0.77083333333333337</v>
      </c>
      <c r="N3386" s="828">
        <v>1</v>
      </c>
      <c r="O3386" s="697" t="s">
        <v>17</v>
      </c>
      <c r="P3386" s="845" t="s">
        <v>5237</v>
      </c>
      <c r="Q3386" s="828" t="s">
        <v>5376</v>
      </c>
      <c r="R3386" s="468" t="s">
        <v>40</v>
      </c>
      <c r="S3386" s="31" t="s">
        <v>273</v>
      </c>
      <c r="T3386" s="31" t="s">
        <v>273</v>
      </c>
      <c r="U3386" s="31">
        <f>IFERROR(VLOOKUP(CONCATENATE(Tabla1[[#This Row],[Severidad]]," ",Tabla1[[#This Row],[Complejidad]]),Catalogos!E$120:G$128,3,FALSE),"")</f>
        <v>64</v>
      </c>
      <c r="V3386" s="31" t="str">
        <f>IF(Tabla1[[#This Row],[Tiempo solución max (hrs)]]&lt;&gt;"",IF(Tabla1[[#This Row],[Tiempo solución max (hrs)]]&gt;=Tabla1[[#This Row],[Tiempo
(Hrs 00/100)]],"cumple","no cumple"),"")</f>
        <v>cumple</v>
      </c>
      <c r="W3386" s="222" t="s">
        <v>5372</v>
      </c>
      <c r="X3386" s="18" t="str">
        <f t="shared" si="237"/>
        <v>SAI</v>
      </c>
      <c r="Y3386" t="str">
        <f>SUBSTITUTE(Tabla1[[#This Row],[Descripción]],CHAR(10),"    I    ")</f>
        <v>2.5.1 Cambiar nombre de Integrante por Abreviatura de la Entidad Federativa</v>
      </c>
      <c r="Z3386" s="112">
        <f>VLOOKUP(Tabla1[[#This Row],[Perfil]],Catalogos!$B$75:$D$100,3,FALSE)*Tabla1[[#This Row],[Tiempo
(Hrs 00/100)]]*1.16</f>
        <v>812</v>
      </c>
      <c r="AA3386" t="s">
        <v>3356</v>
      </c>
    </row>
    <row r="3387" spans="1:27" ht="30" customHeight="1" x14ac:dyDescent="0.3">
      <c r="A3387" s="828" t="s">
        <v>22</v>
      </c>
      <c r="B3387" s="828" t="s">
        <v>23</v>
      </c>
      <c r="C3387" s="828" t="s">
        <v>49</v>
      </c>
      <c r="D3387" s="501"/>
      <c r="E3387" s="828" t="s">
        <v>4133</v>
      </c>
      <c r="F3387" s="828" t="s">
        <v>23</v>
      </c>
      <c r="G3387" s="846" t="s">
        <v>6146</v>
      </c>
      <c r="H3387" s="844" t="s">
        <v>6114</v>
      </c>
      <c r="I3387" s="827" t="s">
        <v>5257</v>
      </c>
      <c r="J3387" s="811">
        <v>45266</v>
      </c>
      <c r="K3387" s="815">
        <v>0.77083333333333337</v>
      </c>
      <c r="L3387" s="811">
        <v>45288</v>
      </c>
      <c r="M3387" s="815">
        <v>0.8125</v>
      </c>
      <c r="N3387" s="828">
        <v>1</v>
      </c>
      <c r="O3387" s="697" t="s">
        <v>17</v>
      </c>
      <c r="P3387" s="845" t="s">
        <v>5237</v>
      </c>
      <c r="Q3387" s="828" t="s">
        <v>5376</v>
      </c>
      <c r="R3387" s="468" t="s">
        <v>40</v>
      </c>
      <c r="S3387" s="31" t="s">
        <v>273</v>
      </c>
      <c r="T3387" s="31" t="s">
        <v>273</v>
      </c>
      <c r="U3387" s="31">
        <f>IFERROR(VLOOKUP(CONCATENATE(Tabla1[[#This Row],[Severidad]]," ",Tabla1[[#This Row],[Complejidad]]),Catalogos!E$120:G$128,3,FALSE),"")</f>
        <v>64</v>
      </c>
      <c r="V3387" s="31" t="str">
        <f>IF(Tabla1[[#This Row],[Tiempo solución max (hrs)]]&lt;&gt;"",IF(Tabla1[[#This Row],[Tiempo solución max (hrs)]]&gt;=Tabla1[[#This Row],[Tiempo
(Hrs 00/100)]],"cumple","no cumple"),"")</f>
        <v>cumple</v>
      </c>
      <c r="W3387" s="222" t="s">
        <v>5372</v>
      </c>
      <c r="X3387" s="18" t="str">
        <f t="shared" si="237"/>
        <v>SAI</v>
      </c>
      <c r="Y3387" t="str">
        <f>SUBSTITUTE(Tabla1[[#This Row],[Descripción]],CHAR(10),"    I    ")</f>
        <v>3.1.1.Habilitar campos en Apartado "Nuevo" para la asignación de Líneas de Enlace a UA</v>
      </c>
      <c r="Z3387" s="112">
        <f>VLOOKUP(Tabla1[[#This Row],[Perfil]],Catalogos!$B$75:$D$100,3,FALSE)*Tabla1[[#This Row],[Tiempo
(Hrs 00/100)]]*1.16</f>
        <v>812</v>
      </c>
      <c r="AA3387" t="s">
        <v>3356</v>
      </c>
    </row>
    <row r="3388" spans="1:27" ht="30" customHeight="1" x14ac:dyDescent="0.3">
      <c r="A3388" s="828" t="s">
        <v>22</v>
      </c>
      <c r="B3388" s="828" t="s">
        <v>23</v>
      </c>
      <c r="C3388" s="828" t="s">
        <v>49</v>
      </c>
      <c r="D3388" s="501"/>
      <c r="E3388" s="828" t="s">
        <v>4133</v>
      </c>
      <c r="F3388" s="828" t="s">
        <v>23</v>
      </c>
      <c r="G3388" s="846" t="s">
        <v>6147</v>
      </c>
      <c r="H3388" s="844" t="s">
        <v>6114</v>
      </c>
      <c r="I3388" s="827" t="s">
        <v>5259</v>
      </c>
      <c r="J3388" s="811">
        <v>45267</v>
      </c>
      <c r="K3388" s="815">
        <v>0.375</v>
      </c>
      <c r="L3388" s="811">
        <v>45289</v>
      </c>
      <c r="M3388" s="815">
        <v>0.41666666666666669</v>
      </c>
      <c r="N3388" s="828">
        <v>1</v>
      </c>
      <c r="O3388" s="697" t="s">
        <v>17</v>
      </c>
      <c r="P3388" s="845" t="s">
        <v>5237</v>
      </c>
      <c r="Q3388" s="828" t="s">
        <v>5376</v>
      </c>
      <c r="R3388" s="468" t="s">
        <v>40</v>
      </c>
      <c r="S3388" s="31" t="s">
        <v>273</v>
      </c>
      <c r="T3388" s="31" t="s">
        <v>273</v>
      </c>
      <c r="U3388" s="31">
        <f>IFERROR(VLOOKUP(CONCATENATE(Tabla1[[#This Row],[Severidad]]," ",Tabla1[[#This Row],[Complejidad]]),Catalogos!E$120:G$128,3,FALSE),"")</f>
        <v>64</v>
      </c>
      <c r="V3388" s="31" t="str">
        <f>IF(Tabla1[[#This Row],[Tiempo solución max (hrs)]]&lt;&gt;"",IF(Tabla1[[#This Row],[Tiempo solución max (hrs)]]&gt;=Tabla1[[#This Row],[Tiempo
(Hrs 00/100)]],"cumple","no cumple"),"")</f>
        <v>cumple</v>
      </c>
      <c r="W3388" s="222" t="s">
        <v>5372</v>
      </c>
      <c r="X3388" s="18" t="str">
        <f t="shared" si="237"/>
        <v>SAI</v>
      </c>
      <c r="Y3388" t="str">
        <f>SUBSTITUTE(Tabla1[[#This Row],[Descripción]],CHAR(10),"    I    ")</f>
        <v xml:space="preserve">3.2.1Integrar en los 3 roles, en todas las pantallas, el filtro de Numeración </v>
      </c>
      <c r="Z3388" s="112">
        <f>VLOOKUP(Tabla1[[#This Row],[Perfil]],Catalogos!$B$75:$D$100,3,FALSE)*Tabla1[[#This Row],[Tiempo
(Hrs 00/100)]]*1.16</f>
        <v>812</v>
      </c>
      <c r="AA3388" t="s">
        <v>3356</v>
      </c>
    </row>
    <row r="3389" spans="1:27" ht="30" customHeight="1" x14ac:dyDescent="0.3">
      <c r="A3389" s="828" t="s">
        <v>22</v>
      </c>
      <c r="B3389" s="828" t="s">
        <v>23</v>
      </c>
      <c r="C3389" s="828" t="s">
        <v>49</v>
      </c>
      <c r="D3389" s="501"/>
      <c r="E3389" s="828" t="s">
        <v>4133</v>
      </c>
      <c r="F3389" s="828" t="s">
        <v>23</v>
      </c>
      <c r="G3389" s="846" t="s">
        <v>6148</v>
      </c>
      <c r="H3389" s="844" t="s">
        <v>6114</v>
      </c>
      <c r="I3389" s="827" t="s">
        <v>5261</v>
      </c>
      <c r="J3389" s="811">
        <v>45267</v>
      </c>
      <c r="K3389" s="815">
        <v>0.54166666666666696</v>
      </c>
      <c r="L3389" s="811">
        <v>45290</v>
      </c>
      <c r="M3389" s="815">
        <v>0.60416666666666663</v>
      </c>
      <c r="N3389" s="828">
        <v>1.5</v>
      </c>
      <c r="O3389" s="697" t="s">
        <v>17</v>
      </c>
      <c r="P3389" s="845" t="s">
        <v>5237</v>
      </c>
      <c r="Q3389" s="828" t="s">
        <v>5376</v>
      </c>
      <c r="R3389" s="468" t="s">
        <v>40</v>
      </c>
      <c r="S3389" s="31" t="s">
        <v>273</v>
      </c>
      <c r="T3389" s="31" t="s">
        <v>273</v>
      </c>
      <c r="U3389" s="31">
        <f>IFERROR(VLOOKUP(CONCATENATE(Tabla1[[#This Row],[Severidad]]," ",Tabla1[[#This Row],[Complejidad]]),Catalogos!E$120:G$128,3,FALSE),"")</f>
        <v>64</v>
      </c>
      <c r="V3389" s="31" t="str">
        <f>IF(Tabla1[[#This Row],[Tiempo solución max (hrs)]]&lt;&gt;"",IF(Tabla1[[#This Row],[Tiempo solución max (hrs)]]&gt;=Tabla1[[#This Row],[Tiempo
(Hrs 00/100)]],"cumple","no cumple"),"")</f>
        <v>cumple</v>
      </c>
      <c r="W3389" s="222" t="s">
        <v>5372</v>
      </c>
      <c r="X3389" s="18" t="str">
        <f t="shared" si="237"/>
        <v>SAI</v>
      </c>
      <c r="Y3389" t="str">
        <f>SUBSTITUTE(Tabla1[[#This Row],[Descripción]],CHAR(10),"    I    ")</f>
        <v>3.2.2 Eliminar filtros de Estrategia</v>
      </c>
      <c r="Z3389" s="112">
        <f>VLOOKUP(Tabla1[[#This Row],[Perfil]],Catalogos!$B$75:$D$100,3,FALSE)*Tabla1[[#This Row],[Tiempo
(Hrs 00/100)]]*1.16</f>
        <v>1218</v>
      </c>
      <c r="AA3389" t="s">
        <v>3356</v>
      </c>
    </row>
    <row r="3390" spans="1:27" ht="30" customHeight="1" x14ac:dyDescent="0.3">
      <c r="A3390" s="828" t="s">
        <v>22</v>
      </c>
      <c r="B3390" s="828" t="s">
        <v>23</v>
      </c>
      <c r="C3390" s="828" t="s">
        <v>49</v>
      </c>
      <c r="D3390" s="501"/>
      <c r="E3390" s="828" t="s">
        <v>4133</v>
      </c>
      <c r="F3390" s="828" t="s">
        <v>23</v>
      </c>
      <c r="G3390" s="846" t="s">
        <v>6149</v>
      </c>
      <c r="H3390" s="844" t="s">
        <v>6114</v>
      </c>
      <c r="I3390" s="827" t="s">
        <v>5263</v>
      </c>
      <c r="J3390" s="811">
        <v>45267</v>
      </c>
      <c r="K3390" s="815">
        <v>0.66666666666666663</v>
      </c>
      <c r="L3390" s="811">
        <v>45291</v>
      </c>
      <c r="M3390" s="815">
        <v>0.6875</v>
      </c>
      <c r="N3390" s="828">
        <v>0.5</v>
      </c>
      <c r="O3390" s="697" t="s">
        <v>17</v>
      </c>
      <c r="P3390" s="845" t="s">
        <v>5237</v>
      </c>
      <c r="Q3390" s="828" t="s">
        <v>5376</v>
      </c>
      <c r="R3390" s="468" t="s">
        <v>40</v>
      </c>
      <c r="S3390" s="31" t="s">
        <v>273</v>
      </c>
      <c r="T3390" s="31" t="s">
        <v>273</v>
      </c>
      <c r="U3390" s="31">
        <f>IFERROR(VLOOKUP(CONCATENATE(Tabla1[[#This Row],[Severidad]]," ",Tabla1[[#This Row],[Complejidad]]),Catalogos!E$120:G$128,3,FALSE),"")</f>
        <v>64</v>
      </c>
      <c r="V3390" s="31" t="str">
        <f>IF(Tabla1[[#This Row],[Tiempo solución max (hrs)]]&lt;&gt;"",IF(Tabla1[[#This Row],[Tiempo solución max (hrs)]]&gt;=Tabla1[[#This Row],[Tiempo
(Hrs 00/100)]],"cumple","no cumple"),"")</f>
        <v>cumple</v>
      </c>
      <c r="W3390" s="222" t="s">
        <v>5372</v>
      </c>
      <c r="X3390" s="18" t="str">
        <f t="shared" si="237"/>
        <v>SAI</v>
      </c>
      <c r="Y3390" t="str">
        <f>SUBSTITUTE(Tabla1[[#This Row],[Descripción]],CHAR(10),"    I    ")</f>
        <v>3.2.3 Agregar histórico de Estatus actividad</v>
      </c>
      <c r="Z3390" s="112">
        <f>VLOOKUP(Tabla1[[#This Row],[Perfil]],Catalogos!$B$75:$D$100,3,FALSE)*Tabla1[[#This Row],[Tiempo
(Hrs 00/100)]]*1.16</f>
        <v>406</v>
      </c>
      <c r="AA3390" t="s">
        <v>3356</v>
      </c>
    </row>
    <row r="3391" spans="1:27" ht="30" customHeight="1" x14ac:dyDescent="0.3">
      <c r="A3391" s="828" t="s">
        <v>22</v>
      </c>
      <c r="B3391" s="828" t="s">
        <v>23</v>
      </c>
      <c r="C3391" s="828" t="s">
        <v>49</v>
      </c>
      <c r="D3391" s="501"/>
      <c r="E3391" s="828" t="s">
        <v>4133</v>
      </c>
      <c r="F3391" s="828" t="s">
        <v>23</v>
      </c>
      <c r="G3391" s="846" t="s">
        <v>6150</v>
      </c>
      <c r="H3391" s="844" t="s">
        <v>6114</v>
      </c>
      <c r="I3391" s="827" t="s">
        <v>5265</v>
      </c>
      <c r="J3391" s="811">
        <v>45267</v>
      </c>
      <c r="K3391" s="815">
        <v>0.6875</v>
      </c>
      <c r="L3391" s="811">
        <v>45292</v>
      </c>
      <c r="M3391" s="815">
        <v>0.72916666666666663</v>
      </c>
      <c r="N3391" s="828">
        <v>1</v>
      </c>
      <c r="O3391" s="697" t="s">
        <v>17</v>
      </c>
      <c r="P3391" s="845" t="s">
        <v>5237</v>
      </c>
      <c r="Q3391" s="828" t="s">
        <v>5376</v>
      </c>
      <c r="R3391" s="468" t="s">
        <v>40</v>
      </c>
      <c r="S3391" s="31" t="s">
        <v>273</v>
      </c>
      <c r="T3391" s="31" t="s">
        <v>273</v>
      </c>
      <c r="U3391" s="31">
        <f>IFERROR(VLOOKUP(CONCATENATE(Tabla1[[#This Row],[Severidad]]," ",Tabla1[[#This Row],[Complejidad]]),Catalogos!E$120:G$128,3,FALSE),"")</f>
        <v>64</v>
      </c>
      <c r="V3391" s="31" t="str">
        <f>IF(Tabla1[[#This Row],[Tiempo solución max (hrs)]]&lt;&gt;"",IF(Tabla1[[#This Row],[Tiempo solución max (hrs)]]&gt;=Tabla1[[#This Row],[Tiempo
(Hrs 00/100)]],"cumple","no cumple"),"")</f>
        <v>cumple</v>
      </c>
      <c r="W3391" s="222" t="s">
        <v>5372</v>
      </c>
      <c r="X3391" s="18" t="str">
        <f t="shared" si="237"/>
        <v>SAI</v>
      </c>
      <c r="Y3391" t="str">
        <f>SUBSTITUTE(Tabla1[[#This Row],[Descripción]],CHAR(10),"    I    ")</f>
        <v>3.2.4 Pop-ups que describan la acción a realizar en Formulario de Alta de Actividades</v>
      </c>
      <c r="Z3391" s="112">
        <f>VLOOKUP(Tabla1[[#This Row],[Perfil]],Catalogos!$B$75:$D$100,3,FALSE)*Tabla1[[#This Row],[Tiempo
(Hrs 00/100)]]*1.16</f>
        <v>812</v>
      </c>
      <c r="AA3391" t="s">
        <v>3356</v>
      </c>
    </row>
    <row r="3392" spans="1:27" ht="30" customHeight="1" x14ac:dyDescent="0.3">
      <c r="A3392" s="828" t="s">
        <v>22</v>
      </c>
      <c r="B3392" s="828" t="s">
        <v>23</v>
      </c>
      <c r="C3392" s="828" t="s">
        <v>49</v>
      </c>
      <c r="D3392" s="501"/>
      <c r="E3392" s="828" t="s">
        <v>4133</v>
      </c>
      <c r="F3392" s="828" t="s">
        <v>23</v>
      </c>
      <c r="G3392" s="846" t="s">
        <v>6151</v>
      </c>
      <c r="H3392" s="844" t="s">
        <v>6114</v>
      </c>
      <c r="I3392" s="827" t="s">
        <v>5267</v>
      </c>
      <c r="J3392" s="811">
        <v>45267</v>
      </c>
      <c r="K3392" s="815">
        <v>0.72916666666666663</v>
      </c>
      <c r="L3392" s="811">
        <v>45293</v>
      </c>
      <c r="M3392" s="815">
        <v>0.77083333333333337</v>
      </c>
      <c r="N3392" s="828">
        <v>1</v>
      </c>
      <c r="O3392" s="697" t="s">
        <v>17</v>
      </c>
      <c r="P3392" s="845" t="s">
        <v>5237</v>
      </c>
      <c r="Q3392" s="828" t="s">
        <v>5376</v>
      </c>
      <c r="R3392" s="468" t="s">
        <v>40</v>
      </c>
      <c r="S3392" s="31" t="s">
        <v>273</v>
      </c>
      <c r="T3392" s="31" t="s">
        <v>273</v>
      </c>
      <c r="U3392" s="31">
        <f>IFERROR(VLOOKUP(CONCATENATE(Tabla1[[#This Row],[Severidad]]," ",Tabla1[[#This Row],[Complejidad]]),Catalogos!E$120:G$128,3,FALSE),"")</f>
        <v>64</v>
      </c>
      <c r="V3392" s="31" t="str">
        <f>IF(Tabla1[[#This Row],[Tiempo solución max (hrs)]]&lt;&gt;"",IF(Tabla1[[#This Row],[Tiempo solución max (hrs)]]&gt;=Tabla1[[#This Row],[Tiempo
(Hrs 00/100)]],"cumple","no cumple"),"")</f>
        <v>cumple</v>
      </c>
      <c r="W3392" s="222" t="s">
        <v>5372</v>
      </c>
      <c r="X3392" s="18" t="str">
        <f t="shared" si="237"/>
        <v>SAI</v>
      </c>
      <c r="Y3392" t="str">
        <f>SUBSTITUTE(Tabla1[[#This Row],[Descripción]],CHAR(10),"    I    ")</f>
        <v>3.2.5 Comentarios individuales en cada campo</v>
      </c>
      <c r="Z3392" s="112">
        <f>VLOOKUP(Tabla1[[#This Row],[Perfil]],Catalogos!$B$75:$D$100,3,FALSE)*Tabla1[[#This Row],[Tiempo
(Hrs 00/100)]]*1.16</f>
        <v>812</v>
      </c>
      <c r="AA3392" t="s">
        <v>3356</v>
      </c>
    </row>
    <row r="3393" spans="1:27" ht="30" customHeight="1" x14ac:dyDescent="0.3">
      <c r="A3393" s="828" t="s">
        <v>22</v>
      </c>
      <c r="B3393" s="828" t="s">
        <v>23</v>
      </c>
      <c r="C3393" s="828" t="s">
        <v>49</v>
      </c>
      <c r="D3393" s="501"/>
      <c r="E3393" s="828" t="s">
        <v>4133</v>
      </c>
      <c r="F3393" s="828" t="s">
        <v>23</v>
      </c>
      <c r="G3393" s="846" t="s">
        <v>6152</v>
      </c>
      <c r="H3393" s="844" t="s">
        <v>6114</v>
      </c>
      <c r="I3393" s="827" t="s">
        <v>5269</v>
      </c>
      <c r="J3393" s="811">
        <v>45267</v>
      </c>
      <c r="K3393" s="815">
        <v>0.77083333333333337</v>
      </c>
      <c r="L3393" s="811">
        <v>45294</v>
      </c>
      <c r="M3393" s="815">
        <v>0.8125</v>
      </c>
      <c r="N3393" s="828">
        <v>1</v>
      </c>
      <c r="O3393" s="697" t="s">
        <v>17</v>
      </c>
      <c r="P3393" s="845" t="s">
        <v>5237</v>
      </c>
      <c r="Q3393" s="828" t="s">
        <v>5376</v>
      </c>
      <c r="R3393" s="468" t="s">
        <v>40</v>
      </c>
      <c r="S3393" s="31" t="s">
        <v>273</v>
      </c>
      <c r="T3393" s="31" t="s">
        <v>273</v>
      </c>
      <c r="U3393" s="31">
        <f>IFERROR(VLOOKUP(CONCATENATE(Tabla1[[#This Row],[Severidad]]," ",Tabla1[[#This Row],[Complejidad]]),Catalogos!E$120:G$128,3,FALSE),"")</f>
        <v>64</v>
      </c>
      <c r="V3393" s="31" t="str">
        <f>IF(Tabla1[[#This Row],[Tiempo solución max (hrs)]]&lt;&gt;"",IF(Tabla1[[#This Row],[Tiempo solución max (hrs)]]&gt;=Tabla1[[#This Row],[Tiempo
(Hrs 00/100)]],"cumple","no cumple"),"")</f>
        <v>cumple</v>
      </c>
      <c r="W3393" s="222" t="s">
        <v>5372</v>
      </c>
      <c r="X3393" s="18" t="str">
        <f t="shared" si="237"/>
        <v>SAI</v>
      </c>
      <c r="Y3393" t="str">
        <f>SUBSTITUTE(Tabla1[[#This Row],[Descripción]],CHAR(10),"    I    ")</f>
        <v>3.2.6 Corregir incidencia en campo "Presupuesto"; no funciona la opción "No Incluido"</v>
      </c>
      <c r="Z3393" s="112">
        <f>VLOOKUP(Tabla1[[#This Row],[Perfil]],Catalogos!$B$75:$D$100,3,FALSE)*Tabla1[[#This Row],[Tiempo
(Hrs 00/100)]]*1.16</f>
        <v>812</v>
      </c>
      <c r="AA3393" t="s">
        <v>3356</v>
      </c>
    </row>
    <row r="3394" spans="1:27" ht="30" customHeight="1" x14ac:dyDescent="0.3">
      <c r="A3394" s="828" t="s">
        <v>22</v>
      </c>
      <c r="B3394" s="828" t="s">
        <v>23</v>
      </c>
      <c r="C3394" s="828" t="s">
        <v>49</v>
      </c>
      <c r="D3394" s="501"/>
      <c r="E3394" s="828" t="s">
        <v>4133</v>
      </c>
      <c r="F3394" s="828" t="s">
        <v>23</v>
      </c>
      <c r="G3394" s="846" t="s">
        <v>6153</v>
      </c>
      <c r="H3394" s="844" t="s">
        <v>6114</v>
      </c>
      <c r="I3394" s="827" t="s">
        <v>5271</v>
      </c>
      <c r="J3394" s="811">
        <v>45268</v>
      </c>
      <c r="K3394" s="815">
        <v>0.375</v>
      </c>
      <c r="L3394" s="811">
        <v>45295</v>
      </c>
      <c r="M3394" s="815">
        <v>0.41666666666666669</v>
      </c>
      <c r="N3394" s="828">
        <v>1</v>
      </c>
      <c r="O3394" s="697" t="s">
        <v>17</v>
      </c>
      <c r="P3394" s="845" t="s">
        <v>5237</v>
      </c>
      <c r="Q3394" s="828" t="s">
        <v>5376</v>
      </c>
      <c r="R3394" s="468" t="s">
        <v>40</v>
      </c>
      <c r="S3394" s="31" t="s">
        <v>273</v>
      </c>
      <c r="T3394" s="31" t="s">
        <v>273</v>
      </c>
      <c r="U3394" s="31">
        <f>IFERROR(VLOOKUP(CONCATENATE(Tabla1[[#This Row],[Severidad]]," ",Tabla1[[#This Row],[Complejidad]]),Catalogos!E$120:G$128,3,FALSE),"")</f>
        <v>64</v>
      </c>
      <c r="V3394" s="31" t="str">
        <f>IF(Tabla1[[#This Row],[Tiempo solución max (hrs)]]&lt;&gt;"",IF(Tabla1[[#This Row],[Tiempo solución max (hrs)]]&gt;=Tabla1[[#This Row],[Tiempo
(Hrs 00/100)]],"cumple","no cumple"),"")</f>
        <v>cumple</v>
      </c>
      <c r="W3394" s="222" t="s">
        <v>5372</v>
      </c>
      <c r="X3394" s="18" t="str">
        <f t="shared" si="237"/>
        <v>SAI</v>
      </c>
      <c r="Y3394" t="str">
        <f>SUBSTITUTE(Tabla1[[#This Row],[Descripción]],CHAR(10),"    I    ")</f>
        <v>3.2.7 Agregar campo abierto donde se reporte la cantidad erogada para la actividad</v>
      </c>
      <c r="Z3394" s="112">
        <f>VLOOKUP(Tabla1[[#This Row],[Perfil]],Catalogos!$B$75:$D$100,3,FALSE)*Tabla1[[#This Row],[Tiempo
(Hrs 00/100)]]*1.16</f>
        <v>812</v>
      </c>
      <c r="AA3394" t="s">
        <v>3356</v>
      </c>
    </row>
    <row r="3395" spans="1:27" ht="30" customHeight="1" x14ac:dyDescent="0.3">
      <c r="A3395" s="828" t="s">
        <v>22</v>
      </c>
      <c r="B3395" s="828" t="s">
        <v>23</v>
      </c>
      <c r="C3395" s="828" t="s">
        <v>49</v>
      </c>
      <c r="D3395" s="501"/>
      <c r="E3395" s="828" t="s">
        <v>4133</v>
      </c>
      <c r="F3395" s="828" t="s">
        <v>23</v>
      </c>
      <c r="G3395" s="846" t="s">
        <v>6154</v>
      </c>
      <c r="H3395" s="844" t="s">
        <v>6114</v>
      </c>
      <c r="I3395" s="827" t="s">
        <v>5273</v>
      </c>
      <c r="J3395" s="811">
        <v>45268</v>
      </c>
      <c r="K3395" s="815">
        <v>0.41666666666666669</v>
      </c>
      <c r="L3395" s="811">
        <v>45296</v>
      </c>
      <c r="M3395" s="815">
        <v>0.45833333333333331</v>
      </c>
      <c r="N3395" s="828">
        <v>1</v>
      </c>
      <c r="O3395" s="697" t="s">
        <v>17</v>
      </c>
      <c r="P3395" s="845" t="s">
        <v>5237</v>
      </c>
      <c r="Q3395" s="828" t="s">
        <v>5376</v>
      </c>
      <c r="R3395" s="468" t="s">
        <v>40</v>
      </c>
      <c r="S3395" s="31" t="s">
        <v>273</v>
      </c>
      <c r="T3395" s="31" t="s">
        <v>273</v>
      </c>
      <c r="U3395" s="31">
        <f>IFERROR(VLOOKUP(CONCATENATE(Tabla1[[#This Row],[Severidad]]," ",Tabla1[[#This Row],[Complejidad]]),Catalogos!E$120:G$128,3,FALSE),"")</f>
        <v>64</v>
      </c>
      <c r="V3395" s="31" t="str">
        <f>IF(Tabla1[[#This Row],[Tiempo solución max (hrs)]]&lt;&gt;"",IF(Tabla1[[#This Row],[Tiempo solución max (hrs)]]&gt;=Tabla1[[#This Row],[Tiempo
(Hrs 00/100)]],"cumple","no cumple"),"")</f>
        <v>cumple</v>
      </c>
      <c r="W3395" s="222" t="s">
        <v>5372</v>
      </c>
      <c r="X3395" s="18" t="str">
        <f t="shared" si="237"/>
        <v>SAI</v>
      </c>
      <c r="Y3395" t="str">
        <f>SUBSTITUTE(Tabla1[[#This Row],[Descripción]],CHAR(10),"    I    ")</f>
        <v>3.2.8 Corregir incidencia de datos en los filtros; al aceptar la información, no se guarda correctamente lo seleccionado en combos de filtros.</v>
      </c>
      <c r="Z3395" s="112">
        <f>VLOOKUP(Tabla1[[#This Row],[Perfil]],Catalogos!$B$75:$D$100,3,FALSE)*Tabla1[[#This Row],[Tiempo
(Hrs 00/100)]]*1.16</f>
        <v>812</v>
      </c>
      <c r="AA3395" t="s">
        <v>3356</v>
      </c>
    </row>
    <row r="3396" spans="1:27" ht="30" customHeight="1" x14ac:dyDescent="0.3">
      <c r="A3396" s="828" t="s">
        <v>22</v>
      </c>
      <c r="B3396" s="828" t="s">
        <v>23</v>
      </c>
      <c r="C3396" s="828" t="s">
        <v>49</v>
      </c>
      <c r="D3396" s="501"/>
      <c r="E3396" s="828" t="s">
        <v>4133</v>
      </c>
      <c r="F3396" s="828" t="s">
        <v>23</v>
      </c>
      <c r="G3396" s="846" t="s">
        <v>6155</v>
      </c>
      <c r="H3396" s="844" t="s">
        <v>6114</v>
      </c>
      <c r="I3396" s="827" t="s">
        <v>5275</v>
      </c>
      <c r="J3396" s="811">
        <v>45268</v>
      </c>
      <c r="K3396" s="815">
        <v>0.375</v>
      </c>
      <c r="L3396" s="811">
        <v>45297</v>
      </c>
      <c r="M3396" s="815">
        <v>0.41666666666666669</v>
      </c>
      <c r="N3396" s="828">
        <v>1</v>
      </c>
      <c r="O3396" s="697" t="s">
        <v>17</v>
      </c>
      <c r="P3396" s="845" t="s">
        <v>5237</v>
      </c>
      <c r="Q3396" s="828" t="s">
        <v>5376</v>
      </c>
      <c r="R3396" s="468" t="s">
        <v>40</v>
      </c>
      <c r="S3396" s="31" t="s">
        <v>273</v>
      </c>
      <c r="T3396" s="31" t="s">
        <v>273</v>
      </c>
      <c r="U3396" s="31">
        <f>IFERROR(VLOOKUP(CONCATENATE(Tabla1[[#This Row],[Severidad]]," ",Tabla1[[#This Row],[Complejidad]]),Catalogos!E$120:G$128,3,FALSE),"")</f>
        <v>64</v>
      </c>
      <c r="V3396" s="31" t="str">
        <f>IF(Tabla1[[#This Row],[Tiempo solución max (hrs)]]&lt;&gt;"",IF(Tabla1[[#This Row],[Tiempo solución max (hrs)]]&gt;=Tabla1[[#This Row],[Tiempo
(Hrs 00/100)]],"cumple","no cumple"),"")</f>
        <v>cumple</v>
      </c>
      <c r="W3396" s="222" t="s">
        <v>5372</v>
      </c>
      <c r="X3396" s="18" t="str">
        <f t="shared" ref="X3396:X3458" si="238">IF(C3396&lt;&gt;"",C3396,D3396)</f>
        <v>SAI</v>
      </c>
      <c r="Y3396" t="str">
        <f>SUBSTITUTE(Tabla1[[#This Row],[Descripción]],CHAR(10),"    I    ")</f>
        <v>3.2.9 Agregar filtros de elección múltiple en los combos, es decir, que se puedan elegir uno o más opciones mediante casillas de verificación.</v>
      </c>
      <c r="Z3396" s="112">
        <f>VLOOKUP(Tabla1[[#This Row],[Perfil]],Catalogos!$B$75:$D$100,3,FALSE)*Tabla1[[#This Row],[Tiempo
(Hrs 00/100)]]*1.16</f>
        <v>812</v>
      </c>
      <c r="AA3396" t="s">
        <v>3356</v>
      </c>
    </row>
    <row r="3397" spans="1:27" ht="30" customHeight="1" x14ac:dyDescent="0.3">
      <c r="A3397" s="828" t="s">
        <v>22</v>
      </c>
      <c r="B3397" s="828" t="s">
        <v>23</v>
      </c>
      <c r="C3397" s="828" t="s">
        <v>49</v>
      </c>
      <c r="D3397" s="501"/>
      <c r="E3397" s="828" t="s">
        <v>4133</v>
      </c>
      <c r="F3397" s="828" t="s">
        <v>23</v>
      </c>
      <c r="G3397" s="846" t="s">
        <v>6156</v>
      </c>
      <c r="H3397" s="844" t="s">
        <v>6114</v>
      </c>
      <c r="I3397" s="827" t="s">
        <v>5277</v>
      </c>
      <c r="J3397" s="811">
        <v>45268</v>
      </c>
      <c r="K3397" s="815">
        <v>0.41666666666666669</v>
      </c>
      <c r="L3397" s="811">
        <v>45298</v>
      </c>
      <c r="M3397" s="815">
        <v>0.45833333333333331</v>
      </c>
      <c r="N3397" s="828">
        <v>1</v>
      </c>
      <c r="O3397" s="697" t="s">
        <v>17</v>
      </c>
      <c r="P3397" s="845" t="s">
        <v>5237</v>
      </c>
      <c r="Q3397" s="828" t="s">
        <v>5376</v>
      </c>
      <c r="R3397" s="468" t="s">
        <v>40</v>
      </c>
      <c r="S3397" s="31" t="s">
        <v>273</v>
      </c>
      <c r="T3397" s="31" t="s">
        <v>273</v>
      </c>
      <c r="U3397" s="31">
        <f>IFERROR(VLOOKUP(CONCATENATE(Tabla1[[#This Row],[Severidad]]," ",Tabla1[[#This Row],[Complejidad]]),Catalogos!E$120:G$128,3,FALSE),"")</f>
        <v>64</v>
      </c>
      <c r="V3397" s="31" t="str">
        <f>IF(Tabla1[[#This Row],[Tiempo solución max (hrs)]]&lt;&gt;"",IF(Tabla1[[#This Row],[Tiempo solución max (hrs)]]&gt;=Tabla1[[#This Row],[Tiempo
(Hrs 00/100)]],"cumple","no cumple"),"")</f>
        <v>cumple</v>
      </c>
      <c r="W3397" s="222" t="s">
        <v>5372</v>
      </c>
      <c r="X3397" s="18" t="str">
        <f t="shared" si="238"/>
        <v>SAI</v>
      </c>
      <c r="Y3397" t="str">
        <f>SUBSTITUTE(Tabla1[[#This Row],[Descripción]],CHAR(10),"    I    ")</f>
        <v>3.2.10 Crear nuevo filtro "Región" (Sólo en el rol de Administrador)</v>
      </c>
      <c r="Z3397" s="112">
        <f>VLOOKUP(Tabla1[[#This Row],[Perfil]],Catalogos!$B$75:$D$100,3,FALSE)*Tabla1[[#This Row],[Tiempo
(Hrs 00/100)]]*1.16</f>
        <v>812</v>
      </c>
      <c r="AA3397" t="s">
        <v>3356</v>
      </c>
    </row>
    <row r="3398" spans="1:27" ht="30" customHeight="1" x14ac:dyDescent="0.3">
      <c r="A3398" s="828" t="s">
        <v>22</v>
      </c>
      <c r="B3398" s="828" t="s">
        <v>23</v>
      </c>
      <c r="C3398" s="828" t="s">
        <v>49</v>
      </c>
      <c r="D3398" s="501"/>
      <c r="E3398" s="828" t="s">
        <v>4133</v>
      </c>
      <c r="F3398" s="828" t="s">
        <v>23</v>
      </c>
      <c r="G3398" s="846" t="s">
        <v>6157</v>
      </c>
      <c r="H3398" s="844" t="s">
        <v>6114</v>
      </c>
      <c r="I3398" s="827" t="s">
        <v>5279</v>
      </c>
      <c r="J3398" s="811">
        <v>45268</v>
      </c>
      <c r="K3398" s="815">
        <v>0.45833333333333331</v>
      </c>
      <c r="L3398" s="811">
        <v>45299</v>
      </c>
      <c r="M3398" s="815">
        <v>0.5</v>
      </c>
      <c r="N3398" s="828">
        <v>1</v>
      </c>
      <c r="O3398" s="697" t="s">
        <v>17</v>
      </c>
      <c r="P3398" s="845" t="s">
        <v>5237</v>
      </c>
      <c r="Q3398" s="828" t="s">
        <v>5376</v>
      </c>
      <c r="R3398" s="468" t="s">
        <v>40</v>
      </c>
      <c r="S3398" s="31" t="s">
        <v>273</v>
      </c>
      <c r="T3398" s="31" t="s">
        <v>273</v>
      </c>
      <c r="U3398" s="31">
        <f>IFERROR(VLOOKUP(CONCATENATE(Tabla1[[#This Row],[Severidad]]," ",Tabla1[[#This Row],[Complejidad]]),Catalogos!E$120:G$128,3,FALSE),"")</f>
        <v>64</v>
      </c>
      <c r="V3398" s="31" t="str">
        <f>IF(Tabla1[[#This Row],[Tiempo solución max (hrs)]]&lt;&gt;"",IF(Tabla1[[#This Row],[Tiempo solución max (hrs)]]&gt;=Tabla1[[#This Row],[Tiempo
(Hrs 00/100)]],"cumple","no cumple"),"")</f>
        <v>cumple</v>
      </c>
      <c r="W3398" s="222" t="s">
        <v>5372</v>
      </c>
      <c r="X3398" s="18" t="str">
        <f t="shared" si="238"/>
        <v>SAI</v>
      </c>
      <c r="Y3398" t="str">
        <f>SUBSTITUTE(Tabla1[[#This Row],[Descripción]],CHAR(10),"    I    ")</f>
        <v>3.2.11 Crear módulo o botón que permita descargar los reportes en datos abiertos (.csv) en todos los roles de usuarios</v>
      </c>
      <c r="Z3398" s="112">
        <f>VLOOKUP(Tabla1[[#This Row],[Perfil]],Catalogos!$B$75:$D$100,3,FALSE)*Tabla1[[#This Row],[Tiempo
(Hrs 00/100)]]*1.16</f>
        <v>812</v>
      </c>
      <c r="AA3398" t="s">
        <v>3356</v>
      </c>
    </row>
    <row r="3399" spans="1:27" ht="30" customHeight="1" x14ac:dyDescent="0.3">
      <c r="A3399" s="828" t="s">
        <v>22</v>
      </c>
      <c r="B3399" s="828" t="s">
        <v>23</v>
      </c>
      <c r="C3399" s="828" t="s">
        <v>49</v>
      </c>
      <c r="D3399" s="501"/>
      <c r="E3399" s="828" t="s">
        <v>4133</v>
      </c>
      <c r="F3399" s="828" t="s">
        <v>23</v>
      </c>
      <c r="G3399" s="846" t="s">
        <v>6158</v>
      </c>
      <c r="H3399" s="844" t="s">
        <v>6114</v>
      </c>
      <c r="I3399" s="827" t="s">
        <v>5281</v>
      </c>
      <c r="J3399" s="811">
        <v>45268</v>
      </c>
      <c r="K3399" s="815">
        <v>0.5</v>
      </c>
      <c r="L3399" s="811">
        <v>45300</v>
      </c>
      <c r="M3399" s="815">
        <v>0.54166666666666663</v>
      </c>
      <c r="N3399" s="828">
        <v>1</v>
      </c>
      <c r="O3399" s="697" t="s">
        <v>17</v>
      </c>
      <c r="P3399" s="845" t="s">
        <v>5237</v>
      </c>
      <c r="Q3399" s="828" t="s">
        <v>5376</v>
      </c>
      <c r="R3399" s="468" t="s">
        <v>40</v>
      </c>
      <c r="S3399" s="31" t="s">
        <v>273</v>
      </c>
      <c r="T3399" s="31" t="s">
        <v>273</v>
      </c>
      <c r="U3399" s="31">
        <f>IFERROR(VLOOKUP(CONCATENATE(Tabla1[[#This Row],[Severidad]]," ",Tabla1[[#This Row],[Complejidad]]),Catalogos!E$120:G$128,3,FALSE),"")</f>
        <v>64</v>
      </c>
      <c r="V3399" s="31" t="str">
        <f>IF(Tabla1[[#This Row],[Tiempo solución max (hrs)]]&lt;&gt;"",IF(Tabla1[[#This Row],[Tiempo solución max (hrs)]]&gt;=Tabla1[[#This Row],[Tiempo
(Hrs 00/100)]],"cumple","no cumple"),"")</f>
        <v>cumple</v>
      </c>
      <c r="W3399" s="222" t="s">
        <v>5372</v>
      </c>
      <c r="X3399" s="18" t="str">
        <f t="shared" si="238"/>
        <v>SAI</v>
      </c>
      <c r="Y3399" t="str">
        <f>SUBSTITUTE(Tabla1[[#This Row],[Descripción]],CHAR(10),"    I    ")</f>
        <v>3.2.12 Modificar opciones de Estatus de "Revisión Integrante y Validado Integrante" a "Revisión Enlace y Validado Enlace"</v>
      </c>
      <c r="Z3399" s="112">
        <f>VLOOKUP(Tabla1[[#This Row],[Perfil]],Catalogos!$B$75:$D$100,3,FALSE)*Tabla1[[#This Row],[Tiempo
(Hrs 00/100)]]*1.16</f>
        <v>812</v>
      </c>
      <c r="AA3399" t="s">
        <v>3356</v>
      </c>
    </row>
    <row r="3400" spans="1:27" ht="30" customHeight="1" x14ac:dyDescent="0.3">
      <c r="A3400" s="828" t="s">
        <v>22</v>
      </c>
      <c r="B3400" s="828" t="s">
        <v>23</v>
      </c>
      <c r="C3400" s="828" t="s">
        <v>49</v>
      </c>
      <c r="D3400" s="501"/>
      <c r="E3400" s="828" t="s">
        <v>4133</v>
      </c>
      <c r="F3400" s="828" t="s">
        <v>23</v>
      </c>
      <c r="G3400" s="846" t="s">
        <v>6159</v>
      </c>
      <c r="H3400" s="844" t="s">
        <v>6114</v>
      </c>
      <c r="I3400" s="827" t="s">
        <v>5283</v>
      </c>
      <c r="J3400" s="811">
        <v>45268</v>
      </c>
      <c r="K3400" s="815">
        <v>0.54166666666666663</v>
      </c>
      <c r="L3400" s="811">
        <v>45301</v>
      </c>
      <c r="M3400" s="815">
        <v>0.58333333333333337</v>
      </c>
      <c r="N3400" s="828">
        <v>1</v>
      </c>
      <c r="O3400" s="697" t="s">
        <v>17</v>
      </c>
      <c r="P3400" s="845" t="s">
        <v>5237</v>
      </c>
      <c r="Q3400" s="828" t="s">
        <v>5376</v>
      </c>
      <c r="R3400" s="468" t="s">
        <v>40</v>
      </c>
      <c r="S3400" s="31" t="s">
        <v>273</v>
      </c>
      <c r="T3400" s="31" t="s">
        <v>273</v>
      </c>
      <c r="U3400" s="31">
        <f>IFERROR(VLOOKUP(CONCATENATE(Tabla1[[#This Row],[Severidad]]," ",Tabla1[[#This Row],[Complejidad]]),Catalogos!E$120:G$128,3,FALSE),"")</f>
        <v>64</v>
      </c>
      <c r="V3400" s="31" t="str">
        <f>IF(Tabla1[[#This Row],[Tiempo solución max (hrs)]]&lt;&gt;"",IF(Tabla1[[#This Row],[Tiempo solución max (hrs)]]&gt;=Tabla1[[#This Row],[Tiempo
(Hrs 00/100)]],"cumple","no cumple"),"")</f>
        <v>cumple</v>
      </c>
      <c r="W3400" s="222" t="s">
        <v>5372</v>
      </c>
      <c r="X3400" s="18" t="str">
        <f t="shared" si="238"/>
        <v>SAI</v>
      </c>
      <c r="Y3400" t="str">
        <f>SUBSTITUTE(Tabla1[[#This Row],[Descripción]],CHAR(10),"    I    ")</f>
        <v>3.2.13 Mensaje al SNT de Alerta de inicio y final de Proceso</v>
      </c>
      <c r="Z3400" s="112">
        <f>VLOOKUP(Tabla1[[#This Row],[Perfil]],Catalogos!$B$75:$D$100,3,FALSE)*Tabla1[[#This Row],[Tiempo
(Hrs 00/100)]]*1.16</f>
        <v>812</v>
      </c>
      <c r="AA3400" t="s">
        <v>3356</v>
      </c>
    </row>
    <row r="3401" spans="1:27" ht="30" customHeight="1" x14ac:dyDescent="0.3">
      <c r="A3401" s="828" t="s">
        <v>22</v>
      </c>
      <c r="B3401" s="828" t="s">
        <v>23</v>
      </c>
      <c r="C3401" s="828" t="s">
        <v>49</v>
      </c>
      <c r="D3401" s="501"/>
      <c r="E3401" s="828" t="s">
        <v>4133</v>
      </c>
      <c r="F3401" s="828" t="s">
        <v>23</v>
      </c>
      <c r="G3401" s="846" t="s">
        <v>6160</v>
      </c>
      <c r="H3401" s="844" t="s">
        <v>6114</v>
      </c>
      <c r="I3401" s="827" t="s">
        <v>5285</v>
      </c>
      <c r="J3401" s="811">
        <v>45268</v>
      </c>
      <c r="K3401" s="815">
        <v>0.58333333333333337</v>
      </c>
      <c r="L3401" s="811">
        <v>45302</v>
      </c>
      <c r="M3401" s="815">
        <v>0.6875</v>
      </c>
      <c r="N3401" s="828">
        <v>1</v>
      </c>
      <c r="O3401" s="697" t="s">
        <v>17</v>
      </c>
      <c r="P3401" s="845" t="s">
        <v>5237</v>
      </c>
      <c r="Q3401" s="828" t="s">
        <v>5376</v>
      </c>
      <c r="R3401" s="468" t="s">
        <v>40</v>
      </c>
      <c r="S3401" s="31" t="s">
        <v>273</v>
      </c>
      <c r="T3401" s="31" t="s">
        <v>273</v>
      </c>
      <c r="U3401" s="31">
        <f>IFERROR(VLOOKUP(CONCATENATE(Tabla1[[#This Row],[Severidad]]," ",Tabla1[[#This Row],[Complejidad]]),Catalogos!E$120:G$128,3,FALSE),"")</f>
        <v>64</v>
      </c>
      <c r="V3401" s="31" t="str">
        <f>IF(Tabla1[[#This Row],[Tiempo solución max (hrs)]]&lt;&gt;"",IF(Tabla1[[#This Row],[Tiempo solución max (hrs)]]&gt;=Tabla1[[#This Row],[Tiempo
(Hrs 00/100)]],"cumple","no cumple"),"")</f>
        <v>cumple</v>
      </c>
      <c r="W3401" s="222" t="s">
        <v>5372</v>
      </c>
      <c r="X3401" s="18" t="str">
        <f t="shared" si="238"/>
        <v>SAI</v>
      </c>
      <c r="Y3401" t="str">
        <f>SUBSTITUTE(Tabla1[[#This Row],[Descripción]],CHAR(10),"    I    ")</f>
        <v>3.2.14 Nueva columna de fecha y hora de carga; visualización de tabla inicial con actividades más recientes cargadas</v>
      </c>
      <c r="Z3401" s="112">
        <f>VLOOKUP(Tabla1[[#This Row],[Perfil]],Catalogos!$B$75:$D$100,3,FALSE)*Tabla1[[#This Row],[Tiempo
(Hrs 00/100)]]*1.16</f>
        <v>812</v>
      </c>
      <c r="AA3401" t="s">
        <v>3356</v>
      </c>
    </row>
    <row r="3402" spans="1:27" ht="30" customHeight="1" x14ac:dyDescent="0.3">
      <c r="A3402" s="828" t="s">
        <v>22</v>
      </c>
      <c r="B3402" s="828" t="s">
        <v>23</v>
      </c>
      <c r="C3402" s="828" t="s">
        <v>49</v>
      </c>
      <c r="D3402" s="501"/>
      <c r="E3402" s="828" t="s">
        <v>4133</v>
      </c>
      <c r="F3402" s="828" t="s">
        <v>23</v>
      </c>
      <c r="G3402" s="846" t="s">
        <v>6161</v>
      </c>
      <c r="H3402" s="844" t="s">
        <v>6114</v>
      </c>
      <c r="I3402" s="501" t="s">
        <v>5287</v>
      </c>
      <c r="J3402" s="811">
        <v>45268</v>
      </c>
      <c r="K3402" s="815">
        <v>0.6875</v>
      </c>
      <c r="L3402" s="811">
        <v>45303</v>
      </c>
      <c r="M3402" s="815">
        <v>0.72916666666666663</v>
      </c>
      <c r="N3402" s="828">
        <v>1</v>
      </c>
      <c r="O3402" s="697" t="s">
        <v>17</v>
      </c>
      <c r="P3402" s="845" t="s">
        <v>5237</v>
      </c>
      <c r="Q3402" s="828" t="s">
        <v>5376</v>
      </c>
      <c r="R3402" s="468" t="s">
        <v>40</v>
      </c>
      <c r="S3402" s="31" t="s">
        <v>273</v>
      </c>
      <c r="T3402" s="31" t="s">
        <v>273</v>
      </c>
      <c r="U3402" s="31">
        <f>IFERROR(VLOOKUP(CONCATENATE(Tabla1[[#This Row],[Severidad]]," ",Tabla1[[#This Row],[Complejidad]]),Catalogos!E$120:G$128,3,FALSE),"")</f>
        <v>64</v>
      </c>
      <c r="V3402" s="31" t="str">
        <f>IF(Tabla1[[#This Row],[Tiempo solución max (hrs)]]&lt;&gt;"",IF(Tabla1[[#This Row],[Tiempo solución max (hrs)]]&gt;=Tabla1[[#This Row],[Tiempo
(Hrs 00/100)]],"cumple","no cumple"),"")</f>
        <v>cumple</v>
      </c>
      <c r="W3402" s="222" t="s">
        <v>5372</v>
      </c>
      <c r="X3402" s="18" t="str">
        <f t="shared" si="238"/>
        <v>SAI</v>
      </c>
      <c r="Y3402" t="str">
        <f>SUBSTITUTE(Tabla1[[#This Row],[Descripción]],CHAR(10),"    I    ")</f>
        <v>3.2.15 Activar flechas para ordenar por abreviatura de integrante.</v>
      </c>
      <c r="Z3402" s="112">
        <f>VLOOKUP(Tabla1[[#This Row],[Perfil]],Catalogos!$B$75:$D$100,3,FALSE)*Tabla1[[#This Row],[Tiempo
(Hrs 00/100)]]*1.16</f>
        <v>812</v>
      </c>
      <c r="AA3402" t="s">
        <v>3356</v>
      </c>
    </row>
    <row r="3403" spans="1:27" ht="30" customHeight="1" x14ac:dyDescent="0.3">
      <c r="A3403" s="828" t="s">
        <v>22</v>
      </c>
      <c r="B3403" s="828" t="s">
        <v>23</v>
      </c>
      <c r="C3403" s="828" t="s">
        <v>49</v>
      </c>
      <c r="D3403" s="501"/>
      <c r="E3403" s="828" t="s">
        <v>4133</v>
      </c>
      <c r="F3403" s="828" t="s">
        <v>23</v>
      </c>
      <c r="G3403" s="846" t="s">
        <v>6162</v>
      </c>
      <c r="H3403" s="844" t="s">
        <v>6114</v>
      </c>
      <c r="I3403" s="501" t="s">
        <v>5289</v>
      </c>
      <c r="J3403" s="811">
        <v>45268</v>
      </c>
      <c r="K3403" s="815">
        <v>0.72916666666666663</v>
      </c>
      <c r="L3403" s="811">
        <v>45304</v>
      </c>
      <c r="M3403" s="815">
        <v>0.77083333333333337</v>
      </c>
      <c r="N3403" s="828">
        <v>1</v>
      </c>
      <c r="O3403" s="697" t="s">
        <v>17</v>
      </c>
      <c r="P3403" s="845" t="s">
        <v>5237</v>
      </c>
      <c r="Q3403" s="828" t="s">
        <v>5376</v>
      </c>
      <c r="R3403" s="468" t="s">
        <v>40</v>
      </c>
      <c r="S3403" s="31" t="s">
        <v>273</v>
      </c>
      <c r="T3403" s="31" t="s">
        <v>273</v>
      </c>
      <c r="U3403" s="31">
        <f>IFERROR(VLOOKUP(CONCATENATE(Tabla1[[#This Row],[Severidad]]," ",Tabla1[[#This Row],[Complejidad]]),Catalogos!E$120:G$128,3,FALSE),"")</f>
        <v>64</v>
      </c>
      <c r="V3403" s="31" t="str">
        <f>IF(Tabla1[[#This Row],[Tiempo solución max (hrs)]]&lt;&gt;"",IF(Tabla1[[#This Row],[Tiempo solución max (hrs)]]&gt;=Tabla1[[#This Row],[Tiempo
(Hrs 00/100)]],"cumple","no cumple"),"")</f>
        <v>cumple</v>
      </c>
      <c r="W3403" s="222" t="s">
        <v>5372</v>
      </c>
      <c r="X3403" s="18" t="str">
        <f t="shared" si="238"/>
        <v>SAI</v>
      </c>
      <c r="Y3403" t="str">
        <f>SUBSTITUTE(Tabla1[[#This Row],[Descripción]],CHAR(10),"    I    ")</f>
        <v>3.2.16 Habilitar botón para que los Enlaces puedan asignar actividades a las UA una vez que éstas ya han sido creadas</v>
      </c>
      <c r="Z3403" s="112">
        <f>VLOOKUP(Tabla1[[#This Row],[Perfil]],Catalogos!$B$75:$D$100,3,FALSE)*Tabla1[[#This Row],[Tiempo
(Hrs 00/100)]]*1.16</f>
        <v>812</v>
      </c>
      <c r="AA3403" t="s">
        <v>3356</v>
      </c>
    </row>
    <row r="3404" spans="1:27" ht="30" customHeight="1" x14ac:dyDescent="0.3">
      <c r="A3404" s="828" t="s">
        <v>22</v>
      </c>
      <c r="B3404" s="828" t="s">
        <v>23</v>
      </c>
      <c r="C3404" s="828" t="s">
        <v>49</v>
      </c>
      <c r="D3404" s="501"/>
      <c r="E3404" s="828" t="s">
        <v>4133</v>
      </c>
      <c r="F3404" s="828" t="s">
        <v>23</v>
      </c>
      <c r="G3404" s="846" t="s">
        <v>6163</v>
      </c>
      <c r="H3404" s="844" t="s">
        <v>6114</v>
      </c>
      <c r="I3404" s="501" t="s">
        <v>5291</v>
      </c>
      <c r="J3404" s="811">
        <v>45268</v>
      </c>
      <c r="K3404" s="815">
        <v>0.77083333333333337</v>
      </c>
      <c r="L3404" s="811">
        <v>45305</v>
      </c>
      <c r="M3404" s="815">
        <v>0.8125</v>
      </c>
      <c r="N3404" s="828">
        <v>1</v>
      </c>
      <c r="O3404" s="697" t="s">
        <v>17</v>
      </c>
      <c r="P3404" s="845" t="s">
        <v>5237</v>
      </c>
      <c r="Q3404" s="828" t="s">
        <v>5376</v>
      </c>
      <c r="R3404" s="468" t="s">
        <v>40</v>
      </c>
      <c r="S3404" s="31" t="s">
        <v>273</v>
      </c>
      <c r="T3404" s="31" t="s">
        <v>273</v>
      </c>
      <c r="U3404" s="31">
        <f>IFERROR(VLOOKUP(CONCATENATE(Tabla1[[#This Row],[Severidad]]," ",Tabla1[[#This Row],[Complejidad]]),Catalogos!E$120:G$128,3,FALSE),"")</f>
        <v>64</v>
      </c>
      <c r="V3404" s="31" t="str">
        <f>IF(Tabla1[[#This Row],[Tiempo solución max (hrs)]]&lt;&gt;"",IF(Tabla1[[#This Row],[Tiempo solución max (hrs)]]&gt;=Tabla1[[#This Row],[Tiempo
(Hrs 00/100)]],"cumple","no cumple"),"")</f>
        <v>cumple</v>
      </c>
      <c r="W3404" s="222" t="s">
        <v>5372</v>
      </c>
      <c r="X3404" s="18" t="str">
        <f t="shared" si="238"/>
        <v>SAI</v>
      </c>
      <c r="Y3404" t="str">
        <f>SUBSTITUTE(Tabla1[[#This Row],[Descripción]],CHAR(10),"    I    ")</f>
        <v>3.3.1 Crear módulo o botón que permita descargar los reportes en datos abiertos (.csv) en todos los roles de usuario</v>
      </c>
      <c r="Z3404" s="112">
        <f>VLOOKUP(Tabla1[[#This Row],[Perfil]],Catalogos!$B$75:$D$100,3,FALSE)*Tabla1[[#This Row],[Tiempo
(Hrs 00/100)]]*1.16</f>
        <v>812</v>
      </c>
      <c r="AA3404" t="s">
        <v>3356</v>
      </c>
    </row>
    <row r="3405" spans="1:27" ht="30" customHeight="1" x14ac:dyDescent="0.3">
      <c r="A3405" s="828" t="s">
        <v>22</v>
      </c>
      <c r="B3405" s="828" t="s">
        <v>23</v>
      </c>
      <c r="C3405" s="828" t="s">
        <v>49</v>
      </c>
      <c r="D3405" s="501"/>
      <c r="E3405" s="828" t="s">
        <v>4133</v>
      </c>
      <c r="F3405" s="828" t="s">
        <v>23</v>
      </c>
      <c r="G3405" s="846" t="s">
        <v>6164</v>
      </c>
      <c r="H3405" s="844" t="s">
        <v>6114</v>
      </c>
      <c r="I3405" s="501" t="s">
        <v>5293</v>
      </c>
      <c r="J3405" s="811">
        <v>45271</v>
      </c>
      <c r="K3405" s="815">
        <v>0.375</v>
      </c>
      <c r="L3405" s="811">
        <v>45306</v>
      </c>
      <c r="M3405" s="815">
        <v>0.41666666666666669</v>
      </c>
      <c r="N3405" s="828">
        <v>1</v>
      </c>
      <c r="O3405" s="697" t="s">
        <v>17</v>
      </c>
      <c r="P3405" s="845" t="s">
        <v>5237</v>
      </c>
      <c r="Q3405" s="828" t="s">
        <v>5376</v>
      </c>
      <c r="R3405" s="468" t="s">
        <v>40</v>
      </c>
      <c r="S3405" s="31" t="s">
        <v>273</v>
      </c>
      <c r="T3405" s="31" t="s">
        <v>273</v>
      </c>
      <c r="U3405" s="31">
        <f>IFERROR(VLOOKUP(CONCATENATE(Tabla1[[#This Row],[Severidad]]," ",Tabla1[[#This Row],[Complejidad]]),Catalogos!E$120:G$128,3,FALSE),"")</f>
        <v>64</v>
      </c>
      <c r="V3405" s="31" t="str">
        <f>IF(Tabla1[[#This Row],[Tiempo solución max (hrs)]]&lt;&gt;"",IF(Tabla1[[#This Row],[Tiempo solución max (hrs)]]&gt;=Tabla1[[#This Row],[Tiempo
(Hrs 00/100)]],"cumple","no cumple"),"")</f>
        <v>cumple</v>
      </c>
      <c r="W3405" s="222" t="s">
        <v>5372</v>
      </c>
      <c r="X3405" s="18" t="str">
        <f t="shared" si="238"/>
        <v>SAI</v>
      </c>
      <c r="Y3405" t="str">
        <f>SUBSTITUTE(Tabla1[[#This Row],[Descripción]],CHAR(10),"    I    ")</f>
        <v>3.3.2 Modificar opciones de Estatus de "Revisión Integrante y Validado Integrante" a "Revisión Enlace y Validado Enlace"</v>
      </c>
      <c r="Z3405" s="112">
        <f>VLOOKUP(Tabla1[[#This Row],[Perfil]],Catalogos!$B$75:$D$100,3,FALSE)*Tabla1[[#This Row],[Tiempo
(Hrs 00/100)]]*1.16</f>
        <v>812</v>
      </c>
      <c r="AA3405" t="s">
        <v>3356</v>
      </c>
    </row>
    <row r="3406" spans="1:27" ht="30" customHeight="1" x14ac:dyDescent="0.3">
      <c r="A3406" s="828" t="s">
        <v>22</v>
      </c>
      <c r="B3406" s="828" t="s">
        <v>23</v>
      </c>
      <c r="C3406" s="828" t="s">
        <v>49</v>
      </c>
      <c r="D3406" s="501"/>
      <c r="E3406" s="828" t="s">
        <v>4133</v>
      </c>
      <c r="F3406" s="828" t="s">
        <v>23</v>
      </c>
      <c r="G3406" s="846" t="s">
        <v>6165</v>
      </c>
      <c r="H3406" s="844" t="s">
        <v>6114</v>
      </c>
      <c r="I3406" s="501" t="s">
        <v>5295</v>
      </c>
      <c r="J3406" s="811">
        <v>45271</v>
      </c>
      <c r="K3406" s="815">
        <v>0.41666666666666669</v>
      </c>
      <c r="L3406" s="811">
        <v>45307</v>
      </c>
      <c r="M3406" s="815">
        <v>0.45833333333333331</v>
      </c>
      <c r="N3406" s="828">
        <v>1</v>
      </c>
      <c r="O3406" s="697" t="s">
        <v>17</v>
      </c>
      <c r="P3406" s="845" t="s">
        <v>5237</v>
      </c>
      <c r="Q3406" s="828" t="s">
        <v>5376</v>
      </c>
      <c r="R3406" s="468" t="s">
        <v>40</v>
      </c>
      <c r="S3406" s="31" t="s">
        <v>273</v>
      </c>
      <c r="T3406" s="31" t="s">
        <v>273</v>
      </c>
      <c r="U3406" s="31">
        <f>IFERROR(VLOOKUP(CONCATENATE(Tabla1[[#This Row],[Severidad]]," ",Tabla1[[#This Row],[Complejidad]]),Catalogos!E$120:G$128,3,FALSE),"")</f>
        <v>64</v>
      </c>
      <c r="V3406" s="31" t="str">
        <f>IF(Tabla1[[#This Row],[Tiempo solución max (hrs)]]&lt;&gt;"",IF(Tabla1[[#This Row],[Tiempo solución max (hrs)]]&gt;=Tabla1[[#This Row],[Tiempo
(Hrs 00/100)]],"cumple","no cumple"),"")</f>
        <v>cumple</v>
      </c>
      <c r="W3406" s="222" t="s">
        <v>5372</v>
      </c>
      <c r="X3406" s="18" t="str">
        <f t="shared" si="238"/>
        <v>SAI</v>
      </c>
      <c r="Y3406" t="str">
        <f>SUBSTITUTE(Tabla1[[#This Row],[Descripción]],CHAR(10),"    I    ")</f>
        <v>3.3.3 Mensaje al SNT de Alerta de inicio y final de Proceso</v>
      </c>
      <c r="Z3406" s="112">
        <f>VLOOKUP(Tabla1[[#This Row],[Perfil]],Catalogos!$B$75:$D$100,3,FALSE)*Tabla1[[#This Row],[Tiempo
(Hrs 00/100)]]*1.16</f>
        <v>812</v>
      </c>
      <c r="AA3406" t="s">
        <v>3356</v>
      </c>
    </row>
    <row r="3407" spans="1:27" ht="30" customHeight="1" x14ac:dyDescent="0.3">
      <c r="A3407" s="828" t="s">
        <v>22</v>
      </c>
      <c r="B3407" s="828" t="s">
        <v>23</v>
      </c>
      <c r="C3407" s="828" t="s">
        <v>49</v>
      </c>
      <c r="D3407" s="501"/>
      <c r="E3407" s="828" t="s">
        <v>4133</v>
      </c>
      <c r="F3407" s="828" t="s">
        <v>23</v>
      </c>
      <c r="G3407" s="846" t="s">
        <v>6166</v>
      </c>
      <c r="H3407" s="844" t="s">
        <v>6114</v>
      </c>
      <c r="I3407" s="501" t="s">
        <v>5297</v>
      </c>
      <c r="J3407" s="811">
        <v>45271</v>
      </c>
      <c r="K3407" s="815">
        <v>0.45833333333333331</v>
      </c>
      <c r="L3407" s="811">
        <v>45308</v>
      </c>
      <c r="M3407" s="815">
        <v>0.5</v>
      </c>
      <c r="N3407" s="828">
        <v>1</v>
      </c>
      <c r="O3407" s="697" t="s">
        <v>17</v>
      </c>
      <c r="P3407" s="845" t="s">
        <v>5237</v>
      </c>
      <c r="Q3407" s="828" t="s">
        <v>5376</v>
      </c>
      <c r="R3407" s="468" t="s">
        <v>40</v>
      </c>
      <c r="S3407" s="31" t="s">
        <v>273</v>
      </c>
      <c r="T3407" s="31" t="s">
        <v>273</v>
      </c>
      <c r="U3407" s="31">
        <f>IFERROR(VLOOKUP(CONCATENATE(Tabla1[[#This Row],[Severidad]]," ",Tabla1[[#This Row],[Complejidad]]),Catalogos!E$120:G$128,3,FALSE),"")</f>
        <v>64</v>
      </c>
      <c r="V3407" s="31" t="str">
        <f>IF(Tabla1[[#This Row],[Tiempo solución max (hrs)]]&lt;&gt;"",IF(Tabla1[[#This Row],[Tiempo solución max (hrs)]]&gt;=Tabla1[[#This Row],[Tiempo
(Hrs 00/100)]],"cumple","no cumple"),"")</f>
        <v>cumple</v>
      </c>
      <c r="W3407" s="222" t="s">
        <v>5372</v>
      </c>
      <c r="X3407" s="18" t="str">
        <f t="shared" si="238"/>
        <v>SAI</v>
      </c>
      <c r="Y3407" t="str">
        <f>SUBSTITUTE(Tabla1[[#This Row],[Descripción]],CHAR(10),"    I    ")</f>
        <v>3.3.4 Nueva columna de fecha y hora de carga; visualización de tabla inicial con actividades más recientes cargadas</v>
      </c>
      <c r="Z3407" s="112">
        <f>VLOOKUP(Tabla1[[#This Row],[Perfil]],Catalogos!$B$75:$D$100,3,FALSE)*Tabla1[[#This Row],[Tiempo
(Hrs 00/100)]]*1.16</f>
        <v>812</v>
      </c>
      <c r="AA3407" t="s">
        <v>3356</v>
      </c>
    </row>
    <row r="3408" spans="1:27" ht="30" customHeight="1" x14ac:dyDescent="0.3">
      <c r="A3408" s="828" t="s">
        <v>22</v>
      </c>
      <c r="B3408" s="828" t="s">
        <v>23</v>
      </c>
      <c r="C3408" s="828" t="s">
        <v>49</v>
      </c>
      <c r="D3408" s="501"/>
      <c r="E3408" s="828" t="s">
        <v>4133</v>
      </c>
      <c r="F3408" s="828" t="s">
        <v>23</v>
      </c>
      <c r="G3408" s="846" t="s">
        <v>6167</v>
      </c>
      <c r="H3408" s="844" t="s">
        <v>6114</v>
      </c>
      <c r="I3408" s="501" t="s">
        <v>5299</v>
      </c>
      <c r="J3408" s="811">
        <v>45271</v>
      </c>
      <c r="K3408" s="815">
        <v>0.5</v>
      </c>
      <c r="L3408" s="811">
        <v>45309</v>
      </c>
      <c r="M3408" s="815">
        <v>0.54166666666666663</v>
      </c>
      <c r="N3408" s="828">
        <v>1</v>
      </c>
      <c r="O3408" s="697" t="s">
        <v>17</v>
      </c>
      <c r="P3408" s="845" t="s">
        <v>5237</v>
      </c>
      <c r="Q3408" s="828" t="s">
        <v>5376</v>
      </c>
      <c r="R3408" s="468" t="s">
        <v>40</v>
      </c>
      <c r="S3408" s="31" t="s">
        <v>273</v>
      </c>
      <c r="T3408" s="31" t="s">
        <v>273</v>
      </c>
      <c r="U3408" s="31">
        <f>IFERROR(VLOOKUP(CONCATENATE(Tabla1[[#This Row],[Severidad]]," ",Tabla1[[#This Row],[Complejidad]]),Catalogos!E$120:G$128,3,FALSE),"")</f>
        <v>64</v>
      </c>
      <c r="V3408" s="31" t="str">
        <f>IF(Tabla1[[#This Row],[Tiempo solución max (hrs)]]&lt;&gt;"",IF(Tabla1[[#This Row],[Tiempo solución max (hrs)]]&gt;=Tabla1[[#This Row],[Tiempo
(Hrs 00/100)]],"cumple","no cumple"),"")</f>
        <v>cumple</v>
      </c>
      <c r="W3408" s="222" t="s">
        <v>5372</v>
      </c>
      <c r="X3408" s="18" t="str">
        <f t="shared" si="238"/>
        <v>SAI</v>
      </c>
      <c r="Y3408" t="str">
        <f>SUBSTITUTE(Tabla1[[#This Row],[Descripción]],CHAR(10),"    I    ")</f>
        <v>3.3.5 Agregar filtros de opción múltiple en los combos, es decir, que se puedan elegir más de una opción</v>
      </c>
      <c r="Z3408" s="112">
        <f>VLOOKUP(Tabla1[[#This Row],[Perfil]],Catalogos!$B$75:$D$100,3,FALSE)*Tabla1[[#This Row],[Tiempo
(Hrs 00/100)]]*1.16</f>
        <v>812</v>
      </c>
      <c r="AA3408" t="s">
        <v>3356</v>
      </c>
    </row>
    <row r="3409" spans="1:27" ht="30" customHeight="1" x14ac:dyDescent="0.3">
      <c r="A3409" s="828" t="s">
        <v>22</v>
      </c>
      <c r="B3409" s="828" t="s">
        <v>23</v>
      </c>
      <c r="C3409" s="828" t="s">
        <v>49</v>
      </c>
      <c r="D3409" s="501"/>
      <c r="E3409" s="828" t="s">
        <v>4133</v>
      </c>
      <c r="F3409" s="828" t="s">
        <v>23</v>
      </c>
      <c r="G3409" s="846" t="s">
        <v>6168</v>
      </c>
      <c r="H3409" s="844" t="s">
        <v>6114</v>
      </c>
      <c r="I3409" s="501" t="s">
        <v>5302</v>
      </c>
      <c r="J3409" s="811">
        <v>45271</v>
      </c>
      <c r="K3409" s="815">
        <v>0.54166666666666663</v>
      </c>
      <c r="L3409" s="811">
        <v>45310</v>
      </c>
      <c r="M3409" s="815">
        <v>0.58333333333333337</v>
      </c>
      <c r="N3409" s="828">
        <v>1</v>
      </c>
      <c r="O3409" s="697" t="s">
        <v>17</v>
      </c>
      <c r="P3409" s="845" t="s">
        <v>5237</v>
      </c>
      <c r="Q3409" s="828" t="s">
        <v>5376</v>
      </c>
      <c r="R3409" s="468" t="s">
        <v>40</v>
      </c>
      <c r="S3409" s="31" t="s">
        <v>273</v>
      </c>
      <c r="T3409" s="31" t="s">
        <v>273</v>
      </c>
      <c r="U3409" s="31">
        <f>IFERROR(VLOOKUP(CONCATENATE(Tabla1[[#This Row],[Severidad]]," ",Tabla1[[#This Row],[Complejidad]]),Catalogos!E$120:G$128,3,FALSE),"")</f>
        <v>64</v>
      </c>
      <c r="V3409" s="31" t="str">
        <f>IF(Tabla1[[#This Row],[Tiempo solución max (hrs)]]&lt;&gt;"",IF(Tabla1[[#This Row],[Tiempo solución max (hrs)]]&gt;=Tabla1[[#This Row],[Tiempo
(Hrs 00/100)]],"cumple","no cumple"),"")</f>
        <v>cumple</v>
      </c>
      <c r="W3409" s="222" t="s">
        <v>5372</v>
      </c>
      <c r="X3409" s="18" t="str">
        <f t="shared" si="238"/>
        <v>SAI</v>
      </c>
      <c r="Y3409" t="str">
        <f>SUBSTITUTE(Tabla1[[#This Row],[Descripción]],CHAR(10),"    I    ")</f>
        <v>3.3.6 Crear nuevo filtro "Región" solo para el rol de Administrador</v>
      </c>
      <c r="Z3409" s="112">
        <f>VLOOKUP(Tabla1[[#This Row],[Perfil]],Catalogos!$B$75:$D$100,3,FALSE)*Tabla1[[#This Row],[Tiempo
(Hrs 00/100)]]*1.16</f>
        <v>812</v>
      </c>
      <c r="AA3409" t="s">
        <v>3356</v>
      </c>
    </row>
    <row r="3410" spans="1:27" ht="30" customHeight="1" x14ac:dyDescent="0.3">
      <c r="A3410" s="828" t="s">
        <v>22</v>
      </c>
      <c r="B3410" s="828" t="s">
        <v>23</v>
      </c>
      <c r="C3410" s="828" t="s">
        <v>49</v>
      </c>
      <c r="D3410" s="501"/>
      <c r="E3410" s="828" t="s">
        <v>4133</v>
      </c>
      <c r="F3410" s="828" t="s">
        <v>23</v>
      </c>
      <c r="G3410" s="846" t="s">
        <v>6169</v>
      </c>
      <c r="H3410" s="844" t="s">
        <v>6114</v>
      </c>
      <c r="I3410" s="501" t="s">
        <v>5304</v>
      </c>
      <c r="J3410" s="811">
        <v>45271</v>
      </c>
      <c r="K3410" s="815">
        <v>0.58333333333333337</v>
      </c>
      <c r="L3410" s="811">
        <v>45311</v>
      </c>
      <c r="M3410" s="815">
        <v>0.6875</v>
      </c>
      <c r="N3410" s="828">
        <v>1</v>
      </c>
      <c r="O3410" s="697" t="s">
        <v>17</v>
      </c>
      <c r="P3410" s="845" t="s">
        <v>5237</v>
      </c>
      <c r="Q3410" s="828" t="s">
        <v>5376</v>
      </c>
      <c r="R3410" s="468" t="s">
        <v>40</v>
      </c>
      <c r="S3410" s="31" t="s">
        <v>273</v>
      </c>
      <c r="T3410" s="31" t="s">
        <v>273</v>
      </c>
      <c r="U3410" s="31">
        <f>IFERROR(VLOOKUP(CONCATENATE(Tabla1[[#This Row],[Severidad]]," ",Tabla1[[#This Row],[Complejidad]]),Catalogos!E$120:G$128,3,FALSE),"")</f>
        <v>64</v>
      </c>
      <c r="V3410" s="31" t="str">
        <f>IF(Tabla1[[#This Row],[Tiempo solución max (hrs)]]&lt;&gt;"",IF(Tabla1[[#This Row],[Tiempo solución max (hrs)]]&gt;=Tabla1[[#This Row],[Tiempo
(Hrs 00/100)]],"cumple","no cumple"),"")</f>
        <v>cumple</v>
      </c>
      <c r="W3410" s="222" t="s">
        <v>5372</v>
      </c>
      <c r="X3410" s="18" t="str">
        <f t="shared" si="238"/>
        <v>SAI</v>
      </c>
      <c r="Y3410" t="str">
        <f>SUBSTITUTE(Tabla1[[#This Row],[Descripción]],CHAR(10),"    I    ")</f>
        <v>3.3.7 Integrar en los 3 roles, en todas las pantallas, el filtro de Numeración para elegir actividad en el formulario</v>
      </c>
      <c r="Z3410" s="112">
        <f>VLOOKUP(Tabla1[[#This Row],[Perfil]],Catalogos!$B$75:$D$100,3,FALSE)*Tabla1[[#This Row],[Tiempo
(Hrs 00/100)]]*1.16</f>
        <v>812</v>
      </c>
      <c r="AA3410" t="s">
        <v>3356</v>
      </c>
    </row>
    <row r="3411" spans="1:27" ht="30" customHeight="1" x14ac:dyDescent="0.3">
      <c r="A3411" s="828" t="s">
        <v>22</v>
      </c>
      <c r="B3411" s="828" t="s">
        <v>23</v>
      </c>
      <c r="C3411" s="828" t="s">
        <v>49</v>
      </c>
      <c r="D3411" s="501"/>
      <c r="E3411" s="828" t="s">
        <v>4133</v>
      </c>
      <c r="F3411" s="828" t="s">
        <v>23</v>
      </c>
      <c r="G3411" s="846" t="s">
        <v>6170</v>
      </c>
      <c r="H3411" s="844" t="s">
        <v>6114</v>
      </c>
      <c r="I3411" s="501" t="s">
        <v>5306</v>
      </c>
      <c r="J3411" s="811">
        <v>45271</v>
      </c>
      <c r="K3411" s="815">
        <v>0.6875</v>
      </c>
      <c r="L3411" s="811">
        <v>45312</v>
      </c>
      <c r="M3411" s="815">
        <v>0.72916666666666663</v>
      </c>
      <c r="N3411" s="828">
        <v>1</v>
      </c>
      <c r="O3411" s="697" t="s">
        <v>17</v>
      </c>
      <c r="P3411" s="845" t="s">
        <v>5237</v>
      </c>
      <c r="Q3411" s="828" t="s">
        <v>5376</v>
      </c>
      <c r="R3411" s="468" t="s">
        <v>40</v>
      </c>
      <c r="S3411" s="31" t="s">
        <v>273</v>
      </c>
      <c r="T3411" s="31" t="s">
        <v>273</v>
      </c>
      <c r="U3411" s="31">
        <f>IFERROR(VLOOKUP(CONCATENATE(Tabla1[[#This Row],[Severidad]]," ",Tabla1[[#This Row],[Complejidad]]),Catalogos!E$120:G$128,3,FALSE),"")</f>
        <v>64</v>
      </c>
      <c r="V3411" s="31" t="str">
        <f>IF(Tabla1[[#This Row],[Tiempo solución max (hrs)]]&lt;&gt;"",IF(Tabla1[[#This Row],[Tiempo solución max (hrs)]]&gt;=Tabla1[[#This Row],[Tiempo
(Hrs 00/100)]],"cumple","no cumple"),"")</f>
        <v>cumple</v>
      </c>
      <c r="W3411" s="222" t="s">
        <v>5372</v>
      </c>
      <c r="X3411" s="18" t="str">
        <f t="shared" si="238"/>
        <v>SAI</v>
      </c>
      <c r="Y3411" t="str">
        <f>SUBSTITUTE(Tabla1[[#This Row],[Descripción]],CHAR(10),"    I    ")</f>
        <v>3.3.8 Pop-ups que describan la acción a realizar en Formulario de Seguimiento de Actividades</v>
      </c>
      <c r="Z3411" s="112">
        <f>VLOOKUP(Tabla1[[#This Row],[Perfil]],Catalogos!$B$75:$D$100,3,FALSE)*Tabla1[[#This Row],[Tiempo
(Hrs 00/100)]]*1.16</f>
        <v>812</v>
      </c>
      <c r="AA3411" t="s">
        <v>3356</v>
      </c>
    </row>
    <row r="3412" spans="1:27" ht="30" customHeight="1" x14ac:dyDescent="0.3">
      <c r="A3412" s="828" t="s">
        <v>22</v>
      </c>
      <c r="B3412" s="828" t="s">
        <v>23</v>
      </c>
      <c r="C3412" s="828" t="s">
        <v>49</v>
      </c>
      <c r="D3412" s="501"/>
      <c r="E3412" s="828" t="s">
        <v>4133</v>
      </c>
      <c r="F3412" s="828" t="s">
        <v>23</v>
      </c>
      <c r="G3412" s="846" t="s">
        <v>6171</v>
      </c>
      <c r="H3412" s="844" t="s">
        <v>6116</v>
      </c>
      <c r="I3412" s="501" t="s">
        <v>5309</v>
      </c>
      <c r="J3412" s="811">
        <v>45271</v>
      </c>
      <c r="K3412" s="815">
        <v>0.72916666666666663</v>
      </c>
      <c r="L3412" s="811">
        <v>45313</v>
      </c>
      <c r="M3412" s="815">
        <v>0.77083333333333337</v>
      </c>
      <c r="N3412" s="828">
        <v>1</v>
      </c>
      <c r="O3412" s="697" t="s">
        <v>17</v>
      </c>
      <c r="P3412" s="845" t="s">
        <v>5237</v>
      </c>
      <c r="Q3412" s="828" t="s">
        <v>5376</v>
      </c>
      <c r="R3412" s="468" t="s">
        <v>40</v>
      </c>
      <c r="S3412" s="31" t="s">
        <v>273</v>
      </c>
      <c r="T3412" s="31" t="s">
        <v>273</v>
      </c>
      <c r="U3412" s="31">
        <f>IFERROR(VLOOKUP(CONCATENATE(Tabla1[[#This Row],[Severidad]]," ",Tabla1[[#This Row],[Complejidad]]),Catalogos!E$120:G$128,3,FALSE),"")</f>
        <v>64</v>
      </c>
      <c r="V3412" s="31" t="str">
        <f>IF(Tabla1[[#This Row],[Tiempo solución max (hrs)]]&lt;&gt;"",IF(Tabla1[[#This Row],[Tiempo solución max (hrs)]]&gt;=Tabla1[[#This Row],[Tiempo
(Hrs 00/100)]],"cumple","no cumple"),"")</f>
        <v>cumple</v>
      </c>
      <c r="W3412" s="222" t="s">
        <v>5372</v>
      </c>
      <c r="X3412" s="18" t="str">
        <f t="shared" si="238"/>
        <v>SAI</v>
      </c>
      <c r="Y3412" t="str">
        <f>SUBSTITUTE(Tabla1[[#This Row],[Descripción]],CHAR(10),"    I    ")</f>
        <v xml:space="preserve">3.3.9 Habilitar botón para que los Enlaces puedan asignar actividades a las UA una vez que éstas ya han sido creadas </v>
      </c>
      <c r="Z3412" s="112">
        <f>VLOOKUP(Tabla1[[#This Row],[Perfil]],Catalogos!$B$75:$D$100,3,FALSE)*Tabla1[[#This Row],[Tiempo
(Hrs 00/100)]]*1.16</f>
        <v>812</v>
      </c>
      <c r="AA3412" t="s">
        <v>3356</v>
      </c>
    </row>
    <row r="3413" spans="1:27" ht="30" customHeight="1" x14ac:dyDescent="0.3">
      <c r="A3413" s="828" t="s">
        <v>22</v>
      </c>
      <c r="B3413" s="828" t="s">
        <v>23</v>
      </c>
      <c r="C3413" s="828" t="s">
        <v>49</v>
      </c>
      <c r="D3413" s="501"/>
      <c r="E3413" s="828" t="s">
        <v>4133</v>
      </c>
      <c r="F3413" s="828" t="s">
        <v>23</v>
      </c>
      <c r="G3413" s="846" t="s">
        <v>6172</v>
      </c>
      <c r="H3413" s="844" t="s">
        <v>6116</v>
      </c>
      <c r="I3413" s="501" t="s">
        <v>5311</v>
      </c>
      <c r="J3413" s="811">
        <v>45271</v>
      </c>
      <c r="K3413" s="815">
        <v>0.77083333333333337</v>
      </c>
      <c r="L3413" s="811">
        <v>45314</v>
      </c>
      <c r="M3413" s="815">
        <v>0.8125</v>
      </c>
      <c r="N3413" s="828">
        <v>1</v>
      </c>
      <c r="O3413" s="697" t="s">
        <v>17</v>
      </c>
      <c r="P3413" s="845" t="s">
        <v>5237</v>
      </c>
      <c r="Q3413" s="828" t="s">
        <v>5376</v>
      </c>
      <c r="R3413" s="468" t="s">
        <v>40</v>
      </c>
      <c r="S3413" s="31" t="s">
        <v>273</v>
      </c>
      <c r="T3413" s="31" t="s">
        <v>273</v>
      </c>
      <c r="U3413" s="31">
        <f>IFERROR(VLOOKUP(CONCATENATE(Tabla1[[#This Row],[Severidad]]," ",Tabla1[[#This Row],[Complejidad]]),Catalogos!E$120:G$128,3,FALSE),"")</f>
        <v>64</v>
      </c>
      <c r="V3413" s="31" t="str">
        <f>IF(Tabla1[[#This Row],[Tiempo solución max (hrs)]]&lt;&gt;"",IF(Tabla1[[#This Row],[Tiempo solución max (hrs)]]&gt;=Tabla1[[#This Row],[Tiempo
(Hrs 00/100)]],"cumple","no cumple"),"")</f>
        <v>cumple</v>
      </c>
      <c r="W3413" s="222" t="s">
        <v>5372</v>
      </c>
      <c r="X3413" s="18" t="str">
        <f t="shared" si="238"/>
        <v>SAI</v>
      </c>
      <c r="Y3413" t="str">
        <f>SUBSTITUTE(Tabla1[[#This Row],[Descripción]],CHAR(10),"    I    ")</f>
        <v>3.4.1 Funcionalidad total del apartado “Configuración de Procesos del SNT” en Rol de Enlace, así como la semaforización conforme al calendario configurado.</v>
      </c>
      <c r="Z3413" s="112">
        <f>VLOOKUP(Tabla1[[#This Row],[Perfil]],Catalogos!$B$75:$D$100,3,FALSE)*Tabla1[[#This Row],[Tiempo
(Hrs 00/100)]]*1.16</f>
        <v>812</v>
      </c>
      <c r="AA3413" t="s">
        <v>3356</v>
      </c>
    </row>
    <row r="3414" spans="1:27" ht="30" customHeight="1" x14ac:dyDescent="0.3">
      <c r="A3414" s="828" t="s">
        <v>22</v>
      </c>
      <c r="B3414" s="828" t="s">
        <v>23</v>
      </c>
      <c r="C3414" s="828" t="s">
        <v>49</v>
      </c>
      <c r="D3414" s="501"/>
      <c r="E3414" s="828" t="s">
        <v>4133</v>
      </c>
      <c r="F3414" s="828" t="s">
        <v>23</v>
      </c>
      <c r="G3414" s="846" t="s">
        <v>6173</v>
      </c>
      <c r="H3414" s="844" t="s">
        <v>6116</v>
      </c>
      <c r="I3414" s="501" t="s">
        <v>5314</v>
      </c>
      <c r="J3414" s="811">
        <v>45272</v>
      </c>
      <c r="K3414" s="815">
        <v>0.375</v>
      </c>
      <c r="L3414" s="811">
        <v>45315</v>
      </c>
      <c r="M3414" s="815">
        <v>0.41666666666666669</v>
      </c>
      <c r="N3414" s="828">
        <v>1</v>
      </c>
      <c r="O3414" s="697" t="s">
        <v>17</v>
      </c>
      <c r="P3414" s="845" t="s">
        <v>5237</v>
      </c>
      <c r="Q3414" s="828" t="s">
        <v>5376</v>
      </c>
      <c r="R3414" s="468" t="s">
        <v>40</v>
      </c>
      <c r="S3414" s="31" t="s">
        <v>273</v>
      </c>
      <c r="T3414" s="31" t="s">
        <v>273</v>
      </c>
      <c r="U3414" s="31">
        <f>IFERROR(VLOOKUP(CONCATENATE(Tabla1[[#This Row],[Severidad]]," ",Tabla1[[#This Row],[Complejidad]]),Catalogos!E$120:G$128,3,FALSE),"")</f>
        <v>64</v>
      </c>
      <c r="V3414" s="31" t="str">
        <f>IF(Tabla1[[#This Row],[Tiempo solución max (hrs)]]&lt;&gt;"",IF(Tabla1[[#This Row],[Tiempo solución max (hrs)]]&gt;=Tabla1[[#This Row],[Tiempo
(Hrs 00/100)]],"cumple","no cumple"),"")</f>
        <v>cumple</v>
      </c>
      <c r="W3414" s="222" t="s">
        <v>5372</v>
      </c>
      <c r="X3414" s="18" t="str">
        <f t="shared" si="238"/>
        <v>SAI</v>
      </c>
      <c r="Y3414" t="str">
        <f>SUBSTITUTE(Tabla1[[#This Row],[Descripción]],CHAR(10),"    I    ")</f>
        <v>3.4.2 Envío automático de correo electrónico para el inicio y fin de carga en los procesos correspondientes (Ruta de Implementación, Seguimiento y Formato ABC)</v>
      </c>
      <c r="Z3414" s="112">
        <f>VLOOKUP(Tabla1[[#This Row],[Perfil]],Catalogos!$B$75:$D$100,3,FALSE)*Tabla1[[#This Row],[Tiempo
(Hrs 00/100)]]*1.16</f>
        <v>812</v>
      </c>
      <c r="AA3414" t="s">
        <v>3356</v>
      </c>
    </row>
    <row r="3415" spans="1:27" ht="30" customHeight="1" x14ac:dyDescent="0.3">
      <c r="A3415" s="828" t="s">
        <v>22</v>
      </c>
      <c r="B3415" s="828" t="s">
        <v>23</v>
      </c>
      <c r="C3415" s="828" t="s">
        <v>49</v>
      </c>
      <c r="D3415" s="501"/>
      <c r="E3415" s="828" t="s">
        <v>4133</v>
      </c>
      <c r="F3415" s="828" t="s">
        <v>23</v>
      </c>
      <c r="G3415" s="846" t="s">
        <v>6174</v>
      </c>
      <c r="H3415" s="844" t="s">
        <v>6116</v>
      </c>
      <c r="I3415" s="501" t="s">
        <v>5316</v>
      </c>
      <c r="J3415" s="811">
        <v>45272</v>
      </c>
      <c r="K3415" s="815">
        <v>0.41666666666666669</v>
      </c>
      <c r="L3415" s="811">
        <v>45316</v>
      </c>
      <c r="M3415" s="815">
        <v>0.45833333333333331</v>
      </c>
      <c r="N3415" s="828">
        <v>1</v>
      </c>
      <c r="O3415" s="697" t="s">
        <v>17</v>
      </c>
      <c r="P3415" s="845" t="s">
        <v>5237</v>
      </c>
      <c r="Q3415" s="828" t="s">
        <v>5376</v>
      </c>
      <c r="R3415" s="468" t="s">
        <v>40</v>
      </c>
      <c r="S3415" s="31" t="s">
        <v>273</v>
      </c>
      <c r="T3415" s="31" t="s">
        <v>273</v>
      </c>
      <c r="U3415" s="31">
        <f>IFERROR(VLOOKUP(CONCATENATE(Tabla1[[#This Row],[Severidad]]," ",Tabla1[[#This Row],[Complejidad]]),Catalogos!E$120:G$128,3,FALSE),"")</f>
        <v>64</v>
      </c>
      <c r="V3415" s="31" t="str">
        <f>IF(Tabla1[[#This Row],[Tiempo solución max (hrs)]]&lt;&gt;"",IF(Tabla1[[#This Row],[Tiempo solución max (hrs)]]&gt;=Tabla1[[#This Row],[Tiempo
(Hrs 00/100)]],"cumple","no cumple"),"")</f>
        <v>cumple</v>
      </c>
      <c r="W3415" s="222" t="s">
        <v>5372</v>
      </c>
      <c r="X3415" s="18" t="str">
        <f t="shared" si="238"/>
        <v>SAI</v>
      </c>
      <c r="Y3415" t="str">
        <f>SUBSTITUTE(Tabla1[[#This Row],[Descripción]],CHAR(10),"    I    ")</f>
        <v>3.4.3 Mensaje de Alerta de inicio de Proceso</v>
      </c>
      <c r="Z3415" s="112">
        <f>VLOOKUP(Tabla1[[#This Row],[Perfil]],Catalogos!$B$75:$D$100,3,FALSE)*Tabla1[[#This Row],[Tiempo
(Hrs 00/100)]]*1.16</f>
        <v>812</v>
      </c>
      <c r="AA3415" t="s">
        <v>3356</v>
      </c>
    </row>
    <row r="3416" spans="1:27" ht="30" customHeight="1" x14ac:dyDescent="0.3">
      <c r="A3416" s="828" t="s">
        <v>22</v>
      </c>
      <c r="B3416" s="828" t="s">
        <v>23</v>
      </c>
      <c r="C3416" s="828" t="s">
        <v>49</v>
      </c>
      <c r="D3416" s="501"/>
      <c r="E3416" s="828" t="s">
        <v>4133</v>
      </c>
      <c r="F3416" s="828" t="s">
        <v>23</v>
      </c>
      <c r="G3416" s="846" t="s">
        <v>6175</v>
      </c>
      <c r="H3416" s="844" t="s">
        <v>6116</v>
      </c>
      <c r="I3416" s="501" t="s">
        <v>6117</v>
      </c>
      <c r="J3416" s="811">
        <v>45272</v>
      </c>
      <c r="K3416" s="815">
        <v>0.45833333333333331</v>
      </c>
      <c r="L3416" s="811">
        <v>45317</v>
      </c>
      <c r="M3416" s="815">
        <v>0.5</v>
      </c>
      <c r="N3416" s="828">
        <v>1</v>
      </c>
      <c r="O3416" s="697" t="s">
        <v>17</v>
      </c>
      <c r="P3416" s="845" t="s">
        <v>5237</v>
      </c>
      <c r="Q3416" s="828" t="s">
        <v>5376</v>
      </c>
      <c r="R3416" s="468" t="s">
        <v>40</v>
      </c>
      <c r="S3416" s="31" t="s">
        <v>273</v>
      </c>
      <c r="T3416" s="31" t="s">
        <v>273</v>
      </c>
      <c r="U3416" s="31">
        <f>IFERROR(VLOOKUP(CONCATENATE(Tabla1[[#This Row],[Severidad]]," ",Tabla1[[#This Row],[Complejidad]]),Catalogos!E$120:G$128,3,FALSE),"")</f>
        <v>64</v>
      </c>
      <c r="V3416" s="31" t="str">
        <f>IF(Tabla1[[#This Row],[Tiempo solución max (hrs)]]&lt;&gt;"",IF(Tabla1[[#This Row],[Tiempo solución max (hrs)]]&gt;=Tabla1[[#This Row],[Tiempo
(Hrs 00/100)]],"cumple","no cumple"),"")</f>
        <v>cumple</v>
      </c>
      <c r="W3416" s="222" t="s">
        <v>5372</v>
      </c>
      <c r="X3416" s="18" t="str">
        <f t="shared" si="238"/>
        <v>SAI</v>
      </c>
      <c r="Y3416" t="str">
        <f>SUBSTITUTE(Tabla1[[#This Row],[Descripción]],CHAR(10),"    I    ")</f>
        <v>3.4.4 Activar flechas para ordenar por abreviatura de integrante</v>
      </c>
      <c r="Z3416" s="112">
        <f>VLOOKUP(Tabla1[[#This Row],[Perfil]],Catalogos!$B$75:$D$100,3,FALSE)*Tabla1[[#This Row],[Tiempo
(Hrs 00/100)]]*1.16</f>
        <v>812</v>
      </c>
      <c r="AA3416" t="s">
        <v>3356</v>
      </c>
    </row>
    <row r="3417" spans="1:27" ht="30" customHeight="1" x14ac:dyDescent="0.3">
      <c r="A3417" s="828" t="s">
        <v>22</v>
      </c>
      <c r="B3417" s="828" t="s">
        <v>23</v>
      </c>
      <c r="C3417" s="828" t="s">
        <v>49</v>
      </c>
      <c r="D3417" s="501"/>
      <c r="E3417" s="828" t="s">
        <v>4133</v>
      </c>
      <c r="F3417" s="828" t="s">
        <v>23</v>
      </c>
      <c r="G3417" s="846" t="s">
        <v>6176</v>
      </c>
      <c r="H3417" s="844" t="s">
        <v>6116</v>
      </c>
      <c r="I3417" s="501" t="s">
        <v>5318</v>
      </c>
      <c r="J3417" s="811">
        <v>45272</v>
      </c>
      <c r="K3417" s="815">
        <v>0.5</v>
      </c>
      <c r="L3417" s="811">
        <v>45318</v>
      </c>
      <c r="M3417" s="815">
        <v>0.54166666666666663</v>
      </c>
      <c r="N3417" s="828">
        <v>1</v>
      </c>
      <c r="O3417" s="697" t="s">
        <v>17</v>
      </c>
      <c r="P3417" s="845" t="s">
        <v>5237</v>
      </c>
      <c r="Q3417" s="828" t="s">
        <v>5376</v>
      </c>
      <c r="R3417" s="468" t="s">
        <v>40</v>
      </c>
      <c r="S3417" s="31" t="s">
        <v>273</v>
      </c>
      <c r="T3417" s="31" t="s">
        <v>273</v>
      </c>
      <c r="U3417" s="31">
        <f>IFERROR(VLOOKUP(CONCATENATE(Tabla1[[#This Row],[Severidad]]," ",Tabla1[[#This Row],[Complejidad]]),Catalogos!E$120:G$128,3,FALSE),"")</f>
        <v>64</v>
      </c>
      <c r="V3417" s="31" t="str">
        <f>IF(Tabla1[[#This Row],[Tiempo solución max (hrs)]]&lt;&gt;"",IF(Tabla1[[#This Row],[Tiempo solución max (hrs)]]&gt;=Tabla1[[#This Row],[Tiempo
(Hrs 00/100)]],"cumple","no cumple"),"")</f>
        <v>cumple</v>
      </c>
      <c r="W3417" s="222" t="s">
        <v>5372</v>
      </c>
      <c r="X3417" s="18" t="str">
        <f t="shared" si="238"/>
        <v>SAI</v>
      </c>
      <c r="Y3417" t="str">
        <f>SUBSTITUTE(Tabla1[[#This Row],[Descripción]],CHAR(10),"    I    ")</f>
        <v>3.4.5 Funcionamiento de la apertura y cierre de Procesos en el Sistema para administrador</v>
      </c>
      <c r="Z3417" s="112">
        <f>VLOOKUP(Tabla1[[#This Row],[Perfil]],Catalogos!$B$75:$D$100,3,FALSE)*Tabla1[[#This Row],[Tiempo
(Hrs 00/100)]]*1.16</f>
        <v>812</v>
      </c>
      <c r="AA3417" t="s">
        <v>3356</v>
      </c>
    </row>
    <row r="3418" spans="1:27" ht="30" customHeight="1" x14ac:dyDescent="0.3">
      <c r="A3418" s="828" t="s">
        <v>22</v>
      </c>
      <c r="B3418" s="828" t="s">
        <v>23</v>
      </c>
      <c r="C3418" s="828" t="s">
        <v>49</v>
      </c>
      <c r="D3418" s="501"/>
      <c r="E3418" s="828" t="s">
        <v>4133</v>
      </c>
      <c r="F3418" s="828" t="s">
        <v>23</v>
      </c>
      <c r="G3418" s="846" t="s">
        <v>6177</v>
      </c>
      <c r="H3418" s="844" t="s">
        <v>6116</v>
      </c>
      <c r="I3418" s="501" t="s">
        <v>5321</v>
      </c>
      <c r="J3418" s="811">
        <v>45272</v>
      </c>
      <c r="K3418" s="815">
        <v>0.54166666666666663</v>
      </c>
      <c r="L3418" s="811">
        <v>45319</v>
      </c>
      <c r="M3418" s="815">
        <v>0.58333333333333337</v>
      </c>
      <c r="N3418" s="828">
        <v>1</v>
      </c>
      <c r="O3418" s="697" t="s">
        <v>17</v>
      </c>
      <c r="P3418" s="845" t="s">
        <v>5237</v>
      </c>
      <c r="Q3418" s="828" t="s">
        <v>5376</v>
      </c>
      <c r="R3418" s="468" t="s">
        <v>40</v>
      </c>
      <c r="S3418" s="31" t="s">
        <v>273</v>
      </c>
      <c r="T3418" s="31" t="s">
        <v>273</v>
      </c>
      <c r="U3418" s="31">
        <f>IFERROR(VLOOKUP(CONCATENATE(Tabla1[[#This Row],[Severidad]]," ",Tabla1[[#This Row],[Complejidad]]),Catalogos!E$120:G$128,3,FALSE),"")</f>
        <v>64</v>
      </c>
      <c r="V3418" s="31" t="str">
        <f>IF(Tabla1[[#This Row],[Tiempo solución max (hrs)]]&lt;&gt;"",IF(Tabla1[[#This Row],[Tiempo solución max (hrs)]]&gt;=Tabla1[[#This Row],[Tiempo
(Hrs 00/100)]],"cumple","no cumple"),"")</f>
        <v>cumple</v>
      </c>
      <c r="W3418" s="222" t="s">
        <v>5372</v>
      </c>
      <c r="X3418" s="18" t="str">
        <f t="shared" si="238"/>
        <v>SAI</v>
      </c>
      <c r="Y3418" t="str">
        <f>SUBSTITUTE(Tabla1[[#This Row],[Descripción]],CHAR(10),"    I    ")</f>
        <v>3.5.1 Crear módulo o botón que permita descargar los reportes en datos abiertos (.csv) en todos los roles de usuario</v>
      </c>
      <c r="Z3418" s="112">
        <f>VLOOKUP(Tabla1[[#This Row],[Perfil]],Catalogos!$B$75:$D$100,3,FALSE)*Tabla1[[#This Row],[Tiempo
(Hrs 00/100)]]*1.16</f>
        <v>812</v>
      </c>
      <c r="AA3418" t="s">
        <v>3356</v>
      </c>
    </row>
    <row r="3419" spans="1:27" ht="30" customHeight="1" x14ac:dyDescent="0.3">
      <c r="A3419" s="828" t="s">
        <v>22</v>
      </c>
      <c r="B3419" s="828" t="s">
        <v>23</v>
      </c>
      <c r="C3419" s="828" t="s">
        <v>49</v>
      </c>
      <c r="D3419" s="501"/>
      <c r="E3419" s="828" t="s">
        <v>4133</v>
      </c>
      <c r="F3419" s="828" t="s">
        <v>23</v>
      </c>
      <c r="G3419" s="846" t="s">
        <v>6178</v>
      </c>
      <c r="H3419" s="844" t="s">
        <v>6116</v>
      </c>
      <c r="I3419" s="501" t="s">
        <v>5323</v>
      </c>
      <c r="J3419" s="811">
        <v>45272</v>
      </c>
      <c r="K3419" s="815">
        <v>0.58333333333333337</v>
      </c>
      <c r="L3419" s="811">
        <v>45320</v>
      </c>
      <c r="M3419" s="815">
        <v>0.6875</v>
      </c>
      <c r="N3419" s="828">
        <v>1</v>
      </c>
      <c r="O3419" s="697" t="s">
        <v>17</v>
      </c>
      <c r="P3419" s="845" t="s">
        <v>5237</v>
      </c>
      <c r="Q3419" s="828" t="s">
        <v>5376</v>
      </c>
      <c r="R3419" s="468" t="s">
        <v>40</v>
      </c>
      <c r="S3419" s="31" t="s">
        <v>273</v>
      </c>
      <c r="T3419" s="31" t="s">
        <v>273</v>
      </c>
      <c r="U3419" s="31">
        <f>IFERROR(VLOOKUP(CONCATENATE(Tabla1[[#This Row],[Severidad]]," ",Tabla1[[#This Row],[Complejidad]]),Catalogos!E$120:G$128,3,FALSE),"")</f>
        <v>64</v>
      </c>
      <c r="V3419" s="31" t="str">
        <f>IF(Tabla1[[#This Row],[Tiempo solución max (hrs)]]&lt;&gt;"",IF(Tabla1[[#This Row],[Tiempo solución max (hrs)]]&gt;=Tabla1[[#This Row],[Tiempo
(Hrs 00/100)]],"cumple","no cumple"),"")</f>
        <v>cumple</v>
      </c>
      <c r="W3419" s="222" t="s">
        <v>5372</v>
      </c>
      <c r="X3419" s="18" t="str">
        <f t="shared" si="238"/>
        <v>SAI</v>
      </c>
      <c r="Y3419" t="str">
        <f>SUBSTITUTE(Tabla1[[#This Row],[Descripción]],CHAR(10),"    I    ")</f>
        <v>3.5.2 Modificar opciones de Estatus de "Revisión Integrante y Validado Integrante" a "Revisión Enlace y Validado Enlace"</v>
      </c>
      <c r="Z3419" s="112">
        <f>VLOOKUP(Tabla1[[#This Row],[Perfil]],Catalogos!$B$75:$D$100,3,FALSE)*Tabla1[[#This Row],[Tiempo
(Hrs 00/100)]]*1.16</f>
        <v>812</v>
      </c>
      <c r="AA3419" t="s">
        <v>3356</v>
      </c>
    </row>
    <row r="3420" spans="1:27" ht="30" customHeight="1" x14ac:dyDescent="0.3">
      <c r="A3420" s="828" t="s">
        <v>22</v>
      </c>
      <c r="B3420" s="828" t="s">
        <v>23</v>
      </c>
      <c r="C3420" s="828" t="s">
        <v>49</v>
      </c>
      <c r="D3420" s="501"/>
      <c r="E3420" s="828" t="s">
        <v>4133</v>
      </c>
      <c r="F3420" s="828" t="s">
        <v>23</v>
      </c>
      <c r="G3420" s="846" t="s">
        <v>6179</v>
      </c>
      <c r="H3420" s="844" t="s">
        <v>6116</v>
      </c>
      <c r="I3420" s="501" t="s">
        <v>5325</v>
      </c>
      <c r="J3420" s="811">
        <v>45272</v>
      </c>
      <c r="K3420" s="815">
        <v>0.6875</v>
      </c>
      <c r="L3420" s="811">
        <v>45321</v>
      </c>
      <c r="M3420" s="815">
        <v>0.72916666666666663</v>
      </c>
      <c r="N3420" s="828">
        <v>1</v>
      </c>
      <c r="O3420" s="697" t="s">
        <v>17</v>
      </c>
      <c r="P3420" s="845" t="s">
        <v>5237</v>
      </c>
      <c r="Q3420" s="828" t="s">
        <v>5376</v>
      </c>
      <c r="R3420" s="468" t="s">
        <v>40</v>
      </c>
      <c r="S3420" s="31" t="s">
        <v>273</v>
      </c>
      <c r="T3420" s="31" t="s">
        <v>273</v>
      </c>
      <c r="U3420" s="31">
        <f>IFERROR(VLOOKUP(CONCATENATE(Tabla1[[#This Row],[Severidad]]," ",Tabla1[[#This Row],[Complejidad]]),Catalogos!E$120:G$128,3,FALSE),"")</f>
        <v>64</v>
      </c>
      <c r="V3420" s="31" t="str">
        <f>IF(Tabla1[[#This Row],[Tiempo solución max (hrs)]]&lt;&gt;"",IF(Tabla1[[#This Row],[Tiempo solución max (hrs)]]&gt;=Tabla1[[#This Row],[Tiempo
(Hrs 00/100)]],"cumple","no cumple"),"")</f>
        <v>cumple</v>
      </c>
      <c r="W3420" s="222" t="s">
        <v>5372</v>
      </c>
      <c r="X3420" s="18" t="str">
        <f t="shared" si="238"/>
        <v>SAI</v>
      </c>
      <c r="Y3420" t="str">
        <f>SUBSTITUTE(Tabla1[[#This Row],[Descripción]],CHAR(10),"    I    ")</f>
        <v>3.5.3 Mensaje de Alerta de inicio de Proceso</v>
      </c>
      <c r="Z3420" s="112">
        <f>VLOOKUP(Tabla1[[#This Row],[Perfil]],Catalogos!$B$75:$D$100,3,FALSE)*Tabla1[[#This Row],[Tiempo
(Hrs 00/100)]]*1.16</f>
        <v>812</v>
      </c>
      <c r="AA3420" t="s">
        <v>3356</v>
      </c>
    </row>
    <row r="3421" spans="1:27" ht="30" customHeight="1" x14ac:dyDescent="0.3">
      <c r="A3421" s="828" t="s">
        <v>22</v>
      </c>
      <c r="B3421" s="828" t="s">
        <v>23</v>
      </c>
      <c r="C3421" s="828" t="s">
        <v>49</v>
      </c>
      <c r="D3421" s="501"/>
      <c r="E3421" s="828" t="s">
        <v>4133</v>
      </c>
      <c r="F3421" s="828" t="s">
        <v>23</v>
      </c>
      <c r="G3421" s="846" t="s">
        <v>6180</v>
      </c>
      <c r="H3421" s="844" t="s">
        <v>6116</v>
      </c>
      <c r="I3421" s="501" t="s">
        <v>5326</v>
      </c>
      <c r="J3421" s="811">
        <v>45272</v>
      </c>
      <c r="K3421" s="815">
        <v>0.72916666666666663</v>
      </c>
      <c r="L3421" s="811">
        <v>45322</v>
      </c>
      <c r="M3421" s="815">
        <v>0.77083333333333337</v>
      </c>
      <c r="N3421" s="828">
        <v>1</v>
      </c>
      <c r="O3421" s="697" t="s">
        <v>17</v>
      </c>
      <c r="P3421" s="845" t="s">
        <v>5237</v>
      </c>
      <c r="Q3421" s="828" t="s">
        <v>5376</v>
      </c>
      <c r="R3421" s="468" t="s">
        <v>40</v>
      </c>
      <c r="S3421" s="31" t="s">
        <v>273</v>
      </c>
      <c r="T3421" s="31" t="s">
        <v>273</v>
      </c>
      <c r="U3421" s="31">
        <f>IFERROR(VLOOKUP(CONCATENATE(Tabla1[[#This Row],[Severidad]]," ",Tabla1[[#This Row],[Complejidad]]),Catalogos!E$120:G$128,3,FALSE),"")</f>
        <v>64</v>
      </c>
      <c r="V3421" s="31" t="str">
        <f>IF(Tabla1[[#This Row],[Tiempo solución max (hrs)]]&lt;&gt;"",IF(Tabla1[[#This Row],[Tiempo solución max (hrs)]]&gt;=Tabla1[[#This Row],[Tiempo
(Hrs 00/100)]],"cumple","no cumple"),"")</f>
        <v>cumple</v>
      </c>
      <c r="W3421" s="222" t="s">
        <v>5372</v>
      </c>
      <c r="X3421" s="18" t="str">
        <f t="shared" si="238"/>
        <v>SAI</v>
      </c>
      <c r="Y3421" t="str">
        <f>SUBSTITUTE(Tabla1[[#This Row],[Descripción]],CHAR(10),"    I    ")</f>
        <v>3.5.4 Nueva columna de fecha y hora de carga; visualización de tabla inicial con actividades más recientes cargadas</v>
      </c>
      <c r="Z3421" s="112">
        <f>VLOOKUP(Tabla1[[#This Row],[Perfil]],Catalogos!$B$75:$D$100,3,FALSE)*Tabla1[[#This Row],[Tiempo
(Hrs 00/100)]]*1.16</f>
        <v>812</v>
      </c>
      <c r="AA3421" t="s">
        <v>3356</v>
      </c>
    </row>
    <row r="3422" spans="1:27" ht="30" customHeight="1" x14ac:dyDescent="0.3">
      <c r="A3422" s="828" t="s">
        <v>22</v>
      </c>
      <c r="B3422" s="828" t="s">
        <v>23</v>
      </c>
      <c r="C3422" s="828" t="s">
        <v>49</v>
      </c>
      <c r="D3422" s="501"/>
      <c r="E3422" s="828" t="s">
        <v>4133</v>
      </c>
      <c r="F3422" s="828" t="s">
        <v>23</v>
      </c>
      <c r="G3422" s="846" t="s">
        <v>6181</v>
      </c>
      <c r="H3422" s="844" t="s">
        <v>6116</v>
      </c>
      <c r="I3422" s="501" t="s">
        <v>5327</v>
      </c>
      <c r="J3422" s="811">
        <v>45272</v>
      </c>
      <c r="K3422" s="815">
        <v>0.77083333333333337</v>
      </c>
      <c r="L3422" s="811">
        <v>45323</v>
      </c>
      <c r="M3422" s="815">
        <v>0.8125</v>
      </c>
      <c r="N3422" s="828">
        <v>1</v>
      </c>
      <c r="O3422" s="697" t="s">
        <v>17</v>
      </c>
      <c r="P3422" s="845" t="s">
        <v>5237</v>
      </c>
      <c r="Q3422" s="828" t="s">
        <v>5376</v>
      </c>
      <c r="R3422" s="468" t="s">
        <v>40</v>
      </c>
      <c r="S3422" s="31" t="s">
        <v>273</v>
      </c>
      <c r="T3422" s="31" t="s">
        <v>273</v>
      </c>
      <c r="U3422" s="31">
        <f>IFERROR(VLOOKUP(CONCATENATE(Tabla1[[#This Row],[Severidad]]," ",Tabla1[[#This Row],[Complejidad]]),Catalogos!E$120:G$128,3,FALSE),"")</f>
        <v>64</v>
      </c>
      <c r="V3422" s="31" t="str">
        <f>IF(Tabla1[[#This Row],[Tiempo solución max (hrs)]]&lt;&gt;"",IF(Tabla1[[#This Row],[Tiempo solución max (hrs)]]&gt;=Tabla1[[#This Row],[Tiempo
(Hrs 00/100)]],"cumple","no cumple"),"")</f>
        <v>cumple</v>
      </c>
      <c r="W3422" s="222" t="s">
        <v>5372</v>
      </c>
      <c r="X3422" s="18" t="str">
        <f t="shared" si="238"/>
        <v>SAI</v>
      </c>
      <c r="Y3422" t="str">
        <f>SUBSTITUTE(Tabla1[[#This Row],[Descripción]],CHAR(10),"    I    ")</f>
        <v>3.5.5 Agregar filtros de opción múltiple en los combos, es decir, que se puedan elegir más de una opción</v>
      </c>
      <c r="Z3422" s="112">
        <f>VLOOKUP(Tabla1[[#This Row],[Perfil]],Catalogos!$B$75:$D$100,3,FALSE)*Tabla1[[#This Row],[Tiempo
(Hrs 00/100)]]*1.16</f>
        <v>812</v>
      </c>
      <c r="AA3422" t="s">
        <v>3356</v>
      </c>
    </row>
    <row r="3423" spans="1:27" ht="30" customHeight="1" x14ac:dyDescent="0.3">
      <c r="A3423" s="828" t="s">
        <v>22</v>
      </c>
      <c r="B3423" s="828" t="s">
        <v>23</v>
      </c>
      <c r="C3423" s="828" t="s">
        <v>49</v>
      </c>
      <c r="D3423" s="501"/>
      <c r="E3423" s="828" t="s">
        <v>4133</v>
      </c>
      <c r="F3423" s="828" t="s">
        <v>23</v>
      </c>
      <c r="G3423" s="846" t="s">
        <v>6182</v>
      </c>
      <c r="H3423" s="844" t="s">
        <v>6116</v>
      </c>
      <c r="I3423" s="501" t="s">
        <v>5328</v>
      </c>
      <c r="J3423" s="811">
        <v>45273</v>
      </c>
      <c r="K3423" s="815">
        <v>0.375</v>
      </c>
      <c r="L3423" s="811">
        <v>45324</v>
      </c>
      <c r="M3423" s="815">
        <v>0.41666666666666669</v>
      </c>
      <c r="N3423" s="828">
        <v>1</v>
      </c>
      <c r="O3423" s="697" t="s">
        <v>17</v>
      </c>
      <c r="P3423" s="845" t="s">
        <v>5237</v>
      </c>
      <c r="Q3423" s="828" t="s">
        <v>5376</v>
      </c>
      <c r="R3423" s="468" t="s">
        <v>40</v>
      </c>
      <c r="S3423" s="31" t="s">
        <v>273</v>
      </c>
      <c r="T3423" s="31" t="s">
        <v>273</v>
      </c>
      <c r="U3423" s="31">
        <f>IFERROR(VLOOKUP(CONCATENATE(Tabla1[[#This Row],[Severidad]]," ",Tabla1[[#This Row],[Complejidad]]),Catalogos!E$120:G$128,3,FALSE),"")</f>
        <v>64</v>
      </c>
      <c r="V3423" s="31" t="str">
        <f>IF(Tabla1[[#This Row],[Tiempo solución max (hrs)]]&lt;&gt;"",IF(Tabla1[[#This Row],[Tiempo solución max (hrs)]]&gt;=Tabla1[[#This Row],[Tiempo
(Hrs 00/100)]],"cumple","no cumple"),"")</f>
        <v>cumple</v>
      </c>
      <c r="W3423" s="222" t="s">
        <v>5372</v>
      </c>
      <c r="X3423" s="18" t="str">
        <f t="shared" si="238"/>
        <v>SAI</v>
      </c>
      <c r="Y3423" t="str">
        <f>SUBSTITUTE(Tabla1[[#This Row],[Descripción]],CHAR(10),"    I    ")</f>
        <v>3.5.6 Crear nuevo filtro "Región"</v>
      </c>
      <c r="Z3423" s="112">
        <f>VLOOKUP(Tabla1[[#This Row],[Perfil]],Catalogos!$B$75:$D$100,3,FALSE)*Tabla1[[#This Row],[Tiempo
(Hrs 00/100)]]*1.16</f>
        <v>812</v>
      </c>
      <c r="AA3423" t="s">
        <v>3356</v>
      </c>
    </row>
    <row r="3424" spans="1:27" ht="30" customHeight="1" x14ac:dyDescent="0.3">
      <c r="A3424" s="828" t="s">
        <v>22</v>
      </c>
      <c r="B3424" s="828" t="s">
        <v>23</v>
      </c>
      <c r="C3424" s="828" t="s">
        <v>49</v>
      </c>
      <c r="D3424" s="501"/>
      <c r="E3424" s="828" t="s">
        <v>4133</v>
      </c>
      <c r="F3424" s="828" t="s">
        <v>23</v>
      </c>
      <c r="G3424" s="846" t="s">
        <v>6183</v>
      </c>
      <c r="H3424" s="844" t="s">
        <v>6118</v>
      </c>
      <c r="I3424" s="501" t="s">
        <v>6103</v>
      </c>
      <c r="J3424" s="811">
        <v>45273</v>
      </c>
      <c r="K3424" s="815">
        <v>0.41666666666666669</v>
      </c>
      <c r="L3424" s="811">
        <v>45325</v>
      </c>
      <c r="M3424" s="815">
        <v>0.45833333333333331</v>
      </c>
      <c r="N3424" s="828">
        <v>1</v>
      </c>
      <c r="O3424" s="697" t="s">
        <v>17</v>
      </c>
      <c r="P3424" s="845" t="s">
        <v>5237</v>
      </c>
      <c r="Q3424" s="828" t="s">
        <v>5376</v>
      </c>
      <c r="R3424" s="468" t="s">
        <v>40</v>
      </c>
      <c r="S3424" s="31" t="s">
        <v>273</v>
      </c>
      <c r="T3424" s="31" t="s">
        <v>273</v>
      </c>
      <c r="U3424" s="31">
        <f>IFERROR(VLOOKUP(CONCATENATE(Tabla1[[#This Row],[Severidad]]," ",Tabla1[[#This Row],[Complejidad]]),Catalogos!E$120:G$128,3,FALSE),"")</f>
        <v>64</v>
      </c>
      <c r="V3424" s="31" t="str">
        <f>IF(Tabla1[[#This Row],[Tiempo solución max (hrs)]]&lt;&gt;"",IF(Tabla1[[#This Row],[Tiempo solución max (hrs)]]&gt;=Tabla1[[#This Row],[Tiempo
(Hrs 00/100)]],"cumple","no cumple"),"")</f>
        <v>cumple</v>
      </c>
      <c r="W3424" s="222" t="s">
        <v>5372</v>
      </c>
      <c r="X3424" s="18" t="str">
        <f t="shared" si="238"/>
        <v>SAI</v>
      </c>
      <c r="Y3424" t="str">
        <f>SUBSTITUTE(Tabla1[[#This Row],[Descripción]],CHAR(10),"    I    ")</f>
        <v>3.5.7 Activar flechas para ordenar por abreviatura de integrante</v>
      </c>
      <c r="Z3424" s="112">
        <f>VLOOKUP(Tabla1[[#This Row],[Perfil]],Catalogos!$B$75:$D$100,3,FALSE)*Tabla1[[#This Row],[Tiempo
(Hrs 00/100)]]*1.16</f>
        <v>812</v>
      </c>
      <c r="AA3424" t="s">
        <v>3356</v>
      </c>
    </row>
    <row r="3425" spans="1:27" ht="30" customHeight="1" x14ac:dyDescent="0.3">
      <c r="A3425" s="828" t="s">
        <v>22</v>
      </c>
      <c r="B3425" s="828" t="s">
        <v>23</v>
      </c>
      <c r="C3425" s="828" t="s">
        <v>49</v>
      </c>
      <c r="D3425" s="501"/>
      <c r="E3425" s="828" t="s">
        <v>4133</v>
      </c>
      <c r="F3425" s="828" t="s">
        <v>23</v>
      </c>
      <c r="G3425" s="846" t="s">
        <v>6184</v>
      </c>
      <c r="H3425" s="844" t="s">
        <v>6118</v>
      </c>
      <c r="I3425" s="501" t="s">
        <v>6104</v>
      </c>
      <c r="J3425" s="811">
        <v>45273</v>
      </c>
      <c r="K3425" s="815">
        <v>0.45833333333333331</v>
      </c>
      <c r="L3425" s="811">
        <v>45326</v>
      </c>
      <c r="M3425" s="815">
        <v>0.5</v>
      </c>
      <c r="N3425" s="828">
        <v>1</v>
      </c>
      <c r="O3425" s="697" t="s">
        <v>17</v>
      </c>
      <c r="P3425" s="845" t="s">
        <v>5237</v>
      </c>
      <c r="Q3425" s="828" t="s">
        <v>5376</v>
      </c>
      <c r="R3425" s="468" t="s">
        <v>40</v>
      </c>
      <c r="S3425" s="31" t="s">
        <v>273</v>
      </c>
      <c r="T3425" s="31" t="s">
        <v>273</v>
      </c>
      <c r="U3425" s="31">
        <f>IFERROR(VLOOKUP(CONCATENATE(Tabla1[[#This Row],[Severidad]]," ",Tabla1[[#This Row],[Complejidad]]),Catalogos!E$120:G$128,3,FALSE),"")</f>
        <v>64</v>
      </c>
      <c r="V3425" s="31" t="str">
        <f>IF(Tabla1[[#This Row],[Tiempo solución max (hrs)]]&lt;&gt;"",IF(Tabla1[[#This Row],[Tiempo solución max (hrs)]]&gt;=Tabla1[[#This Row],[Tiempo
(Hrs 00/100)]],"cumple","no cumple"),"")</f>
        <v>cumple</v>
      </c>
      <c r="W3425" s="222" t="s">
        <v>5372</v>
      </c>
      <c r="X3425" s="18" t="str">
        <f t="shared" si="238"/>
        <v>SAI</v>
      </c>
      <c r="Y3425" t="str">
        <f>SUBSTITUTE(Tabla1[[#This Row],[Descripción]],CHAR(10),"    I    ")</f>
        <v>3.5.8 Agregar un cuadro que lleve el conteo de las altas, bajas o cambios que se van realizando por el integrante, mismo que pueda ser visualizado tanto por este como por el administrador, uno general y uno individual.</v>
      </c>
      <c r="Z3425" s="112">
        <f>VLOOKUP(Tabla1[[#This Row],[Perfil]],Catalogos!$B$75:$D$100,3,FALSE)*Tabla1[[#This Row],[Tiempo
(Hrs 00/100)]]*1.16</f>
        <v>812</v>
      </c>
      <c r="AA3425" t="s">
        <v>3356</v>
      </c>
    </row>
    <row r="3426" spans="1:27" ht="30" customHeight="1" x14ac:dyDescent="0.3">
      <c r="A3426" s="828" t="s">
        <v>22</v>
      </c>
      <c r="B3426" s="828" t="s">
        <v>23</v>
      </c>
      <c r="C3426" s="828" t="s">
        <v>49</v>
      </c>
      <c r="D3426" s="501"/>
      <c r="E3426" s="828" t="s">
        <v>4133</v>
      </c>
      <c r="F3426" s="828" t="s">
        <v>23</v>
      </c>
      <c r="G3426" s="846" t="s">
        <v>6185</v>
      </c>
      <c r="H3426" s="844" t="s">
        <v>6118</v>
      </c>
      <c r="I3426" s="501" t="s">
        <v>6105</v>
      </c>
      <c r="J3426" s="811">
        <v>45273</v>
      </c>
      <c r="K3426" s="815">
        <v>0.5</v>
      </c>
      <c r="L3426" s="811">
        <v>45327</v>
      </c>
      <c r="M3426" s="815">
        <v>0.54166666666666663</v>
      </c>
      <c r="N3426" s="828">
        <v>1</v>
      </c>
      <c r="O3426" s="697" t="s">
        <v>17</v>
      </c>
      <c r="P3426" s="845" t="s">
        <v>5237</v>
      </c>
      <c r="Q3426" s="828" t="s">
        <v>5376</v>
      </c>
      <c r="R3426" s="468" t="s">
        <v>40</v>
      </c>
      <c r="S3426" s="31" t="s">
        <v>273</v>
      </c>
      <c r="T3426" s="31" t="s">
        <v>273</v>
      </c>
      <c r="U3426" s="31">
        <f>IFERROR(VLOOKUP(CONCATENATE(Tabla1[[#This Row],[Severidad]]," ",Tabla1[[#This Row],[Complejidad]]),Catalogos!E$120:G$128,3,FALSE),"")</f>
        <v>64</v>
      </c>
      <c r="V3426" s="31" t="str">
        <f>IF(Tabla1[[#This Row],[Tiempo solución max (hrs)]]&lt;&gt;"",IF(Tabla1[[#This Row],[Tiempo solución max (hrs)]]&gt;=Tabla1[[#This Row],[Tiempo
(Hrs 00/100)]],"cumple","no cumple"),"")</f>
        <v>cumple</v>
      </c>
      <c r="W3426" s="222" t="s">
        <v>5372</v>
      </c>
      <c r="X3426" s="18" t="str">
        <f t="shared" si="238"/>
        <v>SAI</v>
      </c>
      <c r="Y3426" t="str">
        <f>SUBSTITUTE(Tabla1[[#This Row],[Descripción]],CHAR(10),"    I    ")</f>
        <v>3.5.9 Contar con un control que permita habilitar o deshabilitar el formato ABC</v>
      </c>
      <c r="Z3426" s="112">
        <f>VLOOKUP(Tabla1[[#This Row],[Perfil]],Catalogos!$B$75:$D$100,3,FALSE)*Tabla1[[#This Row],[Tiempo
(Hrs 00/100)]]*1.16</f>
        <v>812</v>
      </c>
      <c r="AA3426" t="s">
        <v>3356</v>
      </c>
    </row>
    <row r="3427" spans="1:27" ht="30" customHeight="1" thickBot="1" x14ac:dyDescent="0.35">
      <c r="A3427" s="828" t="s">
        <v>22</v>
      </c>
      <c r="B3427" s="828" t="s">
        <v>23</v>
      </c>
      <c r="C3427" s="828" t="s">
        <v>49</v>
      </c>
      <c r="D3427" s="501"/>
      <c r="E3427" s="828" t="s">
        <v>4133</v>
      </c>
      <c r="F3427" s="828" t="s">
        <v>23</v>
      </c>
      <c r="G3427" s="846" t="s">
        <v>6186</v>
      </c>
      <c r="H3427" s="844" t="s">
        <v>6118</v>
      </c>
      <c r="I3427" s="501" t="s">
        <v>6106</v>
      </c>
      <c r="J3427" s="811">
        <v>45273</v>
      </c>
      <c r="K3427" s="815">
        <v>0.54166666666666663</v>
      </c>
      <c r="L3427" s="811">
        <v>45328</v>
      </c>
      <c r="M3427" s="815">
        <v>0.58333333333333337</v>
      </c>
      <c r="N3427" s="828">
        <v>1</v>
      </c>
      <c r="O3427" s="697" t="s">
        <v>17</v>
      </c>
      <c r="P3427" s="845" t="s">
        <v>5237</v>
      </c>
      <c r="Q3427" s="828" t="s">
        <v>5376</v>
      </c>
      <c r="R3427" s="468" t="s">
        <v>40</v>
      </c>
      <c r="S3427" s="31" t="s">
        <v>273</v>
      </c>
      <c r="T3427" s="31" t="s">
        <v>273</v>
      </c>
      <c r="U3427" s="31">
        <f>IFERROR(VLOOKUP(CONCATENATE(Tabla1[[#This Row],[Severidad]]," ",Tabla1[[#This Row],[Complejidad]]),Catalogos!E$120:G$128,3,FALSE),"")</f>
        <v>64</v>
      </c>
      <c r="V3427" s="31" t="str">
        <f>IF(Tabla1[[#This Row],[Tiempo solución max (hrs)]]&lt;&gt;"",IF(Tabla1[[#This Row],[Tiempo solución max (hrs)]]&gt;=Tabla1[[#This Row],[Tiempo
(Hrs 00/100)]],"cumple","no cumple"),"")</f>
        <v>cumple</v>
      </c>
      <c r="W3427" s="222" t="s">
        <v>5372</v>
      </c>
      <c r="X3427" s="18" t="str">
        <f t="shared" si="238"/>
        <v>SAI</v>
      </c>
      <c r="Y3427" t="str">
        <f>SUBSTITUTE(Tabla1[[#This Row],[Descripción]],CHAR(10),"    I    ")</f>
        <v xml:space="preserve">3.5.10 Habilitar botón para que los Enlaces puedan asignar actividades a las UA una vez que éstas ya han sido creadas </v>
      </c>
      <c r="Z3427" s="112">
        <f>VLOOKUP(Tabla1[[#This Row],[Perfil]],Catalogos!$B$75:$D$100,3,FALSE)*Tabla1[[#This Row],[Tiempo
(Hrs 00/100)]]*1.16</f>
        <v>812</v>
      </c>
      <c r="AA3427" t="s">
        <v>3356</v>
      </c>
    </row>
    <row r="3428" spans="1:27" ht="30" customHeight="1" thickBot="1" x14ac:dyDescent="0.35">
      <c r="A3428" s="190" t="s">
        <v>22</v>
      </c>
      <c r="B3428" s="192" t="s">
        <v>23</v>
      </c>
      <c r="C3428" s="223" t="s">
        <v>49</v>
      </c>
      <c r="D3428" s="194"/>
      <c r="E3428" s="190" t="s">
        <v>4133</v>
      </c>
      <c r="F3428" s="190" t="s">
        <v>23</v>
      </c>
      <c r="G3428" s="846" t="s">
        <v>6187</v>
      </c>
      <c r="H3428" s="191" t="s">
        <v>5252</v>
      </c>
      <c r="I3428" s="191" t="s">
        <v>5275</v>
      </c>
      <c r="J3428" s="734">
        <v>45261</v>
      </c>
      <c r="K3428" s="778">
        <v>0.375</v>
      </c>
      <c r="L3428" s="734">
        <v>45261</v>
      </c>
      <c r="M3428" s="784">
        <v>0.5</v>
      </c>
      <c r="N3428" s="225">
        <v>3</v>
      </c>
      <c r="O3428" s="192" t="s">
        <v>17</v>
      </c>
      <c r="P3428" s="193" t="s">
        <v>5332</v>
      </c>
      <c r="Q3428" s="194" t="s">
        <v>5375</v>
      </c>
      <c r="R3428" s="30" t="s">
        <v>40</v>
      </c>
      <c r="S3428" s="31" t="s">
        <v>273</v>
      </c>
      <c r="T3428" s="31" t="s">
        <v>273</v>
      </c>
      <c r="U3428" s="31">
        <f>IFERROR(VLOOKUP(CONCATENATE(Tabla1[[#This Row],[Severidad]]," ",Tabla1[[#This Row],[Complejidad]]),Catalogos!E$120:G$128,3,FALSE),"")</f>
        <v>64</v>
      </c>
      <c r="V3428" s="31" t="str">
        <f>IF(Tabla1[[#This Row],[Tiempo solución max (hrs)]]&lt;&gt;"",IF(Tabla1[[#This Row],[Tiempo solución max (hrs)]]&gt;=Tabla1[[#This Row],[Tiempo
(Hrs 00/100)]],"cumple","no cumple"),"")</f>
        <v>cumple</v>
      </c>
      <c r="W3428" s="222" t="s">
        <v>5372</v>
      </c>
      <c r="X3428" s="18" t="str">
        <f t="shared" si="238"/>
        <v>SAI</v>
      </c>
      <c r="Y3428" t="str">
        <f>SUBSTITUTE(Tabla1[[#This Row],[Descripción]],CHAR(10),"    I    ")</f>
        <v>3.2.9 Agregar filtros de elección múltiple en los combos, es decir, que se puedan elegir uno o más opciones mediante casillas de verificación.</v>
      </c>
      <c r="Z3428" s="112">
        <f>VLOOKUP(Tabla1[[#This Row],[Perfil]],Catalogos!$B$75:$D$100,3,FALSE)*Tabla1[[#This Row],[Tiempo
(Hrs 00/100)]]*1.16</f>
        <v>2436</v>
      </c>
      <c r="AA3428" t="s">
        <v>3356</v>
      </c>
    </row>
    <row r="3429" spans="1:27" ht="30" customHeight="1" thickBot="1" x14ac:dyDescent="0.35">
      <c r="A3429" s="190" t="s">
        <v>22</v>
      </c>
      <c r="B3429" s="192" t="s">
        <v>23</v>
      </c>
      <c r="C3429" s="223" t="s">
        <v>49</v>
      </c>
      <c r="D3429" s="194"/>
      <c r="E3429" s="190" t="s">
        <v>4133</v>
      </c>
      <c r="F3429" s="190" t="s">
        <v>23</v>
      </c>
      <c r="G3429" s="846" t="s">
        <v>6188</v>
      </c>
      <c r="H3429" s="191" t="s">
        <v>5252</v>
      </c>
      <c r="I3429" s="191" t="s">
        <v>5277</v>
      </c>
      <c r="J3429" s="734">
        <v>45261</v>
      </c>
      <c r="K3429" s="778">
        <v>0.5</v>
      </c>
      <c r="L3429" s="734">
        <v>45261</v>
      </c>
      <c r="M3429" s="784">
        <v>0.625</v>
      </c>
      <c r="N3429" s="225">
        <v>3</v>
      </c>
      <c r="O3429" s="192" t="s">
        <v>17</v>
      </c>
      <c r="P3429" s="193" t="s">
        <v>5332</v>
      </c>
      <c r="Q3429" s="194" t="s">
        <v>5375</v>
      </c>
      <c r="R3429" s="30" t="s">
        <v>40</v>
      </c>
      <c r="S3429" s="31" t="s">
        <v>273</v>
      </c>
      <c r="T3429" s="31" t="s">
        <v>273</v>
      </c>
      <c r="U3429" s="31">
        <f>IFERROR(VLOOKUP(CONCATENATE(Tabla1[[#This Row],[Severidad]]," ",Tabla1[[#This Row],[Complejidad]]),Catalogos!E$120:G$128,3,FALSE),"")</f>
        <v>64</v>
      </c>
      <c r="V3429" s="31" t="str">
        <f>IF(Tabla1[[#This Row],[Tiempo solución max (hrs)]]&lt;&gt;"",IF(Tabla1[[#This Row],[Tiempo solución max (hrs)]]&gt;=Tabla1[[#This Row],[Tiempo
(Hrs 00/100)]],"cumple","no cumple"),"")</f>
        <v>cumple</v>
      </c>
      <c r="W3429" s="222" t="s">
        <v>5372</v>
      </c>
      <c r="X3429" s="18" t="str">
        <f t="shared" si="238"/>
        <v>SAI</v>
      </c>
      <c r="Y3429" t="str">
        <f>SUBSTITUTE(Tabla1[[#This Row],[Descripción]],CHAR(10),"    I    ")</f>
        <v>3.2.10 Crear nuevo filtro "Región" (Sólo en el rol de Administrador)</v>
      </c>
      <c r="Z3429" s="112">
        <f>VLOOKUP(Tabla1[[#This Row],[Perfil]],Catalogos!$B$75:$D$100,3,FALSE)*Tabla1[[#This Row],[Tiempo
(Hrs 00/100)]]*1.16</f>
        <v>2436</v>
      </c>
      <c r="AA3429" t="s">
        <v>3356</v>
      </c>
    </row>
    <row r="3430" spans="1:27" ht="30" customHeight="1" thickBot="1" x14ac:dyDescent="0.35">
      <c r="A3430" s="190" t="s">
        <v>22</v>
      </c>
      <c r="B3430" s="192" t="s">
        <v>23</v>
      </c>
      <c r="C3430" s="223" t="s">
        <v>49</v>
      </c>
      <c r="D3430" s="194"/>
      <c r="E3430" s="190" t="s">
        <v>4133</v>
      </c>
      <c r="F3430" s="190" t="s">
        <v>23</v>
      </c>
      <c r="G3430" s="846" t="s">
        <v>6189</v>
      </c>
      <c r="H3430" s="191" t="s">
        <v>5252</v>
      </c>
      <c r="I3430" s="191" t="s">
        <v>5279</v>
      </c>
      <c r="J3430" s="734">
        <v>45264</v>
      </c>
      <c r="K3430" s="778">
        <v>0.375</v>
      </c>
      <c r="L3430" s="734">
        <v>45264</v>
      </c>
      <c r="M3430" s="784">
        <v>0.41666666666666669</v>
      </c>
      <c r="N3430" s="225">
        <v>1</v>
      </c>
      <c r="O3430" s="192" t="s">
        <v>17</v>
      </c>
      <c r="P3430" s="193" t="s">
        <v>5332</v>
      </c>
      <c r="Q3430" s="194" t="s">
        <v>5375</v>
      </c>
      <c r="R3430" s="30" t="s">
        <v>40</v>
      </c>
      <c r="S3430" s="31" t="s">
        <v>273</v>
      </c>
      <c r="T3430" s="31" t="s">
        <v>273</v>
      </c>
      <c r="U3430" s="31">
        <f>IFERROR(VLOOKUP(CONCATENATE(Tabla1[[#This Row],[Severidad]]," ",Tabla1[[#This Row],[Complejidad]]),Catalogos!E$120:G$128,3,FALSE),"")</f>
        <v>64</v>
      </c>
      <c r="V3430" s="31" t="str">
        <f>IF(Tabla1[[#This Row],[Tiempo solución max (hrs)]]&lt;&gt;"",IF(Tabla1[[#This Row],[Tiempo solución max (hrs)]]&gt;=Tabla1[[#This Row],[Tiempo
(Hrs 00/100)]],"cumple","no cumple"),"")</f>
        <v>cumple</v>
      </c>
      <c r="W3430" s="222" t="s">
        <v>5372</v>
      </c>
      <c r="X3430" s="18" t="str">
        <f t="shared" si="238"/>
        <v>SAI</v>
      </c>
      <c r="Y3430" t="str">
        <f>SUBSTITUTE(Tabla1[[#This Row],[Descripción]],CHAR(10),"    I    ")</f>
        <v>3.2.11 Crear módulo o botón que permita descargar los reportes en datos abiertos (.csv) en todos los roles de usuarios</v>
      </c>
      <c r="Z3430" s="112">
        <f>VLOOKUP(Tabla1[[#This Row],[Perfil]],Catalogos!$B$75:$D$100,3,FALSE)*Tabla1[[#This Row],[Tiempo
(Hrs 00/100)]]*1.16</f>
        <v>812</v>
      </c>
      <c r="AA3430" t="s">
        <v>3356</v>
      </c>
    </row>
    <row r="3431" spans="1:27" ht="30" customHeight="1" thickBot="1" x14ac:dyDescent="0.35">
      <c r="A3431" s="190" t="s">
        <v>22</v>
      </c>
      <c r="B3431" s="192" t="s">
        <v>23</v>
      </c>
      <c r="C3431" s="223" t="s">
        <v>49</v>
      </c>
      <c r="D3431" s="194"/>
      <c r="E3431" s="190" t="s">
        <v>4133</v>
      </c>
      <c r="F3431" s="190" t="s">
        <v>23</v>
      </c>
      <c r="G3431" s="846" t="s">
        <v>6190</v>
      </c>
      <c r="H3431" s="191" t="s">
        <v>5252</v>
      </c>
      <c r="I3431" s="191" t="s">
        <v>5281</v>
      </c>
      <c r="J3431" s="734">
        <v>45264</v>
      </c>
      <c r="K3431" s="778">
        <v>0.41666666666666669</v>
      </c>
      <c r="L3431" s="734">
        <v>45264</v>
      </c>
      <c r="M3431" s="784">
        <v>0.5</v>
      </c>
      <c r="N3431" s="225">
        <v>2</v>
      </c>
      <c r="O3431" s="192" t="s">
        <v>17</v>
      </c>
      <c r="P3431" s="193" t="s">
        <v>5332</v>
      </c>
      <c r="Q3431" s="194" t="s">
        <v>5375</v>
      </c>
      <c r="R3431" s="30" t="s">
        <v>40</v>
      </c>
      <c r="S3431" s="31" t="s">
        <v>273</v>
      </c>
      <c r="T3431" s="31" t="s">
        <v>273</v>
      </c>
      <c r="U3431" s="31">
        <f>IFERROR(VLOOKUP(CONCATENATE(Tabla1[[#This Row],[Severidad]]," ",Tabla1[[#This Row],[Complejidad]]),Catalogos!E$120:G$128,3,FALSE),"")</f>
        <v>64</v>
      </c>
      <c r="V3431" s="31" t="str">
        <f>IF(Tabla1[[#This Row],[Tiempo solución max (hrs)]]&lt;&gt;"",IF(Tabla1[[#This Row],[Tiempo solución max (hrs)]]&gt;=Tabla1[[#This Row],[Tiempo
(Hrs 00/100)]],"cumple","no cumple"),"")</f>
        <v>cumple</v>
      </c>
      <c r="W3431" s="222" t="s">
        <v>5372</v>
      </c>
      <c r="X3431" s="18" t="str">
        <f t="shared" si="238"/>
        <v>SAI</v>
      </c>
      <c r="Y3431" t="str">
        <f>SUBSTITUTE(Tabla1[[#This Row],[Descripción]],CHAR(10),"    I    ")</f>
        <v>3.2.12 Modificar opciones de Estatus de "Revisión Integrante y Validado Integrante" a "Revisión Enlace y Validado Enlace"</v>
      </c>
      <c r="Z3431" s="112">
        <f>VLOOKUP(Tabla1[[#This Row],[Perfil]],Catalogos!$B$75:$D$100,3,FALSE)*Tabla1[[#This Row],[Tiempo
(Hrs 00/100)]]*1.16</f>
        <v>1624</v>
      </c>
      <c r="AA3431" t="s">
        <v>3356</v>
      </c>
    </row>
    <row r="3432" spans="1:27" ht="30" customHeight="1" thickBot="1" x14ac:dyDescent="0.35">
      <c r="A3432" s="190" t="s">
        <v>22</v>
      </c>
      <c r="B3432" s="192" t="s">
        <v>23</v>
      </c>
      <c r="C3432" s="223" t="s">
        <v>49</v>
      </c>
      <c r="D3432" s="194"/>
      <c r="E3432" s="190" t="s">
        <v>4133</v>
      </c>
      <c r="F3432" s="190" t="s">
        <v>23</v>
      </c>
      <c r="G3432" s="846" t="s">
        <v>6191</v>
      </c>
      <c r="H3432" s="191" t="s">
        <v>5252</v>
      </c>
      <c r="I3432" s="191" t="s">
        <v>5283</v>
      </c>
      <c r="J3432" s="734">
        <v>45264</v>
      </c>
      <c r="K3432" s="778">
        <v>0.5</v>
      </c>
      <c r="L3432" s="734">
        <v>45264</v>
      </c>
      <c r="M3432" s="784">
        <v>0.60416666666666663</v>
      </c>
      <c r="N3432" s="224">
        <v>2.5</v>
      </c>
      <c r="O3432" s="192" t="s">
        <v>17</v>
      </c>
      <c r="P3432" s="193" t="s">
        <v>5332</v>
      </c>
      <c r="Q3432" s="194" t="s">
        <v>5375</v>
      </c>
      <c r="R3432" s="30" t="s">
        <v>40</v>
      </c>
      <c r="S3432" s="31" t="s">
        <v>273</v>
      </c>
      <c r="T3432" s="31" t="s">
        <v>273</v>
      </c>
      <c r="U3432" s="31">
        <f>IFERROR(VLOOKUP(CONCATENATE(Tabla1[[#This Row],[Severidad]]," ",Tabla1[[#This Row],[Complejidad]]),Catalogos!E$120:G$128,3,FALSE),"")</f>
        <v>64</v>
      </c>
      <c r="V3432" s="31" t="str">
        <f>IF(Tabla1[[#This Row],[Tiempo solución max (hrs)]]&lt;&gt;"",IF(Tabla1[[#This Row],[Tiempo solución max (hrs)]]&gt;=Tabla1[[#This Row],[Tiempo
(Hrs 00/100)]],"cumple","no cumple"),"")</f>
        <v>cumple</v>
      </c>
      <c r="W3432" s="222" t="s">
        <v>5372</v>
      </c>
      <c r="X3432" s="18" t="str">
        <f t="shared" si="238"/>
        <v>SAI</v>
      </c>
      <c r="Y3432" t="str">
        <f>SUBSTITUTE(Tabla1[[#This Row],[Descripción]],CHAR(10),"    I    ")</f>
        <v>3.2.13 Mensaje al SNT de Alerta de inicio y final de Proceso</v>
      </c>
      <c r="Z3432" s="112">
        <f>VLOOKUP(Tabla1[[#This Row],[Perfil]],Catalogos!$B$75:$D$100,3,FALSE)*Tabla1[[#This Row],[Tiempo
(Hrs 00/100)]]*1.16</f>
        <v>2029.9999999999998</v>
      </c>
      <c r="AA3432" t="s">
        <v>3356</v>
      </c>
    </row>
    <row r="3433" spans="1:27" ht="30" customHeight="1" thickBot="1" x14ac:dyDescent="0.35">
      <c r="A3433" s="190" t="s">
        <v>22</v>
      </c>
      <c r="B3433" s="192" t="s">
        <v>23</v>
      </c>
      <c r="C3433" s="223" t="s">
        <v>49</v>
      </c>
      <c r="D3433" s="194"/>
      <c r="E3433" s="190" t="s">
        <v>4133</v>
      </c>
      <c r="F3433" s="190" t="s">
        <v>23</v>
      </c>
      <c r="G3433" s="846" t="s">
        <v>6192</v>
      </c>
      <c r="H3433" s="191" t="s">
        <v>5252</v>
      </c>
      <c r="I3433" s="191" t="s">
        <v>5285</v>
      </c>
      <c r="J3433" s="734">
        <v>45264</v>
      </c>
      <c r="K3433" s="778">
        <v>0.66666666666666663</v>
      </c>
      <c r="L3433" s="734">
        <v>45264</v>
      </c>
      <c r="M3433" s="784">
        <v>0.72916666666666663</v>
      </c>
      <c r="N3433" s="225">
        <v>1.5</v>
      </c>
      <c r="O3433" s="192" t="s">
        <v>17</v>
      </c>
      <c r="P3433" s="193" t="s">
        <v>5332</v>
      </c>
      <c r="Q3433" s="194" t="s">
        <v>5375</v>
      </c>
      <c r="R3433" s="30" t="s">
        <v>40</v>
      </c>
      <c r="S3433" s="31" t="s">
        <v>273</v>
      </c>
      <c r="T3433" s="31" t="s">
        <v>273</v>
      </c>
      <c r="U3433" s="31">
        <f>IFERROR(VLOOKUP(CONCATENATE(Tabla1[[#This Row],[Severidad]]," ",Tabla1[[#This Row],[Complejidad]]),Catalogos!E$120:G$128,3,FALSE),"")</f>
        <v>64</v>
      </c>
      <c r="V3433" s="31" t="str">
        <f>IF(Tabla1[[#This Row],[Tiempo solución max (hrs)]]&lt;&gt;"",IF(Tabla1[[#This Row],[Tiempo solución max (hrs)]]&gt;=Tabla1[[#This Row],[Tiempo
(Hrs 00/100)]],"cumple","no cumple"),"")</f>
        <v>cumple</v>
      </c>
      <c r="W3433" s="222" t="s">
        <v>5372</v>
      </c>
      <c r="X3433" s="18" t="str">
        <f t="shared" si="238"/>
        <v>SAI</v>
      </c>
      <c r="Y3433" t="str">
        <f>SUBSTITUTE(Tabla1[[#This Row],[Descripción]],CHAR(10),"    I    ")</f>
        <v>3.2.14 Nueva columna de fecha y hora de carga; visualización de tabla inicial con actividades más recientes cargadas</v>
      </c>
      <c r="Z3433" s="112">
        <f>VLOOKUP(Tabla1[[#This Row],[Perfil]],Catalogos!$B$75:$D$100,3,FALSE)*Tabla1[[#This Row],[Tiempo
(Hrs 00/100)]]*1.16</f>
        <v>1218</v>
      </c>
      <c r="AA3433" t="s">
        <v>3356</v>
      </c>
    </row>
    <row r="3434" spans="1:27" ht="30" customHeight="1" thickBot="1" x14ac:dyDescent="0.35">
      <c r="A3434" s="190" t="s">
        <v>22</v>
      </c>
      <c r="B3434" s="192" t="s">
        <v>23</v>
      </c>
      <c r="C3434" s="223" t="s">
        <v>49</v>
      </c>
      <c r="D3434" s="194"/>
      <c r="E3434" s="190" t="s">
        <v>4133</v>
      </c>
      <c r="F3434" s="190" t="s">
        <v>23</v>
      </c>
      <c r="G3434" s="846" t="s">
        <v>6193</v>
      </c>
      <c r="H3434" s="191" t="s">
        <v>5252</v>
      </c>
      <c r="I3434" s="191" t="s">
        <v>5287</v>
      </c>
      <c r="J3434" s="734">
        <v>45264</v>
      </c>
      <c r="K3434" s="778">
        <v>0.72916666666666663</v>
      </c>
      <c r="L3434" s="734">
        <v>45264</v>
      </c>
      <c r="M3434" s="784">
        <v>0.79166666666666663</v>
      </c>
      <c r="N3434" s="225">
        <v>1.5</v>
      </c>
      <c r="O3434" s="192" t="s">
        <v>17</v>
      </c>
      <c r="P3434" s="193" t="s">
        <v>5332</v>
      </c>
      <c r="Q3434" s="194" t="s">
        <v>5375</v>
      </c>
      <c r="R3434" s="30" t="s">
        <v>40</v>
      </c>
      <c r="S3434" s="31" t="s">
        <v>273</v>
      </c>
      <c r="T3434" s="31" t="s">
        <v>273</v>
      </c>
      <c r="U3434" s="31">
        <f>IFERROR(VLOOKUP(CONCATENATE(Tabla1[[#This Row],[Severidad]]," ",Tabla1[[#This Row],[Complejidad]]),Catalogos!E$120:G$128,3,FALSE),"")</f>
        <v>64</v>
      </c>
      <c r="V3434" s="31" t="str">
        <f>IF(Tabla1[[#This Row],[Tiempo solución max (hrs)]]&lt;&gt;"",IF(Tabla1[[#This Row],[Tiempo solución max (hrs)]]&gt;=Tabla1[[#This Row],[Tiempo
(Hrs 00/100)]],"cumple","no cumple"),"")</f>
        <v>cumple</v>
      </c>
      <c r="W3434" s="222" t="s">
        <v>5372</v>
      </c>
      <c r="X3434" s="18" t="str">
        <f t="shared" si="238"/>
        <v>SAI</v>
      </c>
      <c r="Y3434" t="str">
        <f>SUBSTITUTE(Tabla1[[#This Row],[Descripción]],CHAR(10),"    I    ")</f>
        <v>3.2.15 Activar flechas para ordenar por abreviatura de integrante.</v>
      </c>
      <c r="Z3434" s="112">
        <f>VLOOKUP(Tabla1[[#This Row],[Perfil]],Catalogos!$B$75:$D$100,3,FALSE)*Tabla1[[#This Row],[Tiempo
(Hrs 00/100)]]*1.16</f>
        <v>1218</v>
      </c>
      <c r="AA3434" t="s">
        <v>3356</v>
      </c>
    </row>
    <row r="3435" spans="1:27" ht="30" customHeight="1" thickBot="1" x14ac:dyDescent="0.35">
      <c r="A3435" s="187" t="s">
        <v>22</v>
      </c>
      <c r="B3435" s="188" t="s">
        <v>23</v>
      </c>
      <c r="C3435" s="183" t="s">
        <v>49</v>
      </c>
      <c r="D3435" s="182"/>
      <c r="E3435" s="187" t="s">
        <v>4133</v>
      </c>
      <c r="F3435" s="187" t="s">
        <v>23</v>
      </c>
      <c r="G3435" s="846" t="s">
        <v>6194</v>
      </c>
      <c r="H3435" s="107" t="s">
        <v>5252</v>
      </c>
      <c r="I3435" t="s">
        <v>5289</v>
      </c>
      <c r="J3435" s="734">
        <v>45265</v>
      </c>
      <c r="K3435" s="778">
        <v>0.375</v>
      </c>
      <c r="L3435" s="734">
        <v>45265</v>
      </c>
      <c r="M3435" s="784">
        <v>0.47916666666666669</v>
      </c>
      <c r="N3435" s="182">
        <v>2.5</v>
      </c>
      <c r="O3435" s="188" t="s">
        <v>17</v>
      </c>
      <c r="P3435" s="226" t="s">
        <v>5332</v>
      </c>
      <c r="Q3435" s="106" t="s">
        <v>5375</v>
      </c>
      <c r="R3435" s="108" t="s">
        <v>40</v>
      </c>
      <c r="S3435" s="31" t="s">
        <v>273</v>
      </c>
      <c r="T3435" s="31" t="s">
        <v>273</v>
      </c>
      <c r="U3435" s="31">
        <f>IFERROR(VLOOKUP(CONCATENATE(Tabla1[[#This Row],[Severidad]]," ",Tabla1[[#This Row],[Complejidad]]),Catalogos!E$120:G$128,3,FALSE),"")</f>
        <v>64</v>
      </c>
      <c r="V3435" s="31" t="str">
        <f>IF(Tabla1[[#This Row],[Tiempo solución max (hrs)]]&lt;&gt;"",IF(Tabla1[[#This Row],[Tiempo solución max (hrs)]]&gt;=Tabla1[[#This Row],[Tiempo
(Hrs 00/100)]],"cumple","no cumple"),"")</f>
        <v>cumple</v>
      </c>
      <c r="W3435" s="222" t="s">
        <v>5372</v>
      </c>
      <c r="X3435" s="18" t="str">
        <f t="shared" si="238"/>
        <v>SAI</v>
      </c>
      <c r="Y3435" t="str">
        <f>SUBSTITUTE(Tabla1[[#This Row],[Descripción]],CHAR(10),"    I    ")</f>
        <v>3.2.16 Habilitar botón para que los Enlaces puedan asignar actividades a las UA una vez que éstas ya han sido creadas</v>
      </c>
      <c r="Z3435" s="112">
        <f>VLOOKUP(Tabla1[[#This Row],[Perfil]],Catalogos!$B$75:$D$100,3,FALSE)*Tabla1[[#This Row],[Tiempo
(Hrs 00/100)]]*1.16</f>
        <v>2029.9999999999998</v>
      </c>
      <c r="AA3435" t="s">
        <v>3356</v>
      </c>
    </row>
    <row r="3436" spans="1:27" ht="30" customHeight="1" thickBot="1" x14ac:dyDescent="0.35">
      <c r="A3436" s="187" t="s">
        <v>22</v>
      </c>
      <c r="B3436" s="188" t="s">
        <v>23</v>
      </c>
      <c r="C3436" s="183" t="s">
        <v>49</v>
      </c>
      <c r="D3436" s="182"/>
      <c r="E3436" s="187" t="s">
        <v>4133</v>
      </c>
      <c r="F3436" s="187" t="s">
        <v>23</v>
      </c>
      <c r="G3436" s="846" t="s">
        <v>6195</v>
      </c>
      <c r="H3436" s="107" t="s">
        <v>5252</v>
      </c>
      <c r="I3436" t="s">
        <v>5291</v>
      </c>
      <c r="J3436" s="734">
        <v>45265</v>
      </c>
      <c r="K3436" s="778">
        <v>0.47916666666666669</v>
      </c>
      <c r="L3436" s="734">
        <v>45265</v>
      </c>
      <c r="M3436" s="784">
        <v>0.60416666666666663</v>
      </c>
      <c r="N3436" s="182">
        <v>3</v>
      </c>
      <c r="O3436" s="188" t="s">
        <v>17</v>
      </c>
      <c r="P3436" s="226" t="s">
        <v>5332</v>
      </c>
      <c r="Q3436" s="106" t="s">
        <v>5375</v>
      </c>
      <c r="R3436" s="108" t="s">
        <v>40</v>
      </c>
      <c r="S3436" s="31" t="s">
        <v>273</v>
      </c>
      <c r="T3436" s="31" t="s">
        <v>273</v>
      </c>
      <c r="U3436" s="31">
        <f>IFERROR(VLOOKUP(CONCATENATE(Tabla1[[#This Row],[Severidad]]," ",Tabla1[[#This Row],[Complejidad]]),Catalogos!E$120:G$128,3,FALSE),"")</f>
        <v>64</v>
      </c>
      <c r="V3436" s="31" t="str">
        <f>IF(Tabla1[[#This Row],[Tiempo solución max (hrs)]]&lt;&gt;"",IF(Tabla1[[#This Row],[Tiempo solución max (hrs)]]&gt;=Tabla1[[#This Row],[Tiempo
(Hrs 00/100)]],"cumple","no cumple"),"")</f>
        <v>cumple</v>
      </c>
      <c r="W3436" s="222" t="s">
        <v>5372</v>
      </c>
      <c r="X3436" s="18" t="str">
        <f t="shared" ref="X3436" si="239">IF(C3436&lt;&gt;"",C3436,D3436)</f>
        <v>SAI</v>
      </c>
      <c r="Y3436" t="str">
        <f>SUBSTITUTE(Tabla1[[#This Row],[Descripción]],CHAR(10),"    I    ")</f>
        <v>3.3.1 Crear módulo o botón que permita descargar los reportes en datos abiertos (.csv) en todos los roles de usuario</v>
      </c>
      <c r="Z3436" s="112">
        <f>VLOOKUP(Tabla1[[#This Row],[Perfil]],Catalogos!$B$75:$D$100,3,FALSE)*Tabla1[[#This Row],[Tiempo
(Hrs 00/100)]]*1.16</f>
        <v>2436</v>
      </c>
      <c r="AA3436" t="s">
        <v>3356</v>
      </c>
    </row>
    <row r="3437" spans="1:27" ht="30" customHeight="1" thickBot="1" x14ac:dyDescent="0.35">
      <c r="A3437" s="187" t="s">
        <v>22</v>
      </c>
      <c r="B3437" s="188" t="s">
        <v>23</v>
      </c>
      <c r="C3437" s="183" t="s">
        <v>49</v>
      </c>
      <c r="D3437" s="182"/>
      <c r="E3437" s="187" t="s">
        <v>4133</v>
      </c>
      <c r="F3437" s="187" t="s">
        <v>23</v>
      </c>
      <c r="G3437" s="846" t="s">
        <v>6196</v>
      </c>
      <c r="H3437" s="107" t="s">
        <v>5252</v>
      </c>
      <c r="I3437" t="s">
        <v>5293</v>
      </c>
      <c r="J3437" s="734">
        <v>45265</v>
      </c>
      <c r="K3437" s="778">
        <v>0.66666666666666663</v>
      </c>
      <c r="L3437" s="734">
        <v>45265</v>
      </c>
      <c r="M3437" s="784">
        <v>0.79166666666666663</v>
      </c>
      <c r="N3437" s="182">
        <v>3</v>
      </c>
      <c r="O3437" s="188" t="s">
        <v>17</v>
      </c>
      <c r="P3437" s="226" t="s">
        <v>5332</v>
      </c>
      <c r="Q3437" s="106" t="s">
        <v>5375</v>
      </c>
      <c r="R3437" s="108" t="s">
        <v>40</v>
      </c>
      <c r="S3437" s="31" t="s">
        <v>273</v>
      </c>
      <c r="T3437" s="31" t="s">
        <v>273</v>
      </c>
      <c r="U3437" s="31">
        <f>IFERROR(VLOOKUP(CONCATENATE(Tabla1[[#This Row],[Severidad]]," ",Tabla1[[#This Row],[Complejidad]]),Catalogos!E$120:G$128,3,FALSE),"")</f>
        <v>64</v>
      </c>
      <c r="V3437" s="31" t="str">
        <f>IF(Tabla1[[#This Row],[Tiempo solución max (hrs)]]&lt;&gt;"",IF(Tabla1[[#This Row],[Tiempo solución max (hrs)]]&gt;=Tabla1[[#This Row],[Tiempo
(Hrs 00/100)]],"cumple","no cumple"),"")</f>
        <v>cumple</v>
      </c>
      <c r="W3437" s="222" t="s">
        <v>5372</v>
      </c>
      <c r="X3437" s="18" t="str">
        <f t="shared" ref="X3437" si="240">IF(C3437&lt;&gt;"",C3437,D3437)</f>
        <v>SAI</v>
      </c>
      <c r="Y3437" t="str">
        <f>SUBSTITUTE(Tabla1[[#This Row],[Descripción]],CHAR(10),"    I    ")</f>
        <v>3.3.2 Modificar opciones de Estatus de "Revisión Integrante y Validado Integrante" a "Revisión Enlace y Validado Enlace"</v>
      </c>
      <c r="Z3437" s="112">
        <f>VLOOKUP(Tabla1[[#This Row],[Perfil]],Catalogos!$B$75:$D$100,3,FALSE)*Tabla1[[#This Row],[Tiempo
(Hrs 00/100)]]*1.16</f>
        <v>2436</v>
      </c>
      <c r="AA3437" t="s">
        <v>3356</v>
      </c>
    </row>
    <row r="3438" spans="1:27" ht="30" customHeight="1" thickBot="1" x14ac:dyDescent="0.35">
      <c r="A3438" s="187" t="s">
        <v>22</v>
      </c>
      <c r="B3438" s="188" t="s">
        <v>23</v>
      </c>
      <c r="C3438" s="183" t="s">
        <v>49</v>
      </c>
      <c r="D3438" s="182"/>
      <c r="E3438" s="187" t="s">
        <v>4133</v>
      </c>
      <c r="F3438" s="187" t="s">
        <v>23</v>
      </c>
      <c r="G3438" s="846" t="s">
        <v>6197</v>
      </c>
      <c r="H3438" s="107" t="s">
        <v>5252</v>
      </c>
      <c r="I3438" t="s">
        <v>5295</v>
      </c>
      <c r="J3438" s="734">
        <v>45266</v>
      </c>
      <c r="K3438" s="778">
        <v>0.375</v>
      </c>
      <c r="L3438" s="734">
        <v>45266</v>
      </c>
      <c r="M3438" s="784">
        <v>0.45833333333333331</v>
      </c>
      <c r="N3438" s="182">
        <v>2</v>
      </c>
      <c r="O3438" s="188" t="s">
        <v>17</v>
      </c>
      <c r="P3438" s="226" t="s">
        <v>5332</v>
      </c>
      <c r="Q3438" s="106" t="s">
        <v>5375</v>
      </c>
      <c r="R3438" s="108" t="s">
        <v>40</v>
      </c>
      <c r="S3438" s="31" t="s">
        <v>273</v>
      </c>
      <c r="T3438" s="31" t="s">
        <v>273</v>
      </c>
      <c r="U3438" s="31">
        <f>IFERROR(VLOOKUP(CONCATENATE(Tabla1[[#This Row],[Severidad]]," ",Tabla1[[#This Row],[Complejidad]]),Catalogos!E$120:G$128,3,FALSE),"")</f>
        <v>64</v>
      </c>
      <c r="V3438" s="31" t="str">
        <f>IF(Tabla1[[#This Row],[Tiempo solución max (hrs)]]&lt;&gt;"",IF(Tabla1[[#This Row],[Tiempo solución max (hrs)]]&gt;=Tabla1[[#This Row],[Tiempo
(Hrs 00/100)]],"cumple","no cumple"),"")</f>
        <v>cumple</v>
      </c>
      <c r="W3438" s="222" t="s">
        <v>5372</v>
      </c>
      <c r="X3438" s="18" t="str">
        <f t="shared" ref="X3438" si="241">IF(C3438&lt;&gt;"",C3438,D3438)</f>
        <v>SAI</v>
      </c>
      <c r="Y3438" t="str">
        <f>SUBSTITUTE(Tabla1[[#This Row],[Descripción]],CHAR(10),"    I    ")</f>
        <v>3.3.3 Mensaje al SNT de Alerta de inicio y final de Proceso</v>
      </c>
      <c r="Z3438" s="112">
        <f>VLOOKUP(Tabla1[[#This Row],[Perfil]],Catalogos!$B$75:$D$100,3,FALSE)*Tabla1[[#This Row],[Tiempo
(Hrs 00/100)]]*1.16</f>
        <v>1624</v>
      </c>
      <c r="AA3438" t="s">
        <v>3356</v>
      </c>
    </row>
    <row r="3439" spans="1:27" ht="30" customHeight="1" thickBot="1" x14ac:dyDescent="0.35">
      <c r="A3439" s="187" t="s">
        <v>22</v>
      </c>
      <c r="B3439" s="188" t="s">
        <v>23</v>
      </c>
      <c r="C3439" s="183" t="s">
        <v>49</v>
      </c>
      <c r="D3439" s="182"/>
      <c r="E3439" s="187" t="s">
        <v>4133</v>
      </c>
      <c r="F3439" s="187" t="s">
        <v>23</v>
      </c>
      <c r="G3439" s="846" t="s">
        <v>6198</v>
      </c>
      <c r="H3439" s="107" t="s">
        <v>5252</v>
      </c>
      <c r="I3439" t="s">
        <v>5297</v>
      </c>
      <c r="J3439" s="734">
        <v>45266</v>
      </c>
      <c r="K3439" s="778">
        <v>0.45833333333333331</v>
      </c>
      <c r="L3439" s="734">
        <v>45266</v>
      </c>
      <c r="M3439" s="784">
        <v>0.60416666666666663</v>
      </c>
      <c r="N3439" s="182">
        <v>2.5</v>
      </c>
      <c r="O3439" s="188" t="s">
        <v>17</v>
      </c>
      <c r="P3439" s="226" t="s">
        <v>5332</v>
      </c>
      <c r="Q3439" s="106" t="s">
        <v>5375</v>
      </c>
      <c r="R3439" s="108" t="s">
        <v>40</v>
      </c>
      <c r="S3439" s="31" t="s">
        <v>273</v>
      </c>
      <c r="T3439" s="31" t="s">
        <v>273</v>
      </c>
      <c r="U3439" s="31">
        <f>IFERROR(VLOOKUP(CONCATENATE(Tabla1[[#This Row],[Severidad]]," ",Tabla1[[#This Row],[Complejidad]]),Catalogos!E$120:G$128,3,FALSE),"")</f>
        <v>64</v>
      </c>
      <c r="V3439" s="31" t="str">
        <f>IF(Tabla1[[#This Row],[Tiempo solución max (hrs)]]&lt;&gt;"",IF(Tabla1[[#This Row],[Tiempo solución max (hrs)]]&gt;=Tabla1[[#This Row],[Tiempo
(Hrs 00/100)]],"cumple","no cumple"),"")</f>
        <v>cumple</v>
      </c>
      <c r="W3439" s="222" t="s">
        <v>5372</v>
      </c>
      <c r="X3439" s="18" t="str">
        <f t="shared" ref="X3439:X3440" si="242">IF(C3439&lt;&gt;"",C3439,D3439)</f>
        <v>SAI</v>
      </c>
      <c r="Y3439" t="str">
        <f>SUBSTITUTE(Tabla1[[#This Row],[Descripción]],CHAR(10),"    I    ")</f>
        <v>3.3.4 Nueva columna de fecha y hora de carga; visualización de tabla inicial con actividades más recientes cargadas</v>
      </c>
      <c r="Z3439" s="112">
        <f>VLOOKUP(Tabla1[[#This Row],[Perfil]],Catalogos!$B$75:$D$100,3,FALSE)*Tabla1[[#This Row],[Tiempo
(Hrs 00/100)]]*1.16</f>
        <v>2029.9999999999998</v>
      </c>
      <c r="AA3439" t="s">
        <v>3356</v>
      </c>
    </row>
    <row r="3440" spans="1:27" ht="30" customHeight="1" thickBot="1" x14ac:dyDescent="0.35">
      <c r="A3440" s="187" t="s">
        <v>22</v>
      </c>
      <c r="B3440" s="188" t="s">
        <v>23</v>
      </c>
      <c r="C3440" s="183" t="s">
        <v>49</v>
      </c>
      <c r="D3440" s="182"/>
      <c r="E3440" s="187" t="s">
        <v>4133</v>
      </c>
      <c r="F3440" s="187" t="s">
        <v>23</v>
      </c>
      <c r="G3440" s="846" t="s">
        <v>6199</v>
      </c>
      <c r="H3440" s="107" t="s">
        <v>5252</v>
      </c>
      <c r="I3440" t="s">
        <v>5299</v>
      </c>
      <c r="J3440" s="734">
        <v>45266</v>
      </c>
      <c r="K3440" s="778">
        <v>0.66666666666666663</v>
      </c>
      <c r="L3440" s="734">
        <v>45266</v>
      </c>
      <c r="M3440" s="784">
        <v>0.77083333333333337</v>
      </c>
      <c r="N3440" s="182">
        <v>2.5</v>
      </c>
      <c r="O3440" s="188" t="s">
        <v>17</v>
      </c>
      <c r="P3440" s="226" t="s">
        <v>5332</v>
      </c>
      <c r="Q3440" s="106" t="s">
        <v>5375</v>
      </c>
      <c r="R3440" s="108" t="s">
        <v>40</v>
      </c>
      <c r="S3440" s="31" t="s">
        <v>273</v>
      </c>
      <c r="T3440" s="31" t="s">
        <v>273</v>
      </c>
      <c r="U3440" s="31">
        <f>IFERROR(VLOOKUP(CONCATENATE(Tabla1[[#This Row],[Severidad]]," ",Tabla1[[#This Row],[Complejidad]]),Catalogos!E$120:G$128,3,FALSE),"")</f>
        <v>64</v>
      </c>
      <c r="V3440" s="31" t="str">
        <f>IF(Tabla1[[#This Row],[Tiempo solución max (hrs)]]&lt;&gt;"",IF(Tabla1[[#This Row],[Tiempo solución max (hrs)]]&gt;=Tabla1[[#This Row],[Tiempo
(Hrs 00/100)]],"cumple","no cumple"),"")</f>
        <v>cumple</v>
      </c>
      <c r="W3440" s="222" t="s">
        <v>5372</v>
      </c>
      <c r="X3440" s="18" t="str">
        <f t="shared" si="242"/>
        <v>SAI</v>
      </c>
      <c r="Y3440" t="str">
        <f>SUBSTITUTE(Tabla1[[#This Row],[Descripción]],CHAR(10),"    I    ")</f>
        <v>3.3.5 Agregar filtros de opción múltiple en los combos, es decir, que se puedan elegir más de una opción</v>
      </c>
      <c r="Z3440" s="112">
        <f>VLOOKUP(Tabla1[[#This Row],[Perfil]],Catalogos!$B$75:$D$100,3,FALSE)*Tabla1[[#This Row],[Tiempo
(Hrs 00/100)]]*1.16</f>
        <v>2029.9999999999998</v>
      </c>
      <c r="AA3440" t="s">
        <v>3356</v>
      </c>
    </row>
    <row r="3441" spans="1:27" ht="30" customHeight="1" thickBot="1" x14ac:dyDescent="0.35">
      <c r="A3441" s="187" t="s">
        <v>22</v>
      </c>
      <c r="B3441" s="188" t="s">
        <v>23</v>
      </c>
      <c r="C3441" s="183" t="s">
        <v>49</v>
      </c>
      <c r="D3441" s="182"/>
      <c r="E3441" s="187" t="s">
        <v>4133</v>
      </c>
      <c r="F3441" s="187" t="s">
        <v>23</v>
      </c>
      <c r="G3441" s="846" t="s">
        <v>6200</v>
      </c>
      <c r="H3441" s="107" t="s">
        <v>5252</v>
      </c>
      <c r="I3441" t="s">
        <v>5302</v>
      </c>
      <c r="J3441" s="734">
        <v>45266</v>
      </c>
      <c r="K3441" s="778">
        <v>0.77083333333333337</v>
      </c>
      <c r="L3441" s="734">
        <v>45266</v>
      </c>
      <c r="M3441" s="784">
        <v>0.83333333333333337</v>
      </c>
      <c r="N3441" s="182">
        <v>2</v>
      </c>
      <c r="O3441" s="188" t="s">
        <v>17</v>
      </c>
      <c r="P3441" s="226" t="s">
        <v>5332</v>
      </c>
      <c r="Q3441" s="106" t="s">
        <v>5375</v>
      </c>
      <c r="R3441" s="108" t="s">
        <v>40</v>
      </c>
      <c r="S3441" s="31" t="s">
        <v>273</v>
      </c>
      <c r="T3441" s="31" t="s">
        <v>273</v>
      </c>
      <c r="U3441" s="31">
        <f>IFERROR(VLOOKUP(CONCATENATE(Tabla1[[#This Row],[Severidad]]," ",Tabla1[[#This Row],[Complejidad]]),Catalogos!E$120:G$128,3,FALSE),"")</f>
        <v>64</v>
      </c>
      <c r="V3441" s="31" t="str">
        <f>IF(Tabla1[[#This Row],[Tiempo solución max (hrs)]]&lt;&gt;"",IF(Tabla1[[#This Row],[Tiempo solución max (hrs)]]&gt;=Tabla1[[#This Row],[Tiempo
(Hrs 00/100)]],"cumple","no cumple"),"")</f>
        <v>cumple</v>
      </c>
      <c r="W3441" s="222" t="s">
        <v>5372</v>
      </c>
      <c r="X3441" s="18" t="str">
        <f t="shared" si="238"/>
        <v>SAI</v>
      </c>
      <c r="Y3441" t="str">
        <f>SUBSTITUTE(Tabla1[[#This Row],[Descripción]],CHAR(10),"    I    ")</f>
        <v>3.3.6 Crear nuevo filtro "Región" solo para el rol de Administrador</v>
      </c>
      <c r="Z3441" s="112">
        <f>VLOOKUP(Tabla1[[#This Row],[Perfil]],Catalogos!$B$75:$D$100,3,FALSE)*Tabla1[[#This Row],[Tiempo
(Hrs 00/100)]]*1.16</f>
        <v>1624</v>
      </c>
      <c r="AA3441" t="s">
        <v>3356</v>
      </c>
    </row>
    <row r="3442" spans="1:27" ht="30" customHeight="1" thickBot="1" x14ac:dyDescent="0.35">
      <c r="A3442" s="187" t="s">
        <v>22</v>
      </c>
      <c r="B3442" s="188" t="s">
        <v>23</v>
      </c>
      <c r="C3442" s="183" t="s">
        <v>49</v>
      </c>
      <c r="D3442" s="182"/>
      <c r="E3442" s="187" t="s">
        <v>4133</v>
      </c>
      <c r="F3442" s="187" t="s">
        <v>23</v>
      </c>
      <c r="G3442" s="846" t="s">
        <v>6201</v>
      </c>
      <c r="H3442" s="107" t="s">
        <v>5252</v>
      </c>
      <c r="I3442" t="s">
        <v>5304</v>
      </c>
      <c r="J3442" s="734">
        <v>45267</v>
      </c>
      <c r="K3442" s="778">
        <v>0.375</v>
      </c>
      <c r="L3442" s="734">
        <v>45267</v>
      </c>
      <c r="M3442" s="784">
        <v>0.45833333333333331</v>
      </c>
      <c r="N3442" s="182">
        <v>2</v>
      </c>
      <c r="O3442" s="188" t="s">
        <v>17</v>
      </c>
      <c r="P3442" s="226" t="s">
        <v>5332</v>
      </c>
      <c r="Q3442" s="106" t="s">
        <v>5375</v>
      </c>
      <c r="R3442" s="108" t="s">
        <v>40</v>
      </c>
      <c r="S3442" s="31" t="s">
        <v>273</v>
      </c>
      <c r="T3442" s="31" t="s">
        <v>273</v>
      </c>
      <c r="U3442" s="31">
        <f>IFERROR(VLOOKUP(CONCATENATE(Tabla1[[#This Row],[Severidad]]," ",Tabla1[[#This Row],[Complejidad]]),Catalogos!E$120:G$128,3,FALSE),"")</f>
        <v>64</v>
      </c>
      <c r="V3442" s="31" t="str">
        <f>IF(Tabla1[[#This Row],[Tiempo solución max (hrs)]]&lt;&gt;"",IF(Tabla1[[#This Row],[Tiempo solución max (hrs)]]&gt;=Tabla1[[#This Row],[Tiempo
(Hrs 00/100)]],"cumple","no cumple"),"")</f>
        <v>cumple</v>
      </c>
      <c r="W3442" s="222" t="s">
        <v>5372</v>
      </c>
      <c r="X3442" s="18" t="str">
        <f t="shared" si="238"/>
        <v>SAI</v>
      </c>
      <c r="Y3442" t="str">
        <f>SUBSTITUTE(Tabla1[[#This Row],[Descripción]],CHAR(10),"    I    ")</f>
        <v>3.3.7 Integrar en los 3 roles, en todas las pantallas, el filtro de Numeración para elegir actividad en el formulario</v>
      </c>
      <c r="Z3442" s="112">
        <f>VLOOKUP(Tabla1[[#This Row],[Perfil]],Catalogos!$B$75:$D$100,3,FALSE)*Tabla1[[#This Row],[Tiempo
(Hrs 00/100)]]*1.16</f>
        <v>1624</v>
      </c>
      <c r="AA3442" t="s">
        <v>3356</v>
      </c>
    </row>
    <row r="3443" spans="1:27" ht="30" customHeight="1" thickBot="1" x14ac:dyDescent="0.35">
      <c r="A3443" s="187" t="s">
        <v>22</v>
      </c>
      <c r="B3443" s="188" t="s">
        <v>23</v>
      </c>
      <c r="C3443" s="183" t="s">
        <v>49</v>
      </c>
      <c r="D3443" s="182"/>
      <c r="E3443" s="187" t="s">
        <v>4133</v>
      </c>
      <c r="F3443" s="187" t="s">
        <v>23</v>
      </c>
      <c r="G3443" s="846" t="s">
        <v>6202</v>
      </c>
      <c r="H3443" s="107" t="s">
        <v>5252</v>
      </c>
      <c r="I3443" t="s">
        <v>5306</v>
      </c>
      <c r="J3443" s="734">
        <v>45267</v>
      </c>
      <c r="K3443" s="778">
        <v>0.45833333333333331</v>
      </c>
      <c r="L3443" s="734">
        <v>45267</v>
      </c>
      <c r="M3443" s="784">
        <v>0.52083333333333337</v>
      </c>
      <c r="N3443" s="182">
        <v>1.5</v>
      </c>
      <c r="O3443" s="188" t="s">
        <v>17</v>
      </c>
      <c r="P3443" s="226" t="s">
        <v>5332</v>
      </c>
      <c r="Q3443" s="106" t="s">
        <v>5375</v>
      </c>
      <c r="R3443" s="108" t="s">
        <v>40</v>
      </c>
      <c r="S3443" s="31" t="s">
        <v>273</v>
      </c>
      <c r="T3443" s="31" t="s">
        <v>273</v>
      </c>
      <c r="U3443" s="31">
        <f>IFERROR(VLOOKUP(CONCATENATE(Tabla1[[#This Row],[Severidad]]," ",Tabla1[[#This Row],[Complejidad]]),Catalogos!E$120:G$128,3,FALSE),"")</f>
        <v>64</v>
      </c>
      <c r="V3443" s="31" t="str">
        <f>IF(Tabla1[[#This Row],[Tiempo solución max (hrs)]]&lt;&gt;"",IF(Tabla1[[#This Row],[Tiempo solución max (hrs)]]&gt;=Tabla1[[#This Row],[Tiempo
(Hrs 00/100)]],"cumple","no cumple"),"")</f>
        <v>cumple</v>
      </c>
      <c r="W3443" s="222" t="s">
        <v>5372</v>
      </c>
      <c r="X3443" s="18" t="str">
        <f t="shared" si="238"/>
        <v>SAI</v>
      </c>
      <c r="Y3443" t="str">
        <f>SUBSTITUTE(Tabla1[[#This Row],[Descripción]],CHAR(10),"    I    ")</f>
        <v>3.3.8 Pop-ups que describan la acción a realizar en Formulario de Seguimiento de Actividades</v>
      </c>
      <c r="Z3443" s="112">
        <f>VLOOKUP(Tabla1[[#This Row],[Perfil]],Catalogos!$B$75:$D$100,3,FALSE)*Tabla1[[#This Row],[Tiempo
(Hrs 00/100)]]*1.16</f>
        <v>1218</v>
      </c>
      <c r="AA3443" t="s">
        <v>3356</v>
      </c>
    </row>
    <row r="3444" spans="1:27" ht="30" customHeight="1" thickBot="1" x14ac:dyDescent="0.35">
      <c r="A3444" s="187" t="s">
        <v>22</v>
      </c>
      <c r="B3444" s="188" t="s">
        <v>23</v>
      </c>
      <c r="C3444" s="183" t="s">
        <v>49</v>
      </c>
      <c r="D3444" s="182"/>
      <c r="E3444" s="187" t="s">
        <v>4133</v>
      </c>
      <c r="F3444" s="187" t="s">
        <v>23</v>
      </c>
      <c r="G3444" s="846" t="s">
        <v>6203</v>
      </c>
      <c r="H3444" s="107" t="s">
        <v>5308</v>
      </c>
      <c r="I3444" t="s">
        <v>5309</v>
      </c>
      <c r="J3444" s="734">
        <v>45267</v>
      </c>
      <c r="K3444" s="778">
        <v>0.52083333333333337</v>
      </c>
      <c r="L3444" s="734">
        <v>45267</v>
      </c>
      <c r="M3444" s="784">
        <v>0.60416666666666663</v>
      </c>
      <c r="N3444" s="182">
        <v>2</v>
      </c>
      <c r="O3444" s="188" t="s">
        <v>17</v>
      </c>
      <c r="P3444" s="226" t="s">
        <v>5332</v>
      </c>
      <c r="Q3444" s="106" t="s">
        <v>5375</v>
      </c>
      <c r="R3444" s="108" t="s">
        <v>40</v>
      </c>
      <c r="S3444" s="31" t="s">
        <v>273</v>
      </c>
      <c r="T3444" s="31" t="s">
        <v>273</v>
      </c>
      <c r="U3444" s="31">
        <f>IFERROR(VLOOKUP(CONCATENATE(Tabla1[[#This Row],[Severidad]]," ",Tabla1[[#This Row],[Complejidad]]),Catalogos!E$120:G$128,3,FALSE),"")</f>
        <v>64</v>
      </c>
      <c r="V3444" s="31" t="str">
        <f>IF(Tabla1[[#This Row],[Tiempo solución max (hrs)]]&lt;&gt;"",IF(Tabla1[[#This Row],[Tiempo solución max (hrs)]]&gt;=Tabla1[[#This Row],[Tiempo
(Hrs 00/100)]],"cumple","no cumple"),"")</f>
        <v>cumple</v>
      </c>
      <c r="W3444" s="222" t="s">
        <v>5372</v>
      </c>
      <c r="X3444" s="18" t="str">
        <f t="shared" si="238"/>
        <v>SAI</v>
      </c>
      <c r="Y3444" t="str">
        <f>SUBSTITUTE(Tabla1[[#This Row],[Descripción]],CHAR(10),"    I    ")</f>
        <v xml:space="preserve">3.3.9 Habilitar botón para que los Enlaces puedan asignar actividades a las UA una vez que éstas ya han sido creadas </v>
      </c>
      <c r="Z3444" s="112">
        <f>VLOOKUP(Tabla1[[#This Row],[Perfil]],Catalogos!$B$75:$D$100,3,FALSE)*Tabla1[[#This Row],[Tiempo
(Hrs 00/100)]]*1.16</f>
        <v>1624</v>
      </c>
      <c r="AA3444" t="s">
        <v>3356</v>
      </c>
    </row>
    <row r="3445" spans="1:27" ht="30" customHeight="1" thickBot="1" x14ac:dyDescent="0.35">
      <c r="A3445" s="187" t="s">
        <v>22</v>
      </c>
      <c r="B3445" s="188" t="s">
        <v>23</v>
      </c>
      <c r="C3445" s="183" t="s">
        <v>49</v>
      </c>
      <c r="D3445" s="182"/>
      <c r="E3445" s="187" t="s">
        <v>4133</v>
      </c>
      <c r="F3445" s="187" t="s">
        <v>23</v>
      </c>
      <c r="G3445" s="846" t="s">
        <v>6204</v>
      </c>
      <c r="H3445" s="107" t="s">
        <v>5308</v>
      </c>
      <c r="I3445" t="s">
        <v>5311</v>
      </c>
      <c r="J3445" s="734">
        <v>45267</v>
      </c>
      <c r="K3445" s="778">
        <v>0.66666666666666663</v>
      </c>
      <c r="L3445" s="734">
        <v>45267</v>
      </c>
      <c r="M3445" s="784">
        <v>0.75</v>
      </c>
      <c r="N3445" s="182">
        <v>2</v>
      </c>
      <c r="O3445" s="188" t="s">
        <v>17</v>
      </c>
      <c r="P3445" s="226" t="s">
        <v>5332</v>
      </c>
      <c r="Q3445" s="106" t="s">
        <v>5375</v>
      </c>
      <c r="R3445" s="108" t="s">
        <v>40</v>
      </c>
      <c r="S3445" s="31" t="s">
        <v>273</v>
      </c>
      <c r="T3445" s="31" t="s">
        <v>273</v>
      </c>
      <c r="U3445" s="31">
        <f>IFERROR(VLOOKUP(CONCATENATE(Tabla1[[#This Row],[Severidad]]," ",Tabla1[[#This Row],[Complejidad]]),Catalogos!E$120:G$128,3,FALSE),"")</f>
        <v>64</v>
      </c>
      <c r="V3445" s="31" t="str">
        <f>IF(Tabla1[[#This Row],[Tiempo solución max (hrs)]]&lt;&gt;"",IF(Tabla1[[#This Row],[Tiempo solución max (hrs)]]&gt;=Tabla1[[#This Row],[Tiempo
(Hrs 00/100)]],"cumple","no cumple"),"")</f>
        <v>cumple</v>
      </c>
      <c r="W3445" s="222" t="s">
        <v>5372</v>
      </c>
      <c r="X3445" s="18" t="str">
        <f t="shared" ref="X3445:X3454" si="243">IF(C3445&lt;&gt;"",C3445,D3445)</f>
        <v>SAI</v>
      </c>
      <c r="Y3445" t="str">
        <f>SUBSTITUTE(Tabla1[[#This Row],[Descripción]],CHAR(10),"    I    ")</f>
        <v>3.4.1 Funcionalidad total del apartado “Configuración de Procesos del SNT” en Rol de Enlace, así como la semaforización conforme al calendario configurado.</v>
      </c>
      <c r="Z3445" s="112">
        <f>VLOOKUP(Tabla1[[#This Row],[Perfil]],Catalogos!$B$75:$D$100,3,FALSE)*Tabla1[[#This Row],[Tiempo
(Hrs 00/100)]]*1.16</f>
        <v>1624</v>
      </c>
      <c r="AA3445" t="s">
        <v>3356</v>
      </c>
    </row>
    <row r="3446" spans="1:27" ht="30" customHeight="1" thickBot="1" x14ac:dyDescent="0.35">
      <c r="A3446" s="187" t="s">
        <v>22</v>
      </c>
      <c r="B3446" s="188" t="s">
        <v>23</v>
      </c>
      <c r="C3446" s="183" t="s">
        <v>49</v>
      </c>
      <c r="D3446" s="182"/>
      <c r="E3446" s="187" t="s">
        <v>4133</v>
      </c>
      <c r="F3446" s="187" t="s">
        <v>23</v>
      </c>
      <c r="G3446" s="846" t="s">
        <v>6205</v>
      </c>
      <c r="H3446" s="107" t="s">
        <v>5308</v>
      </c>
      <c r="I3446" t="s">
        <v>5314</v>
      </c>
      <c r="J3446" s="734">
        <v>45267</v>
      </c>
      <c r="K3446" s="778">
        <v>0.75</v>
      </c>
      <c r="L3446" s="734">
        <v>45267</v>
      </c>
      <c r="M3446" s="784">
        <v>0.79166666666666663</v>
      </c>
      <c r="N3446" s="182">
        <v>1</v>
      </c>
      <c r="O3446" s="188" t="s">
        <v>17</v>
      </c>
      <c r="P3446" s="226" t="s">
        <v>5332</v>
      </c>
      <c r="Q3446" s="106" t="s">
        <v>5375</v>
      </c>
      <c r="R3446" s="108" t="s">
        <v>40</v>
      </c>
      <c r="S3446" s="31" t="s">
        <v>273</v>
      </c>
      <c r="T3446" s="31" t="s">
        <v>273</v>
      </c>
      <c r="U3446" s="31">
        <f>IFERROR(VLOOKUP(CONCATENATE(Tabla1[[#This Row],[Severidad]]," ",Tabla1[[#This Row],[Complejidad]]),Catalogos!E$120:G$128,3,FALSE),"")</f>
        <v>64</v>
      </c>
      <c r="V3446" s="31" t="str">
        <f>IF(Tabla1[[#This Row],[Tiempo solución max (hrs)]]&lt;&gt;"",IF(Tabla1[[#This Row],[Tiempo solución max (hrs)]]&gt;=Tabla1[[#This Row],[Tiempo
(Hrs 00/100)]],"cumple","no cumple"),"")</f>
        <v>cumple</v>
      </c>
      <c r="W3446" s="222" t="s">
        <v>5372</v>
      </c>
      <c r="X3446" s="18" t="str">
        <f t="shared" si="243"/>
        <v>SAI</v>
      </c>
      <c r="Y3446" t="str">
        <f>SUBSTITUTE(Tabla1[[#This Row],[Descripción]],CHAR(10),"    I    ")</f>
        <v>3.4.2 Envío automático de correo electrónico para el inicio y fin de carga en los procesos correspondientes (Ruta de Implementación, Seguimiento y Formato ABC)</v>
      </c>
      <c r="Z3446" s="112">
        <f>VLOOKUP(Tabla1[[#This Row],[Perfil]],Catalogos!$B$75:$D$100,3,FALSE)*Tabla1[[#This Row],[Tiempo
(Hrs 00/100)]]*1.16</f>
        <v>812</v>
      </c>
      <c r="AA3446" t="s">
        <v>3356</v>
      </c>
    </row>
    <row r="3447" spans="1:27" ht="30" customHeight="1" thickBot="1" x14ac:dyDescent="0.35">
      <c r="A3447" s="187" t="s">
        <v>22</v>
      </c>
      <c r="B3447" s="188" t="s">
        <v>23</v>
      </c>
      <c r="C3447" s="183" t="s">
        <v>49</v>
      </c>
      <c r="D3447" s="182"/>
      <c r="E3447" s="187" t="s">
        <v>4133</v>
      </c>
      <c r="F3447" s="187" t="s">
        <v>23</v>
      </c>
      <c r="G3447" s="846" t="s">
        <v>6206</v>
      </c>
      <c r="H3447" s="107" t="s">
        <v>5308</v>
      </c>
      <c r="I3447" t="s">
        <v>5316</v>
      </c>
      <c r="J3447" s="734">
        <v>45268</v>
      </c>
      <c r="K3447" s="778">
        <v>0.375</v>
      </c>
      <c r="L3447" s="734">
        <v>45268</v>
      </c>
      <c r="M3447" s="784">
        <v>0.60416666666666663</v>
      </c>
      <c r="N3447" s="182">
        <v>5.5</v>
      </c>
      <c r="O3447" s="188" t="s">
        <v>17</v>
      </c>
      <c r="P3447" s="226" t="s">
        <v>5332</v>
      </c>
      <c r="Q3447" s="106" t="s">
        <v>5375</v>
      </c>
      <c r="R3447" s="108" t="s">
        <v>40</v>
      </c>
      <c r="S3447" s="31" t="s">
        <v>273</v>
      </c>
      <c r="T3447" s="31" t="s">
        <v>273</v>
      </c>
      <c r="U3447" s="31">
        <f>IFERROR(VLOOKUP(CONCATENATE(Tabla1[[#This Row],[Severidad]]," ",Tabla1[[#This Row],[Complejidad]]),Catalogos!E$120:G$128,3,FALSE),"")</f>
        <v>64</v>
      </c>
      <c r="V3447" s="31" t="str">
        <f>IF(Tabla1[[#This Row],[Tiempo solución max (hrs)]]&lt;&gt;"",IF(Tabla1[[#This Row],[Tiempo solución max (hrs)]]&gt;=Tabla1[[#This Row],[Tiempo
(Hrs 00/100)]],"cumple","no cumple"),"")</f>
        <v>cumple</v>
      </c>
      <c r="W3447" s="222" t="s">
        <v>5372</v>
      </c>
      <c r="X3447" s="18" t="str">
        <f t="shared" si="243"/>
        <v>SAI</v>
      </c>
      <c r="Y3447" t="str">
        <f>SUBSTITUTE(Tabla1[[#This Row],[Descripción]],CHAR(10),"    I    ")</f>
        <v>3.4.3 Mensaje de Alerta de inicio de Proceso</v>
      </c>
      <c r="Z3447" s="112">
        <f>VLOOKUP(Tabla1[[#This Row],[Perfil]],Catalogos!$B$75:$D$100,3,FALSE)*Tabla1[[#This Row],[Tiempo
(Hrs 00/100)]]*1.16</f>
        <v>4466</v>
      </c>
      <c r="AA3447" t="s">
        <v>3356</v>
      </c>
    </row>
    <row r="3448" spans="1:27" ht="30" customHeight="1" thickBot="1" x14ac:dyDescent="0.35">
      <c r="A3448" s="187" t="s">
        <v>22</v>
      </c>
      <c r="B3448" s="188" t="s">
        <v>23</v>
      </c>
      <c r="C3448" s="183" t="s">
        <v>49</v>
      </c>
      <c r="D3448" s="182"/>
      <c r="E3448" s="187" t="s">
        <v>4133</v>
      </c>
      <c r="F3448" s="187" t="s">
        <v>23</v>
      </c>
      <c r="G3448" s="846" t="s">
        <v>6207</v>
      </c>
      <c r="H3448" s="107" t="s">
        <v>5308</v>
      </c>
      <c r="I3448" t="s">
        <v>6117</v>
      </c>
      <c r="J3448" s="734">
        <v>45268</v>
      </c>
      <c r="K3448" s="778">
        <v>0.66666666666666663</v>
      </c>
      <c r="L3448" s="734">
        <v>45268</v>
      </c>
      <c r="M3448" s="784">
        <v>0.8125</v>
      </c>
      <c r="N3448" s="182">
        <v>2.5</v>
      </c>
      <c r="O3448" s="188" t="s">
        <v>17</v>
      </c>
      <c r="P3448" s="226" t="s">
        <v>5332</v>
      </c>
      <c r="Q3448" s="106" t="s">
        <v>5375</v>
      </c>
      <c r="R3448" s="108" t="s">
        <v>40</v>
      </c>
      <c r="S3448" s="31" t="s">
        <v>273</v>
      </c>
      <c r="T3448" s="31" t="s">
        <v>273</v>
      </c>
      <c r="U3448" s="31">
        <f>IFERROR(VLOOKUP(CONCATENATE(Tabla1[[#This Row],[Severidad]]," ",Tabla1[[#This Row],[Complejidad]]),Catalogos!E$120:G$128,3,FALSE),"")</f>
        <v>64</v>
      </c>
      <c r="V3448" s="31" t="str">
        <f>IF(Tabla1[[#This Row],[Tiempo solución max (hrs)]]&lt;&gt;"",IF(Tabla1[[#This Row],[Tiempo solución max (hrs)]]&gt;=Tabla1[[#This Row],[Tiempo
(Hrs 00/100)]],"cumple","no cumple"),"")</f>
        <v>cumple</v>
      </c>
      <c r="W3448" s="222" t="s">
        <v>5372</v>
      </c>
      <c r="X3448" s="18" t="str">
        <f t="shared" si="243"/>
        <v>SAI</v>
      </c>
      <c r="Y3448" t="str">
        <f>SUBSTITUTE(Tabla1[[#This Row],[Descripción]],CHAR(10),"    I    ")</f>
        <v>3.4.4 Activar flechas para ordenar por abreviatura de integrante</v>
      </c>
      <c r="Z3448" s="112">
        <f>VLOOKUP(Tabla1[[#This Row],[Perfil]],Catalogos!$B$75:$D$100,3,FALSE)*Tabla1[[#This Row],[Tiempo
(Hrs 00/100)]]*1.16</f>
        <v>2029.9999999999998</v>
      </c>
      <c r="AA3448" t="s">
        <v>3356</v>
      </c>
    </row>
    <row r="3449" spans="1:27" ht="30" customHeight="1" thickBot="1" x14ac:dyDescent="0.35">
      <c r="A3449" s="187" t="s">
        <v>22</v>
      </c>
      <c r="B3449" s="188" t="s">
        <v>23</v>
      </c>
      <c r="C3449" s="183" t="s">
        <v>49</v>
      </c>
      <c r="D3449" s="182"/>
      <c r="E3449" s="187" t="s">
        <v>4133</v>
      </c>
      <c r="F3449" s="187" t="s">
        <v>23</v>
      </c>
      <c r="G3449" s="846" t="s">
        <v>6208</v>
      </c>
      <c r="H3449" s="107" t="s">
        <v>5308</v>
      </c>
      <c r="I3449" t="s">
        <v>5318</v>
      </c>
      <c r="J3449" s="734">
        <v>45269</v>
      </c>
      <c r="K3449" s="778">
        <v>0.375</v>
      </c>
      <c r="L3449" s="734">
        <v>45269</v>
      </c>
      <c r="M3449" s="784">
        <v>0.60416666666666663</v>
      </c>
      <c r="N3449" s="182">
        <v>5.5</v>
      </c>
      <c r="O3449" s="188" t="s">
        <v>17</v>
      </c>
      <c r="P3449" s="226" t="s">
        <v>5332</v>
      </c>
      <c r="Q3449" s="106" t="s">
        <v>5375</v>
      </c>
      <c r="R3449" s="108" t="s">
        <v>40</v>
      </c>
      <c r="S3449" s="31" t="s">
        <v>273</v>
      </c>
      <c r="T3449" s="31" t="s">
        <v>273</v>
      </c>
      <c r="U3449" s="31">
        <f>IFERROR(VLOOKUP(CONCATENATE(Tabla1[[#This Row],[Severidad]]," ",Tabla1[[#This Row],[Complejidad]]),Catalogos!E$120:G$128,3,FALSE),"")</f>
        <v>64</v>
      </c>
      <c r="V3449" s="31" t="str">
        <f>IF(Tabla1[[#This Row],[Tiempo solución max (hrs)]]&lt;&gt;"",IF(Tabla1[[#This Row],[Tiempo solución max (hrs)]]&gt;=Tabla1[[#This Row],[Tiempo
(Hrs 00/100)]],"cumple","no cumple"),"")</f>
        <v>cumple</v>
      </c>
      <c r="W3449" s="222" t="s">
        <v>5372</v>
      </c>
      <c r="X3449" s="18" t="str">
        <f t="shared" si="243"/>
        <v>SAI</v>
      </c>
      <c r="Y3449" t="str">
        <f>SUBSTITUTE(Tabla1[[#This Row],[Descripción]],CHAR(10),"    I    ")</f>
        <v>3.4.5 Funcionamiento de la apertura y cierre de Procesos en el Sistema para administrador</v>
      </c>
      <c r="Z3449" s="112">
        <f>VLOOKUP(Tabla1[[#This Row],[Perfil]],Catalogos!$B$75:$D$100,3,FALSE)*Tabla1[[#This Row],[Tiempo
(Hrs 00/100)]]*1.16</f>
        <v>4466</v>
      </c>
      <c r="AA3449" t="s">
        <v>3356</v>
      </c>
    </row>
    <row r="3450" spans="1:27" ht="30" customHeight="1" thickBot="1" x14ac:dyDescent="0.35">
      <c r="A3450" s="187" t="s">
        <v>22</v>
      </c>
      <c r="B3450" s="188" t="s">
        <v>23</v>
      </c>
      <c r="C3450" s="183" t="s">
        <v>49</v>
      </c>
      <c r="D3450" s="182"/>
      <c r="E3450" s="187" t="s">
        <v>4133</v>
      </c>
      <c r="F3450" s="187" t="s">
        <v>23</v>
      </c>
      <c r="G3450" s="846" t="s">
        <v>6209</v>
      </c>
      <c r="H3450" s="107" t="s">
        <v>5308</v>
      </c>
      <c r="I3450" t="s">
        <v>5321</v>
      </c>
      <c r="J3450" s="734">
        <v>45269</v>
      </c>
      <c r="K3450" s="778">
        <v>0.66666666666666663</v>
      </c>
      <c r="L3450" s="734">
        <v>45269</v>
      </c>
      <c r="M3450" s="784">
        <v>0.79166666666666663</v>
      </c>
      <c r="N3450" s="182">
        <v>3</v>
      </c>
      <c r="O3450" s="188" t="s">
        <v>17</v>
      </c>
      <c r="P3450" s="226" t="s">
        <v>5332</v>
      </c>
      <c r="Q3450" s="106" t="s">
        <v>5375</v>
      </c>
      <c r="R3450" s="108" t="s">
        <v>40</v>
      </c>
      <c r="S3450" s="31" t="s">
        <v>273</v>
      </c>
      <c r="T3450" s="31" t="s">
        <v>273</v>
      </c>
      <c r="U3450" s="31">
        <f>IFERROR(VLOOKUP(CONCATENATE(Tabla1[[#This Row],[Severidad]]," ",Tabla1[[#This Row],[Complejidad]]),Catalogos!E$120:G$128,3,FALSE),"")</f>
        <v>64</v>
      </c>
      <c r="V3450" s="31" t="str">
        <f>IF(Tabla1[[#This Row],[Tiempo solución max (hrs)]]&lt;&gt;"",IF(Tabla1[[#This Row],[Tiempo solución max (hrs)]]&gt;=Tabla1[[#This Row],[Tiempo
(Hrs 00/100)]],"cumple","no cumple"),"")</f>
        <v>cumple</v>
      </c>
      <c r="W3450" s="222" t="s">
        <v>5372</v>
      </c>
      <c r="X3450" s="18" t="str">
        <f t="shared" si="243"/>
        <v>SAI</v>
      </c>
      <c r="Y3450" t="str">
        <f>SUBSTITUTE(Tabla1[[#This Row],[Descripción]],CHAR(10),"    I    ")</f>
        <v>3.5.1 Crear módulo o botón que permita descargar los reportes en datos abiertos (.csv) en todos los roles de usuario</v>
      </c>
      <c r="Z3450" s="112">
        <f>VLOOKUP(Tabla1[[#This Row],[Perfil]],Catalogos!$B$75:$D$100,3,FALSE)*Tabla1[[#This Row],[Tiempo
(Hrs 00/100)]]*1.16</f>
        <v>2436</v>
      </c>
      <c r="AA3450" t="s">
        <v>3356</v>
      </c>
    </row>
    <row r="3451" spans="1:27" ht="30" customHeight="1" thickBot="1" x14ac:dyDescent="0.35">
      <c r="A3451" s="187" t="s">
        <v>22</v>
      </c>
      <c r="B3451" s="188" t="s">
        <v>23</v>
      </c>
      <c r="C3451" s="183" t="s">
        <v>49</v>
      </c>
      <c r="D3451" s="182"/>
      <c r="E3451" s="187" t="s">
        <v>4133</v>
      </c>
      <c r="F3451" s="187" t="s">
        <v>23</v>
      </c>
      <c r="G3451" s="846" t="s">
        <v>6210</v>
      </c>
      <c r="H3451" s="107" t="s">
        <v>5308</v>
      </c>
      <c r="I3451" t="s">
        <v>5323</v>
      </c>
      <c r="J3451" s="734">
        <v>45270</v>
      </c>
      <c r="K3451" s="778">
        <v>0.375</v>
      </c>
      <c r="L3451" s="734">
        <v>45270</v>
      </c>
      <c r="M3451" s="784">
        <v>0.60416666666666663</v>
      </c>
      <c r="N3451" s="182">
        <v>5.5</v>
      </c>
      <c r="O3451" s="188" t="s">
        <v>17</v>
      </c>
      <c r="P3451" s="226" t="s">
        <v>5332</v>
      </c>
      <c r="Q3451" s="106" t="s">
        <v>5375</v>
      </c>
      <c r="R3451" s="108" t="s">
        <v>40</v>
      </c>
      <c r="S3451" s="31" t="s">
        <v>273</v>
      </c>
      <c r="T3451" s="31" t="s">
        <v>273</v>
      </c>
      <c r="U3451" s="31">
        <f>IFERROR(VLOOKUP(CONCATENATE(Tabla1[[#This Row],[Severidad]]," ",Tabla1[[#This Row],[Complejidad]]),Catalogos!E$120:G$128,3,FALSE),"")</f>
        <v>64</v>
      </c>
      <c r="V3451" s="31" t="str">
        <f>IF(Tabla1[[#This Row],[Tiempo solución max (hrs)]]&lt;&gt;"",IF(Tabla1[[#This Row],[Tiempo solución max (hrs)]]&gt;=Tabla1[[#This Row],[Tiempo
(Hrs 00/100)]],"cumple","no cumple"),"")</f>
        <v>cumple</v>
      </c>
      <c r="W3451" s="222" t="s">
        <v>5372</v>
      </c>
      <c r="X3451" s="18" t="str">
        <f t="shared" si="243"/>
        <v>SAI</v>
      </c>
      <c r="Y3451" t="str">
        <f>SUBSTITUTE(Tabla1[[#This Row],[Descripción]],CHAR(10),"    I    ")</f>
        <v>3.5.2 Modificar opciones de Estatus de "Revisión Integrante y Validado Integrante" a "Revisión Enlace y Validado Enlace"</v>
      </c>
      <c r="Z3451" s="112">
        <f>VLOOKUP(Tabla1[[#This Row],[Perfil]],Catalogos!$B$75:$D$100,3,FALSE)*Tabla1[[#This Row],[Tiempo
(Hrs 00/100)]]*1.16</f>
        <v>4466</v>
      </c>
      <c r="AA3451" t="s">
        <v>3356</v>
      </c>
    </row>
    <row r="3452" spans="1:27" ht="30" customHeight="1" thickBot="1" x14ac:dyDescent="0.35">
      <c r="A3452" s="187" t="s">
        <v>22</v>
      </c>
      <c r="B3452" s="188" t="s">
        <v>23</v>
      </c>
      <c r="C3452" s="183" t="s">
        <v>49</v>
      </c>
      <c r="D3452" s="182"/>
      <c r="E3452" s="187" t="s">
        <v>4133</v>
      </c>
      <c r="F3452" s="187" t="s">
        <v>23</v>
      </c>
      <c r="G3452" s="846" t="s">
        <v>6211</v>
      </c>
      <c r="H3452" s="107" t="s">
        <v>5308</v>
      </c>
      <c r="I3452" t="s">
        <v>5325</v>
      </c>
      <c r="J3452" s="734">
        <v>45270</v>
      </c>
      <c r="K3452" s="778">
        <v>0.66666666666666663</v>
      </c>
      <c r="L3452" s="734">
        <v>45270</v>
      </c>
      <c r="M3452" s="784">
        <v>0.79166666666666663</v>
      </c>
      <c r="N3452" s="182">
        <v>3</v>
      </c>
      <c r="O3452" s="188" t="s">
        <v>17</v>
      </c>
      <c r="P3452" s="226" t="s">
        <v>5332</v>
      </c>
      <c r="Q3452" s="106" t="s">
        <v>5375</v>
      </c>
      <c r="R3452" s="108" t="s">
        <v>40</v>
      </c>
      <c r="S3452" s="31" t="s">
        <v>273</v>
      </c>
      <c r="T3452" s="31" t="s">
        <v>273</v>
      </c>
      <c r="U3452" s="31">
        <f>IFERROR(VLOOKUP(CONCATENATE(Tabla1[[#This Row],[Severidad]]," ",Tabla1[[#This Row],[Complejidad]]),Catalogos!E$120:G$128,3,FALSE),"")</f>
        <v>64</v>
      </c>
      <c r="V3452" s="31" t="str">
        <f>IF(Tabla1[[#This Row],[Tiempo solución max (hrs)]]&lt;&gt;"",IF(Tabla1[[#This Row],[Tiempo solución max (hrs)]]&gt;=Tabla1[[#This Row],[Tiempo
(Hrs 00/100)]],"cumple","no cumple"),"")</f>
        <v>cumple</v>
      </c>
      <c r="W3452" s="222" t="s">
        <v>5372</v>
      </c>
      <c r="X3452" s="18" t="str">
        <f t="shared" si="243"/>
        <v>SAI</v>
      </c>
      <c r="Y3452" t="str">
        <f>SUBSTITUTE(Tabla1[[#This Row],[Descripción]],CHAR(10),"    I    ")</f>
        <v>3.5.3 Mensaje de Alerta de inicio de Proceso</v>
      </c>
      <c r="Z3452" s="112">
        <f>VLOOKUP(Tabla1[[#This Row],[Perfil]],Catalogos!$B$75:$D$100,3,FALSE)*Tabla1[[#This Row],[Tiempo
(Hrs 00/100)]]*1.16</f>
        <v>2436</v>
      </c>
      <c r="AA3452" t="s">
        <v>3356</v>
      </c>
    </row>
    <row r="3453" spans="1:27" ht="30" customHeight="1" thickBot="1" x14ac:dyDescent="0.35">
      <c r="A3453" s="187" t="s">
        <v>22</v>
      </c>
      <c r="B3453" s="188" t="s">
        <v>23</v>
      </c>
      <c r="C3453" s="183" t="s">
        <v>49</v>
      </c>
      <c r="D3453" s="182"/>
      <c r="E3453" s="187" t="s">
        <v>4133</v>
      </c>
      <c r="F3453" s="187" t="s">
        <v>23</v>
      </c>
      <c r="G3453" s="846" t="s">
        <v>6212</v>
      </c>
      <c r="H3453" s="107" t="s">
        <v>5308</v>
      </c>
      <c r="I3453" t="s">
        <v>5326</v>
      </c>
      <c r="J3453" s="734">
        <v>45271</v>
      </c>
      <c r="K3453" s="778">
        <v>0.375</v>
      </c>
      <c r="L3453" s="734">
        <v>45271</v>
      </c>
      <c r="M3453" s="784">
        <v>0.52083333333333337</v>
      </c>
      <c r="N3453" s="182">
        <v>3.5</v>
      </c>
      <c r="O3453" s="188" t="s">
        <v>17</v>
      </c>
      <c r="P3453" s="226" t="s">
        <v>5332</v>
      </c>
      <c r="Q3453" s="106" t="s">
        <v>5375</v>
      </c>
      <c r="R3453" s="108" t="s">
        <v>40</v>
      </c>
      <c r="S3453" s="31" t="s">
        <v>273</v>
      </c>
      <c r="T3453" s="31" t="s">
        <v>273</v>
      </c>
      <c r="U3453" s="31">
        <f>IFERROR(VLOOKUP(CONCATENATE(Tabla1[[#This Row],[Severidad]]," ",Tabla1[[#This Row],[Complejidad]]),Catalogos!E$120:G$128,3,FALSE),"")</f>
        <v>64</v>
      </c>
      <c r="V3453" s="31" t="str">
        <f>IF(Tabla1[[#This Row],[Tiempo solución max (hrs)]]&lt;&gt;"",IF(Tabla1[[#This Row],[Tiempo solución max (hrs)]]&gt;=Tabla1[[#This Row],[Tiempo
(Hrs 00/100)]],"cumple","no cumple"),"")</f>
        <v>cumple</v>
      </c>
      <c r="W3453" s="222" t="s">
        <v>5372</v>
      </c>
      <c r="X3453" s="18" t="str">
        <f t="shared" si="243"/>
        <v>SAI</v>
      </c>
      <c r="Y3453" t="str">
        <f>SUBSTITUTE(Tabla1[[#This Row],[Descripción]],CHAR(10),"    I    ")</f>
        <v>3.5.4 Nueva columna de fecha y hora de carga; visualización de tabla inicial con actividades más recientes cargadas</v>
      </c>
      <c r="Z3453" s="112">
        <f>VLOOKUP(Tabla1[[#This Row],[Perfil]],Catalogos!$B$75:$D$100,3,FALSE)*Tabla1[[#This Row],[Tiempo
(Hrs 00/100)]]*1.16</f>
        <v>2842</v>
      </c>
      <c r="AA3453" t="s">
        <v>3356</v>
      </c>
    </row>
    <row r="3454" spans="1:27" ht="30" customHeight="1" thickBot="1" x14ac:dyDescent="0.35">
      <c r="A3454" s="187" t="s">
        <v>22</v>
      </c>
      <c r="B3454" s="188" t="s">
        <v>23</v>
      </c>
      <c r="C3454" s="183" t="s">
        <v>49</v>
      </c>
      <c r="D3454" s="182"/>
      <c r="E3454" s="187" t="s">
        <v>4133</v>
      </c>
      <c r="F3454" s="187" t="s">
        <v>23</v>
      </c>
      <c r="G3454" s="846" t="s">
        <v>6213</v>
      </c>
      <c r="H3454" s="107" t="s">
        <v>5308</v>
      </c>
      <c r="I3454" t="s">
        <v>5327</v>
      </c>
      <c r="J3454" s="734">
        <v>45271</v>
      </c>
      <c r="K3454" s="778">
        <v>0.52083333333333337</v>
      </c>
      <c r="L3454" s="734">
        <v>45271</v>
      </c>
      <c r="M3454" s="784">
        <v>0.60416666666666663</v>
      </c>
      <c r="N3454" s="182">
        <v>2</v>
      </c>
      <c r="O3454" s="188" t="s">
        <v>17</v>
      </c>
      <c r="P3454" s="226" t="s">
        <v>5332</v>
      </c>
      <c r="Q3454" s="106" t="s">
        <v>5375</v>
      </c>
      <c r="R3454" s="108" t="s">
        <v>40</v>
      </c>
      <c r="S3454" s="31" t="s">
        <v>273</v>
      </c>
      <c r="T3454" s="31" t="s">
        <v>273</v>
      </c>
      <c r="U3454" s="31">
        <f>IFERROR(VLOOKUP(CONCATENATE(Tabla1[[#This Row],[Severidad]]," ",Tabla1[[#This Row],[Complejidad]]),Catalogos!E$120:G$128,3,FALSE),"")</f>
        <v>64</v>
      </c>
      <c r="V3454" s="31" t="str">
        <f>IF(Tabla1[[#This Row],[Tiempo solución max (hrs)]]&lt;&gt;"",IF(Tabla1[[#This Row],[Tiempo solución max (hrs)]]&gt;=Tabla1[[#This Row],[Tiempo
(Hrs 00/100)]],"cumple","no cumple"),"")</f>
        <v>cumple</v>
      </c>
      <c r="W3454" s="222" t="s">
        <v>5372</v>
      </c>
      <c r="X3454" s="18" t="str">
        <f t="shared" si="243"/>
        <v>SAI</v>
      </c>
      <c r="Y3454" t="str">
        <f>SUBSTITUTE(Tabla1[[#This Row],[Descripción]],CHAR(10),"    I    ")</f>
        <v>3.5.5 Agregar filtros de opción múltiple en los combos, es decir, que se puedan elegir más de una opción</v>
      </c>
      <c r="Z3454" s="112">
        <f>VLOOKUP(Tabla1[[#This Row],[Perfil]],Catalogos!$B$75:$D$100,3,FALSE)*Tabla1[[#This Row],[Tiempo
(Hrs 00/100)]]*1.16</f>
        <v>1624</v>
      </c>
      <c r="AA3454" t="s">
        <v>3356</v>
      </c>
    </row>
    <row r="3455" spans="1:27" ht="30" customHeight="1" thickBot="1" x14ac:dyDescent="0.35">
      <c r="A3455" s="190" t="s">
        <v>22</v>
      </c>
      <c r="B3455" s="192" t="s">
        <v>23</v>
      </c>
      <c r="C3455" s="223" t="s">
        <v>49</v>
      </c>
      <c r="D3455" s="194"/>
      <c r="E3455" s="190" t="s">
        <v>4133</v>
      </c>
      <c r="F3455" s="190" t="s">
        <v>23</v>
      </c>
      <c r="G3455" s="846" t="s">
        <v>6214</v>
      </c>
      <c r="H3455" s="191" t="s">
        <v>5308</v>
      </c>
      <c r="I3455" s="191" t="s">
        <v>5328</v>
      </c>
      <c r="J3455" s="734">
        <v>45271</v>
      </c>
      <c r="K3455" s="778">
        <v>0.66666666666666663</v>
      </c>
      <c r="L3455" s="734">
        <v>45271</v>
      </c>
      <c r="M3455" s="784">
        <v>0.70833333333333337</v>
      </c>
      <c r="N3455" s="225">
        <v>1</v>
      </c>
      <c r="O3455" s="192" t="s">
        <v>17</v>
      </c>
      <c r="P3455" s="193" t="s">
        <v>5332</v>
      </c>
      <c r="Q3455" s="194" t="s">
        <v>5375</v>
      </c>
      <c r="R3455" s="30" t="s">
        <v>40</v>
      </c>
      <c r="S3455" s="31" t="s">
        <v>273</v>
      </c>
      <c r="T3455" s="31" t="s">
        <v>273</v>
      </c>
      <c r="U3455" s="31">
        <f>IFERROR(VLOOKUP(CONCATENATE(Tabla1[[#This Row],[Severidad]]," ",Tabla1[[#This Row],[Complejidad]]),Catalogos!E$120:G$128,3,FALSE),"")</f>
        <v>64</v>
      </c>
      <c r="V3455" s="31" t="str">
        <f>IF(Tabla1[[#This Row],[Tiempo solución max (hrs)]]&lt;&gt;"",IF(Tabla1[[#This Row],[Tiempo solución max (hrs)]]&gt;=Tabla1[[#This Row],[Tiempo
(Hrs 00/100)]],"cumple","no cumple"),"")</f>
        <v>cumple</v>
      </c>
      <c r="W3455" s="222" t="s">
        <v>5372</v>
      </c>
      <c r="X3455" s="18" t="str">
        <f t="shared" si="238"/>
        <v>SAI</v>
      </c>
      <c r="Y3455" t="str">
        <f>SUBSTITUTE(Tabla1[[#This Row],[Descripción]],CHAR(10),"    I    ")</f>
        <v>3.5.6 Crear nuevo filtro "Región"</v>
      </c>
      <c r="Z3455" s="112">
        <f>VLOOKUP(Tabla1[[#This Row],[Perfil]],Catalogos!$B$75:$D$100,3,FALSE)*Tabla1[[#This Row],[Tiempo
(Hrs 00/100)]]*1.16</f>
        <v>812</v>
      </c>
      <c r="AA3455" t="s">
        <v>3356</v>
      </c>
    </row>
    <row r="3456" spans="1:27" ht="30" customHeight="1" thickBot="1" x14ac:dyDescent="0.35">
      <c r="A3456" s="190" t="s">
        <v>22</v>
      </c>
      <c r="B3456" s="192" t="s">
        <v>23</v>
      </c>
      <c r="C3456" s="223" t="s">
        <v>49</v>
      </c>
      <c r="D3456" s="194"/>
      <c r="E3456" s="190" t="s">
        <v>4133</v>
      </c>
      <c r="F3456" s="190" t="s">
        <v>23</v>
      </c>
      <c r="G3456" s="846" t="s">
        <v>6215</v>
      </c>
      <c r="H3456" s="191" t="s">
        <v>6102</v>
      </c>
      <c r="I3456" s="191" t="s">
        <v>6103</v>
      </c>
      <c r="J3456" s="734">
        <v>45271</v>
      </c>
      <c r="K3456" s="778">
        <v>0.70833333333333337</v>
      </c>
      <c r="L3456" s="734">
        <v>45271</v>
      </c>
      <c r="M3456" s="784">
        <v>0.75</v>
      </c>
      <c r="N3456" s="225">
        <v>1</v>
      </c>
      <c r="O3456" s="192" t="s">
        <v>17</v>
      </c>
      <c r="P3456" s="193" t="s">
        <v>5332</v>
      </c>
      <c r="Q3456" s="194" t="s">
        <v>5375</v>
      </c>
      <c r="R3456" s="30" t="s">
        <v>40</v>
      </c>
      <c r="S3456" s="31" t="s">
        <v>273</v>
      </c>
      <c r="T3456" s="31" t="s">
        <v>273</v>
      </c>
      <c r="U3456" s="31">
        <f>IFERROR(VLOOKUP(CONCATENATE(Tabla1[[#This Row],[Severidad]]," ",Tabla1[[#This Row],[Complejidad]]),Catalogos!E$120:G$128,3,FALSE),"")</f>
        <v>64</v>
      </c>
      <c r="V3456" s="31" t="str">
        <f>IF(Tabla1[[#This Row],[Tiempo solución max (hrs)]]&lt;&gt;"",IF(Tabla1[[#This Row],[Tiempo solución max (hrs)]]&gt;=Tabla1[[#This Row],[Tiempo
(Hrs 00/100)]],"cumple","no cumple"),"")</f>
        <v>cumple</v>
      </c>
      <c r="W3456" s="222" t="s">
        <v>5372</v>
      </c>
      <c r="X3456" s="18" t="str">
        <f t="shared" si="238"/>
        <v>SAI</v>
      </c>
      <c r="Y3456" t="str">
        <f>SUBSTITUTE(Tabla1[[#This Row],[Descripción]],CHAR(10),"    I    ")</f>
        <v>3.5.7 Activar flechas para ordenar por abreviatura de integrante</v>
      </c>
      <c r="Z3456" s="112">
        <f>VLOOKUP(Tabla1[[#This Row],[Perfil]],Catalogos!$B$75:$D$100,3,FALSE)*Tabla1[[#This Row],[Tiempo
(Hrs 00/100)]]*1.16</f>
        <v>812</v>
      </c>
      <c r="AA3456" t="s">
        <v>3356</v>
      </c>
    </row>
    <row r="3457" spans="1:27" ht="30" customHeight="1" thickBot="1" x14ac:dyDescent="0.35">
      <c r="A3457" s="190" t="s">
        <v>22</v>
      </c>
      <c r="B3457" s="192" t="s">
        <v>23</v>
      </c>
      <c r="C3457" s="223" t="s">
        <v>49</v>
      </c>
      <c r="D3457" s="194"/>
      <c r="E3457" s="190" t="s">
        <v>4133</v>
      </c>
      <c r="F3457" s="190" t="s">
        <v>23</v>
      </c>
      <c r="G3457" s="846" t="s">
        <v>6216</v>
      </c>
      <c r="H3457" s="191" t="s">
        <v>6102</v>
      </c>
      <c r="I3457" s="191" t="s">
        <v>6104</v>
      </c>
      <c r="J3457" s="734">
        <v>45271</v>
      </c>
      <c r="K3457" s="778">
        <v>0.75</v>
      </c>
      <c r="L3457" s="734">
        <v>45271</v>
      </c>
      <c r="M3457" s="784">
        <v>0.79166666666666663</v>
      </c>
      <c r="N3457" s="225">
        <v>1</v>
      </c>
      <c r="O3457" s="192" t="s">
        <v>17</v>
      </c>
      <c r="P3457" s="227" t="s">
        <v>5332</v>
      </c>
      <c r="Q3457" s="194" t="s">
        <v>5375</v>
      </c>
      <c r="R3457" s="30" t="s">
        <v>40</v>
      </c>
      <c r="S3457" s="31" t="s">
        <v>273</v>
      </c>
      <c r="T3457" s="31" t="s">
        <v>273</v>
      </c>
      <c r="U3457" s="31">
        <f>IFERROR(VLOOKUP(CONCATENATE(Tabla1[[#This Row],[Severidad]]," ",Tabla1[[#This Row],[Complejidad]]),Catalogos!E$120:G$128,3,FALSE),"")</f>
        <v>64</v>
      </c>
      <c r="V3457" s="31" t="str">
        <f>IF(Tabla1[[#This Row],[Tiempo solución max (hrs)]]&lt;&gt;"",IF(Tabla1[[#This Row],[Tiempo solución max (hrs)]]&gt;=Tabla1[[#This Row],[Tiempo
(Hrs 00/100)]],"cumple","no cumple"),"")</f>
        <v>cumple</v>
      </c>
      <c r="W3457" s="222" t="s">
        <v>5372</v>
      </c>
      <c r="X3457" s="18" t="str">
        <f t="shared" si="238"/>
        <v>SAI</v>
      </c>
      <c r="Y3457" t="str">
        <f>SUBSTITUTE(Tabla1[[#This Row],[Descripción]],CHAR(10),"    I    ")</f>
        <v>3.5.8 Agregar un cuadro que lleve el conteo de las altas, bajas o cambios que se van realizando por el integrante, mismo que pueda ser visualizado tanto por este como por el administrador, uno general y uno individual.</v>
      </c>
      <c r="Z3457" s="112">
        <f>VLOOKUP(Tabla1[[#This Row],[Perfil]],Catalogos!$B$75:$D$100,3,FALSE)*Tabla1[[#This Row],[Tiempo
(Hrs 00/100)]]*1.16</f>
        <v>812</v>
      </c>
      <c r="AA3457" t="s">
        <v>3356</v>
      </c>
    </row>
    <row r="3458" spans="1:27" ht="30" customHeight="1" thickBot="1" x14ac:dyDescent="0.35">
      <c r="A3458" s="190" t="s">
        <v>22</v>
      </c>
      <c r="B3458" s="192" t="s">
        <v>23</v>
      </c>
      <c r="C3458" s="223" t="s">
        <v>49</v>
      </c>
      <c r="D3458" s="194"/>
      <c r="E3458" s="190" t="s">
        <v>4133</v>
      </c>
      <c r="F3458" s="190" t="s">
        <v>23</v>
      </c>
      <c r="G3458" s="846" t="s">
        <v>6217</v>
      </c>
      <c r="H3458" s="191" t="s">
        <v>6102</v>
      </c>
      <c r="I3458" s="191" t="s">
        <v>6105</v>
      </c>
      <c r="J3458" s="734">
        <v>45272</v>
      </c>
      <c r="K3458" s="778">
        <v>0.375</v>
      </c>
      <c r="L3458" s="734">
        <v>45272</v>
      </c>
      <c r="M3458" s="784">
        <v>0.45833333333333331</v>
      </c>
      <c r="N3458" s="225">
        <v>2</v>
      </c>
      <c r="O3458" s="192" t="s">
        <v>17</v>
      </c>
      <c r="P3458" s="193" t="s">
        <v>5332</v>
      </c>
      <c r="Q3458" s="194" t="s">
        <v>5375</v>
      </c>
      <c r="R3458" s="30" t="s">
        <v>40</v>
      </c>
      <c r="S3458" s="31" t="s">
        <v>273</v>
      </c>
      <c r="T3458" s="31" t="s">
        <v>273</v>
      </c>
      <c r="U3458" s="31">
        <f>IFERROR(VLOOKUP(CONCATENATE(Tabla1[[#This Row],[Severidad]]," ",Tabla1[[#This Row],[Complejidad]]),Catalogos!E$120:G$128,3,FALSE),"")</f>
        <v>64</v>
      </c>
      <c r="V3458" s="31" t="str">
        <f>IF(Tabla1[[#This Row],[Tiempo solución max (hrs)]]&lt;&gt;"",IF(Tabla1[[#This Row],[Tiempo solución max (hrs)]]&gt;=Tabla1[[#This Row],[Tiempo
(Hrs 00/100)]],"cumple","no cumple"),"")</f>
        <v>cumple</v>
      </c>
      <c r="W3458" s="222" t="s">
        <v>5372</v>
      </c>
      <c r="X3458" s="18" t="str">
        <f t="shared" si="238"/>
        <v>SAI</v>
      </c>
      <c r="Y3458" t="str">
        <f>SUBSTITUTE(Tabla1[[#This Row],[Descripción]],CHAR(10),"    I    ")</f>
        <v>3.5.9 Contar con un control que permita habilitar o deshabilitar el formato ABC</v>
      </c>
      <c r="Z3458" s="112">
        <f>VLOOKUP(Tabla1[[#This Row],[Perfil]],Catalogos!$B$75:$D$100,3,FALSE)*Tabla1[[#This Row],[Tiempo
(Hrs 00/100)]]*1.16</f>
        <v>1624</v>
      </c>
      <c r="AA3458" t="s">
        <v>3356</v>
      </c>
    </row>
    <row r="3459" spans="1:27" ht="30" customHeight="1" thickBot="1" x14ac:dyDescent="0.35">
      <c r="A3459" s="190" t="s">
        <v>22</v>
      </c>
      <c r="B3459" s="192" t="s">
        <v>23</v>
      </c>
      <c r="C3459" s="223" t="s">
        <v>49</v>
      </c>
      <c r="D3459" s="194"/>
      <c r="E3459" s="190" t="s">
        <v>4133</v>
      </c>
      <c r="F3459" s="190" t="s">
        <v>23</v>
      </c>
      <c r="G3459" s="846" t="s">
        <v>6218</v>
      </c>
      <c r="H3459" s="191" t="s">
        <v>6102</v>
      </c>
      <c r="I3459" s="191" t="s">
        <v>6106</v>
      </c>
      <c r="J3459" s="734">
        <v>45272</v>
      </c>
      <c r="K3459" s="778">
        <v>0.45833333333333331</v>
      </c>
      <c r="L3459" s="734">
        <v>45272</v>
      </c>
      <c r="M3459" s="784">
        <v>0.58333333333333337</v>
      </c>
      <c r="N3459" s="225">
        <v>2</v>
      </c>
      <c r="O3459" s="192" t="s">
        <v>17</v>
      </c>
      <c r="P3459" s="193" t="s">
        <v>5332</v>
      </c>
      <c r="Q3459" s="194" t="s">
        <v>5375</v>
      </c>
      <c r="R3459" s="30" t="s">
        <v>40</v>
      </c>
      <c r="S3459" s="31" t="s">
        <v>273</v>
      </c>
      <c r="T3459" s="31" t="s">
        <v>273</v>
      </c>
      <c r="U3459" s="31">
        <f>IFERROR(VLOOKUP(CONCATENATE(Tabla1[[#This Row],[Severidad]]," ",Tabla1[[#This Row],[Complejidad]]),Catalogos!E$120:G$128,3,FALSE),"")</f>
        <v>64</v>
      </c>
      <c r="V3459" s="31" t="str">
        <f>IF(Tabla1[[#This Row],[Tiempo solución max (hrs)]]&lt;&gt;"",IF(Tabla1[[#This Row],[Tiempo solución max (hrs)]]&gt;=Tabla1[[#This Row],[Tiempo
(Hrs 00/100)]],"cumple","no cumple"),"")</f>
        <v>cumple</v>
      </c>
      <c r="W3459" s="222" t="s">
        <v>5372</v>
      </c>
      <c r="X3459" s="18" t="str">
        <f t="shared" ref="X3459:X3522" si="244">IF(C3459&lt;&gt;"",C3459,D3459)</f>
        <v>SAI</v>
      </c>
      <c r="Y3459" t="str">
        <f>SUBSTITUTE(Tabla1[[#This Row],[Descripción]],CHAR(10),"    I    ")</f>
        <v xml:space="preserve">3.5.10 Habilitar botón para que los Enlaces puedan asignar actividades a las UA una vez que éstas ya han sido creadas </v>
      </c>
      <c r="Z3459" s="112">
        <f>VLOOKUP(Tabla1[[#This Row],[Perfil]],Catalogos!$B$75:$D$100,3,FALSE)*Tabla1[[#This Row],[Tiempo
(Hrs 00/100)]]*1.16</f>
        <v>1624</v>
      </c>
      <c r="AA3459" t="s">
        <v>3356</v>
      </c>
    </row>
    <row r="3460" spans="1:27" ht="30" customHeight="1" x14ac:dyDescent="0.3">
      <c r="A3460" s="818" t="s">
        <v>58</v>
      </c>
      <c r="B3460" s="818" t="s">
        <v>305</v>
      </c>
      <c r="C3460" s="489" t="s">
        <v>155</v>
      </c>
      <c r="D3460" s="818"/>
      <c r="E3460" s="818" t="s">
        <v>1399</v>
      </c>
      <c r="F3460" s="818" t="s">
        <v>74</v>
      </c>
      <c r="G3460" s="818" t="s">
        <v>6221</v>
      </c>
      <c r="H3460" s="847" t="s">
        <v>5211</v>
      </c>
      <c r="I3460" s="848" t="s">
        <v>6219</v>
      </c>
      <c r="J3460" s="690">
        <v>45261</v>
      </c>
      <c r="K3460" s="815">
        <v>0.38055555555555554</v>
      </c>
      <c r="L3460" s="690">
        <v>45261</v>
      </c>
      <c r="M3460" s="815">
        <v>0.83888888888888891</v>
      </c>
      <c r="N3460" s="187">
        <v>9.5</v>
      </c>
      <c r="O3460" s="849" t="s">
        <v>17</v>
      </c>
      <c r="P3460" s="850" t="s">
        <v>2481</v>
      </c>
      <c r="Q3460" s="615" t="s">
        <v>1442</v>
      </c>
      <c r="R3460" s="616" t="s">
        <v>79</v>
      </c>
      <c r="S3460" s="31" t="s">
        <v>273</v>
      </c>
      <c r="T3460" s="31" t="s">
        <v>273</v>
      </c>
      <c r="U3460" s="31">
        <f>IFERROR(VLOOKUP(CONCATENATE(Tabla1[[#This Row],[Severidad]]," ",Tabla1[[#This Row],[Complejidad]]),Catalogos!E$120:G$128,3,FALSE),"")</f>
        <v>64</v>
      </c>
      <c r="V3460" s="31" t="str">
        <f>IF(Tabla1[[#This Row],[Tiempo solución max (hrs)]]&lt;&gt;"",IF(Tabla1[[#This Row],[Tiempo solución max (hrs)]]&gt;=Tabla1[[#This Row],[Tiempo
(Hrs 00/100)]],"cumple","no cumple"),"")</f>
        <v>cumple</v>
      </c>
      <c r="W3460" s="222" t="s">
        <v>5372</v>
      </c>
      <c r="X3460" s="18" t="str">
        <f t="shared" si="244"/>
        <v>DS</v>
      </c>
      <c r="Y3460" t="str">
        <f>SUBSTITUTE(Tabla1[[#This Row],[Descripción]],CHAR(10),"    I    ")</f>
        <v>Análisis de configmap</v>
      </c>
      <c r="Z3460" s="112">
        <f>VLOOKUP(Tabla1[[#This Row],[Perfil]],Catalogos!$B$75:$D$100,3,FALSE)*Tabla1[[#This Row],[Tiempo
(Hrs 00/100)]]*1.16</f>
        <v>6611.9999999999991</v>
      </c>
    </row>
    <row r="3461" spans="1:27" ht="30" customHeight="1" x14ac:dyDescent="0.3">
      <c r="A3461" s="828" t="s">
        <v>58</v>
      </c>
      <c r="B3461" s="828" t="s">
        <v>305</v>
      </c>
      <c r="C3461" s="692" t="s">
        <v>155</v>
      </c>
      <c r="D3461" s="828"/>
      <c r="E3461" s="828" t="s">
        <v>1399</v>
      </c>
      <c r="F3461" s="828" t="s">
        <v>74</v>
      </c>
      <c r="G3461" s="818" t="s">
        <v>6223</v>
      </c>
      <c r="H3461" s="186" t="s">
        <v>5213</v>
      </c>
      <c r="I3461" s="186" t="s">
        <v>6220</v>
      </c>
      <c r="J3461" s="690">
        <v>45264</v>
      </c>
      <c r="K3461" s="815">
        <v>0.375</v>
      </c>
      <c r="L3461" s="690">
        <v>45264</v>
      </c>
      <c r="M3461" s="815">
        <v>0.83333333333333337</v>
      </c>
      <c r="N3461" s="187">
        <v>9.5</v>
      </c>
      <c r="O3461" s="849" t="s">
        <v>17</v>
      </c>
      <c r="P3461" s="850" t="s">
        <v>2481</v>
      </c>
      <c r="Q3461" s="615" t="s">
        <v>1442</v>
      </c>
      <c r="R3461" s="616" t="s">
        <v>79</v>
      </c>
      <c r="S3461" s="31" t="s">
        <v>273</v>
      </c>
      <c r="T3461" s="31" t="s">
        <v>273</v>
      </c>
      <c r="U3461" s="31">
        <f>IFERROR(VLOOKUP(CONCATENATE(Tabla1[[#This Row],[Severidad]]," ",Tabla1[[#This Row],[Complejidad]]),Catalogos!E$120:G$128,3,FALSE),"")</f>
        <v>64</v>
      </c>
      <c r="V3461" s="31" t="str">
        <f>IF(Tabla1[[#This Row],[Tiempo solución max (hrs)]]&lt;&gt;"",IF(Tabla1[[#This Row],[Tiempo solución max (hrs)]]&gt;=Tabla1[[#This Row],[Tiempo
(Hrs 00/100)]],"cumple","no cumple"),"")</f>
        <v>cumple</v>
      </c>
      <c r="W3461" s="222" t="s">
        <v>5372</v>
      </c>
      <c r="X3461" s="18" t="str">
        <f t="shared" si="244"/>
        <v>DS</v>
      </c>
      <c r="Y3461" t="str">
        <f>SUBSTITUTE(Tabla1[[#This Row],[Descripción]],CHAR(10),"    I    ")</f>
        <v>Uso de  Pods para los ConfigMaps como variables de entorno, argumentos de la linea de comandos o como ficheros de configuración en el volumen</v>
      </c>
      <c r="Z3461" s="112">
        <f>VLOOKUP(Tabla1[[#This Row],[Perfil]],Catalogos!$B$75:$D$100,3,FALSE)*Tabla1[[#This Row],[Tiempo
(Hrs 00/100)]]*1.16</f>
        <v>6611.9999999999991</v>
      </c>
    </row>
    <row r="3462" spans="1:27" ht="30" customHeight="1" x14ac:dyDescent="0.3">
      <c r="A3462" s="828" t="s">
        <v>58</v>
      </c>
      <c r="B3462" s="828" t="s">
        <v>305</v>
      </c>
      <c r="C3462" s="692" t="s">
        <v>155</v>
      </c>
      <c r="D3462" s="828"/>
      <c r="E3462" s="828" t="s">
        <v>1399</v>
      </c>
      <c r="F3462" s="828" t="s">
        <v>74</v>
      </c>
      <c r="G3462" s="818" t="s">
        <v>6225</v>
      </c>
      <c r="H3462" s="186" t="s">
        <v>5211</v>
      </c>
      <c r="I3462" s="848" t="s">
        <v>6222</v>
      </c>
      <c r="J3462" s="690">
        <v>45265</v>
      </c>
      <c r="K3462" s="815">
        <v>0.375</v>
      </c>
      <c r="L3462" s="690">
        <v>45265</v>
      </c>
      <c r="M3462" s="815">
        <v>0.83333333333333337</v>
      </c>
      <c r="N3462" s="187">
        <v>9.5</v>
      </c>
      <c r="O3462" s="849" t="s">
        <v>17</v>
      </c>
      <c r="P3462" s="850" t="s">
        <v>2481</v>
      </c>
      <c r="Q3462" s="615" t="s">
        <v>1442</v>
      </c>
      <c r="R3462" s="616" t="s">
        <v>79</v>
      </c>
      <c r="S3462" s="31" t="s">
        <v>273</v>
      </c>
      <c r="T3462" s="31" t="s">
        <v>273</v>
      </c>
      <c r="U3462" s="31">
        <f>IFERROR(VLOOKUP(CONCATENATE(Tabla1[[#This Row],[Severidad]]," ",Tabla1[[#This Row],[Complejidad]]),Catalogos!E$120:G$128,3,FALSE),"")</f>
        <v>64</v>
      </c>
      <c r="V3462" s="31" t="str">
        <f>IF(Tabla1[[#This Row],[Tiempo solución max (hrs)]]&lt;&gt;"",IF(Tabla1[[#This Row],[Tiempo solución max (hrs)]]&gt;=Tabla1[[#This Row],[Tiempo
(Hrs 00/100)]],"cumple","no cumple"),"")</f>
        <v>cumple</v>
      </c>
      <c r="W3462" s="222" t="s">
        <v>5372</v>
      </c>
      <c r="X3462" s="18" t="str">
        <f t="shared" si="244"/>
        <v>DS</v>
      </c>
      <c r="Y3462" t="str">
        <f>SUBSTITUTE(Tabla1[[#This Row],[Descripción]],CHAR(10),"    I    ")</f>
        <v>Desacoplar la configuración del entorno de la imagen de contenedor, para faciltar su portablidad.</v>
      </c>
      <c r="Z3462" s="112">
        <f>VLOOKUP(Tabla1[[#This Row],[Perfil]],Catalogos!$B$75:$D$100,3,FALSE)*Tabla1[[#This Row],[Tiempo
(Hrs 00/100)]]*1.16</f>
        <v>6611.9999999999991</v>
      </c>
    </row>
    <row r="3463" spans="1:27" ht="30" customHeight="1" x14ac:dyDescent="0.3">
      <c r="A3463" s="828" t="s">
        <v>58</v>
      </c>
      <c r="B3463" s="828" t="s">
        <v>305</v>
      </c>
      <c r="C3463" s="692" t="s">
        <v>155</v>
      </c>
      <c r="D3463" s="828"/>
      <c r="E3463" s="828" t="s">
        <v>1399</v>
      </c>
      <c r="F3463" s="828" t="s">
        <v>74</v>
      </c>
      <c r="G3463" s="818" t="s">
        <v>6227</v>
      </c>
      <c r="H3463" s="186" t="s">
        <v>5211</v>
      </c>
      <c r="I3463" s="848" t="s">
        <v>6224</v>
      </c>
      <c r="J3463" s="690">
        <v>45266</v>
      </c>
      <c r="K3463" s="815">
        <v>0.375</v>
      </c>
      <c r="L3463" s="690">
        <v>45266</v>
      </c>
      <c r="M3463" s="815">
        <v>0.83333333333333337</v>
      </c>
      <c r="N3463" s="187">
        <v>9.5</v>
      </c>
      <c r="O3463" s="849" t="s">
        <v>17</v>
      </c>
      <c r="P3463" s="850" t="s">
        <v>2481</v>
      </c>
      <c r="Q3463" s="615" t="s">
        <v>1442</v>
      </c>
      <c r="R3463" s="616" t="s">
        <v>79</v>
      </c>
      <c r="S3463" s="31" t="s">
        <v>273</v>
      </c>
      <c r="T3463" s="31" t="s">
        <v>273</v>
      </c>
      <c r="U3463" s="31">
        <f>IFERROR(VLOOKUP(CONCATENATE(Tabla1[[#This Row],[Severidad]]," ",Tabla1[[#This Row],[Complejidad]]),Catalogos!E$120:G$128,3,FALSE),"")</f>
        <v>64</v>
      </c>
      <c r="V3463" s="31" t="str">
        <f>IF(Tabla1[[#This Row],[Tiempo solución max (hrs)]]&lt;&gt;"",IF(Tabla1[[#This Row],[Tiempo solución max (hrs)]]&gt;=Tabla1[[#This Row],[Tiempo
(Hrs 00/100)]],"cumple","no cumple"),"")</f>
        <v>cumple</v>
      </c>
      <c r="W3463" s="222" t="s">
        <v>5372</v>
      </c>
      <c r="X3463" s="18" t="str">
        <f t="shared" si="244"/>
        <v>DS</v>
      </c>
      <c r="Y3463" t="str">
        <f>SUBSTITUTE(Tabla1[[#This Row],[Descripción]],CHAR(10),"    I    ")</f>
        <v>Almacenamiento de  la configuración de otros objetos utilizados</v>
      </c>
      <c r="Z3463" s="112">
        <f>VLOOKUP(Tabla1[[#This Row],[Perfil]],Catalogos!$B$75:$D$100,3,FALSE)*Tabla1[[#This Row],[Tiempo
(Hrs 00/100)]]*1.16</f>
        <v>6611.9999999999991</v>
      </c>
    </row>
    <row r="3464" spans="1:27" ht="30" customHeight="1" x14ac:dyDescent="0.3">
      <c r="A3464" s="828" t="s">
        <v>58</v>
      </c>
      <c r="B3464" s="828" t="s">
        <v>305</v>
      </c>
      <c r="C3464" s="692" t="s">
        <v>155</v>
      </c>
      <c r="D3464" s="828"/>
      <c r="E3464" s="828" t="s">
        <v>1399</v>
      </c>
      <c r="F3464" s="828" t="s">
        <v>74</v>
      </c>
      <c r="G3464" s="818" t="s">
        <v>6229</v>
      </c>
      <c r="H3464" s="186" t="s">
        <v>5211</v>
      </c>
      <c r="I3464" s="848" t="s">
        <v>6226</v>
      </c>
      <c r="J3464" s="690">
        <v>45267</v>
      </c>
      <c r="K3464" s="815">
        <v>0.375</v>
      </c>
      <c r="L3464" s="690">
        <v>45267</v>
      </c>
      <c r="M3464" s="815">
        <v>0.83333333333333337</v>
      </c>
      <c r="N3464" s="187">
        <v>9.5</v>
      </c>
      <c r="O3464" s="849" t="s">
        <v>17</v>
      </c>
      <c r="P3464" s="850" t="s">
        <v>2481</v>
      </c>
      <c r="Q3464" s="615" t="s">
        <v>1442</v>
      </c>
      <c r="R3464" s="616" t="s">
        <v>79</v>
      </c>
      <c r="S3464" s="31" t="s">
        <v>273</v>
      </c>
      <c r="T3464" s="31" t="s">
        <v>273</v>
      </c>
      <c r="U3464" s="31">
        <f>IFERROR(VLOOKUP(CONCATENATE(Tabla1[[#This Row],[Severidad]]," ",Tabla1[[#This Row],[Complejidad]]),Catalogos!E$120:G$128,3,FALSE),"")</f>
        <v>64</v>
      </c>
      <c r="V3464" s="31" t="str">
        <f>IF(Tabla1[[#This Row],[Tiempo solución max (hrs)]]&lt;&gt;"",IF(Tabla1[[#This Row],[Tiempo solución max (hrs)]]&gt;=Tabla1[[#This Row],[Tiempo
(Hrs 00/100)]],"cumple","no cumple"),"")</f>
        <v>cumple</v>
      </c>
      <c r="W3464" s="222" t="s">
        <v>5372</v>
      </c>
      <c r="X3464" s="18" t="str">
        <f t="shared" si="244"/>
        <v>DS</v>
      </c>
      <c r="Y3464" t="str">
        <f>SUBSTITUTE(Tabla1[[#This Row],[Descripción]],CHAR(10),"    I    ")</f>
        <v>Configuración de  claves con un valor simple y otras claves donde el valor tiene un formato de un fragmento de configuración.</v>
      </c>
      <c r="Z3464" s="112">
        <f>VLOOKUP(Tabla1[[#This Row],[Perfil]],Catalogos!$B$75:$D$100,3,FALSE)*Tabla1[[#This Row],[Tiempo
(Hrs 00/100)]]*1.16</f>
        <v>6611.9999999999991</v>
      </c>
    </row>
    <row r="3465" spans="1:27" ht="30" customHeight="1" x14ac:dyDescent="0.3">
      <c r="A3465" s="828" t="s">
        <v>58</v>
      </c>
      <c r="B3465" s="828" t="s">
        <v>305</v>
      </c>
      <c r="C3465" s="692" t="s">
        <v>155</v>
      </c>
      <c r="D3465" s="828"/>
      <c r="E3465" s="828" t="s">
        <v>1399</v>
      </c>
      <c r="F3465" s="828" t="s">
        <v>74</v>
      </c>
      <c r="G3465" s="818" t="s">
        <v>6231</v>
      </c>
      <c r="H3465" s="186" t="s">
        <v>5211</v>
      </c>
      <c r="I3465" s="848" t="s">
        <v>6228</v>
      </c>
      <c r="J3465" s="690">
        <v>45268</v>
      </c>
      <c r="K3465" s="815">
        <v>0.375</v>
      </c>
      <c r="L3465" s="690">
        <v>45268</v>
      </c>
      <c r="M3465" s="815">
        <v>0.83333333333333337</v>
      </c>
      <c r="N3465" s="187">
        <v>9.5</v>
      </c>
      <c r="O3465" s="849" t="s">
        <v>17</v>
      </c>
      <c r="P3465" s="850" t="s">
        <v>2481</v>
      </c>
      <c r="Q3465" s="615" t="s">
        <v>1442</v>
      </c>
      <c r="R3465" s="616" t="s">
        <v>79</v>
      </c>
      <c r="S3465" s="31" t="s">
        <v>273</v>
      </c>
      <c r="T3465" s="31" t="s">
        <v>273</v>
      </c>
      <c r="U3465" s="31">
        <f>IFERROR(VLOOKUP(CONCATENATE(Tabla1[[#This Row],[Severidad]]," ",Tabla1[[#This Row],[Complejidad]]),Catalogos!E$120:G$128,3,FALSE),"")</f>
        <v>64</v>
      </c>
      <c r="V3465" s="31" t="str">
        <f>IF(Tabla1[[#This Row],[Tiempo solución max (hrs)]]&lt;&gt;"",IF(Tabla1[[#This Row],[Tiempo solución max (hrs)]]&gt;=Tabla1[[#This Row],[Tiempo
(Hrs 00/100)]],"cumple","no cumple"),"")</f>
        <v>cumple</v>
      </c>
      <c r="W3465" s="222" t="s">
        <v>5372</v>
      </c>
      <c r="X3465" s="18" t="str">
        <f t="shared" si="244"/>
        <v>DS</v>
      </c>
      <c r="Y3465" t="str">
        <f>SUBSTITUTE(Tabla1[[#This Row],[Descripción]],CHAR(10),"    I    ")</f>
        <v> Gestión del componente máster y de los servicios necesarios para ejecutar pods</v>
      </c>
      <c r="Z3465" s="112">
        <f>VLOOKUP(Tabla1[[#This Row],[Perfil]],Catalogos!$B$75:$D$100,3,FALSE)*Tabla1[[#This Row],[Tiempo
(Hrs 00/100)]]*1.16</f>
        <v>6611.9999999999991</v>
      </c>
    </row>
    <row r="3466" spans="1:27" ht="30" customHeight="1" x14ac:dyDescent="0.3">
      <c r="A3466" s="828" t="s">
        <v>58</v>
      </c>
      <c r="B3466" s="828" t="s">
        <v>305</v>
      </c>
      <c r="C3466" s="692" t="s">
        <v>155</v>
      </c>
      <c r="D3466" s="828"/>
      <c r="E3466" s="851" t="s">
        <v>1399</v>
      </c>
      <c r="F3466" s="828" t="s">
        <v>74</v>
      </c>
      <c r="G3466" s="818" t="s">
        <v>6233</v>
      </c>
      <c r="H3466" s="186" t="s">
        <v>5211</v>
      </c>
      <c r="I3466" s="189" t="s">
        <v>6230</v>
      </c>
      <c r="J3466" s="690">
        <v>45271</v>
      </c>
      <c r="K3466" s="815">
        <v>0.38194444444444442</v>
      </c>
      <c r="L3466" s="690">
        <v>45271</v>
      </c>
      <c r="M3466" s="815">
        <v>0.84027777777777779</v>
      </c>
      <c r="N3466" s="187">
        <v>9.5</v>
      </c>
      <c r="O3466" s="849" t="s">
        <v>17</v>
      </c>
      <c r="P3466" s="850" t="s">
        <v>2481</v>
      </c>
      <c r="Q3466" s="615" t="s">
        <v>1442</v>
      </c>
      <c r="R3466" s="616" t="s">
        <v>79</v>
      </c>
      <c r="S3466" s="31" t="s">
        <v>273</v>
      </c>
      <c r="T3466" s="31" t="s">
        <v>273</v>
      </c>
      <c r="U3466" s="31">
        <f>IFERROR(VLOOKUP(CONCATENATE(Tabla1[[#This Row],[Severidad]]," ",Tabla1[[#This Row],[Complejidad]]),Catalogos!E$120:G$128,3,FALSE),"")</f>
        <v>64</v>
      </c>
      <c r="V3466" s="31" t="str">
        <f>IF(Tabla1[[#This Row],[Tiempo solución max (hrs)]]&lt;&gt;"",IF(Tabla1[[#This Row],[Tiempo solución max (hrs)]]&gt;=Tabla1[[#This Row],[Tiempo
(Hrs 00/100)]],"cumple","no cumple"),"")</f>
        <v>cumple</v>
      </c>
      <c r="W3466" s="222" t="s">
        <v>5372</v>
      </c>
      <c r="X3466" s="18" t="str">
        <f t="shared" si="244"/>
        <v>DS</v>
      </c>
      <c r="Y3466" t="str">
        <f>SUBSTITUTE(Tabla1[[#This Row],[Descripción]],CHAR(10),"    I    ")</f>
        <v>Análisis de cambio de yaml con configmap</v>
      </c>
      <c r="Z3466" s="112">
        <f>VLOOKUP(Tabla1[[#This Row],[Perfil]],Catalogos!$B$75:$D$100,3,FALSE)*Tabla1[[#This Row],[Tiempo
(Hrs 00/100)]]*1.16</f>
        <v>6611.9999999999991</v>
      </c>
    </row>
    <row r="3467" spans="1:27" ht="30" customHeight="1" x14ac:dyDescent="0.3">
      <c r="A3467" s="828" t="s">
        <v>58</v>
      </c>
      <c r="B3467" s="694" t="s">
        <v>305</v>
      </c>
      <c r="C3467" s="692" t="s">
        <v>155</v>
      </c>
      <c r="D3467" s="828"/>
      <c r="E3467" s="182" t="s">
        <v>1399</v>
      </c>
      <c r="F3467" s="187" t="s">
        <v>74</v>
      </c>
      <c r="G3467" s="818" t="s">
        <v>6235</v>
      </c>
      <c r="H3467" s="186" t="s">
        <v>5217</v>
      </c>
      <c r="I3467" s="189" t="s">
        <v>6232</v>
      </c>
      <c r="J3467" s="690">
        <v>45270</v>
      </c>
      <c r="K3467" s="815">
        <v>0.375</v>
      </c>
      <c r="L3467" s="690">
        <v>45270</v>
      </c>
      <c r="M3467" s="815">
        <v>0.83333333333333337</v>
      </c>
      <c r="N3467" s="187">
        <v>9.5</v>
      </c>
      <c r="O3467" s="849" t="s">
        <v>17</v>
      </c>
      <c r="P3467" s="850" t="s">
        <v>2481</v>
      </c>
      <c r="Q3467" s="615" t="s">
        <v>1442</v>
      </c>
      <c r="R3467" s="616" t="s">
        <v>79</v>
      </c>
      <c r="S3467" s="31" t="s">
        <v>273</v>
      </c>
      <c r="T3467" s="31" t="s">
        <v>273</v>
      </c>
      <c r="U3467" s="31">
        <f>IFERROR(VLOOKUP(CONCATENATE(Tabla1[[#This Row],[Severidad]]," ",Tabla1[[#This Row],[Complejidad]]),Catalogos!E$120:G$128,3,FALSE),"")</f>
        <v>64</v>
      </c>
      <c r="V3467" s="31" t="str">
        <f>IF(Tabla1[[#This Row],[Tiempo solución max (hrs)]]&lt;&gt;"",IF(Tabla1[[#This Row],[Tiempo solución max (hrs)]]&gt;=Tabla1[[#This Row],[Tiempo
(Hrs 00/100)]],"cumple","no cumple"),"")</f>
        <v>cumple</v>
      </c>
      <c r="W3467" s="222" t="s">
        <v>5372</v>
      </c>
      <c r="X3467" s="18" t="str">
        <f t="shared" si="244"/>
        <v>DS</v>
      </c>
      <c r="Y3467" t="str">
        <f>SUBSTITUTE(Tabla1[[#This Row],[Descripción]],CHAR(10),"    I    ")</f>
        <v>Serialización de datos para archivos de configuración en las herramientas y servicios de automatización  DevOps e infraestructura código (IaC)</v>
      </c>
      <c r="Z3467" s="112">
        <f>VLOOKUP(Tabla1[[#This Row],[Perfil]],Catalogos!$B$75:$D$100,3,FALSE)*Tabla1[[#This Row],[Tiempo
(Hrs 00/100)]]*1.16</f>
        <v>6611.9999999999991</v>
      </c>
    </row>
    <row r="3468" spans="1:27" ht="30" customHeight="1" x14ac:dyDescent="0.3">
      <c r="A3468" s="828" t="s">
        <v>58</v>
      </c>
      <c r="B3468" s="694" t="s">
        <v>305</v>
      </c>
      <c r="C3468" s="692" t="s">
        <v>155</v>
      </c>
      <c r="D3468" s="828"/>
      <c r="E3468" s="182" t="s">
        <v>1399</v>
      </c>
      <c r="F3468" s="187" t="s">
        <v>74</v>
      </c>
      <c r="G3468" s="818" t="s">
        <v>6237</v>
      </c>
      <c r="H3468" s="186" t="s">
        <v>5218</v>
      </c>
      <c r="I3468" s="189" t="s">
        <v>6234</v>
      </c>
      <c r="J3468" s="690">
        <v>45271</v>
      </c>
      <c r="K3468" s="815">
        <v>0.375</v>
      </c>
      <c r="L3468" s="690">
        <v>45271</v>
      </c>
      <c r="M3468" s="815">
        <v>0.83333333333333337</v>
      </c>
      <c r="N3468" s="187">
        <v>9.5</v>
      </c>
      <c r="O3468" s="849" t="s">
        <v>17</v>
      </c>
      <c r="P3468" s="850" t="s">
        <v>2481</v>
      </c>
      <c r="Q3468" s="615" t="s">
        <v>1442</v>
      </c>
      <c r="R3468" s="616" t="s">
        <v>79</v>
      </c>
      <c r="S3468" s="31" t="s">
        <v>273</v>
      </c>
      <c r="T3468" s="31" t="s">
        <v>273</v>
      </c>
      <c r="U3468" s="31">
        <f>IFERROR(VLOOKUP(CONCATENATE(Tabla1[[#This Row],[Severidad]]," ",Tabla1[[#This Row],[Complejidad]]),Catalogos!E$120:G$128,3,FALSE),"")</f>
        <v>64</v>
      </c>
      <c r="V3468" s="31" t="str">
        <f>IF(Tabla1[[#This Row],[Tiempo solución max (hrs)]]&lt;&gt;"",IF(Tabla1[[#This Row],[Tiempo solución max (hrs)]]&gt;=Tabla1[[#This Row],[Tiempo
(Hrs 00/100)]],"cumple","no cumple"),"")</f>
        <v>cumple</v>
      </c>
      <c r="W3468" s="222" t="s">
        <v>5372</v>
      </c>
      <c r="X3468" s="18" t="str">
        <f t="shared" si="244"/>
        <v>DS</v>
      </c>
      <c r="Y3468" t="str">
        <f>SUBSTITUTE(Tabla1[[#This Row],[Descripción]],CHAR(10),"    I    ")</f>
        <v>Configuración del explorador para ver archivos YAML</v>
      </c>
      <c r="Z3468" s="112">
        <f>VLOOKUP(Tabla1[[#This Row],[Perfil]],Catalogos!$B$75:$D$100,3,FALSE)*Tabla1[[#This Row],[Tiempo
(Hrs 00/100)]]*1.16</f>
        <v>6611.9999999999991</v>
      </c>
    </row>
    <row r="3469" spans="1:27" ht="30" customHeight="1" x14ac:dyDescent="0.3">
      <c r="A3469" s="828" t="s">
        <v>58</v>
      </c>
      <c r="B3469" s="694" t="s">
        <v>305</v>
      </c>
      <c r="C3469" s="692" t="s">
        <v>155</v>
      </c>
      <c r="D3469" s="828"/>
      <c r="E3469" s="182" t="s">
        <v>1399</v>
      </c>
      <c r="F3469" s="187" t="s">
        <v>74</v>
      </c>
      <c r="G3469" s="818" t="s">
        <v>6239</v>
      </c>
      <c r="H3469" s="186" t="s">
        <v>5217</v>
      </c>
      <c r="I3469" s="189" t="s">
        <v>6236</v>
      </c>
      <c r="J3469" s="690">
        <v>45272</v>
      </c>
      <c r="K3469" s="815">
        <v>0.375</v>
      </c>
      <c r="L3469" s="690">
        <v>45272</v>
      </c>
      <c r="M3469" s="815">
        <v>0.83333333333333337</v>
      </c>
      <c r="N3469" s="187">
        <v>9.5</v>
      </c>
      <c r="O3469" s="849" t="s">
        <v>17</v>
      </c>
      <c r="P3469" s="850" t="s">
        <v>2481</v>
      </c>
      <c r="Q3469" s="615" t="s">
        <v>1442</v>
      </c>
      <c r="R3469" s="616" t="s">
        <v>79</v>
      </c>
      <c r="S3469" s="31" t="s">
        <v>273</v>
      </c>
      <c r="T3469" s="31" t="s">
        <v>273</v>
      </c>
      <c r="U3469" s="31">
        <f>IFERROR(VLOOKUP(CONCATENATE(Tabla1[[#This Row],[Severidad]]," ",Tabla1[[#This Row],[Complejidad]]),Catalogos!E$120:G$128,3,FALSE),"")</f>
        <v>64</v>
      </c>
      <c r="V3469" s="31" t="str">
        <f>IF(Tabla1[[#This Row],[Tiempo solución max (hrs)]]&lt;&gt;"",IF(Tabla1[[#This Row],[Tiempo solución max (hrs)]]&gt;=Tabla1[[#This Row],[Tiempo
(Hrs 00/100)]],"cumple","no cumple"),"")</f>
        <v>cumple</v>
      </c>
      <c r="W3469" s="222" t="s">
        <v>5372</v>
      </c>
      <c r="X3469" s="18" t="str">
        <f t="shared" si="244"/>
        <v>DS</v>
      </c>
      <c r="Y3469" t="str">
        <f>SUBSTITUTE(Tabla1[[#This Row],[Descripción]],CHAR(10),"    I    ")</f>
        <v>Análisis de integración de los servicios con los configmaps</v>
      </c>
      <c r="Z3469" s="112">
        <f>VLOOKUP(Tabla1[[#This Row],[Perfil]],Catalogos!$B$75:$D$100,3,FALSE)*Tabla1[[#This Row],[Tiempo
(Hrs 00/100)]]*1.16</f>
        <v>6611.9999999999991</v>
      </c>
    </row>
    <row r="3470" spans="1:27" ht="30" customHeight="1" x14ac:dyDescent="0.3">
      <c r="A3470" s="828" t="s">
        <v>58</v>
      </c>
      <c r="B3470" s="694" t="s">
        <v>305</v>
      </c>
      <c r="C3470" s="692" t="s">
        <v>155</v>
      </c>
      <c r="D3470" s="828"/>
      <c r="E3470" s="182" t="s">
        <v>1399</v>
      </c>
      <c r="F3470" s="187" t="s">
        <v>74</v>
      </c>
      <c r="G3470" s="818" t="s">
        <v>6241</v>
      </c>
      <c r="H3470" s="186" t="s">
        <v>5220</v>
      </c>
      <c r="I3470" s="189" t="s">
        <v>6238</v>
      </c>
      <c r="J3470" s="690">
        <v>45273</v>
      </c>
      <c r="K3470" s="815">
        <v>0.375</v>
      </c>
      <c r="L3470" s="690">
        <v>45273</v>
      </c>
      <c r="M3470" s="815">
        <v>0.83333333333333337</v>
      </c>
      <c r="N3470" s="187">
        <v>9.5</v>
      </c>
      <c r="O3470" s="849" t="s">
        <v>17</v>
      </c>
      <c r="P3470" s="850" t="s">
        <v>2481</v>
      </c>
      <c r="Q3470" s="615" t="s">
        <v>1442</v>
      </c>
      <c r="R3470" s="616" t="s">
        <v>79</v>
      </c>
      <c r="S3470" s="31" t="s">
        <v>273</v>
      </c>
      <c r="T3470" s="31" t="s">
        <v>273</v>
      </c>
      <c r="U3470" s="31">
        <f>IFERROR(VLOOKUP(CONCATENATE(Tabla1[[#This Row],[Severidad]]," ",Tabla1[[#This Row],[Complejidad]]),Catalogos!E$120:G$128,3,FALSE),"")</f>
        <v>64</v>
      </c>
      <c r="V3470" s="31" t="str">
        <f>IF(Tabla1[[#This Row],[Tiempo solución max (hrs)]]&lt;&gt;"",IF(Tabla1[[#This Row],[Tiempo solución max (hrs)]]&gt;=Tabla1[[#This Row],[Tiempo
(Hrs 00/100)]],"cumple","no cumple"),"")</f>
        <v>cumple</v>
      </c>
      <c r="W3470" s="222" t="s">
        <v>5372</v>
      </c>
      <c r="X3470" s="18" t="str">
        <f t="shared" si="244"/>
        <v>DS</v>
      </c>
      <c r="Y3470" t="str">
        <f>SUBSTITUTE(Tabla1[[#This Row],[Descripción]],CHAR(10),"    I    ")</f>
        <v>Exportar métricas y transacciones y analizar los datos exportados para obtener información significativa</v>
      </c>
      <c r="Z3470" s="112">
        <f>VLOOKUP(Tabla1[[#This Row],[Perfil]],Catalogos!$B$75:$D$100,3,FALSE)*Tabla1[[#This Row],[Tiempo
(Hrs 00/100)]]*1.16</f>
        <v>6611.9999999999991</v>
      </c>
    </row>
    <row r="3471" spans="1:27" ht="30" customHeight="1" x14ac:dyDescent="0.3">
      <c r="A3471" s="828" t="s">
        <v>58</v>
      </c>
      <c r="B3471" s="695" t="s">
        <v>305</v>
      </c>
      <c r="C3471" s="692" t="s">
        <v>155</v>
      </c>
      <c r="D3471" s="851"/>
      <c r="E3471" s="182" t="s">
        <v>1399</v>
      </c>
      <c r="F3471" s="187" t="s">
        <v>74</v>
      </c>
      <c r="G3471" s="818" t="s">
        <v>6243</v>
      </c>
      <c r="H3471" s="186" t="s">
        <v>5217</v>
      </c>
      <c r="I3471" s="189" t="s">
        <v>6240</v>
      </c>
      <c r="J3471" s="690">
        <v>45274</v>
      </c>
      <c r="K3471" s="815">
        <v>0.375</v>
      </c>
      <c r="L3471" s="690">
        <v>45274</v>
      </c>
      <c r="M3471" s="815">
        <v>0.83333333333333337</v>
      </c>
      <c r="N3471" s="187">
        <v>9.5</v>
      </c>
      <c r="O3471" s="849" t="s">
        <v>17</v>
      </c>
      <c r="P3471" s="850" t="s">
        <v>2481</v>
      </c>
      <c r="Q3471" s="615" t="s">
        <v>1442</v>
      </c>
      <c r="R3471" s="616" t="s">
        <v>79</v>
      </c>
      <c r="S3471" s="31" t="s">
        <v>273</v>
      </c>
      <c r="T3471" s="31" t="s">
        <v>273</v>
      </c>
      <c r="U3471" s="31">
        <f>IFERROR(VLOOKUP(CONCATENATE(Tabla1[[#This Row],[Severidad]]," ",Tabla1[[#This Row],[Complejidad]]),Catalogos!E$120:G$128,3,FALSE),"")</f>
        <v>64</v>
      </c>
      <c r="V3471" s="31" t="str">
        <f>IF(Tabla1[[#This Row],[Tiempo solución max (hrs)]]&lt;&gt;"",IF(Tabla1[[#This Row],[Tiempo solución max (hrs)]]&gt;=Tabla1[[#This Row],[Tiempo
(Hrs 00/100)]],"cumple","no cumple"),"")</f>
        <v>cumple</v>
      </c>
      <c r="W3471" s="222" t="s">
        <v>5372</v>
      </c>
      <c r="X3471" s="18" t="str">
        <f t="shared" si="244"/>
        <v>DS</v>
      </c>
      <c r="Y3471" t="str">
        <f>SUBSTITUTE(Tabla1[[#This Row],[Descripción]],CHAR(10),"    I    ")</f>
        <v>Configuración de parámetros mediante un ConfigMap</v>
      </c>
      <c r="Z3471" s="112">
        <f>VLOOKUP(Tabla1[[#This Row],[Perfil]],Catalogos!$B$75:$D$100,3,FALSE)*Tabla1[[#This Row],[Tiempo
(Hrs 00/100)]]*1.16</f>
        <v>6611.9999999999991</v>
      </c>
    </row>
    <row r="3472" spans="1:27" ht="30" customHeight="1" x14ac:dyDescent="0.3">
      <c r="A3472" s="187" t="s">
        <v>58</v>
      </c>
      <c r="B3472" s="188" t="s">
        <v>305</v>
      </c>
      <c r="C3472" s="692" t="s">
        <v>155</v>
      </c>
      <c r="D3472" s="182"/>
      <c r="E3472" s="187" t="s">
        <v>1399</v>
      </c>
      <c r="F3472" s="187" t="s">
        <v>74</v>
      </c>
      <c r="G3472" s="818" t="s">
        <v>6245</v>
      </c>
      <c r="H3472" s="186" t="s">
        <v>5223</v>
      </c>
      <c r="I3472" s="189" t="s">
        <v>6242</v>
      </c>
      <c r="J3472" s="690">
        <v>45275</v>
      </c>
      <c r="K3472" s="815">
        <v>0.38194444444444442</v>
      </c>
      <c r="L3472" s="690">
        <v>45275</v>
      </c>
      <c r="M3472" s="815">
        <v>0.84027777777777779</v>
      </c>
      <c r="N3472" s="187">
        <v>9.5</v>
      </c>
      <c r="O3472" s="849" t="s">
        <v>17</v>
      </c>
      <c r="P3472" s="850" t="s">
        <v>2481</v>
      </c>
      <c r="Q3472" s="615" t="s">
        <v>1442</v>
      </c>
      <c r="R3472" s="616" t="s">
        <v>79</v>
      </c>
      <c r="S3472" s="31" t="s">
        <v>273</v>
      </c>
      <c r="T3472" s="31" t="s">
        <v>273</v>
      </c>
      <c r="U3472" s="31">
        <f>IFERROR(VLOOKUP(CONCATENATE(Tabla1[[#This Row],[Severidad]]," ",Tabla1[[#This Row],[Complejidad]]),Catalogos!E$120:G$128,3,FALSE),"")</f>
        <v>64</v>
      </c>
      <c r="V3472" s="31" t="str">
        <f>IF(Tabla1[[#This Row],[Tiempo solución max (hrs)]]&lt;&gt;"",IF(Tabla1[[#This Row],[Tiempo solución max (hrs)]]&gt;=Tabla1[[#This Row],[Tiempo
(Hrs 00/100)]],"cumple","no cumple"),"")</f>
        <v>cumple</v>
      </c>
      <c r="W3472" s="222" t="s">
        <v>5372</v>
      </c>
      <c r="X3472" s="18" t="str">
        <f t="shared" si="244"/>
        <v>DS</v>
      </c>
      <c r="Y3472" t="str">
        <f>SUBSTITUTE(Tabla1[[#This Row],[Descripción]],CHAR(10),"    I    ")</f>
        <v>⁠Transformación de archivos yaml a configmap</v>
      </c>
      <c r="Z3472" s="112">
        <f>VLOOKUP(Tabla1[[#This Row],[Perfil]],Catalogos!$B$75:$D$100,3,FALSE)*Tabla1[[#This Row],[Tiempo
(Hrs 00/100)]]*1.16</f>
        <v>6611.9999999999991</v>
      </c>
    </row>
    <row r="3473" spans="1:26" ht="30" customHeight="1" x14ac:dyDescent="0.3">
      <c r="A3473" s="187" t="s">
        <v>58</v>
      </c>
      <c r="B3473" s="188" t="s">
        <v>305</v>
      </c>
      <c r="C3473" s="692" t="s">
        <v>155</v>
      </c>
      <c r="D3473" s="182"/>
      <c r="E3473" s="187" t="s">
        <v>1399</v>
      </c>
      <c r="F3473" s="187" t="s">
        <v>74</v>
      </c>
      <c r="G3473" s="818" t="s">
        <v>6247</v>
      </c>
      <c r="H3473" s="186" t="s">
        <v>5225</v>
      </c>
      <c r="I3473" s="189" t="s">
        <v>6244</v>
      </c>
      <c r="J3473" s="690">
        <v>45278</v>
      </c>
      <c r="K3473" s="815">
        <v>0.3833333333333333</v>
      </c>
      <c r="L3473" s="690">
        <v>45278</v>
      </c>
      <c r="M3473" s="815">
        <v>0.84166666666666667</v>
      </c>
      <c r="N3473" s="187">
        <v>9.5</v>
      </c>
      <c r="O3473" s="849" t="s">
        <v>17</v>
      </c>
      <c r="P3473" s="850" t="s">
        <v>2481</v>
      </c>
      <c r="Q3473" s="615" t="s">
        <v>1442</v>
      </c>
      <c r="R3473" s="616" t="s">
        <v>79</v>
      </c>
      <c r="S3473" s="31" t="s">
        <v>273</v>
      </c>
      <c r="T3473" s="31" t="s">
        <v>273</v>
      </c>
      <c r="U3473" s="31">
        <f>IFERROR(VLOOKUP(CONCATENATE(Tabla1[[#This Row],[Severidad]]," ",Tabla1[[#This Row],[Complejidad]]),Catalogos!E$120:G$128,3,FALSE),"")</f>
        <v>64</v>
      </c>
      <c r="V3473" s="31" t="str">
        <f>IF(Tabla1[[#This Row],[Tiempo solución max (hrs)]]&lt;&gt;"",IF(Tabla1[[#This Row],[Tiempo solución max (hrs)]]&gt;=Tabla1[[#This Row],[Tiempo
(Hrs 00/100)]],"cumple","no cumple"),"")</f>
        <v>cumple</v>
      </c>
      <c r="W3473" s="222" t="s">
        <v>5372</v>
      </c>
      <c r="X3473" s="18" t="str">
        <f t="shared" si="244"/>
        <v>DS</v>
      </c>
      <c r="Y3473" t="str">
        <f>SUBSTITUTE(Tabla1[[#This Row],[Descripción]],CHAR(10),"    I    ")</f>
        <v>Recopilar varios archivos del entorno de Directory Server existente como preparación para la migración del entorno</v>
      </c>
      <c r="Z3473" s="112">
        <f>VLOOKUP(Tabla1[[#This Row],[Perfil]],Catalogos!$B$75:$D$100,3,FALSE)*Tabla1[[#This Row],[Tiempo
(Hrs 00/100)]]*1.16</f>
        <v>6611.9999999999991</v>
      </c>
    </row>
    <row r="3474" spans="1:26" ht="30" customHeight="1" x14ac:dyDescent="0.3">
      <c r="A3474" s="187" t="s">
        <v>58</v>
      </c>
      <c r="B3474" s="188" t="s">
        <v>305</v>
      </c>
      <c r="C3474" s="692" t="s">
        <v>155</v>
      </c>
      <c r="D3474" s="182"/>
      <c r="E3474" s="187" t="s">
        <v>1399</v>
      </c>
      <c r="F3474" s="187" t="s">
        <v>74</v>
      </c>
      <c r="G3474" s="818" t="s">
        <v>6249</v>
      </c>
      <c r="H3474" s="186" t="s">
        <v>5225</v>
      </c>
      <c r="I3474" s="189" t="s">
        <v>6246</v>
      </c>
      <c r="J3474" s="690">
        <v>45279</v>
      </c>
      <c r="K3474" s="815">
        <v>0.38194444444444442</v>
      </c>
      <c r="L3474" s="690">
        <v>45279</v>
      </c>
      <c r="M3474" s="815">
        <v>0.84027777777777779</v>
      </c>
      <c r="N3474" s="187">
        <v>9.5</v>
      </c>
      <c r="O3474" s="849" t="s">
        <v>17</v>
      </c>
      <c r="P3474" s="850" t="s">
        <v>2481</v>
      </c>
      <c r="Q3474" s="615" t="s">
        <v>1442</v>
      </c>
      <c r="R3474" s="616" t="s">
        <v>79</v>
      </c>
      <c r="S3474" s="31" t="s">
        <v>273</v>
      </c>
      <c r="T3474" s="31" t="s">
        <v>273</v>
      </c>
      <c r="U3474" s="31">
        <f>IFERROR(VLOOKUP(CONCATENATE(Tabla1[[#This Row],[Severidad]]," ",Tabla1[[#This Row],[Complejidad]]),Catalogos!E$120:G$128,3,FALSE),"")</f>
        <v>64</v>
      </c>
      <c r="V3474" s="31" t="str">
        <f>IF(Tabla1[[#This Row],[Tiempo solución max (hrs)]]&lt;&gt;"",IF(Tabla1[[#This Row],[Tiempo solución max (hrs)]]&gt;=Tabla1[[#This Row],[Tiempo
(Hrs 00/100)]],"cumple","no cumple"),"")</f>
        <v>cumple</v>
      </c>
      <c r="W3474" s="222" t="s">
        <v>5372</v>
      </c>
      <c r="X3474" s="18" t="str">
        <f t="shared" si="244"/>
        <v>DS</v>
      </c>
      <c r="Y3474" t="str">
        <f>SUBSTITUTE(Tabla1[[#This Row],[Descripción]],CHAR(10),"    I    ")</f>
        <v>Recopilar los archivos de esquema actualizados y proporcionarlos al contenedor verify-directory-seed durante la migración.</v>
      </c>
      <c r="Z3474" s="112">
        <f>VLOOKUP(Tabla1[[#This Row],[Perfil]],Catalogos!$B$75:$D$100,3,FALSE)*Tabla1[[#This Row],[Tiempo
(Hrs 00/100)]]*1.16</f>
        <v>6611.9999999999991</v>
      </c>
    </row>
    <row r="3475" spans="1:26" ht="30" customHeight="1" x14ac:dyDescent="0.3">
      <c r="A3475" s="187" t="s">
        <v>58</v>
      </c>
      <c r="B3475" s="188" t="s">
        <v>305</v>
      </c>
      <c r="C3475" s="692" t="s">
        <v>155</v>
      </c>
      <c r="D3475" s="182"/>
      <c r="E3475" s="187" t="s">
        <v>1399</v>
      </c>
      <c r="F3475" s="187" t="s">
        <v>74</v>
      </c>
      <c r="G3475" s="818" t="s">
        <v>6251</v>
      </c>
      <c r="H3475" s="186" t="s">
        <v>5225</v>
      </c>
      <c r="I3475" s="189" t="s">
        <v>6248</v>
      </c>
      <c r="J3475" s="690">
        <v>45280</v>
      </c>
      <c r="K3475" s="815">
        <v>0.38055555555555554</v>
      </c>
      <c r="L3475" s="690">
        <v>45280</v>
      </c>
      <c r="M3475" s="815">
        <v>0.83888888888888891</v>
      </c>
      <c r="N3475" s="187">
        <v>9.5</v>
      </c>
      <c r="O3475" s="849" t="s">
        <v>17</v>
      </c>
      <c r="P3475" s="850" t="s">
        <v>2481</v>
      </c>
      <c r="Q3475" s="615" t="s">
        <v>1442</v>
      </c>
      <c r="R3475" s="616" t="s">
        <v>79</v>
      </c>
      <c r="S3475" s="31" t="s">
        <v>273</v>
      </c>
      <c r="T3475" s="31" t="s">
        <v>273</v>
      </c>
      <c r="U3475" s="31">
        <f>IFERROR(VLOOKUP(CONCATENATE(Tabla1[[#This Row],[Severidad]]," ",Tabla1[[#This Row],[Complejidad]]),Catalogos!E$120:G$128,3,FALSE),"")</f>
        <v>64</v>
      </c>
      <c r="V3475" s="31" t="str">
        <f>IF(Tabla1[[#This Row],[Tiempo solución max (hrs)]]&lt;&gt;"",IF(Tabla1[[#This Row],[Tiempo solución max (hrs)]]&gt;=Tabla1[[#This Row],[Tiempo
(Hrs 00/100)]],"cumple","no cumple"),"")</f>
        <v>cumple</v>
      </c>
      <c r="W3475" s="222" t="s">
        <v>5372</v>
      </c>
      <c r="X3475" s="18" t="str">
        <f t="shared" si="244"/>
        <v>DS</v>
      </c>
      <c r="Y3475" t="str">
        <f>SUBSTITUTE(Tabla1[[#This Row],[Descripción]],CHAR(10),"    I    ")</f>
        <v>Convertir los datos del entorno existente en un formato que pueda utilizar un contenedor verify-directory-server </v>
      </c>
      <c r="Z3475" s="112">
        <f>VLOOKUP(Tabla1[[#This Row],[Perfil]],Catalogos!$B$75:$D$100,3,FALSE)*Tabla1[[#This Row],[Tiempo
(Hrs 00/100)]]*1.16</f>
        <v>6611.9999999999991</v>
      </c>
    </row>
    <row r="3476" spans="1:26" ht="30" customHeight="1" x14ac:dyDescent="0.3">
      <c r="A3476" s="187" t="s">
        <v>58</v>
      </c>
      <c r="B3476" s="188" t="s">
        <v>305</v>
      </c>
      <c r="C3476" s="692" t="s">
        <v>155</v>
      </c>
      <c r="D3476" s="182"/>
      <c r="E3476" s="187" t="s">
        <v>1399</v>
      </c>
      <c r="F3476" s="187" t="s">
        <v>76</v>
      </c>
      <c r="G3476" s="818" t="s">
        <v>6253</v>
      </c>
      <c r="H3476" s="186" t="s">
        <v>5225</v>
      </c>
      <c r="I3476" s="189" t="s">
        <v>6250</v>
      </c>
      <c r="J3476" s="690">
        <v>45281</v>
      </c>
      <c r="K3476" s="815">
        <v>0.375</v>
      </c>
      <c r="L3476" s="690">
        <v>45281</v>
      </c>
      <c r="M3476" s="815">
        <v>0.83333333333333337</v>
      </c>
      <c r="N3476" s="187">
        <v>9.5</v>
      </c>
      <c r="O3476" s="849" t="s">
        <v>17</v>
      </c>
      <c r="P3476" s="850" t="s">
        <v>2481</v>
      </c>
      <c r="Q3476" s="615" t="s">
        <v>1442</v>
      </c>
      <c r="R3476" s="616" t="s">
        <v>79</v>
      </c>
      <c r="S3476" s="31" t="s">
        <v>273</v>
      </c>
      <c r="T3476" s="31" t="s">
        <v>273</v>
      </c>
      <c r="U3476" s="31">
        <f>IFERROR(VLOOKUP(CONCATENATE(Tabla1[[#This Row],[Severidad]]," ",Tabla1[[#This Row],[Complejidad]]),Catalogos!E$120:G$128,3,FALSE),"")</f>
        <v>64</v>
      </c>
      <c r="V3476" s="31" t="str">
        <f>IF(Tabla1[[#This Row],[Tiempo solución max (hrs)]]&lt;&gt;"",IF(Tabla1[[#This Row],[Tiempo solución max (hrs)]]&gt;=Tabla1[[#This Row],[Tiempo
(Hrs 00/100)]],"cumple","no cumple"),"")</f>
        <v>cumple</v>
      </c>
      <c r="W3476" s="222" t="s">
        <v>5372</v>
      </c>
      <c r="X3476" s="18" t="str">
        <f t="shared" si="244"/>
        <v>DS</v>
      </c>
      <c r="Y3476" t="str">
        <f>SUBSTITUTE(Tabla1[[#This Row],[Descripción]],CHAR(10),"    I    ")</f>
        <v>Inicio del contenedor de semilla, proporcionando el archivo de configuración YAML al contenedor</v>
      </c>
      <c r="Z3476" s="112">
        <f>VLOOKUP(Tabla1[[#This Row],[Perfil]],Catalogos!$B$75:$D$100,3,FALSE)*Tabla1[[#This Row],[Tiempo
(Hrs 00/100)]]*1.16</f>
        <v>6611.9999999999991</v>
      </c>
    </row>
    <row r="3477" spans="1:26" ht="30" customHeight="1" x14ac:dyDescent="0.3">
      <c r="A3477" s="187" t="s">
        <v>58</v>
      </c>
      <c r="B3477" s="188" t="s">
        <v>305</v>
      </c>
      <c r="C3477" s="692" t="s">
        <v>155</v>
      </c>
      <c r="D3477" s="182"/>
      <c r="E3477" s="187" t="s">
        <v>1399</v>
      </c>
      <c r="F3477" s="187" t="s">
        <v>76</v>
      </c>
      <c r="G3477" s="818" t="s">
        <v>6255</v>
      </c>
      <c r="H3477" s="186" t="s">
        <v>5225</v>
      </c>
      <c r="I3477" s="189" t="s">
        <v>6252</v>
      </c>
      <c r="J3477" s="690">
        <v>45282</v>
      </c>
      <c r="K3477" s="815">
        <v>0.375</v>
      </c>
      <c r="L3477" s="690">
        <v>45282</v>
      </c>
      <c r="M3477" s="815">
        <v>0.83333333333333337</v>
      </c>
      <c r="N3477" s="187">
        <v>9.5</v>
      </c>
      <c r="O3477" s="849" t="s">
        <v>17</v>
      </c>
      <c r="P3477" s="850" t="s">
        <v>2481</v>
      </c>
      <c r="Q3477" s="615" t="s">
        <v>1442</v>
      </c>
      <c r="R3477" s="616" t="s">
        <v>79</v>
      </c>
      <c r="S3477" s="31" t="s">
        <v>273</v>
      </c>
      <c r="T3477" s="31" t="s">
        <v>273</v>
      </c>
      <c r="U3477" s="31">
        <f>IFERROR(VLOOKUP(CONCATENATE(Tabla1[[#This Row],[Severidad]]," ",Tabla1[[#This Row],[Complejidad]]),Catalogos!E$120:G$128,3,FALSE),"")</f>
        <v>64</v>
      </c>
      <c r="V3477" s="31" t="str">
        <f>IF(Tabla1[[#This Row],[Tiempo solución max (hrs)]]&lt;&gt;"",IF(Tabla1[[#This Row],[Tiempo solución max (hrs)]]&gt;=Tabla1[[#This Row],[Tiempo
(Hrs 00/100)]],"cumple","no cumple"),"")</f>
        <v>cumple</v>
      </c>
      <c r="W3477" s="222" t="s">
        <v>5372</v>
      </c>
      <c r="X3477" s="18" t="str">
        <f t="shared" si="244"/>
        <v>DS</v>
      </c>
      <c r="Y3477" t="str">
        <f>SUBSTITUTE(Tabla1[[#This Row],[Descripción]],CHAR(10),"    I    ")</f>
        <v>Modificación de archivos yaml</v>
      </c>
      <c r="Z3477" s="112">
        <f>VLOOKUP(Tabla1[[#This Row],[Perfil]],Catalogos!$B$75:$D$100,3,FALSE)*Tabla1[[#This Row],[Tiempo
(Hrs 00/100)]]*1.16</f>
        <v>6611.9999999999991</v>
      </c>
    </row>
    <row r="3478" spans="1:26" ht="30" customHeight="1" x14ac:dyDescent="0.3">
      <c r="A3478" s="187" t="s">
        <v>58</v>
      </c>
      <c r="B3478" s="188" t="s">
        <v>305</v>
      </c>
      <c r="C3478" s="692" t="s">
        <v>155</v>
      </c>
      <c r="D3478" s="182"/>
      <c r="E3478" s="187" t="s">
        <v>1399</v>
      </c>
      <c r="F3478" s="187" t="s">
        <v>76</v>
      </c>
      <c r="G3478" s="818" t="s">
        <v>6253</v>
      </c>
      <c r="H3478" s="186" t="s">
        <v>5225</v>
      </c>
      <c r="I3478" s="852" t="s">
        <v>6254</v>
      </c>
      <c r="J3478" s="690">
        <v>45286</v>
      </c>
      <c r="K3478" s="815">
        <v>0.375</v>
      </c>
      <c r="L3478" s="690">
        <v>45286</v>
      </c>
      <c r="M3478" s="815">
        <v>0.83333333333333337</v>
      </c>
      <c r="N3478" s="818">
        <v>9.5</v>
      </c>
      <c r="O3478" s="849" t="s">
        <v>17</v>
      </c>
      <c r="P3478" s="850" t="s">
        <v>2481</v>
      </c>
      <c r="Q3478" s="615" t="s">
        <v>1442</v>
      </c>
      <c r="R3478" s="853" t="s">
        <v>79</v>
      </c>
      <c r="S3478" s="31" t="s">
        <v>273</v>
      </c>
      <c r="T3478" s="31" t="s">
        <v>273</v>
      </c>
      <c r="U3478" s="31">
        <f>IFERROR(VLOOKUP(CONCATENATE(Tabla1[[#This Row],[Severidad]]," ",Tabla1[[#This Row],[Complejidad]]),Catalogos!E$120:G$128,3,FALSE),"")</f>
        <v>64</v>
      </c>
      <c r="V3478" s="31" t="str">
        <f>IF(Tabla1[[#This Row],[Tiempo solución max (hrs)]]&lt;&gt;"",IF(Tabla1[[#This Row],[Tiempo solución max (hrs)]]&gt;=Tabla1[[#This Row],[Tiempo
(Hrs 00/100)]],"cumple","no cumple"),"")</f>
        <v>cumple</v>
      </c>
      <c r="W3478" s="222" t="s">
        <v>5372</v>
      </c>
      <c r="X3478" s="18" t="str">
        <f t="shared" si="244"/>
        <v>DS</v>
      </c>
      <c r="Y3478" t="str">
        <f>SUBSTITUTE(Tabla1[[#This Row],[Descripción]],CHAR(10),"    I    ")</f>
        <v>Configuraión del fichero yml yaml para permtir al usuario tener una mejor lectura de los datos y escritura. </v>
      </c>
      <c r="Z3478" s="112">
        <f>VLOOKUP(Tabla1[[#This Row],[Perfil]],Catalogos!$B$75:$D$100,3,FALSE)*Tabla1[[#This Row],[Tiempo
(Hrs 00/100)]]*1.16</f>
        <v>6611.9999999999991</v>
      </c>
    </row>
    <row r="3479" spans="1:26" ht="30" customHeight="1" x14ac:dyDescent="0.3">
      <c r="A3479" s="187" t="s">
        <v>58</v>
      </c>
      <c r="B3479" s="188" t="s">
        <v>305</v>
      </c>
      <c r="C3479" s="692" t="s">
        <v>155</v>
      </c>
      <c r="D3479" s="182"/>
      <c r="E3479" s="187" t="s">
        <v>1399</v>
      </c>
      <c r="F3479" s="187" t="s">
        <v>76</v>
      </c>
      <c r="G3479" s="818" t="s">
        <v>6255</v>
      </c>
      <c r="H3479" s="186" t="s">
        <v>5225</v>
      </c>
      <c r="I3479" s="189" t="s">
        <v>6256</v>
      </c>
      <c r="J3479" s="690">
        <v>45287</v>
      </c>
      <c r="K3479" s="815">
        <v>0.375</v>
      </c>
      <c r="L3479" s="690">
        <v>45287</v>
      </c>
      <c r="M3479" s="815">
        <v>0.75</v>
      </c>
      <c r="N3479" s="828">
        <v>7</v>
      </c>
      <c r="O3479" s="849" t="s">
        <v>17</v>
      </c>
      <c r="P3479" s="850" t="s">
        <v>2481</v>
      </c>
      <c r="Q3479" s="854" t="s">
        <v>1442</v>
      </c>
      <c r="R3479" s="183" t="s">
        <v>79</v>
      </c>
      <c r="S3479" s="31" t="s">
        <v>273</v>
      </c>
      <c r="T3479" s="31" t="s">
        <v>273</v>
      </c>
      <c r="U3479" s="31">
        <f>IFERROR(VLOOKUP(CONCATENATE(Tabla1[[#This Row],[Severidad]]," ",Tabla1[[#This Row],[Complejidad]]),Catalogos!E$120:G$128,3,FALSE),"")</f>
        <v>64</v>
      </c>
      <c r="V3479" s="31" t="str">
        <f>IF(Tabla1[[#This Row],[Tiempo solución max (hrs)]]&lt;&gt;"",IF(Tabla1[[#This Row],[Tiempo solución max (hrs)]]&gt;=Tabla1[[#This Row],[Tiempo
(Hrs 00/100)]],"cumple","no cumple"),"")</f>
        <v>cumple</v>
      </c>
      <c r="W3479" s="222" t="s">
        <v>5372</v>
      </c>
      <c r="X3479" s="18" t="str">
        <f t="shared" si="244"/>
        <v>DS</v>
      </c>
      <c r="Y3479" t="str">
        <f>SUBSTITUTE(Tabla1[[#This Row],[Descripción]],CHAR(10),"    I    ")</f>
        <v>Transformacón de  traducciones de SQL con archivos YAML de configuración</v>
      </c>
      <c r="Z3479" s="112">
        <f>VLOOKUP(Tabla1[[#This Row],[Perfil]],Catalogos!$B$75:$D$100,3,FALSE)*Tabla1[[#This Row],[Tiempo
(Hrs 00/100)]]*1.16</f>
        <v>4872</v>
      </c>
    </row>
    <row r="3480" spans="1:26" ht="30" customHeight="1" x14ac:dyDescent="0.3">
      <c r="A3480" s="187" t="s">
        <v>58</v>
      </c>
      <c r="B3480" s="188" t="s">
        <v>305</v>
      </c>
      <c r="C3480" s="692" t="s">
        <v>155</v>
      </c>
      <c r="D3480" s="182"/>
      <c r="E3480" s="187" t="s">
        <v>1399</v>
      </c>
      <c r="F3480" s="187" t="s">
        <v>76</v>
      </c>
      <c r="G3480" s="818" t="s">
        <v>6259</v>
      </c>
      <c r="H3480" s="186" t="s">
        <v>5225</v>
      </c>
      <c r="I3480" s="189" t="s">
        <v>6257</v>
      </c>
      <c r="J3480" s="690">
        <v>45288</v>
      </c>
      <c r="K3480" s="815">
        <v>0.375</v>
      </c>
      <c r="L3480" s="690">
        <v>45288</v>
      </c>
      <c r="M3480" s="815">
        <v>0.83333333333333337</v>
      </c>
      <c r="N3480" s="692">
        <v>1.5</v>
      </c>
      <c r="O3480" s="700" t="s">
        <v>17</v>
      </c>
      <c r="P3480" s="850" t="s">
        <v>2481</v>
      </c>
      <c r="Q3480" s="854" t="s">
        <v>1442</v>
      </c>
      <c r="R3480" s="183" t="s">
        <v>79</v>
      </c>
      <c r="S3480" s="31" t="s">
        <v>273</v>
      </c>
      <c r="T3480" s="31" t="s">
        <v>273</v>
      </c>
      <c r="U3480" s="31">
        <f>IFERROR(VLOOKUP(CONCATENATE(Tabla1[[#This Row],[Severidad]]," ",Tabla1[[#This Row],[Complejidad]]),Catalogos!E$120:G$128,3,FALSE),"")</f>
        <v>64</v>
      </c>
      <c r="V3480" s="31" t="str">
        <f>IF(Tabla1[[#This Row],[Tiempo solución max (hrs)]]&lt;&gt;"",IF(Tabla1[[#This Row],[Tiempo solución max (hrs)]]&gt;=Tabla1[[#This Row],[Tiempo
(Hrs 00/100)]],"cumple","no cumple"),"")</f>
        <v>cumple</v>
      </c>
      <c r="W3480" s="222" t="s">
        <v>5372</v>
      </c>
      <c r="X3480" s="18" t="str">
        <f t="shared" si="244"/>
        <v>DS</v>
      </c>
      <c r="Y3480" t="str">
        <f>SUBSTITUTE(Tabla1[[#This Row],[Descripción]],CHAR(10),"    I    ")</f>
        <v>Subir los archivos YAML de configuración al directorio raíz del bucket de Cloud Storage que contiene los archivos de entrada de traducción de SQL</v>
      </c>
      <c r="Z3480" s="112">
        <f>VLOOKUP(Tabla1[[#This Row],[Perfil]],Catalogos!$B$75:$D$100,3,FALSE)*Tabla1[[#This Row],[Tiempo
(Hrs 00/100)]]*1.16</f>
        <v>1044</v>
      </c>
    </row>
    <row r="3481" spans="1:26" ht="30" customHeight="1" x14ac:dyDescent="0.3">
      <c r="A3481" s="187" t="s">
        <v>58</v>
      </c>
      <c r="B3481" s="188" t="s">
        <v>305</v>
      </c>
      <c r="C3481" s="692" t="s">
        <v>155</v>
      </c>
      <c r="D3481" s="182"/>
      <c r="E3481" s="187" t="s">
        <v>1399</v>
      </c>
      <c r="F3481" s="187" t="s">
        <v>76</v>
      </c>
      <c r="G3481" s="818" t="s">
        <v>6260</v>
      </c>
      <c r="H3481" s="186" t="s">
        <v>5225</v>
      </c>
      <c r="I3481" s="189" t="s">
        <v>6258</v>
      </c>
      <c r="J3481" s="690">
        <v>45289</v>
      </c>
      <c r="K3481" s="815">
        <v>0.375</v>
      </c>
      <c r="L3481" s="690">
        <v>45289</v>
      </c>
      <c r="M3481" s="815">
        <v>0.83333333333333337</v>
      </c>
      <c r="N3481" s="692">
        <v>1.5</v>
      </c>
      <c r="O3481" s="700" t="s">
        <v>17</v>
      </c>
      <c r="P3481" s="850" t="s">
        <v>2481</v>
      </c>
      <c r="Q3481" s="854" t="s">
        <v>1442</v>
      </c>
      <c r="R3481" s="183" t="s">
        <v>79</v>
      </c>
      <c r="S3481" s="31" t="s">
        <v>273</v>
      </c>
      <c r="T3481" s="31" t="s">
        <v>273</v>
      </c>
      <c r="U3481" s="31">
        <f>IFERROR(VLOOKUP(CONCATENATE(Tabla1[[#This Row],[Severidad]]," ",Tabla1[[#This Row],[Complejidad]]),Catalogos!E$120:G$128,3,FALSE),"")</f>
        <v>64</v>
      </c>
      <c r="V3481" s="31" t="str">
        <f>IF(Tabla1[[#This Row],[Tiempo solución max (hrs)]]&lt;&gt;"",IF(Tabla1[[#This Row],[Tiempo solución max (hrs)]]&gt;=Tabla1[[#This Row],[Tiempo
(Hrs 00/100)]],"cumple","no cumple"),"")</f>
        <v>cumple</v>
      </c>
      <c r="W3481" s="222" t="s">
        <v>5372</v>
      </c>
      <c r="X3481" s="18" t="str">
        <f t="shared" si="244"/>
        <v>DS</v>
      </c>
      <c r="Y3481" t="str">
        <f>SUBSTITUTE(Tabla1[[#This Row],[Descripción]],CHAR(10),"    I    ")</f>
        <v>Comparación de los efectos de un YAML de configuración en la traducción de  consultsa en SQL de BigQuery</v>
      </c>
      <c r="Z3481" s="112">
        <f>VLOOKUP(Tabla1[[#This Row],[Perfil]],Catalogos!$B$75:$D$100,3,FALSE)*Tabla1[[#This Row],[Tiempo
(Hrs 00/100)]]*1.16</f>
        <v>1044</v>
      </c>
    </row>
    <row r="3482" spans="1:26" ht="30" customHeight="1" x14ac:dyDescent="0.3">
      <c r="A3482" s="198"/>
      <c r="B3482" s="198"/>
      <c r="C3482" s="205"/>
      <c r="D3482" s="198"/>
      <c r="E3482" s="198"/>
      <c r="F3482" s="198"/>
      <c r="G3482" s="198"/>
      <c r="H3482" s="207"/>
      <c r="I3482" s="208"/>
      <c r="J3482" s="369"/>
      <c r="K3482" s="747"/>
      <c r="L3482" s="369"/>
      <c r="M3482" s="753"/>
      <c r="N3482" s="187"/>
      <c r="O3482" s="204"/>
      <c r="P3482" s="197"/>
      <c r="Q3482" s="201"/>
      <c r="R3482" s="202"/>
      <c r="S3482" s="241"/>
      <c r="T3482" s="241"/>
      <c r="U3482" s="241" t="str">
        <f>IFERROR(VLOOKUP(CONCATENATE(Tabla1[[#This Row],[Severidad]]," ",Tabla1[[#This Row],[Complejidad]]),Catalogos!E$120:G$128,3,FALSE),"")</f>
        <v/>
      </c>
      <c r="V3482" s="241" t="str">
        <f>IF(Tabla1[[#This Row],[Tiempo solución max (hrs)]]&lt;&gt;"",IF(Tabla1[[#This Row],[Tiempo solución max (hrs)]]&gt;=Tabla1[[#This Row],[Tiempo
(Hrs 00/100)]],"cumple","no cumple"),"")</f>
        <v/>
      </c>
      <c r="W3482" s="17"/>
      <c r="X3482" s="18">
        <f t="shared" si="244"/>
        <v>0</v>
      </c>
      <c r="Y3482" t="str">
        <f>SUBSTITUTE(Tabla1[[#This Row],[Descripción]],CHAR(10),"    I    ")</f>
        <v/>
      </c>
      <c r="Z3482" s="112" t="e">
        <f>VLOOKUP(Tabla1[[#This Row],[Perfil]],Catalogos!$B$75:$D$100,3,FALSE)*Tabla1[[#This Row],[Tiempo
(Hrs 00/100)]]*1.16</f>
        <v>#N/A</v>
      </c>
    </row>
    <row r="3483" spans="1:26" ht="30" customHeight="1" x14ac:dyDescent="0.3">
      <c r="A3483" s="203"/>
      <c r="B3483" s="204"/>
      <c r="C3483" s="205"/>
      <c r="D3483" s="206"/>
      <c r="E3483" s="203"/>
      <c r="F3483" s="203"/>
      <c r="G3483" s="198"/>
      <c r="H3483" s="207"/>
      <c r="I3483" s="208"/>
      <c r="J3483" s="369"/>
      <c r="K3483" s="747"/>
      <c r="L3483" s="369"/>
      <c r="M3483" s="753"/>
      <c r="N3483" s="210"/>
      <c r="O3483" s="204"/>
      <c r="P3483" s="197"/>
      <c r="Q3483" s="206"/>
      <c r="R3483" s="209"/>
      <c r="S3483" s="242"/>
      <c r="T3483" s="242"/>
      <c r="U3483" s="242" t="str">
        <f>IFERROR(VLOOKUP(CONCATENATE(Tabla1[[#This Row],[Severidad]]," ",Tabla1[[#This Row],[Complejidad]]),Catalogos!E$120:G$128,3,FALSE),"")</f>
        <v/>
      </c>
      <c r="V3483" s="242" t="str">
        <f>IF(Tabla1[[#This Row],[Tiempo solución max (hrs)]]&lt;&gt;"",IF(Tabla1[[#This Row],[Tiempo solución max (hrs)]]&gt;=Tabla1[[#This Row],[Tiempo
(Hrs 00/100)]],"cumple","no cumple"),"")</f>
        <v/>
      </c>
      <c r="W3483" s="17"/>
      <c r="X3483" s="18">
        <f t="shared" si="244"/>
        <v>0</v>
      </c>
      <c r="Y3483" t="str">
        <f>SUBSTITUTE(Tabla1[[#This Row],[Descripción]],CHAR(10),"    I    ")</f>
        <v/>
      </c>
      <c r="Z3483" s="112" t="e">
        <f>VLOOKUP(Tabla1[[#This Row],[Perfil]],Catalogos!$B$75:$D$100,3,FALSE)*Tabla1[[#This Row],[Tiempo
(Hrs 00/100)]]*1.16</f>
        <v>#N/A</v>
      </c>
    </row>
    <row r="3484" spans="1:26" ht="30" customHeight="1" x14ac:dyDescent="0.3">
      <c r="A3484" s="203"/>
      <c r="B3484" s="204"/>
      <c r="C3484" s="205"/>
      <c r="D3484" s="206"/>
      <c r="E3484" s="203"/>
      <c r="F3484" s="203"/>
      <c r="G3484" s="198"/>
      <c r="H3484" s="207"/>
      <c r="I3484" s="208"/>
      <c r="J3484" s="369"/>
      <c r="K3484" s="747"/>
      <c r="L3484" s="369"/>
      <c r="M3484" s="753"/>
      <c r="N3484" s="210"/>
      <c r="O3484" s="204"/>
      <c r="P3484" s="197"/>
      <c r="Q3484" s="206"/>
      <c r="R3484" s="209"/>
      <c r="S3484" s="242"/>
      <c r="T3484" s="242"/>
      <c r="U3484" s="242" t="str">
        <f>IFERROR(VLOOKUP(CONCATENATE(Tabla1[[#This Row],[Severidad]]," ",Tabla1[[#This Row],[Complejidad]]),Catalogos!E$120:G$128,3,FALSE),"")</f>
        <v/>
      </c>
      <c r="V3484" s="242" t="str">
        <f>IF(Tabla1[[#This Row],[Tiempo solución max (hrs)]]&lt;&gt;"",IF(Tabla1[[#This Row],[Tiempo solución max (hrs)]]&gt;=Tabla1[[#This Row],[Tiempo
(Hrs 00/100)]],"cumple","no cumple"),"")</f>
        <v/>
      </c>
      <c r="W3484" s="17"/>
      <c r="X3484" s="18">
        <f t="shared" si="244"/>
        <v>0</v>
      </c>
      <c r="Y3484" t="str">
        <f>SUBSTITUTE(Tabla1[[#This Row],[Descripción]],CHAR(10),"    I    ")</f>
        <v/>
      </c>
      <c r="Z3484" s="112" t="e">
        <f>VLOOKUP(Tabla1[[#This Row],[Perfil]],Catalogos!$B$75:$D$100,3,FALSE)*Tabla1[[#This Row],[Tiempo
(Hrs 00/100)]]*1.16</f>
        <v>#N/A</v>
      </c>
    </row>
    <row r="3485" spans="1:26" ht="30" customHeight="1" x14ac:dyDescent="0.3">
      <c r="A3485" s="198"/>
      <c r="B3485" s="198"/>
      <c r="C3485" s="205"/>
      <c r="D3485" s="198"/>
      <c r="E3485" s="198"/>
      <c r="F3485" s="198"/>
      <c r="G3485" s="198"/>
      <c r="H3485" s="207"/>
      <c r="I3485" s="208"/>
      <c r="J3485" s="369"/>
      <c r="K3485" s="747"/>
      <c r="L3485" s="369"/>
      <c r="M3485" s="753"/>
      <c r="N3485" s="187"/>
      <c r="O3485" s="204"/>
      <c r="P3485" s="197"/>
      <c r="Q3485" s="201"/>
      <c r="R3485" s="202"/>
      <c r="S3485" s="241"/>
      <c r="T3485" s="241"/>
      <c r="U3485" s="241" t="str">
        <f>IFERROR(VLOOKUP(CONCATENATE(Tabla1[[#This Row],[Severidad]]," ",Tabla1[[#This Row],[Complejidad]]),Catalogos!E$120:G$128,3,FALSE),"")</f>
        <v/>
      </c>
      <c r="V3485" s="241" t="str">
        <f>IF(Tabla1[[#This Row],[Tiempo solución max (hrs)]]&lt;&gt;"",IF(Tabla1[[#This Row],[Tiempo solución max (hrs)]]&gt;=Tabla1[[#This Row],[Tiempo
(Hrs 00/100)]],"cumple","no cumple"),"")</f>
        <v/>
      </c>
      <c r="W3485" s="17"/>
      <c r="X3485" s="18">
        <f t="shared" si="244"/>
        <v>0</v>
      </c>
      <c r="Y3485" t="str">
        <f>SUBSTITUTE(Tabla1[[#This Row],[Descripción]],CHAR(10),"    I    ")</f>
        <v/>
      </c>
      <c r="Z3485" s="112" t="e">
        <f>VLOOKUP(Tabla1[[#This Row],[Perfil]],Catalogos!$B$75:$D$100,3,FALSE)*Tabla1[[#This Row],[Tiempo
(Hrs 00/100)]]*1.16</f>
        <v>#N/A</v>
      </c>
    </row>
    <row r="3486" spans="1:26" ht="30" customHeight="1" x14ac:dyDescent="0.3">
      <c r="A3486" s="203"/>
      <c r="B3486" s="204"/>
      <c r="C3486" s="205"/>
      <c r="D3486" s="206"/>
      <c r="E3486" s="203"/>
      <c r="F3486" s="203"/>
      <c r="G3486" s="198"/>
      <c r="H3486" s="207"/>
      <c r="I3486" s="208"/>
      <c r="J3486" s="369"/>
      <c r="K3486" s="747"/>
      <c r="L3486" s="369"/>
      <c r="M3486" s="753"/>
      <c r="N3486" s="210"/>
      <c r="O3486" s="204"/>
      <c r="P3486" s="197"/>
      <c r="Q3486" s="206"/>
      <c r="R3486" s="209"/>
      <c r="S3486" s="242"/>
      <c r="T3486" s="242"/>
      <c r="U3486" s="242" t="str">
        <f>IFERROR(VLOOKUP(CONCATENATE(Tabla1[[#This Row],[Severidad]]," ",Tabla1[[#This Row],[Complejidad]]),Catalogos!E$120:G$128,3,FALSE),"")</f>
        <v/>
      </c>
      <c r="V3486" s="242" t="str">
        <f>IF(Tabla1[[#This Row],[Tiempo solución max (hrs)]]&lt;&gt;"",IF(Tabla1[[#This Row],[Tiempo solución max (hrs)]]&gt;=Tabla1[[#This Row],[Tiempo
(Hrs 00/100)]],"cumple","no cumple"),"")</f>
        <v/>
      </c>
      <c r="W3486" s="17"/>
      <c r="X3486" s="18">
        <f t="shared" si="244"/>
        <v>0</v>
      </c>
      <c r="Y3486" t="str">
        <f>SUBSTITUTE(Tabla1[[#This Row],[Descripción]],CHAR(10),"    I    ")</f>
        <v/>
      </c>
      <c r="Z3486" s="112" t="e">
        <f>VLOOKUP(Tabla1[[#This Row],[Perfil]],Catalogos!$B$75:$D$100,3,FALSE)*Tabla1[[#This Row],[Tiempo
(Hrs 00/100)]]*1.16</f>
        <v>#N/A</v>
      </c>
    </row>
    <row r="3487" spans="1:26" ht="30" customHeight="1" x14ac:dyDescent="0.3">
      <c r="A3487" s="203"/>
      <c r="B3487" s="204"/>
      <c r="C3487" s="205"/>
      <c r="D3487" s="206"/>
      <c r="E3487" s="203"/>
      <c r="F3487" s="203"/>
      <c r="G3487" s="198"/>
      <c r="H3487" s="207"/>
      <c r="I3487" s="199"/>
      <c r="J3487" s="369"/>
      <c r="K3487" s="747"/>
      <c r="L3487" s="369"/>
      <c r="M3487" s="753"/>
      <c r="N3487" s="210"/>
      <c r="O3487" s="204"/>
      <c r="P3487" s="197"/>
      <c r="Q3487" s="201"/>
      <c r="R3487" s="202"/>
      <c r="S3487" s="241"/>
      <c r="T3487" s="241"/>
      <c r="U3487" s="241" t="str">
        <f>IFERROR(VLOOKUP(CONCATENATE(Tabla1[[#This Row],[Severidad]]," ",Tabla1[[#This Row],[Complejidad]]),Catalogos!E$120:G$128,3,FALSE),"")</f>
        <v/>
      </c>
      <c r="V3487" s="241" t="str">
        <f>IF(Tabla1[[#This Row],[Tiempo solución max (hrs)]]&lt;&gt;"",IF(Tabla1[[#This Row],[Tiempo solución max (hrs)]]&gt;=Tabla1[[#This Row],[Tiempo
(Hrs 00/100)]],"cumple","no cumple"),"")</f>
        <v/>
      </c>
      <c r="W3487" s="17"/>
      <c r="X3487" s="18">
        <f t="shared" si="244"/>
        <v>0</v>
      </c>
      <c r="Y3487" t="str">
        <f>SUBSTITUTE(Tabla1[[#This Row],[Descripción]],CHAR(10),"    I    ")</f>
        <v/>
      </c>
      <c r="Z3487" s="112" t="e">
        <f>VLOOKUP(Tabla1[[#This Row],[Perfil]],Catalogos!$B$75:$D$100,3,FALSE)*Tabla1[[#This Row],[Tiempo
(Hrs 00/100)]]*1.16</f>
        <v>#N/A</v>
      </c>
    </row>
    <row r="3488" spans="1:26" ht="30" customHeight="1" x14ac:dyDescent="0.3">
      <c r="A3488" s="198"/>
      <c r="B3488" s="198"/>
      <c r="C3488" s="205"/>
      <c r="D3488" s="198"/>
      <c r="E3488" s="198"/>
      <c r="F3488" s="198"/>
      <c r="G3488" s="198"/>
      <c r="H3488" s="207"/>
      <c r="I3488" s="208"/>
      <c r="J3488" s="369"/>
      <c r="K3488" s="747"/>
      <c r="L3488" s="369"/>
      <c r="M3488" s="753"/>
      <c r="N3488" s="187"/>
      <c r="O3488" s="204"/>
      <c r="P3488" s="197"/>
      <c r="Q3488" s="201"/>
      <c r="R3488" s="202"/>
      <c r="S3488" s="241"/>
      <c r="T3488" s="241"/>
      <c r="U3488" s="241" t="str">
        <f>IFERROR(VLOOKUP(CONCATENATE(Tabla1[[#This Row],[Severidad]]," ",Tabla1[[#This Row],[Complejidad]]),Catalogos!E$120:G$128,3,FALSE),"")</f>
        <v/>
      </c>
      <c r="V3488" s="241" t="str">
        <f>IF(Tabla1[[#This Row],[Tiempo solución max (hrs)]]&lt;&gt;"",IF(Tabla1[[#This Row],[Tiempo solución max (hrs)]]&gt;=Tabla1[[#This Row],[Tiempo
(Hrs 00/100)]],"cumple","no cumple"),"")</f>
        <v/>
      </c>
      <c r="W3488" s="17"/>
      <c r="X3488" s="18">
        <f t="shared" si="244"/>
        <v>0</v>
      </c>
      <c r="Y3488" t="str">
        <f>SUBSTITUTE(Tabla1[[#This Row],[Descripción]],CHAR(10),"    I    ")</f>
        <v/>
      </c>
      <c r="Z3488" s="112" t="e">
        <f>VLOOKUP(Tabla1[[#This Row],[Perfil]],Catalogos!$B$75:$D$100,3,FALSE)*Tabla1[[#This Row],[Tiempo
(Hrs 00/100)]]*1.16</f>
        <v>#N/A</v>
      </c>
    </row>
    <row r="3489" spans="1:26" ht="30" customHeight="1" x14ac:dyDescent="0.3">
      <c r="A3489" s="198"/>
      <c r="B3489" s="198"/>
      <c r="C3489" s="205"/>
      <c r="D3489" s="198"/>
      <c r="E3489" s="198"/>
      <c r="F3489" s="198"/>
      <c r="G3489" s="198"/>
      <c r="H3489" s="207"/>
      <c r="I3489" s="208"/>
      <c r="J3489" s="369"/>
      <c r="K3489" s="747"/>
      <c r="L3489" s="369"/>
      <c r="M3489" s="753"/>
      <c r="N3489" s="187"/>
      <c r="O3489" s="204"/>
      <c r="P3489" s="197"/>
      <c r="Q3489" s="201"/>
      <c r="R3489" s="202"/>
      <c r="S3489" s="241"/>
      <c r="T3489" s="241"/>
      <c r="U3489" s="241" t="str">
        <f>IFERROR(VLOOKUP(CONCATENATE(Tabla1[[#This Row],[Severidad]]," ",Tabla1[[#This Row],[Complejidad]]),Catalogos!E$120:G$128,3,FALSE),"")</f>
        <v/>
      </c>
      <c r="V3489" s="241" t="str">
        <f>IF(Tabla1[[#This Row],[Tiempo solución max (hrs)]]&lt;&gt;"",IF(Tabla1[[#This Row],[Tiempo solución max (hrs)]]&gt;=Tabla1[[#This Row],[Tiempo
(Hrs 00/100)]],"cumple","no cumple"),"")</f>
        <v/>
      </c>
      <c r="W3489" s="17"/>
      <c r="X3489" s="18">
        <f t="shared" si="244"/>
        <v>0</v>
      </c>
      <c r="Y3489" t="str">
        <f>SUBSTITUTE(Tabla1[[#This Row],[Descripción]],CHAR(10),"    I    ")</f>
        <v/>
      </c>
      <c r="Z3489" s="112" t="e">
        <f>VLOOKUP(Tabla1[[#This Row],[Perfil]],Catalogos!$B$75:$D$100,3,FALSE)*Tabla1[[#This Row],[Tiempo
(Hrs 00/100)]]*1.16</f>
        <v>#N/A</v>
      </c>
    </row>
    <row r="3490" spans="1:26" ht="30" customHeight="1" x14ac:dyDescent="0.3">
      <c r="A3490" s="203"/>
      <c r="B3490" s="204"/>
      <c r="C3490" s="205"/>
      <c r="D3490" s="206"/>
      <c r="E3490" s="203"/>
      <c r="F3490" s="203"/>
      <c r="G3490" s="198"/>
      <c r="H3490" s="207"/>
      <c r="I3490" s="199"/>
      <c r="J3490" s="369"/>
      <c r="K3490" s="747"/>
      <c r="L3490" s="369"/>
      <c r="M3490" s="753"/>
      <c r="N3490" s="210"/>
      <c r="O3490" s="204"/>
      <c r="P3490" s="197"/>
      <c r="Q3490" s="201"/>
      <c r="R3490" s="202"/>
      <c r="S3490" s="241"/>
      <c r="T3490" s="241"/>
      <c r="U3490" s="241" t="str">
        <f>IFERROR(VLOOKUP(CONCATENATE(Tabla1[[#This Row],[Severidad]]," ",Tabla1[[#This Row],[Complejidad]]),Catalogos!E$120:G$128,3,FALSE),"")</f>
        <v/>
      </c>
      <c r="V3490" s="241" t="str">
        <f>IF(Tabla1[[#This Row],[Tiempo solución max (hrs)]]&lt;&gt;"",IF(Tabla1[[#This Row],[Tiempo solución max (hrs)]]&gt;=Tabla1[[#This Row],[Tiempo
(Hrs 00/100)]],"cumple","no cumple"),"")</f>
        <v/>
      </c>
      <c r="W3490" s="17"/>
      <c r="X3490" s="18">
        <f t="shared" si="244"/>
        <v>0</v>
      </c>
      <c r="Y3490" t="str">
        <f>SUBSTITUTE(Tabla1[[#This Row],[Descripción]],CHAR(10),"    I    ")</f>
        <v/>
      </c>
      <c r="Z3490" s="112" t="e">
        <f>VLOOKUP(Tabla1[[#This Row],[Perfil]],Catalogos!$B$75:$D$100,3,FALSE)*Tabla1[[#This Row],[Tiempo
(Hrs 00/100)]]*1.16</f>
        <v>#N/A</v>
      </c>
    </row>
    <row r="3491" spans="1:26" ht="30" customHeight="1" x14ac:dyDescent="0.3">
      <c r="A3491" s="198"/>
      <c r="B3491" s="198"/>
      <c r="C3491" s="205"/>
      <c r="D3491" s="198"/>
      <c r="E3491" s="198"/>
      <c r="F3491" s="198"/>
      <c r="G3491" s="198"/>
      <c r="H3491" s="207"/>
      <c r="I3491" s="208"/>
      <c r="J3491" s="369"/>
      <c r="K3491" s="747"/>
      <c r="L3491" s="369"/>
      <c r="M3491" s="753"/>
      <c r="N3491" s="187"/>
      <c r="O3491" s="204"/>
      <c r="P3491" s="197"/>
      <c r="Q3491" s="201"/>
      <c r="R3491" s="202"/>
      <c r="S3491" s="241"/>
      <c r="T3491" s="241"/>
      <c r="U3491" s="241" t="str">
        <f>IFERROR(VLOOKUP(CONCATENATE(Tabla1[[#This Row],[Severidad]]," ",Tabla1[[#This Row],[Complejidad]]),Catalogos!E$120:G$128,3,FALSE),"")</f>
        <v/>
      </c>
      <c r="V3491" s="241" t="str">
        <f>IF(Tabla1[[#This Row],[Tiempo solución max (hrs)]]&lt;&gt;"",IF(Tabla1[[#This Row],[Tiempo solución max (hrs)]]&gt;=Tabla1[[#This Row],[Tiempo
(Hrs 00/100)]],"cumple","no cumple"),"")</f>
        <v/>
      </c>
      <c r="W3491" s="17"/>
      <c r="X3491" s="18">
        <f t="shared" si="244"/>
        <v>0</v>
      </c>
      <c r="Y3491" t="str">
        <f>SUBSTITUTE(Tabla1[[#This Row],[Descripción]],CHAR(10),"    I    ")</f>
        <v/>
      </c>
      <c r="Z3491" s="112" t="e">
        <f>VLOOKUP(Tabla1[[#This Row],[Perfil]],Catalogos!$B$75:$D$100,3,FALSE)*Tabla1[[#This Row],[Tiempo
(Hrs 00/100)]]*1.16</f>
        <v>#N/A</v>
      </c>
    </row>
    <row r="3492" spans="1:26" ht="30" customHeight="1" x14ac:dyDescent="0.3">
      <c r="A3492" s="198"/>
      <c r="B3492" s="198"/>
      <c r="C3492" s="205"/>
      <c r="D3492" s="198"/>
      <c r="E3492" s="198"/>
      <c r="F3492" s="198"/>
      <c r="G3492" s="198"/>
      <c r="H3492" s="207"/>
      <c r="I3492" s="208"/>
      <c r="J3492" s="369"/>
      <c r="K3492" s="747"/>
      <c r="L3492" s="369"/>
      <c r="M3492" s="753"/>
      <c r="N3492" s="187"/>
      <c r="O3492" s="204"/>
      <c r="P3492" s="197"/>
      <c r="Q3492" s="201"/>
      <c r="R3492" s="202"/>
      <c r="S3492" s="241"/>
      <c r="T3492" s="241"/>
      <c r="U3492" s="241" t="str">
        <f>IFERROR(VLOOKUP(CONCATENATE(Tabla1[[#This Row],[Severidad]]," ",Tabla1[[#This Row],[Complejidad]]),Catalogos!E$120:G$128,3,FALSE),"")</f>
        <v/>
      </c>
      <c r="V3492" s="241" t="str">
        <f>IF(Tabla1[[#This Row],[Tiempo solución max (hrs)]]&lt;&gt;"",IF(Tabla1[[#This Row],[Tiempo solución max (hrs)]]&gt;=Tabla1[[#This Row],[Tiempo
(Hrs 00/100)]],"cumple","no cumple"),"")</f>
        <v/>
      </c>
      <c r="W3492" s="17"/>
      <c r="X3492" s="18">
        <f t="shared" si="244"/>
        <v>0</v>
      </c>
      <c r="Y3492" t="str">
        <f>SUBSTITUTE(Tabla1[[#This Row],[Descripción]],CHAR(10),"    I    ")</f>
        <v/>
      </c>
      <c r="Z3492" s="112" t="e">
        <f>VLOOKUP(Tabla1[[#This Row],[Perfil]],Catalogos!$B$75:$D$100,3,FALSE)*Tabla1[[#This Row],[Tiempo
(Hrs 00/100)]]*1.16</f>
        <v>#N/A</v>
      </c>
    </row>
    <row r="3493" spans="1:26" ht="30" customHeight="1" x14ac:dyDescent="0.3">
      <c r="A3493" s="198"/>
      <c r="B3493" s="198"/>
      <c r="C3493" s="205"/>
      <c r="D3493" s="198"/>
      <c r="E3493" s="198"/>
      <c r="F3493" s="198"/>
      <c r="G3493" s="198"/>
      <c r="H3493" s="207"/>
      <c r="I3493" s="208"/>
      <c r="J3493" s="369"/>
      <c r="K3493" s="747"/>
      <c r="L3493" s="369"/>
      <c r="M3493" s="753"/>
      <c r="N3493" s="187"/>
      <c r="O3493" s="204"/>
      <c r="P3493" s="197"/>
      <c r="Q3493" s="201"/>
      <c r="R3493" s="202"/>
      <c r="S3493" s="241"/>
      <c r="T3493" s="241"/>
      <c r="U3493" s="241" t="str">
        <f>IFERROR(VLOOKUP(CONCATENATE(Tabla1[[#This Row],[Severidad]]," ",Tabla1[[#This Row],[Complejidad]]),Catalogos!E$120:G$128,3,FALSE),"")</f>
        <v/>
      </c>
      <c r="V3493" s="241" t="str">
        <f>IF(Tabla1[[#This Row],[Tiempo solución max (hrs)]]&lt;&gt;"",IF(Tabla1[[#This Row],[Tiempo solución max (hrs)]]&gt;=Tabla1[[#This Row],[Tiempo
(Hrs 00/100)]],"cumple","no cumple"),"")</f>
        <v/>
      </c>
      <c r="W3493" s="17"/>
      <c r="X3493" s="18">
        <f t="shared" si="244"/>
        <v>0</v>
      </c>
      <c r="Y3493" t="str">
        <f>SUBSTITUTE(Tabla1[[#This Row],[Descripción]],CHAR(10),"    I    ")</f>
        <v/>
      </c>
      <c r="Z3493" s="112" t="e">
        <f>VLOOKUP(Tabla1[[#This Row],[Perfil]],Catalogos!$B$75:$D$100,3,FALSE)*Tabla1[[#This Row],[Tiempo
(Hrs 00/100)]]*1.16</f>
        <v>#N/A</v>
      </c>
    </row>
    <row r="3494" spans="1:26" ht="30" customHeight="1" x14ac:dyDescent="0.3">
      <c r="A3494" s="198"/>
      <c r="B3494" s="198"/>
      <c r="C3494" s="205"/>
      <c r="D3494" s="198"/>
      <c r="E3494" s="198"/>
      <c r="F3494" s="198"/>
      <c r="G3494" s="198"/>
      <c r="H3494" s="207"/>
      <c r="I3494" s="208"/>
      <c r="J3494" s="369"/>
      <c r="K3494" s="747"/>
      <c r="L3494" s="369"/>
      <c r="M3494" s="753"/>
      <c r="N3494" s="187"/>
      <c r="O3494" s="204"/>
      <c r="P3494" s="197"/>
      <c r="Q3494" s="201"/>
      <c r="R3494" s="202"/>
      <c r="S3494" s="241"/>
      <c r="T3494" s="241"/>
      <c r="U3494" s="241" t="str">
        <f>IFERROR(VLOOKUP(CONCATENATE(Tabla1[[#This Row],[Severidad]]," ",Tabla1[[#This Row],[Complejidad]]),Catalogos!E$120:G$128,3,FALSE),"")</f>
        <v/>
      </c>
      <c r="V3494" s="241" t="str">
        <f>IF(Tabla1[[#This Row],[Tiempo solución max (hrs)]]&lt;&gt;"",IF(Tabla1[[#This Row],[Tiempo solución max (hrs)]]&gt;=Tabla1[[#This Row],[Tiempo
(Hrs 00/100)]],"cumple","no cumple"),"")</f>
        <v/>
      </c>
      <c r="W3494" s="17"/>
      <c r="X3494" s="18">
        <f t="shared" si="244"/>
        <v>0</v>
      </c>
      <c r="Y3494" t="str">
        <f>SUBSTITUTE(Tabla1[[#This Row],[Descripción]],CHAR(10),"    I    ")</f>
        <v/>
      </c>
      <c r="Z3494" s="112" t="e">
        <f>VLOOKUP(Tabla1[[#This Row],[Perfil]],Catalogos!$B$75:$D$100,3,FALSE)*Tabla1[[#This Row],[Tiempo
(Hrs 00/100)]]*1.16</f>
        <v>#N/A</v>
      </c>
    </row>
    <row r="3495" spans="1:26" ht="30" customHeight="1" x14ac:dyDescent="0.3">
      <c r="A3495" s="203"/>
      <c r="B3495" s="204"/>
      <c r="C3495" s="205"/>
      <c r="D3495" s="206"/>
      <c r="E3495" s="203"/>
      <c r="F3495" s="203"/>
      <c r="G3495" s="198"/>
      <c r="H3495" s="207"/>
      <c r="I3495" s="208"/>
      <c r="J3495" s="369"/>
      <c r="K3495" s="747"/>
      <c r="L3495" s="369"/>
      <c r="M3495" s="753"/>
      <c r="N3495" s="210"/>
      <c r="O3495" s="204"/>
      <c r="P3495" s="197"/>
      <c r="Q3495" s="206"/>
      <c r="R3495" s="209"/>
      <c r="S3495" s="242"/>
      <c r="T3495" s="242"/>
      <c r="U3495" s="242" t="str">
        <f>IFERROR(VLOOKUP(CONCATENATE(Tabla1[[#This Row],[Severidad]]," ",Tabla1[[#This Row],[Complejidad]]),Catalogos!E$120:G$128,3,FALSE),"")</f>
        <v/>
      </c>
      <c r="V3495" s="242" t="str">
        <f>IF(Tabla1[[#This Row],[Tiempo solución max (hrs)]]&lt;&gt;"",IF(Tabla1[[#This Row],[Tiempo solución max (hrs)]]&gt;=Tabla1[[#This Row],[Tiempo
(Hrs 00/100)]],"cumple","no cumple"),"")</f>
        <v/>
      </c>
      <c r="W3495" s="17"/>
      <c r="X3495" s="18">
        <f t="shared" si="244"/>
        <v>0</v>
      </c>
      <c r="Y3495" t="str">
        <f>SUBSTITUTE(Tabla1[[#This Row],[Descripción]],CHAR(10),"    I    ")</f>
        <v/>
      </c>
      <c r="Z3495" s="112" t="e">
        <f>VLOOKUP(Tabla1[[#This Row],[Perfil]],Catalogos!$B$75:$D$100,3,FALSE)*Tabla1[[#This Row],[Tiempo
(Hrs 00/100)]]*1.16</f>
        <v>#N/A</v>
      </c>
    </row>
    <row r="3496" spans="1:26" ht="30" customHeight="1" x14ac:dyDescent="0.3">
      <c r="A3496" s="203"/>
      <c r="B3496" s="204"/>
      <c r="C3496" s="205"/>
      <c r="D3496" s="206"/>
      <c r="E3496" s="203"/>
      <c r="F3496" s="203"/>
      <c r="G3496" s="198"/>
      <c r="H3496" s="207"/>
      <c r="I3496" s="208"/>
      <c r="J3496" s="369"/>
      <c r="K3496" s="747"/>
      <c r="L3496" s="369"/>
      <c r="M3496" s="753"/>
      <c r="N3496" s="210"/>
      <c r="O3496" s="204"/>
      <c r="P3496" s="197"/>
      <c r="Q3496" s="206"/>
      <c r="R3496" s="209"/>
      <c r="S3496" s="242"/>
      <c r="T3496" s="242"/>
      <c r="U3496" s="242" t="str">
        <f>IFERROR(VLOOKUP(CONCATENATE(Tabla1[[#This Row],[Severidad]]," ",Tabla1[[#This Row],[Complejidad]]),Catalogos!E$120:G$128,3,FALSE),"")</f>
        <v/>
      </c>
      <c r="V3496" s="242" t="str">
        <f>IF(Tabla1[[#This Row],[Tiempo solución max (hrs)]]&lt;&gt;"",IF(Tabla1[[#This Row],[Tiempo solución max (hrs)]]&gt;=Tabla1[[#This Row],[Tiempo
(Hrs 00/100)]],"cumple","no cumple"),"")</f>
        <v/>
      </c>
      <c r="W3496" s="17"/>
      <c r="X3496" s="18">
        <f t="shared" si="244"/>
        <v>0</v>
      </c>
      <c r="Y3496" t="str">
        <f>SUBSTITUTE(Tabla1[[#This Row],[Descripción]],CHAR(10),"    I    ")</f>
        <v/>
      </c>
      <c r="Z3496" s="112" t="e">
        <f>VLOOKUP(Tabla1[[#This Row],[Perfil]],Catalogos!$B$75:$D$100,3,FALSE)*Tabla1[[#This Row],[Tiempo
(Hrs 00/100)]]*1.16</f>
        <v>#N/A</v>
      </c>
    </row>
    <row r="3497" spans="1:26" ht="30" customHeight="1" x14ac:dyDescent="0.3">
      <c r="A3497" s="203"/>
      <c r="B3497" s="204"/>
      <c r="C3497" s="205"/>
      <c r="D3497" s="206"/>
      <c r="E3497" s="203"/>
      <c r="F3497" s="203"/>
      <c r="G3497" s="198"/>
      <c r="H3497" s="207"/>
      <c r="I3497" s="199"/>
      <c r="J3497" s="369"/>
      <c r="K3497" s="747"/>
      <c r="L3497" s="369"/>
      <c r="M3497" s="753"/>
      <c r="N3497" s="210"/>
      <c r="O3497" s="204"/>
      <c r="P3497" s="197"/>
      <c r="Q3497" s="201"/>
      <c r="R3497" s="202"/>
      <c r="S3497" s="241"/>
      <c r="T3497" s="241"/>
      <c r="U3497" s="241" t="str">
        <f>IFERROR(VLOOKUP(CONCATENATE(Tabla1[[#This Row],[Severidad]]," ",Tabla1[[#This Row],[Complejidad]]),Catalogos!E$120:G$128,3,FALSE),"")</f>
        <v/>
      </c>
      <c r="V3497" s="241" t="str">
        <f>IF(Tabla1[[#This Row],[Tiempo solución max (hrs)]]&lt;&gt;"",IF(Tabla1[[#This Row],[Tiempo solución max (hrs)]]&gt;=Tabla1[[#This Row],[Tiempo
(Hrs 00/100)]],"cumple","no cumple"),"")</f>
        <v/>
      </c>
      <c r="W3497" s="17"/>
      <c r="X3497" s="18">
        <f t="shared" si="244"/>
        <v>0</v>
      </c>
      <c r="Y3497" t="str">
        <f>SUBSTITUTE(Tabla1[[#This Row],[Descripción]],CHAR(10),"    I    ")</f>
        <v/>
      </c>
      <c r="Z3497" s="112" t="e">
        <f>VLOOKUP(Tabla1[[#This Row],[Perfil]],Catalogos!$B$75:$D$100,3,FALSE)*Tabla1[[#This Row],[Tiempo
(Hrs 00/100)]]*1.16</f>
        <v>#N/A</v>
      </c>
    </row>
    <row r="3498" spans="1:26" ht="30" customHeight="1" x14ac:dyDescent="0.3">
      <c r="A3498" s="198"/>
      <c r="B3498" s="198"/>
      <c r="C3498" s="205"/>
      <c r="D3498" s="198"/>
      <c r="E3498" s="198"/>
      <c r="F3498" s="198"/>
      <c r="G3498" s="198"/>
      <c r="H3498" s="207"/>
      <c r="I3498" s="208"/>
      <c r="J3498" s="369"/>
      <c r="K3498" s="747"/>
      <c r="L3498" s="369"/>
      <c r="M3498" s="753"/>
      <c r="N3498" s="187"/>
      <c r="O3498" s="204"/>
      <c r="P3498" s="197"/>
      <c r="Q3498" s="201"/>
      <c r="R3498" s="202"/>
      <c r="S3498" s="241"/>
      <c r="T3498" s="241"/>
      <c r="U3498" s="241" t="str">
        <f>IFERROR(VLOOKUP(CONCATENATE(Tabla1[[#This Row],[Severidad]]," ",Tabla1[[#This Row],[Complejidad]]),Catalogos!E$120:G$128,3,FALSE),"")</f>
        <v/>
      </c>
      <c r="V3498" s="241" t="str">
        <f>IF(Tabla1[[#This Row],[Tiempo solución max (hrs)]]&lt;&gt;"",IF(Tabla1[[#This Row],[Tiempo solución max (hrs)]]&gt;=Tabla1[[#This Row],[Tiempo
(Hrs 00/100)]],"cumple","no cumple"),"")</f>
        <v/>
      </c>
      <c r="W3498" s="17"/>
      <c r="X3498" s="18">
        <f t="shared" si="244"/>
        <v>0</v>
      </c>
      <c r="Y3498" t="str">
        <f>SUBSTITUTE(Tabla1[[#This Row],[Descripción]],CHAR(10),"    I    ")</f>
        <v/>
      </c>
      <c r="Z3498" s="112" t="e">
        <f>VLOOKUP(Tabla1[[#This Row],[Perfil]],Catalogos!$B$75:$D$100,3,FALSE)*Tabla1[[#This Row],[Tiempo
(Hrs 00/100)]]*1.16</f>
        <v>#N/A</v>
      </c>
    </row>
    <row r="3499" spans="1:26" ht="30" customHeight="1" x14ac:dyDescent="0.3">
      <c r="A3499" s="198"/>
      <c r="B3499" s="198"/>
      <c r="C3499" s="205"/>
      <c r="D3499" s="198"/>
      <c r="E3499" s="198"/>
      <c r="F3499" s="198"/>
      <c r="G3499" s="198"/>
      <c r="H3499" s="207"/>
      <c r="I3499" s="208"/>
      <c r="J3499" s="369"/>
      <c r="K3499" s="747"/>
      <c r="L3499" s="369"/>
      <c r="M3499" s="753"/>
      <c r="N3499" s="187"/>
      <c r="O3499" s="204"/>
      <c r="P3499" s="197"/>
      <c r="Q3499" s="201"/>
      <c r="R3499" s="202"/>
      <c r="S3499" s="241"/>
      <c r="T3499" s="241"/>
      <c r="U3499" s="241" t="str">
        <f>IFERROR(VLOOKUP(CONCATENATE(Tabla1[[#This Row],[Severidad]]," ",Tabla1[[#This Row],[Complejidad]]),Catalogos!E$120:G$128,3,FALSE),"")</f>
        <v/>
      </c>
      <c r="V3499" s="241" t="str">
        <f>IF(Tabla1[[#This Row],[Tiempo solución max (hrs)]]&lt;&gt;"",IF(Tabla1[[#This Row],[Tiempo solución max (hrs)]]&gt;=Tabla1[[#This Row],[Tiempo
(Hrs 00/100)]],"cumple","no cumple"),"")</f>
        <v/>
      </c>
      <c r="W3499" s="17"/>
      <c r="X3499" s="18">
        <f t="shared" si="244"/>
        <v>0</v>
      </c>
      <c r="Y3499" t="str">
        <f>SUBSTITUTE(Tabla1[[#This Row],[Descripción]],CHAR(10),"    I    ")</f>
        <v/>
      </c>
      <c r="Z3499" s="112" t="e">
        <f>VLOOKUP(Tabla1[[#This Row],[Perfil]],Catalogos!$B$75:$D$100,3,FALSE)*Tabla1[[#This Row],[Tiempo
(Hrs 00/100)]]*1.16</f>
        <v>#N/A</v>
      </c>
    </row>
    <row r="3500" spans="1:26" ht="30" customHeight="1" x14ac:dyDescent="0.3">
      <c r="A3500" s="203"/>
      <c r="B3500" s="204"/>
      <c r="C3500" s="205"/>
      <c r="D3500" s="206"/>
      <c r="E3500" s="203"/>
      <c r="F3500" s="203"/>
      <c r="G3500" s="198"/>
      <c r="H3500" s="207"/>
      <c r="I3500" s="208"/>
      <c r="J3500" s="369"/>
      <c r="K3500" s="747"/>
      <c r="L3500" s="369"/>
      <c r="M3500" s="753"/>
      <c r="N3500" s="210"/>
      <c r="O3500" s="204"/>
      <c r="P3500" s="197"/>
      <c r="Q3500" s="206"/>
      <c r="R3500" s="209"/>
      <c r="S3500" s="242"/>
      <c r="T3500" s="242"/>
      <c r="U3500" s="242" t="str">
        <f>IFERROR(VLOOKUP(CONCATENATE(Tabla1[[#This Row],[Severidad]]," ",Tabla1[[#This Row],[Complejidad]]),Catalogos!E$120:G$128,3,FALSE),"")</f>
        <v/>
      </c>
      <c r="V3500" s="242" t="str">
        <f>IF(Tabla1[[#This Row],[Tiempo solución max (hrs)]]&lt;&gt;"",IF(Tabla1[[#This Row],[Tiempo solución max (hrs)]]&gt;=Tabla1[[#This Row],[Tiempo
(Hrs 00/100)]],"cumple","no cumple"),"")</f>
        <v/>
      </c>
      <c r="W3500" s="17"/>
      <c r="X3500" s="18">
        <f t="shared" si="244"/>
        <v>0</v>
      </c>
      <c r="Y3500" t="str">
        <f>SUBSTITUTE(Tabla1[[#This Row],[Descripción]],CHAR(10),"    I    ")</f>
        <v/>
      </c>
      <c r="Z3500" s="112" t="e">
        <f>VLOOKUP(Tabla1[[#This Row],[Perfil]],Catalogos!$B$75:$D$100,3,FALSE)*Tabla1[[#This Row],[Tiempo
(Hrs 00/100)]]*1.16</f>
        <v>#N/A</v>
      </c>
    </row>
    <row r="3501" spans="1:26" ht="30" customHeight="1" x14ac:dyDescent="0.3">
      <c r="A3501" s="198"/>
      <c r="B3501" s="198"/>
      <c r="C3501" s="205"/>
      <c r="D3501" s="198"/>
      <c r="E3501" s="198"/>
      <c r="F3501" s="198"/>
      <c r="G3501" s="198"/>
      <c r="H3501" s="207"/>
      <c r="I3501" s="208"/>
      <c r="J3501" s="369"/>
      <c r="K3501" s="747"/>
      <c r="L3501" s="369"/>
      <c r="M3501" s="753"/>
      <c r="N3501" s="187"/>
      <c r="O3501" s="204"/>
      <c r="P3501" s="197"/>
      <c r="Q3501" s="201"/>
      <c r="R3501" s="202"/>
      <c r="S3501" s="241"/>
      <c r="T3501" s="241"/>
      <c r="U3501" s="241" t="str">
        <f>IFERROR(VLOOKUP(CONCATENATE(Tabla1[[#This Row],[Severidad]]," ",Tabla1[[#This Row],[Complejidad]]),Catalogos!E$120:G$128,3,FALSE),"")</f>
        <v/>
      </c>
      <c r="V3501" s="241" t="str">
        <f>IF(Tabla1[[#This Row],[Tiempo solución max (hrs)]]&lt;&gt;"",IF(Tabla1[[#This Row],[Tiempo solución max (hrs)]]&gt;=Tabla1[[#This Row],[Tiempo
(Hrs 00/100)]],"cumple","no cumple"),"")</f>
        <v/>
      </c>
      <c r="W3501" s="17"/>
      <c r="X3501" s="18">
        <f t="shared" si="244"/>
        <v>0</v>
      </c>
      <c r="Y3501" t="str">
        <f>SUBSTITUTE(Tabla1[[#This Row],[Descripción]],CHAR(10),"    I    ")</f>
        <v/>
      </c>
      <c r="Z3501" s="112" t="e">
        <f>VLOOKUP(Tabla1[[#This Row],[Perfil]],Catalogos!$B$75:$D$100,3,FALSE)*Tabla1[[#This Row],[Tiempo
(Hrs 00/100)]]*1.16</f>
        <v>#N/A</v>
      </c>
    </row>
    <row r="3502" spans="1:26" ht="30" customHeight="1" x14ac:dyDescent="0.3">
      <c r="A3502" s="198"/>
      <c r="B3502" s="198"/>
      <c r="C3502" s="205"/>
      <c r="D3502" s="198"/>
      <c r="E3502" s="198"/>
      <c r="F3502" s="198"/>
      <c r="G3502" s="198"/>
      <c r="H3502" s="207"/>
      <c r="I3502" s="208"/>
      <c r="J3502" s="369"/>
      <c r="K3502" s="747"/>
      <c r="L3502" s="369"/>
      <c r="M3502" s="753"/>
      <c r="N3502" s="187"/>
      <c r="O3502" s="204"/>
      <c r="P3502" s="197"/>
      <c r="Q3502" s="201"/>
      <c r="R3502" s="202"/>
      <c r="S3502" s="241"/>
      <c r="T3502" s="241"/>
      <c r="U3502" s="241" t="str">
        <f>IFERROR(VLOOKUP(CONCATENATE(Tabla1[[#This Row],[Severidad]]," ",Tabla1[[#This Row],[Complejidad]]),Catalogos!E$120:G$128,3,FALSE),"")</f>
        <v/>
      </c>
      <c r="V3502" s="241" t="str">
        <f>IF(Tabla1[[#This Row],[Tiempo solución max (hrs)]]&lt;&gt;"",IF(Tabla1[[#This Row],[Tiempo solución max (hrs)]]&gt;=Tabla1[[#This Row],[Tiempo
(Hrs 00/100)]],"cumple","no cumple"),"")</f>
        <v/>
      </c>
      <c r="W3502" s="17"/>
      <c r="X3502" s="18">
        <f t="shared" si="244"/>
        <v>0</v>
      </c>
      <c r="Y3502" t="str">
        <f>SUBSTITUTE(Tabla1[[#This Row],[Descripción]],CHAR(10),"    I    ")</f>
        <v/>
      </c>
      <c r="Z3502" s="112" t="e">
        <f>VLOOKUP(Tabla1[[#This Row],[Perfil]],Catalogos!$B$75:$D$100,3,FALSE)*Tabla1[[#This Row],[Tiempo
(Hrs 00/100)]]*1.16</f>
        <v>#N/A</v>
      </c>
    </row>
    <row r="3503" spans="1:26" ht="30" customHeight="1" x14ac:dyDescent="0.3">
      <c r="A3503" s="198"/>
      <c r="B3503" s="198"/>
      <c r="C3503" s="205"/>
      <c r="D3503" s="198"/>
      <c r="E3503" s="198"/>
      <c r="F3503" s="198"/>
      <c r="G3503" s="198"/>
      <c r="H3503" s="207"/>
      <c r="I3503" s="208"/>
      <c r="J3503" s="369"/>
      <c r="K3503" s="747"/>
      <c r="L3503" s="369"/>
      <c r="M3503" s="753"/>
      <c r="N3503" s="187"/>
      <c r="O3503" s="204"/>
      <c r="P3503" s="197"/>
      <c r="Q3503" s="201"/>
      <c r="R3503" s="202"/>
      <c r="S3503" s="241"/>
      <c r="T3503" s="241"/>
      <c r="U3503" s="241" t="str">
        <f>IFERROR(VLOOKUP(CONCATENATE(Tabla1[[#This Row],[Severidad]]," ",Tabla1[[#This Row],[Complejidad]]),Catalogos!E$120:G$128,3,FALSE),"")</f>
        <v/>
      </c>
      <c r="V3503" s="241" t="str">
        <f>IF(Tabla1[[#This Row],[Tiempo solución max (hrs)]]&lt;&gt;"",IF(Tabla1[[#This Row],[Tiempo solución max (hrs)]]&gt;=Tabla1[[#This Row],[Tiempo
(Hrs 00/100)]],"cumple","no cumple"),"")</f>
        <v/>
      </c>
      <c r="W3503" s="17"/>
      <c r="X3503" s="18">
        <f t="shared" si="244"/>
        <v>0</v>
      </c>
      <c r="Y3503" t="str">
        <f>SUBSTITUTE(Tabla1[[#This Row],[Descripción]],CHAR(10),"    I    ")</f>
        <v/>
      </c>
      <c r="Z3503" s="112" t="e">
        <f>VLOOKUP(Tabla1[[#This Row],[Perfil]],Catalogos!$B$75:$D$100,3,FALSE)*Tabla1[[#This Row],[Tiempo
(Hrs 00/100)]]*1.16</f>
        <v>#N/A</v>
      </c>
    </row>
    <row r="3504" spans="1:26" ht="30" customHeight="1" x14ac:dyDescent="0.3">
      <c r="A3504" s="198"/>
      <c r="B3504" s="198"/>
      <c r="C3504" s="205"/>
      <c r="D3504" s="198"/>
      <c r="E3504" s="198"/>
      <c r="F3504" s="198"/>
      <c r="G3504" s="198"/>
      <c r="H3504" s="207"/>
      <c r="I3504" s="208"/>
      <c r="J3504" s="369"/>
      <c r="K3504" s="747"/>
      <c r="L3504" s="369"/>
      <c r="M3504" s="753"/>
      <c r="N3504" s="187"/>
      <c r="O3504" s="204"/>
      <c r="P3504" s="197"/>
      <c r="Q3504" s="201"/>
      <c r="R3504" s="202"/>
      <c r="S3504" s="241"/>
      <c r="T3504" s="241"/>
      <c r="U3504" s="241" t="str">
        <f>IFERROR(VLOOKUP(CONCATENATE(Tabla1[[#This Row],[Severidad]]," ",Tabla1[[#This Row],[Complejidad]]),Catalogos!E$120:G$128,3,FALSE),"")</f>
        <v/>
      </c>
      <c r="V3504" s="241" t="str">
        <f>IF(Tabla1[[#This Row],[Tiempo solución max (hrs)]]&lt;&gt;"",IF(Tabla1[[#This Row],[Tiempo solución max (hrs)]]&gt;=Tabla1[[#This Row],[Tiempo
(Hrs 00/100)]],"cumple","no cumple"),"")</f>
        <v/>
      </c>
      <c r="W3504" s="17"/>
      <c r="X3504" s="18">
        <f t="shared" si="244"/>
        <v>0</v>
      </c>
      <c r="Y3504" t="str">
        <f>SUBSTITUTE(Tabla1[[#This Row],[Descripción]],CHAR(10),"    I    ")</f>
        <v/>
      </c>
      <c r="Z3504" s="112" t="e">
        <f>VLOOKUP(Tabla1[[#This Row],[Perfil]],Catalogos!$B$75:$D$100,3,FALSE)*Tabla1[[#This Row],[Tiempo
(Hrs 00/100)]]*1.16</f>
        <v>#N/A</v>
      </c>
    </row>
    <row r="3505" spans="1:26" ht="30" customHeight="1" x14ac:dyDescent="0.3">
      <c r="A3505" s="198"/>
      <c r="B3505" s="198"/>
      <c r="C3505" s="205"/>
      <c r="D3505" s="198"/>
      <c r="E3505" s="198"/>
      <c r="F3505" s="198"/>
      <c r="G3505" s="198"/>
      <c r="H3505" s="207"/>
      <c r="I3505" s="208"/>
      <c r="J3505" s="369"/>
      <c r="K3505" s="747"/>
      <c r="L3505" s="369"/>
      <c r="M3505" s="753"/>
      <c r="N3505" s="187"/>
      <c r="O3505" s="204"/>
      <c r="P3505" s="197"/>
      <c r="Q3505" s="201"/>
      <c r="R3505" s="202"/>
      <c r="S3505" s="241"/>
      <c r="T3505" s="241"/>
      <c r="U3505" s="241" t="str">
        <f>IFERROR(VLOOKUP(CONCATENATE(Tabla1[[#This Row],[Severidad]]," ",Tabla1[[#This Row],[Complejidad]]),Catalogos!E$120:G$128,3,FALSE),"")</f>
        <v/>
      </c>
      <c r="V3505" s="241" t="str">
        <f>IF(Tabla1[[#This Row],[Tiempo solución max (hrs)]]&lt;&gt;"",IF(Tabla1[[#This Row],[Tiempo solución max (hrs)]]&gt;=Tabla1[[#This Row],[Tiempo
(Hrs 00/100)]],"cumple","no cumple"),"")</f>
        <v/>
      </c>
      <c r="W3505" s="17"/>
      <c r="X3505" s="18">
        <f t="shared" si="244"/>
        <v>0</v>
      </c>
      <c r="Y3505" t="str">
        <f>SUBSTITUTE(Tabla1[[#This Row],[Descripción]],CHAR(10),"    I    ")</f>
        <v/>
      </c>
      <c r="Z3505" s="112" t="e">
        <f>VLOOKUP(Tabla1[[#This Row],[Perfil]],Catalogos!$B$75:$D$100,3,FALSE)*Tabla1[[#This Row],[Tiempo
(Hrs 00/100)]]*1.16</f>
        <v>#N/A</v>
      </c>
    </row>
    <row r="3506" spans="1:26" ht="30" customHeight="1" x14ac:dyDescent="0.3">
      <c r="A3506" s="198"/>
      <c r="B3506" s="198"/>
      <c r="C3506" s="205"/>
      <c r="D3506" s="198"/>
      <c r="E3506" s="198"/>
      <c r="F3506" s="198"/>
      <c r="G3506" s="198"/>
      <c r="H3506" s="207"/>
      <c r="I3506" s="208"/>
      <c r="J3506" s="369"/>
      <c r="K3506" s="747"/>
      <c r="L3506" s="369"/>
      <c r="M3506" s="753"/>
      <c r="N3506" s="187"/>
      <c r="O3506" s="204"/>
      <c r="P3506" s="197"/>
      <c r="Q3506" s="201"/>
      <c r="R3506" s="202"/>
      <c r="S3506" s="241"/>
      <c r="T3506" s="241"/>
      <c r="U3506" s="241" t="str">
        <f>IFERROR(VLOOKUP(CONCATENATE(Tabla1[[#This Row],[Severidad]]," ",Tabla1[[#This Row],[Complejidad]]),Catalogos!E$120:G$128,3,FALSE),"")</f>
        <v/>
      </c>
      <c r="V3506" s="241" t="str">
        <f>IF(Tabla1[[#This Row],[Tiempo solución max (hrs)]]&lt;&gt;"",IF(Tabla1[[#This Row],[Tiempo solución max (hrs)]]&gt;=Tabla1[[#This Row],[Tiempo
(Hrs 00/100)]],"cumple","no cumple"),"")</f>
        <v/>
      </c>
      <c r="W3506" s="17"/>
      <c r="X3506" s="18">
        <f t="shared" si="244"/>
        <v>0</v>
      </c>
      <c r="Y3506" t="str">
        <f>SUBSTITUTE(Tabla1[[#This Row],[Descripción]],CHAR(10),"    I    ")</f>
        <v/>
      </c>
      <c r="Z3506" s="112" t="e">
        <f>VLOOKUP(Tabla1[[#This Row],[Perfil]],Catalogos!$B$75:$D$100,3,FALSE)*Tabla1[[#This Row],[Tiempo
(Hrs 00/100)]]*1.16</f>
        <v>#N/A</v>
      </c>
    </row>
    <row r="3507" spans="1:26" ht="30" customHeight="1" x14ac:dyDescent="0.3">
      <c r="A3507" s="198"/>
      <c r="B3507" s="198"/>
      <c r="C3507" s="205"/>
      <c r="D3507" s="198"/>
      <c r="E3507" s="198"/>
      <c r="F3507" s="198"/>
      <c r="G3507" s="198"/>
      <c r="H3507" s="207"/>
      <c r="I3507" s="208"/>
      <c r="J3507" s="369"/>
      <c r="K3507" s="747"/>
      <c r="L3507" s="369"/>
      <c r="M3507" s="753"/>
      <c r="N3507" s="187"/>
      <c r="O3507" s="204"/>
      <c r="P3507" s="197"/>
      <c r="Q3507" s="201"/>
      <c r="R3507" s="202"/>
      <c r="S3507" s="241"/>
      <c r="T3507" s="241"/>
      <c r="U3507" s="241" t="str">
        <f>IFERROR(VLOOKUP(CONCATENATE(Tabla1[[#This Row],[Severidad]]," ",Tabla1[[#This Row],[Complejidad]]),Catalogos!E$120:G$128,3,FALSE),"")</f>
        <v/>
      </c>
      <c r="V3507" s="241" t="str">
        <f>IF(Tabla1[[#This Row],[Tiempo solución max (hrs)]]&lt;&gt;"",IF(Tabla1[[#This Row],[Tiempo solución max (hrs)]]&gt;=Tabla1[[#This Row],[Tiempo
(Hrs 00/100)]],"cumple","no cumple"),"")</f>
        <v/>
      </c>
      <c r="W3507" s="17"/>
      <c r="X3507" s="18">
        <f t="shared" si="244"/>
        <v>0</v>
      </c>
      <c r="Y3507" t="str">
        <f>SUBSTITUTE(Tabla1[[#This Row],[Descripción]],CHAR(10),"    I    ")</f>
        <v/>
      </c>
      <c r="Z3507" s="112" t="e">
        <f>VLOOKUP(Tabla1[[#This Row],[Perfil]],Catalogos!$B$75:$D$100,3,FALSE)*Tabla1[[#This Row],[Tiempo
(Hrs 00/100)]]*1.16</f>
        <v>#N/A</v>
      </c>
    </row>
    <row r="3508" spans="1:26" ht="30" customHeight="1" x14ac:dyDescent="0.3">
      <c r="A3508" s="198"/>
      <c r="B3508" s="198"/>
      <c r="C3508" s="205"/>
      <c r="D3508" s="198"/>
      <c r="E3508" s="198"/>
      <c r="F3508" s="198"/>
      <c r="G3508" s="198"/>
      <c r="H3508" s="207"/>
      <c r="I3508" s="208"/>
      <c r="J3508" s="369"/>
      <c r="K3508" s="747"/>
      <c r="L3508" s="369"/>
      <c r="M3508" s="753"/>
      <c r="N3508" s="187"/>
      <c r="O3508" s="204"/>
      <c r="P3508" s="197"/>
      <c r="Q3508" s="201"/>
      <c r="R3508" s="202"/>
      <c r="S3508" s="241"/>
      <c r="T3508" s="241"/>
      <c r="U3508" s="241" t="str">
        <f>IFERROR(VLOOKUP(CONCATENATE(Tabla1[[#This Row],[Severidad]]," ",Tabla1[[#This Row],[Complejidad]]),Catalogos!E$120:G$128,3,FALSE),"")</f>
        <v/>
      </c>
      <c r="V3508" s="241" t="str">
        <f>IF(Tabla1[[#This Row],[Tiempo solución max (hrs)]]&lt;&gt;"",IF(Tabla1[[#This Row],[Tiempo solución max (hrs)]]&gt;=Tabla1[[#This Row],[Tiempo
(Hrs 00/100)]],"cumple","no cumple"),"")</f>
        <v/>
      </c>
      <c r="W3508" s="17"/>
      <c r="X3508" s="18">
        <f t="shared" si="244"/>
        <v>0</v>
      </c>
      <c r="Y3508" t="str">
        <f>SUBSTITUTE(Tabla1[[#This Row],[Descripción]],CHAR(10),"    I    ")</f>
        <v/>
      </c>
      <c r="Z3508" s="112" t="e">
        <f>VLOOKUP(Tabla1[[#This Row],[Perfil]],Catalogos!$B$75:$D$100,3,FALSE)*Tabla1[[#This Row],[Tiempo
(Hrs 00/100)]]*1.16</f>
        <v>#N/A</v>
      </c>
    </row>
    <row r="3509" spans="1:26" ht="30" customHeight="1" x14ac:dyDescent="0.3">
      <c r="A3509" s="198"/>
      <c r="B3509" s="198"/>
      <c r="C3509" s="205"/>
      <c r="D3509" s="198"/>
      <c r="E3509" s="198"/>
      <c r="F3509" s="198"/>
      <c r="G3509" s="198"/>
      <c r="H3509" s="207"/>
      <c r="I3509" s="208"/>
      <c r="J3509" s="369"/>
      <c r="K3509" s="747"/>
      <c r="L3509" s="369"/>
      <c r="M3509" s="753"/>
      <c r="N3509" s="187"/>
      <c r="O3509" s="204"/>
      <c r="P3509" s="197"/>
      <c r="Q3509" s="201"/>
      <c r="R3509" s="202"/>
      <c r="S3509" s="241"/>
      <c r="T3509" s="241"/>
      <c r="U3509" s="241" t="str">
        <f>IFERROR(VLOOKUP(CONCATENATE(Tabla1[[#This Row],[Severidad]]," ",Tabla1[[#This Row],[Complejidad]]),Catalogos!E$120:G$128,3,FALSE),"")</f>
        <v/>
      </c>
      <c r="V3509" s="241" t="str">
        <f>IF(Tabla1[[#This Row],[Tiempo solución max (hrs)]]&lt;&gt;"",IF(Tabla1[[#This Row],[Tiempo solución max (hrs)]]&gt;=Tabla1[[#This Row],[Tiempo
(Hrs 00/100)]],"cumple","no cumple"),"")</f>
        <v/>
      </c>
      <c r="W3509" s="17"/>
      <c r="X3509" s="18">
        <f t="shared" si="244"/>
        <v>0</v>
      </c>
      <c r="Y3509" t="str">
        <f>SUBSTITUTE(Tabla1[[#This Row],[Descripción]],CHAR(10),"    I    ")</f>
        <v/>
      </c>
      <c r="Z3509" s="112" t="e">
        <f>VLOOKUP(Tabla1[[#This Row],[Perfil]],Catalogos!$B$75:$D$100,3,FALSE)*Tabla1[[#This Row],[Tiempo
(Hrs 00/100)]]*1.16</f>
        <v>#N/A</v>
      </c>
    </row>
    <row r="3510" spans="1:26" ht="30" customHeight="1" x14ac:dyDescent="0.3">
      <c r="A3510" s="198"/>
      <c r="B3510" s="198"/>
      <c r="C3510" s="205"/>
      <c r="D3510" s="198"/>
      <c r="E3510" s="198"/>
      <c r="F3510" s="198"/>
      <c r="G3510" s="198"/>
      <c r="H3510" s="207"/>
      <c r="I3510" s="208"/>
      <c r="J3510" s="369"/>
      <c r="K3510" s="747"/>
      <c r="L3510" s="369"/>
      <c r="M3510" s="753"/>
      <c r="N3510" s="187"/>
      <c r="O3510" s="204"/>
      <c r="P3510" s="197"/>
      <c r="Q3510" s="201"/>
      <c r="R3510" s="202"/>
      <c r="S3510" s="241"/>
      <c r="T3510" s="241"/>
      <c r="U3510" s="241" t="str">
        <f>IFERROR(VLOOKUP(CONCATENATE(Tabla1[[#This Row],[Severidad]]," ",Tabla1[[#This Row],[Complejidad]]),Catalogos!E$120:G$128,3,FALSE),"")</f>
        <v/>
      </c>
      <c r="V3510" s="241" t="str">
        <f>IF(Tabla1[[#This Row],[Tiempo solución max (hrs)]]&lt;&gt;"",IF(Tabla1[[#This Row],[Tiempo solución max (hrs)]]&gt;=Tabla1[[#This Row],[Tiempo
(Hrs 00/100)]],"cumple","no cumple"),"")</f>
        <v/>
      </c>
      <c r="W3510" s="17"/>
      <c r="X3510" s="18">
        <f t="shared" si="244"/>
        <v>0</v>
      </c>
      <c r="Y3510" t="str">
        <f>SUBSTITUTE(Tabla1[[#This Row],[Descripción]],CHAR(10),"    I    ")</f>
        <v/>
      </c>
      <c r="Z3510" s="112" t="e">
        <f>VLOOKUP(Tabla1[[#This Row],[Perfil]],Catalogos!$B$75:$D$100,3,FALSE)*Tabla1[[#This Row],[Tiempo
(Hrs 00/100)]]*1.16</f>
        <v>#N/A</v>
      </c>
    </row>
    <row r="3511" spans="1:26" ht="30" customHeight="1" x14ac:dyDescent="0.3">
      <c r="A3511" s="187"/>
      <c r="B3511" s="188"/>
      <c r="C3511" s="183"/>
      <c r="D3511" s="182"/>
      <c r="E3511" s="187"/>
      <c r="F3511" s="187"/>
      <c r="G3511" s="198"/>
      <c r="H3511" s="186"/>
      <c r="I3511" s="178"/>
      <c r="J3511" s="713"/>
      <c r="K3511" s="758"/>
      <c r="L3511" s="713"/>
      <c r="M3511" s="758"/>
      <c r="N3511" s="187"/>
      <c r="O3511" s="184"/>
      <c r="P3511" s="196"/>
      <c r="Q3511" s="182"/>
      <c r="R3511" s="171"/>
      <c r="S3511" s="243"/>
      <c r="T3511" s="243"/>
      <c r="U3511" s="243" t="str">
        <f>IFERROR(VLOOKUP(CONCATENATE(Tabla1[[#This Row],[Severidad]]," ",Tabla1[[#This Row],[Complejidad]]),Catalogos!E$120:G$128,3,FALSE),"")</f>
        <v/>
      </c>
      <c r="V3511" s="243" t="str">
        <f>IF(Tabla1[[#This Row],[Tiempo solución max (hrs)]]&lt;&gt;"",IF(Tabla1[[#This Row],[Tiempo solución max (hrs)]]&gt;=Tabla1[[#This Row],[Tiempo
(Hrs 00/100)]],"cumple","no cumple"),"")</f>
        <v/>
      </c>
      <c r="W3511" s="17"/>
      <c r="X3511" s="18">
        <f t="shared" si="244"/>
        <v>0</v>
      </c>
      <c r="Y3511" t="str">
        <f>SUBSTITUTE(Tabla1[[#This Row],[Descripción]],CHAR(10),"    I    ")</f>
        <v/>
      </c>
      <c r="Z3511" s="112" t="e">
        <f>VLOOKUP(Tabla1[[#This Row],[Perfil]],Catalogos!$B$75:$D$100,3,FALSE)*Tabla1[[#This Row],[Tiempo
(Hrs 00/100)]]*1.16</f>
        <v>#N/A</v>
      </c>
    </row>
    <row r="3512" spans="1:26" ht="30" customHeight="1" x14ac:dyDescent="0.3">
      <c r="A3512" s="187"/>
      <c r="B3512" s="188"/>
      <c r="C3512" s="183"/>
      <c r="D3512" s="182"/>
      <c r="E3512" s="187"/>
      <c r="F3512" s="187"/>
      <c r="G3512" s="198"/>
      <c r="H3512" s="186"/>
      <c r="I3512" s="178"/>
      <c r="J3512" s="713"/>
      <c r="K3512" s="758"/>
      <c r="L3512" s="713"/>
      <c r="M3512" s="758"/>
      <c r="N3512" s="187"/>
      <c r="O3512" s="184"/>
      <c r="P3512" s="185"/>
      <c r="Q3512" s="182"/>
      <c r="R3512" s="171"/>
      <c r="S3512" s="243"/>
      <c r="T3512" s="243"/>
      <c r="U3512" s="243" t="str">
        <f>IFERROR(VLOOKUP(CONCATENATE(Tabla1[[#This Row],[Severidad]]," ",Tabla1[[#This Row],[Complejidad]]),Catalogos!E$120:G$128,3,FALSE),"")</f>
        <v/>
      </c>
      <c r="V3512" s="243" t="str">
        <f>IF(Tabla1[[#This Row],[Tiempo solución max (hrs)]]&lt;&gt;"",IF(Tabla1[[#This Row],[Tiempo solución max (hrs)]]&gt;=Tabla1[[#This Row],[Tiempo
(Hrs 00/100)]],"cumple","no cumple"),"")</f>
        <v/>
      </c>
      <c r="W3512" s="17"/>
      <c r="X3512" s="18">
        <f t="shared" si="244"/>
        <v>0</v>
      </c>
      <c r="Y3512" t="str">
        <f>SUBSTITUTE(Tabla1[[#This Row],[Descripción]],CHAR(10),"    I    ")</f>
        <v/>
      </c>
      <c r="Z3512" s="112" t="e">
        <f>VLOOKUP(Tabla1[[#This Row],[Perfil]],Catalogos!$B$75:$D$100,3,FALSE)*Tabla1[[#This Row],[Tiempo
(Hrs 00/100)]]*1.16</f>
        <v>#N/A</v>
      </c>
    </row>
    <row r="3513" spans="1:26" ht="30" customHeight="1" x14ac:dyDescent="0.3">
      <c r="A3513" s="187"/>
      <c r="B3513" s="188"/>
      <c r="C3513" s="183"/>
      <c r="D3513" s="182"/>
      <c r="E3513" s="187"/>
      <c r="F3513" s="187"/>
      <c r="G3513" s="198"/>
      <c r="H3513" s="186"/>
      <c r="I3513" s="178"/>
      <c r="J3513" s="713"/>
      <c r="K3513" s="740"/>
      <c r="L3513" s="713"/>
      <c r="M3513" s="740"/>
      <c r="N3513" s="187"/>
      <c r="O3513" s="184"/>
      <c r="P3513" s="185"/>
      <c r="Q3513" s="182"/>
      <c r="R3513" s="171"/>
      <c r="S3513" s="243"/>
      <c r="T3513" s="243"/>
      <c r="U3513" s="243" t="str">
        <f>IFERROR(VLOOKUP(CONCATENATE(Tabla1[[#This Row],[Severidad]]," ",Tabla1[[#This Row],[Complejidad]]),Catalogos!E$120:G$128,3,FALSE),"")</f>
        <v/>
      </c>
      <c r="V3513" s="243" t="str">
        <f>IF(Tabla1[[#This Row],[Tiempo solución max (hrs)]]&lt;&gt;"",IF(Tabla1[[#This Row],[Tiempo solución max (hrs)]]&gt;=Tabla1[[#This Row],[Tiempo
(Hrs 00/100)]],"cumple","no cumple"),"")</f>
        <v/>
      </c>
      <c r="W3513" s="17"/>
      <c r="X3513" s="18">
        <f t="shared" si="244"/>
        <v>0</v>
      </c>
      <c r="Y3513" t="str">
        <f>SUBSTITUTE(Tabla1[[#This Row],[Descripción]],CHAR(10),"    I    ")</f>
        <v/>
      </c>
      <c r="Z3513" s="112" t="e">
        <f>VLOOKUP(Tabla1[[#This Row],[Perfil]],Catalogos!$B$75:$D$100,3,FALSE)*Tabla1[[#This Row],[Tiempo
(Hrs 00/100)]]*1.16</f>
        <v>#N/A</v>
      </c>
    </row>
    <row r="3514" spans="1:26" ht="30" customHeight="1" x14ac:dyDescent="0.3">
      <c r="A3514" s="187"/>
      <c r="B3514" s="188"/>
      <c r="C3514" s="183"/>
      <c r="D3514" s="182"/>
      <c r="E3514" s="187"/>
      <c r="F3514" s="187"/>
      <c r="G3514" s="198"/>
      <c r="H3514" s="186"/>
      <c r="I3514" s="178"/>
      <c r="J3514" s="713"/>
      <c r="K3514" s="740"/>
      <c r="L3514" s="713"/>
      <c r="M3514" s="740"/>
      <c r="N3514" s="187"/>
      <c r="O3514" s="184"/>
      <c r="P3514" s="185"/>
      <c r="Q3514" s="182"/>
      <c r="R3514" s="171"/>
      <c r="S3514" s="243"/>
      <c r="T3514" s="243"/>
      <c r="U3514" s="243" t="str">
        <f>IFERROR(VLOOKUP(CONCATENATE(Tabla1[[#This Row],[Severidad]]," ",Tabla1[[#This Row],[Complejidad]]),Catalogos!E$120:G$128,3,FALSE),"")</f>
        <v/>
      </c>
      <c r="V3514" s="243" t="str">
        <f>IF(Tabla1[[#This Row],[Tiempo solución max (hrs)]]&lt;&gt;"",IF(Tabla1[[#This Row],[Tiempo solución max (hrs)]]&gt;=Tabla1[[#This Row],[Tiempo
(Hrs 00/100)]],"cumple","no cumple"),"")</f>
        <v/>
      </c>
      <c r="W3514" s="17"/>
      <c r="X3514" s="18">
        <f t="shared" si="244"/>
        <v>0</v>
      </c>
      <c r="Y3514" t="str">
        <f>SUBSTITUTE(Tabla1[[#This Row],[Descripción]],CHAR(10),"    I    ")</f>
        <v/>
      </c>
      <c r="Z3514" s="112" t="e">
        <f>VLOOKUP(Tabla1[[#This Row],[Perfil]],Catalogos!$B$75:$D$100,3,FALSE)*Tabla1[[#This Row],[Tiempo
(Hrs 00/100)]]*1.16</f>
        <v>#N/A</v>
      </c>
    </row>
    <row r="3515" spans="1:26" ht="30" customHeight="1" x14ac:dyDescent="0.3">
      <c r="A3515" s="187"/>
      <c r="B3515" s="188"/>
      <c r="C3515" s="183"/>
      <c r="D3515" s="182"/>
      <c r="E3515" s="187"/>
      <c r="F3515" s="187"/>
      <c r="G3515" s="198"/>
      <c r="H3515" s="186"/>
      <c r="I3515" s="178"/>
      <c r="J3515" s="713"/>
      <c r="K3515" s="758"/>
      <c r="L3515" s="713"/>
      <c r="M3515" s="758"/>
      <c r="N3515" s="187"/>
      <c r="O3515" s="184"/>
      <c r="P3515" s="185"/>
      <c r="Q3515" s="182"/>
      <c r="R3515" s="171"/>
      <c r="S3515" s="243"/>
      <c r="T3515" s="243"/>
      <c r="U3515" s="243" t="str">
        <f>IFERROR(VLOOKUP(CONCATENATE(Tabla1[[#This Row],[Severidad]]," ",Tabla1[[#This Row],[Complejidad]]),Catalogos!E$120:G$128,3,FALSE),"")</f>
        <v/>
      </c>
      <c r="V3515" s="243" t="str">
        <f>IF(Tabla1[[#This Row],[Tiempo solución max (hrs)]]&lt;&gt;"",IF(Tabla1[[#This Row],[Tiempo solución max (hrs)]]&gt;=Tabla1[[#This Row],[Tiempo
(Hrs 00/100)]],"cumple","no cumple"),"")</f>
        <v/>
      </c>
      <c r="W3515" s="17"/>
      <c r="X3515" s="18">
        <f t="shared" si="244"/>
        <v>0</v>
      </c>
      <c r="Y3515" t="str">
        <f>SUBSTITUTE(Tabla1[[#This Row],[Descripción]],CHAR(10),"    I    ")</f>
        <v/>
      </c>
      <c r="Z3515" s="112" t="e">
        <f>VLOOKUP(Tabla1[[#This Row],[Perfil]],Catalogos!$B$75:$D$100,3,FALSE)*Tabla1[[#This Row],[Tiempo
(Hrs 00/100)]]*1.16</f>
        <v>#N/A</v>
      </c>
    </row>
    <row r="3516" spans="1:26" ht="30" customHeight="1" x14ac:dyDescent="0.3">
      <c r="A3516" s="187"/>
      <c r="B3516" s="188"/>
      <c r="C3516" s="183"/>
      <c r="D3516" s="182"/>
      <c r="E3516" s="187"/>
      <c r="F3516" s="187"/>
      <c r="G3516" s="198"/>
      <c r="H3516" s="186"/>
      <c r="I3516" s="178"/>
      <c r="J3516" s="713"/>
      <c r="K3516" s="740"/>
      <c r="L3516" s="713"/>
      <c r="M3516" s="740"/>
      <c r="N3516" s="187"/>
      <c r="O3516" s="184"/>
      <c r="P3516" s="218"/>
      <c r="Q3516" s="182"/>
      <c r="R3516" s="171"/>
      <c r="S3516" s="243"/>
      <c r="T3516" s="243"/>
      <c r="U3516" s="243" t="str">
        <f>IFERROR(VLOOKUP(CONCATENATE(Tabla1[[#This Row],[Severidad]]," ",Tabla1[[#This Row],[Complejidad]]),Catalogos!E$120:G$128,3,FALSE),"")</f>
        <v/>
      </c>
      <c r="V3516" s="243" t="str">
        <f>IF(Tabla1[[#This Row],[Tiempo solución max (hrs)]]&lt;&gt;"",IF(Tabla1[[#This Row],[Tiempo solución max (hrs)]]&gt;=Tabla1[[#This Row],[Tiempo
(Hrs 00/100)]],"cumple","no cumple"),"")</f>
        <v/>
      </c>
      <c r="W3516" s="17"/>
      <c r="X3516" s="18">
        <f t="shared" si="244"/>
        <v>0</v>
      </c>
      <c r="Y3516" t="str">
        <f>SUBSTITUTE(Tabla1[[#This Row],[Descripción]],CHAR(10),"    I    ")</f>
        <v/>
      </c>
      <c r="Z3516" s="112" t="e">
        <f>VLOOKUP(Tabla1[[#This Row],[Perfil]],Catalogos!$B$75:$D$100,3,FALSE)*Tabla1[[#This Row],[Tiempo
(Hrs 00/100)]]*1.16</f>
        <v>#N/A</v>
      </c>
    </row>
    <row r="3517" spans="1:26" ht="30" customHeight="1" x14ac:dyDescent="0.3">
      <c r="A3517" s="187"/>
      <c r="B3517" s="188"/>
      <c r="C3517" s="183"/>
      <c r="D3517" s="198"/>
      <c r="E3517" s="187"/>
      <c r="F3517" s="187"/>
      <c r="G3517" s="198"/>
      <c r="H3517" s="186"/>
      <c r="I3517" s="178"/>
      <c r="J3517" s="713"/>
      <c r="K3517" s="740"/>
      <c r="L3517" s="713"/>
      <c r="M3517" s="740"/>
      <c r="N3517" s="187"/>
      <c r="O3517" s="184"/>
      <c r="P3517" s="185"/>
      <c r="Q3517" s="182"/>
      <c r="R3517" s="171"/>
      <c r="S3517" s="243"/>
      <c r="T3517" s="243"/>
      <c r="U3517" s="243" t="str">
        <f>IFERROR(VLOOKUP(CONCATENATE(Tabla1[[#This Row],[Severidad]]," ",Tabla1[[#This Row],[Complejidad]]),Catalogos!E$120:G$128,3,FALSE),"")</f>
        <v/>
      </c>
      <c r="V3517" s="243" t="str">
        <f>IF(Tabla1[[#This Row],[Tiempo solución max (hrs)]]&lt;&gt;"",IF(Tabla1[[#This Row],[Tiempo solución max (hrs)]]&gt;=Tabla1[[#This Row],[Tiempo
(Hrs 00/100)]],"cumple","no cumple"),"")</f>
        <v/>
      </c>
      <c r="W3517" s="17"/>
      <c r="X3517" s="18">
        <f t="shared" si="244"/>
        <v>0</v>
      </c>
      <c r="Y3517" t="str">
        <f>SUBSTITUTE(Tabla1[[#This Row],[Descripción]],CHAR(10),"    I    ")</f>
        <v/>
      </c>
      <c r="Z3517" s="112" t="e">
        <f>VLOOKUP(Tabla1[[#This Row],[Perfil]],Catalogos!$B$75:$D$100,3,FALSE)*Tabla1[[#This Row],[Tiempo
(Hrs 00/100)]]*1.16</f>
        <v>#N/A</v>
      </c>
    </row>
    <row r="3518" spans="1:26" ht="30" customHeight="1" x14ac:dyDescent="0.3">
      <c r="A3518" s="187"/>
      <c r="B3518" s="188"/>
      <c r="C3518" s="183"/>
      <c r="D3518" s="198"/>
      <c r="E3518" s="187"/>
      <c r="F3518" s="187"/>
      <c r="G3518" s="198"/>
      <c r="H3518" s="186"/>
      <c r="I3518" s="178"/>
      <c r="J3518" s="713"/>
      <c r="K3518" s="740"/>
      <c r="L3518" s="713"/>
      <c r="M3518" s="740"/>
      <c r="N3518" s="187"/>
      <c r="O3518" s="184"/>
      <c r="P3518" s="185"/>
      <c r="Q3518" s="182"/>
      <c r="R3518" s="171"/>
      <c r="S3518" s="243"/>
      <c r="T3518" s="243"/>
      <c r="U3518" s="243" t="str">
        <f>IFERROR(VLOOKUP(CONCATENATE(Tabla1[[#This Row],[Severidad]]," ",Tabla1[[#This Row],[Complejidad]]),Catalogos!E$120:G$128,3,FALSE),"")</f>
        <v/>
      </c>
      <c r="V3518" s="243" t="str">
        <f>IF(Tabla1[[#This Row],[Tiempo solución max (hrs)]]&lt;&gt;"",IF(Tabla1[[#This Row],[Tiempo solución max (hrs)]]&gt;=Tabla1[[#This Row],[Tiempo
(Hrs 00/100)]],"cumple","no cumple"),"")</f>
        <v/>
      </c>
      <c r="W3518" s="17"/>
      <c r="X3518" s="18">
        <f t="shared" si="244"/>
        <v>0</v>
      </c>
      <c r="Y3518" t="str">
        <f>SUBSTITUTE(Tabla1[[#This Row],[Descripción]],CHAR(10),"    I    ")</f>
        <v/>
      </c>
      <c r="Z3518" s="112" t="e">
        <f>VLOOKUP(Tabla1[[#This Row],[Perfil]],Catalogos!$B$75:$D$100,3,FALSE)*Tabla1[[#This Row],[Tiempo
(Hrs 00/100)]]*1.16</f>
        <v>#N/A</v>
      </c>
    </row>
    <row r="3519" spans="1:26" ht="30" customHeight="1" x14ac:dyDescent="0.3">
      <c r="A3519" s="187"/>
      <c r="B3519" s="188"/>
      <c r="C3519" s="183"/>
      <c r="D3519" s="182"/>
      <c r="E3519" s="187"/>
      <c r="F3519" s="187"/>
      <c r="G3519" s="198"/>
      <c r="H3519" s="186"/>
      <c r="I3519" s="178"/>
      <c r="J3519" s="713"/>
      <c r="K3519" s="740"/>
      <c r="L3519" s="713"/>
      <c r="M3519" s="740"/>
      <c r="N3519" s="187"/>
      <c r="O3519" s="184"/>
      <c r="P3519" s="185"/>
      <c r="Q3519" s="182"/>
      <c r="R3519" s="171"/>
      <c r="S3519" s="243"/>
      <c r="T3519" s="243"/>
      <c r="U3519" s="243" t="str">
        <f>IFERROR(VLOOKUP(CONCATENATE(Tabla1[[#This Row],[Severidad]]," ",Tabla1[[#This Row],[Complejidad]]),Catalogos!E$120:G$128,3,FALSE),"")</f>
        <v/>
      </c>
      <c r="V3519" s="243" t="str">
        <f>IF(Tabla1[[#This Row],[Tiempo solución max (hrs)]]&lt;&gt;"",IF(Tabla1[[#This Row],[Tiempo solución max (hrs)]]&gt;=Tabla1[[#This Row],[Tiempo
(Hrs 00/100)]],"cumple","no cumple"),"")</f>
        <v/>
      </c>
      <c r="W3519" s="17"/>
      <c r="X3519" s="18">
        <f t="shared" si="244"/>
        <v>0</v>
      </c>
      <c r="Y3519" t="str">
        <f>SUBSTITUTE(Tabla1[[#This Row],[Descripción]],CHAR(10),"    I    ")</f>
        <v/>
      </c>
      <c r="Z3519" s="112" t="e">
        <f>VLOOKUP(Tabla1[[#This Row],[Perfil]],Catalogos!$B$75:$D$100,3,FALSE)*Tabla1[[#This Row],[Tiempo
(Hrs 00/100)]]*1.16</f>
        <v>#N/A</v>
      </c>
    </row>
    <row r="3520" spans="1:26" ht="30" customHeight="1" x14ac:dyDescent="0.3">
      <c r="A3520" s="187"/>
      <c r="B3520" s="188"/>
      <c r="C3520" s="183"/>
      <c r="D3520" s="182"/>
      <c r="E3520" s="187"/>
      <c r="F3520" s="187"/>
      <c r="G3520" s="198"/>
      <c r="H3520" s="186"/>
      <c r="I3520" s="178"/>
      <c r="J3520" s="713"/>
      <c r="K3520" s="740"/>
      <c r="L3520" s="713"/>
      <c r="M3520" s="740"/>
      <c r="N3520" s="187"/>
      <c r="O3520" s="184"/>
      <c r="P3520" s="185"/>
      <c r="Q3520" s="182"/>
      <c r="R3520" s="171"/>
      <c r="S3520" s="243"/>
      <c r="T3520" s="243"/>
      <c r="U3520" s="243" t="str">
        <f>IFERROR(VLOOKUP(CONCATENATE(Tabla1[[#This Row],[Severidad]]," ",Tabla1[[#This Row],[Complejidad]]),Catalogos!E$120:G$128,3,FALSE),"")</f>
        <v/>
      </c>
      <c r="V3520" s="243" t="str">
        <f>IF(Tabla1[[#This Row],[Tiempo solución max (hrs)]]&lt;&gt;"",IF(Tabla1[[#This Row],[Tiempo solución max (hrs)]]&gt;=Tabla1[[#This Row],[Tiempo
(Hrs 00/100)]],"cumple","no cumple"),"")</f>
        <v/>
      </c>
      <c r="W3520" s="17"/>
      <c r="X3520" s="18">
        <f t="shared" si="244"/>
        <v>0</v>
      </c>
      <c r="Y3520" t="str">
        <f>SUBSTITUTE(Tabla1[[#This Row],[Descripción]],CHAR(10),"    I    ")</f>
        <v/>
      </c>
      <c r="Z3520" s="112" t="e">
        <f>VLOOKUP(Tabla1[[#This Row],[Perfil]],Catalogos!$B$75:$D$100,3,FALSE)*Tabla1[[#This Row],[Tiempo
(Hrs 00/100)]]*1.16</f>
        <v>#N/A</v>
      </c>
    </row>
    <row r="3521" spans="1:26" ht="30" customHeight="1" x14ac:dyDescent="0.3">
      <c r="A3521" s="187"/>
      <c r="B3521" s="188"/>
      <c r="C3521" s="183"/>
      <c r="D3521" s="182"/>
      <c r="E3521" s="187"/>
      <c r="F3521" s="187"/>
      <c r="G3521" s="198"/>
      <c r="H3521" s="186"/>
      <c r="I3521" s="178"/>
      <c r="J3521" s="713"/>
      <c r="K3521" s="740"/>
      <c r="L3521" s="713"/>
      <c r="M3521" s="740"/>
      <c r="N3521" s="187"/>
      <c r="O3521" s="184"/>
      <c r="P3521" s="185"/>
      <c r="Q3521" s="182"/>
      <c r="R3521" s="171"/>
      <c r="S3521" s="243"/>
      <c r="T3521" s="243"/>
      <c r="U3521" s="243" t="str">
        <f>IFERROR(VLOOKUP(CONCATENATE(Tabla1[[#This Row],[Severidad]]," ",Tabla1[[#This Row],[Complejidad]]),Catalogos!E$120:G$128,3,FALSE),"")</f>
        <v/>
      </c>
      <c r="V3521" s="243" t="str">
        <f>IF(Tabla1[[#This Row],[Tiempo solución max (hrs)]]&lt;&gt;"",IF(Tabla1[[#This Row],[Tiempo solución max (hrs)]]&gt;=Tabla1[[#This Row],[Tiempo
(Hrs 00/100)]],"cumple","no cumple"),"")</f>
        <v/>
      </c>
      <c r="W3521" s="17"/>
      <c r="X3521" s="18">
        <f t="shared" si="244"/>
        <v>0</v>
      </c>
      <c r="Y3521" t="str">
        <f>SUBSTITUTE(Tabla1[[#This Row],[Descripción]],CHAR(10),"    I    ")</f>
        <v/>
      </c>
      <c r="Z3521" s="112" t="e">
        <f>VLOOKUP(Tabla1[[#This Row],[Perfil]],Catalogos!$B$75:$D$100,3,FALSE)*Tabla1[[#This Row],[Tiempo
(Hrs 00/100)]]*1.16</f>
        <v>#N/A</v>
      </c>
    </row>
    <row r="3522" spans="1:26" ht="30" customHeight="1" x14ac:dyDescent="0.3">
      <c r="A3522" s="187"/>
      <c r="B3522" s="188"/>
      <c r="C3522" s="183"/>
      <c r="D3522" s="182"/>
      <c r="E3522" s="187"/>
      <c r="F3522" s="187"/>
      <c r="G3522" s="198"/>
      <c r="H3522" s="186"/>
      <c r="I3522" s="178"/>
      <c r="J3522" s="713"/>
      <c r="K3522" s="740"/>
      <c r="L3522" s="713"/>
      <c r="M3522" s="740"/>
      <c r="N3522" s="187"/>
      <c r="O3522" s="184"/>
      <c r="P3522" s="185"/>
      <c r="Q3522" s="182"/>
      <c r="R3522" s="171"/>
      <c r="S3522" s="243"/>
      <c r="T3522" s="243"/>
      <c r="U3522" s="243" t="str">
        <f>IFERROR(VLOOKUP(CONCATENATE(Tabla1[[#This Row],[Severidad]]," ",Tabla1[[#This Row],[Complejidad]]),Catalogos!E$120:G$128,3,FALSE),"")</f>
        <v/>
      </c>
      <c r="V3522" s="243" t="str">
        <f>IF(Tabla1[[#This Row],[Tiempo solución max (hrs)]]&lt;&gt;"",IF(Tabla1[[#This Row],[Tiempo solución max (hrs)]]&gt;=Tabla1[[#This Row],[Tiempo
(Hrs 00/100)]],"cumple","no cumple"),"")</f>
        <v/>
      </c>
      <c r="W3522" s="17"/>
      <c r="X3522" s="18">
        <f t="shared" si="244"/>
        <v>0</v>
      </c>
      <c r="Y3522" t="str">
        <f>SUBSTITUTE(Tabla1[[#This Row],[Descripción]],CHAR(10),"    I    ")</f>
        <v/>
      </c>
      <c r="Z3522" s="112" t="e">
        <f>VLOOKUP(Tabla1[[#This Row],[Perfil]],Catalogos!$B$75:$D$100,3,FALSE)*Tabla1[[#This Row],[Tiempo
(Hrs 00/100)]]*1.16</f>
        <v>#N/A</v>
      </c>
    </row>
    <row r="3523" spans="1:26" ht="30" customHeight="1" x14ac:dyDescent="0.3">
      <c r="A3523" s="187"/>
      <c r="B3523" s="188"/>
      <c r="C3523" s="183"/>
      <c r="D3523" s="182"/>
      <c r="E3523" s="187"/>
      <c r="F3523" s="187"/>
      <c r="G3523" s="198"/>
      <c r="H3523" s="186"/>
      <c r="I3523" s="178"/>
      <c r="J3523" s="713"/>
      <c r="K3523" s="740"/>
      <c r="L3523" s="713"/>
      <c r="M3523" s="740"/>
      <c r="N3523" s="187"/>
      <c r="O3523" s="184"/>
      <c r="P3523" s="218"/>
      <c r="Q3523" s="182"/>
      <c r="R3523" s="171"/>
      <c r="S3523" s="243"/>
      <c r="T3523" s="243"/>
      <c r="U3523" s="243" t="str">
        <f>IFERROR(VLOOKUP(CONCATENATE(Tabla1[[#This Row],[Severidad]]," ",Tabla1[[#This Row],[Complejidad]]),Catalogos!E$120:G$128,3,FALSE),"")</f>
        <v/>
      </c>
      <c r="V3523" s="243" t="str">
        <f>IF(Tabla1[[#This Row],[Tiempo solución max (hrs)]]&lt;&gt;"",IF(Tabla1[[#This Row],[Tiempo solución max (hrs)]]&gt;=Tabla1[[#This Row],[Tiempo
(Hrs 00/100)]],"cumple","no cumple"),"")</f>
        <v/>
      </c>
      <c r="W3523" s="17"/>
      <c r="X3523" s="18">
        <f t="shared" ref="X3523:X3586" si="245">IF(C3523&lt;&gt;"",C3523,D3523)</f>
        <v>0</v>
      </c>
      <c r="Y3523" t="str">
        <f>SUBSTITUTE(Tabla1[[#This Row],[Descripción]],CHAR(10),"    I    ")</f>
        <v/>
      </c>
      <c r="Z3523" s="112" t="e">
        <f>VLOOKUP(Tabla1[[#This Row],[Perfil]],Catalogos!$B$75:$D$100,3,FALSE)*Tabla1[[#This Row],[Tiempo
(Hrs 00/100)]]*1.16</f>
        <v>#N/A</v>
      </c>
    </row>
    <row r="3524" spans="1:26" ht="30" customHeight="1" x14ac:dyDescent="0.3">
      <c r="A3524" s="187"/>
      <c r="B3524" s="188"/>
      <c r="C3524" s="183"/>
      <c r="D3524" s="182"/>
      <c r="E3524" s="187"/>
      <c r="F3524" s="187"/>
      <c r="G3524" s="198"/>
      <c r="H3524" s="186"/>
      <c r="I3524" s="178"/>
      <c r="J3524" s="713"/>
      <c r="K3524" s="740"/>
      <c r="L3524" s="713"/>
      <c r="M3524" s="740"/>
      <c r="N3524" s="187"/>
      <c r="O3524" s="184"/>
      <c r="P3524" s="185"/>
      <c r="Q3524" s="182"/>
      <c r="R3524" s="171"/>
      <c r="S3524" s="243"/>
      <c r="T3524" s="243"/>
      <c r="U3524" s="243" t="str">
        <f>IFERROR(VLOOKUP(CONCATENATE(Tabla1[[#This Row],[Severidad]]," ",Tabla1[[#This Row],[Complejidad]]),Catalogos!E$120:G$128,3,FALSE),"")</f>
        <v/>
      </c>
      <c r="V3524" s="243" t="str">
        <f>IF(Tabla1[[#This Row],[Tiempo solución max (hrs)]]&lt;&gt;"",IF(Tabla1[[#This Row],[Tiempo solución max (hrs)]]&gt;=Tabla1[[#This Row],[Tiempo
(Hrs 00/100)]],"cumple","no cumple"),"")</f>
        <v/>
      </c>
      <c r="W3524" s="17"/>
      <c r="X3524" s="18">
        <f t="shared" si="245"/>
        <v>0</v>
      </c>
      <c r="Y3524" t="str">
        <f>SUBSTITUTE(Tabla1[[#This Row],[Descripción]],CHAR(10),"    I    ")</f>
        <v/>
      </c>
      <c r="Z3524" s="112" t="e">
        <f>VLOOKUP(Tabla1[[#This Row],[Perfil]],Catalogos!$B$75:$D$100,3,FALSE)*Tabla1[[#This Row],[Tiempo
(Hrs 00/100)]]*1.16</f>
        <v>#N/A</v>
      </c>
    </row>
    <row r="3525" spans="1:26" ht="30" customHeight="1" x14ac:dyDescent="0.3">
      <c r="A3525" s="187"/>
      <c r="B3525" s="188"/>
      <c r="C3525" s="183"/>
      <c r="D3525" s="182"/>
      <c r="E3525" s="187"/>
      <c r="F3525" s="187"/>
      <c r="G3525" s="198"/>
      <c r="H3525" s="186"/>
      <c r="I3525" s="178"/>
      <c r="J3525" s="713"/>
      <c r="K3525" s="740"/>
      <c r="L3525" s="713"/>
      <c r="M3525" s="740"/>
      <c r="N3525" s="187"/>
      <c r="O3525" s="184"/>
      <c r="P3525" s="197"/>
      <c r="Q3525" s="182"/>
      <c r="R3525" s="171"/>
      <c r="S3525" s="243"/>
      <c r="T3525" s="243"/>
      <c r="U3525" s="243" t="str">
        <f>IFERROR(VLOOKUP(CONCATENATE(Tabla1[[#This Row],[Severidad]]," ",Tabla1[[#This Row],[Complejidad]]),Catalogos!E$120:G$128,3,FALSE),"")</f>
        <v/>
      </c>
      <c r="V3525" s="243" t="str">
        <f>IF(Tabla1[[#This Row],[Tiempo solución max (hrs)]]&lt;&gt;"",IF(Tabla1[[#This Row],[Tiempo solución max (hrs)]]&gt;=Tabla1[[#This Row],[Tiempo
(Hrs 00/100)]],"cumple","no cumple"),"")</f>
        <v/>
      </c>
      <c r="W3525" s="17"/>
      <c r="X3525" s="18">
        <f t="shared" si="245"/>
        <v>0</v>
      </c>
      <c r="Y3525" t="str">
        <f>SUBSTITUTE(Tabla1[[#This Row],[Descripción]],CHAR(10),"    I    ")</f>
        <v/>
      </c>
      <c r="Z3525" s="112" t="e">
        <f>VLOOKUP(Tabla1[[#This Row],[Perfil]],Catalogos!$B$75:$D$100,3,FALSE)*Tabla1[[#This Row],[Tiempo
(Hrs 00/100)]]*1.16</f>
        <v>#N/A</v>
      </c>
    </row>
    <row r="3526" spans="1:26" ht="30" customHeight="1" x14ac:dyDescent="0.3">
      <c r="A3526" s="187"/>
      <c r="B3526" s="188"/>
      <c r="C3526" s="183"/>
      <c r="D3526" s="182"/>
      <c r="E3526" s="187"/>
      <c r="F3526" s="187"/>
      <c r="G3526" s="198"/>
      <c r="H3526" s="186"/>
      <c r="I3526" s="178"/>
      <c r="J3526" s="713"/>
      <c r="K3526" s="740"/>
      <c r="L3526" s="713"/>
      <c r="M3526" s="740"/>
      <c r="N3526" s="187"/>
      <c r="O3526" s="184"/>
      <c r="P3526" s="197"/>
      <c r="Q3526" s="182"/>
      <c r="R3526" s="171"/>
      <c r="S3526" s="243"/>
      <c r="T3526" s="243"/>
      <c r="U3526" s="243" t="str">
        <f>IFERROR(VLOOKUP(CONCATENATE(Tabla1[[#This Row],[Severidad]]," ",Tabla1[[#This Row],[Complejidad]]),Catalogos!E$120:G$128,3,FALSE),"")</f>
        <v/>
      </c>
      <c r="V3526" s="243" t="str">
        <f>IF(Tabla1[[#This Row],[Tiempo solución max (hrs)]]&lt;&gt;"",IF(Tabla1[[#This Row],[Tiempo solución max (hrs)]]&gt;=Tabla1[[#This Row],[Tiempo
(Hrs 00/100)]],"cumple","no cumple"),"")</f>
        <v/>
      </c>
      <c r="W3526" s="17"/>
      <c r="X3526" s="18">
        <f t="shared" si="245"/>
        <v>0</v>
      </c>
      <c r="Y3526" t="str">
        <f>SUBSTITUTE(Tabla1[[#This Row],[Descripción]],CHAR(10),"    I    ")</f>
        <v/>
      </c>
      <c r="Z3526" s="112" t="e">
        <f>VLOOKUP(Tabla1[[#This Row],[Perfil]],Catalogos!$B$75:$D$100,3,FALSE)*Tabla1[[#This Row],[Tiempo
(Hrs 00/100)]]*1.16</f>
        <v>#N/A</v>
      </c>
    </row>
    <row r="3527" spans="1:26" ht="30" customHeight="1" x14ac:dyDescent="0.3">
      <c r="A3527" s="187"/>
      <c r="B3527" s="188"/>
      <c r="C3527" s="183"/>
      <c r="D3527" s="179"/>
      <c r="E3527" s="187"/>
      <c r="F3527" s="187"/>
      <c r="G3527" s="198"/>
      <c r="H3527" s="186"/>
      <c r="I3527" s="178"/>
      <c r="J3527" s="713"/>
      <c r="K3527" s="740"/>
      <c r="L3527" s="713"/>
      <c r="M3527" s="740"/>
      <c r="N3527" s="187"/>
      <c r="O3527" s="184"/>
      <c r="P3527" s="196"/>
      <c r="Q3527" s="182"/>
      <c r="R3527" s="171"/>
      <c r="S3527" s="243"/>
      <c r="T3527" s="243"/>
      <c r="U3527" s="243" t="str">
        <f>IFERROR(VLOOKUP(CONCATENATE(Tabla1[[#This Row],[Severidad]]," ",Tabla1[[#This Row],[Complejidad]]),Catalogos!E$120:G$128,3,FALSE),"")</f>
        <v/>
      </c>
      <c r="V3527" s="243" t="str">
        <f>IF(Tabla1[[#This Row],[Tiempo solución max (hrs)]]&lt;&gt;"",IF(Tabla1[[#This Row],[Tiempo solución max (hrs)]]&gt;=Tabla1[[#This Row],[Tiempo
(Hrs 00/100)]],"cumple","no cumple"),"")</f>
        <v/>
      </c>
      <c r="W3527" s="17"/>
      <c r="X3527" s="18">
        <f t="shared" si="245"/>
        <v>0</v>
      </c>
      <c r="Y3527" t="str">
        <f>SUBSTITUTE(Tabla1[[#This Row],[Descripción]],CHAR(10),"    I    ")</f>
        <v/>
      </c>
      <c r="Z3527" s="112" t="e">
        <f>VLOOKUP(Tabla1[[#This Row],[Perfil]],Catalogos!$B$75:$D$100,3,FALSE)*Tabla1[[#This Row],[Tiempo
(Hrs 00/100)]]*1.16</f>
        <v>#N/A</v>
      </c>
    </row>
    <row r="3528" spans="1:26" ht="30" customHeight="1" x14ac:dyDescent="0.3">
      <c r="A3528" s="187"/>
      <c r="B3528" s="188"/>
      <c r="C3528" s="183"/>
      <c r="D3528" s="198"/>
      <c r="E3528" s="187"/>
      <c r="F3528" s="187"/>
      <c r="G3528" s="198"/>
      <c r="H3528" s="186"/>
      <c r="I3528" s="178"/>
      <c r="J3528" s="713"/>
      <c r="K3528" s="740"/>
      <c r="L3528" s="713"/>
      <c r="M3528" s="740"/>
      <c r="N3528" s="187"/>
      <c r="O3528" s="184"/>
      <c r="P3528" s="219"/>
      <c r="Q3528" s="182"/>
      <c r="R3528" s="171"/>
      <c r="S3528" s="243"/>
      <c r="T3528" s="243"/>
      <c r="U3528" s="243" t="str">
        <f>IFERROR(VLOOKUP(CONCATENATE(Tabla1[[#This Row],[Severidad]]," ",Tabla1[[#This Row],[Complejidad]]),Catalogos!E$120:G$128,3,FALSE),"")</f>
        <v/>
      </c>
      <c r="V3528" s="243" t="str">
        <f>IF(Tabla1[[#This Row],[Tiempo solución max (hrs)]]&lt;&gt;"",IF(Tabla1[[#This Row],[Tiempo solución max (hrs)]]&gt;=Tabla1[[#This Row],[Tiempo
(Hrs 00/100)]],"cumple","no cumple"),"")</f>
        <v/>
      </c>
      <c r="W3528" s="17"/>
      <c r="X3528" s="18">
        <f t="shared" si="245"/>
        <v>0</v>
      </c>
      <c r="Y3528" t="str">
        <f>SUBSTITUTE(Tabla1[[#This Row],[Descripción]],CHAR(10),"    I    ")</f>
        <v/>
      </c>
      <c r="Z3528" s="112" t="e">
        <f>VLOOKUP(Tabla1[[#This Row],[Perfil]],Catalogos!$B$75:$D$100,3,FALSE)*Tabla1[[#This Row],[Tiempo
(Hrs 00/100)]]*1.16</f>
        <v>#N/A</v>
      </c>
    </row>
    <row r="3529" spans="1:26" ht="30" customHeight="1" x14ac:dyDescent="0.3">
      <c r="A3529" s="187"/>
      <c r="B3529" s="188"/>
      <c r="C3529" s="183"/>
      <c r="D3529" s="198"/>
      <c r="E3529" s="187"/>
      <c r="F3529" s="187"/>
      <c r="G3529" s="198"/>
      <c r="H3529" s="186"/>
      <c r="I3529" s="178"/>
      <c r="J3529" s="713"/>
      <c r="K3529" s="740"/>
      <c r="L3529" s="713"/>
      <c r="M3529" s="740"/>
      <c r="N3529" s="187"/>
      <c r="O3529" s="184"/>
      <c r="P3529" s="197"/>
      <c r="Q3529" s="182"/>
      <c r="R3529" s="171"/>
      <c r="S3529" s="243"/>
      <c r="T3529" s="243"/>
      <c r="U3529" s="243" t="str">
        <f>IFERROR(VLOOKUP(CONCATENATE(Tabla1[[#This Row],[Severidad]]," ",Tabla1[[#This Row],[Complejidad]]),Catalogos!E$120:G$128,3,FALSE),"")</f>
        <v/>
      </c>
      <c r="V3529" s="243" t="str">
        <f>IF(Tabla1[[#This Row],[Tiempo solución max (hrs)]]&lt;&gt;"",IF(Tabla1[[#This Row],[Tiempo solución max (hrs)]]&gt;=Tabla1[[#This Row],[Tiempo
(Hrs 00/100)]],"cumple","no cumple"),"")</f>
        <v/>
      </c>
      <c r="W3529" s="17"/>
      <c r="X3529" s="18">
        <f t="shared" si="245"/>
        <v>0</v>
      </c>
      <c r="Y3529" t="str">
        <f>SUBSTITUTE(Tabla1[[#This Row],[Descripción]],CHAR(10),"    I    ")</f>
        <v/>
      </c>
      <c r="Z3529" s="112" t="e">
        <f>VLOOKUP(Tabla1[[#This Row],[Perfil]],Catalogos!$B$75:$D$100,3,FALSE)*Tabla1[[#This Row],[Tiempo
(Hrs 00/100)]]*1.16</f>
        <v>#N/A</v>
      </c>
    </row>
    <row r="3530" spans="1:26" ht="30" customHeight="1" x14ac:dyDescent="0.3">
      <c r="A3530" s="187"/>
      <c r="B3530" s="188"/>
      <c r="C3530" s="183"/>
      <c r="D3530" s="182"/>
      <c r="E3530" s="187"/>
      <c r="F3530" s="187"/>
      <c r="G3530" s="198"/>
      <c r="H3530" s="186"/>
      <c r="I3530" s="178"/>
      <c r="J3530" s="713"/>
      <c r="K3530" s="740"/>
      <c r="L3530" s="713"/>
      <c r="M3530" s="740"/>
      <c r="N3530" s="187"/>
      <c r="O3530" s="184"/>
      <c r="P3530" s="220"/>
      <c r="Q3530" s="182"/>
      <c r="R3530" s="171"/>
      <c r="S3530" s="243"/>
      <c r="T3530" s="243"/>
      <c r="U3530" s="243" t="str">
        <f>IFERROR(VLOOKUP(CONCATENATE(Tabla1[[#This Row],[Severidad]]," ",Tabla1[[#This Row],[Complejidad]]),Catalogos!E$120:G$128,3,FALSE),"")</f>
        <v/>
      </c>
      <c r="V3530" s="243" t="str">
        <f>IF(Tabla1[[#This Row],[Tiempo solución max (hrs)]]&lt;&gt;"",IF(Tabla1[[#This Row],[Tiempo solución max (hrs)]]&gt;=Tabla1[[#This Row],[Tiempo
(Hrs 00/100)]],"cumple","no cumple"),"")</f>
        <v/>
      </c>
      <c r="W3530" s="17"/>
      <c r="X3530" s="18">
        <f t="shared" si="245"/>
        <v>0</v>
      </c>
      <c r="Y3530" t="str">
        <f>SUBSTITUTE(Tabla1[[#This Row],[Descripción]],CHAR(10),"    I    ")</f>
        <v/>
      </c>
      <c r="Z3530" s="112" t="e">
        <f>VLOOKUP(Tabla1[[#This Row],[Perfil]],Catalogos!$B$75:$D$100,3,FALSE)*Tabla1[[#This Row],[Tiempo
(Hrs 00/100)]]*1.16</f>
        <v>#N/A</v>
      </c>
    </row>
    <row r="3531" spans="1:26" ht="30" customHeight="1" x14ac:dyDescent="0.3">
      <c r="A3531" s="187"/>
      <c r="B3531" s="188"/>
      <c r="C3531" s="183"/>
      <c r="D3531" s="182"/>
      <c r="E3531" s="187"/>
      <c r="F3531" s="187"/>
      <c r="G3531" s="198"/>
      <c r="H3531" s="186"/>
      <c r="I3531" s="178"/>
      <c r="J3531" s="713"/>
      <c r="K3531" s="740"/>
      <c r="L3531" s="713"/>
      <c r="M3531" s="740"/>
      <c r="N3531" s="187"/>
      <c r="O3531" s="184"/>
      <c r="P3531" s="220"/>
      <c r="Q3531" s="182"/>
      <c r="R3531" s="171"/>
      <c r="S3531" s="243"/>
      <c r="T3531" s="243"/>
      <c r="U3531" s="243" t="str">
        <f>IFERROR(VLOOKUP(CONCATENATE(Tabla1[[#This Row],[Severidad]]," ",Tabla1[[#This Row],[Complejidad]]),Catalogos!E$120:G$128,3,FALSE),"")</f>
        <v/>
      </c>
      <c r="V3531" s="243" t="str">
        <f>IF(Tabla1[[#This Row],[Tiempo solución max (hrs)]]&lt;&gt;"",IF(Tabla1[[#This Row],[Tiempo solución max (hrs)]]&gt;=Tabla1[[#This Row],[Tiempo
(Hrs 00/100)]],"cumple","no cumple"),"")</f>
        <v/>
      </c>
      <c r="W3531" s="17"/>
      <c r="X3531" s="18">
        <f t="shared" si="245"/>
        <v>0</v>
      </c>
      <c r="Y3531" t="str">
        <f>SUBSTITUTE(Tabla1[[#This Row],[Descripción]],CHAR(10),"    I    ")</f>
        <v/>
      </c>
      <c r="Z3531" s="112" t="e">
        <f>VLOOKUP(Tabla1[[#This Row],[Perfil]],Catalogos!$B$75:$D$100,3,FALSE)*Tabla1[[#This Row],[Tiempo
(Hrs 00/100)]]*1.16</f>
        <v>#N/A</v>
      </c>
    </row>
    <row r="3532" spans="1:26" ht="30" customHeight="1" x14ac:dyDescent="0.3">
      <c r="A3532" s="187"/>
      <c r="B3532" s="188"/>
      <c r="C3532" s="183"/>
      <c r="D3532" s="182"/>
      <c r="E3532" s="187"/>
      <c r="F3532" s="187"/>
      <c r="G3532" s="198"/>
      <c r="H3532" s="186"/>
      <c r="I3532" s="178"/>
      <c r="J3532" s="713"/>
      <c r="K3532" s="740"/>
      <c r="L3532" s="713"/>
      <c r="M3532" s="740"/>
      <c r="N3532" s="187"/>
      <c r="O3532" s="184"/>
      <c r="P3532" s="196"/>
      <c r="Q3532" s="182"/>
      <c r="R3532" s="171"/>
      <c r="S3532" s="243"/>
      <c r="T3532" s="243"/>
      <c r="U3532" s="243" t="str">
        <f>IFERROR(VLOOKUP(CONCATENATE(Tabla1[[#This Row],[Severidad]]," ",Tabla1[[#This Row],[Complejidad]]),Catalogos!E$120:G$128,3,FALSE),"")</f>
        <v/>
      </c>
      <c r="V3532" s="243" t="str">
        <f>IF(Tabla1[[#This Row],[Tiempo solución max (hrs)]]&lt;&gt;"",IF(Tabla1[[#This Row],[Tiempo solución max (hrs)]]&gt;=Tabla1[[#This Row],[Tiempo
(Hrs 00/100)]],"cumple","no cumple"),"")</f>
        <v/>
      </c>
      <c r="W3532" s="17"/>
      <c r="X3532" s="18">
        <f t="shared" si="245"/>
        <v>0</v>
      </c>
      <c r="Y3532" t="str">
        <f>SUBSTITUTE(Tabla1[[#This Row],[Descripción]],CHAR(10),"    I    ")</f>
        <v/>
      </c>
      <c r="Z3532" s="112" t="e">
        <f>VLOOKUP(Tabla1[[#This Row],[Perfil]],Catalogos!$B$75:$D$100,3,FALSE)*Tabla1[[#This Row],[Tiempo
(Hrs 00/100)]]*1.16</f>
        <v>#N/A</v>
      </c>
    </row>
    <row r="3533" spans="1:26" ht="30" customHeight="1" x14ac:dyDescent="0.3">
      <c r="A3533" s="187"/>
      <c r="B3533" s="188"/>
      <c r="C3533" s="183"/>
      <c r="D3533" s="182"/>
      <c r="E3533" s="187"/>
      <c r="F3533" s="187"/>
      <c r="G3533" s="198"/>
      <c r="H3533" s="186"/>
      <c r="I3533" s="178"/>
      <c r="J3533" s="713"/>
      <c r="K3533" s="740"/>
      <c r="L3533" s="713"/>
      <c r="M3533" s="740"/>
      <c r="N3533" s="187"/>
      <c r="O3533" s="184"/>
      <c r="P3533" s="197"/>
      <c r="Q3533" s="182"/>
      <c r="R3533" s="171"/>
      <c r="S3533" s="243"/>
      <c r="T3533" s="243"/>
      <c r="U3533" s="243" t="str">
        <f>IFERROR(VLOOKUP(CONCATENATE(Tabla1[[#This Row],[Severidad]]," ",Tabla1[[#This Row],[Complejidad]]),Catalogos!E$120:G$128,3,FALSE),"")</f>
        <v/>
      </c>
      <c r="V3533" s="243" t="str">
        <f>IF(Tabla1[[#This Row],[Tiempo solución max (hrs)]]&lt;&gt;"",IF(Tabla1[[#This Row],[Tiempo solución max (hrs)]]&gt;=Tabla1[[#This Row],[Tiempo
(Hrs 00/100)]],"cumple","no cumple"),"")</f>
        <v/>
      </c>
      <c r="W3533" s="17"/>
      <c r="X3533" s="18">
        <f t="shared" si="245"/>
        <v>0</v>
      </c>
      <c r="Y3533" t="str">
        <f>SUBSTITUTE(Tabla1[[#This Row],[Descripción]],CHAR(10),"    I    ")</f>
        <v/>
      </c>
      <c r="Z3533" s="112" t="e">
        <f>VLOOKUP(Tabla1[[#This Row],[Perfil]],Catalogos!$B$75:$D$100,3,FALSE)*Tabla1[[#This Row],[Tiempo
(Hrs 00/100)]]*1.16</f>
        <v>#N/A</v>
      </c>
    </row>
    <row r="3534" spans="1:26" ht="30" customHeight="1" x14ac:dyDescent="0.3">
      <c r="A3534" s="106"/>
      <c r="B3534" s="106"/>
      <c r="C3534" s="106"/>
      <c r="D3534" s="106"/>
      <c r="E3534" s="106"/>
      <c r="F3534" s="106"/>
      <c r="G3534" s="106"/>
      <c r="H3534" s="107"/>
      <c r="I3534" s="95"/>
      <c r="J3534" s="706"/>
      <c r="K3534" s="769"/>
      <c r="L3534" s="706"/>
      <c r="M3534" s="781"/>
      <c r="N3534" s="182"/>
      <c r="O3534" s="188"/>
      <c r="P3534" s="221"/>
      <c r="Q3534" s="106"/>
      <c r="R3534" s="108"/>
      <c r="S3534" s="108"/>
      <c r="T3534" s="108"/>
      <c r="U3534" s="108" t="str">
        <f>IFERROR(VLOOKUP(CONCATENATE(Tabla1[[#This Row],[Severidad]]," ",Tabla1[[#This Row],[Complejidad]]),Catalogos!E$120:G$128,3,FALSE),"")</f>
        <v/>
      </c>
      <c r="V3534" s="108" t="str">
        <f>IF(Tabla1[[#This Row],[Tiempo solución max (hrs)]]&lt;&gt;"",IF(Tabla1[[#This Row],[Tiempo solución max (hrs)]]&gt;=Tabla1[[#This Row],[Tiempo
(Hrs 00/100)]],"cumple","no cumple"),"")</f>
        <v/>
      </c>
      <c r="W3534" s="17"/>
      <c r="X3534" s="18">
        <f t="shared" si="245"/>
        <v>0</v>
      </c>
      <c r="Y3534" t="str">
        <f>SUBSTITUTE(Tabla1[[#This Row],[Descripción]],CHAR(10),"    I    ")</f>
        <v/>
      </c>
      <c r="Z3534" s="112" t="e">
        <f>VLOOKUP(Tabla1[[#This Row],[Perfil]],Catalogos!$B$75:$D$100,3,FALSE)*Tabla1[[#This Row],[Tiempo
(Hrs 00/100)]]*1.16</f>
        <v>#N/A</v>
      </c>
    </row>
    <row r="3535" spans="1:26" ht="30" customHeight="1" x14ac:dyDescent="0.3">
      <c r="A3535" s="106"/>
      <c r="B3535" s="106"/>
      <c r="C3535" s="106"/>
      <c r="D3535" s="106"/>
      <c r="E3535" s="106"/>
      <c r="F3535" s="106"/>
      <c r="G3535" s="106"/>
      <c r="H3535" s="107"/>
      <c r="I3535" s="95"/>
      <c r="J3535" s="706"/>
      <c r="K3535" s="769"/>
      <c r="L3535" s="706"/>
      <c r="M3535" s="781"/>
      <c r="N3535" s="182"/>
      <c r="O3535" s="188"/>
      <c r="P3535" s="221"/>
      <c r="Q3535" s="106"/>
      <c r="R3535" s="108"/>
      <c r="S3535" s="108"/>
      <c r="T3535" s="108"/>
      <c r="U3535" s="108" t="str">
        <f>IFERROR(VLOOKUP(CONCATENATE(Tabla1[[#This Row],[Severidad]]," ",Tabla1[[#This Row],[Complejidad]]),Catalogos!E$120:G$128,3,FALSE),"")</f>
        <v/>
      </c>
      <c r="V3535" s="108" t="str">
        <f>IF(Tabla1[[#This Row],[Tiempo solución max (hrs)]]&lt;&gt;"",IF(Tabla1[[#This Row],[Tiempo solución max (hrs)]]&gt;=Tabla1[[#This Row],[Tiempo
(Hrs 00/100)]],"cumple","no cumple"),"")</f>
        <v/>
      </c>
      <c r="W3535" s="17"/>
      <c r="X3535" s="18">
        <f t="shared" si="245"/>
        <v>0</v>
      </c>
      <c r="Y3535" t="str">
        <f>SUBSTITUTE(Tabla1[[#This Row],[Descripción]],CHAR(10),"    I    ")</f>
        <v/>
      </c>
      <c r="Z3535" s="112" t="e">
        <f>VLOOKUP(Tabla1[[#This Row],[Perfil]],Catalogos!$B$75:$D$100,3,FALSE)*Tabla1[[#This Row],[Tiempo
(Hrs 00/100)]]*1.16</f>
        <v>#N/A</v>
      </c>
    </row>
    <row r="3536" spans="1:26" ht="30" customHeight="1" x14ac:dyDescent="0.3">
      <c r="A3536" s="106"/>
      <c r="B3536" s="106"/>
      <c r="C3536" s="106"/>
      <c r="D3536" s="106"/>
      <c r="E3536" s="106"/>
      <c r="F3536" s="106"/>
      <c r="G3536" s="106"/>
      <c r="H3536" s="107"/>
      <c r="I3536" s="95"/>
      <c r="J3536" s="706"/>
      <c r="K3536" s="769"/>
      <c r="L3536" s="706"/>
      <c r="M3536" s="781"/>
      <c r="N3536" s="182"/>
      <c r="O3536" s="188"/>
      <c r="P3536" s="221"/>
      <c r="Q3536" s="106"/>
      <c r="R3536" s="108"/>
      <c r="S3536" s="108"/>
      <c r="T3536" s="108"/>
      <c r="U3536" s="108" t="str">
        <f>IFERROR(VLOOKUP(CONCATENATE(Tabla1[[#This Row],[Severidad]]," ",Tabla1[[#This Row],[Complejidad]]),Catalogos!E$120:G$128,3,FALSE),"")</f>
        <v/>
      </c>
      <c r="V3536" s="108" t="str">
        <f>IF(Tabla1[[#This Row],[Tiempo solución max (hrs)]]&lt;&gt;"",IF(Tabla1[[#This Row],[Tiempo solución max (hrs)]]&gt;=Tabla1[[#This Row],[Tiempo
(Hrs 00/100)]],"cumple","no cumple"),"")</f>
        <v/>
      </c>
      <c r="W3536" s="17"/>
      <c r="X3536" s="18">
        <f t="shared" si="245"/>
        <v>0</v>
      </c>
      <c r="Y3536" t="str">
        <f>SUBSTITUTE(Tabla1[[#This Row],[Descripción]],CHAR(10),"    I    ")</f>
        <v/>
      </c>
      <c r="Z3536" s="112" t="e">
        <f>VLOOKUP(Tabla1[[#This Row],[Perfil]],Catalogos!$B$75:$D$100,3,FALSE)*Tabla1[[#This Row],[Tiempo
(Hrs 00/100)]]*1.16</f>
        <v>#N/A</v>
      </c>
    </row>
    <row r="3537" spans="1:26" ht="30" customHeight="1" x14ac:dyDescent="0.3">
      <c r="A3537" s="106"/>
      <c r="B3537" s="106"/>
      <c r="C3537" s="106"/>
      <c r="D3537" s="106"/>
      <c r="E3537" s="106"/>
      <c r="F3537" s="106"/>
      <c r="G3537" s="106"/>
      <c r="H3537" s="107"/>
      <c r="I3537" s="95"/>
      <c r="J3537" s="706"/>
      <c r="K3537" s="769"/>
      <c r="L3537" s="706"/>
      <c r="M3537" s="781"/>
      <c r="N3537" s="182"/>
      <c r="O3537" s="188"/>
      <c r="P3537" s="221"/>
      <c r="Q3537" s="106"/>
      <c r="R3537" s="108"/>
      <c r="S3537" s="108"/>
      <c r="T3537" s="108"/>
      <c r="U3537" s="108" t="str">
        <f>IFERROR(VLOOKUP(CONCATENATE(Tabla1[[#This Row],[Severidad]]," ",Tabla1[[#This Row],[Complejidad]]),Catalogos!E$120:G$128,3,FALSE),"")</f>
        <v/>
      </c>
      <c r="V3537" s="108" t="str">
        <f>IF(Tabla1[[#This Row],[Tiempo solución max (hrs)]]&lt;&gt;"",IF(Tabla1[[#This Row],[Tiempo solución max (hrs)]]&gt;=Tabla1[[#This Row],[Tiempo
(Hrs 00/100)]],"cumple","no cumple"),"")</f>
        <v/>
      </c>
      <c r="W3537" s="17"/>
      <c r="X3537" s="18">
        <f t="shared" si="245"/>
        <v>0</v>
      </c>
      <c r="Y3537" t="str">
        <f>SUBSTITUTE(Tabla1[[#This Row],[Descripción]],CHAR(10),"    I    ")</f>
        <v/>
      </c>
      <c r="Z3537" s="112" t="e">
        <f>VLOOKUP(Tabla1[[#This Row],[Perfil]],Catalogos!$B$75:$D$100,3,FALSE)*Tabla1[[#This Row],[Tiempo
(Hrs 00/100)]]*1.16</f>
        <v>#N/A</v>
      </c>
    </row>
    <row r="3538" spans="1:26" ht="30" customHeight="1" x14ac:dyDescent="0.3">
      <c r="A3538" s="106"/>
      <c r="B3538" s="106"/>
      <c r="C3538" s="106"/>
      <c r="D3538" s="106"/>
      <c r="E3538" s="106"/>
      <c r="F3538" s="106"/>
      <c r="G3538" s="106"/>
      <c r="H3538" s="107"/>
      <c r="I3538" s="95"/>
      <c r="J3538" s="706"/>
      <c r="K3538" s="769"/>
      <c r="L3538" s="706"/>
      <c r="M3538" s="781"/>
      <c r="N3538" s="182"/>
      <c r="O3538" s="188"/>
      <c r="P3538" s="221"/>
      <c r="Q3538" s="106"/>
      <c r="R3538" s="108"/>
      <c r="S3538" s="108"/>
      <c r="T3538" s="108"/>
      <c r="U3538" s="108" t="str">
        <f>IFERROR(VLOOKUP(CONCATENATE(Tabla1[[#This Row],[Severidad]]," ",Tabla1[[#This Row],[Complejidad]]),Catalogos!E$120:G$128,3,FALSE),"")</f>
        <v/>
      </c>
      <c r="V3538" s="108" t="str">
        <f>IF(Tabla1[[#This Row],[Tiempo solución max (hrs)]]&lt;&gt;"",IF(Tabla1[[#This Row],[Tiempo solución max (hrs)]]&gt;=Tabla1[[#This Row],[Tiempo
(Hrs 00/100)]],"cumple","no cumple"),"")</f>
        <v/>
      </c>
      <c r="W3538" s="17"/>
      <c r="X3538" s="18">
        <f t="shared" si="245"/>
        <v>0</v>
      </c>
      <c r="Y3538" t="str">
        <f>SUBSTITUTE(Tabla1[[#This Row],[Descripción]],CHAR(10),"    I    ")</f>
        <v/>
      </c>
      <c r="Z3538" s="112" t="e">
        <f>VLOOKUP(Tabla1[[#This Row],[Perfil]],Catalogos!$B$75:$D$100,3,FALSE)*Tabla1[[#This Row],[Tiempo
(Hrs 00/100)]]*1.16</f>
        <v>#N/A</v>
      </c>
    </row>
    <row r="3539" spans="1:26" ht="30" customHeight="1" x14ac:dyDescent="0.3">
      <c r="A3539" s="106"/>
      <c r="B3539" s="106"/>
      <c r="C3539" s="106"/>
      <c r="D3539" s="106"/>
      <c r="E3539" s="106"/>
      <c r="F3539" s="106"/>
      <c r="G3539" s="106"/>
      <c r="H3539" s="107"/>
      <c r="I3539" s="95"/>
      <c r="J3539" s="706"/>
      <c r="K3539" s="769"/>
      <c r="L3539" s="706"/>
      <c r="M3539" s="781"/>
      <c r="N3539" s="182"/>
      <c r="O3539" s="188"/>
      <c r="P3539" s="221"/>
      <c r="Q3539" s="106"/>
      <c r="R3539" s="108"/>
      <c r="S3539" s="108"/>
      <c r="T3539" s="108"/>
      <c r="U3539" s="108" t="str">
        <f>IFERROR(VLOOKUP(CONCATENATE(Tabla1[[#This Row],[Severidad]]," ",Tabla1[[#This Row],[Complejidad]]),Catalogos!E$120:G$128,3,FALSE),"")</f>
        <v/>
      </c>
      <c r="V3539" s="108" t="str">
        <f>IF(Tabla1[[#This Row],[Tiempo solución max (hrs)]]&lt;&gt;"",IF(Tabla1[[#This Row],[Tiempo solución max (hrs)]]&gt;=Tabla1[[#This Row],[Tiempo
(Hrs 00/100)]],"cumple","no cumple"),"")</f>
        <v/>
      </c>
      <c r="W3539" s="17"/>
      <c r="X3539" s="18">
        <f t="shared" si="245"/>
        <v>0</v>
      </c>
      <c r="Y3539" t="str">
        <f>SUBSTITUTE(Tabla1[[#This Row],[Descripción]],CHAR(10),"    I    ")</f>
        <v/>
      </c>
      <c r="Z3539" s="112" t="e">
        <f>VLOOKUP(Tabla1[[#This Row],[Perfil]],Catalogos!$B$75:$D$100,3,FALSE)*Tabla1[[#This Row],[Tiempo
(Hrs 00/100)]]*1.16</f>
        <v>#N/A</v>
      </c>
    </row>
    <row r="3540" spans="1:26" ht="30" customHeight="1" x14ac:dyDescent="0.3">
      <c r="A3540" s="106"/>
      <c r="B3540" s="106"/>
      <c r="C3540" s="106"/>
      <c r="D3540" s="106"/>
      <c r="E3540" s="106"/>
      <c r="F3540" s="106"/>
      <c r="G3540" s="106"/>
      <c r="H3540" s="107"/>
      <c r="I3540" s="95"/>
      <c r="J3540" s="706"/>
      <c r="K3540" s="769"/>
      <c r="L3540" s="706"/>
      <c r="M3540" s="781"/>
      <c r="N3540" s="182"/>
      <c r="O3540" s="188"/>
      <c r="P3540" s="221"/>
      <c r="Q3540" s="106"/>
      <c r="R3540" s="108"/>
      <c r="S3540" s="108"/>
      <c r="T3540" s="108"/>
      <c r="U3540" s="108" t="str">
        <f>IFERROR(VLOOKUP(CONCATENATE(Tabla1[[#This Row],[Severidad]]," ",Tabla1[[#This Row],[Complejidad]]),Catalogos!E$120:G$128,3,FALSE),"")</f>
        <v/>
      </c>
      <c r="V3540" s="108" t="str">
        <f>IF(Tabla1[[#This Row],[Tiempo solución max (hrs)]]&lt;&gt;"",IF(Tabla1[[#This Row],[Tiempo solución max (hrs)]]&gt;=Tabla1[[#This Row],[Tiempo
(Hrs 00/100)]],"cumple","no cumple"),"")</f>
        <v/>
      </c>
      <c r="W3540" s="17"/>
      <c r="X3540" s="18">
        <f t="shared" si="245"/>
        <v>0</v>
      </c>
      <c r="Y3540" t="str">
        <f>SUBSTITUTE(Tabla1[[#This Row],[Descripción]],CHAR(10),"    I    ")</f>
        <v/>
      </c>
      <c r="Z3540" s="112" t="e">
        <f>VLOOKUP(Tabla1[[#This Row],[Perfil]],Catalogos!$B$75:$D$100,3,FALSE)*Tabla1[[#This Row],[Tiempo
(Hrs 00/100)]]*1.16</f>
        <v>#N/A</v>
      </c>
    </row>
    <row r="3541" spans="1:26" ht="30" customHeight="1" x14ac:dyDescent="0.3">
      <c r="A3541" s="106"/>
      <c r="B3541" s="106"/>
      <c r="C3541" s="106"/>
      <c r="D3541" s="106"/>
      <c r="E3541" s="106"/>
      <c r="F3541" s="106"/>
      <c r="G3541" s="106"/>
      <c r="H3541" s="107"/>
      <c r="I3541" s="95"/>
      <c r="J3541" s="706"/>
      <c r="K3541" s="769"/>
      <c r="L3541" s="706"/>
      <c r="M3541" s="781"/>
      <c r="N3541" s="182"/>
      <c r="O3541" s="188"/>
      <c r="P3541" s="221"/>
      <c r="Q3541" s="106"/>
      <c r="R3541" s="108"/>
      <c r="S3541" s="108"/>
      <c r="T3541" s="108"/>
      <c r="U3541" s="108" t="str">
        <f>IFERROR(VLOOKUP(CONCATENATE(Tabla1[[#This Row],[Severidad]]," ",Tabla1[[#This Row],[Complejidad]]),Catalogos!E$120:G$128,3,FALSE),"")</f>
        <v/>
      </c>
      <c r="V3541" s="108" t="str">
        <f>IF(Tabla1[[#This Row],[Tiempo solución max (hrs)]]&lt;&gt;"",IF(Tabla1[[#This Row],[Tiempo solución max (hrs)]]&gt;=Tabla1[[#This Row],[Tiempo
(Hrs 00/100)]],"cumple","no cumple"),"")</f>
        <v/>
      </c>
      <c r="W3541" s="17"/>
      <c r="X3541" s="18">
        <f t="shared" si="245"/>
        <v>0</v>
      </c>
      <c r="Y3541" t="str">
        <f>SUBSTITUTE(Tabla1[[#This Row],[Descripción]],CHAR(10),"    I    ")</f>
        <v/>
      </c>
      <c r="Z3541" s="112" t="e">
        <f>VLOOKUP(Tabla1[[#This Row],[Perfil]],Catalogos!$B$75:$D$100,3,FALSE)*Tabla1[[#This Row],[Tiempo
(Hrs 00/100)]]*1.16</f>
        <v>#N/A</v>
      </c>
    </row>
    <row r="3542" spans="1:26" ht="30" customHeight="1" x14ac:dyDescent="0.3">
      <c r="A3542" s="106"/>
      <c r="B3542" s="106"/>
      <c r="C3542" s="106"/>
      <c r="D3542" s="106"/>
      <c r="E3542" s="106"/>
      <c r="F3542" s="106"/>
      <c r="G3542" s="106"/>
      <c r="H3542" s="107"/>
      <c r="I3542" s="95"/>
      <c r="J3542" s="706"/>
      <c r="K3542" s="769"/>
      <c r="L3542" s="706"/>
      <c r="M3542" s="781"/>
      <c r="N3542" s="182"/>
      <c r="O3542" s="188"/>
      <c r="P3542" s="221"/>
      <c r="Q3542" s="106"/>
      <c r="R3542" s="108"/>
      <c r="S3542" s="108"/>
      <c r="T3542" s="108"/>
      <c r="U3542" s="108" t="str">
        <f>IFERROR(VLOOKUP(CONCATENATE(Tabla1[[#This Row],[Severidad]]," ",Tabla1[[#This Row],[Complejidad]]),Catalogos!E$120:G$128,3,FALSE),"")</f>
        <v/>
      </c>
      <c r="V3542" s="108" t="str">
        <f>IF(Tabla1[[#This Row],[Tiempo solución max (hrs)]]&lt;&gt;"",IF(Tabla1[[#This Row],[Tiempo solución max (hrs)]]&gt;=Tabla1[[#This Row],[Tiempo
(Hrs 00/100)]],"cumple","no cumple"),"")</f>
        <v/>
      </c>
      <c r="W3542" s="17"/>
      <c r="X3542" s="18">
        <f t="shared" si="245"/>
        <v>0</v>
      </c>
      <c r="Y3542" t="str">
        <f>SUBSTITUTE(Tabla1[[#This Row],[Descripción]],CHAR(10),"    I    ")</f>
        <v/>
      </c>
      <c r="Z3542" s="112" t="e">
        <f>VLOOKUP(Tabla1[[#This Row],[Perfil]],Catalogos!$B$75:$D$100,3,FALSE)*Tabla1[[#This Row],[Tiempo
(Hrs 00/100)]]*1.16</f>
        <v>#N/A</v>
      </c>
    </row>
    <row r="3543" spans="1:26" ht="30" customHeight="1" x14ac:dyDescent="0.3">
      <c r="A3543" s="106"/>
      <c r="B3543" s="106"/>
      <c r="C3543" s="106"/>
      <c r="D3543" s="106"/>
      <c r="E3543" s="106"/>
      <c r="F3543" s="106"/>
      <c r="G3543" s="106"/>
      <c r="H3543" s="107"/>
      <c r="I3543" s="95"/>
      <c r="J3543" s="706"/>
      <c r="K3543" s="769"/>
      <c r="L3543" s="706"/>
      <c r="M3543" s="781"/>
      <c r="N3543" s="182"/>
      <c r="O3543" s="188"/>
      <c r="P3543" s="221"/>
      <c r="Q3543" s="106"/>
      <c r="R3543" s="108"/>
      <c r="S3543" s="108"/>
      <c r="T3543" s="108"/>
      <c r="U3543" s="108" t="str">
        <f>IFERROR(VLOOKUP(CONCATENATE(Tabla1[[#This Row],[Severidad]]," ",Tabla1[[#This Row],[Complejidad]]),Catalogos!E$120:G$128,3,FALSE),"")</f>
        <v/>
      </c>
      <c r="V3543" s="108" t="str">
        <f>IF(Tabla1[[#This Row],[Tiempo solución max (hrs)]]&lt;&gt;"",IF(Tabla1[[#This Row],[Tiempo solución max (hrs)]]&gt;=Tabla1[[#This Row],[Tiempo
(Hrs 00/100)]],"cumple","no cumple"),"")</f>
        <v/>
      </c>
      <c r="W3543" s="17"/>
      <c r="X3543" s="18">
        <f t="shared" si="245"/>
        <v>0</v>
      </c>
      <c r="Y3543" t="str">
        <f>SUBSTITUTE(Tabla1[[#This Row],[Descripción]],CHAR(10),"    I    ")</f>
        <v/>
      </c>
      <c r="Z3543" s="112" t="e">
        <f>VLOOKUP(Tabla1[[#This Row],[Perfil]],Catalogos!$B$75:$D$100,3,FALSE)*Tabla1[[#This Row],[Tiempo
(Hrs 00/100)]]*1.16</f>
        <v>#N/A</v>
      </c>
    </row>
    <row r="3544" spans="1:26" ht="30" customHeight="1" x14ac:dyDescent="0.3">
      <c r="A3544" s="106"/>
      <c r="B3544" s="106"/>
      <c r="C3544" s="106"/>
      <c r="D3544" s="106"/>
      <c r="E3544" s="106"/>
      <c r="F3544" s="106"/>
      <c r="G3544" s="106"/>
      <c r="H3544" s="107"/>
      <c r="I3544" s="95"/>
      <c r="J3544" s="706"/>
      <c r="K3544" s="769"/>
      <c r="L3544" s="706"/>
      <c r="M3544" s="781"/>
      <c r="N3544" s="182"/>
      <c r="O3544" s="188"/>
      <c r="P3544" s="221"/>
      <c r="Q3544" s="106"/>
      <c r="R3544" s="108"/>
      <c r="S3544" s="108"/>
      <c r="T3544" s="108"/>
      <c r="U3544" s="108" t="str">
        <f>IFERROR(VLOOKUP(CONCATENATE(Tabla1[[#This Row],[Severidad]]," ",Tabla1[[#This Row],[Complejidad]]),Catalogos!E$120:G$128,3,FALSE),"")</f>
        <v/>
      </c>
      <c r="V3544" s="108" t="str">
        <f>IF(Tabla1[[#This Row],[Tiempo solución max (hrs)]]&lt;&gt;"",IF(Tabla1[[#This Row],[Tiempo solución max (hrs)]]&gt;=Tabla1[[#This Row],[Tiempo
(Hrs 00/100)]],"cumple","no cumple"),"")</f>
        <v/>
      </c>
      <c r="W3544" s="17"/>
      <c r="X3544" s="18">
        <f t="shared" si="245"/>
        <v>0</v>
      </c>
      <c r="Y3544" t="str">
        <f>SUBSTITUTE(Tabla1[[#This Row],[Descripción]],CHAR(10),"    I    ")</f>
        <v/>
      </c>
      <c r="Z3544" s="112" t="e">
        <f>VLOOKUP(Tabla1[[#This Row],[Perfil]],Catalogos!$B$75:$D$100,3,FALSE)*Tabla1[[#This Row],[Tiempo
(Hrs 00/100)]]*1.16</f>
        <v>#N/A</v>
      </c>
    </row>
    <row r="3545" spans="1:26" ht="30" customHeight="1" x14ac:dyDescent="0.3">
      <c r="A3545" s="106"/>
      <c r="B3545" s="106"/>
      <c r="C3545" s="106"/>
      <c r="D3545" s="106"/>
      <c r="E3545" s="106"/>
      <c r="F3545" s="106"/>
      <c r="G3545" s="106"/>
      <c r="H3545" s="107"/>
      <c r="I3545" s="95"/>
      <c r="J3545" s="706"/>
      <c r="K3545" s="769"/>
      <c r="L3545" s="706"/>
      <c r="M3545" s="781"/>
      <c r="N3545" s="182"/>
      <c r="O3545" s="188"/>
      <c r="P3545" s="221"/>
      <c r="Q3545" s="106"/>
      <c r="R3545" s="108"/>
      <c r="S3545" s="108"/>
      <c r="T3545" s="108"/>
      <c r="U3545" s="108" t="str">
        <f>IFERROR(VLOOKUP(CONCATENATE(Tabla1[[#This Row],[Severidad]]," ",Tabla1[[#This Row],[Complejidad]]),Catalogos!E$120:G$128,3,FALSE),"")</f>
        <v/>
      </c>
      <c r="V3545" s="108" t="str">
        <f>IF(Tabla1[[#This Row],[Tiempo solución max (hrs)]]&lt;&gt;"",IF(Tabla1[[#This Row],[Tiempo solución max (hrs)]]&gt;=Tabla1[[#This Row],[Tiempo
(Hrs 00/100)]],"cumple","no cumple"),"")</f>
        <v/>
      </c>
      <c r="W3545" s="17"/>
      <c r="X3545" s="18">
        <f t="shared" si="245"/>
        <v>0</v>
      </c>
      <c r="Y3545" t="str">
        <f>SUBSTITUTE(Tabla1[[#This Row],[Descripción]],CHAR(10),"    I    ")</f>
        <v/>
      </c>
      <c r="Z3545" s="112" t="e">
        <f>VLOOKUP(Tabla1[[#This Row],[Perfil]],Catalogos!$B$75:$D$100,3,FALSE)*Tabla1[[#This Row],[Tiempo
(Hrs 00/100)]]*1.16</f>
        <v>#N/A</v>
      </c>
    </row>
    <row r="3546" spans="1:26" ht="30" customHeight="1" x14ac:dyDescent="0.3">
      <c r="A3546" s="106"/>
      <c r="B3546" s="106"/>
      <c r="C3546" s="106"/>
      <c r="D3546" s="106"/>
      <c r="E3546" s="106"/>
      <c r="F3546" s="106"/>
      <c r="G3546" s="106"/>
      <c r="H3546" s="107"/>
      <c r="I3546" s="95"/>
      <c r="J3546" s="706"/>
      <c r="K3546" s="769"/>
      <c r="L3546" s="706"/>
      <c r="M3546" s="781"/>
      <c r="N3546" s="182"/>
      <c r="O3546" s="188"/>
      <c r="P3546" s="221"/>
      <c r="Q3546" s="106"/>
      <c r="R3546" s="108"/>
      <c r="S3546" s="108"/>
      <c r="T3546" s="108"/>
      <c r="U3546" s="108" t="str">
        <f>IFERROR(VLOOKUP(CONCATENATE(Tabla1[[#This Row],[Severidad]]," ",Tabla1[[#This Row],[Complejidad]]),Catalogos!E$120:G$128,3,FALSE),"")</f>
        <v/>
      </c>
      <c r="V3546" s="108" t="str">
        <f>IF(Tabla1[[#This Row],[Tiempo solución max (hrs)]]&lt;&gt;"",IF(Tabla1[[#This Row],[Tiempo solución max (hrs)]]&gt;=Tabla1[[#This Row],[Tiempo
(Hrs 00/100)]],"cumple","no cumple"),"")</f>
        <v/>
      </c>
      <c r="W3546" s="17"/>
      <c r="X3546" s="18">
        <f t="shared" si="245"/>
        <v>0</v>
      </c>
      <c r="Y3546" t="str">
        <f>SUBSTITUTE(Tabla1[[#This Row],[Descripción]],CHAR(10),"    I    ")</f>
        <v/>
      </c>
      <c r="Z3546" s="112" t="e">
        <f>VLOOKUP(Tabla1[[#This Row],[Perfil]],Catalogos!$B$75:$D$100,3,FALSE)*Tabla1[[#This Row],[Tiempo
(Hrs 00/100)]]*1.16</f>
        <v>#N/A</v>
      </c>
    </row>
    <row r="3547" spans="1:26" ht="30" customHeight="1" x14ac:dyDescent="0.3">
      <c r="A3547" s="106"/>
      <c r="B3547" s="106"/>
      <c r="C3547" s="106"/>
      <c r="D3547" s="106"/>
      <c r="E3547" s="106"/>
      <c r="F3547" s="106"/>
      <c r="G3547" s="106"/>
      <c r="H3547" s="107"/>
      <c r="I3547" s="95"/>
      <c r="J3547" s="706"/>
      <c r="K3547" s="769"/>
      <c r="L3547" s="706"/>
      <c r="M3547" s="781"/>
      <c r="N3547" s="182"/>
      <c r="O3547" s="188"/>
      <c r="P3547" s="221"/>
      <c r="Q3547" s="106"/>
      <c r="R3547" s="108"/>
      <c r="S3547" s="108"/>
      <c r="T3547" s="108"/>
      <c r="U3547" s="108" t="str">
        <f>IFERROR(VLOOKUP(CONCATENATE(Tabla1[[#This Row],[Severidad]]," ",Tabla1[[#This Row],[Complejidad]]),Catalogos!E$120:G$128,3,FALSE),"")</f>
        <v/>
      </c>
      <c r="V3547" s="108" t="str">
        <f>IF(Tabla1[[#This Row],[Tiempo solución max (hrs)]]&lt;&gt;"",IF(Tabla1[[#This Row],[Tiempo solución max (hrs)]]&gt;=Tabla1[[#This Row],[Tiempo
(Hrs 00/100)]],"cumple","no cumple"),"")</f>
        <v/>
      </c>
      <c r="W3547" s="17"/>
      <c r="X3547" s="18">
        <f t="shared" si="245"/>
        <v>0</v>
      </c>
      <c r="Y3547" t="str">
        <f>SUBSTITUTE(Tabla1[[#This Row],[Descripción]],CHAR(10),"    I    ")</f>
        <v/>
      </c>
      <c r="Z3547" s="112" t="e">
        <f>VLOOKUP(Tabla1[[#This Row],[Perfil]],Catalogos!$B$75:$D$100,3,FALSE)*Tabla1[[#This Row],[Tiempo
(Hrs 00/100)]]*1.16</f>
        <v>#N/A</v>
      </c>
    </row>
    <row r="3548" spans="1:26" ht="30" customHeight="1" x14ac:dyDescent="0.3">
      <c r="A3548" s="106"/>
      <c r="B3548" s="106"/>
      <c r="C3548" s="106"/>
      <c r="D3548" s="106"/>
      <c r="E3548" s="106"/>
      <c r="F3548" s="106"/>
      <c r="G3548" s="106"/>
      <c r="H3548" s="107"/>
      <c r="I3548" s="95"/>
      <c r="J3548" s="706"/>
      <c r="K3548" s="769"/>
      <c r="L3548" s="706"/>
      <c r="M3548" s="781"/>
      <c r="N3548" s="182"/>
      <c r="O3548" s="188"/>
      <c r="P3548" s="221"/>
      <c r="Q3548" s="106"/>
      <c r="R3548" s="108"/>
      <c r="S3548" s="108"/>
      <c r="T3548" s="108"/>
      <c r="U3548" s="108" t="str">
        <f>IFERROR(VLOOKUP(CONCATENATE(Tabla1[[#This Row],[Severidad]]," ",Tabla1[[#This Row],[Complejidad]]),Catalogos!E$120:G$128,3,FALSE),"")</f>
        <v/>
      </c>
      <c r="V3548" s="108" t="str">
        <f>IF(Tabla1[[#This Row],[Tiempo solución max (hrs)]]&lt;&gt;"",IF(Tabla1[[#This Row],[Tiempo solución max (hrs)]]&gt;=Tabla1[[#This Row],[Tiempo
(Hrs 00/100)]],"cumple","no cumple"),"")</f>
        <v/>
      </c>
      <c r="W3548" s="17"/>
      <c r="X3548" s="18">
        <f t="shared" si="245"/>
        <v>0</v>
      </c>
      <c r="Y3548" t="str">
        <f>SUBSTITUTE(Tabla1[[#This Row],[Descripción]],CHAR(10),"    I    ")</f>
        <v/>
      </c>
      <c r="Z3548" s="112" t="e">
        <f>VLOOKUP(Tabla1[[#This Row],[Perfil]],Catalogos!$B$75:$D$100,3,FALSE)*Tabla1[[#This Row],[Tiempo
(Hrs 00/100)]]*1.16</f>
        <v>#N/A</v>
      </c>
    </row>
    <row r="3549" spans="1:26" ht="30" customHeight="1" x14ac:dyDescent="0.3">
      <c r="A3549" s="106"/>
      <c r="B3549" s="106"/>
      <c r="C3549" s="106"/>
      <c r="D3549" s="106"/>
      <c r="E3549" s="106"/>
      <c r="F3549" s="106"/>
      <c r="G3549" s="106"/>
      <c r="H3549" s="107"/>
      <c r="I3549" s="95"/>
      <c r="J3549" s="706"/>
      <c r="K3549" s="769"/>
      <c r="L3549" s="706"/>
      <c r="M3549" s="781"/>
      <c r="N3549" s="182"/>
      <c r="O3549" s="188"/>
      <c r="P3549" s="221"/>
      <c r="Q3549" s="106"/>
      <c r="R3549" s="108"/>
      <c r="S3549" s="108"/>
      <c r="T3549" s="108"/>
      <c r="U3549" s="108" t="str">
        <f>IFERROR(VLOOKUP(CONCATENATE(Tabla1[[#This Row],[Severidad]]," ",Tabla1[[#This Row],[Complejidad]]),Catalogos!E$120:G$128,3,FALSE),"")</f>
        <v/>
      </c>
      <c r="V3549" s="108" t="str">
        <f>IF(Tabla1[[#This Row],[Tiempo solución max (hrs)]]&lt;&gt;"",IF(Tabla1[[#This Row],[Tiempo solución max (hrs)]]&gt;=Tabla1[[#This Row],[Tiempo
(Hrs 00/100)]],"cumple","no cumple"),"")</f>
        <v/>
      </c>
      <c r="W3549" s="17"/>
      <c r="X3549" s="18">
        <f t="shared" si="245"/>
        <v>0</v>
      </c>
      <c r="Y3549" t="str">
        <f>SUBSTITUTE(Tabla1[[#This Row],[Descripción]],CHAR(10),"    I    ")</f>
        <v/>
      </c>
      <c r="Z3549" s="112" t="e">
        <f>VLOOKUP(Tabla1[[#This Row],[Perfil]],Catalogos!$B$75:$D$100,3,FALSE)*Tabla1[[#This Row],[Tiempo
(Hrs 00/100)]]*1.16</f>
        <v>#N/A</v>
      </c>
    </row>
    <row r="3550" spans="1:26" ht="30" customHeight="1" x14ac:dyDescent="0.3">
      <c r="A3550" s="106"/>
      <c r="B3550" s="106"/>
      <c r="C3550" s="106"/>
      <c r="D3550" s="106"/>
      <c r="E3550" s="106"/>
      <c r="F3550" s="106"/>
      <c r="G3550" s="106"/>
      <c r="H3550" s="107"/>
      <c r="I3550" s="95"/>
      <c r="J3550" s="706"/>
      <c r="K3550" s="769"/>
      <c r="L3550" s="706"/>
      <c r="M3550" s="781"/>
      <c r="N3550" s="182"/>
      <c r="O3550" s="188"/>
      <c r="P3550" s="221"/>
      <c r="Q3550" s="106"/>
      <c r="R3550" s="108"/>
      <c r="S3550" s="108"/>
      <c r="T3550" s="108"/>
      <c r="U3550" s="108" t="str">
        <f>IFERROR(VLOOKUP(CONCATENATE(Tabla1[[#This Row],[Severidad]]," ",Tabla1[[#This Row],[Complejidad]]),Catalogos!E$120:G$128,3,FALSE),"")</f>
        <v/>
      </c>
      <c r="V3550" s="108" t="str">
        <f>IF(Tabla1[[#This Row],[Tiempo solución max (hrs)]]&lt;&gt;"",IF(Tabla1[[#This Row],[Tiempo solución max (hrs)]]&gt;=Tabla1[[#This Row],[Tiempo
(Hrs 00/100)]],"cumple","no cumple"),"")</f>
        <v/>
      </c>
      <c r="W3550" s="17"/>
      <c r="X3550" s="18">
        <f t="shared" si="245"/>
        <v>0</v>
      </c>
      <c r="Y3550" t="str">
        <f>SUBSTITUTE(Tabla1[[#This Row],[Descripción]],CHAR(10),"    I    ")</f>
        <v/>
      </c>
      <c r="Z3550" s="112" t="e">
        <f>VLOOKUP(Tabla1[[#This Row],[Perfil]],Catalogos!$B$75:$D$100,3,FALSE)*Tabla1[[#This Row],[Tiempo
(Hrs 00/100)]]*1.16</f>
        <v>#N/A</v>
      </c>
    </row>
    <row r="3551" spans="1:26" ht="30" customHeight="1" x14ac:dyDescent="0.3">
      <c r="A3551" s="106"/>
      <c r="B3551" s="106"/>
      <c r="C3551" s="106"/>
      <c r="D3551" s="106"/>
      <c r="E3551" s="106"/>
      <c r="F3551" s="106"/>
      <c r="G3551" s="106"/>
      <c r="H3551" s="107"/>
      <c r="I3551" s="95"/>
      <c r="J3551" s="706"/>
      <c r="K3551" s="769"/>
      <c r="L3551" s="706"/>
      <c r="M3551" s="781"/>
      <c r="N3551" s="182"/>
      <c r="O3551" s="188"/>
      <c r="P3551" s="221"/>
      <c r="Q3551" s="106"/>
      <c r="R3551" s="108"/>
      <c r="S3551" s="108"/>
      <c r="T3551" s="108"/>
      <c r="U3551" s="108" t="str">
        <f>IFERROR(VLOOKUP(CONCATENATE(Tabla1[[#This Row],[Severidad]]," ",Tabla1[[#This Row],[Complejidad]]),Catalogos!E$120:G$128,3,FALSE),"")</f>
        <v/>
      </c>
      <c r="V3551" s="108" t="str">
        <f>IF(Tabla1[[#This Row],[Tiempo solución max (hrs)]]&lt;&gt;"",IF(Tabla1[[#This Row],[Tiempo solución max (hrs)]]&gt;=Tabla1[[#This Row],[Tiempo
(Hrs 00/100)]],"cumple","no cumple"),"")</f>
        <v/>
      </c>
      <c r="W3551" s="17"/>
      <c r="X3551" s="18">
        <f t="shared" si="245"/>
        <v>0</v>
      </c>
      <c r="Y3551" t="str">
        <f>SUBSTITUTE(Tabla1[[#This Row],[Descripción]],CHAR(10),"    I    ")</f>
        <v/>
      </c>
      <c r="Z3551" s="112" t="e">
        <f>VLOOKUP(Tabla1[[#This Row],[Perfil]],Catalogos!$B$75:$D$100,3,FALSE)*Tabla1[[#This Row],[Tiempo
(Hrs 00/100)]]*1.16</f>
        <v>#N/A</v>
      </c>
    </row>
    <row r="3552" spans="1:26" ht="30" customHeight="1" x14ac:dyDescent="0.3">
      <c r="A3552" s="106"/>
      <c r="B3552" s="106"/>
      <c r="C3552" s="106"/>
      <c r="D3552" s="106"/>
      <c r="E3552" s="106"/>
      <c r="F3552" s="106"/>
      <c r="G3552" s="106"/>
      <c r="H3552" s="107"/>
      <c r="I3552" s="95"/>
      <c r="J3552" s="706"/>
      <c r="K3552" s="769"/>
      <c r="L3552" s="706"/>
      <c r="M3552" s="781"/>
      <c r="N3552" s="182"/>
      <c r="O3552" s="188"/>
      <c r="P3552" s="221"/>
      <c r="Q3552" s="106"/>
      <c r="R3552" s="108"/>
      <c r="S3552" s="108"/>
      <c r="T3552" s="108"/>
      <c r="U3552" s="108" t="str">
        <f>IFERROR(VLOOKUP(CONCATENATE(Tabla1[[#This Row],[Severidad]]," ",Tabla1[[#This Row],[Complejidad]]),Catalogos!E$120:G$128,3,FALSE),"")</f>
        <v/>
      </c>
      <c r="V3552" s="108" t="str">
        <f>IF(Tabla1[[#This Row],[Tiempo solución max (hrs)]]&lt;&gt;"",IF(Tabla1[[#This Row],[Tiempo solución max (hrs)]]&gt;=Tabla1[[#This Row],[Tiempo
(Hrs 00/100)]],"cumple","no cumple"),"")</f>
        <v/>
      </c>
      <c r="W3552" s="17"/>
      <c r="X3552" s="18">
        <f t="shared" si="245"/>
        <v>0</v>
      </c>
      <c r="Y3552" t="str">
        <f>SUBSTITUTE(Tabla1[[#This Row],[Descripción]],CHAR(10),"    I    ")</f>
        <v/>
      </c>
      <c r="Z3552" s="112" t="e">
        <f>VLOOKUP(Tabla1[[#This Row],[Perfil]],Catalogos!$B$75:$D$100,3,FALSE)*Tabla1[[#This Row],[Tiempo
(Hrs 00/100)]]*1.16</f>
        <v>#N/A</v>
      </c>
    </row>
    <row r="3553" spans="1:26" ht="30" customHeight="1" x14ac:dyDescent="0.3">
      <c r="A3553" s="106"/>
      <c r="B3553" s="106"/>
      <c r="C3553" s="106"/>
      <c r="D3553" s="106"/>
      <c r="E3553" s="106"/>
      <c r="F3553" s="106"/>
      <c r="G3553" s="106"/>
      <c r="H3553" s="107"/>
      <c r="I3553" s="95"/>
      <c r="J3553" s="706"/>
      <c r="K3553" s="769"/>
      <c r="L3553" s="706"/>
      <c r="M3553" s="781"/>
      <c r="N3553" s="182"/>
      <c r="O3553" s="188"/>
      <c r="P3553" s="221"/>
      <c r="Q3553" s="106"/>
      <c r="R3553" s="108"/>
      <c r="S3553" s="108"/>
      <c r="T3553" s="108"/>
      <c r="U3553" s="108" t="str">
        <f>IFERROR(VLOOKUP(CONCATENATE(Tabla1[[#This Row],[Severidad]]," ",Tabla1[[#This Row],[Complejidad]]),Catalogos!E$120:G$128,3,FALSE),"")</f>
        <v/>
      </c>
      <c r="V3553" s="108" t="str">
        <f>IF(Tabla1[[#This Row],[Tiempo solución max (hrs)]]&lt;&gt;"",IF(Tabla1[[#This Row],[Tiempo solución max (hrs)]]&gt;=Tabla1[[#This Row],[Tiempo
(Hrs 00/100)]],"cumple","no cumple"),"")</f>
        <v/>
      </c>
      <c r="W3553" s="17"/>
      <c r="X3553" s="18">
        <f t="shared" si="245"/>
        <v>0</v>
      </c>
      <c r="Y3553" t="str">
        <f>SUBSTITUTE(Tabla1[[#This Row],[Descripción]],CHAR(10),"    I    ")</f>
        <v/>
      </c>
      <c r="Z3553" s="112" t="e">
        <f>VLOOKUP(Tabla1[[#This Row],[Perfil]],Catalogos!$B$75:$D$100,3,FALSE)*Tabla1[[#This Row],[Tiempo
(Hrs 00/100)]]*1.16</f>
        <v>#N/A</v>
      </c>
    </row>
    <row r="3554" spans="1:26" ht="30" customHeight="1" x14ac:dyDescent="0.3">
      <c r="A3554" s="106"/>
      <c r="B3554" s="106"/>
      <c r="C3554" s="106"/>
      <c r="D3554" s="106"/>
      <c r="E3554" s="106"/>
      <c r="F3554" s="106"/>
      <c r="G3554" s="106"/>
      <c r="H3554" s="107"/>
      <c r="I3554" s="95"/>
      <c r="J3554" s="706"/>
      <c r="K3554" s="769"/>
      <c r="L3554" s="706"/>
      <c r="M3554" s="781"/>
      <c r="N3554" s="182"/>
      <c r="O3554" s="188"/>
      <c r="P3554" s="221"/>
      <c r="Q3554" s="106"/>
      <c r="R3554" s="108"/>
      <c r="S3554" s="108"/>
      <c r="T3554" s="108"/>
      <c r="U3554" s="108" t="str">
        <f>IFERROR(VLOOKUP(CONCATENATE(Tabla1[[#This Row],[Severidad]]," ",Tabla1[[#This Row],[Complejidad]]),Catalogos!E$120:G$128,3,FALSE),"")</f>
        <v/>
      </c>
      <c r="V3554" s="108" t="str">
        <f>IF(Tabla1[[#This Row],[Tiempo solución max (hrs)]]&lt;&gt;"",IF(Tabla1[[#This Row],[Tiempo solución max (hrs)]]&gt;=Tabla1[[#This Row],[Tiempo
(Hrs 00/100)]],"cumple","no cumple"),"")</f>
        <v/>
      </c>
      <c r="W3554" s="17"/>
      <c r="X3554" s="18">
        <f t="shared" si="245"/>
        <v>0</v>
      </c>
      <c r="Y3554" t="str">
        <f>SUBSTITUTE(Tabla1[[#This Row],[Descripción]],CHAR(10),"    I    ")</f>
        <v/>
      </c>
      <c r="Z3554" s="112" t="e">
        <f>VLOOKUP(Tabla1[[#This Row],[Perfil]],Catalogos!$B$75:$D$100,3,FALSE)*Tabla1[[#This Row],[Tiempo
(Hrs 00/100)]]*1.16</f>
        <v>#N/A</v>
      </c>
    </row>
    <row r="3555" spans="1:26" ht="30" customHeight="1" x14ac:dyDescent="0.3">
      <c r="A3555" s="106"/>
      <c r="B3555" s="106"/>
      <c r="C3555" s="106"/>
      <c r="D3555" s="106"/>
      <c r="E3555" s="106"/>
      <c r="F3555" s="106"/>
      <c r="G3555" s="106"/>
      <c r="H3555" s="107"/>
      <c r="I3555" s="95"/>
      <c r="J3555" s="706"/>
      <c r="K3555" s="769"/>
      <c r="L3555" s="706"/>
      <c r="M3555" s="781"/>
      <c r="N3555" s="182"/>
      <c r="O3555" s="188"/>
      <c r="P3555" s="221"/>
      <c r="Q3555" s="106"/>
      <c r="R3555" s="108"/>
      <c r="S3555" s="108"/>
      <c r="T3555" s="108"/>
      <c r="U3555" s="108" t="str">
        <f>IFERROR(VLOOKUP(CONCATENATE(Tabla1[[#This Row],[Severidad]]," ",Tabla1[[#This Row],[Complejidad]]),Catalogos!E$120:G$128,3,FALSE),"")</f>
        <v/>
      </c>
      <c r="V3555" s="108" t="str">
        <f>IF(Tabla1[[#This Row],[Tiempo solución max (hrs)]]&lt;&gt;"",IF(Tabla1[[#This Row],[Tiempo solución max (hrs)]]&gt;=Tabla1[[#This Row],[Tiempo
(Hrs 00/100)]],"cumple","no cumple"),"")</f>
        <v/>
      </c>
      <c r="W3555" s="17"/>
      <c r="X3555" s="18">
        <f t="shared" si="245"/>
        <v>0</v>
      </c>
      <c r="Y3555" t="str">
        <f>SUBSTITUTE(Tabla1[[#This Row],[Descripción]],CHAR(10),"    I    ")</f>
        <v/>
      </c>
      <c r="Z3555" s="112" t="e">
        <f>VLOOKUP(Tabla1[[#This Row],[Perfil]],Catalogos!$B$75:$D$100,3,FALSE)*Tabla1[[#This Row],[Tiempo
(Hrs 00/100)]]*1.16</f>
        <v>#N/A</v>
      </c>
    </row>
    <row r="3556" spans="1:26" ht="30" customHeight="1" x14ac:dyDescent="0.3">
      <c r="A3556" s="106"/>
      <c r="B3556" s="106"/>
      <c r="C3556" s="106"/>
      <c r="D3556" s="106"/>
      <c r="E3556" s="106"/>
      <c r="F3556" s="106"/>
      <c r="G3556" s="106"/>
      <c r="H3556" s="107"/>
      <c r="I3556" s="95"/>
      <c r="J3556" s="706"/>
      <c r="K3556" s="769"/>
      <c r="L3556" s="706"/>
      <c r="M3556" s="781"/>
      <c r="N3556" s="182"/>
      <c r="O3556" s="188"/>
      <c r="P3556" s="221"/>
      <c r="Q3556" s="106"/>
      <c r="R3556" s="108"/>
      <c r="S3556" s="108"/>
      <c r="T3556" s="108"/>
      <c r="U3556" s="108" t="str">
        <f>IFERROR(VLOOKUP(CONCATENATE(Tabla1[[#This Row],[Severidad]]," ",Tabla1[[#This Row],[Complejidad]]),Catalogos!E$120:G$128,3,FALSE),"")</f>
        <v/>
      </c>
      <c r="V3556" s="108" t="str">
        <f>IF(Tabla1[[#This Row],[Tiempo solución max (hrs)]]&lt;&gt;"",IF(Tabla1[[#This Row],[Tiempo solución max (hrs)]]&gt;=Tabla1[[#This Row],[Tiempo
(Hrs 00/100)]],"cumple","no cumple"),"")</f>
        <v/>
      </c>
      <c r="W3556" s="17"/>
      <c r="X3556" s="18">
        <f t="shared" si="245"/>
        <v>0</v>
      </c>
      <c r="Y3556" t="str">
        <f>SUBSTITUTE(Tabla1[[#This Row],[Descripción]],CHAR(10),"    I    ")</f>
        <v/>
      </c>
      <c r="Z3556" s="112" t="e">
        <f>VLOOKUP(Tabla1[[#This Row],[Perfil]],Catalogos!$B$75:$D$100,3,FALSE)*Tabla1[[#This Row],[Tiempo
(Hrs 00/100)]]*1.16</f>
        <v>#N/A</v>
      </c>
    </row>
    <row r="3557" spans="1:26" ht="30" customHeight="1" x14ac:dyDescent="0.3">
      <c r="A3557" s="106"/>
      <c r="B3557" s="106"/>
      <c r="C3557" s="106"/>
      <c r="D3557" s="106"/>
      <c r="E3557" s="106"/>
      <c r="F3557" s="106"/>
      <c r="G3557" s="106"/>
      <c r="H3557" s="107"/>
      <c r="I3557" s="95"/>
      <c r="J3557" s="706"/>
      <c r="K3557" s="769"/>
      <c r="L3557" s="706"/>
      <c r="M3557" s="781"/>
      <c r="N3557" s="182"/>
      <c r="O3557" s="188"/>
      <c r="P3557" s="221"/>
      <c r="Q3557" s="106"/>
      <c r="R3557" s="108"/>
      <c r="S3557" s="108"/>
      <c r="T3557" s="108"/>
      <c r="U3557" s="108" t="str">
        <f>IFERROR(VLOOKUP(CONCATENATE(Tabla1[[#This Row],[Severidad]]," ",Tabla1[[#This Row],[Complejidad]]),Catalogos!E$120:G$128,3,FALSE),"")</f>
        <v/>
      </c>
      <c r="V3557" s="108" t="str">
        <f>IF(Tabla1[[#This Row],[Tiempo solución max (hrs)]]&lt;&gt;"",IF(Tabla1[[#This Row],[Tiempo solución max (hrs)]]&gt;=Tabla1[[#This Row],[Tiempo
(Hrs 00/100)]],"cumple","no cumple"),"")</f>
        <v/>
      </c>
      <c r="W3557" s="17"/>
      <c r="X3557" s="18">
        <f t="shared" si="245"/>
        <v>0</v>
      </c>
      <c r="Y3557" t="str">
        <f>SUBSTITUTE(Tabla1[[#This Row],[Descripción]],CHAR(10),"    I    ")</f>
        <v/>
      </c>
      <c r="Z3557" s="112" t="e">
        <f>VLOOKUP(Tabla1[[#This Row],[Perfil]],Catalogos!$B$75:$D$100,3,FALSE)*Tabla1[[#This Row],[Tiempo
(Hrs 00/100)]]*1.16</f>
        <v>#N/A</v>
      </c>
    </row>
    <row r="3558" spans="1:26" ht="30" customHeight="1" x14ac:dyDescent="0.3">
      <c r="A3558" s="106"/>
      <c r="B3558" s="106"/>
      <c r="C3558" s="106"/>
      <c r="D3558" s="106"/>
      <c r="E3558" s="106"/>
      <c r="F3558" s="106"/>
      <c r="G3558" s="106"/>
      <c r="H3558" s="107"/>
      <c r="I3558" s="95"/>
      <c r="J3558" s="706"/>
      <c r="K3558" s="769"/>
      <c r="L3558" s="706"/>
      <c r="M3558" s="781"/>
      <c r="N3558" s="182"/>
      <c r="O3558" s="188"/>
      <c r="P3558" s="221"/>
      <c r="Q3558" s="106"/>
      <c r="R3558" s="108"/>
      <c r="S3558" s="108"/>
      <c r="T3558" s="108"/>
      <c r="U3558" s="108" t="str">
        <f>IFERROR(VLOOKUP(CONCATENATE(Tabla1[[#This Row],[Severidad]]," ",Tabla1[[#This Row],[Complejidad]]),Catalogos!E$120:G$128,3,FALSE),"")</f>
        <v/>
      </c>
      <c r="V3558" s="108" t="str">
        <f>IF(Tabla1[[#This Row],[Tiempo solución max (hrs)]]&lt;&gt;"",IF(Tabla1[[#This Row],[Tiempo solución max (hrs)]]&gt;=Tabla1[[#This Row],[Tiempo
(Hrs 00/100)]],"cumple","no cumple"),"")</f>
        <v/>
      </c>
      <c r="W3558" s="17"/>
      <c r="X3558" s="18">
        <f t="shared" si="245"/>
        <v>0</v>
      </c>
      <c r="Y3558" t="str">
        <f>SUBSTITUTE(Tabla1[[#This Row],[Descripción]],CHAR(10),"    I    ")</f>
        <v/>
      </c>
      <c r="Z3558" s="112" t="e">
        <f>VLOOKUP(Tabla1[[#This Row],[Perfil]],Catalogos!$B$75:$D$100,3,FALSE)*Tabla1[[#This Row],[Tiempo
(Hrs 00/100)]]*1.16</f>
        <v>#N/A</v>
      </c>
    </row>
    <row r="3559" spans="1:26" ht="30" customHeight="1" x14ac:dyDescent="0.3">
      <c r="A3559" s="106"/>
      <c r="B3559" s="106"/>
      <c r="C3559" s="106"/>
      <c r="D3559" s="106"/>
      <c r="E3559" s="106"/>
      <c r="F3559" s="106"/>
      <c r="G3559" s="106"/>
      <c r="H3559" s="107"/>
      <c r="I3559" s="95"/>
      <c r="J3559" s="706"/>
      <c r="K3559" s="769"/>
      <c r="L3559" s="706"/>
      <c r="M3559" s="781"/>
      <c r="N3559" s="182"/>
      <c r="O3559" s="188"/>
      <c r="P3559" s="221"/>
      <c r="Q3559" s="106"/>
      <c r="R3559" s="108"/>
      <c r="S3559" s="108"/>
      <c r="T3559" s="108"/>
      <c r="U3559" s="108" t="str">
        <f>IFERROR(VLOOKUP(CONCATENATE(Tabla1[[#This Row],[Severidad]]," ",Tabla1[[#This Row],[Complejidad]]),Catalogos!E$120:G$128,3,FALSE),"")</f>
        <v/>
      </c>
      <c r="V3559" s="108" t="str">
        <f>IF(Tabla1[[#This Row],[Tiempo solución max (hrs)]]&lt;&gt;"",IF(Tabla1[[#This Row],[Tiempo solución max (hrs)]]&gt;=Tabla1[[#This Row],[Tiempo
(Hrs 00/100)]],"cumple","no cumple"),"")</f>
        <v/>
      </c>
      <c r="W3559" s="17"/>
      <c r="X3559" s="18">
        <f t="shared" si="245"/>
        <v>0</v>
      </c>
      <c r="Y3559" t="str">
        <f>SUBSTITUTE(Tabla1[[#This Row],[Descripción]],CHAR(10),"    I    ")</f>
        <v/>
      </c>
      <c r="Z3559" s="112" t="e">
        <f>VLOOKUP(Tabla1[[#This Row],[Perfil]],Catalogos!$B$75:$D$100,3,FALSE)*Tabla1[[#This Row],[Tiempo
(Hrs 00/100)]]*1.16</f>
        <v>#N/A</v>
      </c>
    </row>
    <row r="3560" spans="1:26" ht="30" customHeight="1" x14ac:dyDescent="0.3">
      <c r="A3560" s="106"/>
      <c r="B3560" s="106"/>
      <c r="C3560" s="106"/>
      <c r="D3560" s="106"/>
      <c r="E3560" s="106"/>
      <c r="F3560" s="106"/>
      <c r="G3560" s="106"/>
      <c r="H3560" s="107"/>
      <c r="I3560" s="95"/>
      <c r="J3560" s="706"/>
      <c r="K3560" s="769"/>
      <c r="L3560" s="706"/>
      <c r="M3560" s="781"/>
      <c r="N3560" s="182"/>
      <c r="O3560" s="188"/>
      <c r="P3560" s="221"/>
      <c r="Q3560" s="106"/>
      <c r="R3560" s="108"/>
      <c r="S3560" s="108"/>
      <c r="T3560" s="108"/>
      <c r="U3560" s="108" t="str">
        <f>IFERROR(VLOOKUP(CONCATENATE(Tabla1[[#This Row],[Severidad]]," ",Tabla1[[#This Row],[Complejidad]]),Catalogos!E$120:G$128,3,FALSE),"")</f>
        <v/>
      </c>
      <c r="V3560" s="108" t="str">
        <f>IF(Tabla1[[#This Row],[Tiempo solución max (hrs)]]&lt;&gt;"",IF(Tabla1[[#This Row],[Tiempo solución max (hrs)]]&gt;=Tabla1[[#This Row],[Tiempo
(Hrs 00/100)]],"cumple","no cumple"),"")</f>
        <v/>
      </c>
      <c r="W3560" s="17"/>
      <c r="X3560" s="18">
        <f t="shared" si="245"/>
        <v>0</v>
      </c>
      <c r="Y3560" t="str">
        <f>SUBSTITUTE(Tabla1[[#This Row],[Descripción]],CHAR(10),"    I    ")</f>
        <v/>
      </c>
      <c r="Z3560" s="112" t="e">
        <f>VLOOKUP(Tabla1[[#This Row],[Perfil]],Catalogos!$B$75:$D$100,3,FALSE)*Tabla1[[#This Row],[Tiempo
(Hrs 00/100)]]*1.16</f>
        <v>#N/A</v>
      </c>
    </row>
    <row r="3561" spans="1:26" ht="30" customHeight="1" x14ac:dyDescent="0.3">
      <c r="A3561" s="106"/>
      <c r="B3561" s="106"/>
      <c r="C3561" s="106"/>
      <c r="D3561" s="106"/>
      <c r="E3561" s="106"/>
      <c r="F3561" s="106"/>
      <c r="G3561" s="106"/>
      <c r="H3561" s="107"/>
      <c r="I3561" s="95"/>
      <c r="J3561" s="706"/>
      <c r="K3561" s="769"/>
      <c r="L3561" s="706"/>
      <c r="M3561" s="781"/>
      <c r="N3561" s="182"/>
      <c r="O3561" s="188"/>
      <c r="P3561" s="221"/>
      <c r="Q3561" s="106"/>
      <c r="R3561" s="108"/>
      <c r="S3561" s="108"/>
      <c r="T3561" s="108"/>
      <c r="U3561" s="108" t="str">
        <f>IFERROR(VLOOKUP(CONCATENATE(Tabla1[[#This Row],[Severidad]]," ",Tabla1[[#This Row],[Complejidad]]),Catalogos!E$120:G$128,3,FALSE),"")</f>
        <v/>
      </c>
      <c r="V3561" s="108" t="str">
        <f>IF(Tabla1[[#This Row],[Tiempo solución max (hrs)]]&lt;&gt;"",IF(Tabla1[[#This Row],[Tiempo solución max (hrs)]]&gt;=Tabla1[[#This Row],[Tiempo
(Hrs 00/100)]],"cumple","no cumple"),"")</f>
        <v/>
      </c>
      <c r="W3561" s="17"/>
      <c r="X3561" s="18">
        <f t="shared" si="245"/>
        <v>0</v>
      </c>
      <c r="Y3561" t="str">
        <f>SUBSTITUTE(Tabla1[[#This Row],[Descripción]],CHAR(10),"    I    ")</f>
        <v/>
      </c>
      <c r="Z3561" s="112" t="e">
        <f>VLOOKUP(Tabla1[[#This Row],[Perfil]],Catalogos!$B$75:$D$100,3,FALSE)*Tabla1[[#This Row],[Tiempo
(Hrs 00/100)]]*1.16</f>
        <v>#N/A</v>
      </c>
    </row>
    <row r="3562" spans="1:26" ht="30" customHeight="1" x14ac:dyDescent="0.3">
      <c r="A3562" s="106"/>
      <c r="B3562" s="106"/>
      <c r="C3562" s="106"/>
      <c r="D3562" s="106"/>
      <c r="E3562" s="106"/>
      <c r="F3562" s="106"/>
      <c r="G3562" s="106"/>
      <c r="H3562" s="107"/>
      <c r="I3562" s="95"/>
      <c r="J3562" s="706"/>
      <c r="K3562" s="769"/>
      <c r="L3562" s="706"/>
      <c r="M3562" s="781"/>
      <c r="N3562" s="182"/>
      <c r="O3562" s="188"/>
      <c r="P3562" s="221"/>
      <c r="Q3562" s="106"/>
      <c r="R3562" s="108"/>
      <c r="S3562" s="108"/>
      <c r="T3562" s="108"/>
      <c r="U3562" s="108" t="str">
        <f>IFERROR(VLOOKUP(CONCATENATE(Tabla1[[#This Row],[Severidad]]," ",Tabla1[[#This Row],[Complejidad]]),Catalogos!E$120:G$128,3,FALSE),"")</f>
        <v/>
      </c>
      <c r="V3562" s="108" t="str">
        <f>IF(Tabla1[[#This Row],[Tiempo solución max (hrs)]]&lt;&gt;"",IF(Tabla1[[#This Row],[Tiempo solución max (hrs)]]&gt;=Tabla1[[#This Row],[Tiempo
(Hrs 00/100)]],"cumple","no cumple"),"")</f>
        <v/>
      </c>
      <c r="W3562" s="17"/>
      <c r="X3562" s="18">
        <f t="shared" si="245"/>
        <v>0</v>
      </c>
      <c r="Y3562" t="str">
        <f>SUBSTITUTE(Tabla1[[#This Row],[Descripción]],CHAR(10),"    I    ")</f>
        <v/>
      </c>
      <c r="Z3562" s="112" t="e">
        <f>VLOOKUP(Tabla1[[#This Row],[Perfil]],Catalogos!$B$75:$D$100,3,FALSE)*Tabla1[[#This Row],[Tiempo
(Hrs 00/100)]]*1.16</f>
        <v>#N/A</v>
      </c>
    </row>
    <row r="3563" spans="1:26" ht="30" customHeight="1" x14ac:dyDescent="0.3">
      <c r="A3563" s="106"/>
      <c r="B3563" s="106"/>
      <c r="C3563" s="106"/>
      <c r="D3563" s="106"/>
      <c r="E3563" s="106"/>
      <c r="F3563" s="106"/>
      <c r="G3563" s="106"/>
      <c r="H3563" s="107"/>
      <c r="I3563" s="95"/>
      <c r="J3563" s="706"/>
      <c r="K3563" s="769"/>
      <c r="L3563" s="706"/>
      <c r="M3563" s="781"/>
      <c r="N3563" s="182"/>
      <c r="O3563" s="188"/>
      <c r="P3563" s="221"/>
      <c r="Q3563" s="106"/>
      <c r="R3563" s="108"/>
      <c r="S3563" s="108"/>
      <c r="T3563" s="108"/>
      <c r="U3563" s="108" t="str">
        <f>IFERROR(VLOOKUP(CONCATENATE(Tabla1[[#This Row],[Severidad]]," ",Tabla1[[#This Row],[Complejidad]]),Catalogos!E$120:G$128,3,FALSE),"")</f>
        <v/>
      </c>
      <c r="V3563" s="108" t="str">
        <f>IF(Tabla1[[#This Row],[Tiempo solución max (hrs)]]&lt;&gt;"",IF(Tabla1[[#This Row],[Tiempo solución max (hrs)]]&gt;=Tabla1[[#This Row],[Tiempo
(Hrs 00/100)]],"cumple","no cumple"),"")</f>
        <v/>
      </c>
      <c r="W3563" s="17"/>
      <c r="X3563" s="18">
        <f t="shared" si="245"/>
        <v>0</v>
      </c>
      <c r="Y3563" t="str">
        <f>SUBSTITUTE(Tabla1[[#This Row],[Descripción]],CHAR(10),"    I    ")</f>
        <v/>
      </c>
      <c r="Z3563" s="112" t="e">
        <f>VLOOKUP(Tabla1[[#This Row],[Perfil]],Catalogos!$B$75:$D$100,3,FALSE)*Tabla1[[#This Row],[Tiempo
(Hrs 00/100)]]*1.16</f>
        <v>#N/A</v>
      </c>
    </row>
    <row r="3564" spans="1:26" ht="30" customHeight="1" x14ac:dyDescent="0.3">
      <c r="A3564" s="106"/>
      <c r="B3564" s="106"/>
      <c r="C3564" s="106"/>
      <c r="D3564" s="106"/>
      <c r="E3564" s="106"/>
      <c r="F3564" s="106"/>
      <c r="G3564" s="106"/>
      <c r="H3564" s="107"/>
      <c r="I3564" s="95"/>
      <c r="J3564" s="706"/>
      <c r="K3564" s="769"/>
      <c r="L3564" s="706"/>
      <c r="M3564" s="781"/>
      <c r="N3564" s="182"/>
      <c r="O3564" s="188"/>
      <c r="P3564" s="221"/>
      <c r="Q3564" s="106"/>
      <c r="R3564" s="108"/>
      <c r="S3564" s="108"/>
      <c r="T3564" s="108"/>
      <c r="U3564" s="108" t="str">
        <f>IFERROR(VLOOKUP(CONCATENATE(Tabla1[[#This Row],[Severidad]]," ",Tabla1[[#This Row],[Complejidad]]),Catalogos!E$120:G$128,3,FALSE),"")</f>
        <v/>
      </c>
      <c r="V3564" s="108" t="str">
        <f>IF(Tabla1[[#This Row],[Tiempo solución max (hrs)]]&lt;&gt;"",IF(Tabla1[[#This Row],[Tiempo solución max (hrs)]]&gt;=Tabla1[[#This Row],[Tiempo
(Hrs 00/100)]],"cumple","no cumple"),"")</f>
        <v/>
      </c>
      <c r="W3564" s="17"/>
      <c r="X3564" s="18">
        <f t="shared" si="245"/>
        <v>0</v>
      </c>
      <c r="Y3564" t="str">
        <f>SUBSTITUTE(Tabla1[[#This Row],[Descripción]],CHAR(10),"    I    ")</f>
        <v/>
      </c>
      <c r="Z3564" s="112" t="e">
        <f>VLOOKUP(Tabla1[[#This Row],[Perfil]],Catalogos!$B$75:$D$100,3,FALSE)*Tabla1[[#This Row],[Tiempo
(Hrs 00/100)]]*1.16</f>
        <v>#N/A</v>
      </c>
    </row>
    <row r="3565" spans="1:26" ht="30" customHeight="1" x14ac:dyDescent="0.3">
      <c r="A3565" s="106"/>
      <c r="B3565" s="106"/>
      <c r="C3565" s="106"/>
      <c r="D3565" s="106"/>
      <c r="E3565" s="106"/>
      <c r="F3565" s="106"/>
      <c r="G3565" s="106"/>
      <c r="H3565" s="107"/>
      <c r="I3565" s="95"/>
      <c r="J3565" s="706"/>
      <c r="K3565" s="769"/>
      <c r="L3565" s="706"/>
      <c r="M3565" s="781"/>
      <c r="N3565" s="182"/>
      <c r="O3565" s="188"/>
      <c r="P3565" s="221"/>
      <c r="Q3565" s="106"/>
      <c r="R3565" s="108"/>
      <c r="S3565" s="108"/>
      <c r="T3565" s="108"/>
      <c r="U3565" s="108" t="str">
        <f>IFERROR(VLOOKUP(CONCATENATE(Tabla1[[#This Row],[Severidad]]," ",Tabla1[[#This Row],[Complejidad]]),Catalogos!E$120:G$128,3,FALSE),"")</f>
        <v/>
      </c>
      <c r="V3565" s="108" t="str">
        <f>IF(Tabla1[[#This Row],[Tiempo solución max (hrs)]]&lt;&gt;"",IF(Tabla1[[#This Row],[Tiempo solución max (hrs)]]&gt;=Tabla1[[#This Row],[Tiempo
(Hrs 00/100)]],"cumple","no cumple"),"")</f>
        <v/>
      </c>
      <c r="W3565" s="17"/>
      <c r="X3565" s="18">
        <f t="shared" si="245"/>
        <v>0</v>
      </c>
      <c r="Y3565" t="str">
        <f>SUBSTITUTE(Tabla1[[#This Row],[Descripción]],CHAR(10),"    I    ")</f>
        <v/>
      </c>
      <c r="Z3565" s="112" t="e">
        <f>VLOOKUP(Tabla1[[#This Row],[Perfil]],Catalogos!$B$75:$D$100,3,FALSE)*Tabla1[[#This Row],[Tiempo
(Hrs 00/100)]]*1.16</f>
        <v>#N/A</v>
      </c>
    </row>
    <row r="3566" spans="1:26" ht="30" customHeight="1" x14ac:dyDescent="0.3">
      <c r="A3566" s="106"/>
      <c r="B3566" s="106"/>
      <c r="C3566" s="106"/>
      <c r="D3566" s="106"/>
      <c r="E3566" s="106"/>
      <c r="F3566" s="106"/>
      <c r="G3566" s="106"/>
      <c r="H3566" s="107"/>
      <c r="I3566" s="95"/>
      <c r="J3566" s="706"/>
      <c r="K3566" s="769"/>
      <c r="L3566" s="706"/>
      <c r="M3566" s="781"/>
      <c r="N3566" s="182"/>
      <c r="O3566" s="188"/>
      <c r="P3566" s="221"/>
      <c r="Q3566" s="106"/>
      <c r="R3566" s="108"/>
      <c r="S3566" s="108"/>
      <c r="T3566" s="108"/>
      <c r="U3566" s="108" t="str">
        <f>IFERROR(VLOOKUP(CONCATENATE(Tabla1[[#This Row],[Severidad]]," ",Tabla1[[#This Row],[Complejidad]]),Catalogos!E$120:G$128,3,FALSE),"")</f>
        <v/>
      </c>
      <c r="V3566" s="108" t="str">
        <f>IF(Tabla1[[#This Row],[Tiempo solución max (hrs)]]&lt;&gt;"",IF(Tabla1[[#This Row],[Tiempo solución max (hrs)]]&gt;=Tabla1[[#This Row],[Tiempo
(Hrs 00/100)]],"cumple","no cumple"),"")</f>
        <v/>
      </c>
      <c r="W3566" s="17"/>
      <c r="X3566" s="18">
        <f t="shared" si="245"/>
        <v>0</v>
      </c>
      <c r="Y3566" t="str">
        <f>SUBSTITUTE(Tabla1[[#This Row],[Descripción]],CHAR(10),"    I    ")</f>
        <v/>
      </c>
      <c r="Z3566" s="112" t="e">
        <f>VLOOKUP(Tabla1[[#This Row],[Perfil]],Catalogos!$B$75:$D$100,3,FALSE)*Tabla1[[#This Row],[Tiempo
(Hrs 00/100)]]*1.16</f>
        <v>#N/A</v>
      </c>
    </row>
    <row r="3567" spans="1:26" ht="30" customHeight="1" x14ac:dyDescent="0.3">
      <c r="A3567" s="106"/>
      <c r="B3567" s="106"/>
      <c r="C3567" s="106"/>
      <c r="D3567" s="106"/>
      <c r="E3567" s="106"/>
      <c r="F3567" s="106"/>
      <c r="G3567" s="106"/>
      <c r="H3567" s="107"/>
      <c r="I3567" s="95"/>
      <c r="J3567" s="706"/>
      <c r="K3567" s="769"/>
      <c r="L3567" s="706"/>
      <c r="M3567" s="781"/>
      <c r="N3567" s="182"/>
      <c r="O3567" s="188"/>
      <c r="P3567" s="221"/>
      <c r="Q3567" s="106"/>
      <c r="R3567" s="108"/>
      <c r="S3567" s="108"/>
      <c r="T3567" s="108"/>
      <c r="U3567" s="108" t="str">
        <f>IFERROR(VLOOKUP(CONCATENATE(Tabla1[[#This Row],[Severidad]]," ",Tabla1[[#This Row],[Complejidad]]),Catalogos!E$120:G$128,3,FALSE),"")</f>
        <v/>
      </c>
      <c r="V3567" s="108" t="str">
        <f>IF(Tabla1[[#This Row],[Tiempo solución max (hrs)]]&lt;&gt;"",IF(Tabla1[[#This Row],[Tiempo solución max (hrs)]]&gt;=Tabla1[[#This Row],[Tiempo
(Hrs 00/100)]],"cumple","no cumple"),"")</f>
        <v/>
      </c>
      <c r="W3567" s="17"/>
      <c r="X3567" s="18">
        <f t="shared" si="245"/>
        <v>0</v>
      </c>
      <c r="Y3567" t="str">
        <f>SUBSTITUTE(Tabla1[[#This Row],[Descripción]],CHAR(10),"    I    ")</f>
        <v/>
      </c>
      <c r="Z3567" s="112" t="e">
        <f>VLOOKUP(Tabla1[[#This Row],[Perfil]],Catalogos!$B$75:$D$100,3,FALSE)*Tabla1[[#This Row],[Tiempo
(Hrs 00/100)]]*1.16</f>
        <v>#N/A</v>
      </c>
    </row>
    <row r="3568" spans="1:26" ht="30" customHeight="1" x14ac:dyDescent="0.3">
      <c r="A3568" s="106"/>
      <c r="B3568" s="106"/>
      <c r="C3568" s="106"/>
      <c r="D3568" s="106"/>
      <c r="E3568" s="106"/>
      <c r="F3568" s="106"/>
      <c r="G3568" s="106"/>
      <c r="H3568" s="107"/>
      <c r="I3568" s="95"/>
      <c r="J3568" s="706"/>
      <c r="K3568" s="769"/>
      <c r="L3568" s="706"/>
      <c r="M3568" s="781"/>
      <c r="N3568" s="182"/>
      <c r="O3568" s="188"/>
      <c r="P3568" s="221"/>
      <c r="Q3568" s="106"/>
      <c r="R3568" s="108"/>
      <c r="S3568" s="108"/>
      <c r="T3568" s="108"/>
      <c r="U3568" s="108" t="str">
        <f>IFERROR(VLOOKUP(CONCATENATE(Tabla1[[#This Row],[Severidad]]," ",Tabla1[[#This Row],[Complejidad]]),Catalogos!E$120:G$128,3,FALSE),"")</f>
        <v/>
      </c>
      <c r="V3568" s="108" t="str">
        <f>IF(Tabla1[[#This Row],[Tiempo solución max (hrs)]]&lt;&gt;"",IF(Tabla1[[#This Row],[Tiempo solución max (hrs)]]&gt;=Tabla1[[#This Row],[Tiempo
(Hrs 00/100)]],"cumple","no cumple"),"")</f>
        <v/>
      </c>
      <c r="W3568" s="17"/>
      <c r="X3568" s="18">
        <f t="shared" si="245"/>
        <v>0</v>
      </c>
      <c r="Y3568" t="str">
        <f>SUBSTITUTE(Tabla1[[#This Row],[Descripción]],CHAR(10),"    I    ")</f>
        <v/>
      </c>
      <c r="Z3568" s="112" t="e">
        <f>VLOOKUP(Tabla1[[#This Row],[Perfil]],Catalogos!$B$75:$D$100,3,FALSE)*Tabla1[[#This Row],[Tiempo
(Hrs 00/100)]]*1.16</f>
        <v>#N/A</v>
      </c>
    </row>
    <row r="3569" spans="1:26" ht="30" customHeight="1" x14ac:dyDescent="0.3">
      <c r="A3569" s="106"/>
      <c r="B3569" s="106"/>
      <c r="C3569" s="106"/>
      <c r="D3569" s="106"/>
      <c r="E3569" s="106"/>
      <c r="F3569" s="106"/>
      <c r="G3569" s="106"/>
      <c r="H3569" s="107"/>
      <c r="I3569" s="95"/>
      <c r="J3569" s="706"/>
      <c r="K3569" s="769"/>
      <c r="L3569" s="706"/>
      <c r="M3569" s="781"/>
      <c r="N3569" s="182"/>
      <c r="O3569" s="188"/>
      <c r="P3569" s="221"/>
      <c r="Q3569" s="106"/>
      <c r="R3569" s="108"/>
      <c r="S3569" s="108"/>
      <c r="T3569" s="108"/>
      <c r="U3569" s="108" t="str">
        <f>IFERROR(VLOOKUP(CONCATENATE(Tabla1[[#This Row],[Severidad]]," ",Tabla1[[#This Row],[Complejidad]]),Catalogos!E$120:G$128,3,FALSE),"")</f>
        <v/>
      </c>
      <c r="V3569" s="108" t="str">
        <f>IF(Tabla1[[#This Row],[Tiempo solución max (hrs)]]&lt;&gt;"",IF(Tabla1[[#This Row],[Tiempo solución max (hrs)]]&gt;=Tabla1[[#This Row],[Tiempo
(Hrs 00/100)]],"cumple","no cumple"),"")</f>
        <v/>
      </c>
      <c r="W3569" s="17"/>
      <c r="X3569" s="18">
        <f t="shared" si="245"/>
        <v>0</v>
      </c>
      <c r="Y3569" t="str">
        <f>SUBSTITUTE(Tabla1[[#This Row],[Descripción]],CHAR(10),"    I    ")</f>
        <v/>
      </c>
      <c r="Z3569" s="112" t="e">
        <f>VLOOKUP(Tabla1[[#This Row],[Perfil]],Catalogos!$B$75:$D$100,3,FALSE)*Tabla1[[#This Row],[Tiempo
(Hrs 00/100)]]*1.16</f>
        <v>#N/A</v>
      </c>
    </row>
    <row r="3570" spans="1:26" ht="30" customHeight="1" x14ac:dyDescent="0.3">
      <c r="A3570" s="106"/>
      <c r="B3570" s="106"/>
      <c r="C3570" s="106"/>
      <c r="D3570" s="106"/>
      <c r="E3570" s="106"/>
      <c r="F3570" s="106"/>
      <c r="G3570" s="106"/>
      <c r="H3570" s="107"/>
      <c r="I3570" s="95"/>
      <c r="J3570" s="706"/>
      <c r="K3570" s="769"/>
      <c r="L3570" s="706"/>
      <c r="M3570" s="781"/>
      <c r="N3570" s="182"/>
      <c r="O3570" s="188"/>
      <c r="P3570" s="221"/>
      <c r="Q3570" s="106"/>
      <c r="R3570" s="108"/>
      <c r="S3570" s="108"/>
      <c r="T3570" s="108"/>
      <c r="U3570" s="108" t="str">
        <f>IFERROR(VLOOKUP(CONCATENATE(Tabla1[[#This Row],[Severidad]]," ",Tabla1[[#This Row],[Complejidad]]),Catalogos!E$120:G$128,3,FALSE),"")</f>
        <v/>
      </c>
      <c r="V3570" s="108" t="str">
        <f>IF(Tabla1[[#This Row],[Tiempo solución max (hrs)]]&lt;&gt;"",IF(Tabla1[[#This Row],[Tiempo solución max (hrs)]]&gt;=Tabla1[[#This Row],[Tiempo
(Hrs 00/100)]],"cumple","no cumple"),"")</f>
        <v/>
      </c>
      <c r="W3570" s="17"/>
      <c r="X3570" s="18">
        <f t="shared" si="245"/>
        <v>0</v>
      </c>
      <c r="Y3570" t="str">
        <f>SUBSTITUTE(Tabla1[[#This Row],[Descripción]],CHAR(10),"    I    ")</f>
        <v/>
      </c>
      <c r="Z3570" s="112" t="e">
        <f>VLOOKUP(Tabla1[[#This Row],[Perfil]],Catalogos!$B$75:$D$100,3,FALSE)*Tabla1[[#This Row],[Tiempo
(Hrs 00/100)]]*1.16</f>
        <v>#N/A</v>
      </c>
    </row>
    <row r="3571" spans="1:26" ht="30" customHeight="1" x14ac:dyDescent="0.3">
      <c r="A3571" s="106"/>
      <c r="B3571" s="106"/>
      <c r="C3571" s="106"/>
      <c r="D3571" s="106"/>
      <c r="E3571" s="106"/>
      <c r="F3571" s="106"/>
      <c r="G3571" s="106"/>
      <c r="H3571" s="107"/>
      <c r="I3571" s="95"/>
      <c r="J3571" s="706"/>
      <c r="K3571" s="769"/>
      <c r="L3571" s="706"/>
      <c r="M3571" s="781"/>
      <c r="N3571" s="182"/>
      <c r="O3571" s="188"/>
      <c r="P3571" s="221"/>
      <c r="Q3571" s="106"/>
      <c r="R3571" s="108"/>
      <c r="S3571" s="108"/>
      <c r="T3571" s="108"/>
      <c r="U3571" s="108" t="str">
        <f>IFERROR(VLOOKUP(CONCATENATE(Tabla1[[#This Row],[Severidad]]," ",Tabla1[[#This Row],[Complejidad]]),Catalogos!E$120:G$128,3,FALSE),"")</f>
        <v/>
      </c>
      <c r="V3571" s="108" t="str">
        <f>IF(Tabla1[[#This Row],[Tiempo solución max (hrs)]]&lt;&gt;"",IF(Tabla1[[#This Row],[Tiempo solución max (hrs)]]&gt;=Tabla1[[#This Row],[Tiempo
(Hrs 00/100)]],"cumple","no cumple"),"")</f>
        <v/>
      </c>
      <c r="W3571" s="17"/>
      <c r="X3571" s="18">
        <f t="shared" si="245"/>
        <v>0</v>
      </c>
      <c r="Y3571" t="str">
        <f>SUBSTITUTE(Tabla1[[#This Row],[Descripción]],CHAR(10),"    I    ")</f>
        <v/>
      </c>
      <c r="Z3571" s="112" t="e">
        <f>VLOOKUP(Tabla1[[#This Row],[Perfil]],Catalogos!$B$75:$D$100,3,FALSE)*Tabla1[[#This Row],[Tiempo
(Hrs 00/100)]]*1.16</f>
        <v>#N/A</v>
      </c>
    </row>
    <row r="3572" spans="1:26" ht="30" customHeight="1" x14ac:dyDescent="0.3">
      <c r="A3572" s="106"/>
      <c r="B3572" s="106"/>
      <c r="C3572" s="106"/>
      <c r="D3572" s="106"/>
      <c r="E3572" s="106"/>
      <c r="F3572" s="106"/>
      <c r="G3572" s="106"/>
      <c r="H3572" s="107"/>
      <c r="I3572" s="95"/>
      <c r="J3572" s="706"/>
      <c r="K3572" s="769"/>
      <c r="L3572" s="706"/>
      <c r="M3572" s="781"/>
      <c r="N3572" s="182"/>
      <c r="O3572" s="188"/>
      <c r="P3572" s="221"/>
      <c r="Q3572" s="106"/>
      <c r="R3572" s="108"/>
      <c r="S3572" s="108"/>
      <c r="T3572" s="108"/>
      <c r="U3572" s="108" t="str">
        <f>IFERROR(VLOOKUP(CONCATENATE(Tabla1[[#This Row],[Severidad]]," ",Tabla1[[#This Row],[Complejidad]]),Catalogos!E$120:G$128,3,FALSE),"")</f>
        <v/>
      </c>
      <c r="V3572" s="108" t="str">
        <f>IF(Tabla1[[#This Row],[Tiempo solución max (hrs)]]&lt;&gt;"",IF(Tabla1[[#This Row],[Tiempo solución max (hrs)]]&gt;=Tabla1[[#This Row],[Tiempo
(Hrs 00/100)]],"cumple","no cumple"),"")</f>
        <v/>
      </c>
      <c r="W3572" s="17"/>
      <c r="X3572" s="18">
        <f t="shared" si="245"/>
        <v>0</v>
      </c>
      <c r="Y3572" t="str">
        <f>SUBSTITUTE(Tabla1[[#This Row],[Descripción]],CHAR(10),"    I    ")</f>
        <v/>
      </c>
      <c r="Z3572" s="112" t="e">
        <f>VLOOKUP(Tabla1[[#This Row],[Perfil]],Catalogos!$B$75:$D$100,3,FALSE)*Tabla1[[#This Row],[Tiempo
(Hrs 00/100)]]*1.16</f>
        <v>#N/A</v>
      </c>
    </row>
    <row r="3573" spans="1:26" ht="30" customHeight="1" x14ac:dyDescent="0.3">
      <c r="A3573" s="106"/>
      <c r="B3573" s="106"/>
      <c r="C3573" s="106"/>
      <c r="D3573" s="106"/>
      <c r="E3573" s="106"/>
      <c r="F3573" s="106"/>
      <c r="G3573" s="106"/>
      <c r="H3573" s="107"/>
      <c r="I3573" s="95"/>
      <c r="J3573" s="706"/>
      <c r="K3573" s="769"/>
      <c r="L3573" s="706"/>
      <c r="M3573" s="781"/>
      <c r="N3573" s="182"/>
      <c r="O3573" s="188"/>
      <c r="P3573" s="221"/>
      <c r="Q3573" s="106"/>
      <c r="R3573" s="108"/>
      <c r="S3573" s="108"/>
      <c r="T3573" s="108"/>
      <c r="U3573" s="108" t="str">
        <f>IFERROR(VLOOKUP(CONCATENATE(Tabla1[[#This Row],[Severidad]]," ",Tabla1[[#This Row],[Complejidad]]),Catalogos!E$120:G$128,3,FALSE),"")</f>
        <v/>
      </c>
      <c r="V3573" s="108" t="str">
        <f>IF(Tabla1[[#This Row],[Tiempo solución max (hrs)]]&lt;&gt;"",IF(Tabla1[[#This Row],[Tiempo solución max (hrs)]]&gt;=Tabla1[[#This Row],[Tiempo
(Hrs 00/100)]],"cumple","no cumple"),"")</f>
        <v/>
      </c>
      <c r="W3573" s="17"/>
      <c r="X3573" s="18">
        <f t="shared" si="245"/>
        <v>0</v>
      </c>
      <c r="Y3573" t="str">
        <f>SUBSTITUTE(Tabla1[[#This Row],[Descripción]],CHAR(10),"    I    ")</f>
        <v/>
      </c>
      <c r="Z3573" s="112" t="e">
        <f>VLOOKUP(Tabla1[[#This Row],[Perfil]],Catalogos!$B$75:$D$100,3,FALSE)*Tabla1[[#This Row],[Tiempo
(Hrs 00/100)]]*1.16</f>
        <v>#N/A</v>
      </c>
    </row>
    <row r="3574" spans="1:26" ht="30" customHeight="1" x14ac:dyDescent="0.3">
      <c r="A3574" s="106"/>
      <c r="B3574" s="106"/>
      <c r="C3574" s="106"/>
      <c r="D3574" s="106"/>
      <c r="E3574" s="106"/>
      <c r="F3574" s="106"/>
      <c r="G3574" s="106"/>
      <c r="H3574" s="107"/>
      <c r="I3574" s="95"/>
      <c r="J3574" s="706"/>
      <c r="K3574" s="769"/>
      <c r="L3574" s="706"/>
      <c r="M3574" s="781"/>
      <c r="N3574" s="182"/>
      <c r="O3574" s="188"/>
      <c r="P3574" s="221"/>
      <c r="Q3574" s="106"/>
      <c r="R3574" s="108"/>
      <c r="S3574" s="108"/>
      <c r="T3574" s="108"/>
      <c r="U3574" s="108" t="str">
        <f>IFERROR(VLOOKUP(CONCATENATE(Tabla1[[#This Row],[Severidad]]," ",Tabla1[[#This Row],[Complejidad]]),Catalogos!E$120:G$128,3,FALSE),"")</f>
        <v/>
      </c>
      <c r="V3574" s="108" t="str">
        <f>IF(Tabla1[[#This Row],[Tiempo solución max (hrs)]]&lt;&gt;"",IF(Tabla1[[#This Row],[Tiempo solución max (hrs)]]&gt;=Tabla1[[#This Row],[Tiempo
(Hrs 00/100)]],"cumple","no cumple"),"")</f>
        <v/>
      </c>
      <c r="W3574" s="17"/>
      <c r="X3574" s="18">
        <f t="shared" si="245"/>
        <v>0</v>
      </c>
      <c r="Y3574" t="str">
        <f>SUBSTITUTE(Tabla1[[#This Row],[Descripción]],CHAR(10),"    I    ")</f>
        <v/>
      </c>
      <c r="Z3574" s="112" t="e">
        <f>VLOOKUP(Tabla1[[#This Row],[Perfil]],Catalogos!$B$75:$D$100,3,FALSE)*Tabla1[[#This Row],[Tiempo
(Hrs 00/100)]]*1.16</f>
        <v>#N/A</v>
      </c>
    </row>
    <row r="3575" spans="1:26" ht="30" customHeight="1" x14ac:dyDescent="0.3">
      <c r="A3575" s="106"/>
      <c r="B3575" s="106"/>
      <c r="C3575" s="106"/>
      <c r="D3575" s="106"/>
      <c r="E3575" s="106"/>
      <c r="F3575" s="106"/>
      <c r="G3575" s="106"/>
      <c r="H3575" s="107"/>
      <c r="I3575" s="95"/>
      <c r="J3575" s="706"/>
      <c r="K3575" s="769"/>
      <c r="L3575" s="706"/>
      <c r="M3575" s="781"/>
      <c r="N3575" s="182"/>
      <c r="O3575" s="188"/>
      <c r="P3575" s="221"/>
      <c r="Q3575" s="106"/>
      <c r="R3575" s="108"/>
      <c r="S3575" s="108"/>
      <c r="T3575" s="108"/>
      <c r="U3575" s="108" t="str">
        <f>IFERROR(VLOOKUP(CONCATENATE(Tabla1[[#This Row],[Severidad]]," ",Tabla1[[#This Row],[Complejidad]]),Catalogos!E$120:G$128,3,FALSE),"")</f>
        <v/>
      </c>
      <c r="V3575" s="108" t="str">
        <f>IF(Tabla1[[#This Row],[Tiempo solución max (hrs)]]&lt;&gt;"",IF(Tabla1[[#This Row],[Tiempo solución max (hrs)]]&gt;=Tabla1[[#This Row],[Tiempo
(Hrs 00/100)]],"cumple","no cumple"),"")</f>
        <v/>
      </c>
      <c r="W3575" s="17"/>
      <c r="X3575" s="18">
        <f t="shared" si="245"/>
        <v>0</v>
      </c>
      <c r="Y3575" t="str">
        <f>SUBSTITUTE(Tabla1[[#This Row],[Descripción]],CHAR(10),"    I    ")</f>
        <v/>
      </c>
      <c r="Z3575" s="112" t="e">
        <f>VLOOKUP(Tabla1[[#This Row],[Perfil]],Catalogos!$B$75:$D$100,3,FALSE)*Tabla1[[#This Row],[Tiempo
(Hrs 00/100)]]*1.16</f>
        <v>#N/A</v>
      </c>
    </row>
    <row r="3576" spans="1:26" ht="30" customHeight="1" x14ac:dyDescent="0.3">
      <c r="A3576" s="106"/>
      <c r="B3576" s="106"/>
      <c r="C3576" s="106"/>
      <c r="D3576" s="106"/>
      <c r="E3576" s="106"/>
      <c r="F3576" s="106"/>
      <c r="G3576" s="106"/>
      <c r="H3576" s="107"/>
      <c r="I3576" s="95"/>
      <c r="J3576" s="706"/>
      <c r="K3576" s="769"/>
      <c r="L3576" s="706"/>
      <c r="M3576" s="781"/>
      <c r="N3576" s="182"/>
      <c r="O3576" s="188"/>
      <c r="P3576" s="221"/>
      <c r="Q3576" s="106"/>
      <c r="R3576" s="108"/>
      <c r="S3576" s="108"/>
      <c r="T3576" s="108"/>
      <c r="U3576" s="108" t="str">
        <f>IFERROR(VLOOKUP(CONCATENATE(Tabla1[[#This Row],[Severidad]]," ",Tabla1[[#This Row],[Complejidad]]),Catalogos!E$120:G$128,3,FALSE),"")</f>
        <v/>
      </c>
      <c r="V3576" s="108" t="str">
        <f>IF(Tabla1[[#This Row],[Tiempo solución max (hrs)]]&lt;&gt;"",IF(Tabla1[[#This Row],[Tiempo solución max (hrs)]]&gt;=Tabla1[[#This Row],[Tiempo
(Hrs 00/100)]],"cumple","no cumple"),"")</f>
        <v/>
      </c>
      <c r="W3576" s="17"/>
      <c r="X3576" s="18">
        <f t="shared" si="245"/>
        <v>0</v>
      </c>
      <c r="Y3576" t="str">
        <f>SUBSTITUTE(Tabla1[[#This Row],[Descripción]],CHAR(10),"    I    ")</f>
        <v/>
      </c>
      <c r="Z3576" s="112" t="e">
        <f>VLOOKUP(Tabla1[[#This Row],[Perfil]],Catalogos!$B$75:$D$100,3,FALSE)*Tabla1[[#This Row],[Tiempo
(Hrs 00/100)]]*1.16</f>
        <v>#N/A</v>
      </c>
    </row>
    <row r="3577" spans="1:26" ht="30" customHeight="1" x14ac:dyDescent="0.3">
      <c r="A3577" s="106"/>
      <c r="B3577" s="106"/>
      <c r="C3577" s="106"/>
      <c r="D3577" s="106"/>
      <c r="E3577" s="106"/>
      <c r="F3577" s="106"/>
      <c r="G3577" s="106"/>
      <c r="H3577" s="107"/>
      <c r="I3577" s="95"/>
      <c r="J3577" s="706"/>
      <c r="K3577" s="769"/>
      <c r="L3577" s="706"/>
      <c r="M3577" s="781"/>
      <c r="N3577" s="182"/>
      <c r="O3577" s="188"/>
      <c r="P3577" s="221"/>
      <c r="Q3577" s="106"/>
      <c r="R3577" s="108"/>
      <c r="S3577" s="108"/>
      <c r="T3577" s="108"/>
      <c r="U3577" s="108" t="str">
        <f>IFERROR(VLOOKUP(CONCATENATE(Tabla1[[#This Row],[Severidad]]," ",Tabla1[[#This Row],[Complejidad]]),Catalogos!E$120:G$128,3,FALSE),"")</f>
        <v/>
      </c>
      <c r="V3577" s="108" t="str">
        <f>IF(Tabla1[[#This Row],[Tiempo solución max (hrs)]]&lt;&gt;"",IF(Tabla1[[#This Row],[Tiempo solución max (hrs)]]&gt;=Tabla1[[#This Row],[Tiempo
(Hrs 00/100)]],"cumple","no cumple"),"")</f>
        <v/>
      </c>
      <c r="W3577" s="17"/>
      <c r="X3577" s="18">
        <f t="shared" si="245"/>
        <v>0</v>
      </c>
      <c r="Y3577" t="str">
        <f>SUBSTITUTE(Tabla1[[#This Row],[Descripción]],CHAR(10),"    I    ")</f>
        <v/>
      </c>
      <c r="Z3577" s="112" t="e">
        <f>VLOOKUP(Tabla1[[#This Row],[Perfil]],Catalogos!$B$75:$D$100,3,FALSE)*Tabla1[[#This Row],[Tiempo
(Hrs 00/100)]]*1.16</f>
        <v>#N/A</v>
      </c>
    </row>
    <row r="3578" spans="1:26" ht="30" customHeight="1" x14ac:dyDescent="0.3">
      <c r="A3578" s="106"/>
      <c r="B3578" s="106"/>
      <c r="C3578" s="106"/>
      <c r="D3578" s="106"/>
      <c r="E3578" s="106"/>
      <c r="F3578" s="106"/>
      <c r="G3578" s="106"/>
      <c r="H3578" s="107"/>
      <c r="I3578" s="95"/>
      <c r="J3578" s="706"/>
      <c r="K3578" s="769"/>
      <c r="L3578" s="706"/>
      <c r="M3578" s="781"/>
      <c r="N3578" s="182"/>
      <c r="O3578" s="188"/>
      <c r="P3578" s="221"/>
      <c r="Q3578" s="106"/>
      <c r="R3578" s="108"/>
      <c r="S3578" s="108"/>
      <c r="T3578" s="108"/>
      <c r="U3578" s="108" t="str">
        <f>IFERROR(VLOOKUP(CONCATENATE(Tabla1[[#This Row],[Severidad]]," ",Tabla1[[#This Row],[Complejidad]]),Catalogos!E$120:G$128,3,FALSE),"")</f>
        <v/>
      </c>
      <c r="V3578" s="108" t="str">
        <f>IF(Tabla1[[#This Row],[Tiempo solución max (hrs)]]&lt;&gt;"",IF(Tabla1[[#This Row],[Tiempo solución max (hrs)]]&gt;=Tabla1[[#This Row],[Tiempo
(Hrs 00/100)]],"cumple","no cumple"),"")</f>
        <v/>
      </c>
      <c r="W3578" s="17"/>
      <c r="X3578" s="18">
        <f t="shared" si="245"/>
        <v>0</v>
      </c>
      <c r="Y3578" t="str">
        <f>SUBSTITUTE(Tabla1[[#This Row],[Descripción]],CHAR(10),"    I    ")</f>
        <v/>
      </c>
      <c r="Z3578" s="112" t="e">
        <f>VLOOKUP(Tabla1[[#This Row],[Perfil]],Catalogos!$B$75:$D$100,3,FALSE)*Tabla1[[#This Row],[Tiempo
(Hrs 00/100)]]*1.16</f>
        <v>#N/A</v>
      </c>
    </row>
    <row r="3579" spans="1:26" ht="30" customHeight="1" x14ac:dyDescent="0.3">
      <c r="A3579" s="106"/>
      <c r="B3579" s="106"/>
      <c r="C3579" s="106"/>
      <c r="D3579" s="106"/>
      <c r="E3579" s="106"/>
      <c r="F3579" s="106"/>
      <c r="G3579" s="106"/>
      <c r="H3579" s="107"/>
      <c r="I3579" s="95"/>
      <c r="J3579" s="706"/>
      <c r="K3579" s="769"/>
      <c r="L3579" s="706"/>
      <c r="M3579" s="781"/>
      <c r="N3579" s="182"/>
      <c r="O3579" s="188"/>
      <c r="P3579" s="221"/>
      <c r="Q3579" s="106"/>
      <c r="R3579" s="108"/>
      <c r="S3579" s="108"/>
      <c r="T3579" s="108"/>
      <c r="U3579" s="108" t="str">
        <f>IFERROR(VLOOKUP(CONCATENATE(Tabla1[[#This Row],[Severidad]]," ",Tabla1[[#This Row],[Complejidad]]),Catalogos!E$120:G$128,3,FALSE),"")</f>
        <v/>
      </c>
      <c r="V3579" s="108" t="str">
        <f>IF(Tabla1[[#This Row],[Tiempo solución max (hrs)]]&lt;&gt;"",IF(Tabla1[[#This Row],[Tiempo solución max (hrs)]]&gt;=Tabla1[[#This Row],[Tiempo
(Hrs 00/100)]],"cumple","no cumple"),"")</f>
        <v/>
      </c>
      <c r="W3579" s="17"/>
      <c r="X3579" s="18">
        <f t="shared" si="245"/>
        <v>0</v>
      </c>
      <c r="Y3579" t="str">
        <f>SUBSTITUTE(Tabla1[[#This Row],[Descripción]],CHAR(10),"    I    ")</f>
        <v/>
      </c>
      <c r="Z3579" s="112" t="e">
        <f>VLOOKUP(Tabla1[[#This Row],[Perfil]],Catalogos!$B$75:$D$100,3,FALSE)*Tabla1[[#This Row],[Tiempo
(Hrs 00/100)]]*1.16</f>
        <v>#N/A</v>
      </c>
    </row>
    <row r="3580" spans="1:26" ht="30" customHeight="1" x14ac:dyDescent="0.3">
      <c r="A3580" s="106"/>
      <c r="B3580" s="106"/>
      <c r="C3580" s="106"/>
      <c r="D3580" s="106"/>
      <c r="E3580" s="106"/>
      <c r="F3580" s="106"/>
      <c r="G3580" s="106"/>
      <c r="H3580" s="107"/>
      <c r="I3580" s="95"/>
      <c r="J3580" s="706"/>
      <c r="K3580" s="769"/>
      <c r="L3580" s="706"/>
      <c r="M3580" s="781"/>
      <c r="N3580" s="182"/>
      <c r="O3580" s="188"/>
      <c r="P3580" s="221"/>
      <c r="Q3580" s="106"/>
      <c r="R3580" s="108"/>
      <c r="S3580" s="108"/>
      <c r="T3580" s="108"/>
      <c r="U3580" s="108" t="str">
        <f>IFERROR(VLOOKUP(CONCATENATE(Tabla1[[#This Row],[Severidad]]," ",Tabla1[[#This Row],[Complejidad]]),Catalogos!E$120:G$128,3,FALSE),"")</f>
        <v/>
      </c>
      <c r="V3580" s="108" t="str">
        <f>IF(Tabla1[[#This Row],[Tiempo solución max (hrs)]]&lt;&gt;"",IF(Tabla1[[#This Row],[Tiempo solución max (hrs)]]&gt;=Tabla1[[#This Row],[Tiempo
(Hrs 00/100)]],"cumple","no cumple"),"")</f>
        <v/>
      </c>
      <c r="W3580" s="17"/>
      <c r="X3580" s="18">
        <f t="shared" si="245"/>
        <v>0</v>
      </c>
      <c r="Y3580" t="str">
        <f>SUBSTITUTE(Tabla1[[#This Row],[Descripción]],CHAR(10),"    I    ")</f>
        <v/>
      </c>
      <c r="Z3580" s="112" t="e">
        <f>VLOOKUP(Tabla1[[#This Row],[Perfil]],Catalogos!$B$75:$D$100,3,FALSE)*Tabla1[[#This Row],[Tiempo
(Hrs 00/100)]]*1.16</f>
        <v>#N/A</v>
      </c>
    </row>
    <row r="3581" spans="1:26" ht="30" customHeight="1" x14ac:dyDescent="0.3">
      <c r="A3581" s="106"/>
      <c r="B3581" s="106"/>
      <c r="C3581" s="106"/>
      <c r="D3581" s="106"/>
      <c r="E3581" s="106"/>
      <c r="F3581" s="106"/>
      <c r="G3581" s="106"/>
      <c r="H3581" s="107"/>
      <c r="I3581" s="95"/>
      <c r="J3581" s="706"/>
      <c r="K3581" s="769"/>
      <c r="L3581" s="706"/>
      <c r="M3581" s="781"/>
      <c r="N3581" s="182"/>
      <c r="O3581" s="188"/>
      <c r="P3581" s="221"/>
      <c r="Q3581" s="106"/>
      <c r="R3581" s="108"/>
      <c r="S3581" s="108"/>
      <c r="T3581" s="108"/>
      <c r="U3581" s="108" t="str">
        <f>IFERROR(VLOOKUP(CONCATENATE(Tabla1[[#This Row],[Severidad]]," ",Tabla1[[#This Row],[Complejidad]]),Catalogos!E$120:G$128,3,FALSE),"")</f>
        <v/>
      </c>
      <c r="V3581" s="108" t="str">
        <f>IF(Tabla1[[#This Row],[Tiempo solución max (hrs)]]&lt;&gt;"",IF(Tabla1[[#This Row],[Tiempo solución max (hrs)]]&gt;=Tabla1[[#This Row],[Tiempo
(Hrs 00/100)]],"cumple","no cumple"),"")</f>
        <v/>
      </c>
      <c r="W3581" s="17"/>
      <c r="X3581" s="18">
        <f t="shared" si="245"/>
        <v>0</v>
      </c>
      <c r="Y3581" t="str">
        <f>SUBSTITUTE(Tabla1[[#This Row],[Descripción]],CHAR(10),"    I    ")</f>
        <v/>
      </c>
      <c r="Z3581" s="112" t="e">
        <f>VLOOKUP(Tabla1[[#This Row],[Perfil]],Catalogos!$B$75:$D$100,3,FALSE)*Tabla1[[#This Row],[Tiempo
(Hrs 00/100)]]*1.16</f>
        <v>#N/A</v>
      </c>
    </row>
    <row r="3582" spans="1:26" ht="30" customHeight="1" x14ac:dyDescent="0.3">
      <c r="A3582" s="106"/>
      <c r="B3582" s="106"/>
      <c r="C3582" s="106"/>
      <c r="D3582" s="106"/>
      <c r="E3582" s="106"/>
      <c r="F3582" s="106"/>
      <c r="G3582" s="106"/>
      <c r="H3582" s="107"/>
      <c r="I3582" s="95"/>
      <c r="J3582" s="706"/>
      <c r="K3582" s="769"/>
      <c r="L3582" s="706"/>
      <c r="M3582" s="781"/>
      <c r="N3582" s="182"/>
      <c r="O3582" s="188"/>
      <c r="P3582" s="221"/>
      <c r="Q3582" s="106"/>
      <c r="R3582" s="108"/>
      <c r="S3582" s="108"/>
      <c r="T3582" s="108"/>
      <c r="U3582" s="108" t="str">
        <f>IFERROR(VLOOKUP(CONCATENATE(Tabla1[[#This Row],[Severidad]]," ",Tabla1[[#This Row],[Complejidad]]),Catalogos!E$120:G$128,3,FALSE),"")</f>
        <v/>
      </c>
      <c r="V3582" s="108" t="str">
        <f>IF(Tabla1[[#This Row],[Tiempo solución max (hrs)]]&lt;&gt;"",IF(Tabla1[[#This Row],[Tiempo solución max (hrs)]]&gt;=Tabla1[[#This Row],[Tiempo
(Hrs 00/100)]],"cumple","no cumple"),"")</f>
        <v/>
      </c>
      <c r="W3582" s="17"/>
      <c r="X3582" s="18">
        <f t="shared" si="245"/>
        <v>0</v>
      </c>
      <c r="Y3582" t="str">
        <f>SUBSTITUTE(Tabla1[[#This Row],[Descripción]],CHAR(10),"    I    ")</f>
        <v/>
      </c>
      <c r="Z3582" s="112" t="e">
        <f>VLOOKUP(Tabla1[[#This Row],[Perfil]],Catalogos!$B$75:$D$100,3,FALSE)*Tabla1[[#This Row],[Tiempo
(Hrs 00/100)]]*1.16</f>
        <v>#N/A</v>
      </c>
    </row>
    <row r="3583" spans="1:26" ht="30" customHeight="1" x14ac:dyDescent="0.3">
      <c r="A3583" s="106"/>
      <c r="B3583" s="106"/>
      <c r="C3583" s="106"/>
      <c r="D3583" s="106"/>
      <c r="E3583" s="106"/>
      <c r="F3583" s="106"/>
      <c r="G3583" s="106"/>
      <c r="H3583" s="107"/>
      <c r="I3583" s="95"/>
      <c r="J3583" s="706"/>
      <c r="K3583" s="769"/>
      <c r="L3583" s="706"/>
      <c r="M3583" s="781"/>
      <c r="N3583" s="182"/>
      <c r="O3583" s="188"/>
      <c r="P3583" s="221"/>
      <c r="Q3583" s="106"/>
      <c r="R3583" s="108"/>
      <c r="S3583" s="108"/>
      <c r="T3583" s="108"/>
      <c r="U3583" s="108" t="str">
        <f>IFERROR(VLOOKUP(CONCATENATE(Tabla1[[#This Row],[Severidad]]," ",Tabla1[[#This Row],[Complejidad]]),Catalogos!E$120:G$128,3,FALSE),"")</f>
        <v/>
      </c>
      <c r="V3583" s="108" t="str">
        <f>IF(Tabla1[[#This Row],[Tiempo solución max (hrs)]]&lt;&gt;"",IF(Tabla1[[#This Row],[Tiempo solución max (hrs)]]&gt;=Tabla1[[#This Row],[Tiempo
(Hrs 00/100)]],"cumple","no cumple"),"")</f>
        <v/>
      </c>
      <c r="W3583" s="17"/>
      <c r="X3583" s="18">
        <f t="shared" si="245"/>
        <v>0</v>
      </c>
      <c r="Y3583" t="str">
        <f>SUBSTITUTE(Tabla1[[#This Row],[Descripción]],CHAR(10),"    I    ")</f>
        <v/>
      </c>
      <c r="Z3583" s="112" t="e">
        <f>VLOOKUP(Tabla1[[#This Row],[Perfil]],Catalogos!$B$75:$D$100,3,FALSE)*Tabla1[[#This Row],[Tiempo
(Hrs 00/100)]]*1.16</f>
        <v>#N/A</v>
      </c>
    </row>
    <row r="3584" spans="1:26" ht="30" customHeight="1" x14ac:dyDescent="0.3">
      <c r="A3584" s="106"/>
      <c r="B3584" s="106"/>
      <c r="C3584" s="106"/>
      <c r="D3584" s="106"/>
      <c r="E3584" s="106"/>
      <c r="F3584" s="106"/>
      <c r="G3584" s="106"/>
      <c r="H3584" s="107"/>
      <c r="I3584" s="95"/>
      <c r="J3584" s="706"/>
      <c r="K3584" s="769"/>
      <c r="L3584" s="706"/>
      <c r="M3584" s="781"/>
      <c r="N3584" s="182"/>
      <c r="O3584" s="188"/>
      <c r="P3584" s="221"/>
      <c r="Q3584" s="106"/>
      <c r="R3584" s="108"/>
      <c r="S3584" s="108"/>
      <c r="T3584" s="108"/>
      <c r="U3584" s="108" t="str">
        <f>IFERROR(VLOOKUP(CONCATENATE(Tabla1[[#This Row],[Severidad]]," ",Tabla1[[#This Row],[Complejidad]]),Catalogos!E$120:G$128,3,FALSE),"")</f>
        <v/>
      </c>
      <c r="V3584" s="108" t="str">
        <f>IF(Tabla1[[#This Row],[Tiempo solución max (hrs)]]&lt;&gt;"",IF(Tabla1[[#This Row],[Tiempo solución max (hrs)]]&gt;=Tabla1[[#This Row],[Tiempo
(Hrs 00/100)]],"cumple","no cumple"),"")</f>
        <v/>
      </c>
      <c r="W3584" s="17"/>
      <c r="X3584" s="18">
        <f t="shared" si="245"/>
        <v>0</v>
      </c>
      <c r="Y3584" t="str">
        <f>SUBSTITUTE(Tabla1[[#This Row],[Descripción]],CHAR(10),"    I    ")</f>
        <v/>
      </c>
      <c r="Z3584" s="112" t="e">
        <f>VLOOKUP(Tabla1[[#This Row],[Perfil]],Catalogos!$B$75:$D$100,3,FALSE)*Tabla1[[#This Row],[Tiempo
(Hrs 00/100)]]*1.16</f>
        <v>#N/A</v>
      </c>
    </row>
    <row r="3585" spans="1:26" ht="30" customHeight="1" x14ac:dyDescent="0.3">
      <c r="A3585" s="106"/>
      <c r="B3585" s="106"/>
      <c r="C3585" s="106"/>
      <c r="D3585" s="106"/>
      <c r="E3585" s="106"/>
      <c r="F3585" s="106"/>
      <c r="G3585" s="106"/>
      <c r="H3585" s="107"/>
      <c r="I3585" s="95"/>
      <c r="J3585" s="706"/>
      <c r="K3585" s="769"/>
      <c r="L3585" s="706"/>
      <c r="M3585" s="781"/>
      <c r="N3585" s="182"/>
      <c r="O3585" s="188"/>
      <c r="P3585" s="221"/>
      <c r="Q3585" s="106"/>
      <c r="R3585" s="108"/>
      <c r="S3585" s="108"/>
      <c r="T3585" s="108"/>
      <c r="U3585" s="108" t="str">
        <f>IFERROR(VLOOKUP(CONCATENATE(Tabla1[[#This Row],[Severidad]]," ",Tabla1[[#This Row],[Complejidad]]),Catalogos!E$120:G$128,3,FALSE),"")</f>
        <v/>
      </c>
      <c r="V3585" s="108" t="str">
        <f>IF(Tabla1[[#This Row],[Tiempo solución max (hrs)]]&lt;&gt;"",IF(Tabla1[[#This Row],[Tiempo solución max (hrs)]]&gt;=Tabla1[[#This Row],[Tiempo
(Hrs 00/100)]],"cumple","no cumple"),"")</f>
        <v/>
      </c>
      <c r="W3585" s="17"/>
      <c r="X3585" s="18">
        <f t="shared" si="245"/>
        <v>0</v>
      </c>
      <c r="Y3585" t="str">
        <f>SUBSTITUTE(Tabla1[[#This Row],[Descripción]],CHAR(10),"    I    ")</f>
        <v/>
      </c>
      <c r="Z3585" s="112" t="e">
        <f>VLOOKUP(Tabla1[[#This Row],[Perfil]],Catalogos!$B$75:$D$100,3,FALSE)*Tabla1[[#This Row],[Tiempo
(Hrs 00/100)]]*1.16</f>
        <v>#N/A</v>
      </c>
    </row>
    <row r="3586" spans="1:26" ht="30" customHeight="1" x14ac:dyDescent="0.3">
      <c r="A3586" s="106"/>
      <c r="B3586" s="106"/>
      <c r="C3586" s="106"/>
      <c r="D3586" s="106"/>
      <c r="E3586" s="106"/>
      <c r="F3586" s="106"/>
      <c r="G3586" s="106"/>
      <c r="H3586" s="107"/>
      <c r="I3586" s="95"/>
      <c r="J3586" s="706"/>
      <c r="K3586" s="769"/>
      <c r="L3586" s="706"/>
      <c r="M3586" s="781"/>
      <c r="N3586" s="182"/>
      <c r="O3586" s="188"/>
      <c r="P3586" s="221"/>
      <c r="Q3586" s="106"/>
      <c r="R3586" s="108"/>
      <c r="S3586" s="108"/>
      <c r="T3586" s="108"/>
      <c r="U3586" s="108" t="str">
        <f>IFERROR(VLOOKUP(CONCATENATE(Tabla1[[#This Row],[Severidad]]," ",Tabla1[[#This Row],[Complejidad]]),Catalogos!E$120:G$128,3,FALSE),"")</f>
        <v/>
      </c>
      <c r="V3586" s="108" t="str">
        <f>IF(Tabla1[[#This Row],[Tiempo solución max (hrs)]]&lt;&gt;"",IF(Tabla1[[#This Row],[Tiempo solución max (hrs)]]&gt;=Tabla1[[#This Row],[Tiempo
(Hrs 00/100)]],"cumple","no cumple"),"")</f>
        <v/>
      </c>
      <c r="W3586" s="17"/>
      <c r="X3586" s="18">
        <f t="shared" si="245"/>
        <v>0</v>
      </c>
      <c r="Y3586" t="str">
        <f>SUBSTITUTE(Tabla1[[#This Row],[Descripción]],CHAR(10),"    I    ")</f>
        <v/>
      </c>
      <c r="Z3586" s="112" t="e">
        <f>VLOOKUP(Tabla1[[#This Row],[Perfil]],Catalogos!$B$75:$D$100,3,FALSE)*Tabla1[[#This Row],[Tiempo
(Hrs 00/100)]]*1.16</f>
        <v>#N/A</v>
      </c>
    </row>
    <row r="3587" spans="1:26" ht="30" customHeight="1" x14ac:dyDescent="0.3">
      <c r="A3587" s="106"/>
      <c r="B3587" s="106"/>
      <c r="C3587" s="106"/>
      <c r="D3587" s="106"/>
      <c r="E3587" s="106"/>
      <c r="F3587" s="106"/>
      <c r="G3587" s="106"/>
      <c r="H3587" s="107"/>
      <c r="I3587" s="95"/>
      <c r="J3587" s="706"/>
      <c r="K3587" s="769"/>
      <c r="L3587" s="706"/>
      <c r="M3587" s="781"/>
      <c r="N3587" s="182"/>
      <c r="O3587" s="188"/>
      <c r="P3587" s="221"/>
      <c r="Q3587" s="106"/>
      <c r="R3587" s="108"/>
      <c r="S3587" s="108"/>
      <c r="T3587" s="108"/>
      <c r="U3587" s="108" t="str">
        <f>IFERROR(VLOOKUP(CONCATENATE(Tabla1[[#This Row],[Severidad]]," ",Tabla1[[#This Row],[Complejidad]]),Catalogos!E$120:G$128,3,FALSE),"")</f>
        <v/>
      </c>
      <c r="V3587" s="108" t="str">
        <f>IF(Tabla1[[#This Row],[Tiempo solución max (hrs)]]&lt;&gt;"",IF(Tabla1[[#This Row],[Tiempo solución max (hrs)]]&gt;=Tabla1[[#This Row],[Tiempo
(Hrs 00/100)]],"cumple","no cumple"),"")</f>
        <v/>
      </c>
      <c r="W3587" s="17"/>
      <c r="X3587" s="18">
        <f t="shared" ref="X3587:X3650" si="246">IF(C3587&lt;&gt;"",C3587,D3587)</f>
        <v>0</v>
      </c>
      <c r="Y3587" t="str">
        <f>SUBSTITUTE(Tabla1[[#This Row],[Descripción]],CHAR(10),"    I    ")</f>
        <v/>
      </c>
      <c r="Z3587" s="112" t="e">
        <f>VLOOKUP(Tabla1[[#This Row],[Perfil]],Catalogos!$B$75:$D$100,3,FALSE)*Tabla1[[#This Row],[Tiempo
(Hrs 00/100)]]*1.16</f>
        <v>#N/A</v>
      </c>
    </row>
    <row r="3588" spans="1:26" ht="30" customHeight="1" x14ac:dyDescent="0.3">
      <c r="A3588" s="106"/>
      <c r="B3588" s="106"/>
      <c r="C3588" s="106"/>
      <c r="D3588" s="106"/>
      <c r="E3588" s="106"/>
      <c r="F3588" s="106"/>
      <c r="G3588" s="106"/>
      <c r="H3588" s="107"/>
      <c r="I3588" s="95"/>
      <c r="J3588" s="706"/>
      <c r="K3588" s="769"/>
      <c r="L3588" s="706"/>
      <c r="M3588" s="781"/>
      <c r="N3588" s="182"/>
      <c r="O3588" s="188"/>
      <c r="P3588" s="221"/>
      <c r="Q3588" s="106"/>
      <c r="R3588" s="108"/>
      <c r="S3588" s="108"/>
      <c r="T3588" s="108"/>
      <c r="U3588" s="108" t="str">
        <f>IFERROR(VLOOKUP(CONCATENATE(Tabla1[[#This Row],[Severidad]]," ",Tabla1[[#This Row],[Complejidad]]),Catalogos!E$120:G$128,3,FALSE),"")</f>
        <v/>
      </c>
      <c r="V3588" s="108" t="str">
        <f>IF(Tabla1[[#This Row],[Tiempo solución max (hrs)]]&lt;&gt;"",IF(Tabla1[[#This Row],[Tiempo solución max (hrs)]]&gt;=Tabla1[[#This Row],[Tiempo
(Hrs 00/100)]],"cumple","no cumple"),"")</f>
        <v/>
      </c>
      <c r="W3588" s="17"/>
      <c r="X3588" s="18">
        <f t="shared" si="246"/>
        <v>0</v>
      </c>
      <c r="Y3588" t="str">
        <f>SUBSTITUTE(Tabla1[[#This Row],[Descripción]],CHAR(10),"    I    ")</f>
        <v/>
      </c>
      <c r="Z3588" s="112" t="e">
        <f>VLOOKUP(Tabla1[[#This Row],[Perfil]],Catalogos!$B$75:$D$100,3,FALSE)*Tabla1[[#This Row],[Tiempo
(Hrs 00/100)]]*1.16</f>
        <v>#N/A</v>
      </c>
    </row>
    <row r="3589" spans="1:26" ht="30" customHeight="1" x14ac:dyDescent="0.3">
      <c r="A3589" s="106"/>
      <c r="B3589" s="106"/>
      <c r="C3589" s="106"/>
      <c r="D3589" s="106"/>
      <c r="E3589" s="106"/>
      <c r="F3589" s="106"/>
      <c r="G3589" s="106"/>
      <c r="H3589" s="107"/>
      <c r="I3589" s="95"/>
      <c r="J3589" s="706"/>
      <c r="K3589" s="769"/>
      <c r="L3589" s="706"/>
      <c r="M3589" s="781"/>
      <c r="N3589" s="182"/>
      <c r="O3589" s="188"/>
      <c r="P3589" s="221"/>
      <c r="Q3589" s="106"/>
      <c r="R3589" s="108"/>
      <c r="S3589" s="108"/>
      <c r="T3589" s="108"/>
      <c r="U3589" s="108" t="str">
        <f>IFERROR(VLOOKUP(CONCATENATE(Tabla1[[#This Row],[Severidad]]," ",Tabla1[[#This Row],[Complejidad]]),Catalogos!E$120:G$128,3,FALSE),"")</f>
        <v/>
      </c>
      <c r="V3589" s="108" t="str">
        <f>IF(Tabla1[[#This Row],[Tiempo solución max (hrs)]]&lt;&gt;"",IF(Tabla1[[#This Row],[Tiempo solución max (hrs)]]&gt;=Tabla1[[#This Row],[Tiempo
(Hrs 00/100)]],"cumple","no cumple"),"")</f>
        <v/>
      </c>
      <c r="W3589" s="17"/>
      <c r="X3589" s="18">
        <f t="shared" si="246"/>
        <v>0</v>
      </c>
      <c r="Y3589" t="str">
        <f>SUBSTITUTE(Tabla1[[#This Row],[Descripción]],CHAR(10),"    I    ")</f>
        <v/>
      </c>
      <c r="Z3589" s="112" t="e">
        <f>VLOOKUP(Tabla1[[#This Row],[Perfil]],Catalogos!$B$75:$D$100,3,FALSE)*Tabla1[[#This Row],[Tiempo
(Hrs 00/100)]]*1.16</f>
        <v>#N/A</v>
      </c>
    </row>
    <row r="3590" spans="1:26" ht="30" customHeight="1" x14ac:dyDescent="0.3">
      <c r="A3590" s="106"/>
      <c r="B3590" s="106"/>
      <c r="C3590" s="106"/>
      <c r="D3590" s="106"/>
      <c r="E3590" s="106"/>
      <c r="F3590" s="106"/>
      <c r="G3590" s="106"/>
      <c r="H3590" s="107"/>
      <c r="I3590" s="95"/>
      <c r="J3590" s="706"/>
      <c r="K3590" s="769"/>
      <c r="L3590" s="706"/>
      <c r="M3590" s="781"/>
      <c r="N3590" s="182"/>
      <c r="O3590" s="188"/>
      <c r="P3590" s="221"/>
      <c r="Q3590" s="106"/>
      <c r="R3590" s="108"/>
      <c r="S3590" s="108"/>
      <c r="T3590" s="108"/>
      <c r="U3590" s="108" t="str">
        <f>IFERROR(VLOOKUP(CONCATENATE(Tabla1[[#This Row],[Severidad]]," ",Tabla1[[#This Row],[Complejidad]]),Catalogos!E$120:G$128,3,FALSE),"")</f>
        <v/>
      </c>
      <c r="V3590" s="108" t="str">
        <f>IF(Tabla1[[#This Row],[Tiempo solución max (hrs)]]&lt;&gt;"",IF(Tabla1[[#This Row],[Tiempo solución max (hrs)]]&gt;=Tabla1[[#This Row],[Tiempo
(Hrs 00/100)]],"cumple","no cumple"),"")</f>
        <v/>
      </c>
      <c r="W3590" s="17"/>
      <c r="X3590" s="18">
        <f t="shared" si="246"/>
        <v>0</v>
      </c>
      <c r="Y3590" t="str">
        <f>SUBSTITUTE(Tabla1[[#This Row],[Descripción]],CHAR(10),"    I    ")</f>
        <v/>
      </c>
      <c r="Z3590" s="112" t="e">
        <f>VLOOKUP(Tabla1[[#This Row],[Perfil]],Catalogos!$B$75:$D$100,3,FALSE)*Tabla1[[#This Row],[Tiempo
(Hrs 00/100)]]*1.16</f>
        <v>#N/A</v>
      </c>
    </row>
    <row r="3591" spans="1:26" ht="30" customHeight="1" x14ac:dyDescent="0.3">
      <c r="A3591" s="106"/>
      <c r="B3591" s="106"/>
      <c r="C3591" s="106"/>
      <c r="D3591" s="106"/>
      <c r="E3591" s="106"/>
      <c r="F3591" s="106"/>
      <c r="G3591" s="106"/>
      <c r="H3591" s="107"/>
      <c r="I3591" s="95"/>
      <c r="J3591" s="706"/>
      <c r="K3591" s="769"/>
      <c r="L3591" s="706"/>
      <c r="M3591" s="781"/>
      <c r="N3591" s="182"/>
      <c r="O3591" s="188"/>
      <c r="P3591" s="221"/>
      <c r="Q3591" s="106"/>
      <c r="R3591" s="108"/>
      <c r="S3591" s="108"/>
      <c r="T3591" s="108"/>
      <c r="U3591" s="108" t="str">
        <f>IFERROR(VLOOKUP(CONCATENATE(Tabla1[[#This Row],[Severidad]]," ",Tabla1[[#This Row],[Complejidad]]),Catalogos!E$120:G$128,3,FALSE),"")</f>
        <v/>
      </c>
      <c r="V3591" s="108" t="str">
        <f>IF(Tabla1[[#This Row],[Tiempo solución max (hrs)]]&lt;&gt;"",IF(Tabla1[[#This Row],[Tiempo solución max (hrs)]]&gt;=Tabla1[[#This Row],[Tiempo
(Hrs 00/100)]],"cumple","no cumple"),"")</f>
        <v/>
      </c>
      <c r="W3591" s="17"/>
      <c r="X3591" s="18">
        <f t="shared" si="246"/>
        <v>0</v>
      </c>
      <c r="Y3591" t="str">
        <f>SUBSTITUTE(Tabla1[[#This Row],[Descripción]],CHAR(10),"    I    ")</f>
        <v/>
      </c>
      <c r="Z3591" s="112" t="e">
        <f>VLOOKUP(Tabla1[[#This Row],[Perfil]],Catalogos!$B$75:$D$100,3,FALSE)*Tabla1[[#This Row],[Tiempo
(Hrs 00/100)]]*1.16</f>
        <v>#N/A</v>
      </c>
    </row>
    <row r="3592" spans="1:26" ht="30" customHeight="1" x14ac:dyDescent="0.3">
      <c r="A3592" s="106"/>
      <c r="B3592" s="106"/>
      <c r="C3592" s="106"/>
      <c r="D3592" s="106"/>
      <c r="E3592" s="106"/>
      <c r="F3592" s="106"/>
      <c r="G3592" s="106"/>
      <c r="H3592" s="107"/>
      <c r="I3592" s="95"/>
      <c r="J3592" s="706"/>
      <c r="K3592" s="769"/>
      <c r="L3592" s="706"/>
      <c r="M3592" s="781"/>
      <c r="N3592" s="182"/>
      <c r="O3592" s="188"/>
      <c r="P3592" s="221"/>
      <c r="Q3592" s="106"/>
      <c r="R3592" s="108"/>
      <c r="S3592" s="108"/>
      <c r="T3592" s="108"/>
      <c r="U3592" s="108" t="str">
        <f>IFERROR(VLOOKUP(CONCATENATE(Tabla1[[#This Row],[Severidad]]," ",Tabla1[[#This Row],[Complejidad]]),Catalogos!E$120:G$128,3,FALSE),"")</f>
        <v/>
      </c>
      <c r="V3592" s="108" t="str">
        <f>IF(Tabla1[[#This Row],[Tiempo solución max (hrs)]]&lt;&gt;"",IF(Tabla1[[#This Row],[Tiempo solución max (hrs)]]&gt;=Tabla1[[#This Row],[Tiempo
(Hrs 00/100)]],"cumple","no cumple"),"")</f>
        <v/>
      </c>
      <c r="W3592" s="17"/>
      <c r="X3592" s="18">
        <f t="shared" si="246"/>
        <v>0</v>
      </c>
      <c r="Y3592" t="str">
        <f>SUBSTITUTE(Tabla1[[#This Row],[Descripción]],CHAR(10),"    I    ")</f>
        <v/>
      </c>
      <c r="Z3592" s="112" t="e">
        <f>VLOOKUP(Tabla1[[#This Row],[Perfil]],Catalogos!$B$75:$D$100,3,FALSE)*Tabla1[[#This Row],[Tiempo
(Hrs 00/100)]]*1.16</f>
        <v>#N/A</v>
      </c>
    </row>
    <row r="3593" spans="1:26" ht="30" customHeight="1" x14ac:dyDescent="0.3">
      <c r="A3593" s="106"/>
      <c r="B3593" s="106"/>
      <c r="C3593" s="106"/>
      <c r="D3593" s="106"/>
      <c r="E3593" s="106"/>
      <c r="F3593" s="106"/>
      <c r="G3593" s="106"/>
      <c r="H3593" s="107"/>
      <c r="I3593" s="95"/>
      <c r="J3593" s="706"/>
      <c r="K3593" s="769"/>
      <c r="L3593" s="706"/>
      <c r="M3593" s="781"/>
      <c r="N3593" s="182"/>
      <c r="O3593" s="188"/>
      <c r="P3593" s="221"/>
      <c r="Q3593" s="106"/>
      <c r="R3593" s="108"/>
      <c r="S3593" s="108"/>
      <c r="T3593" s="108"/>
      <c r="U3593" s="108" t="str">
        <f>IFERROR(VLOOKUP(CONCATENATE(Tabla1[[#This Row],[Severidad]]," ",Tabla1[[#This Row],[Complejidad]]),Catalogos!E$120:G$128,3,FALSE),"")</f>
        <v/>
      </c>
      <c r="V3593" s="108" t="str">
        <f>IF(Tabla1[[#This Row],[Tiempo solución max (hrs)]]&lt;&gt;"",IF(Tabla1[[#This Row],[Tiempo solución max (hrs)]]&gt;=Tabla1[[#This Row],[Tiempo
(Hrs 00/100)]],"cumple","no cumple"),"")</f>
        <v/>
      </c>
      <c r="W3593" s="17"/>
      <c r="X3593" s="18">
        <f t="shared" si="246"/>
        <v>0</v>
      </c>
      <c r="Y3593" t="str">
        <f>SUBSTITUTE(Tabla1[[#This Row],[Descripción]],CHAR(10),"    I    ")</f>
        <v/>
      </c>
      <c r="Z3593" s="112" t="e">
        <f>VLOOKUP(Tabla1[[#This Row],[Perfil]],Catalogos!$B$75:$D$100,3,FALSE)*Tabla1[[#This Row],[Tiempo
(Hrs 00/100)]]*1.16</f>
        <v>#N/A</v>
      </c>
    </row>
    <row r="3594" spans="1:26" ht="30" customHeight="1" x14ac:dyDescent="0.3">
      <c r="A3594" s="106"/>
      <c r="B3594" s="106"/>
      <c r="C3594" s="106"/>
      <c r="D3594" s="106"/>
      <c r="E3594" s="106"/>
      <c r="F3594" s="106"/>
      <c r="G3594" s="106"/>
      <c r="H3594" s="107"/>
      <c r="I3594" s="95"/>
      <c r="J3594" s="706"/>
      <c r="K3594" s="769"/>
      <c r="L3594" s="706"/>
      <c r="M3594" s="781"/>
      <c r="N3594" s="182"/>
      <c r="O3594" s="188"/>
      <c r="P3594" s="221"/>
      <c r="Q3594" s="106"/>
      <c r="R3594" s="108"/>
      <c r="S3594" s="108"/>
      <c r="T3594" s="108"/>
      <c r="U3594" s="108" t="str">
        <f>IFERROR(VLOOKUP(CONCATENATE(Tabla1[[#This Row],[Severidad]]," ",Tabla1[[#This Row],[Complejidad]]),Catalogos!E$120:G$128,3,FALSE),"")</f>
        <v/>
      </c>
      <c r="V3594" s="108" t="str">
        <f>IF(Tabla1[[#This Row],[Tiempo solución max (hrs)]]&lt;&gt;"",IF(Tabla1[[#This Row],[Tiempo solución max (hrs)]]&gt;=Tabla1[[#This Row],[Tiempo
(Hrs 00/100)]],"cumple","no cumple"),"")</f>
        <v/>
      </c>
      <c r="W3594" s="17"/>
      <c r="X3594" s="18">
        <f t="shared" si="246"/>
        <v>0</v>
      </c>
      <c r="Y3594" t="str">
        <f>SUBSTITUTE(Tabla1[[#This Row],[Descripción]],CHAR(10),"    I    ")</f>
        <v/>
      </c>
      <c r="Z3594" s="112" t="e">
        <f>VLOOKUP(Tabla1[[#This Row],[Perfil]],Catalogos!$B$75:$D$100,3,FALSE)*Tabla1[[#This Row],[Tiempo
(Hrs 00/100)]]*1.16</f>
        <v>#N/A</v>
      </c>
    </row>
    <row r="3595" spans="1:26" ht="30" customHeight="1" x14ac:dyDescent="0.3">
      <c r="A3595" s="106"/>
      <c r="B3595" s="106"/>
      <c r="C3595" s="106"/>
      <c r="D3595" s="106"/>
      <c r="E3595" s="106"/>
      <c r="F3595" s="106"/>
      <c r="G3595" s="106"/>
      <c r="H3595" s="107"/>
      <c r="I3595" s="95"/>
      <c r="J3595" s="706"/>
      <c r="K3595" s="769"/>
      <c r="L3595" s="706"/>
      <c r="M3595" s="781"/>
      <c r="N3595" s="182"/>
      <c r="O3595" s="188"/>
      <c r="P3595" s="221"/>
      <c r="Q3595" s="106"/>
      <c r="R3595" s="108"/>
      <c r="S3595" s="108"/>
      <c r="T3595" s="108"/>
      <c r="U3595" s="108" t="str">
        <f>IFERROR(VLOOKUP(CONCATENATE(Tabla1[[#This Row],[Severidad]]," ",Tabla1[[#This Row],[Complejidad]]),Catalogos!E$120:G$128,3,FALSE),"")</f>
        <v/>
      </c>
      <c r="V3595" s="108" t="str">
        <f>IF(Tabla1[[#This Row],[Tiempo solución max (hrs)]]&lt;&gt;"",IF(Tabla1[[#This Row],[Tiempo solución max (hrs)]]&gt;=Tabla1[[#This Row],[Tiempo
(Hrs 00/100)]],"cumple","no cumple"),"")</f>
        <v/>
      </c>
      <c r="W3595" s="17"/>
      <c r="X3595" s="18">
        <f t="shared" si="246"/>
        <v>0</v>
      </c>
      <c r="Y3595" t="str">
        <f>SUBSTITUTE(Tabla1[[#This Row],[Descripción]],CHAR(10),"    I    ")</f>
        <v/>
      </c>
      <c r="Z3595" s="112" t="e">
        <f>VLOOKUP(Tabla1[[#This Row],[Perfil]],Catalogos!$B$75:$D$100,3,FALSE)*Tabla1[[#This Row],[Tiempo
(Hrs 00/100)]]*1.16</f>
        <v>#N/A</v>
      </c>
    </row>
    <row r="3596" spans="1:26" ht="30" customHeight="1" x14ac:dyDescent="0.3">
      <c r="A3596" s="106"/>
      <c r="B3596" s="106"/>
      <c r="C3596" s="106"/>
      <c r="D3596" s="106"/>
      <c r="E3596" s="106"/>
      <c r="F3596" s="106"/>
      <c r="G3596" s="106"/>
      <c r="H3596" s="107"/>
      <c r="I3596" s="95"/>
      <c r="J3596" s="706"/>
      <c r="K3596" s="769"/>
      <c r="L3596" s="706"/>
      <c r="M3596" s="781"/>
      <c r="N3596" s="182"/>
      <c r="O3596" s="188"/>
      <c r="P3596" s="221"/>
      <c r="Q3596" s="106"/>
      <c r="R3596" s="108"/>
      <c r="S3596" s="108"/>
      <c r="T3596" s="108"/>
      <c r="U3596" s="108" t="str">
        <f>IFERROR(VLOOKUP(CONCATENATE(Tabla1[[#This Row],[Severidad]]," ",Tabla1[[#This Row],[Complejidad]]),Catalogos!E$120:G$128,3,FALSE),"")</f>
        <v/>
      </c>
      <c r="V3596" s="108" t="str">
        <f>IF(Tabla1[[#This Row],[Tiempo solución max (hrs)]]&lt;&gt;"",IF(Tabla1[[#This Row],[Tiempo solución max (hrs)]]&gt;=Tabla1[[#This Row],[Tiempo
(Hrs 00/100)]],"cumple","no cumple"),"")</f>
        <v/>
      </c>
      <c r="W3596" s="17"/>
      <c r="X3596" s="18">
        <f t="shared" si="246"/>
        <v>0</v>
      </c>
      <c r="Y3596" t="str">
        <f>SUBSTITUTE(Tabla1[[#This Row],[Descripción]],CHAR(10),"    I    ")</f>
        <v/>
      </c>
      <c r="Z3596" s="112" t="e">
        <f>VLOOKUP(Tabla1[[#This Row],[Perfil]],Catalogos!$B$75:$D$100,3,FALSE)*Tabla1[[#This Row],[Tiempo
(Hrs 00/100)]]*1.16</f>
        <v>#N/A</v>
      </c>
    </row>
    <row r="3597" spans="1:26" ht="30" customHeight="1" x14ac:dyDescent="0.3">
      <c r="A3597" s="106"/>
      <c r="B3597" s="106"/>
      <c r="C3597" s="106"/>
      <c r="D3597" s="106"/>
      <c r="E3597" s="106"/>
      <c r="F3597" s="106"/>
      <c r="G3597" s="106"/>
      <c r="H3597" s="107"/>
      <c r="I3597" s="95"/>
      <c r="J3597" s="706"/>
      <c r="K3597" s="769"/>
      <c r="L3597" s="706"/>
      <c r="M3597" s="781"/>
      <c r="N3597" s="182"/>
      <c r="O3597" s="188"/>
      <c r="P3597" s="221"/>
      <c r="Q3597" s="106"/>
      <c r="R3597" s="108"/>
      <c r="S3597" s="108"/>
      <c r="T3597" s="108"/>
      <c r="U3597" s="108" t="str">
        <f>IFERROR(VLOOKUP(CONCATENATE(Tabla1[[#This Row],[Severidad]]," ",Tabla1[[#This Row],[Complejidad]]),Catalogos!E$120:G$128,3,FALSE),"")</f>
        <v/>
      </c>
      <c r="V3597" s="108" t="str">
        <f>IF(Tabla1[[#This Row],[Tiempo solución max (hrs)]]&lt;&gt;"",IF(Tabla1[[#This Row],[Tiempo solución max (hrs)]]&gt;=Tabla1[[#This Row],[Tiempo
(Hrs 00/100)]],"cumple","no cumple"),"")</f>
        <v/>
      </c>
      <c r="W3597" s="17"/>
      <c r="X3597" s="18">
        <f t="shared" si="246"/>
        <v>0</v>
      </c>
      <c r="Y3597" t="str">
        <f>SUBSTITUTE(Tabla1[[#This Row],[Descripción]],CHAR(10),"    I    ")</f>
        <v/>
      </c>
      <c r="Z3597" s="112" t="e">
        <f>VLOOKUP(Tabla1[[#This Row],[Perfil]],Catalogos!$B$75:$D$100,3,FALSE)*Tabla1[[#This Row],[Tiempo
(Hrs 00/100)]]*1.16</f>
        <v>#N/A</v>
      </c>
    </row>
    <row r="3598" spans="1:26" ht="30" customHeight="1" x14ac:dyDescent="0.3">
      <c r="A3598" s="106"/>
      <c r="B3598" s="106"/>
      <c r="C3598" s="106"/>
      <c r="D3598" s="106"/>
      <c r="E3598" s="106"/>
      <c r="F3598" s="106"/>
      <c r="G3598" s="106"/>
      <c r="H3598" s="107"/>
      <c r="I3598" s="95"/>
      <c r="J3598" s="706"/>
      <c r="K3598" s="769"/>
      <c r="L3598" s="706"/>
      <c r="M3598" s="781"/>
      <c r="N3598" s="182"/>
      <c r="O3598" s="188"/>
      <c r="P3598" s="221"/>
      <c r="Q3598" s="106"/>
      <c r="R3598" s="108"/>
      <c r="S3598" s="108"/>
      <c r="T3598" s="108"/>
      <c r="U3598" s="108" t="str">
        <f>IFERROR(VLOOKUP(CONCATENATE(Tabla1[[#This Row],[Severidad]]," ",Tabla1[[#This Row],[Complejidad]]),Catalogos!E$120:G$128,3,FALSE),"")</f>
        <v/>
      </c>
      <c r="V3598" s="108" t="str">
        <f>IF(Tabla1[[#This Row],[Tiempo solución max (hrs)]]&lt;&gt;"",IF(Tabla1[[#This Row],[Tiempo solución max (hrs)]]&gt;=Tabla1[[#This Row],[Tiempo
(Hrs 00/100)]],"cumple","no cumple"),"")</f>
        <v/>
      </c>
      <c r="W3598" s="17"/>
      <c r="X3598" s="18">
        <f t="shared" si="246"/>
        <v>0</v>
      </c>
      <c r="Y3598" t="str">
        <f>SUBSTITUTE(Tabla1[[#This Row],[Descripción]],CHAR(10),"    I    ")</f>
        <v/>
      </c>
      <c r="Z3598" s="112" t="e">
        <f>VLOOKUP(Tabla1[[#This Row],[Perfil]],Catalogos!$B$75:$D$100,3,FALSE)*Tabla1[[#This Row],[Tiempo
(Hrs 00/100)]]*1.16</f>
        <v>#N/A</v>
      </c>
    </row>
    <row r="3599" spans="1:26" ht="30" customHeight="1" x14ac:dyDescent="0.3">
      <c r="A3599" s="106"/>
      <c r="B3599" s="106"/>
      <c r="C3599" s="106"/>
      <c r="D3599" s="106"/>
      <c r="E3599" s="106"/>
      <c r="F3599" s="106"/>
      <c r="G3599" s="106"/>
      <c r="H3599" s="107"/>
      <c r="I3599" s="95"/>
      <c r="J3599" s="706"/>
      <c r="K3599" s="769"/>
      <c r="L3599" s="706"/>
      <c r="M3599" s="781"/>
      <c r="N3599" s="182"/>
      <c r="O3599" s="188"/>
      <c r="P3599" s="221"/>
      <c r="Q3599" s="106"/>
      <c r="R3599" s="108"/>
      <c r="S3599" s="108"/>
      <c r="T3599" s="108"/>
      <c r="U3599" s="108" t="str">
        <f>IFERROR(VLOOKUP(CONCATENATE(Tabla1[[#This Row],[Severidad]]," ",Tabla1[[#This Row],[Complejidad]]),Catalogos!E$120:G$128,3,FALSE),"")</f>
        <v/>
      </c>
      <c r="V3599" s="108" t="str">
        <f>IF(Tabla1[[#This Row],[Tiempo solución max (hrs)]]&lt;&gt;"",IF(Tabla1[[#This Row],[Tiempo solución max (hrs)]]&gt;=Tabla1[[#This Row],[Tiempo
(Hrs 00/100)]],"cumple","no cumple"),"")</f>
        <v/>
      </c>
      <c r="W3599" s="17"/>
      <c r="X3599" s="18">
        <f t="shared" si="246"/>
        <v>0</v>
      </c>
      <c r="Y3599" t="str">
        <f>SUBSTITUTE(Tabla1[[#This Row],[Descripción]],CHAR(10),"    I    ")</f>
        <v/>
      </c>
      <c r="Z3599" s="112" t="e">
        <f>VLOOKUP(Tabla1[[#This Row],[Perfil]],Catalogos!$B$75:$D$100,3,FALSE)*Tabla1[[#This Row],[Tiempo
(Hrs 00/100)]]*1.16</f>
        <v>#N/A</v>
      </c>
    </row>
    <row r="3600" spans="1:26" ht="30" customHeight="1" x14ac:dyDescent="0.3">
      <c r="A3600" s="106"/>
      <c r="B3600" s="106"/>
      <c r="C3600" s="106"/>
      <c r="D3600" s="106"/>
      <c r="E3600" s="106"/>
      <c r="F3600" s="106"/>
      <c r="G3600" s="106"/>
      <c r="H3600" s="107"/>
      <c r="I3600" s="95"/>
      <c r="J3600" s="706"/>
      <c r="K3600" s="769"/>
      <c r="L3600" s="706"/>
      <c r="M3600" s="781"/>
      <c r="N3600" s="182"/>
      <c r="O3600" s="188"/>
      <c r="P3600" s="221"/>
      <c r="Q3600" s="106"/>
      <c r="R3600" s="108"/>
      <c r="S3600" s="108"/>
      <c r="T3600" s="108"/>
      <c r="U3600" s="108" t="str">
        <f>IFERROR(VLOOKUP(CONCATENATE(Tabla1[[#This Row],[Severidad]]," ",Tabla1[[#This Row],[Complejidad]]),Catalogos!E$120:G$128,3,FALSE),"")</f>
        <v/>
      </c>
      <c r="V3600" s="108" t="str">
        <f>IF(Tabla1[[#This Row],[Tiempo solución max (hrs)]]&lt;&gt;"",IF(Tabla1[[#This Row],[Tiempo solución max (hrs)]]&gt;=Tabla1[[#This Row],[Tiempo
(Hrs 00/100)]],"cumple","no cumple"),"")</f>
        <v/>
      </c>
      <c r="W3600" s="17"/>
      <c r="X3600" s="18">
        <f t="shared" si="246"/>
        <v>0</v>
      </c>
      <c r="Y3600" t="str">
        <f>SUBSTITUTE(Tabla1[[#This Row],[Descripción]],CHAR(10),"    I    ")</f>
        <v/>
      </c>
      <c r="Z3600" s="112" t="e">
        <f>VLOOKUP(Tabla1[[#This Row],[Perfil]],Catalogos!$B$75:$D$100,3,FALSE)*Tabla1[[#This Row],[Tiempo
(Hrs 00/100)]]*1.16</f>
        <v>#N/A</v>
      </c>
    </row>
    <row r="3601" spans="1:26" ht="30" customHeight="1" x14ac:dyDescent="0.3">
      <c r="A3601" s="106"/>
      <c r="B3601" s="106"/>
      <c r="C3601" s="106"/>
      <c r="D3601" s="106"/>
      <c r="E3601" s="106"/>
      <c r="F3601" s="106"/>
      <c r="G3601" s="106"/>
      <c r="H3601" s="107"/>
      <c r="I3601" s="95"/>
      <c r="J3601" s="706"/>
      <c r="K3601" s="769"/>
      <c r="L3601" s="706"/>
      <c r="M3601" s="781"/>
      <c r="N3601" s="182"/>
      <c r="O3601" s="188"/>
      <c r="P3601" s="221"/>
      <c r="Q3601" s="106"/>
      <c r="R3601" s="108"/>
      <c r="S3601" s="108"/>
      <c r="T3601" s="108"/>
      <c r="U3601" s="108" t="str">
        <f>IFERROR(VLOOKUP(CONCATENATE(Tabla1[[#This Row],[Severidad]]," ",Tabla1[[#This Row],[Complejidad]]),Catalogos!E$120:G$128,3,FALSE),"")</f>
        <v/>
      </c>
      <c r="V3601" s="108" t="str">
        <f>IF(Tabla1[[#This Row],[Tiempo solución max (hrs)]]&lt;&gt;"",IF(Tabla1[[#This Row],[Tiempo solución max (hrs)]]&gt;=Tabla1[[#This Row],[Tiempo
(Hrs 00/100)]],"cumple","no cumple"),"")</f>
        <v/>
      </c>
      <c r="W3601" s="17"/>
      <c r="X3601" s="18">
        <f t="shared" si="246"/>
        <v>0</v>
      </c>
      <c r="Y3601" t="str">
        <f>SUBSTITUTE(Tabla1[[#This Row],[Descripción]],CHAR(10),"    I    ")</f>
        <v/>
      </c>
      <c r="Z3601" s="112" t="e">
        <f>VLOOKUP(Tabla1[[#This Row],[Perfil]],Catalogos!$B$75:$D$100,3,FALSE)*Tabla1[[#This Row],[Tiempo
(Hrs 00/100)]]*1.16</f>
        <v>#N/A</v>
      </c>
    </row>
    <row r="3602" spans="1:26" ht="30" customHeight="1" x14ac:dyDescent="0.3">
      <c r="A3602" s="106"/>
      <c r="B3602" s="106"/>
      <c r="C3602" s="106"/>
      <c r="D3602" s="106"/>
      <c r="E3602" s="106"/>
      <c r="F3602" s="106"/>
      <c r="G3602" s="106"/>
      <c r="H3602" s="107"/>
      <c r="I3602" s="95"/>
      <c r="J3602" s="706"/>
      <c r="K3602" s="769"/>
      <c r="L3602" s="706"/>
      <c r="M3602" s="781"/>
      <c r="N3602" s="182"/>
      <c r="O3602" s="188"/>
      <c r="P3602" s="221"/>
      <c r="Q3602" s="106"/>
      <c r="R3602" s="108"/>
      <c r="S3602" s="108"/>
      <c r="T3602" s="108"/>
      <c r="U3602" s="108" t="str">
        <f>IFERROR(VLOOKUP(CONCATENATE(Tabla1[[#This Row],[Severidad]]," ",Tabla1[[#This Row],[Complejidad]]),Catalogos!E$120:G$128,3,FALSE),"")</f>
        <v/>
      </c>
      <c r="V3602" s="108" t="str">
        <f>IF(Tabla1[[#This Row],[Tiempo solución max (hrs)]]&lt;&gt;"",IF(Tabla1[[#This Row],[Tiempo solución max (hrs)]]&gt;=Tabla1[[#This Row],[Tiempo
(Hrs 00/100)]],"cumple","no cumple"),"")</f>
        <v/>
      </c>
      <c r="W3602" s="17"/>
      <c r="X3602" s="18">
        <f t="shared" si="246"/>
        <v>0</v>
      </c>
      <c r="Y3602" t="str">
        <f>SUBSTITUTE(Tabla1[[#This Row],[Descripción]],CHAR(10),"    I    ")</f>
        <v/>
      </c>
      <c r="Z3602" s="112" t="e">
        <f>VLOOKUP(Tabla1[[#This Row],[Perfil]],Catalogos!$B$75:$D$100,3,FALSE)*Tabla1[[#This Row],[Tiempo
(Hrs 00/100)]]*1.16</f>
        <v>#N/A</v>
      </c>
    </row>
    <row r="3603" spans="1:26" ht="30" customHeight="1" x14ac:dyDescent="0.3">
      <c r="A3603" s="106"/>
      <c r="B3603" s="106"/>
      <c r="C3603" s="106"/>
      <c r="D3603" s="106"/>
      <c r="E3603" s="106"/>
      <c r="F3603" s="106"/>
      <c r="G3603" s="106"/>
      <c r="H3603" s="107"/>
      <c r="I3603" s="95"/>
      <c r="J3603" s="706"/>
      <c r="K3603" s="769"/>
      <c r="L3603" s="706"/>
      <c r="M3603" s="781"/>
      <c r="N3603" s="182"/>
      <c r="O3603" s="188"/>
      <c r="P3603" s="221"/>
      <c r="Q3603" s="106"/>
      <c r="R3603" s="108"/>
      <c r="S3603" s="108"/>
      <c r="T3603" s="108"/>
      <c r="U3603" s="108" t="str">
        <f>IFERROR(VLOOKUP(CONCATENATE(Tabla1[[#This Row],[Severidad]]," ",Tabla1[[#This Row],[Complejidad]]),Catalogos!E$120:G$128,3,FALSE),"")</f>
        <v/>
      </c>
      <c r="V3603" s="108" t="str">
        <f>IF(Tabla1[[#This Row],[Tiempo solución max (hrs)]]&lt;&gt;"",IF(Tabla1[[#This Row],[Tiempo solución max (hrs)]]&gt;=Tabla1[[#This Row],[Tiempo
(Hrs 00/100)]],"cumple","no cumple"),"")</f>
        <v/>
      </c>
      <c r="W3603" s="17"/>
      <c r="X3603" s="18">
        <f t="shared" si="246"/>
        <v>0</v>
      </c>
      <c r="Y3603" t="str">
        <f>SUBSTITUTE(Tabla1[[#This Row],[Descripción]],CHAR(10),"    I    ")</f>
        <v/>
      </c>
      <c r="Z3603" s="112" t="e">
        <f>VLOOKUP(Tabla1[[#This Row],[Perfil]],Catalogos!$B$75:$D$100,3,FALSE)*Tabla1[[#This Row],[Tiempo
(Hrs 00/100)]]*1.16</f>
        <v>#N/A</v>
      </c>
    </row>
    <row r="3604" spans="1:26" ht="30" customHeight="1" x14ac:dyDescent="0.3">
      <c r="A3604" s="106"/>
      <c r="B3604" s="106"/>
      <c r="C3604" s="106"/>
      <c r="D3604" s="106"/>
      <c r="E3604" s="106"/>
      <c r="F3604" s="106"/>
      <c r="G3604" s="106"/>
      <c r="H3604" s="107"/>
      <c r="I3604" s="95"/>
      <c r="J3604" s="706"/>
      <c r="K3604" s="769"/>
      <c r="L3604" s="706"/>
      <c r="M3604" s="781"/>
      <c r="N3604" s="182"/>
      <c r="O3604" s="188"/>
      <c r="P3604" s="221"/>
      <c r="Q3604" s="106"/>
      <c r="R3604" s="108"/>
      <c r="S3604" s="108"/>
      <c r="T3604" s="108"/>
      <c r="U3604" s="108" t="str">
        <f>IFERROR(VLOOKUP(CONCATENATE(Tabla1[[#This Row],[Severidad]]," ",Tabla1[[#This Row],[Complejidad]]),Catalogos!E$120:G$128,3,FALSE),"")</f>
        <v/>
      </c>
      <c r="V3604" s="108" t="str">
        <f>IF(Tabla1[[#This Row],[Tiempo solución max (hrs)]]&lt;&gt;"",IF(Tabla1[[#This Row],[Tiempo solución max (hrs)]]&gt;=Tabla1[[#This Row],[Tiempo
(Hrs 00/100)]],"cumple","no cumple"),"")</f>
        <v/>
      </c>
      <c r="W3604" s="17"/>
      <c r="X3604" s="18">
        <f t="shared" si="246"/>
        <v>0</v>
      </c>
      <c r="Y3604" t="str">
        <f>SUBSTITUTE(Tabla1[[#This Row],[Descripción]],CHAR(10),"    I    ")</f>
        <v/>
      </c>
      <c r="Z3604" s="112" t="e">
        <f>VLOOKUP(Tabla1[[#This Row],[Perfil]],Catalogos!$B$75:$D$100,3,FALSE)*Tabla1[[#This Row],[Tiempo
(Hrs 00/100)]]*1.16</f>
        <v>#N/A</v>
      </c>
    </row>
    <row r="3605" spans="1:26" ht="30" customHeight="1" x14ac:dyDescent="0.3">
      <c r="A3605" s="106"/>
      <c r="B3605" s="106"/>
      <c r="C3605" s="106"/>
      <c r="D3605" s="106"/>
      <c r="E3605" s="106"/>
      <c r="F3605" s="106"/>
      <c r="G3605" s="106"/>
      <c r="H3605" s="107"/>
      <c r="I3605" s="95"/>
      <c r="J3605" s="706"/>
      <c r="K3605" s="769"/>
      <c r="L3605" s="706"/>
      <c r="M3605" s="781"/>
      <c r="N3605" s="182"/>
      <c r="O3605" s="188"/>
      <c r="P3605" s="221"/>
      <c r="Q3605" s="106"/>
      <c r="R3605" s="108"/>
      <c r="S3605" s="108"/>
      <c r="T3605" s="108"/>
      <c r="U3605" s="108" t="str">
        <f>IFERROR(VLOOKUP(CONCATENATE(Tabla1[[#This Row],[Severidad]]," ",Tabla1[[#This Row],[Complejidad]]),Catalogos!E$120:G$128,3,FALSE),"")</f>
        <v/>
      </c>
      <c r="V3605" s="108" t="str">
        <f>IF(Tabla1[[#This Row],[Tiempo solución max (hrs)]]&lt;&gt;"",IF(Tabla1[[#This Row],[Tiempo solución max (hrs)]]&gt;=Tabla1[[#This Row],[Tiempo
(Hrs 00/100)]],"cumple","no cumple"),"")</f>
        <v/>
      </c>
      <c r="W3605" s="17"/>
      <c r="X3605" s="18">
        <f t="shared" si="246"/>
        <v>0</v>
      </c>
      <c r="Y3605" t="str">
        <f>SUBSTITUTE(Tabla1[[#This Row],[Descripción]],CHAR(10),"    I    ")</f>
        <v/>
      </c>
      <c r="Z3605" s="112" t="e">
        <f>VLOOKUP(Tabla1[[#This Row],[Perfil]],Catalogos!$B$75:$D$100,3,FALSE)*Tabla1[[#This Row],[Tiempo
(Hrs 00/100)]]*1.16</f>
        <v>#N/A</v>
      </c>
    </row>
    <row r="3606" spans="1:26" ht="30" customHeight="1" x14ac:dyDescent="0.3">
      <c r="A3606" s="106"/>
      <c r="B3606" s="106"/>
      <c r="C3606" s="106"/>
      <c r="D3606" s="106"/>
      <c r="E3606" s="106"/>
      <c r="F3606" s="106"/>
      <c r="G3606" s="106"/>
      <c r="H3606" s="107"/>
      <c r="I3606" s="95"/>
      <c r="J3606" s="706"/>
      <c r="K3606" s="769"/>
      <c r="L3606" s="706"/>
      <c r="M3606" s="781"/>
      <c r="N3606" s="182"/>
      <c r="O3606" s="188"/>
      <c r="P3606" s="221"/>
      <c r="Q3606" s="106"/>
      <c r="R3606" s="108"/>
      <c r="S3606" s="108"/>
      <c r="T3606" s="108"/>
      <c r="U3606" s="108" t="str">
        <f>IFERROR(VLOOKUP(CONCATENATE(Tabla1[[#This Row],[Severidad]]," ",Tabla1[[#This Row],[Complejidad]]),Catalogos!E$120:G$128,3,FALSE),"")</f>
        <v/>
      </c>
      <c r="V3606" s="108" t="str">
        <f>IF(Tabla1[[#This Row],[Tiempo solución max (hrs)]]&lt;&gt;"",IF(Tabla1[[#This Row],[Tiempo solución max (hrs)]]&gt;=Tabla1[[#This Row],[Tiempo
(Hrs 00/100)]],"cumple","no cumple"),"")</f>
        <v/>
      </c>
      <c r="W3606" s="17"/>
      <c r="X3606" s="18">
        <f t="shared" si="246"/>
        <v>0</v>
      </c>
      <c r="Y3606" t="str">
        <f>SUBSTITUTE(Tabla1[[#This Row],[Descripción]],CHAR(10),"    I    ")</f>
        <v/>
      </c>
      <c r="Z3606" s="112" t="e">
        <f>VLOOKUP(Tabla1[[#This Row],[Perfil]],Catalogos!$B$75:$D$100,3,FALSE)*Tabla1[[#This Row],[Tiempo
(Hrs 00/100)]]*1.16</f>
        <v>#N/A</v>
      </c>
    </row>
    <row r="3607" spans="1:26" ht="30" customHeight="1" x14ac:dyDescent="0.3">
      <c r="A3607" s="106"/>
      <c r="B3607" s="106"/>
      <c r="C3607" s="106"/>
      <c r="D3607" s="106"/>
      <c r="E3607" s="106"/>
      <c r="F3607" s="106"/>
      <c r="G3607" s="106"/>
      <c r="H3607" s="107"/>
      <c r="I3607" s="95"/>
      <c r="J3607" s="706"/>
      <c r="K3607" s="769"/>
      <c r="L3607" s="706"/>
      <c r="M3607" s="781"/>
      <c r="N3607" s="182"/>
      <c r="O3607" s="188"/>
      <c r="P3607" s="221"/>
      <c r="Q3607" s="106"/>
      <c r="R3607" s="108"/>
      <c r="S3607" s="108"/>
      <c r="T3607" s="108"/>
      <c r="U3607" s="108" t="str">
        <f>IFERROR(VLOOKUP(CONCATENATE(Tabla1[[#This Row],[Severidad]]," ",Tabla1[[#This Row],[Complejidad]]),Catalogos!E$120:G$128,3,FALSE),"")</f>
        <v/>
      </c>
      <c r="V3607" s="108" t="str">
        <f>IF(Tabla1[[#This Row],[Tiempo solución max (hrs)]]&lt;&gt;"",IF(Tabla1[[#This Row],[Tiempo solución max (hrs)]]&gt;=Tabla1[[#This Row],[Tiempo
(Hrs 00/100)]],"cumple","no cumple"),"")</f>
        <v/>
      </c>
      <c r="W3607" s="17"/>
      <c r="X3607" s="18">
        <f t="shared" si="246"/>
        <v>0</v>
      </c>
      <c r="Y3607" t="str">
        <f>SUBSTITUTE(Tabla1[[#This Row],[Descripción]],CHAR(10),"    I    ")</f>
        <v/>
      </c>
      <c r="Z3607" s="112" t="e">
        <f>VLOOKUP(Tabla1[[#This Row],[Perfil]],Catalogos!$B$75:$D$100,3,FALSE)*Tabla1[[#This Row],[Tiempo
(Hrs 00/100)]]*1.16</f>
        <v>#N/A</v>
      </c>
    </row>
    <row r="3608" spans="1:26" ht="30" customHeight="1" x14ac:dyDescent="0.3">
      <c r="A3608" s="106"/>
      <c r="B3608" s="106"/>
      <c r="C3608" s="106"/>
      <c r="D3608" s="106"/>
      <c r="E3608" s="106"/>
      <c r="F3608" s="106"/>
      <c r="G3608" s="106"/>
      <c r="H3608" s="107"/>
      <c r="I3608" s="95"/>
      <c r="J3608" s="706"/>
      <c r="K3608" s="769"/>
      <c r="L3608" s="706"/>
      <c r="M3608" s="781"/>
      <c r="N3608" s="182"/>
      <c r="O3608" s="188"/>
      <c r="P3608" s="221"/>
      <c r="Q3608" s="106"/>
      <c r="R3608" s="108"/>
      <c r="S3608" s="108"/>
      <c r="T3608" s="108"/>
      <c r="U3608" s="108" t="str">
        <f>IFERROR(VLOOKUP(CONCATENATE(Tabla1[[#This Row],[Severidad]]," ",Tabla1[[#This Row],[Complejidad]]),Catalogos!E$120:G$128,3,FALSE),"")</f>
        <v/>
      </c>
      <c r="V3608" s="108" t="str">
        <f>IF(Tabla1[[#This Row],[Tiempo solución max (hrs)]]&lt;&gt;"",IF(Tabla1[[#This Row],[Tiempo solución max (hrs)]]&gt;=Tabla1[[#This Row],[Tiempo
(Hrs 00/100)]],"cumple","no cumple"),"")</f>
        <v/>
      </c>
      <c r="W3608" s="17"/>
      <c r="X3608" s="18">
        <f t="shared" si="246"/>
        <v>0</v>
      </c>
      <c r="Y3608" t="str">
        <f>SUBSTITUTE(Tabla1[[#This Row],[Descripción]],CHAR(10),"    I    ")</f>
        <v/>
      </c>
      <c r="Z3608" s="112" t="e">
        <f>VLOOKUP(Tabla1[[#This Row],[Perfil]],Catalogos!$B$75:$D$100,3,FALSE)*Tabla1[[#This Row],[Tiempo
(Hrs 00/100)]]*1.16</f>
        <v>#N/A</v>
      </c>
    </row>
    <row r="3609" spans="1:26" ht="30" customHeight="1" x14ac:dyDescent="0.3">
      <c r="A3609" s="106"/>
      <c r="B3609" s="106"/>
      <c r="C3609" s="106"/>
      <c r="D3609" s="106"/>
      <c r="E3609" s="106"/>
      <c r="F3609" s="106"/>
      <c r="G3609" s="106"/>
      <c r="H3609" s="107"/>
      <c r="I3609" s="95"/>
      <c r="J3609" s="706"/>
      <c r="K3609" s="769"/>
      <c r="L3609" s="706"/>
      <c r="M3609" s="781"/>
      <c r="N3609" s="182"/>
      <c r="O3609" s="188"/>
      <c r="P3609" s="221"/>
      <c r="Q3609" s="106"/>
      <c r="R3609" s="108"/>
      <c r="S3609" s="108"/>
      <c r="T3609" s="108"/>
      <c r="U3609" s="108" t="str">
        <f>IFERROR(VLOOKUP(CONCATENATE(Tabla1[[#This Row],[Severidad]]," ",Tabla1[[#This Row],[Complejidad]]),Catalogos!E$120:G$128,3,FALSE),"")</f>
        <v/>
      </c>
      <c r="V3609" s="108" t="str">
        <f>IF(Tabla1[[#This Row],[Tiempo solución max (hrs)]]&lt;&gt;"",IF(Tabla1[[#This Row],[Tiempo solución max (hrs)]]&gt;=Tabla1[[#This Row],[Tiempo
(Hrs 00/100)]],"cumple","no cumple"),"")</f>
        <v/>
      </c>
      <c r="W3609" s="17"/>
      <c r="X3609" s="18">
        <f t="shared" si="246"/>
        <v>0</v>
      </c>
      <c r="Y3609" t="str">
        <f>SUBSTITUTE(Tabla1[[#This Row],[Descripción]],CHAR(10),"    I    ")</f>
        <v/>
      </c>
      <c r="Z3609" s="112" t="e">
        <f>VLOOKUP(Tabla1[[#This Row],[Perfil]],Catalogos!$B$75:$D$100,3,FALSE)*Tabla1[[#This Row],[Tiempo
(Hrs 00/100)]]*1.16</f>
        <v>#N/A</v>
      </c>
    </row>
    <row r="3610" spans="1:26" ht="30" customHeight="1" x14ac:dyDescent="0.3">
      <c r="A3610" s="106"/>
      <c r="B3610" s="106"/>
      <c r="C3610" s="106"/>
      <c r="D3610" s="106"/>
      <c r="E3610" s="106"/>
      <c r="F3610" s="106"/>
      <c r="G3610" s="106"/>
      <c r="H3610" s="107"/>
      <c r="I3610" s="95"/>
      <c r="J3610" s="706"/>
      <c r="K3610" s="769"/>
      <c r="L3610" s="706"/>
      <c r="M3610" s="781"/>
      <c r="N3610" s="182"/>
      <c r="O3610" s="188"/>
      <c r="P3610" s="221"/>
      <c r="Q3610" s="106"/>
      <c r="R3610" s="108"/>
      <c r="S3610" s="108"/>
      <c r="T3610" s="108"/>
      <c r="U3610" s="108" t="str">
        <f>IFERROR(VLOOKUP(CONCATENATE(Tabla1[[#This Row],[Severidad]]," ",Tabla1[[#This Row],[Complejidad]]),Catalogos!E$120:G$128,3,FALSE),"")</f>
        <v/>
      </c>
      <c r="V3610" s="108" t="str">
        <f>IF(Tabla1[[#This Row],[Tiempo solución max (hrs)]]&lt;&gt;"",IF(Tabla1[[#This Row],[Tiempo solución max (hrs)]]&gt;=Tabla1[[#This Row],[Tiempo
(Hrs 00/100)]],"cumple","no cumple"),"")</f>
        <v/>
      </c>
      <c r="W3610" s="17"/>
      <c r="X3610" s="18">
        <f t="shared" si="246"/>
        <v>0</v>
      </c>
      <c r="Y3610" t="str">
        <f>SUBSTITUTE(Tabla1[[#This Row],[Descripción]],CHAR(10),"    I    ")</f>
        <v/>
      </c>
      <c r="Z3610" s="112" t="e">
        <f>VLOOKUP(Tabla1[[#This Row],[Perfil]],Catalogos!$B$75:$D$100,3,FALSE)*Tabla1[[#This Row],[Tiempo
(Hrs 00/100)]]*1.16</f>
        <v>#N/A</v>
      </c>
    </row>
    <row r="3611" spans="1:26" ht="30" customHeight="1" x14ac:dyDescent="0.3">
      <c r="A3611" s="106"/>
      <c r="B3611" s="106"/>
      <c r="C3611" s="106"/>
      <c r="D3611" s="106"/>
      <c r="E3611" s="106"/>
      <c r="F3611" s="106"/>
      <c r="G3611" s="106"/>
      <c r="H3611" s="107"/>
      <c r="I3611" s="95"/>
      <c r="J3611" s="706"/>
      <c r="K3611" s="769"/>
      <c r="L3611" s="706"/>
      <c r="M3611" s="781"/>
      <c r="N3611" s="182"/>
      <c r="O3611" s="188"/>
      <c r="P3611" s="221"/>
      <c r="Q3611" s="106"/>
      <c r="R3611" s="108"/>
      <c r="S3611" s="108"/>
      <c r="T3611" s="108"/>
      <c r="U3611" s="108" t="str">
        <f>IFERROR(VLOOKUP(CONCATENATE(Tabla1[[#This Row],[Severidad]]," ",Tabla1[[#This Row],[Complejidad]]),Catalogos!E$120:G$128,3,FALSE),"")</f>
        <v/>
      </c>
      <c r="V3611" s="108" t="str">
        <f>IF(Tabla1[[#This Row],[Tiempo solución max (hrs)]]&lt;&gt;"",IF(Tabla1[[#This Row],[Tiempo solución max (hrs)]]&gt;=Tabla1[[#This Row],[Tiempo
(Hrs 00/100)]],"cumple","no cumple"),"")</f>
        <v/>
      </c>
      <c r="W3611" s="17"/>
      <c r="X3611" s="18">
        <f t="shared" si="246"/>
        <v>0</v>
      </c>
      <c r="Y3611" t="str">
        <f>SUBSTITUTE(Tabla1[[#This Row],[Descripción]],CHAR(10),"    I    ")</f>
        <v/>
      </c>
      <c r="Z3611" s="112" t="e">
        <f>VLOOKUP(Tabla1[[#This Row],[Perfil]],Catalogos!$B$75:$D$100,3,FALSE)*Tabla1[[#This Row],[Tiempo
(Hrs 00/100)]]*1.16</f>
        <v>#N/A</v>
      </c>
    </row>
    <row r="3612" spans="1:26" ht="30" customHeight="1" x14ac:dyDescent="0.3">
      <c r="A3612" s="106"/>
      <c r="B3612" s="106"/>
      <c r="C3612" s="106"/>
      <c r="D3612" s="106"/>
      <c r="E3612" s="106"/>
      <c r="F3612" s="106"/>
      <c r="G3612" s="106"/>
      <c r="H3612" s="107"/>
      <c r="I3612" s="95"/>
      <c r="J3612" s="706"/>
      <c r="K3612" s="769"/>
      <c r="L3612" s="706"/>
      <c r="M3612" s="781"/>
      <c r="N3612" s="182"/>
      <c r="O3612" s="188"/>
      <c r="P3612" s="221"/>
      <c r="Q3612" s="106"/>
      <c r="R3612" s="108"/>
      <c r="S3612" s="108"/>
      <c r="T3612" s="108"/>
      <c r="U3612" s="108" t="str">
        <f>IFERROR(VLOOKUP(CONCATENATE(Tabla1[[#This Row],[Severidad]]," ",Tabla1[[#This Row],[Complejidad]]),Catalogos!E$120:G$128,3,FALSE),"")</f>
        <v/>
      </c>
      <c r="V3612" s="108" t="str">
        <f>IF(Tabla1[[#This Row],[Tiempo solución max (hrs)]]&lt;&gt;"",IF(Tabla1[[#This Row],[Tiempo solución max (hrs)]]&gt;=Tabla1[[#This Row],[Tiempo
(Hrs 00/100)]],"cumple","no cumple"),"")</f>
        <v/>
      </c>
      <c r="W3612" s="17"/>
      <c r="X3612" s="18">
        <f t="shared" si="246"/>
        <v>0</v>
      </c>
      <c r="Y3612" t="str">
        <f>SUBSTITUTE(Tabla1[[#This Row],[Descripción]],CHAR(10),"    I    ")</f>
        <v/>
      </c>
      <c r="Z3612" s="112" t="e">
        <f>VLOOKUP(Tabla1[[#This Row],[Perfil]],Catalogos!$B$75:$D$100,3,FALSE)*Tabla1[[#This Row],[Tiempo
(Hrs 00/100)]]*1.16</f>
        <v>#N/A</v>
      </c>
    </row>
    <row r="3613" spans="1:26" ht="30" customHeight="1" x14ac:dyDescent="0.3">
      <c r="A3613" s="106"/>
      <c r="B3613" s="106"/>
      <c r="C3613" s="106"/>
      <c r="D3613" s="106"/>
      <c r="E3613" s="106"/>
      <c r="F3613" s="106"/>
      <c r="G3613" s="106"/>
      <c r="H3613" s="107"/>
      <c r="I3613" s="95"/>
      <c r="J3613" s="706"/>
      <c r="K3613" s="769"/>
      <c r="L3613" s="706"/>
      <c r="M3613" s="781"/>
      <c r="N3613" s="182"/>
      <c r="O3613" s="188"/>
      <c r="P3613" s="221"/>
      <c r="Q3613" s="106"/>
      <c r="R3613" s="108"/>
      <c r="S3613" s="108"/>
      <c r="T3613" s="108"/>
      <c r="U3613" s="108" t="str">
        <f>IFERROR(VLOOKUP(CONCATENATE(Tabla1[[#This Row],[Severidad]]," ",Tabla1[[#This Row],[Complejidad]]),Catalogos!E$120:G$128,3,FALSE),"")</f>
        <v/>
      </c>
      <c r="V3613" s="108" t="str">
        <f>IF(Tabla1[[#This Row],[Tiempo solución max (hrs)]]&lt;&gt;"",IF(Tabla1[[#This Row],[Tiempo solución max (hrs)]]&gt;=Tabla1[[#This Row],[Tiempo
(Hrs 00/100)]],"cumple","no cumple"),"")</f>
        <v/>
      </c>
      <c r="W3613" s="17"/>
      <c r="X3613" s="18">
        <f t="shared" si="246"/>
        <v>0</v>
      </c>
      <c r="Y3613" t="str">
        <f>SUBSTITUTE(Tabla1[[#This Row],[Descripción]],CHAR(10),"    I    ")</f>
        <v/>
      </c>
      <c r="Z3613" s="112" t="e">
        <f>VLOOKUP(Tabla1[[#This Row],[Perfil]],Catalogos!$B$75:$D$100,3,FALSE)*Tabla1[[#This Row],[Tiempo
(Hrs 00/100)]]*1.16</f>
        <v>#N/A</v>
      </c>
    </row>
    <row r="3614" spans="1:26" ht="30" customHeight="1" x14ac:dyDescent="0.3">
      <c r="A3614" s="106"/>
      <c r="B3614" s="106"/>
      <c r="C3614" s="106"/>
      <c r="D3614" s="106"/>
      <c r="E3614" s="106"/>
      <c r="F3614" s="106"/>
      <c r="G3614" s="106"/>
      <c r="H3614" s="107"/>
      <c r="I3614" s="95"/>
      <c r="J3614" s="706"/>
      <c r="K3614" s="769"/>
      <c r="L3614" s="706"/>
      <c r="M3614" s="781"/>
      <c r="N3614" s="182"/>
      <c r="O3614" s="188"/>
      <c r="P3614" s="221"/>
      <c r="Q3614" s="106"/>
      <c r="R3614" s="108"/>
      <c r="S3614" s="108"/>
      <c r="T3614" s="108"/>
      <c r="U3614" s="108" t="str">
        <f>IFERROR(VLOOKUP(CONCATENATE(Tabla1[[#This Row],[Severidad]]," ",Tabla1[[#This Row],[Complejidad]]),Catalogos!E$120:G$128,3,FALSE),"")</f>
        <v/>
      </c>
      <c r="V3614" s="108" t="str">
        <f>IF(Tabla1[[#This Row],[Tiempo solución max (hrs)]]&lt;&gt;"",IF(Tabla1[[#This Row],[Tiempo solución max (hrs)]]&gt;=Tabla1[[#This Row],[Tiempo
(Hrs 00/100)]],"cumple","no cumple"),"")</f>
        <v/>
      </c>
      <c r="W3614" s="17"/>
      <c r="X3614" s="18">
        <f t="shared" si="246"/>
        <v>0</v>
      </c>
      <c r="Y3614" t="str">
        <f>SUBSTITUTE(Tabla1[[#This Row],[Descripción]],CHAR(10),"    I    ")</f>
        <v/>
      </c>
      <c r="Z3614" s="112" t="e">
        <f>VLOOKUP(Tabla1[[#This Row],[Perfil]],Catalogos!$B$75:$D$100,3,FALSE)*Tabla1[[#This Row],[Tiempo
(Hrs 00/100)]]*1.16</f>
        <v>#N/A</v>
      </c>
    </row>
    <row r="3615" spans="1:26" ht="30" customHeight="1" x14ac:dyDescent="0.3">
      <c r="A3615" s="106"/>
      <c r="B3615" s="106"/>
      <c r="C3615" s="106"/>
      <c r="D3615" s="106"/>
      <c r="E3615" s="106"/>
      <c r="F3615" s="106"/>
      <c r="G3615" s="106"/>
      <c r="H3615" s="107"/>
      <c r="I3615" s="95"/>
      <c r="J3615" s="706"/>
      <c r="K3615" s="769"/>
      <c r="L3615" s="706"/>
      <c r="M3615" s="781"/>
      <c r="N3615" s="182"/>
      <c r="O3615" s="188"/>
      <c r="P3615" s="221"/>
      <c r="Q3615" s="106"/>
      <c r="R3615" s="108"/>
      <c r="S3615" s="108"/>
      <c r="T3615" s="108"/>
      <c r="U3615" s="108" t="str">
        <f>IFERROR(VLOOKUP(CONCATENATE(Tabla1[[#This Row],[Severidad]]," ",Tabla1[[#This Row],[Complejidad]]),Catalogos!E$120:G$128,3,FALSE),"")</f>
        <v/>
      </c>
      <c r="V3615" s="108" t="str">
        <f>IF(Tabla1[[#This Row],[Tiempo solución max (hrs)]]&lt;&gt;"",IF(Tabla1[[#This Row],[Tiempo solución max (hrs)]]&gt;=Tabla1[[#This Row],[Tiempo
(Hrs 00/100)]],"cumple","no cumple"),"")</f>
        <v/>
      </c>
      <c r="W3615" s="17"/>
      <c r="X3615" s="18">
        <f t="shared" si="246"/>
        <v>0</v>
      </c>
      <c r="Y3615" t="str">
        <f>SUBSTITUTE(Tabla1[[#This Row],[Descripción]],CHAR(10),"    I    ")</f>
        <v/>
      </c>
      <c r="Z3615" s="112" t="e">
        <f>VLOOKUP(Tabla1[[#This Row],[Perfil]],Catalogos!$B$75:$D$100,3,FALSE)*Tabla1[[#This Row],[Tiempo
(Hrs 00/100)]]*1.16</f>
        <v>#N/A</v>
      </c>
    </row>
    <row r="3616" spans="1:26" ht="30" customHeight="1" x14ac:dyDescent="0.3">
      <c r="A3616" s="106"/>
      <c r="B3616" s="106"/>
      <c r="C3616" s="106"/>
      <c r="D3616" s="106"/>
      <c r="E3616" s="106"/>
      <c r="F3616" s="106"/>
      <c r="G3616" s="106"/>
      <c r="H3616" s="107"/>
      <c r="I3616" s="95"/>
      <c r="J3616" s="706"/>
      <c r="K3616" s="769"/>
      <c r="L3616" s="706"/>
      <c r="M3616" s="781"/>
      <c r="N3616" s="182"/>
      <c r="O3616" s="188"/>
      <c r="P3616" s="221"/>
      <c r="Q3616" s="106"/>
      <c r="R3616" s="108"/>
      <c r="S3616" s="108"/>
      <c r="T3616" s="108"/>
      <c r="U3616" s="108" t="str">
        <f>IFERROR(VLOOKUP(CONCATENATE(Tabla1[[#This Row],[Severidad]]," ",Tabla1[[#This Row],[Complejidad]]),Catalogos!E$120:G$128,3,FALSE),"")</f>
        <v/>
      </c>
      <c r="V3616" s="108" t="str">
        <f>IF(Tabla1[[#This Row],[Tiempo solución max (hrs)]]&lt;&gt;"",IF(Tabla1[[#This Row],[Tiempo solución max (hrs)]]&gt;=Tabla1[[#This Row],[Tiempo
(Hrs 00/100)]],"cumple","no cumple"),"")</f>
        <v/>
      </c>
      <c r="W3616" s="17"/>
      <c r="X3616" s="18">
        <f t="shared" si="246"/>
        <v>0</v>
      </c>
      <c r="Y3616" t="str">
        <f>SUBSTITUTE(Tabla1[[#This Row],[Descripción]],CHAR(10),"    I    ")</f>
        <v/>
      </c>
      <c r="Z3616" s="112" t="e">
        <f>VLOOKUP(Tabla1[[#This Row],[Perfil]],Catalogos!$B$75:$D$100,3,FALSE)*Tabla1[[#This Row],[Tiempo
(Hrs 00/100)]]*1.16</f>
        <v>#N/A</v>
      </c>
    </row>
    <row r="3617" spans="1:26" ht="30" customHeight="1" x14ac:dyDescent="0.3">
      <c r="A3617" s="106"/>
      <c r="B3617" s="106"/>
      <c r="C3617" s="106"/>
      <c r="D3617" s="106"/>
      <c r="E3617" s="106"/>
      <c r="F3617" s="106"/>
      <c r="G3617" s="106"/>
      <c r="H3617" s="107"/>
      <c r="I3617" s="95"/>
      <c r="J3617" s="706"/>
      <c r="K3617" s="769"/>
      <c r="L3617" s="706"/>
      <c r="M3617" s="781"/>
      <c r="N3617" s="182"/>
      <c r="O3617" s="188"/>
      <c r="P3617" s="221"/>
      <c r="Q3617" s="106"/>
      <c r="R3617" s="108"/>
      <c r="S3617" s="108"/>
      <c r="T3617" s="108"/>
      <c r="U3617" s="108" t="str">
        <f>IFERROR(VLOOKUP(CONCATENATE(Tabla1[[#This Row],[Severidad]]," ",Tabla1[[#This Row],[Complejidad]]),Catalogos!E$120:G$128,3,FALSE),"")</f>
        <v/>
      </c>
      <c r="V3617" s="108" t="str">
        <f>IF(Tabla1[[#This Row],[Tiempo solución max (hrs)]]&lt;&gt;"",IF(Tabla1[[#This Row],[Tiempo solución max (hrs)]]&gt;=Tabla1[[#This Row],[Tiempo
(Hrs 00/100)]],"cumple","no cumple"),"")</f>
        <v/>
      </c>
      <c r="W3617" s="17"/>
      <c r="X3617" s="18">
        <f t="shared" si="246"/>
        <v>0</v>
      </c>
      <c r="Y3617" t="str">
        <f>SUBSTITUTE(Tabla1[[#This Row],[Descripción]],CHAR(10),"    I    ")</f>
        <v/>
      </c>
      <c r="Z3617" s="112" t="e">
        <f>VLOOKUP(Tabla1[[#This Row],[Perfil]],Catalogos!$B$75:$D$100,3,FALSE)*Tabla1[[#This Row],[Tiempo
(Hrs 00/100)]]*1.16</f>
        <v>#N/A</v>
      </c>
    </row>
    <row r="3618" spans="1:26" ht="30" customHeight="1" x14ac:dyDescent="0.3">
      <c r="A3618" s="106"/>
      <c r="B3618" s="106"/>
      <c r="C3618" s="106"/>
      <c r="D3618" s="106"/>
      <c r="E3618" s="106"/>
      <c r="F3618" s="106"/>
      <c r="G3618" s="106"/>
      <c r="H3618" s="107"/>
      <c r="I3618" s="95"/>
      <c r="J3618" s="706"/>
      <c r="K3618" s="769"/>
      <c r="L3618" s="706"/>
      <c r="M3618" s="781"/>
      <c r="N3618" s="182"/>
      <c r="O3618" s="188"/>
      <c r="P3618" s="221"/>
      <c r="Q3618" s="106"/>
      <c r="R3618" s="108"/>
      <c r="S3618" s="108"/>
      <c r="T3618" s="108"/>
      <c r="U3618" s="108" t="str">
        <f>IFERROR(VLOOKUP(CONCATENATE(Tabla1[[#This Row],[Severidad]]," ",Tabla1[[#This Row],[Complejidad]]),Catalogos!E$120:G$128,3,FALSE),"")</f>
        <v/>
      </c>
      <c r="V3618" s="108" t="str">
        <f>IF(Tabla1[[#This Row],[Tiempo solución max (hrs)]]&lt;&gt;"",IF(Tabla1[[#This Row],[Tiempo solución max (hrs)]]&gt;=Tabla1[[#This Row],[Tiempo
(Hrs 00/100)]],"cumple","no cumple"),"")</f>
        <v/>
      </c>
      <c r="W3618" s="17"/>
      <c r="X3618" s="18">
        <f t="shared" si="246"/>
        <v>0</v>
      </c>
      <c r="Y3618" t="str">
        <f>SUBSTITUTE(Tabla1[[#This Row],[Descripción]],CHAR(10),"    I    ")</f>
        <v/>
      </c>
      <c r="Z3618" s="112" t="e">
        <f>VLOOKUP(Tabla1[[#This Row],[Perfil]],Catalogos!$B$75:$D$100,3,FALSE)*Tabla1[[#This Row],[Tiempo
(Hrs 00/100)]]*1.16</f>
        <v>#N/A</v>
      </c>
    </row>
    <row r="3619" spans="1:26" ht="30" customHeight="1" x14ac:dyDescent="0.3">
      <c r="A3619" s="106"/>
      <c r="B3619" s="106"/>
      <c r="C3619" s="106"/>
      <c r="D3619" s="106"/>
      <c r="E3619" s="106"/>
      <c r="F3619" s="106"/>
      <c r="G3619" s="106"/>
      <c r="H3619" s="107"/>
      <c r="I3619" s="95"/>
      <c r="J3619" s="706"/>
      <c r="K3619" s="769"/>
      <c r="L3619" s="706"/>
      <c r="M3619" s="781"/>
      <c r="N3619" s="182"/>
      <c r="O3619" s="188"/>
      <c r="P3619" s="221"/>
      <c r="Q3619" s="106"/>
      <c r="R3619" s="108"/>
      <c r="S3619" s="108"/>
      <c r="T3619" s="108"/>
      <c r="U3619" s="108" t="str">
        <f>IFERROR(VLOOKUP(CONCATENATE(Tabla1[[#This Row],[Severidad]]," ",Tabla1[[#This Row],[Complejidad]]),Catalogos!E$120:G$128,3,FALSE),"")</f>
        <v/>
      </c>
      <c r="V3619" s="108" t="str">
        <f>IF(Tabla1[[#This Row],[Tiempo solución max (hrs)]]&lt;&gt;"",IF(Tabla1[[#This Row],[Tiempo solución max (hrs)]]&gt;=Tabla1[[#This Row],[Tiempo
(Hrs 00/100)]],"cumple","no cumple"),"")</f>
        <v/>
      </c>
      <c r="W3619" s="17"/>
      <c r="X3619" s="18">
        <f t="shared" si="246"/>
        <v>0</v>
      </c>
      <c r="Y3619" t="str">
        <f>SUBSTITUTE(Tabla1[[#This Row],[Descripción]],CHAR(10),"    I    ")</f>
        <v/>
      </c>
      <c r="Z3619" s="112" t="e">
        <f>VLOOKUP(Tabla1[[#This Row],[Perfil]],Catalogos!$B$75:$D$100,3,FALSE)*Tabla1[[#This Row],[Tiempo
(Hrs 00/100)]]*1.16</f>
        <v>#N/A</v>
      </c>
    </row>
    <row r="3620" spans="1:26" ht="30" customHeight="1" x14ac:dyDescent="0.3">
      <c r="A3620" s="106"/>
      <c r="B3620" s="106"/>
      <c r="C3620" s="106"/>
      <c r="D3620" s="106"/>
      <c r="E3620" s="106"/>
      <c r="F3620" s="106"/>
      <c r="G3620" s="106"/>
      <c r="H3620" s="107"/>
      <c r="I3620" s="95"/>
      <c r="J3620" s="706"/>
      <c r="K3620" s="769"/>
      <c r="L3620" s="706"/>
      <c r="M3620" s="781"/>
      <c r="N3620" s="182"/>
      <c r="O3620" s="188"/>
      <c r="P3620" s="221"/>
      <c r="Q3620" s="106"/>
      <c r="R3620" s="108"/>
      <c r="S3620" s="108"/>
      <c r="T3620" s="108"/>
      <c r="U3620" s="108" t="str">
        <f>IFERROR(VLOOKUP(CONCATENATE(Tabla1[[#This Row],[Severidad]]," ",Tabla1[[#This Row],[Complejidad]]),Catalogos!E$120:G$128,3,FALSE),"")</f>
        <v/>
      </c>
      <c r="V3620" s="108" t="str">
        <f>IF(Tabla1[[#This Row],[Tiempo solución max (hrs)]]&lt;&gt;"",IF(Tabla1[[#This Row],[Tiempo solución max (hrs)]]&gt;=Tabla1[[#This Row],[Tiempo
(Hrs 00/100)]],"cumple","no cumple"),"")</f>
        <v/>
      </c>
      <c r="W3620" s="17"/>
      <c r="X3620" s="18">
        <f t="shared" si="246"/>
        <v>0</v>
      </c>
      <c r="Y3620" t="str">
        <f>SUBSTITUTE(Tabla1[[#This Row],[Descripción]],CHAR(10),"    I    ")</f>
        <v/>
      </c>
      <c r="Z3620" s="112" t="e">
        <f>VLOOKUP(Tabla1[[#This Row],[Perfil]],Catalogos!$B$75:$D$100,3,FALSE)*Tabla1[[#This Row],[Tiempo
(Hrs 00/100)]]*1.16</f>
        <v>#N/A</v>
      </c>
    </row>
    <row r="3621" spans="1:26" ht="30" customHeight="1" x14ac:dyDescent="0.3">
      <c r="A3621" s="106"/>
      <c r="B3621" s="106"/>
      <c r="C3621" s="106"/>
      <c r="D3621" s="106"/>
      <c r="E3621" s="106"/>
      <c r="F3621" s="106"/>
      <c r="G3621" s="106"/>
      <c r="H3621" s="107"/>
      <c r="I3621" s="95"/>
      <c r="J3621" s="706"/>
      <c r="K3621" s="769"/>
      <c r="L3621" s="706"/>
      <c r="M3621" s="781"/>
      <c r="N3621" s="182"/>
      <c r="O3621" s="188"/>
      <c r="P3621" s="221"/>
      <c r="Q3621" s="106"/>
      <c r="R3621" s="108"/>
      <c r="S3621" s="108"/>
      <c r="T3621" s="108"/>
      <c r="U3621" s="108" t="str">
        <f>IFERROR(VLOOKUP(CONCATENATE(Tabla1[[#This Row],[Severidad]]," ",Tabla1[[#This Row],[Complejidad]]),Catalogos!E$120:G$128,3,FALSE),"")</f>
        <v/>
      </c>
      <c r="V3621" s="108" t="str">
        <f>IF(Tabla1[[#This Row],[Tiempo solución max (hrs)]]&lt;&gt;"",IF(Tabla1[[#This Row],[Tiempo solución max (hrs)]]&gt;=Tabla1[[#This Row],[Tiempo
(Hrs 00/100)]],"cumple","no cumple"),"")</f>
        <v/>
      </c>
      <c r="W3621" s="17"/>
      <c r="X3621" s="18">
        <f t="shared" si="246"/>
        <v>0</v>
      </c>
      <c r="Y3621" t="str">
        <f>SUBSTITUTE(Tabla1[[#This Row],[Descripción]],CHAR(10),"    I    ")</f>
        <v/>
      </c>
      <c r="Z3621" s="112" t="e">
        <f>VLOOKUP(Tabla1[[#This Row],[Perfil]],Catalogos!$B$75:$D$100,3,FALSE)*Tabla1[[#This Row],[Tiempo
(Hrs 00/100)]]*1.16</f>
        <v>#N/A</v>
      </c>
    </row>
    <row r="3622" spans="1:26" ht="30" customHeight="1" x14ac:dyDescent="0.3">
      <c r="A3622" s="106"/>
      <c r="B3622" s="106"/>
      <c r="C3622" s="106"/>
      <c r="D3622" s="106"/>
      <c r="E3622" s="106"/>
      <c r="F3622" s="106"/>
      <c r="G3622" s="106"/>
      <c r="H3622" s="107"/>
      <c r="I3622" s="95"/>
      <c r="J3622" s="706"/>
      <c r="K3622" s="769"/>
      <c r="L3622" s="706"/>
      <c r="M3622" s="781"/>
      <c r="N3622" s="182"/>
      <c r="O3622" s="188"/>
      <c r="P3622" s="221"/>
      <c r="Q3622" s="106"/>
      <c r="R3622" s="108"/>
      <c r="S3622" s="108"/>
      <c r="T3622" s="108"/>
      <c r="U3622" s="108" t="str">
        <f>IFERROR(VLOOKUP(CONCATENATE(Tabla1[[#This Row],[Severidad]]," ",Tabla1[[#This Row],[Complejidad]]),Catalogos!E$120:G$128,3,FALSE),"")</f>
        <v/>
      </c>
      <c r="V3622" s="108" t="str">
        <f>IF(Tabla1[[#This Row],[Tiempo solución max (hrs)]]&lt;&gt;"",IF(Tabla1[[#This Row],[Tiempo solución max (hrs)]]&gt;=Tabla1[[#This Row],[Tiempo
(Hrs 00/100)]],"cumple","no cumple"),"")</f>
        <v/>
      </c>
      <c r="W3622" s="17"/>
      <c r="X3622" s="18">
        <f t="shared" si="246"/>
        <v>0</v>
      </c>
      <c r="Y3622" t="str">
        <f>SUBSTITUTE(Tabla1[[#This Row],[Descripción]],CHAR(10),"    I    ")</f>
        <v/>
      </c>
      <c r="Z3622" s="112" t="e">
        <f>VLOOKUP(Tabla1[[#This Row],[Perfil]],Catalogos!$B$75:$D$100,3,FALSE)*Tabla1[[#This Row],[Tiempo
(Hrs 00/100)]]*1.16</f>
        <v>#N/A</v>
      </c>
    </row>
    <row r="3623" spans="1:26" ht="30" customHeight="1" x14ac:dyDescent="0.3">
      <c r="A3623" s="106"/>
      <c r="B3623" s="106"/>
      <c r="C3623" s="106"/>
      <c r="D3623" s="106"/>
      <c r="E3623" s="106"/>
      <c r="F3623" s="106"/>
      <c r="G3623" s="106"/>
      <c r="H3623" s="107"/>
      <c r="I3623" s="95"/>
      <c r="J3623" s="706"/>
      <c r="K3623" s="769"/>
      <c r="L3623" s="706"/>
      <c r="M3623" s="781"/>
      <c r="N3623" s="182"/>
      <c r="O3623" s="188"/>
      <c r="P3623" s="221"/>
      <c r="Q3623" s="106"/>
      <c r="R3623" s="108"/>
      <c r="S3623" s="108"/>
      <c r="T3623" s="108"/>
      <c r="U3623" s="108" t="str">
        <f>IFERROR(VLOOKUP(CONCATENATE(Tabla1[[#This Row],[Severidad]]," ",Tabla1[[#This Row],[Complejidad]]),Catalogos!E$120:G$128,3,FALSE),"")</f>
        <v/>
      </c>
      <c r="V3623" s="108" t="str">
        <f>IF(Tabla1[[#This Row],[Tiempo solución max (hrs)]]&lt;&gt;"",IF(Tabla1[[#This Row],[Tiempo solución max (hrs)]]&gt;=Tabla1[[#This Row],[Tiempo
(Hrs 00/100)]],"cumple","no cumple"),"")</f>
        <v/>
      </c>
      <c r="W3623" s="17"/>
      <c r="X3623" s="18">
        <f t="shared" si="246"/>
        <v>0</v>
      </c>
      <c r="Y3623" t="str">
        <f>SUBSTITUTE(Tabla1[[#This Row],[Descripción]],CHAR(10),"    I    ")</f>
        <v/>
      </c>
      <c r="Z3623" s="112" t="e">
        <f>VLOOKUP(Tabla1[[#This Row],[Perfil]],Catalogos!$B$75:$D$100,3,FALSE)*Tabla1[[#This Row],[Tiempo
(Hrs 00/100)]]*1.16</f>
        <v>#N/A</v>
      </c>
    </row>
    <row r="3624" spans="1:26" ht="30" customHeight="1" x14ac:dyDescent="0.3">
      <c r="A3624" s="106"/>
      <c r="B3624" s="106"/>
      <c r="C3624" s="106"/>
      <c r="D3624" s="106"/>
      <c r="E3624" s="106"/>
      <c r="F3624" s="106"/>
      <c r="G3624" s="106"/>
      <c r="H3624" s="107"/>
      <c r="I3624" s="95"/>
      <c r="J3624" s="706"/>
      <c r="K3624" s="769"/>
      <c r="L3624" s="706"/>
      <c r="M3624" s="781"/>
      <c r="N3624" s="182"/>
      <c r="O3624" s="188"/>
      <c r="P3624" s="221"/>
      <c r="Q3624" s="106"/>
      <c r="R3624" s="108"/>
      <c r="S3624" s="108"/>
      <c r="T3624" s="108"/>
      <c r="U3624" s="108" t="str">
        <f>IFERROR(VLOOKUP(CONCATENATE(Tabla1[[#This Row],[Severidad]]," ",Tabla1[[#This Row],[Complejidad]]),Catalogos!E$120:G$128,3,FALSE),"")</f>
        <v/>
      </c>
      <c r="V3624" s="108" t="str">
        <f>IF(Tabla1[[#This Row],[Tiempo solución max (hrs)]]&lt;&gt;"",IF(Tabla1[[#This Row],[Tiempo solución max (hrs)]]&gt;=Tabla1[[#This Row],[Tiempo
(Hrs 00/100)]],"cumple","no cumple"),"")</f>
        <v/>
      </c>
      <c r="W3624" s="17"/>
      <c r="X3624" s="18">
        <f t="shared" si="246"/>
        <v>0</v>
      </c>
      <c r="Y3624" t="str">
        <f>SUBSTITUTE(Tabla1[[#This Row],[Descripción]],CHAR(10),"    I    ")</f>
        <v/>
      </c>
      <c r="Z3624" s="112" t="e">
        <f>VLOOKUP(Tabla1[[#This Row],[Perfil]],Catalogos!$B$75:$D$100,3,FALSE)*Tabla1[[#This Row],[Tiempo
(Hrs 00/100)]]*1.16</f>
        <v>#N/A</v>
      </c>
    </row>
    <row r="3625" spans="1:26" ht="30" customHeight="1" x14ac:dyDescent="0.3">
      <c r="A3625" s="106"/>
      <c r="B3625" s="106"/>
      <c r="C3625" s="106"/>
      <c r="D3625" s="106"/>
      <c r="E3625" s="106"/>
      <c r="F3625" s="106"/>
      <c r="G3625" s="106"/>
      <c r="H3625" s="107"/>
      <c r="I3625" s="95"/>
      <c r="J3625" s="706"/>
      <c r="K3625" s="769"/>
      <c r="L3625" s="706"/>
      <c r="M3625" s="781"/>
      <c r="N3625" s="182"/>
      <c r="O3625" s="188"/>
      <c r="P3625" s="221"/>
      <c r="Q3625" s="106"/>
      <c r="R3625" s="108"/>
      <c r="S3625" s="108"/>
      <c r="T3625" s="108"/>
      <c r="U3625" s="108" t="str">
        <f>IFERROR(VLOOKUP(CONCATENATE(Tabla1[[#This Row],[Severidad]]," ",Tabla1[[#This Row],[Complejidad]]),Catalogos!E$120:G$128,3,FALSE),"")</f>
        <v/>
      </c>
      <c r="V3625" s="108" t="str">
        <f>IF(Tabla1[[#This Row],[Tiempo solución max (hrs)]]&lt;&gt;"",IF(Tabla1[[#This Row],[Tiempo solución max (hrs)]]&gt;=Tabla1[[#This Row],[Tiempo
(Hrs 00/100)]],"cumple","no cumple"),"")</f>
        <v/>
      </c>
      <c r="W3625" s="17"/>
      <c r="X3625" s="18">
        <f t="shared" si="246"/>
        <v>0</v>
      </c>
      <c r="Y3625" t="str">
        <f>SUBSTITUTE(Tabla1[[#This Row],[Descripción]],CHAR(10),"    I    ")</f>
        <v/>
      </c>
      <c r="Z3625" s="112" t="e">
        <f>VLOOKUP(Tabla1[[#This Row],[Perfil]],Catalogos!$B$75:$D$100,3,FALSE)*Tabla1[[#This Row],[Tiempo
(Hrs 00/100)]]*1.16</f>
        <v>#N/A</v>
      </c>
    </row>
    <row r="3626" spans="1:26" ht="30" customHeight="1" x14ac:dyDescent="0.3">
      <c r="A3626" s="106"/>
      <c r="B3626" s="106"/>
      <c r="C3626" s="106"/>
      <c r="D3626" s="106"/>
      <c r="E3626" s="106"/>
      <c r="F3626" s="106"/>
      <c r="G3626" s="106"/>
      <c r="H3626" s="107"/>
      <c r="I3626" s="95"/>
      <c r="J3626" s="706"/>
      <c r="K3626" s="769"/>
      <c r="L3626" s="706"/>
      <c r="M3626" s="781"/>
      <c r="N3626" s="182"/>
      <c r="O3626" s="188"/>
      <c r="P3626" s="221"/>
      <c r="Q3626" s="106"/>
      <c r="R3626" s="108"/>
      <c r="S3626" s="108"/>
      <c r="T3626" s="108"/>
      <c r="U3626" s="108" t="str">
        <f>IFERROR(VLOOKUP(CONCATENATE(Tabla1[[#This Row],[Severidad]]," ",Tabla1[[#This Row],[Complejidad]]),Catalogos!E$120:G$128,3,FALSE),"")</f>
        <v/>
      </c>
      <c r="V3626" s="108" t="str">
        <f>IF(Tabla1[[#This Row],[Tiempo solución max (hrs)]]&lt;&gt;"",IF(Tabla1[[#This Row],[Tiempo solución max (hrs)]]&gt;=Tabla1[[#This Row],[Tiempo
(Hrs 00/100)]],"cumple","no cumple"),"")</f>
        <v/>
      </c>
      <c r="W3626" s="17"/>
      <c r="X3626" s="18">
        <f t="shared" si="246"/>
        <v>0</v>
      </c>
      <c r="Y3626" t="str">
        <f>SUBSTITUTE(Tabla1[[#This Row],[Descripción]],CHAR(10),"    I    ")</f>
        <v/>
      </c>
      <c r="Z3626" s="112" t="e">
        <f>VLOOKUP(Tabla1[[#This Row],[Perfil]],Catalogos!$B$75:$D$100,3,FALSE)*Tabla1[[#This Row],[Tiempo
(Hrs 00/100)]]*1.16</f>
        <v>#N/A</v>
      </c>
    </row>
    <row r="3627" spans="1:26" ht="30" customHeight="1" x14ac:dyDescent="0.3">
      <c r="A3627" s="106"/>
      <c r="B3627" s="106"/>
      <c r="C3627" s="106"/>
      <c r="D3627" s="106"/>
      <c r="E3627" s="106"/>
      <c r="F3627" s="106"/>
      <c r="G3627" s="106"/>
      <c r="H3627" s="107"/>
      <c r="I3627" s="95"/>
      <c r="J3627" s="706"/>
      <c r="K3627" s="769"/>
      <c r="L3627" s="706"/>
      <c r="M3627" s="781"/>
      <c r="N3627" s="182"/>
      <c r="O3627" s="188"/>
      <c r="P3627" s="221"/>
      <c r="Q3627" s="106"/>
      <c r="R3627" s="108"/>
      <c r="S3627" s="108"/>
      <c r="T3627" s="108"/>
      <c r="U3627" s="108" t="str">
        <f>IFERROR(VLOOKUP(CONCATENATE(Tabla1[[#This Row],[Severidad]]," ",Tabla1[[#This Row],[Complejidad]]),Catalogos!E$120:G$128,3,FALSE),"")</f>
        <v/>
      </c>
      <c r="V3627" s="108" t="str">
        <f>IF(Tabla1[[#This Row],[Tiempo solución max (hrs)]]&lt;&gt;"",IF(Tabla1[[#This Row],[Tiempo solución max (hrs)]]&gt;=Tabla1[[#This Row],[Tiempo
(Hrs 00/100)]],"cumple","no cumple"),"")</f>
        <v/>
      </c>
      <c r="W3627" s="17"/>
      <c r="X3627" s="18">
        <f t="shared" si="246"/>
        <v>0</v>
      </c>
      <c r="Y3627" t="str">
        <f>SUBSTITUTE(Tabla1[[#This Row],[Descripción]],CHAR(10),"    I    ")</f>
        <v/>
      </c>
      <c r="Z3627" s="112" t="e">
        <f>VLOOKUP(Tabla1[[#This Row],[Perfil]],Catalogos!$B$75:$D$100,3,FALSE)*Tabla1[[#This Row],[Tiempo
(Hrs 00/100)]]*1.16</f>
        <v>#N/A</v>
      </c>
    </row>
    <row r="3628" spans="1:26" ht="30" customHeight="1" x14ac:dyDescent="0.3">
      <c r="A3628" s="106"/>
      <c r="B3628" s="106"/>
      <c r="C3628" s="106"/>
      <c r="D3628" s="106"/>
      <c r="E3628" s="106"/>
      <c r="F3628" s="106"/>
      <c r="G3628" s="106"/>
      <c r="H3628" s="107"/>
      <c r="I3628" s="95"/>
      <c r="J3628" s="706"/>
      <c r="K3628" s="769"/>
      <c r="L3628" s="706"/>
      <c r="M3628" s="781"/>
      <c r="N3628" s="182"/>
      <c r="O3628" s="188"/>
      <c r="P3628" s="221"/>
      <c r="Q3628" s="106"/>
      <c r="R3628" s="108"/>
      <c r="S3628" s="108"/>
      <c r="T3628" s="108"/>
      <c r="U3628" s="108" t="str">
        <f>IFERROR(VLOOKUP(CONCATENATE(Tabla1[[#This Row],[Severidad]]," ",Tabla1[[#This Row],[Complejidad]]),Catalogos!E$120:G$128,3,FALSE),"")</f>
        <v/>
      </c>
      <c r="V3628" s="108" t="str">
        <f>IF(Tabla1[[#This Row],[Tiempo solución max (hrs)]]&lt;&gt;"",IF(Tabla1[[#This Row],[Tiempo solución max (hrs)]]&gt;=Tabla1[[#This Row],[Tiempo
(Hrs 00/100)]],"cumple","no cumple"),"")</f>
        <v/>
      </c>
      <c r="W3628" s="17"/>
      <c r="X3628" s="18">
        <f t="shared" si="246"/>
        <v>0</v>
      </c>
      <c r="Y3628" t="str">
        <f>SUBSTITUTE(Tabla1[[#This Row],[Descripción]],CHAR(10),"    I    ")</f>
        <v/>
      </c>
      <c r="Z3628" s="112" t="e">
        <f>VLOOKUP(Tabla1[[#This Row],[Perfil]],Catalogos!$B$75:$D$100,3,FALSE)*Tabla1[[#This Row],[Tiempo
(Hrs 00/100)]]*1.16</f>
        <v>#N/A</v>
      </c>
    </row>
    <row r="3629" spans="1:26" ht="30" customHeight="1" x14ac:dyDescent="0.3">
      <c r="A3629" s="106"/>
      <c r="B3629" s="106"/>
      <c r="C3629" s="106"/>
      <c r="D3629" s="106"/>
      <c r="E3629" s="106"/>
      <c r="F3629" s="106"/>
      <c r="G3629" s="106"/>
      <c r="H3629" s="107"/>
      <c r="I3629" s="95"/>
      <c r="J3629" s="706"/>
      <c r="K3629" s="769"/>
      <c r="L3629" s="706"/>
      <c r="M3629" s="781"/>
      <c r="N3629" s="182"/>
      <c r="O3629" s="188"/>
      <c r="P3629" s="221"/>
      <c r="Q3629" s="106"/>
      <c r="R3629" s="108"/>
      <c r="S3629" s="108"/>
      <c r="T3629" s="108"/>
      <c r="U3629" s="108" t="str">
        <f>IFERROR(VLOOKUP(CONCATENATE(Tabla1[[#This Row],[Severidad]]," ",Tabla1[[#This Row],[Complejidad]]),Catalogos!E$120:G$128,3,FALSE),"")</f>
        <v/>
      </c>
      <c r="V3629" s="108" t="str">
        <f>IF(Tabla1[[#This Row],[Tiempo solución max (hrs)]]&lt;&gt;"",IF(Tabla1[[#This Row],[Tiempo solución max (hrs)]]&gt;=Tabla1[[#This Row],[Tiempo
(Hrs 00/100)]],"cumple","no cumple"),"")</f>
        <v/>
      </c>
      <c r="W3629" s="17"/>
      <c r="X3629" s="18">
        <f t="shared" si="246"/>
        <v>0</v>
      </c>
      <c r="Y3629" t="str">
        <f>SUBSTITUTE(Tabla1[[#This Row],[Descripción]],CHAR(10),"    I    ")</f>
        <v/>
      </c>
      <c r="Z3629" s="112" t="e">
        <f>VLOOKUP(Tabla1[[#This Row],[Perfil]],Catalogos!$B$75:$D$100,3,FALSE)*Tabla1[[#This Row],[Tiempo
(Hrs 00/100)]]*1.16</f>
        <v>#N/A</v>
      </c>
    </row>
    <row r="3630" spans="1:26" ht="30" customHeight="1" x14ac:dyDescent="0.3">
      <c r="A3630" s="106"/>
      <c r="B3630" s="106"/>
      <c r="C3630" s="106"/>
      <c r="D3630" s="106"/>
      <c r="E3630" s="106"/>
      <c r="F3630" s="106"/>
      <c r="G3630" s="106"/>
      <c r="H3630" s="107"/>
      <c r="I3630" s="95"/>
      <c r="J3630" s="706"/>
      <c r="K3630" s="769"/>
      <c r="L3630" s="706"/>
      <c r="M3630" s="781"/>
      <c r="N3630" s="182"/>
      <c r="O3630" s="188"/>
      <c r="P3630" s="221"/>
      <c r="Q3630" s="106"/>
      <c r="R3630" s="108"/>
      <c r="S3630" s="108"/>
      <c r="T3630" s="108"/>
      <c r="U3630" s="108" t="str">
        <f>IFERROR(VLOOKUP(CONCATENATE(Tabla1[[#This Row],[Severidad]]," ",Tabla1[[#This Row],[Complejidad]]),Catalogos!E$120:G$128,3,FALSE),"")</f>
        <v/>
      </c>
      <c r="V3630" s="108" t="str">
        <f>IF(Tabla1[[#This Row],[Tiempo solución max (hrs)]]&lt;&gt;"",IF(Tabla1[[#This Row],[Tiempo solución max (hrs)]]&gt;=Tabla1[[#This Row],[Tiempo
(Hrs 00/100)]],"cumple","no cumple"),"")</f>
        <v/>
      </c>
      <c r="W3630" s="17"/>
      <c r="X3630" s="18">
        <f t="shared" si="246"/>
        <v>0</v>
      </c>
      <c r="Y3630" t="str">
        <f>SUBSTITUTE(Tabla1[[#This Row],[Descripción]],CHAR(10),"    I    ")</f>
        <v/>
      </c>
      <c r="Z3630" s="112" t="e">
        <f>VLOOKUP(Tabla1[[#This Row],[Perfil]],Catalogos!$B$75:$D$100,3,FALSE)*Tabla1[[#This Row],[Tiempo
(Hrs 00/100)]]*1.16</f>
        <v>#N/A</v>
      </c>
    </row>
    <row r="3631" spans="1:26" ht="30" customHeight="1" x14ac:dyDescent="0.3">
      <c r="A3631" s="106"/>
      <c r="B3631" s="106"/>
      <c r="C3631" s="106"/>
      <c r="D3631" s="106"/>
      <c r="E3631" s="106"/>
      <c r="F3631" s="106"/>
      <c r="G3631" s="106"/>
      <c r="H3631" s="107"/>
      <c r="I3631" s="95"/>
      <c r="J3631" s="706"/>
      <c r="K3631" s="769"/>
      <c r="L3631" s="706"/>
      <c r="M3631" s="781"/>
      <c r="N3631" s="182"/>
      <c r="O3631" s="188"/>
      <c r="P3631" s="221"/>
      <c r="Q3631" s="106"/>
      <c r="R3631" s="108"/>
      <c r="S3631" s="108"/>
      <c r="T3631" s="108"/>
      <c r="U3631" s="108" t="str">
        <f>IFERROR(VLOOKUP(CONCATENATE(Tabla1[[#This Row],[Severidad]]," ",Tabla1[[#This Row],[Complejidad]]),Catalogos!E$120:G$128,3,FALSE),"")</f>
        <v/>
      </c>
      <c r="V3631" s="108" t="str">
        <f>IF(Tabla1[[#This Row],[Tiempo solución max (hrs)]]&lt;&gt;"",IF(Tabla1[[#This Row],[Tiempo solución max (hrs)]]&gt;=Tabla1[[#This Row],[Tiempo
(Hrs 00/100)]],"cumple","no cumple"),"")</f>
        <v/>
      </c>
      <c r="W3631" s="17"/>
      <c r="X3631" s="18">
        <f t="shared" si="246"/>
        <v>0</v>
      </c>
      <c r="Y3631" t="str">
        <f>SUBSTITUTE(Tabla1[[#This Row],[Descripción]],CHAR(10),"    I    ")</f>
        <v/>
      </c>
      <c r="Z3631" s="112" t="e">
        <f>VLOOKUP(Tabla1[[#This Row],[Perfil]],Catalogos!$B$75:$D$100,3,FALSE)*Tabla1[[#This Row],[Tiempo
(Hrs 00/100)]]*1.16</f>
        <v>#N/A</v>
      </c>
    </row>
    <row r="3632" spans="1:26" ht="30" customHeight="1" x14ac:dyDescent="0.3">
      <c r="A3632" s="106"/>
      <c r="B3632" s="106"/>
      <c r="C3632" s="106"/>
      <c r="D3632" s="106"/>
      <c r="E3632" s="106"/>
      <c r="F3632" s="106"/>
      <c r="G3632" s="106"/>
      <c r="H3632" s="107"/>
      <c r="I3632" s="95"/>
      <c r="J3632" s="706"/>
      <c r="K3632" s="769"/>
      <c r="L3632" s="706"/>
      <c r="M3632" s="781"/>
      <c r="N3632" s="182"/>
      <c r="O3632" s="188"/>
      <c r="P3632" s="221"/>
      <c r="Q3632" s="106"/>
      <c r="R3632" s="108"/>
      <c r="S3632" s="108"/>
      <c r="T3632" s="108"/>
      <c r="U3632" s="108" t="str">
        <f>IFERROR(VLOOKUP(CONCATENATE(Tabla1[[#This Row],[Severidad]]," ",Tabla1[[#This Row],[Complejidad]]),Catalogos!E$120:G$128,3,FALSE),"")</f>
        <v/>
      </c>
      <c r="V3632" s="108" t="str">
        <f>IF(Tabla1[[#This Row],[Tiempo solución max (hrs)]]&lt;&gt;"",IF(Tabla1[[#This Row],[Tiempo solución max (hrs)]]&gt;=Tabla1[[#This Row],[Tiempo
(Hrs 00/100)]],"cumple","no cumple"),"")</f>
        <v/>
      </c>
      <c r="W3632" s="17"/>
      <c r="X3632" s="18">
        <f t="shared" si="246"/>
        <v>0</v>
      </c>
      <c r="Y3632" t="str">
        <f>SUBSTITUTE(Tabla1[[#This Row],[Descripción]],CHAR(10),"    I    ")</f>
        <v/>
      </c>
      <c r="Z3632" s="112" t="e">
        <f>VLOOKUP(Tabla1[[#This Row],[Perfil]],Catalogos!$B$75:$D$100,3,FALSE)*Tabla1[[#This Row],[Tiempo
(Hrs 00/100)]]*1.16</f>
        <v>#N/A</v>
      </c>
    </row>
    <row r="3633" spans="1:26" ht="30" customHeight="1" x14ac:dyDescent="0.3">
      <c r="A3633" s="106"/>
      <c r="B3633" s="106"/>
      <c r="C3633" s="106"/>
      <c r="D3633" s="106"/>
      <c r="E3633" s="106"/>
      <c r="F3633" s="106"/>
      <c r="G3633" s="106"/>
      <c r="H3633" s="107"/>
      <c r="I3633" s="95"/>
      <c r="J3633" s="706"/>
      <c r="K3633" s="769"/>
      <c r="L3633" s="706"/>
      <c r="M3633" s="781"/>
      <c r="N3633" s="182"/>
      <c r="O3633" s="188"/>
      <c r="P3633" s="221"/>
      <c r="Q3633" s="106"/>
      <c r="R3633" s="108"/>
      <c r="S3633" s="108"/>
      <c r="T3633" s="108"/>
      <c r="U3633" s="108" t="str">
        <f>IFERROR(VLOOKUP(CONCATENATE(Tabla1[[#This Row],[Severidad]]," ",Tabla1[[#This Row],[Complejidad]]),Catalogos!E$120:G$128,3,FALSE),"")</f>
        <v/>
      </c>
      <c r="V3633" s="108" t="str">
        <f>IF(Tabla1[[#This Row],[Tiempo solución max (hrs)]]&lt;&gt;"",IF(Tabla1[[#This Row],[Tiempo solución max (hrs)]]&gt;=Tabla1[[#This Row],[Tiempo
(Hrs 00/100)]],"cumple","no cumple"),"")</f>
        <v/>
      </c>
      <c r="W3633" s="17"/>
      <c r="X3633" s="18">
        <f t="shared" si="246"/>
        <v>0</v>
      </c>
      <c r="Y3633" t="str">
        <f>SUBSTITUTE(Tabla1[[#This Row],[Descripción]],CHAR(10),"    I    ")</f>
        <v/>
      </c>
      <c r="Z3633" s="112" t="e">
        <f>VLOOKUP(Tabla1[[#This Row],[Perfil]],Catalogos!$B$75:$D$100,3,FALSE)*Tabla1[[#This Row],[Tiempo
(Hrs 00/100)]]*1.16</f>
        <v>#N/A</v>
      </c>
    </row>
    <row r="3634" spans="1:26" ht="30" customHeight="1" x14ac:dyDescent="0.3">
      <c r="A3634" s="106"/>
      <c r="B3634" s="106"/>
      <c r="C3634" s="106"/>
      <c r="D3634" s="106"/>
      <c r="E3634" s="106"/>
      <c r="F3634" s="106"/>
      <c r="G3634" s="106"/>
      <c r="H3634" s="107"/>
      <c r="I3634" s="95"/>
      <c r="J3634" s="706"/>
      <c r="K3634" s="769"/>
      <c r="L3634" s="706"/>
      <c r="M3634" s="781"/>
      <c r="N3634" s="182"/>
      <c r="O3634" s="188"/>
      <c r="P3634" s="221"/>
      <c r="Q3634" s="106"/>
      <c r="R3634" s="108"/>
      <c r="S3634" s="108"/>
      <c r="T3634" s="108"/>
      <c r="U3634" s="108" t="str">
        <f>IFERROR(VLOOKUP(CONCATENATE(Tabla1[[#This Row],[Severidad]]," ",Tabla1[[#This Row],[Complejidad]]),Catalogos!E$120:G$128,3,FALSE),"")</f>
        <v/>
      </c>
      <c r="V3634" s="108" t="str">
        <f>IF(Tabla1[[#This Row],[Tiempo solución max (hrs)]]&lt;&gt;"",IF(Tabla1[[#This Row],[Tiempo solución max (hrs)]]&gt;=Tabla1[[#This Row],[Tiempo
(Hrs 00/100)]],"cumple","no cumple"),"")</f>
        <v/>
      </c>
      <c r="W3634" s="17"/>
      <c r="X3634" s="18">
        <f t="shared" si="246"/>
        <v>0</v>
      </c>
      <c r="Y3634" t="str">
        <f>SUBSTITUTE(Tabla1[[#This Row],[Descripción]],CHAR(10),"    I    ")</f>
        <v/>
      </c>
      <c r="Z3634" s="112" t="e">
        <f>VLOOKUP(Tabla1[[#This Row],[Perfil]],Catalogos!$B$75:$D$100,3,FALSE)*Tabla1[[#This Row],[Tiempo
(Hrs 00/100)]]*1.16</f>
        <v>#N/A</v>
      </c>
    </row>
    <row r="3635" spans="1:26" ht="30" customHeight="1" x14ac:dyDescent="0.3">
      <c r="A3635" s="106"/>
      <c r="B3635" s="106"/>
      <c r="C3635" s="106"/>
      <c r="D3635" s="106"/>
      <c r="E3635" s="106"/>
      <c r="F3635" s="106"/>
      <c r="G3635" s="106"/>
      <c r="H3635" s="107"/>
      <c r="I3635" s="95"/>
      <c r="J3635" s="706"/>
      <c r="K3635" s="769"/>
      <c r="L3635" s="706"/>
      <c r="M3635" s="781"/>
      <c r="N3635" s="182"/>
      <c r="O3635" s="188"/>
      <c r="P3635" s="221"/>
      <c r="Q3635" s="106"/>
      <c r="R3635" s="108"/>
      <c r="S3635" s="108"/>
      <c r="T3635" s="108"/>
      <c r="U3635" s="108" t="str">
        <f>IFERROR(VLOOKUP(CONCATENATE(Tabla1[[#This Row],[Severidad]]," ",Tabla1[[#This Row],[Complejidad]]),Catalogos!E$120:G$128,3,FALSE),"")</f>
        <v/>
      </c>
      <c r="V3635" s="108" t="str">
        <f>IF(Tabla1[[#This Row],[Tiempo solución max (hrs)]]&lt;&gt;"",IF(Tabla1[[#This Row],[Tiempo solución max (hrs)]]&gt;=Tabla1[[#This Row],[Tiempo
(Hrs 00/100)]],"cumple","no cumple"),"")</f>
        <v/>
      </c>
      <c r="W3635" s="17"/>
      <c r="X3635" s="18">
        <f t="shared" si="246"/>
        <v>0</v>
      </c>
      <c r="Y3635" t="str">
        <f>SUBSTITUTE(Tabla1[[#This Row],[Descripción]],CHAR(10),"    I    ")</f>
        <v/>
      </c>
      <c r="Z3635" s="112" t="e">
        <f>VLOOKUP(Tabla1[[#This Row],[Perfil]],Catalogos!$B$75:$D$100,3,FALSE)*Tabla1[[#This Row],[Tiempo
(Hrs 00/100)]]*1.16</f>
        <v>#N/A</v>
      </c>
    </row>
    <row r="3636" spans="1:26" ht="30" customHeight="1" x14ac:dyDescent="0.3">
      <c r="A3636" s="106"/>
      <c r="B3636" s="106"/>
      <c r="C3636" s="106"/>
      <c r="D3636" s="106"/>
      <c r="E3636" s="106"/>
      <c r="F3636" s="106"/>
      <c r="G3636" s="106"/>
      <c r="H3636" s="107"/>
      <c r="I3636" s="95"/>
      <c r="J3636" s="706"/>
      <c r="K3636" s="769"/>
      <c r="L3636" s="706"/>
      <c r="M3636" s="781"/>
      <c r="N3636" s="182"/>
      <c r="O3636" s="188"/>
      <c r="P3636" s="221"/>
      <c r="Q3636" s="106"/>
      <c r="R3636" s="108"/>
      <c r="S3636" s="108"/>
      <c r="T3636" s="108"/>
      <c r="U3636" s="108" t="str">
        <f>IFERROR(VLOOKUP(CONCATENATE(Tabla1[[#This Row],[Severidad]]," ",Tabla1[[#This Row],[Complejidad]]),Catalogos!E$120:G$128,3,FALSE),"")</f>
        <v/>
      </c>
      <c r="V3636" s="108" t="str">
        <f>IF(Tabla1[[#This Row],[Tiempo solución max (hrs)]]&lt;&gt;"",IF(Tabla1[[#This Row],[Tiempo solución max (hrs)]]&gt;=Tabla1[[#This Row],[Tiempo
(Hrs 00/100)]],"cumple","no cumple"),"")</f>
        <v/>
      </c>
      <c r="W3636" s="17"/>
      <c r="X3636" s="18">
        <f t="shared" si="246"/>
        <v>0</v>
      </c>
      <c r="Y3636" t="str">
        <f>SUBSTITUTE(Tabla1[[#This Row],[Descripción]],CHAR(10),"    I    ")</f>
        <v/>
      </c>
      <c r="Z3636" s="112" t="e">
        <f>VLOOKUP(Tabla1[[#This Row],[Perfil]],Catalogos!$B$75:$D$100,3,FALSE)*Tabla1[[#This Row],[Tiempo
(Hrs 00/100)]]*1.16</f>
        <v>#N/A</v>
      </c>
    </row>
    <row r="3637" spans="1:26" ht="30" customHeight="1" x14ac:dyDescent="0.3">
      <c r="A3637" s="106"/>
      <c r="B3637" s="106"/>
      <c r="C3637" s="106"/>
      <c r="D3637" s="106"/>
      <c r="E3637" s="106"/>
      <c r="F3637" s="106"/>
      <c r="G3637" s="106"/>
      <c r="H3637" s="107"/>
      <c r="I3637" s="95"/>
      <c r="J3637" s="706"/>
      <c r="K3637" s="769"/>
      <c r="L3637" s="706"/>
      <c r="M3637" s="781"/>
      <c r="N3637" s="182"/>
      <c r="O3637" s="188"/>
      <c r="P3637" s="221"/>
      <c r="Q3637" s="106"/>
      <c r="R3637" s="108"/>
      <c r="S3637" s="108"/>
      <c r="T3637" s="108"/>
      <c r="U3637" s="108" t="str">
        <f>IFERROR(VLOOKUP(CONCATENATE(Tabla1[[#This Row],[Severidad]]," ",Tabla1[[#This Row],[Complejidad]]),Catalogos!E$120:G$128,3,FALSE),"")</f>
        <v/>
      </c>
      <c r="V3637" s="108" t="str">
        <f>IF(Tabla1[[#This Row],[Tiempo solución max (hrs)]]&lt;&gt;"",IF(Tabla1[[#This Row],[Tiempo solución max (hrs)]]&gt;=Tabla1[[#This Row],[Tiempo
(Hrs 00/100)]],"cumple","no cumple"),"")</f>
        <v/>
      </c>
      <c r="W3637" s="17"/>
      <c r="X3637" s="18">
        <f t="shared" si="246"/>
        <v>0</v>
      </c>
      <c r="Y3637" t="str">
        <f>SUBSTITUTE(Tabla1[[#This Row],[Descripción]],CHAR(10),"    I    ")</f>
        <v/>
      </c>
      <c r="Z3637" s="112" t="e">
        <f>VLOOKUP(Tabla1[[#This Row],[Perfil]],Catalogos!$B$75:$D$100,3,FALSE)*Tabla1[[#This Row],[Tiempo
(Hrs 00/100)]]*1.16</f>
        <v>#N/A</v>
      </c>
    </row>
    <row r="3638" spans="1:26" ht="30" customHeight="1" x14ac:dyDescent="0.3">
      <c r="A3638" s="106"/>
      <c r="B3638" s="106"/>
      <c r="C3638" s="106"/>
      <c r="D3638" s="106"/>
      <c r="E3638" s="106"/>
      <c r="F3638" s="106"/>
      <c r="G3638" s="106"/>
      <c r="H3638" s="107"/>
      <c r="I3638" s="95"/>
      <c r="J3638" s="706"/>
      <c r="K3638" s="769"/>
      <c r="L3638" s="706"/>
      <c r="M3638" s="781"/>
      <c r="N3638" s="182"/>
      <c r="O3638" s="188"/>
      <c r="P3638" s="221"/>
      <c r="Q3638" s="106"/>
      <c r="R3638" s="108"/>
      <c r="S3638" s="108"/>
      <c r="T3638" s="108"/>
      <c r="U3638" s="108" t="str">
        <f>IFERROR(VLOOKUP(CONCATENATE(Tabla1[[#This Row],[Severidad]]," ",Tabla1[[#This Row],[Complejidad]]),Catalogos!E$120:G$128,3,FALSE),"")</f>
        <v/>
      </c>
      <c r="V3638" s="108" t="str">
        <f>IF(Tabla1[[#This Row],[Tiempo solución max (hrs)]]&lt;&gt;"",IF(Tabla1[[#This Row],[Tiempo solución max (hrs)]]&gt;=Tabla1[[#This Row],[Tiempo
(Hrs 00/100)]],"cumple","no cumple"),"")</f>
        <v/>
      </c>
      <c r="W3638" s="17"/>
      <c r="X3638" s="18">
        <f t="shared" si="246"/>
        <v>0</v>
      </c>
      <c r="Y3638" t="str">
        <f>SUBSTITUTE(Tabla1[[#This Row],[Descripción]],CHAR(10),"    I    ")</f>
        <v/>
      </c>
      <c r="Z3638" s="112" t="e">
        <f>VLOOKUP(Tabla1[[#This Row],[Perfil]],Catalogos!$B$75:$D$100,3,FALSE)*Tabla1[[#This Row],[Tiempo
(Hrs 00/100)]]*1.16</f>
        <v>#N/A</v>
      </c>
    </row>
    <row r="3639" spans="1:26" ht="30" customHeight="1" x14ac:dyDescent="0.3">
      <c r="A3639" s="106"/>
      <c r="B3639" s="106"/>
      <c r="C3639" s="106"/>
      <c r="D3639" s="106"/>
      <c r="E3639" s="106"/>
      <c r="F3639" s="106"/>
      <c r="G3639" s="106"/>
      <c r="H3639" s="107"/>
      <c r="I3639" s="95"/>
      <c r="J3639" s="706"/>
      <c r="K3639" s="769"/>
      <c r="L3639" s="706"/>
      <c r="M3639" s="781"/>
      <c r="N3639" s="182"/>
      <c r="O3639" s="188"/>
      <c r="P3639" s="221"/>
      <c r="Q3639" s="106"/>
      <c r="R3639" s="108"/>
      <c r="S3639" s="108"/>
      <c r="T3639" s="108"/>
      <c r="U3639" s="108" t="str">
        <f>IFERROR(VLOOKUP(CONCATENATE(Tabla1[[#This Row],[Severidad]]," ",Tabla1[[#This Row],[Complejidad]]),Catalogos!E$120:G$128,3,FALSE),"")</f>
        <v/>
      </c>
      <c r="V3639" s="108" t="str">
        <f>IF(Tabla1[[#This Row],[Tiempo solución max (hrs)]]&lt;&gt;"",IF(Tabla1[[#This Row],[Tiempo solución max (hrs)]]&gt;=Tabla1[[#This Row],[Tiempo
(Hrs 00/100)]],"cumple","no cumple"),"")</f>
        <v/>
      </c>
      <c r="W3639" s="17"/>
      <c r="X3639" s="18">
        <f t="shared" si="246"/>
        <v>0</v>
      </c>
      <c r="Y3639" t="str">
        <f>SUBSTITUTE(Tabla1[[#This Row],[Descripción]],CHAR(10),"    I    ")</f>
        <v/>
      </c>
      <c r="Z3639" s="112" t="e">
        <f>VLOOKUP(Tabla1[[#This Row],[Perfil]],Catalogos!$B$75:$D$100,3,FALSE)*Tabla1[[#This Row],[Tiempo
(Hrs 00/100)]]*1.16</f>
        <v>#N/A</v>
      </c>
    </row>
    <row r="3640" spans="1:26" ht="30" customHeight="1" x14ac:dyDescent="0.3">
      <c r="A3640" s="106"/>
      <c r="B3640" s="106"/>
      <c r="C3640" s="106"/>
      <c r="D3640" s="106"/>
      <c r="E3640" s="106"/>
      <c r="F3640" s="106"/>
      <c r="G3640" s="106"/>
      <c r="H3640" s="107"/>
      <c r="I3640" s="95"/>
      <c r="J3640" s="706"/>
      <c r="K3640" s="769"/>
      <c r="L3640" s="706"/>
      <c r="M3640" s="781"/>
      <c r="N3640" s="182"/>
      <c r="O3640" s="188"/>
      <c r="P3640" s="221"/>
      <c r="Q3640" s="106"/>
      <c r="R3640" s="108"/>
      <c r="S3640" s="108"/>
      <c r="T3640" s="108"/>
      <c r="U3640" s="108" t="str">
        <f>IFERROR(VLOOKUP(CONCATENATE(Tabla1[[#This Row],[Severidad]]," ",Tabla1[[#This Row],[Complejidad]]),Catalogos!E$120:G$128,3,FALSE),"")</f>
        <v/>
      </c>
      <c r="V3640" s="108" t="str">
        <f>IF(Tabla1[[#This Row],[Tiempo solución max (hrs)]]&lt;&gt;"",IF(Tabla1[[#This Row],[Tiempo solución max (hrs)]]&gt;=Tabla1[[#This Row],[Tiempo
(Hrs 00/100)]],"cumple","no cumple"),"")</f>
        <v/>
      </c>
      <c r="W3640" s="17"/>
      <c r="X3640" s="18">
        <f t="shared" si="246"/>
        <v>0</v>
      </c>
      <c r="Y3640" t="str">
        <f>SUBSTITUTE(Tabla1[[#This Row],[Descripción]],CHAR(10),"    I    ")</f>
        <v/>
      </c>
      <c r="Z3640" s="112" t="e">
        <f>VLOOKUP(Tabla1[[#This Row],[Perfil]],Catalogos!$B$75:$D$100,3,FALSE)*Tabla1[[#This Row],[Tiempo
(Hrs 00/100)]]*1.16</f>
        <v>#N/A</v>
      </c>
    </row>
    <row r="3641" spans="1:26" ht="30" customHeight="1" x14ac:dyDescent="0.3">
      <c r="A3641" s="106"/>
      <c r="B3641" s="106"/>
      <c r="C3641" s="106"/>
      <c r="D3641" s="106"/>
      <c r="E3641" s="106"/>
      <c r="F3641" s="106"/>
      <c r="G3641" s="106"/>
      <c r="H3641" s="107"/>
      <c r="I3641" s="95"/>
      <c r="J3641" s="706"/>
      <c r="K3641" s="769"/>
      <c r="L3641" s="706"/>
      <c r="M3641" s="781"/>
      <c r="N3641" s="182"/>
      <c r="O3641" s="188"/>
      <c r="P3641" s="221"/>
      <c r="Q3641" s="106"/>
      <c r="R3641" s="108"/>
      <c r="S3641" s="108"/>
      <c r="T3641" s="108"/>
      <c r="U3641" s="108" t="str">
        <f>IFERROR(VLOOKUP(CONCATENATE(Tabla1[[#This Row],[Severidad]]," ",Tabla1[[#This Row],[Complejidad]]),Catalogos!E$120:G$128,3,FALSE),"")</f>
        <v/>
      </c>
      <c r="V3641" s="108" t="str">
        <f>IF(Tabla1[[#This Row],[Tiempo solución max (hrs)]]&lt;&gt;"",IF(Tabla1[[#This Row],[Tiempo solución max (hrs)]]&gt;=Tabla1[[#This Row],[Tiempo
(Hrs 00/100)]],"cumple","no cumple"),"")</f>
        <v/>
      </c>
      <c r="W3641" s="17"/>
      <c r="X3641" s="18">
        <f t="shared" si="246"/>
        <v>0</v>
      </c>
      <c r="Y3641" t="str">
        <f>SUBSTITUTE(Tabla1[[#This Row],[Descripción]],CHAR(10),"    I    ")</f>
        <v/>
      </c>
      <c r="Z3641" s="112" t="e">
        <f>VLOOKUP(Tabla1[[#This Row],[Perfil]],Catalogos!$B$75:$D$100,3,FALSE)*Tabla1[[#This Row],[Tiempo
(Hrs 00/100)]]*1.16</f>
        <v>#N/A</v>
      </c>
    </row>
    <row r="3642" spans="1:26" ht="30" customHeight="1" x14ac:dyDescent="0.3">
      <c r="A3642" s="106"/>
      <c r="B3642" s="106"/>
      <c r="C3642" s="106"/>
      <c r="D3642" s="106"/>
      <c r="E3642" s="106"/>
      <c r="F3642" s="106"/>
      <c r="G3642" s="106"/>
      <c r="H3642" s="107"/>
      <c r="I3642" s="95"/>
      <c r="J3642" s="706"/>
      <c r="K3642" s="769"/>
      <c r="L3642" s="706"/>
      <c r="M3642" s="781"/>
      <c r="N3642" s="182"/>
      <c r="O3642" s="188"/>
      <c r="P3642" s="221"/>
      <c r="Q3642" s="106"/>
      <c r="R3642" s="108"/>
      <c r="S3642" s="108"/>
      <c r="T3642" s="108"/>
      <c r="U3642" s="108" t="str">
        <f>IFERROR(VLOOKUP(CONCATENATE(Tabla1[[#This Row],[Severidad]]," ",Tabla1[[#This Row],[Complejidad]]),Catalogos!E$120:G$128,3,FALSE),"")</f>
        <v/>
      </c>
      <c r="V3642" s="108" t="str">
        <f>IF(Tabla1[[#This Row],[Tiempo solución max (hrs)]]&lt;&gt;"",IF(Tabla1[[#This Row],[Tiempo solución max (hrs)]]&gt;=Tabla1[[#This Row],[Tiempo
(Hrs 00/100)]],"cumple","no cumple"),"")</f>
        <v/>
      </c>
      <c r="W3642" s="17"/>
      <c r="X3642" s="18">
        <f t="shared" si="246"/>
        <v>0</v>
      </c>
      <c r="Y3642" t="str">
        <f>SUBSTITUTE(Tabla1[[#This Row],[Descripción]],CHAR(10),"    I    ")</f>
        <v/>
      </c>
      <c r="Z3642" s="112" t="e">
        <f>VLOOKUP(Tabla1[[#This Row],[Perfil]],Catalogos!$B$75:$D$100,3,FALSE)*Tabla1[[#This Row],[Tiempo
(Hrs 00/100)]]*1.16</f>
        <v>#N/A</v>
      </c>
    </row>
    <row r="3643" spans="1:26" ht="30" customHeight="1" x14ac:dyDescent="0.3">
      <c r="A3643" s="106"/>
      <c r="B3643" s="106"/>
      <c r="C3643" s="106"/>
      <c r="D3643" s="106"/>
      <c r="E3643" s="106"/>
      <c r="F3643" s="106"/>
      <c r="G3643" s="106"/>
      <c r="H3643" s="107"/>
      <c r="I3643" s="95"/>
      <c r="J3643" s="706"/>
      <c r="K3643" s="769"/>
      <c r="L3643" s="706"/>
      <c r="M3643" s="781"/>
      <c r="N3643" s="182"/>
      <c r="O3643" s="188"/>
      <c r="P3643" s="221"/>
      <c r="Q3643" s="106"/>
      <c r="R3643" s="108"/>
      <c r="S3643" s="108"/>
      <c r="T3643" s="108"/>
      <c r="U3643" s="108" t="str">
        <f>IFERROR(VLOOKUP(CONCATENATE(Tabla1[[#This Row],[Severidad]]," ",Tabla1[[#This Row],[Complejidad]]),Catalogos!E$120:G$128,3,FALSE),"")</f>
        <v/>
      </c>
      <c r="V3643" s="108" t="str">
        <f>IF(Tabla1[[#This Row],[Tiempo solución max (hrs)]]&lt;&gt;"",IF(Tabla1[[#This Row],[Tiempo solución max (hrs)]]&gt;=Tabla1[[#This Row],[Tiempo
(Hrs 00/100)]],"cumple","no cumple"),"")</f>
        <v/>
      </c>
      <c r="W3643" s="17"/>
      <c r="X3643" s="18">
        <f t="shared" si="246"/>
        <v>0</v>
      </c>
      <c r="Y3643" t="str">
        <f>SUBSTITUTE(Tabla1[[#This Row],[Descripción]],CHAR(10),"    I    ")</f>
        <v/>
      </c>
      <c r="Z3643" s="112" t="e">
        <f>VLOOKUP(Tabla1[[#This Row],[Perfil]],Catalogos!$B$75:$D$100,3,FALSE)*Tabla1[[#This Row],[Tiempo
(Hrs 00/100)]]*1.16</f>
        <v>#N/A</v>
      </c>
    </row>
    <row r="3644" spans="1:26" ht="30" customHeight="1" x14ac:dyDescent="0.3">
      <c r="A3644" s="106"/>
      <c r="B3644" s="106"/>
      <c r="C3644" s="106"/>
      <c r="D3644" s="106"/>
      <c r="E3644" s="106"/>
      <c r="F3644" s="106"/>
      <c r="G3644" s="106"/>
      <c r="H3644" s="107"/>
      <c r="I3644" s="95"/>
      <c r="J3644" s="706"/>
      <c r="K3644" s="769"/>
      <c r="L3644" s="706"/>
      <c r="M3644" s="781"/>
      <c r="N3644" s="182"/>
      <c r="O3644" s="188"/>
      <c r="P3644" s="221"/>
      <c r="Q3644" s="106"/>
      <c r="R3644" s="108"/>
      <c r="S3644" s="108"/>
      <c r="T3644" s="108"/>
      <c r="U3644" s="108" t="str">
        <f>IFERROR(VLOOKUP(CONCATENATE(Tabla1[[#This Row],[Severidad]]," ",Tabla1[[#This Row],[Complejidad]]),Catalogos!E$120:G$128,3,FALSE),"")</f>
        <v/>
      </c>
      <c r="V3644" s="108" t="str">
        <f>IF(Tabla1[[#This Row],[Tiempo solución max (hrs)]]&lt;&gt;"",IF(Tabla1[[#This Row],[Tiempo solución max (hrs)]]&gt;=Tabla1[[#This Row],[Tiempo
(Hrs 00/100)]],"cumple","no cumple"),"")</f>
        <v/>
      </c>
      <c r="W3644" s="17"/>
      <c r="X3644" s="18">
        <f t="shared" si="246"/>
        <v>0</v>
      </c>
      <c r="Y3644" t="str">
        <f>SUBSTITUTE(Tabla1[[#This Row],[Descripción]],CHAR(10),"    I    ")</f>
        <v/>
      </c>
      <c r="Z3644" s="112" t="e">
        <f>VLOOKUP(Tabla1[[#This Row],[Perfil]],Catalogos!$B$75:$D$100,3,FALSE)*Tabla1[[#This Row],[Tiempo
(Hrs 00/100)]]*1.16</f>
        <v>#N/A</v>
      </c>
    </row>
    <row r="3645" spans="1:26" ht="30" customHeight="1" x14ac:dyDescent="0.3">
      <c r="A3645" s="106"/>
      <c r="B3645" s="106"/>
      <c r="C3645" s="106"/>
      <c r="D3645" s="106"/>
      <c r="E3645" s="106"/>
      <c r="F3645" s="106"/>
      <c r="G3645" s="106"/>
      <c r="H3645" s="107"/>
      <c r="I3645" s="95"/>
      <c r="J3645" s="706"/>
      <c r="K3645" s="769"/>
      <c r="L3645" s="706"/>
      <c r="M3645" s="781"/>
      <c r="N3645" s="182"/>
      <c r="O3645" s="188"/>
      <c r="P3645" s="221"/>
      <c r="Q3645" s="106"/>
      <c r="R3645" s="108"/>
      <c r="S3645" s="108"/>
      <c r="T3645" s="108"/>
      <c r="U3645" s="108" t="str">
        <f>IFERROR(VLOOKUP(CONCATENATE(Tabla1[[#This Row],[Severidad]]," ",Tabla1[[#This Row],[Complejidad]]),Catalogos!E$120:G$128,3,FALSE),"")</f>
        <v/>
      </c>
      <c r="V3645" s="108" t="str">
        <f>IF(Tabla1[[#This Row],[Tiempo solución max (hrs)]]&lt;&gt;"",IF(Tabla1[[#This Row],[Tiempo solución max (hrs)]]&gt;=Tabla1[[#This Row],[Tiempo
(Hrs 00/100)]],"cumple","no cumple"),"")</f>
        <v/>
      </c>
      <c r="W3645" s="17"/>
      <c r="X3645" s="18">
        <f t="shared" si="246"/>
        <v>0</v>
      </c>
      <c r="Y3645" t="str">
        <f>SUBSTITUTE(Tabla1[[#This Row],[Descripción]],CHAR(10),"    I    ")</f>
        <v/>
      </c>
      <c r="Z3645" s="112" t="e">
        <f>VLOOKUP(Tabla1[[#This Row],[Perfil]],Catalogos!$B$75:$D$100,3,FALSE)*Tabla1[[#This Row],[Tiempo
(Hrs 00/100)]]*1.16</f>
        <v>#N/A</v>
      </c>
    </row>
    <row r="3646" spans="1:26" ht="30" customHeight="1" x14ac:dyDescent="0.3">
      <c r="A3646" s="106"/>
      <c r="B3646" s="106"/>
      <c r="C3646" s="106"/>
      <c r="D3646" s="106"/>
      <c r="E3646" s="106"/>
      <c r="F3646" s="106"/>
      <c r="G3646" s="106"/>
      <c r="H3646" s="107"/>
      <c r="I3646" s="95"/>
      <c r="J3646" s="706"/>
      <c r="K3646" s="769"/>
      <c r="L3646" s="706"/>
      <c r="M3646" s="781"/>
      <c r="N3646" s="182"/>
      <c r="O3646" s="188"/>
      <c r="P3646" s="221"/>
      <c r="Q3646" s="106"/>
      <c r="R3646" s="108"/>
      <c r="S3646" s="108"/>
      <c r="T3646" s="108"/>
      <c r="U3646" s="108" t="str">
        <f>IFERROR(VLOOKUP(CONCATENATE(Tabla1[[#This Row],[Severidad]]," ",Tabla1[[#This Row],[Complejidad]]),Catalogos!E$120:G$128,3,FALSE),"")</f>
        <v/>
      </c>
      <c r="V3646" s="108" t="str">
        <f>IF(Tabla1[[#This Row],[Tiempo solución max (hrs)]]&lt;&gt;"",IF(Tabla1[[#This Row],[Tiempo solución max (hrs)]]&gt;=Tabla1[[#This Row],[Tiempo
(Hrs 00/100)]],"cumple","no cumple"),"")</f>
        <v/>
      </c>
      <c r="W3646" s="17"/>
      <c r="X3646" s="18">
        <f t="shared" si="246"/>
        <v>0</v>
      </c>
      <c r="Y3646" t="str">
        <f>SUBSTITUTE(Tabla1[[#This Row],[Descripción]],CHAR(10),"    I    ")</f>
        <v/>
      </c>
      <c r="Z3646" s="112" t="e">
        <f>VLOOKUP(Tabla1[[#This Row],[Perfil]],Catalogos!$B$75:$D$100,3,FALSE)*Tabla1[[#This Row],[Tiempo
(Hrs 00/100)]]*1.16</f>
        <v>#N/A</v>
      </c>
    </row>
    <row r="3647" spans="1:26" ht="30" customHeight="1" x14ac:dyDescent="0.3">
      <c r="A3647" s="106"/>
      <c r="B3647" s="106"/>
      <c r="C3647" s="106"/>
      <c r="D3647" s="106"/>
      <c r="E3647" s="106"/>
      <c r="F3647" s="106"/>
      <c r="G3647" s="106"/>
      <c r="H3647" s="107"/>
      <c r="I3647" s="95"/>
      <c r="J3647" s="706"/>
      <c r="K3647" s="769"/>
      <c r="L3647" s="706"/>
      <c r="M3647" s="781"/>
      <c r="N3647" s="182"/>
      <c r="O3647" s="188"/>
      <c r="P3647" s="221"/>
      <c r="Q3647" s="106"/>
      <c r="R3647" s="108"/>
      <c r="S3647" s="108"/>
      <c r="T3647" s="108"/>
      <c r="U3647" s="108" t="str">
        <f>IFERROR(VLOOKUP(CONCATENATE(Tabla1[[#This Row],[Severidad]]," ",Tabla1[[#This Row],[Complejidad]]),Catalogos!E$120:G$128,3,FALSE),"")</f>
        <v/>
      </c>
      <c r="V3647" s="108" t="str">
        <f>IF(Tabla1[[#This Row],[Tiempo solución max (hrs)]]&lt;&gt;"",IF(Tabla1[[#This Row],[Tiempo solución max (hrs)]]&gt;=Tabla1[[#This Row],[Tiempo
(Hrs 00/100)]],"cumple","no cumple"),"")</f>
        <v/>
      </c>
      <c r="W3647" s="17"/>
      <c r="X3647" s="18">
        <f t="shared" si="246"/>
        <v>0</v>
      </c>
      <c r="Y3647" t="str">
        <f>SUBSTITUTE(Tabla1[[#This Row],[Descripción]],CHAR(10),"    I    ")</f>
        <v/>
      </c>
      <c r="Z3647" s="112" t="e">
        <f>VLOOKUP(Tabla1[[#This Row],[Perfil]],Catalogos!$B$75:$D$100,3,FALSE)*Tabla1[[#This Row],[Tiempo
(Hrs 00/100)]]*1.16</f>
        <v>#N/A</v>
      </c>
    </row>
    <row r="3648" spans="1:26" ht="30" customHeight="1" x14ac:dyDescent="0.3">
      <c r="A3648" s="106"/>
      <c r="B3648" s="106"/>
      <c r="C3648" s="106"/>
      <c r="D3648" s="106"/>
      <c r="E3648" s="106"/>
      <c r="F3648" s="106"/>
      <c r="G3648" s="106"/>
      <c r="H3648" s="107"/>
      <c r="I3648" s="95"/>
      <c r="J3648" s="706"/>
      <c r="K3648" s="769"/>
      <c r="L3648" s="706"/>
      <c r="M3648" s="781"/>
      <c r="N3648" s="182"/>
      <c r="O3648" s="188"/>
      <c r="P3648" s="221"/>
      <c r="Q3648" s="106"/>
      <c r="R3648" s="108"/>
      <c r="S3648" s="108"/>
      <c r="T3648" s="108"/>
      <c r="U3648" s="108" t="str">
        <f>IFERROR(VLOOKUP(CONCATENATE(Tabla1[[#This Row],[Severidad]]," ",Tabla1[[#This Row],[Complejidad]]),Catalogos!E$120:G$128,3,FALSE),"")</f>
        <v/>
      </c>
      <c r="V3648" s="108" t="str">
        <f>IF(Tabla1[[#This Row],[Tiempo solución max (hrs)]]&lt;&gt;"",IF(Tabla1[[#This Row],[Tiempo solución max (hrs)]]&gt;=Tabla1[[#This Row],[Tiempo
(Hrs 00/100)]],"cumple","no cumple"),"")</f>
        <v/>
      </c>
      <c r="W3648" s="17"/>
      <c r="X3648" s="18">
        <f t="shared" si="246"/>
        <v>0</v>
      </c>
      <c r="Y3648" t="str">
        <f>SUBSTITUTE(Tabla1[[#This Row],[Descripción]],CHAR(10),"    I    ")</f>
        <v/>
      </c>
      <c r="Z3648" s="112" t="e">
        <f>VLOOKUP(Tabla1[[#This Row],[Perfil]],Catalogos!$B$75:$D$100,3,FALSE)*Tabla1[[#This Row],[Tiempo
(Hrs 00/100)]]*1.16</f>
        <v>#N/A</v>
      </c>
    </row>
    <row r="3649" spans="1:26" ht="30" customHeight="1" x14ac:dyDescent="0.3">
      <c r="A3649" s="106"/>
      <c r="B3649" s="106"/>
      <c r="C3649" s="106"/>
      <c r="D3649" s="106"/>
      <c r="E3649" s="106"/>
      <c r="F3649" s="106"/>
      <c r="G3649" s="106"/>
      <c r="H3649" s="107"/>
      <c r="I3649" s="95"/>
      <c r="J3649" s="706"/>
      <c r="K3649" s="769"/>
      <c r="L3649" s="706"/>
      <c r="M3649" s="781"/>
      <c r="N3649" s="182"/>
      <c r="O3649" s="188"/>
      <c r="P3649" s="221"/>
      <c r="Q3649" s="106"/>
      <c r="R3649" s="108"/>
      <c r="S3649" s="108"/>
      <c r="T3649" s="108"/>
      <c r="U3649" s="108" t="str">
        <f>IFERROR(VLOOKUP(CONCATENATE(Tabla1[[#This Row],[Severidad]]," ",Tabla1[[#This Row],[Complejidad]]),Catalogos!E$120:G$128,3,FALSE),"")</f>
        <v/>
      </c>
      <c r="V3649" s="108" t="str">
        <f>IF(Tabla1[[#This Row],[Tiempo solución max (hrs)]]&lt;&gt;"",IF(Tabla1[[#This Row],[Tiempo solución max (hrs)]]&gt;=Tabla1[[#This Row],[Tiempo
(Hrs 00/100)]],"cumple","no cumple"),"")</f>
        <v/>
      </c>
      <c r="W3649" s="17"/>
      <c r="X3649" s="18">
        <f t="shared" si="246"/>
        <v>0</v>
      </c>
      <c r="Y3649" t="str">
        <f>SUBSTITUTE(Tabla1[[#This Row],[Descripción]],CHAR(10),"    I    ")</f>
        <v/>
      </c>
      <c r="Z3649" s="112" t="e">
        <f>VLOOKUP(Tabla1[[#This Row],[Perfil]],Catalogos!$B$75:$D$100,3,FALSE)*Tabla1[[#This Row],[Tiempo
(Hrs 00/100)]]*1.16</f>
        <v>#N/A</v>
      </c>
    </row>
    <row r="3650" spans="1:26" ht="30" customHeight="1" x14ac:dyDescent="0.3">
      <c r="A3650" s="106"/>
      <c r="B3650" s="106"/>
      <c r="C3650" s="106"/>
      <c r="D3650" s="106"/>
      <c r="E3650" s="106"/>
      <c r="F3650" s="106"/>
      <c r="G3650" s="106"/>
      <c r="H3650" s="107"/>
      <c r="I3650" s="95"/>
      <c r="J3650" s="706"/>
      <c r="K3650" s="769"/>
      <c r="L3650" s="706"/>
      <c r="M3650" s="781"/>
      <c r="N3650" s="182"/>
      <c r="O3650" s="188"/>
      <c r="P3650" s="221"/>
      <c r="Q3650" s="106"/>
      <c r="R3650" s="108"/>
      <c r="S3650" s="108"/>
      <c r="T3650" s="108"/>
      <c r="U3650" s="108" t="str">
        <f>IFERROR(VLOOKUP(CONCATENATE(Tabla1[[#This Row],[Severidad]]," ",Tabla1[[#This Row],[Complejidad]]),Catalogos!E$120:G$128,3,FALSE),"")</f>
        <v/>
      </c>
      <c r="V3650" s="108" t="str">
        <f>IF(Tabla1[[#This Row],[Tiempo solución max (hrs)]]&lt;&gt;"",IF(Tabla1[[#This Row],[Tiempo solución max (hrs)]]&gt;=Tabla1[[#This Row],[Tiempo
(Hrs 00/100)]],"cumple","no cumple"),"")</f>
        <v/>
      </c>
      <c r="W3650" s="17"/>
      <c r="X3650" s="18">
        <f t="shared" si="246"/>
        <v>0</v>
      </c>
      <c r="Y3650" t="str">
        <f>SUBSTITUTE(Tabla1[[#This Row],[Descripción]],CHAR(10),"    I    ")</f>
        <v/>
      </c>
      <c r="Z3650" s="112" t="e">
        <f>VLOOKUP(Tabla1[[#This Row],[Perfil]],Catalogos!$B$75:$D$100,3,FALSE)*Tabla1[[#This Row],[Tiempo
(Hrs 00/100)]]*1.16</f>
        <v>#N/A</v>
      </c>
    </row>
    <row r="3651" spans="1:26" ht="30" customHeight="1" x14ac:dyDescent="0.3">
      <c r="A3651" s="106"/>
      <c r="B3651" s="106"/>
      <c r="C3651" s="106"/>
      <c r="D3651" s="106"/>
      <c r="E3651" s="106"/>
      <c r="F3651" s="106"/>
      <c r="G3651" s="106"/>
      <c r="H3651" s="107"/>
      <c r="I3651" s="95"/>
      <c r="J3651" s="706"/>
      <c r="K3651" s="769"/>
      <c r="L3651" s="706"/>
      <c r="M3651" s="781"/>
      <c r="N3651" s="182"/>
      <c r="O3651" s="188"/>
      <c r="P3651" s="221"/>
      <c r="Q3651" s="106"/>
      <c r="R3651" s="108"/>
      <c r="S3651" s="108"/>
      <c r="T3651" s="108"/>
      <c r="U3651" s="108" t="str">
        <f>IFERROR(VLOOKUP(CONCATENATE(Tabla1[[#This Row],[Severidad]]," ",Tabla1[[#This Row],[Complejidad]]),Catalogos!E$120:G$128,3,FALSE),"")</f>
        <v/>
      </c>
      <c r="V3651" s="108" t="str">
        <f>IF(Tabla1[[#This Row],[Tiempo solución max (hrs)]]&lt;&gt;"",IF(Tabla1[[#This Row],[Tiempo solución max (hrs)]]&gt;=Tabla1[[#This Row],[Tiempo
(Hrs 00/100)]],"cumple","no cumple"),"")</f>
        <v/>
      </c>
      <c r="W3651" s="17"/>
      <c r="X3651" s="18">
        <f t="shared" ref="X3651:X3714" si="247">IF(C3651&lt;&gt;"",C3651,D3651)</f>
        <v>0</v>
      </c>
      <c r="Y3651" t="str">
        <f>SUBSTITUTE(Tabla1[[#This Row],[Descripción]],CHAR(10),"    I    ")</f>
        <v/>
      </c>
      <c r="Z3651" s="112" t="e">
        <f>VLOOKUP(Tabla1[[#This Row],[Perfil]],Catalogos!$B$75:$D$100,3,FALSE)*Tabla1[[#This Row],[Tiempo
(Hrs 00/100)]]*1.16</f>
        <v>#N/A</v>
      </c>
    </row>
    <row r="3652" spans="1:26" ht="30" customHeight="1" x14ac:dyDescent="0.3">
      <c r="A3652" s="106"/>
      <c r="B3652" s="106"/>
      <c r="C3652" s="106"/>
      <c r="D3652" s="106"/>
      <c r="E3652" s="106"/>
      <c r="F3652" s="106"/>
      <c r="G3652" s="106"/>
      <c r="H3652" s="107"/>
      <c r="I3652" s="95"/>
      <c r="J3652" s="706"/>
      <c r="K3652" s="769"/>
      <c r="L3652" s="706"/>
      <c r="M3652" s="781"/>
      <c r="N3652" s="182"/>
      <c r="O3652" s="188"/>
      <c r="P3652" s="221"/>
      <c r="Q3652" s="106"/>
      <c r="R3652" s="108"/>
      <c r="S3652" s="108"/>
      <c r="T3652" s="108"/>
      <c r="U3652" s="108" t="str">
        <f>IFERROR(VLOOKUP(CONCATENATE(Tabla1[[#This Row],[Severidad]]," ",Tabla1[[#This Row],[Complejidad]]),Catalogos!E$120:G$128,3,FALSE),"")</f>
        <v/>
      </c>
      <c r="V3652" s="108" t="str">
        <f>IF(Tabla1[[#This Row],[Tiempo solución max (hrs)]]&lt;&gt;"",IF(Tabla1[[#This Row],[Tiempo solución max (hrs)]]&gt;=Tabla1[[#This Row],[Tiempo
(Hrs 00/100)]],"cumple","no cumple"),"")</f>
        <v/>
      </c>
      <c r="W3652" s="17"/>
      <c r="X3652" s="18">
        <f t="shared" si="247"/>
        <v>0</v>
      </c>
      <c r="Y3652" t="str">
        <f>SUBSTITUTE(Tabla1[[#This Row],[Descripción]],CHAR(10),"    I    ")</f>
        <v/>
      </c>
      <c r="Z3652" s="112" t="e">
        <f>VLOOKUP(Tabla1[[#This Row],[Perfil]],Catalogos!$B$75:$D$100,3,FALSE)*Tabla1[[#This Row],[Tiempo
(Hrs 00/100)]]*1.16</f>
        <v>#N/A</v>
      </c>
    </row>
    <row r="3653" spans="1:26" ht="30" customHeight="1" x14ac:dyDescent="0.3">
      <c r="A3653" s="106"/>
      <c r="B3653" s="106"/>
      <c r="C3653" s="106"/>
      <c r="D3653" s="106"/>
      <c r="E3653" s="106"/>
      <c r="F3653" s="106"/>
      <c r="G3653" s="106"/>
      <c r="H3653" s="107"/>
      <c r="I3653" s="95"/>
      <c r="J3653" s="706"/>
      <c r="K3653" s="769"/>
      <c r="L3653" s="706"/>
      <c r="M3653" s="781"/>
      <c r="N3653" s="182"/>
      <c r="O3653" s="188"/>
      <c r="P3653" s="221"/>
      <c r="Q3653" s="106"/>
      <c r="R3653" s="108"/>
      <c r="S3653" s="108"/>
      <c r="T3653" s="108"/>
      <c r="U3653" s="108" t="str">
        <f>IFERROR(VLOOKUP(CONCATENATE(Tabla1[[#This Row],[Severidad]]," ",Tabla1[[#This Row],[Complejidad]]),Catalogos!E$120:G$128,3,FALSE),"")</f>
        <v/>
      </c>
      <c r="V3653" s="108" t="str">
        <f>IF(Tabla1[[#This Row],[Tiempo solución max (hrs)]]&lt;&gt;"",IF(Tabla1[[#This Row],[Tiempo solución max (hrs)]]&gt;=Tabla1[[#This Row],[Tiempo
(Hrs 00/100)]],"cumple","no cumple"),"")</f>
        <v/>
      </c>
      <c r="W3653" s="17"/>
      <c r="X3653" s="18">
        <f t="shared" si="247"/>
        <v>0</v>
      </c>
      <c r="Y3653" t="str">
        <f>SUBSTITUTE(Tabla1[[#This Row],[Descripción]],CHAR(10),"    I    ")</f>
        <v/>
      </c>
      <c r="Z3653" s="112" t="e">
        <f>VLOOKUP(Tabla1[[#This Row],[Perfil]],Catalogos!$B$75:$D$100,3,FALSE)*Tabla1[[#This Row],[Tiempo
(Hrs 00/100)]]*1.16</f>
        <v>#N/A</v>
      </c>
    </row>
    <row r="3654" spans="1:26" ht="30" customHeight="1" x14ac:dyDescent="0.3">
      <c r="A3654" s="106"/>
      <c r="B3654" s="106"/>
      <c r="C3654" s="106"/>
      <c r="D3654" s="106"/>
      <c r="E3654" s="106"/>
      <c r="F3654" s="106"/>
      <c r="G3654" s="106"/>
      <c r="H3654" s="107"/>
      <c r="I3654" s="95"/>
      <c r="J3654" s="706"/>
      <c r="K3654" s="769"/>
      <c r="L3654" s="706"/>
      <c r="M3654" s="781"/>
      <c r="N3654" s="182"/>
      <c r="O3654" s="188"/>
      <c r="P3654" s="221"/>
      <c r="Q3654" s="106"/>
      <c r="R3654" s="108"/>
      <c r="S3654" s="108"/>
      <c r="T3654" s="108"/>
      <c r="U3654" s="108" t="str">
        <f>IFERROR(VLOOKUP(CONCATENATE(Tabla1[[#This Row],[Severidad]]," ",Tabla1[[#This Row],[Complejidad]]),Catalogos!E$120:G$128,3,FALSE),"")</f>
        <v/>
      </c>
      <c r="V3654" s="108" t="str">
        <f>IF(Tabla1[[#This Row],[Tiempo solución max (hrs)]]&lt;&gt;"",IF(Tabla1[[#This Row],[Tiempo solución max (hrs)]]&gt;=Tabla1[[#This Row],[Tiempo
(Hrs 00/100)]],"cumple","no cumple"),"")</f>
        <v/>
      </c>
      <c r="W3654" s="17"/>
      <c r="X3654" s="18">
        <f t="shared" si="247"/>
        <v>0</v>
      </c>
      <c r="Y3654" t="str">
        <f>SUBSTITUTE(Tabla1[[#This Row],[Descripción]],CHAR(10),"    I    ")</f>
        <v/>
      </c>
      <c r="Z3654" s="112" t="e">
        <f>VLOOKUP(Tabla1[[#This Row],[Perfil]],Catalogos!$B$75:$D$100,3,FALSE)*Tabla1[[#This Row],[Tiempo
(Hrs 00/100)]]*1.16</f>
        <v>#N/A</v>
      </c>
    </row>
    <row r="3655" spans="1:26" ht="30" customHeight="1" x14ac:dyDescent="0.3">
      <c r="A3655" s="106"/>
      <c r="B3655" s="106"/>
      <c r="C3655" s="106"/>
      <c r="D3655" s="106"/>
      <c r="E3655" s="106"/>
      <c r="F3655" s="106"/>
      <c r="G3655" s="106"/>
      <c r="H3655" s="107"/>
      <c r="I3655" s="95"/>
      <c r="J3655" s="706"/>
      <c r="K3655" s="769"/>
      <c r="L3655" s="706"/>
      <c r="M3655" s="781"/>
      <c r="N3655" s="182"/>
      <c r="O3655" s="188"/>
      <c r="P3655" s="221"/>
      <c r="Q3655" s="106"/>
      <c r="R3655" s="108"/>
      <c r="S3655" s="108"/>
      <c r="T3655" s="108"/>
      <c r="U3655" s="108" t="str">
        <f>IFERROR(VLOOKUP(CONCATENATE(Tabla1[[#This Row],[Severidad]]," ",Tabla1[[#This Row],[Complejidad]]),Catalogos!E$120:G$128,3,FALSE),"")</f>
        <v/>
      </c>
      <c r="V3655" s="108" t="str">
        <f>IF(Tabla1[[#This Row],[Tiempo solución max (hrs)]]&lt;&gt;"",IF(Tabla1[[#This Row],[Tiempo solución max (hrs)]]&gt;=Tabla1[[#This Row],[Tiempo
(Hrs 00/100)]],"cumple","no cumple"),"")</f>
        <v/>
      </c>
      <c r="W3655" s="17"/>
      <c r="X3655" s="18">
        <f t="shared" si="247"/>
        <v>0</v>
      </c>
      <c r="Y3655" t="str">
        <f>SUBSTITUTE(Tabla1[[#This Row],[Descripción]],CHAR(10),"    I    ")</f>
        <v/>
      </c>
      <c r="Z3655" s="112" t="e">
        <f>VLOOKUP(Tabla1[[#This Row],[Perfil]],Catalogos!$B$75:$D$100,3,FALSE)*Tabla1[[#This Row],[Tiempo
(Hrs 00/100)]]*1.16</f>
        <v>#N/A</v>
      </c>
    </row>
    <row r="3656" spans="1:26" ht="30" customHeight="1" x14ac:dyDescent="0.3">
      <c r="A3656" s="106"/>
      <c r="B3656" s="106"/>
      <c r="C3656" s="106"/>
      <c r="D3656" s="106"/>
      <c r="E3656" s="106"/>
      <c r="F3656" s="106"/>
      <c r="G3656" s="106"/>
      <c r="H3656" s="107"/>
      <c r="I3656" s="95"/>
      <c r="J3656" s="706"/>
      <c r="K3656" s="769"/>
      <c r="L3656" s="706"/>
      <c r="M3656" s="781"/>
      <c r="N3656" s="182"/>
      <c r="O3656" s="188"/>
      <c r="P3656" s="221"/>
      <c r="Q3656" s="106"/>
      <c r="R3656" s="108"/>
      <c r="S3656" s="108"/>
      <c r="T3656" s="108"/>
      <c r="U3656" s="108" t="str">
        <f>IFERROR(VLOOKUP(CONCATENATE(Tabla1[[#This Row],[Severidad]]," ",Tabla1[[#This Row],[Complejidad]]),Catalogos!E$120:G$128,3,FALSE),"")</f>
        <v/>
      </c>
      <c r="V3656" s="108" t="str">
        <f>IF(Tabla1[[#This Row],[Tiempo solución max (hrs)]]&lt;&gt;"",IF(Tabla1[[#This Row],[Tiempo solución max (hrs)]]&gt;=Tabla1[[#This Row],[Tiempo
(Hrs 00/100)]],"cumple","no cumple"),"")</f>
        <v/>
      </c>
      <c r="W3656" s="17"/>
      <c r="X3656" s="18">
        <f t="shared" si="247"/>
        <v>0</v>
      </c>
      <c r="Y3656" t="str">
        <f>SUBSTITUTE(Tabla1[[#This Row],[Descripción]],CHAR(10),"    I    ")</f>
        <v/>
      </c>
      <c r="Z3656" s="112" t="e">
        <f>VLOOKUP(Tabla1[[#This Row],[Perfil]],Catalogos!$B$75:$D$100,3,FALSE)*Tabla1[[#This Row],[Tiempo
(Hrs 00/100)]]*1.16</f>
        <v>#N/A</v>
      </c>
    </row>
    <row r="3657" spans="1:26" ht="30" customHeight="1" x14ac:dyDescent="0.3">
      <c r="A3657" s="106"/>
      <c r="B3657" s="106"/>
      <c r="C3657" s="106"/>
      <c r="D3657" s="106"/>
      <c r="E3657" s="106"/>
      <c r="F3657" s="106"/>
      <c r="G3657" s="106"/>
      <c r="H3657" s="107"/>
      <c r="I3657" s="95"/>
      <c r="J3657" s="706"/>
      <c r="K3657" s="769"/>
      <c r="L3657" s="706"/>
      <c r="M3657" s="781"/>
      <c r="N3657" s="182"/>
      <c r="O3657" s="188"/>
      <c r="P3657" s="221"/>
      <c r="Q3657" s="106"/>
      <c r="R3657" s="108"/>
      <c r="S3657" s="108"/>
      <c r="T3657" s="108"/>
      <c r="U3657" s="108" t="str">
        <f>IFERROR(VLOOKUP(CONCATENATE(Tabla1[[#This Row],[Severidad]]," ",Tabla1[[#This Row],[Complejidad]]),Catalogos!E$120:G$128,3,FALSE),"")</f>
        <v/>
      </c>
      <c r="V3657" s="108" t="str">
        <f>IF(Tabla1[[#This Row],[Tiempo solución max (hrs)]]&lt;&gt;"",IF(Tabla1[[#This Row],[Tiempo solución max (hrs)]]&gt;=Tabla1[[#This Row],[Tiempo
(Hrs 00/100)]],"cumple","no cumple"),"")</f>
        <v/>
      </c>
      <c r="W3657" s="17"/>
      <c r="X3657" s="18">
        <f t="shared" si="247"/>
        <v>0</v>
      </c>
      <c r="Y3657" t="str">
        <f>SUBSTITUTE(Tabla1[[#This Row],[Descripción]],CHAR(10),"    I    ")</f>
        <v/>
      </c>
      <c r="Z3657" s="112" t="e">
        <f>VLOOKUP(Tabla1[[#This Row],[Perfil]],Catalogos!$B$75:$D$100,3,FALSE)*Tabla1[[#This Row],[Tiempo
(Hrs 00/100)]]*1.16</f>
        <v>#N/A</v>
      </c>
    </row>
    <row r="3658" spans="1:26" ht="30" customHeight="1" x14ac:dyDescent="0.3">
      <c r="A3658" s="106"/>
      <c r="B3658" s="106"/>
      <c r="C3658" s="106"/>
      <c r="D3658" s="106"/>
      <c r="E3658" s="106"/>
      <c r="F3658" s="106"/>
      <c r="G3658" s="106"/>
      <c r="H3658" s="107"/>
      <c r="I3658" s="95"/>
      <c r="J3658" s="706"/>
      <c r="K3658" s="769"/>
      <c r="L3658" s="706"/>
      <c r="M3658" s="781"/>
      <c r="N3658" s="182"/>
      <c r="O3658" s="188"/>
      <c r="P3658" s="221"/>
      <c r="Q3658" s="106"/>
      <c r="R3658" s="108"/>
      <c r="S3658" s="108"/>
      <c r="T3658" s="108"/>
      <c r="U3658" s="108" t="str">
        <f>IFERROR(VLOOKUP(CONCATENATE(Tabla1[[#This Row],[Severidad]]," ",Tabla1[[#This Row],[Complejidad]]),Catalogos!E$120:G$128,3,FALSE),"")</f>
        <v/>
      </c>
      <c r="V3658" s="108" t="str">
        <f>IF(Tabla1[[#This Row],[Tiempo solución max (hrs)]]&lt;&gt;"",IF(Tabla1[[#This Row],[Tiempo solución max (hrs)]]&gt;=Tabla1[[#This Row],[Tiempo
(Hrs 00/100)]],"cumple","no cumple"),"")</f>
        <v/>
      </c>
      <c r="W3658" s="17"/>
      <c r="X3658" s="18">
        <f t="shared" si="247"/>
        <v>0</v>
      </c>
      <c r="Y3658" t="str">
        <f>SUBSTITUTE(Tabla1[[#This Row],[Descripción]],CHAR(10),"    I    ")</f>
        <v/>
      </c>
      <c r="Z3658" s="112" t="e">
        <f>VLOOKUP(Tabla1[[#This Row],[Perfil]],Catalogos!$B$75:$D$100,3,FALSE)*Tabla1[[#This Row],[Tiempo
(Hrs 00/100)]]*1.16</f>
        <v>#N/A</v>
      </c>
    </row>
    <row r="3659" spans="1:26" ht="30" customHeight="1" x14ac:dyDescent="0.3">
      <c r="A3659" s="106"/>
      <c r="B3659" s="106"/>
      <c r="C3659" s="106"/>
      <c r="D3659" s="106"/>
      <c r="E3659" s="106"/>
      <c r="F3659" s="106"/>
      <c r="G3659" s="106"/>
      <c r="H3659" s="107"/>
      <c r="I3659" s="95"/>
      <c r="J3659" s="706"/>
      <c r="K3659" s="769"/>
      <c r="L3659" s="706"/>
      <c r="M3659" s="781"/>
      <c r="N3659" s="182"/>
      <c r="O3659" s="188"/>
      <c r="P3659" s="221"/>
      <c r="Q3659" s="106"/>
      <c r="R3659" s="108"/>
      <c r="S3659" s="108"/>
      <c r="T3659" s="108"/>
      <c r="U3659" s="108" t="str">
        <f>IFERROR(VLOOKUP(CONCATENATE(Tabla1[[#This Row],[Severidad]]," ",Tabla1[[#This Row],[Complejidad]]),Catalogos!E$120:G$128,3,FALSE),"")</f>
        <v/>
      </c>
      <c r="V3659" s="108" t="str">
        <f>IF(Tabla1[[#This Row],[Tiempo solución max (hrs)]]&lt;&gt;"",IF(Tabla1[[#This Row],[Tiempo solución max (hrs)]]&gt;=Tabla1[[#This Row],[Tiempo
(Hrs 00/100)]],"cumple","no cumple"),"")</f>
        <v/>
      </c>
      <c r="W3659" s="17"/>
      <c r="X3659" s="18">
        <f t="shared" si="247"/>
        <v>0</v>
      </c>
      <c r="Y3659" t="str">
        <f>SUBSTITUTE(Tabla1[[#This Row],[Descripción]],CHAR(10),"    I    ")</f>
        <v/>
      </c>
      <c r="Z3659" s="112" t="e">
        <f>VLOOKUP(Tabla1[[#This Row],[Perfil]],Catalogos!$B$75:$D$100,3,FALSE)*Tabla1[[#This Row],[Tiempo
(Hrs 00/100)]]*1.16</f>
        <v>#N/A</v>
      </c>
    </row>
    <row r="3660" spans="1:26" ht="30" customHeight="1" x14ac:dyDescent="0.3">
      <c r="A3660" s="106"/>
      <c r="B3660" s="106"/>
      <c r="C3660" s="106"/>
      <c r="D3660" s="106"/>
      <c r="E3660" s="106"/>
      <c r="F3660" s="106"/>
      <c r="G3660" s="106"/>
      <c r="H3660" s="107"/>
      <c r="I3660" s="95"/>
      <c r="J3660" s="706"/>
      <c r="K3660" s="769"/>
      <c r="L3660" s="706"/>
      <c r="M3660" s="781"/>
      <c r="N3660" s="182"/>
      <c r="O3660" s="188"/>
      <c r="P3660" s="221"/>
      <c r="Q3660" s="106"/>
      <c r="R3660" s="108"/>
      <c r="S3660" s="108"/>
      <c r="T3660" s="108"/>
      <c r="U3660" s="108" t="str">
        <f>IFERROR(VLOOKUP(CONCATENATE(Tabla1[[#This Row],[Severidad]]," ",Tabla1[[#This Row],[Complejidad]]),Catalogos!E$120:G$128,3,FALSE),"")</f>
        <v/>
      </c>
      <c r="V3660" s="108" t="str">
        <f>IF(Tabla1[[#This Row],[Tiempo solución max (hrs)]]&lt;&gt;"",IF(Tabla1[[#This Row],[Tiempo solución max (hrs)]]&gt;=Tabla1[[#This Row],[Tiempo
(Hrs 00/100)]],"cumple","no cumple"),"")</f>
        <v/>
      </c>
      <c r="W3660" s="17"/>
      <c r="X3660" s="18">
        <f t="shared" si="247"/>
        <v>0</v>
      </c>
      <c r="Y3660" t="str">
        <f>SUBSTITUTE(Tabla1[[#This Row],[Descripción]],CHAR(10),"    I    ")</f>
        <v/>
      </c>
      <c r="Z3660" s="112" t="e">
        <f>VLOOKUP(Tabla1[[#This Row],[Perfil]],Catalogos!$B$75:$D$100,3,FALSE)*Tabla1[[#This Row],[Tiempo
(Hrs 00/100)]]*1.16</f>
        <v>#N/A</v>
      </c>
    </row>
    <row r="3661" spans="1:26" ht="30" customHeight="1" x14ac:dyDescent="0.3">
      <c r="A3661" s="106"/>
      <c r="B3661" s="106"/>
      <c r="C3661" s="106"/>
      <c r="D3661" s="106"/>
      <c r="E3661" s="106"/>
      <c r="F3661" s="106"/>
      <c r="G3661" s="106"/>
      <c r="H3661" s="107"/>
      <c r="I3661" s="95"/>
      <c r="J3661" s="706"/>
      <c r="K3661" s="769"/>
      <c r="L3661" s="706"/>
      <c r="M3661" s="781"/>
      <c r="N3661" s="182"/>
      <c r="O3661" s="188"/>
      <c r="P3661" s="221"/>
      <c r="Q3661" s="106"/>
      <c r="R3661" s="108"/>
      <c r="S3661" s="108"/>
      <c r="T3661" s="108"/>
      <c r="U3661" s="108" t="str">
        <f>IFERROR(VLOOKUP(CONCATENATE(Tabla1[[#This Row],[Severidad]]," ",Tabla1[[#This Row],[Complejidad]]),Catalogos!E$120:G$128,3,FALSE),"")</f>
        <v/>
      </c>
      <c r="V3661" s="108" t="str">
        <f>IF(Tabla1[[#This Row],[Tiempo solución max (hrs)]]&lt;&gt;"",IF(Tabla1[[#This Row],[Tiempo solución max (hrs)]]&gt;=Tabla1[[#This Row],[Tiempo
(Hrs 00/100)]],"cumple","no cumple"),"")</f>
        <v/>
      </c>
      <c r="W3661" s="17"/>
      <c r="X3661" s="18">
        <f t="shared" si="247"/>
        <v>0</v>
      </c>
      <c r="Y3661" t="str">
        <f>SUBSTITUTE(Tabla1[[#This Row],[Descripción]],CHAR(10),"    I    ")</f>
        <v/>
      </c>
      <c r="Z3661" s="112" t="e">
        <f>VLOOKUP(Tabla1[[#This Row],[Perfil]],Catalogos!$B$75:$D$100,3,FALSE)*Tabla1[[#This Row],[Tiempo
(Hrs 00/100)]]*1.16</f>
        <v>#N/A</v>
      </c>
    </row>
    <row r="3662" spans="1:26" ht="30" customHeight="1" x14ac:dyDescent="0.3">
      <c r="A3662" s="106"/>
      <c r="B3662" s="106"/>
      <c r="C3662" s="106"/>
      <c r="D3662" s="106"/>
      <c r="E3662" s="106"/>
      <c r="F3662" s="106"/>
      <c r="G3662" s="106"/>
      <c r="H3662" s="107"/>
      <c r="I3662" s="95"/>
      <c r="J3662" s="706"/>
      <c r="K3662" s="769"/>
      <c r="L3662" s="706"/>
      <c r="M3662" s="781"/>
      <c r="N3662" s="182"/>
      <c r="O3662" s="188"/>
      <c r="P3662" s="221"/>
      <c r="Q3662" s="106"/>
      <c r="R3662" s="108"/>
      <c r="S3662" s="108"/>
      <c r="T3662" s="108"/>
      <c r="U3662" s="108" t="str">
        <f>IFERROR(VLOOKUP(CONCATENATE(Tabla1[[#This Row],[Severidad]]," ",Tabla1[[#This Row],[Complejidad]]),Catalogos!E$120:G$128,3,FALSE),"")</f>
        <v/>
      </c>
      <c r="V3662" s="108" t="str">
        <f>IF(Tabla1[[#This Row],[Tiempo solución max (hrs)]]&lt;&gt;"",IF(Tabla1[[#This Row],[Tiempo solución max (hrs)]]&gt;=Tabla1[[#This Row],[Tiempo
(Hrs 00/100)]],"cumple","no cumple"),"")</f>
        <v/>
      </c>
      <c r="W3662" s="17"/>
      <c r="X3662" s="18">
        <f t="shared" si="247"/>
        <v>0</v>
      </c>
      <c r="Y3662" t="str">
        <f>SUBSTITUTE(Tabla1[[#This Row],[Descripción]],CHAR(10),"    I    ")</f>
        <v/>
      </c>
      <c r="Z3662" s="112" t="e">
        <f>VLOOKUP(Tabla1[[#This Row],[Perfil]],Catalogos!$B$75:$D$100,3,FALSE)*Tabla1[[#This Row],[Tiempo
(Hrs 00/100)]]*1.16</f>
        <v>#N/A</v>
      </c>
    </row>
    <row r="3663" spans="1:26" ht="30" customHeight="1" x14ac:dyDescent="0.3">
      <c r="A3663" s="106"/>
      <c r="B3663" s="106"/>
      <c r="C3663" s="106"/>
      <c r="D3663" s="106"/>
      <c r="E3663" s="106"/>
      <c r="F3663" s="106"/>
      <c r="G3663" s="106"/>
      <c r="H3663" s="107"/>
      <c r="I3663" s="95"/>
      <c r="J3663" s="706"/>
      <c r="K3663" s="769"/>
      <c r="L3663" s="706"/>
      <c r="M3663" s="781"/>
      <c r="N3663" s="182"/>
      <c r="O3663" s="188"/>
      <c r="P3663" s="221"/>
      <c r="Q3663" s="106"/>
      <c r="R3663" s="108"/>
      <c r="S3663" s="108"/>
      <c r="T3663" s="108"/>
      <c r="U3663" s="108" t="str">
        <f>IFERROR(VLOOKUP(CONCATENATE(Tabla1[[#This Row],[Severidad]]," ",Tabla1[[#This Row],[Complejidad]]),Catalogos!E$120:G$128,3,FALSE),"")</f>
        <v/>
      </c>
      <c r="V3663" s="108" t="str">
        <f>IF(Tabla1[[#This Row],[Tiempo solución max (hrs)]]&lt;&gt;"",IF(Tabla1[[#This Row],[Tiempo solución max (hrs)]]&gt;=Tabla1[[#This Row],[Tiempo
(Hrs 00/100)]],"cumple","no cumple"),"")</f>
        <v/>
      </c>
      <c r="W3663" s="17"/>
      <c r="X3663" s="18">
        <f t="shared" si="247"/>
        <v>0</v>
      </c>
      <c r="Y3663" t="str">
        <f>SUBSTITUTE(Tabla1[[#This Row],[Descripción]],CHAR(10),"    I    ")</f>
        <v/>
      </c>
      <c r="Z3663" s="112" t="e">
        <f>VLOOKUP(Tabla1[[#This Row],[Perfil]],Catalogos!$B$75:$D$100,3,FALSE)*Tabla1[[#This Row],[Tiempo
(Hrs 00/100)]]*1.16</f>
        <v>#N/A</v>
      </c>
    </row>
    <row r="3664" spans="1:26" ht="30" customHeight="1" x14ac:dyDescent="0.3">
      <c r="A3664" s="106"/>
      <c r="B3664" s="106"/>
      <c r="C3664" s="106"/>
      <c r="D3664" s="106"/>
      <c r="E3664" s="106"/>
      <c r="F3664" s="106"/>
      <c r="G3664" s="106"/>
      <c r="H3664" s="107"/>
      <c r="I3664" s="95"/>
      <c r="J3664" s="706"/>
      <c r="K3664" s="769"/>
      <c r="L3664" s="706"/>
      <c r="M3664" s="781"/>
      <c r="N3664" s="182"/>
      <c r="O3664" s="188"/>
      <c r="P3664" s="221"/>
      <c r="Q3664" s="106"/>
      <c r="R3664" s="108"/>
      <c r="S3664" s="108"/>
      <c r="T3664" s="108"/>
      <c r="U3664" s="108" t="str">
        <f>IFERROR(VLOOKUP(CONCATENATE(Tabla1[[#This Row],[Severidad]]," ",Tabla1[[#This Row],[Complejidad]]),Catalogos!E$120:G$128,3,FALSE),"")</f>
        <v/>
      </c>
      <c r="V3664" s="108" t="str">
        <f>IF(Tabla1[[#This Row],[Tiempo solución max (hrs)]]&lt;&gt;"",IF(Tabla1[[#This Row],[Tiempo solución max (hrs)]]&gt;=Tabla1[[#This Row],[Tiempo
(Hrs 00/100)]],"cumple","no cumple"),"")</f>
        <v/>
      </c>
      <c r="W3664" s="17"/>
      <c r="X3664" s="18">
        <f t="shared" si="247"/>
        <v>0</v>
      </c>
      <c r="Y3664" t="str">
        <f>SUBSTITUTE(Tabla1[[#This Row],[Descripción]],CHAR(10),"    I    ")</f>
        <v/>
      </c>
      <c r="Z3664" s="112" t="e">
        <f>VLOOKUP(Tabla1[[#This Row],[Perfil]],Catalogos!$B$75:$D$100,3,FALSE)*Tabla1[[#This Row],[Tiempo
(Hrs 00/100)]]*1.16</f>
        <v>#N/A</v>
      </c>
    </row>
    <row r="3665" spans="1:26" ht="30" customHeight="1" x14ac:dyDescent="0.3">
      <c r="A3665" s="106"/>
      <c r="B3665" s="106"/>
      <c r="C3665" s="106"/>
      <c r="D3665" s="106"/>
      <c r="E3665" s="106"/>
      <c r="F3665" s="106"/>
      <c r="G3665" s="106"/>
      <c r="H3665" s="107"/>
      <c r="I3665" s="95"/>
      <c r="J3665" s="706"/>
      <c r="K3665" s="769"/>
      <c r="L3665" s="706"/>
      <c r="M3665" s="781"/>
      <c r="N3665" s="182"/>
      <c r="O3665" s="188"/>
      <c r="P3665" s="221"/>
      <c r="Q3665" s="106"/>
      <c r="R3665" s="108"/>
      <c r="S3665" s="108"/>
      <c r="T3665" s="108"/>
      <c r="U3665" s="108" t="str">
        <f>IFERROR(VLOOKUP(CONCATENATE(Tabla1[[#This Row],[Severidad]]," ",Tabla1[[#This Row],[Complejidad]]),Catalogos!E$120:G$128,3,FALSE),"")</f>
        <v/>
      </c>
      <c r="V3665" s="108" t="str">
        <f>IF(Tabla1[[#This Row],[Tiempo solución max (hrs)]]&lt;&gt;"",IF(Tabla1[[#This Row],[Tiempo solución max (hrs)]]&gt;=Tabla1[[#This Row],[Tiempo
(Hrs 00/100)]],"cumple","no cumple"),"")</f>
        <v/>
      </c>
      <c r="W3665" s="17"/>
      <c r="X3665" s="18">
        <f t="shared" si="247"/>
        <v>0</v>
      </c>
      <c r="Y3665" t="str">
        <f>SUBSTITUTE(Tabla1[[#This Row],[Descripción]],CHAR(10),"    I    ")</f>
        <v/>
      </c>
      <c r="Z3665" s="112" t="e">
        <f>VLOOKUP(Tabla1[[#This Row],[Perfil]],Catalogos!$B$75:$D$100,3,FALSE)*Tabla1[[#This Row],[Tiempo
(Hrs 00/100)]]*1.16</f>
        <v>#N/A</v>
      </c>
    </row>
    <row r="3666" spans="1:26" ht="30" customHeight="1" x14ac:dyDescent="0.3">
      <c r="A3666" s="106"/>
      <c r="B3666" s="106"/>
      <c r="C3666" s="106"/>
      <c r="D3666" s="106"/>
      <c r="E3666" s="106"/>
      <c r="F3666" s="106"/>
      <c r="G3666" s="106"/>
      <c r="H3666" s="107"/>
      <c r="I3666" s="95"/>
      <c r="J3666" s="706"/>
      <c r="K3666" s="769"/>
      <c r="L3666" s="706"/>
      <c r="M3666" s="781"/>
      <c r="N3666" s="182"/>
      <c r="O3666" s="188"/>
      <c r="P3666" s="221"/>
      <c r="Q3666" s="106"/>
      <c r="R3666" s="108"/>
      <c r="S3666" s="108"/>
      <c r="T3666" s="108"/>
      <c r="U3666" s="108" t="str">
        <f>IFERROR(VLOOKUP(CONCATENATE(Tabla1[[#This Row],[Severidad]]," ",Tabla1[[#This Row],[Complejidad]]),Catalogos!E$120:G$128,3,FALSE),"")</f>
        <v/>
      </c>
      <c r="V3666" s="108" t="str">
        <f>IF(Tabla1[[#This Row],[Tiempo solución max (hrs)]]&lt;&gt;"",IF(Tabla1[[#This Row],[Tiempo solución max (hrs)]]&gt;=Tabla1[[#This Row],[Tiempo
(Hrs 00/100)]],"cumple","no cumple"),"")</f>
        <v/>
      </c>
      <c r="W3666" s="17"/>
      <c r="X3666" s="18">
        <f t="shared" si="247"/>
        <v>0</v>
      </c>
      <c r="Y3666" t="str">
        <f>SUBSTITUTE(Tabla1[[#This Row],[Descripción]],CHAR(10),"    I    ")</f>
        <v/>
      </c>
      <c r="Z3666" s="112" t="e">
        <f>VLOOKUP(Tabla1[[#This Row],[Perfil]],Catalogos!$B$75:$D$100,3,FALSE)*Tabla1[[#This Row],[Tiempo
(Hrs 00/100)]]*1.16</f>
        <v>#N/A</v>
      </c>
    </row>
    <row r="3667" spans="1:26" ht="30" customHeight="1" x14ac:dyDescent="0.3">
      <c r="A3667" s="106"/>
      <c r="B3667" s="106"/>
      <c r="C3667" s="106"/>
      <c r="D3667" s="106"/>
      <c r="E3667" s="106"/>
      <c r="F3667" s="106"/>
      <c r="G3667" s="106"/>
      <c r="H3667" s="107"/>
      <c r="I3667" s="95"/>
      <c r="J3667" s="706"/>
      <c r="K3667" s="769"/>
      <c r="L3667" s="706"/>
      <c r="M3667" s="781"/>
      <c r="N3667" s="182"/>
      <c r="O3667" s="188"/>
      <c r="P3667" s="221"/>
      <c r="Q3667" s="106"/>
      <c r="R3667" s="108"/>
      <c r="S3667" s="108"/>
      <c r="T3667" s="108"/>
      <c r="U3667" s="108" t="str">
        <f>IFERROR(VLOOKUP(CONCATENATE(Tabla1[[#This Row],[Severidad]]," ",Tabla1[[#This Row],[Complejidad]]),Catalogos!E$120:G$128,3,FALSE),"")</f>
        <v/>
      </c>
      <c r="V3667" s="108" t="str">
        <f>IF(Tabla1[[#This Row],[Tiempo solución max (hrs)]]&lt;&gt;"",IF(Tabla1[[#This Row],[Tiempo solución max (hrs)]]&gt;=Tabla1[[#This Row],[Tiempo
(Hrs 00/100)]],"cumple","no cumple"),"")</f>
        <v/>
      </c>
      <c r="W3667" s="17"/>
      <c r="X3667" s="18">
        <f t="shared" si="247"/>
        <v>0</v>
      </c>
      <c r="Y3667" t="str">
        <f>SUBSTITUTE(Tabla1[[#This Row],[Descripción]],CHAR(10),"    I    ")</f>
        <v/>
      </c>
      <c r="Z3667" s="112" t="e">
        <f>VLOOKUP(Tabla1[[#This Row],[Perfil]],Catalogos!$B$75:$D$100,3,FALSE)*Tabla1[[#This Row],[Tiempo
(Hrs 00/100)]]*1.16</f>
        <v>#N/A</v>
      </c>
    </row>
    <row r="3668" spans="1:26" ht="30" customHeight="1" x14ac:dyDescent="0.3">
      <c r="A3668" s="106"/>
      <c r="B3668" s="106"/>
      <c r="C3668" s="106"/>
      <c r="D3668" s="106"/>
      <c r="E3668" s="106"/>
      <c r="F3668" s="106"/>
      <c r="G3668" s="106"/>
      <c r="H3668" s="107"/>
      <c r="I3668" s="95"/>
      <c r="J3668" s="706"/>
      <c r="K3668" s="769"/>
      <c r="L3668" s="706"/>
      <c r="M3668" s="781"/>
      <c r="N3668" s="182"/>
      <c r="O3668" s="188"/>
      <c r="P3668" s="221"/>
      <c r="Q3668" s="106"/>
      <c r="R3668" s="108"/>
      <c r="S3668" s="108"/>
      <c r="T3668" s="108"/>
      <c r="U3668" s="108" t="str">
        <f>IFERROR(VLOOKUP(CONCATENATE(Tabla1[[#This Row],[Severidad]]," ",Tabla1[[#This Row],[Complejidad]]),Catalogos!E$120:G$128,3,FALSE),"")</f>
        <v/>
      </c>
      <c r="V3668" s="108" t="str">
        <f>IF(Tabla1[[#This Row],[Tiempo solución max (hrs)]]&lt;&gt;"",IF(Tabla1[[#This Row],[Tiempo solución max (hrs)]]&gt;=Tabla1[[#This Row],[Tiempo
(Hrs 00/100)]],"cumple","no cumple"),"")</f>
        <v/>
      </c>
      <c r="W3668" s="17"/>
      <c r="X3668" s="18">
        <f t="shared" si="247"/>
        <v>0</v>
      </c>
      <c r="Y3668" t="str">
        <f>SUBSTITUTE(Tabla1[[#This Row],[Descripción]],CHAR(10),"    I    ")</f>
        <v/>
      </c>
      <c r="Z3668" s="112" t="e">
        <f>VLOOKUP(Tabla1[[#This Row],[Perfil]],Catalogos!$B$75:$D$100,3,FALSE)*Tabla1[[#This Row],[Tiempo
(Hrs 00/100)]]*1.16</f>
        <v>#N/A</v>
      </c>
    </row>
    <row r="3669" spans="1:26" ht="30" customHeight="1" x14ac:dyDescent="0.3">
      <c r="A3669" s="106"/>
      <c r="B3669" s="106"/>
      <c r="C3669" s="106"/>
      <c r="D3669" s="106"/>
      <c r="E3669" s="106"/>
      <c r="F3669" s="106"/>
      <c r="G3669" s="106"/>
      <c r="H3669" s="107"/>
      <c r="I3669" s="95"/>
      <c r="J3669" s="706"/>
      <c r="K3669" s="769"/>
      <c r="L3669" s="706"/>
      <c r="M3669" s="781"/>
      <c r="N3669" s="182"/>
      <c r="O3669" s="188"/>
      <c r="P3669" s="221"/>
      <c r="Q3669" s="106"/>
      <c r="R3669" s="108"/>
      <c r="S3669" s="108"/>
      <c r="T3669" s="108"/>
      <c r="U3669" s="108" t="str">
        <f>IFERROR(VLOOKUP(CONCATENATE(Tabla1[[#This Row],[Severidad]]," ",Tabla1[[#This Row],[Complejidad]]),Catalogos!E$120:G$128,3,FALSE),"")</f>
        <v/>
      </c>
      <c r="V3669" s="108" t="str">
        <f>IF(Tabla1[[#This Row],[Tiempo solución max (hrs)]]&lt;&gt;"",IF(Tabla1[[#This Row],[Tiempo solución max (hrs)]]&gt;=Tabla1[[#This Row],[Tiempo
(Hrs 00/100)]],"cumple","no cumple"),"")</f>
        <v/>
      </c>
      <c r="W3669" s="17"/>
      <c r="X3669" s="18">
        <f t="shared" si="247"/>
        <v>0</v>
      </c>
      <c r="Y3669" t="str">
        <f>SUBSTITUTE(Tabla1[[#This Row],[Descripción]],CHAR(10),"    I    ")</f>
        <v/>
      </c>
      <c r="Z3669" s="112" t="e">
        <f>VLOOKUP(Tabla1[[#This Row],[Perfil]],Catalogos!$B$75:$D$100,3,FALSE)*Tabla1[[#This Row],[Tiempo
(Hrs 00/100)]]*1.16</f>
        <v>#N/A</v>
      </c>
    </row>
    <row r="3670" spans="1:26" ht="30" customHeight="1" x14ac:dyDescent="0.3">
      <c r="A3670" s="106"/>
      <c r="B3670" s="106"/>
      <c r="C3670" s="106"/>
      <c r="D3670" s="106"/>
      <c r="E3670" s="106"/>
      <c r="F3670" s="106"/>
      <c r="G3670" s="106"/>
      <c r="H3670" s="107"/>
      <c r="I3670" s="95"/>
      <c r="J3670" s="706"/>
      <c r="K3670" s="769"/>
      <c r="L3670" s="706"/>
      <c r="M3670" s="781"/>
      <c r="N3670" s="182"/>
      <c r="O3670" s="188"/>
      <c r="P3670" s="221"/>
      <c r="Q3670" s="106"/>
      <c r="R3670" s="108"/>
      <c r="S3670" s="108"/>
      <c r="T3670" s="108"/>
      <c r="U3670" s="108" t="str">
        <f>IFERROR(VLOOKUP(CONCATENATE(Tabla1[[#This Row],[Severidad]]," ",Tabla1[[#This Row],[Complejidad]]),Catalogos!E$120:G$128,3,FALSE),"")</f>
        <v/>
      </c>
      <c r="V3670" s="108" t="str">
        <f>IF(Tabla1[[#This Row],[Tiempo solución max (hrs)]]&lt;&gt;"",IF(Tabla1[[#This Row],[Tiempo solución max (hrs)]]&gt;=Tabla1[[#This Row],[Tiempo
(Hrs 00/100)]],"cumple","no cumple"),"")</f>
        <v/>
      </c>
      <c r="W3670" s="17"/>
      <c r="X3670" s="18">
        <f t="shared" si="247"/>
        <v>0</v>
      </c>
      <c r="Y3670" t="str">
        <f>SUBSTITUTE(Tabla1[[#This Row],[Descripción]],CHAR(10),"    I    ")</f>
        <v/>
      </c>
      <c r="Z3670" s="112" t="e">
        <f>VLOOKUP(Tabla1[[#This Row],[Perfil]],Catalogos!$B$75:$D$100,3,FALSE)*Tabla1[[#This Row],[Tiempo
(Hrs 00/100)]]*1.16</f>
        <v>#N/A</v>
      </c>
    </row>
    <row r="3671" spans="1:26" ht="30" customHeight="1" x14ac:dyDescent="0.3">
      <c r="A3671" s="106"/>
      <c r="B3671" s="106"/>
      <c r="C3671" s="106"/>
      <c r="D3671" s="106"/>
      <c r="E3671" s="106"/>
      <c r="F3671" s="106"/>
      <c r="G3671" s="106"/>
      <c r="H3671" s="107"/>
      <c r="I3671" s="95"/>
      <c r="J3671" s="706"/>
      <c r="K3671" s="769"/>
      <c r="L3671" s="706"/>
      <c r="M3671" s="781"/>
      <c r="N3671" s="182"/>
      <c r="O3671" s="188"/>
      <c r="P3671" s="221"/>
      <c r="Q3671" s="106"/>
      <c r="R3671" s="108"/>
      <c r="S3671" s="108"/>
      <c r="T3671" s="108"/>
      <c r="U3671" s="108" t="str">
        <f>IFERROR(VLOOKUP(CONCATENATE(Tabla1[[#This Row],[Severidad]]," ",Tabla1[[#This Row],[Complejidad]]),Catalogos!E$120:G$128,3,FALSE),"")</f>
        <v/>
      </c>
      <c r="V3671" s="108" t="str">
        <f>IF(Tabla1[[#This Row],[Tiempo solución max (hrs)]]&lt;&gt;"",IF(Tabla1[[#This Row],[Tiempo solución max (hrs)]]&gt;=Tabla1[[#This Row],[Tiempo
(Hrs 00/100)]],"cumple","no cumple"),"")</f>
        <v/>
      </c>
      <c r="W3671" s="17"/>
      <c r="X3671" s="18">
        <f t="shared" si="247"/>
        <v>0</v>
      </c>
      <c r="Y3671" t="str">
        <f>SUBSTITUTE(Tabla1[[#This Row],[Descripción]],CHAR(10),"    I    ")</f>
        <v/>
      </c>
      <c r="Z3671" s="112" t="e">
        <f>VLOOKUP(Tabla1[[#This Row],[Perfil]],Catalogos!$B$75:$D$100,3,FALSE)*Tabla1[[#This Row],[Tiempo
(Hrs 00/100)]]*1.16</f>
        <v>#N/A</v>
      </c>
    </row>
    <row r="3672" spans="1:26" ht="30" customHeight="1" x14ac:dyDescent="0.3">
      <c r="A3672" s="106"/>
      <c r="B3672" s="106"/>
      <c r="C3672" s="106"/>
      <c r="D3672" s="106"/>
      <c r="E3672" s="106"/>
      <c r="F3672" s="106"/>
      <c r="G3672" s="106"/>
      <c r="H3672" s="107"/>
      <c r="I3672" s="95"/>
      <c r="J3672" s="706"/>
      <c r="K3672" s="769"/>
      <c r="L3672" s="706"/>
      <c r="M3672" s="781"/>
      <c r="N3672" s="182"/>
      <c r="O3672" s="188"/>
      <c r="P3672" s="221"/>
      <c r="Q3672" s="106"/>
      <c r="R3672" s="108"/>
      <c r="S3672" s="108"/>
      <c r="T3672" s="108"/>
      <c r="U3672" s="108" t="str">
        <f>IFERROR(VLOOKUP(CONCATENATE(Tabla1[[#This Row],[Severidad]]," ",Tabla1[[#This Row],[Complejidad]]),Catalogos!E$120:G$128,3,FALSE),"")</f>
        <v/>
      </c>
      <c r="V3672" s="108" t="str">
        <f>IF(Tabla1[[#This Row],[Tiempo solución max (hrs)]]&lt;&gt;"",IF(Tabla1[[#This Row],[Tiempo solución max (hrs)]]&gt;=Tabla1[[#This Row],[Tiempo
(Hrs 00/100)]],"cumple","no cumple"),"")</f>
        <v/>
      </c>
      <c r="W3672" s="17"/>
      <c r="X3672" s="18">
        <f t="shared" si="247"/>
        <v>0</v>
      </c>
      <c r="Y3672" t="str">
        <f>SUBSTITUTE(Tabla1[[#This Row],[Descripción]],CHAR(10),"    I    ")</f>
        <v/>
      </c>
      <c r="Z3672" s="112" t="e">
        <f>VLOOKUP(Tabla1[[#This Row],[Perfil]],Catalogos!$B$75:$D$100,3,FALSE)*Tabla1[[#This Row],[Tiempo
(Hrs 00/100)]]*1.16</f>
        <v>#N/A</v>
      </c>
    </row>
    <row r="3673" spans="1:26" ht="30" customHeight="1" x14ac:dyDescent="0.3">
      <c r="A3673" s="106"/>
      <c r="B3673" s="106"/>
      <c r="C3673" s="106"/>
      <c r="D3673" s="106"/>
      <c r="E3673" s="106"/>
      <c r="F3673" s="106"/>
      <c r="G3673" s="106"/>
      <c r="H3673" s="107"/>
      <c r="I3673" s="95"/>
      <c r="J3673" s="706"/>
      <c r="K3673" s="769"/>
      <c r="L3673" s="706"/>
      <c r="M3673" s="781"/>
      <c r="N3673" s="182"/>
      <c r="O3673" s="188"/>
      <c r="P3673" s="221"/>
      <c r="Q3673" s="106"/>
      <c r="R3673" s="108"/>
      <c r="S3673" s="108"/>
      <c r="T3673" s="108"/>
      <c r="U3673" s="108" t="str">
        <f>IFERROR(VLOOKUP(CONCATENATE(Tabla1[[#This Row],[Severidad]]," ",Tabla1[[#This Row],[Complejidad]]),Catalogos!E$120:G$128,3,FALSE),"")</f>
        <v/>
      </c>
      <c r="V3673" s="108" t="str">
        <f>IF(Tabla1[[#This Row],[Tiempo solución max (hrs)]]&lt;&gt;"",IF(Tabla1[[#This Row],[Tiempo solución max (hrs)]]&gt;=Tabla1[[#This Row],[Tiempo
(Hrs 00/100)]],"cumple","no cumple"),"")</f>
        <v/>
      </c>
      <c r="W3673" s="17"/>
      <c r="X3673" s="18">
        <f t="shared" si="247"/>
        <v>0</v>
      </c>
      <c r="Y3673" t="str">
        <f>SUBSTITUTE(Tabla1[[#This Row],[Descripción]],CHAR(10),"    I    ")</f>
        <v/>
      </c>
      <c r="Z3673" s="112" t="e">
        <f>VLOOKUP(Tabla1[[#This Row],[Perfil]],Catalogos!$B$75:$D$100,3,FALSE)*Tabla1[[#This Row],[Tiempo
(Hrs 00/100)]]*1.16</f>
        <v>#N/A</v>
      </c>
    </row>
    <row r="3674" spans="1:26" ht="30" customHeight="1" x14ac:dyDescent="0.3">
      <c r="A3674" s="106"/>
      <c r="B3674" s="106"/>
      <c r="C3674" s="106"/>
      <c r="D3674" s="106"/>
      <c r="E3674" s="106"/>
      <c r="F3674" s="106"/>
      <c r="G3674" s="106"/>
      <c r="H3674" s="107"/>
      <c r="I3674" s="95"/>
      <c r="J3674" s="706"/>
      <c r="K3674" s="769"/>
      <c r="L3674" s="706"/>
      <c r="M3674" s="781"/>
      <c r="N3674" s="182"/>
      <c r="O3674" s="188"/>
      <c r="P3674" s="221"/>
      <c r="Q3674" s="106"/>
      <c r="R3674" s="108"/>
      <c r="S3674" s="108"/>
      <c r="T3674" s="108"/>
      <c r="U3674" s="108" t="str">
        <f>IFERROR(VLOOKUP(CONCATENATE(Tabla1[[#This Row],[Severidad]]," ",Tabla1[[#This Row],[Complejidad]]),Catalogos!E$120:G$128,3,FALSE),"")</f>
        <v/>
      </c>
      <c r="V3674" s="108" t="str">
        <f>IF(Tabla1[[#This Row],[Tiempo solución max (hrs)]]&lt;&gt;"",IF(Tabla1[[#This Row],[Tiempo solución max (hrs)]]&gt;=Tabla1[[#This Row],[Tiempo
(Hrs 00/100)]],"cumple","no cumple"),"")</f>
        <v/>
      </c>
      <c r="W3674" s="17"/>
      <c r="X3674" s="18">
        <f t="shared" si="247"/>
        <v>0</v>
      </c>
      <c r="Y3674" t="str">
        <f>SUBSTITUTE(Tabla1[[#This Row],[Descripción]],CHAR(10),"    I    ")</f>
        <v/>
      </c>
      <c r="Z3674" s="112" t="e">
        <f>VLOOKUP(Tabla1[[#This Row],[Perfil]],Catalogos!$B$75:$D$100,3,FALSE)*Tabla1[[#This Row],[Tiempo
(Hrs 00/100)]]*1.16</f>
        <v>#N/A</v>
      </c>
    </row>
    <row r="3675" spans="1:26" ht="30" customHeight="1" x14ac:dyDescent="0.3">
      <c r="A3675" s="106"/>
      <c r="B3675" s="106"/>
      <c r="C3675" s="106"/>
      <c r="D3675" s="106"/>
      <c r="E3675" s="106"/>
      <c r="F3675" s="106"/>
      <c r="G3675" s="106"/>
      <c r="H3675" s="107"/>
      <c r="I3675" s="95"/>
      <c r="J3675" s="706"/>
      <c r="K3675" s="769"/>
      <c r="L3675" s="706"/>
      <c r="M3675" s="781"/>
      <c r="N3675" s="182"/>
      <c r="O3675" s="188"/>
      <c r="P3675" s="221"/>
      <c r="Q3675" s="106"/>
      <c r="R3675" s="108"/>
      <c r="S3675" s="108"/>
      <c r="T3675" s="108"/>
      <c r="U3675" s="108" t="str">
        <f>IFERROR(VLOOKUP(CONCATENATE(Tabla1[[#This Row],[Severidad]]," ",Tabla1[[#This Row],[Complejidad]]),Catalogos!E$120:G$128,3,FALSE),"")</f>
        <v/>
      </c>
      <c r="V3675" s="108" t="str">
        <f>IF(Tabla1[[#This Row],[Tiempo solución max (hrs)]]&lt;&gt;"",IF(Tabla1[[#This Row],[Tiempo solución max (hrs)]]&gt;=Tabla1[[#This Row],[Tiempo
(Hrs 00/100)]],"cumple","no cumple"),"")</f>
        <v/>
      </c>
      <c r="W3675" s="17"/>
      <c r="X3675" s="18">
        <f t="shared" si="247"/>
        <v>0</v>
      </c>
      <c r="Y3675" t="str">
        <f>SUBSTITUTE(Tabla1[[#This Row],[Descripción]],CHAR(10),"    I    ")</f>
        <v/>
      </c>
      <c r="Z3675" s="112" t="e">
        <f>VLOOKUP(Tabla1[[#This Row],[Perfil]],Catalogos!$B$75:$D$100,3,FALSE)*Tabla1[[#This Row],[Tiempo
(Hrs 00/100)]]*1.16</f>
        <v>#N/A</v>
      </c>
    </row>
    <row r="3676" spans="1:26" ht="30" customHeight="1" x14ac:dyDescent="0.3">
      <c r="A3676" s="106"/>
      <c r="B3676" s="106"/>
      <c r="C3676" s="106"/>
      <c r="D3676" s="106"/>
      <c r="E3676" s="106"/>
      <c r="F3676" s="106"/>
      <c r="G3676" s="106"/>
      <c r="H3676" s="107"/>
      <c r="I3676" s="95"/>
      <c r="J3676" s="706"/>
      <c r="K3676" s="769"/>
      <c r="L3676" s="706"/>
      <c r="M3676" s="781"/>
      <c r="N3676" s="182"/>
      <c r="O3676" s="188"/>
      <c r="P3676" s="221"/>
      <c r="Q3676" s="106"/>
      <c r="R3676" s="108"/>
      <c r="S3676" s="108"/>
      <c r="T3676" s="108"/>
      <c r="U3676" s="108" t="str">
        <f>IFERROR(VLOOKUP(CONCATENATE(Tabla1[[#This Row],[Severidad]]," ",Tabla1[[#This Row],[Complejidad]]),Catalogos!E$120:G$128,3,FALSE),"")</f>
        <v/>
      </c>
      <c r="V3676" s="108" t="str">
        <f>IF(Tabla1[[#This Row],[Tiempo solución max (hrs)]]&lt;&gt;"",IF(Tabla1[[#This Row],[Tiempo solución max (hrs)]]&gt;=Tabla1[[#This Row],[Tiempo
(Hrs 00/100)]],"cumple","no cumple"),"")</f>
        <v/>
      </c>
      <c r="W3676" s="17"/>
      <c r="X3676" s="18">
        <f t="shared" si="247"/>
        <v>0</v>
      </c>
      <c r="Y3676" t="str">
        <f>SUBSTITUTE(Tabla1[[#This Row],[Descripción]],CHAR(10),"    I    ")</f>
        <v/>
      </c>
      <c r="Z3676" s="112" t="e">
        <f>VLOOKUP(Tabla1[[#This Row],[Perfil]],Catalogos!$B$75:$D$100,3,FALSE)*Tabla1[[#This Row],[Tiempo
(Hrs 00/100)]]*1.16</f>
        <v>#N/A</v>
      </c>
    </row>
    <row r="3677" spans="1:26" ht="30" customHeight="1" x14ac:dyDescent="0.3">
      <c r="A3677" s="106"/>
      <c r="B3677" s="106"/>
      <c r="C3677" s="106"/>
      <c r="D3677" s="106"/>
      <c r="E3677" s="106"/>
      <c r="F3677" s="106"/>
      <c r="G3677" s="106"/>
      <c r="H3677" s="107"/>
      <c r="I3677" s="95"/>
      <c r="J3677" s="706"/>
      <c r="K3677" s="769"/>
      <c r="L3677" s="706"/>
      <c r="M3677" s="781"/>
      <c r="N3677" s="182"/>
      <c r="O3677" s="188"/>
      <c r="P3677" s="221"/>
      <c r="Q3677" s="106"/>
      <c r="R3677" s="108"/>
      <c r="S3677" s="108"/>
      <c r="T3677" s="108"/>
      <c r="U3677" s="108" t="str">
        <f>IFERROR(VLOOKUP(CONCATENATE(Tabla1[[#This Row],[Severidad]]," ",Tabla1[[#This Row],[Complejidad]]),Catalogos!E$120:G$128,3,FALSE),"")</f>
        <v/>
      </c>
      <c r="V3677" s="108" t="str">
        <f>IF(Tabla1[[#This Row],[Tiempo solución max (hrs)]]&lt;&gt;"",IF(Tabla1[[#This Row],[Tiempo solución max (hrs)]]&gt;=Tabla1[[#This Row],[Tiempo
(Hrs 00/100)]],"cumple","no cumple"),"")</f>
        <v/>
      </c>
      <c r="W3677" s="17"/>
      <c r="X3677" s="18">
        <f t="shared" si="247"/>
        <v>0</v>
      </c>
      <c r="Y3677" t="str">
        <f>SUBSTITUTE(Tabla1[[#This Row],[Descripción]],CHAR(10),"    I    ")</f>
        <v/>
      </c>
      <c r="Z3677" s="112" t="e">
        <f>VLOOKUP(Tabla1[[#This Row],[Perfil]],Catalogos!$B$75:$D$100,3,FALSE)*Tabla1[[#This Row],[Tiempo
(Hrs 00/100)]]*1.16</f>
        <v>#N/A</v>
      </c>
    </row>
    <row r="3678" spans="1:26" ht="30" customHeight="1" x14ac:dyDescent="0.3">
      <c r="A3678" s="106"/>
      <c r="B3678" s="106"/>
      <c r="C3678" s="106"/>
      <c r="D3678" s="106"/>
      <c r="E3678" s="106"/>
      <c r="F3678" s="106"/>
      <c r="G3678" s="106"/>
      <c r="H3678" s="107"/>
      <c r="I3678" s="95"/>
      <c r="J3678" s="706"/>
      <c r="K3678" s="769"/>
      <c r="L3678" s="706"/>
      <c r="M3678" s="781"/>
      <c r="N3678" s="182"/>
      <c r="O3678" s="188"/>
      <c r="P3678" s="221"/>
      <c r="Q3678" s="106"/>
      <c r="R3678" s="108"/>
      <c r="S3678" s="108"/>
      <c r="T3678" s="108"/>
      <c r="U3678" s="108" t="str">
        <f>IFERROR(VLOOKUP(CONCATENATE(Tabla1[[#This Row],[Severidad]]," ",Tabla1[[#This Row],[Complejidad]]),Catalogos!E$120:G$128,3,FALSE),"")</f>
        <v/>
      </c>
      <c r="V3678" s="108" t="str">
        <f>IF(Tabla1[[#This Row],[Tiempo solución max (hrs)]]&lt;&gt;"",IF(Tabla1[[#This Row],[Tiempo solución max (hrs)]]&gt;=Tabla1[[#This Row],[Tiempo
(Hrs 00/100)]],"cumple","no cumple"),"")</f>
        <v/>
      </c>
      <c r="W3678" s="17"/>
      <c r="X3678" s="18">
        <f t="shared" si="247"/>
        <v>0</v>
      </c>
      <c r="Y3678" t="str">
        <f>SUBSTITUTE(Tabla1[[#This Row],[Descripción]],CHAR(10),"    I    ")</f>
        <v/>
      </c>
      <c r="Z3678" s="112" t="e">
        <f>VLOOKUP(Tabla1[[#This Row],[Perfil]],Catalogos!$B$75:$D$100,3,FALSE)*Tabla1[[#This Row],[Tiempo
(Hrs 00/100)]]*1.16</f>
        <v>#N/A</v>
      </c>
    </row>
    <row r="3679" spans="1:26" ht="30" customHeight="1" x14ac:dyDescent="0.3">
      <c r="A3679" s="106"/>
      <c r="B3679" s="106"/>
      <c r="C3679" s="106"/>
      <c r="D3679" s="106"/>
      <c r="E3679" s="106"/>
      <c r="F3679" s="106"/>
      <c r="G3679" s="106"/>
      <c r="H3679" s="107"/>
      <c r="I3679" s="95"/>
      <c r="J3679" s="706"/>
      <c r="K3679" s="769"/>
      <c r="L3679" s="706"/>
      <c r="M3679" s="781"/>
      <c r="N3679" s="182"/>
      <c r="O3679" s="188"/>
      <c r="P3679" s="221"/>
      <c r="Q3679" s="106"/>
      <c r="R3679" s="108"/>
      <c r="S3679" s="108"/>
      <c r="T3679" s="108"/>
      <c r="U3679" s="108" t="str">
        <f>IFERROR(VLOOKUP(CONCATENATE(Tabla1[[#This Row],[Severidad]]," ",Tabla1[[#This Row],[Complejidad]]),Catalogos!E$120:G$128,3,FALSE),"")</f>
        <v/>
      </c>
      <c r="V3679" s="108" t="str">
        <f>IF(Tabla1[[#This Row],[Tiempo solución max (hrs)]]&lt;&gt;"",IF(Tabla1[[#This Row],[Tiempo solución max (hrs)]]&gt;=Tabla1[[#This Row],[Tiempo
(Hrs 00/100)]],"cumple","no cumple"),"")</f>
        <v/>
      </c>
      <c r="W3679" s="17"/>
      <c r="X3679" s="18">
        <f t="shared" si="247"/>
        <v>0</v>
      </c>
      <c r="Y3679" t="str">
        <f>SUBSTITUTE(Tabla1[[#This Row],[Descripción]],CHAR(10),"    I    ")</f>
        <v/>
      </c>
      <c r="Z3679" s="112" t="e">
        <f>VLOOKUP(Tabla1[[#This Row],[Perfil]],Catalogos!$B$75:$D$100,3,FALSE)*Tabla1[[#This Row],[Tiempo
(Hrs 00/100)]]*1.16</f>
        <v>#N/A</v>
      </c>
    </row>
    <row r="3680" spans="1:26" ht="30" customHeight="1" x14ac:dyDescent="0.3">
      <c r="A3680" s="106"/>
      <c r="B3680" s="106"/>
      <c r="C3680" s="106"/>
      <c r="D3680" s="106"/>
      <c r="E3680" s="106"/>
      <c r="F3680" s="106"/>
      <c r="G3680" s="106"/>
      <c r="H3680" s="107"/>
      <c r="I3680" s="95"/>
      <c r="J3680" s="706"/>
      <c r="K3680" s="769"/>
      <c r="L3680" s="706"/>
      <c r="M3680" s="781"/>
      <c r="N3680" s="182"/>
      <c r="O3680" s="188"/>
      <c r="P3680" s="221"/>
      <c r="Q3680" s="106"/>
      <c r="R3680" s="108"/>
      <c r="S3680" s="108"/>
      <c r="T3680" s="108"/>
      <c r="U3680" s="108" t="str">
        <f>IFERROR(VLOOKUP(CONCATENATE(Tabla1[[#This Row],[Severidad]]," ",Tabla1[[#This Row],[Complejidad]]),Catalogos!E$120:G$128,3,FALSE),"")</f>
        <v/>
      </c>
      <c r="V3680" s="108" t="str">
        <f>IF(Tabla1[[#This Row],[Tiempo solución max (hrs)]]&lt;&gt;"",IF(Tabla1[[#This Row],[Tiempo solución max (hrs)]]&gt;=Tabla1[[#This Row],[Tiempo
(Hrs 00/100)]],"cumple","no cumple"),"")</f>
        <v/>
      </c>
      <c r="W3680" s="17"/>
      <c r="X3680" s="18">
        <f t="shared" si="247"/>
        <v>0</v>
      </c>
      <c r="Y3680" t="str">
        <f>SUBSTITUTE(Tabla1[[#This Row],[Descripción]],CHAR(10),"    I    ")</f>
        <v/>
      </c>
      <c r="Z3680" s="112" t="e">
        <f>VLOOKUP(Tabla1[[#This Row],[Perfil]],Catalogos!$B$75:$D$100,3,FALSE)*Tabla1[[#This Row],[Tiempo
(Hrs 00/100)]]*1.16</f>
        <v>#N/A</v>
      </c>
    </row>
    <row r="3681" spans="1:26" ht="30" customHeight="1" x14ac:dyDescent="0.3">
      <c r="A3681" s="106"/>
      <c r="B3681" s="106"/>
      <c r="C3681" s="106"/>
      <c r="D3681" s="106"/>
      <c r="E3681" s="106"/>
      <c r="F3681" s="106"/>
      <c r="G3681" s="106"/>
      <c r="H3681" s="107"/>
      <c r="I3681" s="95"/>
      <c r="J3681" s="706"/>
      <c r="K3681" s="769"/>
      <c r="L3681" s="706"/>
      <c r="M3681" s="781"/>
      <c r="N3681" s="182"/>
      <c r="O3681" s="188"/>
      <c r="P3681" s="221"/>
      <c r="Q3681" s="106"/>
      <c r="R3681" s="108"/>
      <c r="S3681" s="108"/>
      <c r="T3681" s="108"/>
      <c r="U3681" s="108" t="str">
        <f>IFERROR(VLOOKUP(CONCATENATE(Tabla1[[#This Row],[Severidad]]," ",Tabla1[[#This Row],[Complejidad]]),Catalogos!E$120:G$128,3,FALSE),"")</f>
        <v/>
      </c>
      <c r="V3681" s="108" t="str">
        <f>IF(Tabla1[[#This Row],[Tiempo solución max (hrs)]]&lt;&gt;"",IF(Tabla1[[#This Row],[Tiempo solución max (hrs)]]&gt;=Tabla1[[#This Row],[Tiempo
(Hrs 00/100)]],"cumple","no cumple"),"")</f>
        <v/>
      </c>
      <c r="W3681" s="17"/>
      <c r="X3681" s="18">
        <f t="shared" si="247"/>
        <v>0</v>
      </c>
      <c r="Y3681" t="str">
        <f>SUBSTITUTE(Tabla1[[#This Row],[Descripción]],CHAR(10),"    I    ")</f>
        <v/>
      </c>
      <c r="Z3681" s="112" t="e">
        <f>VLOOKUP(Tabla1[[#This Row],[Perfil]],Catalogos!$B$75:$D$100,3,FALSE)*Tabla1[[#This Row],[Tiempo
(Hrs 00/100)]]*1.16</f>
        <v>#N/A</v>
      </c>
    </row>
    <row r="3682" spans="1:26" ht="30" customHeight="1" x14ac:dyDescent="0.3">
      <c r="A3682" s="106"/>
      <c r="B3682" s="106"/>
      <c r="C3682" s="106"/>
      <c r="D3682" s="106"/>
      <c r="E3682" s="106"/>
      <c r="F3682" s="106"/>
      <c r="G3682" s="106"/>
      <c r="H3682" s="107"/>
      <c r="I3682" s="95"/>
      <c r="J3682" s="706"/>
      <c r="K3682" s="769"/>
      <c r="L3682" s="706"/>
      <c r="M3682" s="781"/>
      <c r="N3682" s="182"/>
      <c r="O3682" s="188"/>
      <c r="P3682" s="221"/>
      <c r="Q3682" s="106"/>
      <c r="R3682" s="108"/>
      <c r="S3682" s="108"/>
      <c r="T3682" s="108"/>
      <c r="U3682" s="108" t="str">
        <f>IFERROR(VLOOKUP(CONCATENATE(Tabla1[[#This Row],[Severidad]]," ",Tabla1[[#This Row],[Complejidad]]),Catalogos!E$120:G$128,3,FALSE),"")</f>
        <v/>
      </c>
      <c r="V3682" s="108" t="str">
        <f>IF(Tabla1[[#This Row],[Tiempo solución max (hrs)]]&lt;&gt;"",IF(Tabla1[[#This Row],[Tiempo solución max (hrs)]]&gt;=Tabla1[[#This Row],[Tiempo
(Hrs 00/100)]],"cumple","no cumple"),"")</f>
        <v/>
      </c>
      <c r="W3682" s="17"/>
      <c r="X3682" s="18">
        <f t="shared" si="247"/>
        <v>0</v>
      </c>
      <c r="Y3682" t="str">
        <f>SUBSTITUTE(Tabla1[[#This Row],[Descripción]],CHAR(10),"    I    ")</f>
        <v/>
      </c>
      <c r="Z3682" s="112" t="e">
        <f>VLOOKUP(Tabla1[[#This Row],[Perfil]],Catalogos!$B$75:$D$100,3,FALSE)*Tabla1[[#This Row],[Tiempo
(Hrs 00/100)]]*1.16</f>
        <v>#N/A</v>
      </c>
    </row>
    <row r="3683" spans="1:26" ht="30" customHeight="1" x14ac:dyDescent="0.3">
      <c r="A3683" s="106"/>
      <c r="B3683" s="106"/>
      <c r="C3683" s="106"/>
      <c r="D3683" s="106"/>
      <c r="E3683" s="106"/>
      <c r="F3683" s="106"/>
      <c r="G3683" s="106"/>
      <c r="H3683" s="107"/>
      <c r="I3683" s="95"/>
      <c r="J3683" s="706"/>
      <c r="K3683" s="769"/>
      <c r="L3683" s="706"/>
      <c r="M3683" s="781"/>
      <c r="N3683" s="182"/>
      <c r="O3683" s="188"/>
      <c r="P3683" s="221"/>
      <c r="Q3683" s="106"/>
      <c r="R3683" s="108"/>
      <c r="S3683" s="108"/>
      <c r="T3683" s="108"/>
      <c r="U3683" s="108" t="str">
        <f>IFERROR(VLOOKUP(CONCATENATE(Tabla1[[#This Row],[Severidad]]," ",Tabla1[[#This Row],[Complejidad]]),Catalogos!E$120:G$128,3,FALSE),"")</f>
        <v/>
      </c>
      <c r="V3683" s="108" t="str">
        <f>IF(Tabla1[[#This Row],[Tiempo solución max (hrs)]]&lt;&gt;"",IF(Tabla1[[#This Row],[Tiempo solución max (hrs)]]&gt;=Tabla1[[#This Row],[Tiempo
(Hrs 00/100)]],"cumple","no cumple"),"")</f>
        <v/>
      </c>
      <c r="W3683" s="17"/>
      <c r="X3683" s="18">
        <f t="shared" si="247"/>
        <v>0</v>
      </c>
      <c r="Y3683" t="str">
        <f>SUBSTITUTE(Tabla1[[#This Row],[Descripción]],CHAR(10),"    I    ")</f>
        <v/>
      </c>
      <c r="Z3683" s="112" t="e">
        <f>VLOOKUP(Tabla1[[#This Row],[Perfil]],Catalogos!$B$75:$D$100,3,FALSE)*Tabla1[[#This Row],[Tiempo
(Hrs 00/100)]]*1.16</f>
        <v>#N/A</v>
      </c>
    </row>
    <row r="3684" spans="1:26" ht="30" customHeight="1" x14ac:dyDescent="0.3">
      <c r="A3684" s="106"/>
      <c r="B3684" s="106"/>
      <c r="C3684" s="106"/>
      <c r="D3684" s="106"/>
      <c r="E3684" s="106"/>
      <c r="F3684" s="106"/>
      <c r="G3684" s="106"/>
      <c r="H3684" s="107"/>
      <c r="I3684" s="95"/>
      <c r="J3684" s="706"/>
      <c r="K3684" s="769"/>
      <c r="L3684" s="706"/>
      <c r="M3684" s="781"/>
      <c r="N3684" s="182"/>
      <c r="O3684" s="188"/>
      <c r="P3684" s="221"/>
      <c r="Q3684" s="106"/>
      <c r="R3684" s="108"/>
      <c r="S3684" s="108"/>
      <c r="T3684" s="108"/>
      <c r="U3684" s="108" t="str">
        <f>IFERROR(VLOOKUP(CONCATENATE(Tabla1[[#This Row],[Severidad]]," ",Tabla1[[#This Row],[Complejidad]]),Catalogos!E$120:G$128,3,FALSE),"")</f>
        <v/>
      </c>
      <c r="V3684" s="108" t="str">
        <f>IF(Tabla1[[#This Row],[Tiempo solución max (hrs)]]&lt;&gt;"",IF(Tabla1[[#This Row],[Tiempo solución max (hrs)]]&gt;=Tabla1[[#This Row],[Tiempo
(Hrs 00/100)]],"cumple","no cumple"),"")</f>
        <v/>
      </c>
      <c r="W3684" s="17"/>
      <c r="X3684" s="18">
        <f t="shared" si="247"/>
        <v>0</v>
      </c>
      <c r="Y3684" t="str">
        <f>SUBSTITUTE(Tabla1[[#This Row],[Descripción]],CHAR(10),"    I    ")</f>
        <v/>
      </c>
      <c r="Z3684" s="112" t="e">
        <f>VLOOKUP(Tabla1[[#This Row],[Perfil]],Catalogos!$B$75:$D$100,3,FALSE)*Tabla1[[#This Row],[Tiempo
(Hrs 00/100)]]*1.16</f>
        <v>#N/A</v>
      </c>
    </row>
    <row r="3685" spans="1:26" ht="30" customHeight="1" x14ac:dyDescent="0.3">
      <c r="A3685" s="106"/>
      <c r="B3685" s="106"/>
      <c r="C3685" s="106"/>
      <c r="D3685" s="106"/>
      <c r="E3685" s="106"/>
      <c r="F3685" s="106"/>
      <c r="G3685" s="106"/>
      <c r="H3685" s="107"/>
      <c r="I3685" s="95"/>
      <c r="J3685" s="706"/>
      <c r="K3685" s="769"/>
      <c r="L3685" s="706"/>
      <c r="M3685" s="781"/>
      <c r="N3685" s="182"/>
      <c r="O3685" s="188"/>
      <c r="P3685" s="221"/>
      <c r="Q3685" s="106"/>
      <c r="R3685" s="108"/>
      <c r="S3685" s="108"/>
      <c r="T3685" s="108"/>
      <c r="U3685" s="108" t="str">
        <f>IFERROR(VLOOKUP(CONCATENATE(Tabla1[[#This Row],[Severidad]]," ",Tabla1[[#This Row],[Complejidad]]),Catalogos!E$120:G$128,3,FALSE),"")</f>
        <v/>
      </c>
      <c r="V3685" s="108" t="str">
        <f>IF(Tabla1[[#This Row],[Tiempo solución max (hrs)]]&lt;&gt;"",IF(Tabla1[[#This Row],[Tiempo solución max (hrs)]]&gt;=Tabla1[[#This Row],[Tiempo
(Hrs 00/100)]],"cumple","no cumple"),"")</f>
        <v/>
      </c>
      <c r="W3685" s="17"/>
      <c r="X3685" s="18">
        <f t="shared" si="247"/>
        <v>0</v>
      </c>
      <c r="Y3685" t="str">
        <f>SUBSTITUTE(Tabla1[[#This Row],[Descripción]],CHAR(10),"    I    ")</f>
        <v/>
      </c>
      <c r="Z3685" s="112" t="e">
        <f>VLOOKUP(Tabla1[[#This Row],[Perfil]],Catalogos!$B$75:$D$100,3,FALSE)*Tabla1[[#This Row],[Tiempo
(Hrs 00/100)]]*1.16</f>
        <v>#N/A</v>
      </c>
    </row>
    <row r="3686" spans="1:26" ht="30" customHeight="1" x14ac:dyDescent="0.3">
      <c r="A3686" s="106"/>
      <c r="B3686" s="106"/>
      <c r="C3686" s="106"/>
      <c r="D3686" s="106"/>
      <c r="E3686" s="106"/>
      <c r="F3686" s="106"/>
      <c r="G3686" s="106"/>
      <c r="H3686" s="107"/>
      <c r="I3686" s="95"/>
      <c r="J3686" s="706"/>
      <c r="K3686" s="769"/>
      <c r="L3686" s="706"/>
      <c r="M3686" s="781"/>
      <c r="N3686" s="182"/>
      <c r="O3686" s="188"/>
      <c r="P3686" s="221"/>
      <c r="Q3686" s="106"/>
      <c r="R3686" s="108"/>
      <c r="S3686" s="108"/>
      <c r="T3686" s="108"/>
      <c r="U3686" s="108" t="str">
        <f>IFERROR(VLOOKUP(CONCATENATE(Tabla1[[#This Row],[Severidad]]," ",Tabla1[[#This Row],[Complejidad]]),Catalogos!E$120:G$128,3,FALSE),"")</f>
        <v/>
      </c>
      <c r="V3686" s="108" t="str">
        <f>IF(Tabla1[[#This Row],[Tiempo solución max (hrs)]]&lt;&gt;"",IF(Tabla1[[#This Row],[Tiempo solución max (hrs)]]&gt;=Tabla1[[#This Row],[Tiempo
(Hrs 00/100)]],"cumple","no cumple"),"")</f>
        <v/>
      </c>
      <c r="W3686" s="17"/>
      <c r="X3686" s="18">
        <f t="shared" si="247"/>
        <v>0</v>
      </c>
      <c r="Y3686" t="str">
        <f>SUBSTITUTE(Tabla1[[#This Row],[Descripción]],CHAR(10),"    I    ")</f>
        <v/>
      </c>
      <c r="Z3686" s="112" t="e">
        <f>VLOOKUP(Tabla1[[#This Row],[Perfil]],Catalogos!$B$75:$D$100,3,FALSE)*Tabla1[[#This Row],[Tiempo
(Hrs 00/100)]]*1.16</f>
        <v>#N/A</v>
      </c>
    </row>
    <row r="3687" spans="1:26" ht="30" customHeight="1" x14ac:dyDescent="0.3">
      <c r="A3687" s="106"/>
      <c r="B3687" s="106"/>
      <c r="C3687" s="106"/>
      <c r="D3687" s="106"/>
      <c r="E3687" s="106"/>
      <c r="F3687" s="106"/>
      <c r="G3687" s="106"/>
      <c r="H3687" s="107"/>
      <c r="I3687" s="95"/>
      <c r="J3687" s="706"/>
      <c r="K3687" s="769"/>
      <c r="L3687" s="706"/>
      <c r="M3687" s="781"/>
      <c r="N3687" s="182"/>
      <c r="O3687" s="188"/>
      <c r="P3687" s="221"/>
      <c r="Q3687" s="106"/>
      <c r="R3687" s="108"/>
      <c r="S3687" s="108"/>
      <c r="T3687" s="108"/>
      <c r="U3687" s="108" t="str">
        <f>IFERROR(VLOOKUP(CONCATENATE(Tabla1[[#This Row],[Severidad]]," ",Tabla1[[#This Row],[Complejidad]]),Catalogos!E$120:G$128,3,FALSE),"")</f>
        <v/>
      </c>
      <c r="V3687" s="108" t="str">
        <f>IF(Tabla1[[#This Row],[Tiempo solución max (hrs)]]&lt;&gt;"",IF(Tabla1[[#This Row],[Tiempo solución max (hrs)]]&gt;=Tabla1[[#This Row],[Tiempo
(Hrs 00/100)]],"cumple","no cumple"),"")</f>
        <v/>
      </c>
      <c r="W3687" s="17"/>
      <c r="X3687" s="18">
        <f t="shared" si="247"/>
        <v>0</v>
      </c>
      <c r="Y3687" t="str">
        <f>SUBSTITUTE(Tabla1[[#This Row],[Descripción]],CHAR(10),"    I    ")</f>
        <v/>
      </c>
      <c r="Z3687" s="112" t="e">
        <f>VLOOKUP(Tabla1[[#This Row],[Perfil]],Catalogos!$B$75:$D$100,3,FALSE)*Tabla1[[#This Row],[Tiempo
(Hrs 00/100)]]*1.16</f>
        <v>#N/A</v>
      </c>
    </row>
    <row r="3688" spans="1:26" ht="30" customHeight="1" x14ac:dyDescent="0.3">
      <c r="A3688" s="106"/>
      <c r="B3688" s="106"/>
      <c r="C3688" s="106"/>
      <c r="D3688" s="106"/>
      <c r="E3688" s="106"/>
      <c r="F3688" s="106"/>
      <c r="G3688" s="106"/>
      <c r="H3688" s="107"/>
      <c r="I3688" s="95"/>
      <c r="J3688" s="706"/>
      <c r="K3688" s="769"/>
      <c r="L3688" s="706"/>
      <c r="M3688" s="781"/>
      <c r="N3688" s="182"/>
      <c r="O3688" s="188"/>
      <c r="P3688" s="221"/>
      <c r="Q3688" s="106"/>
      <c r="R3688" s="108"/>
      <c r="S3688" s="108"/>
      <c r="T3688" s="108"/>
      <c r="U3688" s="108" t="str">
        <f>IFERROR(VLOOKUP(CONCATENATE(Tabla1[[#This Row],[Severidad]]," ",Tabla1[[#This Row],[Complejidad]]),Catalogos!E$120:G$128,3,FALSE),"")</f>
        <v/>
      </c>
      <c r="V3688" s="108" t="str">
        <f>IF(Tabla1[[#This Row],[Tiempo solución max (hrs)]]&lt;&gt;"",IF(Tabla1[[#This Row],[Tiempo solución max (hrs)]]&gt;=Tabla1[[#This Row],[Tiempo
(Hrs 00/100)]],"cumple","no cumple"),"")</f>
        <v/>
      </c>
      <c r="W3688" s="17"/>
      <c r="X3688" s="18">
        <f t="shared" si="247"/>
        <v>0</v>
      </c>
      <c r="Y3688" t="str">
        <f>SUBSTITUTE(Tabla1[[#This Row],[Descripción]],CHAR(10),"    I    ")</f>
        <v/>
      </c>
      <c r="Z3688" s="112" t="e">
        <f>VLOOKUP(Tabla1[[#This Row],[Perfil]],Catalogos!$B$75:$D$100,3,FALSE)*Tabla1[[#This Row],[Tiempo
(Hrs 00/100)]]*1.16</f>
        <v>#N/A</v>
      </c>
    </row>
    <row r="3689" spans="1:26" ht="30" customHeight="1" x14ac:dyDescent="0.3">
      <c r="A3689" s="106"/>
      <c r="B3689" s="106"/>
      <c r="C3689" s="106"/>
      <c r="D3689" s="106"/>
      <c r="E3689" s="106"/>
      <c r="F3689" s="106"/>
      <c r="G3689" s="106"/>
      <c r="H3689" s="107"/>
      <c r="I3689" s="95"/>
      <c r="J3689" s="706"/>
      <c r="K3689" s="769"/>
      <c r="L3689" s="706"/>
      <c r="M3689" s="781"/>
      <c r="N3689" s="182"/>
      <c r="O3689" s="188"/>
      <c r="P3689" s="221"/>
      <c r="Q3689" s="106"/>
      <c r="R3689" s="108"/>
      <c r="S3689" s="108"/>
      <c r="T3689" s="108"/>
      <c r="U3689" s="108" t="str">
        <f>IFERROR(VLOOKUP(CONCATENATE(Tabla1[[#This Row],[Severidad]]," ",Tabla1[[#This Row],[Complejidad]]),Catalogos!E$120:G$128,3,FALSE),"")</f>
        <v/>
      </c>
      <c r="V3689" s="108" t="str">
        <f>IF(Tabla1[[#This Row],[Tiempo solución max (hrs)]]&lt;&gt;"",IF(Tabla1[[#This Row],[Tiempo solución max (hrs)]]&gt;=Tabla1[[#This Row],[Tiempo
(Hrs 00/100)]],"cumple","no cumple"),"")</f>
        <v/>
      </c>
      <c r="W3689" s="17"/>
      <c r="X3689" s="18">
        <f t="shared" si="247"/>
        <v>0</v>
      </c>
      <c r="Y3689" t="str">
        <f>SUBSTITUTE(Tabla1[[#This Row],[Descripción]],CHAR(10),"    I    ")</f>
        <v/>
      </c>
      <c r="Z3689" s="112" t="e">
        <f>VLOOKUP(Tabla1[[#This Row],[Perfil]],Catalogos!$B$75:$D$100,3,FALSE)*Tabla1[[#This Row],[Tiempo
(Hrs 00/100)]]*1.16</f>
        <v>#N/A</v>
      </c>
    </row>
    <row r="3690" spans="1:26" ht="30" customHeight="1" x14ac:dyDescent="0.3">
      <c r="A3690" s="106"/>
      <c r="B3690" s="106"/>
      <c r="C3690" s="106"/>
      <c r="D3690" s="106"/>
      <c r="E3690" s="106"/>
      <c r="F3690" s="106"/>
      <c r="G3690" s="106"/>
      <c r="H3690" s="107"/>
      <c r="I3690" s="95"/>
      <c r="J3690" s="706"/>
      <c r="K3690" s="769"/>
      <c r="L3690" s="706"/>
      <c r="M3690" s="781"/>
      <c r="N3690" s="182"/>
      <c r="O3690" s="188"/>
      <c r="P3690" s="221"/>
      <c r="Q3690" s="106"/>
      <c r="R3690" s="108"/>
      <c r="S3690" s="108"/>
      <c r="T3690" s="108"/>
      <c r="U3690" s="108" t="str">
        <f>IFERROR(VLOOKUP(CONCATENATE(Tabla1[[#This Row],[Severidad]]," ",Tabla1[[#This Row],[Complejidad]]),Catalogos!E$120:G$128,3,FALSE),"")</f>
        <v/>
      </c>
      <c r="V3690" s="108" t="str">
        <f>IF(Tabla1[[#This Row],[Tiempo solución max (hrs)]]&lt;&gt;"",IF(Tabla1[[#This Row],[Tiempo solución max (hrs)]]&gt;=Tabla1[[#This Row],[Tiempo
(Hrs 00/100)]],"cumple","no cumple"),"")</f>
        <v/>
      </c>
      <c r="W3690" s="17"/>
      <c r="X3690" s="18">
        <f t="shared" si="247"/>
        <v>0</v>
      </c>
      <c r="Y3690" t="str">
        <f>SUBSTITUTE(Tabla1[[#This Row],[Descripción]],CHAR(10),"    I    ")</f>
        <v/>
      </c>
      <c r="Z3690" s="112" t="e">
        <f>VLOOKUP(Tabla1[[#This Row],[Perfil]],Catalogos!$B$75:$D$100,3,FALSE)*Tabla1[[#This Row],[Tiempo
(Hrs 00/100)]]*1.16</f>
        <v>#N/A</v>
      </c>
    </row>
    <row r="3691" spans="1:26" ht="30" customHeight="1" x14ac:dyDescent="0.3">
      <c r="A3691" s="106"/>
      <c r="B3691" s="106"/>
      <c r="C3691" s="106"/>
      <c r="D3691" s="106"/>
      <c r="E3691" s="106"/>
      <c r="F3691" s="106"/>
      <c r="G3691" s="106"/>
      <c r="H3691" s="107"/>
      <c r="I3691" s="95"/>
      <c r="J3691" s="706"/>
      <c r="K3691" s="769"/>
      <c r="L3691" s="706"/>
      <c r="M3691" s="781"/>
      <c r="N3691" s="182"/>
      <c r="O3691" s="188"/>
      <c r="P3691" s="221"/>
      <c r="Q3691" s="106"/>
      <c r="R3691" s="108"/>
      <c r="S3691" s="108"/>
      <c r="T3691" s="108"/>
      <c r="U3691" s="108" t="str">
        <f>IFERROR(VLOOKUP(CONCATENATE(Tabla1[[#This Row],[Severidad]]," ",Tabla1[[#This Row],[Complejidad]]),Catalogos!E$120:G$128,3,FALSE),"")</f>
        <v/>
      </c>
      <c r="V3691" s="108" t="str">
        <f>IF(Tabla1[[#This Row],[Tiempo solución max (hrs)]]&lt;&gt;"",IF(Tabla1[[#This Row],[Tiempo solución max (hrs)]]&gt;=Tabla1[[#This Row],[Tiempo
(Hrs 00/100)]],"cumple","no cumple"),"")</f>
        <v/>
      </c>
      <c r="W3691" s="17"/>
      <c r="X3691" s="18">
        <f t="shared" si="247"/>
        <v>0</v>
      </c>
      <c r="Y3691" t="str">
        <f>SUBSTITUTE(Tabla1[[#This Row],[Descripción]],CHAR(10),"    I    ")</f>
        <v/>
      </c>
      <c r="Z3691" s="112" t="e">
        <f>VLOOKUP(Tabla1[[#This Row],[Perfil]],Catalogos!$B$75:$D$100,3,FALSE)*Tabla1[[#This Row],[Tiempo
(Hrs 00/100)]]*1.16</f>
        <v>#N/A</v>
      </c>
    </row>
    <row r="3692" spans="1:26" ht="30" customHeight="1" x14ac:dyDescent="0.3">
      <c r="A3692" s="106"/>
      <c r="B3692" s="106"/>
      <c r="C3692" s="106"/>
      <c r="D3692" s="106"/>
      <c r="E3692" s="106"/>
      <c r="F3692" s="106"/>
      <c r="G3692" s="106"/>
      <c r="H3692" s="107"/>
      <c r="I3692" s="95"/>
      <c r="J3692" s="706"/>
      <c r="K3692" s="769"/>
      <c r="L3692" s="706"/>
      <c r="M3692" s="781"/>
      <c r="N3692" s="182"/>
      <c r="O3692" s="188"/>
      <c r="P3692" s="221"/>
      <c r="Q3692" s="106"/>
      <c r="R3692" s="108"/>
      <c r="S3692" s="108"/>
      <c r="T3692" s="108"/>
      <c r="U3692" s="108" t="str">
        <f>IFERROR(VLOOKUP(CONCATENATE(Tabla1[[#This Row],[Severidad]]," ",Tabla1[[#This Row],[Complejidad]]),Catalogos!E$120:G$128,3,FALSE),"")</f>
        <v/>
      </c>
      <c r="V3692" s="108" t="str">
        <f>IF(Tabla1[[#This Row],[Tiempo solución max (hrs)]]&lt;&gt;"",IF(Tabla1[[#This Row],[Tiempo solución max (hrs)]]&gt;=Tabla1[[#This Row],[Tiempo
(Hrs 00/100)]],"cumple","no cumple"),"")</f>
        <v/>
      </c>
      <c r="W3692" s="17"/>
      <c r="X3692" s="18">
        <f t="shared" si="247"/>
        <v>0</v>
      </c>
      <c r="Y3692" t="str">
        <f>SUBSTITUTE(Tabla1[[#This Row],[Descripción]],CHAR(10),"    I    ")</f>
        <v/>
      </c>
      <c r="Z3692" s="112" t="e">
        <f>VLOOKUP(Tabla1[[#This Row],[Perfil]],Catalogos!$B$75:$D$100,3,FALSE)*Tabla1[[#This Row],[Tiempo
(Hrs 00/100)]]*1.16</f>
        <v>#N/A</v>
      </c>
    </row>
    <row r="3693" spans="1:26" ht="30" customHeight="1" x14ac:dyDescent="0.3">
      <c r="A3693" s="106"/>
      <c r="B3693" s="106"/>
      <c r="C3693" s="106"/>
      <c r="D3693" s="106"/>
      <c r="E3693" s="106"/>
      <c r="F3693" s="106"/>
      <c r="G3693" s="106"/>
      <c r="H3693" s="107"/>
      <c r="I3693" s="95"/>
      <c r="J3693" s="706"/>
      <c r="K3693" s="769"/>
      <c r="L3693" s="706"/>
      <c r="M3693" s="781"/>
      <c r="N3693" s="182"/>
      <c r="O3693" s="188"/>
      <c r="P3693" s="221"/>
      <c r="Q3693" s="106"/>
      <c r="R3693" s="108"/>
      <c r="S3693" s="108"/>
      <c r="T3693" s="108"/>
      <c r="U3693" s="108" t="str">
        <f>IFERROR(VLOOKUP(CONCATENATE(Tabla1[[#This Row],[Severidad]]," ",Tabla1[[#This Row],[Complejidad]]),Catalogos!E$120:G$128,3,FALSE),"")</f>
        <v/>
      </c>
      <c r="V3693" s="108" t="str">
        <f>IF(Tabla1[[#This Row],[Tiempo solución max (hrs)]]&lt;&gt;"",IF(Tabla1[[#This Row],[Tiempo solución max (hrs)]]&gt;=Tabla1[[#This Row],[Tiempo
(Hrs 00/100)]],"cumple","no cumple"),"")</f>
        <v/>
      </c>
      <c r="W3693" s="17"/>
      <c r="X3693" s="18">
        <f t="shared" si="247"/>
        <v>0</v>
      </c>
      <c r="Y3693" t="str">
        <f>SUBSTITUTE(Tabla1[[#This Row],[Descripción]],CHAR(10),"    I    ")</f>
        <v/>
      </c>
      <c r="Z3693" s="112" t="e">
        <f>VLOOKUP(Tabla1[[#This Row],[Perfil]],Catalogos!$B$75:$D$100,3,FALSE)*Tabla1[[#This Row],[Tiempo
(Hrs 00/100)]]*1.16</f>
        <v>#N/A</v>
      </c>
    </row>
    <row r="3694" spans="1:26" ht="30" customHeight="1" x14ac:dyDescent="0.3">
      <c r="A3694" s="106"/>
      <c r="B3694" s="106"/>
      <c r="C3694" s="106"/>
      <c r="D3694" s="106"/>
      <c r="E3694" s="106"/>
      <c r="F3694" s="106"/>
      <c r="G3694" s="106"/>
      <c r="H3694" s="107"/>
      <c r="I3694" s="95"/>
      <c r="J3694" s="706"/>
      <c r="K3694" s="769"/>
      <c r="L3694" s="706"/>
      <c r="M3694" s="781"/>
      <c r="N3694" s="182"/>
      <c r="O3694" s="188"/>
      <c r="P3694" s="221"/>
      <c r="Q3694" s="106"/>
      <c r="R3694" s="108"/>
      <c r="S3694" s="108"/>
      <c r="T3694" s="108"/>
      <c r="U3694" s="108" t="str">
        <f>IFERROR(VLOOKUP(CONCATENATE(Tabla1[[#This Row],[Severidad]]," ",Tabla1[[#This Row],[Complejidad]]),Catalogos!E$120:G$128,3,FALSE),"")</f>
        <v/>
      </c>
      <c r="V3694" s="108" t="str">
        <f>IF(Tabla1[[#This Row],[Tiempo solución max (hrs)]]&lt;&gt;"",IF(Tabla1[[#This Row],[Tiempo solución max (hrs)]]&gt;=Tabla1[[#This Row],[Tiempo
(Hrs 00/100)]],"cumple","no cumple"),"")</f>
        <v/>
      </c>
      <c r="W3694" s="17"/>
      <c r="X3694" s="18">
        <f t="shared" si="247"/>
        <v>0</v>
      </c>
      <c r="Y3694" t="str">
        <f>SUBSTITUTE(Tabla1[[#This Row],[Descripción]],CHAR(10),"    I    ")</f>
        <v/>
      </c>
      <c r="Z3694" s="112" t="e">
        <f>VLOOKUP(Tabla1[[#This Row],[Perfil]],Catalogos!$B$75:$D$100,3,FALSE)*Tabla1[[#This Row],[Tiempo
(Hrs 00/100)]]*1.16</f>
        <v>#N/A</v>
      </c>
    </row>
    <row r="3695" spans="1:26" ht="30" customHeight="1" x14ac:dyDescent="0.3">
      <c r="A3695" s="106"/>
      <c r="B3695" s="106"/>
      <c r="C3695" s="106"/>
      <c r="D3695" s="106"/>
      <c r="E3695" s="106"/>
      <c r="F3695" s="106"/>
      <c r="G3695" s="106"/>
      <c r="H3695" s="107"/>
      <c r="I3695" s="95"/>
      <c r="J3695" s="706"/>
      <c r="K3695" s="769"/>
      <c r="L3695" s="706"/>
      <c r="M3695" s="781"/>
      <c r="N3695" s="182"/>
      <c r="O3695" s="188"/>
      <c r="P3695" s="221"/>
      <c r="Q3695" s="106"/>
      <c r="R3695" s="108"/>
      <c r="S3695" s="108"/>
      <c r="T3695" s="108"/>
      <c r="U3695" s="108" t="str">
        <f>IFERROR(VLOOKUP(CONCATENATE(Tabla1[[#This Row],[Severidad]]," ",Tabla1[[#This Row],[Complejidad]]),Catalogos!E$120:G$128,3,FALSE),"")</f>
        <v/>
      </c>
      <c r="V3695" s="108" t="str">
        <f>IF(Tabla1[[#This Row],[Tiempo solución max (hrs)]]&lt;&gt;"",IF(Tabla1[[#This Row],[Tiempo solución max (hrs)]]&gt;=Tabla1[[#This Row],[Tiempo
(Hrs 00/100)]],"cumple","no cumple"),"")</f>
        <v/>
      </c>
      <c r="W3695" s="17"/>
      <c r="X3695" s="18">
        <f t="shared" si="247"/>
        <v>0</v>
      </c>
      <c r="Y3695" t="str">
        <f>SUBSTITUTE(Tabla1[[#This Row],[Descripción]],CHAR(10),"    I    ")</f>
        <v/>
      </c>
      <c r="Z3695" s="112" t="e">
        <f>VLOOKUP(Tabla1[[#This Row],[Perfil]],Catalogos!$B$75:$D$100,3,FALSE)*Tabla1[[#This Row],[Tiempo
(Hrs 00/100)]]*1.16</f>
        <v>#N/A</v>
      </c>
    </row>
    <row r="3696" spans="1:26" ht="30" customHeight="1" x14ac:dyDescent="0.3">
      <c r="A3696" s="106"/>
      <c r="B3696" s="106"/>
      <c r="C3696" s="106"/>
      <c r="D3696" s="106"/>
      <c r="E3696" s="106"/>
      <c r="F3696" s="106"/>
      <c r="G3696" s="106"/>
      <c r="H3696" s="107"/>
      <c r="I3696" s="95"/>
      <c r="J3696" s="706"/>
      <c r="K3696" s="769"/>
      <c r="L3696" s="706"/>
      <c r="M3696" s="781"/>
      <c r="N3696" s="182"/>
      <c r="O3696" s="188"/>
      <c r="P3696" s="221"/>
      <c r="Q3696" s="106"/>
      <c r="R3696" s="108"/>
      <c r="S3696" s="108"/>
      <c r="T3696" s="108"/>
      <c r="U3696" s="108" t="str">
        <f>IFERROR(VLOOKUP(CONCATENATE(Tabla1[[#This Row],[Severidad]]," ",Tabla1[[#This Row],[Complejidad]]),Catalogos!E$120:G$128,3,FALSE),"")</f>
        <v/>
      </c>
      <c r="V3696" s="108" t="str">
        <f>IF(Tabla1[[#This Row],[Tiempo solución max (hrs)]]&lt;&gt;"",IF(Tabla1[[#This Row],[Tiempo solución max (hrs)]]&gt;=Tabla1[[#This Row],[Tiempo
(Hrs 00/100)]],"cumple","no cumple"),"")</f>
        <v/>
      </c>
      <c r="W3696" s="17"/>
      <c r="X3696" s="18">
        <f t="shared" si="247"/>
        <v>0</v>
      </c>
      <c r="Y3696" t="str">
        <f>SUBSTITUTE(Tabla1[[#This Row],[Descripción]],CHAR(10),"    I    ")</f>
        <v/>
      </c>
      <c r="Z3696" s="112" t="e">
        <f>VLOOKUP(Tabla1[[#This Row],[Perfil]],Catalogos!$B$75:$D$100,3,FALSE)*Tabla1[[#This Row],[Tiempo
(Hrs 00/100)]]*1.16</f>
        <v>#N/A</v>
      </c>
    </row>
    <row r="3697" spans="1:26" ht="30" customHeight="1" x14ac:dyDescent="0.3">
      <c r="A3697" s="106"/>
      <c r="B3697" s="106"/>
      <c r="C3697" s="106"/>
      <c r="D3697" s="106"/>
      <c r="E3697" s="106"/>
      <c r="F3697" s="106"/>
      <c r="G3697" s="106"/>
      <c r="H3697" s="107"/>
      <c r="I3697" s="95"/>
      <c r="J3697" s="706"/>
      <c r="K3697" s="769"/>
      <c r="L3697" s="706"/>
      <c r="M3697" s="781"/>
      <c r="N3697" s="182"/>
      <c r="O3697" s="188"/>
      <c r="P3697" s="221"/>
      <c r="Q3697" s="106"/>
      <c r="R3697" s="108"/>
      <c r="S3697" s="108"/>
      <c r="T3697" s="108"/>
      <c r="U3697" s="108" t="str">
        <f>IFERROR(VLOOKUP(CONCATENATE(Tabla1[[#This Row],[Severidad]]," ",Tabla1[[#This Row],[Complejidad]]),Catalogos!E$120:G$128,3,FALSE),"")</f>
        <v/>
      </c>
      <c r="V3697" s="108" t="str">
        <f>IF(Tabla1[[#This Row],[Tiempo solución max (hrs)]]&lt;&gt;"",IF(Tabla1[[#This Row],[Tiempo solución max (hrs)]]&gt;=Tabla1[[#This Row],[Tiempo
(Hrs 00/100)]],"cumple","no cumple"),"")</f>
        <v/>
      </c>
      <c r="W3697" s="17"/>
      <c r="X3697" s="18">
        <f t="shared" si="247"/>
        <v>0</v>
      </c>
      <c r="Y3697" t="str">
        <f>SUBSTITUTE(Tabla1[[#This Row],[Descripción]],CHAR(10),"    I    ")</f>
        <v/>
      </c>
      <c r="Z3697" s="112" t="e">
        <f>VLOOKUP(Tabla1[[#This Row],[Perfil]],Catalogos!$B$75:$D$100,3,FALSE)*Tabla1[[#This Row],[Tiempo
(Hrs 00/100)]]*1.16</f>
        <v>#N/A</v>
      </c>
    </row>
    <row r="3698" spans="1:26" ht="30" customHeight="1" x14ac:dyDescent="0.3">
      <c r="A3698" s="106"/>
      <c r="B3698" s="106"/>
      <c r="C3698" s="106"/>
      <c r="D3698" s="106"/>
      <c r="E3698" s="106"/>
      <c r="F3698" s="106"/>
      <c r="G3698" s="106"/>
      <c r="H3698" s="107"/>
      <c r="I3698" s="95"/>
      <c r="J3698" s="706"/>
      <c r="K3698" s="769"/>
      <c r="L3698" s="706"/>
      <c r="M3698" s="781"/>
      <c r="N3698" s="182"/>
      <c r="O3698" s="188"/>
      <c r="P3698" s="221"/>
      <c r="Q3698" s="106"/>
      <c r="R3698" s="108"/>
      <c r="S3698" s="108"/>
      <c r="T3698" s="108"/>
      <c r="U3698" s="108" t="str">
        <f>IFERROR(VLOOKUP(CONCATENATE(Tabla1[[#This Row],[Severidad]]," ",Tabla1[[#This Row],[Complejidad]]),Catalogos!E$120:G$128,3,FALSE),"")</f>
        <v/>
      </c>
      <c r="V3698" s="108" t="str">
        <f>IF(Tabla1[[#This Row],[Tiempo solución max (hrs)]]&lt;&gt;"",IF(Tabla1[[#This Row],[Tiempo solución max (hrs)]]&gt;=Tabla1[[#This Row],[Tiempo
(Hrs 00/100)]],"cumple","no cumple"),"")</f>
        <v/>
      </c>
      <c r="W3698" s="17"/>
      <c r="X3698" s="18">
        <f t="shared" si="247"/>
        <v>0</v>
      </c>
      <c r="Y3698" t="str">
        <f>SUBSTITUTE(Tabla1[[#This Row],[Descripción]],CHAR(10),"    I    ")</f>
        <v/>
      </c>
      <c r="Z3698" s="112" t="e">
        <f>VLOOKUP(Tabla1[[#This Row],[Perfil]],Catalogos!$B$75:$D$100,3,FALSE)*Tabla1[[#This Row],[Tiempo
(Hrs 00/100)]]*1.16</f>
        <v>#N/A</v>
      </c>
    </row>
    <row r="3699" spans="1:26" ht="30" customHeight="1" x14ac:dyDescent="0.3">
      <c r="A3699" s="106"/>
      <c r="B3699" s="106"/>
      <c r="C3699" s="106"/>
      <c r="D3699" s="106"/>
      <c r="E3699" s="106"/>
      <c r="F3699" s="106"/>
      <c r="G3699" s="106"/>
      <c r="H3699" s="107"/>
      <c r="I3699" s="95"/>
      <c r="J3699" s="706"/>
      <c r="K3699" s="769"/>
      <c r="L3699" s="706"/>
      <c r="M3699" s="781"/>
      <c r="N3699" s="182"/>
      <c r="O3699" s="188"/>
      <c r="P3699" s="221"/>
      <c r="Q3699" s="106"/>
      <c r="R3699" s="108"/>
      <c r="S3699" s="108"/>
      <c r="T3699" s="108"/>
      <c r="U3699" s="108" t="str">
        <f>IFERROR(VLOOKUP(CONCATENATE(Tabla1[[#This Row],[Severidad]]," ",Tabla1[[#This Row],[Complejidad]]),Catalogos!E$120:G$128,3,FALSE),"")</f>
        <v/>
      </c>
      <c r="V3699" s="108" t="str">
        <f>IF(Tabla1[[#This Row],[Tiempo solución max (hrs)]]&lt;&gt;"",IF(Tabla1[[#This Row],[Tiempo solución max (hrs)]]&gt;=Tabla1[[#This Row],[Tiempo
(Hrs 00/100)]],"cumple","no cumple"),"")</f>
        <v/>
      </c>
      <c r="W3699" s="17"/>
      <c r="X3699" s="18">
        <f t="shared" si="247"/>
        <v>0</v>
      </c>
      <c r="Y3699" t="str">
        <f>SUBSTITUTE(Tabla1[[#This Row],[Descripción]],CHAR(10),"    I    ")</f>
        <v/>
      </c>
      <c r="Z3699" s="112" t="e">
        <f>VLOOKUP(Tabla1[[#This Row],[Perfil]],Catalogos!$B$75:$D$100,3,FALSE)*Tabla1[[#This Row],[Tiempo
(Hrs 00/100)]]*1.16</f>
        <v>#N/A</v>
      </c>
    </row>
    <row r="3700" spans="1:26" ht="30" customHeight="1" x14ac:dyDescent="0.3">
      <c r="A3700" s="106"/>
      <c r="B3700" s="106"/>
      <c r="C3700" s="106"/>
      <c r="D3700" s="106"/>
      <c r="E3700" s="106"/>
      <c r="F3700" s="106"/>
      <c r="G3700" s="106"/>
      <c r="H3700" s="107"/>
      <c r="I3700" s="95"/>
      <c r="J3700" s="706"/>
      <c r="K3700" s="769"/>
      <c r="L3700" s="706"/>
      <c r="M3700" s="781"/>
      <c r="N3700" s="182"/>
      <c r="O3700" s="188"/>
      <c r="P3700" s="221"/>
      <c r="Q3700" s="106"/>
      <c r="R3700" s="108"/>
      <c r="S3700" s="108"/>
      <c r="T3700" s="108"/>
      <c r="U3700" s="108" t="str">
        <f>IFERROR(VLOOKUP(CONCATENATE(Tabla1[[#This Row],[Severidad]]," ",Tabla1[[#This Row],[Complejidad]]),Catalogos!E$120:G$128,3,FALSE),"")</f>
        <v/>
      </c>
      <c r="V3700" s="108" t="str">
        <f>IF(Tabla1[[#This Row],[Tiempo solución max (hrs)]]&lt;&gt;"",IF(Tabla1[[#This Row],[Tiempo solución max (hrs)]]&gt;=Tabla1[[#This Row],[Tiempo
(Hrs 00/100)]],"cumple","no cumple"),"")</f>
        <v/>
      </c>
      <c r="W3700" s="17"/>
      <c r="X3700" s="18">
        <f t="shared" si="247"/>
        <v>0</v>
      </c>
      <c r="Y3700" t="str">
        <f>SUBSTITUTE(Tabla1[[#This Row],[Descripción]],CHAR(10),"    I    ")</f>
        <v/>
      </c>
      <c r="Z3700" s="112" t="e">
        <f>VLOOKUP(Tabla1[[#This Row],[Perfil]],Catalogos!$B$75:$D$100,3,FALSE)*Tabla1[[#This Row],[Tiempo
(Hrs 00/100)]]*1.16</f>
        <v>#N/A</v>
      </c>
    </row>
    <row r="3701" spans="1:26" ht="30" customHeight="1" x14ac:dyDescent="0.3">
      <c r="A3701" s="106"/>
      <c r="B3701" s="106"/>
      <c r="C3701" s="106"/>
      <c r="D3701" s="106"/>
      <c r="E3701" s="106"/>
      <c r="F3701" s="106"/>
      <c r="G3701" s="106"/>
      <c r="H3701" s="107"/>
      <c r="I3701" s="95"/>
      <c r="J3701" s="706"/>
      <c r="K3701" s="769"/>
      <c r="L3701" s="706"/>
      <c r="M3701" s="781"/>
      <c r="N3701" s="182"/>
      <c r="O3701" s="188"/>
      <c r="P3701" s="221"/>
      <c r="Q3701" s="106"/>
      <c r="R3701" s="108"/>
      <c r="S3701" s="108"/>
      <c r="T3701" s="108"/>
      <c r="U3701" s="108" t="str">
        <f>IFERROR(VLOOKUP(CONCATENATE(Tabla1[[#This Row],[Severidad]]," ",Tabla1[[#This Row],[Complejidad]]),Catalogos!E$120:G$128,3,FALSE),"")</f>
        <v/>
      </c>
      <c r="V3701" s="108" t="str">
        <f>IF(Tabla1[[#This Row],[Tiempo solución max (hrs)]]&lt;&gt;"",IF(Tabla1[[#This Row],[Tiempo solución max (hrs)]]&gt;=Tabla1[[#This Row],[Tiempo
(Hrs 00/100)]],"cumple","no cumple"),"")</f>
        <v/>
      </c>
      <c r="W3701" s="17"/>
      <c r="X3701" s="18">
        <f t="shared" si="247"/>
        <v>0</v>
      </c>
      <c r="Y3701" t="str">
        <f>SUBSTITUTE(Tabla1[[#This Row],[Descripción]],CHAR(10),"    I    ")</f>
        <v/>
      </c>
      <c r="Z3701" s="112" t="e">
        <f>VLOOKUP(Tabla1[[#This Row],[Perfil]],Catalogos!$B$75:$D$100,3,FALSE)*Tabla1[[#This Row],[Tiempo
(Hrs 00/100)]]*1.16</f>
        <v>#N/A</v>
      </c>
    </row>
    <row r="3702" spans="1:26" ht="30" customHeight="1" x14ac:dyDescent="0.3">
      <c r="A3702" s="106"/>
      <c r="B3702" s="106"/>
      <c r="C3702" s="106"/>
      <c r="D3702" s="106"/>
      <c r="E3702" s="106"/>
      <c r="F3702" s="106"/>
      <c r="G3702" s="106"/>
      <c r="H3702" s="107"/>
      <c r="I3702" s="95"/>
      <c r="J3702" s="706"/>
      <c r="K3702" s="769"/>
      <c r="L3702" s="706"/>
      <c r="M3702" s="781"/>
      <c r="N3702" s="182"/>
      <c r="O3702" s="188"/>
      <c r="P3702" s="221"/>
      <c r="Q3702" s="106"/>
      <c r="R3702" s="108"/>
      <c r="S3702" s="108"/>
      <c r="T3702" s="108"/>
      <c r="U3702" s="108" t="str">
        <f>IFERROR(VLOOKUP(CONCATENATE(Tabla1[[#This Row],[Severidad]]," ",Tabla1[[#This Row],[Complejidad]]),Catalogos!E$120:G$128,3,FALSE),"")</f>
        <v/>
      </c>
      <c r="V3702" s="108" t="str">
        <f>IF(Tabla1[[#This Row],[Tiempo solución max (hrs)]]&lt;&gt;"",IF(Tabla1[[#This Row],[Tiempo solución max (hrs)]]&gt;=Tabla1[[#This Row],[Tiempo
(Hrs 00/100)]],"cumple","no cumple"),"")</f>
        <v/>
      </c>
      <c r="W3702" s="17"/>
      <c r="X3702" s="18">
        <f t="shared" si="247"/>
        <v>0</v>
      </c>
      <c r="Y3702" t="str">
        <f>SUBSTITUTE(Tabla1[[#This Row],[Descripción]],CHAR(10),"    I    ")</f>
        <v/>
      </c>
      <c r="Z3702" s="112" t="e">
        <f>VLOOKUP(Tabla1[[#This Row],[Perfil]],Catalogos!$B$75:$D$100,3,FALSE)*Tabla1[[#This Row],[Tiempo
(Hrs 00/100)]]*1.16</f>
        <v>#N/A</v>
      </c>
    </row>
    <row r="3703" spans="1:26" ht="30" customHeight="1" x14ac:dyDescent="0.3">
      <c r="A3703" s="106"/>
      <c r="B3703" s="106"/>
      <c r="C3703" s="106"/>
      <c r="D3703" s="106"/>
      <c r="E3703" s="106"/>
      <c r="F3703" s="106"/>
      <c r="G3703" s="106"/>
      <c r="H3703" s="107"/>
      <c r="I3703" s="95"/>
      <c r="J3703" s="706"/>
      <c r="K3703" s="769"/>
      <c r="L3703" s="706"/>
      <c r="M3703" s="781"/>
      <c r="N3703" s="182"/>
      <c r="O3703" s="188"/>
      <c r="P3703" s="221"/>
      <c r="Q3703" s="106"/>
      <c r="R3703" s="108"/>
      <c r="S3703" s="108"/>
      <c r="T3703" s="108"/>
      <c r="U3703" s="108" t="str">
        <f>IFERROR(VLOOKUP(CONCATENATE(Tabla1[[#This Row],[Severidad]]," ",Tabla1[[#This Row],[Complejidad]]),Catalogos!E$120:G$128,3,FALSE),"")</f>
        <v/>
      </c>
      <c r="V3703" s="108" t="str">
        <f>IF(Tabla1[[#This Row],[Tiempo solución max (hrs)]]&lt;&gt;"",IF(Tabla1[[#This Row],[Tiempo solución max (hrs)]]&gt;=Tabla1[[#This Row],[Tiempo
(Hrs 00/100)]],"cumple","no cumple"),"")</f>
        <v/>
      </c>
      <c r="W3703" s="17"/>
      <c r="X3703" s="18">
        <f t="shared" si="247"/>
        <v>0</v>
      </c>
      <c r="Y3703" t="str">
        <f>SUBSTITUTE(Tabla1[[#This Row],[Descripción]],CHAR(10),"    I    ")</f>
        <v/>
      </c>
      <c r="Z3703" s="112" t="e">
        <f>VLOOKUP(Tabla1[[#This Row],[Perfil]],Catalogos!$B$75:$D$100,3,FALSE)*Tabla1[[#This Row],[Tiempo
(Hrs 00/100)]]*1.16</f>
        <v>#N/A</v>
      </c>
    </row>
    <row r="3704" spans="1:26" ht="30" customHeight="1" x14ac:dyDescent="0.3">
      <c r="A3704" s="106"/>
      <c r="B3704" s="106"/>
      <c r="C3704" s="106"/>
      <c r="D3704" s="106"/>
      <c r="E3704" s="106"/>
      <c r="F3704" s="106"/>
      <c r="G3704" s="106"/>
      <c r="H3704" s="107"/>
      <c r="I3704" s="95"/>
      <c r="J3704" s="706"/>
      <c r="K3704" s="769"/>
      <c r="L3704" s="706"/>
      <c r="M3704" s="781"/>
      <c r="N3704" s="182"/>
      <c r="O3704" s="188"/>
      <c r="P3704" s="221"/>
      <c r="Q3704" s="106"/>
      <c r="R3704" s="108"/>
      <c r="S3704" s="108"/>
      <c r="T3704" s="108"/>
      <c r="U3704" s="108" t="str">
        <f>IFERROR(VLOOKUP(CONCATENATE(Tabla1[[#This Row],[Severidad]]," ",Tabla1[[#This Row],[Complejidad]]),Catalogos!E$120:G$128,3,FALSE),"")</f>
        <v/>
      </c>
      <c r="V3704" s="108" t="str">
        <f>IF(Tabla1[[#This Row],[Tiempo solución max (hrs)]]&lt;&gt;"",IF(Tabla1[[#This Row],[Tiempo solución max (hrs)]]&gt;=Tabla1[[#This Row],[Tiempo
(Hrs 00/100)]],"cumple","no cumple"),"")</f>
        <v/>
      </c>
      <c r="W3704" s="17"/>
      <c r="X3704" s="18">
        <f t="shared" si="247"/>
        <v>0</v>
      </c>
      <c r="Y3704" t="str">
        <f>SUBSTITUTE(Tabla1[[#This Row],[Descripción]],CHAR(10),"    I    ")</f>
        <v/>
      </c>
      <c r="Z3704" s="112" t="e">
        <f>VLOOKUP(Tabla1[[#This Row],[Perfil]],Catalogos!$B$75:$D$100,3,FALSE)*Tabla1[[#This Row],[Tiempo
(Hrs 00/100)]]*1.16</f>
        <v>#N/A</v>
      </c>
    </row>
    <row r="3705" spans="1:26" ht="30" customHeight="1" x14ac:dyDescent="0.3">
      <c r="A3705" s="106"/>
      <c r="B3705" s="106"/>
      <c r="C3705" s="106"/>
      <c r="D3705" s="106"/>
      <c r="E3705" s="106"/>
      <c r="F3705" s="106"/>
      <c r="G3705" s="106"/>
      <c r="H3705" s="107"/>
      <c r="I3705" s="95"/>
      <c r="J3705" s="706"/>
      <c r="K3705" s="769"/>
      <c r="L3705" s="706"/>
      <c r="M3705" s="781"/>
      <c r="N3705" s="182"/>
      <c r="O3705" s="188"/>
      <c r="P3705" s="221"/>
      <c r="Q3705" s="106"/>
      <c r="R3705" s="108"/>
      <c r="S3705" s="108"/>
      <c r="T3705" s="108"/>
      <c r="U3705" s="108" t="str">
        <f>IFERROR(VLOOKUP(CONCATENATE(Tabla1[[#This Row],[Severidad]]," ",Tabla1[[#This Row],[Complejidad]]),Catalogos!E$120:G$128,3,FALSE),"")</f>
        <v/>
      </c>
      <c r="V3705" s="108" t="str">
        <f>IF(Tabla1[[#This Row],[Tiempo solución max (hrs)]]&lt;&gt;"",IF(Tabla1[[#This Row],[Tiempo solución max (hrs)]]&gt;=Tabla1[[#This Row],[Tiempo
(Hrs 00/100)]],"cumple","no cumple"),"")</f>
        <v/>
      </c>
      <c r="W3705" s="17"/>
      <c r="X3705" s="18">
        <f t="shared" si="247"/>
        <v>0</v>
      </c>
      <c r="Y3705" t="str">
        <f>SUBSTITUTE(Tabla1[[#This Row],[Descripción]],CHAR(10),"    I    ")</f>
        <v/>
      </c>
      <c r="Z3705" s="112" t="e">
        <f>VLOOKUP(Tabla1[[#This Row],[Perfil]],Catalogos!$B$75:$D$100,3,FALSE)*Tabla1[[#This Row],[Tiempo
(Hrs 00/100)]]*1.16</f>
        <v>#N/A</v>
      </c>
    </row>
    <row r="3706" spans="1:26" ht="30" customHeight="1" x14ac:dyDescent="0.3">
      <c r="A3706" s="106"/>
      <c r="B3706" s="106"/>
      <c r="C3706" s="106"/>
      <c r="D3706" s="106"/>
      <c r="E3706" s="106"/>
      <c r="F3706" s="106"/>
      <c r="G3706" s="106"/>
      <c r="H3706" s="107"/>
      <c r="I3706" s="95"/>
      <c r="J3706" s="706"/>
      <c r="K3706" s="769"/>
      <c r="L3706" s="706"/>
      <c r="M3706" s="781"/>
      <c r="N3706" s="182"/>
      <c r="O3706" s="188"/>
      <c r="P3706" s="221"/>
      <c r="Q3706" s="106"/>
      <c r="R3706" s="108"/>
      <c r="S3706" s="108"/>
      <c r="T3706" s="108"/>
      <c r="U3706" s="108" t="str">
        <f>IFERROR(VLOOKUP(CONCATENATE(Tabla1[[#This Row],[Severidad]]," ",Tabla1[[#This Row],[Complejidad]]),Catalogos!E$120:G$128,3,FALSE),"")</f>
        <v/>
      </c>
      <c r="V3706" s="108" t="str">
        <f>IF(Tabla1[[#This Row],[Tiempo solución max (hrs)]]&lt;&gt;"",IF(Tabla1[[#This Row],[Tiempo solución max (hrs)]]&gt;=Tabla1[[#This Row],[Tiempo
(Hrs 00/100)]],"cumple","no cumple"),"")</f>
        <v/>
      </c>
      <c r="W3706" s="17"/>
      <c r="X3706" s="18">
        <f t="shared" si="247"/>
        <v>0</v>
      </c>
      <c r="Y3706" t="str">
        <f>SUBSTITUTE(Tabla1[[#This Row],[Descripción]],CHAR(10),"    I    ")</f>
        <v/>
      </c>
      <c r="Z3706" s="112" t="e">
        <f>VLOOKUP(Tabla1[[#This Row],[Perfil]],Catalogos!$B$75:$D$100,3,FALSE)*Tabla1[[#This Row],[Tiempo
(Hrs 00/100)]]*1.16</f>
        <v>#N/A</v>
      </c>
    </row>
    <row r="3707" spans="1:26" ht="30" customHeight="1" x14ac:dyDescent="0.3">
      <c r="A3707" s="106"/>
      <c r="B3707" s="106"/>
      <c r="C3707" s="106"/>
      <c r="D3707" s="106"/>
      <c r="E3707" s="106"/>
      <c r="F3707" s="106"/>
      <c r="G3707" s="106"/>
      <c r="H3707" s="107"/>
      <c r="I3707" s="95"/>
      <c r="J3707" s="706"/>
      <c r="K3707" s="769"/>
      <c r="L3707" s="706"/>
      <c r="M3707" s="781"/>
      <c r="N3707" s="182"/>
      <c r="O3707" s="188"/>
      <c r="P3707" s="221"/>
      <c r="Q3707" s="106"/>
      <c r="R3707" s="108"/>
      <c r="S3707" s="108"/>
      <c r="T3707" s="108"/>
      <c r="U3707" s="108" t="str">
        <f>IFERROR(VLOOKUP(CONCATENATE(Tabla1[[#This Row],[Severidad]]," ",Tabla1[[#This Row],[Complejidad]]),Catalogos!E$120:G$128,3,FALSE),"")</f>
        <v/>
      </c>
      <c r="V3707" s="108" t="str">
        <f>IF(Tabla1[[#This Row],[Tiempo solución max (hrs)]]&lt;&gt;"",IF(Tabla1[[#This Row],[Tiempo solución max (hrs)]]&gt;=Tabla1[[#This Row],[Tiempo
(Hrs 00/100)]],"cumple","no cumple"),"")</f>
        <v/>
      </c>
      <c r="W3707" s="17"/>
      <c r="X3707" s="18">
        <f t="shared" si="247"/>
        <v>0</v>
      </c>
      <c r="Y3707" t="str">
        <f>SUBSTITUTE(Tabla1[[#This Row],[Descripción]],CHAR(10),"    I    ")</f>
        <v/>
      </c>
      <c r="Z3707" s="112" t="e">
        <f>VLOOKUP(Tabla1[[#This Row],[Perfil]],Catalogos!$B$75:$D$100,3,FALSE)*Tabla1[[#This Row],[Tiempo
(Hrs 00/100)]]*1.16</f>
        <v>#N/A</v>
      </c>
    </row>
    <row r="3708" spans="1:26" ht="30" customHeight="1" x14ac:dyDescent="0.3">
      <c r="A3708" s="106"/>
      <c r="B3708" s="106"/>
      <c r="C3708" s="106"/>
      <c r="D3708" s="106"/>
      <c r="E3708" s="106"/>
      <c r="F3708" s="106"/>
      <c r="G3708" s="106"/>
      <c r="H3708" s="107"/>
      <c r="I3708" s="95"/>
      <c r="J3708" s="706"/>
      <c r="K3708" s="769"/>
      <c r="L3708" s="706"/>
      <c r="M3708" s="781"/>
      <c r="N3708" s="182"/>
      <c r="O3708" s="188"/>
      <c r="P3708" s="221"/>
      <c r="Q3708" s="106"/>
      <c r="R3708" s="108"/>
      <c r="S3708" s="108"/>
      <c r="T3708" s="108"/>
      <c r="U3708" s="108" t="str">
        <f>IFERROR(VLOOKUP(CONCATENATE(Tabla1[[#This Row],[Severidad]]," ",Tabla1[[#This Row],[Complejidad]]),Catalogos!E$120:G$128,3,FALSE),"")</f>
        <v/>
      </c>
      <c r="V3708" s="108" t="str">
        <f>IF(Tabla1[[#This Row],[Tiempo solución max (hrs)]]&lt;&gt;"",IF(Tabla1[[#This Row],[Tiempo solución max (hrs)]]&gt;=Tabla1[[#This Row],[Tiempo
(Hrs 00/100)]],"cumple","no cumple"),"")</f>
        <v/>
      </c>
      <c r="W3708" s="17"/>
      <c r="X3708" s="18">
        <f t="shared" si="247"/>
        <v>0</v>
      </c>
      <c r="Y3708" t="str">
        <f>SUBSTITUTE(Tabla1[[#This Row],[Descripción]],CHAR(10),"    I    ")</f>
        <v/>
      </c>
      <c r="Z3708" s="112" t="e">
        <f>VLOOKUP(Tabla1[[#This Row],[Perfil]],Catalogos!$B$75:$D$100,3,FALSE)*Tabla1[[#This Row],[Tiempo
(Hrs 00/100)]]*1.16</f>
        <v>#N/A</v>
      </c>
    </row>
    <row r="3709" spans="1:26" ht="30" customHeight="1" x14ac:dyDescent="0.3">
      <c r="A3709" s="106"/>
      <c r="B3709" s="106"/>
      <c r="C3709" s="106"/>
      <c r="D3709" s="106"/>
      <c r="E3709" s="106"/>
      <c r="F3709" s="106"/>
      <c r="G3709" s="106"/>
      <c r="H3709" s="107"/>
      <c r="I3709" s="95"/>
      <c r="J3709" s="706"/>
      <c r="K3709" s="769"/>
      <c r="L3709" s="706"/>
      <c r="M3709" s="781"/>
      <c r="N3709" s="182"/>
      <c r="O3709" s="188"/>
      <c r="P3709" s="221"/>
      <c r="Q3709" s="106"/>
      <c r="R3709" s="108"/>
      <c r="S3709" s="108"/>
      <c r="T3709" s="108"/>
      <c r="U3709" s="108" t="str">
        <f>IFERROR(VLOOKUP(CONCATENATE(Tabla1[[#This Row],[Severidad]]," ",Tabla1[[#This Row],[Complejidad]]),Catalogos!E$120:G$128,3,FALSE),"")</f>
        <v/>
      </c>
      <c r="V3709" s="108" t="str">
        <f>IF(Tabla1[[#This Row],[Tiempo solución max (hrs)]]&lt;&gt;"",IF(Tabla1[[#This Row],[Tiempo solución max (hrs)]]&gt;=Tabla1[[#This Row],[Tiempo
(Hrs 00/100)]],"cumple","no cumple"),"")</f>
        <v/>
      </c>
      <c r="W3709" s="17"/>
      <c r="X3709" s="18">
        <f t="shared" si="247"/>
        <v>0</v>
      </c>
      <c r="Y3709" t="str">
        <f>SUBSTITUTE(Tabla1[[#This Row],[Descripción]],CHAR(10),"    I    ")</f>
        <v/>
      </c>
      <c r="Z3709" s="112" t="e">
        <f>VLOOKUP(Tabla1[[#This Row],[Perfil]],Catalogos!$B$75:$D$100,3,FALSE)*Tabla1[[#This Row],[Tiempo
(Hrs 00/100)]]*1.16</f>
        <v>#N/A</v>
      </c>
    </row>
    <row r="3710" spans="1:26" ht="30" customHeight="1" x14ac:dyDescent="0.3">
      <c r="A3710" s="106"/>
      <c r="B3710" s="106"/>
      <c r="C3710" s="106"/>
      <c r="D3710" s="106"/>
      <c r="E3710" s="106"/>
      <c r="F3710" s="106"/>
      <c r="G3710" s="106"/>
      <c r="H3710" s="107"/>
      <c r="I3710" s="95"/>
      <c r="J3710" s="706"/>
      <c r="K3710" s="769"/>
      <c r="L3710" s="706"/>
      <c r="M3710" s="781"/>
      <c r="N3710" s="182"/>
      <c r="O3710" s="188"/>
      <c r="P3710" s="221"/>
      <c r="Q3710" s="106"/>
      <c r="R3710" s="108"/>
      <c r="S3710" s="108"/>
      <c r="T3710" s="108"/>
      <c r="U3710" s="108" t="str">
        <f>IFERROR(VLOOKUP(CONCATENATE(Tabla1[[#This Row],[Severidad]]," ",Tabla1[[#This Row],[Complejidad]]),Catalogos!E$120:G$128,3,FALSE),"")</f>
        <v/>
      </c>
      <c r="V3710" s="108" t="str">
        <f>IF(Tabla1[[#This Row],[Tiempo solución max (hrs)]]&lt;&gt;"",IF(Tabla1[[#This Row],[Tiempo solución max (hrs)]]&gt;=Tabla1[[#This Row],[Tiempo
(Hrs 00/100)]],"cumple","no cumple"),"")</f>
        <v/>
      </c>
      <c r="W3710" s="17"/>
      <c r="X3710" s="18">
        <f t="shared" si="247"/>
        <v>0</v>
      </c>
      <c r="Y3710" t="str">
        <f>SUBSTITUTE(Tabla1[[#This Row],[Descripción]],CHAR(10),"    I    ")</f>
        <v/>
      </c>
      <c r="Z3710" s="112" t="e">
        <f>VLOOKUP(Tabla1[[#This Row],[Perfil]],Catalogos!$B$75:$D$100,3,FALSE)*Tabla1[[#This Row],[Tiempo
(Hrs 00/100)]]*1.16</f>
        <v>#N/A</v>
      </c>
    </row>
    <row r="3711" spans="1:26" ht="30" customHeight="1" x14ac:dyDescent="0.3">
      <c r="A3711" s="106"/>
      <c r="B3711" s="106"/>
      <c r="C3711" s="106"/>
      <c r="D3711" s="106"/>
      <c r="E3711" s="106"/>
      <c r="F3711" s="106"/>
      <c r="G3711" s="106"/>
      <c r="H3711" s="107"/>
      <c r="I3711" s="95"/>
      <c r="J3711" s="706"/>
      <c r="K3711" s="769"/>
      <c r="L3711" s="706"/>
      <c r="M3711" s="781"/>
      <c r="N3711" s="182"/>
      <c r="O3711" s="188"/>
      <c r="P3711" s="221"/>
      <c r="Q3711" s="106"/>
      <c r="R3711" s="108"/>
      <c r="S3711" s="108"/>
      <c r="T3711" s="108"/>
      <c r="U3711" s="108" t="str">
        <f>IFERROR(VLOOKUP(CONCATENATE(Tabla1[[#This Row],[Severidad]]," ",Tabla1[[#This Row],[Complejidad]]),Catalogos!E$120:G$128,3,FALSE),"")</f>
        <v/>
      </c>
      <c r="V3711" s="108" t="str">
        <f>IF(Tabla1[[#This Row],[Tiempo solución max (hrs)]]&lt;&gt;"",IF(Tabla1[[#This Row],[Tiempo solución max (hrs)]]&gt;=Tabla1[[#This Row],[Tiempo
(Hrs 00/100)]],"cumple","no cumple"),"")</f>
        <v/>
      </c>
      <c r="W3711" s="17"/>
      <c r="X3711" s="18">
        <f t="shared" si="247"/>
        <v>0</v>
      </c>
      <c r="Y3711" t="str">
        <f>SUBSTITUTE(Tabla1[[#This Row],[Descripción]],CHAR(10),"    I    ")</f>
        <v/>
      </c>
      <c r="Z3711" s="112" t="e">
        <f>VLOOKUP(Tabla1[[#This Row],[Perfil]],Catalogos!$B$75:$D$100,3,FALSE)*Tabla1[[#This Row],[Tiempo
(Hrs 00/100)]]*1.16</f>
        <v>#N/A</v>
      </c>
    </row>
    <row r="3712" spans="1:26" ht="30" customHeight="1" x14ac:dyDescent="0.3">
      <c r="A3712" s="106"/>
      <c r="B3712" s="106"/>
      <c r="C3712" s="106"/>
      <c r="D3712" s="106"/>
      <c r="E3712" s="106"/>
      <c r="F3712" s="106"/>
      <c r="G3712" s="106"/>
      <c r="H3712" s="107"/>
      <c r="I3712" s="95"/>
      <c r="J3712" s="706"/>
      <c r="K3712" s="769"/>
      <c r="L3712" s="706"/>
      <c r="M3712" s="781"/>
      <c r="N3712" s="182"/>
      <c r="O3712" s="188"/>
      <c r="P3712" s="221"/>
      <c r="Q3712" s="106"/>
      <c r="R3712" s="108"/>
      <c r="S3712" s="108"/>
      <c r="T3712" s="108"/>
      <c r="U3712" s="108" t="str">
        <f>IFERROR(VLOOKUP(CONCATENATE(Tabla1[[#This Row],[Severidad]]," ",Tabla1[[#This Row],[Complejidad]]),Catalogos!E$120:G$128,3,FALSE),"")</f>
        <v/>
      </c>
      <c r="V3712" s="108" t="str">
        <f>IF(Tabla1[[#This Row],[Tiempo solución max (hrs)]]&lt;&gt;"",IF(Tabla1[[#This Row],[Tiempo solución max (hrs)]]&gt;=Tabla1[[#This Row],[Tiempo
(Hrs 00/100)]],"cumple","no cumple"),"")</f>
        <v/>
      </c>
      <c r="W3712" s="17"/>
      <c r="X3712" s="18">
        <f t="shared" si="247"/>
        <v>0</v>
      </c>
      <c r="Y3712" t="str">
        <f>SUBSTITUTE(Tabla1[[#This Row],[Descripción]],CHAR(10),"    I    ")</f>
        <v/>
      </c>
      <c r="Z3712" s="112" t="e">
        <f>VLOOKUP(Tabla1[[#This Row],[Perfil]],Catalogos!$B$75:$D$100,3,FALSE)*Tabla1[[#This Row],[Tiempo
(Hrs 00/100)]]*1.16</f>
        <v>#N/A</v>
      </c>
    </row>
    <row r="3713" spans="1:26" ht="30" customHeight="1" x14ac:dyDescent="0.3">
      <c r="A3713" s="106"/>
      <c r="B3713" s="106"/>
      <c r="C3713" s="106"/>
      <c r="D3713" s="106"/>
      <c r="E3713" s="106"/>
      <c r="F3713" s="106"/>
      <c r="G3713" s="106"/>
      <c r="H3713" s="107"/>
      <c r="I3713" s="95"/>
      <c r="J3713" s="706"/>
      <c r="K3713" s="769"/>
      <c r="L3713" s="706"/>
      <c r="M3713" s="781"/>
      <c r="N3713" s="182"/>
      <c r="O3713" s="188"/>
      <c r="P3713" s="221"/>
      <c r="Q3713" s="106"/>
      <c r="R3713" s="108"/>
      <c r="S3713" s="108"/>
      <c r="T3713" s="108"/>
      <c r="U3713" s="108" t="str">
        <f>IFERROR(VLOOKUP(CONCATENATE(Tabla1[[#This Row],[Severidad]]," ",Tabla1[[#This Row],[Complejidad]]),Catalogos!E$120:G$128,3,FALSE),"")</f>
        <v/>
      </c>
      <c r="V3713" s="108" t="str">
        <f>IF(Tabla1[[#This Row],[Tiempo solución max (hrs)]]&lt;&gt;"",IF(Tabla1[[#This Row],[Tiempo solución max (hrs)]]&gt;=Tabla1[[#This Row],[Tiempo
(Hrs 00/100)]],"cumple","no cumple"),"")</f>
        <v/>
      </c>
      <c r="W3713" s="17"/>
      <c r="X3713" s="18">
        <f t="shared" si="247"/>
        <v>0</v>
      </c>
      <c r="Y3713" t="str">
        <f>SUBSTITUTE(Tabla1[[#This Row],[Descripción]],CHAR(10),"    I    ")</f>
        <v/>
      </c>
      <c r="Z3713" s="112" t="e">
        <f>VLOOKUP(Tabla1[[#This Row],[Perfil]],Catalogos!$B$75:$D$100,3,FALSE)*Tabla1[[#This Row],[Tiempo
(Hrs 00/100)]]*1.16</f>
        <v>#N/A</v>
      </c>
    </row>
    <row r="3714" spans="1:26" ht="30" customHeight="1" x14ac:dyDescent="0.3">
      <c r="A3714" s="106"/>
      <c r="B3714" s="106"/>
      <c r="C3714" s="106"/>
      <c r="D3714" s="106"/>
      <c r="E3714" s="106"/>
      <c r="F3714" s="106"/>
      <c r="G3714" s="106"/>
      <c r="H3714" s="107"/>
      <c r="I3714" s="95"/>
      <c r="J3714" s="706"/>
      <c r="K3714" s="769"/>
      <c r="L3714" s="706"/>
      <c r="M3714" s="781"/>
      <c r="N3714" s="182"/>
      <c r="O3714" s="188"/>
      <c r="P3714" s="221"/>
      <c r="Q3714" s="106"/>
      <c r="R3714" s="108"/>
      <c r="S3714" s="108"/>
      <c r="T3714" s="108"/>
      <c r="U3714" s="108" t="str">
        <f>IFERROR(VLOOKUP(CONCATENATE(Tabla1[[#This Row],[Severidad]]," ",Tabla1[[#This Row],[Complejidad]]),Catalogos!E$120:G$128,3,FALSE),"")</f>
        <v/>
      </c>
      <c r="V3714" s="108" t="str">
        <f>IF(Tabla1[[#This Row],[Tiempo solución max (hrs)]]&lt;&gt;"",IF(Tabla1[[#This Row],[Tiempo solución max (hrs)]]&gt;=Tabla1[[#This Row],[Tiempo
(Hrs 00/100)]],"cumple","no cumple"),"")</f>
        <v/>
      </c>
      <c r="W3714" s="17"/>
      <c r="X3714" s="18">
        <f t="shared" si="247"/>
        <v>0</v>
      </c>
      <c r="Y3714" t="str">
        <f>SUBSTITUTE(Tabla1[[#This Row],[Descripción]],CHAR(10),"    I    ")</f>
        <v/>
      </c>
      <c r="Z3714" s="112" t="e">
        <f>VLOOKUP(Tabla1[[#This Row],[Perfil]],Catalogos!$B$75:$D$100,3,FALSE)*Tabla1[[#This Row],[Tiempo
(Hrs 00/100)]]*1.16</f>
        <v>#N/A</v>
      </c>
    </row>
    <row r="3715" spans="1:26" ht="30" customHeight="1" x14ac:dyDescent="0.3">
      <c r="A3715" s="106"/>
      <c r="B3715" s="106"/>
      <c r="C3715" s="106"/>
      <c r="D3715" s="106"/>
      <c r="E3715" s="106"/>
      <c r="F3715" s="106"/>
      <c r="G3715" s="106"/>
      <c r="H3715" s="107"/>
      <c r="I3715" s="95"/>
      <c r="J3715" s="706"/>
      <c r="K3715" s="769"/>
      <c r="L3715" s="706"/>
      <c r="M3715" s="781"/>
      <c r="N3715" s="182"/>
      <c r="O3715" s="188"/>
      <c r="P3715" s="221"/>
      <c r="Q3715" s="106"/>
      <c r="R3715" s="108"/>
      <c r="S3715" s="108"/>
      <c r="T3715" s="108"/>
      <c r="U3715" s="108" t="str">
        <f>IFERROR(VLOOKUP(CONCATENATE(Tabla1[[#This Row],[Severidad]]," ",Tabla1[[#This Row],[Complejidad]]),Catalogos!E$120:G$128,3,FALSE),"")</f>
        <v/>
      </c>
      <c r="V3715" s="108" t="str">
        <f>IF(Tabla1[[#This Row],[Tiempo solución max (hrs)]]&lt;&gt;"",IF(Tabla1[[#This Row],[Tiempo solución max (hrs)]]&gt;=Tabla1[[#This Row],[Tiempo
(Hrs 00/100)]],"cumple","no cumple"),"")</f>
        <v/>
      </c>
      <c r="W3715" s="17"/>
      <c r="X3715" s="18">
        <f t="shared" ref="X3715:X3778" si="248">IF(C3715&lt;&gt;"",C3715,D3715)</f>
        <v>0</v>
      </c>
      <c r="Y3715" t="str">
        <f>SUBSTITUTE(Tabla1[[#This Row],[Descripción]],CHAR(10),"    I    ")</f>
        <v/>
      </c>
      <c r="Z3715" s="112" t="e">
        <f>VLOOKUP(Tabla1[[#This Row],[Perfil]],Catalogos!$B$75:$D$100,3,FALSE)*Tabla1[[#This Row],[Tiempo
(Hrs 00/100)]]*1.16</f>
        <v>#N/A</v>
      </c>
    </row>
    <row r="3716" spans="1:26" ht="30" customHeight="1" x14ac:dyDescent="0.3">
      <c r="A3716" s="106"/>
      <c r="B3716" s="106"/>
      <c r="C3716" s="106"/>
      <c r="D3716" s="106"/>
      <c r="E3716" s="106"/>
      <c r="F3716" s="106"/>
      <c r="G3716" s="106"/>
      <c r="H3716" s="107"/>
      <c r="I3716" s="95"/>
      <c r="J3716" s="706"/>
      <c r="K3716" s="769"/>
      <c r="L3716" s="706"/>
      <c r="M3716" s="781"/>
      <c r="N3716" s="182"/>
      <c r="O3716" s="188"/>
      <c r="P3716" s="221"/>
      <c r="Q3716" s="106"/>
      <c r="R3716" s="108"/>
      <c r="S3716" s="108"/>
      <c r="T3716" s="108"/>
      <c r="U3716" s="108" t="str">
        <f>IFERROR(VLOOKUP(CONCATENATE(Tabla1[[#This Row],[Severidad]]," ",Tabla1[[#This Row],[Complejidad]]),Catalogos!E$120:G$128,3,FALSE),"")</f>
        <v/>
      </c>
      <c r="V3716" s="108" t="str">
        <f>IF(Tabla1[[#This Row],[Tiempo solución max (hrs)]]&lt;&gt;"",IF(Tabla1[[#This Row],[Tiempo solución max (hrs)]]&gt;=Tabla1[[#This Row],[Tiempo
(Hrs 00/100)]],"cumple","no cumple"),"")</f>
        <v/>
      </c>
      <c r="W3716" s="17"/>
      <c r="X3716" s="18">
        <f t="shared" si="248"/>
        <v>0</v>
      </c>
      <c r="Y3716" t="str">
        <f>SUBSTITUTE(Tabla1[[#This Row],[Descripción]],CHAR(10),"    I    ")</f>
        <v/>
      </c>
      <c r="Z3716" s="112" t="e">
        <f>VLOOKUP(Tabla1[[#This Row],[Perfil]],Catalogos!$B$75:$D$100,3,FALSE)*Tabla1[[#This Row],[Tiempo
(Hrs 00/100)]]*1.16</f>
        <v>#N/A</v>
      </c>
    </row>
    <row r="3717" spans="1:26" ht="30" customHeight="1" x14ac:dyDescent="0.3">
      <c r="A3717" s="106"/>
      <c r="B3717" s="106"/>
      <c r="C3717" s="106"/>
      <c r="D3717" s="106"/>
      <c r="E3717" s="106"/>
      <c r="F3717" s="106"/>
      <c r="G3717" s="106"/>
      <c r="H3717" s="107"/>
      <c r="I3717" s="95"/>
      <c r="J3717" s="706"/>
      <c r="K3717" s="769"/>
      <c r="L3717" s="706"/>
      <c r="M3717" s="781"/>
      <c r="N3717" s="182"/>
      <c r="O3717" s="188"/>
      <c r="P3717" s="221"/>
      <c r="Q3717" s="106"/>
      <c r="R3717" s="108"/>
      <c r="S3717" s="108"/>
      <c r="T3717" s="108"/>
      <c r="U3717" s="108" t="str">
        <f>IFERROR(VLOOKUP(CONCATENATE(Tabla1[[#This Row],[Severidad]]," ",Tabla1[[#This Row],[Complejidad]]),Catalogos!E$120:G$128,3,FALSE),"")</f>
        <v/>
      </c>
      <c r="V3717" s="108" t="str">
        <f>IF(Tabla1[[#This Row],[Tiempo solución max (hrs)]]&lt;&gt;"",IF(Tabla1[[#This Row],[Tiempo solución max (hrs)]]&gt;=Tabla1[[#This Row],[Tiempo
(Hrs 00/100)]],"cumple","no cumple"),"")</f>
        <v/>
      </c>
      <c r="W3717" s="17"/>
      <c r="X3717" s="18">
        <f t="shared" si="248"/>
        <v>0</v>
      </c>
      <c r="Y3717" t="str">
        <f>SUBSTITUTE(Tabla1[[#This Row],[Descripción]],CHAR(10),"    I    ")</f>
        <v/>
      </c>
      <c r="Z3717" s="112" t="e">
        <f>VLOOKUP(Tabla1[[#This Row],[Perfil]],Catalogos!$B$75:$D$100,3,FALSE)*Tabla1[[#This Row],[Tiempo
(Hrs 00/100)]]*1.16</f>
        <v>#N/A</v>
      </c>
    </row>
    <row r="3718" spans="1:26" ht="30" customHeight="1" x14ac:dyDescent="0.3">
      <c r="A3718" s="106"/>
      <c r="B3718" s="106"/>
      <c r="C3718" s="106"/>
      <c r="D3718" s="106"/>
      <c r="E3718" s="106"/>
      <c r="F3718" s="106"/>
      <c r="G3718" s="106"/>
      <c r="H3718" s="107"/>
      <c r="I3718" s="95"/>
      <c r="J3718" s="706"/>
      <c r="K3718" s="769"/>
      <c r="L3718" s="706"/>
      <c r="M3718" s="781"/>
      <c r="N3718" s="182"/>
      <c r="O3718" s="188"/>
      <c r="P3718" s="221"/>
      <c r="Q3718" s="106"/>
      <c r="R3718" s="108"/>
      <c r="S3718" s="108"/>
      <c r="T3718" s="108"/>
      <c r="U3718" s="108" t="str">
        <f>IFERROR(VLOOKUP(CONCATENATE(Tabla1[[#This Row],[Severidad]]," ",Tabla1[[#This Row],[Complejidad]]),Catalogos!E$120:G$128,3,FALSE),"")</f>
        <v/>
      </c>
      <c r="V3718" s="108" t="str">
        <f>IF(Tabla1[[#This Row],[Tiempo solución max (hrs)]]&lt;&gt;"",IF(Tabla1[[#This Row],[Tiempo solución max (hrs)]]&gt;=Tabla1[[#This Row],[Tiempo
(Hrs 00/100)]],"cumple","no cumple"),"")</f>
        <v/>
      </c>
      <c r="W3718" s="17"/>
      <c r="X3718" s="18">
        <f t="shared" si="248"/>
        <v>0</v>
      </c>
      <c r="Y3718" t="str">
        <f>SUBSTITUTE(Tabla1[[#This Row],[Descripción]],CHAR(10),"    I    ")</f>
        <v/>
      </c>
      <c r="Z3718" s="112" t="e">
        <f>VLOOKUP(Tabla1[[#This Row],[Perfil]],Catalogos!$B$75:$D$100,3,FALSE)*Tabla1[[#This Row],[Tiempo
(Hrs 00/100)]]*1.16</f>
        <v>#N/A</v>
      </c>
    </row>
    <row r="3719" spans="1:26" ht="30" customHeight="1" x14ac:dyDescent="0.3">
      <c r="A3719" s="106"/>
      <c r="B3719" s="106"/>
      <c r="C3719" s="106"/>
      <c r="D3719" s="106"/>
      <c r="E3719" s="106"/>
      <c r="F3719" s="106"/>
      <c r="G3719" s="106"/>
      <c r="H3719" s="107"/>
      <c r="I3719" s="95"/>
      <c r="J3719" s="706"/>
      <c r="K3719" s="769"/>
      <c r="L3719" s="706"/>
      <c r="M3719" s="781"/>
      <c r="N3719" s="182"/>
      <c r="O3719" s="188"/>
      <c r="P3719" s="221"/>
      <c r="Q3719" s="106"/>
      <c r="R3719" s="108"/>
      <c r="S3719" s="108"/>
      <c r="T3719" s="108"/>
      <c r="U3719" s="108" t="str">
        <f>IFERROR(VLOOKUP(CONCATENATE(Tabla1[[#This Row],[Severidad]]," ",Tabla1[[#This Row],[Complejidad]]),Catalogos!E$120:G$128,3,FALSE),"")</f>
        <v/>
      </c>
      <c r="V3719" s="108" t="str">
        <f>IF(Tabla1[[#This Row],[Tiempo solución max (hrs)]]&lt;&gt;"",IF(Tabla1[[#This Row],[Tiempo solución max (hrs)]]&gt;=Tabla1[[#This Row],[Tiempo
(Hrs 00/100)]],"cumple","no cumple"),"")</f>
        <v/>
      </c>
      <c r="W3719" s="17"/>
      <c r="X3719" s="18">
        <f t="shared" si="248"/>
        <v>0</v>
      </c>
      <c r="Y3719" t="str">
        <f>SUBSTITUTE(Tabla1[[#This Row],[Descripción]],CHAR(10),"    I    ")</f>
        <v/>
      </c>
      <c r="Z3719" s="112" t="e">
        <f>VLOOKUP(Tabla1[[#This Row],[Perfil]],Catalogos!$B$75:$D$100,3,FALSE)*Tabla1[[#This Row],[Tiempo
(Hrs 00/100)]]*1.16</f>
        <v>#N/A</v>
      </c>
    </row>
    <row r="3720" spans="1:26" ht="30" customHeight="1" x14ac:dyDescent="0.3">
      <c r="A3720" s="106"/>
      <c r="B3720" s="106"/>
      <c r="C3720" s="106"/>
      <c r="D3720" s="106"/>
      <c r="E3720" s="106"/>
      <c r="F3720" s="106"/>
      <c r="G3720" s="106"/>
      <c r="H3720" s="107"/>
      <c r="I3720" s="95"/>
      <c r="J3720" s="706"/>
      <c r="K3720" s="769"/>
      <c r="L3720" s="706"/>
      <c r="M3720" s="781"/>
      <c r="N3720" s="182"/>
      <c r="O3720" s="188"/>
      <c r="P3720" s="221"/>
      <c r="Q3720" s="106"/>
      <c r="R3720" s="108"/>
      <c r="S3720" s="108"/>
      <c r="T3720" s="108"/>
      <c r="U3720" s="108" t="str">
        <f>IFERROR(VLOOKUP(CONCATENATE(Tabla1[[#This Row],[Severidad]]," ",Tabla1[[#This Row],[Complejidad]]),Catalogos!E$120:G$128,3,FALSE),"")</f>
        <v/>
      </c>
      <c r="V3720" s="108" t="str">
        <f>IF(Tabla1[[#This Row],[Tiempo solución max (hrs)]]&lt;&gt;"",IF(Tabla1[[#This Row],[Tiempo solución max (hrs)]]&gt;=Tabla1[[#This Row],[Tiempo
(Hrs 00/100)]],"cumple","no cumple"),"")</f>
        <v/>
      </c>
      <c r="W3720" s="17"/>
      <c r="X3720" s="18">
        <f t="shared" si="248"/>
        <v>0</v>
      </c>
      <c r="Y3720" t="str">
        <f>SUBSTITUTE(Tabla1[[#This Row],[Descripción]],CHAR(10),"    I    ")</f>
        <v/>
      </c>
      <c r="Z3720" s="112" t="e">
        <f>VLOOKUP(Tabla1[[#This Row],[Perfil]],Catalogos!$B$75:$D$100,3,FALSE)*Tabla1[[#This Row],[Tiempo
(Hrs 00/100)]]*1.16</f>
        <v>#N/A</v>
      </c>
    </row>
    <row r="3721" spans="1:26" ht="30" customHeight="1" x14ac:dyDescent="0.3">
      <c r="A3721" s="106"/>
      <c r="B3721" s="106"/>
      <c r="C3721" s="106"/>
      <c r="D3721" s="106"/>
      <c r="E3721" s="106"/>
      <c r="F3721" s="106"/>
      <c r="G3721" s="106"/>
      <c r="H3721" s="107"/>
      <c r="I3721" s="95"/>
      <c r="J3721" s="706"/>
      <c r="K3721" s="769"/>
      <c r="L3721" s="706"/>
      <c r="M3721" s="781"/>
      <c r="N3721" s="182"/>
      <c r="O3721" s="188"/>
      <c r="P3721" s="221"/>
      <c r="Q3721" s="106"/>
      <c r="R3721" s="108"/>
      <c r="S3721" s="108"/>
      <c r="T3721" s="108"/>
      <c r="U3721" s="108" t="str">
        <f>IFERROR(VLOOKUP(CONCATENATE(Tabla1[[#This Row],[Severidad]]," ",Tabla1[[#This Row],[Complejidad]]),Catalogos!E$120:G$128,3,FALSE),"")</f>
        <v/>
      </c>
      <c r="V3721" s="108" t="str">
        <f>IF(Tabla1[[#This Row],[Tiempo solución max (hrs)]]&lt;&gt;"",IF(Tabla1[[#This Row],[Tiempo solución max (hrs)]]&gt;=Tabla1[[#This Row],[Tiempo
(Hrs 00/100)]],"cumple","no cumple"),"")</f>
        <v/>
      </c>
      <c r="W3721" s="17"/>
      <c r="X3721" s="18">
        <f t="shared" si="248"/>
        <v>0</v>
      </c>
      <c r="Y3721" t="str">
        <f>SUBSTITUTE(Tabla1[[#This Row],[Descripción]],CHAR(10),"    I    ")</f>
        <v/>
      </c>
      <c r="Z3721" s="112" t="e">
        <f>VLOOKUP(Tabla1[[#This Row],[Perfil]],Catalogos!$B$75:$D$100,3,FALSE)*Tabla1[[#This Row],[Tiempo
(Hrs 00/100)]]*1.16</f>
        <v>#N/A</v>
      </c>
    </row>
    <row r="3722" spans="1:26" ht="30" customHeight="1" x14ac:dyDescent="0.3">
      <c r="A3722" s="106"/>
      <c r="B3722" s="106"/>
      <c r="C3722" s="106"/>
      <c r="D3722" s="106"/>
      <c r="E3722" s="106"/>
      <c r="F3722" s="106"/>
      <c r="G3722" s="106"/>
      <c r="H3722" s="107"/>
      <c r="I3722" s="95"/>
      <c r="J3722" s="706"/>
      <c r="K3722" s="769"/>
      <c r="L3722" s="706"/>
      <c r="M3722" s="781"/>
      <c r="N3722" s="182"/>
      <c r="O3722" s="188"/>
      <c r="P3722" s="221"/>
      <c r="Q3722" s="106"/>
      <c r="R3722" s="108"/>
      <c r="S3722" s="108"/>
      <c r="T3722" s="108"/>
      <c r="U3722" s="108" t="str">
        <f>IFERROR(VLOOKUP(CONCATENATE(Tabla1[[#This Row],[Severidad]]," ",Tabla1[[#This Row],[Complejidad]]),Catalogos!E$120:G$128,3,FALSE),"")</f>
        <v/>
      </c>
      <c r="V3722" s="108" t="str">
        <f>IF(Tabla1[[#This Row],[Tiempo solución max (hrs)]]&lt;&gt;"",IF(Tabla1[[#This Row],[Tiempo solución max (hrs)]]&gt;=Tabla1[[#This Row],[Tiempo
(Hrs 00/100)]],"cumple","no cumple"),"")</f>
        <v/>
      </c>
      <c r="W3722" s="17"/>
      <c r="X3722" s="18">
        <f t="shared" si="248"/>
        <v>0</v>
      </c>
      <c r="Y3722" t="str">
        <f>SUBSTITUTE(Tabla1[[#This Row],[Descripción]],CHAR(10),"    I    ")</f>
        <v/>
      </c>
      <c r="Z3722" s="112" t="e">
        <f>VLOOKUP(Tabla1[[#This Row],[Perfil]],Catalogos!$B$75:$D$100,3,FALSE)*Tabla1[[#This Row],[Tiempo
(Hrs 00/100)]]*1.16</f>
        <v>#N/A</v>
      </c>
    </row>
    <row r="3723" spans="1:26" ht="30" customHeight="1" x14ac:dyDescent="0.3">
      <c r="A3723" s="106"/>
      <c r="B3723" s="106"/>
      <c r="C3723" s="106"/>
      <c r="D3723" s="106"/>
      <c r="E3723" s="106"/>
      <c r="F3723" s="106"/>
      <c r="G3723" s="106"/>
      <c r="H3723" s="107"/>
      <c r="I3723" s="95"/>
      <c r="J3723" s="706"/>
      <c r="K3723" s="769"/>
      <c r="L3723" s="706"/>
      <c r="M3723" s="781"/>
      <c r="N3723" s="182"/>
      <c r="O3723" s="188"/>
      <c r="P3723" s="221"/>
      <c r="Q3723" s="106"/>
      <c r="R3723" s="108"/>
      <c r="S3723" s="108"/>
      <c r="T3723" s="108"/>
      <c r="U3723" s="108" t="str">
        <f>IFERROR(VLOOKUP(CONCATENATE(Tabla1[[#This Row],[Severidad]]," ",Tabla1[[#This Row],[Complejidad]]),Catalogos!E$120:G$128,3,FALSE),"")</f>
        <v/>
      </c>
      <c r="V3723" s="108" t="str">
        <f>IF(Tabla1[[#This Row],[Tiempo solución max (hrs)]]&lt;&gt;"",IF(Tabla1[[#This Row],[Tiempo solución max (hrs)]]&gt;=Tabla1[[#This Row],[Tiempo
(Hrs 00/100)]],"cumple","no cumple"),"")</f>
        <v/>
      </c>
      <c r="W3723" s="17"/>
      <c r="X3723" s="18">
        <f t="shared" si="248"/>
        <v>0</v>
      </c>
      <c r="Y3723" t="str">
        <f>SUBSTITUTE(Tabla1[[#This Row],[Descripción]],CHAR(10),"    I    ")</f>
        <v/>
      </c>
      <c r="Z3723" s="112" t="e">
        <f>VLOOKUP(Tabla1[[#This Row],[Perfil]],Catalogos!$B$75:$D$100,3,FALSE)*Tabla1[[#This Row],[Tiempo
(Hrs 00/100)]]*1.16</f>
        <v>#N/A</v>
      </c>
    </row>
    <row r="3724" spans="1:26" ht="30" customHeight="1" x14ac:dyDescent="0.3">
      <c r="A3724" s="106"/>
      <c r="B3724" s="106"/>
      <c r="C3724" s="106"/>
      <c r="D3724" s="106"/>
      <c r="E3724" s="106"/>
      <c r="F3724" s="106"/>
      <c r="G3724" s="106"/>
      <c r="H3724" s="107"/>
      <c r="I3724" s="95"/>
      <c r="J3724" s="706"/>
      <c r="K3724" s="769"/>
      <c r="L3724" s="706"/>
      <c r="M3724" s="781"/>
      <c r="N3724" s="182"/>
      <c r="O3724" s="188"/>
      <c r="P3724" s="221"/>
      <c r="Q3724" s="106"/>
      <c r="R3724" s="108"/>
      <c r="S3724" s="108"/>
      <c r="T3724" s="108"/>
      <c r="U3724" s="108" t="str">
        <f>IFERROR(VLOOKUP(CONCATENATE(Tabla1[[#This Row],[Severidad]]," ",Tabla1[[#This Row],[Complejidad]]),Catalogos!E$120:G$128,3,FALSE),"")</f>
        <v/>
      </c>
      <c r="V3724" s="108" t="str">
        <f>IF(Tabla1[[#This Row],[Tiempo solución max (hrs)]]&lt;&gt;"",IF(Tabla1[[#This Row],[Tiempo solución max (hrs)]]&gt;=Tabla1[[#This Row],[Tiempo
(Hrs 00/100)]],"cumple","no cumple"),"")</f>
        <v/>
      </c>
      <c r="W3724" s="17"/>
      <c r="X3724" s="18">
        <f t="shared" si="248"/>
        <v>0</v>
      </c>
      <c r="Y3724" t="str">
        <f>SUBSTITUTE(Tabla1[[#This Row],[Descripción]],CHAR(10),"    I    ")</f>
        <v/>
      </c>
      <c r="Z3724" s="112" t="e">
        <f>VLOOKUP(Tabla1[[#This Row],[Perfil]],Catalogos!$B$75:$D$100,3,FALSE)*Tabla1[[#This Row],[Tiempo
(Hrs 00/100)]]*1.16</f>
        <v>#N/A</v>
      </c>
    </row>
    <row r="3725" spans="1:26" ht="30" customHeight="1" x14ac:dyDescent="0.3">
      <c r="A3725" s="106"/>
      <c r="B3725" s="106"/>
      <c r="C3725" s="106"/>
      <c r="D3725" s="106"/>
      <c r="E3725" s="106"/>
      <c r="F3725" s="106"/>
      <c r="G3725" s="106"/>
      <c r="H3725" s="107"/>
      <c r="I3725" s="95"/>
      <c r="J3725" s="706"/>
      <c r="K3725" s="769"/>
      <c r="L3725" s="706"/>
      <c r="M3725" s="781"/>
      <c r="N3725" s="182"/>
      <c r="O3725" s="188"/>
      <c r="P3725" s="221"/>
      <c r="Q3725" s="106"/>
      <c r="R3725" s="108"/>
      <c r="S3725" s="108"/>
      <c r="T3725" s="108"/>
      <c r="U3725" s="108" t="str">
        <f>IFERROR(VLOOKUP(CONCATENATE(Tabla1[[#This Row],[Severidad]]," ",Tabla1[[#This Row],[Complejidad]]),Catalogos!E$120:G$128,3,FALSE),"")</f>
        <v/>
      </c>
      <c r="V3725" s="108" t="str">
        <f>IF(Tabla1[[#This Row],[Tiempo solución max (hrs)]]&lt;&gt;"",IF(Tabla1[[#This Row],[Tiempo solución max (hrs)]]&gt;=Tabla1[[#This Row],[Tiempo
(Hrs 00/100)]],"cumple","no cumple"),"")</f>
        <v/>
      </c>
      <c r="W3725" s="17"/>
      <c r="X3725" s="18">
        <f t="shared" si="248"/>
        <v>0</v>
      </c>
      <c r="Y3725" t="str">
        <f>SUBSTITUTE(Tabla1[[#This Row],[Descripción]],CHAR(10),"    I    ")</f>
        <v/>
      </c>
      <c r="Z3725" s="112" t="e">
        <f>VLOOKUP(Tabla1[[#This Row],[Perfil]],Catalogos!$B$75:$D$100,3,FALSE)*Tabla1[[#This Row],[Tiempo
(Hrs 00/100)]]*1.16</f>
        <v>#N/A</v>
      </c>
    </row>
    <row r="3726" spans="1:26" ht="30" customHeight="1" x14ac:dyDescent="0.3">
      <c r="A3726" s="106"/>
      <c r="B3726" s="106"/>
      <c r="C3726" s="106"/>
      <c r="D3726" s="106"/>
      <c r="E3726" s="106"/>
      <c r="F3726" s="106"/>
      <c r="G3726" s="106"/>
      <c r="H3726" s="107"/>
      <c r="I3726" s="95"/>
      <c r="J3726" s="706"/>
      <c r="K3726" s="769"/>
      <c r="L3726" s="706"/>
      <c r="M3726" s="781"/>
      <c r="N3726" s="182"/>
      <c r="O3726" s="188"/>
      <c r="P3726" s="221"/>
      <c r="Q3726" s="106"/>
      <c r="R3726" s="108"/>
      <c r="S3726" s="108"/>
      <c r="T3726" s="108"/>
      <c r="U3726" s="108" t="str">
        <f>IFERROR(VLOOKUP(CONCATENATE(Tabla1[[#This Row],[Severidad]]," ",Tabla1[[#This Row],[Complejidad]]),Catalogos!E$120:G$128,3,FALSE),"")</f>
        <v/>
      </c>
      <c r="V3726" s="108" t="str">
        <f>IF(Tabla1[[#This Row],[Tiempo solución max (hrs)]]&lt;&gt;"",IF(Tabla1[[#This Row],[Tiempo solución max (hrs)]]&gt;=Tabla1[[#This Row],[Tiempo
(Hrs 00/100)]],"cumple","no cumple"),"")</f>
        <v/>
      </c>
      <c r="W3726" s="17"/>
      <c r="X3726" s="18">
        <f t="shared" si="248"/>
        <v>0</v>
      </c>
      <c r="Y3726" t="str">
        <f>SUBSTITUTE(Tabla1[[#This Row],[Descripción]],CHAR(10),"    I    ")</f>
        <v/>
      </c>
      <c r="Z3726" s="112" t="e">
        <f>VLOOKUP(Tabla1[[#This Row],[Perfil]],Catalogos!$B$75:$D$100,3,FALSE)*Tabla1[[#This Row],[Tiempo
(Hrs 00/100)]]*1.16</f>
        <v>#N/A</v>
      </c>
    </row>
    <row r="3727" spans="1:26" ht="30" customHeight="1" x14ac:dyDescent="0.3">
      <c r="A3727" s="106"/>
      <c r="B3727" s="106"/>
      <c r="C3727" s="106"/>
      <c r="D3727" s="106"/>
      <c r="E3727" s="106"/>
      <c r="F3727" s="106"/>
      <c r="G3727" s="106"/>
      <c r="H3727" s="107"/>
      <c r="I3727" s="95"/>
      <c r="J3727" s="706"/>
      <c r="K3727" s="769"/>
      <c r="L3727" s="706"/>
      <c r="M3727" s="781"/>
      <c r="N3727" s="182"/>
      <c r="O3727" s="188"/>
      <c r="P3727" s="221"/>
      <c r="Q3727" s="106"/>
      <c r="R3727" s="108"/>
      <c r="S3727" s="108"/>
      <c r="T3727" s="108"/>
      <c r="U3727" s="108" t="str">
        <f>IFERROR(VLOOKUP(CONCATENATE(Tabla1[[#This Row],[Severidad]]," ",Tabla1[[#This Row],[Complejidad]]),Catalogos!E$120:G$128,3,FALSE),"")</f>
        <v/>
      </c>
      <c r="V3727" s="108" t="str">
        <f>IF(Tabla1[[#This Row],[Tiempo solución max (hrs)]]&lt;&gt;"",IF(Tabla1[[#This Row],[Tiempo solución max (hrs)]]&gt;=Tabla1[[#This Row],[Tiempo
(Hrs 00/100)]],"cumple","no cumple"),"")</f>
        <v/>
      </c>
      <c r="W3727" s="17"/>
      <c r="X3727" s="18">
        <f t="shared" si="248"/>
        <v>0</v>
      </c>
      <c r="Y3727" t="str">
        <f>SUBSTITUTE(Tabla1[[#This Row],[Descripción]],CHAR(10),"    I    ")</f>
        <v/>
      </c>
      <c r="Z3727" s="112" t="e">
        <f>VLOOKUP(Tabla1[[#This Row],[Perfil]],Catalogos!$B$75:$D$100,3,FALSE)*Tabla1[[#This Row],[Tiempo
(Hrs 00/100)]]*1.16</f>
        <v>#N/A</v>
      </c>
    </row>
    <row r="3728" spans="1:26" ht="30" customHeight="1" x14ac:dyDescent="0.3">
      <c r="A3728" s="106"/>
      <c r="B3728" s="106"/>
      <c r="C3728" s="106"/>
      <c r="D3728" s="106"/>
      <c r="E3728" s="106"/>
      <c r="F3728" s="106"/>
      <c r="G3728" s="106"/>
      <c r="H3728" s="107"/>
      <c r="I3728" s="95"/>
      <c r="J3728" s="706"/>
      <c r="K3728" s="769"/>
      <c r="L3728" s="706"/>
      <c r="M3728" s="781"/>
      <c r="N3728" s="182"/>
      <c r="O3728" s="188"/>
      <c r="P3728" s="221"/>
      <c r="Q3728" s="106"/>
      <c r="R3728" s="108"/>
      <c r="S3728" s="108"/>
      <c r="T3728" s="108"/>
      <c r="U3728" s="108" t="str">
        <f>IFERROR(VLOOKUP(CONCATENATE(Tabla1[[#This Row],[Severidad]]," ",Tabla1[[#This Row],[Complejidad]]),Catalogos!E$120:G$128,3,FALSE),"")</f>
        <v/>
      </c>
      <c r="V3728" s="108" t="str">
        <f>IF(Tabla1[[#This Row],[Tiempo solución max (hrs)]]&lt;&gt;"",IF(Tabla1[[#This Row],[Tiempo solución max (hrs)]]&gt;=Tabla1[[#This Row],[Tiempo
(Hrs 00/100)]],"cumple","no cumple"),"")</f>
        <v/>
      </c>
      <c r="W3728" s="17"/>
      <c r="X3728" s="18">
        <f t="shared" si="248"/>
        <v>0</v>
      </c>
      <c r="Y3728" t="str">
        <f>SUBSTITUTE(Tabla1[[#This Row],[Descripción]],CHAR(10),"    I    ")</f>
        <v/>
      </c>
      <c r="Z3728" s="112" t="e">
        <f>VLOOKUP(Tabla1[[#This Row],[Perfil]],Catalogos!$B$75:$D$100,3,FALSE)*Tabla1[[#This Row],[Tiempo
(Hrs 00/100)]]*1.16</f>
        <v>#N/A</v>
      </c>
    </row>
    <row r="3729" spans="1:26" ht="30" customHeight="1" x14ac:dyDescent="0.3">
      <c r="A3729" s="106"/>
      <c r="B3729" s="106"/>
      <c r="C3729" s="106"/>
      <c r="D3729" s="106"/>
      <c r="E3729" s="106"/>
      <c r="F3729" s="106"/>
      <c r="G3729" s="106"/>
      <c r="H3729" s="107"/>
      <c r="I3729" s="95"/>
      <c r="J3729" s="706"/>
      <c r="K3729" s="769"/>
      <c r="L3729" s="706"/>
      <c r="M3729" s="781"/>
      <c r="N3729" s="182"/>
      <c r="O3729" s="188"/>
      <c r="P3729" s="221"/>
      <c r="Q3729" s="106"/>
      <c r="R3729" s="108"/>
      <c r="S3729" s="108"/>
      <c r="T3729" s="108"/>
      <c r="U3729" s="108" t="str">
        <f>IFERROR(VLOOKUP(CONCATENATE(Tabla1[[#This Row],[Severidad]]," ",Tabla1[[#This Row],[Complejidad]]),Catalogos!E$120:G$128,3,FALSE),"")</f>
        <v/>
      </c>
      <c r="V3729" s="108" t="str">
        <f>IF(Tabla1[[#This Row],[Tiempo solución max (hrs)]]&lt;&gt;"",IF(Tabla1[[#This Row],[Tiempo solución max (hrs)]]&gt;=Tabla1[[#This Row],[Tiempo
(Hrs 00/100)]],"cumple","no cumple"),"")</f>
        <v/>
      </c>
      <c r="W3729" s="17"/>
      <c r="X3729" s="18">
        <f t="shared" si="248"/>
        <v>0</v>
      </c>
      <c r="Y3729" t="str">
        <f>SUBSTITUTE(Tabla1[[#This Row],[Descripción]],CHAR(10),"    I    ")</f>
        <v/>
      </c>
      <c r="Z3729" s="112" t="e">
        <f>VLOOKUP(Tabla1[[#This Row],[Perfil]],Catalogos!$B$75:$D$100,3,FALSE)*Tabla1[[#This Row],[Tiempo
(Hrs 00/100)]]*1.16</f>
        <v>#N/A</v>
      </c>
    </row>
    <row r="3730" spans="1:26" ht="30" customHeight="1" x14ac:dyDescent="0.3">
      <c r="A3730" s="106"/>
      <c r="B3730" s="106"/>
      <c r="C3730" s="106"/>
      <c r="D3730" s="106"/>
      <c r="E3730" s="106"/>
      <c r="F3730" s="106"/>
      <c r="G3730" s="106"/>
      <c r="H3730" s="107"/>
      <c r="I3730" s="95"/>
      <c r="J3730" s="706"/>
      <c r="K3730" s="769"/>
      <c r="L3730" s="706"/>
      <c r="M3730" s="781"/>
      <c r="N3730" s="182"/>
      <c r="O3730" s="188"/>
      <c r="P3730" s="221"/>
      <c r="Q3730" s="106"/>
      <c r="R3730" s="108"/>
      <c r="S3730" s="108"/>
      <c r="T3730" s="108"/>
      <c r="U3730" s="108" t="str">
        <f>IFERROR(VLOOKUP(CONCATENATE(Tabla1[[#This Row],[Severidad]]," ",Tabla1[[#This Row],[Complejidad]]),Catalogos!E$120:G$128,3,FALSE),"")</f>
        <v/>
      </c>
      <c r="V3730" s="108" t="str">
        <f>IF(Tabla1[[#This Row],[Tiempo solución max (hrs)]]&lt;&gt;"",IF(Tabla1[[#This Row],[Tiempo solución max (hrs)]]&gt;=Tabla1[[#This Row],[Tiempo
(Hrs 00/100)]],"cumple","no cumple"),"")</f>
        <v/>
      </c>
      <c r="W3730" s="17"/>
      <c r="X3730" s="18">
        <f t="shared" si="248"/>
        <v>0</v>
      </c>
      <c r="Y3730" t="str">
        <f>SUBSTITUTE(Tabla1[[#This Row],[Descripción]],CHAR(10),"    I    ")</f>
        <v/>
      </c>
      <c r="Z3730" s="112" t="e">
        <f>VLOOKUP(Tabla1[[#This Row],[Perfil]],Catalogos!$B$75:$D$100,3,FALSE)*Tabla1[[#This Row],[Tiempo
(Hrs 00/100)]]*1.16</f>
        <v>#N/A</v>
      </c>
    </row>
    <row r="3731" spans="1:26" ht="30" customHeight="1" x14ac:dyDescent="0.3">
      <c r="A3731" s="106"/>
      <c r="B3731" s="106"/>
      <c r="C3731" s="106"/>
      <c r="D3731" s="106"/>
      <c r="E3731" s="106"/>
      <c r="F3731" s="106"/>
      <c r="G3731" s="106"/>
      <c r="H3731" s="107"/>
      <c r="I3731" s="95"/>
      <c r="J3731" s="706"/>
      <c r="K3731" s="769"/>
      <c r="L3731" s="706"/>
      <c r="M3731" s="781"/>
      <c r="N3731" s="182"/>
      <c r="O3731" s="188"/>
      <c r="P3731" s="221"/>
      <c r="Q3731" s="106"/>
      <c r="R3731" s="108"/>
      <c r="S3731" s="108"/>
      <c r="T3731" s="108"/>
      <c r="U3731" s="108" t="str">
        <f>IFERROR(VLOOKUP(CONCATENATE(Tabla1[[#This Row],[Severidad]]," ",Tabla1[[#This Row],[Complejidad]]),Catalogos!E$120:G$128,3,FALSE),"")</f>
        <v/>
      </c>
      <c r="V3731" s="108" t="str">
        <f>IF(Tabla1[[#This Row],[Tiempo solución max (hrs)]]&lt;&gt;"",IF(Tabla1[[#This Row],[Tiempo solución max (hrs)]]&gt;=Tabla1[[#This Row],[Tiempo
(Hrs 00/100)]],"cumple","no cumple"),"")</f>
        <v/>
      </c>
      <c r="W3731" s="17"/>
      <c r="X3731" s="18">
        <f t="shared" si="248"/>
        <v>0</v>
      </c>
      <c r="Y3731" t="str">
        <f>SUBSTITUTE(Tabla1[[#This Row],[Descripción]],CHAR(10),"    I    ")</f>
        <v/>
      </c>
      <c r="Z3731" s="112" t="e">
        <f>VLOOKUP(Tabla1[[#This Row],[Perfil]],Catalogos!$B$75:$D$100,3,FALSE)*Tabla1[[#This Row],[Tiempo
(Hrs 00/100)]]*1.16</f>
        <v>#N/A</v>
      </c>
    </row>
    <row r="3732" spans="1:26" ht="30" customHeight="1" x14ac:dyDescent="0.3">
      <c r="A3732" s="106"/>
      <c r="B3732" s="106"/>
      <c r="C3732" s="106"/>
      <c r="D3732" s="106"/>
      <c r="E3732" s="106"/>
      <c r="F3732" s="106"/>
      <c r="G3732" s="106"/>
      <c r="H3732" s="107"/>
      <c r="I3732" s="95"/>
      <c r="J3732" s="706"/>
      <c r="K3732" s="769"/>
      <c r="L3732" s="706"/>
      <c r="M3732" s="781"/>
      <c r="N3732" s="182"/>
      <c r="O3732" s="188"/>
      <c r="P3732" s="221"/>
      <c r="Q3732" s="106"/>
      <c r="R3732" s="108"/>
      <c r="S3732" s="108"/>
      <c r="T3732" s="108"/>
      <c r="U3732" s="108" t="str">
        <f>IFERROR(VLOOKUP(CONCATENATE(Tabla1[[#This Row],[Severidad]]," ",Tabla1[[#This Row],[Complejidad]]),Catalogos!E$120:G$128,3,FALSE),"")</f>
        <v/>
      </c>
      <c r="V3732" s="108" t="str">
        <f>IF(Tabla1[[#This Row],[Tiempo solución max (hrs)]]&lt;&gt;"",IF(Tabla1[[#This Row],[Tiempo solución max (hrs)]]&gt;=Tabla1[[#This Row],[Tiempo
(Hrs 00/100)]],"cumple","no cumple"),"")</f>
        <v/>
      </c>
      <c r="W3732" s="17"/>
      <c r="X3732" s="18">
        <f t="shared" si="248"/>
        <v>0</v>
      </c>
      <c r="Y3732" t="str">
        <f>SUBSTITUTE(Tabla1[[#This Row],[Descripción]],CHAR(10),"    I    ")</f>
        <v/>
      </c>
      <c r="Z3732" s="112" t="e">
        <f>VLOOKUP(Tabla1[[#This Row],[Perfil]],Catalogos!$B$75:$D$100,3,FALSE)*Tabla1[[#This Row],[Tiempo
(Hrs 00/100)]]*1.16</f>
        <v>#N/A</v>
      </c>
    </row>
    <row r="3733" spans="1:26" ht="30" customHeight="1" x14ac:dyDescent="0.3">
      <c r="A3733" s="106"/>
      <c r="B3733" s="106"/>
      <c r="C3733" s="106"/>
      <c r="D3733" s="106"/>
      <c r="E3733" s="106"/>
      <c r="F3733" s="106"/>
      <c r="G3733" s="106"/>
      <c r="H3733" s="107"/>
      <c r="I3733" s="95"/>
      <c r="J3733" s="706"/>
      <c r="K3733" s="769"/>
      <c r="L3733" s="706"/>
      <c r="M3733" s="781"/>
      <c r="N3733" s="182"/>
      <c r="O3733" s="188"/>
      <c r="P3733" s="221"/>
      <c r="Q3733" s="106"/>
      <c r="R3733" s="108"/>
      <c r="S3733" s="108"/>
      <c r="T3733" s="108"/>
      <c r="U3733" s="108" t="str">
        <f>IFERROR(VLOOKUP(CONCATENATE(Tabla1[[#This Row],[Severidad]]," ",Tabla1[[#This Row],[Complejidad]]),Catalogos!E$120:G$128,3,FALSE),"")</f>
        <v/>
      </c>
      <c r="V3733" s="108" t="str">
        <f>IF(Tabla1[[#This Row],[Tiempo solución max (hrs)]]&lt;&gt;"",IF(Tabla1[[#This Row],[Tiempo solución max (hrs)]]&gt;=Tabla1[[#This Row],[Tiempo
(Hrs 00/100)]],"cumple","no cumple"),"")</f>
        <v/>
      </c>
      <c r="W3733" s="17"/>
      <c r="X3733" s="18">
        <f t="shared" si="248"/>
        <v>0</v>
      </c>
      <c r="Y3733" t="str">
        <f>SUBSTITUTE(Tabla1[[#This Row],[Descripción]],CHAR(10),"    I    ")</f>
        <v/>
      </c>
      <c r="Z3733" s="112" t="e">
        <f>VLOOKUP(Tabla1[[#This Row],[Perfil]],Catalogos!$B$75:$D$100,3,FALSE)*Tabla1[[#This Row],[Tiempo
(Hrs 00/100)]]*1.16</f>
        <v>#N/A</v>
      </c>
    </row>
    <row r="3734" spans="1:26" ht="30" customHeight="1" x14ac:dyDescent="0.3">
      <c r="A3734" s="106"/>
      <c r="B3734" s="106"/>
      <c r="C3734" s="106"/>
      <c r="D3734" s="106"/>
      <c r="E3734" s="106"/>
      <c r="F3734" s="106"/>
      <c r="G3734" s="106"/>
      <c r="H3734" s="107"/>
      <c r="I3734" s="95"/>
      <c r="J3734" s="706"/>
      <c r="K3734" s="769"/>
      <c r="L3734" s="706"/>
      <c r="M3734" s="781"/>
      <c r="N3734" s="182"/>
      <c r="O3734" s="188"/>
      <c r="P3734" s="221"/>
      <c r="Q3734" s="106"/>
      <c r="R3734" s="108"/>
      <c r="S3734" s="108"/>
      <c r="T3734" s="108"/>
      <c r="U3734" s="108" t="str">
        <f>IFERROR(VLOOKUP(CONCATENATE(Tabla1[[#This Row],[Severidad]]," ",Tabla1[[#This Row],[Complejidad]]),Catalogos!E$120:G$128,3,FALSE),"")</f>
        <v/>
      </c>
      <c r="V3734" s="108" t="str">
        <f>IF(Tabla1[[#This Row],[Tiempo solución max (hrs)]]&lt;&gt;"",IF(Tabla1[[#This Row],[Tiempo solución max (hrs)]]&gt;=Tabla1[[#This Row],[Tiempo
(Hrs 00/100)]],"cumple","no cumple"),"")</f>
        <v/>
      </c>
      <c r="W3734" s="17"/>
      <c r="X3734" s="18">
        <f t="shared" si="248"/>
        <v>0</v>
      </c>
      <c r="Y3734" t="str">
        <f>SUBSTITUTE(Tabla1[[#This Row],[Descripción]],CHAR(10),"    I    ")</f>
        <v/>
      </c>
      <c r="Z3734" s="112" t="e">
        <f>VLOOKUP(Tabla1[[#This Row],[Perfil]],Catalogos!$B$75:$D$100,3,FALSE)*Tabla1[[#This Row],[Tiempo
(Hrs 00/100)]]*1.16</f>
        <v>#N/A</v>
      </c>
    </row>
    <row r="3735" spans="1:26" ht="30" customHeight="1" x14ac:dyDescent="0.3">
      <c r="A3735" s="106"/>
      <c r="B3735" s="106"/>
      <c r="C3735" s="106"/>
      <c r="D3735" s="106"/>
      <c r="E3735" s="106"/>
      <c r="F3735" s="106"/>
      <c r="G3735" s="106"/>
      <c r="H3735" s="107"/>
      <c r="I3735" s="95"/>
      <c r="J3735" s="706"/>
      <c r="K3735" s="769"/>
      <c r="L3735" s="706"/>
      <c r="M3735" s="781"/>
      <c r="N3735" s="182"/>
      <c r="O3735" s="188"/>
      <c r="P3735" s="221"/>
      <c r="Q3735" s="106"/>
      <c r="R3735" s="108"/>
      <c r="S3735" s="108"/>
      <c r="T3735" s="108"/>
      <c r="U3735" s="108" t="str">
        <f>IFERROR(VLOOKUP(CONCATENATE(Tabla1[[#This Row],[Severidad]]," ",Tabla1[[#This Row],[Complejidad]]),Catalogos!E$120:G$128,3,FALSE),"")</f>
        <v/>
      </c>
      <c r="V3735" s="108" t="str">
        <f>IF(Tabla1[[#This Row],[Tiempo solución max (hrs)]]&lt;&gt;"",IF(Tabla1[[#This Row],[Tiempo solución max (hrs)]]&gt;=Tabla1[[#This Row],[Tiempo
(Hrs 00/100)]],"cumple","no cumple"),"")</f>
        <v/>
      </c>
      <c r="W3735" s="17"/>
      <c r="X3735" s="18">
        <f t="shared" si="248"/>
        <v>0</v>
      </c>
      <c r="Y3735" t="str">
        <f>SUBSTITUTE(Tabla1[[#This Row],[Descripción]],CHAR(10),"    I    ")</f>
        <v/>
      </c>
      <c r="Z3735" s="112" t="e">
        <f>VLOOKUP(Tabla1[[#This Row],[Perfil]],Catalogos!$B$75:$D$100,3,FALSE)*Tabla1[[#This Row],[Tiempo
(Hrs 00/100)]]*1.16</f>
        <v>#N/A</v>
      </c>
    </row>
    <row r="3736" spans="1:26" ht="30" customHeight="1" x14ac:dyDescent="0.3">
      <c r="A3736" s="106"/>
      <c r="B3736" s="106"/>
      <c r="C3736" s="106"/>
      <c r="D3736" s="106"/>
      <c r="E3736" s="106"/>
      <c r="F3736" s="106"/>
      <c r="G3736" s="106"/>
      <c r="H3736" s="107"/>
      <c r="I3736" s="95"/>
      <c r="J3736" s="706"/>
      <c r="K3736" s="769"/>
      <c r="L3736" s="706"/>
      <c r="M3736" s="781"/>
      <c r="N3736" s="182"/>
      <c r="O3736" s="188"/>
      <c r="P3736" s="221"/>
      <c r="Q3736" s="106"/>
      <c r="R3736" s="108"/>
      <c r="S3736" s="108"/>
      <c r="T3736" s="108"/>
      <c r="U3736" s="108" t="str">
        <f>IFERROR(VLOOKUP(CONCATENATE(Tabla1[[#This Row],[Severidad]]," ",Tabla1[[#This Row],[Complejidad]]),Catalogos!E$120:G$128,3,FALSE),"")</f>
        <v/>
      </c>
      <c r="V3736" s="108" t="str">
        <f>IF(Tabla1[[#This Row],[Tiempo solución max (hrs)]]&lt;&gt;"",IF(Tabla1[[#This Row],[Tiempo solución max (hrs)]]&gt;=Tabla1[[#This Row],[Tiempo
(Hrs 00/100)]],"cumple","no cumple"),"")</f>
        <v/>
      </c>
      <c r="W3736" s="17"/>
      <c r="X3736" s="18">
        <f t="shared" si="248"/>
        <v>0</v>
      </c>
      <c r="Y3736" t="str">
        <f>SUBSTITUTE(Tabla1[[#This Row],[Descripción]],CHAR(10),"    I    ")</f>
        <v/>
      </c>
      <c r="Z3736" s="112" t="e">
        <f>VLOOKUP(Tabla1[[#This Row],[Perfil]],Catalogos!$B$75:$D$100,3,FALSE)*Tabla1[[#This Row],[Tiempo
(Hrs 00/100)]]*1.16</f>
        <v>#N/A</v>
      </c>
    </row>
    <row r="3737" spans="1:26" ht="30" customHeight="1" x14ac:dyDescent="0.3">
      <c r="A3737" s="106"/>
      <c r="B3737" s="106"/>
      <c r="C3737" s="106"/>
      <c r="D3737" s="106"/>
      <c r="E3737" s="106"/>
      <c r="F3737" s="106"/>
      <c r="G3737" s="106"/>
      <c r="H3737" s="107"/>
      <c r="I3737" s="95"/>
      <c r="J3737" s="706"/>
      <c r="K3737" s="769"/>
      <c r="L3737" s="706"/>
      <c r="M3737" s="781"/>
      <c r="N3737" s="182"/>
      <c r="O3737" s="188"/>
      <c r="P3737" s="221"/>
      <c r="Q3737" s="106"/>
      <c r="R3737" s="108"/>
      <c r="S3737" s="108"/>
      <c r="T3737" s="108"/>
      <c r="U3737" s="108" t="str">
        <f>IFERROR(VLOOKUP(CONCATENATE(Tabla1[[#This Row],[Severidad]]," ",Tabla1[[#This Row],[Complejidad]]),Catalogos!E$120:G$128,3,FALSE),"")</f>
        <v/>
      </c>
      <c r="V3737" s="108" t="str">
        <f>IF(Tabla1[[#This Row],[Tiempo solución max (hrs)]]&lt;&gt;"",IF(Tabla1[[#This Row],[Tiempo solución max (hrs)]]&gt;=Tabla1[[#This Row],[Tiempo
(Hrs 00/100)]],"cumple","no cumple"),"")</f>
        <v/>
      </c>
      <c r="W3737" s="17"/>
      <c r="X3737" s="18">
        <f t="shared" si="248"/>
        <v>0</v>
      </c>
      <c r="Y3737" t="str">
        <f>SUBSTITUTE(Tabla1[[#This Row],[Descripción]],CHAR(10),"    I    ")</f>
        <v/>
      </c>
      <c r="Z3737" s="112" t="e">
        <f>VLOOKUP(Tabla1[[#This Row],[Perfil]],Catalogos!$B$75:$D$100,3,FALSE)*Tabla1[[#This Row],[Tiempo
(Hrs 00/100)]]*1.16</f>
        <v>#N/A</v>
      </c>
    </row>
    <row r="3738" spans="1:26" ht="30" customHeight="1" x14ac:dyDescent="0.3">
      <c r="A3738" s="106"/>
      <c r="B3738" s="106"/>
      <c r="C3738" s="106"/>
      <c r="D3738" s="106"/>
      <c r="E3738" s="106"/>
      <c r="F3738" s="106"/>
      <c r="G3738" s="106"/>
      <c r="H3738" s="107"/>
      <c r="I3738" s="95"/>
      <c r="J3738" s="706"/>
      <c r="K3738" s="769"/>
      <c r="L3738" s="706"/>
      <c r="M3738" s="781"/>
      <c r="N3738" s="182"/>
      <c r="O3738" s="188"/>
      <c r="P3738" s="221"/>
      <c r="Q3738" s="106"/>
      <c r="R3738" s="108"/>
      <c r="S3738" s="108"/>
      <c r="T3738" s="108"/>
      <c r="U3738" s="108" t="str">
        <f>IFERROR(VLOOKUP(CONCATENATE(Tabla1[[#This Row],[Severidad]]," ",Tabla1[[#This Row],[Complejidad]]),Catalogos!E$120:G$128,3,FALSE),"")</f>
        <v/>
      </c>
      <c r="V3738" s="108" t="str">
        <f>IF(Tabla1[[#This Row],[Tiempo solución max (hrs)]]&lt;&gt;"",IF(Tabla1[[#This Row],[Tiempo solución max (hrs)]]&gt;=Tabla1[[#This Row],[Tiempo
(Hrs 00/100)]],"cumple","no cumple"),"")</f>
        <v/>
      </c>
      <c r="W3738" s="17"/>
      <c r="X3738" s="18">
        <f t="shared" si="248"/>
        <v>0</v>
      </c>
      <c r="Y3738" t="str">
        <f>SUBSTITUTE(Tabla1[[#This Row],[Descripción]],CHAR(10),"    I    ")</f>
        <v/>
      </c>
      <c r="Z3738" s="112" t="e">
        <f>VLOOKUP(Tabla1[[#This Row],[Perfil]],Catalogos!$B$75:$D$100,3,FALSE)*Tabla1[[#This Row],[Tiempo
(Hrs 00/100)]]*1.16</f>
        <v>#N/A</v>
      </c>
    </row>
    <row r="3739" spans="1:26" ht="30" customHeight="1" x14ac:dyDescent="0.3">
      <c r="A3739" s="106"/>
      <c r="B3739" s="106"/>
      <c r="C3739" s="106"/>
      <c r="D3739" s="106"/>
      <c r="E3739" s="106"/>
      <c r="F3739" s="106"/>
      <c r="G3739" s="106"/>
      <c r="H3739" s="107"/>
      <c r="I3739" s="95"/>
      <c r="J3739" s="706"/>
      <c r="K3739" s="769"/>
      <c r="L3739" s="706"/>
      <c r="M3739" s="781"/>
      <c r="N3739" s="182"/>
      <c r="O3739" s="188"/>
      <c r="P3739" s="221"/>
      <c r="Q3739" s="106"/>
      <c r="R3739" s="108"/>
      <c r="S3739" s="108"/>
      <c r="T3739" s="108"/>
      <c r="U3739" s="108" t="str">
        <f>IFERROR(VLOOKUP(CONCATENATE(Tabla1[[#This Row],[Severidad]]," ",Tabla1[[#This Row],[Complejidad]]),Catalogos!E$120:G$128,3,FALSE),"")</f>
        <v/>
      </c>
      <c r="V3739" s="108" t="str">
        <f>IF(Tabla1[[#This Row],[Tiempo solución max (hrs)]]&lt;&gt;"",IF(Tabla1[[#This Row],[Tiempo solución max (hrs)]]&gt;=Tabla1[[#This Row],[Tiempo
(Hrs 00/100)]],"cumple","no cumple"),"")</f>
        <v/>
      </c>
      <c r="W3739" s="17"/>
      <c r="X3739" s="18">
        <f t="shared" si="248"/>
        <v>0</v>
      </c>
      <c r="Y3739" t="str">
        <f>SUBSTITUTE(Tabla1[[#This Row],[Descripción]],CHAR(10),"    I    ")</f>
        <v/>
      </c>
      <c r="Z3739" s="112" t="e">
        <f>VLOOKUP(Tabla1[[#This Row],[Perfil]],Catalogos!$B$75:$D$100,3,FALSE)*Tabla1[[#This Row],[Tiempo
(Hrs 00/100)]]*1.16</f>
        <v>#N/A</v>
      </c>
    </row>
    <row r="3740" spans="1:26" ht="30" customHeight="1" x14ac:dyDescent="0.3">
      <c r="A3740" s="106"/>
      <c r="B3740" s="106"/>
      <c r="C3740" s="106"/>
      <c r="D3740" s="106"/>
      <c r="E3740" s="106"/>
      <c r="F3740" s="106"/>
      <c r="G3740" s="106"/>
      <c r="H3740" s="107"/>
      <c r="I3740" s="95"/>
      <c r="J3740" s="706"/>
      <c r="K3740" s="769"/>
      <c r="L3740" s="706"/>
      <c r="M3740" s="781"/>
      <c r="N3740" s="182"/>
      <c r="O3740" s="188"/>
      <c r="P3740" s="221"/>
      <c r="Q3740" s="106"/>
      <c r="R3740" s="108"/>
      <c r="S3740" s="108"/>
      <c r="T3740" s="108"/>
      <c r="U3740" s="108" t="str">
        <f>IFERROR(VLOOKUP(CONCATENATE(Tabla1[[#This Row],[Severidad]]," ",Tabla1[[#This Row],[Complejidad]]),Catalogos!E$120:G$128,3,FALSE),"")</f>
        <v/>
      </c>
      <c r="V3740" s="108" t="str">
        <f>IF(Tabla1[[#This Row],[Tiempo solución max (hrs)]]&lt;&gt;"",IF(Tabla1[[#This Row],[Tiempo solución max (hrs)]]&gt;=Tabla1[[#This Row],[Tiempo
(Hrs 00/100)]],"cumple","no cumple"),"")</f>
        <v/>
      </c>
      <c r="W3740" s="17"/>
      <c r="X3740" s="18">
        <f t="shared" si="248"/>
        <v>0</v>
      </c>
      <c r="Y3740" t="str">
        <f>SUBSTITUTE(Tabla1[[#This Row],[Descripción]],CHAR(10),"    I    ")</f>
        <v/>
      </c>
      <c r="Z3740" s="112" t="e">
        <f>VLOOKUP(Tabla1[[#This Row],[Perfil]],Catalogos!$B$75:$D$100,3,FALSE)*Tabla1[[#This Row],[Tiempo
(Hrs 00/100)]]*1.16</f>
        <v>#N/A</v>
      </c>
    </row>
    <row r="3741" spans="1:26" ht="30" customHeight="1" x14ac:dyDescent="0.3">
      <c r="A3741" s="106"/>
      <c r="B3741" s="106"/>
      <c r="C3741" s="106"/>
      <c r="D3741" s="106"/>
      <c r="E3741" s="106"/>
      <c r="F3741" s="106"/>
      <c r="G3741" s="106"/>
      <c r="H3741" s="107"/>
      <c r="I3741" s="95"/>
      <c r="J3741" s="706"/>
      <c r="K3741" s="769"/>
      <c r="L3741" s="706"/>
      <c r="M3741" s="781"/>
      <c r="N3741" s="182"/>
      <c r="O3741" s="188"/>
      <c r="P3741" s="221"/>
      <c r="Q3741" s="106"/>
      <c r="R3741" s="108"/>
      <c r="S3741" s="108"/>
      <c r="T3741" s="108"/>
      <c r="U3741" s="108" t="str">
        <f>IFERROR(VLOOKUP(CONCATENATE(Tabla1[[#This Row],[Severidad]]," ",Tabla1[[#This Row],[Complejidad]]),Catalogos!E$120:G$128,3,FALSE),"")</f>
        <v/>
      </c>
      <c r="V3741" s="108" t="str">
        <f>IF(Tabla1[[#This Row],[Tiempo solución max (hrs)]]&lt;&gt;"",IF(Tabla1[[#This Row],[Tiempo solución max (hrs)]]&gt;=Tabla1[[#This Row],[Tiempo
(Hrs 00/100)]],"cumple","no cumple"),"")</f>
        <v/>
      </c>
      <c r="W3741" s="17"/>
      <c r="X3741" s="18">
        <f t="shared" si="248"/>
        <v>0</v>
      </c>
      <c r="Y3741" t="str">
        <f>SUBSTITUTE(Tabla1[[#This Row],[Descripción]],CHAR(10),"    I    ")</f>
        <v/>
      </c>
      <c r="Z3741" s="112" t="e">
        <f>VLOOKUP(Tabla1[[#This Row],[Perfil]],Catalogos!$B$75:$D$100,3,FALSE)*Tabla1[[#This Row],[Tiempo
(Hrs 00/100)]]*1.16</f>
        <v>#N/A</v>
      </c>
    </row>
    <row r="3742" spans="1:26" ht="30" customHeight="1" x14ac:dyDescent="0.3">
      <c r="A3742" s="106"/>
      <c r="B3742" s="106"/>
      <c r="C3742" s="106"/>
      <c r="D3742" s="106"/>
      <c r="E3742" s="106"/>
      <c r="F3742" s="106"/>
      <c r="G3742" s="106"/>
      <c r="H3742" s="107"/>
      <c r="I3742" s="95"/>
      <c r="J3742" s="706"/>
      <c r="K3742" s="769"/>
      <c r="L3742" s="706"/>
      <c r="M3742" s="781"/>
      <c r="N3742" s="182"/>
      <c r="O3742" s="188"/>
      <c r="P3742" s="221"/>
      <c r="Q3742" s="106"/>
      <c r="R3742" s="108"/>
      <c r="S3742" s="108"/>
      <c r="T3742" s="108"/>
      <c r="U3742" s="108" t="str">
        <f>IFERROR(VLOOKUP(CONCATENATE(Tabla1[[#This Row],[Severidad]]," ",Tabla1[[#This Row],[Complejidad]]),Catalogos!E$120:G$128,3,FALSE),"")</f>
        <v/>
      </c>
      <c r="V3742" s="108" t="str">
        <f>IF(Tabla1[[#This Row],[Tiempo solución max (hrs)]]&lt;&gt;"",IF(Tabla1[[#This Row],[Tiempo solución max (hrs)]]&gt;=Tabla1[[#This Row],[Tiempo
(Hrs 00/100)]],"cumple","no cumple"),"")</f>
        <v/>
      </c>
      <c r="W3742" s="17"/>
      <c r="X3742" s="18">
        <f t="shared" si="248"/>
        <v>0</v>
      </c>
      <c r="Y3742" t="str">
        <f>SUBSTITUTE(Tabla1[[#This Row],[Descripción]],CHAR(10),"    I    ")</f>
        <v/>
      </c>
      <c r="Z3742" s="112" t="e">
        <f>VLOOKUP(Tabla1[[#This Row],[Perfil]],Catalogos!$B$75:$D$100,3,FALSE)*Tabla1[[#This Row],[Tiempo
(Hrs 00/100)]]*1.16</f>
        <v>#N/A</v>
      </c>
    </row>
    <row r="3743" spans="1:26" ht="30" customHeight="1" x14ac:dyDescent="0.3">
      <c r="A3743" s="106"/>
      <c r="B3743" s="106"/>
      <c r="C3743" s="106"/>
      <c r="D3743" s="106"/>
      <c r="E3743" s="106"/>
      <c r="F3743" s="106"/>
      <c r="G3743" s="106"/>
      <c r="H3743" s="107"/>
      <c r="I3743" s="95"/>
      <c r="J3743" s="706"/>
      <c r="K3743" s="769"/>
      <c r="L3743" s="706"/>
      <c r="M3743" s="781"/>
      <c r="N3743" s="182"/>
      <c r="O3743" s="188"/>
      <c r="P3743" s="221"/>
      <c r="Q3743" s="106"/>
      <c r="R3743" s="108"/>
      <c r="S3743" s="108"/>
      <c r="T3743" s="108"/>
      <c r="U3743" s="108" t="str">
        <f>IFERROR(VLOOKUP(CONCATENATE(Tabla1[[#This Row],[Severidad]]," ",Tabla1[[#This Row],[Complejidad]]),Catalogos!E$120:G$128,3,FALSE),"")</f>
        <v/>
      </c>
      <c r="V3743" s="108" t="str">
        <f>IF(Tabla1[[#This Row],[Tiempo solución max (hrs)]]&lt;&gt;"",IF(Tabla1[[#This Row],[Tiempo solución max (hrs)]]&gt;=Tabla1[[#This Row],[Tiempo
(Hrs 00/100)]],"cumple","no cumple"),"")</f>
        <v/>
      </c>
      <c r="W3743" s="17"/>
      <c r="X3743" s="18">
        <f t="shared" si="248"/>
        <v>0</v>
      </c>
      <c r="Y3743" t="str">
        <f>SUBSTITUTE(Tabla1[[#This Row],[Descripción]],CHAR(10),"    I    ")</f>
        <v/>
      </c>
      <c r="Z3743" s="112" t="e">
        <f>VLOOKUP(Tabla1[[#This Row],[Perfil]],Catalogos!$B$75:$D$100,3,FALSE)*Tabla1[[#This Row],[Tiempo
(Hrs 00/100)]]*1.16</f>
        <v>#N/A</v>
      </c>
    </row>
    <row r="3744" spans="1:26" ht="30" customHeight="1" x14ac:dyDescent="0.3">
      <c r="A3744" s="106"/>
      <c r="B3744" s="106"/>
      <c r="C3744" s="106"/>
      <c r="D3744" s="106"/>
      <c r="E3744" s="106"/>
      <c r="F3744" s="106"/>
      <c r="G3744" s="106"/>
      <c r="H3744" s="107"/>
      <c r="I3744" s="95"/>
      <c r="J3744" s="706"/>
      <c r="K3744" s="769"/>
      <c r="L3744" s="706"/>
      <c r="M3744" s="781"/>
      <c r="N3744" s="182"/>
      <c r="O3744" s="188"/>
      <c r="P3744" s="221"/>
      <c r="Q3744" s="106"/>
      <c r="R3744" s="108"/>
      <c r="S3744" s="108"/>
      <c r="T3744" s="108"/>
      <c r="U3744" s="108" t="str">
        <f>IFERROR(VLOOKUP(CONCATENATE(Tabla1[[#This Row],[Severidad]]," ",Tabla1[[#This Row],[Complejidad]]),Catalogos!E$120:G$128,3,FALSE),"")</f>
        <v/>
      </c>
      <c r="V3744" s="108" t="str">
        <f>IF(Tabla1[[#This Row],[Tiempo solución max (hrs)]]&lt;&gt;"",IF(Tabla1[[#This Row],[Tiempo solución max (hrs)]]&gt;=Tabla1[[#This Row],[Tiempo
(Hrs 00/100)]],"cumple","no cumple"),"")</f>
        <v/>
      </c>
      <c r="W3744" s="17"/>
      <c r="X3744" s="18">
        <f t="shared" si="248"/>
        <v>0</v>
      </c>
      <c r="Y3744" t="str">
        <f>SUBSTITUTE(Tabla1[[#This Row],[Descripción]],CHAR(10),"    I    ")</f>
        <v/>
      </c>
      <c r="Z3744" s="112" t="e">
        <f>VLOOKUP(Tabla1[[#This Row],[Perfil]],Catalogos!$B$75:$D$100,3,FALSE)*Tabla1[[#This Row],[Tiempo
(Hrs 00/100)]]*1.16</f>
        <v>#N/A</v>
      </c>
    </row>
    <row r="3745" spans="1:26" ht="30" customHeight="1" x14ac:dyDescent="0.3">
      <c r="A3745" s="106"/>
      <c r="B3745" s="106"/>
      <c r="C3745" s="106"/>
      <c r="D3745" s="106"/>
      <c r="E3745" s="106"/>
      <c r="F3745" s="106"/>
      <c r="G3745" s="106"/>
      <c r="H3745" s="107"/>
      <c r="I3745" s="95"/>
      <c r="J3745" s="706"/>
      <c r="K3745" s="769"/>
      <c r="L3745" s="706"/>
      <c r="M3745" s="781"/>
      <c r="N3745" s="182"/>
      <c r="O3745" s="188"/>
      <c r="P3745" s="221"/>
      <c r="Q3745" s="106"/>
      <c r="R3745" s="108"/>
      <c r="S3745" s="108"/>
      <c r="T3745" s="108"/>
      <c r="U3745" s="108" t="str">
        <f>IFERROR(VLOOKUP(CONCATENATE(Tabla1[[#This Row],[Severidad]]," ",Tabla1[[#This Row],[Complejidad]]),Catalogos!E$120:G$128,3,FALSE),"")</f>
        <v/>
      </c>
      <c r="V3745" s="108" t="str">
        <f>IF(Tabla1[[#This Row],[Tiempo solución max (hrs)]]&lt;&gt;"",IF(Tabla1[[#This Row],[Tiempo solución max (hrs)]]&gt;=Tabla1[[#This Row],[Tiempo
(Hrs 00/100)]],"cumple","no cumple"),"")</f>
        <v/>
      </c>
      <c r="W3745" s="17"/>
      <c r="X3745" s="18">
        <f t="shared" si="248"/>
        <v>0</v>
      </c>
      <c r="Y3745" t="str">
        <f>SUBSTITUTE(Tabla1[[#This Row],[Descripción]],CHAR(10),"    I    ")</f>
        <v/>
      </c>
      <c r="Z3745" s="112" t="e">
        <f>VLOOKUP(Tabla1[[#This Row],[Perfil]],Catalogos!$B$75:$D$100,3,FALSE)*Tabla1[[#This Row],[Tiempo
(Hrs 00/100)]]*1.16</f>
        <v>#N/A</v>
      </c>
    </row>
    <row r="3746" spans="1:26" ht="30" customHeight="1" x14ac:dyDescent="0.3">
      <c r="A3746" s="106"/>
      <c r="B3746" s="106"/>
      <c r="C3746" s="106"/>
      <c r="D3746" s="106"/>
      <c r="E3746" s="106"/>
      <c r="F3746" s="106"/>
      <c r="G3746" s="106"/>
      <c r="H3746" s="107"/>
      <c r="I3746" s="95"/>
      <c r="J3746" s="706"/>
      <c r="K3746" s="769"/>
      <c r="L3746" s="706"/>
      <c r="M3746" s="781"/>
      <c r="N3746" s="182"/>
      <c r="O3746" s="188"/>
      <c r="P3746" s="221"/>
      <c r="Q3746" s="106"/>
      <c r="R3746" s="108"/>
      <c r="S3746" s="108"/>
      <c r="T3746" s="108"/>
      <c r="U3746" s="108" t="str">
        <f>IFERROR(VLOOKUP(CONCATENATE(Tabla1[[#This Row],[Severidad]]," ",Tabla1[[#This Row],[Complejidad]]),Catalogos!E$120:G$128,3,FALSE),"")</f>
        <v/>
      </c>
      <c r="V3746" s="108" t="str">
        <f>IF(Tabla1[[#This Row],[Tiempo solución max (hrs)]]&lt;&gt;"",IF(Tabla1[[#This Row],[Tiempo solución max (hrs)]]&gt;=Tabla1[[#This Row],[Tiempo
(Hrs 00/100)]],"cumple","no cumple"),"")</f>
        <v/>
      </c>
      <c r="W3746" s="17"/>
      <c r="X3746" s="18">
        <f t="shared" si="248"/>
        <v>0</v>
      </c>
      <c r="Y3746" t="str">
        <f>SUBSTITUTE(Tabla1[[#This Row],[Descripción]],CHAR(10),"    I    ")</f>
        <v/>
      </c>
      <c r="Z3746" s="112" t="e">
        <f>VLOOKUP(Tabla1[[#This Row],[Perfil]],Catalogos!$B$75:$D$100,3,FALSE)*Tabla1[[#This Row],[Tiempo
(Hrs 00/100)]]*1.16</f>
        <v>#N/A</v>
      </c>
    </row>
    <row r="3747" spans="1:26" ht="30" customHeight="1" x14ac:dyDescent="0.3">
      <c r="A3747" s="106"/>
      <c r="B3747" s="106"/>
      <c r="C3747" s="106"/>
      <c r="D3747" s="106"/>
      <c r="E3747" s="106"/>
      <c r="F3747" s="106"/>
      <c r="G3747" s="106"/>
      <c r="H3747" s="107"/>
      <c r="I3747" s="95"/>
      <c r="J3747" s="706"/>
      <c r="K3747" s="769"/>
      <c r="L3747" s="706"/>
      <c r="M3747" s="781"/>
      <c r="N3747" s="182"/>
      <c r="O3747" s="188"/>
      <c r="P3747" s="221"/>
      <c r="Q3747" s="106"/>
      <c r="R3747" s="108"/>
      <c r="S3747" s="108"/>
      <c r="T3747" s="108"/>
      <c r="U3747" s="108" t="str">
        <f>IFERROR(VLOOKUP(CONCATENATE(Tabla1[[#This Row],[Severidad]]," ",Tabla1[[#This Row],[Complejidad]]),Catalogos!E$120:G$128,3,FALSE),"")</f>
        <v/>
      </c>
      <c r="V3747" s="108" t="str">
        <f>IF(Tabla1[[#This Row],[Tiempo solución max (hrs)]]&lt;&gt;"",IF(Tabla1[[#This Row],[Tiempo solución max (hrs)]]&gt;=Tabla1[[#This Row],[Tiempo
(Hrs 00/100)]],"cumple","no cumple"),"")</f>
        <v/>
      </c>
      <c r="W3747" s="17"/>
      <c r="X3747" s="18">
        <f t="shared" si="248"/>
        <v>0</v>
      </c>
      <c r="Y3747" t="str">
        <f>SUBSTITUTE(Tabla1[[#This Row],[Descripción]],CHAR(10),"    I    ")</f>
        <v/>
      </c>
      <c r="Z3747" s="112" t="e">
        <f>VLOOKUP(Tabla1[[#This Row],[Perfil]],Catalogos!$B$75:$D$100,3,FALSE)*Tabla1[[#This Row],[Tiempo
(Hrs 00/100)]]*1.16</f>
        <v>#N/A</v>
      </c>
    </row>
    <row r="3748" spans="1:26" ht="30" customHeight="1" x14ac:dyDescent="0.3">
      <c r="A3748" s="106"/>
      <c r="B3748" s="106"/>
      <c r="C3748" s="106"/>
      <c r="D3748" s="106"/>
      <c r="E3748" s="106"/>
      <c r="F3748" s="106"/>
      <c r="G3748" s="106"/>
      <c r="H3748" s="107"/>
      <c r="I3748" s="95"/>
      <c r="J3748" s="706"/>
      <c r="K3748" s="769"/>
      <c r="L3748" s="706"/>
      <c r="M3748" s="781"/>
      <c r="N3748" s="182"/>
      <c r="O3748" s="188"/>
      <c r="P3748" s="221"/>
      <c r="Q3748" s="106"/>
      <c r="R3748" s="108"/>
      <c r="S3748" s="108"/>
      <c r="T3748" s="108"/>
      <c r="U3748" s="108" t="str">
        <f>IFERROR(VLOOKUP(CONCATENATE(Tabla1[[#This Row],[Severidad]]," ",Tabla1[[#This Row],[Complejidad]]),Catalogos!E$120:G$128,3,FALSE),"")</f>
        <v/>
      </c>
      <c r="V3748" s="108" t="str">
        <f>IF(Tabla1[[#This Row],[Tiempo solución max (hrs)]]&lt;&gt;"",IF(Tabla1[[#This Row],[Tiempo solución max (hrs)]]&gt;=Tabla1[[#This Row],[Tiempo
(Hrs 00/100)]],"cumple","no cumple"),"")</f>
        <v/>
      </c>
      <c r="W3748" s="17"/>
      <c r="X3748" s="18">
        <f t="shared" si="248"/>
        <v>0</v>
      </c>
      <c r="Y3748" t="str">
        <f>SUBSTITUTE(Tabla1[[#This Row],[Descripción]],CHAR(10),"    I    ")</f>
        <v/>
      </c>
      <c r="Z3748" s="112" t="e">
        <f>VLOOKUP(Tabla1[[#This Row],[Perfil]],Catalogos!$B$75:$D$100,3,FALSE)*Tabla1[[#This Row],[Tiempo
(Hrs 00/100)]]*1.16</f>
        <v>#N/A</v>
      </c>
    </row>
    <row r="3749" spans="1:26" ht="30" customHeight="1" x14ac:dyDescent="0.3">
      <c r="A3749" s="106"/>
      <c r="B3749" s="106"/>
      <c r="C3749" s="106"/>
      <c r="D3749" s="106"/>
      <c r="E3749" s="106"/>
      <c r="F3749" s="106"/>
      <c r="G3749" s="106"/>
      <c r="H3749" s="107"/>
      <c r="I3749" s="95"/>
      <c r="J3749" s="706"/>
      <c r="K3749" s="769"/>
      <c r="L3749" s="706"/>
      <c r="M3749" s="781"/>
      <c r="N3749" s="182"/>
      <c r="O3749" s="188"/>
      <c r="P3749" s="221"/>
      <c r="Q3749" s="106"/>
      <c r="R3749" s="108"/>
      <c r="S3749" s="108"/>
      <c r="T3749" s="108"/>
      <c r="U3749" s="108" t="str">
        <f>IFERROR(VLOOKUP(CONCATENATE(Tabla1[[#This Row],[Severidad]]," ",Tabla1[[#This Row],[Complejidad]]),Catalogos!E$120:G$128,3,FALSE),"")</f>
        <v/>
      </c>
      <c r="V3749" s="108" t="str">
        <f>IF(Tabla1[[#This Row],[Tiempo solución max (hrs)]]&lt;&gt;"",IF(Tabla1[[#This Row],[Tiempo solución max (hrs)]]&gt;=Tabla1[[#This Row],[Tiempo
(Hrs 00/100)]],"cumple","no cumple"),"")</f>
        <v/>
      </c>
      <c r="W3749" s="17"/>
      <c r="X3749" s="18">
        <f t="shared" si="248"/>
        <v>0</v>
      </c>
      <c r="Y3749" t="str">
        <f>SUBSTITUTE(Tabla1[[#This Row],[Descripción]],CHAR(10),"    I    ")</f>
        <v/>
      </c>
      <c r="Z3749" s="112" t="e">
        <f>VLOOKUP(Tabla1[[#This Row],[Perfil]],Catalogos!$B$75:$D$100,3,FALSE)*Tabla1[[#This Row],[Tiempo
(Hrs 00/100)]]*1.16</f>
        <v>#N/A</v>
      </c>
    </row>
    <row r="3750" spans="1:26" ht="30" customHeight="1" x14ac:dyDescent="0.3">
      <c r="A3750" s="106"/>
      <c r="B3750" s="106"/>
      <c r="C3750" s="106"/>
      <c r="D3750" s="106"/>
      <c r="E3750" s="106"/>
      <c r="F3750" s="106"/>
      <c r="G3750" s="106"/>
      <c r="H3750" s="107"/>
      <c r="I3750" s="95"/>
      <c r="J3750" s="706"/>
      <c r="K3750" s="769"/>
      <c r="L3750" s="706"/>
      <c r="M3750" s="781"/>
      <c r="N3750" s="182"/>
      <c r="O3750" s="188"/>
      <c r="P3750" s="221"/>
      <c r="Q3750" s="106"/>
      <c r="R3750" s="108"/>
      <c r="S3750" s="108"/>
      <c r="T3750" s="108"/>
      <c r="U3750" s="108" t="str">
        <f>IFERROR(VLOOKUP(CONCATENATE(Tabla1[[#This Row],[Severidad]]," ",Tabla1[[#This Row],[Complejidad]]),Catalogos!E$120:G$128,3,FALSE),"")</f>
        <v/>
      </c>
      <c r="V3750" s="108" t="str">
        <f>IF(Tabla1[[#This Row],[Tiempo solución max (hrs)]]&lt;&gt;"",IF(Tabla1[[#This Row],[Tiempo solución max (hrs)]]&gt;=Tabla1[[#This Row],[Tiempo
(Hrs 00/100)]],"cumple","no cumple"),"")</f>
        <v/>
      </c>
      <c r="W3750" s="17"/>
      <c r="X3750" s="18">
        <f t="shared" si="248"/>
        <v>0</v>
      </c>
      <c r="Y3750" t="str">
        <f>SUBSTITUTE(Tabla1[[#This Row],[Descripción]],CHAR(10),"    I    ")</f>
        <v/>
      </c>
      <c r="Z3750" s="112" t="e">
        <f>VLOOKUP(Tabla1[[#This Row],[Perfil]],Catalogos!$B$75:$D$100,3,FALSE)*Tabla1[[#This Row],[Tiempo
(Hrs 00/100)]]*1.16</f>
        <v>#N/A</v>
      </c>
    </row>
    <row r="3751" spans="1:26" ht="30" customHeight="1" x14ac:dyDescent="0.3">
      <c r="A3751" s="106"/>
      <c r="B3751" s="106"/>
      <c r="C3751" s="106"/>
      <c r="D3751" s="106"/>
      <c r="E3751" s="106"/>
      <c r="F3751" s="106"/>
      <c r="G3751" s="106"/>
      <c r="H3751" s="107"/>
      <c r="I3751" s="95"/>
      <c r="J3751" s="706"/>
      <c r="K3751" s="769"/>
      <c r="L3751" s="706"/>
      <c r="M3751" s="781"/>
      <c r="N3751" s="182"/>
      <c r="O3751" s="188"/>
      <c r="P3751" s="221"/>
      <c r="Q3751" s="106"/>
      <c r="R3751" s="108"/>
      <c r="S3751" s="108"/>
      <c r="T3751" s="108"/>
      <c r="U3751" s="108" t="str">
        <f>IFERROR(VLOOKUP(CONCATENATE(Tabla1[[#This Row],[Severidad]]," ",Tabla1[[#This Row],[Complejidad]]),Catalogos!E$120:G$128,3,FALSE),"")</f>
        <v/>
      </c>
      <c r="V3751" s="108" t="str">
        <f>IF(Tabla1[[#This Row],[Tiempo solución max (hrs)]]&lt;&gt;"",IF(Tabla1[[#This Row],[Tiempo solución max (hrs)]]&gt;=Tabla1[[#This Row],[Tiempo
(Hrs 00/100)]],"cumple","no cumple"),"")</f>
        <v/>
      </c>
      <c r="W3751" s="17"/>
      <c r="X3751" s="18">
        <f t="shared" si="248"/>
        <v>0</v>
      </c>
      <c r="Y3751" t="str">
        <f>SUBSTITUTE(Tabla1[[#This Row],[Descripción]],CHAR(10),"    I    ")</f>
        <v/>
      </c>
      <c r="Z3751" s="112" t="e">
        <f>VLOOKUP(Tabla1[[#This Row],[Perfil]],Catalogos!$B$75:$D$100,3,FALSE)*Tabla1[[#This Row],[Tiempo
(Hrs 00/100)]]*1.16</f>
        <v>#N/A</v>
      </c>
    </row>
    <row r="3752" spans="1:26" ht="30" customHeight="1" x14ac:dyDescent="0.3">
      <c r="A3752" s="106"/>
      <c r="B3752" s="106"/>
      <c r="C3752" s="106"/>
      <c r="D3752" s="106"/>
      <c r="E3752" s="106"/>
      <c r="F3752" s="106"/>
      <c r="G3752" s="106"/>
      <c r="H3752" s="107"/>
      <c r="I3752" s="95"/>
      <c r="J3752" s="706"/>
      <c r="K3752" s="769"/>
      <c r="L3752" s="706"/>
      <c r="M3752" s="781"/>
      <c r="N3752" s="182"/>
      <c r="O3752" s="188"/>
      <c r="P3752" s="221"/>
      <c r="Q3752" s="106"/>
      <c r="R3752" s="108"/>
      <c r="S3752" s="108"/>
      <c r="T3752" s="108"/>
      <c r="U3752" s="108" t="str">
        <f>IFERROR(VLOOKUP(CONCATENATE(Tabla1[[#This Row],[Severidad]]," ",Tabla1[[#This Row],[Complejidad]]),Catalogos!E$120:G$128,3,FALSE),"")</f>
        <v/>
      </c>
      <c r="V3752" s="108" t="str">
        <f>IF(Tabla1[[#This Row],[Tiempo solución max (hrs)]]&lt;&gt;"",IF(Tabla1[[#This Row],[Tiempo solución max (hrs)]]&gt;=Tabla1[[#This Row],[Tiempo
(Hrs 00/100)]],"cumple","no cumple"),"")</f>
        <v/>
      </c>
      <c r="W3752" s="17"/>
      <c r="X3752" s="18">
        <f t="shared" si="248"/>
        <v>0</v>
      </c>
      <c r="Y3752" t="str">
        <f>SUBSTITUTE(Tabla1[[#This Row],[Descripción]],CHAR(10),"    I    ")</f>
        <v/>
      </c>
      <c r="Z3752" s="112" t="e">
        <f>VLOOKUP(Tabla1[[#This Row],[Perfil]],Catalogos!$B$75:$D$100,3,FALSE)*Tabla1[[#This Row],[Tiempo
(Hrs 00/100)]]*1.16</f>
        <v>#N/A</v>
      </c>
    </row>
    <row r="3753" spans="1:26" ht="30" customHeight="1" x14ac:dyDescent="0.3">
      <c r="A3753" s="106"/>
      <c r="B3753" s="106"/>
      <c r="C3753" s="106"/>
      <c r="D3753" s="106"/>
      <c r="E3753" s="106"/>
      <c r="F3753" s="106"/>
      <c r="G3753" s="106"/>
      <c r="H3753" s="107"/>
      <c r="I3753" s="95"/>
      <c r="J3753" s="706"/>
      <c r="K3753" s="769"/>
      <c r="L3753" s="706"/>
      <c r="M3753" s="781"/>
      <c r="N3753" s="182"/>
      <c r="O3753" s="188"/>
      <c r="P3753" s="221"/>
      <c r="Q3753" s="106"/>
      <c r="R3753" s="108"/>
      <c r="S3753" s="108"/>
      <c r="T3753" s="108"/>
      <c r="U3753" s="108" t="str">
        <f>IFERROR(VLOOKUP(CONCATENATE(Tabla1[[#This Row],[Severidad]]," ",Tabla1[[#This Row],[Complejidad]]),Catalogos!E$120:G$128,3,FALSE),"")</f>
        <v/>
      </c>
      <c r="V3753" s="108" t="str">
        <f>IF(Tabla1[[#This Row],[Tiempo solución max (hrs)]]&lt;&gt;"",IF(Tabla1[[#This Row],[Tiempo solución max (hrs)]]&gt;=Tabla1[[#This Row],[Tiempo
(Hrs 00/100)]],"cumple","no cumple"),"")</f>
        <v/>
      </c>
      <c r="W3753" s="17"/>
      <c r="X3753" s="18">
        <f t="shared" si="248"/>
        <v>0</v>
      </c>
      <c r="Y3753" t="str">
        <f>SUBSTITUTE(Tabla1[[#This Row],[Descripción]],CHAR(10),"    I    ")</f>
        <v/>
      </c>
      <c r="Z3753" s="112" t="e">
        <f>VLOOKUP(Tabla1[[#This Row],[Perfil]],Catalogos!$B$75:$D$100,3,FALSE)*Tabla1[[#This Row],[Tiempo
(Hrs 00/100)]]*1.16</f>
        <v>#N/A</v>
      </c>
    </row>
    <row r="3754" spans="1:26" ht="30" customHeight="1" x14ac:dyDescent="0.3">
      <c r="A3754" s="106"/>
      <c r="B3754" s="106"/>
      <c r="C3754" s="106"/>
      <c r="D3754" s="106"/>
      <c r="E3754" s="106"/>
      <c r="F3754" s="106"/>
      <c r="G3754" s="106"/>
      <c r="H3754" s="107"/>
      <c r="I3754" s="95"/>
      <c r="J3754" s="706"/>
      <c r="K3754" s="769"/>
      <c r="L3754" s="706"/>
      <c r="M3754" s="781"/>
      <c r="N3754" s="182"/>
      <c r="O3754" s="188"/>
      <c r="P3754" s="221"/>
      <c r="Q3754" s="106"/>
      <c r="R3754" s="108"/>
      <c r="S3754" s="108"/>
      <c r="T3754" s="108"/>
      <c r="U3754" s="108" t="str">
        <f>IFERROR(VLOOKUP(CONCATENATE(Tabla1[[#This Row],[Severidad]]," ",Tabla1[[#This Row],[Complejidad]]),Catalogos!E$120:G$128,3,FALSE),"")</f>
        <v/>
      </c>
      <c r="V3754" s="108" t="str">
        <f>IF(Tabla1[[#This Row],[Tiempo solución max (hrs)]]&lt;&gt;"",IF(Tabla1[[#This Row],[Tiempo solución max (hrs)]]&gt;=Tabla1[[#This Row],[Tiempo
(Hrs 00/100)]],"cumple","no cumple"),"")</f>
        <v/>
      </c>
      <c r="W3754" s="17"/>
      <c r="X3754" s="18">
        <f t="shared" si="248"/>
        <v>0</v>
      </c>
      <c r="Y3754" t="str">
        <f>SUBSTITUTE(Tabla1[[#This Row],[Descripción]],CHAR(10),"    I    ")</f>
        <v/>
      </c>
      <c r="Z3754" s="112" t="e">
        <f>VLOOKUP(Tabla1[[#This Row],[Perfil]],Catalogos!$B$75:$D$100,3,FALSE)*Tabla1[[#This Row],[Tiempo
(Hrs 00/100)]]*1.16</f>
        <v>#N/A</v>
      </c>
    </row>
    <row r="3755" spans="1:26" ht="30" customHeight="1" x14ac:dyDescent="0.3">
      <c r="A3755" s="106"/>
      <c r="B3755" s="106"/>
      <c r="C3755" s="106"/>
      <c r="D3755" s="106"/>
      <c r="E3755" s="106"/>
      <c r="F3755" s="106"/>
      <c r="G3755" s="106"/>
      <c r="H3755" s="107"/>
      <c r="I3755" s="95"/>
      <c r="J3755" s="706"/>
      <c r="K3755" s="769"/>
      <c r="L3755" s="706"/>
      <c r="M3755" s="781"/>
      <c r="N3755" s="182"/>
      <c r="O3755" s="188"/>
      <c r="P3755" s="221"/>
      <c r="Q3755" s="106"/>
      <c r="R3755" s="108"/>
      <c r="S3755" s="108"/>
      <c r="T3755" s="108"/>
      <c r="U3755" s="108" t="str">
        <f>IFERROR(VLOOKUP(CONCATENATE(Tabla1[[#This Row],[Severidad]]," ",Tabla1[[#This Row],[Complejidad]]),Catalogos!E$120:G$128,3,FALSE),"")</f>
        <v/>
      </c>
      <c r="V3755" s="108" t="str">
        <f>IF(Tabla1[[#This Row],[Tiempo solución max (hrs)]]&lt;&gt;"",IF(Tabla1[[#This Row],[Tiempo solución max (hrs)]]&gt;=Tabla1[[#This Row],[Tiempo
(Hrs 00/100)]],"cumple","no cumple"),"")</f>
        <v/>
      </c>
      <c r="W3755" s="17"/>
      <c r="X3755" s="18">
        <f t="shared" si="248"/>
        <v>0</v>
      </c>
      <c r="Y3755" t="str">
        <f>SUBSTITUTE(Tabla1[[#This Row],[Descripción]],CHAR(10),"    I    ")</f>
        <v/>
      </c>
      <c r="Z3755" s="112" t="e">
        <f>VLOOKUP(Tabla1[[#This Row],[Perfil]],Catalogos!$B$75:$D$100,3,FALSE)*Tabla1[[#This Row],[Tiempo
(Hrs 00/100)]]*1.16</f>
        <v>#N/A</v>
      </c>
    </row>
    <row r="3756" spans="1:26" ht="30" customHeight="1" x14ac:dyDescent="0.3">
      <c r="A3756" s="106"/>
      <c r="B3756" s="106"/>
      <c r="C3756" s="106"/>
      <c r="D3756" s="106"/>
      <c r="E3756" s="106"/>
      <c r="F3756" s="106"/>
      <c r="G3756" s="106"/>
      <c r="H3756" s="107"/>
      <c r="I3756" s="95"/>
      <c r="J3756" s="706"/>
      <c r="K3756" s="769"/>
      <c r="L3756" s="706"/>
      <c r="M3756" s="781"/>
      <c r="N3756" s="182"/>
      <c r="O3756" s="188"/>
      <c r="P3756" s="221"/>
      <c r="Q3756" s="106"/>
      <c r="R3756" s="108"/>
      <c r="S3756" s="108"/>
      <c r="T3756" s="108"/>
      <c r="U3756" s="108" t="str">
        <f>IFERROR(VLOOKUP(CONCATENATE(Tabla1[[#This Row],[Severidad]]," ",Tabla1[[#This Row],[Complejidad]]),Catalogos!E$120:G$128,3,FALSE),"")</f>
        <v/>
      </c>
      <c r="V3756" s="108" t="str">
        <f>IF(Tabla1[[#This Row],[Tiempo solución max (hrs)]]&lt;&gt;"",IF(Tabla1[[#This Row],[Tiempo solución max (hrs)]]&gt;=Tabla1[[#This Row],[Tiempo
(Hrs 00/100)]],"cumple","no cumple"),"")</f>
        <v/>
      </c>
      <c r="W3756" s="17"/>
      <c r="X3756" s="18">
        <f t="shared" si="248"/>
        <v>0</v>
      </c>
      <c r="Y3756" t="str">
        <f>SUBSTITUTE(Tabla1[[#This Row],[Descripción]],CHAR(10),"    I    ")</f>
        <v/>
      </c>
      <c r="Z3756" s="112" t="e">
        <f>VLOOKUP(Tabla1[[#This Row],[Perfil]],Catalogos!$B$75:$D$100,3,FALSE)*Tabla1[[#This Row],[Tiempo
(Hrs 00/100)]]*1.16</f>
        <v>#N/A</v>
      </c>
    </row>
    <row r="3757" spans="1:26" ht="30" customHeight="1" x14ac:dyDescent="0.3">
      <c r="A3757" s="106"/>
      <c r="B3757" s="106"/>
      <c r="C3757" s="106"/>
      <c r="D3757" s="106"/>
      <c r="E3757" s="106"/>
      <c r="F3757" s="106"/>
      <c r="G3757" s="106"/>
      <c r="H3757" s="107"/>
      <c r="I3757" s="95"/>
      <c r="J3757" s="706"/>
      <c r="K3757" s="769"/>
      <c r="L3757" s="706"/>
      <c r="M3757" s="781"/>
      <c r="N3757" s="182"/>
      <c r="O3757" s="188"/>
      <c r="P3757" s="221"/>
      <c r="Q3757" s="106"/>
      <c r="R3757" s="108"/>
      <c r="S3757" s="108"/>
      <c r="T3757" s="108"/>
      <c r="U3757" s="108" t="str">
        <f>IFERROR(VLOOKUP(CONCATENATE(Tabla1[[#This Row],[Severidad]]," ",Tabla1[[#This Row],[Complejidad]]),Catalogos!E$120:G$128,3,FALSE),"")</f>
        <v/>
      </c>
      <c r="V3757" s="108" t="str">
        <f>IF(Tabla1[[#This Row],[Tiempo solución max (hrs)]]&lt;&gt;"",IF(Tabla1[[#This Row],[Tiempo solución max (hrs)]]&gt;=Tabla1[[#This Row],[Tiempo
(Hrs 00/100)]],"cumple","no cumple"),"")</f>
        <v/>
      </c>
      <c r="W3757" s="17"/>
      <c r="X3757" s="18">
        <f t="shared" si="248"/>
        <v>0</v>
      </c>
      <c r="Y3757" t="str">
        <f>SUBSTITUTE(Tabla1[[#This Row],[Descripción]],CHAR(10),"    I    ")</f>
        <v/>
      </c>
      <c r="Z3757" s="112" t="e">
        <f>VLOOKUP(Tabla1[[#This Row],[Perfil]],Catalogos!$B$75:$D$100,3,FALSE)*Tabla1[[#This Row],[Tiempo
(Hrs 00/100)]]*1.16</f>
        <v>#N/A</v>
      </c>
    </row>
    <row r="3758" spans="1:26" ht="30" customHeight="1" x14ac:dyDescent="0.3">
      <c r="A3758" s="106"/>
      <c r="B3758" s="106"/>
      <c r="C3758" s="106"/>
      <c r="D3758" s="106"/>
      <c r="E3758" s="106"/>
      <c r="F3758" s="106"/>
      <c r="G3758" s="106"/>
      <c r="H3758" s="107"/>
      <c r="I3758" s="95"/>
      <c r="J3758" s="706"/>
      <c r="K3758" s="769"/>
      <c r="L3758" s="706"/>
      <c r="M3758" s="781"/>
      <c r="N3758" s="182"/>
      <c r="O3758" s="188"/>
      <c r="P3758" s="221"/>
      <c r="Q3758" s="106"/>
      <c r="R3758" s="108"/>
      <c r="S3758" s="108"/>
      <c r="T3758" s="108"/>
      <c r="U3758" s="108" t="str">
        <f>IFERROR(VLOOKUP(CONCATENATE(Tabla1[[#This Row],[Severidad]]," ",Tabla1[[#This Row],[Complejidad]]),Catalogos!E$120:G$128,3,FALSE),"")</f>
        <v/>
      </c>
      <c r="V3758" s="108" t="str">
        <f>IF(Tabla1[[#This Row],[Tiempo solución max (hrs)]]&lt;&gt;"",IF(Tabla1[[#This Row],[Tiempo solución max (hrs)]]&gt;=Tabla1[[#This Row],[Tiempo
(Hrs 00/100)]],"cumple","no cumple"),"")</f>
        <v/>
      </c>
      <c r="W3758" s="17"/>
      <c r="X3758" s="18">
        <f t="shared" si="248"/>
        <v>0</v>
      </c>
      <c r="Y3758" t="str">
        <f>SUBSTITUTE(Tabla1[[#This Row],[Descripción]],CHAR(10),"    I    ")</f>
        <v/>
      </c>
      <c r="Z3758" s="112" t="e">
        <f>VLOOKUP(Tabla1[[#This Row],[Perfil]],Catalogos!$B$75:$D$100,3,FALSE)*Tabla1[[#This Row],[Tiempo
(Hrs 00/100)]]*1.16</f>
        <v>#N/A</v>
      </c>
    </row>
    <row r="3759" spans="1:26" ht="30" customHeight="1" x14ac:dyDescent="0.3">
      <c r="A3759" s="106"/>
      <c r="B3759" s="106"/>
      <c r="C3759" s="106"/>
      <c r="D3759" s="106"/>
      <c r="E3759" s="106"/>
      <c r="F3759" s="106"/>
      <c r="G3759" s="106"/>
      <c r="H3759" s="107"/>
      <c r="I3759" s="95"/>
      <c r="J3759" s="706"/>
      <c r="K3759" s="769"/>
      <c r="L3759" s="706"/>
      <c r="M3759" s="781"/>
      <c r="N3759" s="182"/>
      <c r="O3759" s="188"/>
      <c r="P3759" s="221"/>
      <c r="Q3759" s="106"/>
      <c r="R3759" s="108"/>
      <c r="S3759" s="108"/>
      <c r="T3759" s="108"/>
      <c r="U3759" s="108" t="str">
        <f>IFERROR(VLOOKUP(CONCATENATE(Tabla1[[#This Row],[Severidad]]," ",Tabla1[[#This Row],[Complejidad]]),Catalogos!E$120:G$128,3,FALSE),"")</f>
        <v/>
      </c>
      <c r="V3759" s="108" t="str">
        <f>IF(Tabla1[[#This Row],[Tiempo solución max (hrs)]]&lt;&gt;"",IF(Tabla1[[#This Row],[Tiempo solución max (hrs)]]&gt;=Tabla1[[#This Row],[Tiempo
(Hrs 00/100)]],"cumple","no cumple"),"")</f>
        <v/>
      </c>
      <c r="W3759" s="17"/>
      <c r="X3759" s="18">
        <f t="shared" si="248"/>
        <v>0</v>
      </c>
      <c r="Y3759" t="str">
        <f>SUBSTITUTE(Tabla1[[#This Row],[Descripción]],CHAR(10),"    I    ")</f>
        <v/>
      </c>
      <c r="Z3759" s="112" t="e">
        <f>VLOOKUP(Tabla1[[#This Row],[Perfil]],Catalogos!$B$75:$D$100,3,FALSE)*Tabla1[[#This Row],[Tiempo
(Hrs 00/100)]]*1.16</f>
        <v>#N/A</v>
      </c>
    </row>
    <row r="3760" spans="1:26" ht="30" customHeight="1" x14ac:dyDescent="0.3">
      <c r="A3760" s="106"/>
      <c r="B3760" s="106"/>
      <c r="C3760" s="106"/>
      <c r="D3760" s="106"/>
      <c r="E3760" s="106"/>
      <c r="F3760" s="106"/>
      <c r="G3760" s="106"/>
      <c r="H3760" s="107"/>
      <c r="I3760" s="95"/>
      <c r="J3760" s="706"/>
      <c r="K3760" s="769"/>
      <c r="L3760" s="706"/>
      <c r="M3760" s="781"/>
      <c r="N3760" s="182"/>
      <c r="O3760" s="188"/>
      <c r="P3760" s="221"/>
      <c r="Q3760" s="106"/>
      <c r="R3760" s="108"/>
      <c r="S3760" s="108"/>
      <c r="T3760" s="108"/>
      <c r="U3760" s="108" t="str">
        <f>IFERROR(VLOOKUP(CONCATENATE(Tabla1[[#This Row],[Severidad]]," ",Tabla1[[#This Row],[Complejidad]]),Catalogos!E$120:G$128,3,FALSE),"")</f>
        <v/>
      </c>
      <c r="V3760" s="108" t="str">
        <f>IF(Tabla1[[#This Row],[Tiempo solución max (hrs)]]&lt;&gt;"",IF(Tabla1[[#This Row],[Tiempo solución max (hrs)]]&gt;=Tabla1[[#This Row],[Tiempo
(Hrs 00/100)]],"cumple","no cumple"),"")</f>
        <v/>
      </c>
      <c r="W3760" s="17"/>
      <c r="X3760" s="18">
        <f t="shared" si="248"/>
        <v>0</v>
      </c>
      <c r="Y3760" t="str">
        <f>SUBSTITUTE(Tabla1[[#This Row],[Descripción]],CHAR(10),"    I    ")</f>
        <v/>
      </c>
      <c r="Z3760" s="112" t="e">
        <f>VLOOKUP(Tabla1[[#This Row],[Perfil]],Catalogos!$B$75:$D$100,3,FALSE)*Tabla1[[#This Row],[Tiempo
(Hrs 00/100)]]*1.16</f>
        <v>#N/A</v>
      </c>
    </row>
    <row r="3761" spans="1:26" ht="30" customHeight="1" x14ac:dyDescent="0.3">
      <c r="A3761" s="106"/>
      <c r="B3761" s="106"/>
      <c r="C3761" s="106"/>
      <c r="D3761" s="106"/>
      <c r="E3761" s="106"/>
      <c r="F3761" s="106"/>
      <c r="G3761" s="106"/>
      <c r="H3761" s="107"/>
      <c r="I3761" s="95"/>
      <c r="J3761" s="706"/>
      <c r="K3761" s="769"/>
      <c r="L3761" s="706"/>
      <c r="M3761" s="781"/>
      <c r="N3761" s="182"/>
      <c r="O3761" s="188"/>
      <c r="P3761" s="221"/>
      <c r="Q3761" s="106"/>
      <c r="R3761" s="108"/>
      <c r="S3761" s="108"/>
      <c r="T3761" s="108"/>
      <c r="U3761" s="108" t="str">
        <f>IFERROR(VLOOKUP(CONCATENATE(Tabla1[[#This Row],[Severidad]]," ",Tabla1[[#This Row],[Complejidad]]),Catalogos!E$120:G$128,3,FALSE),"")</f>
        <v/>
      </c>
      <c r="V3761" s="108" t="str">
        <f>IF(Tabla1[[#This Row],[Tiempo solución max (hrs)]]&lt;&gt;"",IF(Tabla1[[#This Row],[Tiempo solución max (hrs)]]&gt;=Tabla1[[#This Row],[Tiempo
(Hrs 00/100)]],"cumple","no cumple"),"")</f>
        <v/>
      </c>
      <c r="W3761" s="17"/>
      <c r="X3761" s="18">
        <f t="shared" si="248"/>
        <v>0</v>
      </c>
      <c r="Y3761" t="str">
        <f>SUBSTITUTE(Tabla1[[#This Row],[Descripción]],CHAR(10),"    I    ")</f>
        <v/>
      </c>
      <c r="Z3761" s="112" t="e">
        <f>VLOOKUP(Tabla1[[#This Row],[Perfil]],Catalogos!$B$75:$D$100,3,FALSE)*Tabla1[[#This Row],[Tiempo
(Hrs 00/100)]]*1.16</f>
        <v>#N/A</v>
      </c>
    </row>
    <row r="3762" spans="1:26" ht="30" customHeight="1" x14ac:dyDescent="0.3">
      <c r="A3762" s="106"/>
      <c r="B3762" s="106"/>
      <c r="C3762" s="106"/>
      <c r="D3762" s="106"/>
      <c r="E3762" s="106"/>
      <c r="F3762" s="106"/>
      <c r="G3762" s="106"/>
      <c r="H3762" s="107"/>
      <c r="I3762" s="95"/>
      <c r="J3762" s="706"/>
      <c r="K3762" s="769"/>
      <c r="L3762" s="706"/>
      <c r="M3762" s="781"/>
      <c r="N3762" s="182"/>
      <c r="O3762" s="188"/>
      <c r="P3762" s="221"/>
      <c r="Q3762" s="106"/>
      <c r="R3762" s="108"/>
      <c r="S3762" s="108"/>
      <c r="T3762" s="108"/>
      <c r="U3762" s="108" t="str">
        <f>IFERROR(VLOOKUP(CONCATENATE(Tabla1[[#This Row],[Severidad]]," ",Tabla1[[#This Row],[Complejidad]]),Catalogos!E$120:G$128,3,FALSE),"")</f>
        <v/>
      </c>
      <c r="V3762" s="108" t="str">
        <f>IF(Tabla1[[#This Row],[Tiempo solución max (hrs)]]&lt;&gt;"",IF(Tabla1[[#This Row],[Tiempo solución max (hrs)]]&gt;=Tabla1[[#This Row],[Tiempo
(Hrs 00/100)]],"cumple","no cumple"),"")</f>
        <v/>
      </c>
      <c r="W3762" s="17"/>
      <c r="X3762" s="18">
        <f t="shared" si="248"/>
        <v>0</v>
      </c>
      <c r="Y3762" t="str">
        <f>SUBSTITUTE(Tabla1[[#This Row],[Descripción]],CHAR(10),"    I    ")</f>
        <v/>
      </c>
      <c r="Z3762" s="112" t="e">
        <f>VLOOKUP(Tabla1[[#This Row],[Perfil]],Catalogos!$B$75:$D$100,3,FALSE)*Tabla1[[#This Row],[Tiempo
(Hrs 00/100)]]*1.16</f>
        <v>#N/A</v>
      </c>
    </row>
    <row r="3763" spans="1:26" ht="30" customHeight="1" x14ac:dyDescent="0.3">
      <c r="A3763" s="106"/>
      <c r="B3763" s="106"/>
      <c r="C3763" s="106"/>
      <c r="D3763" s="106"/>
      <c r="E3763" s="106"/>
      <c r="F3763" s="106"/>
      <c r="G3763" s="106"/>
      <c r="H3763" s="107"/>
      <c r="I3763" s="95"/>
      <c r="J3763" s="706"/>
      <c r="K3763" s="769"/>
      <c r="L3763" s="706"/>
      <c r="M3763" s="781"/>
      <c r="N3763" s="182"/>
      <c r="O3763" s="188"/>
      <c r="P3763" s="221"/>
      <c r="Q3763" s="106"/>
      <c r="R3763" s="108"/>
      <c r="S3763" s="108"/>
      <c r="T3763" s="108"/>
      <c r="U3763" s="108" t="str">
        <f>IFERROR(VLOOKUP(CONCATENATE(Tabla1[[#This Row],[Severidad]]," ",Tabla1[[#This Row],[Complejidad]]),Catalogos!E$120:G$128,3,FALSE),"")</f>
        <v/>
      </c>
      <c r="V3763" s="108" t="str">
        <f>IF(Tabla1[[#This Row],[Tiempo solución max (hrs)]]&lt;&gt;"",IF(Tabla1[[#This Row],[Tiempo solución max (hrs)]]&gt;=Tabla1[[#This Row],[Tiempo
(Hrs 00/100)]],"cumple","no cumple"),"")</f>
        <v/>
      </c>
      <c r="W3763" s="17"/>
      <c r="X3763" s="18">
        <f t="shared" si="248"/>
        <v>0</v>
      </c>
      <c r="Y3763" t="str">
        <f>SUBSTITUTE(Tabla1[[#This Row],[Descripción]],CHAR(10),"    I    ")</f>
        <v/>
      </c>
      <c r="Z3763" s="112" t="e">
        <f>VLOOKUP(Tabla1[[#This Row],[Perfil]],Catalogos!$B$75:$D$100,3,FALSE)*Tabla1[[#This Row],[Tiempo
(Hrs 00/100)]]*1.16</f>
        <v>#N/A</v>
      </c>
    </row>
    <row r="3764" spans="1:26" ht="30" customHeight="1" x14ac:dyDescent="0.3">
      <c r="A3764" s="106"/>
      <c r="B3764" s="106"/>
      <c r="C3764" s="106"/>
      <c r="D3764" s="106"/>
      <c r="E3764" s="106"/>
      <c r="F3764" s="106"/>
      <c r="G3764" s="106"/>
      <c r="H3764" s="107"/>
      <c r="I3764" s="95"/>
      <c r="J3764" s="706"/>
      <c r="K3764" s="769"/>
      <c r="L3764" s="706"/>
      <c r="M3764" s="781"/>
      <c r="N3764" s="182"/>
      <c r="O3764" s="188"/>
      <c r="P3764" s="221"/>
      <c r="Q3764" s="106"/>
      <c r="R3764" s="108"/>
      <c r="S3764" s="108"/>
      <c r="T3764" s="108"/>
      <c r="U3764" s="108" t="str">
        <f>IFERROR(VLOOKUP(CONCATENATE(Tabla1[[#This Row],[Severidad]]," ",Tabla1[[#This Row],[Complejidad]]),Catalogos!E$120:G$128,3,FALSE),"")</f>
        <v/>
      </c>
      <c r="V3764" s="108" t="str">
        <f>IF(Tabla1[[#This Row],[Tiempo solución max (hrs)]]&lt;&gt;"",IF(Tabla1[[#This Row],[Tiempo solución max (hrs)]]&gt;=Tabla1[[#This Row],[Tiempo
(Hrs 00/100)]],"cumple","no cumple"),"")</f>
        <v/>
      </c>
      <c r="W3764" s="17"/>
      <c r="X3764" s="18">
        <f t="shared" si="248"/>
        <v>0</v>
      </c>
      <c r="Y3764" t="str">
        <f>SUBSTITUTE(Tabla1[[#This Row],[Descripción]],CHAR(10),"    I    ")</f>
        <v/>
      </c>
      <c r="Z3764" s="112" t="e">
        <f>VLOOKUP(Tabla1[[#This Row],[Perfil]],Catalogos!$B$75:$D$100,3,FALSE)*Tabla1[[#This Row],[Tiempo
(Hrs 00/100)]]*1.16</f>
        <v>#N/A</v>
      </c>
    </row>
    <row r="3765" spans="1:26" ht="30" customHeight="1" x14ac:dyDescent="0.3">
      <c r="A3765" s="106"/>
      <c r="B3765" s="106"/>
      <c r="C3765" s="106"/>
      <c r="D3765" s="106"/>
      <c r="E3765" s="106"/>
      <c r="F3765" s="106"/>
      <c r="G3765" s="106"/>
      <c r="H3765" s="107"/>
      <c r="I3765" s="95"/>
      <c r="J3765" s="706"/>
      <c r="K3765" s="769"/>
      <c r="L3765" s="706"/>
      <c r="M3765" s="781"/>
      <c r="N3765" s="182"/>
      <c r="O3765" s="188"/>
      <c r="P3765" s="221"/>
      <c r="Q3765" s="106"/>
      <c r="R3765" s="108"/>
      <c r="S3765" s="108"/>
      <c r="T3765" s="108"/>
      <c r="U3765" s="108" t="str">
        <f>IFERROR(VLOOKUP(CONCATENATE(Tabla1[[#This Row],[Severidad]]," ",Tabla1[[#This Row],[Complejidad]]),Catalogos!E$120:G$128,3,FALSE),"")</f>
        <v/>
      </c>
      <c r="V3765" s="108" t="str">
        <f>IF(Tabla1[[#This Row],[Tiempo solución max (hrs)]]&lt;&gt;"",IF(Tabla1[[#This Row],[Tiempo solución max (hrs)]]&gt;=Tabla1[[#This Row],[Tiempo
(Hrs 00/100)]],"cumple","no cumple"),"")</f>
        <v/>
      </c>
      <c r="W3765" s="17"/>
      <c r="X3765" s="18">
        <f t="shared" si="248"/>
        <v>0</v>
      </c>
      <c r="Y3765" t="str">
        <f>SUBSTITUTE(Tabla1[[#This Row],[Descripción]],CHAR(10),"    I    ")</f>
        <v/>
      </c>
      <c r="Z3765" s="112" t="e">
        <f>VLOOKUP(Tabla1[[#This Row],[Perfil]],Catalogos!$B$75:$D$100,3,FALSE)*Tabla1[[#This Row],[Tiempo
(Hrs 00/100)]]*1.16</f>
        <v>#N/A</v>
      </c>
    </row>
    <row r="3766" spans="1:26" ht="30" customHeight="1" x14ac:dyDescent="0.3">
      <c r="A3766" s="106"/>
      <c r="B3766" s="106"/>
      <c r="C3766" s="106"/>
      <c r="D3766" s="106"/>
      <c r="E3766" s="106"/>
      <c r="F3766" s="106"/>
      <c r="G3766" s="106"/>
      <c r="H3766" s="107"/>
      <c r="I3766" s="95"/>
      <c r="J3766" s="706"/>
      <c r="K3766" s="769"/>
      <c r="L3766" s="706"/>
      <c r="M3766" s="781"/>
      <c r="N3766" s="182"/>
      <c r="O3766" s="188"/>
      <c r="P3766" s="221"/>
      <c r="Q3766" s="106"/>
      <c r="R3766" s="108"/>
      <c r="S3766" s="108"/>
      <c r="T3766" s="108"/>
      <c r="U3766" s="108" t="str">
        <f>IFERROR(VLOOKUP(CONCATENATE(Tabla1[[#This Row],[Severidad]]," ",Tabla1[[#This Row],[Complejidad]]),Catalogos!E$120:G$128,3,FALSE),"")</f>
        <v/>
      </c>
      <c r="V3766" s="108" t="str">
        <f>IF(Tabla1[[#This Row],[Tiempo solución max (hrs)]]&lt;&gt;"",IF(Tabla1[[#This Row],[Tiempo solución max (hrs)]]&gt;=Tabla1[[#This Row],[Tiempo
(Hrs 00/100)]],"cumple","no cumple"),"")</f>
        <v/>
      </c>
      <c r="W3766" s="17"/>
      <c r="X3766" s="18">
        <f t="shared" si="248"/>
        <v>0</v>
      </c>
      <c r="Y3766" t="str">
        <f>SUBSTITUTE(Tabla1[[#This Row],[Descripción]],CHAR(10),"    I    ")</f>
        <v/>
      </c>
      <c r="Z3766" s="112" t="e">
        <f>VLOOKUP(Tabla1[[#This Row],[Perfil]],Catalogos!$B$75:$D$100,3,FALSE)*Tabla1[[#This Row],[Tiempo
(Hrs 00/100)]]*1.16</f>
        <v>#N/A</v>
      </c>
    </row>
    <row r="3767" spans="1:26" ht="30" customHeight="1" x14ac:dyDescent="0.3">
      <c r="A3767" s="106"/>
      <c r="B3767" s="106"/>
      <c r="C3767" s="106"/>
      <c r="D3767" s="106"/>
      <c r="E3767" s="106"/>
      <c r="F3767" s="106"/>
      <c r="G3767" s="106"/>
      <c r="H3767" s="107"/>
      <c r="I3767" s="95"/>
      <c r="J3767" s="706"/>
      <c r="K3767" s="769"/>
      <c r="L3767" s="706"/>
      <c r="M3767" s="781"/>
      <c r="N3767" s="182"/>
      <c r="O3767" s="188"/>
      <c r="P3767" s="221"/>
      <c r="Q3767" s="106"/>
      <c r="R3767" s="108"/>
      <c r="S3767" s="108"/>
      <c r="T3767" s="108"/>
      <c r="U3767" s="108" t="str">
        <f>IFERROR(VLOOKUP(CONCATENATE(Tabla1[[#This Row],[Severidad]]," ",Tabla1[[#This Row],[Complejidad]]),Catalogos!E$120:G$128,3,FALSE),"")</f>
        <v/>
      </c>
      <c r="V3767" s="108" t="str">
        <f>IF(Tabla1[[#This Row],[Tiempo solución max (hrs)]]&lt;&gt;"",IF(Tabla1[[#This Row],[Tiempo solución max (hrs)]]&gt;=Tabla1[[#This Row],[Tiempo
(Hrs 00/100)]],"cumple","no cumple"),"")</f>
        <v/>
      </c>
      <c r="W3767" s="17"/>
      <c r="X3767" s="18">
        <f t="shared" si="248"/>
        <v>0</v>
      </c>
      <c r="Y3767" t="str">
        <f>SUBSTITUTE(Tabla1[[#This Row],[Descripción]],CHAR(10),"    I    ")</f>
        <v/>
      </c>
      <c r="Z3767" s="112" t="e">
        <f>VLOOKUP(Tabla1[[#This Row],[Perfil]],Catalogos!$B$75:$D$100,3,FALSE)*Tabla1[[#This Row],[Tiempo
(Hrs 00/100)]]*1.16</f>
        <v>#N/A</v>
      </c>
    </row>
    <row r="3768" spans="1:26" ht="30" customHeight="1" x14ac:dyDescent="0.3">
      <c r="A3768" s="106"/>
      <c r="B3768" s="106"/>
      <c r="C3768" s="106"/>
      <c r="D3768" s="106"/>
      <c r="E3768" s="106"/>
      <c r="F3768" s="106"/>
      <c r="G3768" s="106"/>
      <c r="H3768" s="107"/>
      <c r="I3768" s="95"/>
      <c r="J3768" s="706"/>
      <c r="K3768" s="769"/>
      <c r="L3768" s="706"/>
      <c r="M3768" s="781"/>
      <c r="N3768" s="182"/>
      <c r="O3768" s="188"/>
      <c r="P3768" s="221"/>
      <c r="Q3768" s="106"/>
      <c r="R3768" s="108"/>
      <c r="S3768" s="108"/>
      <c r="T3768" s="108"/>
      <c r="U3768" s="108" t="str">
        <f>IFERROR(VLOOKUP(CONCATENATE(Tabla1[[#This Row],[Severidad]]," ",Tabla1[[#This Row],[Complejidad]]),Catalogos!E$120:G$128,3,FALSE),"")</f>
        <v/>
      </c>
      <c r="V3768" s="108" t="str">
        <f>IF(Tabla1[[#This Row],[Tiempo solución max (hrs)]]&lt;&gt;"",IF(Tabla1[[#This Row],[Tiempo solución max (hrs)]]&gt;=Tabla1[[#This Row],[Tiempo
(Hrs 00/100)]],"cumple","no cumple"),"")</f>
        <v/>
      </c>
      <c r="W3768" s="17"/>
      <c r="X3768" s="18">
        <f t="shared" si="248"/>
        <v>0</v>
      </c>
      <c r="Y3768" t="str">
        <f>SUBSTITUTE(Tabla1[[#This Row],[Descripción]],CHAR(10),"    I    ")</f>
        <v/>
      </c>
      <c r="Z3768" s="112" t="e">
        <f>VLOOKUP(Tabla1[[#This Row],[Perfil]],Catalogos!$B$75:$D$100,3,FALSE)*Tabla1[[#This Row],[Tiempo
(Hrs 00/100)]]*1.16</f>
        <v>#N/A</v>
      </c>
    </row>
    <row r="3769" spans="1:26" ht="30" customHeight="1" x14ac:dyDescent="0.3">
      <c r="A3769" s="106"/>
      <c r="B3769" s="106"/>
      <c r="C3769" s="106"/>
      <c r="D3769" s="106"/>
      <c r="E3769" s="106"/>
      <c r="F3769" s="106"/>
      <c r="G3769" s="106"/>
      <c r="H3769" s="107"/>
      <c r="I3769" s="95"/>
      <c r="J3769" s="706"/>
      <c r="K3769" s="769"/>
      <c r="L3769" s="706"/>
      <c r="M3769" s="781"/>
      <c r="N3769" s="182"/>
      <c r="O3769" s="188"/>
      <c r="P3769" s="221"/>
      <c r="Q3769" s="106"/>
      <c r="R3769" s="108"/>
      <c r="S3769" s="108"/>
      <c r="T3769" s="108"/>
      <c r="U3769" s="108" t="str">
        <f>IFERROR(VLOOKUP(CONCATENATE(Tabla1[[#This Row],[Severidad]]," ",Tabla1[[#This Row],[Complejidad]]),Catalogos!E$120:G$128,3,FALSE),"")</f>
        <v/>
      </c>
      <c r="V3769" s="108" t="str">
        <f>IF(Tabla1[[#This Row],[Tiempo solución max (hrs)]]&lt;&gt;"",IF(Tabla1[[#This Row],[Tiempo solución max (hrs)]]&gt;=Tabla1[[#This Row],[Tiempo
(Hrs 00/100)]],"cumple","no cumple"),"")</f>
        <v/>
      </c>
      <c r="W3769" s="17"/>
      <c r="X3769" s="18">
        <f t="shared" si="248"/>
        <v>0</v>
      </c>
      <c r="Y3769" t="str">
        <f>SUBSTITUTE(Tabla1[[#This Row],[Descripción]],CHAR(10),"    I    ")</f>
        <v/>
      </c>
      <c r="Z3769" s="112" t="e">
        <f>VLOOKUP(Tabla1[[#This Row],[Perfil]],Catalogos!$B$75:$D$100,3,FALSE)*Tabla1[[#This Row],[Tiempo
(Hrs 00/100)]]*1.16</f>
        <v>#N/A</v>
      </c>
    </row>
    <row r="3770" spans="1:26" ht="30" customHeight="1" x14ac:dyDescent="0.3">
      <c r="A3770" s="106"/>
      <c r="B3770" s="106"/>
      <c r="C3770" s="106"/>
      <c r="D3770" s="106"/>
      <c r="E3770" s="106"/>
      <c r="F3770" s="106"/>
      <c r="G3770" s="106"/>
      <c r="H3770" s="107"/>
      <c r="I3770" s="95"/>
      <c r="J3770" s="706"/>
      <c r="K3770" s="769"/>
      <c r="L3770" s="706"/>
      <c r="M3770" s="781"/>
      <c r="N3770" s="182"/>
      <c r="O3770" s="188"/>
      <c r="P3770" s="221"/>
      <c r="Q3770" s="106"/>
      <c r="R3770" s="108"/>
      <c r="S3770" s="108"/>
      <c r="T3770" s="108"/>
      <c r="U3770" s="108" t="str">
        <f>IFERROR(VLOOKUP(CONCATENATE(Tabla1[[#This Row],[Severidad]]," ",Tabla1[[#This Row],[Complejidad]]),Catalogos!E$120:G$128,3,FALSE),"")</f>
        <v/>
      </c>
      <c r="V3770" s="108" t="str">
        <f>IF(Tabla1[[#This Row],[Tiempo solución max (hrs)]]&lt;&gt;"",IF(Tabla1[[#This Row],[Tiempo solución max (hrs)]]&gt;=Tabla1[[#This Row],[Tiempo
(Hrs 00/100)]],"cumple","no cumple"),"")</f>
        <v/>
      </c>
      <c r="W3770" s="17"/>
      <c r="X3770" s="18">
        <f t="shared" si="248"/>
        <v>0</v>
      </c>
      <c r="Y3770" t="str">
        <f>SUBSTITUTE(Tabla1[[#This Row],[Descripción]],CHAR(10),"    I    ")</f>
        <v/>
      </c>
      <c r="Z3770" s="112" t="e">
        <f>VLOOKUP(Tabla1[[#This Row],[Perfil]],Catalogos!$B$75:$D$100,3,FALSE)*Tabla1[[#This Row],[Tiempo
(Hrs 00/100)]]*1.16</f>
        <v>#N/A</v>
      </c>
    </row>
    <row r="3771" spans="1:26" ht="30" customHeight="1" x14ac:dyDescent="0.3">
      <c r="A3771" s="106"/>
      <c r="B3771" s="106"/>
      <c r="C3771" s="106"/>
      <c r="D3771" s="106"/>
      <c r="E3771" s="106"/>
      <c r="F3771" s="106"/>
      <c r="G3771" s="106"/>
      <c r="H3771" s="107"/>
      <c r="I3771" s="95"/>
      <c r="J3771" s="706"/>
      <c r="K3771" s="769"/>
      <c r="L3771" s="706"/>
      <c r="M3771" s="781"/>
      <c r="N3771" s="182"/>
      <c r="O3771" s="188"/>
      <c r="P3771" s="221"/>
      <c r="Q3771" s="106"/>
      <c r="R3771" s="108"/>
      <c r="S3771" s="108"/>
      <c r="T3771" s="108"/>
      <c r="U3771" s="108" t="str">
        <f>IFERROR(VLOOKUP(CONCATENATE(Tabla1[[#This Row],[Severidad]]," ",Tabla1[[#This Row],[Complejidad]]),Catalogos!E$120:G$128,3,FALSE),"")</f>
        <v/>
      </c>
      <c r="V3771" s="108" t="str">
        <f>IF(Tabla1[[#This Row],[Tiempo solución max (hrs)]]&lt;&gt;"",IF(Tabla1[[#This Row],[Tiempo solución max (hrs)]]&gt;=Tabla1[[#This Row],[Tiempo
(Hrs 00/100)]],"cumple","no cumple"),"")</f>
        <v/>
      </c>
      <c r="W3771" s="17"/>
      <c r="X3771" s="18">
        <f t="shared" si="248"/>
        <v>0</v>
      </c>
      <c r="Y3771" t="str">
        <f>SUBSTITUTE(Tabla1[[#This Row],[Descripción]],CHAR(10),"    I    ")</f>
        <v/>
      </c>
      <c r="Z3771" s="112" t="e">
        <f>VLOOKUP(Tabla1[[#This Row],[Perfil]],Catalogos!$B$75:$D$100,3,FALSE)*Tabla1[[#This Row],[Tiempo
(Hrs 00/100)]]*1.16</f>
        <v>#N/A</v>
      </c>
    </row>
    <row r="3772" spans="1:26" ht="30" customHeight="1" x14ac:dyDescent="0.3">
      <c r="A3772" s="106"/>
      <c r="B3772" s="106"/>
      <c r="C3772" s="106"/>
      <c r="D3772" s="106"/>
      <c r="E3772" s="106"/>
      <c r="F3772" s="106"/>
      <c r="G3772" s="106"/>
      <c r="H3772" s="107"/>
      <c r="I3772" s="95"/>
      <c r="J3772" s="706"/>
      <c r="K3772" s="769"/>
      <c r="L3772" s="706"/>
      <c r="M3772" s="781"/>
      <c r="N3772" s="182"/>
      <c r="O3772" s="188"/>
      <c r="P3772" s="221"/>
      <c r="Q3772" s="106"/>
      <c r="R3772" s="108"/>
      <c r="S3772" s="108"/>
      <c r="T3772" s="108"/>
      <c r="U3772" s="108" t="str">
        <f>IFERROR(VLOOKUP(CONCATENATE(Tabla1[[#This Row],[Severidad]]," ",Tabla1[[#This Row],[Complejidad]]),Catalogos!E$120:G$128,3,FALSE),"")</f>
        <v/>
      </c>
      <c r="V3772" s="108" t="str">
        <f>IF(Tabla1[[#This Row],[Tiempo solución max (hrs)]]&lt;&gt;"",IF(Tabla1[[#This Row],[Tiempo solución max (hrs)]]&gt;=Tabla1[[#This Row],[Tiempo
(Hrs 00/100)]],"cumple","no cumple"),"")</f>
        <v/>
      </c>
      <c r="W3772" s="17"/>
      <c r="X3772" s="18">
        <f t="shared" si="248"/>
        <v>0</v>
      </c>
      <c r="Y3772" t="str">
        <f>SUBSTITUTE(Tabla1[[#This Row],[Descripción]],CHAR(10),"    I    ")</f>
        <v/>
      </c>
      <c r="Z3772" s="112" t="e">
        <f>VLOOKUP(Tabla1[[#This Row],[Perfil]],Catalogos!$B$75:$D$100,3,FALSE)*Tabla1[[#This Row],[Tiempo
(Hrs 00/100)]]*1.16</f>
        <v>#N/A</v>
      </c>
    </row>
    <row r="3773" spans="1:26" ht="30" customHeight="1" x14ac:dyDescent="0.3">
      <c r="A3773" s="106"/>
      <c r="B3773" s="106"/>
      <c r="C3773" s="106"/>
      <c r="D3773" s="106"/>
      <c r="E3773" s="106"/>
      <c r="F3773" s="106"/>
      <c r="G3773" s="106"/>
      <c r="H3773" s="107"/>
      <c r="I3773" s="95"/>
      <c r="J3773" s="706"/>
      <c r="K3773" s="769"/>
      <c r="L3773" s="706"/>
      <c r="M3773" s="781"/>
      <c r="N3773" s="182"/>
      <c r="O3773" s="188"/>
      <c r="P3773" s="221"/>
      <c r="Q3773" s="106"/>
      <c r="R3773" s="108"/>
      <c r="S3773" s="108"/>
      <c r="T3773" s="108"/>
      <c r="U3773" s="108" t="str">
        <f>IFERROR(VLOOKUP(CONCATENATE(Tabla1[[#This Row],[Severidad]]," ",Tabla1[[#This Row],[Complejidad]]),Catalogos!E$120:G$128,3,FALSE),"")</f>
        <v/>
      </c>
      <c r="V3773" s="108" t="str">
        <f>IF(Tabla1[[#This Row],[Tiempo solución max (hrs)]]&lt;&gt;"",IF(Tabla1[[#This Row],[Tiempo solución max (hrs)]]&gt;=Tabla1[[#This Row],[Tiempo
(Hrs 00/100)]],"cumple","no cumple"),"")</f>
        <v/>
      </c>
      <c r="W3773" s="17"/>
      <c r="X3773" s="18">
        <f t="shared" si="248"/>
        <v>0</v>
      </c>
      <c r="Y3773" t="str">
        <f>SUBSTITUTE(Tabla1[[#This Row],[Descripción]],CHAR(10),"    I    ")</f>
        <v/>
      </c>
      <c r="Z3773" s="112" t="e">
        <f>VLOOKUP(Tabla1[[#This Row],[Perfil]],Catalogos!$B$75:$D$100,3,FALSE)*Tabla1[[#This Row],[Tiempo
(Hrs 00/100)]]*1.16</f>
        <v>#N/A</v>
      </c>
    </row>
    <row r="3774" spans="1:26" ht="30" customHeight="1" x14ac:dyDescent="0.3">
      <c r="A3774" s="106"/>
      <c r="B3774" s="106"/>
      <c r="C3774" s="106"/>
      <c r="D3774" s="106"/>
      <c r="E3774" s="106"/>
      <c r="F3774" s="106"/>
      <c r="G3774" s="106"/>
      <c r="H3774" s="107"/>
      <c r="I3774" s="95"/>
      <c r="J3774" s="706"/>
      <c r="K3774" s="769"/>
      <c r="L3774" s="706"/>
      <c r="M3774" s="781"/>
      <c r="N3774" s="182"/>
      <c r="O3774" s="188"/>
      <c r="P3774" s="221"/>
      <c r="Q3774" s="106"/>
      <c r="R3774" s="108"/>
      <c r="S3774" s="108"/>
      <c r="T3774" s="108"/>
      <c r="U3774" s="108" t="str">
        <f>IFERROR(VLOOKUP(CONCATENATE(Tabla1[[#This Row],[Severidad]]," ",Tabla1[[#This Row],[Complejidad]]),Catalogos!E$120:G$128,3,FALSE),"")</f>
        <v/>
      </c>
      <c r="V3774" s="108" t="str">
        <f>IF(Tabla1[[#This Row],[Tiempo solución max (hrs)]]&lt;&gt;"",IF(Tabla1[[#This Row],[Tiempo solución max (hrs)]]&gt;=Tabla1[[#This Row],[Tiempo
(Hrs 00/100)]],"cumple","no cumple"),"")</f>
        <v/>
      </c>
      <c r="W3774" s="17"/>
      <c r="X3774" s="18">
        <f t="shared" si="248"/>
        <v>0</v>
      </c>
      <c r="Y3774" t="str">
        <f>SUBSTITUTE(Tabla1[[#This Row],[Descripción]],CHAR(10),"    I    ")</f>
        <v/>
      </c>
      <c r="Z3774" s="112" t="e">
        <f>VLOOKUP(Tabla1[[#This Row],[Perfil]],Catalogos!$B$75:$D$100,3,FALSE)*Tabla1[[#This Row],[Tiempo
(Hrs 00/100)]]*1.16</f>
        <v>#N/A</v>
      </c>
    </row>
    <row r="3775" spans="1:26" ht="30" customHeight="1" x14ac:dyDescent="0.3">
      <c r="A3775" s="106"/>
      <c r="B3775" s="106"/>
      <c r="C3775" s="106"/>
      <c r="D3775" s="106"/>
      <c r="E3775" s="106"/>
      <c r="F3775" s="106"/>
      <c r="G3775" s="106"/>
      <c r="H3775" s="107"/>
      <c r="I3775" s="95"/>
      <c r="J3775" s="706"/>
      <c r="K3775" s="769"/>
      <c r="L3775" s="706"/>
      <c r="M3775" s="781"/>
      <c r="N3775" s="182"/>
      <c r="O3775" s="188"/>
      <c r="P3775" s="221"/>
      <c r="Q3775" s="106"/>
      <c r="R3775" s="108"/>
      <c r="S3775" s="108"/>
      <c r="T3775" s="108"/>
      <c r="U3775" s="108" t="str">
        <f>IFERROR(VLOOKUP(CONCATENATE(Tabla1[[#This Row],[Severidad]]," ",Tabla1[[#This Row],[Complejidad]]),Catalogos!E$120:G$128,3,FALSE),"")</f>
        <v/>
      </c>
      <c r="V3775" s="108" t="str">
        <f>IF(Tabla1[[#This Row],[Tiempo solución max (hrs)]]&lt;&gt;"",IF(Tabla1[[#This Row],[Tiempo solución max (hrs)]]&gt;=Tabla1[[#This Row],[Tiempo
(Hrs 00/100)]],"cumple","no cumple"),"")</f>
        <v/>
      </c>
      <c r="W3775" s="17"/>
      <c r="X3775" s="18">
        <f t="shared" si="248"/>
        <v>0</v>
      </c>
      <c r="Y3775" t="str">
        <f>SUBSTITUTE(Tabla1[[#This Row],[Descripción]],CHAR(10),"    I    ")</f>
        <v/>
      </c>
      <c r="Z3775" s="112" t="e">
        <f>VLOOKUP(Tabla1[[#This Row],[Perfil]],Catalogos!$B$75:$D$100,3,FALSE)*Tabla1[[#This Row],[Tiempo
(Hrs 00/100)]]*1.16</f>
        <v>#N/A</v>
      </c>
    </row>
    <row r="3776" spans="1:26" ht="30" customHeight="1" x14ac:dyDescent="0.3">
      <c r="A3776" s="106"/>
      <c r="B3776" s="106"/>
      <c r="C3776" s="106"/>
      <c r="D3776" s="106"/>
      <c r="E3776" s="106"/>
      <c r="F3776" s="106"/>
      <c r="G3776" s="106"/>
      <c r="H3776" s="107"/>
      <c r="I3776" s="95"/>
      <c r="J3776" s="706"/>
      <c r="K3776" s="769"/>
      <c r="L3776" s="706"/>
      <c r="M3776" s="781"/>
      <c r="N3776" s="182"/>
      <c r="O3776" s="188"/>
      <c r="P3776" s="221"/>
      <c r="Q3776" s="106"/>
      <c r="R3776" s="108"/>
      <c r="S3776" s="108"/>
      <c r="T3776" s="108"/>
      <c r="U3776" s="108" t="str">
        <f>IFERROR(VLOOKUP(CONCATENATE(Tabla1[[#This Row],[Severidad]]," ",Tabla1[[#This Row],[Complejidad]]),Catalogos!E$120:G$128,3,FALSE),"")</f>
        <v/>
      </c>
      <c r="V3776" s="108" t="str">
        <f>IF(Tabla1[[#This Row],[Tiempo solución max (hrs)]]&lt;&gt;"",IF(Tabla1[[#This Row],[Tiempo solución max (hrs)]]&gt;=Tabla1[[#This Row],[Tiempo
(Hrs 00/100)]],"cumple","no cumple"),"")</f>
        <v/>
      </c>
      <c r="W3776" s="17"/>
      <c r="X3776" s="18">
        <f t="shared" si="248"/>
        <v>0</v>
      </c>
      <c r="Y3776" t="str">
        <f>SUBSTITUTE(Tabla1[[#This Row],[Descripción]],CHAR(10),"    I    ")</f>
        <v/>
      </c>
      <c r="Z3776" s="112" t="e">
        <f>VLOOKUP(Tabla1[[#This Row],[Perfil]],Catalogos!$B$75:$D$100,3,FALSE)*Tabla1[[#This Row],[Tiempo
(Hrs 00/100)]]*1.16</f>
        <v>#N/A</v>
      </c>
    </row>
    <row r="3777" spans="1:26" ht="30" customHeight="1" x14ac:dyDescent="0.3">
      <c r="A3777" s="106"/>
      <c r="B3777" s="106"/>
      <c r="C3777" s="106"/>
      <c r="D3777" s="106"/>
      <c r="E3777" s="106"/>
      <c r="F3777" s="106"/>
      <c r="G3777" s="106"/>
      <c r="H3777" s="107"/>
      <c r="I3777" s="95"/>
      <c r="J3777" s="706"/>
      <c r="K3777" s="769"/>
      <c r="L3777" s="706"/>
      <c r="M3777" s="781"/>
      <c r="N3777" s="182"/>
      <c r="O3777" s="188"/>
      <c r="P3777" s="221"/>
      <c r="Q3777" s="106"/>
      <c r="R3777" s="108"/>
      <c r="S3777" s="108"/>
      <c r="T3777" s="108"/>
      <c r="U3777" s="108" t="str">
        <f>IFERROR(VLOOKUP(CONCATENATE(Tabla1[[#This Row],[Severidad]]," ",Tabla1[[#This Row],[Complejidad]]),Catalogos!E$120:G$128,3,FALSE),"")</f>
        <v/>
      </c>
      <c r="V3777" s="108" t="str">
        <f>IF(Tabla1[[#This Row],[Tiempo solución max (hrs)]]&lt;&gt;"",IF(Tabla1[[#This Row],[Tiempo solución max (hrs)]]&gt;=Tabla1[[#This Row],[Tiempo
(Hrs 00/100)]],"cumple","no cumple"),"")</f>
        <v/>
      </c>
      <c r="W3777" s="17"/>
      <c r="X3777" s="18">
        <f t="shared" si="248"/>
        <v>0</v>
      </c>
      <c r="Y3777" t="str">
        <f>SUBSTITUTE(Tabla1[[#This Row],[Descripción]],CHAR(10),"    I    ")</f>
        <v/>
      </c>
      <c r="Z3777" s="112" t="e">
        <f>VLOOKUP(Tabla1[[#This Row],[Perfil]],Catalogos!$B$75:$D$100,3,FALSE)*Tabla1[[#This Row],[Tiempo
(Hrs 00/100)]]*1.16</f>
        <v>#N/A</v>
      </c>
    </row>
    <row r="3778" spans="1:26" ht="30" customHeight="1" x14ac:dyDescent="0.3">
      <c r="A3778" s="106"/>
      <c r="B3778" s="106"/>
      <c r="C3778" s="106"/>
      <c r="D3778" s="106"/>
      <c r="E3778" s="106"/>
      <c r="F3778" s="106"/>
      <c r="G3778" s="106"/>
      <c r="H3778" s="107"/>
      <c r="I3778" s="95"/>
      <c r="J3778" s="706"/>
      <c r="K3778" s="769"/>
      <c r="L3778" s="706"/>
      <c r="M3778" s="781"/>
      <c r="N3778" s="182"/>
      <c r="O3778" s="188"/>
      <c r="P3778" s="221"/>
      <c r="Q3778" s="106"/>
      <c r="R3778" s="108"/>
      <c r="S3778" s="108"/>
      <c r="T3778" s="108"/>
      <c r="U3778" s="108" t="str">
        <f>IFERROR(VLOOKUP(CONCATENATE(Tabla1[[#This Row],[Severidad]]," ",Tabla1[[#This Row],[Complejidad]]),Catalogos!E$120:G$128,3,FALSE),"")</f>
        <v/>
      </c>
      <c r="V3778" s="108" t="str">
        <f>IF(Tabla1[[#This Row],[Tiempo solución max (hrs)]]&lt;&gt;"",IF(Tabla1[[#This Row],[Tiempo solución max (hrs)]]&gt;=Tabla1[[#This Row],[Tiempo
(Hrs 00/100)]],"cumple","no cumple"),"")</f>
        <v/>
      </c>
      <c r="W3778" s="17"/>
      <c r="X3778" s="18">
        <f t="shared" si="248"/>
        <v>0</v>
      </c>
      <c r="Y3778" t="str">
        <f>SUBSTITUTE(Tabla1[[#This Row],[Descripción]],CHAR(10),"    I    ")</f>
        <v/>
      </c>
      <c r="Z3778" s="112" t="e">
        <f>VLOOKUP(Tabla1[[#This Row],[Perfil]],Catalogos!$B$75:$D$100,3,FALSE)*Tabla1[[#This Row],[Tiempo
(Hrs 00/100)]]*1.16</f>
        <v>#N/A</v>
      </c>
    </row>
    <row r="3779" spans="1:26" ht="30" customHeight="1" x14ac:dyDescent="0.3">
      <c r="A3779" s="106"/>
      <c r="B3779" s="106"/>
      <c r="C3779" s="106"/>
      <c r="D3779" s="106"/>
      <c r="E3779" s="106"/>
      <c r="F3779" s="106"/>
      <c r="G3779" s="106"/>
      <c r="H3779" s="107"/>
      <c r="I3779" s="95"/>
      <c r="J3779" s="706"/>
      <c r="K3779" s="769"/>
      <c r="L3779" s="706"/>
      <c r="M3779" s="781"/>
      <c r="N3779" s="182"/>
      <c r="O3779" s="188"/>
      <c r="P3779" s="221"/>
      <c r="Q3779" s="106"/>
      <c r="R3779" s="108"/>
      <c r="S3779" s="108"/>
      <c r="T3779" s="108"/>
      <c r="U3779" s="108" t="str">
        <f>IFERROR(VLOOKUP(CONCATENATE(Tabla1[[#This Row],[Severidad]]," ",Tabla1[[#This Row],[Complejidad]]),Catalogos!E$120:G$128,3,FALSE),"")</f>
        <v/>
      </c>
      <c r="V3779" s="108" t="str">
        <f>IF(Tabla1[[#This Row],[Tiempo solución max (hrs)]]&lt;&gt;"",IF(Tabla1[[#This Row],[Tiempo solución max (hrs)]]&gt;=Tabla1[[#This Row],[Tiempo
(Hrs 00/100)]],"cumple","no cumple"),"")</f>
        <v/>
      </c>
      <c r="W3779" s="17"/>
      <c r="X3779" s="18">
        <f t="shared" ref="X3779:X3842" si="249">IF(C3779&lt;&gt;"",C3779,D3779)</f>
        <v>0</v>
      </c>
      <c r="Y3779" t="str">
        <f>SUBSTITUTE(Tabla1[[#This Row],[Descripción]],CHAR(10),"    I    ")</f>
        <v/>
      </c>
      <c r="Z3779" s="112" t="e">
        <f>VLOOKUP(Tabla1[[#This Row],[Perfil]],Catalogos!$B$75:$D$100,3,FALSE)*Tabla1[[#This Row],[Tiempo
(Hrs 00/100)]]*1.16</f>
        <v>#N/A</v>
      </c>
    </row>
    <row r="3780" spans="1:26" ht="30" customHeight="1" x14ac:dyDescent="0.3">
      <c r="A3780" s="106"/>
      <c r="B3780" s="106"/>
      <c r="C3780" s="106"/>
      <c r="D3780" s="106"/>
      <c r="E3780" s="106"/>
      <c r="F3780" s="106"/>
      <c r="G3780" s="106"/>
      <c r="H3780" s="107"/>
      <c r="I3780" s="95"/>
      <c r="J3780" s="706"/>
      <c r="K3780" s="769"/>
      <c r="L3780" s="706"/>
      <c r="M3780" s="781"/>
      <c r="N3780" s="182"/>
      <c r="O3780" s="188"/>
      <c r="P3780" s="221"/>
      <c r="Q3780" s="106"/>
      <c r="R3780" s="108"/>
      <c r="S3780" s="108"/>
      <c r="T3780" s="108"/>
      <c r="U3780" s="108" t="str">
        <f>IFERROR(VLOOKUP(CONCATENATE(Tabla1[[#This Row],[Severidad]]," ",Tabla1[[#This Row],[Complejidad]]),Catalogos!E$120:G$128,3,FALSE),"")</f>
        <v/>
      </c>
      <c r="V3780" s="108" t="str">
        <f>IF(Tabla1[[#This Row],[Tiempo solución max (hrs)]]&lt;&gt;"",IF(Tabla1[[#This Row],[Tiempo solución max (hrs)]]&gt;=Tabla1[[#This Row],[Tiempo
(Hrs 00/100)]],"cumple","no cumple"),"")</f>
        <v/>
      </c>
      <c r="W3780" s="17"/>
      <c r="X3780" s="18">
        <f t="shared" si="249"/>
        <v>0</v>
      </c>
      <c r="Y3780" t="str">
        <f>SUBSTITUTE(Tabla1[[#This Row],[Descripción]],CHAR(10),"    I    ")</f>
        <v/>
      </c>
      <c r="Z3780" s="112" t="e">
        <f>VLOOKUP(Tabla1[[#This Row],[Perfil]],Catalogos!$B$75:$D$100,3,FALSE)*Tabla1[[#This Row],[Tiempo
(Hrs 00/100)]]*1.16</f>
        <v>#N/A</v>
      </c>
    </row>
    <row r="3781" spans="1:26" ht="30" customHeight="1" x14ac:dyDescent="0.3">
      <c r="A3781" s="106"/>
      <c r="B3781" s="106"/>
      <c r="C3781" s="106"/>
      <c r="D3781" s="106"/>
      <c r="E3781" s="106"/>
      <c r="F3781" s="106"/>
      <c r="G3781" s="106"/>
      <c r="H3781" s="107"/>
      <c r="I3781" s="95"/>
      <c r="J3781" s="706"/>
      <c r="K3781" s="769"/>
      <c r="L3781" s="706"/>
      <c r="M3781" s="781"/>
      <c r="N3781" s="182"/>
      <c r="O3781" s="188"/>
      <c r="P3781" s="221"/>
      <c r="Q3781" s="106"/>
      <c r="R3781" s="108"/>
      <c r="S3781" s="108"/>
      <c r="T3781" s="108"/>
      <c r="U3781" s="108" t="str">
        <f>IFERROR(VLOOKUP(CONCATENATE(Tabla1[[#This Row],[Severidad]]," ",Tabla1[[#This Row],[Complejidad]]),Catalogos!E$120:G$128,3,FALSE),"")</f>
        <v/>
      </c>
      <c r="V3781" s="108" t="str">
        <f>IF(Tabla1[[#This Row],[Tiempo solución max (hrs)]]&lt;&gt;"",IF(Tabla1[[#This Row],[Tiempo solución max (hrs)]]&gt;=Tabla1[[#This Row],[Tiempo
(Hrs 00/100)]],"cumple","no cumple"),"")</f>
        <v/>
      </c>
      <c r="W3781" s="17"/>
      <c r="X3781" s="18">
        <f t="shared" si="249"/>
        <v>0</v>
      </c>
      <c r="Y3781" t="str">
        <f>SUBSTITUTE(Tabla1[[#This Row],[Descripción]],CHAR(10),"    I    ")</f>
        <v/>
      </c>
      <c r="Z3781" s="112" t="e">
        <f>VLOOKUP(Tabla1[[#This Row],[Perfil]],Catalogos!$B$75:$D$100,3,FALSE)*Tabla1[[#This Row],[Tiempo
(Hrs 00/100)]]*1.16</f>
        <v>#N/A</v>
      </c>
    </row>
    <row r="3782" spans="1:26" ht="30" customHeight="1" x14ac:dyDescent="0.3">
      <c r="A3782" s="106"/>
      <c r="B3782" s="106"/>
      <c r="C3782" s="106"/>
      <c r="D3782" s="106"/>
      <c r="E3782" s="106"/>
      <c r="F3782" s="106"/>
      <c r="G3782" s="106"/>
      <c r="H3782" s="107"/>
      <c r="I3782" s="95"/>
      <c r="J3782" s="706"/>
      <c r="K3782" s="769"/>
      <c r="L3782" s="706"/>
      <c r="M3782" s="781"/>
      <c r="N3782" s="182"/>
      <c r="O3782" s="188"/>
      <c r="P3782" s="221"/>
      <c r="Q3782" s="106"/>
      <c r="R3782" s="108"/>
      <c r="S3782" s="108"/>
      <c r="T3782" s="108"/>
      <c r="U3782" s="108" t="str">
        <f>IFERROR(VLOOKUP(CONCATENATE(Tabla1[[#This Row],[Severidad]]," ",Tabla1[[#This Row],[Complejidad]]),Catalogos!E$120:G$128,3,FALSE),"")</f>
        <v/>
      </c>
      <c r="V3782" s="108" t="str">
        <f>IF(Tabla1[[#This Row],[Tiempo solución max (hrs)]]&lt;&gt;"",IF(Tabla1[[#This Row],[Tiempo solución max (hrs)]]&gt;=Tabla1[[#This Row],[Tiempo
(Hrs 00/100)]],"cumple","no cumple"),"")</f>
        <v/>
      </c>
      <c r="W3782" s="17"/>
      <c r="X3782" s="18">
        <f t="shared" si="249"/>
        <v>0</v>
      </c>
      <c r="Y3782" t="str">
        <f>SUBSTITUTE(Tabla1[[#This Row],[Descripción]],CHAR(10),"    I    ")</f>
        <v/>
      </c>
      <c r="Z3782" s="112" t="e">
        <f>VLOOKUP(Tabla1[[#This Row],[Perfil]],Catalogos!$B$75:$D$100,3,FALSE)*Tabla1[[#This Row],[Tiempo
(Hrs 00/100)]]*1.16</f>
        <v>#N/A</v>
      </c>
    </row>
    <row r="3783" spans="1:26" ht="30" customHeight="1" x14ac:dyDescent="0.3">
      <c r="A3783" s="106"/>
      <c r="B3783" s="106"/>
      <c r="C3783" s="106"/>
      <c r="D3783" s="106"/>
      <c r="E3783" s="106"/>
      <c r="F3783" s="106"/>
      <c r="G3783" s="106"/>
      <c r="H3783" s="107"/>
      <c r="I3783" s="95"/>
      <c r="J3783" s="706"/>
      <c r="K3783" s="769"/>
      <c r="L3783" s="706"/>
      <c r="M3783" s="781"/>
      <c r="N3783" s="182"/>
      <c r="O3783" s="188"/>
      <c r="P3783" s="221"/>
      <c r="Q3783" s="106"/>
      <c r="R3783" s="108"/>
      <c r="S3783" s="108"/>
      <c r="T3783" s="108"/>
      <c r="U3783" s="108" t="str">
        <f>IFERROR(VLOOKUP(CONCATENATE(Tabla1[[#This Row],[Severidad]]," ",Tabla1[[#This Row],[Complejidad]]),Catalogos!E$120:G$128,3,FALSE),"")</f>
        <v/>
      </c>
      <c r="V3783" s="108" t="str">
        <f>IF(Tabla1[[#This Row],[Tiempo solución max (hrs)]]&lt;&gt;"",IF(Tabla1[[#This Row],[Tiempo solución max (hrs)]]&gt;=Tabla1[[#This Row],[Tiempo
(Hrs 00/100)]],"cumple","no cumple"),"")</f>
        <v/>
      </c>
      <c r="W3783" s="17"/>
      <c r="X3783" s="18">
        <f t="shared" si="249"/>
        <v>0</v>
      </c>
      <c r="Y3783" t="str">
        <f>SUBSTITUTE(Tabla1[[#This Row],[Descripción]],CHAR(10),"    I    ")</f>
        <v/>
      </c>
      <c r="Z3783" s="112" t="e">
        <f>VLOOKUP(Tabla1[[#This Row],[Perfil]],Catalogos!$B$75:$D$100,3,FALSE)*Tabla1[[#This Row],[Tiempo
(Hrs 00/100)]]*1.16</f>
        <v>#N/A</v>
      </c>
    </row>
    <row r="3784" spans="1:26" ht="30" customHeight="1" x14ac:dyDescent="0.3">
      <c r="A3784" s="106"/>
      <c r="B3784" s="106"/>
      <c r="C3784" s="106"/>
      <c r="D3784" s="106"/>
      <c r="E3784" s="106"/>
      <c r="F3784" s="106"/>
      <c r="G3784" s="106"/>
      <c r="H3784" s="107"/>
      <c r="I3784" s="95"/>
      <c r="J3784" s="706"/>
      <c r="K3784" s="769"/>
      <c r="L3784" s="706"/>
      <c r="M3784" s="781"/>
      <c r="N3784" s="182"/>
      <c r="O3784" s="188"/>
      <c r="P3784" s="221"/>
      <c r="Q3784" s="106"/>
      <c r="R3784" s="108"/>
      <c r="S3784" s="108"/>
      <c r="T3784" s="108"/>
      <c r="U3784" s="108" t="str">
        <f>IFERROR(VLOOKUP(CONCATENATE(Tabla1[[#This Row],[Severidad]]," ",Tabla1[[#This Row],[Complejidad]]),Catalogos!E$120:G$128,3,FALSE),"")</f>
        <v/>
      </c>
      <c r="V3784" s="108" t="str">
        <f>IF(Tabla1[[#This Row],[Tiempo solución max (hrs)]]&lt;&gt;"",IF(Tabla1[[#This Row],[Tiempo solución max (hrs)]]&gt;=Tabla1[[#This Row],[Tiempo
(Hrs 00/100)]],"cumple","no cumple"),"")</f>
        <v/>
      </c>
      <c r="W3784" s="17"/>
      <c r="X3784" s="18">
        <f t="shared" si="249"/>
        <v>0</v>
      </c>
      <c r="Y3784" t="str">
        <f>SUBSTITUTE(Tabla1[[#This Row],[Descripción]],CHAR(10),"    I    ")</f>
        <v/>
      </c>
      <c r="Z3784" s="112" t="e">
        <f>VLOOKUP(Tabla1[[#This Row],[Perfil]],Catalogos!$B$75:$D$100,3,FALSE)*Tabla1[[#This Row],[Tiempo
(Hrs 00/100)]]*1.16</f>
        <v>#N/A</v>
      </c>
    </row>
    <row r="3785" spans="1:26" ht="30" customHeight="1" x14ac:dyDescent="0.3">
      <c r="A3785" s="106"/>
      <c r="B3785" s="106"/>
      <c r="C3785" s="106"/>
      <c r="D3785" s="106"/>
      <c r="E3785" s="106"/>
      <c r="F3785" s="106"/>
      <c r="G3785" s="106"/>
      <c r="H3785" s="107"/>
      <c r="I3785" s="95"/>
      <c r="J3785" s="706"/>
      <c r="K3785" s="769"/>
      <c r="L3785" s="706"/>
      <c r="M3785" s="781"/>
      <c r="N3785" s="182"/>
      <c r="O3785" s="188"/>
      <c r="P3785" s="221"/>
      <c r="Q3785" s="106"/>
      <c r="R3785" s="108"/>
      <c r="S3785" s="108"/>
      <c r="T3785" s="108"/>
      <c r="U3785" s="108" t="str">
        <f>IFERROR(VLOOKUP(CONCATENATE(Tabla1[[#This Row],[Severidad]]," ",Tabla1[[#This Row],[Complejidad]]),Catalogos!E$120:G$128,3,FALSE),"")</f>
        <v/>
      </c>
      <c r="V3785" s="108" t="str">
        <f>IF(Tabla1[[#This Row],[Tiempo solución max (hrs)]]&lt;&gt;"",IF(Tabla1[[#This Row],[Tiempo solución max (hrs)]]&gt;=Tabla1[[#This Row],[Tiempo
(Hrs 00/100)]],"cumple","no cumple"),"")</f>
        <v/>
      </c>
      <c r="W3785" s="17"/>
      <c r="X3785" s="18">
        <f t="shared" si="249"/>
        <v>0</v>
      </c>
      <c r="Y3785" t="str">
        <f>SUBSTITUTE(Tabla1[[#This Row],[Descripción]],CHAR(10),"    I    ")</f>
        <v/>
      </c>
      <c r="Z3785" s="112" t="e">
        <f>VLOOKUP(Tabla1[[#This Row],[Perfil]],Catalogos!$B$75:$D$100,3,FALSE)*Tabla1[[#This Row],[Tiempo
(Hrs 00/100)]]*1.16</f>
        <v>#N/A</v>
      </c>
    </row>
    <row r="3786" spans="1:26" ht="30" customHeight="1" x14ac:dyDescent="0.3">
      <c r="A3786" s="106"/>
      <c r="B3786" s="106"/>
      <c r="C3786" s="106"/>
      <c r="D3786" s="106"/>
      <c r="E3786" s="106"/>
      <c r="F3786" s="106"/>
      <c r="G3786" s="106"/>
      <c r="H3786" s="107"/>
      <c r="I3786" s="95"/>
      <c r="J3786" s="706"/>
      <c r="K3786" s="769"/>
      <c r="L3786" s="706"/>
      <c r="M3786" s="781"/>
      <c r="N3786" s="182"/>
      <c r="O3786" s="188"/>
      <c r="P3786" s="221"/>
      <c r="Q3786" s="106"/>
      <c r="R3786" s="108"/>
      <c r="S3786" s="108"/>
      <c r="T3786" s="108"/>
      <c r="U3786" s="108" t="str">
        <f>IFERROR(VLOOKUP(CONCATENATE(Tabla1[[#This Row],[Severidad]]," ",Tabla1[[#This Row],[Complejidad]]),Catalogos!E$120:G$128,3,FALSE),"")</f>
        <v/>
      </c>
      <c r="V3786" s="108" t="str">
        <f>IF(Tabla1[[#This Row],[Tiempo solución max (hrs)]]&lt;&gt;"",IF(Tabla1[[#This Row],[Tiempo solución max (hrs)]]&gt;=Tabla1[[#This Row],[Tiempo
(Hrs 00/100)]],"cumple","no cumple"),"")</f>
        <v/>
      </c>
      <c r="W3786" s="17"/>
      <c r="X3786" s="18">
        <f t="shared" si="249"/>
        <v>0</v>
      </c>
      <c r="Y3786" t="str">
        <f>SUBSTITUTE(Tabla1[[#This Row],[Descripción]],CHAR(10),"    I    ")</f>
        <v/>
      </c>
      <c r="Z3786" s="112" t="e">
        <f>VLOOKUP(Tabla1[[#This Row],[Perfil]],Catalogos!$B$75:$D$100,3,FALSE)*Tabla1[[#This Row],[Tiempo
(Hrs 00/100)]]*1.16</f>
        <v>#N/A</v>
      </c>
    </row>
    <row r="3787" spans="1:26" ht="30" customHeight="1" x14ac:dyDescent="0.3">
      <c r="A3787" s="106"/>
      <c r="B3787" s="106"/>
      <c r="C3787" s="106"/>
      <c r="D3787" s="106"/>
      <c r="E3787" s="106"/>
      <c r="F3787" s="106"/>
      <c r="G3787" s="106"/>
      <c r="H3787" s="107"/>
      <c r="I3787" s="95"/>
      <c r="J3787" s="706"/>
      <c r="K3787" s="769"/>
      <c r="L3787" s="706"/>
      <c r="M3787" s="781"/>
      <c r="N3787" s="182"/>
      <c r="O3787" s="188"/>
      <c r="P3787" s="221"/>
      <c r="Q3787" s="106"/>
      <c r="R3787" s="108"/>
      <c r="S3787" s="108"/>
      <c r="T3787" s="108"/>
      <c r="U3787" s="108" t="str">
        <f>IFERROR(VLOOKUP(CONCATENATE(Tabla1[[#This Row],[Severidad]]," ",Tabla1[[#This Row],[Complejidad]]),Catalogos!E$120:G$128,3,FALSE),"")</f>
        <v/>
      </c>
      <c r="V3787" s="108" t="str">
        <f>IF(Tabla1[[#This Row],[Tiempo solución max (hrs)]]&lt;&gt;"",IF(Tabla1[[#This Row],[Tiempo solución max (hrs)]]&gt;=Tabla1[[#This Row],[Tiempo
(Hrs 00/100)]],"cumple","no cumple"),"")</f>
        <v/>
      </c>
      <c r="W3787" s="17"/>
      <c r="X3787" s="18">
        <f t="shared" si="249"/>
        <v>0</v>
      </c>
      <c r="Y3787" t="str">
        <f>SUBSTITUTE(Tabla1[[#This Row],[Descripción]],CHAR(10),"    I    ")</f>
        <v/>
      </c>
      <c r="Z3787" s="112" t="e">
        <f>VLOOKUP(Tabla1[[#This Row],[Perfil]],Catalogos!$B$75:$D$100,3,FALSE)*Tabla1[[#This Row],[Tiempo
(Hrs 00/100)]]*1.16</f>
        <v>#N/A</v>
      </c>
    </row>
    <row r="3788" spans="1:26" ht="30" customHeight="1" x14ac:dyDescent="0.3">
      <c r="A3788" s="106"/>
      <c r="B3788" s="106"/>
      <c r="C3788" s="106"/>
      <c r="D3788" s="106"/>
      <c r="E3788" s="106"/>
      <c r="F3788" s="106"/>
      <c r="G3788" s="106"/>
      <c r="H3788" s="107"/>
      <c r="I3788" s="95"/>
      <c r="J3788" s="706"/>
      <c r="K3788" s="769"/>
      <c r="L3788" s="706"/>
      <c r="M3788" s="781"/>
      <c r="N3788" s="182"/>
      <c r="O3788" s="188"/>
      <c r="P3788" s="221"/>
      <c r="Q3788" s="106"/>
      <c r="R3788" s="108"/>
      <c r="S3788" s="108"/>
      <c r="T3788" s="108"/>
      <c r="U3788" s="108" t="str">
        <f>IFERROR(VLOOKUP(CONCATENATE(Tabla1[[#This Row],[Severidad]]," ",Tabla1[[#This Row],[Complejidad]]),Catalogos!E$120:G$128,3,FALSE),"")</f>
        <v/>
      </c>
      <c r="V3788" s="108" t="str">
        <f>IF(Tabla1[[#This Row],[Tiempo solución max (hrs)]]&lt;&gt;"",IF(Tabla1[[#This Row],[Tiempo solución max (hrs)]]&gt;=Tabla1[[#This Row],[Tiempo
(Hrs 00/100)]],"cumple","no cumple"),"")</f>
        <v/>
      </c>
      <c r="W3788" s="17"/>
      <c r="X3788" s="18">
        <f t="shared" si="249"/>
        <v>0</v>
      </c>
      <c r="Y3788" t="str">
        <f>SUBSTITUTE(Tabla1[[#This Row],[Descripción]],CHAR(10),"    I    ")</f>
        <v/>
      </c>
      <c r="Z3788" s="112" t="e">
        <f>VLOOKUP(Tabla1[[#This Row],[Perfil]],Catalogos!$B$75:$D$100,3,FALSE)*Tabla1[[#This Row],[Tiempo
(Hrs 00/100)]]*1.16</f>
        <v>#N/A</v>
      </c>
    </row>
    <row r="3789" spans="1:26" ht="30" customHeight="1" x14ac:dyDescent="0.3">
      <c r="A3789" s="106"/>
      <c r="B3789" s="106"/>
      <c r="C3789" s="106"/>
      <c r="D3789" s="106"/>
      <c r="E3789" s="106"/>
      <c r="F3789" s="106"/>
      <c r="G3789" s="106"/>
      <c r="H3789" s="107"/>
      <c r="I3789" s="95"/>
      <c r="J3789" s="706"/>
      <c r="K3789" s="769"/>
      <c r="L3789" s="706"/>
      <c r="M3789" s="781"/>
      <c r="N3789" s="182"/>
      <c r="O3789" s="188"/>
      <c r="P3789" s="221"/>
      <c r="Q3789" s="106"/>
      <c r="R3789" s="108"/>
      <c r="S3789" s="108"/>
      <c r="T3789" s="108"/>
      <c r="U3789" s="108" t="str">
        <f>IFERROR(VLOOKUP(CONCATENATE(Tabla1[[#This Row],[Severidad]]," ",Tabla1[[#This Row],[Complejidad]]),Catalogos!E$120:G$128,3,FALSE),"")</f>
        <v/>
      </c>
      <c r="V3789" s="108" t="str">
        <f>IF(Tabla1[[#This Row],[Tiempo solución max (hrs)]]&lt;&gt;"",IF(Tabla1[[#This Row],[Tiempo solución max (hrs)]]&gt;=Tabla1[[#This Row],[Tiempo
(Hrs 00/100)]],"cumple","no cumple"),"")</f>
        <v/>
      </c>
      <c r="W3789" s="17"/>
      <c r="X3789" s="18">
        <f t="shared" si="249"/>
        <v>0</v>
      </c>
      <c r="Y3789" t="str">
        <f>SUBSTITUTE(Tabla1[[#This Row],[Descripción]],CHAR(10),"    I    ")</f>
        <v/>
      </c>
      <c r="Z3789" s="112" t="e">
        <f>VLOOKUP(Tabla1[[#This Row],[Perfil]],Catalogos!$B$75:$D$100,3,FALSE)*Tabla1[[#This Row],[Tiempo
(Hrs 00/100)]]*1.16</f>
        <v>#N/A</v>
      </c>
    </row>
    <row r="3790" spans="1:26" ht="30" customHeight="1" x14ac:dyDescent="0.3">
      <c r="A3790" s="106"/>
      <c r="B3790" s="106"/>
      <c r="C3790" s="106"/>
      <c r="D3790" s="106"/>
      <c r="E3790" s="106"/>
      <c r="F3790" s="106"/>
      <c r="G3790" s="106"/>
      <c r="H3790" s="107"/>
      <c r="I3790" s="95"/>
      <c r="J3790" s="706"/>
      <c r="K3790" s="769"/>
      <c r="L3790" s="706"/>
      <c r="M3790" s="781"/>
      <c r="N3790" s="182"/>
      <c r="O3790" s="188"/>
      <c r="P3790" s="221"/>
      <c r="Q3790" s="106"/>
      <c r="R3790" s="108"/>
      <c r="S3790" s="108"/>
      <c r="T3790" s="108"/>
      <c r="U3790" s="108" t="str">
        <f>IFERROR(VLOOKUP(CONCATENATE(Tabla1[[#This Row],[Severidad]]," ",Tabla1[[#This Row],[Complejidad]]),Catalogos!E$120:G$128,3,FALSE),"")</f>
        <v/>
      </c>
      <c r="V3790" s="108" t="str">
        <f>IF(Tabla1[[#This Row],[Tiempo solución max (hrs)]]&lt;&gt;"",IF(Tabla1[[#This Row],[Tiempo solución max (hrs)]]&gt;=Tabla1[[#This Row],[Tiempo
(Hrs 00/100)]],"cumple","no cumple"),"")</f>
        <v/>
      </c>
      <c r="W3790" s="17"/>
      <c r="X3790" s="18">
        <f t="shared" si="249"/>
        <v>0</v>
      </c>
      <c r="Y3790" t="str">
        <f>SUBSTITUTE(Tabla1[[#This Row],[Descripción]],CHAR(10),"    I    ")</f>
        <v/>
      </c>
      <c r="Z3790" s="112" t="e">
        <f>VLOOKUP(Tabla1[[#This Row],[Perfil]],Catalogos!$B$75:$D$100,3,FALSE)*Tabla1[[#This Row],[Tiempo
(Hrs 00/100)]]*1.16</f>
        <v>#N/A</v>
      </c>
    </row>
    <row r="3791" spans="1:26" ht="30" customHeight="1" x14ac:dyDescent="0.3">
      <c r="A3791" s="106"/>
      <c r="B3791" s="106"/>
      <c r="C3791" s="106"/>
      <c r="D3791" s="106"/>
      <c r="E3791" s="106"/>
      <c r="F3791" s="106"/>
      <c r="G3791" s="106"/>
      <c r="H3791" s="107"/>
      <c r="I3791" s="95"/>
      <c r="J3791" s="706"/>
      <c r="K3791" s="769"/>
      <c r="L3791" s="706"/>
      <c r="M3791" s="781"/>
      <c r="N3791" s="182"/>
      <c r="O3791" s="188"/>
      <c r="P3791" s="221"/>
      <c r="Q3791" s="106"/>
      <c r="R3791" s="108"/>
      <c r="S3791" s="108"/>
      <c r="T3791" s="108"/>
      <c r="U3791" s="108" t="str">
        <f>IFERROR(VLOOKUP(CONCATENATE(Tabla1[[#This Row],[Severidad]]," ",Tabla1[[#This Row],[Complejidad]]),Catalogos!E$120:G$128,3,FALSE),"")</f>
        <v/>
      </c>
      <c r="V3791" s="108" t="str">
        <f>IF(Tabla1[[#This Row],[Tiempo solución max (hrs)]]&lt;&gt;"",IF(Tabla1[[#This Row],[Tiempo solución max (hrs)]]&gt;=Tabla1[[#This Row],[Tiempo
(Hrs 00/100)]],"cumple","no cumple"),"")</f>
        <v/>
      </c>
      <c r="W3791" s="17"/>
      <c r="X3791" s="18">
        <f t="shared" si="249"/>
        <v>0</v>
      </c>
      <c r="Y3791" t="str">
        <f>SUBSTITUTE(Tabla1[[#This Row],[Descripción]],CHAR(10),"    I    ")</f>
        <v/>
      </c>
      <c r="Z3791" s="112" t="e">
        <f>VLOOKUP(Tabla1[[#This Row],[Perfil]],Catalogos!$B$75:$D$100,3,FALSE)*Tabla1[[#This Row],[Tiempo
(Hrs 00/100)]]*1.16</f>
        <v>#N/A</v>
      </c>
    </row>
    <row r="3792" spans="1:26" ht="30" customHeight="1" x14ac:dyDescent="0.3">
      <c r="A3792" s="106"/>
      <c r="B3792" s="106"/>
      <c r="C3792" s="106"/>
      <c r="D3792" s="106"/>
      <c r="E3792" s="106"/>
      <c r="F3792" s="106"/>
      <c r="G3792" s="106"/>
      <c r="H3792" s="107"/>
      <c r="I3792" s="95"/>
      <c r="J3792" s="706"/>
      <c r="K3792" s="769"/>
      <c r="L3792" s="706"/>
      <c r="M3792" s="781"/>
      <c r="N3792" s="182"/>
      <c r="O3792" s="188"/>
      <c r="P3792" s="221"/>
      <c r="Q3792" s="106"/>
      <c r="R3792" s="108"/>
      <c r="S3792" s="108"/>
      <c r="T3792" s="108"/>
      <c r="U3792" s="108" t="str">
        <f>IFERROR(VLOOKUP(CONCATENATE(Tabla1[[#This Row],[Severidad]]," ",Tabla1[[#This Row],[Complejidad]]),Catalogos!E$120:G$128,3,FALSE),"")</f>
        <v/>
      </c>
      <c r="V3792" s="108" t="str">
        <f>IF(Tabla1[[#This Row],[Tiempo solución max (hrs)]]&lt;&gt;"",IF(Tabla1[[#This Row],[Tiempo solución max (hrs)]]&gt;=Tabla1[[#This Row],[Tiempo
(Hrs 00/100)]],"cumple","no cumple"),"")</f>
        <v/>
      </c>
      <c r="W3792" s="17"/>
      <c r="X3792" s="18">
        <f t="shared" si="249"/>
        <v>0</v>
      </c>
      <c r="Y3792" t="str">
        <f>SUBSTITUTE(Tabla1[[#This Row],[Descripción]],CHAR(10),"    I    ")</f>
        <v/>
      </c>
      <c r="Z3792" s="112" t="e">
        <f>VLOOKUP(Tabla1[[#This Row],[Perfil]],Catalogos!$B$75:$D$100,3,FALSE)*Tabla1[[#This Row],[Tiempo
(Hrs 00/100)]]*1.16</f>
        <v>#N/A</v>
      </c>
    </row>
    <row r="3793" spans="1:26" ht="30" customHeight="1" x14ac:dyDescent="0.3">
      <c r="A3793" s="106"/>
      <c r="B3793" s="106"/>
      <c r="C3793" s="106"/>
      <c r="D3793" s="106"/>
      <c r="E3793" s="106"/>
      <c r="F3793" s="106"/>
      <c r="G3793" s="106"/>
      <c r="H3793" s="107"/>
      <c r="I3793" s="95"/>
      <c r="J3793" s="706"/>
      <c r="K3793" s="769"/>
      <c r="L3793" s="706"/>
      <c r="M3793" s="781"/>
      <c r="N3793" s="182"/>
      <c r="O3793" s="188"/>
      <c r="P3793" s="221"/>
      <c r="Q3793" s="106"/>
      <c r="R3793" s="108"/>
      <c r="S3793" s="108"/>
      <c r="T3793" s="108"/>
      <c r="U3793" s="108" t="str">
        <f>IFERROR(VLOOKUP(CONCATENATE(Tabla1[[#This Row],[Severidad]]," ",Tabla1[[#This Row],[Complejidad]]),Catalogos!E$120:G$128,3,FALSE),"")</f>
        <v/>
      </c>
      <c r="V3793" s="108" t="str">
        <f>IF(Tabla1[[#This Row],[Tiempo solución max (hrs)]]&lt;&gt;"",IF(Tabla1[[#This Row],[Tiempo solución max (hrs)]]&gt;=Tabla1[[#This Row],[Tiempo
(Hrs 00/100)]],"cumple","no cumple"),"")</f>
        <v/>
      </c>
      <c r="W3793" s="17"/>
      <c r="X3793" s="18">
        <f t="shared" si="249"/>
        <v>0</v>
      </c>
      <c r="Y3793" t="str">
        <f>SUBSTITUTE(Tabla1[[#This Row],[Descripción]],CHAR(10),"    I    ")</f>
        <v/>
      </c>
      <c r="Z3793" s="112" t="e">
        <f>VLOOKUP(Tabla1[[#This Row],[Perfil]],Catalogos!$B$75:$D$100,3,FALSE)*Tabla1[[#This Row],[Tiempo
(Hrs 00/100)]]*1.16</f>
        <v>#N/A</v>
      </c>
    </row>
    <row r="3794" spans="1:26" ht="30" customHeight="1" x14ac:dyDescent="0.3">
      <c r="A3794" s="106"/>
      <c r="B3794" s="106"/>
      <c r="C3794" s="106"/>
      <c r="D3794" s="106"/>
      <c r="E3794" s="106"/>
      <c r="F3794" s="106"/>
      <c r="G3794" s="106"/>
      <c r="H3794" s="107"/>
      <c r="I3794" s="95"/>
      <c r="J3794" s="706"/>
      <c r="K3794" s="769"/>
      <c r="L3794" s="706"/>
      <c r="M3794" s="781"/>
      <c r="N3794" s="182"/>
      <c r="O3794" s="188"/>
      <c r="P3794" s="221"/>
      <c r="Q3794" s="106"/>
      <c r="R3794" s="108"/>
      <c r="S3794" s="108"/>
      <c r="T3794" s="108"/>
      <c r="U3794" s="108" t="str">
        <f>IFERROR(VLOOKUP(CONCATENATE(Tabla1[[#This Row],[Severidad]]," ",Tabla1[[#This Row],[Complejidad]]),Catalogos!E$120:G$128,3,FALSE),"")</f>
        <v/>
      </c>
      <c r="V3794" s="108" t="str">
        <f>IF(Tabla1[[#This Row],[Tiempo solución max (hrs)]]&lt;&gt;"",IF(Tabla1[[#This Row],[Tiempo solución max (hrs)]]&gt;=Tabla1[[#This Row],[Tiempo
(Hrs 00/100)]],"cumple","no cumple"),"")</f>
        <v/>
      </c>
      <c r="W3794" s="17"/>
      <c r="X3794" s="18">
        <f t="shared" si="249"/>
        <v>0</v>
      </c>
      <c r="Y3794" t="str">
        <f>SUBSTITUTE(Tabla1[[#This Row],[Descripción]],CHAR(10),"    I    ")</f>
        <v/>
      </c>
      <c r="Z3794" s="112" t="e">
        <f>VLOOKUP(Tabla1[[#This Row],[Perfil]],Catalogos!$B$75:$D$100,3,FALSE)*Tabla1[[#This Row],[Tiempo
(Hrs 00/100)]]*1.16</f>
        <v>#N/A</v>
      </c>
    </row>
    <row r="3795" spans="1:26" ht="30" customHeight="1" x14ac:dyDescent="0.3">
      <c r="A3795" s="106"/>
      <c r="B3795" s="106"/>
      <c r="C3795" s="106"/>
      <c r="D3795" s="106"/>
      <c r="E3795" s="106"/>
      <c r="F3795" s="106"/>
      <c r="G3795" s="106"/>
      <c r="H3795" s="107"/>
      <c r="I3795" s="95"/>
      <c r="J3795" s="706"/>
      <c r="K3795" s="769"/>
      <c r="L3795" s="706"/>
      <c r="M3795" s="781"/>
      <c r="N3795" s="182"/>
      <c r="O3795" s="188"/>
      <c r="P3795" s="221"/>
      <c r="Q3795" s="106"/>
      <c r="R3795" s="108"/>
      <c r="S3795" s="108"/>
      <c r="T3795" s="108"/>
      <c r="U3795" s="108" t="str">
        <f>IFERROR(VLOOKUP(CONCATENATE(Tabla1[[#This Row],[Severidad]]," ",Tabla1[[#This Row],[Complejidad]]),Catalogos!E$120:G$128,3,FALSE),"")</f>
        <v/>
      </c>
      <c r="V3795" s="108" t="str">
        <f>IF(Tabla1[[#This Row],[Tiempo solución max (hrs)]]&lt;&gt;"",IF(Tabla1[[#This Row],[Tiempo solución max (hrs)]]&gt;=Tabla1[[#This Row],[Tiempo
(Hrs 00/100)]],"cumple","no cumple"),"")</f>
        <v/>
      </c>
      <c r="W3795" s="17"/>
      <c r="X3795" s="18">
        <f t="shared" si="249"/>
        <v>0</v>
      </c>
      <c r="Y3795" t="str">
        <f>SUBSTITUTE(Tabla1[[#This Row],[Descripción]],CHAR(10),"    I    ")</f>
        <v/>
      </c>
      <c r="Z3795" s="112" t="e">
        <f>VLOOKUP(Tabla1[[#This Row],[Perfil]],Catalogos!$B$75:$D$100,3,FALSE)*Tabla1[[#This Row],[Tiempo
(Hrs 00/100)]]*1.16</f>
        <v>#N/A</v>
      </c>
    </row>
    <row r="3796" spans="1:26" ht="30" customHeight="1" x14ac:dyDescent="0.3">
      <c r="A3796" s="106"/>
      <c r="B3796" s="106"/>
      <c r="C3796" s="106"/>
      <c r="D3796" s="106"/>
      <c r="E3796" s="106"/>
      <c r="F3796" s="106"/>
      <c r="G3796" s="106"/>
      <c r="H3796" s="107"/>
      <c r="I3796" s="95"/>
      <c r="J3796" s="706"/>
      <c r="K3796" s="769"/>
      <c r="L3796" s="706"/>
      <c r="M3796" s="781"/>
      <c r="N3796" s="182"/>
      <c r="O3796" s="188"/>
      <c r="P3796" s="221"/>
      <c r="Q3796" s="106"/>
      <c r="R3796" s="108"/>
      <c r="S3796" s="108"/>
      <c r="T3796" s="108"/>
      <c r="U3796" s="108" t="str">
        <f>IFERROR(VLOOKUP(CONCATENATE(Tabla1[[#This Row],[Severidad]]," ",Tabla1[[#This Row],[Complejidad]]),Catalogos!E$120:G$128,3,FALSE),"")</f>
        <v/>
      </c>
      <c r="V3796" s="108" t="str">
        <f>IF(Tabla1[[#This Row],[Tiempo solución max (hrs)]]&lt;&gt;"",IF(Tabla1[[#This Row],[Tiempo solución max (hrs)]]&gt;=Tabla1[[#This Row],[Tiempo
(Hrs 00/100)]],"cumple","no cumple"),"")</f>
        <v/>
      </c>
      <c r="W3796" s="17"/>
      <c r="X3796" s="18">
        <f t="shared" si="249"/>
        <v>0</v>
      </c>
      <c r="Y3796" t="str">
        <f>SUBSTITUTE(Tabla1[[#This Row],[Descripción]],CHAR(10),"    I    ")</f>
        <v/>
      </c>
      <c r="Z3796" s="112" t="e">
        <f>VLOOKUP(Tabla1[[#This Row],[Perfil]],Catalogos!$B$75:$D$100,3,FALSE)*Tabla1[[#This Row],[Tiempo
(Hrs 00/100)]]*1.16</f>
        <v>#N/A</v>
      </c>
    </row>
    <row r="3797" spans="1:26" ht="30" customHeight="1" x14ac:dyDescent="0.3">
      <c r="A3797" s="106"/>
      <c r="B3797" s="106"/>
      <c r="C3797" s="106"/>
      <c r="D3797" s="106"/>
      <c r="E3797" s="106"/>
      <c r="F3797" s="106"/>
      <c r="G3797" s="106"/>
      <c r="H3797" s="107"/>
      <c r="I3797" s="95"/>
      <c r="J3797" s="706"/>
      <c r="K3797" s="769"/>
      <c r="L3797" s="706"/>
      <c r="M3797" s="781"/>
      <c r="N3797" s="182"/>
      <c r="O3797" s="188"/>
      <c r="P3797" s="221"/>
      <c r="Q3797" s="106"/>
      <c r="R3797" s="108"/>
      <c r="S3797" s="108"/>
      <c r="T3797" s="108"/>
      <c r="U3797" s="108" t="str">
        <f>IFERROR(VLOOKUP(CONCATENATE(Tabla1[[#This Row],[Severidad]]," ",Tabla1[[#This Row],[Complejidad]]),Catalogos!E$120:G$128,3,FALSE),"")</f>
        <v/>
      </c>
      <c r="V3797" s="108" t="str">
        <f>IF(Tabla1[[#This Row],[Tiempo solución max (hrs)]]&lt;&gt;"",IF(Tabla1[[#This Row],[Tiempo solución max (hrs)]]&gt;=Tabla1[[#This Row],[Tiempo
(Hrs 00/100)]],"cumple","no cumple"),"")</f>
        <v/>
      </c>
      <c r="W3797" s="17"/>
      <c r="X3797" s="18">
        <f t="shared" si="249"/>
        <v>0</v>
      </c>
      <c r="Y3797" t="str">
        <f>SUBSTITUTE(Tabla1[[#This Row],[Descripción]],CHAR(10),"    I    ")</f>
        <v/>
      </c>
      <c r="Z3797" s="112" t="e">
        <f>VLOOKUP(Tabla1[[#This Row],[Perfil]],Catalogos!$B$75:$D$100,3,FALSE)*Tabla1[[#This Row],[Tiempo
(Hrs 00/100)]]*1.16</f>
        <v>#N/A</v>
      </c>
    </row>
    <row r="3798" spans="1:26" ht="30" customHeight="1" x14ac:dyDescent="0.3">
      <c r="A3798" s="106"/>
      <c r="B3798" s="106"/>
      <c r="C3798" s="106"/>
      <c r="D3798" s="106"/>
      <c r="E3798" s="106"/>
      <c r="F3798" s="106"/>
      <c r="G3798" s="106"/>
      <c r="H3798" s="107"/>
      <c r="I3798" s="95"/>
      <c r="J3798" s="706"/>
      <c r="K3798" s="769"/>
      <c r="L3798" s="706"/>
      <c r="M3798" s="781"/>
      <c r="N3798" s="182"/>
      <c r="O3798" s="188"/>
      <c r="P3798" s="221"/>
      <c r="Q3798" s="106"/>
      <c r="R3798" s="108"/>
      <c r="S3798" s="108"/>
      <c r="T3798" s="108"/>
      <c r="U3798" s="108" t="str">
        <f>IFERROR(VLOOKUP(CONCATENATE(Tabla1[[#This Row],[Severidad]]," ",Tabla1[[#This Row],[Complejidad]]),Catalogos!E$120:G$128,3,FALSE),"")</f>
        <v/>
      </c>
      <c r="V3798" s="108" t="str">
        <f>IF(Tabla1[[#This Row],[Tiempo solución max (hrs)]]&lt;&gt;"",IF(Tabla1[[#This Row],[Tiempo solución max (hrs)]]&gt;=Tabla1[[#This Row],[Tiempo
(Hrs 00/100)]],"cumple","no cumple"),"")</f>
        <v/>
      </c>
      <c r="W3798" s="17"/>
      <c r="X3798" s="18">
        <f t="shared" si="249"/>
        <v>0</v>
      </c>
      <c r="Y3798" t="str">
        <f>SUBSTITUTE(Tabla1[[#This Row],[Descripción]],CHAR(10),"    I    ")</f>
        <v/>
      </c>
      <c r="Z3798" s="112" t="e">
        <f>VLOOKUP(Tabla1[[#This Row],[Perfil]],Catalogos!$B$75:$D$100,3,FALSE)*Tabla1[[#This Row],[Tiempo
(Hrs 00/100)]]*1.16</f>
        <v>#N/A</v>
      </c>
    </row>
    <row r="3799" spans="1:26" ht="30" customHeight="1" x14ac:dyDescent="0.3">
      <c r="A3799" s="106"/>
      <c r="B3799" s="106"/>
      <c r="C3799" s="106"/>
      <c r="D3799" s="106"/>
      <c r="E3799" s="106"/>
      <c r="F3799" s="106"/>
      <c r="G3799" s="106"/>
      <c r="H3799" s="107"/>
      <c r="I3799" s="95"/>
      <c r="J3799" s="706"/>
      <c r="K3799" s="769"/>
      <c r="L3799" s="706"/>
      <c r="M3799" s="781"/>
      <c r="N3799" s="182"/>
      <c r="O3799" s="188"/>
      <c r="P3799" s="221"/>
      <c r="Q3799" s="106"/>
      <c r="R3799" s="108"/>
      <c r="S3799" s="108"/>
      <c r="T3799" s="108"/>
      <c r="U3799" s="108" t="str">
        <f>IFERROR(VLOOKUP(CONCATENATE(Tabla1[[#This Row],[Severidad]]," ",Tabla1[[#This Row],[Complejidad]]),Catalogos!E$120:G$128,3,FALSE),"")</f>
        <v/>
      </c>
      <c r="V3799" s="108" t="str">
        <f>IF(Tabla1[[#This Row],[Tiempo solución max (hrs)]]&lt;&gt;"",IF(Tabla1[[#This Row],[Tiempo solución max (hrs)]]&gt;=Tabla1[[#This Row],[Tiempo
(Hrs 00/100)]],"cumple","no cumple"),"")</f>
        <v/>
      </c>
      <c r="W3799" s="17"/>
      <c r="X3799" s="18">
        <f t="shared" si="249"/>
        <v>0</v>
      </c>
      <c r="Y3799" t="str">
        <f>SUBSTITUTE(Tabla1[[#This Row],[Descripción]],CHAR(10),"    I    ")</f>
        <v/>
      </c>
      <c r="Z3799" s="112" t="e">
        <f>VLOOKUP(Tabla1[[#This Row],[Perfil]],Catalogos!$B$75:$D$100,3,FALSE)*Tabla1[[#This Row],[Tiempo
(Hrs 00/100)]]*1.16</f>
        <v>#N/A</v>
      </c>
    </row>
    <row r="3800" spans="1:26" ht="30" customHeight="1" x14ac:dyDescent="0.3">
      <c r="A3800" s="106"/>
      <c r="B3800" s="106"/>
      <c r="C3800" s="106"/>
      <c r="D3800" s="106"/>
      <c r="E3800" s="106"/>
      <c r="F3800" s="106"/>
      <c r="G3800" s="106"/>
      <c r="H3800" s="107"/>
      <c r="I3800" s="95"/>
      <c r="J3800" s="706"/>
      <c r="K3800" s="769"/>
      <c r="L3800" s="706"/>
      <c r="M3800" s="781"/>
      <c r="N3800" s="182"/>
      <c r="O3800" s="188"/>
      <c r="P3800" s="221"/>
      <c r="Q3800" s="106"/>
      <c r="R3800" s="108"/>
      <c r="S3800" s="108"/>
      <c r="T3800" s="108"/>
      <c r="U3800" s="108" t="str">
        <f>IFERROR(VLOOKUP(CONCATENATE(Tabla1[[#This Row],[Severidad]]," ",Tabla1[[#This Row],[Complejidad]]),Catalogos!E$120:G$128,3,FALSE),"")</f>
        <v/>
      </c>
      <c r="V3800" s="108" t="str">
        <f>IF(Tabla1[[#This Row],[Tiempo solución max (hrs)]]&lt;&gt;"",IF(Tabla1[[#This Row],[Tiempo solución max (hrs)]]&gt;=Tabla1[[#This Row],[Tiempo
(Hrs 00/100)]],"cumple","no cumple"),"")</f>
        <v/>
      </c>
      <c r="W3800" s="17"/>
      <c r="X3800" s="18">
        <f t="shared" si="249"/>
        <v>0</v>
      </c>
      <c r="Y3800" t="str">
        <f>SUBSTITUTE(Tabla1[[#This Row],[Descripción]],CHAR(10),"    I    ")</f>
        <v/>
      </c>
      <c r="Z3800" s="112" t="e">
        <f>VLOOKUP(Tabla1[[#This Row],[Perfil]],Catalogos!$B$75:$D$100,3,FALSE)*Tabla1[[#This Row],[Tiempo
(Hrs 00/100)]]*1.16</f>
        <v>#N/A</v>
      </c>
    </row>
    <row r="3801" spans="1:26" ht="30" customHeight="1" x14ac:dyDescent="0.3">
      <c r="A3801" s="106"/>
      <c r="B3801" s="106"/>
      <c r="C3801" s="106"/>
      <c r="D3801" s="106"/>
      <c r="E3801" s="106"/>
      <c r="F3801" s="106"/>
      <c r="G3801" s="106"/>
      <c r="H3801" s="107"/>
      <c r="I3801" s="95"/>
      <c r="J3801" s="706"/>
      <c r="K3801" s="769"/>
      <c r="L3801" s="706"/>
      <c r="M3801" s="781"/>
      <c r="N3801" s="182"/>
      <c r="O3801" s="188"/>
      <c r="P3801" s="221"/>
      <c r="Q3801" s="106"/>
      <c r="R3801" s="108"/>
      <c r="S3801" s="108"/>
      <c r="T3801" s="108"/>
      <c r="U3801" s="108" t="str">
        <f>IFERROR(VLOOKUP(CONCATENATE(Tabla1[[#This Row],[Severidad]]," ",Tabla1[[#This Row],[Complejidad]]),Catalogos!E$120:G$128,3,FALSE),"")</f>
        <v/>
      </c>
      <c r="V3801" s="108" t="str">
        <f>IF(Tabla1[[#This Row],[Tiempo solución max (hrs)]]&lt;&gt;"",IF(Tabla1[[#This Row],[Tiempo solución max (hrs)]]&gt;=Tabla1[[#This Row],[Tiempo
(Hrs 00/100)]],"cumple","no cumple"),"")</f>
        <v/>
      </c>
      <c r="W3801" s="17"/>
      <c r="X3801" s="18">
        <f t="shared" si="249"/>
        <v>0</v>
      </c>
      <c r="Y3801" t="str">
        <f>SUBSTITUTE(Tabla1[[#This Row],[Descripción]],CHAR(10),"    I    ")</f>
        <v/>
      </c>
      <c r="Z3801" s="112" t="e">
        <f>VLOOKUP(Tabla1[[#This Row],[Perfil]],Catalogos!$B$75:$D$100,3,FALSE)*Tabla1[[#This Row],[Tiempo
(Hrs 00/100)]]*1.16</f>
        <v>#N/A</v>
      </c>
    </row>
    <row r="3802" spans="1:26" ht="30" customHeight="1" x14ac:dyDescent="0.3">
      <c r="A3802" s="106"/>
      <c r="B3802" s="106"/>
      <c r="C3802" s="106"/>
      <c r="D3802" s="106"/>
      <c r="E3802" s="106"/>
      <c r="F3802" s="106"/>
      <c r="G3802" s="106"/>
      <c r="H3802" s="107"/>
      <c r="I3802" s="95"/>
      <c r="J3802" s="706"/>
      <c r="K3802" s="769"/>
      <c r="L3802" s="706"/>
      <c r="M3802" s="781"/>
      <c r="N3802" s="182"/>
      <c r="O3802" s="188"/>
      <c r="P3802" s="221"/>
      <c r="Q3802" s="106"/>
      <c r="R3802" s="108"/>
      <c r="S3802" s="108"/>
      <c r="T3802" s="108"/>
      <c r="U3802" s="108" t="str">
        <f>IFERROR(VLOOKUP(CONCATENATE(Tabla1[[#This Row],[Severidad]]," ",Tabla1[[#This Row],[Complejidad]]),Catalogos!E$120:G$128,3,FALSE),"")</f>
        <v/>
      </c>
      <c r="V3802" s="108" t="str">
        <f>IF(Tabla1[[#This Row],[Tiempo solución max (hrs)]]&lt;&gt;"",IF(Tabla1[[#This Row],[Tiempo solución max (hrs)]]&gt;=Tabla1[[#This Row],[Tiempo
(Hrs 00/100)]],"cumple","no cumple"),"")</f>
        <v/>
      </c>
      <c r="W3802" s="17"/>
      <c r="X3802" s="18">
        <f t="shared" si="249"/>
        <v>0</v>
      </c>
      <c r="Y3802" t="str">
        <f>SUBSTITUTE(Tabla1[[#This Row],[Descripción]],CHAR(10),"    I    ")</f>
        <v/>
      </c>
      <c r="Z3802" s="112" t="e">
        <f>VLOOKUP(Tabla1[[#This Row],[Perfil]],Catalogos!$B$75:$D$100,3,FALSE)*Tabla1[[#This Row],[Tiempo
(Hrs 00/100)]]*1.16</f>
        <v>#N/A</v>
      </c>
    </row>
    <row r="3803" spans="1:26" ht="30" customHeight="1" x14ac:dyDescent="0.3">
      <c r="A3803" s="106"/>
      <c r="B3803" s="106"/>
      <c r="C3803" s="106"/>
      <c r="D3803" s="106"/>
      <c r="E3803" s="106"/>
      <c r="F3803" s="106"/>
      <c r="G3803" s="106"/>
      <c r="H3803" s="107"/>
      <c r="I3803" s="95"/>
      <c r="J3803" s="706"/>
      <c r="K3803" s="769"/>
      <c r="L3803" s="706"/>
      <c r="M3803" s="781"/>
      <c r="N3803" s="182"/>
      <c r="O3803" s="188"/>
      <c r="P3803" s="221"/>
      <c r="Q3803" s="106"/>
      <c r="R3803" s="108"/>
      <c r="S3803" s="108"/>
      <c r="T3803" s="108"/>
      <c r="U3803" s="108" t="str">
        <f>IFERROR(VLOOKUP(CONCATENATE(Tabla1[[#This Row],[Severidad]]," ",Tabla1[[#This Row],[Complejidad]]),Catalogos!E$120:G$128,3,FALSE),"")</f>
        <v/>
      </c>
      <c r="V3803" s="108" t="str">
        <f>IF(Tabla1[[#This Row],[Tiempo solución max (hrs)]]&lt;&gt;"",IF(Tabla1[[#This Row],[Tiempo solución max (hrs)]]&gt;=Tabla1[[#This Row],[Tiempo
(Hrs 00/100)]],"cumple","no cumple"),"")</f>
        <v/>
      </c>
      <c r="W3803" s="17"/>
      <c r="X3803" s="18">
        <f t="shared" si="249"/>
        <v>0</v>
      </c>
      <c r="Y3803" t="str">
        <f>SUBSTITUTE(Tabla1[[#This Row],[Descripción]],CHAR(10),"    I    ")</f>
        <v/>
      </c>
      <c r="Z3803" s="112" t="e">
        <f>VLOOKUP(Tabla1[[#This Row],[Perfil]],Catalogos!$B$75:$D$100,3,FALSE)*Tabla1[[#This Row],[Tiempo
(Hrs 00/100)]]*1.16</f>
        <v>#N/A</v>
      </c>
    </row>
    <row r="3804" spans="1:26" ht="30" customHeight="1" x14ac:dyDescent="0.3">
      <c r="A3804" s="106"/>
      <c r="B3804" s="106"/>
      <c r="C3804" s="106"/>
      <c r="D3804" s="106"/>
      <c r="E3804" s="106"/>
      <c r="F3804" s="106"/>
      <c r="G3804" s="106"/>
      <c r="H3804" s="107"/>
      <c r="I3804" s="95"/>
      <c r="J3804" s="706"/>
      <c r="K3804" s="769"/>
      <c r="L3804" s="706"/>
      <c r="M3804" s="781"/>
      <c r="N3804" s="182"/>
      <c r="O3804" s="188"/>
      <c r="P3804" s="221"/>
      <c r="Q3804" s="106"/>
      <c r="R3804" s="108"/>
      <c r="S3804" s="108"/>
      <c r="T3804" s="108"/>
      <c r="U3804" s="108" t="str">
        <f>IFERROR(VLOOKUP(CONCATENATE(Tabla1[[#This Row],[Severidad]]," ",Tabla1[[#This Row],[Complejidad]]),Catalogos!E$120:G$128,3,FALSE),"")</f>
        <v/>
      </c>
      <c r="V3804" s="108" t="str">
        <f>IF(Tabla1[[#This Row],[Tiempo solución max (hrs)]]&lt;&gt;"",IF(Tabla1[[#This Row],[Tiempo solución max (hrs)]]&gt;=Tabla1[[#This Row],[Tiempo
(Hrs 00/100)]],"cumple","no cumple"),"")</f>
        <v/>
      </c>
      <c r="W3804" s="17"/>
      <c r="X3804" s="18">
        <f t="shared" si="249"/>
        <v>0</v>
      </c>
      <c r="Y3804" t="str">
        <f>SUBSTITUTE(Tabla1[[#This Row],[Descripción]],CHAR(10),"    I    ")</f>
        <v/>
      </c>
      <c r="Z3804" s="112" t="e">
        <f>VLOOKUP(Tabla1[[#This Row],[Perfil]],Catalogos!$B$75:$D$100,3,FALSE)*Tabla1[[#This Row],[Tiempo
(Hrs 00/100)]]*1.16</f>
        <v>#N/A</v>
      </c>
    </row>
    <row r="3805" spans="1:26" ht="30" customHeight="1" x14ac:dyDescent="0.3">
      <c r="A3805" s="106"/>
      <c r="B3805" s="106"/>
      <c r="C3805" s="106"/>
      <c r="D3805" s="106"/>
      <c r="E3805" s="106"/>
      <c r="F3805" s="106"/>
      <c r="G3805" s="106"/>
      <c r="H3805" s="107"/>
      <c r="I3805" s="95"/>
      <c r="J3805" s="706"/>
      <c r="K3805" s="769"/>
      <c r="L3805" s="706"/>
      <c r="M3805" s="781"/>
      <c r="N3805" s="182"/>
      <c r="O3805" s="188"/>
      <c r="P3805" s="221"/>
      <c r="Q3805" s="106"/>
      <c r="R3805" s="108"/>
      <c r="S3805" s="108"/>
      <c r="T3805" s="108"/>
      <c r="U3805" s="108" t="str">
        <f>IFERROR(VLOOKUP(CONCATENATE(Tabla1[[#This Row],[Severidad]]," ",Tabla1[[#This Row],[Complejidad]]),Catalogos!E$120:G$128,3,FALSE),"")</f>
        <v/>
      </c>
      <c r="V3805" s="108" t="str">
        <f>IF(Tabla1[[#This Row],[Tiempo solución max (hrs)]]&lt;&gt;"",IF(Tabla1[[#This Row],[Tiempo solución max (hrs)]]&gt;=Tabla1[[#This Row],[Tiempo
(Hrs 00/100)]],"cumple","no cumple"),"")</f>
        <v/>
      </c>
      <c r="W3805" s="17"/>
      <c r="X3805" s="18">
        <f t="shared" si="249"/>
        <v>0</v>
      </c>
      <c r="Y3805" t="str">
        <f>SUBSTITUTE(Tabla1[[#This Row],[Descripción]],CHAR(10),"    I    ")</f>
        <v/>
      </c>
      <c r="Z3805" s="112" t="e">
        <f>VLOOKUP(Tabla1[[#This Row],[Perfil]],Catalogos!$B$75:$D$100,3,FALSE)*Tabla1[[#This Row],[Tiempo
(Hrs 00/100)]]*1.16</f>
        <v>#N/A</v>
      </c>
    </row>
    <row r="3806" spans="1:26" ht="30" customHeight="1" x14ac:dyDescent="0.3">
      <c r="A3806" s="106"/>
      <c r="B3806" s="106"/>
      <c r="C3806" s="106"/>
      <c r="D3806" s="106"/>
      <c r="E3806" s="106"/>
      <c r="F3806" s="106"/>
      <c r="G3806" s="106"/>
      <c r="H3806" s="107"/>
      <c r="I3806" s="95"/>
      <c r="J3806" s="706"/>
      <c r="K3806" s="769"/>
      <c r="L3806" s="706"/>
      <c r="M3806" s="781"/>
      <c r="N3806" s="182"/>
      <c r="O3806" s="188"/>
      <c r="P3806" s="221"/>
      <c r="Q3806" s="106"/>
      <c r="R3806" s="108"/>
      <c r="S3806" s="108"/>
      <c r="T3806" s="108"/>
      <c r="U3806" s="108" t="str">
        <f>IFERROR(VLOOKUP(CONCATENATE(Tabla1[[#This Row],[Severidad]]," ",Tabla1[[#This Row],[Complejidad]]),Catalogos!E$120:G$128,3,FALSE),"")</f>
        <v/>
      </c>
      <c r="V3806" s="108" t="str">
        <f>IF(Tabla1[[#This Row],[Tiempo solución max (hrs)]]&lt;&gt;"",IF(Tabla1[[#This Row],[Tiempo solución max (hrs)]]&gt;=Tabla1[[#This Row],[Tiempo
(Hrs 00/100)]],"cumple","no cumple"),"")</f>
        <v/>
      </c>
      <c r="W3806" s="17"/>
      <c r="X3806" s="18">
        <f t="shared" si="249"/>
        <v>0</v>
      </c>
      <c r="Y3806" t="str">
        <f>SUBSTITUTE(Tabla1[[#This Row],[Descripción]],CHAR(10),"    I    ")</f>
        <v/>
      </c>
      <c r="Z3806" s="112" t="e">
        <f>VLOOKUP(Tabla1[[#This Row],[Perfil]],Catalogos!$B$75:$D$100,3,FALSE)*Tabla1[[#This Row],[Tiempo
(Hrs 00/100)]]*1.16</f>
        <v>#N/A</v>
      </c>
    </row>
    <row r="3807" spans="1:26" ht="30" customHeight="1" x14ac:dyDescent="0.3">
      <c r="A3807" s="106"/>
      <c r="B3807" s="106"/>
      <c r="C3807" s="106"/>
      <c r="D3807" s="106"/>
      <c r="E3807" s="106"/>
      <c r="F3807" s="106"/>
      <c r="G3807" s="106"/>
      <c r="H3807" s="107"/>
      <c r="I3807" s="95"/>
      <c r="J3807" s="706"/>
      <c r="K3807" s="769"/>
      <c r="L3807" s="706"/>
      <c r="M3807" s="781"/>
      <c r="N3807" s="182"/>
      <c r="O3807" s="188"/>
      <c r="P3807" s="221"/>
      <c r="Q3807" s="106"/>
      <c r="R3807" s="108"/>
      <c r="S3807" s="108"/>
      <c r="T3807" s="108"/>
      <c r="U3807" s="108" t="str">
        <f>IFERROR(VLOOKUP(CONCATENATE(Tabla1[[#This Row],[Severidad]]," ",Tabla1[[#This Row],[Complejidad]]),Catalogos!E$120:G$128,3,FALSE),"")</f>
        <v/>
      </c>
      <c r="V3807" s="108" t="str">
        <f>IF(Tabla1[[#This Row],[Tiempo solución max (hrs)]]&lt;&gt;"",IF(Tabla1[[#This Row],[Tiempo solución max (hrs)]]&gt;=Tabla1[[#This Row],[Tiempo
(Hrs 00/100)]],"cumple","no cumple"),"")</f>
        <v/>
      </c>
      <c r="W3807" s="17"/>
      <c r="X3807" s="18">
        <f t="shared" si="249"/>
        <v>0</v>
      </c>
      <c r="Y3807" t="str">
        <f>SUBSTITUTE(Tabla1[[#This Row],[Descripción]],CHAR(10),"    I    ")</f>
        <v/>
      </c>
      <c r="Z3807" s="112" t="e">
        <f>VLOOKUP(Tabla1[[#This Row],[Perfil]],Catalogos!$B$75:$D$100,3,FALSE)*Tabla1[[#This Row],[Tiempo
(Hrs 00/100)]]*1.16</f>
        <v>#N/A</v>
      </c>
    </row>
    <row r="3808" spans="1:26" ht="30" customHeight="1" x14ac:dyDescent="0.3">
      <c r="A3808" s="106"/>
      <c r="B3808" s="106"/>
      <c r="C3808" s="106"/>
      <c r="D3808" s="106"/>
      <c r="E3808" s="106"/>
      <c r="F3808" s="106"/>
      <c r="G3808" s="106"/>
      <c r="H3808" s="107"/>
      <c r="I3808" s="95"/>
      <c r="J3808" s="706"/>
      <c r="K3808" s="769"/>
      <c r="L3808" s="706"/>
      <c r="M3808" s="781"/>
      <c r="N3808" s="182"/>
      <c r="O3808" s="188"/>
      <c r="P3808" s="221"/>
      <c r="Q3808" s="106"/>
      <c r="R3808" s="108"/>
      <c r="S3808" s="108"/>
      <c r="T3808" s="108"/>
      <c r="U3808" s="108" t="str">
        <f>IFERROR(VLOOKUP(CONCATENATE(Tabla1[[#This Row],[Severidad]]," ",Tabla1[[#This Row],[Complejidad]]),Catalogos!E$120:G$128,3,FALSE),"")</f>
        <v/>
      </c>
      <c r="V3808" s="108" t="str">
        <f>IF(Tabla1[[#This Row],[Tiempo solución max (hrs)]]&lt;&gt;"",IF(Tabla1[[#This Row],[Tiempo solución max (hrs)]]&gt;=Tabla1[[#This Row],[Tiempo
(Hrs 00/100)]],"cumple","no cumple"),"")</f>
        <v/>
      </c>
      <c r="W3808" s="17"/>
      <c r="X3808" s="18">
        <f t="shared" si="249"/>
        <v>0</v>
      </c>
      <c r="Y3808" t="str">
        <f>SUBSTITUTE(Tabla1[[#This Row],[Descripción]],CHAR(10),"    I    ")</f>
        <v/>
      </c>
      <c r="Z3808" s="112" t="e">
        <f>VLOOKUP(Tabla1[[#This Row],[Perfil]],Catalogos!$B$75:$D$100,3,FALSE)*Tabla1[[#This Row],[Tiempo
(Hrs 00/100)]]*1.16</f>
        <v>#N/A</v>
      </c>
    </row>
    <row r="3809" spans="1:26" ht="30" customHeight="1" x14ac:dyDescent="0.3">
      <c r="A3809" s="106"/>
      <c r="B3809" s="106"/>
      <c r="C3809" s="106"/>
      <c r="D3809" s="106"/>
      <c r="E3809" s="106"/>
      <c r="F3809" s="106"/>
      <c r="G3809" s="106"/>
      <c r="H3809" s="107"/>
      <c r="I3809" s="95"/>
      <c r="J3809" s="706"/>
      <c r="K3809" s="769"/>
      <c r="L3809" s="706"/>
      <c r="M3809" s="781"/>
      <c r="N3809" s="182"/>
      <c r="O3809" s="188"/>
      <c r="P3809" s="221"/>
      <c r="Q3809" s="106"/>
      <c r="R3809" s="108"/>
      <c r="S3809" s="108"/>
      <c r="T3809" s="108"/>
      <c r="U3809" s="108" t="str">
        <f>IFERROR(VLOOKUP(CONCATENATE(Tabla1[[#This Row],[Severidad]]," ",Tabla1[[#This Row],[Complejidad]]),Catalogos!E$120:G$128,3,FALSE),"")</f>
        <v/>
      </c>
      <c r="V3809" s="108" t="str">
        <f>IF(Tabla1[[#This Row],[Tiempo solución max (hrs)]]&lt;&gt;"",IF(Tabla1[[#This Row],[Tiempo solución max (hrs)]]&gt;=Tabla1[[#This Row],[Tiempo
(Hrs 00/100)]],"cumple","no cumple"),"")</f>
        <v/>
      </c>
      <c r="W3809" s="17"/>
      <c r="X3809" s="18">
        <f t="shared" si="249"/>
        <v>0</v>
      </c>
      <c r="Y3809" t="str">
        <f>SUBSTITUTE(Tabla1[[#This Row],[Descripción]],CHAR(10),"    I    ")</f>
        <v/>
      </c>
      <c r="Z3809" s="112" t="e">
        <f>VLOOKUP(Tabla1[[#This Row],[Perfil]],Catalogos!$B$75:$D$100,3,FALSE)*Tabla1[[#This Row],[Tiempo
(Hrs 00/100)]]*1.16</f>
        <v>#N/A</v>
      </c>
    </row>
    <row r="3810" spans="1:26" ht="30" customHeight="1" x14ac:dyDescent="0.3">
      <c r="A3810" s="106"/>
      <c r="B3810" s="106"/>
      <c r="C3810" s="106"/>
      <c r="D3810" s="106"/>
      <c r="E3810" s="106"/>
      <c r="F3810" s="106"/>
      <c r="G3810" s="106"/>
      <c r="H3810" s="107"/>
      <c r="I3810" s="95"/>
      <c r="J3810" s="706"/>
      <c r="K3810" s="769"/>
      <c r="L3810" s="706"/>
      <c r="M3810" s="781"/>
      <c r="N3810" s="182"/>
      <c r="O3810" s="188"/>
      <c r="P3810" s="221"/>
      <c r="Q3810" s="106"/>
      <c r="R3810" s="108"/>
      <c r="S3810" s="108"/>
      <c r="T3810" s="108"/>
      <c r="U3810" s="108" t="str">
        <f>IFERROR(VLOOKUP(CONCATENATE(Tabla1[[#This Row],[Severidad]]," ",Tabla1[[#This Row],[Complejidad]]),Catalogos!E$120:G$128,3,FALSE),"")</f>
        <v/>
      </c>
      <c r="V3810" s="108" t="str">
        <f>IF(Tabla1[[#This Row],[Tiempo solución max (hrs)]]&lt;&gt;"",IF(Tabla1[[#This Row],[Tiempo solución max (hrs)]]&gt;=Tabla1[[#This Row],[Tiempo
(Hrs 00/100)]],"cumple","no cumple"),"")</f>
        <v/>
      </c>
      <c r="W3810" s="17"/>
      <c r="X3810" s="18">
        <f t="shared" si="249"/>
        <v>0</v>
      </c>
      <c r="Y3810" t="str">
        <f>SUBSTITUTE(Tabla1[[#This Row],[Descripción]],CHAR(10),"    I    ")</f>
        <v/>
      </c>
      <c r="Z3810" s="112" t="e">
        <f>VLOOKUP(Tabla1[[#This Row],[Perfil]],Catalogos!$B$75:$D$100,3,FALSE)*Tabla1[[#This Row],[Tiempo
(Hrs 00/100)]]*1.16</f>
        <v>#N/A</v>
      </c>
    </row>
    <row r="3811" spans="1:26" ht="30" customHeight="1" x14ac:dyDescent="0.3">
      <c r="A3811" s="106"/>
      <c r="B3811" s="106"/>
      <c r="C3811" s="106"/>
      <c r="D3811" s="106"/>
      <c r="E3811" s="106"/>
      <c r="F3811" s="106"/>
      <c r="G3811" s="106"/>
      <c r="H3811" s="107"/>
      <c r="I3811" s="95"/>
      <c r="J3811" s="706"/>
      <c r="K3811" s="769"/>
      <c r="L3811" s="706"/>
      <c r="M3811" s="781"/>
      <c r="N3811" s="182"/>
      <c r="O3811" s="188"/>
      <c r="P3811" s="221"/>
      <c r="Q3811" s="106"/>
      <c r="R3811" s="108"/>
      <c r="S3811" s="108"/>
      <c r="T3811" s="108"/>
      <c r="U3811" s="108" t="str">
        <f>IFERROR(VLOOKUP(CONCATENATE(Tabla1[[#This Row],[Severidad]]," ",Tabla1[[#This Row],[Complejidad]]),Catalogos!E$120:G$128,3,FALSE),"")</f>
        <v/>
      </c>
      <c r="V3811" s="108" t="str">
        <f>IF(Tabla1[[#This Row],[Tiempo solución max (hrs)]]&lt;&gt;"",IF(Tabla1[[#This Row],[Tiempo solución max (hrs)]]&gt;=Tabla1[[#This Row],[Tiempo
(Hrs 00/100)]],"cumple","no cumple"),"")</f>
        <v/>
      </c>
      <c r="W3811" s="17"/>
      <c r="X3811" s="18">
        <f t="shared" si="249"/>
        <v>0</v>
      </c>
      <c r="Y3811" t="str">
        <f>SUBSTITUTE(Tabla1[[#This Row],[Descripción]],CHAR(10),"    I    ")</f>
        <v/>
      </c>
      <c r="Z3811" s="112" t="e">
        <f>VLOOKUP(Tabla1[[#This Row],[Perfil]],Catalogos!$B$75:$D$100,3,FALSE)*Tabla1[[#This Row],[Tiempo
(Hrs 00/100)]]*1.16</f>
        <v>#N/A</v>
      </c>
    </row>
    <row r="3812" spans="1:26" ht="30" customHeight="1" x14ac:dyDescent="0.3">
      <c r="A3812" s="106"/>
      <c r="B3812" s="106"/>
      <c r="C3812" s="106"/>
      <c r="D3812" s="106"/>
      <c r="E3812" s="106"/>
      <c r="F3812" s="106"/>
      <c r="G3812" s="106"/>
      <c r="H3812" s="107"/>
      <c r="I3812" s="95"/>
      <c r="J3812" s="706"/>
      <c r="K3812" s="769"/>
      <c r="L3812" s="706"/>
      <c r="M3812" s="781"/>
      <c r="N3812" s="182"/>
      <c r="O3812" s="188"/>
      <c r="P3812" s="221"/>
      <c r="Q3812" s="106"/>
      <c r="R3812" s="108"/>
      <c r="S3812" s="108"/>
      <c r="T3812" s="108"/>
      <c r="U3812" s="108" t="str">
        <f>IFERROR(VLOOKUP(CONCATENATE(Tabla1[[#This Row],[Severidad]]," ",Tabla1[[#This Row],[Complejidad]]),Catalogos!E$120:G$128,3,FALSE),"")</f>
        <v/>
      </c>
      <c r="V3812" s="108" t="str">
        <f>IF(Tabla1[[#This Row],[Tiempo solución max (hrs)]]&lt;&gt;"",IF(Tabla1[[#This Row],[Tiempo solución max (hrs)]]&gt;=Tabla1[[#This Row],[Tiempo
(Hrs 00/100)]],"cumple","no cumple"),"")</f>
        <v/>
      </c>
      <c r="W3812" s="17"/>
      <c r="X3812" s="18">
        <f t="shared" si="249"/>
        <v>0</v>
      </c>
      <c r="Y3812" t="str">
        <f>SUBSTITUTE(Tabla1[[#This Row],[Descripción]],CHAR(10),"    I    ")</f>
        <v/>
      </c>
      <c r="Z3812" s="112" t="e">
        <f>VLOOKUP(Tabla1[[#This Row],[Perfil]],Catalogos!$B$75:$D$100,3,FALSE)*Tabla1[[#This Row],[Tiempo
(Hrs 00/100)]]*1.16</f>
        <v>#N/A</v>
      </c>
    </row>
    <row r="3813" spans="1:26" ht="30" customHeight="1" x14ac:dyDescent="0.3">
      <c r="A3813" s="106"/>
      <c r="B3813" s="106"/>
      <c r="C3813" s="106"/>
      <c r="D3813" s="106"/>
      <c r="E3813" s="106"/>
      <c r="F3813" s="106"/>
      <c r="G3813" s="106"/>
      <c r="H3813" s="107"/>
      <c r="I3813" s="95"/>
      <c r="J3813" s="706"/>
      <c r="K3813" s="769"/>
      <c r="L3813" s="706"/>
      <c r="M3813" s="781"/>
      <c r="N3813" s="182"/>
      <c r="O3813" s="188"/>
      <c r="P3813" s="221"/>
      <c r="Q3813" s="106"/>
      <c r="R3813" s="108"/>
      <c r="S3813" s="108"/>
      <c r="T3813" s="108"/>
      <c r="U3813" s="108" t="str">
        <f>IFERROR(VLOOKUP(CONCATENATE(Tabla1[[#This Row],[Severidad]]," ",Tabla1[[#This Row],[Complejidad]]),Catalogos!E$120:G$128,3,FALSE),"")</f>
        <v/>
      </c>
      <c r="V3813" s="108" t="str">
        <f>IF(Tabla1[[#This Row],[Tiempo solución max (hrs)]]&lt;&gt;"",IF(Tabla1[[#This Row],[Tiempo solución max (hrs)]]&gt;=Tabla1[[#This Row],[Tiempo
(Hrs 00/100)]],"cumple","no cumple"),"")</f>
        <v/>
      </c>
      <c r="W3813" s="17"/>
      <c r="X3813" s="18">
        <f t="shared" si="249"/>
        <v>0</v>
      </c>
      <c r="Y3813" t="str">
        <f>SUBSTITUTE(Tabla1[[#This Row],[Descripción]],CHAR(10),"    I    ")</f>
        <v/>
      </c>
      <c r="Z3813" s="112" t="e">
        <f>VLOOKUP(Tabla1[[#This Row],[Perfil]],Catalogos!$B$75:$D$100,3,FALSE)*Tabla1[[#This Row],[Tiempo
(Hrs 00/100)]]*1.16</f>
        <v>#N/A</v>
      </c>
    </row>
    <row r="3814" spans="1:26" ht="30" customHeight="1" x14ac:dyDescent="0.3">
      <c r="A3814" s="106"/>
      <c r="B3814" s="106"/>
      <c r="C3814" s="106"/>
      <c r="D3814" s="106"/>
      <c r="E3814" s="106"/>
      <c r="F3814" s="106"/>
      <c r="G3814" s="106"/>
      <c r="H3814" s="107"/>
      <c r="I3814" s="95"/>
      <c r="J3814" s="706"/>
      <c r="K3814" s="769"/>
      <c r="L3814" s="706"/>
      <c r="M3814" s="781"/>
      <c r="N3814" s="182"/>
      <c r="O3814" s="188"/>
      <c r="P3814" s="221"/>
      <c r="Q3814" s="106"/>
      <c r="R3814" s="108"/>
      <c r="S3814" s="108"/>
      <c r="T3814" s="108"/>
      <c r="U3814" s="108" t="str">
        <f>IFERROR(VLOOKUP(CONCATENATE(Tabla1[[#This Row],[Severidad]]," ",Tabla1[[#This Row],[Complejidad]]),Catalogos!E$120:G$128,3,FALSE),"")</f>
        <v/>
      </c>
      <c r="V3814" s="108" t="str">
        <f>IF(Tabla1[[#This Row],[Tiempo solución max (hrs)]]&lt;&gt;"",IF(Tabla1[[#This Row],[Tiempo solución max (hrs)]]&gt;=Tabla1[[#This Row],[Tiempo
(Hrs 00/100)]],"cumple","no cumple"),"")</f>
        <v/>
      </c>
      <c r="W3814" s="17"/>
      <c r="X3814" s="18">
        <f t="shared" si="249"/>
        <v>0</v>
      </c>
      <c r="Y3814" t="str">
        <f>SUBSTITUTE(Tabla1[[#This Row],[Descripción]],CHAR(10),"    I    ")</f>
        <v/>
      </c>
      <c r="Z3814" s="112" t="e">
        <f>VLOOKUP(Tabla1[[#This Row],[Perfil]],Catalogos!$B$75:$D$100,3,FALSE)*Tabla1[[#This Row],[Tiempo
(Hrs 00/100)]]*1.16</f>
        <v>#N/A</v>
      </c>
    </row>
    <row r="3815" spans="1:26" ht="30" customHeight="1" x14ac:dyDescent="0.3">
      <c r="A3815" s="106"/>
      <c r="B3815" s="106"/>
      <c r="C3815" s="106"/>
      <c r="D3815" s="106"/>
      <c r="E3815" s="106"/>
      <c r="F3815" s="106"/>
      <c r="G3815" s="106"/>
      <c r="H3815" s="107"/>
      <c r="I3815" s="95"/>
      <c r="J3815" s="706"/>
      <c r="K3815" s="769"/>
      <c r="L3815" s="706"/>
      <c r="M3815" s="781"/>
      <c r="N3815" s="182"/>
      <c r="O3815" s="188"/>
      <c r="P3815" s="221"/>
      <c r="Q3815" s="106"/>
      <c r="R3815" s="108"/>
      <c r="S3815" s="108"/>
      <c r="T3815" s="108"/>
      <c r="U3815" s="108" t="str">
        <f>IFERROR(VLOOKUP(CONCATENATE(Tabla1[[#This Row],[Severidad]]," ",Tabla1[[#This Row],[Complejidad]]),Catalogos!E$120:G$128,3,FALSE),"")</f>
        <v/>
      </c>
      <c r="V3815" s="108" t="str">
        <f>IF(Tabla1[[#This Row],[Tiempo solución max (hrs)]]&lt;&gt;"",IF(Tabla1[[#This Row],[Tiempo solución max (hrs)]]&gt;=Tabla1[[#This Row],[Tiempo
(Hrs 00/100)]],"cumple","no cumple"),"")</f>
        <v/>
      </c>
      <c r="W3815" s="17"/>
      <c r="X3815" s="18">
        <f t="shared" si="249"/>
        <v>0</v>
      </c>
      <c r="Y3815" t="str">
        <f>SUBSTITUTE(Tabla1[[#This Row],[Descripción]],CHAR(10),"    I    ")</f>
        <v/>
      </c>
      <c r="Z3815" s="112" t="e">
        <f>VLOOKUP(Tabla1[[#This Row],[Perfil]],Catalogos!$B$75:$D$100,3,FALSE)*Tabla1[[#This Row],[Tiempo
(Hrs 00/100)]]*1.16</f>
        <v>#N/A</v>
      </c>
    </row>
    <row r="3816" spans="1:26" ht="30" customHeight="1" x14ac:dyDescent="0.3">
      <c r="A3816" s="106"/>
      <c r="B3816" s="106"/>
      <c r="C3816" s="106"/>
      <c r="D3816" s="106"/>
      <c r="E3816" s="106"/>
      <c r="F3816" s="106"/>
      <c r="G3816" s="106"/>
      <c r="H3816" s="107"/>
      <c r="I3816" s="95"/>
      <c r="J3816" s="706"/>
      <c r="K3816" s="769"/>
      <c r="L3816" s="706"/>
      <c r="M3816" s="781"/>
      <c r="N3816" s="182"/>
      <c r="O3816" s="188"/>
      <c r="P3816" s="221"/>
      <c r="Q3816" s="106"/>
      <c r="R3816" s="108"/>
      <c r="S3816" s="108"/>
      <c r="T3816" s="108"/>
      <c r="U3816" s="108" t="str">
        <f>IFERROR(VLOOKUP(CONCATENATE(Tabla1[[#This Row],[Severidad]]," ",Tabla1[[#This Row],[Complejidad]]),Catalogos!E$120:G$128,3,FALSE),"")</f>
        <v/>
      </c>
      <c r="V3816" s="108" t="str">
        <f>IF(Tabla1[[#This Row],[Tiempo solución max (hrs)]]&lt;&gt;"",IF(Tabla1[[#This Row],[Tiempo solución max (hrs)]]&gt;=Tabla1[[#This Row],[Tiempo
(Hrs 00/100)]],"cumple","no cumple"),"")</f>
        <v/>
      </c>
      <c r="W3816" s="17"/>
      <c r="X3816" s="18">
        <f t="shared" si="249"/>
        <v>0</v>
      </c>
      <c r="Y3816" t="str">
        <f>SUBSTITUTE(Tabla1[[#This Row],[Descripción]],CHAR(10),"    I    ")</f>
        <v/>
      </c>
      <c r="Z3816" s="112" t="e">
        <f>VLOOKUP(Tabla1[[#This Row],[Perfil]],Catalogos!$B$75:$D$100,3,FALSE)*Tabla1[[#This Row],[Tiempo
(Hrs 00/100)]]*1.16</f>
        <v>#N/A</v>
      </c>
    </row>
    <row r="3817" spans="1:26" ht="30" customHeight="1" x14ac:dyDescent="0.3">
      <c r="A3817" s="106"/>
      <c r="B3817" s="106"/>
      <c r="C3817" s="106"/>
      <c r="D3817" s="106"/>
      <c r="E3817" s="106"/>
      <c r="F3817" s="106"/>
      <c r="G3817" s="106"/>
      <c r="H3817" s="107"/>
      <c r="I3817" s="95"/>
      <c r="J3817" s="706"/>
      <c r="K3817" s="769"/>
      <c r="L3817" s="706"/>
      <c r="M3817" s="781"/>
      <c r="N3817" s="182"/>
      <c r="O3817" s="188"/>
      <c r="P3817" s="221"/>
      <c r="Q3817" s="106"/>
      <c r="R3817" s="108"/>
      <c r="S3817" s="108"/>
      <c r="T3817" s="108"/>
      <c r="U3817" s="108" t="str">
        <f>IFERROR(VLOOKUP(CONCATENATE(Tabla1[[#This Row],[Severidad]]," ",Tabla1[[#This Row],[Complejidad]]),Catalogos!E$120:G$128,3,FALSE),"")</f>
        <v/>
      </c>
      <c r="V3817" s="108" t="str">
        <f>IF(Tabla1[[#This Row],[Tiempo solución max (hrs)]]&lt;&gt;"",IF(Tabla1[[#This Row],[Tiempo solución max (hrs)]]&gt;=Tabla1[[#This Row],[Tiempo
(Hrs 00/100)]],"cumple","no cumple"),"")</f>
        <v/>
      </c>
      <c r="W3817" s="17"/>
      <c r="X3817" s="18">
        <f t="shared" si="249"/>
        <v>0</v>
      </c>
      <c r="Y3817" t="str">
        <f>SUBSTITUTE(Tabla1[[#This Row],[Descripción]],CHAR(10),"    I    ")</f>
        <v/>
      </c>
      <c r="Z3817" s="112" t="e">
        <f>VLOOKUP(Tabla1[[#This Row],[Perfil]],Catalogos!$B$75:$D$100,3,FALSE)*Tabla1[[#This Row],[Tiempo
(Hrs 00/100)]]*1.16</f>
        <v>#N/A</v>
      </c>
    </row>
    <row r="3818" spans="1:26" ht="30" customHeight="1" x14ac:dyDescent="0.3">
      <c r="A3818" s="106"/>
      <c r="B3818" s="106"/>
      <c r="C3818" s="106"/>
      <c r="D3818" s="106"/>
      <c r="E3818" s="106"/>
      <c r="F3818" s="106"/>
      <c r="G3818" s="106"/>
      <c r="H3818" s="107"/>
      <c r="I3818" s="95"/>
      <c r="J3818" s="706"/>
      <c r="K3818" s="769"/>
      <c r="L3818" s="706"/>
      <c r="M3818" s="781"/>
      <c r="N3818" s="182"/>
      <c r="O3818" s="188"/>
      <c r="P3818" s="221"/>
      <c r="Q3818" s="106"/>
      <c r="R3818" s="108"/>
      <c r="S3818" s="108"/>
      <c r="T3818" s="108"/>
      <c r="U3818" s="108" t="str">
        <f>IFERROR(VLOOKUP(CONCATENATE(Tabla1[[#This Row],[Severidad]]," ",Tabla1[[#This Row],[Complejidad]]),Catalogos!E$120:G$128,3,FALSE),"")</f>
        <v/>
      </c>
      <c r="V3818" s="108" t="str">
        <f>IF(Tabla1[[#This Row],[Tiempo solución max (hrs)]]&lt;&gt;"",IF(Tabla1[[#This Row],[Tiempo solución max (hrs)]]&gt;=Tabla1[[#This Row],[Tiempo
(Hrs 00/100)]],"cumple","no cumple"),"")</f>
        <v/>
      </c>
      <c r="W3818" s="17"/>
      <c r="X3818" s="18">
        <f t="shared" si="249"/>
        <v>0</v>
      </c>
      <c r="Y3818" t="str">
        <f>SUBSTITUTE(Tabla1[[#This Row],[Descripción]],CHAR(10),"    I    ")</f>
        <v/>
      </c>
      <c r="Z3818" s="112" t="e">
        <f>VLOOKUP(Tabla1[[#This Row],[Perfil]],Catalogos!$B$75:$D$100,3,FALSE)*Tabla1[[#This Row],[Tiempo
(Hrs 00/100)]]*1.16</f>
        <v>#N/A</v>
      </c>
    </row>
    <row r="3819" spans="1:26" ht="30" customHeight="1" x14ac:dyDescent="0.3">
      <c r="A3819" s="106"/>
      <c r="B3819" s="106"/>
      <c r="C3819" s="106"/>
      <c r="D3819" s="106"/>
      <c r="E3819" s="106"/>
      <c r="F3819" s="106"/>
      <c r="G3819" s="106"/>
      <c r="H3819" s="107"/>
      <c r="I3819" s="95"/>
      <c r="J3819" s="706"/>
      <c r="K3819" s="769"/>
      <c r="L3819" s="706"/>
      <c r="M3819" s="781"/>
      <c r="N3819" s="182"/>
      <c r="O3819" s="188"/>
      <c r="P3819" s="221"/>
      <c r="Q3819" s="106"/>
      <c r="R3819" s="108"/>
      <c r="S3819" s="108"/>
      <c r="T3819" s="108"/>
      <c r="U3819" s="108" t="str">
        <f>IFERROR(VLOOKUP(CONCATENATE(Tabla1[[#This Row],[Severidad]]," ",Tabla1[[#This Row],[Complejidad]]),Catalogos!E$120:G$128,3,FALSE),"")</f>
        <v/>
      </c>
      <c r="V3819" s="108" t="str">
        <f>IF(Tabla1[[#This Row],[Tiempo solución max (hrs)]]&lt;&gt;"",IF(Tabla1[[#This Row],[Tiempo solución max (hrs)]]&gt;=Tabla1[[#This Row],[Tiempo
(Hrs 00/100)]],"cumple","no cumple"),"")</f>
        <v/>
      </c>
      <c r="W3819" s="17"/>
      <c r="X3819" s="18">
        <f t="shared" si="249"/>
        <v>0</v>
      </c>
      <c r="Y3819" t="str">
        <f>SUBSTITUTE(Tabla1[[#This Row],[Descripción]],CHAR(10),"    I    ")</f>
        <v/>
      </c>
      <c r="Z3819" s="112" t="e">
        <f>VLOOKUP(Tabla1[[#This Row],[Perfil]],Catalogos!$B$75:$D$100,3,FALSE)*Tabla1[[#This Row],[Tiempo
(Hrs 00/100)]]*1.16</f>
        <v>#N/A</v>
      </c>
    </row>
    <row r="3820" spans="1:26" ht="30" customHeight="1" x14ac:dyDescent="0.3">
      <c r="A3820" s="106"/>
      <c r="B3820" s="106"/>
      <c r="C3820" s="106"/>
      <c r="D3820" s="106"/>
      <c r="E3820" s="106"/>
      <c r="F3820" s="106"/>
      <c r="G3820" s="106"/>
      <c r="H3820" s="107"/>
      <c r="I3820" s="95"/>
      <c r="J3820" s="706"/>
      <c r="K3820" s="769"/>
      <c r="L3820" s="706"/>
      <c r="M3820" s="781"/>
      <c r="N3820" s="182"/>
      <c r="O3820" s="188"/>
      <c r="P3820" s="221"/>
      <c r="Q3820" s="106"/>
      <c r="R3820" s="108"/>
      <c r="S3820" s="108"/>
      <c r="T3820" s="108"/>
      <c r="U3820" s="108" t="str">
        <f>IFERROR(VLOOKUP(CONCATENATE(Tabla1[[#This Row],[Severidad]]," ",Tabla1[[#This Row],[Complejidad]]),Catalogos!E$120:G$128,3,FALSE),"")</f>
        <v/>
      </c>
      <c r="V3820" s="108" t="str">
        <f>IF(Tabla1[[#This Row],[Tiempo solución max (hrs)]]&lt;&gt;"",IF(Tabla1[[#This Row],[Tiempo solución max (hrs)]]&gt;=Tabla1[[#This Row],[Tiempo
(Hrs 00/100)]],"cumple","no cumple"),"")</f>
        <v/>
      </c>
      <c r="W3820" s="17"/>
      <c r="X3820" s="18">
        <f t="shared" si="249"/>
        <v>0</v>
      </c>
      <c r="Y3820" t="str">
        <f>SUBSTITUTE(Tabla1[[#This Row],[Descripción]],CHAR(10),"    I    ")</f>
        <v/>
      </c>
      <c r="Z3820" s="112" t="e">
        <f>VLOOKUP(Tabla1[[#This Row],[Perfil]],Catalogos!$B$75:$D$100,3,FALSE)*Tabla1[[#This Row],[Tiempo
(Hrs 00/100)]]*1.16</f>
        <v>#N/A</v>
      </c>
    </row>
    <row r="3821" spans="1:26" ht="30" customHeight="1" x14ac:dyDescent="0.3">
      <c r="A3821" s="106"/>
      <c r="B3821" s="106"/>
      <c r="C3821" s="106"/>
      <c r="D3821" s="106"/>
      <c r="E3821" s="106"/>
      <c r="F3821" s="106"/>
      <c r="G3821" s="106"/>
      <c r="H3821" s="107"/>
      <c r="I3821" s="95"/>
      <c r="J3821" s="706"/>
      <c r="K3821" s="769"/>
      <c r="L3821" s="706"/>
      <c r="M3821" s="781"/>
      <c r="N3821" s="182"/>
      <c r="O3821" s="188"/>
      <c r="P3821" s="221"/>
      <c r="Q3821" s="106"/>
      <c r="R3821" s="108"/>
      <c r="S3821" s="108"/>
      <c r="T3821" s="108"/>
      <c r="U3821" s="108" t="str">
        <f>IFERROR(VLOOKUP(CONCATENATE(Tabla1[[#This Row],[Severidad]]," ",Tabla1[[#This Row],[Complejidad]]),Catalogos!E$120:G$128,3,FALSE),"")</f>
        <v/>
      </c>
      <c r="V3821" s="108" t="str">
        <f>IF(Tabla1[[#This Row],[Tiempo solución max (hrs)]]&lt;&gt;"",IF(Tabla1[[#This Row],[Tiempo solución max (hrs)]]&gt;=Tabla1[[#This Row],[Tiempo
(Hrs 00/100)]],"cumple","no cumple"),"")</f>
        <v/>
      </c>
      <c r="W3821" s="17"/>
      <c r="X3821" s="18">
        <f t="shared" si="249"/>
        <v>0</v>
      </c>
      <c r="Y3821" t="str">
        <f>SUBSTITUTE(Tabla1[[#This Row],[Descripción]],CHAR(10),"    I    ")</f>
        <v/>
      </c>
      <c r="Z3821" s="112" t="e">
        <f>VLOOKUP(Tabla1[[#This Row],[Perfil]],Catalogos!$B$75:$D$100,3,FALSE)*Tabla1[[#This Row],[Tiempo
(Hrs 00/100)]]*1.16</f>
        <v>#N/A</v>
      </c>
    </row>
    <row r="3822" spans="1:26" ht="30" customHeight="1" x14ac:dyDescent="0.3">
      <c r="A3822" s="106"/>
      <c r="B3822" s="106"/>
      <c r="C3822" s="106"/>
      <c r="D3822" s="106"/>
      <c r="E3822" s="106"/>
      <c r="F3822" s="106"/>
      <c r="G3822" s="106"/>
      <c r="H3822" s="107"/>
      <c r="I3822" s="95"/>
      <c r="J3822" s="706"/>
      <c r="K3822" s="769"/>
      <c r="L3822" s="706"/>
      <c r="M3822" s="781"/>
      <c r="N3822" s="182"/>
      <c r="O3822" s="188"/>
      <c r="P3822" s="221"/>
      <c r="Q3822" s="106"/>
      <c r="R3822" s="108"/>
      <c r="S3822" s="108"/>
      <c r="T3822" s="108"/>
      <c r="U3822" s="108" t="str">
        <f>IFERROR(VLOOKUP(CONCATENATE(Tabla1[[#This Row],[Severidad]]," ",Tabla1[[#This Row],[Complejidad]]),Catalogos!E$120:G$128,3,FALSE),"")</f>
        <v/>
      </c>
      <c r="V3822" s="108" t="str">
        <f>IF(Tabla1[[#This Row],[Tiempo solución max (hrs)]]&lt;&gt;"",IF(Tabla1[[#This Row],[Tiempo solución max (hrs)]]&gt;=Tabla1[[#This Row],[Tiempo
(Hrs 00/100)]],"cumple","no cumple"),"")</f>
        <v/>
      </c>
      <c r="W3822" s="17"/>
      <c r="X3822" s="18">
        <f t="shared" si="249"/>
        <v>0</v>
      </c>
      <c r="Y3822" t="str">
        <f>SUBSTITUTE(Tabla1[[#This Row],[Descripción]],CHAR(10),"    I    ")</f>
        <v/>
      </c>
      <c r="Z3822" s="112" t="e">
        <f>VLOOKUP(Tabla1[[#This Row],[Perfil]],Catalogos!$B$75:$D$100,3,FALSE)*Tabla1[[#This Row],[Tiempo
(Hrs 00/100)]]*1.16</f>
        <v>#N/A</v>
      </c>
    </row>
    <row r="3823" spans="1:26" ht="30" customHeight="1" x14ac:dyDescent="0.3">
      <c r="A3823" s="106"/>
      <c r="B3823" s="106"/>
      <c r="C3823" s="106"/>
      <c r="D3823" s="106"/>
      <c r="E3823" s="106"/>
      <c r="F3823" s="106"/>
      <c r="G3823" s="106"/>
      <c r="H3823" s="107"/>
      <c r="I3823" s="95"/>
      <c r="J3823" s="706"/>
      <c r="K3823" s="769"/>
      <c r="L3823" s="706"/>
      <c r="M3823" s="781"/>
      <c r="N3823" s="182"/>
      <c r="O3823" s="188"/>
      <c r="P3823" s="221"/>
      <c r="Q3823" s="106"/>
      <c r="R3823" s="108"/>
      <c r="S3823" s="108"/>
      <c r="T3823" s="108"/>
      <c r="U3823" s="108" t="str">
        <f>IFERROR(VLOOKUP(CONCATENATE(Tabla1[[#This Row],[Severidad]]," ",Tabla1[[#This Row],[Complejidad]]),Catalogos!E$120:G$128,3,FALSE),"")</f>
        <v/>
      </c>
      <c r="V3823" s="108" t="str">
        <f>IF(Tabla1[[#This Row],[Tiempo solución max (hrs)]]&lt;&gt;"",IF(Tabla1[[#This Row],[Tiempo solución max (hrs)]]&gt;=Tabla1[[#This Row],[Tiempo
(Hrs 00/100)]],"cumple","no cumple"),"")</f>
        <v/>
      </c>
      <c r="W3823" s="17"/>
      <c r="X3823" s="18">
        <f t="shared" si="249"/>
        <v>0</v>
      </c>
      <c r="Y3823" t="str">
        <f>SUBSTITUTE(Tabla1[[#This Row],[Descripción]],CHAR(10),"    I    ")</f>
        <v/>
      </c>
      <c r="Z3823" s="112" t="e">
        <f>VLOOKUP(Tabla1[[#This Row],[Perfil]],Catalogos!$B$75:$D$100,3,FALSE)*Tabla1[[#This Row],[Tiempo
(Hrs 00/100)]]*1.16</f>
        <v>#N/A</v>
      </c>
    </row>
    <row r="3824" spans="1:26" ht="30" customHeight="1" x14ac:dyDescent="0.3">
      <c r="A3824" s="106"/>
      <c r="B3824" s="106"/>
      <c r="C3824" s="106"/>
      <c r="D3824" s="106"/>
      <c r="E3824" s="106"/>
      <c r="F3824" s="106"/>
      <c r="G3824" s="106"/>
      <c r="H3824" s="107"/>
      <c r="I3824" s="95"/>
      <c r="J3824" s="706"/>
      <c r="K3824" s="769"/>
      <c r="L3824" s="706"/>
      <c r="M3824" s="781"/>
      <c r="N3824" s="182"/>
      <c r="O3824" s="188"/>
      <c r="P3824" s="221"/>
      <c r="Q3824" s="106"/>
      <c r="R3824" s="108"/>
      <c r="S3824" s="108"/>
      <c r="T3824" s="108"/>
      <c r="U3824" s="108" t="str">
        <f>IFERROR(VLOOKUP(CONCATENATE(Tabla1[[#This Row],[Severidad]]," ",Tabla1[[#This Row],[Complejidad]]),Catalogos!E$120:G$128,3,FALSE),"")</f>
        <v/>
      </c>
      <c r="V3824" s="108" t="str">
        <f>IF(Tabla1[[#This Row],[Tiempo solución max (hrs)]]&lt;&gt;"",IF(Tabla1[[#This Row],[Tiempo solución max (hrs)]]&gt;=Tabla1[[#This Row],[Tiempo
(Hrs 00/100)]],"cumple","no cumple"),"")</f>
        <v/>
      </c>
      <c r="W3824" s="17"/>
      <c r="X3824" s="18">
        <f t="shared" si="249"/>
        <v>0</v>
      </c>
      <c r="Y3824" t="str">
        <f>SUBSTITUTE(Tabla1[[#This Row],[Descripción]],CHAR(10),"    I    ")</f>
        <v/>
      </c>
      <c r="Z3824" s="112" t="e">
        <f>VLOOKUP(Tabla1[[#This Row],[Perfil]],Catalogos!$B$75:$D$100,3,FALSE)*Tabla1[[#This Row],[Tiempo
(Hrs 00/100)]]*1.16</f>
        <v>#N/A</v>
      </c>
    </row>
    <row r="3825" spans="1:26" ht="30" customHeight="1" x14ac:dyDescent="0.3">
      <c r="A3825" s="106"/>
      <c r="B3825" s="106"/>
      <c r="C3825" s="106"/>
      <c r="D3825" s="106"/>
      <c r="E3825" s="106"/>
      <c r="F3825" s="106"/>
      <c r="G3825" s="106"/>
      <c r="H3825" s="107"/>
      <c r="I3825" s="95"/>
      <c r="J3825" s="706"/>
      <c r="K3825" s="769"/>
      <c r="L3825" s="706"/>
      <c r="M3825" s="781"/>
      <c r="N3825" s="182"/>
      <c r="O3825" s="188"/>
      <c r="P3825" s="221"/>
      <c r="Q3825" s="106"/>
      <c r="R3825" s="108"/>
      <c r="S3825" s="108"/>
      <c r="T3825" s="108"/>
      <c r="U3825" s="108" t="str">
        <f>IFERROR(VLOOKUP(CONCATENATE(Tabla1[[#This Row],[Severidad]]," ",Tabla1[[#This Row],[Complejidad]]),Catalogos!E$120:G$128,3,FALSE),"")</f>
        <v/>
      </c>
      <c r="V3825" s="108" t="str">
        <f>IF(Tabla1[[#This Row],[Tiempo solución max (hrs)]]&lt;&gt;"",IF(Tabla1[[#This Row],[Tiempo solución max (hrs)]]&gt;=Tabla1[[#This Row],[Tiempo
(Hrs 00/100)]],"cumple","no cumple"),"")</f>
        <v/>
      </c>
      <c r="W3825" s="17"/>
      <c r="X3825" s="18">
        <f t="shared" si="249"/>
        <v>0</v>
      </c>
      <c r="Y3825" t="str">
        <f>SUBSTITUTE(Tabla1[[#This Row],[Descripción]],CHAR(10),"    I    ")</f>
        <v/>
      </c>
      <c r="Z3825" s="112" t="e">
        <f>VLOOKUP(Tabla1[[#This Row],[Perfil]],Catalogos!$B$75:$D$100,3,FALSE)*Tabla1[[#This Row],[Tiempo
(Hrs 00/100)]]*1.16</f>
        <v>#N/A</v>
      </c>
    </row>
    <row r="3826" spans="1:26" ht="30" customHeight="1" x14ac:dyDescent="0.3">
      <c r="A3826" s="106"/>
      <c r="B3826" s="106"/>
      <c r="C3826" s="106"/>
      <c r="D3826" s="106"/>
      <c r="E3826" s="106"/>
      <c r="F3826" s="106"/>
      <c r="G3826" s="106"/>
      <c r="H3826" s="107"/>
      <c r="I3826" s="95"/>
      <c r="J3826" s="706"/>
      <c r="K3826" s="769"/>
      <c r="L3826" s="706"/>
      <c r="M3826" s="781"/>
      <c r="N3826" s="182"/>
      <c r="O3826" s="188"/>
      <c r="P3826" s="221"/>
      <c r="Q3826" s="106"/>
      <c r="R3826" s="108"/>
      <c r="S3826" s="108"/>
      <c r="T3826" s="108"/>
      <c r="U3826" s="108" t="str">
        <f>IFERROR(VLOOKUP(CONCATENATE(Tabla1[[#This Row],[Severidad]]," ",Tabla1[[#This Row],[Complejidad]]),Catalogos!E$120:G$128,3,FALSE),"")</f>
        <v/>
      </c>
      <c r="V3826" s="108" t="str">
        <f>IF(Tabla1[[#This Row],[Tiempo solución max (hrs)]]&lt;&gt;"",IF(Tabla1[[#This Row],[Tiempo solución max (hrs)]]&gt;=Tabla1[[#This Row],[Tiempo
(Hrs 00/100)]],"cumple","no cumple"),"")</f>
        <v/>
      </c>
      <c r="W3826" s="17"/>
      <c r="X3826" s="18">
        <f t="shared" si="249"/>
        <v>0</v>
      </c>
      <c r="Y3826" t="str">
        <f>SUBSTITUTE(Tabla1[[#This Row],[Descripción]],CHAR(10),"    I    ")</f>
        <v/>
      </c>
      <c r="Z3826" s="112" t="e">
        <f>VLOOKUP(Tabla1[[#This Row],[Perfil]],Catalogos!$B$75:$D$100,3,FALSE)*Tabla1[[#This Row],[Tiempo
(Hrs 00/100)]]*1.16</f>
        <v>#N/A</v>
      </c>
    </row>
    <row r="3827" spans="1:26" ht="30" customHeight="1" x14ac:dyDescent="0.3">
      <c r="A3827" s="106"/>
      <c r="B3827" s="106"/>
      <c r="C3827" s="106"/>
      <c r="D3827" s="106"/>
      <c r="E3827" s="106"/>
      <c r="F3827" s="106"/>
      <c r="G3827" s="106"/>
      <c r="H3827" s="107"/>
      <c r="I3827" s="95"/>
      <c r="J3827" s="706"/>
      <c r="K3827" s="769"/>
      <c r="L3827" s="706"/>
      <c r="M3827" s="781"/>
      <c r="N3827" s="182"/>
      <c r="O3827" s="188"/>
      <c r="P3827" s="221"/>
      <c r="Q3827" s="106"/>
      <c r="R3827" s="108"/>
      <c r="S3827" s="108"/>
      <c r="T3827" s="108"/>
      <c r="U3827" s="108" t="str">
        <f>IFERROR(VLOOKUP(CONCATENATE(Tabla1[[#This Row],[Severidad]]," ",Tabla1[[#This Row],[Complejidad]]),Catalogos!E$120:G$128,3,FALSE),"")</f>
        <v/>
      </c>
      <c r="V3827" s="108" t="str">
        <f>IF(Tabla1[[#This Row],[Tiempo solución max (hrs)]]&lt;&gt;"",IF(Tabla1[[#This Row],[Tiempo solución max (hrs)]]&gt;=Tabla1[[#This Row],[Tiempo
(Hrs 00/100)]],"cumple","no cumple"),"")</f>
        <v/>
      </c>
      <c r="W3827" s="17"/>
      <c r="X3827" s="18">
        <f t="shared" si="249"/>
        <v>0</v>
      </c>
      <c r="Y3827" t="str">
        <f>SUBSTITUTE(Tabla1[[#This Row],[Descripción]],CHAR(10),"    I    ")</f>
        <v/>
      </c>
      <c r="Z3827" s="112" t="e">
        <f>VLOOKUP(Tabla1[[#This Row],[Perfil]],Catalogos!$B$75:$D$100,3,FALSE)*Tabla1[[#This Row],[Tiempo
(Hrs 00/100)]]*1.16</f>
        <v>#N/A</v>
      </c>
    </row>
    <row r="3828" spans="1:26" ht="30" customHeight="1" x14ac:dyDescent="0.3">
      <c r="A3828" s="106"/>
      <c r="B3828" s="106"/>
      <c r="C3828" s="106"/>
      <c r="D3828" s="106"/>
      <c r="E3828" s="106"/>
      <c r="F3828" s="106"/>
      <c r="G3828" s="106"/>
      <c r="H3828" s="107"/>
      <c r="I3828" s="95"/>
      <c r="J3828" s="706"/>
      <c r="K3828" s="769"/>
      <c r="L3828" s="706"/>
      <c r="M3828" s="781"/>
      <c r="N3828" s="182"/>
      <c r="O3828" s="188"/>
      <c r="P3828" s="221"/>
      <c r="Q3828" s="106"/>
      <c r="R3828" s="108"/>
      <c r="S3828" s="108"/>
      <c r="T3828" s="108"/>
      <c r="U3828" s="108" t="str">
        <f>IFERROR(VLOOKUP(CONCATENATE(Tabla1[[#This Row],[Severidad]]," ",Tabla1[[#This Row],[Complejidad]]),Catalogos!E$120:G$128,3,FALSE),"")</f>
        <v/>
      </c>
      <c r="V3828" s="108" t="str">
        <f>IF(Tabla1[[#This Row],[Tiempo solución max (hrs)]]&lt;&gt;"",IF(Tabla1[[#This Row],[Tiempo solución max (hrs)]]&gt;=Tabla1[[#This Row],[Tiempo
(Hrs 00/100)]],"cumple","no cumple"),"")</f>
        <v/>
      </c>
      <c r="W3828" s="17"/>
      <c r="X3828" s="18">
        <f t="shared" si="249"/>
        <v>0</v>
      </c>
      <c r="Y3828" t="str">
        <f>SUBSTITUTE(Tabla1[[#This Row],[Descripción]],CHAR(10),"    I    ")</f>
        <v/>
      </c>
      <c r="Z3828" s="112" t="e">
        <f>VLOOKUP(Tabla1[[#This Row],[Perfil]],Catalogos!$B$75:$D$100,3,FALSE)*Tabla1[[#This Row],[Tiempo
(Hrs 00/100)]]*1.16</f>
        <v>#N/A</v>
      </c>
    </row>
    <row r="3829" spans="1:26" ht="30" customHeight="1" x14ac:dyDescent="0.3">
      <c r="A3829" s="106"/>
      <c r="B3829" s="106"/>
      <c r="C3829" s="106"/>
      <c r="D3829" s="106"/>
      <c r="E3829" s="106"/>
      <c r="F3829" s="106"/>
      <c r="G3829" s="106"/>
      <c r="H3829" s="107"/>
      <c r="I3829" s="95"/>
      <c r="J3829" s="706"/>
      <c r="K3829" s="769"/>
      <c r="L3829" s="706"/>
      <c r="M3829" s="781"/>
      <c r="N3829" s="182"/>
      <c r="O3829" s="188"/>
      <c r="P3829" s="221"/>
      <c r="Q3829" s="106"/>
      <c r="R3829" s="108"/>
      <c r="S3829" s="108"/>
      <c r="T3829" s="108"/>
      <c r="U3829" s="108" t="str">
        <f>IFERROR(VLOOKUP(CONCATENATE(Tabla1[[#This Row],[Severidad]]," ",Tabla1[[#This Row],[Complejidad]]),Catalogos!E$120:G$128,3,FALSE),"")</f>
        <v/>
      </c>
      <c r="V3829" s="108" t="str">
        <f>IF(Tabla1[[#This Row],[Tiempo solución max (hrs)]]&lt;&gt;"",IF(Tabla1[[#This Row],[Tiempo solución max (hrs)]]&gt;=Tabla1[[#This Row],[Tiempo
(Hrs 00/100)]],"cumple","no cumple"),"")</f>
        <v/>
      </c>
      <c r="W3829" s="17"/>
      <c r="X3829" s="18">
        <f t="shared" si="249"/>
        <v>0</v>
      </c>
      <c r="Y3829" t="str">
        <f>SUBSTITUTE(Tabla1[[#This Row],[Descripción]],CHAR(10),"    I    ")</f>
        <v/>
      </c>
      <c r="Z3829" s="112" t="e">
        <f>VLOOKUP(Tabla1[[#This Row],[Perfil]],Catalogos!$B$75:$D$100,3,FALSE)*Tabla1[[#This Row],[Tiempo
(Hrs 00/100)]]*1.16</f>
        <v>#N/A</v>
      </c>
    </row>
    <row r="3830" spans="1:26" ht="30" customHeight="1" x14ac:dyDescent="0.3">
      <c r="A3830" s="106"/>
      <c r="B3830" s="106"/>
      <c r="C3830" s="106"/>
      <c r="D3830" s="106"/>
      <c r="E3830" s="106"/>
      <c r="F3830" s="106"/>
      <c r="G3830" s="106"/>
      <c r="H3830" s="107"/>
      <c r="I3830" s="95"/>
      <c r="J3830" s="706"/>
      <c r="K3830" s="769"/>
      <c r="L3830" s="706"/>
      <c r="M3830" s="781"/>
      <c r="N3830" s="182"/>
      <c r="O3830" s="188"/>
      <c r="P3830" s="221"/>
      <c r="Q3830" s="106"/>
      <c r="R3830" s="108"/>
      <c r="S3830" s="108"/>
      <c r="T3830" s="108"/>
      <c r="U3830" s="108" t="str">
        <f>IFERROR(VLOOKUP(CONCATENATE(Tabla1[[#This Row],[Severidad]]," ",Tabla1[[#This Row],[Complejidad]]),Catalogos!E$120:G$128,3,FALSE),"")</f>
        <v/>
      </c>
      <c r="V3830" s="108" t="str">
        <f>IF(Tabla1[[#This Row],[Tiempo solución max (hrs)]]&lt;&gt;"",IF(Tabla1[[#This Row],[Tiempo solución max (hrs)]]&gt;=Tabla1[[#This Row],[Tiempo
(Hrs 00/100)]],"cumple","no cumple"),"")</f>
        <v/>
      </c>
      <c r="W3830" s="17"/>
      <c r="X3830" s="18">
        <f t="shared" si="249"/>
        <v>0</v>
      </c>
      <c r="Y3830" t="str">
        <f>SUBSTITUTE(Tabla1[[#This Row],[Descripción]],CHAR(10),"    I    ")</f>
        <v/>
      </c>
      <c r="Z3830" s="112" t="e">
        <f>VLOOKUP(Tabla1[[#This Row],[Perfil]],Catalogos!$B$75:$D$100,3,FALSE)*Tabla1[[#This Row],[Tiempo
(Hrs 00/100)]]*1.16</f>
        <v>#N/A</v>
      </c>
    </row>
    <row r="3831" spans="1:26" ht="30" customHeight="1" x14ac:dyDescent="0.3">
      <c r="A3831" s="106"/>
      <c r="B3831" s="106"/>
      <c r="C3831" s="106"/>
      <c r="D3831" s="106"/>
      <c r="E3831" s="106"/>
      <c r="F3831" s="106"/>
      <c r="G3831" s="106"/>
      <c r="H3831" s="107"/>
      <c r="I3831" s="95"/>
      <c r="J3831" s="706"/>
      <c r="K3831" s="769"/>
      <c r="L3831" s="706"/>
      <c r="M3831" s="781"/>
      <c r="N3831" s="182"/>
      <c r="O3831" s="188"/>
      <c r="P3831" s="221"/>
      <c r="Q3831" s="106"/>
      <c r="R3831" s="108"/>
      <c r="S3831" s="108"/>
      <c r="T3831" s="108"/>
      <c r="U3831" s="108" t="str">
        <f>IFERROR(VLOOKUP(CONCATENATE(Tabla1[[#This Row],[Severidad]]," ",Tabla1[[#This Row],[Complejidad]]),Catalogos!E$120:G$128,3,FALSE),"")</f>
        <v/>
      </c>
      <c r="V3831" s="108" t="str">
        <f>IF(Tabla1[[#This Row],[Tiempo solución max (hrs)]]&lt;&gt;"",IF(Tabla1[[#This Row],[Tiempo solución max (hrs)]]&gt;=Tabla1[[#This Row],[Tiempo
(Hrs 00/100)]],"cumple","no cumple"),"")</f>
        <v/>
      </c>
      <c r="W3831" s="17"/>
      <c r="X3831" s="18">
        <f t="shared" si="249"/>
        <v>0</v>
      </c>
      <c r="Y3831" t="str">
        <f>SUBSTITUTE(Tabla1[[#This Row],[Descripción]],CHAR(10),"    I    ")</f>
        <v/>
      </c>
      <c r="Z3831" s="112" t="e">
        <f>VLOOKUP(Tabla1[[#This Row],[Perfil]],Catalogos!$B$75:$D$100,3,FALSE)*Tabla1[[#This Row],[Tiempo
(Hrs 00/100)]]*1.16</f>
        <v>#N/A</v>
      </c>
    </row>
    <row r="3832" spans="1:26" ht="30" customHeight="1" x14ac:dyDescent="0.3">
      <c r="A3832" s="106"/>
      <c r="B3832" s="106"/>
      <c r="C3832" s="106"/>
      <c r="D3832" s="106"/>
      <c r="E3832" s="106"/>
      <c r="F3832" s="106"/>
      <c r="G3832" s="106"/>
      <c r="H3832" s="107"/>
      <c r="I3832" s="95"/>
      <c r="J3832" s="706"/>
      <c r="K3832" s="769"/>
      <c r="L3832" s="706"/>
      <c r="M3832" s="781"/>
      <c r="N3832" s="182"/>
      <c r="O3832" s="188"/>
      <c r="P3832" s="221"/>
      <c r="Q3832" s="106"/>
      <c r="R3832" s="108"/>
      <c r="S3832" s="108"/>
      <c r="T3832" s="108"/>
      <c r="U3832" s="108" t="str">
        <f>IFERROR(VLOOKUP(CONCATENATE(Tabla1[[#This Row],[Severidad]]," ",Tabla1[[#This Row],[Complejidad]]),Catalogos!E$120:G$128,3,FALSE),"")</f>
        <v/>
      </c>
      <c r="V3832" s="108" t="str">
        <f>IF(Tabla1[[#This Row],[Tiempo solución max (hrs)]]&lt;&gt;"",IF(Tabla1[[#This Row],[Tiempo solución max (hrs)]]&gt;=Tabla1[[#This Row],[Tiempo
(Hrs 00/100)]],"cumple","no cumple"),"")</f>
        <v/>
      </c>
      <c r="W3832" s="17"/>
      <c r="X3832" s="18">
        <f t="shared" si="249"/>
        <v>0</v>
      </c>
      <c r="Y3832" t="str">
        <f>SUBSTITUTE(Tabla1[[#This Row],[Descripción]],CHAR(10),"    I    ")</f>
        <v/>
      </c>
      <c r="Z3832" s="112" t="e">
        <f>VLOOKUP(Tabla1[[#This Row],[Perfil]],Catalogos!$B$75:$D$100,3,FALSE)*Tabla1[[#This Row],[Tiempo
(Hrs 00/100)]]*1.16</f>
        <v>#N/A</v>
      </c>
    </row>
    <row r="3833" spans="1:26" ht="30" customHeight="1" x14ac:dyDescent="0.3">
      <c r="A3833" s="106"/>
      <c r="B3833" s="106"/>
      <c r="C3833" s="106"/>
      <c r="D3833" s="106"/>
      <c r="E3833" s="106"/>
      <c r="F3833" s="106"/>
      <c r="G3833" s="106"/>
      <c r="H3833" s="107"/>
      <c r="I3833" s="95"/>
      <c r="J3833" s="706"/>
      <c r="K3833" s="769"/>
      <c r="L3833" s="706"/>
      <c r="M3833" s="781"/>
      <c r="N3833" s="182"/>
      <c r="O3833" s="188"/>
      <c r="P3833" s="221"/>
      <c r="Q3833" s="106"/>
      <c r="R3833" s="108"/>
      <c r="S3833" s="108"/>
      <c r="T3833" s="108"/>
      <c r="U3833" s="108" t="str">
        <f>IFERROR(VLOOKUP(CONCATENATE(Tabla1[[#This Row],[Severidad]]," ",Tabla1[[#This Row],[Complejidad]]),Catalogos!E$120:G$128,3,FALSE),"")</f>
        <v/>
      </c>
      <c r="V3833" s="108" t="str">
        <f>IF(Tabla1[[#This Row],[Tiempo solución max (hrs)]]&lt;&gt;"",IF(Tabla1[[#This Row],[Tiempo solución max (hrs)]]&gt;=Tabla1[[#This Row],[Tiempo
(Hrs 00/100)]],"cumple","no cumple"),"")</f>
        <v/>
      </c>
      <c r="W3833" s="17"/>
      <c r="X3833" s="18">
        <f t="shared" si="249"/>
        <v>0</v>
      </c>
      <c r="Y3833" t="str">
        <f>SUBSTITUTE(Tabla1[[#This Row],[Descripción]],CHAR(10),"    I    ")</f>
        <v/>
      </c>
      <c r="Z3833" s="112" t="e">
        <f>VLOOKUP(Tabla1[[#This Row],[Perfil]],Catalogos!$B$75:$D$100,3,FALSE)*Tabla1[[#This Row],[Tiempo
(Hrs 00/100)]]*1.16</f>
        <v>#N/A</v>
      </c>
    </row>
    <row r="3834" spans="1:26" ht="30" customHeight="1" x14ac:dyDescent="0.3">
      <c r="A3834" s="106"/>
      <c r="B3834" s="106"/>
      <c r="C3834" s="106"/>
      <c r="D3834" s="106"/>
      <c r="E3834" s="106"/>
      <c r="F3834" s="106"/>
      <c r="G3834" s="106"/>
      <c r="H3834" s="107"/>
      <c r="I3834" s="95"/>
      <c r="J3834" s="706"/>
      <c r="K3834" s="769"/>
      <c r="L3834" s="706"/>
      <c r="M3834" s="781"/>
      <c r="N3834" s="182"/>
      <c r="O3834" s="188"/>
      <c r="P3834" s="221"/>
      <c r="Q3834" s="106"/>
      <c r="R3834" s="108"/>
      <c r="S3834" s="108"/>
      <c r="T3834" s="108"/>
      <c r="U3834" s="108" t="str">
        <f>IFERROR(VLOOKUP(CONCATENATE(Tabla1[[#This Row],[Severidad]]," ",Tabla1[[#This Row],[Complejidad]]),Catalogos!E$120:G$128,3,FALSE),"")</f>
        <v/>
      </c>
      <c r="V3834" s="108" t="str">
        <f>IF(Tabla1[[#This Row],[Tiempo solución max (hrs)]]&lt;&gt;"",IF(Tabla1[[#This Row],[Tiempo solución max (hrs)]]&gt;=Tabla1[[#This Row],[Tiempo
(Hrs 00/100)]],"cumple","no cumple"),"")</f>
        <v/>
      </c>
      <c r="W3834" s="17"/>
      <c r="X3834" s="18">
        <f t="shared" si="249"/>
        <v>0</v>
      </c>
      <c r="Y3834" t="str">
        <f>SUBSTITUTE(Tabla1[[#This Row],[Descripción]],CHAR(10),"    I    ")</f>
        <v/>
      </c>
      <c r="Z3834" s="112" t="e">
        <f>VLOOKUP(Tabla1[[#This Row],[Perfil]],Catalogos!$B$75:$D$100,3,FALSE)*Tabla1[[#This Row],[Tiempo
(Hrs 00/100)]]*1.16</f>
        <v>#N/A</v>
      </c>
    </row>
    <row r="3835" spans="1:26" ht="30" customHeight="1" x14ac:dyDescent="0.3">
      <c r="A3835" s="106"/>
      <c r="B3835" s="106"/>
      <c r="C3835" s="106"/>
      <c r="D3835" s="106"/>
      <c r="E3835" s="106"/>
      <c r="F3835" s="106"/>
      <c r="G3835" s="106"/>
      <c r="H3835" s="107"/>
      <c r="I3835" s="95"/>
      <c r="J3835" s="706"/>
      <c r="K3835" s="769"/>
      <c r="L3835" s="706"/>
      <c r="M3835" s="781"/>
      <c r="N3835" s="182"/>
      <c r="O3835" s="188"/>
      <c r="P3835" s="221"/>
      <c r="Q3835" s="106"/>
      <c r="R3835" s="108"/>
      <c r="S3835" s="108"/>
      <c r="T3835" s="108"/>
      <c r="U3835" s="108" t="str">
        <f>IFERROR(VLOOKUP(CONCATENATE(Tabla1[[#This Row],[Severidad]]," ",Tabla1[[#This Row],[Complejidad]]),Catalogos!E$120:G$128,3,FALSE),"")</f>
        <v/>
      </c>
      <c r="V3835" s="108" t="str">
        <f>IF(Tabla1[[#This Row],[Tiempo solución max (hrs)]]&lt;&gt;"",IF(Tabla1[[#This Row],[Tiempo solución max (hrs)]]&gt;=Tabla1[[#This Row],[Tiempo
(Hrs 00/100)]],"cumple","no cumple"),"")</f>
        <v/>
      </c>
      <c r="W3835" s="17"/>
      <c r="X3835" s="18">
        <f t="shared" si="249"/>
        <v>0</v>
      </c>
      <c r="Y3835" t="str">
        <f>SUBSTITUTE(Tabla1[[#This Row],[Descripción]],CHAR(10),"    I    ")</f>
        <v/>
      </c>
      <c r="Z3835" s="112" t="e">
        <f>VLOOKUP(Tabla1[[#This Row],[Perfil]],Catalogos!$B$75:$D$100,3,FALSE)*Tabla1[[#This Row],[Tiempo
(Hrs 00/100)]]*1.16</f>
        <v>#N/A</v>
      </c>
    </row>
    <row r="3836" spans="1:26" ht="30" customHeight="1" x14ac:dyDescent="0.3">
      <c r="A3836" s="106"/>
      <c r="B3836" s="106"/>
      <c r="C3836" s="106"/>
      <c r="D3836" s="106"/>
      <c r="E3836" s="106"/>
      <c r="F3836" s="106"/>
      <c r="G3836" s="106"/>
      <c r="H3836" s="107"/>
      <c r="I3836" s="95"/>
      <c r="J3836" s="706"/>
      <c r="K3836" s="769"/>
      <c r="L3836" s="706"/>
      <c r="M3836" s="781"/>
      <c r="N3836" s="182"/>
      <c r="O3836" s="188"/>
      <c r="P3836" s="221"/>
      <c r="Q3836" s="106"/>
      <c r="R3836" s="108"/>
      <c r="S3836" s="108"/>
      <c r="T3836" s="108"/>
      <c r="U3836" s="108" t="str">
        <f>IFERROR(VLOOKUP(CONCATENATE(Tabla1[[#This Row],[Severidad]]," ",Tabla1[[#This Row],[Complejidad]]),Catalogos!E$120:G$128,3,FALSE),"")</f>
        <v/>
      </c>
      <c r="V3836" s="108" t="str">
        <f>IF(Tabla1[[#This Row],[Tiempo solución max (hrs)]]&lt;&gt;"",IF(Tabla1[[#This Row],[Tiempo solución max (hrs)]]&gt;=Tabla1[[#This Row],[Tiempo
(Hrs 00/100)]],"cumple","no cumple"),"")</f>
        <v/>
      </c>
      <c r="W3836" s="17"/>
      <c r="X3836" s="18">
        <f t="shared" si="249"/>
        <v>0</v>
      </c>
      <c r="Y3836" t="str">
        <f>SUBSTITUTE(Tabla1[[#This Row],[Descripción]],CHAR(10),"    I    ")</f>
        <v/>
      </c>
      <c r="Z3836" s="112" t="e">
        <f>VLOOKUP(Tabla1[[#This Row],[Perfil]],Catalogos!$B$75:$D$100,3,FALSE)*Tabla1[[#This Row],[Tiempo
(Hrs 00/100)]]*1.16</f>
        <v>#N/A</v>
      </c>
    </row>
    <row r="3837" spans="1:26" ht="30" customHeight="1" x14ac:dyDescent="0.3">
      <c r="A3837" s="106"/>
      <c r="B3837" s="106"/>
      <c r="C3837" s="106"/>
      <c r="D3837" s="106"/>
      <c r="E3837" s="106"/>
      <c r="F3837" s="106"/>
      <c r="G3837" s="106"/>
      <c r="H3837" s="107"/>
      <c r="I3837" s="95"/>
      <c r="J3837" s="706"/>
      <c r="K3837" s="769"/>
      <c r="L3837" s="706"/>
      <c r="M3837" s="781"/>
      <c r="N3837" s="182"/>
      <c r="O3837" s="188"/>
      <c r="P3837" s="221"/>
      <c r="Q3837" s="106"/>
      <c r="R3837" s="108"/>
      <c r="S3837" s="108"/>
      <c r="T3837" s="108"/>
      <c r="U3837" s="108" t="str">
        <f>IFERROR(VLOOKUP(CONCATENATE(Tabla1[[#This Row],[Severidad]]," ",Tabla1[[#This Row],[Complejidad]]),Catalogos!E$120:G$128,3,FALSE),"")</f>
        <v/>
      </c>
      <c r="V3837" s="108" t="str">
        <f>IF(Tabla1[[#This Row],[Tiempo solución max (hrs)]]&lt;&gt;"",IF(Tabla1[[#This Row],[Tiempo solución max (hrs)]]&gt;=Tabla1[[#This Row],[Tiempo
(Hrs 00/100)]],"cumple","no cumple"),"")</f>
        <v/>
      </c>
      <c r="W3837" s="17"/>
      <c r="X3837" s="18">
        <f t="shared" si="249"/>
        <v>0</v>
      </c>
      <c r="Y3837" t="str">
        <f>SUBSTITUTE(Tabla1[[#This Row],[Descripción]],CHAR(10),"    I    ")</f>
        <v/>
      </c>
      <c r="Z3837" s="112" t="e">
        <f>VLOOKUP(Tabla1[[#This Row],[Perfil]],Catalogos!$B$75:$D$100,3,FALSE)*Tabla1[[#This Row],[Tiempo
(Hrs 00/100)]]*1.16</f>
        <v>#N/A</v>
      </c>
    </row>
    <row r="3838" spans="1:26" ht="30" customHeight="1" x14ac:dyDescent="0.3">
      <c r="A3838" s="106"/>
      <c r="B3838" s="106"/>
      <c r="C3838" s="106"/>
      <c r="D3838" s="106"/>
      <c r="E3838" s="106"/>
      <c r="F3838" s="106"/>
      <c r="G3838" s="106"/>
      <c r="H3838" s="107"/>
      <c r="I3838" s="95"/>
      <c r="J3838" s="706"/>
      <c r="K3838" s="769"/>
      <c r="L3838" s="706"/>
      <c r="M3838" s="781"/>
      <c r="N3838" s="182"/>
      <c r="O3838" s="188"/>
      <c r="P3838" s="221"/>
      <c r="Q3838" s="106"/>
      <c r="R3838" s="108"/>
      <c r="S3838" s="108"/>
      <c r="T3838" s="108"/>
      <c r="U3838" s="108" t="str">
        <f>IFERROR(VLOOKUP(CONCATENATE(Tabla1[[#This Row],[Severidad]]," ",Tabla1[[#This Row],[Complejidad]]),Catalogos!E$120:G$128,3,FALSE),"")</f>
        <v/>
      </c>
      <c r="V3838" s="108" t="str">
        <f>IF(Tabla1[[#This Row],[Tiempo solución max (hrs)]]&lt;&gt;"",IF(Tabla1[[#This Row],[Tiempo solución max (hrs)]]&gt;=Tabla1[[#This Row],[Tiempo
(Hrs 00/100)]],"cumple","no cumple"),"")</f>
        <v/>
      </c>
      <c r="W3838" s="17"/>
      <c r="X3838" s="18">
        <f t="shared" si="249"/>
        <v>0</v>
      </c>
      <c r="Y3838" t="str">
        <f>SUBSTITUTE(Tabla1[[#This Row],[Descripción]],CHAR(10),"    I    ")</f>
        <v/>
      </c>
      <c r="Z3838" s="112" t="e">
        <f>VLOOKUP(Tabla1[[#This Row],[Perfil]],Catalogos!$B$75:$D$100,3,FALSE)*Tabla1[[#This Row],[Tiempo
(Hrs 00/100)]]*1.16</f>
        <v>#N/A</v>
      </c>
    </row>
    <row r="3839" spans="1:26" ht="30" customHeight="1" x14ac:dyDescent="0.3">
      <c r="A3839" s="106"/>
      <c r="B3839" s="106"/>
      <c r="C3839" s="106"/>
      <c r="D3839" s="106"/>
      <c r="E3839" s="106"/>
      <c r="F3839" s="106"/>
      <c r="G3839" s="106"/>
      <c r="H3839" s="107"/>
      <c r="I3839" s="95"/>
      <c r="J3839" s="706"/>
      <c r="K3839" s="769"/>
      <c r="L3839" s="706"/>
      <c r="M3839" s="781"/>
      <c r="N3839" s="182"/>
      <c r="O3839" s="188"/>
      <c r="P3839" s="221"/>
      <c r="Q3839" s="106"/>
      <c r="R3839" s="108"/>
      <c r="S3839" s="108"/>
      <c r="T3839" s="108"/>
      <c r="U3839" s="108" t="str">
        <f>IFERROR(VLOOKUP(CONCATENATE(Tabla1[[#This Row],[Severidad]]," ",Tabla1[[#This Row],[Complejidad]]),Catalogos!E$120:G$128,3,FALSE),"")</f>
        <v/>
      </c>
      <c r="V3839" s="108" t="str">
        <f>IF(Tabla1[[#This Row],[Tiempo solución max (hrs)]]&lt;&gt;"",IF(Tabla1[[#This Row],[Tiempo solución max (hrs)]]&gt;=Tabla1[[#This Row],[Tiempo
(Hrs 00/100)]],"cumple","no cumple"),"")</f>
        <v/>
      </c>
      <c r="W3839" s="17"/>
      <c r="X3839" s="18">
        <f t="shared" si="249"/>
        <v>0</v>
      </c>
      <c r="Y3839" t="str">
        <f>SUBSTITUTE(Tabla1[[#This Row],[Descripción]],CHAR(10),"    I    ")</f>
        <v/>
      </c>
      <c r="Z3839" s="112" t="e">
        <f>VLOOKUP(Tabla1[[#This Row],[Perfil]],Catalogos!$B$75:$D$100,3,FALSE)*Tabla1[[#This Row],[Tiempo
(Hrs 00/100)]]*1.16</f>
        <v>#N/A</v>
      </c>
    </row>
    <row r="3840" spans="1:26" ht="30" customHeight="1" x14ac:dyDescent="0.3">
      <c r="A3840" s="106"/>
      <c r="B3840" s="106"/>
      <c r="C3840" s="106"/>
      <c r="D3840" s="106"/>
      <c r="E3840" s="106"/>
      <c r="F3840" s="106"/>
      <c r="G3840" s="106"/>
      <c r="H3840" s="107"/>
      <c r="I3840" s="95"/>
      <c r="J3840" s="706"/>
      <c r="K3840" s="769"/>
      <c r="L3840" s="706"/>
      <c r="M3840" s="781"/>
      <c r="N3840" s="182"/>
      <c r="O3840" s="188"/>
      <c r="P3840" s="221"/>
      <c r="Q3840" s="106"/>
      <c r="R3840" s="108"/>
      <c r="S3840" s="108"/>
      <c r="T3840" s="108"/>
      <c r="U3840" s="108" t="str">
        <f>IFERROR(VLOOKUP(CONCATENATE(Tabla1[[#This Row],[Severidad]]," ",Tabla1[[#This Row],[Complejidad]]),Catalogos!E$120:G$128,3,FALSE),"")</f>
        <v/>
      </c>
      <c r="V3840" s="108" t="str">
        <f>IF(Tabla1[[#This Row],[Tiempo solución max (hrs)]]&lt;&gt;"",IF(Tabla1[[#This Row],[Tiempo solución max (hrs)]]&gt;=Tabla1[[#This Row],[Tiempo
(Hrs 00/100)]],"cumple","no cumple"),"")</f>
        <v/>
      </c>
      <c r="W3840" s="17"/>
      <c r="X3840" s="18">
        <f t="shared" si="249"/>
        <v>0</v>
      </c>
      <c r="Y3840" t="str">
        <f>SUBSTITUTE(Tabla1[[#This Row],[Descripción]],CHAR(10),"    I    ")</f>
        <v/>
      </c>
      <c r="Z3840" s="112" t="e">
        <f>VLOOKUP(Tabla1[[#This Row],[Perfil]],Catalogos!$B$75:$D$100,3,FALSE)*Tabla1[[#This Row],[Tiempo
(Hrs 00/100)]]*1.16</f>
        <v>#N/A</v>
      </c>
    </row>
    <row r="3841" spans="1:26" ht="30" customHeight="1" x14ac:dyDescent="0.3">
      <c r="A3841" s="106"/>
      <c r="B3841" s="106"/>
      <c r="C3841" s="106"/>
      <c r="D3841" s="106"/>
      <c r="E3841" s="106"/>
      <c r="F3841" s="106"/>
      <c r="G3841" s="106"/>
      <c r="H3841" s="107"/>
      <c r="I3841" s="95"/>
      <c r="J3841" s="706"/>
      <c r="K3841" s="769"/>
      <c r="L3841" s="706"/>
      <c r="M3841" s="781"/>
      <c r="N3841" s="182"/>
      <c r="O3841" s="188"/>
      <c r="P3841" s="221"/>
      <c r="Q3841" s="106"/>
      <c r="R3841" s="108"/>
      <c r="S3841" s="108"/>
      <c r="T3841" s="108"/>
      <c r="U3841" s="108" t="str">
        <f>IFERROR(VLOOKUP(CONCATENATE(Tabla1[[#This Row],[Severidad]]," ",Tabla1[[#This Row],[Complejidad]]),Catalogos!E$120:G$128,3,FALSE),"")</f>
        <v/>
      </c>
      <c r="V3841" s="108" t="str">
        <f>IF(Tabla1[[#This Row],[Tiempo solución max (hrs)]]&lt;&gt;"",IF(Tabla1[[#This Row],[Tiempo solución max (hrs)]]&gt;=Tabla1[[#This Row],[Tiempo
(Hrs 00/100)]],"cumple","no cumple"),"")</f>
        <v/>
      </c>
      <c r="W3841" s="17"/>
      <c r="X3841" s="18">
        <f t="shared" si="249"/>
        <v>0</v>
      </c>
      <c r="Y3841" t="str">
        <f>SUBSTITUTE(Tabla1[[#This Row],[Descripción]],CHAR(10),"    I    ")</f>
        <v/>
      </c>
      <c r="Z3841" s="112" t="e">
        <f>VLOOKUP(Tabla1[[#This Row],[Perfil]],Catalogos!$B$75:$D$100,3,FALSE)*Tabla1[[#This Row],[Tiempo
(Hrs 00/100)]]*1.16</f>
        <v>#N/A</v>
      </c>
    </row>
    <row r="3842" spans="1:26" ht="30" customHeight="1" x14ac:dyDescent="0.3">
      <c r="A3842" s="106"/>
      <c r="B3842" s="106"/>
      <c r="C3842" s="106"/>
      <c r="D3842" s="106"/>
      <c r="E3842" s="106"/>
      <c r="F3842" s="106"/>
      <c r="G3842" s="106"/>
      <c r="H3842" s="107"/>
      <c r="I3842" s="95"/>
      <c r="J3842" s="706"/>
      <c r="K3842" s="769"/>
      <c r="L3842" s="706"/>
      <c r="M3842" s="781"/>
      <c r="N3842" s="182"/>
      <c r="O3842" s="188"/>
      <c r="P3842" s="221"/>
      <c r="Q3842" s="106"/>
      <c r="R3842" s="108"/>
      <c r="S3842" s="108"/>
      <c r="T3842" s="108"/>
      <c r="U3842" s="108" t="str">
        <f>IFERROR(VLOOKUP(CONCATENATE(Tabla1[[#This Row],[Severidad]]," ",Tabla1[[#This Row],[Complejidad]]),Catalogos!E$120:G$128,3,FALSE),"")</f>
        <v/>
      </c>
      <c r="V3842" s="108" t="str">
        <f>IF(Tabla1[[#This Row],[Tiempo solución max (hrs)]]&lt;&gt;"",IF(Tabla1[[#This Row],[Tiempo solución max (hrs)]]&gt;=Tabla1[[#This Row],[Tiempo
(Hrs 00/100)]],"cumple","no cumple"),"")</f>
        <v/>
      </c>
      <c r="W3842" s="17"/>
      <c r="X3842" s="18">
        <f t="shared" si="249"/>
        <v>0</v>
      </c>
      <c r="Y3842" t="str">
        <f>SUBSTITUTE(Tabla1[[#This Row],[Descripción]],CHAR(10),"    I    ")</f>
        <v/>
      </c>
      <c r="Z3842" s="112" t="e">
        <f>VLOOKUP(Tabla1[[#This Row],[Perfil]],Catalogos!$B$75:$D$100,3,FALSE)*Tabla1[[#This Row],[Tiempo
(Hrs 00/100)]]*1.16</f>
        <v>#N/A</v>
      </c>
    </row>
    <row r="3843" spans="1:26" ht="30" customHeight="1" x14ac:dyDescent="0.3">
      <c r="A3843" s="106"/>
      <c r="B3843" s="106"/>
      <c r="C3843" s="106"/>
      <c r="D3843" s="106"/>
      <c r="E3843" s="106"/>
      <c r="F3843" s="106"/>
      <c r="G3843" s="106"/>
      <c r="H3843" s="107"/>
      <c r="I3843" s="95"/>
      <c r="J3843" s="706"/>
      <c r="K3843" s="769"/>
      <c r="L3843" s="706"/>
      <c r="M3843" s="781"/>
      <c r="N3843" s="182"/>
      <c r="O3843" s="188"/>
      <c r="P3843" s="221"/>
      <c r="Q3843" s="106"/>
      <c r="R3843" s="108"/>
      <c r="S3843" s="108"/>
      <c r="T3843" s="108"/>
      <c r="U3843" s="108" t="str">
        <f>IFERROR(VLOOKUP(CONCATENATE(Tabla1[[#This Row],[Severidad]]," ",Tabla1[[#This Row],[Complejidad]]),Catalogos!E$120:G$128,3,FALSE),"")</f>
        <v/>
      </c>
      <c r="V3843" s="108" t="str">
        <f>IF(Tabla1[[#This Row],[Tiempo solución max (hrs)]]&lt;&gt;"",IF(Tabla1[[#This Row],[Tiempo solución max (hrs)]]&gt;=Tabla1[[#This Row],[Tiempo
(Hrs 00/100)]],"cumple","no cumple"),"")</f>
        <v/>
      </c>
      <c r="W3843" s="17"/>
      <c r="X3843" s="18">
        <f t="shared" ref="X3843:X3906" si="250">IF(C3843&lt;&gt;"",C3843,D3843)</f>
        <v>0</v>
      </c>
      <c r="Y3843" t="str">
        <f>SUBSTITUTE(Tabla1[[#This Row],[Descripción]],CHAR(10),"    I    ")</f>
        <v/>
      </c>
      <c r="Z3843" s="112" t="e">
        <f>VLOOKUP(Tabla1[[#This Row],[Perfil]],Catalogos!$B$75:$D$100,3,FALSE)*Tabla1[[#This Row],[Tiempo
(Hrs 00/100)]]*1.16</f>
        <v>#N/A</v>
      </c>
    </row>
    <row r="3844" spans="1:26" ht="30" customHeight="1" x14ac:dyDescent="0.3">
      <c r="A3844" s="106"/>
      <c r="B3844" s="106"/>
      <c r="C3844" s="106"/>
      <c r="D3844" s="106"/>
      <c r="E3844" s="106"/>
      <c r="F3844" s="106"/>
      <c r="G3844" s="106"/>
      <c r="H3844" s="107"/>
      <c r="I3844" s="95"/>
      <c r="J3844" s="706"/>
      <c r="K3844" s="769"/>
      <c r="L3844" s="706"/>
      <c r="M3844" s="781"/>
      <c r="N3844" s="182"/>
      <c r="O3844" s="188"/>
      <c r="P3844" s="221"/>
      <c r="Q3844" s="106"/>
      <c r="R3844" s="108"/>
      <c r="S3844" s="108"/>
      <c r="T3844" s="108"/>
      <c r="U3844" s="108" t="str">
        <f>IFERROR(VLOOKUP(CONCATENATE(Tabla1[[#This Row],[Severidad]]," ",Tabla1[[#This Row],[Complejidad]]),Catalogos!E$120:G$128,3,FALSE),"")</f>
        <v/>
      </c>
      <c r="V3844" s="108" t="str">
        <f>IF(Tabla1[[#This Row],[Tiempo solución max (hrs)]]&lt;&gt;"",IF(Tabla1[[#This Row],[Tiempo solución max (hrs)]]&gt;=Tabla1[[#This Row],[Tiempo
(Hrs 00/100)]],"cumple","no cumple"),"")</f>
        <v/>
      </c>
      <c r="W3844" s="17"/>
      <c r="X3844" s="18">
        <f t="shared" si="250"/>
        <v>0</v>
      </c>
      <c r="Y3844" t="str">
        <f>SUBSTITUTE(Tabla1[[#This Row],[Descripción]],CHAR(10),"    I    ")</f>
        <v/>
      </c>
      <c r="Z3844" s="112" t="e">
        <f>VLOOKUP(Tabla1[[#This Row],[Perfil]],Catalogos!$B$75:$D$100,3,FALSE)*Tabla1[[#This Row],[Tiempo
(Hrs 00/100)]]*1.16</f>
        <v>#N/A</v>
      </c>
    </row>
    <row r="3845" spans="1:26" ht="30" customHeight="1" x14ac:dyDescent="0.3">
      <c r="A3845" s="106"/>
      <c r="B3845" s="106"/>
      <c r="C3845" s="106"/>
      <c r="D3845" s="106"/>
      <c r="E3845" s="106"/>
      <c r="F3845" s="106"/>
      <c r="G3845" s="106"/>
      <c r="H3845" s="107"/>
      <c r="I3845" s="95"/>
      <c r="J3845" s="706"/>
      <c r="K3845" s="769"/>
      <c r="L3845" s="706"/>
      <c r="M3845" s="781"/>
      <c r="N3845" s="182"/>
      <c r="O3845" s="188"/>
      <c r="P3845" s="221"/>
      <c r="Q3845" s="106"/>
      <c r="R3845" s="108"/>
      <c r="S3845" s="108"/>
      <c r="T3845" s="108"/>
      <c r="U3845" s="108" t="str">
        <f>IFERROR(VLOOKUP(CONCATENATE(Tabla1[[#This Row],[Severidad]]," ",Tabla1[[#This Row],[Complejidad]]),Catalogos!E$120:G$128,3,FALSE),"")</f>
        <v/>
      </c>
      <c r="V3845" s="108" t="str">
        <f>IF(Tabla1[[#This Row],[Tiempo solución max (hrs)]]&lt;&gt;"",IF(Tabla1[[#This Row],[Tiempo solución max (hrs)]]&gt;=Tabla1[[#This Row],[Tiempo
(Hrs 00/100)]],"cumple","no cumple"),"")</f>
        <v/>
      </c>
      <c r="W3845" s="17"/>
      <c r="X3845" s="18">
        <f t="shared" si="250"/>
        <v>0</v>
      </c>
      <c r="Y3845" t="str">
        <f>SUBSTITUTE(Tabla1[[#This Row],[Descripción]],CHAR(10),"    I    ")</f>
        <v/>
      </c>
      <c r="Z3845" s="112" t="e">
        <f>VLOOKUP(Tabla1[[#This Row],[Perfil]],Catalogos!$B$75:$D$100,3,FALSE)*Tabla1[[#This Row],[Tiempo
(Hrs 00/100)]]*1.16</f>
        <v>#N/A</v>
      </c>
    </row>
    <row r="3846" spans="1:26" ht="30" customHeight="1" x14ac:dyDescent="0.3">
      <c r="A3846" s="106"/>
      <c r="B3846" s="106"/>
      <c r="C3846" s="106"/>
      <c r="D3846" s="106"/>
      <c r="E3846" s="106"/>
      <c r="F3846" s="106"/>
      <c r="G3846" s="106"/>
      <c r="H3846" s="107"/>
      <c r="I3846" s="95"/>
      <c r="J3846" s="706"/>
      <c r="K3846" s="769"/>
      <c r="L3846" s="706"/>
      <c r="M3846" s="781"/>
      <c r="N3846" s="182"/>
      <c r="O3846" s="188"/>
      <c r="P3846" s="221"/>
      <c r="Q3846" s="106"/>
      <c r="R3846" s="108"/>
      <c r="S3846" s="108"/>
      <c r="T3846" s="108"/>
      <c r="U3846" s="108" t="str">
        <f>IFERROR(VLOOKUP(CONCATENATE(Tabla1[[#This Row],[Severidad]]," ",Tabla1[[#This Row],[Complejidad]]),Catalogos!E$120:G$128,3,FALSE),"")</f>
        <v/>
      </c>
      <c r="V3846" s="108" t="str">
        <f>IF(Tabla1[[#This Row],[Tiempo solución max (hrs)]]&lt;&gt;"",IF(Tabla1[[#This Row],[Tiempo solución max (hrs)]]&gt;=Tabla1[[#This Row],[Tiempo
(Hrs 00/100)]],"cumple","no cumple"),"")</f>
        <v/>
      </c>
      <c r="W3846" s="17"/>
      <c r="X3846" s="18">
        <f t="shared" si="250"/>
        <v>0</v>
      </c>
      <c r="Y3846" t="str">
        <f>SUBSTITUTE(Tabla1[[#This Row],[Descripción]],CHAR(10),"    I    ")</f>
        <v/>
      </c>
      <c r="Z3846" s="112" t="e">
        <f>VLOOKUP(Tabla1[[#This Row],[Perfil]],Catalogos!$B$75:$D$100,3,FALSE)*Tabla1[[#This Row],[Tiempo
(Hrs 00/100)]]*1.16</f>
        <v>#N/A</v>
      </c>
    </row>
    <row r="3847" spans="1:26" ht="30" customHeight="1" x14ac:dyDescent="0.3">
      <c r="A3847" s="106"/>
      <c r="B3847" s="106"/>
      <c r="C3847" s="106"/>
      <c r="D3847" s="106"/>
      <c r="E3847" s="106"/>
      <c r="F3847" s="106"/>
      <c r="G3847" s="106"/>
      <c r="H3847" s="107"/>
      <c r="I3847" s="95"/>
      <c r="J3847" s="706"/>
      <c r="K3847" s="769"/>
      <c r="L3847" s="706"/>
      <c r="M3847" s="781"/>
      <c r="N3847" s="182"/>
      <c r="O3847" s="188"/>
      <c r="P3847" s="221"/>
      <c r="Q3847" s="106"/>
      <c r="R3847" s="108"/>
      <c r="S3847" s="108"/>
      <c r="T3847" s="108"/>
      <c r="U3847" s="108" t="str">
        <f>IFERROR(VLOOKUP(CONCATENATE(Tabla1[[#This Row],[Severidad]]," ",Tabla1[[#This Row],[Complejidad]]),Catalogos!E$120:G$128,3,FALSE),"")</f>
        <v/>
      </c>
      <c r="V3847" s="108" t="str">
        <f>IF(Tabla1[[#This Row],[Tiempo solución max (hrs)]]&lt;&gt;"",IF(Tabla1[[#This Row],[Tiempo solución max (hrs)]]&gt;=Tabla1[[#This Row],[Tiempo
(Hrs 00/100)]],"cumple","no cumple"),"")</f>
        <v/>
      </c>
      <c r="W3847" s="17"/>
      <c r="X3847" s="18">
        <f t="shared" si="250"/>
        <v>0</v>
      </c>
      <c r="Y3847" t="str">
        <f>SUBSTITUTE(Tabla1[[#This Row],[Descripción]],CHAR(10),"    I    ")</f>
        <v/>
      </c>
      <c r="Z3847" s="112" t="e">
        <f>VLOOKUP(Tabla1[[#This Row],[Perfil]],Catalogos!$B$75:$D$100,3,FALSE)*Tabla1[[#This Row],[Tiempo
(Hrs 00/100)]]*1.16</f>
        <v>#N/A</v>
      </c>
    </row>
    <row r="3848" spans="1:26" ht="30" customHeight="1" x14ac:dyDescent="0.3">
      <c r="A3848" s="106"/>
      <c r="B3848" s="106"/>
      <c r="C3848" s="106"/>
      <c r="D3848" s="106"/>
      <c r="E3848" s="106"/>
      <c r="F3848" s="106"/>
      <c r="G3848" s="106"/>
      <c r="H3848" s="107"/>
      <c r="I3848" s="95"/>
      <c r="J3848" s="706"/>
      <c r="K3848" s="769"/>
      <c r="L3848" s="706"/>
      <c r="M3848" s="781"/>
      <c r="N3848" s="182"/>
      <c r="O3848" s="188"/>
      <c r="P3848" s="221"/>
      <c r="Q3848" s="106"/>
      <c r="R3848" s="108"/>
      <c r="S3848" s="108"/>
      <c r="T3848" s="108"/>
      <c r="U3848" s="108" t="str">
        <f>IFERROR(VLOOKUP(CONCATENATE(Tabla1[[#This Row],[Severidad]]," ",Tabla1[[#This Row],[Complejidad]]),Catalogos!E$120:G$128,3,FALSE),"")</f>
        <v/>
      </c>
      <c r="V3848" s="108" t="str">
        <f>IF(Tabla1[[#This Row],[Tiempo solución max (hrs)]]&lt;&gt;"",IF(Tabla1[[#This Row],[Tiempo solución max (hrs)]]&gt;=Tabla1[[#This Row],[Tiempo
(Hrs 00/100)]],"cumple","no cumple"),"")</f>
        <v/>
      </c>
      <c r="W3848" s="17"/>
      <c r="X3848" s="18">
        <f t="shared" si="250"/>
        <v>0</v>
      </c>
      <c r="Y3848" t="str">
        <f>SUBSTITUTE(Tabla1[[#This Row],[Descripción]],CHAR(10),"    I    ")</f>
        <v/>
      </c>
      <c r="Z3848" s="112" t="e">
        <f>VLOOKUP(Tabla1[[#This Row],[Perfil]],Catalogos!$B$75:$D$100,3,FALSE)*Tabla1[[#This Row],[Tiempo
(Hrs 00/100)]]*1.16</f>
        <v>#N/A</v>
      </c>
    </row>
    <row r="3849" spans="1:26" ht="30" customHeight="1" x14ac:dyDescent="0.3">
      <c r="A3849" s="106"/>
      <c r="B3849" s="106"/>
      <c r="C3849" s="106"/>
      <c r="D3849" s="106"/>
      <c r="E3849" s="106"/>
      <c r="F3849" s="106"/>
      <c r="G3849" s="106"/>
      <c r="H3849" s="107"/>
      <c r="I3849" s="95"/>
      <c r="J3849" s="706"/>
      <c r="K3849" s="769"/>
      <c r="L3849" s="706"/>
      <c r="M3849" s="781"/>
      <c r="N3849" s="182"/>
      <c r="O3849" s="188"/>
      <c r="P3849" s="221"/>
      <c r="Q3849" s="106"/>
      <c r="R3849" s="108"/>
      <c r="S3849" s="108"/>
      <c r="T3849" s="108"/>
      <c r="U3849" s="108" t="str">
        <f>IFERROR(VLOOKUP(CONCATENATE(Tabla1[[#This Row],[Severidad]]," ",Tabla1[[#This Row],[Complejidad]]),Catalogos!E$120:G$128,3,FALSE),"")</f>
        <v/>
      </c>
      <c r="V3849" s="108" t="str">
        <f>IF(Tabla1[[#This Row],[Tiempo solución max (hrs)]]&lt;&gt;"",IF(Tabla1[[#This Row],[Tiempo solución max (hrs)]]&gt;=Tabla1[[#This Row],[Tiempo
(Hrs 00/100)]],"cumple","no cumple"),"")</f>
        <v/>
      </c>
      <c r="W3849" s="17"/>
      <c r="X3849" s="18">
        <f t="shared" si="250"/>
        <v>0</v>
      </c>
      <c r="Y3849" t="str">
        <f>SUBSTITUTE(Tabla1[[#This Row],[Descripción]],CHAR(10),"    I    ")</f>
        <v/>
      </c>
      <c r="Z3849" s="112" t="e">
        <f>VLOOKUP(Tabla1[[#This Row],[Perfil]],Catalogos!$B$75:$D$100,3,FALSE)*Tabla1[[#This Row],[Tiempo
(Hrs 00/100)]]*1.16</f>
        <v>#N/A</v>
      </c>
    </row>
    <row r="3850" spans="1:26" ht="30" customHeight="1" x14ac:dyDescent="0.3">
      <c r="A3850" s="106"/>
      <c r="B3850" s="106"/>
      <c r="C3850" s="106"/>
      <c r="D3850" s="106"/>
      <c r="E3850" s="106"/>
      <c r="F3850" s="106"/>
      <c r="G3850" s="106"/>
      <c r="H3850" s="107"/>
      <c r="I3850" s="95"/>
      <c r="J3850" s="706"/>
      <c r="K3850" s="769"/>
      <c r="L3850" s="706"/>
      <c r="M3850" s="781"/>
      <c r="N3850" s="182"/>
      <c r="O3850" s="188"/>
      <c r="P3850" s="221"/>
      <c r="Q3850" s="106"/>
      <c r="R3850" s="108"/>
      <c r="S3850" s="108"/>
      <c r="T3850" s="108"/>
      <c r="U3850" s="108" t="str">
        <f>IFERROR(VLOOKUP(CONCATENATE(Tabla1[[#This Row],[Severidad]]," ",Tabla1[[#This Row],[Complejidad]]),Catalogos!E$120:G$128,3,FALSE),"")</f>
        <v/>
      </c>
      <c r="V3850" s="108" t="str">
        <f>IF(Tabla1[[#This Row],[Tiempo solución max (hrs)]]&lt;&gt;"",IF(Tabla1[[#This Row],[Tiempo solución max (hrs)]]&gt;=Tabla1[[#This Row],[Tiempo
(Hrs 00/100)]],"cumple","no cumple"),"")</f>
        <v/>
      </c>
      <c r="W3850" s="17"/>
      <c r="X3850" s="18">
        <f t="shared" si="250"/>
        <v>0</v>
      </c>
      <c r="Y3850" t="str">
        <f>SUBSTITUTE(Tabla1[[#This Row],[Descripción]],CHAR(10),"    I    ")</f>
        <v/>
      </c>
      <c r="Z3850" s="112" t="e">
        <f>VLOOKUP(Tabla1[[#This Row],[Perfil]],Catalogos!$B$75:$D$100,3,FALSE)*Tabla1[[#This Row],[Tiempo
(Hrs 00/100)]]*1.16</f>
        <v>#N/A</v>
      </c>
    </row>
    <row r="3851" spans="1:26" ht="30" customHeight="1" x14ac:dyDescent="0.3">
      <c r="A3851" s="106"/>
      <c r="B3851" s="106"/>
      <c r="C3851" s="106"/>
      <c r="D3851" s="106"/>
      <c r="E3851" s="106"/>
      <c r="F3851" s="106"/>
      <c r="G3851" s="106"/>
      <c r="H3851" s="107"/>
      <c r="I3851" s="95"/>
      <c r="J3851" s="706"/>
      <c r="K3851" s="769"/>
      <c r="L3851" s="706"/>
      <c r="M3851" s="781"/>
      <c r="N3851" s="182"/>
      <c r="O3851" s="188"/>
      <c r="P3851" s="221"/>
      <c r="Q3851" s="106"/>
      <c r="R3851" s="108"/>
      <c r="S3851" s="108"/>
      <c r="T3851" s="108"/>
      <c r="U3851" s="108" t="str">
        <f>IFERROR(VLOOKUP(CONCATENATE(Tabla1[[#This Row],[Severidad]]," ",Tabla1[[#This Row],[Complejidad]]),Catalogos!E$120:G$128,3,FALSE),"")</f>
        <v/>
      </c>
      <c r="V3851" s="108" t="str">
        <f>IF(Tabla1[[#This Row],[Tiempo solución max (hrs)]]&lt;&gt;"",IF(Tabla1[[#This Row],[Tiempo solución max (hrs)]]&gt;=Tabla1[[#This Row],[Tiempo
(Hrs 00/100)]],"cumple","no cumple"),"")</f>
        <v/>
      </c>
      <c r="W3851" s="17"/>
      <c r="X3851" s="18">
        <f t="shared" si="250"/>
        <v>0</v>
      </c>
      <c r="Y3851" t="str">
        <f>SUBSTITUTE(Tabla1[[#This Row],[Descripción]],CHAR(10),"    I    ")</f>
        <v/>
      </c>
      <c r="Z3851" s="112" t="e">
        <f>VLOOKUP(Tabla1[[#This Row],[Perfil]],Catalogos!$B$75:$D$100,3,FALSE)*Tabla1[[#This Row],[Tiempo
(Hrs 00/100)]]*1.16</f>
        <v>#N/A</v>
      </c>
    </row>
    <row r="3852" spans="1:26" ht="30" customHeight="1" x14ac:dyDescent="0.3">
      <c r="A3852" s="106"/>
      <c r="B3852" s="106"/>
      <c r="C3852" s="106"/>
      <c r="D3852" s="106"/>
      <c r="E3852" s="106"/>
      <c r="F3852" s="106"/>
      <c r="G3852" s="106"/>
      <c r="H3852" s="107"/>
      <c r="I3852" s="95"/>
      <c r="J3852" s="706"/>
      <c r="K3852" s="769"/>
      <c r="L3852" s="706"/>
      <c r="M3852" s="781"/>
      <c r="N3852" s="182"/>
      <c r="O3852" s="188"/>
      <c r="P3852" s="221"/>
      <c r="Q3852" s="106"/>
      <c r="R3852" s="108"/>
      <c r="S3852" s="108"/>
      <c r="T3852" s="108"/>
      <c r="U3852" s="108" t="str">
        <f>IFERROR(VLOOKUP(CONCATENATE(Tabla1[[#This Row],[Severidad]]," ",Tabla1[[#This Row],[Complejidad]]),Catalogos!E$120:G$128,3,FALSE),"")</f>
        <v/>
      </c>
      <c r="V3852" s="108" t="str">
        <f>IF(Tabla1[[#This Row],[Tiempo solución max (hrs)]]&lt;&gt;"",IF(Tabla1[[#This Row],[Tiempo solución max (hrs)]]&gt;=Tabla1[[#This Row],[Tiempo
(Hrs 00/100)]],"cumple","no cumple"),"")</f>
        <v/>
      </c>
      <c r="W3852" s="17"/>
      <c r="X3852" s="18">
        <f t="shared" si="250"/>
        <v>0</v>
      </c>
      <c r="Y3852" t="str">
        <f>SUBSTITUTE(Tabla1[[#This Row],[Descripción]],CHAR(10),"    I    ")</f>
        <v/>
      </c>
      <c r="Z3852" s="112" t="e">
        <f>VLOOKUP(Tabla1[[#This Row],[Perfil]],Catalogos!$B$75:$D$100,3,FALSE)*Tabla1[[#This Row],[Tiempo
(Hrs 00/100)]]*1.16</f>
        <v>#N/A</v>
      </c>
    </row>
    <row r="3853" spans="1:26" ht="30" customHeight="1" x14ac:dyDescent="0.3">
      <c r="A3853" s="106"/>
      <c r="B3853" s="106"/>
      <c r="C3853" s="106"/>
      <c r="D3853" s="106"/>
      <c r="E3853" s="106"/>
      <c r="F3853" s="106"/>
      <c r="G3853" s="106"/>
      <c r="H3853" s="107"/>
      <c r="I3853" s="95"/>
      <c r="J3853" s="706"/>
      <c r="K3853" s="769"/>
      <c r="L3853" s="706"/>
      <c r="M3853" s="781"/>
      <c r="N3853" s="182"/>
      <c r="O3853" s="188"/>
      <c r="P3853" s="221"/>
      <c r="Q3853" s="106"/>
      <c r="R3853" s="108"/>
      <c r="S3853" s="108"/>
      <c r="T3853" s="108"/>
      <c r="U3853" s="108" t="str">
        <f>IFERROR(VLOOKUP(CONCATENATE(Tabla1[[#This Row],[Severidad]]," ",Tabla1[[#This Row],[Complejidad]]),Catalogos!E$120:G$128,3,FALSE),"")</f>
        <v/>
      </c>
      <c r="V3853" s="108" t="str">
        <f>IF(Tabla1[[#This Row],[Tiempo solución max (hrs)]]&lt;&gt;"",IF(Tabla1[[#This Row],[Tiempo solución max (hrs)]]&gt;=Tabla1[[#This Row],[Tiempo
(Hrs 00/100)]],"cumple","no cumple"),"")</f>
        <v/>
      </c>
      <c r="W3853" s="17"/>
      <c r="X3853" s="18">
        <f t="shared" si="250"/>
        <v>0</v>
      </c>
      <c r="Y3853" t="str">
        <f>SUBSTITUTE(Tabla1[[#This Row],[Descripción]],CHAR(10),"    I    ")</f>
        <v/>
      </c>
      <c r="Z3853" s="112" t="e">
        <f>VLOOKUP(Tabla1[[#This Row],[Perfil]],Catalogos!$B$75:$D$100,3,FALSE)*Tabla1[[#This Row],[Tiempo
(Hrs 00/100)]]*1.16</f>
        <v>#N/A</v>
      </c>
    </row>
    <row r="3854" spans="1:26" ht="30" customHeight="1" x14ac:dyDescent="0.3">
      <c r="A3854" s="106"/>
      <c r="B3854" s="106"/>
      <c r="C3854" s="106"/>
      <c r="D3854" s="106"/>
      <c r="E3854" s="106"/>
      <c r="F3854" s="106"/>
      <c r="G3854" s="106"/>
      <c r="H3854" s="107"/>
      <c r="I3854" s="95"/>
      <c r="J3854" s="706"/>
      <c r="K3854" s="769"/>
      <c r="L3854" s="706"/>
      <c r="M3854" s="781"/>
      <c r="N3854" s="182"/>
      <c r="O3854" s="188"/>
      <c r="P3854" s="221"/>
      <c r="Q3854" s="106"/>
      <c r="R3854" s="108"/>
      <c r="S3854" s="108"/>
      <c r="T3854" s="108"/>
      <c r="U3854" s="108" t="str">
        <f>IFERROR(VLOOKUP(CONCATENATE(Tabla1[[#This Row],[Severidad]]," ",Tabla1[[#This Row],[Complejidad]]),Catalogos!E$120:G$128,3,FALSE),"")</f>
        <v/>
      </c>
      <c r="V3854" s="108" t="str">
        <f>IF(Tabla1[[#This Row],[Tiempo solución max (hrs)]]&lt;&gt;"",IF(Tabla1[[#This Row],[Tiempo solución max (hrs)]]&gt;=Tabla1[[#This Row],[Tiempo
(Hrs 00/100)]],"cumple","no cumple"),"")</f>
        <v/>
      </c>
      <c r="W3854" s="17"/>
      <c r="X3854" s="18">
        <f t="shared" si="250"/>
        <v>0</v>
      </c>
      <c r="Y3854" t="str">
        <f>SUBSTITUTE(Tabla1[[#This Row],[Descripción]],CHAR(10),"    I    ")</f>
        <v/>
      </c>
      <c r="Z3854" s="112" t="e">
        <f>VLOOKUP(Tabla1[[#This Row],[Perfil]],Catalogos!$B$75:$D$100,3,FALSE)*Tabla1[[#This Row],[Tiempo
(Hrs 00/100)]]*1.16</f>
        <v>#N/A</v>
      </c>
    </row>
    <row r="3855" spans="1:26" ht="30" customHeight="1" x14ac:dyDescent="0.3">
      <c r="A3855" s="106"/>
      <c r="B3855" s="106"/>
      <c r="C3855" s="106"/>
      <c r="D3855" s="106"/>
      <c r="E3855" s="106"/>
      <c r="F3855" s="106"/>
      <c r="G3855" s="106"/>
      <c r="H3855" s="107"/>
      <c r="I3855" s="95"/>
      <c r="J3855" s="706"/>
      <c r="K3855" s="769"/>
      <c r="L3855" s="706"/>
      <c r="M3855" s="781"/>
      <c r="N3855" s="182"/>
      <c r="O3855" s="188"/>
      <c r="P3855" s="221"/>
      <c r="Q3855" s="106"/>
      <c r="R3855" s="108"/>
      <c r="S3855" s="108"/>
      <c r="T3855" s="108"/>
      <c r="U3855" s="108" t="str">
        <f>IFERROR(VLOOKUP(CONCATENATE(Tabla1[[#This Row],[Severidad]]," ",Tabla1[[#This Row],[Complejidad]]),Catalogos!E$120:G$128,3,FALSE),"")</f>
        <v/>
      </c>
      <c r="V3855" s="108" t="str">
        <f>IF(Tabla1[[#This Row],[Tiempo solución max (hrs)]]&lt;&gt;"",IF(Tabla1[[#This Row],[Tiempo solución max (hrs)]]&gt;=Tabla1[[#This Row],[Tiempo
(Hrs 00/100)]],"cumple","no cumple"),"")</f>
        <v/>
      </c>
      <c r="W3855" s="17"/>
      <c r="X3855" s="18">
        <f t="shared" si="250"/>
        <v>0</v>
      </c>
      <c r="Y3855" t="str">
        <f>SUBSTITUTE(Tabla1[[#This Row],[Descripción]],CHAR(10),"    I    ")</f>
        <v/>
      </c>
      <c r="Z3855" s="112" t="e">
        <f>VLOOKUP(Tabla1[[#This Row],[Perfil]],Catalogos!$B$75:$D$100,3,FALSE)*Tabla1[[#This Row],[Tiempo
(Hrs 00/100)]]*1.16</f>
        <v>#N/A</v>
      </c>
    </row>
    <row r="3856" spans="1:26" ht="30" customHeight="1" x14ac:dyDescent="0.3">
      <c r="A3856" s="106"/>
      <c r="B3856" s="106"/>
      <c r="C3856" s="106"/>
      <c r="D3856" s="106"/>
      <c r="E3856" s="106"/>
      <c r="F3856" s="106"/>
      <c r="G3856" s="106"/>
      <c r="H3856" s="107"/>
      <c r="I3856" s="95"/>
      <c r="J3856" s="706"/>
      <c r="K3856" s="769"/>
      <c r="L3856" s="706"/>
      <c r="M3856" s="781"/>
      <c r="N3856" s="182"/>
      <c r="O3856" s="188"/>
      <c r="P3856" s="221"/>
      <c r="Q3856" s="106"/>
      <c r="R3856" s="108"/>
      <c r="S3856" s="108"/>
      <c r="T3856" s="108"/>
      <c r="U3856" s="108" t="str">
        <f>IFERROR(VLOOKUP(CONCATENATE(Tabla1[[#This Row],[Severidad]]," ",Tabla1[[#This Row],[Complejidad]]),Catalogos!E$120:G$128,3,FALSE),"")</f>
        <v/>
      </c>
      <c r="V3856" s="108" t="str">
        <f>IF(Tabla1[[#This Row],[Tiempo solución max (hrs)]]&lt;&gt;"",IF(Tabla1[[#This Row],[Tiempo solución max (hrs)]]&gt;=Tabla1[[#This Row],[Tiempo
(Hrs 00/100)]],"cumple","no cumple"),"")</f>
        <v/>
      </c>
      <c r="W3856" s="17"/>
      <c r="X3856" s="18">
        <f t="shared" si="250"/>
        <v>0</v>
      </c>
      <c r="Y3856" t="str">
        <f>SUBSTITUTE(Tabla1[[#This Row],[Descripción]],CHAR(10),"    I    ")</f>
        <v/>
      </c>
      <c r="Z3856" s="112" t="e">
        <f>VLOOKUP(Tabla1[[#This Row],[Perfil]],Catalogos!$B$75:$D$100,3,FALSE)*Tabla1[[#This Row],[Tiempo
(Hrs 00/100)]]*1.16</f>
        <v>#N/A</v>
      </c>
    </row>
    <row r="3857" spans="1:26" ht="30" customHeight="1" x14ac:dyDescent="0.3">
      <c r="A3857" s="106"/>
      <c r="B3857" s="106"/>
      <c r="C3857" s="106"/>
      <c r="D3857" s="106"/>
      <c r="E3857" s="106"/>
      <c r="F3857" s="106"/>
      <c r="G3857" s="106"/>
      <c r="H3857" s="107"/>
      <c r="I3857" s="95"/>
      <c r="J3857" s="706"/>
      <c r="K3857" s="769"/>
      <c r="L3857" s="706"/>
      <c r="M3857" s="781"/>
      <c r="N3857" s="182"/>
      <c r="O3857" s="188"/>
      <c r="P3857" s="221"/>
      <c r="Q3857" s="106"/>
      <c r="R3857" s="108"/>
      <c r="S3857" s="108"/>
      <c r="T3857" s="108"/>
      <c r="U3857" s="108" t="str">
        <f>IFERROR(VLOOKUP(CONCATENATE(Tabla1[[#This Row],[Severidad]]," ",Tabla1[[#This Row],[Complejidad]]),Catalogos!E$120:G$128,3,FALSE),"")</f>
        <v/>
      </c>
      <c r="V3857" s="108" t="str">
        <f>IF(Tabla1[[#This Row],[Tiempo solución max (hrs)]]&lt;&gt;"",IF(Tabla1[[#This Row],[Tiempo solución max (hrs)]]&gt;=Tabla1[[#This Row],[Tiempo
(Hrs 00/100)]],"cumple","no cumple"),"")</f>
        <v/>
      </c>
      <c r="W3857" s="17"/>
      <c r="X3857" s="18">
        <f t="shared" si="250"/>
        <v>0</v>
      </c>
      <c r="Y3857" t="str">
        <f>SUBSTITUTE(Tabla1[[#This Row],[Descripción]],CHAR(10),"    I    ")</f>
        <v/>
      </c>
      <c r="Z3857" s="112" t="e">
        <f>VLOOKUP(Tabla1[[#This Row],[Perfil]],Catalogos!$B$75:$D$100,3,FALSE)*Tabla1[[#This Row],[Tiempo
(Hrs 00/100)]]*1.16</f>
        <v>#N/A</v>
      </c>
    </row>
    <row r="3858" spans="1:26" ht="30" customHeight="1" x14ac:dyDescent="0.3">
      <c r="A3858" s="106"/>
      <c r="B3858" s="106"/>
      <c r="C3858" s="106"/>
      <c r="D3858" s="106"/>
      <c r="E3858" s="106"/>
      <c r="F3858" s="106"/>
      <c r="G3858" s="106"/>
      <c r="H3858" s="107"/>
      <c r="I3858" s="95"/>
      <c r="J3858" s="706"/>
      <c r="K3858" s="769"/>
      <c r="L3858" s="706"/>
      <c r="M3858" s="781"/>
      <c r="N3858" s="182"/>
      <c r="O3858" s="188"/>
      <c r="P3858" s="221"/>
      <c r="Q3858" s="106"/>
      <c r="R3858" s="108"/>
      <c r="S3858" s="108"/>
      <c r="T3858" s="108"/>
      <c r="U3858" s="108" t="str">
        <f>IFERROR(VLOOKUP(CONCATENATE(Tabla1[[#This Row],[Severidad]]," ",Tabla1[[#This Row],[Complejidad]]),Catalogos!E$120:G$128,3,FALSE),"")</f>
        <v/>
      </c>
      <c r="V3858" s="108" t="str">
        <f>IF(Tabla1[[#This Row],[Tiempo solución max (hrs)]]&lt;&gt;"",IF(Tabla1[[#This Row],[Tiempo solución max (hrs)]]&gt;=Tabla1[[#This Row],[Tiempo
(Hrs 00/100)]],"cumple","no cumple"),"")</f>
        <v/>
      </c>
      <c r="W3858" s="17"/>
      <c r="X3858" s="18">
        <f t="shared" si="250"/>
        <v>0</v>
      </c>
      <c r="Y3858" t="str">
        <f>SUBSTITUTE(Tabla1[[#This Row],[Descripción]],CHAR(10),"    I    ")</f>
        <v/>
      </c>
      <c r="Z3858" s="112" t="e">
        <f>VLOOKUP(Tabla1[[#This Row],[Perfil]],Catalogos!$B$75:$D$100,3,FALSE)*Tabla1[[#This Row],[Tiempo
(Hrs 00/100)]]*1.16</f>
        <v>#N/A</v>
      </c>
    </row>
    <row r="3859" spans="1:26" ht="30" customHeight="1" x14ac:dyDescent="0.3">
      <c r="A3859" s="106"/>
      <c r="B3859" s="106"/>
      <c r="C3859" s="106"/>
      <c r="D3859" s="106"/>
      <c r="E3859" s="106"/>
      <c r="F3859" s="106"/>
      <c r="G3859" s="106"/>
      <c r="H3859" s="107"/>
      <c r="I3859" s="95"/>
      <c r="J3859" s="706"/>
      <c r="K3859" s="769"/>
      <c r="L3859" s="706"/>
      <c r="M3859" s="781"/>
      <c r="N3859" s="182"/>
      <c r="O3859" s="188"/>
      <c r="P3859" s="221"/>
      <c r="Q3859" s="106"/>
      <c r="R3859" s="108"/>
      <c r="S3859" s="108"/>
      <c r="T3859" s="108"/>
      <c r="U3859" s="108" t="str">
        <f>IFERROR(VLOOKUP(CONCATENATE(Tabla1[[#This Row],[Severidad]]," ",Tabla1[[#This Row],[Complejidad]]),Catalogos!E$120:G$128,3,FALSE),"")</f>
        <v/>
      </c>
      <c r="V3859" s="108" t="str">
        <f>IF(Tabla1[[#This Row],[Tiempo solución max (hrs)]]&lt;&gt;"",IF(Tabla1[[#This Row],[Tiempo solución max (hrs)]]&gt;=Tabla1[[#This Row],[Tiempo
(Hrs 00/100)]],"cumple","no cumple"),"")</f>
        <v/>
      </c>
      <c r="W3859" s="17"/>
      <c r="X3859" s="18">
        <f t="shared" si="250"/>
        <v>0</v>
      </c>
      <c r="Y3859" t="str">
        <f>SUBSTITUTE(Tabla1[[#This Row],[Descripción]],CHAR(10),"    I    ")</f>
        <v/>
      </c>
      <c r="Z3859" s="112" t="e">
        <f>VLOOKUP(Tabla1[[#This Row],[Perfil]],Catalogos!$B$75:$D$100,3,FALSE)*Tabla1[[#This Row],[Tiempo
(Hrs 00/100)]]*1.16</f>
        <v>#N/A</v>
      </c>
    </row>
    <row r="3860" spans="1:26" ht="30" customHeight="1" x14ac:dyDescent="0.3">
      <c r="A3860" s="106"/>
      <c r="B3860" s="106"/>
      <c r="C3860" s="106"/>
      <c r="D3860" s="106"/>
      <c r="E3860" s="106"/>
      <c r="F3860" s="106"/>
      <c r="G3860" s="106"/>
      <c r="H3860" s="107"/>
      <c r="I3860" s="95"/>
      <c r="J3860" s="706"/>
      <c r="K3860" s="769"/>
      <c r="L3860" s="706"/>
      <c r="M3860" s="781"/>
      <c r="N3860" s="182"/>
      <c r="O3860" s="188"/>
      <c r="P3860" s="221"/>
      <c r="Q3860" s="106"/>
      <c r="R3860" s="108"/>
      <c r="S3860" s="108"/>
      <c r="T3860" s="108"/>
      <c r="U3860" s="108" t="str">
        <f>IFERROR(VLOOKUP(CONCATENATE(Tabla1[[#This Row],[Severidad]]," ",Tabla1[[#This Row],[Complejidad]]),Catalogos!E$120:G$128,3,FALSE),"")</f>
        <v/>
      </c>
      <c r="V3860" s="108" t="str">
        <f>IF(Tabla1[[#This Row],[Tiempo solución max (hrs)]]&lt;&gt;"",IF(Tabla1[[#This Row],[Tiempo solución max (hrs)]]&gt;=Tabla1[[#This Row],[Tiempo
(Hrs 00/100)]],"cumple","no cumple"),"")</f>
        <v/>
      </c>
      <c r="W3860" s="17"/>
      <c r="X3860" s="18">
        <f t="shared" si="250"/>
        <v>0</v>
      </c>
      <c r="Y3860" t="str">
        <f>SUBSTITUTE(Tabla1[[#This Row],[Descripción]],CHAR(10),"    I    ")</f>
        <v/>
      </c>
      <c r="Z3860" s="112" t="e">
        <f>VLOOKUP(Tabla1[[#This Row],[Perfil]],Catalogos!$B$75:$D$100,3,FALSE)*Tabla1[[#This Row],[Tiempo
(Hrs 00/100)]]*1.16</f>
        <v>#N/A</v>
      </c>
    </row>
    <row r="3861" spans="1:26" ht="30" customHeight="1" x14ac:dyDescent="0.3">
      <c r="A3861" s="106"/>
      <c r="B3861" s="106"/>
      <c r="C3861" s="106"/>
      <c r="D3861" s="106"/>
      <c r="E3861" s="106"/>
      <c r="F3861" s="106"/>
      <c r="G3861" s="106"/>
      <c r="H3861" s="107"/>
      <c r="I3861" s="95"/>
      <c r="J3861" s="706"/>
      <c r="K3861" s="769"/>
      <c r="L3861" s="706"/>
      <c r="M3861" s="781"/>
      <c r="N3861" s="182"/>
      <c r="O3861" s="188"/>
      <c r="P3861" s="221"/>
      <c r="Q3861" s="106"/>
      <c r="R3861" s="108"/>
      <c r="S3861" s="108"/>
      <c r="T3861" s="108"/>
      <c r="U3861" s="108" t="str">
        <f>IFERROR(VLOOKUP(CONCATENATE(Tabla1[[#This Row],[Severidad]]," ",Tabla1[[#This Row],[Complejidad]]),Catalogos!E$120:G$128,3,FALSE),"")</f>
        <v/>
      </c>
      <c r="V3861" s="108" t="str">
        <f>IF(Tabla1[[#This Row],[Tiempo solución max (hrs)]]&lt;&gt;"",IF(Tabla1[[#This Row],[Tiempo solución max (hrs)]]&gt;=Tabla1[[#This Row],[Tiempo
(Hrs 00/100)]],"cumple","no cumple"),"")</f>
        <v/>
      </c>
      <c r="W3861" s="17"/>
      <c r="X3861" s="18">
        <f t="shared" si="250"/>
        <v>0</v>
      </c>
      <c r="Y3861" t="str">
        <f>SUBSTITUTE(Tabla1[[#This Row],[Descripción]],CHAR(10),"    I    ")</f>
        <v/>
      </c>
      <c r="Z3861" s="112" t="e">
        <f>VLOOKUP(Tabla1[[#This Row],[Perfil]],Catalogos!$B$75:$D$100,3,FALSE)*Tabla1[[#This Row],[Tiempo
(Hrs 00/100)]]*1.16</f>
        <v>#N/A</v>
      </c>
    </row>
    <row r="3862" spans="1:26" ht="30" customHeight="1" x14ac:dyDescent="0.3">
      <c r="A3862" s="106"/>
      <c r="B3862" s="106"/>
      <c r="C3862" s="106"/>
      <c r="D3862" s="106"/>
      <c r="E3862" s="106"/>
      <c r="F3862" s="106"/>
      <c r="G3862" s="106"/>
      <c r="H3862" s="107"/>
      <c r="I3862" s="95"/>
      <c r="J3862" s="706"/>
      <c r="K3862" s="769"/>
      <c r="L3862" s="706"/>
      <c r="M3862" s="781"/>
      <c r="N3862" s="182"/>
      <c r="O3862" s="188"/>
      <c r="P3862" s="221"/>
      <c r="Q3862" s="106"/>
      <c r="R3862" s="108"/>
      <c r="S3862" s="108"/>
      <c r="T3862" s="108"/>
      <c r="U3862" s="108" t="str">
        <f>IFERROR(VLOOKUP(CONCATENATE(Tabla1[[#This Row],[Severidad]]," ",Tabla1[[#This Row],[Complejidad]]),Catalogos!E$120:G$128,3,FALSE),"")</f>
        <v/>
      </c>
      <c r="V3862" s="108" t="str">
        <f>IF(Tabla1[[#This Row],[Tiempo solución max (hrs)]]&lt;&gt;"",IF(Tabla1[[#This Row],[Tiempo solución max (hrs)]]&gt;=Tabla1[[#This Row],[Tiempo
(Hrs 00/100)]],"cumple","no cumple"),"")</f>
        <v/>
      </c>
      <c r="W3862" s="17"/>
      <c r="X3862" s="18">
        <f t="shared" si="250"/>
        <v>0</v>
      </c>
      <c r="Y3862" t="str">
        <f>SUBSTITUTE(Tabla1[[#This Row],[Descripción]],CHAR(10),"    I    ")</f>
        <v/>
      </c>
      <c r="Z3862" s="112" t="e">
        <f>VLOOKUP(Tabla1[[#This Row],[Perfil]],Catalogos!$B$75:$D$100,3,FALSE)*Tabla1[[#This Row],[Tiempo
(Hrs 00/100)]]*1.16</f>
        <v>#N/A</v>
      </c>
    </row>
    <row r="3863" spans="1:26" ht="30" customHeight="1" x14ac:dyDescent="0.3">
      <c r="A3863" s="106"/>
      <c r="B3863" s="106"/>
      <c r="C3863" s="106"/>
      <c r="D3863" s="106"/>
      <c r="E3863" s="106"/>
      <c r="F3863" s="106"/>
      <c r="G3863" s="106"/>
      <c r="H3863" s="107"/>
      <c r="I3863" s="95"/>
      <c r="J3863" s="706"/>
      <c r="K3863" s="769"/>
      <c r="L3863" s="706"/>
      <c r="M3863" s="781"/>
      <c r="N3863" s="182"/>
      <c r="O3863" s="188"/>
      <c r="P3863" s="221"/>
      <c r="Q3863" s="106"/>
      <c r="R3863" s="108"/>
      <c r="S3863" s="108"/>
      <c r="T3863" s="108"/>
      <c r="U3863" s="108" t="str">
        <f>IFERROR(VLOOKUP(CONCATENATE(Tabla1[[#This Row],[Severidad]]," ",Tabla1[[#This Row],[Complejidad]]),Catalogos!E$120:G$128,3,FALSE),"")</f>
        <v/>
      </c>
      <c r="V3863" s="108" t="str">
        <f>IF(Tabla1[[#This Row],[Tiempo solución max (hrs)]]&lt;&gt;"",IF(Tabla1[[#This Row],[Tiempo solución max (hrs)]]&gt;=Tabla1[[#This Row],[Tiempo
(Hrs 00/100)]],"cumple","no cumple"),"")</f>
        <v/>
      </c>
      <c r="W3863" s="17"/>
      <c r="X3863" s="18">
        <f t="shared" si="250"/>
        <v>0</v>
      </c>
      <c r="Y3863" t="str">
        <f>SUBSTITUTE(Tabla1[[#This Row],[Descripción]],CHAR(10),"    I    ")</f>
        <v/>
      </c>
      <c r="Z3863" s="112" t="e">
        <f>VLOOKUP(Tabla1[[#This Row],[Perfil]],Catalogos!$B$75:$D$100,3,FALSE)*Tabla1[[#This Row],[Tiempo
(Hrs 00/100)]]*1.16</f>
        <v>#N/A</v>
      </c>
    </row>
    <row r="3864" spans="1:26" ht="30" customHeight="1" x14ac:dyDescent="0.3">
      <c r="A3864" s="106"/>
      <c r="B3864" s="106"/>
      <c r="C3864" s="106"/>
      <c r="D3864" s="106"/>
      <c r="E3864" s="106"/>
      <c r="F3864" s="106"/>
      <c r="G3864" s="106"/>
      <c r="H3864" s="107"/>
      <c r="I3864" s="95"/>
      <c r="J3864" s="706"/>
      <c r="K3864" s="769"/>
      <c r="L3864" s="706"/>
      <c r="M3864" s="781"/>
      <c r="N3864" s="182"/>
      <c r="O3864" s="188"/>
      <c r="P3864" s="221"/>
      <c r="Q3864" s="106"/>
      <c r="R3864" s="108"/>
      <c r="S3864" s="108"/>
      <c r="T3864" s="108"/>
      <c r="U3864" s="108" t="str">
        <f>IFERROR(VLOOKUP(CONCATENATE(Tabla1[[#This Row],[Severidad]]," ",Tabla1[[#This Row],[Complejidad]]),Catalogos!E$120:G$128,3,FALSE),"")</f>
        <v/>
      </c>
      <c r="V3864" s="108" t="str">
        <f>IF(Tabla1[[#This Row],[Tiempo solución max (hrs)]]&lt;&gt;"",IF(Tabla1[[#This Row],[Tiempo solución max (hrs)]]&gt;=Tabla1[[#This Row],[Tiempo
(Hrs 00/100)]],"cumple","no cumple"),"")</f>
        <v/>
      </c>
      <c r="W3864" s="17"/>
      <c r="X3864" s="18">
        <f t="shared" si="250"/>
        <v>0</v>
      </c>
      <c r="Y3864" t="str">
        <f>SUBSTITUTE(Tabla1[[#This Row],[Descripción]],CHAR(10),"    I    ")</f>
        <v/>
      </c>
      <c r="Z3864" s="112" t="e">
        <f>VLOOKUP(Tabla1[[#This Row],[Perfil]],Catalogos!$B$75:$D$100,3,FALSE)*Tabla1[[#This Row],[Tiempo
(Hrs 00/100)]]*1.16</f>
        <v>#N/A</v>
      </c>
    </row>
    <row r="3865" spans="1:26" ht="30" customHeight="1" x14ac:dyDescent="0.3">
      <c r="A3865" s="106"/>
      <c r="B3865" s="106"/>
      <c r="C3865" s="106"/>
      <c r="D3865" s="106"/>
      <c r="E3865" s="106"/>
      <c r="F3865" s="106"/>
      <c r="G3865" s="106"/>
      <c r="H3865" s="107"/>
      <c r="I3865" s="95"/>
      <c r="J3865" s="706"/>
      <c r="K3865" s="769"/>
      <c r="L3865" s="706"/>
      <c r="M3865" s="781"/>
      <c r="N3865" s="182"/>
      <c r="O3865" s="188"/>
      <c r="P3865" s="221"/>
      <c r="Q3865" s="106"/>
      <c r="R3865" s="108"/>
      <c r="S3865" s="108"/>
      <c r="T3865" s="108"/>
      <c r="U3865" s="108" t="str">
        <f>IFERROR(VLOOKUP(CONCATENATE(Tabla1[[#This Row],[Severidad]]," ",Tabla1[[#This Row],[Complejidad]]),Catalogos!E$120:G$128,3,FALSE),"")</f>
        <v/>
      </c>
      <c r="V3865" s="108" t="str">
        <f>IF(Tabla1[[#This Row],[Tiempo solución max (hrs)]]&lt;&gt;"",IF(Tabla1[[#This Row],[Tiempo solución max (hrs)]]&gt;=Tabla1[[#This Row],[Tiempo
(Hrs 00/100)]],"cumple","no cumple"),"")</f>
        <v/>
      </c>
      <c r="W3865" s="17"/>
      <c r="X3865" s="18">
        <f t="shared" si="250"/>
        <v>0</v>
      </c>
      <c r="Y3865" t="str">
        <f>SUBSTITUTE(Tabla1[[#This Row],[Descripción]],CHAR(10),"    I    ")</f>
        <v/>
      </c>
      <c r="Z3865" s="112" t="e">
        <f>VLOOKUP(Tabla1[[#This Row],[Perfil]],Catalogos!$B$75:$D$100,3,FALSE)*Tabla1[[#This Row],[Tiempo
(Hrs 00/100)]]*1.16</f>
        <v>#N/A</v>
      </c>
    </row>
    <row r="3866" spans="1:26" ht="30" customHeight="1" x14ac:dyDescent="0.3">
      <c r="A3866" s="106"/>
      <c r="B3866" s="106"/>
      <c r="C3866" s="106"/>
      <c r="D3866" s="106"/>
      <c r="E3866" s="106"/>
      <c r="F3866" s="106"/>
      <c r="G3866" s="106"/>
      <c r="H3866" s="107"/>
      <c r="I3866" s="95"/>
      <c r="J3866" s="706"/>
      <c r="K3866" s="769"/>
      <c r="L3866" s="706"/>
      <c r="M3866" s="781"/>
      <c r="N3866" s="182"/>
      <c r="O3866" s="188"/>
      <c r="P3866" s="221"/>
      <c r="Q3866" s="106"/>
      <c r="R3866" s="108"/>
      <c r="S3866" s="108"/>
      <c r="T3866" s="108"/>
      <c r="U3866" s="108" t="str">
        <f>IFERROR(VLOOKUP(CONCATENATE(Tabla1[[#This Row],[Severidad]]," ",Tabla1[[#This Row],[Complejidad]]),Catalogos!E$120:G$128,3,FALSE),"")</f>
        <v/>
      </c>
      <c r="V3866" s="108" t="str">
        <f>IF(Tabla1[[#This Row],[Tiempo solución max (hrs)]]&lt;&gt;"",IF(Tabla1[[#This Row],[Tiempo solución max (hrs)]]&gt;=Tabla1[[#This Row],[Tiempo
(Hrs 00/100)]],"cumple","no cumple"),"")</f>
        <v/>
      </c>
      <c r="W3866" s="17"/>
      <c r="X3866" s="18">
        <f t="shared" si="250"/>
        <v>0</v>
      </c>
      <c r="Y3866" t="str">
        <f>SUBSTITUTE(Tabla1[[#This Row],[Descripción]],CHAR(10),"    I    ")</f>
        <v/>
      </c>
      <c r="Z3866" s="112" t="e">
        <f>VLOOKUP(Tabla1[[#This Row],[Perfil]],Catalogos!$B$75:$D$100,3,FALSE)*Tabla1[[#This Row],[Tiempo
(Hrs 00/100)]]*1.16</f>
        <v>#N/A</v>
      </c>
    </row>
    <row r="3867" spans="1:26" ht="30" customHeight="1" x14ac:dyDescent="0.3">
      <c r="A3867" s="106"/>
      <c r="B3867" s="106"/>
      <c r="C3867" s="106"/>
      <c r="D3867" s="106"/>
      <c r="E3867" s="106"/>
      <c r="F3867" s="106"/>
      <c r="G3867" s="106"/>
      <c r="H3867" s="107"/>
      <c r="I3867" s="95"/>
      <c r="J3867" s="706"/>
      <c r="K3867" s="769"/>
      <c r="L3867" s="706"/>
      <c r="M3867" s="781"/>
      <c r="N3867" s="182"/>
      <c r="O3867" s="188"/>
      <c r="P3867" s="221"/>
      <c r="Q3867" s="106"/>
      <c r="R3867" s="108"/>
      <c r="S3867" s="108"/>
      <c r="T3867" s="108"/>
      <c r="U3867" s="108" t="str">
        <f>IFERROR(VLOOKUP(CONCATENATE(Tabla1[[#This Row],[Severidad]]," ",Tabla1[[#This Row],[Complejidad]]),Catalogos!E$120:G$128,3,FALSE),"")</f>
        <v/>
      </c>
      <c r="V3867" s="108" t="str">
        <f>IF(Tabla1[[#This Row],[Tiempo solución max (hrs)]]&lt;&gt;"",IF(Tabla1[[#This Row],[Tiempo solución max (hrs)]]&gt;=Tabla1[[#This Row],[Tiempo
(Hrs 00/100)]],"cumple","no cumple"),"")</f>
        <v/>
      </c>
      <c r="W3867" s="17"/>
      <c r="X3867" s="18">
        <f t="shared" si="250"/>
        <v>0</v>
      </c>
      <c r="Y3867" t="str">
        <f>SUBSTITUTE(Tabla1[[#This Row],[Descripción]],CHAR(10),"    I    ")</f>
        <v/>
      </c>
      <c r="Z3867" s="112" t="e">
        <f>VLOOKUP(Tabla1[[#This Row],[Perfil]],Catalogos!$B$75:$D$100,3,FALSE)*Tabla1[[#This Row],[Tiempo
(Hrs 00/100)]]*1.16</f>
        <v>#N/A</v>
      </c>
    </row>
    <row r="3868" spans="1:26" ht="30" customHeight="1" x14ac:dyDescent="0.3">
      <c r="A3868" s="106"/>
      <c r="B3868" s="106"/>
      <c r="C3868" s="106"/>
      <c r="D3868" s="106"/>
      <c r="E3868" s="106"/>
      <c r="F3868" s="106"/>
      <c r="G3868" s="106"/>
      <c r="H3868" s="107"/>
      <c r="I3868" s="95"/>
      <c r="J3868" s="706"/>
      <c r="K3868" s="769"/>
      <c r="L3868" s="706"/>
      <c r="M3868" s="781"/>
      <c r="N3868" s="182"/>
      <c r="O3868" s="188"/>
      <c r="P3868" s="221"/>
      <c r="Q3868" s="106"/>
      <c r="R3868" s="108"/>
      <c r="S3868" s="108"/>
      <c r="T3868" s="108"/>
      <c r="U3868" s="108" t="str">
        <f>IFERROR(VLOOKUP(CONCATENATE(Tabla1[[#This Row],[Severidad]]," ",Tabla1[[#This Row],[Complejidad]]),Catalogos!E$120:G$128,3,FALSE),"")</f>
        <v/>
      </c>
      <c r="V3868" s="108" t="str">
        <f>IF(Tabla1[[#This Row],[Tiempo solución max (hrs)]]&lt;&gt;"",IF(Tabla1[[#This Row],[Tiempo solución max (hrs)]]&gt;=Tabla1[[#This Row],[Tiempo
(Hrs 00/100)]],"cumple","no cumple"),"")</f>
        <v/>
      </c>
      <c r="W3868" s="17"/>
      <c r="X3868" s="18">
        <f t="shared" si="250"/>
        <v>0</v>
      </c>
      <c r="Y3868" t="str">
        <f>SUBSTITUTE(Tabla1[[#This Row],[Descripción]],CHAR(10),"    I    ")</f>
        <v/>
      </c>
      <c r="Z3868" s="112" t="e">
        <f>VLOOKUP(Tabla1[[#This Row],[Perfil]],Catalogos!$B$75:$D$100,3,FALSE)*Tabla1[[#This Row],[Tiempo
(Hrs 00/100)]]*1.16</f>
        <v>#N/A</v>
      </c>
    </row>
    <row r="3869" spans="1:26" ht="30" customHeight="1" x14ac:dyDescent="0.3">
      <c r="A3869" s="106"/>
      <c r="B3869" s="106"/>
      <c r="C3869" s="106"/>
      <c r="D3869" s="106"/>
      <c r="E3869" s="106"/>
      <c r="F3869" s="106"/>
      <c r="G3869" s="106"/>
      <c r="H3869" s="107"/>
      <c r="I3869" s="95"/>
      <c r="J3869" s="706"/>
      <c r="K3869" s="769"/>
      <c r="L3869" s="706"/>
      <c r="M3869" s="781"/>
      <c r="N3869" s="182"/>
      <c r="O3869" s="188"/>
      <c r="P3869" s="221"/>
      <c r="Q3869" s="106"/>
      <c r="R3869" s="108"/>
      <c r="S3869" s="108"/>
      <c r="T3869" s="108"/>
      <c r="U3869" s="108" t="str">
        <f>IFERROR(VLOOKUP(CONCATENATE(Tabla1[[#This Row],[Severidad]]," ",Tabla1[[#This Row],[Complejidad]]),Catalogos!E$120:G$128,3,FALSE),"")</f>
        <v/>
      </c>
      <c r="V3869" s="108" t="str">
        <f>IF(Tabla1[[#This Row],[Tiempo solución max (hrs)]]&lt;&gt;"",IF(Tabla1[[#This Row],[Tiempo solución max (hrs)]]&gt;=Tabla1[[#This Row],[Tiempo
(Hrs 00/100)]],"cumple","no cumple"),"")</f>
        <v/>
      </c>
      <c r="W3869" s="17"/>
      <c r="X3869" s="18">
        <f t="shared" si="250"/>
        <v>0</v>
      </c>
      <c r="Y3869" t="str">
        <f>SUBSTITUTE(Tabla1[[#This Row],[Descripción]],CHAR(10),"    I    ")</f>
        <v/>
      </c>
      <c r="Z3869" s="112" t="e">
        <f>VLOOKUP(Tabla1[[#This Row],[Perfil]],Catalogos!$B$75:$D$100,3,FALSE)*Tabla1[[#This Row],[Tiempo
(Hrs 00/100)]]*1.16</f>
        <v>#N/A</v>
      </c>
    </row>
    <row r="3870" spans="1:26" ht="30" customHeight="1" x14ac:dyDescent="0.3">
      <c r="A3870" s="106"/>
      <c r="B3870" s="106"/>
      <c r="C3870" s="106"/>
      <c r="D3870" s="106"/>
      <c r="E3870" s="106"/>
      <c r="F3870" s="106"/>
      <c r="G3870" s="106"/>
      <c r="H3870" s="107"/>
      <c r="I3870" s="95"/>
      <c r="J3870" s="706"/>
      <c r="K3870" s="769"/>
      <c r="L3870" s="706"/>
      <c r="M3870" s="781"/>
      <c r="N3870" s="182"/>
      <c r="O3870" s="188"/>
      <c r="P3870" s="221"/>
      <c r="Q3870" s="106"/>
      <c r="R3870" s="108"/>
      <c r="S3870" s="108"/>
      <c r="T3870" s="108"/>
      <c r="U3870" s="108" t="str">
        <f>IFERROR(VLOOKUP(CONCATENATE(Tabla1[[#This Row],[Severidad]]," ",Tabla1[[#This Row],[Complejidad]]),Catalogos!E$120:G$128,3,FALSE),"")</f>
        <v/>
      </c>
      <c r="V3870" s="108" t="str">
        <f>IF(Tabla1[[#This Row],[Tiempo solución max (hrs)]]&lt;&gt;"",IF(Tabla1[[#This Row],[Tiempo solución max (hrs)]]&gt;=Tabla1[[#This Row],[Tiempo
(Hrs 00/100)]],"cumple","no cumple"),"")</f>
        <v/>
      </c>
      <c r="W3870" s="17"/>
      <c r="X3870" s="18">
        <f t="shared" si="250"/>
        <v>0</v>
      </c>
      <c r="Y3870" t="str">
        <f>SUBSTITUTE(Tabla1[[#This Row],[Descripción]],CHAR(10),"    I    ")</f>
        <v/>
      </c>
      <c r="Z3870" s="112" t="e">
        <f>VLOOKUP(Tabla1[[#This Row],[Perfil]],Catalogos!$B$75:$D$100,3,FALSE)*Tabla1[[#This Row],[Tiempo
(Hrs 00/100)]]*1.16</f>
        <v>#N/A</v>
      </c>
    </row>
    <row r="3871" spans="1:26" ht="30" customHeight="1" x14ac:dyDescent="0.3">
      <c r="A3871" s="106"/>
      <c r="B3871" s="106"/>
      <c r="C3871" s="106"/>
      <c r="D3871" s="106"/>
      <c r="E3871" s="106"/>
      <c r="F3871" s="106"/>
      <c r="G3871" s="106"/>
      <c r="H3871" s="107"/>
      <c r="I3871" s="95"/>
      <c r="J3871" s="706"/>
      <c r="K3871" s="769"/>
      <c r="L3871" s="706"/>
      <c r="M3871" s="781"/>
      <c r="N3871" s="182"/>
      <c r="O3871" s="188"/>
      <c r="P3871" s="221"/>
      <c r="Q3871" s="106"/>
      <c r="R3871" s="108"/>
      <c r="S3871" s="108"/>
      <c r="T3871" s="108"/>
      <c r="U3871" s="108" t="str">
        <f>IFERROR(VLOOKUP(CONCATENATE(Tabla1[[#This Row],[Severidad]]," ",Tabla1[[#This Row],[Complejidad]]),Catalogos!E$120:G$128,3,FALSE),"")</f>
        <v/>
      </c>
      <c r="V3871" s="108" t="str">
        <f>IF(Tabla1[[#This Row],[Tiempo solución max (hrs)]]&lt;&gt;"",IF(Tabla1[[#This Row],[Tiempo solución max (hrs)]]&gt;=Tabla1[[#This Row],[Tiempo
(Hrs 00/100)]],"cumple","no cumple"),"")</f>
        <v/>
      </c>
      <c r="W3871" s="17"/>
      <c r="X3871" s="18">
        <f t="shared" si="250"/>
        <v>0</v>
      </c>
      <c r="Y3871" t="str">
        <f>SUBSTITUTE(Tabla1[[#This Row],[Descripción]],CHAR(10),"    I    ")</f>
        <v/>
      </c>
      <c r="Z3871" s="112" t="e">
        <f>VLOOKUP(Tabla1[[#This Row],[Perfil]],Catalogos!$B$75:$D$100,3,FALSE)*Tabla1[[#This Row],[Tiempo
(Hrs 00/100)]]*1.16</f>
        <v>#N/A</v>
      </c>
    </row>
    <row r="3872" spans="1:26" ht="30" customHeight="1" x14ac:dyDescent="0.3">
      <c r="A3872" s="106"/>
      <c r="B3872" s="106"/>
      <c r="C3872" s="106"/>
      <c r="D3872" s="106"/>
      <c r="E3872" s="106"/>
      <c r="F3872" s="106"/>
      <c r="G3872" s="106"/>
      <c r="H3872" s="107"/>
      <c r="I3872" s="95"/>
      <c r="J3872" s="706"/>
      <c r="K3872" s="769"/>
      <c r="L3872" s="706"/>
      <c r="M3872" s="781"/>
      <c r="N3872" s="182"/>
      <c r="O3872" s="188"/>
      <c r="P3872" s="221"/>
      <c r="Q3872" s="106"/>
      <c r="R3872" s="108"/>
      <c r="S3872" s="108"/>
      <c r="T3872" s="108"/>
      <c r="U3872" s="108" t="str">
        <f>IFERROR(VLOOKUP(CONCATENATE(Tabla1[[#This Row],[Severidad]]," ",Tabla1[[#This Row],[Complejidad]]),Catalogos!E$120:G$128,3,FALSE),"")</f>
        <v/>
      </c>
      <c r="V3872" s="108" t="str">
        <f>IF(Tabla1[[#This Row],[Tiempo solución max (hrs)]]&lt;&gt;"",IF(Tabla1[[#This Row],[Tiempo solución max (hrs)]]&gt;=Tabla1[[#This Row],[Tiempo
(Hrs 00/100)]],"cumple","no cumple"),"")</f>
        <v/>
      </c>
      <c r="W3872" s="17"/>
      <c r="X3872" s="18">
        <f t="shared" si="250"/>
        <v>0</v>
      </c>
      <c r="Y3872" t="str">
        <f>SUBSTITUTE(Tabla1[[#This Row],[Descripción]],CHAR(10),"    I    ")</f>
        <v/>
      </c>
      <c r="Z3872" s="112" t="e">
        <f>VLOOKUP(Tabla1[[#This Row],[Perfil]],Catalogos!$B$75:$D$100,3,FALSE)*Tabla1[[#This Row],[Tiempo
(Hrs 00/100)]]*1.16</f>
        <v>#N/A</v>
      </c>
    </row>
    <row r="3873" spans="1:26" ht="30" customHeight="1" x14ac:dyDescent="0.3">
      <c r="A3873" s="106"/>
      <c r="B3873" s="106"/>
      <c r="C3873" s="106"/>
      <c r="D3873" s="106"/>
      <c r="E3873" s="106"/>
      <c r="F3873" s="106"/>
      <c r="G3873" s="106"/>
      <c r="H3873" s="107"/>
      <c r="I3873" s="95"/>
      <c r="J3873" s="706"/>
      <c r="K3873" s="769"/>
      <c r="L3873" s="706"/>
      <c r="M3873" s="781"/>
      <c r="N3873" s="182"/>
      <c r="O3873" s="188"/>
      <c r="P3873" s="221"/>
      <c r="Q3873" s="106"/>
      <c r="R3873" s="108"/>
      <c r="S3873" s="108"/>
      <c r="T3873" s="108"/>
      <c r="U3873" s="108" t="str">
        <f>IFERROR(VLOOKUP(CONCATENATE(Tabla1[[#This Row],[Severidad]]," ",Tabla1[[#This Row],[Complejidad]]),Catalogos!E$120:G$128,3,FALSE),"")</f>
        <v/>
      </c>
      <c r="V3873" s="108" t="str">
        <f>IF(Tabla1[[#This Row],[Tiempo solución max (hrs)]]&lt;&gt;"",IF(Tabla1[[#This Row],[Tiempo solución max (hrs)]]&gt;=Tabla1[[#This Row],[Tiempo
(Hrs 00/100)]],"cumple","no cumple"),"")</f>
        <v/>
      </c>
      <c r="W3873" s="17"/>
      <c r="X3873" s="18">
        <f t="shared" si="250"/>
        <v>0</v>
      </c>
      <c r="Y3873" t="str">
        <f>SUBSTITUTE(Tabla1[[#This Row],[Descripción]],CHAR(10),"    I    ")</f>
        <v/>
      </c>
      <c r="Z3873" s="112" t="e">
        <f>VLOOKUP(Tabla1[[#This Row],[Perfil]],Catalogos!$B$75:$D$100,3,FALSE)*Tabla1[[#This Row],[Tiempo
(Hrs 00/100)]]*1.16</f>
        <v>#N/A</v>
      </c>
    </row>
    <row r="3874" spans="1:26" ht="30" customHeight="1" x14ac:dyDescent="0.3">
      <c r="A3874" s="106"/>
      <c r="B3874" s="106"/>
      <c r="C3874" s="106"/>
      <c r="D3874" s="106"/>
      <c r="E3874" s="106"/>
      <c r="F3874" s="106"/>
      <c r="G3874" s="106"/>
      <c r="H3874" s="107"/>
      <c r="I3874" s="95"/>
      <c r="J3874" s="706"/>
      <c r="K3874" s="769"/>
      <c r="L3874" s="706"/>
      <c r="M3874" s="781"/>
      <c r="N3874" s="182"/>
      <c r="O3874" s="188"/>
      <c r="P3874" s="221"/>
      <c r="Q3874" s="106"/>
      <c r="R3874" s="108"/>
      <c r="S3874" s="108"/>
      <c r="T3874" s="108"/>
      <c r="U3874" s="108" t="str">
        <f>IFERROR(VLOOKUP(CONCATENATE(Tabla1[[#This Row],[Severidad]]," ",Tabla1[[#This Row],[Complejidad]]),Catalogos!E$120:G$128,3,FALSE),"")</f>
        <v/>
      </c>
      <c r="V3874" s="108" t="str">
        <f>IF(Tabla1[[#This Row],[Tiempo solución max (hrs)]]&lt;&gt;"",IF(Tabla1[[#This Row],[Tiempo solución max (hrs)]]&gt;=Tabla1[[#This Row],[Tiempo
(Hrs 00/100)]],"cumple","no cumple"),"")</f>
        <v/>
      </c>
      <c r="W3874" s="17"/>
      <c r="X3874" s="18">
        <f t="shared" si="250"/>
        <v>0</v>
      </c>
      <c r="Y3874" t="str">
        <f>SUBSTITUTE(Tabla1[[#This Row],[Descripción]],CHAR(10),"    I    ")</f>
        <v/>
      </c>
      <c r="Z3874" s="112" t="e">
        <f>VLOOKUP(Tabla1[[#This Row],[Perfil]],Catalogos!$B$75:$D$100,3,FALSE)*Tabla1[[#This Row],[Tiempo
(Hrs 00/100)]]*1.16</f>
        <v>#N/A</v>
      </c>
    </row>
    <row r="3875" spans="1:26" ht="30" customHeight="1" x14ac:dyDescent="0.3">
      <c r="A3875" s="106"/>
      <c r="B3875" s="106"/>
      <c r="C3875" s="106"/>
      <c r="D3875" s="106"/>
      <c r="E3875" s="106"/>
      <c r="F3875" s="106"/>
      <c r="G3875" s="106"/>
      <c r="H3875" s="107"/>
      <c r="I3875" s="95"/>
      <c r="J3875" s="706"/>
      <c r="K3875" s="769"/>
      <c r="L3875" s="706"/>
      <c r="M3875" s="781"/>
      <c r="N3875" s="182"/>
      <c r="O3875" s="188"/>
      <c r="P3875" s="221"/>
      <c r="Q3875" s="106"/>
      <c r="R3875" s="108"/>
      <c r="S3875" s="108"/>
      <c r="T3875" s="108"/>
      <c r="U3875" s="108" t="str">
        <f>IFERROR(VLOOKUP(CONCATENATE(Tabla1[[#This Row],[Severidad]]," ",Tabla1[[#This Row],[Complejidad]]),Catalogos!E$120:G$128,3,FALSE),"")</f>
        <v/>
      </c>
      <c r="V3875" s="108" t="str">
        <f>IF(Tabla1[[#This Row],[Tiempo solución max (hrs)]]&lt;&gt;"",IF(Tabla1[[#This Row],[Tiempo solución max (hrs)]]&gt;=Tabla1[[#This Row],[Tiempo
(Hrs 00/100)]],"cumple","no cumple"),"")</f>
        <v/>
      </c>
      <c r="W3875" s="17"/>
      <c r="X3875" s="18">
        <f t="shared" si="250"/>
        <v>0</v>
      </c>
      <c r="Y3875" t="str">
        <f>SUBSTITUTE(Tabla1[[#This Row],[Descripción]],CHAR(10),"    I    ")</f>
        <v/>
      </c>
      <c r="Z3875" s="112" t="e">
        <f>VLOOKUP(Tabla1[[#This Row],[Perfil]],Catalogos!$B$75:$D$100,3,FALSE)*Tabla1[[#This Row],[Tiempo
(Hrs 00/100)]]*1.16</f>
        <v>#N/A</v>
      </c>
    </row>
    <row r="3876" spans="1:26" ht="30" customHeight="1" x14ac:dyDescent="0.3">
      <c r="A3876" s="106"/>
      <c r="B3876" s="106"/>
      <c r="C3876" s="106"/>
      <c r="D3876" s="106"/>
      <c r="E3876" s="106"/>
      <c r="F3876" s="106"/>
      <c r="G3876" s="106"/>
      <c r="H3876" s="107"/>
      <c r="I3876" s="95"/>
      <c r="J3876" s="706"/>
      <c r="K3876" s="769"/>
      <c r="L3876" s="706"/>
      <c r="M3876" s="781"/>
      <c r="N3876" s="182"/>
      <c r="O3876" s="188"/>
      <c r="P3876" s="221"/>
      <c r="Q3876" s="106"/>
      <c r="R3876" s="108"/>
      <c r="S3876" s="108"/>
      <c r="T3876" s="108"/>
      <c r="U3876" s="108" t="str">
        <f>IFERROR(VLOOKUP(CONCATENATE(Tabla1[[#This Row],[Severidad]]," ",Tabla1[[#This Row],[Complejidad]]),Catalogos!E$120:G$128,3,FALSE),"")</f>
        <v/>
      </c>
      <c r="V3876" s="108" t="str">
        <f>IF(Tabla1[[#This Row],[Tiempo solución max (hrs)]]&lt;&gt;"",IF(Tabla1[[#This Row],[Tiempo solución max (hrs)]]&gt;=Tabla1[[#This Row],[Tiempo
(Hrs 00/100)]],"cumple","no cumple"),"")</f>
        <v/>
      </c>
      <c r="W3876" s="17"/>
      <c r="X3876" s="18">
        <f t="shared" si="250"/>
        <v>0</v>
      </c>
      <c r="Y3876" t="str">
        <f>SUBSTITUTE(Tabla1[[#This Row],[Descripción]],CHAR(10),"    I    ")</f>
        <v/>
      </c>
      <c r="Z3876" s="112" t="e">
        <f>VLOOKUP(Tabla1[[#This Row],[Perfil]],Catalogos!$B$75:$D$100,3,FALSE)*Tabla1[[#This Row],[Tiempo
(Hrs 00/100)]]*1.16</f>
        <v>#N/A</v>
      </c>
    </row>
    <row r="3877" spans="1:26" ht="30" customHeight="1" x14ac:dyDescent="0.3">
      <c r="A3877" s="106"/>
      <c r="B3877" s="106"/>
      <c r="C3877" s="106"/>
      <c r="D3877" s="106"/>
      <c r="E3877" s="106"/>
      <c r="F3877" s="106"/>
      <c r="G3877" s="106"/>
      <c r="H3877" s="107"/>
      <c r="I3877" s="95"/>
      <c r="J3877" s="706"/>
      <c r="K3877" s="769"/>
      <c r="L3877" s="706"/>
      <c r="M3877" s="781"/>
      <c r="N3877" s="182"/>
      <c r="O3877" s="188"/>
      <c r="P3877" s="221"/>
      <c r="Q3877" s="106"/>
      <c r="R3877" s="108"/>
      <c r="S3877" s="108"/>
      <c r="T3877" s="108"/>
      <c r="U3877" s="108" t="str">
        <f>IFERROR(VLOOKUP(CONCATENATE(Tabla1[[#This Row],[Severidad]]," ",Tabla1[[#This Row],[Complejidad]]),Catalogos!E$120:G$128,3,FALSE),"")</f>
        <v/>
      </c>
      <c r="V3877" s="108" t="str">
        <f>IF(Tabla1[[#This Row],[Tiempo solución max (hrs)]]&lt;&gt;"",IF(Tabla1[[#This Row],[Tiempo solución max (hrs)]]&gt;=Tabla1[[#This Row],[Tiempo
(Hrs 00/100)]],"cumple","no cumple"),"")</f>
        <v/>
      </c>
      <c r="W3877" s="17"/>
      <c r="X3877" s="18">
        <f t="shared" si="250"/>
        <v>0</v>
      </c>
      <c r="Y3877" t="str">
        <f>SUBSTITUTE(Tabla1[[#This Row],[Descripción]],CHAR(10),"    I    ")</f>
        <v/>
      </c>
      <c r="Z3877" s="112" t="e">
        <f>VLOOKUP(Tabla1[[#This Row],[Perfil]],Catalogos!$B$75:$D$100,3,FALSE)*Tabla1[[#This Row],[Tiempo
(Hrs 00/100)]]*1.16</f>
        <v>#N/A</v>
      </c>
    </row>
    <row r="3878" spans="1:26" ht="30" customHeight="1" x14ac:dyDescent="0.3">
      <c r="A3878" s="106"/>
      <c r="B3878" s="106"/>
      <c r="C3878" s="106"/>
      <c r="D3878" s="106"/>
      <c r="E3878" s="106"/>
      <c r="F3878" s="106"/>
      <c r="G3878" s="106"/>
      <c r="H3878" s="107"/>
      <c r="I3878" s="95"/>
      <c r="J3878" s="706"/>
      <c r="K3878" s="769"/>
      <c r="L3878" s="706"/>
      <c r="M3878" s="781"/>
      <c r="N3878" s="182"/>
      <c r="O3878" s="188"/>
      <c r="P3878" s="221"/>
      <c r="Q3878" s="106"/>
      <c r="R3878" s="108"/>
      <c r="S3878" s="108"/>
      <c r="T3878" s="108"/>
      <c r="U3878" s="108" t="str">
        <f>IFERROR(VLOOKUP(CONCATENATE(Tabla1[[#This Row],[Severidad]]," ",Tabla1[[#This Row],[Complejidad]]),Catalogos!E$120:G$128,3,FALSE),"")</f>
        <v/>
      </c>
      <c r="V3878" s="108" t="str">
        <f>IF(Tabla1[[#This Row],[Tiempo solución max (hrs)]]&lt;&gt;"",IF(Tabla1[[#This Row],[Tiempo solución max (hrs)]]&gt;=Tabla1[[#This Row],[Tiempo
(Hrs 00/100)]],"cumple","no cumple"),"")</f>
        <v/>
      </c>
      <c r="W3878" s="17"/>
      <c r="X3878" s="18">
        <f t="shared" si="250"/>
        <v>0</v>
      </c>
      <c r="Y3878" t="str">
        <f>SUBSTITUTE(Tabla1[[#This Row],[Descripción]],CHAR(10),"    I    ")</f>
        <v/>
      </c>
      <c r="Z3878" s="112" t="e">
        <f>VLOOKUP(Tabla1[[#This Row],[Perfil]],Catalogos!$B$75:$D$100,3,FALSE)*Tabla1[[#This Row],[Tiempo
(Hrs 00/100)]]*1.16</f>
        <v>#N/A</v>
      </c>
    </row>
    <row r="3879" spans="1:26" ht="30" customHeight="1" x14ac:dyDescent="0.3">
      <c r="A3879" s="106"/>
      <c r="B3879" s="106"/>
      <c r="C3879" s="106"/>
      <c r="D3879" s="106"/>
      <c r="E3879" s="106"/>
      <c r="F3879" s="106"/>
      <c r="G3879" s="106"/>
      <c r="H3879" s="107"/>
      <c r="I3879" s="95"/>
      <c r="J3879" s="706"/>
      <c r="K3879" s="769"/>
      <c r="L3879" s="706"/>
      <c r="M3879" s="781"/>
      <c r="N3879" s="182"/>
      <c r="O3879" s="188"/>
      <c r="P3879" s="221"/>
      <c r="Q3879" s="106"/>
      <c r="R3879" s="108"/>
      <c r="S3879" s="108"/>
      <c r="T3879" s="108"/>
      <c r="U3879" s="108" t="str">
        <f>IFERROR(VLOOKUP(CONCATENATE(Tabla1[[#This Row],[Severidad]]," ",Tabla1[[#This Row],[Complejidad]]),Catalogos!E$120:G$128,3,FALSE),"")</f>
        <v/>
      </c>
      <c r="V3879" s="108" t="str">
        <f>IF(Tabla1[[#This Row],[Tiempo solución max (hrs)]]&lt;&gt;"",IF(Tabla1[[#This Row],[Tiempo solución max (hrs)]]&gt;=Tabla1[[#This Row],[Tiempo
(Hrs 00/100)]],"cumple","no cumple"),"")</f>
        <v/>
      </c>
      <c r="W3879" s="17"/>
      <c r="X3879" s="18">
        <f t="shared" si="250"/>
        <v>0</v>
      </c>
      <c r="Y3879" t="str">
        <f>SUBSTITUTE(Tabla1[[#This Row],[Descripción]],CHAR(10),"    I    ")</f>
        <v/>
      </c>
      <c r="Z3879" s="112" t="e">
        <f>VLOOKUP(Tabla1[[#This Row],[Perfil]],Catalogos!$B$75:$D$100,3,FALSE)*Tabla1[[#This Row],[Tiempo
(Hrs 00/100)]]*1.16</f>
        <v>#N/A</v>
      </c>
    </row>
    <row r="3880" spans="1:26" ht="30" customHeight="1" x14ac:dyDescent="0.3">
      <c r="A3880" s="106"/>
      <c r="B3880" s="106"/>
      <c r="C3880" s="106"/>
      <c r="D3880" s="106"/>
      <c r="E3880" s="106"/>
      <c r="F3880" s="106"/>
      <c r="G3880" s="106"/>
      <c r="H3880" s="107"/>
      <c r="I3880" s="95"/>
      <c r="J3880" s="706"/>
      <c r="K3880" s="769"/>
      <c r="L3880" s="706"/>
      <c r="M3880" s="781"/>
      <c r="N3880" s="182"/>
      <c r="O3880" s="188"/>
      <c r="P3880" s="221"/>
      <c r="Q3880" s="106"/>
      <c r="R3880" s="108"/>
      <c r="S3880" s="108"/>
      <c r="T3880" s="108"/>
      <c r="U3880" s="108" t="str">
        <f>IFERROR(VLOOKUP(CONCATENATE(Tabla1[[#This Row],[Severidad]]," ",Tabla1[[#This Row],[Complejidad]]),Catalogos!E$120:G$128,3,FALSE),"")</f>
        <v/>
      </c>
      <c r="V3880" s="108" t="str">
        <f>IF(Tabla1[[#This Row],[Tiempo solución max (hrs)]]&lt;&gt;"",IF(Tabla1[[#This Row],[Tiempo solución max (hrs)]]&gt;=Tabla1[[#This Row],[Tiempo
(Hrs 00/100)]],"cumple","no cumple"),"")</f>
        <v/>
      </c>
      <c r="W3880" s="17"/>
      <c r="X3880" s="18">
        <f t="shared" si="250"/>
        <v>0</v>
      </c>
      <c r="Y3880" t="str">
        <f>SUBSTITUTE(Tabla1[[#This Row],[Descripción]],CHAR(10),"    I    ")</f>
        <v/>
      </c>
      <c r="Z3880" s="112" t="e">
        <f>VLOOKUP(Tabla1[[#This Row],[Perfil]],Catalogos!$B$75:$D$100,3,FALSE)*Tabla1[[#This Row],[Tiempo
(Hrs 00/100)]]*1.16</f>
        <v>#N/A</v>
      </c>
    </row>
    <row r="3881" spans="1:26" ht="30" customHeight="1" x14ac:dyDescent="0.3">
      <c r="A3881" s="106"/>
      <c r="B3881" s="106"/>
      <c r="C3881" s="106"/>
      <c r="D3881" s="106"/>
      <c r="E3881" s="106"/>
      <c r="F3881" s="106"/>
      <c r="G3881" s="106"/>
      <c r="H3881" s="107"/>
      <c r="I3881" s="95"/>
      <c r="J3881" s="706"/>
      <c r="K3881" s="769"/>
      <c r="L3881" s="706"/>
      <c r="M3881" s="781"/>
      <c r="N3881" s="182"/>
      <c r="O3881" s="188"/>
      <c r="P3881" s="221"/>
      <c r="Q3881" s="106"/>
      <c r="R3881" s="108"/>
      <c r="S3881" s="108"/>
      <c r="T3881" s="108"/>
      <c r="U3881" s="108" t="str">
        <f>IFERROR(VLOOKUP(CONCATENATE(Tabla1[[#This Row],[Severidad]]," ",Tabla1[[#This Row],[Complejidad]]),Catalogos!E$120:G$128,3,FALSE),"")</f>
        <v/>
      </c>
      <c r="V3881" s="108" t="str">
        <f>IF(Tabla1[[#This Row],[Tiempo solución max (hrs)]]&lt;&gt;"",IF(Tabla1[[#This Row],[Tiempo solución max (hrs)]]&gt;=Tabla1[[#This Row],[Tiempo
(Hrs 00/100)]],"cumple","no cumple"),"")</f>
        <v/>
      </c>
      <c r="W3881" s="17"/>
      <c r="X3881" s="18">
        <f t="shared" si="250"/>
        <v>0</v>
      </c>
      <c r="Y3881" t="str">
        <f>SUBSTITUTE(Tabla1[[#This Row],[Descripción]],CHAR(10),"    I    ")</f>
        <v/>
      </c>
      <c r="Z3881" s="112" t="e">
        <f>VLOOKUP(Tabla1[[#This Row],[Perfil]],Catalogos!$B$75:$D$100,3,FALSE)*Tabla1[[#This Row],[Tiempo
(Hrs 00/100)]]*1.16</f>
        <v>#N/A</v>
      </c>
    </row>
    <row r="3882" spans="1:26" ht="30" customHeight="1" x14ac:dyDescent="0.3">
      <c r="A3882" s="106"/>
      <c r="B3882" s="106"/>
      <c r="C3882" s="106"/>
      <c r="D3882" s="106"/>
      <c r="E3882" s="106"/>
      <c r="F3882" s="106"/>
      <c r="G3882" s="106"/>
      <c r="H3882" s="107"/>
      <c r="I3882" s="95"/>
      <c r="J3882" s="706"/>
      <c r="K3882" s="769"/>
      <c r="L3882" s="706"/>
      <c r="M3882" s="781"/>
      <c r="N3882" s="182"/>
      <c r="O3882" s="188"/>
      <c r="P3882" s="221"/>
      <c r="Q3882" s="106"/>
      <c r="R3882" s="108"/>
      <c r="S3882" s="108"/>
      <c r="T3882" s="108"/>
      <c r="U3882" s="108" t="str">
        <f>IFERROR(VLOOKUP(CONCATENATE(Tabla1[[#This Row],[Severidad]]," ",Tabla1[[#This Row],[Complejidad]]),Catalogos!E$120:G$128,3,FALSE),"")</f>
        <v/>
      </c>
      <c r="V3882" s="108" t="str">
        <f>IF(Tabla1[[#This Row],[Tiempo solución max (hrs)]]&lt;&gt;"",IF(Tabla1[[#This Row],[Tiempo solución max (hrs)]]&gt;=Tabla1[[#This Row],[Tiempo
(Hrs 00/100)]],"cumple","no cumple"),"")</f>
        <v/>
      </c>
      <c r="W3882" s="17"/>
      <c r="X3882" s="18">
        <f t="shared" si="250"/>
        <v>0</v>
      </c>
      <c r="Y3882" t="str">
        <f>SUBSTITUTE(Tabla1[[#This Row],[Descripción]],CHAR(10),"    I    ")</f>
        <v/>
      </c>
      <c r="Z3882" s="112" t="e">
        <f>VLOOKUP(Tabla1[[#This Row],[Perfil]],Catalogos!$B$75:$D$100,3,FALSE)*Tabla1[[#This Row],[Tiempo
(Hrs 00/100)]]*1.16</f>
        <v>#N/A</v>
      </c>
    </row>
    <row r="3883" spans="1:26" ht="30" customHeight="1" x14ac:dyDescent="0.3">
      <c r="A3883" s="106"/>
      <c r="B3883" s="106"/>
      <c r="C3883" s="106"/>
      <c r="D3883" s="106"/>
      <c r="E3883" s="106"/>
      <c r="F3883" s="106"/>
      <c r="G3883" s="106"/>
      <c r="H3883" s="107"/>
      <c r="I3883" s="95"/>
      <c r="J3883" s="706"/>
      <c r="K3883" s="769"/>
      <c r="L3883" s="706"/>
      <c r="M3883" s="781"/>
      <c r="N3883" s="182"/>
      <c r="O3883" s="188"/>
      <c r="P3883" s="221"/>
      <c r="Q3883" s="106"/>
      <c r="R3883" s="108"/>
      <c r="S3883" s="108"/>
      <c r="T3883" s="108"/>
      <c r="U3883" s="108" t="str">
        <f>IFERROR(VLOOKUP(CONCATENATE(Tabla1[[#This Row],[Severidad]]," ",Tabla1[[#This Row],[Complejidad]]),Catalogos!E$120:G$128,3,FALSE),"")</f>
        <v/>
      </c>
      <c r="V3883" s="108" t="str">
        <f>IF(Tabla1[[#This Row],[Tiempo solución max (hrs)]]&lt;&gt;"",IF(Tabla1[[#This Row],[Tiempo solución max (hrs)]]&gt;=Tabla1[[#This Row],[Tiempo
(Hrs 00/100)]],"cumple","no cumple"),"")</f>
        <v/>
      </c>
      <c r="W3883" s="17"/>
      <c r="X3883" s="18">
        <f t="shared" si="250"/>
        <v>0</v>
      </c>
      <c r="Y3883" t="str">
        <f>SUBSTITUTE(Tabla1[[#This Row],[Descripción]],CHAR(10),"    I    ")</f>
        <v/>
      </c>
      <c r="Z3883" s="112" t="e">
        <f>VLOOKUP(Tabla1[[#This Row],[Perfil]],Catalogos!$B$75:$D$100,3,FALSE)*Tabla1[[#This Row],[Tiempo
(Hrs 00/100)]]*1.16</f>
        <v>#N/A</v>
      </c>
    </row>
    <row r="3884" spans="1:26" ht="30" customHeight="1" x14ac:dyDescent="0.3">
      <c r="A3884" s="106"/>
      <c r="B3884" s="106"/>
      <c r="C3884" s="106"/>
      <c r="D3884" s="106"/>
      <c r="E3884" s="106"/>
      <c r="F3884" s="106"/>
      <c r="G3884" s="106"/>
      <c r="H3884" s="107"/>
      <c r="I3884" s="95"/>
      <c r="J3884" s="706"/>
      <c r="K3884" s="769"/>
      <c r="L3884" s="706"/>
      <c r="M3884" s="781"/>
      <c r="N3884" s="182"/>
      <c r="O3884" s="188"/>
      <c r="P3884" s="221"/>
      <c r="Q3884" s="106"/>
      <c r="R3884" s="108"/>
      <c r="S3884" s="108"/>
      <c r="T3884" s="108"/>
      <c r="U3884" s="108" t="str">
        <f>IFERROR(VLOOKUP(CONCATENATE(Tabla1[[#This Row],[Severidad]]," ",Tabla1[[#This Row],[Complejidad]]),Catalogos!E$120:G$128,3,FALSE),"")</f>
        <v/>
      </c>
      <c r="V3884" s="108" t="str">
        <f>IF(Tabla1[[#This Row],[Tiempo solución max (hrs)]]&lt;&gt;"",IF(Tabla1[[#This Row],[Tiempo solución max (hrs)]]&gt;=Tabla1[[#This Row],[Tiempo
(Hrs 00/100)]],"cumple","no cumple"),"")</f>
        <v/>
      </c>
      <c r="W3884" s="17"/>
      <c r="X3884" s="18">
        <f t="shared" si="250"/>
        <v>0</v>
      </c>
      <c r="Y3884" t="str">
        <f>SUBSTITUTE(Tabla1[[#This Row],[Descripción]],CHAR(10),"    I    ")</f>
        <v/>
      </c>
      <c r="Z3884" s="112" t="e">
        <f>VLOOKUP(Tabla1[[#This Row],[Perfil]],Catalogos!$B$75:$D$100,3,FALSE)*Tabla1[[#This Row],[Tiempo
(Hrs 00/100)]]*1.16</f>
        <v>#N/A</v>
      </c>
    </row>
    <row r="3885" spans="1:26" ht="30" customHeight="1" x14ac:dyDescent="0.3">
      <c r="A3885" s="106"/>
      <c r="B3885" s="106"/>
      <c r="C3885" s="106"/>
      <c r="D3885" s="106"/>
      <c r="E3885" s="106"/>
      <c r="F3885" s="106"/>
      <c r="G3885" s="106"/>
      <c r="H3885" s="107"/>
      <c r="I3885" s="95"/>
      <c r="J3885" s="706"/>
      <c r="K3885" s="769"/>
      <c r="L3885" s="706"/>
      <c r="M3885" s="781"/>
      <c r="N3885" s="182"/>
      <c r="O3885" s="188"/>
      <c r="P3885" s="221"/>
      <c r="Q3885" s="106"/>
      <c r="R3885" s="108"/>
      <c r="S3885" s="108"/>
      <c r="T3885" s="108"/>
      <c r="U3885" s="108" t="str">
        <f>IFERROR(VLOOKUP(CONCATENATE(Tabla1[[#This Row],[Severidad]]," ",Tabla1[[#This Row],[Complejidad]]),Catalogos!E$120:G$128,3,FALSE),"")</f>
        <v/>
      </c>
      <c r="V3885" s="108" t="str">
        <f>IF(Tabla1[[#This Row],[Tiempo solución max (hrs)]]&lt;&gt;"",IF(Tabla1[[#This Row],[Tiempo solución max (hrs)]]&gt;=Tabla1[[#This Row],[Tiempo
(Hrs 00/100)]],"cumple","no cumple"),"")</f>
        <v/>
      </c>
      <c r="W3885" s="17"/>
      <c r="X3885" s="18">
        <f t="shared" si="250"/>
        <v>0</v>
      </c>
      <c r="Y3885" t="str">
        <f>SUBSTITUTE(Tabla1[[#This Row],[Descripción]],CHAR(10),"    I    ")</f>
        <v/>
      </c>
      <c r="Z3885" s="112" t="e">
        <f>VLOOKUP(Tabla1[[#This Row],[Perfil]],Catalogos!$B$75:$D$100,3,FALSE)*Tabla1[[#This Row],[Tiempo
(Hrs 00/100)]]*1.16</f>
        <v>#N/A</v>
      </c>
    </row>
    <row r="3886" spans="1:26" ht="30" customHeight="1" x14ac:dyDescent="0.3">
      <c r="A3886" s="106"/>
      <c r="B3886" s="106"/>
      <c r="C3886" s="106"/>
      <c r="D3886" s="106"/>
      <c r="E3886" s="106"/>
      <c r="F3886" s="106"/>
      <c r="G3886" s="106"/>
      <c r="H3886" s="107"/>
      <c r="I3886" s="95"/>
      <c r="J3886" s="706"/>
      <c r="K3886" s="769"/>
      <c r="L3886" s="706"/>
      <c r="M3886" s="781"/>
      <c r="N3886" s="182"/>
      <c r="O3886" s="188"/>
      <c r="P3886" s="221"/>
      <c r="Q3886" s="106"/>
      <c r="R3886" s="108"/>
      <c r="S3886" s="108"/>
      <c r="T3886" s="108"/>
      <c r="U3886" s="108" t="str">
        <f>IFERROR(VLOOKUP(CONCATENATE(Tabla1[[#This Row],[Severidad]]," ",Tabla1[[#This Row],[Complejidad]]),Catalogos!E$120:G$128,3,FALSE),"")</f>
        <v/>
      </c>
      <c r="V3886" s="108" t="str">
        <f>IF(Tabla1[[#This Row],[Tiempo solución max (hrs)]]&lt;&gt;"",IF(Tabla1[[#This Row],[Tiempo solución max (hrs)]]&gt;=Tabla1[[#This Row],[Tiempo
(Hrs 00/100)]],"cumple","no cumple"),"")</f>
        <v/>
      </c>
      <c r="W3886" s="17"/>
      <c r="X3886" s="18">
        <f t="shared" si="250"/>
        <v>0</v>
      </c>
      <c r="Y3886" t="str">
        <f>SUBSTITUTE(Tabla1[[#This Row],[Descripción]],CHAR(10),"    I    ")</f>
        <v/>
      </c>
      <c r="Z3886" s="112" t="e">
        <f>VLOOKUP(Tabla1[[#This Row],[Perfil]],Catalogos!$B$75:$D$100,3,FALSE)*Tabla1[[#This Row],[Tiempo
(Hrs 00/100)]]*1.16</f>
        <v>#N/A</v>
      </c>
    </row>
    <row r="3887" spans="1:26" ht="30" customHeight="1" x14ac:dyDescent="0.3">
      <c r="A3887" s="106"/>
      <c r="B3887" s="106"/>
      <c r="C3887" s="106"/>
      <c r="D3887" s="106"/>
      <c r="E3887" s="106"/>
      <c r="F3887" s="106"/>
      <c r="G3887" s="106"/>
      <c r="H3887" s="107"/>
      <c r="I3887" s="95"/>
      <c r="J3887" s="706"/>
      <c r="K3887" s="769"/>
      <c r="L3887" s="706"/>
      <c r="M3887" s="781"/>
      <c r="N3887" s="182"/>
      <c r="O3887" s="188"/>
      <c r="P3887" s="221"/>
      <c r="Q3887" s="106"/>
      <c r="R3887" s="108"/>
      <c r="S3887" s="108"/>
      <c r="T3887" s="108"/>
      <c r="U3887" s="108" t="str">
        <f>IFERROR(VLOOKUP(CONCATENATE(Tabla1[[#This Row],[Severidad]]," ",Tabla1[[#This Row],[Complejidad]]),Catalogos!E$120:G$128,3,FALSE),"")</f>
        <v/>
      </c>
      <c r="V3887" s="108" t="str">
        <f>IF(Tabla1[[#This Row],[Tiempo solución max (hrs)]]&lt;&gt;"",IF(Tabla1[[#This Row],[Tiempo solución max (hrs)]]&gt;=Tabla1[[#This Row],[Tiempo
(Hrs 00/100)]],"cumple","no cumple"),"")</f>
        <v/>
      </c>
      <c r="W3887" s="17"/>
      <c r="X3887" s="18">
        <f t="shared" si="250"/>
        <v>0</v>
      </c>
      <c r="Y3887" t="str">
        <f>SUBSTITUTE(Tabla1[[#This Row],[Descripción]],CHAR(10),"    I    ")</f>
        <v/>
      </c>
      <c r="Z3887" s="112" t="e">
        <f>VLOOKUP(Tabla1[[#This Row],[Perfil]],Catalogos!$B$75:$D$100,3,FALSE)*Tabla1[[#This Row],[Tiempo
(Hrs 00/100)]]*1.16</f>
        <v>#N/A</v>
      </c>
    </row>
    <row r="3888" spans="1:26" ht="30" customHeight="1" x14ac:dyDescent="0.3">
      <c r="A3888" s="106"/>
      <c r="B3888" s="106"/>
      <c r="C3888" s="106"/>
      <c r="D3888" s="106"/>
      <c r="E3888" s="106"/>
      <c r="F3888" s="106"/>
      <c r="G3888" s="106"/>
      <c r="H3888" s="107"/>
      <c r="I3888" s="95"/>
      <c r="J3888" s="706"/>
      <c r="K3888" s="769"/>
      <c r="L3888" s="706"/>
      <c r="M3888" s="781"/>
      <c r="N3888" s="182"/>
      <c r="O3888" s="188"/>
      <c r="P3888" s="221"/>
      <c r="Q3888" s="106"/>
      <c r="R3888" s="108"/>
      <c r="S3888" s="108"/>
      <c r="T3888" s="108"/>
      <c r="U3888" s="108" t="str">
        <f>IFERROR(VLOOKUP(CONCATENATE(Tabla1[[#This Row],[Severidad]]," ",Tabla1[[#This Row],[Complejidad]]),Catalogos!E$120:G$128,3,FALSE),"")</f>
        <v/>
      </c>
      <c r="V3888" s="108" t="str">
        <f>IF(Tabla1[[#This Row],[Tiempo solución max (hrs)]]&lt;&gt;"",IF(Tabla1[[#This Row],[Tiempo solución max (hrs)]]&gt;=Tabla1[[#This Row],[Tiempo
(Hrs 00/100)]],"cumple","no cumple"),"")</f>
        <v/>
      </c>
      <c r="W3888" s="17"/>
      <c r="X3888" s="18">
        <f t="shared" si="250"/>
        <v>0</v>
      </c>
      <c r="Y3888" t="str">
        <f>SUBSTITUTE(Tabla1[[#This Row],[Descripción]],CHAR(10),"    I    ")</f>
        <v/>
      </c>
      <c r="Z3888" s="112" t="e">
        <f>VLOOKUP(Tabla1[[#This Row],[Perfil]],Catalogos!$B$75:$D$100,3,FALSE)*Tabla1[[#This Row],[Tiempo
(Hrs 00/100)]]*1.16</f>
        <v>#N/A</v>
      </c>
    </row>
    <row r="3889" spans="1:26" ht="30" customHeight="1" x14ac:dyDescent="0.3">
      <c r="A3889" s="106"/>
      <c r="B3889" s="106"/>
      <c r="C3889" s="106"/>
      <c r="D3889" s="106"/>
      <c r="E3889" s="106"/>
      <c r="F3889" s="106"/>
      <c r="G3889" s="106"/>
      <c r="H3889" s="107"/>
      <c r="I3889" s="95"/>
      <c r="J3889" s="706"/>
      <c r="K3889" s="769"/>
      <c r="L3889" s="706"/>
      <c r="M3889" s="781"/>
      <c r="N3889" s="182"/>
      <c r="O3889" s="188"/>
      <c r="P3889" s="221"/>
      <c r="Q3889" s="106"/>
      <c r="R3889" s="108"/>
      <c r="S3889" s="108"/>
      <c r="T3889" s="108"/>
      <c r="U3889" s="108" t="str">
        <f>IFERROR(VLOOKUP(CONCATENATE(Tabla1[[#This Row],[Severidad]]," ",Tabla1[[#This Row],[Complejidad]]),Catalogos!E$120:G$128,3,FALSE),"")</f>
        <v/>
      </c>
      <c r="V3889" s="108" t="str">
        <f>IF(Tabla1[[#This Row],[Tiempo solución max (hrs)]]&lt;&gt;"",IF(Tabla1[[#This Row],[Tiempo solución max (hrs)]]&gt;=Tabla1[[#This Row],[Tiempo
(Hrs 00/100)]],"cumple","no cumple"),"")</f>
        <v/>
      </c>
      <c r="W3889" s="17"/>
      <c r="X3889" s="18">
        <f t="shared" si="250"/>
        <v>0</v>
      </c>
      <c r="Y3889" t="str">
        <f>SUBSTITUTE(Tabla1[[#This Row],[Descripción]],CHAR(10),"    I    ")</f>
        <v/>
      </c>
      <c r="Z3889" s="112" t="e">
        <f>VLOOKUP(Tabla1[[#This Row],[Perfil]],Catalogos!$B$75:$D$100,3,FALSE)*Tabla1[[#This Row],[Tiempo
(Hrs 00/100)]]*1.16</f>
        <v>#N/A</v>
      </c>
    </row>
    <row r="3890" spans="1:26" ht="30" customHeight="1" x14ac:dyDescent="0.3">
      <c r="A3890" s="106"/>
      <c r="B3890" s="106"/>
      <c r="C3890" s="106"/>
      <c r="D3890" s="106"/>
      <c r="E3890" s="106"/>
      <c r="F3890" s="106"/>
      <c r="G3890" s="106"/>
      <c r="H3890" s="107"/>
      <c r="I3890" s="95"/>
      <c r="J3890" s="706"/>
      <c r="K3890" s="769"/>
      <c r="L3890" s="706"/>
      <c r="M3890" s="781"/>
      <c r="N3890" s="182"/>
      <c r="O3890" s="188"/>
      <c r="P3890" s="221"/>
      <c r="Q3890" s="106"/>
      <c r="R3890" s="108"/>
      <c r="S3890" s="108"/>
      <c r="T3890" s="108"/>
      <c r="U3890" s="108" t="str">
        <f>IFERROR(VLOOKUP(CONCATENATE(Tabla1[[#This Row],[Severidad]]," ",Tabla1[[#This Row],[Complejidad]]),Catalogos!E$120:G$128,3,FALSE),"")</f>
        <v/>
      </c>
      <c r="V3890" s="108" t="str">
        <f>IF(Tabla1[[#This Row],[Tiempo solución max (hrs)]]&lt;&gt;"",IF(Tabla1[[#This Row],[Tiempo solución max (hrs)]]&gt;=Tabla1[[#This Row],[Tiempo
(Hrs 00/100)]],"cumple","no cumple"),"")</f>
        <v/>
      </c>
      <c r="W3890" s="17"/>
      <c r="X3890" s="18">
        <f t="shared" si="250"/>
        <v>0</v>
      </c>
      <c r="Y3890" t="str">
        <f>SUBSTITUTE(Tabla1[[#This Row],[Descripción]],CHAR(10),"    I    ")</f>
        <v/>
      </c>
      <c r="Z3890" s="112" t="e">
        <f>VLOOKUP(Tabla1[[#This Row],[Perfil]],Catalogos!$B$75:$D$100,3,FALSE)*Tabla1[[#This Row],[Tiempo
(Hrs 00/100)]]*1.16</f>
        <v>#N/A</v>
      </c>
    </row>
    <row r="3891" spans="1:26" ht="30" customHeight="1" x14ac:dyDescent="0.3">
      <c r="A3891" s="106"/>
      <c r="B3891" s="106"/>
      <c r="C3891" s="106"/>
      <c r="D3891" s="106"/>
      <c r="E3891" s="106"/>
      <c r="F3891" s="106"/>
      <c r="G3891" s="106"/>
      <c r="H3891" s="107"/>
      <c r="I3891" s="95"/>
      <c r="J3891" s="706"/>
      <c r="K3891" s="769"/>
      <c r="L3891" s="706"/>
      <c r="M3891" s="781"/>
      <c r="N3891" s="182"/>
      <c r="O3891" s="188"/>
      <c r="P3891" s="221"/>
      <c r="Q3891" s="106"/>
      <c r="R3891" s="108"/>
      <c r="S3891" s="108"/>
      <c r="T3891" s="108"/>
      <c r="U3891" s="108" t="str">
        <f>IFERROR(VLOOKUP(CONCATENATE(Tabla1[[#This Row],[Severidad]]," ",Tabla1[[#This Row],[Complejidad]]),Catalogos!E$120:G$128,3,FALSE),"")</f>
        <v/>
      </c>
      <c r="V3891" s="108" t="str">
        <f>IF(Tabla1[[#This Row],[Tiempo solución max (hrs)]]&lt;&gt;"",IF(Tabla1[[#This Row],[Tiempo solución max (hrs)]]&gt;=Tabla1[[#This Row],[Tiempo
(Hrs 00/100)]],"cumple","no cumple"),"")</f>
        <v/>
      </c>
      <c r="W3891" s="17"/>
      <c r="X3891" s="18">
        <f t="shared" si="250"/>
        <v>0</v>
      </c>
      <c r="Y3891" t="str">
        <f>SUBSTITUTE(Tabla1[[#This Row],[Descripción]],CHAR(10),"    I    ")</f>
        <v/>
      </c>
      <c r="Z3891" s="112" t="e">
        <f>VLOOKUP(Tabla1[[#This Row],[Perfil]],Catalogos!$B$75:$D$100,3,FALSE)*Tabla1[[#This Row],[Tiempo
(Hrs 00/100)]]*1.16</f>
        <v>#N/A</v>
      </c>
    </row>
    <row r="3892" spans="1:26" ht="30" customHeight="1" x14ac:dyDescent="0.3">
      <c r="A3892" s="106"/>
      <c r="B3892" s="106"/>
      <c r="C3892" s="106"/>
      <c r="D3892" s="106"/>
      <c r="E3892" s="106"/>
      <c r="F3892" s="106"/>
      <c r="G3892" s="106"/>
      <c r="H3892" s="107"/>
      <c r="I3892" s="95"/>
      <c r="J3892" s="706"/>
      <c r="K3892" s="769"/>
      <c r="L3892" s="706"/>
      <c r="M3892" s="781"/>
      <c r="N3892" s="182"/>
      <c r="O3892" s="188"/>
      <c r="P3892" s="221"/>
      <c r="Q3892" s="106"/>
      <c r="R3892" s="108"/>
      <c r="S3892" s="108"/>
      <c r="T3892" s="108"/>
      <c r="U3892" s="108" t="str">
        <f>IFERROR(VLOOKUP(CONCATENATE(Tabla1[[#This Row],[Severidad]]," ",Tabla1[[#This Row],[Complejidad]]),Catalogos!E$120:G$128,3,FALSE),"")</f>
        <v/>
      </c>
      <c r="V3892" s="108" t="str">
        <f>IF(Tabla1[[#This Row],[Tiempo solución max (hrs)]]&lt;&gt;"",IF(Tabla1[[#This Row],[Tiempo solución max (hrs)]]&gt;=Tabla1[[#This Row],[Tiempo
(Hrs 00/100)]],"cumple","no cumple"),"")</f>
        <v/>
      </c>
      <c r="W3892" s="17"/>
      <c r="X3892" s="18">
        <f t="shared" si="250"/>
        <v>0</v>
      </c>
      <c r="Y3892" t="str">
        <f>SUBSTITUTE(Tabla1[[#This Row],[Descripción]],CHAR(10),"    I    ")</f>
        <v/>
      </c>
      <c r="Z3892" s="112" t="e">
        <f>VLOOKUP(Tabla1[[#This Row],[Perfil]],Catalogos!$B$75:$D$100,3,FALSE)*Tabla1[[#This Row],[Tiempo
(Hrs 00/100)]]*1.16</f>
        <v>#N/A</v>
      </c>
    </row>
    <row r="3893" spans="1:26" ht="30" customHeight="1" x14ac:dyDescent="0.3">
      <c r="A3893" s="106"/>
      <c r="B3893" s="106"/>
      <c r="C3893" s="106"/>
      <c r="D3893" s="106"/>
      <c r="E3893" s="106"/>
      <c r="F3893" s="106"/>
      <c r="G3893" s="106"/>
      <c r="H3893" s="107"/>
      <c r="I3893" s="95"/>
      <c r="J3893" s="706"/>
      <c r="K3893" s="769"/>
      <c r="L3893" s="706"/>
      <c r="M3893" s="781"/>
      <c r="N3893" s="182"/>
      <c r="O3893" s="188"/>
      <c r="P3893" s="221"/>
      <c r="Q3893" s="106"/>
      <c r="R3893" s="108"/>
      <c r="S3893" s="108"/>
      <c r="T3893" s="108"/>
      <c r="U3893" s="108" t="str">
        <f>IFERROR(VLOOKUP(CONCATENATE(Tabla1[[#This Row],[Severidad]]," ",Tabla1[[#This Row],[Complejidad]]),Catalogos!E$120:G$128,3,FALSE),"")</f>
        <v/>
      </c>
      <c r="V3893" s="108" t="str">
        <f>IF(Tabla1[[#This Row],[Tiempo solución max (hrs)]]&lt;&gt;"",IF(Tabla1[[#This Row],[Tiempo solución max (hrs)]]&gt;=Tabla1[[#This Row],[Tiempo
(Hrs 00/100)]],"cumple","no cumple"),"")</f>
        <v/>
      </c>
      <c r="W3893" s="17"/>
      <c r="X3893" s="18">
        <f t="shared" si="250"/>
        <v>0</v>
      </c>
      <c r="Y3893" t="str">
        <f>SUBSTITUTE(Tabla1[[#This Row],[Descripción]],CHAR(10),"    I    ")</f>
        <v/>
      </c>
      <c r="Z3893" s="112" t="e">
        <f>VLOOKUP(Tabla1[[#This Row],[Perfil]],Catalogos!$B$75:$D$100,3,FALSE)*Tabla1[[#This Row],[Tiempo
(Hrs 00/100)]]*1.16</f>
        <v>#N/A</v>
      </c>
    </row>
    <row r="3894" spans="1:26" ht="30" customHeight="1" x14ac:dyDescent="0.3">
      <c r="A3894" s="106"/>
      <c r="B3894" s="106"/>
      <c r="C3894" s="106"/>
      <c r="D3894" s="106"/>
      <c r="E3894" s="106"/>
      <c r="F3894" s="106"/>
      <c r="G3894" s="106"/>
      <c r="H3894" s="107"/>
      <c r="I3894" s="95"/>
      <c r="J3894" s="706"/>
      <c r="K3894" s="769"/>
      <c r="L3894" s="706"/>
      <c r="M3894" s="781"/>
      <c r="N3894" s="182"/>
      <c r="O3894" s="188"/>
      <c r="P3894" s="221"/>
      <c r="Q3894" s="106"/>
      <c r="R3894" s="108"/>
      <c r="S3894" s="108"/>
      <c r="T3894" s="108"/>
      <c r="U3894" s="108" t="str">
        <f>IFERROR(VLOOKUP(CONCATENATE(Tabla1[[#This Row],[Severidad]]," ",Tabla1[[#This Row],[Complejidad]]),Catalogos!E$120:G$128,3,FALSE),"")</f>
        <v/>
      </c>
      <c r="V3894" s="108" t="str">
        <f>IF(Tabla1[[#This Row],[Tiempo solución max (hrs)]]&lt;&gt;"",IF(Tabla1[[#This Row],[Tiempo solución max (hrs)]]&gt;=Tabla1[[#This Row],[Tiempo
(Hrs 00/100)]],"cumple","no cumple"),"")</f>
        <v/>
      </c>
      <c r="W3894" s="17"/>
      <c r="X3894" s="18">
        <f t="shared" si="250"/>
        <v>0</v>
      </c>
      <c r="Y3894" t="str">
        <f>SUBSTITUTE(Tabla1[[#This Row],[Descripción]],CHAR(10),"    I    ")</f>
        <v/>
      </c>
      <c r="Z3894" s="112" t="e">
        <f>VLOOKUP(Tabla1[[#This Row],[Perfil]],Catalogos!$B$75:$D$100,3,FALSE)*Tabla1[[#This Row],[Tiempo
(Hrs 00/100)]]*1.16</f>
        <v>#N/A</v>
      </c>
    </row>
    <row r="3895" spans="1:26" ht="30" customHeight="1" x14ac:dyDescent="0.3">
      <c r="A3895" s="106"/>
      <c r="B3895" s="106"/>
      <c r="C3895" s="106"/>
      <c r="D3895" s="106"/>
      <c r="E3895" s="106"/>
      <c r="F3895" s="106"/>
      <c r="G3895" s="106"/>
      <c r="H3895" s="107"/>
      <c r="I3895" s="95"/>
      <c r="J3895" s="706"/>
      <c r="K3895" s="769"/>
      <c r="L3895" s="706"/>
      <c r="M3895" s="781"/>
      <c r="N3895" s="182"/>
      <c r="O3895" s="188"/>
      <c r="P3895" s="221"/>
      <c r="Q3895" s="106"/>
      <c r="R3895" s="108"/>
      <c r="S3895" s="108"/>
      <c r="T3895" s="108"/>
      <c r="U3895" s="108" t="str">
        <f>IFERROR(VLOOKUP(CONCATENATE(Tabla1[[#This Row],[Severidad]]," ",Tabla1[[#This Row],[Complejidad]]),Catalogos!E$120:G$128,3,FALSE),"")</f>
        <v/>
      </c>
      <c r="V3895" s="108" t="str">
        <f>IF(Tabla1[[#This Row],[Tiempo solución max (hrs)]]&lt;&gt;"",IF(Tabla1[[#This Row],[Tiempo solución max (hrs)]]&gt;=Tabla1[[#This Row],[Tiempo
(Hrs 00/100)]],"cumple","no cumple"),"")</f>
        <v/>
      </c>
      <c r="W3895" s="17"/>
      <c r="X3895" s="18">
        <f t="shared" si="250"/>
        <v>0</v>
      </c>
      <c r="Y3895" t="str">
        <f>SUBSTITUTE(Tabla1[[#This Row],[Descripción]],CHAR(10),"    I    ")</f>
        <v/>
      </c>
      <c r="Z3895" s="112" t="e">
        <f>VLOOKUP(Tabla1[[#This Row],[Perfil]],Catalogos!$B$75:$D$100,3,FALSE)*Tabla1[[#This Row],[Tiempo
(Hrs 00/100)]]*1.16</f>
        <v>#N/A</v>
      </c>
    </row>
    <row r="3896" spans="1:26" ht="30" customHeight="1" x14ac:dyDescent="0.3">
      <c r="A3896" s="106"/>
      <c r="B3896" s="106"/>
      <c r="C3896" s="106"/>
      <c r="D3896" s="106"/>
      <c r="E3896" s="106"/>
      <c r="F3896" s="106"/>
      <c r="G3896" s="106"/>
      <c r="H3896" s="107"/>
      <c r="I3896" s="95"/>
      <c r="J3896" s="706"/>
      <c r="K3896" s="769"/>
      <c r="L3896" s="706"/>
      <c r="M3896" s="781"/>
      <c r="N3896" s="182"/>
      <c r="O3896" s="188"/>
      <c r="P3896" s="221"/>
      <c r="Q3896" s="106"/>
      <c r="R3896" s="108"/>
      <c r="S3896" s="108"/>
      <c r="T3896" s="108"/>
      <c r="U3896" s="108" t="str">
        <f>IFERROR(VLOOKUP(CONCATENATE(Tabla1[[#This Row],[Severidad]]," ",Tabla1[[#This Row],[Complejidad]]),Catalogos!E$120:G$128,3,FALSE),"")</f>
        <v/>
      </c>
      <c r="V3896" s="108" t="str">
        <f>IF(Tabla1[[#This Row],[Tiempo solución max (hrs)]]&lt;&gt;"",IF(Tabla1[[#This Row],[Tiempo solución max (hrs)]]&gt;=Tabla1[[#This Row],[Tiempo
(Hrs 00/100)]],"cumple","no cumple"),"")</f>
        <v/>
      </c>
      <c r="W3896" s="17"/>
      <c r="X3896" s="18">
        <f t="shared" si="250"/>
        <v>0</v>
      </c>
      <c r="Y3896" t="str">
        <f>SUBSTITUTE(Tabla1[[#This Row],[Descripción]],CHAR(10),"    I    ")</f>
        <v/>
      </c>
      <c r="Z3896" s="112" t="e">
        <f>VLOOKUP(Tabla1[[#This Row],[Perfil]],Catalogos!$B$75:$D$100,3,FALSE)*Tabla1[[#This Row],[Tiempo
(Hrs 00/100)]]*1.16</f>
        <v>#N/A</v>
      </c>
    </row>
    <row r="3897" spans="1:26" ht="30" customHeight="1" x14ac:dyDescent="0.3">
      <c r="A3897" s="106"/>
      <c r="B3897" s="106"/>
      <c r="C3897" s="106"/>
      <c r="D3897" s="106"/>
      <c r="E3897" s="106"/>
      <c r="F3897" s="106"/>
      <c r="G3897" s="106"/>
      <c r="H3897" s="107"/>
      <c r="I3897" s="95"/>
      <c r="J3897" s="706"/>
      <c r="K3897" s="769"/>
      <c r="L3897" s="706"/>
      <c r="M3897" s="781"/>
      <c r="N3897" s="182"/>
      <c r="O3897" s="188"/>
      <c r="P3897" s="221"/>
      <c r="Q3897" s="106"/>
      <c r="R3897" s="108"/>
      <c r="S3897" s="108"/>
      <c r="T3897" s="108"/>
      <c r="U3897" s="108" t="str">
        <f>IFERROR(VLOOKUP(CONCATENATE(Tabla1[[#This Row],[Severidad]]," ",Tabla1[[#This Row],[Complejidad]]),Catalogos!E$120:G$128,3,FALSE),"")</f>
        <v/>
      </c>
      <c r="V3897" s="108" t="str">
        <f>IF(Tabla1[[#This Row],[Tiempo solución max (hrs)]]&lt;&gt;"",IF(Tabla1[[#This Row],[Tiempo solución max (hrs)]]&gt;=Tabla1[[#This Row],[Tiempo
(Hrs 00/100)]],"cumple","no cumple"),"")</f>
        <v/>
      </c>
      <c r="W3897" s="17"/>
      <c r="X3897" s="18">
        <f t="shared" si="250"/>
        <v>0</v>
      </c>
      <c r="Y3897" t="str">
        <f>SUBSTITUTE(Tabla1[[#This Row],[Descripción]],CHAR(10),"    I    ")</f>
        <v/>
      </c>
      <c r="Z3897" s="112" t="e">
        <f>VLOOKUP(Tabla1[[#This Row],[Perfil]],Catalogos!$B$75:$D$100,3,FALSE)*Tabla1[[#This Row],[Tiempo
(Hrs 00/100)]]*1.16</f>
        <v>#N/A</v>
      </c>
    </row>
    <row r="3898" spans="1:26" ht="30" customHeight="1" x14ac:dyDescent="0.3">
      <c r="A3898" s="106"/>
      <c r="B3898" s="106"/>
      <c r="C3898" s="106"/>
      <c r="D3898" s="106"/>
      <c r="E3898" s="106"/>
      <c r="F3898" s="106"/>
      <c r="G3898" s="106"/>
      <c r="H3898" s="107"/>
      <c r="I3898" s="95"/>
      <c r="J3898" s="706"/>
      <c r="K3898" s="769"/>
      <c r="L3898" s="706"/>
      <c r="M3898" s="781"/>
      <c r="N3898" s="182"/>
      <c r="O3898" s="188"/>
      <c r="P3898" s="221"/>
      <c r="Q3898" s="106"/>
      <c r="R3898" s="108"/>
      <c r="S3898" s="108"/>
      <c r="T3898" s="108"/>
      <c r="U3898" s="108" t="str">
        <f>IFERROR(VLOOKUP(CONCATENATE(Tabla1[[#This Row],[Severidad]]," ",Tabla1[[#This Row],[Complejidad]]),Catalogos!E$120:G$128,3,FALSE),"")</f>
        <v/>
      </c>
      <c r="V3898" s="108" t="str">
        <f>IF(Tabla1[[#This Row],[Tiempo solución max (hrs)]]&lt;&gt;"",IF(Tabla1[[#This Row],[Tiempo solución max (hrs)]]&gt;=Tabla1[[#This Row],[Tiempo
(Hrs 00/100)]],"cumple","no cumple"),"")</f>
        <v/>
      </c>
      <c r="W3898" s="17"/>
      <c r="X3898" s="18">
        <f t="shared" si="250"/>
        <v>0</v>
      </c>
      <c r="Y3898" t="str">
        <f>SUBSTITUTE(Tabla1[[#This Row],[Descripción]],CHAR(10),"    I    ")</f>
        <v/>
      </c>
      <c r="Z3898" s="112" t="e">
        <f>VLOOKUP(Tabla1[[#This Row],[Perfil]],Catalogos!$B$75:$D$100,3,FALSE)*Tabla1[[#This Row],[Tiempo
(Hrs 00/100)]]*1.16</f>
        <v>#N/A</v>
      </c>
    </row>
    <row r="3899" spans="1:26" ht="30" customHeight="1" x14ac:dyDescent="0.3">
      <c r="A3899" s="106"/>
      <c r="B3899" s="106"/>
      <c r="C3899" s="106"/>
      <c r="D3899" s="106"/>
      <c r="E3899" s="106"/>
      <c r="F3899" s="106"/>
      <c r="G3899" s="106"/>
      <c r="H3899" s="107"/>
      <c r="I3899" s="95"/>
      <c r="J3899" s="706"/>
      <c r="K3899" s="769"/>
      <c r="L3899" s="706"/>
      <c r="M3899" s="781"/>
      <c r="N3899" s="182"/>
      <c r="O3899" s="188"/>
      <c r="P3899" s="221"/>
      <c r="Q3899" s="106"/>
      <c r="R3899" s="108"/>
      <c r="S3899" s="108"/>
      <c r="T3899" s="108"/>
      <c r="U3899" s="108" t="str">
        <f>IFERROR(VLOOKUP(CONCATENATE(Tabla1[[#This Row],[Severidad]]," ",Tabla1[[#This Row],[Complejidad]]),Catalogos!E$120:G$128,3,FALSE),"")</f>
        <v/>
      </c>
      <c r="V3899" s="108" t="str">
        <f>IF(Tabla1[[#This Row],[Tiempo solución max (hrs)]]&lt;&gt;"",IF(Tabla1[[#This Row],[Tiempo solución max (hrs)]]&gt;=Tabla1[[#This Row],[Tiempo
(Hrs 00/100)]],"cumple","no cumple"),"")</f>
        <v/>
      </c>
      <c r="W3899" s="17"/>
      <c r="X3899" s="18">
        <f t="shared" si="250"/>
        <v>0</v>
      </c>
      <c r="Y3899" t="str">
        <f>SUBSTITUTE(Tabla1[[#This Row],[Descripción]],CHAR(10),"    I    ")</f>
        <v/>
      </c>
      <c r="Z3899" s="112" t="e">
        <f>VLOOKUP(Tabla1[[#This Row],[Perfil]],Catalogos!$B$75:$D$100,3,FALSE)*Tabla1[[#This Row],[Tiempo
(Hrs 00/100)]]*1.16</f>
        <v>#N/A</v>
      </c>
    </row>
    <row r="3900" spans="1:26" ht="30" customHeight="1" x14ac:dyDescent="0.3">
      <c r="A3900" s="106"/>
      <c r="B3900" s="106"/>
      <c r="C3900" s="106"/>
      <c r="D3900" s="106"/>
      <c r="E3900" s="106"/>
      <c r="F3900" s="106"/>
      <c r="G3900" s="106"/>
      <c r="H3900" s="107"/>
      <c r="I3900" s="95"/>
      <c r="J3900" s="706"/>
      <c r="K3900" s="769"/>
      <c r="L3900" s="706"/>
      <c r="M3900" s="781"/>
      <c r="N3900" s="182"/>
      <c r="O3900" s="188"/>
      <c r="P3900" s="221"/>
      <c r="Q3900" s="106"/>
      <c r="R3900" s="108"/>
      <c r="S3900" s="108"/>
      <c r="T3900" s="108"/>
      <c r="U3900" s="108" t="str">
        <f>IFERROR(VLOOKUP(CONCATENATE(Tabla1[[#This Row],[Severidad]]," ",Tabla1[[#This Row],[Complejidad]]),Catalogos!E$120:G$128,3,FALSE),"")</f>
        <v/>
      </c>
      <c r="V3900" s="108" t="str">
        <f>IF(Tabla1[[#This Row],[Tiempo solución max (hrs)]]&lt;&gt;"",IF(Tabla1[[#This Row],[Tiempo solución max (hrs)]]&gt;=Tabla1[[#This Row],[Tiempo
(Hrs 00/100)]],"cumple","no cumple"),"")</f>
        <v/>
      </c>
      <c r="W3900" s="17"/>
      <c r="X3900" s="18">
        <f t="shared" si="250"/>
        <v>0</v>
      </c>
      <c r="Y3900" t="str">
        <f>SUBSTITUTE(Tabla1[[#This Row],[Descripción]],CHAR(10),"    I    ")</f>
        <v/>
      </c>
      <c r="Z3900" s="112" t="e">
        <f>VLOOKUP(Tabla1[[#This Row],[Perfil]],Catalogos!$B$75:$D$100,3,FALSE)*Tabla1[[#This Row],[Tiempo
(Hrs 00/100)]]*1.16</f>
        <v>#N/A</v>
      </c>
    </row>
    <row r="3901" spans="1:26" ht="30" customHeight="1" x14ac:dyDescent="0.3">
      <c r="A3901" s="106"/>
      <c r="B3901" s="106"/>
      <c r="C3901" s="106"/>
      <c r="D3901" s="106"/>
      <c r="E3901" s="106"/>
      <c r="F3901" s="106"/>
      <c r="G3901" s="106"/>
      <c r="H3901" s="107"/>
      <c r="I3901" s="95"/>
      <c r="J3901" s="706"/>
      <c r="K3901" s="769"/>
      <c r="L3901" s="706"/>
      <c r="M3901" s="781"/>
      <c r="N3901" s="182"/>
      <c r="O3901" s="188"/>
      <c r="P3901" s="221"/>
      <c r="Q3901" s="106"/>
      <c r="R3901" s="108"/>
      <c r="S3901" s="108"/>
      <c r="T3901" s="108"/>
      <c r="U3901" s="108" t="str">
        <f>IFERROR(VLOOKUP(CONCATENATE(Tabla1[[#This Row],[Severidad]]," ",Tabla1[[#This Row],[Complejidad]]),Catalogos!E$120:G$128,3,FALSE),"")</f>
        <v/>
      </c>
      <c r="V3901" s="108" t="str">
        <f>IF(Tabla1[[#This Row],[Tiempo solución max (hrs)]]&lt;&gt;"",IF(Tabla1[[#This Row],[Tiempo solución max (hrs)]]&gt;=Tabla1[[#This Row],[Tiempo
(Hrs 00/100)]],"cumple","no cumple"),"")</f>
        <v/>
      </c>
      <c r="W3901" s="17"/>
      <c r="X3901" s="18">
        <f t="shared" si="250"/>
        <v>0</v>
      </c>
      <c r="Y3901" t="str">
        <f>SUBSTITUTE(Tabla1[[#This Row],[Descripción]],CHAR(10),"    I    ")</f>
        <v/>
      </c>
      <c r="Z3901" s="112" t="e">
        <f>VLOOKUP(Tabla1[[#This Row],[Perfil]],Catalogos!$B$75:$D$100,3,FALSE)*Tabla1[[#This Row],[Tiempo
(Hrs 00/100)]]*1.16</f>
        <v>#N/A</v>
      </c>
    </row>
    <row r="3902" spans="1:26" ht="30" customHeight="1" x14ac:dyDescent="0.3">
      <c r="A3902" s="106"/>
      <c r="B3902" s="106"/>
      <c r="C3902" s="106"/>
      <c r="D3902" s="106"/>
      <c r="E3902" s="106"/>
      <c r="F3902" s="106"/>
      <c r="G3902" s="106"/>
      <c r="H3902" s="107"/>
      <c r="I3902" s="95"/>
      <c r="J3902" s="706"/>
      <c r="K3902" s="769"/>
      <c r="L3902" s="706"/>
      <c r="M3902" s="781"/>
      <c r="N3902" s="182"/>
      <c r="O3902" s="188"/>
      <c r="P3902" s="221"/>
      <c r="Q3902" s="106"/>
      <c r="R3902" s="108"/>
      <c r="S3902" s="108"/>
      <c r="T3902" s="108"/>
      <c r="U3902" s="108" t="str">
        <f>IFERROR(VLOOKUP(CONCATENATE(Tabla1[[#This Row],[Severidad]]," ",Tabla1[[#This Row],[Complejidad]]),Catalogos!E$120:G$128,3,FALSE),"")</f>
        <v/>
      </c>
      <c r="V3902" s="108" t="str">
        <f>IF(Tabla1[[#This Row],[Tiempo solución max (hrs)]]&lt;&gt;"",IF(Tabla1[[#This Row],[Tiempo solución max (hrs)]]&gt;=Tabla1[[#This Row],[Tiempo
(Hrs 00/100)]],"cumple","no cumple"),"")</f>
        <v/>
      </c>
      <c r="W3902" s="17"/>
      <c r="X3902" s="18">
        <f t="shared" si="250"/>
        <v>0</v>
      </c>
      <c r="Y3902" t="str">
        <f>SUBSTITUTE(Tabla1[[#This Row],[Descripción]],CHAR(10),"    I    ")</f>
        <v/>
      </c>
      <c r="Z3902" s="112" t="e">
        <f>VLOOKUP(Tabla1[[#This Row],[Perfil]],Catalogos!$B$75:$D$100,3,FALSE)*Tabla1[[#This Row],[Tiempo
(Hrs 00/100)]]*1.16</f>
        <v>#N/A</v>
      </c>
    </row>
    <row r="3903" spans="1:26" ht="30" customHeight="1" x14ac:dyDescent="0.3">
      <c r="A3903" s="106"/>
      <c r="B3903" s="106"/>
      <c r="C3903" s="106"/>
      <c r="D3903" s="106"/>
      <c r="E3903" s="106"/>
      <c r="F3903" s="106"/>
      <c r="G3903" s="106"/>
      <c r="H3903" s="107"/>
      <c r="I3903" s="95"/>
      <c r="J3903" s="706"/>
      <c r="K3903" s="769"/>
      <c r="L3903" s="706"/>
      <c r="M3903" s="781"/>
      <c r="N3903" s="182"/>
      <c r="O3903" s="188"/>
      <c r="P3903" s="221"/>
      <c r="Q3903" s="106"/>
      <c r="R3903" s="108"/>
      <c r="S3903" s="108"/>
      <c r="T3903" s="108"/>
      <c r="U3903" s="108" t="str">
        <f>IFERROR(VLOOKUP(CONCATENATE(Tabla1[[#This Row],[Severidad]]," ",Tabla1[[#This Row],[Complejidad]]),Catalogos!E$120:G$128,3,FALSE),"")</f>
        <v/>
      </c>
      <c r="V3903" s="108" t="str">
        <f>IF(Tabla1[[#This Row],[Tiempo solución max (hrs)]]&lt;&gt;"",IF(Tabla1[[#This Row],[Tiempo solución max (hrs)]]&gt;=Tabla1[[#This Row],[Tiempo
(Hrs 00/100)]],"cumple","no cumple"),"")</f>
        <v/>
      </c>
      <c r="W3903" s="17"/>
      <c r="X3903" s="18">
        <f t="shared" si="250"/>
        <v>0</v>
      </c>
      <c r="Y3903" t="str">
        <f>SUBSTITUTE(Tabla1[[#This Row],[Descripción]],CHAR(10),"    I    ")</f>
        <v/>
      </c>
      <c r="Z3903" s="112" t="e">
        <f>VLOOKUP(Tabla1[[#This Row],[Perfil]],Catalogos!$B$75:$D$100,3,FALSE)*Tabla1[[#This Row],[Tiempo
(Hrs 00/100)]]*1.16</f>
        <v>#N/A</v>
      </c>
    </row>
    <row r="3904" spans="1:26" ht="30" customHeight="1" x14ac:dyDescent="0.3">
      <c r="A3904" s="106"/>
      <c r="B3904" s="106"/>
      <c r="C3904" s="106"/>
      <c r="D3904" s="106"/>
      <c r="E3904" s="106"/>
      <c r="F3904" s="106"/>
      <c r="G3904" s="106"/>
      <c r="H3904" s="107"/>
      <c r="I3904" s="95"/>
      <c r="J3904" s="706"/>
      <c r="K3904" s="769"/>
      <c r="L3904" s="706"/>
      <c r="M3904" s="781"/>
      <c r="N3904" s="182"/>
      <c r="O3904" s="188"/>
      <c r="P3904" s="221"/>
      <c r="Q3904" s="106"/>
      <c r="R3904" s="108"/>
      <c r="S3904" s="108"/>
      <c r="T3904" s="108"/>
      <c r="U3904" s="108" t="str">
        <f>IFERROR(VLOOKUP(CONCATENATE(Tabla1[[#This Row],[Severidad]]," ",Tabla1[[#This Row],[Complejidad]]),Catalogos!E$120:G$128,3,FALSE),"")</f>
        <v/>
      </c>
      <c r="V3904" s="108" t="str">
        <f>IF(Tabla1[[#This Row],[Tiempo solución max (hrs)]]&lt;&gt;"",IF(Tabla1[[#This Row],[Tiempo solución max (hrs)]]&gt;=Tabla1[[#This Row],[Tiempo
(Hrs 00/100)]],"cumple","no cumple"),"")</f>
        <v/>
      </c>
      <c r="W3904" s="17"/>
      <c r="X3904" s="18">
        <f t="shared" si="250"/>
        <v>0</v>
      </c>
      <c r="Y3904" t="str">
        <f>SUBSTITUTE(Tabla1[[#This Row],[Descripción]],CHAR(10),"    I    ")</f>
        <v/>
      </c>
      <c r="Z3904" s="112" t="e">
        <f>VLOOKUP(Tabla1[[#This Row],[Perfil]],Catalogos!$B$75:$D$100,3,FALSE)*Tabla1[[#This Row],[Tiempo
(Hrs 00/100)]]*1.16</f>
        <v>#N/A</v>
      </c>
    </row>
    <row r="3905" spans="1:26" ht="30" customHeight="1" x14ac:dyDescent="0.3">
      <c r="A3905" s="106"/>
      <c r="B3905" s="106"/>
      <c r="C3905" s="106"/>
      <c r="D3905" s="106"/>
      <c r="E3905" s="106"/>
      <c r="F3905" s="106"/>
      <c r="G3905" s="106"/>
      <c r="H3905" s="107"/>
      <c r="I3905" s="95"/>
      <c r="J3905" s="706"/>
      <c r="K3905" s="769"/>
      <c r="L3905" s="706"/>
      <c r="M3905" s="781"/>
      <c r="N3905" s="182"/>
      <c r="O3905" s="188"/>
      <c r="P3905" s="221"/>
      <c r="Q3905" s="106"/>
      <c r="R3905" s="108"/>
      <c r="S3905" s="108"/>
      <c r="T3905" s="108"/>
      <c r="U3905" s="108" t="str">
        <f>IFERROR(VLOOKUP(CONCATENATE(Tabla1[[#This Row],[Severidad]]," ",Tabla1[[#This Row],[Complejidad]]),Catalogos!E$120:G$128,3,FALSE),"")</f>
        <v/>
      </c>
      <c r="V3905" s="108" t="str">
        <f>IF(Tabla1[[#This Row],[Tiempo solución max (hrs)]]&lt;&gt;"",IF(Tabla1[[#This Row],[Tiempo solución max (hrs)]]&gt;=Tabla1[[#This Row],[Tiempo
(Hrs 00/100)]],"cumple","no cumple"),"")</f>
        <v/>
      </c>
      <c r="W3905" s="17"/>
      <c r="X3905" s="18">
        <f t="shared" si="250"/>
        <v>0</v>
      </c>
      <c r="Y3905" t="str">
        <f>SUBSTITUTE(Tabla1[[#This Row],[Descripción]],CHAR(10),"    I    ")</f>
        <v/>
      </c>
      <c r="Z3905" s="112" t="e">
        <f>VLOOKUP(Tabla1[[#This Row],[Perfil]],Catalogos!$B$75:$D$100,3,FALSE)*Tabla1[[#This Row],[Tiempo
(Hrs 00/100)]]*1.16</f>
        <v>#N/A</v>
      </c>
    </row>
    <row r="3906" spans="1:26" ht="30" customHeight="1" x14ac:dyDescent="0.3">
      <c r="A3906" s="106"/>
      <c r="B3906" s="106"/>
      <c r="C3906" s="106"/>
      <c r="D3906" s="106"/>
      <c r="E3906" s="106"/>
      <c r="F3906" s="106"/>
      <c r="G3906" s="106"/>
      <c r="H3906" s="107"/>
      <c r="I3906" s="95"/>
      <c r="J3906" s="706"/>
      <c r="K3906" s="769"/>
      <c r="L3906" s="706"/>
      <c r="M3906" s="781"/>
      <c r="N3906" s="182"/>
      <c r="O3906" s="188"/>
      <c r="P3906" s="221"/>
      <c r="Q3906" s="106"/>
      <c r="R3906" s="108"/>
      <c r="S3906" s="108"/>
      <c r="T3906" s="108"/>
      <c r="U3906" s="108" t="str">
        <f>IFERROR(VLOOKUP(CONCATENATE(Tabla1[[#This Row],[Severidad]]," ",Tabla1[[#This Row],[Complejidad]]),Catalogos!E$120:G$128,3,FALSE),"")</f>
        <v/>
      </c>
      <c r="V3906" s="108" t="str">
        <f>IF(Tabla1[[#This Row],[Tiempo solución max (hrs)]]&lt;&gt;"",IF(Tabla1[[#This Row],[Tiempo solución max (hrs)]]&gt;=Tabla1[[#This Row],[Tiempo
(Hrs 00/100)]],"cumple","no cumple"),"")</f>
        <v/>
      </c>
      <c r="W3906" s="17"/>
      <c r="X3906" s="18">
        <f t="shared" si="250"/>
        <v>0</v>
      </c>
      <c r="Y3906" t="str">
        <f>SUBSTITUTE(Tabla1[[#This Row],[Descripción]],CHAR(10),"    I    ")</f>
        <v/>
      </c>
      <c r="Z3906" s="112" t="e">
        <f>VLOOKUP(Tabla1[[#This Row],[Perfil]],Catalogos!$B$75:$D$100,3,FALSE)*Tabla1[[#This Row],[Tiempo
(Hrs 00/100)]]*1.16</f>
        <v>#N/A</v>
      </c>
    </row>
    <row r="3907" spans="1:26" ht="30" customHeight="1" x14ac:dyDescent="0.3">
      <c r="A3907" s="106"/>
      <c r="B3907" s="106"/>
      <c r="C3907" s="106"/>
      <c r="D3907" s="106"/>
      <c r="E3907" s="106"/>
      <c r="F3907" s="106"/>
      <c r="G3907" s="106"/>
      <c r="H3907" s="107"/>
      <c r="I3907" s="95"/>
      <c r="J3907" s="706"/>
      <c r="K3907" s="769"/>
      <c r="L3907" s="706"/>
      <c r="M3907" s="781"/>
      <c r="N3907" s="182"/>
      <c r="O3907" s="188"/>
      <c r="P3907" s="221"/>
      <c r="Q3907" s="106"/>
      <c r="R3907" s="108"/>
      <c r="S3907" s="108"/>
      <c r="T3907" s="108"/>
      <c r="U3907" s="108" t="str">
        <f>IFERROR(VLOOKUP(CONCATENATE(Tabla1[[#This Row],[Severidad]]," ",Tabla1[[#This Row],[Complejidad]]),Catalogos!E$120:G$128,3,FALSE),"")</f>
        <v/>
      </c>
      <c r="V3907" s="108" t="str">
        <f>IF(Tabla1[[#This Row],[Tiempo solución max (hrs)]]&lt;&gt;"",IF(Tabla1[[#This Row],[Tiempo solución max (hrs)]]&gt;=Tabla1[[#This Row],[Tiempo
(Hrs 00/100)]],"cumple","no cumple"),"")</f>
        <v/>
      </c>
      <c r="W3907" s="17"/>
      <c r="X3907" s="18">
        <f t="shared" ref="X3907:X3970" si="251">IF(C3907&lt;&gt;"",C3907,D3907)</f>
        <v>0</v>
      </c>
      <c r="Y3907" t="str">
        <f>SUBSTITUTE(Tabla1[[#This Row],[Descripción]],CHAR(10),"    I    ")</f>
        <v/>
      </c>
      <c r="Z3907" s="112" t="e">
        <f>VLOOKUP(Tabla1[[#This Row],[Perfil]],Catalogos!$B$75:$D$100,3,FALSE)*Tabla1[[#This Row],[Tiempo
(Hrs 00/100)]]*1.16</f>
        <v>#N/A</v>
      </c>
    </row>
    <row r="3908" spans="1:26" ht="30" customHeight="1" x14ac:dyDescent="0.3">
      <c r="A3908" s="106"/>
      <c r="B3908" s="106"/>
      <c r="C3908" s="106"/>
      <c r="D3908" s="106"/>
      <c r="E3908" s="106"/>
      <c r="F3908" s="106"/>
      <c r="G3908" s="106"/>
      <c r="H3908" s="107"/>
      <c r="I3908" s="95"/>
      <c r="J3908" s="706"/>
      <c r="K3908" s="769"/>
      <c r="L3908" s="706"/>
      <c r="M3908" s="781"/>
      <c r="N3908" s="182"/>
      <c r="O3908" s="188"/>
      <c r="P3908" s="221"/>
      <c r="Q3908" s="106"/>
      <c r="R3908" s="108"/>
      <c r="S3908" s="108"/>
      <c r="T3908" s="108"/>
      <c r="U3908" s="108" t="str">
        <f>IFERROR(VLOOKUP(CONCATENATE(Tabla1[[#This Row],[Severidad]]," ",Tabla1[[#This Row],[Complejidad]]),Catalogos!E$120:G$128,3,FALSE),"")</f>
        <v/>
      </c>
      <c r="V3908" s="108" t="str">
        <f>IF(Tabla1[[#This Row],[Tiempo solución max (hrs)]]&lt;&gt;"",IF(Tabla1[[#This Row],[Tiempo solución max (hrs)]]&gt;=Tabla1[[#This Row],[Tiempo
(Hrs 00/100)]],"cumple","no cumple"),"")</f>
        <v/>
      </c>
      <c r="W3908" s="17"/>
      <c r="X3908" s="18">
        <f t="shared" si="251"/>
        <v>0</v>
      </c>
      <c r="Y3908" t="str">
        <f>SUBSTITUTE(Tabla1[[#This Row],[Descripción]],CHAR(10),"    I    ")</f>
        <v/>
      </c>
      <c r="Z3908" s="112" t="e">
        <f>VLOOKUP(Tabla1[[#This Row],[Perfil]],Catalogos!$B$75:$D$100,3,FALSE)*Tabla1[[#This Row],[Tiempo
(Hrs 00/100)]]*1.16</f>
        <v>#N/A</v>
      </c>
    </row>
    <row r="3909" spans="1:26" ht="30" customHeight="1" x14ac:dyDescent="0.3">
      <c r="A3909" s="106"/>
      <c r="B3909" s="106"/>
      <c r="C3909" s="106"/>
      <c r="D3909" s="106"/>
      <c r="E3909" s="106"/>
      <c r="F3909" s="106"/>
      <c r="G3909" s="106"/>
      <c r="H3909" s="107"/>
      <c r="I3909" s="95"/>
      <c r="J3909" s="706"/>
      <c r="K3909" s="769"/>
      <c r="L3909" s="706"/>
      <c r="M3909" s="781"/>
      <c r="N3909" s="182"/>
      <c r="O3909" s="188"/>
      <c r="P3909" s="221"/>
      <c r="Q3909" s="106"/>
      <c r="R3909" s="108"/>
      <c r="S3909" s="108"/>
      <c r="T3909" s="108"/>
      <c r="U3909" s="108" t="str">
        <f>IFERROR(VLOOKUP(CONCATENATE(Tabla1[[#This Row],[Severidad]]," ",Tabla1[[#This Row],[Complejidad]]),Catalogos!E$120:G$128,3,FALSE),"")</f>
        <v/>
      </c>
      <c r="V3909" s="108" t="str">
        <f>IF(Tabla1[[#This Row],[Tiempo solución max (hrs)]]&lt;&gt;"",IF(Tabla1[[#This Row],[Tiempo solución max (hrs)]]&gt;=Tabla1[[#This Row],[Tiempo
(Hrs 00/100)]],"cumple","no cumple"),"")</f>
        <v/>
      </c>
      <c r="W3909" s="17"/>
      <c r="X3909" s="18">
        <f t="shared" si="251"/>
        <v>0</v>
      </c>
      <c r="Y3909" t="str">
        <f>SUBSTITUTE(Tabla1[[#This Row],[Descripción]],CHAR(10),"    I    ")</f>
        <v/>
      </c>
      <c r="Z3909" s="112" t="e">
        <f>VLOOKUP(Tabla1[[#This Row],[Perfil]],Catalogos!$B$75:$D$100,3,FALSE)*Tabla1[[#This Row],[Tiempo
(Hrs 00/100)]]*1.16</f>
        <v>#N/A</v>
      </c>
    </row>
    <row r="3910" spans="1:26" ht="30" customHeight="1" x14ac:dyDescent="0.3">
      <c r="A3910" s="106"/>
      <c r="B3910" s="106"/>
      <c r="C3910" s="106"/>
      <c r="D3910" s="106"/>
      <c r="E3910" s="106"/>
      <c r="F3910" s="106"/>
      <c r="G3910" s="106"/>
      <c r="H3910" s="107"/>
      <c r="I3910" s="95"/>
      <c r="J3910" s="706"/>
      <c r="K3910" s="769"/>
      <c r="L3910" s="706"/>
      <c r="M3910" s="781"/>
      <c r="N3910" s="182"/>
      <c r="O3910" s="188"/>
      <c r="P3910" s="221"/>
      <c r="Q3910" s="106"/>
      <c r="R3910" s="108"/>
      <c r="S3910" s="108"/>
      <c r="T3910" s="108"/>
      <c r="U3910" s="108" t="str">
        <f>IFERROR(VLOOKUP(CONCATENATE(Tabla1[[#This Row],[Severidad]]," ",Tabla1[[#This Row],[Complejidad]]),Catalogos!E$120:G$128,3,FALSE),"")</f>
        <v/>
      </c>
      <c r="V3910" s="108" t="str">
        <f>IF(Tabla1[[#This Row],[Tiempo solución max (hrs)]]&lt;&gt;"",IF(Tabla1[[#This Row],[Tiempo solución max (hrs)]]&gt;=Tabla1[[#This Row],[Tiempo
(Hrs 00/100)]],"cumple","no cumple"),"")</f>
        <v/>
      </c>
      <c r="W3910" s="17"/>
      <c r="X3910" s="18">
        <f t="shared" si="251"/>
        <v>0</v>
      </c>
      <c r="Y3910" t="str">
        <f>SUBSTITUTE(Tabla1[[#This Row],[Descripción]],CHAR(10),"    I    ")</f>
        <v/>
      </c>
      <c r="Z3910" s="112" t="e">
        <f>VLOOKUP(Tabla1[[#This Row],[Perfil]],Catalogos!$B$75:$D$100,3,FALSE)*Tabla1[[#This Row],[Tiempo
(Hrs 00/100)]]*1.16</f>
        <v>#N/A</v>
      </c>
    </row>
    <row r="3911" spans="1:26" ht="30" customHeight="1" x14ac:dyDescent="0.3">
      <c r="A3911" s="106"/>
      <c r="B3911" s="106"/>
      <c r="C3911" s="106"/>
      <c r="D3911" s="106"/>
      <c r="E3911" s="106"/>
      <c r="F3911" s="106"/>
      <c r="G3911" s="106"/>
      <c r="H3911" s="107"/>
      <c r="I3911" s="95"/>
      <c r="J3911" s="706"/>
      <c r="K3911" s="769"/>
      <c r="L3911" s="706"/>
      <c r="M3911" s="781"/>
      <c r="N3911" s="182"/>
      <c r="O3911" s="188"/>
      <c r="P3911" s="221"/>
      <c r="Q3911" s="106"/>
      <c r="R3911" s="108"/>
      <c r="S3911" s="108"/>
      <c r="T3911" s="108"/>
      <c r="U3911" s="108" t="str">
        <f>IFERROR(VLOOKUP(CONCATENATE(Tabla1[[#This Row],[Severidad]]," ",Tabla1[[#This Row],[Complejidad]]),Catalogos!E$120:G$128,3,FALSE),"")</f>
        <v/>
      </c>
      <c r="V3911" s="108" t="str">
        <f>IF(Tabla1[[#This Row],[Tiempo solución max (hrs)]]&lt;&gt;"",IF(Tabla1[[#This Row],[Tiempo solución max (hrs)]]&gt;=Tabla1[[#This Row],[Tiempo
(Hrs 00/100)]],"cumple","no cumple"),"")</f>
        <v/>
      </c>
      <c r="W3911" s="17"/>
      <c r="X3911" s="18">
        <f t="shared" si="251"/>
        <v>0</v>
      </c>
      <c r="Y3911" t="str">
        <f>SUBSTITUTE(Tabla1[[#This Row],[Descripción]],CHAR(10),"    I    ")</f>
        <v/>
      </c>
      <c r="Z3911" s="112" t="e">
        <f>VLOOKUP(Tabla1[[#This Row],[Perfil]],Catalogos!$B$75:$D$100,3,FALSE)*Tabla1[[#This Row],[Tiempo
(Hrs 00/100)]]*1.16</f>
        <v>#N/A</v>
      </c>
    </row>
    <row r="3912" spans="1:26" ht="30" customHeight="1" x14ac:dyDescent="0.3">
      <c r="A3912" s="106"/>
      <c r="B3912" s="106"/>
      <c r="C3912" s="106"/>
      <c r="D3912" s="106"/>
      <c r="E3912" s="106"/>
      <c r="F3912" s="106"/>
      <c r="G3912" s="106"/>
      <c r="H3912" s="107"/>
      <c r="I3912" s="95"/>
      <c r="J3912" s="706"/>
      <c r="K3912" s="769"/>
      <c r="L3912" s="706"/>
      <c r="M3912" s="781"/>
      <c r="N3912" s="182"/>
      <c r="O3912" s="188"/>
      <c r="P3912" s="221"/>
      <c r="Q3912" s="106"/>
      <c r="R3912" s="108"/>
      <c r="S3912" s="108"/>
      <c r="T3912" s="108"/>
      <c r="U3912" s="108" t="str">
        <f>IFERROR(VLOOKUP(CONCATENATE(Tabla1[[#This Row],[Severidad]]," ",Tabla1[[#This Row],[Complejidad]]),Catalogos!E$120:G$128,3,FALSE),"")</f>
        <v/>
      </c>
      <c r="V3912" s="108" t="str">
        <f>IF(Tabla1[[#This Row],[Tiempo solución max (hrs)]]&lt;&gt;"",IF(Tabla1[[#This Row],[Tiempo solución max (hrs)]]&gt;=Tabla1[[#This Row],[Tiempo
(Hrs 00/100)]],"cumple","no cumple"),"")</f>
        <v/>
      </c>
      <c r="W3912" s="17"/>
      <c r="X3912" s="18">
        <f t="shared" si="251"/>
        <v>0</v>
      </c>
      <c r="Y3912" t="str">
        <f>SUBSTITUTE(Tabla1[[#This Row],[Descripción]],CHAR(10),"    I    ")</f>
        <v/>
      </c>
      <c r="Z3912" s="112" t="e">
        <f>VLOOKUP(Tabla1[[#This Row],[Perfil]],Catalogos!$B$75:$D$100,3,FALSE)*Tabla1[[#This Row],[Tiempo
(Hrs 00/100)]]*1.16</f>
        <v>#N/A</v>
      </c>
    </row>
    <row r="3913" spans="1:26" ht="30" customHeight="1" x14ac:dyDescent="0.3">
      <c r="A3913" s="106"/>
      <c r="B3913" s="106"/>
      <c r="C3913" s="106"/>
      <c r="D3913" s="106"/>
      <c r="E3913" s="106"/>
      <c r="F3913" s="106"/>
      <c r="G3913" s="106"/>
      <c r="H3913" s="107"/>
      <c r="I3913" s="95"/>
      <c r="J3913" s="706"/>
      <c r="K3913" s="769"/>
      <c r="L3913" s="706"/>
      <c r="M3913" s="781"/>
      <c r="N3913" s="182"/>
      <c r="O3913" s="188"/>
      <c r="P3913" s="221"/>
      <c r="Q3913" s="106"/>
      <c r="R3913" s="108"/>
      <c r="S3913" s="108"/>
      <c r="T3913" s="108"/>
      <c r="U3913" s="108" t="str">
        <f>IFERROR(VLOOKUP(CONCATENATE(Tabla1[[#This Row],[Severidad]]," ",Tabla1[[#This Row],[Complejidad]]),Catalogos!E$120:G$128,3,FALSE),"")</f>
        <v/>
      </c>
      <c r="V3913" s="108" t="str">
        <f>IF(Tabla1[[#This Row],[Tiempo solución max (hrs)]]&lt;&gt;"",IF(Tabla1[[#This Row],[Tiempo solución max (hrs)]]&gt;=Tabla1[[#This Row],[Tiempo
(Hrs 00/100)]],"cumple","no cumple"),"")</f>
        <v/>
      </c>
      <c r="W3913" s="17"/>
      <c r="X3913" s="18">
        <f t="shared" si="251"/>
        <v>0</v>
      </c>
      <c r="Y3913" t="str">
        <f>SUBSTITUTE(Tabla1[[#This Row],[Descripción]],CHAR(10),"    I    ")</f>
        <v/>
      </c>
      <c r="Z3913" s="112" t="e">
        <f>VLOOKUP(Tabla1[[#This Row],[Perfil]],Catalogos!$B$75:$D$100,3,FALSE)*Tabla1[[#This Row],[Tiempo
(Hrs 00/100)]]*1.16</f>
        <v>#N/A</v>
      </c>
    </row>
    <row r="3914" spans="1:26" ht="30" customHeight="1" x14ac:dyDescent="0.3">
      <c r="A3914" s="106"/>
      <c r="B3914" s="106"/>
      <c r="C3914" s="106"/>
      <c r="D3914" s="106"/>
      <c r="E3914" s="106"/>
      <c r="F3914" s="106"/>
      <c r="G3914" s="106"/>
      <c r="H3914" s="107"/>
      <c r="I3914" s="95"/>
      <c r="J3914" s="706"/>
      <c r="K3914" s="769"/>
      <c r="L3914" s="706"/>
      <c r="M3914" s="781"/>
      <c r="N3914" s="182"/>
      <c r="O3914" s="188"/>
      <c r="P3914" s="221"/>
      <c r="Q3914" s="106"/>
      <c r="R3914" s="108"/>
      <c r="S3914" s="108"/>
      <c r="T3914" s="108"/>
      <c r="U3914" s="108" t="str">
        <f>IFERROR(VLOOKUP(CONCATENATE(Tabla1[[#This Row],[Severidad]]," ",Tabla1[[#This Row],[Complejidad]]),Catalogos!E$120:G$128,3,FALSE),"")</f>
        <v/>
      </c>
      <c r="V3914" s="108" t="str">
        <f>IF(Tabla1[[#This Row],[Tiempo solución max (hrs)]]&lt;&gt;"",IF(Tabla1[[#This Row],[Tiempo solución max (hrs)]]&gt;=Tabla1[[#This Row],[Tiempo
(Hrs 00/100)]],"cumple","no cumple"),"")</f>
        <v/>
      </c>
      <c r="W3914" s="17"/>
      <c r="X3914" s="18">
        <f t="shared" si="251"/>
        <v>0</v>
      </c>
      <c r="Y3914" t="str">
        <f>SUBSTITUTE(Tabla1[[#This Row],[Descripción]],CHAR(10),"    I    ")</f>
        <v/>
      </c>
      <c r="Z3914" s="112" t="e">
        <f>VLOOKUP(Tabla1[[#This Row],[Perfil]],Catalogos!$B$75:$D$100,3,FALSE)*Tabla1[[#This Row],[Tiempo
(Hrs 00/100)]]*1.16</f>
        <v>#N/A</v>
      </c>
    </row>
    <row r="3915" spans="1:26" ht="30" customHeight="1" x14ac:dyDescent="0.3">
      <c r="A3915" s="106"/>
      <c r="B3915" s="106"/>
      <c r="C3915" s="106"/>
      <c r="D3915" s="106"/>
      <c r="E3915" s="106"/>
      <c r="F3915" s="106"/>
      <c r="G3915" s="106"/>
      <c r="H3915" s="107"/>
      <c r="I3915" s="95"/>
      <c r="J3915" s="706"/>
      <c r="K3915" s="769"/>
      <c r="L3915" s="706"/>
      <c r="M3915" s="781"/>
      <c r="N3915" s="182"/>
      <c r="O3915" s="188"/>
      <c r="P3915" s="221"/>
      <c r="Q3915" s="106"/>
      <c r="R3915" s="108"/>
      <c r="S3915" s="108"/>
      <c r="T3915" s="108"/>
      <c r="U3915" s="108" t="str">
        <f>IFERROR(VLOOKUP(CONCATENATE(Tabla1[[#This Row],[Severidad]]," ",Tabla1[[#This Row],[Complejidad]]),Catalogos!E$120:G$128,3,FALSE),"")</f>
        <v/>
      </c>
      <c r="V3915" s="108" t="str">
        <f>IF(Tabla1[[#This Row],[Tiempo solución max (hrs)]]&lt;&gt;"",IF(Tabla1[[#This Row],[Tiempo solución max (hrs)]]&gt;=Tabla1[[#This Row],[Tiempo
(Hrs 00/100)]],"cumple","no cumple"),"")</f>
        <v/>
      </c>
      <c r="W3915" s="17"/>
      <c r="X3915" s="18">
        <f t="shared" si="251"/>
        <v>0</v>
      </c>
      <c r="Y3915" t="str">
        <f>SUBSTITUTE(Tabla1[[#This Row],[Descripción]],CHAR(10),"    I    ")</f>
        <v/>
      </c>
      <c r="Z3915" s="112" t="e">
        <f>VLOOKUP(Tabla1[[#This Row],[Perfil]],Catalogos!$B$75:$D$100,3,FALSE)*Tabla1[[#This Row],[Tiempo
(Hrs 00/100)]]*1.16</f>
        <v>#N/A</v>
      </c>
    </row>
    <row r="3916" spans="1:26" ht="30" customHeight="1" x14ac:dyDescent="0.3">
      <c r="A3916" s="106"/>
      <c r="B3916" s="106"/>
      <c r="C3916" s="106"/>
      <c r="D3916" s="106"/>
      <c r="E3916" s="106"/>
      <c r="F3916" s="106"/>
      <c r="G3916" s="106"/>
      <c r="H3916" s="107"/>
      <c r="I3916" s="95"/>
      <c r="J3916" s="706"/>
      <c r="K3916" s="769"/>
      <c r="L3916" s="706"/>
      <c r="M3916" s="781"/>
      <c r="N3916" s="182"/>
      <c r="O3916" s="188"/>
      <c r="P3916" s="221"/>
      <c r="Q3916" s="106"/>
      <c r="R3916" s="108"/>
      <c r="S3916" s="108"/>
      <c r="T3916" s="108"/>
      <c r="U3916" s="108" t="str">
        <f>IFERROR(VLOOKUP(CONCATENATE(Tabla1[[#This Row],[Severidad]]," ",Tabla1[[#This Row],[Complejidad]]),Catalogos!E$120:G$128,3,FALSE),"")</f>
        <v/>
      </c>
      <c r="V3916" s="108" t="str">
        <f>IF(Tabla1[[#This Row],[Tiempo solución max (hrs)]]&lt;&gt;"",IF(Tabla1[[#This Row],[Tiempo solución max (hrs)]]&gt;=Tabla1[[#This Row],[Tiempo
(Hrs 00/100)]],"cumple","no cumple"),"")</f>
        <v/>
      </c>
      <c r="W3916" s="17"/>
      <c r="X3916" s="18">
        <f t="shared" si="251"/>
        <v>0</v>
      </c>
      <c r="Y3916" t="str">
        <f>SUBSTITUTE(Tabla1[[#This Row],[Descripción]],CHAR(10),"    I    ")</f>
        <v/>
      </c>
      <c r="Z3916" s="112" t="e">
        <f>VLOOKUP(Tabla1[[#This Row],[Perfil]],Catalogos!$B$75:$D$100,3,FALSE)*Tabla1[[#This Row],[Tiempo
(Hrs 00/100)]]*1.16</f>
        <v>#N/A</v>
      </c>
    </row>
    <row r="3917" spans="1:26" ht="30" customHeight="1" x14ac:dyDescent="0.3">
      <c r="A3917" s="106"/>
      <c r="B3917" s="106"/>
      <c r="C3917" s="106"/>
      <c r="D3917" s="106"/>
      <c r="E3917" s="106"/>
      <c r="F3917" s="106"/>
      <c r="G3917" s="106"/>
      <c r="H3917" s="107"/>
      <c r="I3917" s="95"/>
      <c r="J3917" s="706"/>
      <c r="K3917" s="769"/>
      <c r="L3917" s="706"/>
      <c r="M3917" s="781"/>
      <c r="N3917" s="182"/>
      <c r="O3917" s="188"/>
      <c r="P3917" s="221"/>
      <c r="Q3917" s="106"/>
      <c r="R3917" s="108"/>
      <c r="S3917" s="108"/>
      <c r="T3917" s="108"/>
      <c r="U3917" s="108" t="str">
        <f>IFERROR(VLOOKUP(CONCATENATE(Tabla1[[#This Row],[Severidad]]," ",Tabla1[[#This Row],[Complejidad]]),Catalogos!E$120:G$128,3,FALSE),"")</f>
        <v/>
      </c>
      <c r="V3917" s="108" t="str">
        <f>IF(Tabla1[[#This Row],[Tiempo solución max (hrs)]]&lt;&gt;"",IF(Tabla1[[#This Row],[Tiempo solución max (hrs)]]&gt;=Tabla1[[#This Row],[Tiempo
(Hrs 00/100)]],"cumple","no cumple"),"")</f>
        <v/>
      </c>
      <c r="W3917" s="17"/>
      <c r="X3917" s="18">
        <f t="shared" si="251"/>
        <v>0</v>
      </c>
      <c r="Y3917" t="str">
        <f>SUBSTITUTE(Tabla1[[#This Row],[Descripción]],CHAR(10),"    I    ")</f>
        <v/>
      </c>
      <c r="Z3917" s="112" t="e">
        <f>VLOOKUP(Tabla1[[#This Row],[Perfil]],Catalogos!$B$75:$D$100,3,FALSE)*Tabla1[[#This Row],[Tiempo
(Hrs 00/100)]]*1.16</f>
        <v>#N/A</v>
      </c>
    </row>
    <row r="3918" spans="1:26" ht="30" customHeight="1" x14ac:dyDescent="0.3">
      <c r="A3918" s="106"/>
      <c r="B3918" s="106"/>
      <c r="C3918" s="106"/>
      <c r="D3918" s="106"/>
      <c r="E3918" s="106"/>
      <c r="F3918" s="106"/>
      <c r="G3918" s="106"/>
      <c r="H3918" s="107"/>
      <c r="I3918" s="95"/>
      <c r="J3918" s="706"/>
      <c r="K3918" s="769"/>
      <c r="L3918" s="706"/>
      <c r="M3918" s="781"/>
      <c r="N3918" s="182"/>
      <c r="O3918" s="188"/>
      <c r="P3918" s="221"/>
      <c r="Q3918" s="106"/>
      <c r="R3918" s="108"/>
      <c r="S3918" s="108"/>
      <c r="T3918" s="108"/>
      <c r="U3918" s="108" t="str">
        <f>IFERROR(VLOOKUP(CONCATENATE(Tabla1[[#This Row],[Severidad]]," ",Tabla1[[#This Row],[Complejidad]]),Catalogos!E$120:G$128,3,FALSE),"")</f>
        <v/>
      </c>
      <c r="V3918" s="108" t="str">
        <f>IF(Tabla1[[#This Row],[Tiempo solución max (hrs)]]&lt;&gt;"",IF(Tabla1[[#This Row],[Tiempo solución max (hrs)]]&gt;=Tabla1[[#This Row],[Tiempo
(Hrs 00/100)]],"cumple","no cumple"),"")</f>
        <v/>
      </c>
      <c r="W3918" s="17"/>
      <c r="X3918" s="18">
        <f t="shared" si="251"/>
        <v>0</v>
      </c>
      <c r="Y3918" t="str">
        <f>SUBSTITUTE(Tabla1[[#This Row],[Descripción]],CHAR(10),"    I    ")</f>
        <v/>
      </c>
      <c r="Z3918" s="112" t="e">
        <f>VLOOKUP(Tabla1[[#This Row],[Perfil]],Catalogos!$B$75:$D$100,3,FALSE)*Tabla1[[#This Row],[Tiempo
(Hrs 00/100)]]*1.16</f>
        <v>#N/A</v>
      </c>
    </row>
    <row r="3919" spans="1:26" ht="30" customHeight="1" x14ac:dyDescent="0.3">
      <c r="A3919" s="106"/>
      <c r="B3919" s="106"/>
      <c r="C3919" s="106"/>
      <c r="D3919" s="106"/>
      <c r="E3919" s="106"/>
      <c r="F3919" s="106"/>
      <c r="G3919" s="106"/>
      <c r="H3919" s="107"/>
      <c r="I3919" s="95"/>
      <c r="J3919" s="706"/>
      <c r="K3919" s="769"/>
      <c r="L3919" s="706"/>
      <c r="M3919" s="781"/>
      <c r="N3919" s="182"/>
      <c r="O3919" s="188"/>
      <c r="P3919" s="221"/>
      <c r="Q3919" s="106"/>
      <c r="R3919" s="108"/>
      <c r="S3919" s="108"/>
      <c r="T3919" s="108"/>
      <c r="U3919" s="108" t="str">
        <f>IFERROR(VLOOKUP(CONCATENATE(Tabla1[[#This Row],[Severidad]]," ",Tabla1[[#This Row],[Complejidad]]),Catalogos!E$120:G$128,3,FALSE),"")</f>
        <v/>
      </c>
      <c r="V3919" s="108" t="str">
        <f>IF(Tabla1[[#This Row],[Tiempo solución max (hrs)]]&lt;&gt;"",IF(Tabla1[[#This Row],[Tiempo solución max (hrs)]]&gt;=Tabla1[[#This Row],[Tiempo
(Hrs 00/100)]],"cumple","no cumple"),"")</f>
        <v/>
      </c>
      <c r="W3919" s="17"/>
      <c r="X3919" s="18">
        <f t="shared" si="251"/>
        <v>0</v>
      </c>
      <c r="Y3919" t="str">
        <f>SUBSTITUTE(Tabla1[[#This Row],[Descripción]],CHAR(10),"    I    ")</f>
        <v/>
      </c>
      <c r="Z3919" s="112" t="e">
        <f>VLOOKUP(Tabla1[[#This Row],[Perfil]],Catalogos!$B$75:$D$100,3,FALSE)*Tabla1[[#This Row],[Tiempo
(Hrs 00/100)]]*1.16</f>
        <v>#N/A</v>
      </c>
    </row>
    <row r="3920" spans="1:26" ht="30" customHeight="1" x14ac:dyDescent="0.3">
      <c r="A3920" s="106"/>
      <c r="B3920" s="106"/>
      <c r="C3920" s="106"/>
      <c r="D3920" s="106"/>
      <c r="E3920" s="106"/>
      <c r="F3920" s="106"/>
      <c r="G3920" s="106"/>
      <c r="H3920" s="107"/>
      <c r="I3920" s="95"/>
      <c r="J3920" s="706"/>
      <c r="K3920" s="769"/>
      <c r="L3920" s="706"/>
      <c r="M3920" s="781"/>
      <c r="N3920" s="182"/>
      <c r="O3920" s="188"/>
      <c r="P3920" s="221"/>
      <c r="Q3920" s="106"/>
      <c r="R3920" s="108"/>
      <c r="S3920" s="108"/>
      <c r="T3920" s="108"/>
      <c r="U3920" s="108" t="str">
        <f>IFERROR(VLOOKUP(CONCATENATE(Tabla1[[#This Row],[Severidad]]," ",Tabla1[[#This Row],[Complejidad]]),Catalogos!E$120:G$128,3,FALSE),"")</f>
        <v/>
      </c>
      <c r="V3920" s="108" t="str">
        <f>IF(Tabla1[[#This Row],[Tiempo solución max (hrs)]]&lt;&gt;"",IF(Tabla1[[#This Row],[Tiempo solución max (hrs)]]&gt;=Tabla1[[#This Row],[Tiempo
(Hrs 00/100)]],"cumple","no cumple"),"")</f>
        <v/>
      </c>
      <c r="W3920" s="17"/>
      <c r="X3920" s="18">
        <f t="shared" si="251"/>
        <v>0</v>
      </c>
      <c r="Y3920" t="str">
        <f>SUBSTITUTE(Tabla1[[#This Row],[Descripción]],CHAR(10),"    I    ")</f>
        <v/>
      </c>
      <c r="Z3920" s="112" t="e">
        <f>VLOOKUP(Tabla1[[#This Row],[Perfil]],Catalogos!$B$75:$D$100,3,FALSE)*Tabla1[[#This Row],[Tiempo
(Hrs 00/100)]]*1.16</f>
        <v>#N/A</v>
      </c>
    </row>
    <row r="3921" spans="1:26" ht="30" customHeight="1" x14ac:dyDescent="0.3">
      <c r="A3921" s="106"/>
      <c r="B3921" s="106"/>
      <c r="C3921" s="106"/>
      <c r="D3921" s="106"/>
      <c r="E3921" s="106"/>
      <c r="F3921" s="106"/>
      <c r="G3921" s="106"/>
      <c r="H3921" s="107"/>
      <c r="I3921" s="95"/>
      <c r="J3921" s="706"/>
      <c r="K3921" s="769"/>
      <c r="L3921" s="706"/>
      <c r="M3921" s="781"/>
      <c r="N3921" s="182"/>
      <c r="O3921" s="188"/>
      <c r="P3921" s="221"/>
      <c r="Q3921" s="106"/>
      <c r="R3921" s="108"/>
      <c r="S3921" s="108"/>
      <c r="T3921" s="108"/>
      <c r="U3921" s="108" t="str">
        <f>IFERROR(VLOOKUP(CONCATENATE(Tabla1[[#This Row],[Severidad]]," ",Tabla1[[#This Row],[Complejidad]]),Catalogos!E$120:G$128,3,FALSE),"")</f>
        <v/>
      </c>
      <c r="V3921" s="108" t="str">
        <f>IF(Tabla1[[#This Row],[Tiempo solución max (hrs)]]&lt;&gt;"",IF(Tabla1[[#This Row],[Tiempo solución max (hrs)]]&gt;=Tabla1[[#This Row],[Tiempo
(Hrs 00/100)]],"cumple","no cumple"),"")</f>
        <v/>
      </c>
      <c r="W3921" s="17"/>
      <c r="X3921" s="18">
        <f t="shared" si="251"/>
        <v>0</v>
      </c>
      <c r="Y3921" t="str">
        <f>SUBSTITUTE(Tabla1[[#This Row],[Descripción]],CHAR(10),"    I    ")</f>
        <v/>
      </c>
      <c r="Z3921" s="112" t="e">
        <f>VLOOKUP(Tabla1[[#This Row],[Perfil]],Catalogos!$B$75:$D$100,3,FALSE)*Tabla1[[#This Row],[Tiempo
(Hrs 00/100)]]*1.16</f>
        <v>#N/A</v>
      </c>
    </row>
    <row r="3922" spans="1:26" ht="30" customHeight="1" x14ac:dyDescent="0.3">
      <c r="A3922" s="106"/>
      <c r="B3922" s="106"/>
      <c r="C3922" s="106"/>
      <c r="D3922" s="106"/>
      <c r="E3922" s="106"/>
      <c r="F3922" s="106"/>
      <c r="G3922" s="106"/>
      <c r="H3922" s="107"/>
      <c r="I3922" s="95"/>
      <c r="J3922" s="706"/>
      <c r="K3922" s="769"/>
      <c r="L3922" s="706"/>
      <c r="M3922" s="781"/>
      <c r="N3922" s="182"/>
      <c r="O3922" s="188"/>
      <c r="P3922" s="221"/>
      <c r="Q3922" s="106"/>
      <c r="R3922" s="108"/>
      <c r="S3922" s="108"/>
      <c r="T3922" s="108"/>
      <c r="U3922" s="108" t="str">
        <f>IFERROR(VLOOKUP(CONCATENATE(Tabla1[[#This Row],[Severidad]]," ",Tabla1[[#This Row],[Complejidad]]),Catalogos!E$120:G$128,3,FALSE),"")</f>
        <v/>
      </c>
      <c r="V3922" s="108" t="str">
        <f>IF(Tabla1[[#This Row],[Tiempo solución max (hrs)]]&lt;&gt;"",IF(Tabla1[[#This Row],[Tiempo solución max (hrs)]]&gt;=Tabla1[[#This Row],[Tiempo
(Hrs 00/100)]],"cumple","no cumple"),"")</f>
        <v/>
      </c>
      <c r="W3922" s="17"/>
      <c r="X3922" s="18">
        <f t="shared" si="251"/>
        <v>0</v>
      </c>
      <c r="Y3922" t="str">
        <f>SUBSTITUTE(Tabla1[[#This Row],[Descripción]],CHAR(10),"    I    ")</f>
        <v/>
      </c>
      <c r="Z3922" s="112" t="e">
        <f>VLOOKUP(Tabla1[[#This Row],[Perfil]],Catalogos!$B$75:$D$100,3,FALSE)*Tabla1[[#This Row],[Tiempo
(Hrs 00/100)]]*1.16</f>
        <v>#N/A</v>
      </c>
    </row>
    <row r="3923" spans="1:26" ht="30" customHeight="1" x14ac:dyDescent="0.3">
      <c r="A3923" s="106"/>
      <c r="B3923" s="106"/>
      <c r="C3923" s="106"/>
      <c r="D3923" s="106"/>
      <c r="E3923" s="106"/>
      <c r="F3923" s="106"/>
      <c r="G3923" s="106"/>
      <c r="H3923" s="107"/>
      <c r="I3923" s="95"/>
      <c r="J3923" s="706"/>
      <c r="K3923" s="769"/>
      <c r="L3923" s="706"/>
      <c r="M3923" s="781"/>
      <c r="N3923" s="182"/>
      <c r="O3923" s="188"/>
      <c r="P3923" s="221"/>
      <c r="Q3923" s="106"/>
      <c r="R3923" s="108"/>
      <c r="S3923" s="108"/>
      <c r="T3923" s="108"/>
      <c r="U3923" s="108" t="str">
        <f>IFERROR(VLOOKUP(CONCATENATE(Tabla1[[#This Row],[Severidad]]," ",Tabla1[[#This Row],[Complejidad]]),Catalogos!E$120:G$128,3,FALSE),"")</f>
        <v/>
      </c>
      <c r="V3923" s="108" t="str">
        <f>IF(Tabla1[[#This Row],[Tiempo solución max (hrs)]]&lt;&gt;"",IF(Tabla1[[#This Row],[Tiempo solución max (hrs)]]&gt;=Tabla1[[#This Row],[Tiempo
(Hrs 00/100)]],"cumple","no cumple"),"")</f>
        <v/>
      </c>
      <c r="W3923" s="17"/>
      <c r="X3923" s="18">
        <f t="shared" si="251"/>
        <v>0</v>
      </c>
      <c r="Y3923" t="str">
        <f>SUBSTITUTE(Tabla1[[#This Row],[Descripción]],CHAR(10),"    I    ")</f>
        <v/>
      </c>
      <c r="Z3923" s="112" t="e">
        <f>VLOOKUP(Tabla1[[#This Row],[Perfil]],Catalogos!$B$75:$D$100,3,FALSE)*Tabla1[[#This Row],[Tiempo
(Hrs 00/100)]]*1.16</f>
        <v>#N/A</v>
      </c>
    </row>
    <row r="3924" spans="1:26" ht="30" customHeight="1" x14ac:dyDescent="0.3">
      <c r="A3924" s="106"/>
      <c r="B3924" s="106"/>
      <c r="C3924" s="106"/>
      <c r="D3924" s="106"/>
      <c r="E3924" s="106"/>
      <c r="F3924" s="106"/>
      <c r="G3924" s="106"/>
      <c r="H3924" s="107"/>
      <c r="I3924" s="95"/>
      <c r="J3924" s="706"/>
      <c r="K3924" s="769"/>
      <c r="L3924" s="706"/>
      <c r="M3924" s="781"/>
      <c r="N3924" s="182"/>
      <c r="O3924" s="188"/>
      <c r="P3924" s="221"/>
      <c r="Q3924" s="106"/>
      <c r="R3924" s="108"/>
      <c r="S3924" s="108"/>
      <c r="T3924" s="108"/>
      <c r="U3924" s="108" t="str">
        <f>IFERROR(VLOOKUP(CONCATENATE(Tabla1[[#This Row],[Severidad]]," ",Tabla1[[#This Row],[Complejidad]]),Catalogos!E$120:G$128,3,FALSE),"")</f>
        <v/>
      </c>
      <c r="V3924" s="108" t="str">
        <f>IF(Tabla1[[#This Row],[Tiempo solución max (hrs)]]&lt;&gt;"",IF(Tabla1[[#This Row],[Tiempo solución max (hrs)]]&gt;=Tabla1[[#This Row],[Tiempo
(Hrs 00/100)]],"cumple","no cumple"),"")</f>
        <v/>
      </c>
      <c r="W3924" s="17"/>
      <c r="X3924" s="18">
        <f t="shared" si="251"/>
        <v>0</v>
      </c>
      <c r="Y3924" t="str">
        <f>SUBSTITUTE(Tabla1[[#This Row],[Descripción]],CHAR(10),"    I    ")</f>
        <v/>
      </c>
      <c r="Z3924" s="112" t="e">
        <f>VLOOKUP(Tabla1[[#This Row],[Perfil]],Catalogos!$B$75:$D$100,3,FALSE)*Tabla1[[#This Row],[Tiempo
(Hrs 00/100)]]*1.16</f>
        <v>#N/A</v>
      </c>
    </row>
    <row r="3925" spans="1:26" ht="30" customHeight="1" x14ac:dyDescent="0.3">
      <c r="A3925" s="106"/>
      <c r="B3925" s="106"/>
      <c r="C3925" s="106"/>
      <c r="D3925" s="106"/>
      <c r="E3925" s="106"/>
      <c r="F3925" s="106"/>
      <c r="G3925" s="106"/>
      <c r="H3925" s="107"/>
      <c r="I3925" s="95"/>
      <c r="J3925" s="706"/>
      <c r="K3925" s="769"/>
      <c r="L3925" s="706"/>
      <c r="M3925" s="781"/>
      <c r="N3925" s="182"/>
      <c r="O3925" s="188"/>
      <c r="P3925" s="221"/>
      <c r="Q3925" s="106"/>
      <c r="R3925" s="108"/>
      <c r="S3925" s="108"/>
      <c r="T3925" s="108"/>
      <c r="U3925" s="108" t="str">
        <f>IFERROR(VLOOKUP(CONCATENATE(Tabla1[[#This Row],[Severidad]]," ",Tabla1[[#This Row],[Complejidad]]),Catalogos!E$120:G$128,3,FALSE),"")</f>
        <v/>
      </c>
      <c r="V3925" s="108" t="str">
        <f>IF(Tabla1[[#This Row],[Tiempo solución max (hrs)]]&lt;&gt;"",IF(Tabla1[[#This Row],[Tiempo solución max (hrs)]]&gt;=Tabla1[[#This Row],[Tiempo
(Hrs 00/100)]],"cumple","no cumple"),"")</f>
        <v/>
      </c>
      <c r="W3925" s="17"/>
      <c r="X3925" s="18">
        <f t="shared" si="251"/>
        <v>0</v>
      </c>
      <c r="Y3925" t="str">
        <f>SUBSTITUTE(Tabla1[[#This Row],[Descripción]],CHAR(10),"    I    ")</f>
        <v/>
      </c>
      <c r="Z3925" s="112" t="e">
        <f>VLOOKUP(Tabla1[[#This Row],[Perfil]],Catalogos!$B$75:$D$100,3,FALSE)*Tabla1[[#This Row],[Tiempo
(Hrs 00/100)]]*1.16</f>
        <v>#N/A</v>
      </c>
    </row>
    <row r="3926" spans="1:26" ht="30" customHeight="1" x14ac:dyDescent="0.3">
      <c r="A3926" s="106"/>
      <c r="B3926" s="106"/>
      <c r="C3926" s="106"/>
      <c r="D3926" s="106"/>
      <c r="E3926" s="106"/>
      <c r="F3926" s="106"/>
      <c r="G3926" s="106"/>
      <c r="H3926" s="107"/>
      <c r="I3926" s="95"/>
      <c r="J3926" s="706"/>
      <c r="K3926" s="769"/>
      <c r="L3926" s="706"/>
      <c r="M3926" s="781"/>
      <c r="N3926" s="182"/>
      <c r="O3926" s="188"/>
      <c r="P3926" s="221"/>
      <c r="Q3926" s="106"/>
      <c r="R3926" s="108"/>
      <c r="S3926" s="108"/>
      <c r="T3926" s="108"/>
      <c r="U3926" s="108" t="str">
        <f>IFERROR(VLOOKUP(CONCATENATE(Tabla1[[#This Row],[Severidad]]," ",Tabla1[[#This Row],[Complejidad]]),Catalogos!E$120:G$128,3,FALSE),"")</f>
        <v/>
      </c>
      <c r="V3926" s="108" t="str">
        <f>IF(Tabla1[[#This Row],[Tiempo solución max (hrs)]]&lt;&gt;"",IF(Tabla1[[#This Row],[Tiempo solución max (hrs)]]&gt;=Tabla1[[#This Row],[Tiempo
(Hrs 00/100)]],"cumple","no cumple"),"")</f>
        <v/>
      </c>
      <c r="W3926" s="17"/>
      <c r="X3926" s="18">
        <f t="shared" si="251"/>
        <v>0</v>
      </c>
      <c r="Y3926" t="str">
        <f>SUBSTITUTE(Tabla1[[#This Row],[Descripción]],CHAR(10),"    I    ")</f>
        <v/>
      </c>
      <c r="Z3926" s="112" t="e">
        <f>VLOOKUP(Tabla1[[#This Row],[Perfil]],Catalogos!$B$75:$D$100,3,FALSE)*Tabla1[[#This Row],[Tiempo
(Hrs 00/100)]]*1.16</f>
        <v>#N/A</v>
      </c>
    </row>
    <row r="3927" spans="1:26" ht="30" customHeight="1" x14ac:dyDescent="0.3">
      <c r="A3927" s="106"/>
      <c r="B3927" s="106"/>
      <c r="C3927" s="106"/>
      <c r="D3927" s="106"/>
      <c r="E3927" s="106"/>
      <c r="F3927" s="106"/>
      <c r="G3927" s="106"/>
      <c r="H3927" s="107"/>
      <c r="I3927" s="95"/>
      <c r="J3927" s="706"/>
      <c r="K3927" s="769"/>
      <c r="L3927" s="706"/>
      <c r="M3927" s="781"/>
      <c r="N3927" s="182"/>
      <c r="O3927" s="188"/>
      <c r="P3927" s="221"/>
      <c r="Q3927" s="106"/>
      <c r="R3927" s="108"/>
      <c r="S3927" s="108"/>
      <c r="T3927" s="108"/>
      <c r="U3927" s="108" t="str">
        <f>IFERROR(VLOOKUP(CONCATENATE(Tabla1[[#This Row],[Severidad]]," ",Tabla1[[#This Row],[Complejidad]]),Catalogos!E$120:G$128,3,FALSE),"")</f>
        <v/>
      </c>
      <c r="V3927" s="108" t="str">
        <f>IF(Tabla1[[#This Row],[Tiempo solución max (hrs)]]&lt;&gt;"",IF(Tabla1[[#This Row],[Tiempo solución max (hrs)]]&gt;=Tabla1[[#This Row],[Tiempo
(Hrs 00/100)]],"cumple","no cumple"),"")</f>
        <v/>
      </c>
      <c r="W3927" s="17"/>
      <c r="X3927" s="18">
        <f t="shared" si="251"/>
        <v>0</v>
      </c>
      <c r="Y3927" t="str">
        <f>SUBSTITUTE(Tabla1[[#This Row],[Descripción]],CHAR(10),"    I    ")</f>
        <v/>
      </c>
      <c r="Z3927" s="112" t="e">
        <f>VLOOKUP(Tabla1[[#This Row],[Perfil]],Catalogos!$B$75:$D$100,3,FALSE)*Tabla1[[#This Row],[Tiempo
(Hrs 00/100)]]*1.16</f>
        <v>#N/A</v>
      </c>
    </row>
    <row r="3928" spans="1:26" ht="30" customHeight="1" x14ac:dyDescent="0.3">
      <c r="A3928" s="106"/>
      <c r="B3928" s="106"/>
      <c r="C3928" s="106"/>
      <c r="D3928" s="106"/>
      <c r="E3928" s="106"/>
      <c r="F3928" s="106"/>
      <c r="G3928" s="106"/>
      <c r="H3928" s="107"/>
      <c r="I3928" s="95"/>
      <c r="J3928" s="706"/>
      <c r="K3928" s="769"/>
      <c r="L3928" s="706"/>
      <c r="M3928" s="781"/>
      <c r="N3928" s="182"/>
      <c r="O3928" s="188"/>
      <c r="P3928" s="221"/>
      <c r="Q3928" s="106"/>
      <c r="R3928" s="108"/>
      <c r="S3928" s="108"/>
      <c r="T3928" s="108"/>
      <c r="U3928" s="108" t="str">
        <f>IFERROR(VLOOKUP(CONCATENATE(Tabla1[[#This Row],[Severidad]]," ",Tabla1[[#This Row],[Complejidad]]),Catalogos!E$120:G$128,3,FALSE),"")</f>
        <v/>
      </c>
      <c r="V3928" s="108" t="str">
        <f>IF(Tabla1[[#This Row],[Tiempo solución max (hrs)]]&lt;&gt;"",IF(Tabla1[[#This Row],[Tiempo solución max (hrs)]]&gt;=Tabla1[[#This Row],[Tiempo
(Hrs 00/100)]],"cumple","no cumple"),"")</f>
        <v/>
      </c>
      <c r="W3928" s="17"/>
      <c r="X3928" s="18">
        <f t="shared" si="251"/>
        <v>0</v>
      </c>
      <c r="Y3928" t="str">
        <f>SUBSTITUTE(Tabla1[[#This Row],[Descripción]],CHAR(10),"    I    ")</f>
        <v/>
      </c>
      <c r="Z3928" s="112" t="e">
        <f>VLOOKUP(Tabla1[[#This Row],[Perfil]],Catalogos!$B$75:$D$100,3,FALSE)*Tabla1[[#This Row],[Tiempo
(Hrs 00/100)]]*1.16</f>
        <v>#N/A</v>
      </c>
    </row>
    <row r="3929" spans="1:26" ht="30" customHeight="1" x14ac:dyDescent="0.3">
      <c r="A3929" s="106"/>
      <c r="B3929" s="106"/>
      <c r="C3929" s="106"/>
      <c r="D3929" s="106"/>
      <c r="E3929" s="106"/>
      <c r="F3929" s="106"/>
      <c r="G3929" s="106"/>
      <c r="H3929" s="107"/>
      <c r="I3929" s="95"/>
      <c r="J3929" s="706"/>
      <c r="K3929" s="769"/>
      <c r="L3929" s="706"/>
      <c r="M3929" s="781"/>
      <c r="N3929" s="182"/>
      <c r="O3929" s="188"/>
      <c r="P3929" s="221"/>
      <c r="Q3929" s="106"/>
      <c r="R3929" s="108"/>
      <c r="S3929" s="108"/>
      <c r="T3929" s="108"/>
      <c r="U3929" s="108" t="str">
        <f>IFERROR(VLOOKUP(CONCATENATE(Tabla1[[#This Row],[Severidad]]," ",Tabla1[[#This Row],[Complejidad]]),Catalogos!E$120:G$128,3,FALSE),"")</f>
        <v/>
      </c>
      <c r="V3929" s="108" t="str">
        <f>IF(Tabla1[[#This Row],[Tiempo solución max (hrs)]]&lt;&gt;"",IF(Tabla1[[#This Row],[Tiempo solución max (hrs)]]&gt;=Tabla1[[#This Row],[Tiempo
(Hrs 00/100)]],"cumple","no cumple"),"")</f>
        <v/>
      </c>
      <c r="W3929" s="17"/>
      <c r="X3929" s="18">
        <f t="shared" si="251"/>
        <v>0</v>
      </c>
      <c r="Y3929" t="str">
        <f>SUBSTITUTE(Tabla1[[#This Row],[Descripción]],CHAR(10),"    I    ")</f>
        <v/>
      </c>
      <c r="Z3929" s="112" t="e">
        <f>VLOOKUP(Tabla1[[#This Row],[Perfil]],Catalogos!$B$75:$D$100,3,FALSE)*Tabla1[[#This Row],[Tiempo
(Hrs 00/100)]]*1.16</f>
        <v>#N/A</v>
      </c>
    </row>
    <row r="3930" spans="1:26" ht="30" customHeight="1" x14ac:dyDescent="0.3">
      <c r="A3930" s="106"/>
      <c r="B3930" s="106"/>
      <c r="C3930" s="106"/>
      <c r="D3930" s="106"/>
      <c r="E3930" s="106"/>
      <c r="F3930" s="106"/>
      <c r="G3930" s="106"/>
      <c r="H3930" s="107"/>
      <c r="I3930" s="95"/>
      <c r="J3930" s="706"/>
      <c r="K3930" s="769"/>
      <c r="L3930" s="706"/>
      <c r="M3930" s="781"/>
      <c r="N3930" s="182"/>
      <c r="O3930" s="188"/>
      <c r="P3930" s="221"/>
      <c r="Q3930" s="106"/>
      <c r="R3930" s="108"/>
      <c r="S3930" s="108"/>
      <c r="T3930" s="108"/>
      <c r="U3930" s="108" t="str">
        <f>IFERROR(VLOOKUP(CONCATENATE(Tabla1[[#This Row],[Severidad]]," ",Tabla1[[#This Row],[Complejidad]]),Catalogos!E$120:G$128,3,FALSE),"")</f>
        <v/>
      </c>
      <c r="V3930" s="108" t="str">
        <f>IF(Tabla1[[#This Row],[Tiempo solución max (hrs)]]&lt;&gt;"",IF(Tabla1[[#This Row],[Tiempo solución max (hrs)]]&gt;=Tabla1[[#This Row],[Tiempo
(Hrs 00/100)]],"cumple","no cumple"),"")</f>
        <v/>
      </c>
      <c r="W3930" s="17"/>
      <c r="X3930" s="18">
        <f t="shared" si="251"/>
        <v>0</v>
      </c>
      <c r="Y3930" t="str">
        <f>SUBSTITUTE(Tabla1[[#This Row],[Descripción]],CHAR(10),"    I    ")</f>
        <v/>
      </c>
      <c r="Z3930" s="112" t="e">
        <f>VLOOKUP(Tabla1[[#This Row],[Perfil]],Catalogos!$B$75:$D$100,3,FALSE)*Tabla1[[#This Row],[Tiempo
(Hrs 00/100)]]*1.16</f>
        <v>#N/A</v>
      </c>
    </row>
    <row r="3931" spans="1:26" ht="30" customHeight="1" x14ac:dyDescent="0.3">
      <c r="A3931" s="106"/>
      <c r="B3931" s="106"/>
      <c r="C3931" s="106"/>
      <c r="D3931" s="106"/>
      <c r="E3931" s="106"/>
      <c r="F3931" s="106"/>
      <c r="G3931" s="106"/>
      <c r="H3931" s="107"/>
      <c r="I3931" s="95"/>
      <c r="J3931" s="706"/>
      <c r="K3931" s="769"/>
      <c r="L3931" s="706"/>
      <c r="M3931" s="781"/>
      <c r="N3931" s="182"/>
      <c r="O3931" s="188"/>
      <c r="P3931" s="221"/>
      <c r="Q3931" s="106"/>
      <c r="R3931" s="108"/>
      <c r="S3931" s="108"/>
      <c r="T3931" s="108"/>
      <c r="U3931" s="108" t="str">
        <f>IFERROR(VLOOKUP(CONCATENATE(Tabla1[[#This Row],[Severidad]]," ",Tabla1[[#This Row],[Complejidad]]),Catalogos!E$120:G$128,3,FALSE),"")</f>
        <v/>
      </c>
      <c r="V3931" s="108" t="str">
        <f>IF(Tabla1[[#This Row],[Tiempo solución max (hrs)]]&lt;&gt;"",IF(Tabla1[[#This Row],[Tiempo solución max (hrs)]]&gt;=Tabla1[[#This Row],[Tiempo
(Hrs 00/100)]],"cumple","no cumple"),"")</f>
        <v/>
      </c>
      <c r="W3931" s="17"/>
      <c r="X3931" s="18">
        <f t="shared" si="251"/>
        <v>0</v>
      </c>
      <c r="Y3931" t="str">
        <f>SUBSTITUTE(Tabla1[[#This Row],[Descripción]],CHAR(10),"    I    ")</f>
        <v/>
      </c>
      <c r="Z3931" s="112" t="e">
        <f>VLOOKUP(Tabla1[[#This Row],[Perfil]],Catalogos!$B$75:$D$100,3,FALSE)*Tabla1[[#This Row],[Tiempo
(Hrs 00/100)]]*1.16</f>
        <v>#N/A</v>
      </c>
    </row>
    <row r="3932" spans="1:26" ht="30" customHeight="1" x14ac:dyDescent="0.3">
      <c r="A3932" s="106"/>
      <c r="B3932" s="106"/>
      <c r="C3932" s="106"/>
      <c r="D3932" s="106"/>
      <c r="E3932" s="106"/>
      <c r="F3932" s="106"/>
      <c r="G3932" s="106"/>
      <c r="H3932" s="107"/>
      <c r="I3932" s="95"/>
      <c r="J3932" s="706"/>
      <c r="K3932" s="769"/>
      <c r="L3932" s="706"/>
      <c r="M3932" s="781"/>
      <c r="N3932" s="182"/>
      <c r="O3932" s="188"/>
      <c r="P3932" s="221"/>
      <c r="Q3932" s="106"/>
      <c r="R3932" s="108"/>
      <c r="S3932" s="108"/>
      <c r="T3932" s="108"/>
      <c r="U3932" s="108" t="str">
        <f>IFERROR(VLOOKUP(CONCATENATE(Tabla1[[#This Row],[Severidad]]," ",Tabla1[[#This Row],[Complejidad]]),Catalogos!E$120:G$128,3,FALSE),"")</f>
        <v/>
      </c>
      <c r="V3932" s="108" t="str">
        <f>IF(Tabla1[[#This Row],[Tiempo solución max (hrs)]]&lt;&gt;"",IF(Tabla1[[#This Row],[Tiempo solución max (hrs)]]&gt;=Tabla1[[#This Row],[Tiempo
(Hrs 00/100)]],"cumple","no cumple"),"")</f>
        <v/>
      </c>
      <c r="W3932" s="17"/>
      <c r="X3932" s="18">
        <f t="shared" si="251"/>
        <v>0</v>
      </c>
      <c r="Y3932" t="str">
        <f>SUBSTITUTE(Tabla1[[#This Row],[Descripción]],CHAR(10),"    I    ")</f>
        <v/>
      </c>
      <c r="Z3932" s="112" t="e">
        <f>VLOOKUP(Tabla1[[#This Row],[Perfil]],Catalogos!$B$75:$D$100,3,FALSE)*Tabla1[[#This Row],[Tiempo
(Hrs 00/100)]]*1.16</f>
        <v>#N/A</v>
      </c>
    </row>
    <row r="3933" spans="1:26" ht="30" customHeight="1" x14ac:dyDescent="0.3">
      <c r="A3933" s="106"/>
      <c r="B3933" s="106"/>
      <c r="C3933" s="106"/>
      <c r="D3933" s="106"/>
      <c r="E3933" s="106"/>
      <c r="F3933" s="106"/>
      <c r="G3933" s="106"/>
      <c r="H3933" s="107"/>
      <c r="I3933" s="95"/>
      <c r="J3933" s="706"/>
      <c r="K3933" s="769"/>
      <c r="L3933" s="706"/>
      <c r="M3933" s="781"/>
      <c r="N3933" s="182"/>
      <c r="O3933" s="188"/>
      <c r="P3933" s="221"/>
      <c r="Q3933" s="106"/>
      <c r="R3933" s="108"/>
      <c r="S3933" s="108"/>
      <c r="T3933" s="108"/>
      <c r="U3933" s="108" t="str">
        <f>IFERROR(VLOOKUP(CONCATENATE(Tabla1[[#This Row],[Severidad]]," ",Tabla1[[#This Row],[Complejidad]]),Catalogos!E$120:G$128,3,FALSE),"")</f>
        <v/>
      </c>
      <c r="V3933" s="108" t="str">
        <f>IF(Tabla1[[#This Row],[Tiempo solución max (hrs)]]&lt;&gt;"",IF(Tabla1[[#This Row],[Tiempo solución max (hrs)]]&gt;=Tabla1[[#This Row],[Tiempo
(Hrs 00/100)]],"cumple","no cumple"),"")</f>
        <v/>
      </c>
      <c r="W3933" s="17"/>
      <c r="X3933" s="18">
        <f t="shared" si="251"/>
        <v>0</v>
      </c>
      <c r="Y3933" t="str">
        <f>SUBSTITUTE(Tabla1[[#This Row],[Descripción]],CHAR(10),"    I    ")</f>
        <v/>
      </c>
      <c r="Z3933" s="112" t="e">
        <f>VLOOKUP(Tabla1[[#This Row],[Perfil]],Catalogos!$B$75:$D$100,3,FALSE)*Tabla1[[#This Row],[Tiempo
(Hrs 00/100)]]*1.16</f>
        <v>#N/A</v>
      </c>
    </row>
    <row r="3934" spans="1:26" ht="30" customHeight="1" x14ac:dyDescent="0.3">
      <c r="A3934" s="106"/>
      <c r="B3934" s="106"/>
      <c r="C3934" s="106"/>
      <c r="D3934" s="106"/>
      <c r="E3934" s="106"/>
      <c r="F3934" s="106"/>
      <c r="G3934" s="106"/>
      <c r="H3934" s="107"/>
      <c r="I3934" s="95"/>
      <c r="J3934" s="706"/>
      <c r="K3934" s="769"/>
      <c r="L3934" s="706"/>
      <c r="M3934" s="781"/>
      <c r="N3934" s="182"/>
      <c r="O3934" s="188"/>
      <c r="P3934" s="221"/>
      <c r="Q3934" s="106"/>
      <c r="R3934" s="108"/>
      <c r="S3934" s="108"/>
      <c r="T3934" s="108"/>
      <c r="U3934" s="108" t="str">
        <f>IFERROR(VLOOKUP(CONCATENATE(Tabla1[[#This Row],[Severidad]]," ",Tabla1[[#This Row],[Complejidad]]),Catalogos!E$120:G$128,3,FALSE),"")</f>
        <v/>
      </c>
      <c r="V3934" s="108" t="str">
        <f>IF(Tabla1[[#This Row],[Tiempo solución max (hrs)]]&lt;&gt;"",IF(Tabla1[[#This Row],[Tiempo solución max (hrs)]]&gt;=Tabla1[[#This Row],[Tiempo
(Hrs 00/100)]],"cumple","no cumple"),"")</f>
        <v/>
      </c>
      <c r="W3934" s="17"/>
      <c r="X3934" s="18">
        <f t="shared" si="251"/>
        <v>0</v>
      </c>
      <c r="Y3934" t="str">
        <f>SUBSTITUTE(Tabla1[[#This Row],[Descripción]],CHAR(10),"    I    ")</f>
        <v/>
      </c>
      <c r="Z3934" s="112" t="e">
        <f>VLOOKUP(Tabla1[[#This Row],[Perfil]],Catalogos!$B$75:$D$100,3,FALSE)*Tabla1[[#This Row],[Tiempo
(Hrs 00/100)]]*1.16</f>
        <v>#N/A</v>
      </c>
    </row>
    <row r="3935" spans="1:26" ht="30" customHeight="1" x14ac:dyDescent="0.3">
      <c r="A3935" s="106"/>
      <c r="B3935" s="106"/>
      <c r="C3935" s="106"/>
      <c r="D3935" s="106"/>
      <c r="E3935" s="106"/>
      <c r="F3935" s="106"/>
      <c r="G3935" s="106"/>
      <c r="H3935" s="107"/>
      <c r="I3935" s="95"/>
      <c r="J3935" s="706"/>
      <c r="K3935" s="769"/>
      <c r="L3935" s="706"/>
      <c r="M3935" s="781"/>
      <c r="N3935" s="182"/>
      <c r="O3935" s="188"/>
      <c r="P3935" s="221"/>
      <c r="Q3935" s="106"/>
      <c r="R3935" s="108"/>
      <c r="S3935" s="108"/>
      <c r="T3935" s="108"/>
      <c r="U3935" s="108" t="str">
        <f>IFERROR(VLOOKUP(CONCATENATE(Tabla1[[#This Row],[Severidad]]," ",Tabla1[[#This Row],[Complejidad]]),Catalogos!E$120:G$128,3,FALSE),"")</f>
        <v/>
      </c>
      <c r="V3935" s="108" t="str">
        <f>IF(Tabla1[[#This Row],[Tiempo solución max (hrs)]]&lt;&gt;"",IF(Tabla1[[#This Row],[Tiempo solución max (hrs)]]&gt;=Tabla1[[#This Row],[Tiempo
(Hrs 00/100)]],"cumple","no cumple"),"")</f>
        <v/>
      </c>
      <c r="W3935" s="17"/>
      <c r="X3935" s="18">
        <f t="shared" si="251"/>
        <v>0</v>
      </c>
      <c r="Y3935" t="str">
        <f>SUBSTITUTE(Tabla1[[#This Row],[Descripción]],CHAR(10),"    I    ")</f>
        <v/>
      </c>
      <c r="Z3935" s="112" t="e">
        <f>VLOOKUP(Tabla1[[#This Row],[Perfil]],Catalogos!$B$75:$D$100,3,FALSE)*Tabla1[[#This Row],[Tiempo
(Hrs 00/100)]]*1.16</f>
        <v>#N/A</v>
      </c>
    </row>
    <row r="3936" spans="1:26" ht="30" customHeight="1" x14ac:dyDescent="0.3">
      <c r="A3936" s="106"/>
      <c r="B3936" s="106"/>
      <c r="C3936" s="106"/>
      <c r="D3936" s="106"/>
      <c r="E3936" s="106"/>
      <c r="F3936" s="106"/>
      <c r="G3936" s="106"/>
      <c r="H3936" s="107"/>
      <c r="I3936" s="95"/>
      <c r="J3936" s="706"/>
      <c r="K3936" s="769"/>
      <c r="L3936" s="706"/>
      <c r="M3936" s="781"/>
      <c r="N3936" s="182"/>
      <c r="O3936" s="188"/>
      <c r="P3936" s="221"/>
      <c r="Q3936" s="106"/>
      <c r="R3936" s="108"/>
      <c r="S3936" s="108"/>
      <c r="T3936" s="108"/>
      <c r="U3936" s="108" t="str">
        <f>IFERROR(VLOOKUP(CONCATENATE(Tabla1[[#This Row],[Severidad]]," ",Tabla1[[#This Row],[Complejidad]]),Catalogos!E$120:G$128,3,FALSE),"")</f>
        <v/>
      </c>
      <c r="V3936" s="108" t="str">
        <f>IF(Tabla1[[#This Row],[Tiempo solución max (hrs)]]&lt;&gt;"",IF(Tabla1[[#This Row],[Tiempo solución max (hrs)]]&gt;=Tabla1[[#This Row],[Tiempo
(Hrs 00/100)]],"cumple","no cumple"),"")</f>
        <v/>
      </c>
      <c r="W3936" s="17"/>
      <c r="X3936" s="18">
        <f t="shared" si="251"/>
        <v>0</v>
      </c>
      <c r="Y3936" t="str">
        <f>SUBSTITUTE(Tabla1[[#This Row],[Descripción]],CHAR(10),"    I    ")</f>
        <v/>
      </c>
      <c r="Z3936" s="112" t="e">
        <f>VLOOKUP(Tabla1[[#This Row],[Perfil]],Catalogos!$B$75:$D$100,3,FALSE)*Tabla1[[#This Row],[Tiempo
(Hrs 00/100)]]*1.16</f>
        <v>#N/A</v>
      </c>
    </row>
    <row r="3937" spans="1:26" ht="30" customHeight="1" x14ac:dyDescent="0.3">
      <c r="A3937" s="106"/>
      <c r="B3937" s="106"/>
      <c r="C3937" s="106"/>
      <c r="D3937" s="106"/>
      <c r="E3937" s="106"/>
      <c r="F3937" s="106"/>
      <c r="G3937" s="106"/>
      <c r="H3937" s="107"/>
      <c r="I3937" s="95"/>
      <c r="J3937" s="706"/>
      <c r="K3937" s="769"/>
      <c r="L3937" s="706"/>
      <c r="M3937" s="781"/>
      <c r="N3937" s="182"/>
      <c r="O3937" s="188"/>
      <c r="P3937" s="221"/>
      <c r="Q3937" s="106"/>
      <c r="R3937" s="108"/>
      <c r="S3937" s="108"/>
      <c r="T3937" s="108"/>
      <c r="U3937" s="108" t="str">
        <f>IFERROR(VLOOKUP(CONCATENATE(Tabla1[[#This Row],[Severidad]]," ",Tabla1[[#This Row],[Complejidad]]),Catalogos!E$120:G$128,3,FALSE),"")</f>
        <v/>
      </c>
      <c r="V3937" s="108" t="str">
        <f>IF(Tabla1[[#This Row],[Tiempo solución max (hrs)]]&lt;&gt;"",IF(Tabla1[[#This Row],[Tiempo solución max (hrs)]]&gt;=Tabla1[[#This Row],[Tiempo
(Hrs 00/100)]],"cumple","no cumple"),"")</f>
        <v/>
      </c>
      <c r="W3937" s="17"/>
      <c r="X3937" s="18">
        <f t="shared" si="251"/>
        <v>0</v>
      </c>
      <c r="Y3937" t="str">
        <f>SUBSTITUTE(Tabla1[[#This Row],[Descripción]],CHAR(10),"    I    ")</f>
        <v/>
      </c>
      <c r="Z3937" s="112" t="e">
        <f>VLOOKUP(Tabla1[[#This Row],[Perfil]],Catalogos!$B$75:$D$100,3,FALSE)*Tabla1[[#This Row],[Tiempo
(Hrs 00/100)]]*1.16</f>
        <v>#N/A</v>
      </c>
    </row>
    <row r="3938" spans="1:26" ht="30" customHeight="1" x14ac:dyDescent="0.3">
      <c r="A3938" s="106"/>
      <c r="B3938" s="106"/>
      <c r="C3938" s="106"/>
      <c r="D3938" s="106"/>
      <c r="E3938" s="106"/>
      <c r="F3938" s="106"/>
      <c r="G3938" s="106"/>
      <c r="H3938" s="107"/>
      <c r="I3938" s="95"/>
      <c r="J3938" s="706"/>
      <c r="K3938" s="769"/>
      <c r="L3938" s="706"/>
      <c r="M3938" s="781"/>
      <c r="N3938" s="182"/>
      <c r="O3938" s="188"/>
      <c r="P3938" s="221"/>
      <c r="Q3938" s="106"/>
      <c r="R3938" s="108"/>
      <c r="S3938" s="108"/>
      <c r="T3938" s="108"/>
      <c r="U3938" s="108" t="str">
        <f>IFERROR(VLOOKUP(CONCATENATE(Tabla1[[#This Row],[Severidad]]," ",Tabla1[[#This Row],[Complejidad]]),Catalogos!E$120:G$128,3,FALSE),"")</f>
        <v/>
      </c>
      <c r="V3938" s="108" t="str">
        <f>IF(Tabla1[[#This Row],[Tiempo solución max (hrs)]]&lt;&gt;"",IF(Tabla1[[#This Row],[Tiempo solución max (hrs)]]&gt;=Tabla1[[#This Row],[Tiempo
(Hrs 00/100)]],"cumple","no cumple"),"")</f>
        <v/>
      </c>
      <c r="W3938" s="17"/>
      <c r="X3938" s="18">
        <f t="shared" si="251"/>
        <v>0</v>
      </c>
      <c r="Y3938" t="str">
        <f>SUBSTITUTE(Tabla1[[#This Row],[Descripción]],CHAR(10),"    I    ")</f>
        <v/>
      </c>
      <c r="Z3938" s="112" t="e">
        <f>VLOOKUP(Tabla1[[#This Row],[Perfil]],Catalogos!$B$75:$D$100,3,FALSE)*Tabla1[[#This Row],[Tiempo
(Hrs 00/100)]]*1.16</f>
        <v>#N/A</v>
      </c>
    </row>
    <row r="3939" spans="1:26" ht="30" customHeight="1" x14ac:dyDescent="0.3">
      <c r="A3939" s="106"/>
      <c r="B3939" s="106"/>
      <c r="C3939" s="106"/>
      <c r="D3939" s="106"/>
      <c r="E3939" s="106"/>
      <c r="F3939" s="106"/>
      <c r="G3939" s="106"/>
      <c r="H3939" s="107"/>
      <c r="I3939" s="95"/>
      <c r="J3939" s="706"/>
      <c r="K3939" s="769"/>
      <c r="L3939" s="706"/>
      <c r="M3939" s="781"/>
      <c r="N3939" s="182"/>
      <c r="O3939" s="188"/>
      <c r="P3939" s="221"/>
      <c r="Q3939" s="106"/>
      <c r="R3939" s="108"/>
      <c r="S3939" s="108"/>
      <c r="T3939" s="108"/>
      <c r="U3939" s="108" t="str">
        <f>IFERROR(VLOOKUP(CONCATENATE(Tabla1[[#This Row],[Severidad]]," ",Tabla1[[#This Row],[Complejidad]]),Catalogos!E$120:G$128,3,FALSE),"")</f>
        <v/>
      </c>
      <c r="V3939" s="108" t="str">
        <f>IF(Tabla1[[#This Row],[Tiempo solución max (hrs)]]&lt;&gt;"",IF(Tabla1[[#This Row],[Tiempo solución max (hrs)]]&gt;=Tabla1[[#This Row],[Tiempo
(Hrs 00/100)]],"cumple","no cumple"),"")</f>
        <v/>
      </c>
      <c r="W3939" s="17"/>
      <c r="X3939" s="18">
        <f t="shared" si="251"/>
        <v>0</v>
      </c>
      <c r="Y3939" t="str">
        <f>SUBSTITUTE(Tabla1[[#This Row],[Descripción]],CHAR(10),"    I    ")</f>
        <v/>
      </c>
      <c r="Z3939" s="112" t="e">
        <f>VLOOKUP(Tabla1[[#This Row],[Perfil]],Catalogos!$B$75:$D$100,3,FALSE)*Tabla1[[#This Row],[Tiempo
(Hrs 00/100)]]*1.16</f>
        <v>#N/A</v>
      </c>
    </row>
    <row r="3940" spans="1:26" ht="30" customHeight="1" x14ac:dyDescent="0.3">
      <c r="A3940" s="106"/>
      <c r="B3940" s="106"/>
      <c r="C3940" s="106"/>
      <c r="D3940" s="106"/>
      <c r="E3940" s="106"/>
      <c r="F3940" s="106"/>
      <c r="G3940" s="106"/>
      <c r="H3940" s="107"/>
      <c r="I3940" s="95"/>
      <c r="J3940" s="706"/>
      <c r="K3940" s="769"/>
      <c r="L3940" s="706"/>
      <c r="M3940" s="781"/>
      <c r="N3940" s="182"/>
      <c r="O3940" s="188"/>
      <c r="P3940" s="221"/>
      <c r="Q3940" s="106"/>
      <c r="R3940" s="108"/>
      <c r="S3940" s="108"/>
      <c r="T3940" s="108"/>
      <c r="U3940" s="108" t="str">
        <f>IFERROR(VLOOKUP(CONCATENATE(Tabla1[[#This Row],[Severidad]]," ",Tabla1[[#This Row],[Complejidad]]),Catalogos!E$120:G$128,3,FALSE),"")</f>
        <v/>
      </c>
      <c r="V3940" s="108" t="str">
        <f>IF(Tabla1[[#This Row],[Tiempo solución max (hrs)]]&lt;&gt;"",IF(Tabla1[[#This Row],[Tiempo solución max (hrs)]]&gt;=Tabla1[[#This Row],[Tiempo
(Hrs 00/100)]],"cumple","no cumple"),"")</f>
        <v/>
      </c>
      <c r="W3940" s="17"/>
      <c r="X3940" s="18">
        <f t="shared" si="251"/>
        <v>0</v>
      </c>
      <c r="Y3940" t="str">
        <f>SUBSTITUTE(Tabla1[[#This Row],[Descripción]],CHAR(10),"    I    ")</f>
        <v/>
      </c>
      <c r="Z3940" s="112" t="e">
        <f>VLOOKUP(Tabla1[[#This Row],[Perfil]],Catalogos!$B$75:$D$100,3,FALSE)*Tabla1[[#This Row],[Tiempo
(Hrs 00/100)]]*1.16</f>
        <v>#N/A</v>
      </c>
    </row>
    <row r="3941" spans="1:26" ht="30" customHeight="1" x14ac:dyDescent="0.3">
      <c r="A3941" s="106"/>
      <c r="B3941" s="106"/>
      <c r="C3941" s="106"/>
      <c r="D3941" s="106"/>
      <c r="E3941" s="106"/>
      <c r="F3941" s="106"/>
      <c r="G3941" s="106"/>
      <c r="H3941" s="107"/>
      <c r="I3941" s="95"/>
      <c r="J3941" s="706"/>
      <c r="K3941" s="769"/>
      <c r="L3941" s="706"/>
      <c r="M3941" s="781"/>
      <c r="N3941" s="182"/>
      <c r="O3941" s="188"/>
      <c r="P3941" s="221"/>
      <c r="Q3941" s="106"/>
      <c r="R3941" s="108"/>
      <c r="S3941" s="108"/>
      <c r="T3941" s="108"/>
      <c r="U3941" s="108" t="str">
        <f>IFERROR(VLOOKUP(CONCATENATE(Tabla1[[#This Row],[Severidad]]," ",Tabla1[[#This Row],[Complejidad]]),Catalogos!E$120:G$128,3,FALSE),"")</f>
        <v/>
      </c>
      <c r="V3941" s="108" t="str">
        <f>IF(Tabla1[[#This Row],[Tiempo solución max (hrs)]]&lt;&gt;"",IF(Tabla1[[#This Row],[Tiempo solución max (hrs)]]&gt;=Tabla1[[#This Row],[Tiempo
(Hrs 00/100)]],"cumple","no cumple"),"")</f>
        <v/>
      </c>
      <c r="W3941" s="17"/>
      <c r="X3941" s="18">
        <f t="shared" si="251"/>
        <v>0</v>
      </c>
      <c r="Y3941" t="str">
        <f>SUBSTITUTE(Tabla1[[#This Row],[Descripción]],CHAR(10),"    I    ")</f>
        <v/>
      </c>
      <c r="Z3941" s="112" t="e">
        <f>VLOOKUP(Tabla1[[#This Row],[Perfil]],Catalogos!$B$75:$D$100,3,FALSE)*Tabla1[[#This Row],[Tiempo
(Hrs 00/100)]]*1.16</f>
        <v>#N/A</v>
      </c>
    </row>
    <row r="3942" spans="1:26" ht="30" customHeight="1" x14ac:dyDescent="0.3">
      <c r="A3942" s="106"/>
      <c r="B3942" s="106"/>
      <c r="C3942" s="106"/>
      <c r="D3942" s="106"/>
      <c r="E3942" s="106"/>
      <c r="F3942" s="106"/>
      <c r="G3942" s="106"/>
      <c r="H3942" s="107"/>
      <c r="I3942" s="95"/>
      <c r="J3942" s="706"/>
      <c r="K3942" s="769"/>
      <c r="L3942" s="706"/>
      <c r="M3942" s="781"/>
      <c r="N3942" s="182"/>
      <c r="O3942" s="188"/>
      <c r="P3942" s="221"/>
      <c r="Q3942" s="106"/>
      <c r="R3942" s="108"/>
      <c r="S3942" s="108"/>
      <c r="T3942" s="108"/>
      <c r="U3942" s="108" t="str">
        <f>IFERROR(VLOOKUP(CONCATENATE(Tabla1[[#This Row],[Severidad]]," ",Tabla1[[#This Row],[Complejidad]]),Catalogos!E$120:G$128,3,FALSE),"")</f>
        <v/>
      </c>
      <c r="V3942" s="108" t="str">
        <f>IF(Tabla1[[#This Row],[Tiempo solución max (hrs)]]&lt;&gt;"",IF(Tabla1[[#This Row],[Tiempo solución max (hrs)]]&gt;=Tabla1[[#This Row],[Tiempo
(Hrs 00/100)]],"cumple","no cumple"),"")</f>
        <v/>
      </c>
      <c r="W3942" s="17"/>
      <c r="X3942" s="18">
        <f t="shared" si="251"/>
        <v>0</v>
      </c>
      <c r="Y3942" t="str">
        <f>SUBSTITUTE(Tabla1[[#This Row],[Descripción]],CHAR(10),"    I    ")</f>
        <v/>
      </c>
      <c r="Z3942" s="112" t="e">
        <f>VLOOKUP(Tabla1[[#This Row],[Perfil]],Catalogos!$B$75:$D$100,3,FALSE)*Tabla1[[#This Row],[Tiempo
(Hrs 00/100)]]*1.16</f>
        <v>#N/A</v>
      </c>
    </row>
    <row r="3943" spans="1:26" ht="30" customHeight="1" x14ac:dyDescent="0.3">
      <c r="A3943" s="106"/>
      <c r="B3943" s="106"/>
      <c r="C3943" s="106"/>
      <c r="D3943" s="106"/>
      <c r="E3943" s="106"/>
      <c r="F3943" s="106"/>
      <c r="G3943" s="106"/>
      <c r="H3943" s="107"/>
      <c r="I3943" s="95"/>
      <c r="J3943" s="706"/>
      <c r="K3943" s="769"/>
      <c r="L3943" s="706"/>
      <c r="M3943" s="781"/>
      <c r="N3943" s="182"/>
      <c r="O3943" s="188"/>
      <c r="P3943" s="221"/>
      <c r="Q3943" s="106"/>
      <c r="R3943" s="108"/>
      <c r="S3943" s="108"/>
      <c r="T3943" s="108"/>
      <c r="U3943" s="108" t="str">
        <f>IFERROR(VLOOKUP(CONCATENATE(Tabla1[[#This Row],[Severidad]]," ",Tabla1[[#This Row],[Complejidad]]),Catalogos!E$120:G$128,3,FALSE),"")</f>
        <v/>
      </c>
      <c r="V3943" s="108" t="str">
        <f>IF(Tabla1[[#This Row],[Tiempo solución max (hrs)]]&lt;&gt;"",IF(Tabla1[[#This Row],[Tiempo solución max (hrs)]]&gt;=Tabla1[[#This Row],[Tiempo
(Hrs 00/100)]],"cumple","no cumple"),"")</f>
        <v/>
      </c>
      <c r="W3943" s="17"/>
      <c r="X3943" s="18">
        <f t="shared" si="251"/>
        <v>0</v>
      </c>
      <c r="Y3943" t="str">
        <f>SUBSTITUTE(Tabla1[[#This Row],[Descripción]],CHAR(10),"    I    ")</f>
        <v/>
      </c>
      <c r="Z3943" s="112" t="e">
        <f>VLOOKUP(Tabla1[[#This Row],[Perfil]],Catalogos!$B$75:$D$100,3,FALSE)*Tabla1[[#This Row],[Tiempo
(Hrs 00/100)]]*1.16</f>
        <v>#N/A</v>
      </c>
    </row>
    <row r="3944" spans="1:26" ht="30" customHeight="1" x14ac:dyDescent="0.3">
      <c r="A3944" s="106"/>
      <c r="B3944" s="106"/>
      <c r="C3944" s="106"/>
      <c r="D3944" s="106"/>
      <c r="E3944" s="106"/>
      <c r="F3944" s="106"/>
      <c r="G3944" s="106"/>
      <c r="H3944" s="107"/>
      <c r="I3944" s="95"/>
      <c r="J3944" s="706"/>
      <c r="K3944" s="769"/>
      <c r="L3944" s="706"/>
      <c r="M3944" s="781"/>
      <c r="N3944" s="182"/>
      <c r="O3944" s="188"/>
      <c r="P3944" s="221"/>
      <c r="Q3944" s="106"/>
      <c r="R3944" s="108"/>
      <c r="S3944" s="108"/>
      <c r="T3944" s="108"/>
      <c r="U3944" s="108" t="str">
        <f>IFERROR(VLOOKUP(CONCATENATE(Tabla1[[#This Row],[Severidad]]," ",Tabla1[[#This Row],[Complejidad]]),Catalogos!E$120:G$128,3,FALSE),"")</f>
        <v/>
      </c>
      <c r="V3944" s="108" t="str">
        <f>IF(Tabla1[[#This Row],[Tiempo solución max (hrs)]]&lt;&gt;"",IF(Tabla1[[#This Row],[Tiempo solución max (hrs)]]&gt;=Tabla1[[#This Row],[Tiempo
(Hrs 00/100)]],"cumple","no cumple"),"")</f>
        <v/>
      </c>
      <c r="W3944" s="17"/>
      <c r="X3944" s="18">
        <f t="shared" si="251"/>
        <v>0</v>
      </c>
      <c r="Y3944" t="str">
        <f>SUBSTITUTE(Tabla1[[#This Row],[Descripción]],CHAR(10),"    I    ")</f>
        <v/>
      </c>
      <c r="Z3944" s="112" t="e">
        <f>VLOOKUP(Tabla1[[#This Row],[Perfil]],Catalogos!$B$75:$D$100,3,FALSE)*Tabla1[[#This Row],[Tiempo
(Hrs 00/100)]]*1.16</f>
        <v>#N/A</v>
      </c>
    </row>
    <row r="3945" spans="1:26" ht="30" customHeight="1" x14ac:dyDescent="0.3">
      <c r="A3945" s="106"/>
      <c r="B3945" s="106"/>
      <c r="C3945" s="106"/>
      <c r="D3945" s="106"/>
      <c r="E3945" s="106"/>
      <c r="F3945" s="106"/>
      <c r="G3945" s="106"/>
      <c r="H3945" s="107"/>
      <c r="I3945" s="95"/>
      <c r="J3945" s="706"/>
      <c r="K3945" s="769"/>
      <c r="L3945" s="706"/>
      <c r="M3945" s="781"/>
      <c r="N3945" s="182"/>
      <c r="O3945" s="188"/>
      <c r="P3945" s="221"/>
      <c r="Q3945" s="106"/>
      <c r="R3945" s="108"/>
      <c r="S3945" s="108"/>
      <c r="T3945" s="108"/>
      <c r="U3945" s="108" t="str">
        <f>IFERROR(VLOOKUP(CONCATENATE(Tabla1[[#This Row],[Severidad]]," ",Tabla1[[#This Row],[Complejidad]]),Catalogos!E$120:G$128,3,FALSE),"")</f>
        <v/>
      </c>
      <c r="V3945" s="108" t="str">
        <f>IF(Tabla1[[#This Row],[Tiempo solución max (hrs)]]&lt;&gt;"",IF(Tabla1[[#This Row],[Tiempo solución max (hrs)]]&gt;=Tabla1[[#This Row],[Tiempo
(Hrs 00/100)]],"cumple","no cumple"),"")</f>
        <v/>
      </c>
      <c r="W3945" s="17"/>
      <c r="X3945" s="18">
        <f t="shared" si="251"/>
        <v>0</v>
      </c>
      <c r="Y3945" t="str">
        <f>SUBSTITUTE(Tabla1[[#This Row],[Descripción]],CHAR(10),"    I    ")</f>
        <v/>
      </c>
      <c r="Z3945" s="112" t="e">
        <f>VLOOKUP(Tabla1[[#This Row],[Perfil]],Catalogos!$B$75:$D$100,3,FALSE)*Tabla1[[#This Row],[Tiempo
(Hrs 00/100)]]*1.16</f>
        <v>#N/A</v>
      </c>
    </row>
    <row r="3946" spans="1:26" ht="30" customHeight="1" x14ac:dyDescent="0.3">
      <c r="A3946" s="106"/>
      <c r="B3946" s="106"/>
      <c r="C3946" s="106"/>
      <c r="D3946" s="106"/>
      <c r="E3946" s="106"/>
      <c r="F3946" s="106"/>
      <c r="G3946" s="106"/>
      <c r="H3946" s="107"/>
      <c r="I3946" s="95"/>
      <c r="J3946" s="706"/>
      <c r="K3946" s="769"/>
      <c r="L3946" s="706"/>
      <c r="M3946" s="781"/>
      <c r="N3946" s="182"/>
      <c r="O3946" s="188"/>
      <c r="P3946" s="221"/>
      <c r="Q3946" s="106"/>
      <c r="R3946" s="108"/>
      <c r="S3946" s="108"/>
      <c r="T3946" s="108"/>
      <c r="U3946" s="108" t="str">
        <f>IFERROR(VLOOKUP(CONCATENATE(Tabla1[[#This Row],[Severidad]]," ",Tabla1[[#This Row],[Complejidad]]),Catalogos!E$120:G$128,3,FALSE),"")</f>
        <v/>
      </c>
      <c r="V3946" s="108" t="str">
        <f>IF(Tabla1[[#This Row],[Tiempo solución max (hrs)]]&lt;&gt;"",IF(Tabla1[[#This Row],[Tiempo solución max (hrs)]]&gt;=Tabla1[[#This Row],[Tiempo
(Hrs 00/100)]],"cumple","no cumple"),"")</f>
        <v/>
      </c>
      <c r="W3946" s="17"/>
      <c r="X3946" s="18">
        <f t="shared" si="251"/>
        <v>0</v>
      </c>
      <c r="Y3946" t="str">
        <f>SUBSTITUTE(Tabla1[[#This Row],[Descripción]],CHAR(10),"    I    ")</f>
        <v/>
      </c>
      <c r="Z3946" s="112" t="e">
        <f>VLOOKUP(Tabla1[[#This Row],[Perfil]],Catalogos!$B$75:$D$100,3,FALSE)*Tabla1[[#This Row],[Tiempo
(Hrs 00/100)]]*1.16</f>
        <v>#N/A</v>
      </c>
    </row>
    <row r="3947" spans="1:26" ht="30" customHeight="1" x14ac:dyDescent="0.3">
      <c r="A3947" s="106"/>
      <c r="B3947" s="106"/>
      <c r="C3947" s="106"/>
      <c r="D3947" s="106"/>
      <c r="E3947" s="106"/>
      <c r="F3947" s="106"/>
      <c r="G3947" s="106"/>
      <c r="H3947" s="107"/>
      <c r="I3947" s="95"/>
      <c r="J3947" s="706"/>
      <c r="K3947" s="769"/>
      <c r="L3947" s="706"/>
      <c r="M3947" s="781"/>
      <c r="N3947" s="182"/>
      <c r="O3947" s="188"/>
      <c r="P3947" s="221"/>
      <c r="Q3947" s="106"/>
      <c r="R3947" s="108"/>
      <c r="S3947" s="108"/>
      <c r="T3947" s="108"/>
      <c r="U3947" s="108" t="str">
        <f>IFERROR(VLOOKUP(CONCATENATE(Tabla1[[#This Row],[Severidad]]," ",Tabla1[[#This Row],[Complejidad]]),Catalogos!E$120:G$128,3,FALSE),"")</f>
        <v/>
      </c>
      <c r="V3947" s="108" t="str">
        <f>IF(Tabla1[[#This Row],[Tiempo solución max (hrs)]]&lt;&gt;"",IF(Tabla1[[#This Row],[Tiempo solución max (hrs)]]&gt;=Tabla1[[#This Row],[Tiempo
(Hrs 00/100)]],"cumple","no cumple"),"")</f>
        <v/>
      </c>
      <c r="W3947" s="17"/>
      <c r="X3947" s="18">
        <f t="shared" si="251"/>
        <v>0</v>
      </c>
      <c r="Y3947" t="str">
        <f>SUBSTITUTE(Tabla1[[#This Row],[Descripción]],CHAR(10),"    I    ")</f>
        <v/>
      </c>
      <c r="Z3947" s="112" t="e">
        <f>VLOOKUP(Tabla1[[#This Row],[Perfil]],Catalogos!$B$75:$D$100,3,FALSE)*Tabla1[[#This Row],[Tiempo
(Hrs 00/100)]]*1.16</f>
        <v>#N/A</v>
      </c>
    </row>
    <row r="3948" spans="1:26" ht="30" customHeight="1" x14ac:dyDescent="0.3">
      <c r="A3948" s="106"/>
      <c r="B3948" s="106"/>
      <c r="C3948" s="106"/>
      <c r="D3948" s="106"/>
      <c r="E3948" s="106"/>
      <c r="F3948" s="106"/>
      <c r="G3948" s="106"/>
      <c r="H3948" s="107"/>
      <c r="I3948" s="95"/>
      <c r="J3948" s="706"/>
      <c r="K3948" s="769"/>
      <c r="L3948" s="706"/>
      <c r="M3948" s="781"/>
      <c r="N3948" s="182"/>
      <c r="O3948" s="188"/>
      <c r="P3948" s="221"/>
      <c r="Q3948" s="106"/>
      <c r="R3948" s="108"/>
      <c r="S3948" s="108"/>
      <c r="T3948" s="108"/>
      <c r="U3948" s="108" t="str">
        <f>IFERROR(VLOOKUP(CONCATENATE(Tabla1[[#This Row],[Severidad]]," ",Tabla1[[#This Row],[Complejidad]]),Catalogos!E$120:G$128,3,FALSE),"")</f>
        <v/>
      </c>
      <c r="V3948" s="108" t="str">
        <f>IF(Tabla1[[#This Row],[Tiempo solución max (hrs)]]&lt;&gt;"",IF(Tabla1[[#This Row],[Tiempo solución max (hrs)]]&gt;=Tabla1[[#This Row],[Tiempo
(Hrs 00/100)]],"cumple","no cumple"),"")</f>
        <v/>
      </c>
      <c r="W3948" s="17"/>
      <c r="X3948" s="18">
        <f t="shared" si="251"/>
        <v>0</v>
      </c>
      <c r="Y3948" t="str">
        <f>SUBSTITUTE(Tabla1[[#This Row],[Descripción]],CHAR(10),"    I    ")</f>
        <v/>
      </c>
      <c r="Z3948" s="112" t="e">
        <f>VLOOKUP(Tabla1[[#This Row],[Perfil]],Catalogos!$B$75:$D$100,3,FALSE)*Tabla1[[#This Row],[Tiempo
(Hrs 00/100)]]*1.16</f>
        <v>#N/A</v>
      </c>
    </row>
    <row r="3949" spans="1:26" ht="30" customHeight="1" x14ac:dyDescent="0.3">
      <c r="A3949" s="106"/>
      <c r="B3949" s="106"/>
      <c r="C3949" s="106"/>
      <c r="D3949" s="106"/>
      <c r="E3949" s="106"/>
      <c r="F3949" s="106"/>
      <c r="G3949" s="106"/>
      <c r="H3949" s="107"/>
      <c r="I3949" s="95"/>
      <c r="J3949" s="706"/>
      <c r="K3949" s="769"/>
      <c r="L3949" s="706"/>
      <c r="M3949" s="781"/>
      <c r="N3949" s="182"/>
      <c r="O3949" s="188"/>
      <c r="P3949" s="221"/>
      <c r="Q3949" s="106"/>
      <c r="R3949" s="108"/>
      <c r="S3949" s="108"/>
      <c r="T3949" s="108"/>
      <c r="U3949" s="108" t="str">
        <f>IFERROR(VLOOKUP(CONCATENATE(Tabla1[[#This Row],[Severidad]]," ",Tabla1[[#This Row],[Complejidad]]),Catalogos!E$120:G$128,3,FALSE),"")</f>
        <v/>
      </c>
      <c r="V3949" s="108" t="str">
        <f>IF(Tabla1[[#This Row],[Tiempo solución max (hrs)]]&lt;&gt;"",IF(Tabla1[[#This Row],[Tiempo solución max (hrs)]]&gt;=Tabla1[[#This Row],[Tiempo
(Hrs 00/100)]],"cumple","no cumple"),"")</f>
        <v/>
      </c>
      <c r="W3949" s="17"/>
      <c r="X3949" s="18">
        <f t="shared" si="251"/>
        <v>0</v>
      </c>
      <c r="Y3949" t="str">
        <f>SUBSTITUTE(Tabla1[[#This Row],[Descripción]],CHAR(10),"    I    ")</f>
        <v/>
      </c>
      <c r="Z3949" s="112" t="e">
        <f>VLOOKUP(Tabla1[[#This Row],[Perfil]],Catalogos!$B$75:$D$100,3,FALSE)*Tabla1[[#This Row],[Tiempo
(Hrs 00/100)]]*1.16</f>
        <v>#N/A</v>
      </c>
    </row>
    <row r="3950" spans="1:26" ht="30" customHeight="1" x14ac:dyDescent="0.3">
      <c r="A3950" s="106"/>
      <c r="B3950" s="106"/>
      <c r="C3950" s="106"/>
      <c r="D3950" s="106"/>
      <c r="E3950" s="106"/>
      <c r="F3950" s="106"/>
      <c r="G3950" s="106"/>
      <c r="H3950" s="107"/>
      <c r="I3950" s="95"/>
      <c r="J3950" s="706"/>
      <c r="K3950" s="769"/>
      <c r="L3950" s="706"/>
      <c r="M3950" s="781"/>
      <c r="N3950" s="182"/>
      <c r="O3950" s="188"/>
      <c r="P3950" s="221"/>
      <c r="Q3950" s="106"/>
      <c r="R3950" s="108"/>
      <c r="S3950" s="108"/>
      <c r="T3950" s="108"/>
      <c r="U3950" s="108" t="str">
        <f>IFERROR(VLOOKUP(CONCATENATE(Tabla1[[#This Row],[Severidad]]," ",Tabla1[[#This Row],[Complejidad]]),Catalogos!E$120:G$128,3,FALSE),"")</f>
        <v/>
      </c>
      <c r="V3950" s="108" t="str">
        <f>IF(Tabla1[[#This Row],[Tiempo solución max (hrs)]]&lt;&gt;"",IF(Tabla1[[#This Row],[Tiempo solución max (hrs)]]&gt;=Tabla1[[#This Row],[Tiempo
(Hrs 00/100)]],"cumple","no cumple"),"")</f>
        <v/>
      </c>
      <c r="W3950" s="17"/>
      <c r="X3950" s="18">
        <f t="shared" si="251"/>
        <v>0</v>
      </c>
      <c r="Y3950" t="str">
        <f>SUBSTITUTE(Tabla1[[#This Row],[Descripción]],CHAR(10),"    I    ")</f>
        <v/>
      </c>
      <c r="Z3950" s="112" t="e">
        <f>VLOOKUP(Tabla1[[#This Row],[Perfil]],Catalogos!$B$75:$D$100,3,FALSE)*Tabla1[[#This Row],[Tiempo
(Hrs 00/100)]]*1.16</f>
        <v>#N/A</v>
      </c>
    </row>
    <row r="3951" spans="1:26" ht="30" customHeight="1" x14ac:dyDescent="0.3">
      <c r="A3951" s="106"/>
      <c r="B3951" s="106"/>
      <c r="C3951" s="106"/>
      <c r="D3951" s="106"/>
      <c r="E3951" s="106"/>
      <c r="F3951" s="106"/>
      <c r="G3951" s="106"/>
      <c r="H3951" s="107"/>
      <c r="I3951" s="95"/>
      <c r="J3951" s="706"/>
      <c r="K3951" s="769"/>
      <c r="L3951" s="706"/>
      <c r="M3951" s="781"/>
      <c r="N3951" s="182"/>
      <c r="O3951" s="188"/>
      <c r="P3951" s="221"/>
      <c r="Q3951" s="106"/>
      <c r="R3951" s="108"/>
      <c r="S3951" s="108"/>
      <c r="T3951" s="108"/>
      <c r="U3951" s="108" t="str">
        <f>IFERROR(VLOOKUP(CONCATENATE(Tabla1[[#This Row],[Severidad]]," ",Tabla1[[#This Row],[Complejidad]]),Catalogos!E$120:G$128,3,FALSE),"")</f>
        <v/>
      </c>
      <c r="V3951" s="108" t="str">
        <f>IF(Tabla1[[#This Row],[Tiempo solución max (hrs)]]&lt;&gt;"",IF(Tabla1[[#This Row],[Tiempo solución max (hrs)]]&gt;=Tabla1[[#This Row],[Tiempo
(Hrs 00/100)]],"cumple","no cumple"),"")</f>
        <v/>
      </c>
      <c r="W3951" s="17"/>
      <c r="X3951" s="18">
        <f t="shared" si="251"/>
        <v>0</v>
      </c>
      <c r="Y3951" t="str">
        <f>SUBSTITUTE(Tabla1[[#This Row],[Descripción]],CHAR(10),"    I    ")</f>
        <v/>
      </c>
      <c r="Z3951" s="112" t="e">
        <f>VLOOKUP(Tabla1[[#This Row],[Perfil]],Catalogos!$B$75:$D$100,3,FALSE)*Tabla1[[#This Row],[Tiempo
(Hrs 00/100)]]*1.16</f>
        <v>#N/A</v>
      </c>
    </row>
    <row r="3952" spans="1:26" ht="30" customHeight="1" x14ac:dyDescent="0.3">
      <c r="A3952" s="106"/>
      <c r="B3952" s="106"/>
      <c r="C3952" s="106"/>
      <c r="D3952" s="106"/>
      <c r="E3952" s="106"/>
      <c r="F3952" s="106"/>
      <c r="G3952" s="106"/>
      <c r="H3952" s="107"/>
      <c r="I3952" s="95"/>
      <c r="J3952" s="706"/>
      <c r="K3952" s="769"/>
      <c r="L3952" s="706"/>
      <c r="M3952" s="781"/>
      <c r="N3952" s="182"/>
      <c r="O3952" s="188"/>
      <c r="P3952" s="221"/>
      <c r="Q3952" s="106"/>
      <c r="R3952" s="108"/>
      <c r="S3952" s="108"/>
      <c r="T3952" s="108"/>
      <c r="U3952" s="108" t="str">
        <f>IFERROR(VLOOKUP(CONCATENATE(Tabla1[[#This Row],[Severidad]]," ",Tabla1[[#This Row],[Complejidad]]),Catalogos!E$120:G$128,3,FALSE),"")</f>
        <v/>
      </c>
      <c r="V3952" s="108" t="str">
        <f>IF(Tabla1[[#This Row],[Tiempo solución max (hrs)]]&lt;&gt;"",IF(Tabla1[[#This Row],[Tiempo solución max (hrs)]]&gt;=Tabla1[[#This Row],[Tiempo
(Hrs 00/100)]],"cumple","no cumple"),"")</f>
        <v/>
      </c>
      <c r="W3952" s="17"/>
      <c r="X3952" s="18">
        <f t="shared" si="251"/>
        <v>0</v>
      </c>
      <c r="Y3952" t="str">
        <f>SUBSTITUTE(Tabla1[[#This Row],[Descripción]],CHAR(10),"    I    ")</f>
        <v/>
      </c>
      <c r="Z3952" s="112" t="e">
        <f>VLOOKUP(Tabla1[[#This Row],[Perfil]],Catalogos!$B$75:$D$100,3,FALSE)*Tabla1[[#This Row],[Tiempo
(Hrs 00/100)]]*1.16</f>
        <v>#N/A</v>
      </c>
    </row>
    <row r="3953" spans="1:26" ht="30" customHeight="1" x14ac:dyDescent="0.3">
      <c r="A3953" s="106"/>
      <c r="B3953" s="106"/>
      <c r="C3953" s="106"/>
      <c r="D3953" s="106"/>
      <c r="E3953" s="106"/>
      <c r="F3953" s="106"/>
      <c r="G3953" s="106"/>
      <c r="H3953" s="107"/>
      <c r="I3953" s="95"/>
      <c r="J3953" s="706"/>
      <c r="K3953" s="769"/>
      <c r="L3953" s="706"/>
      <c r="M3953" s="781"/>
      <c r="N3953" s="182"/>
      <c r="O3953" s="188"/>
      <c r="P3953" s="221"/>
      <c r="Q3953" s="106"/>
      <c r="R3953" s="108"/>
      <c r="S3953" s="108"/>
      <c r="T3953" s="108"/>
      <c r="U3953" s="108" t="str">
        <f>IFERROR(VLOOKUP(CONCATENATE(Tabla1[[#This Row],[Severidad]]," ",Tabla1[[#This Row],[Complejidad]]),Catalogos!E$120:G$128,3,FALSE),"")</f>
        <v/>
      </c>
      <c r="V3953" s="108" t="str">
        <f>IF(Tabla1[[#This Row],[Tiempo solución max (hrs)]]&lt;&gt;"",IF(Tabla1[[#This Row],[Tiempo solución max (hrs)]]&gt;=Tabla1[[#This Row],[Tiempo
(Hrs 00/100)]],"cumple","no cumple"),"")</f>
        <v/>
      </c>
      <c r="W3953" s="17"/>
      <c r="X3953" s="18">
        <f t="shared" si="251"/>
        <v>0</v>
      </c>
      <c r="Y3953" t="str">
        <f>SUBSTITUTE(Tabla1[[#This Row],[Descripción]],CHAR(10),"    I    ")</f>
        <v/>
      </c>
      <c r="Z3953" s="112" t="e">
        <f>VLOOKUP(Tabla1[[#This Row],[Perfil]],Catalogos!$B$75:$D$100,3,FALSE)*Tabla1[[#This Row],[Tiempo
(Hrs 00/100)]]*1.16</f>
        <v>#N/A</v>
      </c>
    </row>
    <row r="3954" spans="1:26" ht="30" customHeight="1" x14ac:dyDescent="0.3">
      <c r="A3954" s="106"/>
      <c r="B3954" s="106"/>
      <c r="C3954" s="106"/>
      <c r="D3954" s="106"/>
      <c r="E3954" s="106"/>
      <c r="F3954" s="106"/>
      <c r="G3954" s="106"/>
      <c r="H3954" s="107"/>
      <c r="I3954" s="95"/>
      <c r="J3954" s="706"/>
      <c r="K3954" s="769"/>
      <c r="L3954" s="706"/>
      <c r="M3954" s="781"/>
      <c r="N3954" s="182"/>
      <c r="O3954" s="188"/>
      <c r="P3954" s="221"/>
      <c r="Q3954" s="106"/>
      <c r="R3954" s="108"/>
      <c r="S3954" s="108"/>
      <c r="T3954" s="108"/>
      <c r="U3954" s="108" t="str">
        <f>IFERROR(VLOOKUP(CONCATENATE(Tabla1[[#This Row],[Severidad]]," ",Tabla1[[#This Row],[Complejidad]]),Catalogos!E$120:G$128,3,FALSE),"")</f>
        <v/>
      </c>
      <c r="V3954" s="108" t="str">
        <f>IF(Tabla1[[#This Row],[Tiempo solución max (hrs)]]&lt;&gt;"",IF(Tabla1[[#This Row],[Tiempo solución max (hrs)]]&gt;=Tabla1[[#This Row],[Tiempo
(Hrs 00/100)]],"cumple","no cumple"),"")</f>
        <v/>
      </c>
      <c r="W3954" s="17"/>
      <c r="X3954" s="18">
        <f t="shared" si="251"/>
        <v>0</v>
      </c>
      <c r="Y3954" t="str">
        <f>SUBSTITUTE(Tabla1[[#This Row],[Descripción]],CHAR(10),"    I    ")</f>
        <v/>
      </c>
      <c r="Z3954" s="112" t="e">
        <f>VLOOKUP(Tabla1[[#This Row],[Perfil]],Catalogos!$B$75:$D$100,3,FALSE)*Tabla1[[#This Row],[Tiempo
(Hrs 00/100)]]*1.16</f>
        <v>#N/A</v>
      </c>
    </row>
    <row r="3955" spans="1:26" ht="30" customHeight="1" x14ac:dyDescent="0.3">
      <c r="A3955" s="106"/>
      <c r="B3955" s="106"/>
      <c r="C3955" s="106"/>
      <c r="D3955" s="106"/>
      <c r="E3955" s="106"/>
      <c r="F3955" s="106"/>
      <c r="G3955" s="106"/>
      <c r="H3955" s="107"/>
      <c r="I3955" s="95"/>
      <c r="J3955" s="706"/>
      <c r="K3955" s="769"/>
      <c r="L3955" s="706"/>
      <c r="M3955" s="781"/>
      <c r="N3955" s="182"/>
      <c r="O3955" s="188"/>
      <c r="P3955" s="221"/>
      <c r="Q3955" s="106"/>
      <c r="R3955" s="108"/>
      <c r="S3955" s="108"/>
      <c r="T3955" s="108"/>
      <c r="U3955" s="108" t="str">
        <f>IFERROR(VLOOKUP(CONCATENATE(Tabla1[[#This Row],[Severidad]]," ",Tabla1[[#This Row],[Complejidad]]),Catalogos!E$120:G$128,3,FALSE),"")</f>
        <v/>
      </c>
      <c r="V3955" s="108" t="str">
        <f>IF(Tabla1[[#This Row],[Tiempo solución max (hrs)]]&lt;&gt;"",IF(Tabla1[[#This Row],[Tiempo solución max (hrs)]]&gt;=Tabla1[[#This Row],[Tiempo
(Hrs 00/100)]],"cumple","no cumple"),"")</f>
        <v/>
      </c>
      <c r="W3955" s="17"/>
      <c r="X3955" s="18">
        <f t="shared" si="251"/>
        <v>0</v>
      </c>
      <c r="Y3955" t="str">
        <f>SUBSTITUTE(Tabla1[[#This Row],[Descripción]],CHAR(10),"    I    ")</f>
        <v/>
      </c>
      <c r="Z3955" s="112" t="e">
        <f>VLOOKUP(Tabla1[[#This Row],[Perfil]],Catalogos!$B$75:$D$100,3,FALSE)*Tabla1[[#This Row],[Tiempo
(Hrs 00/100)]]*1.16</f>
        <v>#N/A</v>
      </c>
    </row>
    <row r="3956" spans="1:26" ht="30" customHeight="1" x14ac:dyDescent="0.3">
      <c r="A3956" s="106"/>
      <c r="B3956" s="106"/>
      <c r="C3956" s="106"/>
      <c r="D3956" s="106"/>
      <c r="E3956" s="106"/>
      <c r="F3956" s="106"/>
      <c r="G3956" s="106"/>
      <c r="H3956" s="107"/>
      <c r="I3956" s="95"/>
      <c r="J3956" s="706"/>
      <c r="K3956" s="769"/>
      <c r="L3956" s="706"/>
      <c r="M3956" s="781"/>
      <c r="N3956" s="182"/>
      <c r="O3956" s="188"/>
      <c r="P3956" s="221"/>
      <c r="Q3956" s="106"/>
      <c r="R3956" s="108"/>
      <c r="S3956" s="108"/>
      <c r="T3956" s="108"/>
      <c r="U3956" s="108" t="str">
        <f>IFERROR(VLOOKUP(CONCATENATE(Tabla1[[#This Row],[Severidad]]," ",Tabla1[[#This Row],[Complejidad]]),Catalogos!E$120:G$128,3,FALSE),"")</f>
        <v/>
      </c>
      <c r="V3956" s="108" t="str">
        <f>IF(Tabla1[[#This Row],[Tiempo solución max (hrs)]]&lt;&gt;"",IF(Tabla1[[#This Row],[Tiempo solución max (hrs)]]&gt;=Tabla1[[#This Row],[Tiempo
(Hrs 00/100)]],"cumple","no cumple"),"")</f>
        <v/>
      </c>
      <c r="W3956" s="17"/>
      <c r="X3956" s="18">
        <f t="shared" si="251"/>
        <v>0</v>
      </c>
      <c r="Y3956" t="str">
        <f>SUBSTITUTE(Tabla1[[#This Row],[Descripción]],CHAR(10),"    I    ")</f>
        <v/>
      </c>
      <c r="Z3956" s="112" t="e">
        <f>VLOOKUP(Tabla1[[#This Row],[Perfil]],Catalogos!$B$75:$D$100,3,FALSE)*Tabla1[[#This Row],[Tiempo
(Hrs 00/100)]]*1.16</f>
        <v>#N/A</v>
      </c>
    </row>
    <row r="3957" spans="1:26" ht="30" customHeight="1" x14ac:dyDescent="0.3">
      <c r="A3957" s="106"/>
      <c r="B3957" s="106"/>
      <c r="C3957" s="106"/>
      <c r="D3957" s="106"/>
      <c r="E3957" s="106"/>
      <c r="F3957" s="106"/>
      <c r="G3957" s="106"/>
      <c r="H3957" s="107"/>
      <c r="I3957" s="95"/>
      <c r="J3957" s="706"/>
      <c r="K3957" s="769"/>
      <c r="L3957" s="706"/>
      <c r="M3957" s="781"/>
      <c r="N3957" s="182"/>
      <c r="O3957" s="188"/>
      <c r="P3957" s="221"/>
      <c r="Q3957" s="106"/>
      <c r="R3957" s="108"/>
      <c r="S3957" s="108"/>
      <c r="T3957" s="108"/>
      <c r="U3957" s="108" t="str">
        <f>IFERROR(VLOOKUP(CONCATENATE(Tabla1[[#This Row],[Severidad]]," ",Tabla1[[#This Row],[Complejidad]]),Catalogos!E$120:G$128,3,FALSE),"")</f>
        <v/>
      </c>
      <c r="V3957" s="108" t="str">
        <f>IF(Tabla1[[#This Row],[Tiempo solución max (hrs)]]&lt;&gt;"",IF(Tabla1[[#This Row],[Tiempo solución max (hrs)]]&gt;=Tabla1[[#This Row],[Tiempo
(Hrs 00/100)]],"cumple","no cumple"),"")</f>
        <v/>
      </c>
      <c r="W3957" s="17"/>
      <c r="X3957" s="18">
        <f t="shared" si="251"/>
        <v>0</v>
      </c>
      <c r="Y3957" t="str">
        <f>SUBSTITUTE(Tabla1[[#This Row],[Descripción]],CHAR(10),"    I    ")</f>
        <v/>
      </c>
      <c r="Z3957" s="112" t="e">
        <f>VLOOKUP(Tabla1[[#This Row],[Perfil]],Catalogos!$B$75:$D$100,3,FALSE)*Tabla1[[#This Row],[Tiempo
(Hrs 00/100)]]*1.16</f>
        <v>#N/A</v>
      </c>
    </row>
    <row r="3958" spans="1:26" ht="30" customHeight="1" x14ac:dyDescent="0.3">
      <c r="A3958" s="106"/>
      <c r="B3958" s="106"/>
      <c r="C3958" s="106"/>
      <c r="D3958" s="106"/>
      <c r="E3958" s="106"/>
      <c r="F3958" s="106"/>
      <c r="G3958" s="106"/>
      <c r="H3958" s="107"/>
      <c r="I3958" s="95"/>
      <c r="J3958" s="706"/>
      <c r="K3958" s="769"/>
      <c r="L3958" s="706"/>
      <c r="M3958" s="781"/>
      <c r="N3958" s="182"/>
      <c r="O3958" s="188"/>
      <c r="P3958" s="221"/>
      <c r="Q3958" s="106"/>
      <c r="R3958" s="108"/>
      <c r="S3958" s="108"/>
      <c r="T3958" s="108"/>
      <c r="U3958" s="108" t="str">
        <f>IFERROR(VLOOKUP(CONCATENATE(Tabla1[[#This Row],[Severidad]]," ",Tabla1[[#This Row],[Complejidad]]),Catalogos!E$120:G$128,3,FALSE),"")</f>
        <v/>
      </c>
      <c r="V3958" s="108" t="str">
        <f>IF(Tabla1[[#This Row],[Tiempo solución max (hrs)]]&lt;&gt;"",IF(Tabla1[[#This Row],[Tiempo solución max (hrs)]]&gt;=Tabla1[[#This Row],[Tiempo
(Hrs 00/100)]],"cumple","no cumple"),"")</f>
        <v/>
      </c>
      <c r="W3958" s="17"/>
      <c r="X3958" s="18">
        <f t="shared" si="251"/>
        <v>0</v>
      </c>
      <c r="Y3958" t="str">
        <f>SUBSTITUTE(Tabla1[[#This Row],[Descripción]],CHAR(10),"    I    ")</f>
        <v/>
      </c>
      <c r="Z3958" s="112" t="e">
        <f>VLOOKUP(Tabla1[[#This Row],[Perfil]],Catalogos!$B$75:$D$100,3,FALSE)*Tabla1[[#This Row],[Tiempo
(Hrs 00/100)]]*1.16</f>
        <v>#N/A</v>
      </c>
    </row>
    <row r="3959" spans="1:26" ht="30" customHeight="1" x14ac:dyDescent="0.3">
      <c r="A3959" s="106"/>
      <c r="B3959" s="106"/>
      <c r="C3959" s="106"/>
      <c r="D3959" s="106"/>
      <c r="E3959" s="106"/>
      <c r="F3959" s="106"/>
      <c r="G3959" s="106"/>
      <c r="H3959" s="107"/>
      <c r="I3959" s="95"/>
      <c r="J3959" s="706"/>
      <c r="K3959" s="769"/>
      <c r="L3959" s="706"/>
      <c r="M3959" s="781"/>
      <c r="N3959" s="182"/>
      <c r="O3959" s="188"/>
      <c r="P3959" s="221"/>
      <c r="Q3959" s="106"/>
      <c r="R3959" s="108"/>
      <c r="S3959" s="108"/>
      <c r="T3959" s="108"/>
      <c r="U3959" s="108" t="str">
        <f>IFERROR(VLOOKUP(CONCATENATE(Tabla1[[#This Row],[Severidad]]," ",Tabla1[[#This Row],[Complejidad]]),Catalogos!E$120:G$128,3,FALSE),"")</f>
        <v/>
      </c>
      <c r="V3959" s="108" t="str">
        <f>IF(Tabla1[[#This Row],[Tiempo solución max (hrs)]]&lt;&gt;"",IF(Tabla1[[#This Row],[Tiempo solución max (hrs)]]&gt;=Tabla1[[#This Row],[Tiempo
(Hrs 00/100)]],"cumple","no cumple"),"")</f>
        <v/>
      </c>
      <c r="W3959" s="17"/>
      <c r="X3959" s="18">
        <f t="shared" si="251"/>
        <v>0</v>
      </c>
      <c r="Y3959" t="str">
        <f>SUBSTITUTE(Tabla1[[#This Row],[Descripción]],CHAR(10),"    I    ")</f>
        <v/>
      </c>
      <c r="Z3959" s="112" t="e">
        <f>VLOOKUP(Tabla1[[#This Row],[Perfil]],Catalogos!$B$75:$D$100,3,FALSE)*Tabla1[[#This Row],[Tiempo
(Hrs 00/100)]]*1.16</f>
        <v>#N/A</v>
      </c>
    </row>
    <row r="3960" spans="1:26" ht="30" customHeight="1" x14ac:dyDescent="0.3">
      <c r="A3960" s="106"/>
      <c r="B3960" s="106"/>
      <c r="C3960" s="106"/>
      <c r="D3960" s="106"/>
      <c r="E3960" s="106"/>
      <c r="F3960" s="106"/>
      <c r="G3960" s="106"/>
      <c r="H3960" s="107"/>
      <c r="I3960" s="95"/>
      <c r="J3960" s="706"/>
      <c r="K3960" s="769"/>
      <c r="L3960" s="706"/>
      <c r="M3960" s="781"/>
      <c r="N3960" s="182"/>
      <c r="O3960" s="188"/>
      <c r="P3960" s="221"/>
      <c r="Q3960" s="106"/>
      <c r="R3960" s="108"/>
      <c r="S3960" s="108"/>
      <c r="T3960" s="108"/>
      <c r="U3960" s="108" t="str">
        <f>IFERROR(VLOOKUP(CONCATENATE(Tabla1[[#This Row],[Severidad]]," ",Tabla1[[#This Row],[Complejidad]]),Catalogos!E$120:G$128,3,FALSE),"")</f>
        <v/>
      </c>
      <c r="V3960" s="108" t="str">
        <f>IF(Tabla1[[#This Row],[Tiempo solución max (hrs)]]&lt;&gt;"",IF(Tabla1[[#This Row],[Tiempo solución max (hrs)]]&gt;=Tabla1[[#This Row],[Tiempo
(Hrs 00/100)]],"cumple","no cumple"),"")</f>
        <v/>
      </c>
      <c r="W3960" s="17"/>
      <c r="X3960" s="18">
        <f t="shared" si="251"/>
        <v>0</v>
      </c>
      <c r="Y3960" t="str">
        <f>SUBSTITUTE(Tabla1[[#This Row],[Descripción]],CHAR(10),"    I    ")</f>
        <v/>
      </c>
      <c r="Z3960" s="112" t="e">
        <f>VLOOKUP(Tabla1[[#This Row],[Perfil]],Catalogos!$B$75:$D$100,3,FALSE)*Tabla1[[#This Row],[Tiempo
(Hrs 00/100)]]*1.16</f>
        <v>#N/A</v>
      </c>
    </row>
    <row r="3961" spans="1:26" ht="30" customHeight="1" x14ac:dyDescent="0.3">
      <c r="A3961" s="106"/>
      <c r="B3961" s="106"/>
      <c r="C3961" s="106"/>
      <c r="D3961" s="106"/>
      <c r="E3961" s="106"/>
      <c r="F3961" s="106"/>
      <c r="G3961" s="106"/>
      <c r="H3961" s="107"/>
      <c r="I3961" s="95"/>
      <c r="J3961" s="706"/>
      <c r="K3961" s="769"/>
      <c r="L3961" s="706"/>
      <c r="M3961" s="781"/>
      <c r="N3961" s="182"/>
      <c r="O3961" s="188"/>
      <c r="P3961" s="221"/>
      <c r="Q3961" s="106"/>
      <c r="R3961" s="108"/>
      <c r="S3961" s="108"/>
      <c r="T3961" s="108"/>
      <c r="U3961" s="108" t="str">
        <f>IFERROR(VLOOKUP(CONCATENATE(Tabla1[[#This Row],[Severidad]]," ",Tabla1[[#This Row],[Complejidad]]),Catalogos!E$120:G$128,3,FALSE),"")</f>
        <v/>
      </c>
      <c r="V3961" s="108" t="str">
        <f>IF(Tabla1[[#This Row],[Tiempo solución max (hrs)]]&lt;&gt;"",IF(Tabla1[[#This Row],[Tiempo solución max (hrs)]]&gt;=Tabla1[[#This Row],[Tiempo
(Hrs 00/100)]],"cumple","no cumple"),"")</f>
        <v/>
      </c>
      <c r="W3961" s="17"/>
      <c r="X3961" s="18">
        <f t="shared" si="251"/>
        <v>0</v>
      </c>
      <c r="Y3961" t="str">
        <f>SUBSTITUTE(Tabla1[[#This Row],[Descripción]],CHAR(10),"    I    ")</f>
        <v/>
      </c>
      <c r="Z3961" s="112" t="e">
        <f>VLOOKUP(Tabla1[[#This Row],[Perfil]],Catalogos!$B$75:$D$100,3,FALSE)*Tabla1[[#This Row],[Tiempo
(Hrs 00/100)]]*1.16</f>
        <v>#N/A</v>
      </c>
    </row>
    <row r="3962" spans="1:26" ht="30" customHeight="1" x14ac:dyDescent="0.3">
      <c r="A3962" s="106"/>
      <c r="B3962" s="106"/>
      <c r="C3962" s="106"/>
      <c r="D3962" s="106"/>
      <c r="E3962" s="106"/>
      <c r="F3962" s="106"/>
      <c r="G3962" s="106"/>
      <c r="H3962" s="107"/>
      <c r="I3962" s="95"/>
      <c r="J3962" s="706"/>
      <c r="K3962" s="769"/>
      <c r="L3962" s="706"/>
      <c r="M3962" s="781"/>
      <c r="N3962" s="182"/>
      <c r="O3962" s="188"/>
      <c r="P3962" s="221"/>
      <c r="Q3962" s="106"/>
      <c r="R3962" s="108"/>
      <c r="S3962" s="108"/>
      <c r="T3962" s="108"/>
      <c r="U3962" s="108" t="str">
        <f>IFERROR(VLOOKUP(CONCATENATE(Tabla1[[#This Row],[Severidad]]," ",Tabla1[[#This Row],[Complejidad]]),Catalogos!E$120:G$128,3,FALSE),"")</f>
        <v/>
      </c>
      <c r="V3962" s="108" t="str">
        <f>IF(Tabla1[[#This Row],[Tiempo solución max (hrs)]]&lt;&gt;"",IF(Tabla1[[#This Row],[Tiempo solución max (hrs)]]&gt;=Tabla1[[#This Row],[Tiempo
(Hrs 00/100)]],"cumple","no cumple"),"")</f>
        <v/>
      </c>
      <c r="W3962" s="17"/>
      <c r="X3962" s="18">
        <f t="shared" si="251"/>
        <v>0</v>
      </c>
      <c r="Y3962" t="str">
        <f>SUBSTITUTE(Tabla1[[#This Row],[Descripción]],CHAR(10),"    I    ")</f>
        <v/>
      </c>
      <c r="Z3962" s="112" t="e">
        <f>VLOOKUP(Tabla1[[#This Row],[Perfil]],Catalogos!$B$75:$D$100,3,FALSE)*Tabla1[[#This Row],[Tiempo
(Hrs 00/100)]]*1.16</f>
        <v>#N/A</v>
      </c>
    </row>
    <row r="3963" spans="1:26" ht="30" customHeight="1" x14ac:dyDescent="0.3">
      <c r="A3963" s="106"/>
      <c r="B3963" s="106"/>
      <c r="C3963" s="106"/>
      <c r="D3963" s="106"/>
      <c r="E3963" s="106"/>
      <c r="F3963" s="106"/>
      <c r="G3963" s="106"/>
      <c r="H3963" s="107"/>
      <c r="I3963" s="95"/>
      <c r="J3963" s="706"/>
      <c r="K3963" s="769"/>
      <c r="L3963" s="706"/>
      <c r="M3963" s="781"/>
      <c r="N3963" s="182"/>
      <c r="O3963" s="188"/>
      <c r="P3963" s="221"/>
      <c r="Q3963" s="106"/>
      <c r="R3963" s="108"/>
      <c r="S3963" s="108"/>
      <c r="T3963" s="108"/>
      <c r="U3963" s="108" t="str">
        <f>IFERROR(VLOOKUP(CONCATENATE(Tabla1[[#This Row],[Severidad]]," ",Tabla1[[#This Row],[Complejidad]]),Catalogos!E$120:G$128,3,FALSE),"")</f>
        <v/>
      </c>
      <c r="V3963" s="108" t="str">
        <f>IF(Tabla1[[#This Row],[Tiempo solución max (hrs)]]&lt;&gt;"",IF(Tabla1[[#This Row],[Tiempo solución max (hrs)]]&gt;=Tabla1[[#This Row],[Tiempo
(Hrs 00/100)]],"cumple","no cumple"),"")</f>
        <v/>
      </c>
      <c r="W3963" s="17"/>
      <c r="X3963" s="18">
        <f t="shared" si="251"/>
        <v>0</v>
      </c>
      <c r="Y3963" t="str">
        <f>SUBSTITUTE(Tabla1[[#This Row],[Descripción]],CHAR(10),"    I    ")</f>
        <v/>
      </c>
      <c r="Z3963" s="112" t="e">
        <f>VLOOKUP(Tabla1[[#This Row],[Perfil]],Catalogos!$B$75:$D$100,3,FALSE)*Tabla1[[#This Row],[Tiempo
(Hrs 00/100)]]*1.16</f>
        <v>#N/A</v>
      </c>
    </row>
    <row r="3964" spans="1:26" ht="30" customHeight="1" x14ac:dyDescent="0.3">
      <c r="A3964" s="106"/>
      <c r="B3964" s="106"/>
      <c r="C3964" s="106"/>
      <c r="D3964" s="106"/>
      <c r="E3964" s="106"/>
      <c r="F3964" s="106"/>
      <c r="G3964" s="106"/>
      <c r="H3964" s="107"/>
      <c r="I3964" s="95"/>
      <c r="J3964" s="706"/>
      <c r="K3964" s="769"/>
      <c r="L3964" s="706"/>
      <c r="M3964" s="781"/>
      <c r="N3964" s="182"/>
      <c r="O3964" s="188"/>
      <c r="P3964" s="221"/>
      <c r="Q3964" s="106"/>
      <c r="R3964" s="108"/>
      <c r="S3964" s="108"/>
      <c r="T3964" s="108"/>
      <c r="U3964" s="108" t="str">
        <f>IFERROR(VLOOKUP(CONCATENATE(Tabla1[[#This Row],[Severidad]]," ",Tabla1[[#This Row],[Complejidad]]),Catalogos!E$120:G$128,3,FALSE),"")</f>
        <v/>
      </c>
      <c r="V3964" s="108" t="str">
        <f>IF(Tabla1[[#This Row],[Tiempo solución max (hrs)]]&lt;&gt;"",IF(Tabla1[[#This Row],[Tiempo solución max (hrs)]]&gt;=Tabla1[[#This Row],[Tiempo
(Hrs 00/100)]],"cumple","no cumple"),"")</f>
        <v/>
      </c>
      <c r="W3964" s="17"/>
      <c r="X3964" s="18">
        <f t="shared" si="251"/>
        <v>0</v>
      </c>
      <c r="Y3964" t="str">
        <f>SUBSTITUTE(Tabla1[[#This Row],[Descripción]],CHAR(10),"    I    ")</f>
        <v/>
      </c>
      <c r="Z3964" s="112" t="e">
        <f>VLOOKUP(Tabla1[[#This Row],[Perfil]],Catalogos!$B$75:$D$100,3,FALSE)*Tabla1[[#This Row],[Tiempo
(Hrs 00/100)]]*1.16</f>
        <v>#N/A</v>
      </c>
    </row>
    <row r="3965" spans="1:26" ht="30" customHeight="1" x14ac:dyDescent="0.3">
      <c r="A3965" s="106"/>
      <c r="B3965" s="106"/>
      <c r="C3965" s="106"/>
      <c r="D3965" s="106"/>
      <c r="E3965" s="106"/>
      <c r="F3965" s="106"/>
      <c r="G3965" s="106"/>
      <c r="H3965" s="107"/>
      <c r="I3965" s="95"/>
      <c r="J3965" s="706"/>
      <c r="K3965" s="769"/>
      <c r="L3965" s="706"/>
      <c r="M3965" s="781"/>
      <c r="N3965" s="182"/>
      <c r="O3965" s="188"/>
      <c r="P3965" s="221"/>
      <c r="Q3965" s="106"/>
      <c r="R3965" s="108"/>
      <c r="S3965" s="108"/>
      <c r="T3965" s="108"/>
      <c r="U3965" s="108" t="str">
        <f>IFERROR(VLOOKUP(CONCATENATE(Tabla1[[#This Row],[Severidad]]," ",Tabla1[[#This Row],[Complejidad]]),Catalogos!E$120:G$128,3,FALSE),"")</f>
        <v/>
      </c>
      <c r="V3965" s="108" t="str">
        <f>IF(Tabla1[[#This Row],[Tiempo solución max (hrs)]]&lt;&gt;"",IF(Tabla1[[#This Row],[Tiempo solución max (hrs)]]&gt;=Tabla1[[#This Row],[Tiempo
(Hrs 00/100)]],"cumple","no cumple"),"")</f>
        <v/>
      </c>
      <c r="W3965" s="17"/>
      <c r="X3965" s="18">
        <f t="shared" si="251"/>
        <v>0</v>
      </c>
      <c r="Y3965" t="str">
        <f>SUBSTITUTE(Tabla1[[#This Row],[Descripción]],CHAR(10),"    I    ")</f>
        <v/>
      </c>
      <c r="Z3965" s="112" t="e">
        <f>VLOOKUP(Tabla1[[#This Row],[Perfil]],Catalogos!$B$75:$D$100,3,FALSE)*Tabla1[[#This Row],[Tiempo
(Hrs 00/100)]]*1.16</f>
        <v>#N/A</v>
      </c>
    </row>
    <row r="3966" spans="1:26" ht="30" customHeight="1" x14ac:dyDescent="0.3">
      <c r="A3966" s="106"/>
      <c r="B3966" s="106"/>
      <c r="C3966" s="106"/>
      <c r="D3966" s="106"/>
      <c r="E3966" s="106"/>
      <c r="F3966" s="106"/>
      <c r="G3966" s="106"/>
      <c r="H3966" s="107"/>
      <c r="I3966" s="95"/>
      <c r="J3966" s="706"/>
      <c r="K3966" s="769"/>
      <c r="L3966" s="706"/>
      <c r="M3966" s="781"/>
      <c r="N3966" s="182"/>
      <c r="O3966" s="188"/>
      <c r="P3966" s="221"/>
      <c r="Q3966" s="106"/>
      <c r="R3966" s="108"/>
      <c r="S3966" s="108"/>
      <c r="T3966" s="108"/>
      <c r="U3966" s="108" t="str">
        <f>IFERROR(VLOOKUP(CONCATENATE(Tabla1[[#This Row],[Severidad]]," ",Tabla1[[#This Row],[Complejidad]]),Catalogos!E$120:G$128,3,FALSE),"")</f>
        <v/>
      </c>
      <c r="V3966" s="108" t="str">
        <f>IF(Tabla1[[#This Row],[Tiempo solución max (hrs)]]&lt;&gt;"",IF(Tabla1[[#This Row],[Tiempo solución max (hrs)]]&gt;=Tabla1[[#This Row],[Tiempo
(Hrs 00/100)]],"cumple","no cumple"),"")</f>
        <v/>
      </c>
      <c r="W3966" s="17"/>
      <c r="X3966" s="18">
        <f t="shared" si="251"/>
        <v>0</v>
      </c>
      <c r="Y3966" t="str">
        <f>SUBSTITUTE(Tabla1[[#This Row],[Descripción]],CHAR(10),"    I    ")</f>
        <v/>
      </c>
      <c r="Z3966" s="112" t="e">
        <f>VLOOKUP(Tabla1[[#This Row],[Perfil]],Catalogos!$B$75:$D$100,3,FALSE)*Tabla1[[#This Row],[Tiempo
(Hrs 00/100)]]*1.16</f>
        <v>#N/A</v>
      </c>
    </row>
    <row r="3967" spans="1:26" ht="30" customHeight="1" x14ac:dyDescent="0.3">
      <c r="A3967" s="106"/>
      <c r="B3967" s="106"/>
      <c r="C3967" s="106"/>
      <c r="D3967" s="106"/>
      <c r="E3967" s="106"/>
      <c r="F3967" s="106"/>
      <c r="G3967" s="106"/>
      <c r="H3967" s="107"/>
      <c r="I3967" s="95"/>
      <c r="J3967" s="706"/>
      <c r="K3967" s="769"/>
      <c r="L3967" s="706"/>
      <c r="M3967" s="781"/>
      <c r="N3967" s="182"/>
      <c r="O3967" s="188"/>
      <c r="P3967" s="221"/>
      <c r="Q3967" s="106"/>
      <c r="R3967" s="108"/>
      <c r="S3967" s="108"/>
      <c r="T3967" s="108"/>
      <c r="U3967" s="108" t="str">
        <f>IFERROR(VLOOKUP(CONCATENATE(Tabla1[[#This Row],[Severidad]]," ",Tabla1[[#This Row],[Complejidad]]),Catalogos!E$120:G$128,3,FALSE),"")</f>
        <v/>
      </c>
      <c r="V3967" s="108" t="str">
        <f>IF(Tabla1[[#This Row],[Tiempo solución max (hrs)]]&lt;&gt;"",IF(Tabla1[[#This Row],[Tiempo solución max (hrs)]]&gt;=Tabla1[[#This Row],[Tiempo
(Hrs 00/100)]],"cumple","no cumple"),"")</f>
        <v/>
      </c>
      <c r="W3967" s="17"/>
      <c r="X3967" s="18">
        <f t="shared" si="251"/>
        <v>0</v>
      </c>
      <c r="Y3967" t="str">
        <f>SUBSTITUTE(Tabla1[[#This Row],[Descripción]],CHAR(10),"    I    ")</f>
        <v/>
      </c>
      <c r="Z3967" s="112" t="e">
        <f>VLOOKUP(Tabla1[[#This Row],[Perfil]],Catalogos!$B$75:$D$100,3,FALSE)*Tabla1[[#This Row],[Tiempo
(Hrs 00/100)]]*1.16</f>
        <v>#N/A</v>
      </c>
    </row>
    <row r="3968" spans="1:26" ht="30" customHeight="1" x14ac:dyDescent="0.3">
      <c r="A3968" s="106"/>
      <c r="B3968" s="106"/>
      <c r="C3968" s="106"/>
      <c r="D3968" s="106"/>
      <c r="E3968" s="106"/>
      <c r="F3968" s="106"/>
      <c r="G3968" s="106"/>
      <c r="H3968" s="107"/>
      <c r="I3968" s="95"/>
      <c r="J3968" s="706"/>
      <c r="K3968" s="769"/>
      <c r="L3968" s="706"/>
      <c r="M3968" s="781"/>
      <c r="N3968" s="182"/>
      <c r="O3968" s="188"/>
      <c r="P3968" s="221"/>
      <c r="Q3968" s="106"/>
      <c r="R3968" s="108"/>
      <c r="S3968" s="108"/>
      <c r="T3968" s="108"/>
      <c r="U3968" s="108" t="str">
        <f>IFERROR(VLOOKUP(CONCATENATE(Tabla1[[#This Row],[Severidad]]," ",Tabla1[[#This Row],[Complejidad]]),Catalogos!E$120:G$128,3,FALSE),"")</f>
        <v/>
      </c>
      <c r="V3968" s="108" t="str">
        <f>IF(Tabla1[[#This Row],[Tiempo solución max (hrs)]]&lt;&gt;"",IF(Tabla1[[#This Row],[Tiempo solución max (hrs)]]&gt;=Tabla1[[#This Row],[Tiempo
(Hrs 00/100)]],"cumple","no cumple"),"")</f>
        <v/>
      </c>
      <c r="W3968" s="17"/>
      <c r="X3968" s="18">
        <f t="shared" si="251"/>
        <v>0</v>
      </c>
      <c r="Y3968" t="str">
        <f>SUBSTITUTE(Tabla1[[#This Row],[Descripción]],CHAR(10),"    I    ")</f>
        <v/>
      </c>
      <c r="Z3968" s="112" t="e">
        <f>VLOOKUP(Tabla1[[#This Row],[Perfil]],Catalogos!$B$75:$D$100,3,FALSE)*Tabla1[[#This Row],[Tiempo
(Hrs 00/100)]]*1.16</f>
        <v>#N/A</v>
      </c>
    </row>
    <row r="3969" spans="1:26" ht="30" customHeight="1" x14ac:dyDescent="0.3">
      <c r="A3969" s="106"/>
      <c r="B3969" s="106"/>
      <c r="C3969" s="106"/>
      <c r="D3969" s="106"/>
      <c r="E3969" s="106"/>
      <c r="F3969" s="106"/>
      <c r="G3969" s="106"/>
      <c r="H3969" s="107"/>
      <c r="I3969" s="95"/>
      <c r="J3969" s="706"/>
      <c r="K3969" s="769"/>
      <c r="L3969" s="706"/>
      <c r="M3969" s="781"/>
      <c r="N3969" s="182"/>
      <c r="O3969" s="188"/>
      <c r="P3969" s="221"/>
      <c r="Q3969" s="106"/>
      <c r="R3969" s="108"/>
      <c r="S3969" s="108"/>
      <c r="T3969" s="108"/>
      <c r="U3969" s="108" t="str">
        <f>IFERROR(VLOOKUP(CONCATENATE(Tabla1[[#This Row],[Severidad]]," ",Tabla1[[#This Row],[Complejidad]]),Catalogos!E$120:G$128,3,FALSE),"")</f>
        <v/>
      </c>
      <c r="V3969" s="108" t="str">
        <f>IF(Tabla1[[#This Row],[Tiempo solución max (hrs)]]&lt;&gt;"",IF(Tabla1[[#This Row],[Tiempo solución max (hrs)]]&gt;=Tabla1[[#This Row],[Tiempo
(Hrs 00/100)]],"cumple","no cumple"),"")</f>
        <v/>
      </c>
      <c r="W3969" s="17"/>
      <c r="X3969" s="18">
        <f t="shared" si="251"/>
        <v>0</v>
      </c>
      <c r="Y3969" t="str">
        <f>SUBSTITUTE(Tabla1[[#This Row],[Descripción]],CHAR(10),"    I    ")</f>
        <v/>
      </c>
      <c r="Z3969" s="112" t="e">
        <f>VLOOKUP(Tabla1[[#This Row],[Perfil]],Catalogos!$B$75:$D$100,3,FALSE)*Tabla1[[#This Row],[Tiempo
(Hrs 00/100)]]*1.16</f>
        <v>#N/A</v>
      </c>
    </row>
    <row r="3970" spans="1:26" ht="30" customHeight="1" x14ac:dyDescent="0.3">
      <c r="A3970" s="106"/>
      <c r="B3970" s="106"/>
      <c r="C3970" s="106"/>
      <c r="D3970" s="106"/>
      <c r="E3970" s="106"/>
      <c r="F3970" s="106"/>
      <c r="G3970" s="106"/>
      <c r="H3970" s="107"/>
      <c r="I3970" s="95"/>
      <c r="J3970" s="706"/>
      <c r="K3970" s="769"/>
      <c r="L3970" s="706"/>
      <c r="M3970" s="781"/>
      <c r="N3970" s="182"/>
      <c r="O3970" s="188"/>
      <c r="P3970" s="221"/>
      <c r="Q3970" s="106"/>
      <c r="R3970" s="108"/>
      <c r="S3970" s="108"/>
      <c r="T3970" s="108"/>
      <c r="U3970" s="108" t="str">
        <f>IFERROR(VLOOKUP(CONCATENATE(Tabla1[[#This Row],[Severidad]]," ",Tabla1[[#This Row],[Complejidad]]),Catalogos!E$120:G$128,3,FALSE),"")</f>
        <v/>
      </c>
      <c r="V3970" s="108" t="str">
        <f>IF(Tabla1[[#This Row],[Tiempo solución max (hrs)]]&lt;&gt;"",IF(Tabla1[[#This Row],[Tiempo solución max (hrs)]]&gt;=Tabla1[[#This Row],[Tiempo
(Hrs 00/100)]],"cumple","no cumple"),"")</f>
        <v/>
      </c>
      <c r="W3970" s="17"/>
      <c r="X3970" s="18">
        <f t="shared" si="251"/>
        <v>0</v>
      </c>
      <c r="Y3970" t="str">
        <f>SUBSTITUTE(Tabla1[[#This Row],[Descripción]],CHAR(10),"    I    ")</f>
        <v/>
      </c>
      <c r="Z3970" s="112" t="e">
        <f>VLOOKUP(Tabla1[[#This Row],[Perfil]],Catalogos!$B$75:$D$100,3,FALSE)*Tabla1[[#This Row],[Tiempo
(Hrs 00/100)]]*1.16</f>
        <v>#N/A</v>
      </c>
    </row>
    <row r="3971" spans="1:26" ht="30" customHeight="1" x14ac:dyDescent="0.3">
      <c r="A3971" s="106"/>
      <c r="B3971" s="106"/>
      <c r="C3971" s="106"/>
      <c r="D3971" s="106"/>
      <c r="E3971" s="106"/>
      <c r="F3971" s="106"/>
      <c r="G3971" s="106"/>
      <c r="H3971" s="107"/>
      <c r="I3971" s="95"/>
      <c r="J3971" s="706"/>
      <c r="K3971" s="769"/>
      <c r="L3971" s="706"/>
      <c r="M3971" s="781"/>
      <c r="N3971" s="182"/>
      <c r="O3971" s="188"/>
      <c r="P3971" s="221"/>
      <c r="Q3971" s="106"/>
      <c r="R3971" s="108"/>
      <c r="S3971" s="108"/>
      <c r="T3971" s="108"/>
      <c r="U3971" s="108" t="str">
        <f>IFERROR(VLOOKUP(CONCATENATE(Tabla1[[#This Row],[Severidad]]," ",Tabla1[[#This Row],[Complejidad]]),Catalogos!E$120:G$128,3,FALSE),"")</f>
        <v/>
      </c>
      <c r="V3971" s="108" t="str">
        <f>IF(Tabla1[[#This Row],[Tiempo solución max (hrs)]]&lt;&gt;"",IF(Tabla1[[#This Row],[Tiempo solución max (hrs)]]&gt;=Tabla1[[#This Row],[Tiempo
(Hrs 00/100)]],"cumple","no cumple"),"")</f>
        <v/>
      </c>
      <c r="W3971" s="17"/>
      <c r="X3971" s="18">
        <f t="shared" ref="X3971:X4034" si="252">IF(C3971&lt;&gt;"",C3971,D3971)</f>
        <v>0</v>
      </c>
      <c r="Y3971" t="str">
        <f>SUBSTITUTE(Tabla1[[#This Row],[Descripción]],CHAR(10),"    I    ")</f>
        <v/>
      </c>
      <c r="Z3971" s="112" t="e">
        <f>VLOOKUP(Tabla1[[#This Row],[Perfil]],Catalogos!$B$75:$D$100,3,FALSE)*Tabla1[[#This Row],[Tiempo
(Hrs 00/100)]]*1.16</f>
        <v>#N/A</v>
      </c>
    </row>
    <row r="3972" spans="1:26" ht="30" customHeight="1" x14ac:dyDescent="0.3">
      <c r="A3972" s="106"/>
      <c r="B3972" s="106"/>
      <c r="C3972" s="106"/>
      <c r="D3972" s="106"/>
      <c r="E3972" s="106"/>
      <c r="F3972" s="106"/>
      <c r="G3972" s="106"/>
      <c r="H3972" s="107"/>
      <c r="I3972" s="95"/>
      <c r="J3972" s="706"/>
      <c r="K3972" s="769"/>
      <c r="L3972" s="706"/>
      <c r="M3972" s="781"/>
      <c r="N3972" s="182"/>
      <c r="O3972" s="188"/>
      <c r="P3972" s="221"/>
      <c r="Q3972" s="106"/>
      <c r="R3972" s="108"/>
      <c r="S3972" s="108"/>
      <c r="T3972" s="108"/>
      <c r="U3972" s="108" t="str">
        <f>IFERROR(VLOOKUP(CONCATENATE(Tabla1[[#This Row],[Severidad]]," ",Tabla1[[#This Row],[Complejidad]]),Catalogos!E$120:G$128,3,FALSE),"")</f>
        <v/>
      </c>
      <c r="V3972" s="108" t="str">
        <f>IF(Tabla1[[#This Row],[Tiempo solución max (hrs)]]&lt;&gt;"",IF(Tabla1[[#This Row],[Tiempo solución max (hrs)]]&gt;=Tabla1[[#This Row],[Tiempo
(Hrs 00/100)]],"cumple","no cumple"),"")</f>
        <v/>
      </c>
      <c r="W3972" s="17"/>
      <c r="X3972" s="18">
        <f t="shared" si="252"/>
        <v>0</v>
      </c>
      <c r="Y3972" t="str">
        <f>SUBSTITUTE(Tabla1[[#This Row],[Descripción]],CHAR(10),"    I    ")</f>
        <v/>
      </c>
      <c r="Z3972" s="112" t="e">
        <f>VLOOKUP(Tabla1[[#This Row],[Perfil]],Catalogos!$B$75:$D$100,3,FALSE)*Tabla1[[#This Row],[Tiempo
(Hrs 00/100)]]*1.16</f>
        <v>#N/A</v>
      </c>
    </row>
    <row r="3973" spans="1:26" ht="30" customHeight="1" x14ac:dyDescent="0.3">
      <c r="A3973" s="106"/>
      <c r="B3973" s="106"/>
      <c r="C3973" s="106"/>
      <c r="D3973" s="106"/>
      <c r="E3973" s="106"/>
      <c r="F3973" s="106"/>
      <c r="G3973" s="106"/>
      <c r="H3973" s="107"/>
      <c r="I3973" s="95"/>
      <c r="J3973" s="706"/>
      <c r="K3973" s="769"/>
      <c r="L3973" s="706"/>
      <c r="M3973" s="781"/>
      <c r="N3973" s="182"/>
      <c r="O3973" s="188"/>
      <c r="P3973" s="221"/>
      <c r="Q3973" s="106"/>
      <c r="R3973" s="108"/>
      <c r="S3973" s="108"/>
      <c r="T3973" s="108"/>
      <c r="U3973" s="108" t="str">
        <f>IFERROR(VLOOKUP(CONCATENATE(Tabla1[[#This Row],[Severidad]]," ",Tabla1[[#This Row],[Complejidad]]),Catalogos!E$120:G$128,3,FALSE),"")</f>
        <v/>
      </c>
      <c r="V3973" s="108" t="str">
        <f>IF(Tabla1[[#This Row],[Tiempo solución max (hrs)]]&lt;&gt;"",IF(Tabla1[[#This Row],[Tiempo solución max (hrs)]]&gt;=Tabla1[[#This Row],[Tiempo
(Hrs 00/100)]],"cumple","no cumple"),"")</f>
        <v/>
      </c>
      <c r="W3973" s="17"/>
      <c r="X3973" s="18">
        <f t="shared" si="252"/>
        <v>0</v>
      </c>
      <c r="Y3973" t="str">
        <f>SUBSTITUTE(Tabla1[[#This Row],[Descripción]],CHAR(10),"    I    ")</f>
        <v/>
      </c>
      <c r="Z3973" s="112" t="e">
        <f>VLOOKUP(Tabla1[[#This Row],[Perfil]],Catalogos!$B$75:$D$100,3,FALSE)*Tabla1[[#This Row],[Tiempo
(Hrs 00/100)]]*1.16</f>
        <v>#N/A</v>
      </c>
    </row>
    <row r="3974" spans="1:26" ht="30" customHeight="1" x14ac:dyDescent="0.3">
      <c r="A3974" s="106"/>
      <c r="B3974" s="106"/>
      <c r="C3974" s="106"/>
      <c r="D3974" s="106"/>
      <c r="E3974" s="106"/>
      <c r="F3974" s="106"/>
      <c r="G3974" s="106"/>
      <c r="H3974" s="107"/>
      <c r="I3974" s="95"/>
      <c r="J3974" s="706"/>
      <c r="K3974" s="769"/>
      <c r="L3974" s="706"/>
      <c r="M3974" s="781"/>
      <c r="N3974" s="182"/>
      <c r="O3974" s="188"/>
      <c r="P3974" s="221"/>
      <c r="Q3974" s="106"/>
      <c r="R3974" s="108"/>
      <c r="S3974" s="108"/>
      <c r="T3974" s="108"/>
      <c r="U3974" s="108" t="str">
        <f>IFERROR(VLOOKUP(CONCATENATE(Tabla1[[#This Row],[Severidad]]," ",Tabla1[[#This Row],[Complejidad]]),Catalogos!E$120:G$128,3,FALSE),"")</f>
        <v/>
      </c>
      <c r="V3974" s="108" t="str">
        <f>IF(Tabla1[[#This Row],[Tiempo solución max (hrs)]]&lt;&gt;"",IF(Tabla1[[#This Row],[Tiempo solución max (hrs)]]&gt;=Tabla1[[#This Row],[Tiempo
(Hrs 00/100)]],"cumple","no cumple"),"")</f>
        <v/>
      </c>
      <c r="W3974" s="17"/>
      <c r="X3974" s="18">
        <f t="shared" si="252"/>
        <v>0</v>
      </c>
      <c r="Y3974" t="str">
        <f>SUBSTITUTE(Tabla1[[#This Row],[Descripción]],CHAR(10),"    I    ")</f>
        <v/>
      </c>
      <c r="Z3974" s="112" t="e">
        <f>VLOOKUP(Tabla1[[#This Row],[Perfil]],Catalogos!$B$75:$D$100,3,FALSE)*Tabla1[[#This Row],[Tiempo
(Hrs 00/100)]]*1.16</f>
        <v>#N/A</v>
      </c>
    </row>
    <row r="3975" spans="1:26" ht="30" customHeight="1" x14ac:dyDescent="0.3">
      <c r="A3975" s="106"/>
      <c r="B3975" s="106"/>
      <c r="C3975" s="106"/>
      <c r="D3975" s="106"/>
      <c r="E3975" s="106"/>
      <c r="F3975" s="106"/>
      <c r="G3975" s="106"/>
      <c r="H3975" s="107"/>
      <c r="I3975" s="95"/>
      <c r="J3975" s="706"/>
      <c r="K3975" s="769"/>
      <c r="L3975" s="706"/>
      <c r="M3975" s="781"/>
      <c r="N3975" s="182"/>
      <c r="O3975" s="188"/>
      <c r="P3975" s="221"/>
      <c r="Q3975" s="106"/>
      <c r="R3975" s="108"/>
      <c r="S3975" s="108"/>
      <c r="T3975" s="108"/>
      <c r="U3975" s="108" t="str">
        <f>IFERROR(VLOOKUP(CONCATENATE(Tabla1[[#This Row],[Severidad]]," ",Tabla1[[#This Row],[Complejidad]]),Catalogos!E$120:G$128,3,FALSE),"")</f>
        <v/>
      </c>
      <c r="V3975" s="108" t="str">
        <f>IF(Tabla1[[#This Row],[Tiempo solución max (hrs)]]&lt;&gt;"",IF(Tabla1[[#This Row],[Tiempo solución max (hrs)]]&gt;=Tabla1[[#This Row],[Tiempo
(Hrs 00/100)]],"cumple","no cumple"),"")</f>
        <v/>
      </c>
      <c r="W3975" s="17"/>
      <c r="X3975" s="18">
        <f t="shared" si="252"/>
        <v>0</v>
      </c>
      <c r="Y3975" t="str">
        <f>SUBSTITUTE(Tabla1[[#This Row],[Descripción]],CHAR(10),"    I    ")</f>
        <v/>
      </c>
      <c r="Z3975" s="112" t="e">
        <f>VLOOKUP(Tabla1[[#This Row],[Perfil]],Catalogos!$B$75:$D$100,3,FALSE)*Tabla1[[#This Row],[Tiempo
(Hrs 00/100)]]*1.16</f>
        <v>#N/A</v>
      </c>
    </row>
    <row r="3976" spans="1:26" ht="30" customHeight="1" x14ac:dyDescent="0.3">
      <c r="A3976" s="106"/>
      <c r="B3976" s="106"/>
      <c r="C3976" s="106"/>
      <c r="D3976" s="106"/>
      <c r="E3976" s="106"/>
      <c r="F3976" s="106"/>
      <c r="G3976" s="106"/>
      <c r="H3976" s="107"/>
      <c r="I3976" s="95"/>
      <c r="J3976" s="706"/>
      <c r="K3976" s="769"/>
      <c r="L3976" s="706"/>
      <c r="M3976" s="781"/>
      <c r="N3976" s="182"/>
      <c r="O3976" s="188"/>
      <c r="P3976" s="221"/>
      <c r="Q3976" s="106"/>
      <c r="R3976" s="108"/>
      <c r="S3976" s="108"/>
      <c r="T3976" s="108"/>
      <c r="U3976" s="108" t="str">
        <f>IFERROR(VLOOKUP(CONCATENATE(Tabla1[[#This Row],[Severidad]]," ",Tabla1[[#This Row],[Complejidad]]),Catalogos!E$120:G$128,3,FALSE),"")</f>
        <v/>
      </c>
      <c r="V3976" s="108" t="str">
        <f>IF(Tabla1[[#This Row],[Tiempo solución max (hrs)]]&lt;&gt;"",IF(Tabla1[[#This Row],[Tiempo solución max (hrs)]]&gt;=Tabla1[[#This Row],[Tiempo
(Hrs 00/100)]],"cumple","no cumple"),"")</f>
        <v/>
      </c>
      <c r="W3976" s="17"/>
      <c r="X3976" s="18">
        <f t="shared" si="252"/>
        <v>0</v>
      </c>
      <c r="Y3976" t="str">
        <f>SUBSTITUTE(Tabla1[[#This Row],[Descripción]],CHAR(10),"    I    ")</f>
        <v/>
      </c>
      <c r="Z3976" s="112" t="e">
        <f>VLOOKUP(Tabla1[[#This Row],[Perfil]],Catalogos!$B$75:$D$100,3,FALSE)*Tabla1[[#This Row],[Tiempo
(Hrs 00/100)]]*1.16</f>
        <v>#N/A</v>
      </c>
    </row>
    <row r="3977" spans="1:26" ht="30" customHeight="1" x14ac:dyDescent="0.3">
      <c r="A3977" s="106"/>
      <c r="B3977" s="106"/>
      <c r="C3977" s="106"/>
      <c r="D3977" s="106"/>
      <c r="E3977" s="106"/>
      <c r="F3977" s="106"/>
      <c r="G3977" s="106"/>
      <c r="H3977" s="107"/>
      <c r="I3977" s="95"/>
      <c r="J3977" s="706"/>
      <c r="K3977" s="769"/>
      <c r="L3977" s="706"/>
      <c r="M3977" s="781"/>
      <c r="N3977" s="182"/>
      <c r="O3977" s="188"/>
      <c r="P3977" s="221"/>
      <c r="Q3977" s="106"/>
      <c r="R3977" s="108"/>
      <c r="S3977" s="108"/>
      <c r="T3977" s="108"/>
      <c r="U3977" s="108" t="str">
        <f>IFERROR(VLOOKUP(CONCATENATE(Tabla1[[#This Row],[Severidad]]," ",Tabla1[[#This Row],[Complejidad]]),Catalogos!E$120:G$128,3,FALSE),"")</f>
        <v/>
      </c>
      <c r="V3977" s="108" t="str">
        <f>IF(Tabla1[[#This Row],[Tiempo solución max (hrs)]]&lt;&gt;"",IF(Tabla1[[#This Row],[Tiempo solución max (hrs)]]&gt;=Tabla1[[#This Row],[Tiempo
(Hrs 00/100)]],"cumple","no cumple"),"")</f>
        <v/>
      </c>
      <c r="W3977" s="17"/>
      <c r="X3977" s="18">
        <f t="shared" si="252"/>
        <v>0</v>
      </c>
      <c r="Y3977" t="str">
        <f>SUBSTITUTE(Tabla1[[#This Row],[Descripción]],CHAR(10),"    I    ")</f>
        <v/>
      </c>
      <c r="Z3977" s="112" t="e">
        <f>VLOOKUP(Tabla1[[#This Row],[Perfil]],Catalogos!$B$75:$D$100,3,FALSE)*Tabla1[[#This Row],[Tiempo
(Hrs 00/100)]]*1.16</f>
        <v>#N/A</v>
      </c>
    </row>
    <row r="3978" spans="1:26" ht="30" customHeight="1" x14ac:dyDescent="0.3">
      <c r="A3978" s="106"/>
      <c r="B3978" s="106"/>
      <c r="C3978" s="106"/>
      <c r="D3978" s="106"/>
      <c r="E3978" s="106"/>
      <c r="F3978" s="106"/>
      <c r="G3978" s="106"/>
      <c r="H3978" s="107"/>
      <c r="I3978" s="95"/>
      <c r="J3978" s="706"/>
      <c r="K3978" s="769"/>
      <c r="L3978" s="706"/>
      <c r="M3978" s="781"/>
      <c r="N3978" s="182"/>
      <c r="O3978" s="188"/>
      <c r="P3978" s="221"/>
      <c r="Q3978" s="106"/>
      <c r="R3978" s="108"/>
      <c r="S3978" s="108"/>
      <c r="T3978" s="108"/>
      <c r="U3978" s="108" t="str">
        <f>IFERROR(VLOOKUP(CONCATENATE(Tabla1[[#This Row],[Severidad]]," ",Tabla1[[#This Row],[Complejidad]]),Catalogos!E$120:G$128,3,FALSE),"")</f>
        <v/>
      </c>
      <c r="V3978" s="108" t="str">
        <f>IF(Tabla1[[#This Row],[Tiempo solución max (hrs)]]&lt;&gt;"",IF(Tabla1[[#This Row],[Tiempo solución max (hrs)]]&gt;=Tabla1[[#This Row],[Tiempo
(Hrs 00/100)]],"cumple","no cumple"),"")</f>
        <v/>
      </c>
      <c r="W3978" s="17"/>
      <c r="X3978" s="18">
        <f t="shared" si="252"/>
        <v>0</v>
      </c>
      <c r="Y3978" t="str">
        <f>SUBSTITUTE(Tabla1[[#This Row],[Descripción]],CHAR(10),"    I    ")</f>
        <v/>
      </c>
      <c r="Z3978" s="112" t="e">
        <f>VLOOKUP(Tabla1[[#This Row],[Perfil]],Catalogos!$B$75:$D$100,3,FALSE)*Tabla1[[#This Row],[Tiempo
(Hrs 00/100)]]*1.16</f>
        <v>#N/A</v>
      </c>
    </row>
    <row r="3979" spans="1:26" ht="30" customHeight="1" x14ac:dyDescent="0.3">
      <c r="A3979" s="106"/>
      <c r="B3979" s="106"/>
      <c r="C3979" s="106"/>
      <c r="D3979" s="106"/>
      <c r="E3979" s="106"/>
      <c r="F3979" s="106"/>
      <c r="G3979" s="106"/>
      <c r="H3979" s="107"/>
      <c r="I3979" s="95"/>
      <c r="J3979" s="706"/>
      <c r="K3979" s="769"/>
      <c r="L3979" s="706"/>
      <c r="M3979" s="781"/>
      <c r="N3979" s="182"/>
      <c r="O3979" s="188"/>
      <c r="P3979" s="221"/>
      <c r="Q3979" s="106"/>
      <c r="R3979" s="108"/>
      <c r="S3979" s="108"/>
      <c r="T3979" s="108"/>
      <c r="U3979" s="108" t="str">
        <f>IFERROR(VLOOKUP(CONCATENATE(Tabla1[[#This Row],[Severidad]]," ",Tabla1[[#This Row],[Complejidad]]),Catalogos!E$120:G$128,3,FALSE),"")</f>
        <v/>
      </c>
      <c r="V3979" s="108" t="str">
        <f>IF(Tabla1[[#This Row],[Tiempo solución max (hrs)]]&lt;&gt;"",IF(Tabla1[[#This Row],[Tiempo solución max (hrs)]]&gt;=Tabla1[[#This Row],[Tiempo
(Hrs 00/100)]],"cumple","no cumple"),"")</f>
        <v/>
      </c>
      <c r="W3979" s="17"/>
      <c r="X3979" s="18">
        <f t="shared" si="252"/>
        <v>0</v>
      </c>
      <c r="Y3979" t="str">
        <f>SUBSTITUTE(Tabla1[[#This Row],[Descripción]],CHAR(10),"    I    ")</f>
        <v/>
      </c>
      <c r="Z3979" s="112" t="e">
        <f>VLOOKUP(Tabla1[[#This Row],[Perfil]],Catalogos!$B$75:$D$100,3,FALSE)*Tabla1[[#This Row],[Tiempo
(Hrs 00/100)]]*1.16</f>
        <v>#N/A</v>
      </c>
    </row>
    <row r="3980" spans="1:26" ht="30" customHeight="1" x14ac:dyDescent="0.3">
      <c r="A3980" s="106"/>
      <c r="B3980" s="106"/>
      <c r="C3980" s="106"/>
      <c r="D3980" s="106"/>
      <c r="E3980" s="106"/>
      <c r="F3980" s="106"/>
      <c r="G3980" s="106"/>
      <c r="H3980" s="107"/>
      <c r="I3980" s="95"/>
      <c r="J3980" s="706"/>
      <c r="K3980" s="769"/>
      <c r="L3980" s="706"/>
      <c r="M3980" s="781"/>
      <c r="N3980" s="182"/>
      <c r="O3980" s="188"/>
      <c r="P3980" s="221"/>
      <c r="Q3980" s="106"/>
      <c r="R3980" s="108"/>
      <c r="S3980" s="108"/>
      <c r="T3980" s="108"/>
      <c r="U3980" s="108" t="str">
        <f>IFERROR(VLOOKUP(CONCATENATE(Tabla1[[#This Row],[Severidad]]," ",Tabla1[[#This Row],[Complejidad]]),Catalogos!E$120:G$128,3,FALSE),"")</f>
        <v/>
      </c>
      <c r="V3980" s="108" t="str">
        <f>IF(Tabla1[[#This Row],[Tiempo solución max (hrs)]]&lt;&gt;"",IF(Tabla1[[#This Row],[Tiempo solución max (hrs)]]&gt;=Tabla1[[#This Row],[Tiempo
(Hrs 00/100)]],"cumple","no cumple"),"")</f>
        <v/>
      </c>
      <c r="W3980" s="17"/>
      <c r="X3980" s="18">
        <f t="shared" si="252"/>
        <v>0</v>
      </c>
      <c r="Y3980" t="str">
        <f>SUBSTITUTE(Tabla1[[#This Row],[Descripción]],CHAR(10),"    I    ")</f>
        <v/>
      </c>
      <c r="Z3980" s="112" t="e">
        <f>VLOOKUP(Tabla1[[#This Row],[Perfil]],Catalogos!$B$75:$D$100,3,FALSE)*Tabla1[[#This Row],[Tiempo
(Hrs 00/100)]]*1.16</f>
        <v>#N/A</v>
      </c>
    </row>
    <row r="3981" spans="1:26" ht="30" customHeight="1" x14ac:dyDescent="0.3">
      <c r="A3981" s="106"/>
      <c r="B3981" s="106"/>
      <c r="C3981" s="106"/>
      <c r="D3981" s="106"/>
      <c r="E3981" s="106"/>
      <c r="F3981" s="106"/>
      <c r="G3981" s="106"/>
      <c r="H3981" s="107"/>
      <c r="I3981" s="95"/>
      <c r="J3981" s="706"/>
      <c r="K3981" s="769"/>
      <c r="L3981" s="706"/>
      <c r="M3981" s="781"/>
      <c r="N3981" s="182"/>
      <c r="O3981" s="188"/>
      <c r="P3981" s="221"/>
      <c r="Q3981" s="106"/>
      <c r="R3981" s="108"/>
      <c r="S3981" s="108"/>
      <c r="T3981" s="108"/>
      <c r="U3981" s="108" t="str">
        <f>IFERROR(VLOOKUP(CONCATENATE(Tabla1[[#This Row],[Severidad]]," ",Tabla1[[#This Row],[Complejidad]]),Catalogos!E$120:G$128,3,FALSE),"")</f>
        <v/>
      </c>
      <c r="V3981" s="108" t="str">
        <f>IF(Tabla1[[#This Row],[Tiempo solución max (hrs)]]&lt;&gt;"",IF(Tabla1[[#This Row],[Tiempo solución max (hrs)]]&gt;=Tabla1[[#This Row],[Tiempo
(Hrs 00/100)]],"cumple","no cumple"),"")</f>
        <v/>
      </c>
      <c r="W3981" s="17"/>
      <c r="X3981" s="18">
        <f t="shared" si="252"/>
        <v>0</v>
      </c>
      <c r="Y3981" t="str">
        <f>SUBSTITUTE(Tabla1[[#This Row],[Descripción]],CHAR(10),"    I    ")</f>
        <v/>
      </c>
      <c r="Z3981" s="112" t="e">
        <f>VLOOKUP(Tabla1[[#This Row],[Perfil]],Catalogos!$B$75:$D$100,3,FALSE)*Tabla1[[#This Row],[Tiempo
(Hrs 00/100)]]*1.16</f>
        <v>#N/A</v>
      </c>
    </row>
    <row r="3982" spans="1:26" ht="30" customHeight="1" x14ac:dyDescent="0.3">
      <c r="A3982" s="106"/>
      <c r="B3982" s="106"/>
      <c r="C3982" s="106"/>
      <c r="D3982" s="106"/>
      <c r="E3982" s="106"/>
      <c r="F3982" s="106"/>
      <c r="G3982" s="106"/>
      <c r="H3982" s="107"/>
      <c r="I3982" s="95"/>
      <c r="J3982" s="706"/>
      <c r="K3982" s="769"/>
      <c r="L3982" s="706"/>
      <c r="M3982" s="781"/>
      <c r="N3982" s="182"/>
      <c r="O3982" s="188"/>
      <c r="P3982" s="221"/>
      <c r="Q3982" s="106"/>
      <c r="R3982" s="108"/>
      <c r="S3982" s="108"/>
      <c r="T3982" s="108"/>
      <c r="U3982" s="108" t="str">
        <f>IFERROR(VLOOKUP(CONCATENATE(Tabla1[[#This Row],[Severidad]]," ",Tabla1[[#This Row],[Complejidad]]),Catalogos!E$120:G$128,3,FALSE),"")</f>
        <v/>
      </c>
      <c r="V3982" s="108" t="str">
        <f>IF(Tabla1[[#This Row],[Tiempo solución max (hrs)]]&lt;&gt;"",IF(Tabla1[[#This Row],[Tiempo solución max (hrs)]]&gt;=Tabla1[[#This Row],[Tiempo
(Hrs 00/100)]],"cumple","no cumple"),"")</f>
        <v/>
      </c>
      <c r="W3982" s="17"/>
      <c r="X3982" s="18">
        <f t="shared" si="252"/>
        <v>0</v>
      </c>
      <c r="Y3982" t="str">
        <f>SUBSTITUTE(Tabla1[[#This Row],[Descripción]],CHAR(10),"    I    ")</f>
        <v/>
      </c>
      <c r="Z3982" s="112" t="e">
        <f>VLOOKUP(Tabla1[[#This Row],[Perfil]],Catalogos!$B$75:$D$100,3,FALSE)*Tabla1[[#This Row],[Tiempo
(Hrs 00/100)]]*1.16</f>
        <v>#N/A</v>
      </c>
    </row>
    <row r="3983" spans="1:26" ht="30" customHeight="1" x14ac:dyDescent="0.3">
      <c r="A3983" s="106"/>
      <c r="B3983" s="106"/>
      <c r="C3983" s="106"/>
      <c r="D3983" s="106"/>
      <c r="E3983" s="106"/>
      <c r="F3983" s="106"/>
      <c r="G3983" s="106"/>
      <c r="H3983" s="107"/>
      <c r="I3983" s="95"/>
      <c r="J3983" s="706"/>
      <c r="K3983" s="769"/>
      <c r="L3983" s="706"/>
      <c r="M3983" s="781"/>
      <c r="N3983" s="182"/>
      <c r="O3983" s="188"/>
      <c r="P3983" s="221"/>
      <c r="Q3983" s="106"/>
      <c r="R3983" s="108"/>
      <c r="S3983" s="108"/>
      <c r="T3983" s="108"/>
      <c r="U3983" s="108" t="str">
        <f>IFERROR(VLOOKUP(CONCATENATE(Tabla1[[#This Row],[Severidad]]," ",Tabla1[[#This Row],[Complejidad]]),Catalogos!E$120:G$128,3,FALSE),"")</f>
        <v/>
      </c>
      <c r="V3983" s="108" t="str">
        <f>IF(Tabla1[[#This Row],[Tiempo solución max (hrs)]]&lt;&gt;"",IF(Tabla1[[#This Row],[Tiempo solución max (hrs)]]&gt;=Tabla1[[#This Row],[Tiempo
(Hrs 00/100)]],"cumple","no cumple"),"")</f>
        <v/>
      </c>
      <c r="W3983" s="17"/>
      <c r="X3983" s="18">
        <f t="shared" si="252"/>
        <v>0</v>
      </c>
      <c r="Y3983" t="str">
        <f>SUBSTITUTE(Tabla1[[#This Row],[Descripción]],CHAR(10),"    I    ")</f>
        <v/>
      </c>
      <c r="Z3983" s="112" t="e">
        <f>VLOOKUP(Tabla1[[#This Row],[Perfil]],Catalogos!$B$75:$D$100,3,FALSE)*Tabla1[[#This Row],[Tiempo
(Hrs 00/100)]]*1.16</f>
        <v>#N/A</v>
      </c>
    </row>
    <row r="3984" spans="1:26" ht="30" customHeight="1" x14ac:dyDescent="0.3">
      <c r="A3984" s="106"/>
      <c r="B3984" s="106"/>
      <c r="C3984" s="106"/>
      <c r="D3984" s="106"/>
      <c r="E3984" s="106"/>
      <c r="F3984" s="106"/>
      <c r="G3984" s="106"/>
      <c r="H3984" s="107"/>
      <c r="I3984" s="95"/>
      <c r="J3984" s="706"/>
      <c r="K3984" s="769"/>
      <c r="L3984" s="706"/>
      <c r="M3984" s="781"/>
      <c r="N3984" s="182"/>
      <c r="O3984" s="188"/>
      <c r="P3984" s="221"/>
      <c r="Q3984" s="106"/>
      <c r="R3984" s="108"/>
      <c r="S3984" s="108"/>
      <c r="T3984" s="108"/>
      <c r="U3984" s="108" t="str">
        <f>IFERROR(VLOOKUP(CONCATENATE(Tabla1[[#This Row],[Severidad]]," ",Tabla1[[#This Row],[Complejidad]]),Catalogos!E$120:G$128,3,FALSE),"")</f>
        <v/>
      </c>
      <c r="V3984" s="108" t="str">
        <f>IF(Tabla1[[#This Row],[Tiempo solución max (hrs)]]&lt;&gt;"",IF(Tabla1[[#This Row],[Tiempo solución max (hrs)]]&gt;=Tabla1[[#This Row],[Tiempo
(Hrs 00/100)]],"cumple","no cumple"),"")</f>
        <v/>
      </c>
      <c r="W3984" s="17"/>
      <c r="X3984" s="18">
        <f t="shared" si="252"/>
        <v>0</v>
      </c>
      <c r="Y3984" t="str">
        <f>SUBSTITUTE(Tabla1[[#This Row],[Descripción]],CHAR(10),"    I    ")</f>
        <v/>
      </c>
      <c r="Z3984" s="112" t="e">
        <f>VLOOKUP(Tabla1[[#This Row],[Perfil]],Catalogos!$B$75:$D$100,3,FALSE)*Tabla1[[#This Row],[Tiempo
(Hrs 00/100)]]*1.16</f>
        <v>#N/A</v>
      </c>
    </row>
    <row r="3985" spans="1:26" ht="30" customHeight="1" x14ac:dyDescent="0.3">
      <c r="A3985" s="106"/>
      <c r="B3985" s="106"/>
      <c r="C3985" s="106"/>
      <c r="D3985" s="106"/>
      <c r="E3985" s="106"/>
      <c r="F3985" s="106"/>
      <c r="G3985" s="106"/>
      <c r="H3985" s="107"/>
      <c r="I3985" s="95"/>
      <c r="J3985" s="706"/>
      <c r="K3985" s="769"/>
      <c r="L3985" s="706"/>
      <c r="M3985" s="781"/>
      <c r="N3985" s="182"/>
      <c r="O3985" s="188"/>
      <c r="P3985" s="221"/>
      <c r="Q3985" s="106"/>
      <c r="R3985" s="108"/>
      <c r="S3985" s="108"/>
      <c r="T3985" s="108"/>
      <c r="U3985" s="108" t="str">
        <f>IFERROR(VLOOKUP(CONCATENATE(Tabla1[[#This Row],[Severidad]]," ",Tabla1[[#This Row],[Complejidad]]),Catalogos!E$120:G$128,3,FALSE),"")</f>
        <v/>
      </c>
      <c r="V3985" s="108" t="str">
        <f>IF(Tabla1[[#This Row],[Tiempo solución max (hrs)]]&lt;&gt;"",IF(Tabla1[[#This Row],[Tiempo solución max (hrs)]]&gt;=Tabla1[[#This Row],[Tiempo
(Hrs 00/100)]],"cumple","no cumple"),"")</f>
        <v/>
      </c>
      <c r="W3985" s="17"/>
      <c r="X3985" s="18">
        <f t="shared" si="252"/>
        <v>0</v>
      </c>
      <c r="Y3985" t="str">
        <f>SUBSTITUTE(Tabla1[[#This Row],[Descripción]],CHAR(10),"    I    ")</f>
        <v/>
      </c>
      <c r="Z3985" s="112" t="e">
        <f>VLOOKUP(Tabla1[[#This Row],[Perfil]],Catalogos!$B$75:$D$100,3,FALSE)*Tabla1[[#This Row],[Tiempo
(Hrs 00/100)]]*1.16</f>
        <v>#N/A</v>
      </c>
    </row>
    <row r="3986" spans="1:26" ht="30" customHeight="1" x14ac:dyDescent="0.3">
      <c r="A3986" s="106"/>
      <c r="B3986" s="106"/>
      <c r="C3986" s="106"/>
      <c r="D3986" s="106"/>
      <c r="E3986" s="106"/>
      <c r="F3986" s="106"/>
      <c r="G3986" s="106"/>
      <c r="H3986" s="107"/>
      <c r="I3986" s="95"/>
      <c r="J3986" s="706"/>
      <c r="K3986" s="769"/>
      <c r="L3986" s="706"/>
      <c r="M3986" s="781"/>
      <c r="N3986" s="182"/>
      <c r="O3986" s="188"/>
      <c r="P3986" s="221"/>
      <c r="Q3986" s="106"/>
      <c r="R3986" s="108"/>
      <c r="S3986" s="108"/>
      <c r="T3986" s="108"/>
      <c r="U3986" s="108" t="str">
        <f>IFERROR(VLOOKUP(CONCATENATE(Tabla1[[#This Row],[Severidad]]," ",Tabla1[[#This Row],[Complejidad]]),Catalogos!E$120:G$128,3,FALSE),"")</f>
        <v/>
      </c>
      <c r="V3986" s="108" t="str">
        <f>IF(Tabla1[[#This Row],[Tiempo solución max (hrs)]]&lt;&gt;"",IF(Tabla1[[#This Row],[Tiempo solución max (hrs)]]&gt;=Tabla1[[#This Row],[Tiempo
(Hrs 00/100)]],"cumple","no cumple"),"")</f>
        <v/>
      </c>
      <c r="W3986" s="17"/>
      <c r="X3986" s="18">
        <f t="shared" si="252"/>
        <v>0</v>
      </c>
      <c r="Y3986" t="str">
        <f>SUBSTITUTE(Tabla1[[#This Row],[Descripción]],CHAR(10),"    I    ")</f>
        <v/>
      </c>
      <c r="Z3986" s="112" t="e">
        <f>VLOOKUP(Tabla1[[#This Row],[Perfil]],Catalogos!$B$75:$D$100,3,FALSE)*Tabla1[[#This Row],[Tiempo
(Hrs 00/100)]]*1.16</f>
        <v>#N/A</v>
      </c>
    </row>
    <row r="3987" spans="1:26" ht="30" customHeight="1" x14ac:dyDescent="0.3">
      <c r="A3987" s="106"/>
      <c r="B3987" s="106"/>
      <c r="C3987" s="106"/>
      <c r="D3987" s="106"/>
      <c r="E3987" s="106"/>
      <c r="F3987" s="106"/>
      <c r="G3987" s="106"/>
      <c r="H3987" s="107"/>
      <c r="I3987" s="95"/>
      <c r="J3987" s="706"/>
      <c r="K3987" s="769"/>
      <c r="L3987" s="706"/>
      <c r="M3987" s="781"/>
      <c r="N3987" s="182"/>
      <c r="O3987" s="188"/>
      <c r="P3987" s="221"/>
      <c r="Q3987" s="106"/>
      <c r="R3987" s="108"/>
      <c r="S3987" s="108"/>
      <c r="T3987" s="108"/>
      <c r="U3987" s="108" t="str">
        <f>IFERROR(VLOOKUP(CONCATENATE(Tabla1[[#This Row],[Severidad]]," ",Tabla1[[#This Row],[Complejidad]]),Catalogos!E$120:G$128,3,FALSE),"")</f>
        <v/>
      </c>
      <c r="V3987" s="108" t="str">
        <f>IF(Tabla1[[#This Row],[Tiempo solución max (hrs)]]&lt;&gt;"",IF(Tabla1[[#This Row],[Tiempo solución max (hrs)]]&gt;=Tabla1[[#This Row],[Tiempo
(Hrs 00/100)]],"cumple","no cumple"),"")</f>
        <v/>
      </c>
      <c r="W3987" s="17"/>
      <c r="X3987" s="18">
        <f t="shared" si="252"/>
        <v>0</v>
      </c>
      <c r="Y3987" t="str">
        <f>SUBSTITUTE(Tabla1[[#This Row],[Descripción]],CHAR(10),"    I    ")</f>
        <v/>
      </c>
      <c r="Z3987" s="112" t="e">
        <f>VLOOKUP(Tabla1[[#This Row],[Perfil]],Catalogos!$B$75:$D$100,3,FALSE)*Tabla1[[#This Row],[Tiempo
(Hrs 00/100)]]*1.16</f>
        <v>#N/A</v>
      </c>
    </row>
    <row r="3988" spans="1:26" ht="30" customHeight="1" x14ac:dyDescent="0.3">
      <c r="A3988" s="106"/>
      <c r="B3988" s="106"/>
      <c r="C3988" s="106"/>
      <c r="D3988" s="106"/>
      <c r="E3988" s="106"/>
      <c r="F3988" s="106"/>
      <c r="G3988" s="106"/>
      <c r="H3988" s="107"/>
      <c r="I3988" s="95"/>
      <c r="J3988" s="706"/>
      <c r="K3988" s="769"/>
      <c r="L3988" s="706"/>
      <c r="M3988" s="781"/>
      <c r="N3988" s="182"/>
      <c r="O3988" s="188"/>
      <c r="P3988" s="221"/>
      <c r="Q3988" s="106"/>
      <c r="R3988" s="108"/>
      <c r="S3988" s="108"/>
      <c r="T3988" s="108"/>
      <c r="U3988" s="108" t="str">
        <f>IFERROR(VLOOKUP(CONCATENATE(Tabla1[[#This Row],[Severidad]]," ",Tabla1[[#This Row],[Complejidad]]),Catalogos!E$120:G$128,3,FALSE),"")</f>
        <v/>
      </c>
      <c r="V3988" s="108" t="str">
        <f>IF(Tabla1[[#This Row],[Tiempo solución max (hrs)]]&lt;&gt;"",IF(Tabla1[[#This Row],[Tiempo solución max (hrs)]]&gt;=Tabla1[[#This Row],[Tiempo
(Hrs 00/100)]],"cumple","no cumple"),"")</f>
        <v/>
      </c>
      <c r="W3988" s="17"/>
      <c r="X3988" s="18">
        <f t="shared" si="252"/>
        <v>0</v>
      </c>
      <c r="Y3988" t="str">
        <f>SUBSTITUTE(Tabla1[[#This Row],[Descripción]],CHAR(10),"    I    ")</f>
        <v/>
      </c>
      <c r="Z3988" s="112" t="e">
        <f>VLOOKUP(Tabla1[[#This Row],[Perfil]],Catalogos!$B$75:$D$100,3,FALSE)*Tabla1[[#This Row],[Tiempo
(Hrs 00/100)]]*1.16</f>
        <v>#N/A</v>
      </c>
    </row>
    <row r="3989" spans="1:26" ht="30" customHeight="1" x14ac:dyDescent="0.3">
      <c r="A3989" s="106"/>
      <c r="B3989" s="106"/>
      <c r="C3989" s="106"/>
      <c r="D3989" s="106"/>
      <c r="E3989" s="106"/>
      <c r="F3989" s="106"/>
      <c r="G3989" s="106"/>
      <c r="H3989" s="107"/>
      <c r="I3989" s="95"/>
      <c r="J3989" s="706"/>
      <c r="K3989" s="769"/>
      <c r="L3989" s="706"/>
      <c r="M3989" s="781"/>
      <c r="N3989" s="182"/>
      <c r="O3989" s="188"/>
      <c r="P3989" s="221"/>
      <c r="Q3989" s="106"/>
      <c r="R3989" s="108"/>
      <c r="S3989" s="108"/>
      <c r="T3989" s="108"/>
      <c r="U3989" s="108" t="str">
        <f>IFERROR(VLOOKUP(CONCATENATE(Tabla1[[#This Row],[Severidad]]," ",Tabla1[[#This Row],[Complejidad]]),Catalogos!E$120:G$128,3,FALSE),"")</f>
        <v/>
      </c>
      <c r="V3989" s="108" t="str">
        <f>IF(Tabla1[[#This Row],[Tiempo solución max (hrs)]]&lt;&gt;"",IF(Tabla1[[#This Row],[Tiempo solución max (hrs)]]&gt;=Tabla1[[#This Row],[Tiempo
(Hrs 00/100)]],"cumple","no cumple"),"")</f>
        <v/>
      </c>
      <c r="W3989" s="17"/>
      <c r="X3989" s="18">
        <f t="shared" si="252"/>
        <v>0</v>
      </c>
      <c r="Y3989" t="str">
        <f>SUBSTITUTE(Tabla1[[#This Row],[Descripción]],CHAR(10),"    I    ")</f>
        <v/>
      </c>
      <c r="Z3989" s="112" t="e">
        <f>VLOOKUP(Tabla1[[#This Row],[Perfil]],Catalogos!$B$75:$D$100,3,FALSE)*Tabla1[[#This Row],[Tiempo
(Hrs 00/100)]]*1.16</f>
        <v>#N/A</v>
      </c>
    </row>
    <row r="3990" spans="1:26" ht="30" customHeight="1" x14ac:dyDescent="0.3">
      <c r="A3990" s="106"/>
      <c r="B3990" s="106"/>
      <c r="C3990" s="106"/>
      <c r="D3990" s="106"/>
      <c r="E3990" s="106"/>
      <c r="F3990" s="106"/>
      <c r="G3990" s="106"/>
      <c r="H3990" s="107"/>
      <c r="I3990" s="95"/>
      <c r="J3990" s="706"/>
      <c r="K3990" s="769"/>
      <c r="L3990" s="706"/>
      <c r="M3990" s="781"/>
      <c r="N3990" s="182"/>
      <c r="O3990" s="188"/>
      <c r="P3990" s="221"/>
      <c r="Q3990" s="106"/>
      <c r="R3990" s="108"/>
      <c r="S3990" s="108"/>
      <c r="T3990" s="108"/>
      <c r="U3990" s="108" t="str">
        <f>IFERROR(VLOOKUP(CONCATENATE(Tabla1[[#This Row],[Severidad]]," ",Tabla1[[#This Row],[Complejidad]]),Catalogos!E$120:G$128,3,FALSE),"")</f>
        <v/>
      </c>
      <c r="V3990" s="108" t="str">
        <f>IF(Tabla1[[#This Row],[Tiempo solución max (hrs)]]&lt;&gt;"",IF(Tabla1[[#This Row],[Tiempo solución max (hrs)]]&gt;=Tabla1[[#This Row],[Tiempo
(Hrs 00/100)]],"cumple","no cumple"),"")</f>
        <v/>
      </c>
      <c r="W3990" s="17"/>
      <c r="X3990" s="18">
        <f t="shared" si="252"/>
        <v>0</v>
      </c>
      <c r="Y3990" t="str">
        <f>SUBSTITUTE(Tabla1[[#This Row],[Descripción]],CHAR(10),"    I    ")</f>
        <v/>
      </c>
      <c r="Z3990" s="112" t="e">
        <f>VLOOKUP(Tabla1[[#This Row],[Perfil]],Catalogos!$B$75:$D$100,3,FALSE)*Tabla1[[#This Row],[Tiempo
(Hrs 00/100)]]*1.16</f>
        <v>#N/A</v>
      </c>
    </row>
    <row r="3991" spans="1:26" ht="30" customHeight="1" x14ac:dyDescent="0.3">
      <c r="A3991" s="106"/>
      <c r="B3991" s="106"/>
      <c r="C3991" s="106"/>
      <c r="D3991" s="106"/>
      <c r="E3991" s="106"/>
      <c r="F3991" s="106"/>
      <c r="G3991" s="106"/>
      <c r="H3991" s="107"/>
      <c r="I3991" s="95"/>
      <c r="J3991" s="706"/>
      <c r="K3991" s="769"/>
      <c r="L3991" s="706"/>
      <c r="M3991" s="781"/>
      <c r="N3991" s="182"/>
      <c r="O3991" s="188"/>
      <c r="P3991" s="221"/>
      <c r="Q3991" s="106"/>
      <c r="R3991" s="108"/>
      <c r="S3991" s="108"/>
      <c r="T3991" s="108"/>
      <c r="U3991" s="108" t="str">
        <f>IFERROR(VLOOKUP(CONCATENATE(Tabla1[[#This Row],[Severidad]]," ",Tabla1[[#This Row],[Complejidad]]),Catalogos!E$120:G$128,3,FALSE),"")</f>
        <v/>
      </c>
      <c r="V3991" s="108" t="str">
        <f>IF(Tabla1[[#This Row],[Tiempo solución max (hrs)]]&lt;&gt;"",IF(Tabla1[[#This Row],[Tiempo solución max (hrs)]]&gt;=Tabla1[[#This Row],[Tiempo
(Hrs 00/100)]],"cumple","no cumple"),"")</f>
        <v/>
      </c>
      <c r="W3991" s="17"/>
      <c r="X3991" s="18">
        <f t="shared" si="252"/>
        <v>0</v>
      </c>
      <c r="Y3991" t="str">
        <f>SUBSTITUTE(Tabla1[[#This Row],[Descripción]],CHAR(10),"    I    ")</f>
        <v/>
      </c>
      <c r="Z3991" s="112" t="e">
        <f>VLOOKUP(Tabla1[[#This Row],[Perfil]],Catalogos!$B$75:$D$100,3,FALSE)*Tabla1[[#This Row],[Tiempo
(Hrs 00/100)]]*1.16</f>
        <v>#N/A</v>
      </c>
    </row>
    <row r="3992" spans="1:26" ht="30" customHeight="1" x14ac:dyDescent="0.3">
      <c r="A3992" s="106"/>
      <c r="B3992" s="106"/>
      <c r="C3992" s="106"/>
      <c r="D3992" s="106"/>
      <c r="E3992" s="106"/>
      <c r="F3992" s="106"/>
      <c r="G3992" s="106"/>
      <c r="H3992" s="107"/>
      <c r="I3992" s="95"/>
      <c r="J3992" s="706"/>
      <c r="K3992" s="769"/>
      <c r="L3992" s="706"/>
      <c r="M3992" s="781"/>
      <c r="N3992" s="182"/>
      <c r="O3992" s="188"/>
      <c r="P3992" s="221"/>
      <c r="Q3992" s="106"/>
      <c r="R3992" s="108"/>
      <c r="S3992" s="108"/>
      <c r="T3992" s="108"/>
      <c r="U3992" s="108" t="str">
        <f>IFERROR(VLOOKUP(CONCATENATE(Tabla1[[#This Row],[Severidad]]," ",Tabla1[[#This Row],[Complejidad]]),Catalogos!E$120:G$128,3,FALSE),"")</f>
        <v/>
      </c>
      <c r="V3992" s="108" t="str">
        <f>IF(Tabla1[[#This Row],[Tiempo solución max (hrs)]]&lt;&gt;"",IF(Tabla1[[#This Row],[Tiempo solución max (hrs)]]&gt;=Tabla1[[#This Row],[Tiempo
(Hrs 00/100)]],"cumple","no cumple"),"")</f>
        <v/>
      </c>
      <c r="W3992" s="17"/>
      <c r="X3992" s="18">
        <f t="shared" si="252"/>
        <v>0</v>
      </c>
      <c r="Y3992" t="str">
        <f>SUBSTITUTE(Tabla1[[#This Row],[Descripción]],CHAR(10),"    I    ")</f>
        <v/>
      </c>
      <c r="Z3992" s="112" t="e">
        <f>VLOOKUP(Tabla1[[#This Row],[Perfil]],Catalogos!$B$75:$D$100,3,FALSE)*Tabla1[[#This Row],[Tiempo
(Hrs 00/100)]]*1.16</f>
        <v>#N/A</v>
      </c>
    </row>
    <row r="3993" spans="1:26" ht="30" customHeight="1" x14ac:dyDescent="0.3">
      <c r="A3993" s="106"/>
      <c r="B3993" s="106"/>
      <c r="C3993" s="106"/>
      <c r="D3993" s="106"/>
      <c r="E3993" s="106"/>
      <c r="F3993" s="106"/>
      <c r="G3993" s="106"/>
      <c r="H3993" s="107"/>
      <c r="I3993" s="95"/>
      <c r="J3993" s="706"/>
      <c r="K3993" s="769"/>
      <c r="L3993" s="706"/>
      <c r="M3993" s="781"/>
      <c r="N3993" s="182"/>
      <c r="O3993" s="188"/>
      <c r="P3993" s="221"/>
      <c r="Q3993" s="106"/>
      <c r="R3993" s="108"/>
      <c r="S3993" s="108"/>
      <c r="T3993" s="108"/>
      <c r="U3993" s="108" t="str">
        <f>IFERROR(VLOOKUP(CONCATENATE(Tabla1[[#This Row],[Severidad]]," ",Tabla1[[#This Row],[Complejidad]]),Catalogos!E$120:G$128,3,FALSE),"")</f>
        <v/>
      </c>
      <c r="V3993" s="108" t="str">
        <f>IF(Tabla1[[#This Row],[Tiempo solución max (hrs)]]&lt;&gt;"",IF(Tabla1[[#This Row],[Tiempo solución max (hrs)]]&gt;=Tabla1[[#This Row],[Tiempo
(Hrs 00/100)]],"cumple","no cumple"),"")</f>
        <v/>
      </c>
      <c r="W3993" s="17"/>
      <c r="X3993" s="18">
        <f t="shared" si="252"/>
        <v>0</v>
      </c>
      <c r="Y3993" t="str">
        <f>SUBSTITUTE(Tabla1[[#This Row],[Descripción]],CHAR(10),"    I    ")</f>
        <v/>
      </c>
      <c r="Z3993" s="112" t="e">
        <f>VLOOKUP(Tabla1[[#This Row],[Perfil]],Catalogos!$B$75:$D$100,3,FALSE)*Tabla1[[#This Row],[Tiempo
(Hrs 00/100)]]*1.16</f>
        <v>#N/A</v>
      </c>
    </row>
    <row r="3994" spans="1:26" ht="30" customHeight="1" x14ac:dyDescent="0.3">
      <c r="A3994" s="106"/>
      <c r="B3994" s="106"/>
      <c r="C3994" s="106"/>
      <c r="D3994" s="106"/>
      <c r="E3994" s="106"/>
      <c r="F3994" s="106"/>
      <c r="G3994" s="106"/>
      <c r="H3994" s="107"/>
      <c r="I3994" s="95"/>
      <c r="J3994" s="706"/>
      <c r="K3994" s="769"/>
      <c r="L3994" s="706"/>
      <c r="M3994" s="781"/>
      <c r="N3994" s="182"/>
      <c r="O3994" s="188"/>
      <c r="P3994" s="221"/>
      <c r="Q3994" s="106"/>
      <c r="R3994" s="108"/>
      <c r="S3994" s="108"/>
      <c r="T3994" s="108"/>
      <c r="U3994" s="108" t="str">
        <f>IFERROR(VLOOKUP(CONCATENATE(Tabla1[[#This Row],[Severidad]]," ",Tabla1[[#This Row],[Complejidad]]),Catalogos!E$120:G$128,3,FALSE),"")</f>
        <v/>
      </c>
      <c r="V3994" s="108" t="str">
        <f>IF(Tabla1[[#This Row],[Tiempo solución max (hrs)]]&lt;&gt;"",IF(Tabla1[[#This Row],[Tiempo solución max (hrs)]]&gt;=Tabla1[[#This Row],[Tiempo
(Hrs 00/100)]],"cumple","no cumple"),"")</f>
        <v/>
      </c>
      <c r="W3994" s="17"/>
      <c r="X3994" s="18">
        <f t="shared" si="252"/>
        <v>0</v>
      </c>
      <c r="Y3994" t="str">
        <f>SUBSTITUTE(Tabla1[[#This Row],[Descripción]],CHAR(10),"    I    ")</f>
        <v/>
      </c>
      <c r="Z3994" s="112" t="e">
        <f>VLOOKUP(Tabla1[[#This Row],[Perfil]],Catalogos!$B$75:$D$100,3,FALSE)*Tabla1[[#This Row],[Tiempo
(Hrs 00/100)]]*1.16</f>
        <v>#N/A</v>
      </c>
    </row>
    <row r="3995" spans="1:26" ht="30" customHeight="1" x14ac:dyDescent="0.3">
      <c r="A3995" s="106"/>
      <c r="B3995" s="106"/>
      <c r="C3995" s="106"/>
      <c r="D3995" s="106"/>
      <c r="E3995" s="106"/>
      <c r="F3995" s="106"/>
      <c r="G3995" s="106"/>
      <c r="H3995" s="107"/>
      <c r="I3995" s="95"/>
      <c r="J3995" s="706"/>
      <c r="K3995" s="769"/>
      <c r="L3995" s="706"/>
      <c r="M3995" s="781"/>
      <c r="N3995" s="182"/>
      <c r="O3995" s="188"/>
      <c r="P3995" s="221"/>
      <c r="Q3995" s="106"/>
      <c r="R3995" s="108"/>
      <c r="S3995" s="108"/>
      <c r="T3995" s="108"/>
      <c r="U3995" s="108" t="str">
        <f>IFERROR(VLOOKUP(CONCATENATE(Tabla1[[#This Row],[Severidad]]," ",Tabla1[[#This Row],[Complejidad]]),Catalogos!E$120:G$128,3,FALSE),"")</f>
        <v/>
      </c>
      <c r="V3995" s="108" t="str">
        <f>IF(Tabla1[[#This Row],[Tiempo solución max (hrs)]]&lt;&gt;"",IF(Tabla1[[#This Row],[Tiempo solución max (hrs)]]&gt;=Tabla1[[#This Row],[Tiempo
(Hrs 00/100)]],"cumple","no cumple"),"")</f>
        <v/>
      </c>
      <c r="W3995" s="17"/>
      <c r="X3995" s="18">
        <f t="shared" si="252"/>
        <v>0</v>
      </c>
      <c r="Y3995" t="str">
        <f>SUBSTITUTE(Tabla1[[#This Row],[Descripción]],CHAR(10),"    I    ")</f>
        <v/>
      </c>
      <c r="Z3995" s="112" t="e">
        <f>VLOOKUP(Tabla1[[#This Row],[Perfil]],Catalogos!$B$75:$D$100,3,FALSE)*Tabla1[[#This Row],[Tiempo
(Hrs 00/100)]]*1.16</f>
        <v>#N/A</v>
      </c>
    </row>
    <row r="3996" spans="1:26" ht="30" customHeight="1" x14ac:dyDescent="0.3">
      <c r="A3996" s="106"/>
      <c r="B3996" s="106"/>
      <c r="C3996" s="106"/>
      <c r="D3996" s="106"/>
      <c r="E3996" s="106"/>
      <c r="F3996" s="106"/>
      <c r="G3996" s="106"/>
      <c r="H3996" s="107"/>
      <c r="I3996" s="95"/>
      <c r="J3996" s="706"/>
      <c r="K3996" s="769"/>
      <c r="L3996" s="706"/>
      <c r="M3996" s="781"/>
      <c r="N3996" s="182"/>
      <c r="O3996" s="188"/>
      <c r="P3996" s="221"/>
      <c r="Q3996" s="106"/>
      <c r="R3996" s="108"/>
      <c r="S3996" s="108"/>
      <c r="T3996" s="108"/>
      <c r="U3996" s="108" t="str">
        <f>IFERROR(VLOOKUP(CONCATENATE(Tabla1[[#This Row],[Severidad]]," ",Tabla1[[#This Row],[Complejidad]]),Catalogos!E$120:G$128,3,FALSE),"")</f>
        <v/>
      </c>
      <c r="V3996" s="108" t="str">
        <f>IF(Tabla1[[#This Row],[Tiempo solución max (hrs)]]&lt;&gt;"",IF(Tabla1[[#This Row],[Tiempo solución max (hrs)]]&gt;=Tabla1[[#This Row],[Tiempo
(Hrs 00/100)]],"cumple","no cumple"),"")</f>
        <v/>
      </c>
      <c r="W3996" s="17"/>
      <c r="X3996" s="18">
        <f t="shared" si="252"/>
        <v>0</v>
      </c>
      <c r="Y3996" t="str">
        <f>SUBSTITUTE(Tabla1[[#This Row],[Descripción]],CHAR(10),"    I    ")</f>
        <v/>
      </c>
      <c r="Z3996" s="112" t="e">
        <f>VLOOKUP(Tabla1[[#This Row],[Perfil]],Catalogos!$B$75:$D$100,3,FALSE)*Tabla1[[#This Row],[Tiempo
(Hrs 00/100)]]*1.16</f>
        <v>#N/A</v>
      </c>
    </row>
    <row r="3997" spans="1:26" ht="30" customHeight="1" x14ac:dyDescent="0.3">
      <c r="A3997" s="106"/>
      <c r="B3997" s="106"/>
      <c r="C3997" s="106"/>
      <c r="D3997" s="106"/>
      <c r="E3997" s="106"/>
      <c r="F3997" s="106"/>
      <c r="G3997" s="106"/>
      <c r="H3997" s="107"/>
      <c r="I3997" s="95"/>
      <c r="J3997" s="706"/>
      <c r="K3997" s="769"/>
      <c r="L3997" s="706"/>
      <c r="M3997" s="781"/>
      <c r="N3997" s="182"/>
      <c r="O3997" s="188"/>
      <c r="P3997" s="221"/>
      <c r="Q3997" s="106"/>
      <c r="R3997" s="108"/>
      <c r="S3997" s="108"/>
      <c r="T3997" s="108"/>
      <c r="U3997" s="108" t="str">
        <f>IFERROR(VLOOKUP(CONCATENATE(Tabla1[[#This Row],[Severidad]]," ",Tabla1[[#This Row],[Complejidad]]),Catalogos!E$120:G$128,3,FALSE),"")</f>
        <v/>
      </c>
      <c r="V3997" s="108" t="str">
        <f>IF(Tabla1[[#This Row],[Tiempo solución max (hrs)]]&lt;&gt;"",IF(Tabla1[[#This Row],[Tiempo solución max (hrs)]]&gt;=Tabla1[[#This Row],[Tiempo
(Hrs 00/100)]],"cumple","no cumple"),"")</f>
        <v/>
      </c>
      <c r="W3997" s="17"/>
      <c r="X3997" s="18">
        <f t="shared" si="252"/>
        <v>0</v>
      </c>
      <c r="Y3997" t="str">
        <f>SUBSTITUTE(Tabla1[[#This Row],[Descripción]],CHAR(10),"    I    ")</f>
        <v/>
      </c>
      <c r="Z3997" s="112" t="e">
        <f>VLOOKUP(Tabla1[[#This Row],[Perfil]],Catalogos!$B$75:$D$100,3,FALSE)*Tabla1[[#This Row],[Tiempo
(Hrs 00/100)]]*1.16</f>
        <v>#N/A</v>
      </c>
    </row>
    <row r="3998" spans="1:26" ht="30" customHeight="1" x14ac:dyDescent="0.3">
      <c r="A3998" s="106"/>
      <c r="B3998" s="106"/>
      <c r="C3998" s="106"/>
      <c r="D3998" s="106"/>
      <c r="E3998" s="106"/>
      <c r="F3998" s="106"/>
      <c r="G3998" s="106"/>
      <c r="H3998" s="107"/>
      <c r="I3998" s="95"/>
      <c r="J3998" s="706"/>
      <c r="K3998" s="769"/>
      <c r="L3998" s="706"/>
      <c r="M3998" s="781"/>
      <c r="N3998" s="182"/>
      <c r="O3998" s="188"/>
      <c r="P3998" s="221"/>
      <c r="Q3998" s="106"/>
      <c r="R3998" s="108"/>
      <c r="S3998" s="108"/>
      <c r="T3998" s="108"/>
      <c r="U3998" s="108" t="str">
        <f>IFERROR(VLOOKUP(CONCATENATE(Tabla1[[#This Row],[Severidad]]," ",Tabla1[[#This Row],[Complejidad]]),Catalogos!E$120:G$128,3,FALSE),"")</f>
        <v/>
      </c>
      <c r="V3998" s="108" t="str">
        <f>IF(Tabla1[[#This Row],[Tiempo solución max (hrs)]]&lt;&gt;"",IF(Tabla1[[#This Row],[Tiempo solución max (hrs)]]&gt;=Tabla1[[#This Row],[Tiempo
(Hrs 00/100)]],"cumple","no cumple"),"")</f>
        <v/>
      </c>
      <c r="W3998" s="17"/>
      <c r="X3998" s="18">
        <f t="shared" si="252"/>
        <v>0</v>
      </c>
      <c r="Y3998" t="str">
        <f>SUBSTITUTE(Tabla1[[#This Row],[Descripción]],CHAR(10),"    I    ")</f>
        <v/>
      </c>
      <c r="Z3998" s="112" t="e">
        <f>VLOOKUP(Tabla1[[#This Row],[Perfil]],Catalogos!$B$75:$D$100,3,FALSE)*Tabla1[[#This Row],[Tiempo
(Hrs 00/100)]]*1.16</f>
        <v>#N/A</v>
      </c>
    </row>
    <row r="3999" spans="1:26" ht="30" customHeight="1" x14ac:dyDescent="0.3">
      <c r="A3999" s="106"/>
      <c r="B3999" s="106"/>
      <c r="C3999" s="106"/>
      <c r="D3999" s="106"/>
      <c r="E3999" s="106"/>
      <c r="F3999" s="106"/>
      <c r="G3999" s="106"/>
      <c r="H3999" s="107"/>
      <c r="I3999" s="95"/>
      <c r="J3999" s="706"/>
      <c r="K3999" s="769"/>
      <c r="L3999" s="706"/>
      <c r="M3999" s="781"/>
      <c r="N3999" s="182"/>
      <c r="O3999" s="188"/>
      <c r="P3999" s="221"/>
      <c r="Q3999" s="106"/>
      <c r="R3999" s="108"/>
      <c r="S3999" s="108"/>
      <c r="T3999" s="108"/>
      <c r="U3999" s="108" t="str">
        <f>IFERROR(VLOOKUP(CONCATENATE(Tabla1[[#This Row],[Severidad]]," ",Tabla1[[#This Row],[Complejidad]]),Catalogos!E$120:G$128,3,FALSE),"")</f>
        <v/>
      </c>
      <c r="V3999" s="108" t="str">
        <f>IF(Tabla1[[#This Row],[Tiempo solución max (hrs)]]&lt;&gt;"",IF(Tabla1[[#This Row],[Tiempo solución max (hrs)]]&gt;=Tabla1[[#This Row],[Tiempo
(Hrs 00/100)]],"cumple","no cumple"),"")</f>
        <v/>
      </c>
      <c r="W3999" s="17"/>
      <c r="X3999" s="18">
        <f t="shared" si="252"/>
        <v>0</v>
      </c>
      <c r="Y3999" t="str">
        <f>SUBSTITUTE(Tabla1[[#This Row],[Descripción]],CHAR(10),"    I    ")</f>
        <v/>
      </c>
      <c r="Z3999" s="112" t="e">
        <f>VLOOKUP(Tabla1[[#This Row],[Perfil]],Catalogos!$B$75:$D$100,3,FALSE)*Tabla1[[#This Row],[Tiempo
(Hrs 00/100)]]*1.16</f>
        <v>#N/A</v>
      </c>
    </row>
    <row r="4000" spans="1:26" ht="30" customHeight="1" x14ac:dyDescent="0.3">
      <c r="A4000" s="106"/>
      <c r="B4000" s="106"/>
      <c r="C4000" s="106"/>
      <c r="D4000" s="106"/>
      <c r="E4000" s="106"/>
      <c r="F4000" s="106"/>
      <c r="G4000" s="106"/>
      <c r="H4000" s="107"/>
      <c r="I4000" s="95"/>
      <c r="J4000" s="706"/>
      <c r="K4000" s="769"/>
      <c r="L4000" s="706"/>
      <c r="M4000" s="781"/>
      <c r="N4000" s="182"/>
      <c r="O4000" s="188"/>
      <c r="P4000" s="221"/>
      <c r="Q4000" s="106"/>
      <c r="R4000" s="108"/>
      <c r="S4000" s="108"/>
      <c r="T4000" s="108"/>
      <c r="U4000" s="108" t="str">
        <f>IFERROR(VLOOKUP(CONCATENATE(Tabla1[[#This Row],[Severidad]]," ",Tabla1[[#This Row],[Complejidad]]),Catalogos!E$120:G$128,3,FALSE),"")</f>
        <v/>
      </c>
      <c r="V4000" s="108" t="str">
        <f>IF(Tabla1[[#This Row],[Tiempo solución max (hrs)]]&lt;&gt;"",IF(Tabla1[[#This Row],[Tiempo solución max (hrs)]]&gt;=Tabla1[[#This Row],[Tiempo
(Hrs 00/100)]],"cumple","no cumple"),"")</f>
        <v/>
      </c>
      <c r="W4000" s="17"/>
      <c r="X4000" s="18">
        <f t="shared" si="252"/>
        <v>0</v>
      </c>
      <c r="Y4000" t="str">
        <f>SUBSTITUTE(Tabla1[[#This Row],[Descripción]],CHAR(10),"    I    ")</f>
        <v/>
      </c>
      <c r="Z4000" s="112" t="e">
        <f>VLOOKUP(Tabla1[[#This Row],[Perfil]],Catalogos!$B$75:$D$100,3,FALSE)*Tabla1[[#This Row],[Tiempo
(Hrs 00/100)]]*1.16</f>
        <v>#N/A</v>
      </c>
    </row>
    <row r="4001" spans="1:26" ht="30" customHeight="1" x14ac:dyDescent="0.3">
      <c r="A4001" s="106"/>
      <c r="B4001" s="106"/>
      <c r="C4001" s="106"/>
      <c r="D4001" s="106"/>
      <c r="E4001" s="106"/>
      <c r="F4001" s="106"/>
      <c r="G4001" s="106"/>
      <c r="H4001" s="107"/>
      <c r="I4001" s="95"/>
      <c r="J4001" s="706"/>
      <c r="K4001" s="769"/>
      <c r="L4001" s="706"/>
      <c r="M4001" s="781"/>
      <c r="N4001" s="182"/>
      <c r="O4001" s="188"/>
      <c r="P4001" s="221"/>
      <c r="Q4001" s="106"/>
      <c r="R4001" s="108"/>
      <c r="S4001" s="108"/>
      <c r="T4001" s="108"/>
      <c r="U4001" s="108" t="str">
        <f>IFERROR(VLOOKUP(CONCATENATE(Tabla1[[#This Row],[Severidad]]," ",Tabla1[[#This Row],[Complejidad]]),Catalogos!E$120:G$128,3,FALSE),"")</f>
        <v/>
      </c>
      <c r="V4001" s="108" t="str">
        <f>IF(Tabla1[[#This Row],[Tiempo solución max (hrs)]]&lt;&gt;"",IF(Tabla1[[#This Row],[Tiempo solución max (hrs)]]&gt;=Tabla1[[#This Row],[Tiempo
(Hrs 00/100)]],"cumple","no cumple"),"")</f>
        <v/>
      </c>
      <c r="W4001" s="17"/>
      <c r="X4001" s="18">
        <f t="shared" si="252"/>
        <v>0</v>
      </c>
      <c r="Y4001" t="str">
        <f>SUBSTITUTE(Tabla1[[#This Row],[Descripción]],CHAR(10),"    I    ")</f>
        <v/>
      </c>
      <c r="Z4001" s="112" t="e">
        <f>VLOOKUP(Tabla1[[#This Row],[Perfil]],Catalogos!$B$75:$D$100,3,FALSE)*Tabla1[[#This Row],[Tiempo
(Hrs 00/100)]]*1.16</f>
        <v>#N/A</v>
      </c>
    </row>
    <row r="4002" spans="1:26" ht="30" customHeight="1" x14ac:dyDescent="0.3">
      <c r="A4002" s="106"/>
      <c r="B4002" s="106"/>
      <c r="C4002" s="106"/>
      <c r="D4002" s="106"/>
      <c r="E4002" s="106"/>
      <c r="F4002" s="106"/>
      <c r="G4002" s="106"/>
      <c r="H4002" s="107"/>
      <c r="I4002" s="95"/>
      <c r="J4002" s="706"/>
      <c r="K4002" s="769"/>
      <c r="L4002" s="706"/>
      <c r="M4002" s="781"/>
      <c r="N4002" s="182"/>
      <c r="O4002" s="188"/>
      <c r="P4002" s="221"/>
      <c r="Q4002" s="106"/>
      <c r="R4002" s="108"/>
      <c r="S4002" s="108"/>
      <c r="T4002" s="108"/>
      <c r="U4002" s="108" t="str">
        <f>IFERROR(VLOOKUP(CONCATENATE(Tabla1[[#This Row],[Severidad]]," ",Tabla1[[#This Row],[Complejidad]]),Catalogos!E$120:G$128,3,FALSE),"")</f>
        <v/>
      </c>
      <c r="V4002" s="108" t="str">
        <f>IF(Tabla1[[#This Row],[Tiempo solución max (hrs)]]&lt;&gt;"",IF(Tabla1[[#This Row],[Tiempo solución max (hrs)]]&gt;=Tabla1[[#This Row],[Tiempo
(Hrs 00/100)]],"cumple","no cumple"),"")</f>
        <v/>
      </c>
      <c r="W4002" s="17"/>
      <c r="X4002" s="18">
        <f t="shared" si="252"/>
        <v>0</v>
      </c>
      <c r="Y4002" t="str">
        <f>SUBSTITUTE(Tabla1[[#This Row],[Descripción]],CHAR(10),"    I    ")</f>
        <v/>
      </c>
      <c r="Z4002" s="112" t="e">
        <f>VLOOKUP(Tabla1[[#This Row],[Perfil]],Catalogos!$B$75:$D$100,3,FALSE)*Tabla1[[#This Row],[Tiempo
(Hrs 00/100)]]*1.16</f>
        <v>#N/A</v>
      </c>
    </row>
    <row r="4003" spans="1:26" ht="30" customHeight="1" x14ac:dyDescent="0.3">
      <c r="A4003" s="106"/>
      <c r="B4003" s="106"/>
      <c r="C4003" s="106"/>
      <c r="D4003" s="106"/>
      <c r="E4003" s="106"/>
      <c r="F4003" s="106"/>
      <c r="G4003" s="106"/>
      <c r="H4003" s="107"/>
      <c r="I4003" s="95"/>
      <c r="J4003" s="706"/>
      <c r="K4003" s="769"/>
      <c r="L4003" s="706"/>
      <c r="M4003" s="781"/>
      <c r="N4003" s="182"/>
      <c r="O4003" s="188"/>
      <c r="P4003" s="221"/>
      <c r="Q4003" s="106"/>
      <c r="R4003" s="108"/>
      <c r="S4003" s="108"/>
      <c r="T4003" s="108"/>
      <c r="U4003" s="108" t="str">
        <f>IFERROR(VLOOKUP(CONCATENATE(Tabla1[[#This Row],[Severidad]]," ",Tabla1[[#This Row],[Complejidad]]),Catalogos!E$120:G$128,3,FALSE),"")</f>
        <v/>
      </c>
      <c r="V4003" s="108" t="str">
        <f>IF(Tabla1[[#This Row],[Tiempo solución max (hrs)]]&lt;&gt;"",IF(Tabla1[[#This Row],[Tiempo solución max (hrs)]]&gt;=Tabla1[[#This Row],[Tiempo
(Hrs 00/100)]],"cumple","no cumple"),"")</f>
        <v/>
      </c>
      <c r="W4003" s="17"/>
      <c r="X4003" s="18">
        <f t="shared" si="252"/>
        <v>0</v>
      </c>
      <c r="Y4003" t="str">
        <f>SUBSTITUTE(Tabla1[[#This Row],[Descripción]],CHAR(10),"    I    ")</f>
        <v/>
      </c>
      <c r="Z4003" s="112" t="e">
        <f>VLOOKUP(Tabla1[[#This Row],[Perfil]],Catalogos!$B$75:$D$100,3,FALSE)*Tabla1[[#This Row],[Tiempo
(Hrs 00/100)]]*1.16</f>
        <v>#N/A</v>
      </c>
    </row>
    <row r="4004" spans="1:26" ht="30" customHeight="1" x14ac:dyDescent="0.3">
      <c r="A4004" s="106"/>
      <c r="B4004" s="106"/>
      <c r="C4004" s="106"/>
      <c r="D4004" s="106"/>
      <c r="E4004" s="106"/>
      <c r="F4004" s="106"/>
      <c r="G4004" s="106"/>
      <c r="H4004" s="107"/>
      <c r="I4004" s="95"/>
      <c r="J4004" s="706"/>
      <c r="K4004" s="769"/>
      <c r="L4004" s="706"/>
      <c r="M4004" s="781"/>
      <c r="N4004" s="182"/>
      <c r="O4004" s="188"/>
      <c r="P4004" s="221"/>
      <c r="Q4004" s="106"/>
      <c r="R4004" s="108"/>
      <c r="S4004" s="108"/>
      <c r="T4004" s="108"/>
      <c r="U4004" s="108" t="str">
        <f>IFERROR(VLOOKUP(CONCATENATE(Tabla1[[#This Row],[Severidad]]," ",Tabla1[[#This Row],[Complejidad]]),Catalogos!E$120:G$128,3,FALSE),"")</f>
        <v/>
      </c>
      <c r="V4004" s="108" t="str">
        <f>IF(Tabla1[[#This Row],[Tiempo solución max (hrs)]]&lt;&gt;"",IF(Tabla1[[#This Row],[Tiempo solución max (hrs)]]&gt;=Tabla1[[#This Row],[Tiempo
(Hrs 00/100)]],"cumple","no cumple"),"")</f>
        <v/>
      </c>
      <c r="W4004" s="17"/>
      <c r="X4004" s="18">
        <f t="shared" si="252"/>
        <v>0</v>
      </c>
      <c r="Y4004" t="str">
        <f>SUBSTITUTE(Tabla1[[#This Row],[Descripción]],CHAR(10),"    I    ")</f>
        <v/>
      </c>
      <c r="Z4004" s="112" t="e">
        <f>VLOOKUP(Tabla1[[#This Row],[Perfil]],Catalogos!$B$75:$D$100,3,FALSE)*Tabla1[[#This Row],[Tiempo
(Hrs 00/100)]]*1.16</f>
        <v>#N/A</v>
      </c>
    </row>
    <row r="4005" spans="1:26" ht="30" customHeight="1" x14ac:dyDescent="0.3">
      <c r="A4005" s="106"/>
      <c r="B4005" s="106"/>
      <c r="C4005" s="106"/>
      <c r="D4005" s="106"/>
      <c r="E4005" s="106"/>
      <c r="F4005" s="106"/>
      <c r="G4005" s="106"/>
      <c r="H4005" s="107"/>
      <c r="I4005" s="95"/>
      <c r="J4005" s="706"/>
      <c r="K4005" s="769"/>
      <c r="L4005" s="706"/>
      <c r="M4005" s="781"/>
      <c r="N4005" s="182"/>
      <c r="O4005" s="188"/>
      <c r="P4005" s="221"/>
      <c r="Q4005" s="106"/>
      <c r="R4005" s="108"/>
      <c r="S4005" s="108"/>
      <c r="T4005" s="108"/>
      <c r="U4005" s="108" t="str">
        <f>IFERROR(VLOOKUP(CONCATENATE(Tabla1[[#This Row],[Severidad]]," ",Tabla1[[#This Row],[Complejidad]]),Catalogos!E$120:G$128,3,FALSE),"")</f>
        <v/>
      </c>
      <c r="V4005" s="108" t="str">
        <f>IF(Tabla1[[#This Row],[Tiempo solución max (hrs)]]&lt;&gt;"",IF(Tabla1[[#This Row],[Tiempo solución max (hrs)]]&gt;=Tabla1[[#This Row],[Tiempo
(Hrs 00/100)]],"cumple","no cumple"),"")</f>
        <v/>
      </c>
      <c r="W4005" s="17"/>
      <c r="X4005" s="18">
        <f t="shared" si="252"/>
        <v>0</v>
      </c>
      <c r="Y4005" t="str">
        <f>SUBSTITUTE(Tabla1[[#This Row],[Descripción]],CHAR(10),"    I    ")</f>
        <v/>
      </c>
      <c r="Z4005" s="112" t="e">
        <f>VLOOKUP(Tabla1[[#This Row],[Perfil]],Catalogos!$B$75:$D$100,3,FALSE)*Tabla1[[#This Row],[Tiempo
(Hrs 00/100)]]*1.16</f>
        <v>#N/A</v>
      </c>
    </row>
    <row r="4006" spans="1:26" ht="30" customHeight="1" x14ac:dyDescent="0.3">
      <c r="A4006" s="106"/>
      <c r="B4006" s="106"/>
      <c r="C4006" s="106"/>
      <c r="D4006" s="106"/>
      <c r="E4006" s="106"/>
      <c r="F4006" s="106"/>
      <c r="G4006" s="106"/>
      <c r="H4006" s="107"/>
      <c r="I4006" s="95"/>
      <c r="J4006" s="706"/>
      <c r="K4006" s="769"/>
      <c r="L4006" s="706"/>
      <c r="M4006" s="781"/>
      <c r="N4006" s="182"/>
      <c r="O4006" s="188"/>
      <c r="P4006" s="221"/>
      <c r="Q4006" s="106"/>
      <c r="R4006" s="108"/>
      <c r="S4006" s="108"/>
      <c r="T4006" s="108"/>
      <c r="U4006" s="108" t="str">
        <f>IFERROR(VLOOKUP(CONCATENATE(Tabla1[[#This Row],[Severidad]]," ",Tabla1[[#This Row],[Complejidad]]),Catalogos!E$120:G$128,3,FALSE),"")</f>
        <v/>
      </c>
      <c r="V4006" s="108" t="str">
        <f>IF(Tabla1[[#This Row],[Tiempo solución max (hrs)]]&lt;&gt;"",IF(Tabla1[[#This Row],[Tiempo solución max (hrs)]]&gt;=Tabla1[[#This Row],[Tiempo
(Hrs 00/100)]],"cumple","no cumple"),"")</f>
        <v/>
      </c>
      <c r="W4006" s="17"/>
      <c r="X4006" s="18">
        <f t="shared" si="252"/>
        <v>0</v>
      </c>
      <c r="Y4006" t="str">
        <f>SUBSTITUTE(Tabla1[[#This Row],[Descripción]],CHAR(10),"    I    ")</f>
        <v/>
      </c>
      <c r="Z4006" s="112" t="e">
        <f>VLOOKUP(Tabla1[[#This Row],[Perfil]],Catalogos!$B$75:$D$100,3,FALSE)*Tabla1[[#This Row],[Tiempo
(Hrs 00/100)]]*1.16</f>
        <v>#N/A</v>
      </c>
    </row>
    <row r="4007" spans="1:26" ht="30" customHeight="1" x14ac:dyDescent="0.3">
      <c r="A4007" s="106"/>
      <c r="B4007" s="106"/>
      <c r="C4007" s="106"/>
      <c r="D4007" s="106"/>
      <c r="E4007" s="106"/>
      <c r="F4007" s="106"/>
      <c r="G4007" s="106"/>
      <c r="H4007" s="107"/>
      <c r="I4007" s="95"/>
      <c r="J4007" s="706"/>
      <c r="K4007" s="769"/>
      <c r="L4007" s="706"/>
      <c r="M4007" s="781"/>
      <c r="N4007" s="182"/>
      <c r="O4007" s="188"/>
      <c r="P4007" s="221"/>
      <c r="Q4007" s="106"/>
      <c r="R4007" s="108"/>
      <c r="S4007" s="108"/>
      <c r="T4007" s="108"/>
      <c r="U4007" s="108" t="str">
        <f>IFERROR(VLOOKUP(CONCATENATE(Tabla1[[#This Row],[Severidad]]," ",Tabla1[[#This Row],[Complejidad]]),Catalogos!E$120:G$128,3,FALSE),"")</f>
        <v/>
      </c>
      <c r="V4007" s="108" t="str">
        <f>IF(Tabla1[[#This Row],[Tiempo solución max (hrs)]]&lt;&gt;"",IF(Tabla1[[#This Row],[Tiempo solución max (hrs)]]&gt;=Tabla1[[#This Row],[Tiempo
(Hrs 00/100)]],"cumple","no cumple"),"")</f>
        <v/>
      </c>
      <c r="W4007" s="17"/>
      <c r="X4007" s="18">
        <f t="shared" si="252"/>
        <v>0</v>
      </c>
      <c r="Y4007" t="str">
        <f>SUBSTITUTE(Tabla1[[#This Row],[Descripción]],CHAR(10),"    I    ")</f>
        <v/>
      </c>
      <c r="Z4007" s="112" t="e">
        <f>VLOOKUP(Tabla1[[#This Row],[Perfil]],Catalogos!$B$75:$D$100,3,FALSE)*Tabla1[[#This Row],[Tiempo
(Hrs 00/100)]]*1.16</f>
        <v>#N/A</v>
      </c>
    </row>
    <row r="4008" spans="1:26" ht="30" customHeight="1" x14ac:dyDescent="0.3">
      <c r="A4008" s="106"/>
      <c r="B4008" s="106"/>
      <c r="C4008" s="106"/>
      <c r="D4008" s="106"/>
      <c r="E4008" s="106"/>
      <c r="F4008" s="106"/>
      <c r="G4008" s="106"/>
      <c r="H4008" s="107"/>
      <c r="I4008" s="95"/>
      <c r="J4008" s="706"/>
      <c r="K4008" s="769"/>
      <c r="L4008" s="706"/>
      <c r="M4008" s="781"/>
      <c r="N4008" s="182"/>
      <c r="O4008" s="188"/>
      <c r="P4008" s="221"/>
      <c r="Q4008" s="106"/>
      <c r="R4008" s="108"/>
      <c r="S4008" s="108"/>
      <c r="T4008" s="108"/>
      <c r="U4008" s="108" t="str">
        <f>IFERROR(VLOOKUP(CONCATENATE(Tabla1[[#This Row],[Severidad]]," ",Tabla1[[#This Row],[Complejidad]]),Catalogos!E$120:G$128,3,FALSE),"")</f>
        <v/>
      </c>
      <c r="V4008" s="108" t="str">
        <f>IF(Tabla1[[#This Row],[Tiempo solución max (hrs)]]&lt;&gt;"",IF(Tabla1[[#This Row],[Tiempo solución max (hrs)]]&gt;=Tabla1[[#This Row],[Tiempo
(Hrs 00/100)]],"cumple","no cumple"),"")</f>
        <v/>
      </c>
      <c r="W4008" s="17"/>
      <c r="X4008" s="18">
        <f t="shared" si="252"/>
        <v>0</v>
      </c>
      <c r="Y4008" t="str">
        <f>SUBSTITUTE(Tabla1[[#This Row],[Descripción]],CHAR(10),"    I    ")</f>
        <v/>
      </c>
      <c r="Z4008" s="112" t="e">
        <f>VLOOKUP(Tabla1[[#This Row],[Perfil]],Catalogos!$B$75:$D$100,3,FALSE)*Tabla1[[#This Row],[Tiempo
(Hrs 00/100)]]*1.16</f>
        <v>#N/A</v>
      </c>
    </row>
    <row r="4009" spans="1:26" ht="30" customHeight="1" x14ac:dyDescent="0.3">
      <c r="A4009" s="106"/>
      <c r="B4009" s="106"/>
      <c r="C4009" s="106"/>
      <c r="D4009" s="106"/>
      <c r="E4009" s="106"/>
      <c r="F4009" s="106"/>
      <c r="G4009" s="106"/>
      <c r="H4009" s="107"/>
      <c r="I4009" s="95"/>
      <c r="J4009" s="706"/>
      <c r="K4009" s="769"/>
      <c r="L4009" s="706"/>
      <c r="M4009" s="781"/>
      <c r="N4009" s="182"/>
      <c r="O4009" s="188"/>
      <c r="P4009" s="221"/>
      <c r="Q4009" s="106"/>
      <c r="R4009" s="108"/>
      <c r="S4009" s="108"/>
      <c r="T4009" s="108"/>
      <c r="U4009" s="108" t="str">
        <f>IFERROR(VLOOKUP(CONCATENATE(Tabla1[[#This Row],[Severidad]]," ",Tabla1[[#This Row],[Complejidad]]),Catalogos!E$120:G$128,3,FALSE),"")</f>
        <v/>
      </c>
      <c r="V4009" s="108" t="str">
        <f>IF(Tabla1[[#This Row],[Tiempo solución max (hrs)]]&lt;&gt;"",IF(Tabla1[[#This Row],[Tiempo solución max (hrs)]]&gt;=Tabla1[[#This Row],[Tiempo
(Hrs 00/100)]],"cumple","no cumple"),"")</f>
        <v/>
      </c>
      <c r="W4009" s="17"/>
      <c r="X4009" s="18">
        <f t="shared" si="252"/>
        <v>0</v>
      </c>
      <c r="Y4009" t="str">
        <f>SUBSTITUTE(Tabla1[[#This Row],[Descripción]],CHAR(10),"    I    ")</f>
        <v/>
      </c>
      <c r="Z4009" s="112" t="e">
        <f>VLOOKUP(Tabla1[[#This Row],[Perfil]],Catalogos!$B$75:$D$100,3,FALSE)*Tabla1[[#This Row],[Tiempo
(Hrs 00/100)]]*1.16</f>
        <v>#N/A</v>
      </c>
    </row>
    <row r="4010" spans="1:26" ht="30" customHeight="1" x14ac:dyDescent="0.3">
      <c r="A4010" s="106"/>
      <c r="B4010" s="106"/>
      <c r="C4010" s="106"/>
      <c r="D4010" s="106"/>
      <c r="E4010" s="106"/>
      <c r="F4010" s="106"/>
      <c r="G4010" s="106"/>
      <c r="H4010" s="107"/>
      <c r="I4010" s="95"/>
      <c r="J4010" s="706"/>
      <c r="K4010" s="769"/>
      <c r="L4010" s="706"/>
      <c r="M4010" s="781"/>
      <c r="N4010" s="182"/>
      <c r="O4010" s="188"/>
      <c r="P4010" s="221"/>
      <c r="Q4010" s="106"/>
      <c r="R4010" s="108"/>
      <c r="S4010" s="108"/>
      <c r="T4010" s="108"/>
      <c r="U4010" s="108" t="str">
        <f>IFERROR(VLOOKUP(CONCATENATE(Tabla1[[#This Row],[Severidad]]," ",Tabla1[[#This Row],[Complejidad]]),Catalogos!E$120:G$128,3,FALSE),"")</f>
        <v/>
      </c>
      <c r="V4010" s="108" t="str">
        <f>IF(Tabla1[[#This Row],[Tiempo solución max (hrs)]]&lt;&gt;"",IF(Tabla1[[#This Row],[Tiempo solución max (hrs)]]&gt;=Tabla1[[#This Row],[Tiempo
(Hrs 00/100)]],"cumple","no cumple"),"")</f>
        <v/>
      </c>
      <c r="W4010" s="17"/>
      <c r="X4010" s="18">
        <f t="shared" si="252"/>
        <v>0</v>
      </c>
      <c r="Y4010" t="str">
        <f>SUBSTITUTE(Tabla1[[#This Row],[Descripción]],CHAR(10),"    I    ")</f>
        <v/>
      </c>
      <c r="Z4010" s="112" t="e">
        <f>VLOOKUP(Tabla1[[#This Row],[Perfil]],Catalogos!$B$75:$D$100,3,FALSE)*Tabla1[[#This Row],[Tiempo
(Hrs 00/100)]]*1.16</f>
        <v>#N/A</v>
      </c>
    </row>
    <row r="4011" spans="1:26" ht="30" customHeight="1" x14ac:dyDescent="0.3">
      <c r="A4011" s="106"/>
      <c r="B4011" s="106"/>
      <c r="C4011" s="106"/>
      <c r="D4011" s="106"/>
      <c r="E4011" s="106"/>
      <c r="F4011" s="106"/>
      <c r="G4011" s="106"/>
      <c r="H4011" s="107"/>
      <c r="I4011" s="95"/>
      <c r="J4011" s="706"/>
      <c r="K4011" s="769"/>
      <c r="L4011" s="706"/>
      <c r="M4011" s="781"/>
      <c r="N4011" s="182"/>
      <c r="O4011" s="188"/>
      <c r="P4011" s="221"/>
      <c r="Q4011" s="106"/>
      <c r="R4011" s="108"/>
      <c r="S4011" s="108"/>
      <c r="T4011" s="108"/>
      <c r="U4011" s="108" t="str">
        <f>IFERROR(VLOOKUP(CONCATENATE(Tabla1[[#This Row],[Severidad]]," ",Tabla1[[#This Row],[Complejidad]]),Catalogos!E$120:G$128,3,FALSE),"")</f>
        <v/>
      </c>
      <c r="V4011" s="108" t="str">
        <f>IF(Tabla1[[#This Row],[Tiempo solución max (hrs)]]&lt;&gt;"",IF(Tabla1[[#This Row],[Tiempo solución max (hrs)]]&gt;=Tabla1[[#This Row],[Tiempo
(Hrs 00/100)]],"cumple","no cumple"),"")</f>
        <v/>
      </c>
      <c r="W4011" s="17"/>
      <c r="X4011" s="18">
        <f t="shared" si="252"/>
        <v>0</v>
      </c>
      <c r="Y4011" t="str">
        <f>SUBSTITUTE(Tabla1[[#This Row],[Descripción]],CHAR(10),"    I    ")</f>
        <v/>
      </c>
      <c r="Z4011" s="112" t="e">
        <f>VLOOKUP(Tabla1[[#This Row],[Perfil]],Catalogos!$B$75:$D$100,3,FALSE)*Tabla1[[#This Row],[Tiempo
(Hrs 00/100)]]*1.16</f>
        <v>#N/A</v>
      </c>
    </row>
    <row r="4012" spans="1:26" ht="30" customHeight="1" x14ac:dyDescent="0.3">
      <c r="A4012" s="106"/>
      <c r="B4012" s="106"/>
      <c r="C4012" s="106"/>
      <c r="D4012" s="106"/>
      <c r="E4012" s="106"/>
      <c r="F4012" s="106"/>
      <c r="G4012" s="106"/>
      <c r="H4012" s="107"/>
      <c r="I4012" s="95"/>
      <c r="J4012" s="706"/>
      <c r="K4012" s="769"/>
      <c r="L4012" s="706"/>
      <c r="M4012" s="781"/>
      <c r="N4012" s="182"/>
      <c r="O4012" s="188"/>
      <c r="P4012" s="221"/>
      <c r="Q4012" s="106"/>
      <c r="R4012" s="108"/>
      <c r="S4012" s="108"/>
      <c r="T4012" s="108"/>
      <c r="U4012" s="108" t="str">
        <f>IFERROR(VLOOKUP(CONCATENATE(Tabla1[[#This Row],[Severidad]]," ",Tabla1[[#This Row],[Complejidad]]),Catalogos!E$120:G$128,3,FALSE),"")</f>
        <v/>
      </c>
      <c r="V4012" s="108" t="str">
        <f>IF(Tabla1[[#This Row],[Tiempo solución max (hrs)]]&lt;&gt;"",IF(Tabla1[[#This Row],[Tiempo solución max (hrs)]]&gt;=Tabla1[[#This Row],[Tiempo
(Hrs 00/100)]],"cumple","no cumple"),"")</f>
        <v/>
      </c>
      <c r="W4012" s="17"/>
      <c r="X4012" s="18">
        <f t="shared" si="252"/>
        <v>0</v>
      </c>
      <c r="Y4012" t="str">
        <f>SUBSTITUTE(Tabla1[[#This Row],[Descripción]],CHAR(10),"    I    ")</f>
        <v/>
      </c>
      <c r="Z4012" s="112" t="e">
        <f>VLOOKUP(Tabla1[[#This Row],[Perfil]],Catalogos!$B$75:$D$100,3,FALSE)*Tabla1[[#This Row],[Tiempo
(Hrs 00/100)]]*1.16</f>
        <v>#N/A</v>
      </c>
    </row>
    <row r="4013" spans="1:26" ht="30" customHeight="1" x14ac:dyDescent="0.3">
      <c r="A4013" s="106"/>
      <c r="B4013" s="106"/>
      <c r="C4013" s="106"/>
      <c r="D4013" s="106"/>
      <c r="E4013" s="106"/>
      <c r="F4013" s="106"/>
      <c r="G4013" s="106"/>
      <c r="H4013" s="107"/>
      <c r="I4013" s="95"/>
      <c r="J4013" s="706"/>
      <c r="K4013" s="769"/>
      <c r="L4013" s="706"/>
      <c r="M4013" s="781"/>
      <c r="N4013" s="182"/>
      <c r="O4013" s="188"/>
      <c r="P4013" s="221"/>
      <c r="Q4013" s="106"/>
      <c r="R4013" s="108"/>
      <c r="S4013" s="108"/>
      <c r="T4013" s="108"/>
      <c r="U4013" s="108" t="str">
        <f>IFERROR(VLOOKUP(CONCATENATE(Tabla1[[#This Row],[Severidad]]," ",Tabla1[[#This Row],[Complejidad]]),Catalogos!E$120:G$128,3,FALSE),"")</f>
        <v/>
      </c>
      <c r="V4013" s="108" t="str">
        <f>IF(Tabla1[[#This Row],[Tiempo solución max (hrs)]]&lt;&gt;"",IF(Tabla1[[#This Row],[Tiempo solución max (hrs)]]&gt;=Tabla1[[#This Row],[Tiempo
(Hrs 00/100)]],"cumple","no cumple"),"")</f>
        <v/>
      </c>
      <c r="W4013" s="17"/>
      <c r="X4013" s="18">
        <f t="shared" si="252"/>
        <v>0</v>
      </c>
      <c r="Y4013" t="str">
        <f>SUBSTITUTE(Tabla1[[#This Row],[Descripción]],CHAR(10),"    I    ")</f>
        <v/>
      </c>
      <c r="Z4013" s="112" t="e">
        <f>VLOOKUP(Tabla1[[#This Row],[Perfil]],Catalogos!$B$75:$D$100,3,FALSE)*Tabla1[[#This Row],[Tiempo
(Hrs 00/100)]]*1.16</f>
        <v>#N/A</v>
      </c>
    </row>
    <row r="4014" spans="1:26" ht="30" customHeight="1" x14ac:dyDescent="0.3">
      <c r="A4014" s="106"/>
      <c r="B4014" s="106"/>
      <c r="C4014" s="106"/>
      <c r="D4014" s="106"/>
      <c r="E4014" s="106"/>
      <c r="F4014" s="106"/>
      <c r="G4014" s="106"/>
      <c r="H4014" s="107"/>
      <c r="I4014" s="95"/>
      <c r="J4014" s="706"/>
      <c r="K4014" s="769"/>
      <c r="L4014" s="706"/>
      <c r="M4014" s="781"/>
      <c r="N4014" s="182"/>
      <c r="O4014" s="188"/>
      <c r="P4014" s="221"/>
      <c r="Q4014" s="106"/>
      <c r="R4014" s="108"/>
      <c r="S4014" s="108"/>
      <c r="T4014" s="108"/>
      <c r="U4014" s="108" t="str">
        <f>IFERROR(VLOOKUP(CONCATENATE(Tabla1[[#This Row],[Severidad]]," ",Tabla1[[#This Row],[Complejidad]]),Catalogos!E$120:G$128,3,FALSE),"")</f>
        <v/>
      </c>
      <c r="V4014" s="108" t="str">
        <f>IF(Tabla1[[#This Row],[Tiempo solución max (hrs)]]&lt;&gt;"",IF(Tabla1[[#This Row],[Tiempo solución max (hrs)]]&gt;=Tabla1[[#This Row],[Tiempo
(Hrs 00/100)]],"cumple","no cumple"),"")</f>
        <v/>
      </c>
      <c r="W4014" s="17"/>
      <c r="X4014" s="18">
        <f t="shared" si="252"/>
        <v>0</v>
      </c>
      <c r="Y4014" t="str">
        <f>SUBSTITUTE(Tabla1[[#This Row],[Descripción]],CHAR(10),"    I    ")</f>
        <v/>
      </c>
      <c r="Z4014" s="112" t="e">
        <f>VLOOKUP(Tabla1[[#This Row],[Perfil]],Catalogos!$B$75:$D$100,3,FALSE)*Tabla1[[#This Row],[Tiempo
(Hrs 00/100)]]*1.16</f>
        <v>#N/A</v>
      </c>
    </row>
    <row r="4015" spans="1:26" ht="30" customHeight="1" x14ac:dyDescent="0.3">
      <c r="A4015" s="106"/>
      <c r="B4015" s="106"/>
      <c r="C4015" s="106"/>
      <c r="D4015" s="106"/>
      <c r="E4015" s="106"/>
      <c r="F4015" s="106"/>
      <c r="G4015" s="106"/>
      <c r="H4015" s="107"/>
      <c r="I4015" s="95"/>
      <c r="J4015" s="706"/>
      <c r="K4015" s="769"/>
      <c r="L4015" s="706"/>
      <c r="M4015" s="781"/>
      <c r="N4015" s="182"/>
      <c r="O4015" s="188"/>
      <c r="P4015" s="221"/>
      <c r="Q4015" s="106"/>
      <c r="R4015" s="108"/>
      <c r="S4015" s="108"/>
      <c r="T4015" s="108"/>
      <c r="U4015" s="108" t="str">
        <f>IFERROR(VLOOKUP(CONCATENATE(Tabla1[[#This Row],[Severidad]]," ",Tabla1[[#This Row],[Complejidad]]),Catalogos!E$120:G$128,3,FALSE),"")</f>
        <v/>
      </c>
      <c r="V4015" s="108" t="str">
        <f>IF(Tabla1[[#This Row],[Tiempo solución max (hrs)]]&lt;&gt;"",IF(Tabla1[[#This Row],[Tiempo solución max (hrs)]]&gt;=Tabla1[[#This Row],[Tiempo
(Hrs 00/100)]],"cumple","no cumple"),"")</f>
        <v/>
      </c>
      <c r="W4015" s="17"/>
      <c r="X4015" s="18">
        <f t="shared" si="252"/>
        <v>0</v>
      </c>
      <c r="Y4015" t="str">
        <f>SUBSTITUTE(Tabla1[[#This Row],[Descripción]],CHAR(10),"    I    ")</f>
        <v/>
      </c>
      <c r="Z4015" s="112" t="e">
        <f>VLOOKUP(Tabla1[[#This Row],[Perfil]],Catalogos!$B$75:$D$100,3,FALSE)*Tabla1[[#This Row],[Tiempo
(Hrs 00/100)]]*1.16</f>
        <v>#N/A</v>
      </c>
    </row>
    <row r="4016" spans="1:26" ht="30" customHeight="1" x14ac:dyDescent="0.3">
      <c r="A4016" s="106"/>
      <c r="B4016" s="106"/>
      <c r="C4016" s="106"/>
      <c r="D4016" s="106"/>
      <c r="E4016" s="106"/>
      <c r="F4016" s="106"/>
      <c r="G4016" s="106"/>
      <c r="H4016" s="107"/>
      <c r="I4016" s="95"/>
      <c r="J4016" s="706"/>
      <c r="K4016" s="769"/>
      <c r="L4016" s="706"/>
      <c r="M4016" s="781"/>
      <c r="N4016" s="182"/>
      <c r="O4016" s="188"/>
      <c r="P4016" s="221"/>
      <c r="Q4016" s="106"/>
      <c r="R4016" s="108"/>
      <c r="S4016" s="108"/>
      <c r="T4016" s="108"/>
      <c r="U4016" s="108" t="str">
        <f>IFERROR(VLOOKUP(CONCATENATE(Tabla1[[#This Row],[Severidad]]," ",Tabla1[[#This Row],[Complejidad]]),Catalogos!E$120:G$128,3,FALSE),"")</f>
        <v/>
      </c>
      <c r="V4016" s="108" t="str">
        <f>IF(Tabla1[[#This Row],[Tiempo solución max (hrs)]]&lt;&gt;"",IF(Tabla1[[#This Row],[Tiempo solución max (hrs)]]&gt;=Tabla1[[#This Row],[Tiempo
(Hrs 00/100)]],"cumple","no cumple"),"")</f>
        <v/>
      </c>
      <c r="W4016" s="17"/>
      <c r="X4016" s="18">
        <f t="shared" si="252"/>
        <v>0</v>
      </c>
      <c r="Y4016" t="str">
        <f>SUBSTITUTE(Tabla1[[#This Row],[Descripción]],CHAR(10),"    I    ")</f>
        <v/>
      </c>
      <c r="Z4016" s="112" t="e">
        <f>VLOOKUP(Tabla1[[#This Row],[Perfil]],Catalogos!$B$75:$D$100,3,FALSE)*Tabla1[[#This Row],[Tiempo
(Hrs 00/100)]]*1.16</f>
        <v>#N/A</v>
      </c>
    </row>
    <row r="4017" spans="1:26" ht="30" customHeight="1" x14ac:dyDescent="0.3">
      <c r="A4017" s="106"/>
      <c r="B4017" s="106"/>
      <c r="C4017" s="106"/>
      <c r="D4017" s="106"/>
      <c r="E4017" s="106"/>
      <c r="F4017" s="106"/>
      <c r="G4017" s="106"/>
      <c r="H4017" s="107"/>
      <c r="I4017" s="95"/>
      <c r="J4017" s="706"/>
      <c r="K4017" s="769"/>
      <c r="L4017" s="706"/>
      <c r="M4017" s="781"/>
      <c r="N4017" s="182"/>
      <c r="O4017" s="188"/>
      <c r="P4017" s="221"/>
      <c r="Q4017" s="106"/>
      <c r="R4017" s="108"/>
      <c r="S4017" s="108"/>
      <c r="T4017" s="108"/>
      <c r="U4017" s="108" t="str">
        <f>IFERROR(VLOOKUP(CONCATENATE(Tabla1[[#This Row],[Severidad]]," ",Tabla1[[#This Row],[Complejidad]]),Catalogos!E$120:G$128,3,FALSE),"")</f>
        <v/>
      </c>
      <c r="V4017" s="108" t="str">
        <f>IF(Tabla1[[#This Row],[Tiempo solución max (hrs)]]&lt;&gt;"",IF(Tabla1[[#This Row],[Tiempo solución max (hrs)]]&gt;=Tabla1[[#This Row],[Tiempo
(Hrs 00/100)]],"cumple","no cumple"),"")</f>
        <v/>
      </c>
      <c r="W4017" s="17"/>
      <c r="X4017" s="18">
        <f t="shared" si="252"/>
        <v>0</v>
      </c>
      <c r="Y4017" t="str">
        <f>SUBSTITUTE(Tabla1[[#This Row],[Descripción]],CHAR(10),"    I    ")</f>
        <v/>
      </c>
      <c r="Z4017" s="112" t="e">
        <f>VLOOKUP(Tabla1[[#This Row],[Perfil]],Catalogos!$B$75:$D$100,3,FALSE)*Tabla1[[#This Row],[Tiempo
(Hrs 00/100)]]*1.16</f>
        <v>#N/A</v>
      </c>
    </row>
    <row r="4018" spans="1:26" ht="30" customHeight="1" x14ac:dyDescent="0.3">
      <c r="A4018" s="106"/>
      <c r="B4018" s="106"/>
      <c r="C4018" s="106"/>
      <c r="D4018" s="106"/>
      <c r="E4018" s="106"/>
      <c r="F4018" s="106"/>
      <c r="G4018" s="106"/>
      <c r="H4018" s="107"/>
      <c r="I4018" s="95"/>
      <c r="J4018" s="706"/>
      <c r="K4018" s="769"/>
      <c r="L4018" s="706"/>
      <c r="M4018" s="781"/>
      <c r="N4018" s="182"/>
      <c r="O4018" s="188"/>
      <c r="P4018" s="221"/>
      <c r="Q4018" s="106"/>
      <c r="R4018" s="108"/>
      <c r="S4018" s="108"/>
      <c r="T4018" s="108"/>
      <c r="U4018" s="108" t="str">
        <f>IFERROR(VLOOKUP(CONCATENATE(Tabla1[[#This Row],[Severidad]]," ",Tabla1[[#This Row],[Complejidad]]),Catalogos!E$120:G$128,3,FALSE),"")</f>
        <v/>
      </c>
      <c r="V4018" s="108" t="str">
        <f>IF(Tabla1[[#This Row],[Tiempo solución max (hrs)]]&lt;&gt;"",IF(Tabla1[[#This Row],[Tiempo solución max (hrs)]]&gt;=Tabla1[[#This Row],[Tiempo
(Hrs 00/100)]],"cumple","no cumple"),"")</f>
        <v/>
      </c>
      <c r="W4018" s="17"/>
      <c r="X4018" s="18">
        <f t="shared" si="252"/>
        <v>0</v>
      </c>
      <c r="Y4018" t="str">
        <f>SUBSTITUTE(Tabla1[[#This Row],[Descripción]],CHAR(10),"    I    ")</f>
        <v/>
      </c>
      <c r="Z4018" s="112" t="e">
        <f>VLOOKUP(Tabla1[[#This Row],[Perfil]],Catalogos!$B$75:$D$100,3,FALSE)*Tabla1[[#This Row],[Tiempo
(Hrs 00/100)]]*1.16</f>
        <v>#N/A</v>
      </c>
    </row>
    <row r="4019" spans="1:26" ht="30" customHeight="1" x14ac:dyDescent="0.3">
      <c r="A4019" s="106"/>
      <c r="B4019" s="106"/>
      <c r="C4019" s="106"/>
      <c r="D4019" s="106"/>
      <c r="E4019" s="106"/>
      <c r="F4019" s="106"/>
      <c r="G4019" s="106"/>
      <c r="H4019" s="107"/>
      <c r="I4019" s="95"/>
      <c r="J4019" s="706"/>
      <c r="K4019" s="769"/>
      <c r="L4019" s="706"/>
      <c r="M4019" s="781"/>
      <c r="N4019" s="182"/>
      <c r="O4019" s="188"/>
      <c r="P4019" s="221"/>
      <c r="Q4019" s="106"/>
      <c r="R4019" s="108"/>
      <c r="S4019" s="108"/>
      <c r="T4019" s="108"/>
      <c r="U4019" s="108" t="str">
        <f>IFERROR(VLOOKUP(CONCATENATE(Tabla1[[#This Row],[Severidad]]," ",Tabla1[[#This Row],[Complejidad]]),Catalogos!E$120:G$128,3,FALSE),"")</f>
        <v/>
      </c>
      <c r="V4019" s="108" t="str">
        <f>IF(Tabla1[[#This Row],[Tiempo solución max (hrs)]]&lt;&gt;"",IF(Tabla1[[#This Row],[Tiempo solución max (hrs)]]&gt;=Tabla1[[#This Row],[Tiempo
(Hrs 00/100)]],"cumple","no cumple"),"")</f>
        <v/>
      </c>
      <c r="W4019" s="17"/>
      <c r="X4019" s="18">
        <f t="shared" si="252"/>
        <v>0</v>
      </c>
      <c r="Y4019" t="str">
        <f>SUBSTITUTE(Tabla1[[#This Row],[Descripción]],CHAR(10),"    I    ")</f>
        <v/>
      </c>
      <c r="Z4019" s="112" t="e">
        <f>VLOOKUP(Tabla1[[#This Row],[Perfil]],Catalogos!$B$75:$D$100,3,FALSE)*Tabla1[[#This Row],[Tiempo
(Hrs 00/100)]]*1.16</f>
        <v>#N/A</v>
      </c>
    </row>
    <row r="4020" spans="1:26" ht="30" customHeight="1" x14ac:dyDescent="0.3">
      <c r="A4020" s="106"/>
      <c r="B4020" s="106"/>
      <c r="C4020" s="106"/>
      <c r="D4020" s="106"/>
      <c r="E4020" s="106"/>
      <c r="F4020" s="106"/>
      <c r="G4020" s="106"/>
      <c r="H4020" s="107"/>
      <c r="I4020" s="95"/>
      <c r="J4020" s="706"/>
      <c r="K4020" s="769"/>
      <c r="L4020" s="706"/>
      <c r="M4020" s="781"/>
      <c r="N4020" s="182"/>
      <c r="O4020" s="188"/>
      <c r="P4020" s="221"/>
      <c r="Q4020" s="106"/>
      <c r="R4020" s="108"/>
      <c r="S4020" s="108"/>
      <c r="T4020" s="108"/>
      <c r="U4020" s="108" t="str">
        <f>IFERROR(VLOOKUP(CONCATENATE(Tabla1[[#This Row],[Severidad]]," ",Tabla1[[#This Row],[Complejidad]]),Catalogos!E$120:G$128,3,FALSE),"")</f>
        <v/>
      </c>
      <c r="V4020" s="108" t="str">
        <f>IF(Tabla1[[#This Row],[Tiempo solución max (hrs)]]&lt;&gt;"",IF(Tabla1[[#This Row],[Tiempo solución max (hrs)]]&gt;=Tabla1[[#This Row],[Tiempo
(Hrs 00/100)]],"cumple","no cumple"),"")</f>
        <v/>
      </c>
      <c r="W4020" s="17"/>
      <c r="X4020" s="18">
        <f t="shared" si="252"/>
        <v>0</v>
      </c>
      <c r="Y4020" t="str">
        <f>SUBSTITUTE(Tabla1[[#This Row],[Descripción]],CHAR(10),"    I    ")</f>
        <v/>
      </c>
      <c r="Z4020" s="112" t="e">
        <f>VLOOKUP(Tabla1[[#This Row],[Perfil]],Catalogos!$B$75:$D$100,3,FALSE)*Tabla1[[#This Row],[Tiempo
(Hrs 00/100)]]*1.16</f>
        <v>#N/A</v>
      </c>
    </row>
    <row r="4021" spans="1:26" ht="30" customHeight="1" x14ac:dyDescent="0.3">
      <c r="A4021" s="106"/>
      <c r="B4021" s="106"/>
      <c r="C4021" s="106"/>
      <c r="D4021" s="106"/>
      <c r="E4021" s="106"/>
      <c r="F4021" s="106"/>
      <c r="G4021" s="106"/>
      <c r="H4021" s="107"/>
      <c r="I4021" s="95"/>
      <c r="J4021" s="706"/>
      <c r="K4021" s="769"/>
      <c r="L4021" s="706"/>
      <c r="M4021" s="781"/>
      <c r="N4021" s="182"/>
      <c r="O4021" s="188"/>
      <c r="P4021" s="221"/>
      <c r="Q4021" s="106"/>
      <c r="R4021" s="108"/>
      <c r="S4021" s="108"/>
      <c r="T4021" s="108"/>
      <c r="U4021" s="108" t="str">
        <f>IFERROR(VLOOKUP(CONCATENATE(Tabla1[[#This Row],[Severidad]]," ",Tabla1[[#This Row],[Complejidad]]),Catalogos!E$120:G$128,3,FALSE),"")</f>
        <v/>
      </c>
      <c r="V4021" s="108" t="str">
        <f>IF(Tabla1[[#This Row],[Tiempo solución max (hrs)]]&lt;&gt;"",IF(Tabla1[[#This Row],[Tiempo solución max (hrs)]]&gt;=Tabla1[[#This Row],[Tiempo
(Hrs 00/100)]],"cumple","no cumple"),"")</f>
        <v/>
      </c>
      <c r="W4021" s="17"/>
      <c r="X4021" s="18">
        <f t="shared" si="252"/>
        <v>0</v>
      </c>
      <c r="Y4021" t="str">
        <f>SUBSTITUTE(Tabla1[[#This Row],[Descripción]],CHAR(10),"    I    ")</f>
        <v/>
      </c>
      <c r="Z4021" s="112" t="e">
        <f>VLOOKUP(Tabla1[[#This Row],[Perfil]],Catalogos!$B$75:$D$100,3,FALSE)*Tabla1[[#This Row],[Tiempo
(Hrs 00/100)]]*1.16</f>
        <v>#N/A</v>
      </c>
    </row>
    <row r="4022" spans="1:26" ht="30" customHeight="1" x14ac:dyDescent="0.3">
      <c r="A4022" s="106"/>
      <c r="B4022" s="106"/>
      <c r="C4022" s="106"/>
      <c r="D4022" s="106"/>
      <c r="E4022" s="106"/>
      <c r="F4022" s="106"/>
      <c r="G4022" s="106"/>
      <c r="H4022" s="107"/>
      <c r="I4022" s="95"/>
      <c r="J4022" s="706"/>
      <c r="K4022" s="769"/>
      <c r="L4022" s="706"/>
      <c r="M4022" s="781"/>
      <c r="N4022" s="182"/>
      <c r="O4022" s="188"/>
      <c r="P4022" s="221"/>
      <c r="Q4022" s="106"/>
      <c r="R4022" s="108"/>
      <c r="S4022" s="108"/>
      <c r="T4022" s="108"/>
      <c r="U4022" s="108" t="str">
        <f>IFERROR(VLOOKUP(CONCATENATE(Tabla1[[#This Row],[Severidad]]," ",Tabla1[[#This Row],[Complejidad]]),Catalogos!E$120:G$128,3,FALSE),"")</f>
        <v/>
      </c>
      <c r="V4022" s="108" t="str">
        <f>IF(Tabla1[[#This Row],[Tiempo solución max (hrs)]]&lt;&gt;"",IF(Tabla1[[#This Row],[Tiempo solución max (hrs)]]&gt;=Tabla1[[#This Row],[Tiempo
(Hrs 00/100)]],"cumple","no cumple"),"")</f>
        <v/>
      </c>
      <c r="W4022" s="17"/>
      <c r="X4022" s="18">
        <f t="shared" si="252"/>
        <v>0</v>
      </c>
      <c r="Y4022" t="str">
        <f>SUBSTITUTE(Tabla1[[#This Row],[Descripción]],CHAR(10),"    I    ")</f>
        <v/>
      </c>
      <c r="Z4022" s="112" t="e">
        <f>VLOOKUP(Tabla1[[#This Row],[Perfil]],Catalogos!$B$75:$D$100,3,FALSE)*Tabla1[[#This Row],[Tiempo
(Hrs 00/100)]]*1.16</f>
        <v>#N/A</v>
      </c>
    </row>
    <row r="4023" spans="1:26" ht="30" customHeight="1" x14ac:dyDescent="0.3">
      <c r="A4023" s="106"/>
      <c r="B4023" s="106"/>
      <c r="C4023" s="106"/>
      <c r="D4023" s="106"/>
      <c r="E4023" s="106"/>
      <c r="F4023" s="106"/>
      <c r="G4023" s="106"/>
      <c r="H4023" s="107"/>
      <c r="I4023" s="95"/>
      <c r="J4023" s="706"/>
      <c r="K4023" s="769"/>
      <c r="L4023" s="706"/>
      <c r="M4023" s="781"/>
      <c r="N4023" s="182"/>
      <c r="O4023" s="188"/>
      <c r="P4023" s="221"/>
      <c r="Q4023" s="106"/>
      <c r="R4023" s="108"/>
      <c r="S4023" s="108"/>
      <c r="T4023" s="108"/>
      <c r="U4023" s="108" t="str">
        <f>IFERROR(VLOOKUP(CONCATENATE(Tabla1[[#This Row],[Severidad]]," ",Tabla1[[#This Row],[Complejidad]]),Catalogos!E$120:G$128,3,FALSE),"")</f>
        <v/>
      </c>
      <c r="V4023" s="108" t="str">
        <f>IF(Tabla1[[#This Row],[Tiempo solución max (hrs)]]&lt;&gt;"",IF(Tabla1[[#This Row],[Tiempo solución max (hrs)]]&gt;=Tabla1[[#This Row],[Tiempo
(Hrs 00/100)]],"cumple","no cumple"),"")</f>
        <v/>
      </c>
      <c r="W4023" s="17"/>
      <c r="X4023" s="18">
        <f t="shared" si="252"/>
        <v>0</v>
      </c>
      <c r="Y4023" t="str">
        <f>SUBSTITUTE(Tabla1[[#This Row],[Descripción]],CHAR(10),"    I    ")</f>
        <v/>
      </c>
      <c r="Z4023" s="112" t="e">
        <f>VLOOKUP(Tabla1[[#This Row],[Perfil]],Catalogos!$B$75:$D$100,3,FALSE)*Tabla1[[#This Row],[Tiempo
(Hrs 00/100)]]*1.16</f>
        <v>#N/A</v>
      </c>
    </row>
    <row r="4024" spans="1:26" ht="30" customHeight="1" x14ac:dyDescent="0.3">
      <c r="A4024" s="106"/>
      <c r="B4024" s="106"/>
      <c r="C4024" s="106"/>
      <c r="D4024" s="106"/>
      <c r="E4024" s="106"/>
      <c r="F4024" s="106"/>
      <c r="G4024" s="106"/>
      <c r="H4024" s="107"/>
      <c r="I4024" s="95"/>
      <c r="J4024" s="706"/>
      <c r="K4024" s="769"/>
      <c r="L4024" s="706"/>
      <c r="M4024" s="781"/>
      <c r="N4024" s="182"/>
      <c r="O4024" s="188"/>
      <c r="P4024" s="221"/>
      <c r="Q4024" s="106"/>
      <c r="R4024" s="108"/>
      <c r="S4024" s="108"/>
      <c r="T4024" s="108"/>
      <c r="U4024" s="108" t="str">
        <f>IFERROR(VLOOKUP(CONCATENATE(Tabla1[[#This Row],[Severidad]]," ",Tabla1[[#This Row],[Complejidad]]),Catalogos!E$120:G$128,3,FALSE),"")</f>
        <v/>
      </c>
      <c r="V4024" s="108" t="str">
        <f>IF(Tabla1[[#This Row],[Tiempo solución max (hrs)]]&lt;&gt;"",IF(Tabla1[[#This Row],[Tiempo solución max (hrs)]]&gt;=Tabla1[[#This Row],[Tiempo
(Hrs 00/100)]],"cumple","no cumple"),"")</f>
        <v/>
      </c>
      <c r="W4024" s="17"/>
      <c r="X4024" s="18">
        <f t="shared" si="252"/>
        <v>0</v>
      </c>
      <c r="Y4024" t="str">
        <f>SUBSTITUTE(Tabla1[[#This Row],[Descripción]],CHAR(10),"    I    ")</f>
        <v/>
      </c>
      <c r="Z4024" s="112" t="e">
        <f>VLOOKUP(Tabla1[[#This Row],[Perfil]],Catalogos!$B$75:$D$100,3,FALSE)*Tabla1[[#This Row],[Tiempo
(Hrs 00/100)]]*1.16</f>
        <v>#N/A</v>
      </c>
    </row>
    <row r="4025" spans="1:26" ht="30" customHeight="1" x14ac:dyDescent="0.3">
      <c r="A4025" s="106"/>
      <c r="B4025" s="106"/>
      <c r="C4025" s="106"/>
      <c r="D4025" s="106"/>
      <c r="E4025" s="106"/>
      <c r="F4025" s="106"/>
      <c r="G4025" s="106"/>
      <c r="H4025" s="107"/>
      <c r="I4025" s="95"/>
      <c r="J4025" s="706"/>
      <c r="K4025" s="769"/>
      <c r="L4025" s="706"/>
      <c r="M4025" s="781"/>
      <c r="N4025" s="182"/>
      <c r="O4025" s="188"/>
      <c r="P4025" s="221"/>
      <c r="Q4025" s="106"/>
      <c r="R4025" s="108"/>
      <c r="S4025" s="108"/>
      <c r="T4025" s="108"/>
      <c r="U4025" s="108" t="str">
        <f>IFERROR(VLOOKUP(CONCATENATE(Tabla1[[#This Row],[Severidad]]," ",Tabla1[[#This Row],[Complejidad]]),Catalogos!E$120:G$128,3,FALSE),"")</f>
        <v/>
      </c>
      <c r="V4025" s="108" t="str">
        <f>IF(Tabla1[[#This Row],[Tiempo solución max (hrs)]]&lt;&gt;"",IF(Tabla1[[#This Row],[Tiempo solución max (hrs)]]&gt;=Tabla1[[#This Row],[Tiempo
(Hrs 00/100)]],"cumple","no cumple"),"")</f>
        <v/>
      </c>
      <c r="W4025" s="17"/>
      <c r="X4025" s="18">
        <f t="shared" si="252"/>
        <v>0</v>
      </c>
      <c r="Y4025" t="str">
        <f>SUBSTITUTE(Tabla1[[#This Row],[Descripción]],CHAR(10),"    I    ")</f>
        <v/>
      </c>
      <c r="Z4025" s="112" t="e">
        <f>VLOOKUP(Tabla1[[#This Row],[Perfil]],Catalogos!$B$75:$D$100,3,FALSE)*Tabla1[[#This Row],[Tiempo
(Hrs 00/100)]]*1.16</f>
        <v>#N/A</v>
      </c>
    </row>
    <row r="4026" spans="1:26" ht="30" customHeight="1" x14ac:dyDescent="0.3">
      <c r="A4026" s="106"/>
      <c r="B4026" s="106"/>
      <c r="C4026" s="106"/>
      <c r="D4026" s="106"/>
      <c r="E4026" s="106"/>
      <c r="F4026" s="106"/>
      <c r="G4026" s="106"/>
      <c r="H4026" s="107"/>
      <c r="I4026" s="95"/>
      <c r="J4026" s="706"/>
      <c r="K4026" s="769"/>
      <c r="L4026" s="706"/>
      <c r="M4026" s="781"/>
      <c r="N4026" s="182"/>
      <c r="O4026" s="188"/>
      <c r="P4026" s="221"/>
      <c r="Q4026" s="106"/>
      <c r="R4026" s="108"/>
      <c r="S4026" s="108"/>
      <c r="T4026" s="108"/>
      <c r="U4026" s="108" t="str">
        <f>IFERROR(VLOOKUP(CONCATENATE(Tabla1[[#This Row],[Severidad]]," ",Tabla1[[#This Row],[Complejidad]]),Catalogos!E$120:G$128,3,FALSE),"")</f>
        <v/>
      </c>
      <c r="V4026" s="108" t="str">
        <f>IF(Tabla1[[#This Row],[Tiempo solución max (hrs)]]&lt;&gt;"",IF(Tabla1[[#This Row],[Tiempo solución max (hrs)]]&gt;=Tabla1[[#This Row],[Tiempo
(Hrs 00/100)]],"cumple","no cumple"),"")</f>
        <v/>
      </c>
      <c r="W4026" s="17"/>
      <c r="X4026" s="18">
        <f t="shared" si="252"/>
        <v>0</v>
      </c>
      <c r="Y4026" t="str">
        <f>SUBSTITUTE(Tabla1[[#This Row],[Descripción]],CHAR(10),"    I    ")</f>
        <v/>
      </c>
      <c r="Z4026" s="112" t="e">
        <f>VLOOKUP(Tabla1[[#This Row],[Perfil]],Catalogos!$B$75:$D$100,3,FALSE)*Tabla1[[#This Row],[Tiempo
(Hrs 00/100)]]*1.16</f>
        <v>#N/A</v>
      </c>
    </row>
    <row r="4027" spans="1:26" ht="30" customHeight="1" x14ac:dyDescent="0.3">
      <c r="A4027" s="106"/>
      <c r="B4027" s="106"/>
      <c r="C4027" s="106"/>
      <c r="D4027" s="106"/>
      <c r="E4027" s="106"/>
      <c r="F4027" s="106"/>
      <c r="G4027" s="106"/>
      <c r="H4027" s="107"/>
      <c r="I4027" s="95"/>
      <c r="J4027" s="706"/>
      <c r="K4027" s="769"/>
      <c r="L4027" s="706"/>
      <c r="M4027" s="781"/>
      <c r="N4027" s="182"/>
      <c r="O4027" s="188"/>
      <c r="P4027" s="221"/>
      <c r="Q4027" s="106"/>
      <c r="R4027" s="108"/>
      <c r="S4027" s="108"/>
      <c r="T4027" s="108"/>
      <c r="U4027" s="108" t="str">
        <f>IFERROR(VLOOKUP(CONCATENATE(Tabla1[[#This Row],[Severidad]]," ",Tabla1[[#This Row],[Complejidad]]),Catalogos!E$120:G$128,3,FALSE),"")</f>
        <v/>
      </c>
      <c r="V4027" s="108" t="str">
        <f>IF(Tabla1[[#This Row],[Tiempo solución max (hrs)]]&lt;&gt;"",IF(Tabla1[[#This Row],[Tiempo solución max (hrs)]]&gt;=Tabla1[[#This Row],[Tiempo
(Hrs 00/100)]],"cumple","no cumple"),"")</f>
        <v/>
      </c>
      <c r="W4027" s="17"/>
      <c r="X4027" s="18">
        <f t="shared" si="252"/>
        <v>0</v>
      </c>
      <c r="Y4027" t="str">
        <f>SUBSTITUTE(Tabla1[[#This Row],[Descripción]],CHAR(10),"    I    ")</f>
        <v/>
      </c>
      <c r="Z4027" s="112" t="e">
        <f>VLOOKUP(Tabla1[[#This Row],[Perfil]],Catalogos!$B$75:$D$100,3,FALSE)*Tabla1[[#This Row],[Tiempo
(Hrs 00/100)]]*1.16</f>
        <v>#N/A</v>
      </c>
    </row>
    <row r="4028" spans="1:26" ht="30" customHeight="1" x14ac:dyDescent="0.3">
      <c r="A4028" s="106"/>
      <c r="B4028" s="106"/>
      <c r="C4028" s="106"/>
      <c r="D4028" s="106"/>
      <c r="E4028" s="106"/>
      <c r="F4028" s="106"/>
      <c r="G4028" s="106"/>
      <c r="H4028" s="107"/>
      <c r="I4028" s="95"/>
      <c r="J4028" s="706"/>
      <c r="K4028" s="769"/>
      <c r="L4028" s="706"/>
      <c r="M4028" s="781"/>
      <c r="N4028" s="182"/>
      <c r="O4028" s="188"/>
      <c r="P4028" s="221"/>
      <c r="Q4028" s="106"/>
      <c r="R4028" s="108"/>
      <c r="S4028" s="108"/>
      <c r="T4028" s="108"/>
      <c r="U4028" s="108" t="str">
        <f>IFERROR(VLOOKUP(CONCATENATE(Tabla1[[#This Row],[Severidad]]," ",Tabla1[[#This Row],[Complejidad]]),Catalogos!E$120:G$128,3,FALSE),"")</f>
        <v/>
      </c>
      <c r="V4028" s="108" t="str">
        <f>IF(Tabla1[[#This Row],[Tiempo solución max (hrs)]]&lt;&gt;"",IF(Tabla1[[#This Row],[Tiempo solución max (hrs)]]&gt;=Tabla1[[#This Row],[Tiempo
(Hrs 00/100)]],"cumple","no cumple"),"")</f>
        <v/>
      </c>
      <c r="W4028" s="17"/>
      <c r="X4028" s="18">
        <f t="shared" si="252"/>
        <v>0</v>
      </c>
      <c r="Y4028" t="str">
        <f>SUBSTITUTE(Tabla1[[#This Row],[Descripción]],CHAR(10),"    I    ")</f>
        <v/>
      </c>
      <c r="Z4028" s="112" t="e">
        <f>VLOOKUP(Tabla1[[#This Row],[Perfil]],Catalogos!$B$75:$D$100,3,FALSE)*Tabla1[[#This Row],[Tiempo
(Hrs 00/100)]]*1.16</f>
        <v>#N/A</v>
      </c>
    </row>
    <row r="4029" spans="1:26" ht="30" customHeight="1" x14ac:dyDescent="0.3">
      <c r="A4029" s="106"/>
      <c r="B4029" s="106"/>
      <c r="C4029" s="106"/>
      <c r="D4029" s="106"/>
      <c r="E4029" s="106"/>
      <c r="F4029" s="106"/>
      <c r="G4029" s="106"/>
      <c r="H4029" s="107"/>
      <c r="I4029" s="95"/>
      <c r="J4029" s="706"/>
      <c r="K4029" s="769"/>
      <c r="L4029" s="706"/>
      <c r="M4029" s="781"/>
      <c r="N4029" s="182"/>
      <c r="O4029" s="188"/>
      <c r="P4029" s="221"/>
      <c r="Q4029" s="106"/>
      <c r="R4029" s="108"/>
      <c r="S4029" s="108"/>
      <c r="T4029" s="108"/>
      <c r="U4029" s="108" t="str">
        <f>IFERROR(VLOOKUP(CONCATENATE(Tabla1[[#This Row],[Severidad]]," ",Tabla1[[#This Row],[Complejidad]]),Catalogos!E$120:G$128,3,FALSE),"")</f>
        <v/>
      </c>
      <c r="V4029" s="108" t="str">
        <f>IF(Tabla1[[#This Row],[Tiempo solución max (hrs)]]&lt;&gt;"",IF(Tabla1[[#This Row],[Tiempo solución max (hrs)]]&gt;=Tabla1[[#This Row],[Tiempo
(Hrs 00/100)]],"cumple","no cumple"),"")</f>
        <v/>
      </c>
      <c r="W4029" s="17"/>
      <c r="X4029" s="18">
        <f t="shared" si="252"/>
        <v>0</v>
      </c>
      <c r="Y4029" t="str">
        <f>SUBSTITUTE(Tabla1[[#This Row],[Descripción]],CHAR(10),"    I    ")</f>
        <v/>
      </c>
      <c r="Z4029" s="112" t="e">
        <f>VLOOKUP(Tabla1[[#This Row],[Perfil]],Catalogos!$B$75:$D$100,3,FALSE)*Tabla1[[#This Row],[Tiempo
(Hrs 00/100)]]*1.16</f>
        <v>#N/A</v>
      </c>
    </row>
    <row r="4030" spans="1:26" ht="30" customHeight="1" x14ac:dyDescent="0.3">
      <c r="A4030" s="106"/>
      <c r="B4030" s="106"/>
      <c r="C4030" s="106"/>
      <c r="D4030" s="106"/>
      <c r="E4030" s="106"/>
      <c r="F4030" s="106"/>
      <c r="G4030" s="106"/>
      <c r="H4030" s="107"/>
      <c r="I4030" s="95"/>
      <c r="J4030" s="706"/>
      <c r="K4030" s="769"/>
      <c r="L4030" s="706"/>
      <c r="M4030" s="781"/>
      <c r="N4030" s="182"/>
      <c r="O4030" s="188"/>
      <c r="P4030" s="221"/>
      <c r="Q4030" s="106"/>
      <c r="R4030" s="108"/>
      <c r="S4030" s="108"/>
      <c r="T4030" s="108"/>
      <c r="U4030" s="108" t="str">
        <f>IFERROR(VLOOKUP(CONCATENATE(Tabla1[[#This Row],[Severidad]]," ",Tabla1[[#This Row],[Complejidad]]),Catalogos!E$120:G$128,3,FALSE),"")</f>
        <v/>
      </c>
      <c r="V4030" s="108" t="str">
        <f>IF(Tabla1[[#This Row],[Tiempo solución max (hrs)]]&lt;&gt;"",IF(Tabla1[[#This Row],[Tiempo solución max (hrs)]]&gt;=Tabla1[[#This Row],[Tiempo
(Hrs 00/100)]],"cumple","no cumple"),"")</f>
        <v/>
      </c>
      <c r="W4030" s="17"/>
      <c r="X4030" s="18">
        <f t="shared" si="252"/>
        <v>0</v>
      </c>
      <c r="Y4030" t="str">
        <f>SUBSTITUTE(Tabla1[[#This Row],[Descripción]],CHAR(10),"    I    ")</f>
        <v/>
      </c>
      <c r="Z4030" s="112" t="e">
        <f>VLOOKUP(Tabla1[[#This Row],[Perfil]],Catalogos!$B$75:$D$100,3,FALSE)*Tabla1[[#This Row],[Tiempo
(Hrs 00/100)]]*1.16</f>
        <v>#N/A</v>
      </c>
    </row>
    <row r="4031" spans="1:26" ht="30" customHeight="1" x14ac:dyDescent="0.3">
      <c r="A4031" s="106"/>
      <c r="B4031" s="106"/>
      <c r="C4031" s="106"/>
      <c r="D4031" s="106"/>
      <c r="E4031" s="106"/>
      <c r="F4031" s="106"/>
      <c r="G4031" s="106"/>
      <c r="H4031" s="107"/>
      <c r="I4031" s="95"/>
      <c r="J4031" s="706"/>
      <c r="K4031" s="769"/>
      <c r="L4031" s="706"/>
      <c r="M4031" s="781"/>
      <c r="N4031" s="182"/>
      <c r="O4031" s="188"/>
      <c r="P4031" s="221"/>
      <c r="Q4031" s="106"/>
      <c r="R4031" s="108"/>
      <c r="S4031" s="108"/>
      <c r="T4031" s="108"/>
      <c r="U4031" s="108" t="str">
        <f>IFERROR(VLOOKUP(CONCATENATE(Tabla1[[#This Row],[Severidad]]," ",Tabla1[[#This Row],[Complejidad]]),Catalogos!E$120:G$128,3,FALSE),"")</f>
        <v/>
      </c>
      <c r="V4031" s="108" t="str">
        <f>IF(Tabla1[[#This Row],[Tiempo solución max (hrs)]]&lt;&gt;"",IF(Tabla1[[#This Row],[Tiempo solución max (hrs)]]&gt;=Tabla1[[#This Row],[Tiempo
(Hrs 00/100)]],"cumple","no cumple"),"")</f>
        <v/>
      </c>
      <c r="W4031" s="17"/>
      <c r="X4031" s="18">
        <f t="shared" si="252"/>
        <v>0</v>
      </c>
      <c r="Y4031" t="str">
        <f>SUBSTITUTE(Tabla1[[#This Row],[Descripción]],CHAR(10),"    I    ")</f>
        <v/>
      </c>
      <c r="Z4031" s="112" t="e">
        <f>VLOOKUP(Tabla1[[#This Row],[Perfil]],Catalogos!$B$75:$D$100,3,FALSE)*Tabla1[[#This Row],[Tiempo
(Hrs 00/100)]]*1.16</f>
        <v>#N/A</v>
      </c>
    </row>
    <row r="4032" spans="1:26" ht="30" customHeight="1" x14ac:dyDescent="0.3">
      <c r="A4032" s="106"/>
      <c r="B4032" s="106"/>
      <c r="C4032" s="106"/>
      <c r="D4032" s="106"/>
      <c r="E4032" s="106"/>
      <c r="F4032" s="106"/>
      <c r="G4032" s="106"/>
      <c r="H4032" s="107"/>
      <c r="I4032" s="95"/>
      <c r="J4032" s="706"/>
      <c r="K4032" s="769"/>
      <c r="L4032" s="706"/>
      <c r="M4032" s="781"/>
      <c r="N4032" s="182"/>
      <c r="O4032" s="188"/>
      <c r="P4032" s="221"/>
      <c r="Q4032" s="106"/>
      <c r="R4032" s="108"/>
      <c r="S4032" s="108"/>
      <c r="T4032" s="108"/>
      <c r="U4032" s="108" t="str">
        <f>IFERROR(VLOOKUP(CONCATENATE(Tabla1[[#This Row],[Severidad]]," ",Tabla1[[#This Row],[Complejidad]]),Catalogos!E$120:G$128,3,FALSE),"")</f>
        <v/>
      </c>
      <c r="V4032" s="108" t="str">
        <f>IF(Tabla1[[#This Row],[Tiempo solución max (hrs)]]&lt;&gt;"",IF(Tabla1[[#This Row],[Tiempo solución max (hrs)]]&gt;=Tabla1[[#This Row],[Tiempo
(Hrs 00/100)]],"cumple","no cumple"),"")</f>
        <v/>
      </c>
      <c r="W4032" s="17"/>
      <c r="X4032" s="18">
        <f t="shared" si="252"/>
        <v>0</v>
      </c>
      <c r="Y4032" t="str">
        <f>SUBSTITUTE(Tabla1[[#This Row],[Descripción]],CHAR(10),"    I    ")</f>
        <v/>
      </c>
      <c r="Z4032" s="112" t="e">
        <f>VLOOKUP(Tabla1[[#This Row],[Perfil]],Catalogos!$B$75:$D$100,3,FALSE)*Tabla1[[#This Row],[Tiempo
(Hrs 00/100)]]*1.16</f>
        <v>#N/A</v>
      </c>
    </row>
    <row r="4033" spans="1:26" ht="30" customHeight="1" x14ac:dyDescent="0.3">
      <c r="A4033" s="106"/>
      <c r="B4033" s="106"/>
      <c r="C4033" s="106"/>
      <c r="D4033" s="106"/>
      <c r="E4033" s="106"/>
      <c r="F4033" s="106"/>
      <c r="G4033" s="106"/>
      <c r="H4033" s="107"/>
      <c r="I4033" s="95"/>
      <c r="J4033" s="706"/>
      <c r="K4033" s="769"/>
      <c r="L4033" s="706"/>
      <c r="M4033" s="781"/>
      <c r="N4033" s="182"/>
      <c r="O4033" s="188"/>
      <c r="P4033" s="221"/>
      <c r="Q4033" s="106"/>
      <c r="R4033" s="108"/>
      <c r="S4033" s="108"/>
      <c r="T4033" s="108"/>
      <c r="U4033" s="108" t="str">
        <f>IFERROR(VLOOKUP(CONCATENATE(Tabla1[[#This Row],[Severidad]]," ",Tabla1[[#This Row],[Complejidad]]),Catalogos!E$120:G$128,3,FALSE),"")</f>
        <v/>
      </c>
      <c r="V4033" s="108" t="str">
        <f>IF(Tabla1[[#This Row],[Tiempo solución max (hrs)]]&lt;&gt;"",IF(Tabla1[[#This Row],[Tiempo solución max (hrs)]]&gt;=Tabla1[[#This Row],[Tiempo
(Hrs 00/100)]],"cumple","no cumple"),"")</f>
        <v/>
      </c>
      <c r="W4033" s="17"/>
      <c r="X4033" s="18">
        <f t="shared" si="252"/>
        <v>0</v>
      </c>
      <c r="Y4033" t="str">
        <f>SUBSTITUTE(Tabla1[[#This Row],[Descripción]],CHAR(10),"    I    ")</f>
        <v/>
      </c>
      <c r="Z4033" s="112" t="e">
        <f>VLOOKUP(Tabla1[[#This Row],[Perfil]],Catalogos!$B$75:$D$100,3,FALSE)*Tabla1[[#This Row],[Tiempo
(Hrs 00/100)]]*1.16</f>
        <v>#N/A</v>
      </c>
    </row>
    <row r="4034" spans="1:26" ht="30" customHeight="1" x14ac:dyDescent="0.3">
      <c r="A4034" s="106"/>
      <c r="B4034" s="106"/>
      <c r="C4034" s="106"/>
      <c r="D4034" s="106"/>
      <c r="E4034" s="106"/>
      <c r="F4034" s="106"/>
      <c r="G4034" s="106"/>
      <c r="H4034" s="107"/>
      <c r="I4034" s="95"/>
      <c r="J4034" s="706"/>
      <c r="K4034" s="769"/>
      <c r="L4034" s="706"/>
      <c r="M4034" s="781"/>
      <c r="N4034" s="182"/>
      <c r="O4034" s="188"/>
      <c r="P4034" s="221"/>
      <c r="Q4034" s="106"/>
      <c r="R4034" s="108"/>
      <c r="S4034" s="108"/>
      <c r="T4034" s="108"/>
      <c r="U4034" s="108" t="str">
        <f>IFERROR(VLOOKUP(CONCATENATE(Tabla1[[#This Row],[Severidad]]," ",Tabla1[[#This Row],[Complejidad]]),Catalogos!E$120:G$128,3,FALSE),"")</f>
        <v/>
      </c>
      <c r="V4034" s="108" t="str">
        <f>IF(Tabla1[[#This Row],[Tiempo solución max (hrs)]]&lt;&gt;"",IF(Tabla1[[#This Row],[Tiempo solución max (hrs)]]&gt;=Tabla1[[#This Row],[Tiempo
(Hrs 00/100)]],"cumple","no cumple"),"")</f>
        <v/>
      </c>
      <c r="W4034" s="17"/>
      <c r="X4034" s="18">
        <f t="shared" si="252"/>
        <v>0</v>
      </c>
      <c r="Y4034" t="str">
        <f>SUBSTITUTE(Tabla1[[#This Row],[Descripción]],CHAR(10),"    I    ")</f>
        <v/>
      </c>
      <c r="Z4034" s="112" t="e">
        <f>VLOOKUP(Tabla1[[#This Row],[Perfil]],Catalogos!$B$75:$D$100,3,FALSE)*Tabla1[[#This Row],[Tiempo
(Hrs 00/100)]]*1.16</f>
        <v>#N/A</v>
      </c>
    </row>
    <row r="4035" spans="1:26" ht="30" customHeight="1" x14ac:dyDescent="0.3">
      <c r="A4035" s="106"/>
      <c r="B4035" s="106"/>
      <c r="C4035" s="106"/>
      <c r="D4035" s="106"/>
      <c r="E4035" s="106"/>
      <c r="F4035" s="106"/>
      <c r="G4035" s="106"/>
      <c r="H4035" s="107"/>
      <c r="I4035" s="95"/>
      <c r="J4035" s="706"/>
      <c r="K4035" s="769"/>
      <c r="L4035" s="706"/>
      <c r="M4035" s="781"/>
      <c r="N4035" s="182"/>
      <c r="O4035" s="188"/>
      <c r="P4035" s="221"/>
      <c r="Q4035" s="106"/>
      <c r="R4035" s="108"/>
      <c r="S4035" s="108"/>
      <c r="T4035" s="108"/>
      <c r="U4035" s="108" t="str">
        <f>IFERROR(VLOOKUP(CONCATENATE(Tabla1[[#This Row],[Severidad]]," ",Tabla1[[#This Row],[Complejidad]]),Catalogos!E$120:G$128,3,FALSE),"")</f>
        <v/>
      </c>
      <c r="V4035" s="108" t="str">
        <f>IF(Tabla1[[#This Row],[Tiempo solución max (hrs)]]&lt;&gt;"",IF(Tabla1[[#This Row],[Tiempo solución max (hrs)]]&gt;=Tabla1[[#This Row],[Tiempo
(Hrs 00/100)]],"cumple","no cumple"),"")</f>
        <v/>
      </c>
      <c r="W4035" s="17"/>
      <c r="X4035" s="18">
        <f t="shared" ref="X4035:X4098" si="253">IF(C4035&lt;&gt;"",C4035,D4035)</f>
        <v>0</v>
      </c>
      <c r="Y4035" t="str">
        <f>SUBSTITUTE(Tabla1[[#This Row],[Descripción]],CHAR(10),"    I    ")</f>
        <v/>
      </c>
      <c r="Z4035" s="112" t="e">
        <f>VLOOKUP(Tabla1[[#This Row],[Perfil]],Catalogos!$B$75:$D$100,3,FALSE)*Tabla1[[#This Row],[Tiempo
(Hrs 00/100)]]*1.16</f>
        <v>#N/A</v>
      </c>
    </row>
    <row r="4036" spans="1:26" ht="30" customHeight="1" x14ac:dyDescent="0.3">
      <c r="A4036" s="106"/>
      <c r="B4036" s="106"/>
      <c r="C4036" s="106"/>
      <c r="D4036" s="106"/>
      <c r="E4036" s="106"/>
      <c r="F4036" s="106"/>
      <c r="G4036" s="106"/>
      <c r="H4036" s="107"/>
      <c r="I4036" s="95"/>
      <c r="J4036" s="706"/>
      <c r="K4036" s="769"/>
      <c r="L4036" s="706"/>
      <c r="M4036" s="781"/>
      <c r="N4036" s="182"/>
      <c r="O4036" s="188"/>
      <c r="P4036" s="221"/>
      <c r="Q4036" s="106"/>
      <c r="R4036" s="108"/>
      <c r="S4036" s="108"/>
      <c r="T4036" s="108"/>
      <c r="U4036" s="108" t="str">
        <f>IFERROR(VLOOKUP(CONCATENATE(Tabla1[[#This Row],[Severidad]]," ",Tabla1[[#This Row],[Complejidad]]),Catalogos!E$120:G$128,3,FALSE),"")</f>
        <v/>
      </c>
      <c r="V4036" s="108" t="str">
        <f>IF(Tabla1[[#This Row],[Tiempo solución max (hrs)]]&lt;&gt;"",IF(Tabla1[[#This Row],[Tiempo solución max (hrs)]]&gt;=Tabla1[[#This Row],[Tiempo
(Hrs 00/100)]],"cumple","no cumple"),"")</f>
        <v/>
      </c>
      <c r="W4036" s="17"/>
      <c r="X4036" s="18">
        <f t="shared" si="253"/>
        <v>0</v>
      </c>
      <c r="Y4036" t="str">
        <f>SUBSTITUTE(Tabla1[[#This Row],[Descripción]],CHAR(10),"    I    ")</f>
        <v/>
      </c>
      <c r="Z4036" s="112" t="e">
        <f>VLOOKUP(Tabla1[[#This Row],[Perfil]],Catalogos!$B$75:$D$100,3,FALSE)*Tabla1[[#This Row],[Tiempo
(Hrs 00/100)]]*1.16</f>
        <v>#N/A</v>
      </c>
    </row>
    <row r="4037" spans="1:26" ht="30" customHeight="1" x14ac:dyDescent="0.3">
      <c r="A4037" s="106"/>
      <c r="B4037" s="106"/>
      <c r="C4037" s="106"/>
      <c r="D4037" s="106"/>
      <c r="E4037" s="106"/>
      <c r="F4037" s="106"/>
      <c r="G4037" s="106"/>
      <c r="H4037" s="107"/>
      <c r="I4037" s="95"/>
      <c r="J4037" s="706"/>
      <c r="K4037" s="769"/>
      <c r="L4037" s="706"/>
      <c r="M4037" s="781"/>
      <c r="N4037" s="182"/>
      <c r="O4037" s="188"/>
      <c r="P4037" s="221"/>
      <c r="Q4037" s="106"/>
      <c r="R4037" s="108"/>
      <c r="S4037" s="108"/>
      <c r="T4037" s="108"/>
      <c r="U4037" s="108" t="str">
        <f>IFERROR(VLOOKUP(CONCATENATE(Tabla1[[#This Row],[Severidad]]," ",Tabla1[[#This Row],[Complejidad]]),Catalogos!E$120:G$128,3,FALSE),"")</f>
        <v/>
      </c>
      <c r="V4037" s="108" t="str">
        <f>IF(Tabla1[[#This Row],[Tiempo solución max (hrs)]]&lt;&gt;"",IF(Tabla1[[#This Row],[Tiempo solución max (hrs)]]&gt;=Tabla1[[#This Row],[Tiempo
(Hrs 00/100)]],"cumple","no cumple"),"")</f>
        <v/>
      </c>
      <c r="W4037" s="17"/>
      <c r="X4037" s="18">
        <f t="shared" si="253"/>
        <v>0</v>
      </c>
      <c r="Y4037" t="str">
        <f>SUBSTITUTE(Tabla1[[#This Row],[Descripción]],CHAR(10),"    I    ")</f>
        <v/>
      </c>
      <c r="Z4037" s="112" t="e">
        <f>VLOOKUP(Tabla1[[#This Row],[Perfil]],Catalogos!$B$75:$D$100,3,FALSE)*Tabla1[[#This Row],[Tiempo
(Hrs 00/100)]]*1.16</f>
        <v>#N/A</v>
      </c>
    </row>
    <row r="4038" spans="1:26" ht="30" customHeight="1" x14ac:dyDescent="0.3">
      <c r="A4038" s="106"/>
      <c r="B4038" s="106"/>
      <c r="C4038" s="106"/>
      <c r="D4038" s="106"/>
      <c r="E4038" s="106"/>
      <c r="F4038" s="106"/>
      <c r="G4038" s="106"/>
      <c r="H4038" s="107"/>
      <c r="I4038" s="95"/>
      <c r="J4038" s="706"/>
      <c r="K4038" s="769"/>
      <c r="L4038" s="706"/>
      <c r="M4038" s="781"/>
      <c r="N4038" s="182"/>
      <c r="O4038" s="188"/>
      <c r="P4038" s="221"/>
      <c r="Q4038" s="106"/>
      <c r="R4038" s="108"/>
      <c r="S4038" s="108"/>
      <c r="T4038" s="108"/>
      <c r="U4038" s="108" t="str">
        <f>IFERROR(VLOOKUP(CONCATENATE(Tabla1[[#This Row],[Severidad]]," ",Tabla1[[#This Row],[Complejidad]]),Catalogos!E$120:G$128,3,FALSE),"")</f>
        <v/>
      </c>
      <c r="V4038" s="108" t="str">
        <f>IF(Tabla1[[#This Row],[Tiempo solución max (hrs)]]&lt;&gt;"",IF(Tabla1[[#This Row],[Tiempo solución max (hrs)]]&gt;=Tabla1[[#This Row],[Tiempo
(Hrs 00/100)]],"cumple","no cumple"),"")</f>
        <v/>
      </c>
      <c r="W4038" s="17"/>
      <c r="X4038" s="18">
        <f t="shared" si="253"/>
        <v>0</v>
      </c>
      <c r="Y4038" t="str">
        <f>SUBSTITUTE(Tabla1[[#This Row],[Descripción]],CHAR(10),"    I    ")</f>
        <v/>
      </c>
      <c r="Z4038" s="112" t="e">
        <f>VLOOKUP(Tabla1[[#This Row],[Perfil]],Catalogos!$B$75:$D$100,3,FALSE)*Tabla1[[#This Row],[Tiempo
(Hrs 00/100)]]*1.16</f>
        <v>#N/A</v>
      </c>
    </row>
    <row r="4039" spans="1:26" ht="30" customHeight="1" x14ac:dyDescent="0.3">
      <c r="A4039" s="106"/>
      <c r="B4039" s="106"/>
      <c r="C4039" s="106"/>
      <c r="D4039" s="106"/>
      <c r="E4039" s="106"/>
      <c r="F4039" s="106"/>
      <c r="G4039" s="106"/>
      <c r="H4039" s="107"/>
      <c r="I4039" s="95"/>
      <c r="J4039" s="706"/>
      <c r="K4039" s="769"/>
      <c r="L4039" s="706"/>
      <c r="M4039" s="781"/>
      <c r="N4039" s="182"/>
      <c r="O4039" s="188"/>
      <c r="P4039" s="221"/>
      <c r="Q4039" s="106"/>
      <c r="R4039" s="108"/>
      <c r="S4039" s="108"/>
      <c r="T4039" s="108"/>
      <c r="U4039" s="108" t="str">
        <f>IFERROR(VLOOKUP(CONCATENATE(Tabla1[[#This Row],[Severidad]]," ",Tabla1[[#This Row],[Complejidad]]),Catalogos!E$120:G$128,3,FALSE),"")</f>
        <v/>
      </c>
      <c r="V4039" s="108" t="str">
        <f>IF(Tabla1[[#This Row],[Tiempo solución max (hrs)]]&lt;&gt;"",IF(Tabla1[[#This Row],[Tiempo solución max (hrs)]]&gt;=Tabla1[[#This Row],[Tiempo
(Hrs 00/100)]],"cumple","no cumple"),"")</f>
        <v/>
      </c>
      <c r="W4039" s="17"/>
      <c r="X4039" s="18">
        <f t="shared" si="253"/>
        <v>0</v>
      </c>
      <c r="Y4039" t="str">
        <f>SUBSTITUTE(Tabla1[[#This Row],[Descripción]],CHAR(10),"    I    ")</f>
        <v/>
      </c>
      <c r="Z4039" s="112" t="e">
        <f>VLOOKUP(Tabla1[[#This Row],[Perfil]],Catalogos!$B$75:$D$100,3,FALSE)*Tabla1[[#This Row],[Tiempo
(Hrs 00/100)]]*1.16</f>
        <v>#N/A</v>
      </c>
    </row>
    <row r="4040" spans="1:26" ht="30" customHeight="1" x14ac:dyDescent="0.3">
      <c r="A4040" s="106"/>
      <c r="B4040" s="106"/>
      <c r="C4040" s="106"/>
      <c r="D4040" s="106"/>
      <c r="E4040" s="106"/>
      <c r="F4040" s="106"/>
      <c r="G4040" s="106"/>
      <c r="H4040" s="107"/>
      <c r="I4040" s="95"/>
      <c r="J4040" s="706"/>
      <c r="K4040" s="769"/>
      <c r="L4040" s="706"/>
      <c r="M4040" s="781"/>
      <c r="N4040" s="182"/>
      <c r="O4040" s="188"/>
      <c r="P4040" s="221"/>
      <c r="Q4040" s="106"/>
      <c r="R4040" s="108"/>
      <c r="S4040" s="108"/>
      <c r="T4040" s="108"/>
      <c r="U4040" s="108" t="str">
        <f>IFERROR(VLOOKUP(CONCATENATE(Tabla1[[#This Row],[Severidad]]," ",Tabla1[[#This Row],[Complejidad]]),Catalogos!E$120:G$128,3,FALSE),"")</f>
        <v/>
      </c>
      <c r="V4040" s="108" t="str">
        <f>IF(Tabla1[[#This Row],[Tiempo solución max (hrs)]]&lt;&gt;"",IF(Tabla1[[#This Row],[Tiempo solución max (hrs)]]&gt;=Tabla1[[#This Row],[Tiempo
(Hrs 00/100)]],"cumple","no cumple"),"")</f>
        <v/>
      </c>
      <c r="W4040" s="17"/>
      <c r="X4040" s="18">
        <f t="shared" si="253"/>
        <v>0</v>
      </c>
      <c r="Y4040" t="str">
        <f>SUBSTITUTE(Tabla1[[#This Row],[Descripción]],CHAR(10),"    I    ")</f>
        <v/>
      </c>
      <c r="Z4040" s="112" t="e">
        <f>VLOOKUP(Tabla1[[#This Row],[Perfil]],Catalogos!$B$75:$D$100,3,FALSE)*Tabla1[[#This Row],[Tiempo
(Hrs 00/100)]]*1.16</f>
        <v>#N/A</v>
      </c>
    </row>
    <row r="4041" spans="1:26" ht="30" customHeight="1" x14ac:dyDescent="0.3">
      <c r="A4041" s="106"/>
      <c r="B4041" s="106"/>
      <c r="C4041" s="106"/>
      <c r="D4041" s="106"/>
      <c r="E4041" s="106"/>
      <c r="F4041" s="106"/>
      <c r="G4041" s="106"/>
      <c r="H4041" s="107"/>
      <c r="I4041" s="95"/>
      <c r="J4041" s="706"/>
      <c r="K4041" s="769"/>
      <c r="L4041" s="706"/>
      <c r="M4041" s="781"/>
      <c r="N4041" s="182"/>
      <c r="O4041" s="188"/>
      <c r="P4041" s="221"/>
      <c r="Q4041" s="106"/>
      <c r="R4041" s="108"/>
      <c r="S4041" s="108"/>
      <c r="T4041" s="108"/>
      <c r="U4041" s="108" t="str">
        <f>IFERROR(VLOOKUP(CONCATENATE(Tabla1[[#This Row],[Severidad]]," ",Tabla1[[#This Row],[Complejidad]]),Catalogos!E$120:G$128,3,FALSE),"")</f>
        <v/>
      </c>
      <c r="V4041" s="108" t="str">
        <f>IF(Tabla1[[#This Row],[Tiempo solución max (hrs)]]&lt;&gt;"",IF(Tabla1[[#This Row],[Tiempo solución max (hrs)]]&gt;=Tabla1[[#This Row],[Tiempo
(Hrs 00/100)]],"cumple","no cumple"),"")</f>
        <v/>
      </c>
      <c r="W4041" s="17"/>
      <c r="X4041" s="18">
        <f t="shared" si="253"/>
        <v>0</v>
      </c>
      <c r="Y4041" t="str">
        <f>SUBSTITUTE(Tabla1[[#This Row],[Descripción]],CHAR(10),"    I    ")</f>
        <v/>
      </c>
      <c r="Z4041" s="112" t="e">
        <f>VLOOKUP(Tabla1[[#This Row],[Perfil]],Catalogos!$B$75:$D$100,3,FALSE)*Tabla1[[#This Row],[Tiempo
(Hrs 00/100)]]*1.16</f>
        <v>#N/A</v>
      </c>
    </row>
    <row r="4042" spans="1:26" ht="30" customHeight="1" x14ac:dyDescent="0.3">
      <c r="A4042" s="106"/>
      <c r="B4042" s="106"/>
      <c r="C4042" s="106"/>
      <c r="D4042" s="106"/>
      <c r="E4042" s="106"/>
      <c r="F4042" s="106"/>
      <c r="G4042" s="106"/>
      <c r="H4042" s="107"/>
      <c r="I4042" s="95"/>
      <c r="J4042" s="706"/>
      <c r="K4042" s="769"/>
      <c r="L4042" s="706"/>
      <c r="M4042" s="781"/>
      <c r="N4042" s="182"/>
      <c r="O4042" s="188"/>
      <c r="P4042" s="221"/>
      <c r="Q4042" s="106"/>
      <c r="R4042" s="108"/>
      <c r="S4042" s="108"/>
      <c r="T4042" s="108"/>
      <c r="U4042" s="108" t="str">
        <f>IFERROR(VLOOKUP(CONCATENATE(Tabla1[[#This Row],[Severidad]]," ",Tabla1[[#This Row],[Complejidad]]),Catalogos!E$120:G$128,3,FALSE),"")</f>
        <v/>
      </c>
      <c r="V4042" s="108" t="str">
        <f>IF(Tabla1[[#This Row],[Tiempo solución max (hrs)]]&lt;&gt;"",IF(Tabla1[[#This Row],[Tiempo solución max (hrs)]]&gt;=Tabla1[[#This Row],[Tiempo
(Hrs 00/100)]],"cumple","no cumple"),"")</f>
        <v/>
      </c>
      <c r="W4042" s="17"/>
      <c r="X4042" s="18">
        <f t="shared" si="253"/>
        <v>0</v>
      </c>
      <c r="Y4042" t="str">
        <f>SUBSTITUTE(Tabla1[[#This Row],[Descripción]],CHAR(10),"    I    ")</f>
        <v/>
      </c>
      <c r="Z4042" s="112" t="e">
        <f>VLOOKUP(Tabla1[[#This Row],[Perfil]],Catalogos!$B$75:$D$100,3,FALSE)*Tabla1[[#This Row],[Tiempo
(Hrs 00/100)]]*1.16</f>
        <v>#N/A</v>
      </c>
    </row>
    <row r="4043" spans="1:26" ht="30" customHeight="1" x14ac:dyDescent="0.3">
      <c r="A4043" s="106"/>
      <c r="B4043" s="106"/>
      <c r="C4043" s="106"/>
      <c r="D4043" s="106"/>
      <c r="E4043" s="106"/>
      <c r="F4043" s="106"/>
      <c r="G4043" s="106"/>
      <c r="H4043" s="107"/>
      <c r="I4043" s="95"/>
      <c r="J4043" s="706"/>
      <c r="K4043" s="769"/>
      <c r="L4043" s="706"/>
      <c r="M4043" s="781"/>
      <c r="N4043" s="182"/>
      <c r="O4043" s="188"/>
      <c r="P4043" s="221"/>
      <c r="Q4043" s="106"/>
      <c r="R4043" s="108"/>
      <c r="S4043" s="108"/>
      <c r="T4043" s="108"/>
      <c r="U4043" s="108" t="str">
        <f>IFERROR(VLOOKUP(CONCATENATE(Tabla1[[#This Row],[Severidad]]," ",Tabla1[[#This Row],[Complejidad]]),Catalogos!E$120:G$128,3,FALSE),"")</f>
        <v/>
      </c>
      <c r="V4043" s="108" t="str">
        <f>IF(Tabla1[[#This Row],[Tiempo solución max (hrs)]]&lt;&gt;"",IF(Tabla1[[#This Row],[Tiempo solución max (hrs)]]&gt;=Tabla1[[#This Row],[Tiempo
(Hrs 00/100)]],"cumple","no cumple"),"")</f>
        <v/>
      </c>
      <c r="W4043" s="17"/>
      <c r="X4043" s="18">
        <f t="shared" si="253"/>
        <v>0</v>
      </c>
      <c r="Y4043" t="str">
        <f>SUBSTITUTE(Tabla1[[#This Row],[Descripción]],CHAR(10),"    I    ")</f>
        <v/>
      </c>
      <c r="Z4043" s="112" t="e">
        <f>VLOOKUP(Tabla1[[#This Row],[Perfil]],Catalogos!$B$75:$D$100,3,FALSE)*Tabla1[[#This Row],[Tiempo
(Hrs 00/100)]]*1.16</f>
        <v>#N/A</v>
      </c>
    </row>
    <row r="4044" spans="1:26" ht="30" customHeight="1" x14ac:dyDescent="0.3">
      <c r="A4044" s="106"/>
      <c r="B4044" s="106"/>
      <c r="C4044" s="106"/>
      <c r="D4044" s="106"/>
      <c r="E4044" s="106"/>
      <c r="F4044" s="106"/>
      <c r="G4044" s="106"/>
      <c r="H4044" s="107"/>
      <c r="I4044" s="95"/>
      <c r="J4044" s="706"/>
      <c r="K4044" s="769"/>
      <c r="L4044" s="706"/>
      <c r="M4044" s="781"/>
      <c r="N4044" s="182"/>
      <c r="O4044" s="188"/>
      <c r="P4044" s="221"/>
      <c r="Q4044" s="106"/>
      <c r="R4044" s="108"/>
      <c r="S4044" s="108"/>
      <c r="T4044" s="108"/>
      <c r="U4044" s="108" t="str">
        <f>IFERROR(VLOOKUP(CONCATENATE(Tabla1[[#This Row],[Severidad]]," ",Tabla1[[#This Row],[Complejidad]]),Catalogos!E$120:G$128,3,FALSE),"")</f>
        <v/>
      </c>
      <c r="V4044" s="108" t="str">
        <f>IF(Tabla1[[#This Row],[Tiempo solución max (hrs)]]&lt;&gt;"",IF(Tabla1[[#This Row],[Tiempo solución max (hrs)]]&gt;=Tabla1[[#This Row],[Tiempo
(Hrs 00/100)]],"cumple","no cumple"),"")</f>
        <v/>
      </c>
      <c r="W4044" s="17"/>
      <c r="X4044" s="18">
        <f t="shared" si="253"/>
        <v>0</v>
      </c>
      <c r="Y4044" t="str">
        <f>SUBSTITUTE(Tabla1[[#This Row],[Descripción]],CHAR(10),"    I    ")</f>
        <v/>
      </c>
      <c r="Z4044" s="112" t="e">
        <f>VLOOKUP(Tabla1[[#This Row],[Perfil]],Catalogos!$B$75:$D$100,3,FALSE)*Tabla1[[#This Row],[Tiempo
(Hrs 00/100)]]*1.16</f>
        <v>#N/A</v>
      </c>
    </row>
    <row r="4045" spans="1:26" ht="30" customHeight="1" x14ac:dyDescent="0.3">
      <c r="A4045" s="106"/>
      <c r="B4045" s="106"/>
      <c r="C4045" s="106"/>
      <c r="D4045" s="106"/>
      <c r="E4045" s="106"/>
      <c r="F4045" s="106"/>
      <c r="G4045" s="106"/>
      <c r="H4045" s="107"/>
      <c r="I4045" s="95"/>
      <c r="J4045" s="706"/>
      <c r="K4045" s="769"/>
      <c r="L4045" s="706"/>
      <c r="M4045" s="781"/>
      <c r="N4045" s="182"/>
      <c r="O4045" s="188"/>
      <c r="P4045" s="221"/>
      <c r="Q4045" s="106"/>
      <c r="R4045" s="108"/>
      <c r="S4045" s="108"/>
      <c r="T4045" s="108"/>
      <c r="U4045" s="108" t="str">
        <f>IFERROR(VLOOKUP(CONCATENATE(Tabla1[[#This Row],[Severidad]]," ",Tabla1[[#This Row],[Complejidad]]),Catalogos!E$120:G$128,3,FALSE),"")</f>
        <v/>
      </c>
      <c r="V4045" s="108" t="str">
        <f>IF(Tabla1[[#This Row],[Tiempo solución max (hrs)]]&lt;&gt;"",IF(Tabla1[[#This Row],[Tiempo solución max (hrs)]]&gt;=Tabla1[[#This Row],[Tiempo
(Hrs 00/100)]],"cumple","no cumple"),"")</f>
        <v/>
      </c>
      <c r="W4045" s="17"/>
      <c r="X4045" s="18">
        <f t="shared" si="253"/>
        <v>0</v>
      </c>
      <c r="Y4045" t="str">
        <f>SUBSTITUTE(Tabla1[[#This Row],[Descripción]],CHAR(10),"    I    ")</f>
        <v/>
      </c>
      <c r="Z4045" s="112" t="e">
        <f>VLOOKUP(Tabla1[[#This Row],[Perfil]],Catalogos!$B$75:$D$100,3,FALSE)*Tabla1[[#This Row],[Tiempo
(Hrs 00/100)]]*1.16</f>
        <v>#N/A</v>
      </c>
    </row>
    <row r="4046" spans="1:26" ht="30" customHeight="1" x14ac:dyDescent="0.3">
      <c r="A4046" s="106"/>
      <c r="B4046" s="106"/>
      <c r="C4046" s="106"/>
      <c r="D4046" s="106"/>
      <c r="E4046" s="106"/>
      <c r="F4046" s="106"/>
      <c r="G4046" s="106"/>
      <c r="H4046" s="107"/>
      <c r="I4046" s="95"/>
      <c r="J4046" s="706"/>
      <c r="K4046" s="769"/>
      <c r="L4046" s="706"/>
      <c r="M4046" s="781"/>
      <c r="N4046" s="182"/>
      <c r="O4046" s="188"/>
      <c r="P4046" s="221"/>
      <c r="Q4046" s="106"/>
      <c r="R4046" s="108"/>
      <c r="S4046" s="108"/>
      <c r="T4046" s="108"/>
      <c r="U4046" s="108" t="str">
        <f>IFERROR(VLOOKUP(CONCATENATE(Tabla1[[#This Row],[Severidad]]," ",Tabla1[[#This Row],[Complejidad]]),Catalogos!E$120:G$128,3,FALSE),"")</f>
        <v/>
      </c>
      <c r="V4046" s="108" t="str">
        <f>IF(Tabla1[[#This Row],[Tiempo solución max (hrs)]]&lt;&gt;"",IF(Tabla1[[#This Row],[Tiempo solución max (hrs)]]&gt;=Tabla1[[#This Row],[Tiempo
(Hrs 00/100)]],"cumple","no cumple"),"")</f>
        <v/>
      </c>
      <c r="W4046" s="17"/>
      <c r="X4046" s="18">
        <f t="shared" si="253"/>
        <v>0</v>
      </c>
      <c r="Y4046" t="str">
        <f>SUBSTITUTE(Tabla1[[#This Row],[Descripción]],CHAR(10),"    I    ")</f>
        <v/>
      </c>
      <c r="Z4046" s="112" t="e">
        <f>VLOOKUP(Tabla1[[#This Row],[Perfil]],Catalogos!$B$75:$D$100,3,FALSE)*Tabla1[[#This Row],[Tiempo
(Hrs 00/100)]]*1.16</f>
        <v>#N/A</v>
      </c>
    </row>
    <row r="4047" spans="1:26" ht="30" customHeight="1" x14ac:dyDescent="0.3">
      <c r="A4047" s="106"/>
      <c r="B4047" s="106"/>
      <c r="C4047" s="106"/>
      <c r="D4047" s="106"/>
      <c r="E4047" s="106"/>
      <c r="F4047" s="106"/>
      <c r="G4047" s="106"/>
      <c r="H4047" s="107"/>
      <c r="I4047" s="95"/>
      <c r="J4047" s="706"/>
      <c r="K4047" s="769"/>
      <c r="L4047" s="706"/>
      <c r="M4047" s="781"/>
      <c r="N4047" s="182"/>
      <c r="O4047" s="188"/>
      <c r="P4047" s="221"/>
      <c r="Q4047" s="106"/>
      <c r="R4047" s="108"/>
      <c r="S4047" s="108"/>
      <c r="T4047" s="108"/>
      <c r="U4047" s="108" t="str">
        <f>IFERROR(VLOOKUP(CONCATENATE(Tabla1[[#This Row],[Severidad]]," ",Tabla1[[#This Row],[Complejidad]]),Catalogos!E$120:G$128,3,FALSE),"")</f>
        <v/>
      </c>
      <c r="V4047" s="108" t="str">
        <f>IF(Tabla1[[#This Row],[Tiempo solución max (hrs)]]&lt;&gt;"",IF(Tabla1[[#This Row],[Tiempo solución max (hrs)]]&gt;=Tabla1[[#This Row],[Tiempo
(Hrs 00/100)]],"cumple","no cumple"),"")</f>
        <v/>
      </c>
      <c r="W4047" s="17"/>
      <c r="X4047" s="18">
        <f t="shared" si="253"/>
        <v>0</v>
      </c>
      <c r="Y4047" t="str">
        <f>SUBSTITUTE(Tabla1[[#This Row],[Descripción]],CHAR(10),"    I    ")</f>
        <v/>
      </c>
      <c r="Z4047" s="112" t="e">
        <f>VLOOKUP(Tabla1[[#This Row],[Perfil]],Catalogos!$B$75:$D$100,3,FALSE)*Tabla1[[#This Row],[Tiempo
(Hrs 00/100)]]*1.16</f>
        <v>#N/A</v>
      </c>
    </row>
    <row r="4048" spans="1:26" ht="30" customHeight="1" x14ac:dyDescent="0.3">
      <c r="A4048" s="106"/>
      <c r="B4048" s="106"/>
      <c r="C4048" s="106"/>
      <c r="D4048" s="106"/>
      <c r="E4048" s="106"/>
      <c r="F4048" s="106"/>
      <c r="G4048" s="106"/>
      <c r="H4048" s="107"/>
      <c r="I4048" s="95"/>
      <c r="J4048" s="706"/>
      <c r="K4048" s="769"/>
      <c r="L4048" s="706"/>
      <c r="M4048" s="781"/>
      <c r="N4048" s="182"/>
      <c r="O4048" s="188"/>
      <c r="P4048" s="221"/>
      <c r="Q4048" s="106"/>
      <c r="R4048" s="108"/>
      <c r="S4048" s="108"/>
      <c r="T4048" s="108"/>
      <c r="U4048" s="108" t="str">
        <f>IFERROR(VLOOKUP(CONCATENATE(Tabla1[[#This Row],[Severidad]]," ",Tabla1[[#This Row],[Complejidad]]),Catalogos!E$120:G$128,3,FALSE),"")</f>
        <v/>
      </c>
      <c r="V4048" s="108" t="str">
        <f>IF(Tabla1[[#This Row],[Tiempo solución max (hrs)]]&lt;&gt;"",IF(Tabla1[[#This Row],[Tiempo solución max (hrs)]]&gt;=Tabla1[[#This Row],[Tiempo
(Hrs 00/100)]],"cumple","no cumple"),"")</f>
        <v/>
      </c>
      <c r="W4048" s="17"/>
      <c r="X4048" s="18">
        <f t="shared" si="253"/>
        <v>0</v>
      </c>
      <c r="Y4048" t="str">
        <f>SUBSTITUTE(Tabla1[[#This Row],[Descripción]],CHAR(10),"    I    ")</f>
        <v/>
      </c>
      <c r="Z4048" s="112" t="e">
        <f>VLOOKUP(Tabla1[[#This Row],[Perfil]],Catalogos!$B$75:$D$100,3,FALSE)*Tabla1[[#This Row],[Tiempo
(Hrs 00/100)]]*1.16</f>
        <v>#N/A</v>
      </c>
    </row>
    <row r="4049" spans="1:26" ht="30" customHeight="1" x14ac:dyDescent="0.3">
      <c r="A4049" s="106"/>
      <c r="B4049" s="106"/>
      <c r="C4049" s="106"/>
      <c r="D4049" s="106"/>
      <c r="E4049" s="106"/>
      <c r="F4049" s="106"/>
      <c r="G4049" s="106"/>
      <c r="H4049" s="107"/>
      <c r="I4049" s="95"/>
      <c r="J4049" s="706"/>
      <c r="K4049" s="769"/>
      <c r="L4049" s="706"/>
      <c r="M4049" s="781"/>
      <c r="N4049" s="182"/>
      <c r="O4049" s="188"/>
      <c r="P4049" s="221"/>
      <c r="Q4049" s="106"/>
      <c r="R4049" s="108"/>
      <c r="S4049" s="108"/>
      <c r="T4049" s="108"/>
      <c r="U4049" s="108" t="str">
        <f>IFERROR(VLOOKUP(CONCATENATE(Tabla1[[#This Row],[Severidad]]," ",Tabla1[[#This Row],[Complejidad]]),Catalogos!E$120:G$128,3,FALSE),"")</f>
        <v/>
      </c>
      <c r="V4049" s="108" t="str">
        <f>IF(Tabla1[[#This Row],[Tiempo solución max (hrs)]]&lt;&gt;"",IF(Tabla1[[#This Row],[Tiempo solución max (hrs)]]&gt;=Tabla1[[#This Row],[Tiempo
(Hrs 00/100)]],"cumple","no cumple"),"")</f>
        <v/>
      </c>
      <c r="W4049" s="17"/>
      <c r="X4049" s="18">
        <f t="shared" si="253"/>
        <v>0</v>
      </c>
      <c r="Y4049" t="str">
        <f>SUBSTITUTE(Tabla1[[#This Row],[Descripción]],CHAR(10),"    I    ")</f>
        <v/>
      </c>
      <c r="Z4049" s="112" t="e">
        <f>VLOOKUP(Tabla1[[#This Row],[Perfil]],Catalogos!$B$75:$D$100,3,FALSE)*Tabla1[[#This Row],[Tiempo
(Hrs 00/100)]]*1.16</f>
        <v>#N/A</v>
      </c>
    </row>
    <row r="4050" spans="1:26" ht="30" customHeight="1" x14ac:dyDescent="0.3">
      <c r="A4050" s="106"/>
      <c r="B4050" s="106"/>
      <c r="C4050" s="106"/>
      <c r="D4050" s="106"/>
      <c r="E4050" s="106"/>
      <c r="F4050" s="106"/>
      <c r="G4050" s="106"/>
      <c r="H4050" s="107"/>
      <c r="I4050" s="95"/>
      <c r="J4050" s="706"/>
      <c r="K4050" s="769"/>
      <c r="L4050" s="706"/>
      <c r="M4050" s="781"/>
      <c r="N4050" s="182"/>
      <c r="O4050" s="188"/>
      <c r="P4050" s="221"/>
      <c r="Q4050" s="106"/>
      <c r="R4050" s="108"/>
      <c r="S4050" s="108"/>
      <c r="T4050" s="108"/>
      <c r="U4050" s="108" t="str">
        <f>IFERROR(VLOOKUP(CONCATENATE(Tabla1[[#This Row],[Severidad]]," ",Tabla1[[#This Row],[Complejidad]]),Catalogos!E$120:G$128,3,FALSE),"")</f>
        <v/>
      </c>
      <c r="V4050" s="108" t="str">
        <f>IF(Tabla1[[#This Row],[Tiempo solución max (hrs)]]&lt;&gt;"",IF(Tabla1[[#This Row],[Tiempo solución max (hrs)]]&gt;=Tabla1[[#This Row],[Tiempo
(Hrs 00/100)]],"cumple","no cumple"),"")</f>
        <v/>
      </c>
      <c r="W4050" s="17"/>
      <c r="X4050" s="18">
        <f t="shared" si="253"/>
        <v>0</v>
      </c>
      <c r="Y4050" t="str">
        <f>SUBSTITUTE(Tabla1[[#This Row],[Descripción]],CHAR(10),"    I    ")</f>
        <v/>
      </c>
      <c r="Z4050" s="112" t="e">
        <f>VLOOKUP(Tabla1[[#This Row],[Perfil]],Catalogos!$B$75:$D$100,3,FALSE)*Tabla1[[#This Row],[Tiempo
(Hrs 00/100)]]*1.16</f>
        <v>#N/A</v>
      </c>
    </row>
    <row r="4051" spans="1:26" ht="30" customHeight="1" x14ac:dyDescent="0.3">
      <c r="A4051" s="106"/>
      <c r="B4051" s="106"/>
      <c r="C4051" s="106"/>
      <c r="D4051" s="106"/>
      <c r="E4051" s="106"/>
      <c r="F4051" s="106"/>
      <c r="G4051" s="106"/>
      <c r="H4051" s="107"/>
      <c r="I4051" s="95"/>
      <c r="J4051" s="706"/>
      <c r="K4051" s="769"/>
      <c r="L4051" s="706"/>
      <c r="M4051" s="781"/>
      <c r="N4051" s="182"/>
      <c r="O4051" s="188"/>
      <c r="P4051" s="221"/>
      <c r="Q4051" s="106"/>
      <c r="R4051" s="108"/>
      <c r="S4051" s="108"/>
      <c r="T4051" s="108"/>
      <c r="U4051" s="108" t="str">
        <f>IFERROR(VLOOKUP(CONCATENATE(Tabla1[[#This Row],[Severidad]]," ",Tabla1[[#This Row],[Complejidad]]),Catalogos!E$120:G$128,3,FALSE),"")</f>
        <v/>
      </c>
      <c r="V4051" s="108" t="str">
        <f>IF(Tabla1[[#This Row],[Tiempo solución max (hrs)]]&lt;&gt;"",IF(Tabla1[[#This Row],[Tiempo solución max (hrs)]]&gt;=Tabla1[[#This Row],[Tiempo
(Hrs 00/100)]],"cumple","no cumple"),"")</f>
        <v/>
      </c>
      <c r="W4051" s="17"/>
      <c r="X4051" s="18">
        <f t="shared" si="253"/>
        <v>0</v>
      </c>
      <c r="Y4051" t="str">
        <f>SUBSTITUTE(Tabla1[[#This Row],[Descripción]],CHAR(10),"    I    ")</f>
        <v/>
      </c>
      <c r="Z4051" s="112" t="e">
        <f>VLOOKUP(Tabla1[[#This Row],[Perfil]],Catalogos!$B$75:$D$100,3,FALSE)*Tabla1[[#This Row],[Tiempo
(Hrs 00/100)]]*1.16</f>
        <v>#N/A</v>
      </c>
    </row>
    <row r="4052" spans="1:26" ht="30" customHeight="1" x14ac:dyDescent="0.3">
      <c r="A4052" s="106"/>
      <c r="B4052" s="106"/>
      <c r="C4052" s="106"/>
      <c r="D4052" s="106"/>
      <c r="E4052" s="106"/>
      <c r="F4052" s="106"/>
      <c r="G4052" s="106"/>
      <c r="H4052" s="107"/>
      <c r="I4052" s="95"/>
      <c r="J4052" s="706"/>
      <c r="K4052" s="769"/>
      <c r="L4052" s="706"/>
      <c r="M4052" s="781"/>
      <c r="N4052" s="182"/>
      <c r="O4052" s="188"/>
      <c r="P4052" s="221"/>
      <c r="Q4052" s="106"/>
      <c r="R4052" s="108"/>
      <c r="S4052" s="108"/>
      <c r="T4052" s="108"/>
      <c r="U4052" s="108" t="str">
        <f>IFERROR(VLOOKUP(CONCATENATE(Tabla1[[#This Row],[Severidad]]," ",Tabla1[[#This Row],[Complejidad]]),Catalogos!E$120:G$128,3,FALSE),"")</f>
        <v/>
      </c>
      <c r="V4052" s="108" t="str">
        <f>IF(Tabla1[[#This Row],[Tiempo solución max (hrs)]]&lt;&gt;"",IF(Tabla1[[#This Row],[Tiempo solución max (hrs)]]&gt;=Tabla1[[#This Row],[Tiempo
(Hrs 00/100)]],"cumple","no cumple"),"")</f>
        <v/>
      </c>
      <c r="W4052" s="17"/>
      <c r="X4052" s="18">
        <f t="shared" si="253"/>
        <v>0</v>
      </c>
      <c r="Y4052" t="str">
        <f>SUBSTITUTE(Tabla1[[#This Row],[Descripción]],CHAR(10),"    I    ")</f>
        <v/>
      </c>
      <c r="Z4052" s="112" t="e">
        <f>VLOOKUP(Tabla1[[#This Row],[Perfil]],Catalogos!$B$75:$D$100,3,FALSE)*Tabla1[[#This Row],[Tiempo
(Hrs 00/100)]]*1.16</f>
        <v>#N/A</v>
      </c>
    </row>
    <row r="4053" spans="1:26" ht="30" customHeight="1" x14ac:dyDescent="0.3">
      <c r="A4053" s="106"/>
      <c r="B4053" s="106"/>
      <c r="C4053" s="106"/>
      <c r="D4053" s="106"/>
      <c r="E4053" s="106"/>
      <c r="F4053" s="106"/>
      <c r="G4053" s="106"/>
      <c r="H4053" s="107"/>
      <c r="I4053" s="95"/>
      <c r="J4053" s="706"/>
      <c r="K4053" s="769"/>
      <c r="L4053" s="706"/>
      <c r="M4053" s="781"/>
      <c r="N4053" s="182"/>
      <c r="O4053" s="188"/>
      <c r="P4053" s="221"/>
      <c r="Q4053" s="106"/>
      <c r="R4053" s="108"/>
      <c r="S4053" s="108"/>
      <c r="T4053" s="108"/>
      <c r="U4053" s="108" t="str">
        <f>IFERROR(VLOOKUP(CONCATENATE(Tabla1[[#This Row],[Severidad]]," ",Tabla1[[#This Row],[Complejidad]]),Catalogos!E$120:G$128,3,FALSE),"")</f>
        <v/>
      </c>
      <c r="V4053" s="108" t="str">
        <f>IF(Tabla1[[#This Row],[Tiempo solución max (hrs)]]&lt;&gt;"",IF(Tabla1[[#This Row],[Tiempo solución max (hrs)]]&gt;=Tabla1[[#This Row],[Tiempo
(Hrs 00/100)]],"cumple","no cumple"),"")</f>
        <v/>
      </c>
      <c r="W4053" s="17"/>
      <c r="X4053" s="18">
        <f t="shared" si="253"/>
        <v>0</v>
      </c>
      <c r="Y4053" t="str">
        <f>SUBSTITUTE(Tabla1[[#This Row],[Descripción]],CHAR(10),"    I    ")</f>
        <v/>
      </c>
      <c r="Z4053" s="112" t="e">
        <f>VLOOKUP(Tabla1[[#This Row],[Perfil]],Catalogos!$B$75:$D$100,3,FALSE)*Tabla1[[#This Row],[Tiempo
(Hrs 00/100)]]*1.16</f>
        <v>#N/A</v>
      </c>
    </row>
    <row r="4054" spans="1:26" ht="30" customHeight="1" x14ac:dyDescent="0.3">
      <c r="A4054" s="106"/>
      <c r="B4054" s="106"/>
      <c r="C4054" s="106"/>
      <c r="D4054" s="106"/>
      <c r="E4054" s="106"/>
      <c r="F4054" s="106"/>
      <c r="G4054" s="106"/>
      <c r="H4054" s="107"/>
      <c r="I4054" s="95"/>
      <c r="J4054" s="706"/>
      <c r="K4054" s="769"/>
      <c r="L4054" s="706"/>
      <c r="M4054" s="781"/>
      <c r="N4054" s="182"/>
      <c r="O4054" s="188"/>
      <c r="P4054" s="221"/>
      <c r="Q4054" s="106"/>
      <c r="R4054" s="108"/>
      <c r="S4054" s="108"/>
      <c r="T4054" s="108"/>
      <c r="U4054" s="108" t="str">
        <f>IFERROR(VLOOKUP(CONCATENATE(Tabla1[[#This Row],[Severidad]]," ",Tabla1[[#This Row],[Complejidad]]),Catalogos!E$120:G$128,3,FALSE),"")</f>
        <v/>
      </c>
      <c r="V4054" s="108" t="str">
        <f>IF(Tabla1[[#This Row],[Tiempo solución max (hrs)]]&lt;&gt;"",IF(Tabla1[[#This Row],[Tiempo solución max (hrs)]]&gt;=Tabla1[[#This Row],[Tiempo
(Hrs 00/100)]],"cumple","no cumple"),"")</f>
        <v/>
      </c>
      <c r="W4054" s="17"/>
      <c r="X4054" s="18">
        <f t="shared" si="253"/>
        <v>0</v>
      </c>
      <c r="Y4054" t="str">
        <f>SUBSTITUTE(Tabla1[[#This Row],[Descripción]],CHAR(10),"    I    ")</f>
        <v/>
      </c>
      <c r="Z4054" s="112" t="e">
        <f>VLOOKUP(Tabla1[[#This Row],[Perfil]],Catalogos!$B$75:$D$100,3,FALSE)*Tabla1[[#This Row],[Tiempo
(Hrs 00/100)]]*1.16</f>
        <v>#N/A</v>
      </c>
    </row>
    <row r="4055" spans="1:26" ht="30" customHeight="1" x14ac:dyDescent="0.3">
      <c r="A4055" s="106"/>
      <c r="B4055" s="106"/>
      <c r="C4055" s="106"/>
      <c r="D4055" s="106"/>
      <c r="E4055" s="106"/>
      <c r="F4055" s="106"/>
      <c r="G4055" s="106"/>
      <c r="H4055" s="107"/>
      <c r="I4055" s="95"/>
      <c r="J4055" s="706"/>
      <c r="K4055" s="769"/>
      <c r="L4055" s="706"/>
      <c r="M4055" s="781"/>
      <c r="N4055" s="182"/>
      <c r="O4055" s="188"/>
      <c r="P4055" s="221"/>
      <c r="Q4055" s="106"/>
      <c r="R4055" s="108"/>
      <c r="S4055" s="108"/>
      <c r="T4055" s="108"/>
      <c r="U4055" s="108" t="str">
        <f>IFERROR(VLOOKUP(CONCATENATE(Tabla1[[#This Row],[Severidad]]," ",Tabla1[[#This Row],[Complejidad]]),Catalogos!E$120:G$128,3,FALSE),"")</f>
        <v/>
      </c>
      <c r="V4055" s="108" t="str">
        <f>IF(Tabla1[[#This Row],[Tiempo solución max (hrs)]]&lt;&gt;"",IF(Tabla1[[#This Row],[Tiempo solución max (hrs)]]&gt;=Tabla1[[#This Row],[Tiempo
(Hrs 00/100)]],"cumple","no cumple"),"")</f>
        <v/>
      </c>
      <c r="W4055" s="17"/>
      <c r="X4055" s="18">
        <f t="shared" si="253"/>
        <v>0</v>
      </c>
      <c r="Y4055" t="str">
        <f>SUBSTITUTE(Tabla1[[#This Row],[Descripción]],CHAR(10),"    I    ")</f>
        <v/>
      </c>
      <c r="Z4055" s="112" t="e">
        <f>VLOOKUP(Tabla1[[#This Row],[Perfil]],Catalogos!$B$75:$D$100,3,FALSE)*Tabla1[[#This Row],[Tiempo
(Hrs 00/100)]]*1.16</f>
        <v>#N/A</v>
      </c>
    </row>
    <row r="4056" spans="1:26" ht="30" customHeight="1" x14ac:dyDescent="0.3">
      <c r="A4056" s="106"/>
      <c r="B4056" s="106"/>
      <c r="C4056" s="106"/>
      <c r="D4056" s="106"/>
      <c r="E4056" s="106"/>
      <c r="F4056" s="106"/>
      <c r="G4056" s="106"/>
      <c r="H4056" s="107"/>
      <c r="I4056" s="95"/>
      <c r="J4056" s="706"/>
      <c r="K4056" s="769"/>
      <c r="L4056" s="706"/>
      <c r="M4056" s="781"/>
      <c r="N4056" s="182"/>
      <c r="O4056" s="188"/>
      <c r="P4056" s="221"/>
      <c r="Q4056" s="106"/>
      <c r="R4056" s="108"/>
      <c r="S4056" s="108"/>
      <c r="T4056" s="108"/>
      <c r="U4056" s="108" t="str">
        <f>IFERROR(VLOOKUP(CONCATENATE(Tabla1[[#This Row],[Severidad]]," ",Tabla1[[#This Row],[Complejidad]]),Catalogos!E$120:G$128,3,FALSE),"")</f>
        <v/>
      </c>
      <c r="V4056" s="108" t="str">
        <f>IF(Tabla1[[#This Row],[Tiempo solución max (hrs)]]&lt;&gt;"",IF(Tabla1[[#This Row],[Tiempo solución max (hrs)]]&gt;=Tabla1[[#This Row],[Tiempo
(Hrs 00/100)]],"cumple","no cumple"),"")</f>
        <v/>
      </c>
      <c r="W4056" s="17"/>
      <c r="X4056" s="18">
        <f t="shared" si="253"/>
        <v>0</v>
      </c>
      <c r="Y4056" t="str">
        <f>SUBSTITUTE(Tabla1[[#This Row],[Descripción]],CHAR(10),"    I    ")</f>
        <v/>
      </c>
      <c r="Z4056" s="112" t="e">
        <f>VLOOKUP(Tabla1[[#This Row],[Perfil]],Catalogos!$B$75:$D$100,3,FALSE)*Tabla1[[#This Row],[Tiempo
(Hrs 00/100)]]*1.16</f>
        <v>#N/A</v>
      </c>
    </row>
    <row r="4057" spans="1:26" ht="30" customHeight="1" x14ac:dyDescent="0.3">
      <c r="A4057" s="106"/>
      <c r="B4057" s="106"/>
      <c r="C4057" s="106"/>
      <c r="D4057" s="106"/>
      <c r="E4057" s="106"/>
      <c r="F4057" s="106"/>
      <c r="G4057" s="106"/>
      <c r="H4057" s="107"/>
      <c r="I4057" s="95"/>
      <c r="J4057" s="706"/>
      <c r="K4057" s="769"/>
      <c r="L4057" s="706"/>
      <c r="M4057" s="781"/>
      <c r="N4057" s="182"/>
      <c r="O4057" s="188"/>
      <c r="P4057" s="221"/>
      <c r="Q4057" s="106"/>
      <c r="R4057" s="108"/>
      <c r="S4057" s="108"/>
      <c r="T4057" s="108"/>
      <c r="U4057" s="108" t="str">
        <f>IFERROR(VLOOKUP(CONCATENATE(Tabla1[[#This Row],[Severidad]]," ",Tabla1[[#This Row],[Complejidad]]),Catalogos!E$120:G$128,3,FALSE),"")</f>
        <v/>
      </c>
      <c r="V4057" s="108" t="str">
        <f>IF(Tabla1[[#This Row],[Tiempo solución max (hrs)]]&lt;&gt;"",IF(Tabla1[[#This Row],[Tiempo solución max (hrs)]]&gt;=Tabla1[[#This Row],[Tiempo
(Hrs 00/100)]],"cumple","no cumple"),"")</f>
        <v/>
      </c>
      <c r="W4057" s="17"/>
      <c r="X4057" s="18">
        <f t="shared" si="253"/>
        <v>0</v>
      </c>
      <c r="Y4057" t="str">
        <f>SUBSTITUTE(Tabla1[[#This Row],[Descripción]],CHAR(10),"    I    ")</f>
        <v/>
      </c>
      <c r="Z4057" s="112" t="e">
        <f>VLOOKUP(Tabla1[[#This Row],[Perfil]],Catalogos!$B$75:$D$100,3,FALSE)*Tabla1[[#This Row],[Tiempo
(Hrs 00/100)]]*1.16</f>
        <v>#N/A</v>
      </c>
    </row>
    <row r="4058" spans="1:26" ht="30" customHeight="1" x14ac:dyDescent="0.3">
      <c r="A4058" s="106"/>
      <c r="B4058" s="106"/>
      <c r="C4058" s="106"/>
      <c r="D4058" s="106"/>
      <c r="E4058" s="106"/>
      <c r="F4058" s="106"/>
      <c r="G4058" s="106"/>
      <c r="H4058" s="107"/>
      <c r="I4058" s="95"/>
      <c r="J4058" s="706"/>
      <c r="K4058" s="769"/>
      <c r="L4058" s="706"/>
      <c r="M4058" s="781"/>
      <c r="N4058" s="182"/>
      <c r="O4058" s="188"/>
      <c r="P4058" s="221"/>
      <c r="Q4058" s="106"/>
      <c r="R4058" s="108"/>
      <c r="S4058" s="108"/>
      <c r="T4058" s="108"/>
      <c r="U4058" s="108" t="str">
        <f>IFERROR(VLOOKUP(CONCATENATE(Tabla1[[#This Row],[Severidad]]," ",Tabla1[[#This Row],[Complejidad]]),Catalogos!E$120:G$128,3,FALSE),"")</f>
        <v/>
      </c>
      <c r="V4058" s="108" t="str">
        <f>IF(Tabla1[[#This Row],[Tiempo solución max (hrs)]]&lt;&gt;"",IF(Tabla1[[#This Row],[Tiempo solución max (hrs)]]&gt;=Tabla1[[#This Row],[Tiempo
(Hrs 00/100)]],"cumple","no cumple"),"")</f>
        <v/>
      </c>
      <c r="W4058" s="17"/>
      <c r="X4058" s="18">
        <f t="shared" si="253"/>
        <v>0</v>
      </c>
      <c r="Y4058" t="str">
        <f>SUBSTITUTE(Tabla1[[#This Row],[Descripción]],CHAR(10),"    I    ")</f>
        <v/>
      </c>
      <c r="Z4058" s="112" t="e">
        <f>VLOOKUP(Tabla1[[#This Row],[Perfil]],Catalogos!$B$75:$D$100,3,FALSE)*Tabla1[[#This Row],[Tiempo
(Hrs 00/100)]]*1.16</f>
        <v>#N/A</v>
      </c>
    </row>
    <row r="4059" spans="1:26" ht="30" customHeight="1" x14ac:dyDescent="0.3">
      <c r="A4059" s="106"/>
      <c r="B4059" s="106"/>
      <c r="C4059" s="106"/>
      <c r="D4059" s="106"/>
      <c r="E4059" s="106"/>
      <c r="F4059" s="106"/>
      <c r="G4059" s="106"/>
      <c r="H4059" s="107"/>
      <c r="I4059" s="95"/>
      <c r="J4059" s="706"/>
      <c r="K4059" s="769"/>
      <c r="L4059" s="706"/>
      <c r="M4059" s="781"/>
      <c r="N4059" s="182"/>
      <c r="O4059" s="188"/>
      <c r="P4059" s="221"/>
      <c r="Q4059" s="106"/>
      <c r="R4059" s="108"/>
      <c r="S4059" s="108"/>
      <c r="T4059" s="108"/>
      <c r="U4059" s="108" t="str">
        <f>IFERROR(VLOOKUP(CONCATENATE(Tabla1[[#This Row],[Severidad]]," ",Tabla1[[#This Row],[Complejidad]]),Catalogos!E$120:G$128,3,FALSE),"")</f>
        <v/>
      </c>
      <c r="V4059" s="108" t="str">
        <f>IF(Tabla1[[#This Row],[Tiempo solución max (hrs)]]&lt;&gt;"",IF(Tabla1[[#This Row],[Tiempo solución max (hrs)]]&gt;=Tabla1[[#This Row],[Tiempo
(Hrs 00/100)]],"cumple","no cumple"),"")</f>
        <v/>
      </c>
      <c r="W4059" s="17"/>
      <c r="X4059" s="18">
        <f t="shared" si="253"/>
        <v>0</v>
      </c>
      <c r="Y4059" t="str">
        <f>SUBSTITUTE(Tabla1[[#This Row],[Descripción]],CHAR(10),"    I    ")</f>
        <v/>
      </c>
      <c r="Z4059" s="112" t="e">
        <f>VLOOKUP(Tabla1[[#This Row],[Perfil]],Catalogos!$B$75:$D$100,3,FALSE)*Tabla1[[#This Row],[Tiempo
(Hrs 00/100)]]*1.16</f>
        <v>#N/A</v>
      </c>
    </row>
    <row r="4060" spans="1:26" ht="30" customHeight="1" x14ac:dyDescent="0.3">
      <c r="A4060" s="106"/>
      <c r="B4060" s="106"/>
      <c r="C4060" s="106"/>
      <c r="D4060" s="106"/>
      <c r="E4060" s="106"/>
      <c r="F4060" s="106"/>
      <c r="G4060" s="106"/>
      <c r="H4060" s="107"/>
      <c r="I4060" s="95"/>
      <c r="J4060" s="706"/>
      <c r="K4060" s="769"/>
      <c r="L4060" s="706"/>
      <c r="M4060" s="781"/>
      <c r="N4060" s="182"/>
      <c r="O4060" s="188"/>
      <c r="P4060" s="221"/>
      <c r="Q4060" s="106"/>
      <c r="R4060" s="108"/>
      <c r="S4060" s="108"/>
      <c r="T4060" s="108"/>
      <c r="U4060" s="108" t="str">
        <f>IFERROR(VLOOKUP(CONCATENATE(Tabla1[[#This Row],[Severidad]]," ",Tabla1[[#This Row],[Complejidad]]),Catalogos!E$120:G$128,3,FALSE),"")</f>
        <v/>
      </c>
      <c r="V4060" s="108" t="str">
        <f>IF(Tabla1[[#This Row],[Tiempo solución max (hrs)]]&lt;&gt;"",IF(Tabla1[[#This Row],[Tiempo solución max (hrs)]]&gt;=Tabla1[[#This Row],[Tiempo
(Hrs 00/100)]],"cumple","no cumple"),"")</f>
        <v/>
      </c>
      <c r="W4060" s="17"/>
      <c r="X4060" s="18">
        <f t="shared" si="253"/>
        <v>0</v>
      </c>
      <c r="Y4060" t="str">
        <f>SUBSTITUTE(Tabla1[[#This Row],[Descripción]],CHAR(10),"    I    ")</f>
        <v/>
      </c>
      <c r="Z4060" s="112" t="e">
        <f>VLOOKUP(Tabla1[[#This Row],[Perfil]],Catalogos!$B$75:$D$100,3,FALSE)*Tabla1[[#This Row],[Tiempo
(Hrs 00/100)]]*1.16</f>
        <v>#N/A</v>
      </c>
    </row>
    <row r="4061" spans="1:26" ht="30" customHeight="1" x14ac:dyDescent="0.3">
      <c r="A4061" s="106"/>
      <c r="B4061" s="106"/>
      <c r="C4061" s="106"/>
      <c r="D4061" s="106"/>
      <c r="E4061" s="106"/>
      <c r="F4061" s="106"/>
      <c r="G4061" s="106"/>
      <c r="H4061" s="107"/>
      <c r="I4061" s="95"/>
      <c r="J4061" s="706"/>
      <c r="K4061" s="769"/>
      <c r="L4061" s="706"/>
      <c r="M4061" s="781"/>
      <c r="N4061" s="182"/>
      <c r="O4061" s="188"/>
      <c r="P4061" s="221"/>
      <c r="Q4061" s="106"/>
      <c r="R4061" s="108"/>
      <c r="S4061" s="108"/>
      <c r="T4061" s="108"/>
      <c r="U4061" s="108" t="str">
        <f>IFERROR(VLOOKUP(CONCATENATE(Tabla1[[#This Row],[Severidad]]," ",Tabla1[[#This Row],[Complejidad]]),Catalogos!E$120:G$128,3,FALSE),"")</f>
        <v/>
      </c>
      <c r="V4061" s="108" t="str">
        <f>IF(Tabla1[[#This Row],[Tiempo solución max (hrs)]]&lt;&gt;"",IF(Tabla1[[#This Row],[Tiempo solución max (hrs)]]&gt;=Tabla1[[#This Row],[Tiempo
(Hrs 00/100)]],"cumple","no cumple"),"")</f>
        <v/>
      </c>
      <c r="W4061" s="17"/>
      <c r="X4061" s="18">
        <f t="shared" si="253"/>
        <v>0</v>
      </c>
      <c r="Y4061" t="str">
        <f>SUBSTITUTE(Tabla1[[#This Row],[Descripción]],CHAR(10),"    I    ")</f>
        <v/>
      </c>
      <c r="Z4061" s="112" t="e">
        <f>VLOOKUP(Tabla1[[#This Row],[Perfil]],Catalogos!$B$75:$D$100,3,FALSE)*Tabla1[[#This Row],[Tiempo
(Hrs 00/100)]]*1.16</f>
        <v>#N/A</v>
      </c>
    </row>
    <row r="4062" spans="1:26" ht="30" customHeight="1" x14ac:dyDescent="0.3">
      <c r="A4062" s="106"/>
      <c r="B4062" s="106"/>
      <c r="C4062" s="106"/>
      <c r="D4062" s="106"/>
      <c r="E4062" s="106"/>
      <c r="F4062" s="106"/>
      <c r="G4062" s="106"/>
      <c r="H4062" s="107"/>
      <c r="I4062" s="95"/>
      <c r="J4062" s="706"/>
      <c r="K4062" s="769"/>
      <c r="L4062" s="706"/>
      <c r="M4062" s="781"/>
      <c r="N4062" s="182"/>
      <c r="O4062" s="188"/>
      <c r="P4062" s="221"/>
      <c r="Q4062" s="106"/>
      <c r="R4062" s="108"/>
      <c r="S4062" s="108"/>
      <c r="T4062" s="108"/>
      <c r="U4062" s="108" t="str">
        <f>IFERROR(VLOOKUP(CONCATENATE(Tabla1[[#This Row],[Severidad]]," ",Tabla1[[#This Row],[Complejidad]]),Catalogos!E$120:G$128,3,FALSE),"")</f>
        <v/>
      </c>
      <c r="V4062" s="108" t="str">
        <f>IF(Tabla1[[#This Row],[Tiempo solución max (hrs)]]&lt;&gt;"",IF(Tabla1[[#This Row],[Tiempo solución max (hrs)]]&gt;=Tabla1[[#This Row],[Tiempo
(Hrs 00/100)]],"cumple","no cumple"),"")</f>
        <v/>
      </c>
      <c r="W4062" s="17"/>
      <c r="X4062" s="18">
        <f t="shared" si="253"/>
        <v>0</v>
      </c>
      <c r="Y4062" t="str">
        <f>SUBSTITUTE(Tabla1[[#This Row],[Descripción]],CHAR(10),"    I    ")</f>
        <v/>
      </c>
      <c r="Z4062" s="112" t="e">
        <f>VLOOKUP(Tabla1[[#This Row],[Perfil]],Catalogos!$B$75:$D$100,3,FALSE)*Tabla1[[#This Row],[Tiempo
(Hrs 00/100)]]*1.16</f>
        <v>#N/A</v>
      </c>
    </row>
    <row r="4063" spans="1:26" ht="30" customHeight="1" x14ac:dyDescent="0.3">
      <c r="A4063" s="106"/>
      <c r="B4063" s="106"/>
      <c r="C4063" s="106"/>
      <c r="D4063" s="106"/>
      <c r="E4063" s="106"/>
      <c r="F4063" s="106"/>
      <c r="G4063" s="106"/>
      <c r="H4063" s="107"/>
      <c r="I4063" s="95"/>
      <c r="J4063" s="706"/>
      <c r="K4063" s="769"/>
      <c r="L4063" s="706"/>
      <c r="M4063" s="781"/>
      <c r="N4063" s="182"/>
      <c r="O4063" s="188"/>
      <c r="P4063" s="221"/>
      <c r="Q4063" s="106"/>
      <c r="R4063" s="108"/>
      <c r="S4063" s="108"/>
      <c r="T4063" s="108"/>
      <c r="U4063" s="108" t="str">
        <f>IFERROR(VLOOKUP(CONCATENATE(Tabla1[[#This Row],[Severidad]]," ",Tabla1[[#This Row],[Complejidad]]),Catalogos!E$120:G$128,3,FALSE),"")</f>
        <v/>
      </c>
      <c r="V4063" s="108" t="str">
        <f>IF(Tabla1[[#This Row],[Tiempo solución max (hrs)]]&lt;&gt;"",IF(Tabla1[[#This Row],[Tiempo solución max (hrs)]]&gt;=Tabla1[[#This Row],[Tiempo
(Hrs 00/100)]],"cumple","no cumple"),"")</f>
        <v/>
      </c>
      <c r="W4063" s="17"/>
      <c r="X4063" s="18">
        <f t="shared" si="253"/>
        <v>0</v>
      </c>
      <c r="Y4063" t="str">
        <f>SUBSTITUTE(Tabla1[[#This Row],[Descripción]],CHAR(10),"    I    ")</f>
        <v/>
      </c>
      <c r="Z4063" s="112" t="e">
        <f>VLOOKUP(Tabla1[[#This Row],[Perfil]],Catalogos!$B$75:$D$100,3,FALSE)*Tabla1[[#This Row],[Tiempo
(Hrs 00/100)]]*1.16</f>
        <v>#N/A</v>
      </c>
    </row>
    <row r="4064" spans="1:26" ht="30" customHeight="1" x14ac:dyDescent="0.3">
      <c r="A4064" s="106"/>
      <c r="B4064" s="106"/>
      <c r="C4064" s="106"/>
      <c r="D4064" s="106"/>
      <c r="E4064" s="106"/>
      <c r="F4064" s="106"/>
      <c r="G4064" s="106"/>
      <c r="H4064" s="107"/>
      <c r="I4064" s="95"/>
      <c r="J4064" s="706"/>
      <c r="K4064" s="769"/>
      <c r="L4064" s="706"/>
      <c r="M4064" s="781"/>
      <c r="N4064" s="182"/>
      <c r="O4064" s="188"/>
      <c r="P4064" s="221"/>
      <c r="Q4064" s="106"/>
      <c r="R4064" s="108"/>
      <c r="S4064" s="108"/>
      <c r="T4064" s="108"/>
      <c r="U4064" s="108" t="str">
        <f>IFERROR(VLOOKUP(CONCATENATE(Tabla1[[#This Row],[Severidad]]," ",Tabla1[[#This Row],[Complejidad]]),Catalogos!E$120:G$128,3,FALSE),"")</f>
        <v/>
      </c>
      <c r="V4064" s="108" t="str">
        <f>IF(Tabla1[[#This Row],[Tiempo solución max (hrs)]]&lt;&gt;"",IF(Tabla1[[#This Row],[Tiempo solución max (hrs)]]&gt;=Tabla1[[#This Row],[Tiempo
(Hrs 00/100)]],"cumple","no cumple"),"")</f>
        <v/>
      </c>
      <c r="W4064" s="17"/>
      <c r="X4064" s="18">
        <f t="shared" si="253"/>
        <v>0</v>
      </c>
      <c r="Y4064" t="str">
        <f>SUBSTITUTE(Tabla1[[#This Row],[Descripción]],CHAR(10),"    I    ")</f>
        <v/>
      </c>
      <c r="Z4064" s="112" t="e">
        <f>VLOOKUP(Tabla1[[#This Row],[Perfil]],Catalogos!$B$75:$D$100,3,FALSE)*Tabla1[[#This Row],[Tiempo
(Hrs 00/100)]]*1.16</f>
        <v>#N/A</v>
      </c>
    </row>
    <row r="4065" spans="1:26" ht="30" customHeight="1" x14ac:dyDescent="0.3">
      <c r="A4065" s="106"/>
      <c r="B4065" s="106"/>
      <c r="C4065" s="106"/>
      <c r="D4065" s="106"/>
      <c r="E4065" s="106"/>
      <c r="F4065" s="106"/>
      <c r="G4065" s="106"/>
      <c r="H4065" s="107"/>
      <c r="I4065" s="95"/>
      <c r="J4065" s="706"/>
      <c r="K4065" s="769"/>
      <c r="L4065" s="706"/>
      <c r="M4065" s="781"/>
      <c r="N4065" s="182"/>
      <c r="O4065" s="188"/>
      <c r="P4065" s="221"/>
      <c r="Q4065" s="106"/>
      <c r="R4065" s="108"/>
      <c r="S4065" s="108"/>
      <c r="T4065" s="108"/>
      <c r="U4065" s="108" t="str">
        <f>IFERROR(VLOOKUP(CONCATENATE(Tabla1[[#This Row],[Severidad]]," ",Tabla1[[#This Row],[Complejidad]]),Catalogos!E$120:G$128,3,FALSE),"")</f>
        <v/>
      </c>
      <c r="V4065" s="108" t="str">
        <f>IF(Tabla1[[#This Row],[Tiempo solución max (hrs)]]&lt;&gt;"",IF(Tabla1[[#This Row],[Tiempo solución max (hrs)]]&gt;=Tabla1[[#This Row],[Tiempo
(Hrs 00/100)]],"cumple","no cumple"),"")</f>
        <v/>
      </c>
      <c r="W4065" s="17"/>
      <c r="X4065" s="18">
        <f t="shared" si="253"/>
        <v>0</v>
      </c>
      <c r="Y4065" t="str">
        <f>SUBSTITUTE(Tabla1[[#This Row],[Descripción]],CHAR(10),"    I    ")</f>
        <v/>
      </c>
      <c r="Z4065" s="112" t="e">
        <f>VLOOKUP(Tabla1[[#This Row],[Perfil]],Catalogos!$B$75:$D$100,3,FALSE)*Tabla1[[#This Row],[Tiempo
(Hrs 00/100)]]*1.16</f>
        <v>#N/A</v>
      </c>
    </row>
    <row r="4066" spans="1:26" ht="30" customHeight="1" x14ac:dyDescent="0.3">
      <c r="A4066" s="106"/>
      <c r="B4066" s="106"/>
      <c r="C4066" s="106"/>
      <c r="D4066" s="106"/>
      <c r="E4066" s="106"/>
      <c r="F4066" s="106"/>
      <c r="G4066" s="106"/>
      <c r="H4066" s="107"/>
      <c r="I4066" s="95"/>
      <c r="J4066" s="706"/>
      <c r="K4066" s="769"/>
      <c r="L4066" s="706"/>
      <c r="M4066" s="781"/>
      <c r="N4066" s="182"/>
      <c r="O4066" s="188"/>
      <c r="P4066" s="221"/>
      <c r="Q4066" s="106"/>
      <c r="R4066" s="108"/>
      <c r="S4066" s="108"/>
      <c r="T4066" s="108"/>
      <c r="U4066" s="108" t="str">
        <f>IFERROR(VLOOKUP(CONCATENATE(Tabla1[[#This Row],[Severidad]]," ",Tabla1[[#This Row],[Complejidad]]),Catalogos!E$120:G$128,3,FALSE),"")</f>
        <v/>
      </c>
      <c r="V4066" s="108" t="str">
        <f>IF(Tabla1[[#This Row],[Tiempo solución max (hrs)]]&lt;&gt;"",IF(Tabla1[[#This Row],[Tiempo solución max (hrs)]]&gt;=Tabla1[[#This Row],[Tiempo
(Hrs 00/100)]],"cumple","no cumple"),"")</f>
        <v/>
      </c>
      <c r="W4066" s="17"/>
      <c r="X4066" s="18">
        <f t="shared" si="253"/>
        <v>0</v>
      </c>
      <c r="Y4066" t="str">
        <f>SUBSTITUTE(Tabla1[[#This Row],[Descripción]],CHAR(10),"    I    ")</f>
        <v/>
      </c>
      <c r="Z4066" s="112" t="e">
        <f>VLOOKUP(Tabla1[[#This Row],[Perfil]],Catalogos!$B$75:$D$100,3,FALSE)*Tabla1[[#This Row],[Tiempo
(Hrs 00/100)]]*1.16</f>
        <v>#N/A</v>
      </c>
    </row>
    <row r="4067" spans="1:26" ht="30" customHeight="1" x14ac:dyDescent="0.3">
      <c r="A4067" s="106"/>
      <c r="B4067" s="106"/>
      <c r="C4067" s="106"/>
      <c r="D4067" s="106"/>
      <c r="E4067" s="106"/>
      <c r="F4067" s="106"/>
      <c r="G4067" s="106"/>
      <c r="H4067" s="107"/>
      <c r="I4067" s="95"/>
      <c r="J4067" s="706"/>
      <c r="K4067" s="769"/>
      <c r="L4067" s="706"/>
      <c r="M4067" s="781"/>
      <c r="N4067" s="182"/>
      <c r="O4067" s="188"/>
      <c r="P4067" s="221"/>
      <c r="Q4067" s="106"/>
      <c r="R4067" s="108"/>
      <c r="S4067" s="108"/>
      <c r="T4067" s="108"/>
      <c r="U4067" s="108" t="str">
        <f>IFERROR(VLOOKUP(CONCATENATE(Tabla1[[#This Row],[Severidad]]," ",Tabla1[[#This Row],[Complejidad]]),Catalogos!E$120:G$128,3,FALSE),"")</f>
        <v/>
      </c>
      <c r="V4067" s="108" t="str">
        <f>IF(Tabla1[[#This Row],[Tiempo solución max (hrs)]]&lt;&gt;"",IF(Tabla1[[#This Row],[Tiempo solución max (hrs)]]&gt;=Tabla1[[#This Row],[Tiempo
(Hrs 00/100)]],"cumple","no cumple"),"")</f>
        <v/>
      </c>
      <c r="W4067" s="17"/>
      <c r="X4067" s="18">
        <f t="shared" si="253"/>
        <v>0</v>
      </c>
      <c r="Y4067" t="str">
        <f>SUBSTITUTE(Tabla1[[#This Row],[Descripción]],CHAR(10),"    I    ")</f>
        <v/>
      </c>
      <c r="Z4067" s="112" t="e">
        <f>VLOOKUP(Tabla1[[#This Row],[Perfil]],Catalogos!$B$75:$D$100,3,FALSE)*Tabla1[[#This Row],[Tiempo
(Hrs 00/100)]]*1.16</f>
        <v>#N/A</v>
      </c>
    </row>
    <row r="4068" spans="1:26" ht="30" customHeight="1" x14ac:dyDescent="0.3">
      <c r="A4068" s="106"/>
      <c r="B4068" s="106"/>
      <c r="C4068" s="106"/>
      <c r="D4068" s="106"/>
      <c r="E4068" s="106"/>
      <c r="F4068" s="106"/>
      <c r="G4068" s="106"/>
      <c r="H4068" s="107"/>
      <c r="I4068" s="95"/>
      <c r="J4068" s="706"/>
      <c r="K4068" s="769"/>
      <c r="L4068" s="706"/>
      <c r="M4068" s="781"/>
      <c r="N4068" s="182"/>
      <c r="O4068" s="188"/>
      <c r="P4068" s="221"/>
      <c r="Q4068" s="106"/>
      <c r="R4068" s="108"/>
      <c r="S4068" s="108"/>
      <c r="T4068" s="108"/>
      <c r="U4068" s="108" t="str">
        <f>IFERROR(VLOOKUP(CONCATENATE(Tabla1[[#This Row],[Severidad]]," ",Tabla1[[#This Row],[Complejidad]]),Catalogos!E$120:G$128,3,FALSE),"")</f>
        <v/>
      </c>
      <c r="V4068" s="108" t="str">
        <f>IF(Tabla1[[#This Row],[Tiempo solución max (hrs)]]&lt;&gt;"",IF(Tabla1[[#This Row],[Tiempo solución max (hrs)]]&gt;=Tabla1[[#This Row],[Tiempo
(Hrs 00/100)]],"cumple","no cumple"),"")</f>
        <v/>
      </c>
      <c r="W4068" s="17"/>
      <c r="X4068" s="18">
        <f t="shared" si="253"/>
        <v>0</v>
      </c>
      <c r="Y4068" t="str">
        <f>SUBSTITUTE(Tabla1[[#This Row],[Descripción]],CHAR(10),"    I    ")</f>
        <v/>
      </c>
      <c r="Z4068" s="112" t="e">
        <f>VLOOKUP(Tabla1[[#This Row],[Perfil]],Catalogos!$B$75:$D$100,3,FALSE)*Tabla1[[#This Row],[Tiempo
(Hrs 00/100)]]*1.16</f>
        <v>#N/A</v>
      </c>
    </row>
    <row r="4069" spans="1:26" ht="30" customHeight="1" x14ac:dyDescent="0.3">
      <c r="A4069" s="106"/>
      <c r="B4069" s="106"/>
      <c r="C4069" s="106"/>
      <c r="D4069" s="106"/>
      <c r="E4069" s="106"/>
      <c r="F4069" s="106"/>
      <c r="G4069" s="106"/>
      <c r="H4069" s="107"/>
      <c r="I4069" s="95"/>
      <c r="J4069" s="706"/>
      <c r="K4069" s="769"/>
      <c r="L4069" s="706"/>
      <c r="M4069" s="781"/>
      <c r="N4069" s="182"/>
      <c r="O4069" s="188"/>
      <c r="P4069" s="221"/>
      <c r="Q4069" s="106"/>
      <c r="R4069" s="108"/>
      <c r="S4069" s="108"/>
      <c r="T4069" s="108"/>
      <c r="U4069" s="108" t="str">
        <f>IFERROR(VLOOKUP(CONCATENATE(Tabla1[[#This Row],[Severidad]]," ",Tabla1[[#This Row],[Complejidad]]),Catalogos!E$120:G$128,3,FALSE),"")</f>
        <v/>
      </c>
      <c r="V4069" s="108" t="str">
        <f>IF(Tabla1[[#This Row],[Tiempo solución max (hrs)]]&lt;&gt;"",IF(Tabla1[[#This Row],[Tiempo solución max (hrs)]]&gt;=Tabla1[[#This Row],[Tiempo
(Hrs 00/100)]],"cumple","no cumple"),"")</f>
        <v/>
      </c>
      <c r="W4069" s="17"/>
      <c r="X4069" s="18">
        <f t="shared" si="253"/>
        <v>0</v>
      </c>
      <c r="Y4069" t="str">
        <f>SUBSTITUTE(Tabla1[[#This Row],[Descripción]],CHAR(10),"    I    ")</f>
        <v/>
      </c>
      <c r="Z4069" s="112" t="e">
        <f>VLOOKUP(Tabla1[[#This Row],[Perfil]],Catalogos!$B$75:$D$100,3,FALSE)*Tabla1[[#This Row],[Tiempo
(Hrs 00/100)]]*1.16</f>
        <v>#N/A</v>
      </c>
    </row>
    <row r="4070" spans="1:26" ht="30" customHeight="1" x14ac:dyDescent="0.3">
      <c r="A4070" s="106"/>
      <c r="B4070" s="106"/>
      <c r="C4070" s="106"/>
      <c r="D4070" s="106"/>
      <c r="E4070" s="106"/>
      <c r="F4070" s="106"/>
      <c r="G4070" s="106"/>
      <c r="H4070" s="107"/>
      <c r="I4070" s="95"/>
      <c r="J4070" s="706"/>
      <c r="K4070" s="769"/>
      <c r="L4070" s="706"/>
      <c r="M4070" s="781"/>
      <c r="N4070" s="182"/>
      <c r="O4070" s="188"/>
      <c r="P4070" s="221"/>
      <c r="Q4070" s="106"/>
      <c r="R4070" s="108"/>
      <c r="S4070" s="108"/>
      <c r="T4070" s="108"/>
      <c r="U4070" s="108" t="str">
        <f>IFERROR(VLOOKUP(CONCATENATE(Tabla1[[#This Row],[Severidad]]," ",Tabla1[[#This Row],[Complejidad]]),Catalogos!E$120:G$128,3,FALSE),"")</f>
        <v/>
      </c>
      <c r="V4070" s="108" t="str">
        <f>IF(Tabla1[[#This Row],[Tiempo solución max (hrs)]]&lt;&gt;"",IF(Tabla1[[#This Row],[Tiempo solución max (hrs)]]&gt;=Tabla1[[#This Row],[Tiempo
(Hrs 00/100)]],"cumple","no cumple"),"")</f>
        <v/>
      </c>
      <c r="W4070" s="17"/>
      <c r="X4070" s="18">
        <f t="shared" si="253"/>
        <v>0</v>
      </c>
      <c r="Y4070" t="str">
        <f>SUBSTITUTE(Tabla1[[#This Row],[Descripción]],CHAR(10),"    I    ")</f>
        <v/>
      </c>
      <c r="Z4070" s="112" t="e">
        <f>VLOOKUP(Tabla1[[#This Row],[Perfil]],Catalogos!$B$75:$D$100,3,FALSE)*Tabla1[[#This Row],[Tiempo
(Hrs 00/100)]]*1.16</f>
        <v>#N/A</v>
      </c>
    </row>
    <row r="4071" spans="1:26" ht="30" customHeight="1" x14ac:dyDescent="0.3">
      <c r="A4071" s="106"/>
      <c r="B4071" s="106"/>
      <c r="C4071" s="106"/>
      <c r="D4071" s="106"/>
      <c r="E4071" s="106"/>
      <c r="F4071" s="106"/>
      <c r="G4071" s="106"/>
      <c r="H4071" s="107"/>
      <c r="I4071" s="95"/>
      <c r="J4071" s="706"/>
      <c r="K4071" s="769"/>
      <c r="L4071" s="706"/>
      <c r="M4071" s="781"/>
      <c r="N4071" s="182"/>
      <c r="O4071" s="188"/>
      <c r="P4071" s="221"/>
      <c r="Q4071" s="106"/>
      <c r="R4071" s="108"/>
      <c r="S4071" s="108"/>
      <c r="T4071" s="108"/>
      <c r="U4071" s="108" t="str">
        <f>IFERROR(VLOOKUP(CONCATENATE(Tabla1[[#This Row],[Severidad]]," ",Tabla1[[#This Row],[Complejidad]]),Catalogos!E$120:G$128,3,FALSE),"")</f>
        <v/>
      </c>
      <c r="V4071" s="108" t="str">
        <f>IF(Tabla1[[#This Row],[Tiempo solución max (hrs)]]&lt;&gt;"",IF(Tabla1[[#This Row],[Tiempo solución max (hrs)]]&gt;=Tabla1[[#This Row],[Tiempo
(Hrs 00/100)]],"cumple","no cumple"),"")</f>
        <v/>
      </c>
      <c r="W4071" s="17"/>
      <c r="X4071" s="18">
        <f t="shared" si="253"/>
        <v>0</v>
      </c>
      <c r="Y4071" t="str">
        <f>SUBSTITUTE(Tabla1[[#This Row],[Descripción]],CHAR(10),"    I    ")</f>
        <v/>
      </c>
      <c r="Z4071" s="112" t="e">
        <f>VLOOKUP(Tabla1[[#This Row],[Perfil]],Catalogos!$B$75:$D$100,3,FALSE)*Tabla1[[#This Row],[Tiempo
(Hrs 00/100)]]*1.16</f>
        <v>#N/A</v>
      </c>
    </row>
    <row r="4072" spans="1:26" ht="30" customHeight="1" x14ac:dyDescent="0.3">
      <c r="A4072" s="106"/>
      <c r="B4072" s="106"/>
      <c r="C4072" s="106"/>
      <c r="D4072" s="106"/>
      <c r="E4072" s="106"/>
      <c r="F4072" s="106"/>
      <c r="G4072" s="106"/>
      <c r="H4072" s="107"/>
      <c r="I4072" s="95"/>
      <c r="J4072" s="706"/>
      <c r="K4072" s="769"/>
      <c r="L4072" s="706"/>
      <c r="M4072" s="781"/>
      <c r="N4072" s="182"/>
      <c r="O4072" s="188"/>
      <c r="P4072" s="221"/>
      <c r="Q4072" s="106"/>
      <c r="R4072" s="108"/>
      <c r="S4072" s="108"/>
      <c r="T4072" s="108"/>
      <c r="U4072" s="108" t="str">
        <f>IFERROR(VLOOKUP(CONCATENATE(Tabla1[[#This Row],[Severidad]]," ",Tabla1[[#This Row],[Complejidad]]),Catalogos!E$120:G$128,3,FALSE),"")</f>
        <v/>
      </c>
      <c r="V4072" s="108" t="str">
        <f>IF(Tabla1[[#This Row],[Tiempo solución max (hrs)]]&lt;&gt;"",IF(Tabla1[[#This Row],[Tiempo solución max (hrs)]]&gt;=Tabla1[[#This Row],[Tiempo
(Hrs 00/100)]],"cumple","no cumple"),"")</f>
        <v/>
      </c>
      <c r="W4072" s="17"/>
      <c r="X4072" s="18">
        <f t="shared" si="253"/>
        <v>0</v>
      </c>
      <c r="Y4072" t="str">
        <f>SUBSTITUTE(Tabla1[[#This Row],[Descripción]],CHAR(10),"    I    ")</f>
        <v/>
      </c>
      <c r="Z4072" s="112" t="e">
        <f>VLOOKUP(Tabla1[[#This Row],[Perfil]],Catalogos!$B$75:$D$100,3,FALSE)*Tabla1[[#This Row],[Tiempo
(Hrs 00/100)]]*1.16</f>
        <v>#N/A</v>
      </c>
    </row>
    <row r="4073" spans="1:26" ht="30" customHeight="1" x14ac:dyDescent="0.3">
      <c r="A4073" s="106"/>
      <c r="B4073" s="106"/>
      <c r="C4073" s="106"/>
      <c r="D4073" s="106"/>
      <c r="E4073" s="106"/>
      <c r="F4073" s="106"/>
      <c r="G4073" s="106"/>
      <c r="H4073" s="107"/>
      <c r="I4073" s="95"/>
      <c r="J4073" s="706"/>
      <c r="K4073" s="769"/>
      <c r="L4073" s="706"/>
      <c r="M4073" s="781"/>
      <c r="N4073" s="182"/>
      <c r="O4073" s="188"/>
      <c r="P4073" s="221"/>
      <c r="Q4073" s="106"/>
      <c r="R4073" s="108"/>
      <c r="S4073" s="108"/>
      <c r="T4073" s="108"/>
      <c r="U4073" s="108" t="str">
        <f>IFERROR(VLOOKUP(CONCATENATE(Tabla1[[#This Row],[Severidad]]," ",Tabla1[[#This Row],[Complejidad]]),Catalogos!E$120:G$128,3,FALSE),"")</f>
        <v/>
      </c>
      <c r="V4073" s="108" t="str">
        <f>IF(Tabla1[[#This Row],[Tiempo solución max (hrs)]]&lt;&gt;"",IF(Tabla1[[#This Row],[Tiempo solución max (hrs)]]&gt;=Tabla1[[#This Row],[Tiempo
(Hrs 00/100)]],"cumple","no cumple"),"")</f>
        <v/>
      </c>
      <c r="W4073" s="17"/>
      <c r="X4073" s="18">
        <f t="shared" si="253"/>
        <v>0</v>
      </c>
      <c r="Y4073" t="str">
        <f>SUBSTITUTE(Tabla1[[#This Row],[Descripción]],CHAR(10),"    I    ")</f>
        <v/>
      </c>
      <c r="Z4073" s="112" t="e">
        <f>VLOOKUP(Tabla1[[#This Row],[Perfil]],Catalogos!$B$75:$D$100,3,FALSE)*Tabla1[[#This Row],[Tiempo
(Hrs 00/100)]]*1.16</f>
        <v>#N/A</v>
      </c>
    </row>
    <row r="4074" spans="1:26" ht="30" customHeight="1" x14ac:dyDescent="0.3">
      <c r="A4074" s="106"/>
      <c r="B4074" s="106"/>
      <c r="C4074" s="106"/>
      <c r="D4074" s="106"/>
      <c r="E4074" s="106"/>
      <c r="F4074" s="106"/>
      <c r="G4074" s="106"/>
      <c r="H4074" s="107"/>
      <c r="I4074" s="95"/>
      <c r="J4074" s="706"/>
      <c r="K4074" s="769"/>
      <c r="L4074" s="706"/>
      <c r="M4074" s="781"/>
      <c r="N4074" s="182"/>
      <c r="O4074" s="188"/>
      <c r="P4074" s="221"/>
      <c r="Q4074" s="106"/>
      <c r="R4074" s="108"/>
      <c r="S4074" s="108"/>
      <c r="T4074" s="108"/>
      <c r="U4074" s="108" t="str">
        <f>IFERROR(VLOOKUP(CONCATENATE(Tabla1[[#This Row],[Severidad]]," ",Tabla1[[#This Row],[Complejidad]]),Catalogos!E$120:G$128,3,FALSE),"")</f>
        <v/>
      </c>
      <c r="V4074" s="108" t="str">
        <f>IF(Tabla1[[#This Row],[Tiempo solución max (hrs)]]&lt;&gt;"",IF(Tabla1[[#This Row],[Tiempo solución max (hrs)]]&gt;=Tabla1[[#This Row],[Tiempo
(Hrs 00/100)]],"cumple","no cumple"),"")</f>
        <v/>
      </c>
      <c r="W4074" s="17"/>
      <c r="X4074" s="18">
        <f t="shared" si="253"/>
        <v>0</v>
      </c>
      <c r="Y4074" t="str">
        <f>SUBSTITUTE(Tabla1[[#This Row],[Descripción]],CHAR(10),"    I    ")</f>
        <v/>
      </c>
      <c r="Z4074" s="112" t="e">
        <f>VLOOKUP(Tabla1[[#This Row],[Perfil]],Catalogos!$B$75:$D$100,3,FALSE)*Tabla1[[#This Row],[Tiempo
(Hrs 00/100)]]*1.16</f>
        <v>#N/A</v>
      </c>
    </row>
    <row r="4075" spans="1:26" ht="30" customHeight="1" x14ac:dyDescent="0.3">
      <c r="A4075" s="106"/>
      <c r="B4075" s="106"/>
      <c r="C4075" s="106"/>
      <c r="D4075" s="106"/>
      <c r="E4075" s="106"/>
      <c r="F4075" s="106"/>
      <c r="G4075" s="106"/>
      <c r="H4075" s="107"/>
      <c r="I4075" s="95"/>
      <c r="J4075" s="706"/>
      <c r="K4075" s="769"/>
      <c r="L4075" s="706"/>
      <c r="M4075" s="781"/>
      <c r="N4075" s="182"/>
      <c r="O4075" s="188"/>
      <c r="P4075" s="221"/>
      <c r="Q4075" s="106"/>
      <c r="R4075" s="108"/>
      <c r="S4075" s="108"/>
      <c r="T4075" s="108"/>
      <c r="U4075" s="108" t="str">
        <f>IFERROR(VLOOKUP(CONCATENATE(Tabla1[[#This Row],[Severidad]]," ",Tabla1[[#This Row],[Complejidad]]),Catalogos!E$120:G$128,3,FALSE),"")</f>
        <v/>
      </c>
      <c r="V4075" s="108" t="str">
        <f>IF(Tabla1[[#This Row],[Tiempo solución max (hrs)]]&lt;&gt;"",IF(Tabla1[[#This Row],[Tiempo solución max (hrs)]]&gt;=Tabla1[[#This Row],[Tiempo
(Hrs 00/100)]],"cumple","no cumple"),"")</f>
        <v/>
      </c>
      <c r="W4075" s="17"/>
      <c r="X4075" s="18">
        <f t="shared" si="253"/>
        <v>0</v>
      </c>
      <c r="Y4075" t="str">
        <f>SUBSTITUTE(Tabla1[[#This Row],[Descripción]],CHAR(10),"    I    ")</f>
        <v/>
      </c>
      <c r="Z4075" s="112" t="e">
        <f>VLOOKUP(Tabla1[[#This Row],[Perfil]],Catalogos!$B$75:$D$100,3,FALSE)*Tabla1[[#This Row],[Tiempo
(Hrs 00/100)]]*1.16</f>
        <v>#N/A</v>
      </c>
    </row>
    <row r="4076" spans="1:26" ht="30" customHeight="1" x14ac:dyDescent="0.3">
      <c r="A4076" s="106"/>
      <c r="B4076" s="106"/>
      <c r="C4076" s="106"/>
      <c r="D4076" s="106"/>
      <c r="E4076" s="106"/>
      <c r="F4076" s="106"/>
      <c r="G4076" s="106"/>
      <c r="H4076" s="107"/>
      <c r="I4076" s="95"/>
      <c r="J4076" s="706"/>
      <c r="K4076" s="769"/>
      <c r="L4076" s="706"/>
      <c r="M4076" s="781"/>
      <c r="N4076" s="182"/>
      <c r="O4076" s="188"/>
      <c r="P4076" s="221"/>
      <c r="Q4076" s="106"/>
      <c r="R4076" s="108"/>
      <c r="S4076" s="108"/>
      <c r="T4076" s="108"/>
      <c r="U4076" s="108" t="str">
        <f>IFERROR(VLOOKUP(CONCATENATE(Tabla1[[#This Row],[Severidad]]," ",Tabla1[[#This Row],[Complejidad]]),Catalogos!E$120:G$128,3,FALSE),"")</f>
        <v/>
      </c>
      <c r="V4076" s="108" t="str">
        <f>IF(Tabla1[[#This Row],[Tiempo solución max (hrs)]]&lt;&gt;"",IF(Tabla1[[#This Row],[Tiempo solución max (hrs)]]&gt;=Tabla1[[#This Row],[Tiempo
(Hrs 00/100)]],"cumple","no cumple"),"")</f>
        <v/>
      </c>
      <c r="W4076" s="17"/>
      <c r="X4076" s="18">
        <f t="shared" si="253"/>
        <v>0</v>
      </c>
      <c r="Y4076" t="str">
        <f>SUBSTITUTE(Tabla1[[#This Row],[Descripción]],CHAR(10),"    I    ")</f>
        <v/>
      </c>
      <c r="Z4076" s="112" t="e">
        <f>VLOOKUP(Tabla1[[#This Row],[Perfil]],Catalogos!$B$75:$D$100,3,FALSE)*Tabla1[[#This Row],[Tiempo
(Hrs 00/100)]]*1.16</f>
        <v>#N/A</v>
      </c>
    </row>
    <row r="4077" spans="1:26" ht="30" customHeight="1" x14ac:dyDescent="0.3">
      <c r="A4077" s="106"/>
      <c r="B4077" s="106"/>
      <c r="C4077" s="106"/>
      <c r="D4077" s="106"/>
      <c r="E4077" s="106"/>
      <c r="F4077" s="106"/>
      <c r="G4077" s="106"/>
      <c r="H4077" s="107"/>
      <c r="I4077" s="95"/>
      <c r="J4077" s="706"/>
      <c r="K4077" s="769"/>
      <c r="L4077" s="706"/>
      <c r="M4077" s="781"/>
      <c r="N4077" s="182"/>
      <c r="O4077" s="188"/>
      <c r="P4077" s="221"/>
      <c r="Q4077" s="106"/>
      <c r="R4077" s="108"/>
      <c r="S4077" s="108"/>
      <c r="T4077" s="108"/>
      <c r="U4077" s="108" t="str">
        <f>IFERROR(VLOOKUP(CONCATENATE(Tabla1[[#This Row],[Severidad]]," ",Tabla1[[#This Row],[Complejidad]]),Catalogos!E$120:G$128,3,FALSE),"")</f>
        <v/>
      </c>
      <c r="V4077" s="108" t="str">
        <f>IF(Tabla1[[#This Row],[Tiempo solución max (hrs)]]&lt;&gt;"",IF(Tabla1[[#This Row],[Tiempo solución max (hrs)]]&gt;=Tabla1[[#This Row],[Tiempo
(Hrs 00/100)]],"cumple","no cumple"),"")</f>
        <v/>
      </c>
      <c r="W4077" s="17"/>
      <c r="X4077" s="18">
        <f t="shared" si="253"/>
        <v>0</v>
      </c>
      <c r="Y4077" t="str">
        <f>SUBSTITUTE(Tabla1[[#This Row],[Descripción]],CHAR(10),"    I    ")</f>
        <v/>
      </c>
      <c r="Z4077" s="112" t="e">
        <f>VLOOKUP(Tabla1[[#This Row],[Perfil]],Catalogos!$B$75:$D$100,3,FALSE)*Tabla1[[#This Row],[Tiempo
(Hrs 00/100)]]*1.16</f>
        <v>#N/A</v>
      </c>
    </row>
    <row r="4078" spans="1:26" ht="30" customHeight="1" x14ac:dyDescent="0.3">
      <c r="A4078" s="106"/>
      <c r="B4078" s="106"/>
      <c r="C4078" s="106"/>
      <c r="D4078" s="106"/>
      <c r="E4078" s="106"/>
      <c r="F4078" s="106"/>
      <c r="G4078" s="106"/>
      <c r="H4078" s="107"/>
      <c r="I4078" s="95"/>
      <c r="J4078" s="706"/>
      <c r="K4078" s="769"/>
      <c r="L4078" s="706"/>
      <c r="M4078" s="781"/>
      <c r="N4078" s="182"/>
      <c r="O4078" s="188"/>
      <c r="P4078" s="221"/>
      <c r="Q4078" s="106"/>
      <c r="R4078" s="108"/>
      <c r="S4078" s="108"/>
      <c r="T4078" s="108"/>
      <c r="U4078" s="108" t="str">
        <f>IFERROR(VLOOKUP(CONCATENATE(Tabla1[[#This Row],[Severidad]]," ",Tabla1[[#This Row],[Complejidad]]),Catalogos!E$120:G$128,3,FALSE),"")</f>
        <v/>
      </c>
      <c r="V4078" s="108" t="str">
        <f>IF(Tabla1[[#This Row],[Tiempo solución max (hrs)]]&lt;&gt;"",IF(Tabla1[[#This Row],[Tiempo solución max (hrs)]]&gt;=Tabla1[[#This Row],[Tiempo
(Hrs 00/100)]],"cumple","no cumple"),"")</f>
        <v/>
      </c>
      <c r="W4078" s="17"/>
      <c r="X4078" s="18">
        <f t="shared" si="253"/>
        <v>0</v>
      </c>
      <c r="Y4078" t="str">
        <f>SUBSTITUTE(Tabla1[[#This Row],[Descripción]],CHAR(10),"    I    ")</f>
        <v/>
      </c>
      <c r="Z4078" s="112" t="e">
        <f>VLOOKUP(Tabla1[[#This Row],[Perfil]],Catalogos!$B$75:$D$100,3,FALSE)*Tabla1[[#This Row],[Tiempo
(Hrs 00/100)]]*1.16</f>
        <v>#N/A</v>
      </c>
    </row>
    <row r="4079" spans="1:26" ht="30" customHeight="1" x14ac:dyDescent="0.3">
      <c r="A4079" s="106"/>
      <c r="B4079" s="106"/>
      <c r="C4079" s="106"/>
      <c r="D4079" s="106"/>
      <c r="E4079" s="106"/>
      <c r="F4079" s="106"/>
      <c r="G4079" s="106"/>
      <c r="H4079" s="107"/>
      <c r="I4079" s="95"/>
      <c r="J4079" s="706"/>
      <c r="K4079" s="769"/>
      <c r="L4079" s="706"/>
      <c r="M4079" s="781"/>
      <c r="N4079" s="182"/>
      <c r="O4079" s="188"/>
      <c r="P4079" s="221"/>
      <c r="Q4079" s="106"/>
      <c r="R4079" s="108"/>
      <c r="S4079" s="108"/>
      <c r="T4079" s="108"/>
      <c r="U4079" s="108" t="str">
        <f>IFERROR(VLOOKUP(CONCATENATE(Tabla1[[#This Row],[Severidad]]," ",Tabla1[[#This Row],[Complejidad]]),Catalogos!E$120:G$128,3,FALSE),"")</f>
        <v/>
      </c>
      <c r="V4079" s="108" t="str">
        <f>IF(Tabla1[[#This Row],[Tiempo solución max (hrs)]]&lt;&gt;"",IF(Tabla1[[#This Row],[Tiempo solución max (hrs)]]&gt;=Tabla1[[#This Row],[Tiempo
(Hrs 00/100)]],"cumple","no cumple"),"")</f>
        <v/>
      </c>
      <c r="W4079" s="17"/>
      <c r="X4079" s="18">
        <f t="shared" si="253"/>
        <v>0</v>
      </c>
      <c r="Y4079" t="str">
        <f>SUBSTITUTE(Tabla1[[#This Row],[Descripción]],CHAR(10),"    I    ")</f>
        <v/>
      </c>
      <c r="Z4079" s="112" t="e">
        <f>VLOOKUP(Tabla1[[#This Row],[Perfil]],Catalogos!$B$75:$D$100,3,FALSE)*Tabla1[[#This Row],[Tiempo
(Hrs 00/100)]]*1.16</f>
        <v>#N/A</v>
      </c>
    </row>
    <row r="4080" spans="1:26" ht="30" customHeight="1" x14ac:dyDescent="0.3">
      <c r="A4080" s="106"/>
      <c r="B4080" s="106"/>
      <c r="C4080" s="106"/>
      <c r="D4080" s="106"/>
      <c r="E4080" s="106"/>
      <c r="F4080" s="106"/>
      <c r="G4080" s="106"/>
      <c r="H4080" s="107"/>
      <c r="I4080" s="95"/>
      <c r="J4080" s="706"/>
      <c r="K4080" s="769"/>
      <c r="L4080" s="706"/>
      <c r="M4080" s="781"/>
      <c r="N4080" s="182"/>
      <c r="O4080" s="188"/>
      <c r="P4080" s="221"/>
      <c r="Q4080" s="106"/>
      <c r="R4080" s="108"/>
      <c r="S4080" s="108"/>
      <c r="T4080" s="108"/>
      <c r="U4080" s="108" t="str">
        <f>IFERROR(VLOOKUP(CONCATENATE(Tabla1[[#This Row],[Severidad]]," ",Tabla1[[#This Row],[Complejidad]]),Catalogos!E$120:G$128,3,FALSE),"")</f>
        <v/>
      </c>
      <c r="V4080" s="108" t="str">
        <f>IF(Tabla1[[#This Row],[Tiempo solución max (hrs)]]&lt;&gt;"",IF(Tabla1[[#This Row],[Tiempo solución max (hrs)]]&gt;=Tabla1[[#This Row],[Tiempo
(Hrs 00/100)]],"cumple","no cumple"),"")</f>
        <v/>
      </c>
      <c r="W4080" s="17"/>
      <c r="X4080" s="18">
        <f t="shared" si="253"/>
        <v>0</v>
      </c>
      <c r="Y4080" t="str">
        <f>SUBSTITUTE(Tabla1[[#This Row],[Descripción]],CHAR(10),"    I    ")</f>
        <v/>
      </c>
      <c r="Z4080" s="112" t="e">
        <f>VLOOKUP(Tabla1[[#This Row],[Perfil]],Catalogos!$B$75:$D$100,3,FALSE)*Tabla1[[#This Row],[Tiempo
(Hrs 00/100)]]*1.16</f>
        <v>#N/A</v>
      </c>
    </row>
    <row r="4081" spans="1:26" ht="30" customHeight="1" x14ac:dyDescent="0.3">
      <c r="A4081" s="106"/>
      <c r="B4081" s="106"/>
      <c r="C4081" s="106"/>
      <c r="D4081" s="106"/>
      <c r="E4081" s="106"/>
      <c r="F4081" s="106"/>
      <c r="G4081" s="106"/>
      <c r="H4081" s="107"/>
      <c r="I4081" s="95"/>
      <c r="J4081" s="706"/>
      <c r="K4081" s="769"/>
      <c r="L4081" s="706"/>
      <c r="M4081" s="781"/>
      <c r="N4081" s="182"/>
      <c r="O4081" s="188"/>
      <c r="P4081" s="221"/>
      <c r="Q4081" s="106"/>
      <c r="R4081" s="108"/>
      <c r="S4081" s="108"/>
      <c r="T4081" s="108"/>
      <c r="U4081" s="108" t="str">
        <f>IFERROR(VLOOKUP(CONCATENATE(Tabla1[[#This Row],[Severidad]]," ",Tabla1[[#This Row],[Complejidad]]),Catalogos!E$120:G$128,3,FALSE),"")</f>
        <v/>
      </c>
      <c r="V4081" s="108" t="str">
        <f>IF(Tabla1[[#This Row],[Tiempo solución max (hrs)]]&lt;&gt;"",IF(Tabla1[[#This Row],[Tiempo solución max (hrs)]]&gt;=Tabla1[[#This Row],[Tiempo
(Hrs 00/100)]],"cumple","no cumple"),"")</f>
        <v/>
      </c>
      <c r="W4081" s="17"/>
      <c r="X4081" s="18">
        <f t="shared" si="253"/>
        <v>0</v>
      </c>
      <c r="Y4081" t="str">
        <f>SUBSTITUTE(Tabla1[[#This Row],[Descripción]],CHAR(10),"    I    ")</f>
        <v/>
      </c>
      <c r="Z4081" s="112" t="e">
        <f>VLOOKUP(Tabla1[[#This Row],[Perfil]],Catalogos!$B$75:$D$100,3,FALSE)*Tabla1[[#This Row],[Tiempo
(Hrs 00/100)]]*1.16</f>
        <v>#N/A</v>
      </c>
    </row>
    <row r="4082" spans="1:26" ht="30" customHeight="1" x14ac:dyDescent="0.3">
      <c r="A4082" s="106"/>
      <c r="B4082" s="106"/>
      <c r="C4082" s="106"/>
      <c r="D4082" s="106"/>
      <c r="E4082" s="106"/>
      <c r="F4082" s="106"/>
      <c r="G4082" s="106"/>
      <c r="H4082" s="107"/>
      <c r="I4082" s="95"/>
      <c r="J4082" s="706"/>
      <c r="K4082" s="769"/>
      <c r="L4082" s="706"/>
      <c r="M4082" s="781"/>
      <c r="N4082" s="182"/>
      <c r="O4082" s="188"/>
      <c r="P4082" s="221"/>
      <c r="Q4082" s="106"/>
      <c r="R4082" s="108"/>
      <c r="S4082" s="108"/>
      <c r="T4082" s="108"/>
      <c r="U4082" s="108" t="str">
        <f>IFERROR(VLOOKUP(CONCATENATE(Tabla1[[#This Row],[Severidad]]," ",Tabla1[[#This Row],[Complejidad]]),Catalogos!E$120:G$128,3,FALSE),"")</f>
        <v/>
      </c>
      <c r="V4082" s="108" t="str">
        <f>IF(Tabla1[[#This Row],[Tiempo solución max (hrs)]]&lt;&gt;"",IF(Tabla1[[#This Row],[Tiempo solución max (hrs)]]&gt;=Tabla1[[#This Row],[Tiempo
(Hrs 00/100)]],"cumple","no cumple"),"")</f>
        <v/>
      </c>
      <c r="W4082" s="17"/>
      <c r="X4082" s="18">
        <f t="shared" si="253"/>
        <v>0</v>
      </c>
      <c r="Y4082" t="str">
        <f>SUBSTITUTE(Tabla1[[#This Row],[Descripción]],CHAR(10),"    I    ")</f>
        <v/>
      </c>
      <c r="Z4082" s="112" t="e">
        <f>VLOOKUP(Tabla1[[#This Row],[Perfil]],Catalogos!$B$75:$D$100,3,FALSE)*Tabla1[[#This Row],[Tiempo
(Hrs 00/100)]]*1.16</f>
        <v>#N/A</v>
      </c>
    </row>
    <row r="4083" spans="1:26" ht="30" customHeight="1" x14ac:dyDescent="0.3">
      <c r="A4083" s="106"/>
      <c r="B4083" s="106"/>
      <c r="C4083" s="106"/>
      <c r="D4083" s="106"/>
      <c r="E4083" s="106"/>
      <c r="F4083" s="106"/>
      <c r="G4083" s="106"/>
      <c r="H4083" s="107"/>
      <c r="I4083" s="95"/>
      <c r="J4083" s="706"/>
      <c r="K4083" s="769"/>
      <c r="L4083" s="706"/>
      <c r="M4083" s="781"/>
      <c r="N4083" s="182"/>
      <c r="O4083" s="188"/>
      <c r="P4083" s="221"/>
      <c r="Q4083" s="106"/>
      <c r="R4083" s="108"/>
      <c r="S4083" s="108"/>
      <c r="T4083" s="108"/>
      <c r="U4083" s="108" t="str">
        <f>IFERROR(VLOOKUP(CONCATENATE(Tabla1[[#This Row],[Severidad]]," ",Tabla1[[#This Row],[Complejidad]]),Catalogos!E$120:G$128,3,FALSE),"")</f>
        <v/>
      </c>
      <c r="V4083" s="108" t="str">
        <f>IF(Tabla1[[#This Row],[Tiempo solución max (hrs)]]&lt;&gt;"",IF(Tabla1[[#This Row],[Tiempo solución max (hrs)]]&gt;=Tabla1[[#This Row],[Tiempo
(Hrs 00/100)]],"cumple","no cumple"),"")</f>
        <v/>
      </c>
      <c r="W4083" s="17"/>
      <c r="X4083" s="18">
        <f t="shared" si="253"/>
        <v>0</v>
      </c>
      <c r="Y4083" t="str">
        <f>SUBSTITUTE(Tabla1[[#This Row],[Descripción]],CHAR(10),"    I    ")</f>
        <v/>
      </c>
      <c r="Z4083" s="112" t="e">
        <f>VLOOKUP(Tabla1[[#This Row],[Perfil]],Catalogos!$B$75:$D$100,3,FALSE)*Tabla1[[#This Row],[Tiempo
(Hrs 00/100)]]*1.16</f>
        <v>#N/A</v>
      </c>
    </row>
    <row r="4084" spans="1:26" ht="30" customHeight="1" x14ac:dyDescent="0.3">
      <c r="A4084" s="106"/>
      <c r="B4084" s="106"/>
      <c r="C4084" s="106"/>
      <c r="D4084" s="106"/>
      <c r="E4084" s="106"/>
      <c r="F4084" s="106"/>
      <c r="G4084" s="106"/>
      <c r="H4084" s="107"/>
      <c r="I4084" s="95"/>
      <c r="J4084" s="706"/>
      <c r="K4084" s="769"/>
      <c r="L4084" s="706"/>
      <c r="M4084" s="781"/>
      <c r="N4084" s="182"/>
      <c r="O4084" s="188"/>
      <c r="P4084" s="221"/>
      <c r="Q4084" s="106"/>
      <c r="R4084" s="108"/>
      <c r="S4084" s="108"/>
      <c r="T4084" s="108"/>
      <c r="U4084" s="108" t="str">
        <f>IFERROR(VLOOKUP(CONCATENATE(Tabla1[[#This Row],[Severidad]]," ",Tabla1[[#This Row],[Complejidad]]),Catalogos!E$120:G$128,3,FALSE),"")</f>
        <v/>
      </c>
      <c r="V4084" s="108" t="str">
        <f>IF(Tabla1[[#This Row],[Tiempo solución max (hrs)]]&lt;&gt;"",IF(Tabla1[[#This Row],[Tiempo solución max (hrs)]]&gt;=Tabla1[[#This Row],[Tiempo
(Hrs 00/100)]],"cumple","no cumple"),"")</f>
        <v/>
      </c>
      <c r="W4084" s="17"/>
      <c r="X4084" s="18">
        <f t="shared" si="253"/>
        <v>0</v>
      </c>
      <c r="Y4084" t="str">
        <f>SUBSTITUTE(Tabla1[[#This Row],[Descripción]],CHAR(10),"    I    ")</f>
        <v/>
      </c>
      <c r="Z4084" s="112" t="e">
        <f>VLOOKUP(Tabla1[[#This Row],[Perfil]],Catalogos!$B$75:$D$100,3,FALSE)*Tabla1[[#This Row],[Tiempo
(Hrs 00/100)]]*1.16</f>
        <v>#N/A</v>
      </c>
    </row>
    <row r="4085" spans="1:26" ht="30" customHeight="1" x14ac:dyDescent="0.3">
      <c r="A4085" s="106"/>
      <c r="B4085" s="106"/>
      <c r="C4085" s="106"/>
      <c r="D4085" s="106"/>
      <c r="E4085" s="106"/>
      <c r="F4085" s="106"/>
      <c r="G4085" s="106"/>
      <c r="H4085" s="107"/>
      <c r="I4085" s="95"/>
      <c r="J4085" s="706"/>
      <c r="K4085" s="769"/>
      <c r="L4085" s="706"/>
      <c r="M4085" s="781"/>
      <c r="N4085" s="182"/>
      <c r="O4085" s="188"/>
      <c r="P4085" s="221"/>
      <c r="Q4085" s="106"/>
      <c r="R4085" s="108"/>
      <c r="S4085" s="108"/>
      <c r="T4085" s="108"/>
      <c r="U4085" s="108" t="str">
        <f>IFERROR(VLOOKUP(CONCATENATE(Tabla1[[#This Row],[Severidad]]," ",Tabla1[[#This Row],[Complejidad]]),Catalogos!E$120:G$128,3,FALSE),"")</f>
        <v/>
      </c>
      <c r="V4085" s="108" t="str">
        <f>IF(Tabla1[[#This Row],[Tiempo solución max (hrs)]]&lt;&gt;"",IF(Tabla1[[#This Row],[Tiempo solución max (hrs)]]&gt;=Tabla1[[#This Row],[Tiempo
(Hrs 00/100)]],"cumple","no cumple"),"")</f>
        <v/>
      </c>
      <c r="W4085" s="17"/>
      <c r="X4085" s="18">
        <f t="shared" si="253"/>
        <v>0</v>
      </c>
      <c r="Y4085" t="str">
        <f>SUBSTITUTE(Tabla1[[#This Row],[Descripción]],CHAR(10),"    I    ")</f>
        <v/>
      </c>
      <c r="Z4085" s="112" t="e">
        <f>VLOOKUP(Tabla1[[#This Row],[Perfil]],Catalogos!$B$75:$D$100,3,FALSE)*Tabla1[[#This Row],[Tiempo
(Hrs 00/100)]]*1.16</f>
        <v>#N/A</v>
      </c>
    </row>
    <row r="4086" spans="1:26" ht="30" customHeight="1" x14ac:dyDescent="0.3">
      <c r="A4086" s="106"/>
      <c r="B4086" s="106"/>
      <c r="C4086" s="106"/>
      <c r="D4086" s="106"/>
      <c r="E4086" s="106"/>
      <c r="F4086" s="106"/>
      <c r="G4086" s="106"/>
      <c r="H4086" s="107"/>
      <c r="I4086" s="95"/>
      <c r="J4086" s="706"/>
      <c r="K4086" s="769"/>
      <c r="L4086" s="706"/>
      <c r="M4086" s="781"/>
      <c r="N4086" s="182"/>
      <c r="O4086" s="188"/>
      <c r="P4086" s="221"/>
      <c r="Q4086" s="106"/>
      <c r="R4086" s="108"/>
      <c r="S4086" s="108"/>
      <c r="T4086" s="108"/>
      <c r="U4086" s="108" t="str">
        <f>IFERROR(VLOOKUP(CONCATENATE(Tabla1[[#This Row],[Severidad]]," ",Tabla1[[#This Row],[Complejidad]]),Catalogos!E$120:G$128,3,FALSE),"")</f>
        <v/>
      </c>
      <c r="V4086" s="108" t="str">
        <f>IF(Tabla1[[#This Row],[Tiempo solución max (hrs)]]&lt;&gt;"",IF(Tabla1[[#This Row],[Tiempo solución max (hrs)]]&gt;=Tabla1[[#This Row],[Tiempo
(Hrs 00/100)]],"cumple","no cumple"),"")</f>
        <v/>
      </c>
      <c r="W4086" s="17"/>
      <c r="X4086" s="18">
        <f t="shared" si="253"/>
        <v>0</v>
      </c>
      <c r="Y4086" t="str">
        <f>SUBSTITUTE(Tabla1[[#This Row],[Descripción]],CHAR(10),"    I    ")</f>
        <v/>
      </c>
      <c r="Z4086" s="112" t="e">
        <f>VLOOKUP(Tabla1[[#This Row],[Perfil]],Catalogos!$B$75:$D$100,3,FALSE)*Tabla1[[#This Row],[Tiempo
(Hrs 00/100)]]*1.16</f>
        <v>#N/A</v>
      </c>
    </row>
    <row r="4087" spans="1:26" ht="30" customHeight="1" x14ac:dyDescent="0.3">
      <c r="A4087" s="106"/>
      <c r="B4087" s="106"/>
      <c r="C4087" s="106"/>
      <c r="D4087" s="106"/>
      <c r="E4087" s="106"/>
      <c r="F4087" s="106"/>
      <c r="G4087" s="106"/>
      <c r="H4087" s="107"/>
      <c r="I4087" s="95"/>
      <c r="J4087" s="706"/>
      <c r="K4087" s="769"/>
      <c r="L4087" s="706"/>
      <c r="M4087" s="781"/>
      <c r="N4087" s="182"/>
      <c r="O4087" s="188"/>
      <c r="P4087" s="221"/>
      <c r="Q4087" s="106"/>
      <c r="R4087" s="108"/>
      <c r="S4087" s="108"/>
      <c r="T4087" s="108"/>
      <c r="U4087" s="108" t="str">
        <f>IFERROR(VLOOKUP(CONCATENATE(Tabla1[[#This Row],[Severidad]]," ",Tabla1[[#This Row],[Complejidad]]),Catalogos!E$120:G$128,3,FALSE),"")</f>
        <v/>
      </c>
      <c r="V4087" s="108" t="str">
        <f>IF(Tabla1[[#This Row],[Tiempo solución max (hrs)]]&lt;&gt;"",IF(Tabla1[[#This Row],[Tiempo solución max (hrs)]]&gt;=Tabla1[[#This Row],[Tiempo
(Hrs 00/100)]],"cumple","no cumple"),"")</f>
        <v/>
      </c>
      <c r="W4087" s="17"/>
      <c r="X4087" s="18">
        <f t="shared" si="253"/>
        <v>0</v>
      </c>
      <c r="Y4087" t="str">
        <f>SUBSTITUTE(Tabla1[[#This Row],[Descripción]],CHAR(10),"    I    ")</f>
        <v/>
      </c>
      <c r="Z4087" s="112" t="e">
        <f>VLOOKUP(Tabla1[[#This Row],[Perfil]],Catalogos!$B$75:$D$100,3,FALSE)*Tabla1[[#This Row],[Tiempo
(Hrs 00/100)]]*1.16</f>
        <v>#N/A</v>
      </c>
    </row>
    <row r="4088" spans="1:26" ht="30" customHeight="1" x14ac:dyDescent="0.3">
      <c r="A4088" s="106"/>
      <c r="B4088" s="106"/>
      <c r="C4088" s="106"/>
      <c r="D4088" s="106"/>
      <c r="E4088" s="106"/>
      <c r="F4088" s="106"/>
      <c r="G4088" s="106"/>
      <c r="H4088" s="107"/>
      <c r="I4088" s="95"/>
      <c r="J4088" s="706"/>
      <c r="K4088" s="769"/>
      <c r="L4088" s="706"/>
      <c r="M4088" s="781"/>
      <c r="N4088" s="182"/>
      <c r="O4088" s="188"/>
      <c r="P4088" s="221"/>
      <c r="Q4088" s="106"/>
      <c r="R4088" s="108"/>
      <c r="S4088" s="108"/>
      <c r="T4088" s="108"/>
      <c r="U4088" s="108" t="str">
        <f>IFERROR(VLOOKUP(CONCATENATE(Tabla1[[#This Row],[Severidad]]," ",Tabla1[[#This Row],[Complejidad]]),Catalogos!E$120:G$128,3,FALSE),"")</f>
        <v/>
      </c>
      <c r="V4088" s="108" t="str">
        <f>IF(Tabla1[[#This Row],[Tiempo solución max (hrs)]]&lt;&gt;"",IF(Tabla1[[#This Row],[Tiempo solución max (hrs)]]&gt;=Tabla1[[#This Row],[Tiempo
(Hrs 00/100)]],"cumple","no cumple"),"")</f>
        <v/>
      </c>
      <c r="W4088" s="17"/>
      <c r="X4088" s="18">
        <f t="shared" si="253"/>
        <v>0</v>
      </c>
      <c r="Y4088" t="str">
        <f>SUBSTITUTE(Tabla1[[#This Row],[Descripción]],CHAR(10),"    I    ")</f>
        <v/>
      </c>
      <c r="Z4088" s="112" t="e">
        <f>VLOOKUP(Tabla1[[#This Row],[Perfil]],Catalogos!$B$75:$D$100,3,FALSE)*Tabla1[[#This Row],[Tiempo
(Hrs 00/100)]]*1.16</f>
        <v>#N/A</v>
      </c>
    </row>
    <row r="4089" spans="1:26" ht="30" customHeight="1" x14ac:dyDescent="0.3">
      <c r="A4089" s="106"/>
      <c r="B4089" s="106"/>
      <c r="C4089" s="106"/>
      <c r="D4089" s="106"/>
      <c r="E4089" s="106"/>
      <c r="F4089" s="106"/>
      <c r="G4089" s="106"/>
      <c r="H4089" s="107"/>
      <c r="I4089" s="95"/>
      <c r="J4089" s="706"/>
      <c r="K4089" s="769"/>
      <c r="L4089" s="706"/>
      <c r="M4089" s="781"/>
      <c r="N4089" s="182"/>
      <c r="O4089" s="188"/>
      <c r="P4089" s="221"/>
      <c r="Q4089" s="106"/>
      <c r="R4089" s="108"/>
      <c r="S4089" s="108"/>
      <c r="T4089" s="108"/>
      <c r="U4089" s="108" t="str">
        <f>IFERROR(VLOOKUP(CONCATENATE(Tabla1[[#This Row],[Severidad]]," ",Tabla1[[#This Row],[Complejidad]]),Catalogos!E$120:G$128,3,FALSE),"")</f>
        <v/>
      </c>
      <c r="V4089" s="108" t="str">
        <f>IF(Tabla1[[#This Row],[Tiempo solución max (hrs)]]&lt;&gt;"",IF(Tabla1[[#This Row],[Tiempo solución max (hrs)]]&gt;=Tabla1[[#This Row],[Tiempo
(Hrs 00/100)]],"cumple","no cumple"),"")</f>
        <v/>
      </c>
      <c r="W4089" s="17"/>
      <c r="X4089" s="18">
        <f t="shared" si="253"/>
        <v>0</v>
      </c>
      <c r="Y4089" t="str">
        <f>SUBSTITUTE(Tabla1[[#This Row],[Descripción]],CHAR(10),"    I    ")</f>
        <v/>
      </c>
      <c r="Z4089" s="112" t="e">
        <f>VLOOKUP(Tabla1[[#This Row],[Perfil]],Catalogos!$B$75:$D$100,3,FALSE)*Tabla1[[#This Row],[Tiempo
(Hrs 00/100)]]*1.16</f>
        <v>#N/A</v>
      </c>
    </row>
    <row r="4090" spans="1:26" ht="30" customHeight="1" x14ac:dyDescent="0.3">
      <c r="A4090" s="106"/>
      <c r="B4090" s="106"/>
      <c r="C4090" s="106"/>
      <c r="D4090" s="106"/>
      <c r="E4090" s="106"/>
      <c r="F4090" s="106"/>
      <c r="G4090" s="106"/>
      <c r="H4090" s="107"/>
      <c r="I4090" s="95"/>
      <c r="J4090" s="706"/>
      <c r="K4090" s="769"/>
      <c r="L4090" s="706"/>
      <c r="M4090" s="781"/>
      <c r="N4090" s="182"/>
      <c r="O4090" s="188"/>
      <c r="P4090" s="221"/>
      <c r="Q4090" s="106"/>
      <c r="R4090" s="108"/>
      <c r="S4090" s="108"/>
      <c r="T4090" s="108"/>
      <c r="U4090" s="108" t="str">
        <f>IFERROR(VLOOKUP(CONCATENATE(Tabla1[[#This Row],[Severidad]]," ",Tabla1[[#This Row],[Complejidad]]),Catalogos!E$120:G$128,3,FALSE),"")</f>
        <v/>
      </c>
      <c r="V4090" s="108" t="str">
        <f>IF(Tabla1[[#This Row],[Tiempo solución max (hrs)]]&lt;&gt;"",IF(Tabla1[[#This Row],[Tiempo solución max (hrs)]]&gt;=Tabla1[[#This Row],[Tiempo
(Hrs 00/100)]],"cumple","no cumple"),"")</f>
        <v/>
      </c>
      <c r="W4090" s="17"/>
      <c r="X4090" s="18">
        <f t="shared" si="253"/>
        <v>0</v>
      </c>
      <c r="Y4090" t="str">
        <f>SUBSTITUTE(Tabla1[[#This Row],[Descripción]],CHAR(10),"    I    ")</f>
        <v/>
      </c>
      <c r="Z4090" s="112" t="e">
        <f>VLOOKUP(Tabla1[[#This Row],[Perfil]],Catalogos!$B$75:$D$100,3,FALSE)*Tabla1[[#This Row],[Tiempo
(Hrs 00/100)]]*1.16</f>
        <v>#N/A</v>
      </c>
    </row>
    <row r="4091" spans="1:26" ht="30" customHeight="1" x14ac:dyDescent="0.3">
      <c r="A4091" s="106"/>
      <c r="B4091" s="106"/>
      <c r="C4091" s="106"/>
      <c r="D4091" s="106"/>
      <c r="E4091" s="106"/>
      <c r="F4091" s="106"/>
      <c r="G4091" s="106"/>
      <c r="H4091" s="107"/>
      <c r="I4091" s="95"/>
      <c r="J4091" s="706"/>
      <c r="K4091" s="769"/>
      <c r="L4091" s="706"/>
      <c r="M4091" s="781"/>
      <c r="N4091" s="182"/>
      <c r="O4091" s="188"/>
      <c r="P4091" s="221"/>
      <c r="Q4091" s="106"/>
      <c r="R4091" s="108"/>
      <c r="S4091" s="108"/>
      <c r="T4091" s="108"/>
      <c r="U4091" s="108" t="str">
        <f>IFERROR(VLOOKUP(CONCATENATE(Tabla1[[#This Row],[Severidad]]," ",Tabla1[[#This Row],[Complejidad]]),Catalogos!E$120:G$128,3,FALSE),"")</f>
        <v/>
      </c>
      <c r="V4091" s="108" t="str">
        <f>IF(Tabla1[[#This Row],[Tiempo solución max (hrs)]]&lt;&gt;"",IF(Tabla1[[#This Row],[Tiempo solución max (hrs)]]&gt;=Tabla1[[#This Row],[Tiempo
(Hrs 00/100)]],"cumple","no cumple"),"")</f>
        <v/>
      </c>
      <c r="W4091" s="17"/>
      <c r="X4091" s="18">
        <f t="shared" si="253"/>
        <v>0</v>
      </c>
      <c r="Y4091" t="str">
        <f>SUBSTITUTE(Tabla1[[#This Row],[Descripción]],CHAR(10),"    I    ")</f>
        <v/>
      </c>
      <c r="Z4091" s="112" t="e">
        <f>VLOOKUP(Tabla1[[#This Row],[Perfil]],Catalogos!$B$75:$D$100,3,FALSE)*Tabla1[[#This Row],[Tiempo
(Hrs 00/100)]]*1.16</f>
        <v>#N/A</v>
      </c>
    </row>
    <row r="4092" spans="1:26" ht="30" customHeight="1" x14ac:dyDescent="0.3">
      <c r="A4092" s="106"/>
      <c r="B4092" s="106"/>
      <c r="C4092" s="106"/>
      <c r="D4092" s="106"/>
      <c r="E4092" s="106"/>
      <c r="F4092" s="106"/>
      <c r="G4092" s="106"/>
      <c r="H4092" s="107"/>
      <c r="I4092" s="95"/>
      <c r="J4092" s="706"/>
      <c r="K4092" s="769"/>
      <c r="L4092" s="706"/>
      <c r="M4092" s="781"/>
      <c r="N4092" s="182"/>
      <c r="O4092" s="188"/>
      <c r="P4092" s="221"/>
      <c r="Q4092" s="106"/>
      <c r="R4092" s="108"/>
      <c r="S4092" s="108"/>
      <c r="T4092" s="108"/>
      <c r="U4092" s="108" t="str">
        <f>IFERROR(VLOOKUP(CONCATENATE(Tabla1[[#This Row],[Severidad]]," ",Tabla1[[#This Row],[Complejidad]]),Catalogos!E$120:G$128,3,FALSE),"")</f>
        <v/>
      </c>
      <c r="V4092" s="108" t="str">
        <f>IF(Tabla1[[#This Row],[Tiempo solución max (hrs)]]&lt;&gt;"",IF(Tabla1[[#This Row],[Tiempo solución max (hrs)]]&gt;=Tabla1[[#This Row],[Tiempo
(Hrs 00/100)]],"cumple","no cumple"),"")</f>
        <v/>
      </c>
      <c r="W4092" s="17"/>
      <c r="X4092" s="18">
        <f t="shared" si="253"/>
        <v>0</v>
      </c>
      <c r="Y4092" t="str">
        <f>SUBSTITUTE(Tabla1[[#This Row],[Descripción]],CHAR(10),"    I    ")</f>
        <v/>
      </c>
      <c r="Z4092" s="112" t="e">
        <f>VLOOKUP(Tabla1[[#This Row],[Perfil]],Catalogos!$B$75:$D$100,3,FALSE)*Tabla1[[#This Row],[Tiempo
(Hrs 00/100)]]*1.16</f>
        <v>#N/A</v>
      </c>
    </row>
    <row r="4093" spans="1:26" ht="30" customHeight="1" x14ac:dyDescent="0.3">
      <c r="A4093" s="106"/>
      <c r="B4093" s="106"/>
      <c r="C4093" s="106"/>
      <c r="D4093" s="106"/>
      <c r="E4093" s="106"/>
      <c r="F4093" s="106"/>
      <c r="G4093" s="106"/>
      <c r="H4093" s="107"/>
      <c r="I4093" s="95"/>
      <c r="J4093" s="706"/>
      <c r="K4093" s="769"/>
      <c r="L4093" s="706"/>
      <c r="M4093" s="781"/>
      <c r="N4093" s="182"/>
      <c r="O4093" s="188"/>
      <c r="P4093" s="221"/>
      <c r="Q4093" s="106"/>
      <c r="R4093" s="108"/>
      <c r="S4093" s="108"/>
      <c r="T4093" s="108"/>
      <c r="U4093" s="108" t="str">
        <f>IFERROR(VLOOKUP(CONCATENATE(Tabla1[[#This Row],[Severidad]]," ",Tabla1[[#This Row],[Complejidad]]),Catalogos!E$120:G$128,3,FALSE),"")</f>
        <v/>
      </c>
      <c r="V4093" s="108" t="str">
        <f>IF(Tabla1[[#This Row],[Tiempo solución max (hrs)]]&lt;&gt;"",IF(Tabla1[[#This Row],[Tiempo solución max (hrs)]]&gt;=Tabla1[[#This Row],[Tiempo
(Hrs 00/100)]],"cumple","no cumple"),"")</f>
        <v/>
      </c>
      <c r="W4093" s="17"/>
      <c r="X4093" s="18">
        <f t="shared" si="253"/>
        <v>0</v>
      </c>
      <c r="Y4093" t="str">
        <f>SUBSTITUTE(Tabla1[[#This Row],[Descripción]],CHAR(10),"    I    ")</f>
        <v/>
      </c>
      <c r="Z4093" s="112" t="e">
        <f>VLOOKUP(Tabla1[[#This Row],[Perfil]],Catalogos!$B$75:$D$100,3,FALSE)*Tabla1[[#This Row],[Tiempo
(Hrs 00/100)]]*1.16</f>
        <v>#N/A</v>
      </c>
    </row>
    <row r="4094" spans="1:26" ht="30" customHeight="1" x14ac:dyDescent="0.3">
      <c r="A4094" s="106"/>
      <c r="B4094" s="106"/>
      <c r="C4094" s="106"/>
      <c r="D4094" s="106"/>
      <c r="E4094" s="106"/>
      <c r="F4094" s="106"/>
      <c r="G4094" s="106"/>
      <c r="H4094" s="107"/>
      <c r="I4094" s="95"/>
      <c r="J4094" s="706"/>
      <c r="K4094" s="769"/>
      <c r="L4094" s="706"/>
      <c r="M4094" s="781"/>
      <c r="N4094" s="182"/>
      <c r="O4094" s="188"/>
      <c r="P4094" s="221"/>
      <c r="Q4094" s="106"/>
      <c r="R4094" s="108"/>
      <c r="S4094" s="108"/>
      <c r="T4094" s="108"/>
      <c r="U4094" s="108" t="str">
        <f>IFERROR(VLOOKUP(CONCATENATE(Tabla1[[#This Row],[Severidad]]," ",Tabla1[[#This Row],[Complejidad]]),Catalogos!E$120:G$128,3,FALSE),"")</f>
        <v/>
      </c>
      <c r="V4094" s="108" t="str">
        <f>IF(Tabla1[[#This Row],[Tiempo solución max (hrs)]]&lt;&gt;"",IF(Tabla1[[#This Row],[Tiempo solución max (hrs)]]&gt;=Tabla1[[#This Row],[Tiempo
(Hrs 00/100)]],"cumple","no cumple"),"")</f>
        <v/>
      </c>
      <c r="W4094" s="17"/>
      <c r="X4094" s="18">
        <f t="shared" si="253"/>
        <v>0</v>
      </c>
      <c r="Y4094" t="str">
        <f>SUBSTITUTE(Tabla1[[#This Row],[Descripción]],CHAR(10),"    I    ")</f>
        <v/>
      </c>
      <c r="Z4094" s="112" t="e">
        <f>VLOOKUP(Tabla1[[#This Row],[Perfil]],Catalogos!$B$75:$D$100,3,FALSE)*Tabla1[[#This Row],[Tiempo
(Hrs 00/100)]]*1.16</f>
        <v>#N/A</v>
      </c>
    </row>
    <row r="4095" spans="1:26" ht="30" customHeight="1" x14ac:dyDescent="0.3">
      <c r="A4095" s="106"/>
      <c r="B4095" s="106"/>
      <c r="C4095" s="106"/>
      <c r="D4095" s="106"/>
      <c r="E4095" s="106"/>
      <c r="F4095" s="106"/>
      <c r="G4095" s="106"/>
      <c r="H4095" s="107"/>
      <c r="I4095" s="95"/>
      <c r="J4095" s="706"/>
      <c r="K4095" s="769"/>
      <c r="L4095" s="706"/>
      <c r="M4095" s="781"/>
      <c r="N4095" s="182"/>
      <c r="O4095" s="188"/>
      <c r="P4095" s="221"/>
      <c r="Q4095" s="106"/>
      <c r="R4095" s="108"/>
      <c r="S4095" s="108"/>
      <c r="T4095" s="108"/>
      <c r="U4095" s="108" t="str">
        <f>IFERROR(VLOOKUP(CONCATENATE(Tabla1[[#This Row],[Severidad]]," ",Tabla1[[#This Row],[Complejidad]]),Catalogos!E$120:G$128,3,FALSE),"")</f>
        <v/>
      </c>
      <c r="V4095" s="108" t="str">
        <f>IF(Tabla1[[#This Row],[Tiempo solución max (hrs)]]&lt;&gt;"",IF(Tabla1[[#This Row],[Tiempo solución max (hrs)]]&gt;=Tabla1[[#This Row],[Tiempo
(Hrs 00/100)]],"cumple","no cumple"),"")</f>
        <v/>
      </c>
      <c r="W4095" s="17"/>
      <c r="X4095" s="18">
        <f t="shared" si="253"/>
        <v>0</v>
      </c>
      <c r="Y4095" t="str">
        <f>SUBSTITUTE(Tabla1[[#This Row],[Descripción]],CHAR(10),"    I    ")</f>
        <v/>
      </c>
      <c r="Z4095" s="112" t="e">
        <f>VLOOKUP(Tabla1[[#This Row],[Perfil]],Catalogos!$B$75:$D$100,3,FALSE)*Tabla1[[#This Row],[Tiempo
(Hrs 00/100)]]*1.16</f>
        <v>#N/A</v>
      </c>
    </row>
    <row r="4096" spans="1:26" ht="30" customHeight="1" x14ac:dyDescent="0.3">
      <c r="A4096" s="106"/>
      <c r="B4096" s="106"/>
      <c r="C4096" s="106"/>
      <c r="D4096" s="106"/>
      <c r="E4096" s="106"/>
      <c r="F4096" s="106"/>
      <c r="G4096" s="106"/>
      <c r="H4096" s="107"/>
      <c r="I4096" s="95"/>
      <c r="J4096" s="706"/>
      <c r="K4096" s="769"/>
      <c r="L4096" s="706"/>
      <c r="M4096" s="781"/>
      <c r="N4096" s="182"/>
      <c r="O4096" s="188"/>
      <c r="P4096" s="221"/>
      <c r="Q4096" s="106"/>
      <c r="R4096" s="108"/>
      <c r="S4096" s="108"/>
      <c r="T4096" s="108"/>
      <c r="U4096" s="108" t="str">
        <f>IFERROR(VLOOKUP(CONCATENATE(Tabla1[[#This Row],[Severidad]]," ",Tabla1[[#This Row],[Complejidad]]),Catalogos!E$120:G$128,3,FALSE),"")</f>
        <v/>
      </c>
      <c r="V4096" s="108" t="str">
        <f>IF(Tabla1[[#This Row],[Tiempo solución max (hrs)]]&lt;&gt;"",IF(Tabla1[[#This Row],[Tiempo solución max (hrs)]]&gt;=Tabla1[[#This Row],[Tiempo
(Hrs 00/100)]],"cumple","no cumple"),"")</f>
        <v/>
      </c>
      <c r="W4096" s="17"/>
      <c r="X4096" s="18">
        <f t="shared" si="253"/>
        <v>0</v>
      </c>
      <c r="Y4096" t="str">
        <f>SUBSTITUTE(Tabla1[[#This Row],[Descripción]],CHAR(10),"    I    ")</f>
        <v/>
      </c>
      <c r="Z4096" s="112" t="e">
        <f>VLOOKUP(Tabla1[[#This Row],[Perfil]],Catalogos!$B$75:$D$100,3,FALSE)*Tabla1[[#This Row],[Tiempo
(Hrs 00/100)]]*1.16</f>
        <v>#N/A</v>
      </c>
    </row>
    <row r="4097" spans="1:26" ht="30" customHeight="1" x14ac:dyDescent="0.3">
      <c r="A4097" s="106"/>
      <c r="B4097" s="106"/>
      <c r="C4097" s="106"/>
      <c r="D4097" s="106"/>
      <c r="E4097" s="106"/>
      <c r="F4097" s="106"/>
      <c r="G4097" s="106"/>
      <c r="H4097" s="107"/>
      <c r="I4097" s="95"/>
      <c r="J4097" s="706"/>
      <c r="K4097" s="769"/>
      <c r="L4097" s="706"/>
      <c r="M4097" s="781"/>
      <c r="N4097" s="182"/>
      <c r="O4097" s="188"/>
      <c r="P4097" s="221"/>
      <c r="Q4097" s="106"/>
      <c r="R4097" s="108"/>
      <c r="S4097" s="108"/>
      <c r="T4097" s="108"/>
      <c r="U4097" s="108" t="str">
        <f>IFERROR(VLOOKUP(CONCATENATE(Tabla1[[#This Row],[Severidad]]," ",Tabla1[[#This Row],[Complejidad]]),Catalogos!E$120:G$128,3,FALSE),"")</f>
        <v/>
      </c>
      <c r="V4097" s="108" t="str">
        <f>IF(Tabla1[[#This Row],[Tiempo solución max (hrs)]]&lt;&gt;"",IF(Tabla1[[#This Row],[Tiempo solución max (hrs)]]&gt;=Tabla1[[#This Row],[Tiempo
(Hrs 00/100)]],"cumple","no cumple"),"")</f>
        <v/>
      </c>
      <c r="W4097" s="17"/>
      <c r="X4097" s="18">
        <f t="shared" si="253"/>
        <v>0</v>
      </c>
      <c r="Y4097" t="str">
        <f>SUBSTITUTE(Tabla1[[#This Row],[Descripción]],CHAR(10),"    I    ")</f>
        <v/>
      </c>
      <c r="Z4097" s="112" t="e">
        <f>VLOOKUP(Tabla1[[#This Row],[Perfil]],Catalogos!$B$75:$D$100,3,FALSE)*Tabla1[[#This Row],[Tiempo
(Hrs 00/100)]]*1.16</f>
        <v>#N/A</v>
      </c>
    </row>
    <row r="4098" spans="1:26" ht="30" customHeight="1" x14ac:dyDescent="0.3">
      <c r="A4098" s="106"/>
      <c r="B4098" s="106"/>
      <c r="C4098" s="106"/>
      <c r="D4098" s="106"/>
      <c r="E4098" s="106"/>
      <c r="F4098" s="106"/>
      <c r="G4098" s="106"/>
      <c r="H4098" s="107"/>
      <c r="I4098" s="95"/>
      <c r="J4098" s="706"/>
      <c r="K4098" s="769"/>
      <c r="L4098" s="706"/>
      <c r="M4098" s="781"/>
      <c r="N4098" s="182"/>
      <c r="O4098" s="188"/>
      <c r="P4098" s="221"/>
      <c r="Q4098" s="106"/>
      <c r="R4098" s="108"/>
      <c r="S4098" s="108"/>
      <c r="T4098" s="108"/>
      <c r="U4098" s="108" t="str">
        <f>IFERROR(VLOOKUP(CONCATENATE(Tabla1[[#This Row],[Severidad]]," ",Tabla1[[#This Row],[Complejidad]]),Catalogos!E$120:G$128,3,FALSE),"")</f>
        <v/>
      </c>
      <c r="V4098" s="108" t="str">
        <f>IF(Tabla1[[#This Row],[Tiempo solución max (hrs)]]&lt;&gt;"",IF(Tabla1[[#This Row],[Tiempo solución max (hrs)]]&gt;=Tabla1[[#This Row],[Tiempo
(Hrs 00/100)]],"cumple","no cumple"),"")</f>
        <v/>
      </c>
      <c r="W4098" s="17"/>
      <c r="X4098" s="18">
        <f t="shared" si="253"/>
        <v>0</v>
      </c>
      <c r="Y4098" t="str">
        <f>SUBSTITUTE(Tabla1[[#This Row],[Descripción]],CHAR(10),"    I    ")</f>
        <v/>
      </c>
      <c r="Z4098" s="112" t="e">
        <f>VLOOKUP(Tabla1[[#This Row],[Perfil]],Catalogos!$B$75:$D$100,3,FALSE)*Tabla1[[#This Row],[Tiempo
(Hrs 00/100)]]*1.16</f>
        <v>#N/A</v>
      </c>
    </row>
    <row r="4099" spans="1:26" ht="30" customHeight="1" x14ac:dyDescent="0.3">
      <c r="A4099" s="106"/>
      <c r="B4099" s="106"/>
      <c r="C4099" s="106"/>
      <c r="D4099" s="106"/>
      <c r="E4099" s="106"/>
      <c r="F4099" s="106"/>
      <c r="G4099" s="106"/>
      <c r="H4099" s="107"/>
      <c r="I4099" s="95"/>
      <c r="J4099" s="706"/>
      <c r="K4099" s="769"/>
      <c r="L4099" s="706"/>
      <c r="M4099" s="781"/>
      <c r="N4099" s="182"/>
      <c r="O4099" s="188"/>
      <c r="P4099" s="221"/>
      <c r="Q4099" s="106"/>
      <c r="R4099" s="108"/>
      <c r="S4099" s="108"/>
      <c r="T4099" s="108"/>
      <c r="U4099" s="108" t="str">
        <f>IFERROR(VLOOKUP(CONCATENATE(Tabla1[[#This Row],[Severidad]]," ",Tabla1[[#This Row],[Complejidad]]),Catalogos!E$120:G$128,3,FALSE),"")</f>
        <v/>
      </c>
      <c r="V4099" s="108" t="str">
        <f>IF(Tabla1[[#This Row],[Tiempo solución max (hrs)]]&lt;&gt;"",IF(Tabla1[[#This Row],[Tiempo solución max (hrs)]]&gt;=Tabla1[[#This Row],[Tiempo
(Hrs 00/100)]],"cumple","no cumple"),"")</f>
        <v/>
      </c>
      <c r="W4099" s="17"/>
      <c r="X4099" s="18">
        <f t="shared" ref="X4099:X4162" si="254">IF(C4099&lt;&gt;"",C4099,D4099)</f>
        <v>0</v>
      </c>
      <c r="Y4099" t="str">
        <f>SUBSTITUTE(Tabla1[[#This Row],[Descripción]],CHAR(10),"    I    ")</f>
        <v/>
      </c>
      <c r="Z4099" s="112" t="e">
        <f>VLOOKUP(Tabla1[[#This Row],[Perfil]],Catalogos!$B$75:$D$100,3,FALSE)*Tabla1[[#This Row],[Tiempo
(Hrs 00/100)]]*1.16</f>
        <v>#N/A</v>
      </c>
    </row>
    <row r="4100" spans="1:26" ht="30" customHeight="1" x14ac:dyDescent="0.3">
      <c r="A4100" s="106"/>
      <c r="B4100" s="106"/>
      <c r="C4100" s="106"/>
      <c r="D4100" s="106"/>
      <c r="E4100" s="106"/>
      <c r="F4100" s="106"/>
      <c r="G4100" s="106"/>
      <c r="H4100" s="107"/>
      <c r="I4100" s="95"/>
      <c r="J4100" s="706"/>
      <c r="K4100" s="769"/>
      <c r="L4100" s="706"/>
      <c r="M4100" s="781"/>
      <c r="N4100" s="182"/>
      <c r="O4100" s="188"/>
      <c r="P4100" s="221"/>
      <c r="Q4100" s="106"/>
      <c r="R4100" s="108"/>
      <c r="S4100" s="108"/>
      <c r="T4100" s="108"/>
      <c r="U4100" s="108" t="str">
        <f>IFERROR(VLOOKUP(CONCATENATE(Tabla1[[#This Row],[Severidad]]," ",Tabla1[[#This Row],[Complejidad]]),Catalogos!E$120:G$128,3,FALSE),"")</f>
        <v/>
      </c>
      <c r="V4100" s="108" t="str">
        <f>IF(Tabla1[[#This Row],[Tiempo solución max (hrs)]]&lt;&gt;"",IF(Tabla1[[#This Row],[Tiempo solución max (hrs)]]&gt;=Tabla1[[#This Row],[Tiempo
(Hrs 00/100)]],"cumple","no cumple"),"")</f>
        <v/>
      </c>
      <c r="W4100" s="17"/>
      <c r="X4100" s="18">
        <f t="shared" si="254"/>
        <v>0</v>
      </c>
      <c r="Y4100" t="str">
        <f>SUBSTITUTE(Tabla1[[#This Row],[Descripción]],CHAR(10),"    I    ")</f>
        <v/>
      </c>
      <c r="Z4100" s="112" t="e">
        <f>VLOOKUP(Tabla1[[#This Row],[Perfil]],Catalogos!$B$75:$D$100,3,FALSE)*Tabla1[[#This Row],[Tiempo
(Hrs 00/100)]]*1.16</f>
        <v>#N/A</v>
      </c>
    </row>
    <row r="4101" spans="1:26" ht="30" customHeight="1" x14ac:dyDescent="0.3">
      <c r="A4101" s="106"/>
      <c r="B4101" s="106"/>
      <c r="C4101" s="106"/>
      <c r="D4101" s="106"/>
      <c r="E4101" s="106"/>
      <c r="F4101" s="106"/>
      <c r="G4101" s="106"/>
      <c r="H4101" s="107"/>
      <c r="I4101" s="95"/>
      <c r="J4101" s="706"/>
      <c r="K4101" s="769"/>
      <c r="L4101" s="706"/>
      <c r="M4101" s="781"/>
      <c r="N4101" s="182"/>
      <c r="O4101" s="188"/>
      <c r="P4101" s="221"/>
      <c r="Q4101" s="106"/>
      <c r="R4101" s="108"/>
      <c r="S4101" s="108"/>
      <c r="T4101" s="108"/>
      <c r="U4101" s="108" t="str">
        <f>IFERROR(VLOOKUP(CONCATENATE(Tabla1[[#This Row],[Severidad]]," ",Tabla1[[#This Row],[Complejidad]]),Catalogos!E$120:G$128,3,FALSE),"")</f>
        <v/>
      </c>
      <c r="V4101" s="108" t="str">
        <f>IF(Tabla1[[#This Row],[Tiempo solución max (hrs)]]&lt;&gt;"",IF(Tabla1[[#This Row],[Tiempo solución max (hrs)]]&gt;=Tabla1[[#This Row],[Tiempo
(Hrs 00/100)]],"cumple","no cumple"),"")</f>
        <v/>
      </c>
      <c r="W4101" s="17"/>
      <c r="X4101" s="18">
        <f t="shared" si="254"/>
        <v>0</v>
      </c>
      <c r="Y4101" t="str">
        <f>SUBSTITUTE(Tabla1[[#This Row],[Descripción]],CHAR(10),"    I    ")</f>
        <v/>
      </c>
      <c r="Z4101" s="112" t="e">
        <f>VLOOKUP(Tabla1[[#This Row],[Perfil]],Catalogos!$B$75:$D$100,3,FALSE)*Tabla1[[#This Row],[Tiempo
(Hrs 00/100)]]*1.16</f>
        <v>#N/A</v>
      </c>
    </row>
    <row r="4102" spans="1:26" ht="30" customHeight="1" x14ac:dyDescent="0.3">
      <c r="A4102" s="106"/>
      <c r="B4102" s="106"/>
      <c r="C4102" s="106"/>
      <c r="D4102" s="106"/>
      <c r="E4102" s="106"/>
      <c r="F4102" s="106"/>
      <c r="G4102" s="106"/>
      <c r="H4102" s="107"/>
      <c r="I4102" s="95"/>
      <c r="J4102" s="706"/>
      <c r="K4102" s="769"/>
      <c r="L4102" s="706"/>
      <c r="M4102" s="781"/>
      <c r="N4102" s="182"/>
      <c r="O4102" s="188"/>
      <c r="P4102" s="221"/>
      <c r="Q4102" s="106"/>
      <c r="R4102" s="108"/>
      <c r="S4102" s="108"/>
      <c r="T4102" s="108"/>
      <c r="U4102" s="108" t="str">
        <f>IFERROR(VLOOKUP(CONCATENATE(Tabla1[[#This Row],[Severidad]]," ",Tabla1[[#This Row],[Complejidad]]),Catalogos!E$120:G$128,3,FALSE),"")</f>
        <v/>
      </c>
      <c r="V4102" s="108" t="str">
        <f>IF(Tabla1[[#This Row],[Tiempo solución max (hrs)]]&lt;&gt;"",IF(Tabla1[[#This Row],[Tiempo solución max (hrs)]]&gt;=Tabla1[[#This Row],[Tiempo
(Hrs 00/100)]],"cumple","no cumple"),"")</f>
        <v/>
      </c>
      <c r="W4102" s="17"/>
      <c r="X4102" s="18">
        <f t="shared" si="254"/>
        <v>0</v>
      </c>
      <c r="Y4102" t="str">
        <f>SUBSTITUTE(Tabla1[[#This Row],[Descripción]],CHAR(10),"    I    ")</f>
        <v/>
      </c>
      <c r="Z4102" s="112" t="e">
        <f>VLOOKUP(Tabla1[[#This Row],[Perfil]],Catalogos!$B$75:$D$100,3,FALSE)*Tabla1[[#This Row],[Tiempo
(Hrs 00/100)]]*1.16</f>
        <v>#N/A</v>
      </c>
    </row>
    <row r="4103" spans="1:26" ht="30" customHeight="1" x14ac:dyDescent="0.3">
      <c r="A4103" s="106"/>
      <c r="B4103" s="106"/>
      <c r="C4103" s="106"/>
      <c r="D4103" s="106"/>
      <c r="E4103" s="106"/>
      <c r="F4103" s="106"/>
      <c r="G4103" s="106"/>
      <c r="H4103" s="107"/>
      <c r="I4103" s="95"/>
      <c r="J4103" s="706"/>
      <c r="K4103" s="769"/>
      <c r="L4103" s="706"/>
      <c r="M4103" s="781"/>
      <c r="N4103" s="182"/>
      <c r="O4103" s="188"/>
      <c r="P4103" s="221"/>
      <c r="Q4103" s="106"/>
      <c r="R4103" s="108"/>
      <c r="S4103" s="108"/>
      <c r="T4103" s="108"/>
      <c r="U4103" s="108" t="str">
        <f>IFERROR(VLOOKUP(CONCATENATE(Tabla1[[#This Row],[Severidad]]," ",Tabla1[[#This Row],[Complejidad]]),Catalogos!E$120:G$128,3,FALSE),"")</f>
        <v/>
      </c>
      <c r="V4103" s="108" t="str">
        <f>IF(Tabla1[[#This Row],[Tiempo solución max (hrs)]]&lt;&gt;"",IF(Tabla1[[#This Row],[Tiempo solución max (hrs)]]&gt;=Tabla1[[#This Row],[Tiempo
(Hrs 00/100)]],"cumple","no cumple"),"")</f>
        <v/>
      </c>
      <c r="W4103" s="17"/>
      <c r="X4103" s="18">
        <f t="shared" si="254"/>
        <v>0</v>
      </c>
      <c r="Y4103" t="str">
        <f>SUBSTITUTE(Tabla1[[#This Row],[Descripción]],CHAR(10),"    I    ")</f>
        <v/>
      </c>
      <c r="Z4103" s="112" t="e">
        <f>VLOOKUP(Tabla1[[#This Row],[Perfil]],Catalogos!$B$75:$D$100,3,FALSE)*Tabla1[[#This Row],[Tiempo
(Hrs 00/100)]]*1.16</f>
        <v>#N/A</v>
      </c>
    </row>
    <row r="4104" spans="1:26" ht="30" customHeight="1" x14ac:dyDescent="0.3">
      <c r="A4104" s="106"/>
      <c r="B4104" s="106"/>
      <c r="C4104" s="106"/>
      <c r="D4104" s="106"/>
      <c r="E4104" s="106"/>
      <c r="F4104" s="106"/>
      <c r="G4104" s="106"/>
      <c r="H4104" s="107"/>
      <c r="I4104" s="95"/>
      <c r="J4104" s="706"/>
      <c r="K4104" s="769"/>
      <c r="L4104" s="706"/>
      <c r="M4104" s="781"/>
      <c r="N4104" s="182"/>
      <c r="O4104" s="188"/>
      <c r="P4104" s="221"/>
      <c r="Q4104" s="106"/>
      <c r="R4104" s="108"/>
      <c r="S4104" s="108"/>
      <c r="T4104" s="108"/>
      <c r="U4104" s="108" t="str">
        <f>IFERROR(VLOOKUP(CONCATENATE(Tabla1[[#This Row],[Severidad]]," ",Tabla1[[#This Row],[Complejidad]]),Catalogos!E$120:G$128,3,FALSE),"")</f>
        <v/>
      </c>
      <c r="V4104" s="108" t="str">
        <f>IF(Tabla1[[#This Row],[Tiempo solución max (hrs)]]&lt;&gt;"",IF(Tabla1[[#This Row],[Tiempo solución max (hrs)]]&gt;=Tabla1[[#This Row],[Tiempo
(Hrs 00/100)]],"cumple","no cumple"),"")</f>
        <v/>
      </c>
      <c r="W4104" s="17"/>
      <c r="X4104" s="18">
        <f t="shared" si="254"/>
        <v>0</v>
      </c>
      <c r="Y4104" t="str">
        <f>SUBSTITUTE(Tabla1[[#This Row],[Descripción]],CHAR(10),"    I    ")</f>
        <v/>
      </c>
      <c r="Z4104" s="112" t="e">
        <f>VLOOKUP(Tabla1[[#This Row],[Perfil]],Catalogos!$B$75:$D$100,3,FALSE)*Tabla1[[#This Row],[Tiempo
(Hrs 00/100)]]*1.16</f>
        <v>#N/A</v>
      </c>
    </row>
    <row r="4105" spans="1:26" ht="30" customHeight="1" x14ac:dyDescent="0.3">
      <c r="A4105" s="106"/>
      <c r="B4105" s="106"/>
      <c r="C4105" s="106"/>
      <c r="D4105" s="106"/>
      <c r="E4105" s="106"/>
      <c r="F4105" s="106"/>
      <c r="G4105" s="106"/>
      <c r="H4105" s="107"/>
      <c r="I4105" s="95"/>
      <c r="J4105" s="706"/>
      <c r="K4105" s="769"/>
      <c r="L4105" s="706"/>
      <c r="M4105" s="781"/>
      <c r="N4105" s="182"/>
      <c r="O4105" s="188"/>
      <c r="P4105" s="221"/>
      <c r="Q4105" s="106"/>
      <c r="R4105" s="108"/>
      <c r="S4105" s="108"/>
      <c r="T4105" s="108"/>
      <c r="U4105" s="108" t="str">
        <f>IFERROR(VLOOKUP(CONCATENATE(Tabla1[[#This Row],[Severidad]]," ",Tabla1[[#This Row],[Complejidad]]),Catalogos!E$120:G$128,3,FALSE),"")</f>
        <v/>
      </c>
      <c r="V4105" s="108" t="str">
        <f>IF(Tabla1[[#This Row],[Tiempo solución max (hrs)]]&lt;&gt;"",IF(Tabla1[[#This Row],[Tiempo solución max (hrs)]]&gt;=Tabla1[[#This Row],[Tiempo
(Hrs 00/100)]],"cumple","no cumple"),"")</f>
        <v/>
      </c>
      <c r="W4105" s="17"/>
      <c r="X4105" s="18">
        <f t="shared" si="254"/>
        <v>0</v>
      </c>
      <c r="Y4105" t="str">
        <f>SUBSTITUTE(Tabla1[[#This Row],[Descripción]],CHAR(10),"    I    ")</f>
        <v/>
      </c>
      <c r="Z4105" s="112" t="e">
        <f>VLOOKUP(Tabla1[[#This Row],[Perfil]],Catalogos!$B$75:$D$100,3,FALSE)*Tabla1[[#This Row],[Tiempo
(Hrs 00/100)]]*1.16</f>
        <v>#N/A</v>
      </c>
    </row>
    <row r="4106" spans="1:26" ht="30" customHeight="1" x14ac:dyDescent="0.3">
      <c r="A4106" s="106"/>
      <c r="B4106" s="106"/>
      <c r="C4106" s="106"/>
      <c r="D4106" s="106"/>
      <c r="E4106" s="106"/>
      <c r="F4106" s="106"/>
      <c r="G4106" s="106"/>
      <c r="H4106" s="107"/>
      <c r="I4106" s="95"/>
      <c r="J4106" s="706"/>
      <c r="K4106" s="769"/>
      <c r="L4106" s="706"/>
      <c r="M4106" s="781"/>
      <c r="N4106" s="182"/>
      <c r="O4106" s="188"/>
      <c r="P4106" s="221"/>
      <c r="Q4106" s="106"/>
      <c r="R4106" s="108"/>
      <c r="S4106" s="108"/>
      <c r="T4106" s="108"/>
      <c r="U4106" s="108" t="str">
        <f>IFERROR(VLOOKUP(CONCATENATE(Tabla1[[#This Row],[Severidad]]," ",Tabla1[[#This Row],[Complejidad]]),Catalogos!E$120:G$128,3,FALSE),"")</f>
        <v/>
      </c>
      <c r="V4106" s="108" t="str">
        <f>IF(Tabla1[[#This Row],[Tiempo solución max (hrs)]]&lt;&gt;"",IF(Tabla1[[#This Row],[Tiempo solución max (hrs)]]&gt;=Tabla1[[#This Row],[Tiempo
(Hrs 00/100)]],"cumple","no cumple"),"")</f>
        <v/>
      </c>
      <c r="W4106" s="17"/>
      <c r="X4106" s="18">
        <f t="shared" si="254"/>
        <v>0</v>
      </c>
      <c r="Y4106" t="str">
        <f>SUBSTITUTE(Tabla1[[#This Row],[Descripción]],CHAR(10),"    I    ")</f>
        <v/>
      </c>
      <c r="Z4106" s="112" t="e">
        <f>VLOOKUP(Tabla1[[#This Row],[Perfil]],Catalogos!$B$75:$D$100,3,FALSE)*Tabla1[[#This Row],[Tiempo
(Hrs 00/100)]]*1.16</f>
        <v>#N/A</v>
      </c>
    </row>
    <row r="4107" spans="1:26" ht="30" customHeight="1" x14ac:dyDescent="0.3">
      <c r="A4107" s="106"/>
      <c r="B4107" s="106"/>
      <c r="C4107" s="106"/>
      <c r="D4107" s="106"/>
      <c r="E4107" s="106"/>
      <c r="F4107" s="106"/>
      <c r="G4107" s="106"/>
      <c r="H4107" s="107"/>
      <c r="I4107" s="95"/>
      <c r="J4107" s="706"/>
      <c r="K4107" s="769"/>
      <c r="L4107" s="706"/>
      <c r="M4107" s="781"/>
      <c r="N4107" s="182"/>
      <c r="O4107" s="188"/>
      <c r="P4107" s="221"/>
      <c r="Q4107" s="106"/>
      <c r="R4107" s="108"/>
      <c r="S4107" s="108"/>
      <c r="T4107" s="108"/>
      <c r="U4107" s="108" t="str">
        <f>IFERROR(VLOOKUP(CONCATENATE(Tabla1[[#This Row],[Severidad]]," ",Tabla1[[#This Row],[Complejidad]]),Catalogos!E$120:G$128,3,FALSE),"")</f>
        <v/>
      </c>
      <c r="V4107" s="108" t="str">
        <f>IF(Tabla1[[#This Row],[Tiempo solución max (hrs)]]&lt;&gt;"",IF(Tabla1[[#This Row],[Tiempo solución max (hrs)]]&gt;=Tabla1[[#This Row],[Tiempo
(Hrs 00/100)]],"cumple","no cumple"),"")</f>
        <v/>
      </c>
      <c r="W4107" s="17"/>
      <c r="X4107" s="18">
        <f t="shared" si="254"/>
        <v>0</v>
      </c>
      <c r="Y4107" t="str">
        <f>SUBSTITUTE(Tabla1[[#This Row],[Descripción]],CHAR(10),"    I    ")</f>
        <v/>
      </c>
      <c r="Z4107" s="112" t="e">
        <f>VLOOKUP(Tabla1[[#This Row],[Perfil]],Catalogos!$B$75:$D$100,3,FALSE)*Tabla1[[#This Row],[Tiempo
(Hrs 00/100)]]*1.16</f>
        <v>#N/A</v>
      </c>
    </row>
    <row r="4108" spans="1:26" ht="30" customHeight="1" x14ac:dyDescent="0.3">
      <c r="A4108" s="106"/>
      <c r="B4108" s="106"/>
      <c r="C4108" s="106"/>
      <c r="D4108" s="106"/>
      <c r="E4108" s="106"/>
      <c r="F4108" s="106"/>
      <c r="G4108" s="106"/>
      <c r="H4108" s="107"/>
      <c r="I4108" s="95"/>
      <c r="J4108" s="706"/>
      <c r="K4108" s="769"/>
      <c r="L4108" s="706"/>
      <c r="M4108" s="781"/>
      <c r="N4108" s="182"/>
      <c r="O4108" s="188"/>
      <c r="P4108" s="221"/>
      <c r="Q4108" s="106"/>
      <c r="R4108" s="108"/>
      <c r="S4108" s="108"/>
      <c r="T4108" s="108"/>
      <c r="U4108" s="108" t="str">
        <f>IFERROR(VLOOKUP(CONCATENATE(Tabla1[[#This Row],[Severidad]]," ",Tabla1[[#This Row],[Complejidad]]),Catalogos!E$120:G$128,3,FALSE),"")</f>
        <v/>
      </c>
      <c r="V4108" s="108" t="str">
        <f>IF(Tabla1[[#This Row],[Tiempo solución max (hrs)]]&lt;&gt;"",IF(Tabla1[[#This Row],[Tiempo solución max (hrs)]]&gt;=Tabla1[[#This Row],[Tiempo
(Hrs 00/100)]],"cumple","no cumple"),"")</f>
        <v/>
      </c>
      <c r="W4108" s="17"/>
      <c r="X4108" s="18">
        <f t="shared" si="254"/>
        <v>0</v>
      </c>
      <c r="Y4108" t="str">
        <f>SUBSTITUTE(Tabla1[[#This Row],[Descripción]],CHAR(10),"    I    ")</f>
        <v/>
      </c>
      <c r="Z4108" s="112" t="e">
        <f>VLOOKUP(Tabla1[[#This Row],[Perfil]],Catalogos!$B$75:$D$100,3,FALSE)*Tabla1[[#This Row],[Tiempo
(Hrs 00/100)]]*1.16</f>
        <v>#N/A</v>
      </c>
    </row>
    <row r="4109" spans="1:26" ht="30" customHeight="1" x14ac:dyDescent="0.3">
      <c r="A4109" s="106"/>
      <c r="B4109" s="106"/>
      <c r="C4109" s="106"/>
      <c r="D4109" s="106"/>
      <c r="E4109" s="106"/>
      <c r="F4109" s="106"/>
      <c r="G4109" s="106"/>
      <c r="H4109" s="107"/>
      <c r="I4109" s="95"/>
      <c r="J4109" s="706"/>
      <c r="K4109" s="769"/>
      <c r="L4109" s="706"/>
      <c r="M4109" s="781"/>
      <c r="N4109" s="182"/>
      <c r="O4109" s="188"/>
      <c r="P4109" s="221"/>
      <c r="Q4109" s="106"/>
      <c r="R4109" s="108"/>
      <c r="S4109" s="108"/>
      <c r="T4109" s="108"/>
      <c r="U4109" s="108" t="str">
        <f>IFERROR(VLOOKUP(CONCATENATE(Tabla1[[#This Row],[Severidad]]," ",Tabla1[[#This Row],[Complejidad]]),Catalogos!E$120:G$128,3,FALSE),"")</f>
        <v/>
      </c>
      <c r="V4109" s="108" t="str">
        <f>IF(Tabla1[[#This Row],[Tiempo solución max (hrs)]]&lt;&gt;"",IF(Tabla1[[#This Row],[Tiempo solución max (hrs)]]&gt;=Tabla1[[#This Row],[Tiempo
(Hrs 00/100)]],"cumple","no cumple"),"")</f>
        <v/>
      </c>
      <c r="W4109" s="17"/>
      <c r="X4109" s="18">
        <f t="shared" si="254"/>
        <v>0</v>
      </c>
      <c r="Y4109" t="str">
        <f>SUBSTITUTE(Tabla1[[#This Row],[Descripción]],CHAR(10),"    I    ")</f>
        <v/>
      </c>
      <c r="Z4109" s="112" t="e">
        <f>VLOOKUP(Tabla1[[#This Row],[Perfil]],Catalogos!$B$75:$D$100,3,FALSE)*Tabla1[[#This Row],[Tiempo
(Hrs 00/100)]]*1.16</f>
        <v>#N/A</v>
      </c>
    </row>
    <row r="4110" spans="1:26" ht="30" customHeight="1" x14ac:dyDescent="0.3">
      <c r="A4110" s="106"/>
      <c r="B4110" s="106"/>
      <c r="C4110" s="106"/>
      <c r="D4110" s="106"/>
      <c r="E4110" s="106"/>
      <c r="F4110" s="106"/>
      <c r="G4110" s="106"/>
      <c r="H4110" s="107"/>
      <c r="I4110" s="95"/>
      <c r="J4110" s="706"/>
      <c r="K4110" s="769"/>
      <c r="L4110" s="706"/>
      <c r="M4110" s="781"/>
      <c r="N4110" s="182"/>
      <c r="O4110" s="188"/>
      <c r="P4110" s="221"/>
      <c r="Q4110" s="106"/>
      <c r="R4110" s="108"/>
      <c r="S4110" s="108"/>
      <c r="T4110" s="108"/>
      <c r="U4110" s="108" t="str">
        <f>IFERROR(VLOOKUP(CONCATENATE(Tabla1[[#This Row],[Severidad]]," ",Tabla1[[#This Row],[Complejidad]]),Catalogos!E$120:G$128,3,FALSE),"")</f>
        <v/>
      </c>
      <c r="V4110" s="108" t="str">
        <f>IF(Tabla1[[#This Row],[Tiempo solución max (hrs)]]&lt;&gt;"",IF(Tabla1[[#This Row],[Tiempo solución max (hrs)]]&gt;=Tabla1[[#This Row],[Tiempo
(Hrs 00/100)]],"cumple","no cumple"),"")</f>
        <v/>
      </c>
      <c r="W4110" s="17"/>
      <c r="X4110" s="18">
        <f t="shared" si="254"/>
        <v>0</v>
      </c>
      <c r="Y4110" t="str">
        <f>SUBSTITUTE(Tabla1[[#This Row],[Descripción]],CHAR(10),"    I    ")</f>
        <v/>
      </c>
      <c r="Z4110" s="112" t="e">
        <f>VLOOKUP(Tabla1[[#This Row],[Perfil]],Catalogos!$B$75:$D$100,3,FALSE)*Tabla1[[#This Row],[Tiempo
(Hrs 00/100)]]*1.16</f>
        <v>#N/A</v>
      </c>
    </row>
    <row r="4111" spans="1:26" ht="30" customHeight="1" x14ac:dyDescent="0.3">
      <c r="A4111" s="106"/>
      <c r="B4111" s="106"/>
      <c r="C4111" s="106"/>
      <c r="D4111" s="106"/>
      <c r="E4111" s="106"/>
      <c r="F4111" s="106"/>
      <c r="G4111" s="106"/>
      <c r="H4111" s="107"/>
      <c r="I4111" s="95"/>
      <c r="J4111" s="706"/>
      <c r="K4111" s="769"/>
      <c r="L4111" s="706"/>
      <c r="M4111" s="781"/>
      <c r="N4111" s="182"/>
      <c r="O4111" s="188"/>
      <c r="P4111" s="221"/>
      <c r="Q4111" s="106"/>
      <c r="R4111" s="108"/>
      <c r="S4111" s="108"/>
      <c r="T4111" s="108"/>
      <c r="U4111" s="108" t="str">
        <f>IFERROR(VLOOKUP(CONCATENATE(Tabla1[[#This Row],[Severidad]]," ",Tabla1[[#This Row],[Complejidad]]),Catalogos!E$120:G$128,3,FALSE),"")</f>
        <v/>
      </c>
      <c r="V4111" s="108" t="str">
        <f>IF(Tabla1[[#This Row],[Tiempo solución max (hrs)]]&lt;&gt;"",IF(Tabla1[[#This Row],[Tiempo solución max (hrs)]]&gt;=Tabla1[[#This Row],[Tiempo
(Hrs 00/100)]],"cumple","no cumple"),"")</f>
        <v/>
      </c>
      <c r="W4111" s="17"/>
      <c r="X4111" s="18">
        <f t="shared" si="254"/>
        <v>0</v>
      </c>
      <c r="Y4111" t="str">
        <f>SUBSTITUTE(Tabla1[[#This Row],[Descripción]],CHAR(10),"    I    ")</f>
        <v/>
      </c>
      <c r="Z4111" s="112" t="e">
        <f>VLOOKUP(Tabla1[[#This Row],[Perfil]],Catalogos!$B$75:$D$100,3,FALSE)*Tabla1[[#This Row],[Tiempo
(Hrs 00/100)]]*1.16</f>
        <v>#N/A</v>
      </c>
    </row>
    <row r="4112" spans="1:26" ht="30" customHeight="1" x14ac:dyDescent="0.3">
      <c r="A4112" s="106"/>
      <c r="B4112" s="106"/>
      <c r="C4112" s="106"/>
      <c r="D4112" s="106"/>
      <c r="E4112" s="106"/>
      <c r="F4112" s="106"/>
      <c r="G4112" s="106"/>
      <c r="H4112" s="107"/>
      <c r="I4112" s="95"/>
      <c r="J4112" s="706"/>
      <c r="K4112" s="769"/>
      <c r="L4112" s="706"/>
      <c r="M4112" s="781"/>
      <c r="N4112" s="182"/>
      <c r="O4112" s="188"/>
      <c r="P4112" s="221"/>
      <c r="Q4112" s="106"/>
      <c r="R4112" s="108"/>
      <c r="S4112" s="108"/>
      <c r="T4112" s="108"/>
      <c r="U4112" s="108" t="str">
        <f>IFERROR(VLOOKUP(CONCATENATE(Tabla1[[#This Row],[Severidad]]," ",Tabla1[[#This Row],[Complejidad]]),Catalogos!E$120:G$128,3,FALSE),"")</f>
        <v/>
      </c>
      <c r="V4112" s="108" t="str">
        <f>IF(Tabla1[[#This Row],[Tiempo solución max (hrs)]]&lt;&gt;"",IF(Tabla1[[#This Row],[Tiempo solución max (hrs)]]&gt;=Tabla1[[#This Row],[Tiempo
(Hrs 00/100)]],"cumple","no cumple"),"")</f>
        <v/>
      </c>
      <c r="W4112" s="17"/>
      <c r="X4112" s="18">
        <f t="shared" si="254"/>
        <v>0</v>
      </c>
      <c r="Y4112" t="str">
        <f>SUBSTITUTE(Tabla1[[#This Row],[Descripción]],CHAR(10),"    I    ")</f>
        <v/>
      </c>
      <c r="Z4112" s="112" t="e">
        <f>VLOOKUP(Tabla1[[#This Row],[Perfil]],Catalogos!$B$75:$D$100,3,FALSE)*Tabla1[[#This Row],[Tiempo
(Hrs 00/100)]]*1.16</f>
        <v>#N/A</v>
      </c>
    </row>
    <row r="4113" spans="1:26" ht="30" customHeight="1" x14ac:dyDescent="0.3">
      <c r="A4113" s="106"/>
      <c r="B4113" s="106"/>
      <c r="C4113" s="106"/>
      <c r="D4113" s="106"/>
      <c r="E4113" s="106"/>
      <c r="F4113" s="106"/>
      <c r="G4113" s="106"/>
      <c r="H4113" s="107"/>
      <c r="I4113" s="95"/>
      <c r="J4113" s="706"/>
      <c r="K4113" s="769"/>
      <c r="L4113" s="706"/>
      <c r="M4113" s="781"/>
      <c r="N4113" s="182"/>
      <c r="O4113" s="188"/>
      <c r="P4113" s="221"/>
      <c r="Q4113" s="106"/>
      <c r="R4113" s="108"/>
      <c r="S4113" s="108"/>
      <c r="T4113" s="108"/>
      <c r="U4113" s="108" t="str">
        <f>IFERROR(VLOOKUP(CONCATENATE(Tabla1[[#This Row],[Severidad]]," ",Tabla1[[#This Row],[Complejidad]]),Catalogos!E$120:G$128,3,FALSE),"")</f>
        <v/>
      </c>
      <c r="V4113" s="108" t="str">
        <f>IF(Tabla1[[#This Row],[Tiempo solución max (hrs)]]&lt;&gt;"",IF(Tabla1[[#This Row],[Tiempo solución max (hrs)]]&gt;=Tabla1[[#This Row],[Tiempo
(Hrs 00/100)]],"cumple","no cumple"),"")</f>
        <v/>
      </c>
      <c r="W4113" s="17"/>
      <c r="X4113" s="18">
        <f t="shared" si="254"/>
        <v>0</v>
      </c>
      <c r="Y4113" t="str">
        <f>SUBSTITUTE(Tabla1[[#This Row],[Descripción]],CHAR(10),"    I    ")</f>
        <v/>
      </c>
      <c r="Z4113" s="112" t="e">
        <f>VLOOKUP(Tabla1[[#This Row],[Perfil]],Catalogos!$B$75:$D$100,3,FALSE)*Tabla1[[#This Row],[Tiempo
(Hrs 00/100)]]*1.16</f>
        <v>#N/A</v>
      </c>
    </row>
    <row r="4114" spans="1:26" ht="30" customHeight="1" x14ac:dyDescent="0.3">
      <c r="A4114" s="106"/>
      <c r="B4114" s="106"/>
      <c r="C4114" s="106"/>
      <c r="D4114" s="106"/>
      <c r="E4114" s="106"/>
      <c r="F4114" s="106"/>
      <c r="G4114" s="106"/>
      <c r="H4114" s="107"/>
      <c r="I4114" s="95"/>
      <c r="J4114" s="706"/>
      <c r="K4114" s="769"/>
      <c r="L4114" s="706"/>
      <c r="M4114" s="781"/>
      <c r="N4114" s="182"/>
      <c r="O4114" s="188"/>
      <c r="P4114" s="221"/>
      <c r="Q4114" s="106"/>
      <c r="R4114" s="108"/>
      <c r="S4114" s="108"/>
      <c r="T4114" s="108"/>
      <c r="U4114" s="108" t="str">
        <f>IFERROR(VLOOKUP(CONCATENATE(Tabla1[[#This Row],[Severidad]]," ",Tabla1[[#This Row],[Complejidad]]),Catalogos!E$120:G$128,3,FALSE),"")</f>
        <v/>
      </c>
      <c r="V4114" s="108" t="str">
        <f>IF(Tabla1[[#This Row],[Tiempo solución max (hrs)]]&lt;&gt;"",IF(Tabla1[[#This Row],[Tiempo solución max (hrs)]]&gt;=Tabla1[[#This Row],[Tiempo
(Hrs 00/100)]],"cumple","no cumple"),"")</f>
        <v/>
      </c>
      <c r="W4114" s="17"/>
      <c r="X4114" s="18">
        <f t="shared" si="254"/>
        <v>0</v>
      </c>
      <c r="Y4114" t="str">
        <f>SUBSTITUTE(Tabla1[[#This Row],[Descripción]],CHAR(10),"    I    ")</f>
        <v/>
      </c>
      <c r="Z4114" s="112" t="e">
        <f>VLOOKUP(Tabla1[[#This Row],[Perfil]],Catalogos!$B$75:$D$100,3,FALSE)*Tabla1[[#This Row],[Tiempo
(Hrs 00/100)]]*1.16</f>
        <v>#N/A</v>
      </c>
    </row>
    <row r="4115" spans="1:26" ht="30" customHeight="1" x14ac:dyDescent="0.3">
      <c r="A4115" s="106"/>
      <c r="B4115" s="106"/>
      <c r="C4115" s="106"/>
      <c r="D4115" s="106"/>
      <c r="E4115" s="106"/>
      <c r="F4115" s="106"/>
      <c r="G4115" s="106"/>
      <c r="H4115" s="107"/>
      <c r="I4115" s="95"/>
      <c r="J4115" s="706"/>
      <c r="K4115" s="769"/>
      <c r="L4115" s="706"/>
      <c r="M4115" s="781"/>
      <c r="N4115" s="182"/>
      <c r="O4115" s="188"/>
      <c r="P4115" s="221"/>
      <c r="Q4115" s="106"/>
      <c r="R4115" s="108"/>
      <c r="S4115" s="108"/>
      <c r="T4115" s="108"/>
      <c r="U4115" s="108" t="str">
        <f>IFERROR(VLOOKUP(CONCATENATE(Tabla1[[#This Row],[Severidad]]," ",Tabla1[[#This Row],[Complejidad]]),Catalogos!E$120:G$128,3,FALSE),"")</f>
        <v/>
      </c>
      <c r="V4115" s="108" t="str">
        <f>IF(Tabla1[[#This Row],[Tiempo solución max (hrs)]]&lt;&gt;"",IF(Tabla1[[#This Row],[Tiempo solución max (hrs)]]&gt;=Tabla1[[#This Row],[Tiempo
(Hrs 00/100)]],"cumple","no cumple"),"")</f>
        <v/>
      </c>
      <c r="W4115" s="17"/>
      <c r="X4115" s="18">
        <f t="shared" si="254"/>
        <v>0</v>
      </c>
      <c r="Y4115" t="str">
        <f>SUBSTITUTE(Tabla1[[#This Row],[Descripción]],CHAR(10),"    I    ")</f>
        <v/>
      </c>
      <c r="Z4115" s="112" t="e">
        <f>VLOOKUP(Tabla1[[#This Row],[Perfil]],Catalogos!$B$75:$D$100,3,FALSE)*Tabla1[[#This Row],[Tiempo
(Hrs 00/100)]]*1.16</f>
        <v>#N/A</v>
      </c>
    </row>
    <row r="4116" spans="1:26" ht="30" customHeight="1" x14ac:dyDescent="0.3">
      <c r="A4116" s="106"/>
      <c r="B4116" s="106"/>
      <c r="C4116" s="106"/>
      <c r="D4116" s="106"/>
      <c r="E4116" s="106"/>
      <c r="F4116" s="106"/>
      <c r="G4116" s="106"/>
      <c r="H4116" s="107"/>
      <c r="I4116" s="95"/>
      <c r="J4116" s="706"/>
      <c r="K4116" s="769"/>
      <c r="L4116" s="706"/>
      <c r="M4116" s="781"/>
      <c r="N4116" s="182"/>
      <c r="O4116" s="188"/>
      <c r="P4116" s="221"/>
      <c r="Q4116" s="106"/>
      <c r="R4116" s="108"/>
      <c r="S4116" s="108"/>
      <c r="T4116" s="108"/>
      <c r="U4116" s="108" t="str">
        <f>IFERROR(VLOOKUP(CONCATENATE(Tabla1[[#This Row],[Severidad]]," ",Tabla1[[#This Row],[Complejidad]]),Catalogos!E$120:G$128,3,FALSE),"")</f>
        <v/>
      </c>
      <c r="V4116" s="108" t="str">
        <f>IF(Tabla1[[#This Row],[Tiempo solución max (hrs)]]&lt;&gt;"",IF(Tabla1[[#This Row],[Tiempo solución max (hrs)]]&gt;=Tabla1[[#This Row],[Tiempo
(Hrs 00/100)]],"cumple","no cumple"),"")</f>
        <v/>
      </c>
      <c r="W4116" s="17"/>
      <c r="X4116" s="18">
        <f t="shared" si="254"/>
        <v>0</v>
      </c>
      <c r="Y4116" t="str">
        <f>SUBSTITUTE(Tabla1[[#This Row],[Descripción]],CHAR(10),"    I    ")</f>
        <v/>
      </c>
      <c r="Z4116" s="112" t="e">
        <f>VLOOKUP(Tabla1[[#This Row],[Perfil]],Catalogos!$B$75:$D$100,3,FALSE)*Tabla1[[#This Row],[Tiempo
(Hrs 00/100)]]*1.16</f>
        <v>#N/A</v>
      </c>
    </row>
    <row r="4117" spans="1:26" ht="30" customHeight="1" x14ac:dyDescent="0.3">
      <c r="A4117" s="106"/>
      <c r="B4117" s="106"/>
      <c r="C4117" s="106"/>
      <c r="D4117" s="106"/>
      <c r="E4117" s="106"/>
      <c r="F4117" s="106"/>
      <c r="G4117" s="106"/>
      <c r="H4117" s="107"/>
      <c r="I4117" s="95"/>
      <c r="J4117" s="706"/>
      <c r="K4117" s="769"/>
      <c r="L4117" s="706"/>
      <c r="M4117" s="781"/>
      <c r="N4117" s="182"/>
      <c r="O4117" s="188"/>
      <c r="P4117" s="221"/>
      <c r="Q4117" s="106"/>
      <c r="R4117" s="108"/>
      <c r="S4117" s="108"/>
      <c r="T4117" s="108"/>
      <c r="U4117" s="108" t="str">
        <f>IFERROR(VLOOKUP(CONCATENATE(Tabla1[[#This Row],[Severidad]]," ",Tabla1[[#This Row],[Complejidad]]),Catalogos!E$120:G$128,3,FALSE),"")</f>
        <v/>
      </c>
      <c r="V4117" s="108" t="str">
        <f>IF(Tabla1[[#This Row],[Tiempo solución max (hrs)]]&lt;&gt;"",IF(Tabla1[[#This Row],[Tiempo solución max (hrs)]]&gt;=Tabla1[[#This Row],[Tiempo
(Hrs 00/100)]],"cumple","no cumple"),"")</f>
        <v/>
      </c>
      <c r="W4117" s="17"/>
      <c r="X4117" s="18">
        <f t="shared" si="254"/>
        <v>0</v>
      </c>
      <c r="Y4117" t="str">
        <f>SUBSTITUTE(Tabla1[[#This Row],[Descripción]],CHAR(10),"    I    ")</f>
        <v/>
      </c>
      <c r="Z4117" s="112" t="e">
        <f>VLOOKUP(Tabla1[[#This Row],[Perfil]],Catalogos!$B$75:$D$100,3,FALSE)*Tabla1[[#This Row],[Tiempo
(Hrs 00/100)]]*1.16</f>
        <v>#N/A</v>
      </c>
    </row>
    <row r="4118" spans="1:26" ht="30" customHeight="1" x14ac:dyDescent="0.3">
      <c r="A4118" s="106"/>
      <c r="B4118" s="106"/>
      <c r="C4118" s="106"/>
      <c r="D4118" s="106"/>
      <c r="E4118" s="106"/>
      <c r="F4118" s="106"/>
      <c r="G4118" s="106"/>
      <c r="H4118" s="107"/>
      <c r="I4118" s="95"/>
      <c r="J4118" s="706"/>
      <c r="K4118" s="769"/>
      <c r="L4118" s="706"/>
      <c r="M4118" s="781"/>
      <c r="N4118" s="182"/>
      <c r="O4118" s="188"/>
      <c r="P4118" s="221"/>
      <c r="Q4118" s="106"/>
      <c r="R4118" s="108"/>
      <c r="S4118" s="108"/>
      <c r="T4118" s="108"/>
      <c r="U4118" s="108" t="str">
        <f>IFERROR(VLOOKUP(CONCATENATE(Tabla1[[#This Row],[Severidad]]," ",Tabla1[[#This Row],[Complejidad]]),Catalogos!E$120:G$128,3,FALSE),"")</f>
        <v/>
      </c>
      <c r="V4118" s="108" t="str">
        <f>IF(Tabla1[[#This Row],[Tiempo solución max (hrs)]]&lt;&gt;"",IF(Tabla1[[#This Row],[Tiempo solución max (hrs)]]&gt;=Tabla1[[#This Row],[Tiempo
(Hrs 00/100)]],"cumple","no cumple"),"")</f>
        <v/>
      </c>
      <c r="W4118" s="17"/>
      <c r="X4118" s="18">
        <f t="shared" si="254"/>
        <v>0</v>
      </c>
      <c r="Y4118" t="str">
        <f>SUBSTITUTE(Tabla1[[#This Row],[Descripción]],CHAR(10),"    I    ")</f>
        <v/>
      </c>
      <c r="Z4118" s="112" t="e">
        <f>VLOOKUP(Tabla1[[#This Row],[Perfil]],Catalogos!$B$75:$D$100,3,FALSE)*Tabla1[[#This Row],[Tiempo
(Hrs 00/100)]]*1.16</f>
        <v>#N/A</v>
      </c>
    </row>
    <row r="4119" spans="1:26" ht="30" customHeight="1" x14ac:dyDescent="0.3">
      <c r="A4119" s="106"/>
      <c r="B4119" s="106"/>
      <c r="C4119" s="106"/>
      <c r="D4119" s="106"/>
      <c r="E4119" s="106"/>
      <c r="F4119" s="106"/>
      <c r="G4119" s="106"/>
      <c r="H4119" s="107"/>
      <c r="I4119" s="95"/>
      <c r="J4119" s="706"/>
      <c r="K4119" s="769"/>
      <c r="L4119" s="706"/>
      <c r="M4119" s="781"/>
      <c r="N4119" s="182"/>
      <c r="O4119" s="188"/>
      <c r="P4119" s="221"/>
      <c r="Q4119" s="106"/>
      <c r="R4119" s="108"/>
      <c r="S4119" s="108"/>
      <c r="T4119" s="108"/>
      <c r="U4119" s="108" t="str">
        <f>IFERROR(VLOOKUP(CONCATENATE(Tabla1[[#This Row],[Severidad]]," ",Tabla1[[#This Row],[Complejidad]]),Catalogos!E$120:G$128,3,FALSE),"")</f>
        <v/>
      </c>
      <c r="V4119" s="108" t="str">
        <f>IF(Tabla1[[#This Row],[Tiempo solución max (hrs)]]&lt;&gt;"",IF(Tabla1[[#This Row],[Tiempo solución max (hrs)]]&gt;=Tabla1[[#This Row],[Tiempo
(Hrs 00/100)]],"cumple","no cumple"),"")</f>
        <v/>
      </c>
      <c r="W4119" s="17"/>
      <c r="X4119" s="18">
        <f t="shared" si="254"/>
        <v>0</v>
      </c>
      <c r="Y4119" t="str">
        <f>SUBSTITUTE(Tabla1[[#This Row],[Descripción]],CHAR(10),"    I    ")</f>
        <v/>
      </c>
      <c r="Z4119" s="112" t="e">
        <f>VLOOKUP(Tabla1[[#This Row],[Perfil]],Catalogos!$B$75:$D$100,3,FALSE)*Tabla1[[#This Row],[Tiempo
(Hrs 00/100)]]*1.16</f>
        <v>#N/A</v>
      </c>
    </row>
    <row r="4120" spans="1:26" ht="30" customHeight="1" x14ac:dyDescent="0.3">
      <c r="A4120" s="106"/>
      <c r="B4120" s="106"/>
      <c r="C4120" s="106"/>
      <c r="D4120" s="106"/>
      <c r="E4120" s="106"/>
      <c r="F4120" s="106"/>
      <c r="G4120" s="106"/>
      <c r="H4120" s="107"/>
      <c r="I4120" s="95"/>
      <c r="J4120" s="706"/>
      <c r="K4120" s="769"/>
      <c r="L4120" s="706"/>
      <c r="M4120" s="781"/>
      <c r="N4120" s="182"/>
      <c r="O4120" s="188"/>
      <c r="P4120" s="221"/>
      <c r="Q4120" s="106"/>
      <c r="R4120" s="108"/>
      <c r="S4120" s="108"/>
      <c r="T4120" s="108"/>
      <c r="U4120" s="108" t="str">
        <f>IFERROR(VLOOKUP(CONCATENATE(Tabla1[[#This Row],[Severidad]]," ",Tabla1[[#This Row],[Complejidad]]),Catalogos!E$120:G$128,3,FALSE),"")</f>
        <v/>
      </c>
      <c r="V4120" s="108" t="str">
        <f>IF(Tabla1[[#This Row],[Tiempo solución max (hrs)]]&lt;&gt;"",IF(Tabla1[[#This Row],[Tiempo solución max (hrs)]]&gt;=Tabla1[[#This Row],[Tiempo
(Hrs 00/100)]],"cumple","no cumple"),"")</f>
        <v/>
      </c>
      <c r="W4120" s="17"/>
      <c r="X4120" s="18">
        <f t="shared" si="254"/>
        <v>0</v>
      </c>
      <c r="Y4120" t="str">
        <f>SUBSTITUTE(Tabla1[[#This Row],[Descripción]],CHAR(10),"    I    ")</f>
        <v/>
      </c>
      <c r="Z4120" s="112" t="e">
        <f>VLOOKUP(Tabla1[[#This Row],[Perfil]],Catalogos!$B$75:$D$100,3,FALSE)*Tabla1[[#This Row],[Tiempo
(Hrs 00/100)]]*1.16</f>
        <v>#N/A</v>
      </c>
    </row>
    <row r="4121" spans="1:26" ht="30" customHeight="1" x14ac:dyDescent="0.3">
      <c r="A4121" s="106"/>
      <c r="B4121" s="106"/>
      <c r="C4121" s="106"/>
      <c r="D4121" s="106"/>
      <c r="E4121" s="106"/>
      <c r="F4121" s="106"/>
      <c r="G4121" s="106"/>
      <c r="H4121" s="107"/>
      <c r="I4121" s="95"/>
      <c r="J4121" s="706"/>
      <c r="K4121" s="769"/>
      <c r="L4121" s="706"/>
      <c r="M4121" s="781"/>
      <c r="N4121" s="182"/>
      <c r="O4121" s="188"/>
      <c r="P4121" s="221"/>
      <c r="Q4121" s="106"/>
      <c r="R4121" s="108"/>
      <c r="S4121" s="108"/>
      <c r="T4121" s="108"/>
      <c r="U4121" s="108" t="str">
        <f>IFERROR(VLOOKUP(CONCATENATE(Tabla1[[#This Row],[Severidad]]," ",Tabla1[[#This Row],[Complejidad]]),Catalogos!E$120:G$128,3,FALSE),"")</f>
        <v/>
      </c>
      <c r="V4121" s="108" t="str">
        <f>IF(Tabla1[[#This Row],[Tiempo solución max (hrs)]]&lt;&gt;"",IF(Tabla1[[#This Row],[Tiempo solución max (hrs)]]&gt;=Tabla1[[#This Row],[Tiempo
(Hrs 00/100)]],"cumple","no cumple"),"")</f>
        <v/>
      </c>
      <c r="W4121" s="17"/>
      <c r="X4121" s="18">
        <f t="shared" si="254"/>
        <v>0</v>
      </c>
      <c r="Y4121" t="str">
        <f>SUBSTITUTE(Tabla1[[#This Row],[Descripción]],CHAR(10),"    I    ")</f>
        <v/>
      </c>
      <c r="Z4121" s="112" t="e">
        <f>VLOOKUP(Tabla1[[#This Row],[Perfil]],Catalogos!$B$75:$D$100,3,FALSE)*Tabla1[[#This Row],[Tiempo
(Hrs 00/100)]]*1.16</f>
        <v>#N/A</v>
      </c>
    </row>
    <row r="4122" spans="1:26" ht="30" customHeight="1" x14ac:dyDescent="0.3">
      <c r="A4122" s="106"/>
      <c r="B4122" s="106"/>
      <c r="C4122" s="106"/>
      <c r="D4122" s="106"/>
      <c r="E4122" s="106"/>
      <c r="F4122" s="106"/>
      <c r="G4122" s="106"/>
      <c r="H4122" s="107"/>
      <c r="I4122" s="95"/>
      <c r="J4122" s="706"/>
      <c r="K4122" s="769"/>
      <c r="L4122" s="706"/>
      <c r="M4122" s="781"/>
      <c r="N4122" s="182"/>
      <c r="O4122" s="188"/>
      <c r="P4122" s="221"/>
      <c r="Q4122" s="106"/>
      <c r="R4122" s="108"/>
      <c r="S4122" s="108"/>
      <c r="T4122" s="108"/>
      <c r="U4122" s="108" t="str">
        <f>IFERROR(VLOOKUP(CONCATENATE(Tabla1[[#This Row],[Severidad]]," ",Tabla1[[#This Row],[Complejidad]]),Catalogos!E$120:G$128,3,FALSE),"")</f>
        <v/>
      </c>
      <c r="V4122" s="108" t="str">
        <f>IF(Tabla1[[#This Row],[Tiempo solución max (hrs)]]&lt;&gt;"",IF(Tabla1[[#This Row],[Tiempo solución max (hrs)]]&gt;=Tabla1[[#This Row],[Tiempo
(Hrs 00/100)]],"cumple","no cumple"),"")</f>
        <v/>
      </c>
      <c r="W4122" s="17"/>
      <c r="X4122" s="18">
        <f t="shared" si="254"/>
        <v>0</v>
      </c>
      <c r="Y4122" t="str">
        <f>SUBSTITUTE(Tabla1[[#This Row],[Descripción]],CHAR(10),"    I    ")</f>
        <v/>
      </c>
      <c r="Z4122" s="112" t="e">
        <f>VLOOKUP(Tabla1[[#This Row],[Perfil]],Catalogos!$B$75:$D$100,3,FALSE)*Tabla1[[#This Row],[Tiempo
(Hrs 00/100)]]*1.16</f>
        <v>#N/A</v>
      </c>
    </row>
    <row r="4123" spans="1:26" ht="30" customHeight="1" x14ac:dyDescent="0.3">
      <c r="A4123" s="106"/>
      <c r="B4123" s="106"/>
      <c r="C4123" s="106"/>
      <c r="D4123" s="106"/>
      <c r="E4123" s="106"/>
      <c r="F4123" s="106"/>
      <c r="G4123" s="106"/>
      <c r="H4123" s="107"/>
      <c r="I4123" s="95"/>
      <c r="J4123" s="706"/>
      <c r="K4123" s="769"/>
      <c r="L4123" s="706"/>
      <c r="M4123" s="781"/>
      <c r="N4123" s="182"/>
      <c r="O4123" s="188"/>
      <c r="P4123" s="221"/>
      <c r="Q4123" s="106"/>
      <c r="R4123" s="108"/>
      <c r="S4123" s="108"/>
      <c r="T4123" s="108"/>
      <c r="U4123" s="108" t="str">
        <f>IFERROR(VLOOKUP(CONCATENATE(Tabla1[[#This Row],[Severidad]]," ",Tabla1[[#This Row],[Complejidad]]),Catalogos!E$120:G$128,3,FALSE),"")</f>
        <v/>
      </c>
      <c r="V4123" s="108" t="str">
        <f>IF(Tabla1[[#This Row],[Tiempo solución max (hrs)]]&lt;&gt;"",IF(Tabla1[[#This Row],[Tiempo solución max (hrs)]]&gt;=Tabla1[[#This Row],[Tiempo
(Hrs 00/100)]],"cumple","no cumple"),"")</f>
        <v/>
      </c>
      <c r="W4123" s="17"/>
      <c r="X4123" s="18">
        <f t="shared" si="254"/>
        <v>0</v>
      </c>
      <c r="Y4123" t="str">
        <f>SUBSTITUTE(Tabla1[[#This Row],[Descripción]],CHAR(10),"    I    ")</f>
        <v/>
      </c>
      <c r="Z4123" s="112" t="e">
        <f>VLOOKUP(Tabla1[[#This Row],[Perfil]],Catalogos!$B$75:$D$100,3,FALSE)*Tabla1[[#This Row],[Tiempo
(Hrs 00/100)]]*1.16</f>
        <v>#N/A</v>
      </c>
    </row>
    <row r="4124" spans="1:26" ht="30" customHeight="1" x14ac:dyDescent="0.3">
      <c r="A4124" s="106"/>
      <c r="B4124" s="106"/>
      <c r="C4124" s="106"/>
      <c r="D4124" s="106"/>
      <c r="E4124" s="106"/>
      <c r="F4124" s="106"/>
      <c r="G4124" s="106"/>
      <c r="H4124" s="107"/>
      <c r="I4124" s="95"/>
      <c r="J4124" s="706"/>
      <c r="K4124" s="769"/>
      <c r="L4124" s="706"/>
      <c r="M4124" s="781"/>
      <c r="N4124" s="182"/>
      <c r="O4124" s="188"/>
      <c r="P4124" s="221"/>
      <c r="Q4124" s="106"/>
      <c r="R4124" s="108"/>
      <c r="S4124" s="108"/>
      <c r="T4124" s="108"/>
      <c r="U4124" s="108" t="str">
        <f>IFERROR(VLOOKUP(CONCATENATE(Tabla1[[#This Row],[Severidad]]," ",Tabla1[[#This Row],[Complejidad]]),Catalogos!E$120:G$128,3,FALSE),"")</f>
        <v/>
      </c>
      <c r="V4124" s="108" t="str">
        <f>IF(Tabla1[[#This Row],[Tiempo solución max (hrs)]]&lt;&gt;"",IF(Tabla1[[#This Row],[Tiempo solución max (hrs)]]&gt;=Tabla1[[#This Row],[Tiempo
(Hrs 00/100)]],"cumple","no cumple"),"")</f>
        <v/>
      </c>
      <c r="W4124" s="17"/>
      <c r="X4124" s="18">
        <f t="shared" si="254"/>
        <v>0</v>
      </c>
      <c r="Y4124" t="str">
        <f>SUBSTITUTE(Tabla1[[#This Row],[Descripción]],CHAR(10),"    I    ")</f>
        <v/>
      </c>
      <c r="Z4124" s="112" t="e">
        <f>VLOOKUP(Tabla1[[#This Row],[Perfil]],Catalogos!$B$75:$D$100,3,FALSE)*Tabla1[[#This Row],[Tiempo
(Hrs 00/100)]]*1.16</f>
        <v>#N/A</v>
      </c>
    </row>
    <row r="4125" spans="1:26" ht="30" customHeight="1" x14ac:dyDescent="0.3">
      <c r="A4125" s="106"/>
      <c r="B4125" s="106"/>
      <c r="C4125" s="106"/>
      <c r="D4125" s="106"/>
      <c r="E4125" s="106"/>
      <c r="F4125" s="106"/>
      <c r="G4125" s="106"/>
      <c r="H4125" s="107"/>
      <c r="I4125" s="95"/>
      <c r="J4125" s="706"/>
      <c r="K4125" s="769"/>
      <c r="L4125" s="706"/>
      <c r="M4125" s="781"/>
      <c r="N4125" s="182"/>
      <c r="O4125" s="188"/>
      <c r="P4125" s="221"/>
      <c r="Q4125" s="106"/>
      <c r="R4125" s="108"/>
      <c r="S4125" s="108"/>
      <c r="T4125" s="108"/>
      <c r="U4125" s="108" t="str">
        <f>IFERROR(VLOOKUP(CONCATENATE(Tabla1[[#This Row],[Severidad]]," ",Tabla1[[#This Row],[Complejidad]]),Catalogos!E$120:G$128,3,FALSE),"")</f>
        <v/>
      </c>
      <c r="V4125" s="108" t="str">
        <f>IF(Tabla1[[#This Row],[Tiempo solución max (hrs)]]&lt;&gt;"",IF(Tabla1[[#This Row],[Tiempo solución max (hrs)]]&gt;=Tabla1[[#This Row],[Tiempo
(Hrs 00/100)]],"cumple","no cumple"),"")</f>
        <v/>
      </c>
      <c r="W4125" s="17"/>
      <c r="X4125" s="18">
        <f t="shared" si="254"/>
        <v>0</v>
      </c>
      <c r="Y4125" t="str">
        <f>SUBSTITUTE(Tabla1[[#This Row],[Descripción]],CHAR(10),"    I    ")</f>
        <v/>
      </c>
      <c r="Z4125" s="112" t="e">
        <f>VLOOKUP(Tabla1[[#This Row],[Perfil]],Catalogos!$B$75:$D$100,3,FALSE)*Tabla1[[#This Row],[Tiempo
(Hrs 00/100)]]*1.16</f>
        <v>#N/A</v>
      </c>
    </row>
    <row r="4126" spans="1:26" ht="30" customHeight="1" x14ac:dyDescent="0.3">
      <c r="A4126" s="106"/>
      <c r="B4126" s="106"/>
      <c r="C4126" s="106"/>
      <c r="D4126" s="106"/>
      <c r="E4126" s="106"/>
      <c r="F4126" s="106"/>
      <c r="G4126" s="106"/>
      <c r="H4126" s="107"/>
      <c r="I4126" s="95"/>
      <c r="J4126" s="706"/>
      <c r="K4126" s="769"/>
      <c r="L4126" s="706"/>
      <c r="M4126" s="781"/>
      <c r="N4126" s="182"/>
      <c r="O4126" s="188"/>
      <c r="P4126" s="221"/>
      <c r="Q4126" s="106"/>
      <c r="R4126" s="108"/>
      <c r="S4126" s="108"/>
      <c r="T4126" s="108"/>
      <c r="U4126" s="108" t="str">
        <f>IFERROR(VLOOKUP(CONCATENATE(Tabla1[[#This Row],[Severidad]]," ",Tabla1[[#This Row],[Complejidad]]),Catalogos!E$120:G$128,3,FALSE),"")</f>
        <v/>
      </c>
      <c r="V4126" s="108" t="str">
        <f>IF(Tabla1[[#This Row],[Tiempo solución max (hrs)]]&lt;&gt;"",IF(Tabla1[[#This Row],[Tiempo solución max (hrs)]]&gt;=Tabla1[[#This Row],[Tiempo
(Hrs 00/100)]],"cumple","no cumple"),"")</f>
        <v/>
      </c>
      <c r="W4126" s="17"/>
      <c r="X4126" s="18">
        <f t="shared" si="254"/>
        <v>0</v>
      </c>
      <c r="Y4126" t="str">
        <f>SUBSTITUTE(Tabla1[[#This Row],[Descripción]],CHAR(10),"    I    ")</f>
        <v/>
      </c>
      <c r="Z4126" s="112" t="e">
        <f>VLOOKUP(Tabla1[[#This Row],[Perfil]],Catalogos!$B$75:$D$100,3,FALSE)*Tabla1[[#This Row],[Tiempo
(Hrs 00/100)]]*1.16</f>
        <v>#N/A</v>
      </c>
    </row>
    <row r="4127" spans="1:26" ht="30" customHeight="1" x14ac:dyDescent="0.3">
      <c r="A4127" s="106"/>
      <c r="B4127" s="106"/>
      <c r="C4127" s="106"/>
      <c r="D4127" s="106"/>
      <c r="E4127" s="106"/>
      <c r="F4127" s="106"/>
      <c r="G4127" s="106"/>
      <c r="H4127" s="107"/>
      <c r="I4127" s="95"/>
      <c r="J4127" s="706"/>
      <c r="K4127" s="769"/>
      <c r="L4127" s="706"/>
      <c r="M4127" s="781"/>
      <c r="N4127" s="182"/>
      <c r="O4127" s="188"/>
      <c r="P4127" s="221"/>
      <c r="Q4127" s="106"/>
      <c r="R4127" s="108"/>
      <c r="S4127" s="108"/>
      <c r="T4127" s="108"/>
      <c r="U4127" s="108" t="str">
        <f>IFERROR(VLOOKUP(CONCATENATE(Tabla1[[#This Row],[Severidad]]," ",Tabla1[[#This Row],[Complejidad]]),Catalogos!E$120:G$128,3,FALSE),"")</f>
        <v/>
      </c>
      <c r="V4127" s="108" t="str">
        <f>IF(Tabla1[[#This Row],[Tiempo solución max (hrs)]]&lt;&gt;"",IF(Tabla1[[#This Row],[Tiempo solución max (hrs)]]&gt;=Tabla1[[#This Row],[Tiempo
(Hrs 00/100)]],"cumple","no cumple"),"")</f>
        <v/>
      </c>
      <c r="W4127" s="17"/>
      <c r="X4127" s="18">
        <f t="shared" si="254"/>
        <v>0</v>
      </c>
      <c r="Y4127" t="str">
        <f>SUBSTITUTE(Tabla1[[#This Row],[Descripción]],CHAR(10),"    I    ")</f>
        <v/>
      </c>
      <c r="Z4127" s="112" t="e">
        <f>VLOOKUP(Tabla1[[#This Row],[Perfil]],Catalogos!$B$75:$D$100,3,FALSE)*Tabla1[[#This Row],[Tiempo
(Hrs 00/100)]]*1.16</f>
        <v>#N/A</v>
      </c>
    </row>
    <row r="4128" spans="1:26" ht="30" customHeight="1" x14ac:dyDescent="0.3">
      <c r="A4128" s="106"/>
      <c r="B4128" s="106"/>
      <c r="C4128" s="106"/>
      <c r="D4128" s="106"/>
      <c r="E4128" s="106"/>
      <c r="F4128" s="106"/>
      <c r="G4128" s="106"/>
      <c r="H4128" s="107"/>
      <c r="I4128" s="95"/>
      <c r="J4128" s="706"/>
      <c r="K4128" s="769"/>
      <c r="L4128" s="706"/>
      <c r="M4128" s="781"/>
      <c r="N4128" s="182"/>
      <c r="O4128" s="188"/>
      <c r="P4128" s="221"/>
      <c r="Q4128" s="106"/>
      <c r="R4128" s="108"/>
      <c r="S4128" s="108"/>
      <c r="T4128" s="108"/>
      <c r="U4128" s="108" t="str">
        <f>IFERROR(VLOOKUP(CONCATENATE(Tabla1[[#This Row],[Severidad]]," ",Tabla1[[#This Row],[Complejidad]]),Catalogos!E$120:G$128,3,FALSE),"")</f>
        <v/>
      </c>
      <c r="V4128" s="108" t="str">
        <f>IF(Tabla1[[#This Row],[Tiempo solución max (hrs)]]&lt;&gt;"",IF(Tabla1[[#This Row],[Tiempo solución max (hrs)]]&gt;=Tabla1[[#This Row],[Tiempo
(Hrs 00/100)]],"cumple","no cumple"),"")</f>
        <v/>
      </c>
      <c r="W4128" s="17"/>
      <c r="X4128" s="18">
        <f t="shared" si="254"/>
        <v>0</v>
      </c>
      <c r="Y4128" t="str">
        <f>SUBSTITUTE(Tabla1[[#This Row],[Descripción]],CHAR(10),"    I    ")</f>
        <v/>
      </c>
      <c r="Z4128" s="112" t="e">
        <f>VLOOKUP(Tabla1[[#This Row],[Perfil]],Catalogos!$B$75:$D$100,3,FALSE)*Tabla1[[#This Row],[Tiempo
(Hrs 00/100)]]*1.16</f>
        <v>#N/A</v>
      </c>
    </row>
    <row r="4129" spans="1:26" ht="30" customHeight="1" x14ac:dyDescent="0.3">
      <c r="A4129" s="106"/>
      <c r="B4129" s="106"/>
      <c r="C4129" s="106"/>
      <c r="D4129" s="106"/>
      <c r="E4129" s="106"/>
      <c r="F4129" s="106"/>
      <c r="G4129" s="106"/>
      <c r="H4129" s="107"/>
      <c r="I4129" s="95"/>
      <c r="J4129" s="706"/>
      <c r="K4129" s="769"/>
      <c r="L4129" s="706"/>
      <c r="M4129" s="781"/>
      <c r="N4129" s="182"/>
      <c r="O4129" s="188"/>
      <c r="P4129" s="221"/>
      <c r="Q4129" s="106"/>
      <c r="R4129" s="108"/>
      <c r="S4129" s="108"/>
      <c r="T4129" s="108"/>
      <c r="U4129" s="108" t="str">
        <f>IFERROR(VLOOKUP(CONCATENATE(Tabla1[[#This Row],[Severidad]]," ",Tabla1[[#This Row],[Complejidad]]),Catalogos!E$120:G$128,3,FALSE),"")</f>
        <v/>
      </c>
      <c r="V4129" s="108" t="str">
        <f>IF(Tabla1[[#This Row],[Tiempo solución max (hrs)]]&lt;&gt;"",IF(Tabla1[[#This Row],[Tiempo solución max (hrs)]]&gt;=Tabla1[[#This Row],[Tiempo
(Hrs 00/100)]],"cumple","no cumple"),"")</f>
        <v/>
      </c>
      <c r="W4129" s="17"/>
      <c r="X4129" s="18">
        <f t="shared" si="254"/>
        <v>0</v>
      </c>
      <c r="Y4129" t="str">
        <f>SUBSTITUTE(Tabla1[[#This Row],[Descripción]],CHAR(10),"    I    ")</f>
        <v/>
      </c>
      <c r="Z4129" s="112" t="e">
        <f>VLOOKUP(Tabla1[[#This Row],[Perfil]],Catalogos!$B$75:$D$100,3,FALSE)*Tabla1[[#This Row],[Tiempo
(Hrs 00/100)]]*1.16</f>
        <v>#N/A</v>
      </c>
    </row>
    <row r="4130" spans="1:26" ht="30" customHeight="1" x14ac:dyDescent="0.3">
      <c r="A4130" s="106"/>
      <c r="B4130" s="106"/>
      <c r="C4130" s="106"/>
      <c r="D4130" s="106"/>
      <c r="E4130" s="106"/>
      <c r="F4130" s="106"/>
      <c r="G4130" s="106"/>
      <c r="H4130" s="107"/>
      <c r="I4130" s="95"/>
      <c r="J4130" s="706"/>
      <c r="K4130" s="769"/>
      <c r="L4130" s="706"/>
      <c r="M4130" s="781"/>
      <c r="N4130" s="182"/>
      <c r="O4130" s="188"/>
      <c r="P4130" s="221"/>
      <c r="Q4130" s="106"/>
      <c r="R4130" s="108"/>
      <c r="S4130" s="108"/>
      <c r="T4130" s="108"/>
      <c r="U4130" s="108" t="str">
        <f>IFERROR(VLOOKUP(CONCATENATE(Tabla1[[#This Row],[Severidad]]," ",Tabla1[[#This Row],[Complejidad]]),Catalogos!E$120:G$128,3,FALSE),"")</f>
        <v/>
      </c>
      <c r="V4130" s="108" t="str">
        <f>IF(Tabla1[[#This Row],[Tiempo solución max (hrs)]]&lt;&gt;"",IF(Tabla1[[#This Row],[Tiempo solución max (hrs)]]&gt;=Tabla1[[#This Row],[Tiempo
(Hrs 00/100)]],"cumple","no cumple"),"")</f>
        <v/>
      </c>
      <c r="W4130" s="17"/>
      <c r="X4130" s="18">
        <f t="shared" si="254"/>
        <v>0</v>
      </c>
      <c r="Y4130" t="str">
        <f>SUBSTITUTE(Tabla1[[#This Row],[Descripción]],CHAR(10),"    I    ")</f>
        <v/>
      </c>
      <c r="Z4130" s="112" t="e">
        <f>VLOOKUP(Tabla1[[#This Row],[Perfil]],Catalogos!$B$75:$D$100,3,FALSE)*Tabla1[[#This Row],[Tiempo
(Hrs 00/100)]]*1.16</f>
        <v>#N/A</v>
      </c>
    </row>
    <row r="4131" spans="1:26" ht="30" customHeight="1" x14ac:dyDescent="0.3">
      <c r="A4131" s="106"/>
      <c r="B4131" s="106"/>
      <c r="C4131" s="106"/>
      <c r="D4131" s="106"/>
      <c r="E4131" s="106"/>
      <c r="F4131" s="106"/>
      <c r="G4131" s="106"/>
      <c r="H4131" s="107"/>
      <c r="I4131" s="95"/>
      <c r="J4131" s="706"/>
      <c r="K4131" s="769"/>
      <c r="L4131" s="706"/>
      <c r="M4131" s="781"/>
      <c r="N4131" s="182"/>
      <c r="O4131" s="188"/>
      <c r="P4131" s="221"/>
      <c r="Q4131" s="106"/>
      <c r="R4131" s="108"/>
      <c r="S4131" s="108"/>
      <c r="T4131" s="108"/>
      <c r="U4131" s="108" t="str">
        <f>IFERROR(VLOOKUP(CONCATENATE(Tabla1[[#This Row],[Severidad]]," ",Tabla1[[#This Row],[Complejidad]]),Catalogos!E$120:G$128,3,FALSE),"")</f>
        <v/>
      </c>
      <c r="V4131" s="108" t="str">
        <f>IF(Tabla1[[#This Row],[Tiempo solución max (hrs)]]&lt;&gt;"",IF(Tabla1[[#This Row],[Tiempo solución max (hrs)]]&gt;=Tabla1[[#This Row],[Tiempo
(Hrs 00/100)]],"cumple","no cumple"),"")</f>
        <v/>
      </c>
      <c r="W4131" s="17"/>
      <c r="X4131" s="18">
        <f t="shared" si="254"/>
        <v>0</v>
      </c>
      <c r="Y4131" t="str">
        <f>SUBSTITUTE(Tabla1[[#This Row],[Descripción]],CHAR(10),"    I    ")</f>
        <v/>
      </c>
      <c r="Z4131" s="112" t="e">
        <f>VLOOKUP(Tabla1[[#This Row],[Perfil]],Catalogos!$B$75:$D$100,3,FALSE)*Tabla1[[#This Row],[Tiempo
(Hrs 00/100)]]*1.16</f>
        <v>#N/A</v>
      </c>
    </row>
    <row r="4132" spans="1:26" ht="30" customHeight="1" x14ac:dyDescent="0.3">
      <c r="A4132" s="106"/>
      <c r="B4132" s="106"/>
      <c r="C4132" s="106"/>
      <c r="D4132" s="106"/>
      <c r="E4132" s="106"/>
      <c r="F4132" s="106"/>
      <c r="G4132" s="106"/>
      <c r="H4132" s="107"/>
      <c r="I4132" s="95"/>
      <c r="J4132" s="706"/>
      <c r="K4132" s="769"/>
      <c r="L4132" s="706"/>
      <c r="M4132" s="781"/>
      <c r="N4132" s="182"/>
      <c r="O4132" s="188"/>
      <c r="P4132" s="221"/>
      <c r="Q4132" s="106"/>
      <c r="R4132" s="108"/>
      <c r="S4132" s="108"/>
      <c r="T4132" s="108"/>
      <c r="U4132" s="108" t="str">
        <f>IFERROR(VLOOKUP(CONCATENATE(Tabla1[[#This Row],[Severidad]]," ",Tabla1[[#This Row],[Complejidad]]),Catalogos!E$120:G$128,3,FALSE),"")</f>
        <v/>
      </c>
      <c r="V4132" s="108" t="str">
        <f>IF(Tabla1[[#This Row],[Tiempo solución max (hrs)]]&lt;&gt;"",IF(Tabla1[[#This Row],[Tiempo solución max (hrs)]]&gt;=Tabla1[[#This Row],[Tiempo
(Hrs 00/100)]],"cumple","no cumple"),"")</f>
        <v/>
      </c>
      <c r="W4132" s="17"/>
      <c r="X4132" s="18">
        <f t="shared" si="254"/>
        <v>0</v>
      </c>
      <c r="Y4132" t="str">
        <f>SUBSTITUTE(Tabla1[[#This Row],[Descripción]],CHAR(10),"    I    ")</f>
        <v/>
      </c>
      <c r="Z4132" s="112" t="e">
        <f>VLOOKUP(Tabla1[[#This Row],[Perfil]],Catalogos!$B$75:$D$100,3,FALSE)*Tabla1[[#This Row],[Tiempo
(Hrs 00/100)]]*1.16</f>
        <v>#N/A</v>
      </c>
    </row>
    <row r="4133" spans="1:26" ht="30" customHeight="1" x14ac:dyDescent="0.3">
      <c r="A4133" s="106"/>
      <c r="B4133" s="106"/>
      <c r="C4133" s="106"/>
      <c r="D4133" s="106"/>
      <c r="E4133" s="106"/>
      <c r="F4133" s="106"/>
      <c r="G4133" s="106"/>
      <c r="H4133" s="107"/>
      <c r="I4133" s="95"/>
      <c r="J4133" s="706"/>
      <c r="K4133" s="769"/>
      <c r="L4133" s="706"/>
      <c r="M4133" s="781"/>
      <c r="N4133" s="182"/>
      <c r="O4133" s="188"/>
      <c r="P4133" s="221"/>
      <c r="Q4133" s="106"/>
      <c r="R4133" s="108"/>
      <c r="S4133" s="108"/>
      <c r="T4133" s="108"/>
      <c r="U4133" s="108" t="str">
        <f>IFERROR(VLOOKUP(CONCATENATE(Tabla1[[#This Row],[Severidad]]," ",Tabla1[[#This Row],[Complejidad]]),Catalogos!E$120:G$128,3,FALSE),"")</f>
        <v/>
      </c>
      <c r="V4133" s="108" t="str">
        <f>IF(Tabla1[[#This Row],[Tiempo solución max (hrs)]]&lt;&gt;"",IF(Tabla1[[#This Row],[Tiempo solución max (hrs)]]&gt;=Tabla1[[#This Row],[Tiempo
(Hrs 00/100)]],"cumple","no cumple"),"")</f>
        <v/>
      </c>
      <c r="W4133" s="17"/>
      <c r="X4133" s="18">
        <f t="shared" si="254"/>
        <v>0</v>
      </c>
      <c r="Y4133" t="str">
        <f>SUBSTITUTE(Tabla1[[#This Row],[Descripción]],CHAR(10),"    I    ")</f>
        <v/>
      </c>
      <c r="Z4133" s="112" t="e">
        <f>VLOOKUP(Tabla1[[#This Row],[Perfil]],Catalogos!$B$75:$D$100,3,FALSE)*Tabla1[[#This Row],[Tiempo
(Hrs 00/100)]]*1.16</f>
        <v>#N/A</v>
      </c>
    </row>
    <row r="4134" spans="1:26" ht="30" customHeight="1" x14ac:dyDescent="0.3">
      <c r="A4134" s="106"/>
      <c r="B4134" s="106"/>
      <c r="C4134" s="106"/>
      <c r="D4134" s="106"/>
      <c r="E4134" s="106"/>
      <c r="F4134" s="106"/>
      <c r="G4134" s="106"/>
      <c r="H4134" s="107"/>
      <c r="I4134" s="95"/>
      <c r="J4134" s="706"/>
      <c r="K4134" s="769"/>
      <c r="L4134" s="706"/>
      <c r="M4134" s="781"/>
      <c r="N4134" s="182"/>
      <c r="O4134" s="188"/>
      <c r="P4134" s="221"/>
      <c r="Q4134" s="106"/>
      <c r="R4134" s="108"/>
      <c r="S4134" s="108"/>
      <c r="T4134" s="108"/>
      <c r="U4134" s="108" t="str">
        <f>IFERROR(VLOOKUP(CONCATENATE(Tabla1[[#This Row],[Severidad]]," ",Tabla1[[#This Row],[Complejidad]]),Catalogos!E$120:G$128,3,FALSE),"")</f>
        <v/>
      </c>
      <c r="V4134" s="108" t="str">
        <f>IF(Tabla1[[#This Row],[Tiempo solución max (hrs)]]&lt;&gt;"",IF(Tabla1[[#This Row],[Tiempo solución max (hrs)]]&gt;=Tabla1[[#This Row],[Tiempo
(Hrs 00/100)]],"cumple","no cumple"),"")</f>
        <v/>
      </c>
      <c r="W4134" s="17"/>
      <c r="X4134" s="18">
        <f t="shared" si="254"/>
        <v>0</v>
      </c>
      <c r="Y4134" t="str">
        <f>SUBSTITUTE(Tabla1[[#This Row],[Descripción]],CHAR(10),"    I    ")</f>
        <v/>
      </c>
      <c r="Z4134" s="112" t="e">
        <f>VLOOKUP(Tabla1[[#This Row],[Perfil]],Catalogos!$B$75:$D$100,3,FALSE)*Tabla1[[#This Row],[Tiempo
(Hrs 00/100)]]*1.16</f>
        <v>#N/A</v>
      </c>
    </row>
    <row r="4135" spans="1:26" ht="30" customHeight="1" x14ac:dyDescent="0.3">
      <c r="A4135" s="106"/>
      <c r="B4135" s="106"/>
      <c r="C4135" s="106"/>
      <c r="D4135" s="106"/>
      <c r="E4135" s="106"/>
      <c r="F4135" s="106"/>
      <c r="G4135" s="106"/>
      <c r="H4135" s="107"/>
      <c r="I4135" s="95"/>
      <c r="J4135" s="706"/>
      <c r="K4135" s="769"/>
      <c r="L4135" s="706"/>
      <c r="M4135" s="781"/>
      <c r="N4135" s="182"/>
      <c r="O4135" s="188"/>
      <c r="P4135" s="221"/>
      <c r="Q4135" s="106"/>
      <c r="R4135" s="108"/>
      <c r="S4135" s="108"/>
      <c r="T4135" s="108"/>
      <c r="U4135" s="108" t="str">
        <f>IFERROR(VLOOKUP(CONCATENATE(Tabla1[[#This Row],[Severidad]]," ",Tabla1[[#This Row],[Complejidad]]),Catalogos!E$120:G$128,3,FALSE),"")</f>
        <v/>
      </c>
      <c r="V4135" s="108" t="str">
        <f>IF(Tabla1[[#This Row],[Tiempo solución max (hrs)]]&lt;&gt;"",IF(Tabla1[[#This Row],[Tiempo solución max (hrs)]]&gt;=Tabla1[[#This Row],[Tiempo
(Hrs 00/100)]],"cumple","no cumple"),"")</f>
        <v/>
      </c>
      <c r="W4135" s="17"/>
      <c r="X4135" s="18">
        <f t="shared" si="254"/>
        <v>0</v>
      </c>
      <c r="Y4135" t="str">
        <f>SUBSTITUTE(Tabla1[[#This Row],[Descripción]],CHAR(10),"    I    ")</f>
        <v/>
      </c>
      <c r="Z4135" s="112" t="e">
        <f>VLOOKUP(Tabla1[[#This Row],[Perfil]],Catalogos!$B$75:$D$100,3,FALSE)*Tabla1[[#This Row],[Tiempo
(Hrs 00/100)]]*1.16</f>
        <v>#N/A</v>
      </c>
    </row>
    <row r="4136" spans="1:26" ht="30" customHeight="1" x14ac:dyDescent="0.3">
      <c r="A4136" s="106"/>
      <c r="B4136" s="106"/>
      <c r="C4136" s="106"/>
      <c r="D4136" s="106"/>
      <c r="E4136" s="106"/>
      <c r="F4136" s="106"/>
      <c r="G4136" s="106"/>
      <c r="H4136" s="107"/>
      <c r="I4136" s="95"/>
      <c r="J4136" s="706"/>
      <c r="K4136" s="769"/>
      <c r="L4136" s="706"/>
      <c r="M4136" s="781"/>
      <c r="N4136" s="182"/>
      <c r="O4136" s="188"/>
      <c r="P4136" s="221"/>
      <c r="Q4136" s="106"/>
      <c r="R4136" s="108"/>
      <c r="S4136" s="108"/>
      <c r="T4136" s="108"/>
      <c r="U4136" s="108" t="str">
        <f>IFERROR(VLOOKUP(CONCATENATE(Tabla1[[#This Row],[Severidad]]," ",Tabla1[[#This Row],[Complejidad]]),Catalogos!E$120:G$128,3,FALSE),"")</f>
        <v/>
      </c>
      <c r="V4136" s="108" t="str">
        <f>IF(Tabla1[[#This Row],[Tiempo solución max (hrs)]]&lt;&gt;"",IF(Tabla1[[#This Row],[Tiempo solución max (hrs)]]&gt;=Tabla1[[#This Row],[Tiempo
(Hrs 00/100)]],"cumple","no cumple"),"")</f>
        <v/>
      </c>
      <c r="W4136" s="17"/>
      <c r="X4136" s="18">
        <f t="shared" si="254"/>
        <v>0</v>
      </c>
      <c r="Y4136" t="str">
        <f>SUBSTITUTE(Tabla1[[#This Row],[Descripción]],CHAR(10),"    I    ")</f>
        <v/>
      </c>
      <c r="Z4136" s="112" t="e">
        <f>VLOOKUP(Tabla1[[#This Row],[Perfil]],Catalogos!$B$75:$D$100,3,FALSE)*Tabla1[[#This Row],[Tiempo
(Hrs 00/100)]]*1.16</f>
        <v>#N/A</v>
      </c>
    </row>
    <row r="4137" spans="1:26" ht="30" customHeight="1" x14ac:dyDescent="0.3">
      <c r="A4137" s="106"/>
      <c r="B4137" s="106"/>
      <c r="C4137" s="106"/>
      <c r="D4137" s="106"/>
      <c r="E4137" s="106"/>
      <c r="F4137" s="106"/>
      <c r="G4137" s="106"/>
      <c r="H4137" s="107"/>
      <c r="I4137" s="95"/>
      <c r="J4137" s="706"/>
      <c r="K4137" s="769"/>
      <c r="L4137" s="706"/>
      <c r="M4137" s="781"/>
      <c r="N4137" s="182"/>
      <c r="O4137" s="188"/>
      <c r="P4137" s="221"/>
      <c r="Q4137" s="106"/>
      <c r="R4137" s="108"/>
      <c r="S4137" s="108"/>
      <c r="T4137" s="108"/>
      <c r="U4137" s="108" t="str">
        <f>IFERROR(VLOOKUP(CONCATENATE(Tabla1[[#This Row],[Severidad]]," ",Tabla1[[#This Row],[Complejidad]]),Catalogos!E$120:G$128,3,FALSE),"")</f>
        <v/>
      </c>
      <c r="V4137" s="108" t="str">
        <f>IF(Tabla1[[#This Row],[Tiempo solución max (hrs)]]&lt;&gt;"",IF(Tabla1[[#This Row],[Tiempo solución max (hrs)]]&gt;=Tabla1[[#This Row],[Tiempo
(Hrs 00/100)]],"cumple","no cumple"),"")</f>
        <v/>
      </c>
      <c r="W4137" s="17"/>
      <c r="X4137" s="18">
        <f t="shared" si="254"/>
        <v>0</v>
      </c>
      <c r="Y4137" t="str">
        <f>SUBSTITUTE(Tabla1[[#This Row],[Descripción]],CHAR(10),"    I    ")</f>
        <v/>
      </c>
      <c r="Z4137" s="112" t="e">
        <f>VLOOKUP(Tabla1[[#This Row],[Perfil]],Catalogos!$B$75:$D$100,3,FALSE)*Tabla1[[#This Row],[Tiempo
(Hrs 00/100)]]*1.16</f>
        <v>#N/A</v>
      </c>
    </row>
    <row r="4138" spans="1:26" ht="30" customHeight="1" x14ac:dyDescent="0.3">
      <c r="A4138" s="106"/>
      <c r="B4138" s="106"/>
      <c r="C4138" s="106"/>
      <c r="D4138" s="106"/>
      <c r="E4138" s="106"/>
      <c r="F4138" s="106"/>
      <c r="G4138" s="106"/>
      <c r="H4138" s="107"/>
      <c r="I4138" s="95"/>
      <c r="J4138" s="706"/>
      <c r="K4138" s="769"/>
      <c r="L4138" s="706"/>
      <c r="M4138" s="781"/>
      <c r="N4138" s="182"/>
      <c r="O4138" s="188"/>
      <c r="P4138" s="221"/>
      <c r="Q4138" s="106"/>
      <c r="R4138" s="108"/>
      <c r="S4138" s="108"/>
      <c r="T4138" s="108"/>
      <c r="U4138" s="108" t="str">
        <f>IFERROR(VLOOKUP(CONCATENATE(Tabla1[[#This Row],[Severidad]]," ",Tabla1[[#This Row],[Complejidad]]),Catalogos!E$120:G$128,3,FALSE),"")</f>
        <v/>
      </c>
      <c r="V4138" s="108" t="str">
        <f>IF(Tabla1[[#This Row],[Tiempo solución max (hrs)]]&lt;&gt;"",IF(Tabla1[[#This Row],[Tiempo solución max (hrs)]]&gt;=Tabla1[[#This Row],[Tiempo
(Hrs 00/100)]],"cumple","no cumple"),"")</f>
        <v/>
      </c>
      <c r="W4138" s="17"/>
      <c r="X4138" s="18">
        <f t="shared" si="254"/>
        <v>0</v>
      </c>
      <c r="Y4138" t="str">
        <f>SUBSTITUTE(Tabla1[[#This Row],[Descripción]],CHAR(10),"    I    ")</f>
        <v/>
      </c>
      <c r="Z4138" s="112" t="e">
        <f>VLOOKUP(Tabla1[[#This Row],[Perfil]],Catalogos!$B$75:$D$100,3,FALSE)*Tabla1[[#This Row],[Tiempo
(Hrs 00/100)]]*1.16</f>
        <v>#N/A</v>
      </c>
    </row>
    <row r="4139" spans="1:26" ht="30" customHeight="1" x14ac:dyDescent="0.3">
      <c r="A4139" s="106"/>
      <c r="B4139" s="106"/>
      <c r="C4139" s="106"/>
      <c r="D4139" s="106"/>
      <c r="E4139" s="106"/>
      <c r="F4139" s="106"/>
      <c r="G4139" s="106"/>
      <c r="H4139" s="107"/>
      <c r="I4139" s="95"/>
      <c r="J4139" s="706"/>
      <c r="K4139" s="769"/>
      <c r="L4139" s="706"/>
      <c r="M4139" s="781"/>
      <c r="N4139" s="182"/>
      <c r="O4139" s="188"/>
      <c r="P4139" s="221"/>
      <c r="Q4139" s="106"/>
      <c r="R4139" s="108"/>
      <c r="S4139" s="108"/>
      <c r="T4139" s="108"/>
      <c r="U4139" s="108" t="str">
        <f>IFERROR(VLOOKUP(CONCATENATE(Tabla1[[#This Row],[Severidad]]," ",Tabla1[[#This Row],[Complejidad]]),Catalogos!E$120:G$128,3,FALSE),"")</f>
        <v/>
      </c>
      <c r="V4139" s="108" t="str">
        <f>IF(Tabla1[[#This Row],[Tiempo solución max (hrs)]]&lt;&gt;"",IF(Tabla1[[#This Row],[Tiempo solución max (hrs)]]&gt;=Tabla1[[#This Row],[Tiempo
(Hrs 00/100)]],"cumple","no cumple"),"")</f>
        <v/>
      </c>
      <c r="W4139" s="17"/>
      <c r="X4139" s="18">
        <f t="shared" si="254"/>
        <v>0</v>
      </c>
      <c r="Y4139" t="str">
        <f>SUBSTITUTE(Tabla1[[#This Row],[Descripción]],CHAR(10),"    I    ")</f>
        <v/>
      </c>
      <c r="Z4139" s="112" t="e">
        <f>VLOOKUP(Tabla1[[#This Row],[Perfil]],Catalogos!$B$75:$D$100,3,FALSE)*Tabla1[[#This Row],[Tiempo
(Hrs 00/100)]]*1.16</f>
        <v>#N/A</v>
      </c>
    </row>
    <row r="4140" spans="1:26" ht="30" customHeight="1" x14ac:dyDescent="0.3">
      <c r="A4140" s="106"/>
      <c r="B4140" s="106"/>
      <c r="C4140" s="106"/>
      <c r="D4140" s="106"/>
      <c r="E4140" s="106"/>
      <c r="F4140" s="106"/>
      <c r="G4140" s="106"/>
      <c r="H4140" s="107"/>
      <c r="I4140" s="95"/>
      <c r="J4140" s="706"/>
      <c r="K4140" s="769"/>
      <c r="L4140" s="706"/>
      <c r="M4140" s="781"/>
      <c r="N4140" s="182"/>
      <c r="O4140" s="188"/>
      <c r="P4140" s="221"/>
      <c r="Q4140" s="106"/>
      <c r="R4140" s="108"/>
      <c r="S4140" s="108"/>
      <c r="T4140" s="108"/>
      <c r="U4140" s="108" t="str">
        <f>IFERROR(VLOOKUP(CONCATENATE(Tabla1[[#This Row],[Severidad]]," ",Tabla1[[#This Row],[Complejidad]]),Catalogos!E$120:G$128,3,FALSE),"")</f>
        <v/>
      </c>
      <c r="V4140" s="108" t="str">
        <f>IF(Tabla1[[#This Row],[Tiempo solución max (hrs)]]&lt;&gt;"",IF(Tabla1[[#This Row],[Tiempo solución max (hrs)]]&gt;=Tabla1[[#This Row],[Tiempo
(Hrs 00/100)]],"cumple","no cumple"),"")</f>
        <v/>
      </c>
      <c r="W4140" s="17"/>
      <c r="X4140" s="18">
        <f t="shared" si="254"/>
        <v>0</v>
      </c>
      <c r="Y4140" t="str">
        <f>SUBSTITUTE(Tabla1[[#This Row],[Descripción]],CHAR(10),"    I    ")</f>
        <v/>
      </c>
      <c r="Z4140" s="112" t="e">
        <f>VLOOKUP(Tabla1[[#This Row],[Perfil]],Catalogos!$B$75:$D$100,3,FALSE)*Tabla1[[#This Row],[Tiempo
(Hrs 00/100)]]*1.16</f>
        <v>#N/A</v>
      </c>
    </row>
    <row r="4141" spans="1:26" ht="30" customHeight="1" x14ac:dyDescent="0.3">
      <c r="A4141" s="106"/>
      <c r="B4141" s="106"/>
      <c r="C4141" s="106"/>
      <c r="D4141" s="106"/>
      <c r="E4141" s="106"/>
      <c r="F4141" s="106"/>
      <c r="G4141" s="106"/>
      <c r="H4141" s="107"/>
      <c r="I4141" s="95"/>
      <c r="J4141" s="706"/>
      <c r="K4141" s="769"/>
      <c r="L4141" s="706"/>
      <c r="M4141" s="781"/>
      <c r="N4141" s="182"/>
      <c r="O4141" s="188"/>
      <c r="P4141" s="221"/>
      <c r="Q4141" s="106"/>
      <c r="R4141" s="108"/>
      <c r="S4141" s="108"/>
      <c r="T4141" s="108"/>
      <c r="U4141" s="108" t="str">
        <f>IFERROR(VLOOKUP(CONCATENATE(Tabla1[[#This Row],[Severidad]]," ",Tabla1[[#This Row],[Complejidad]]),Catalogos!E$120:G$128,3,FALSE),"")</f>
        <v/>
      </c>
      <c r="V4141" s="108" t="str">
        <f>IF(Tabla1[[#This Row],[Tiempo solución max (hrs)]]&lt;&gt;"",IF(Tabla1[[#This Row],[Tiempo solución max (hrs)]]&gt;=Tabla1[[#This Row],[Tiempo
(Hrs 00/100)]],"cumple","no cumple"),"")</f>
        <v/>
      </c>
      <c r="W4141" s="17"/>
      <c r="X4141" s="18">
        <f t="shared" si="254"/>
        <v>0</v>
      </c>
      <c r="Y4141" t="str">
        <f>SUBSTITUTE(Tabla1[[#This Row],[Descripción]],CHAR(10),"    I    ")</f>
        <v/>
      </c>
      <c r="Z4141" s="112" t="e">
        <f>VLOOKUP(Tabla1[[#This Row],[Perfil]],Catalogos!$B$75:$D$100,3,FALSE)*Tabla1[[#This Row],[Tiempo
(Hrs 00/100)]]*1.16</f>
        <v>#N/A</v>
      </c>
    </row>
    <row r="4142" spans="1:26" ht="30" customHeight="1" x14ac:dyDescent="0.3">
      <c r="A4142" s="106"/>
      <c r="B4142" s="106"/>
      <c r="C4142" s="106"/>
      <c r="D4142" s="106"/>
      <c r="E4142" s="106"/>
      <c r="F4142" s="106"/>
      <c r="G4142" s="106"/>
      <c r="H4142" s="107"/>
      <c r="I4142" s="95"/>
      <c r="J4142" s="706"/>
      <c r="K4142" s="769"/>
      <c r="L4142" s="706"/>
      <c r="M4142" s="781"/>
      <c r="N4142" s="182"/>
      <c r="O4142" s="188"/>
      <c r="P4142" s="221"/>
      <c r="Q4142" s="106"/>
      <c r="R4142" s="108"/>
      <c r="S4142" s="108"/>
      <c r="T4142" s="108"/>
      <c r="U4142" s="108" t="str">
        <f>IFERROR(VLOOKUP(CONCATENATE(Tabla1[[#This Row],[Severidad]]," ",Tabla1[[#This Row],[Complejidad]]),Catalogos!E$120:G$128,3,FALSE),"")</f>
        <v/>
      </c>
      <c r="V4142" s="108" t="str">
        <f>IF(Tabla1[[#This Row],[Tiempo solución max (hrs)]]&lt;&gt;"",IF(Tabla1[[#This Row],[Tiempo solución max (hrs)]]&gt;=Tabla1[[#This Row],[Tiempo
(Hrs 00/100)]],"cumple","no cumple"),"")</f>
        <v/>
      </c>
      <c r="W4142" s="17"/>
      <c r="X4142" s="18">
        <f t="shared" si="254"/>
        <v>0</v>
      </c>
      <c r="Y4142" t="str">
        <f>SUBSTITUTE(Tabla1[[#This Row],[Descripción]],CHAR(10),"    I    ")</f>
        <v/>
      </c>
      <c r="Z4142" s="112" t="e">
        <f>VLOOKUP(Tabla1[[#This Row],[Perfil]],Catalogos!$B$75:$D$100,3,FALSE)*Tabla1[[#This Row],[Tiempo
(Hrs 00/100)]]*1.16</f>
        <v>#N/A</v>
      </c>
    </row>
    <row r="4143" spans="1:26" ht="30" customHeight="1" x14ac:dyDescent="0.3">
      <c r="A4143" s="106"/>
      <c r="B4143" s="106"/>
      <c r="C4143" s="106"/>
      <c r="D4143" s="106"/>
      <c r="E4143" s="106"/>
      <c r="F4143" s="106"/>
      <c r="G4143" s="106"/>
      <c r="H4143" s="107"/>
      <c r="I4143" s="95"/>
      <c r="J4143" s="706"/>
      <c r="K4143" s="769"/>
      <c r="L4143" s="706"/>
      <c r="M4143" s="781"/>
      <c r="N4143" s="182"/>
      <c r="O4143" s="188"/>
      <c r="P4143" s="221"/>
      <c r="Q4143" s="106"/>
      <c r="R4143" s="108"/>
      <c r="S4143" s="108"/>
      <c r="T4143" s="108"/>
      <c r="U4143" s="108" t="str">
        <f>IFERROR(VLOOKUP(CONCATENATE(Tabla1[[#This Row],[Severidad]]," ",Tabla1[[#This Row],[Complejidad]]),Catalogos!E$120:G$128,3,FALSE),"")</f>
        <v/>
      </c>
      <c r="V4143" s="108" t="str">
        <f>IF(Tabla1[[#This Row],[Tiempo solución max (hrs)]]&lt;&gt;"",IF(Tabla1[[#This Row],[Tiempo solución max (hrs)]]&gt;=Tabla1[[#This Row],[Tiempo
(Hrs 00/100)]],"cumple","no cumple"),"")</f>
        <v/>
      </c>
      <c r="W4143" s="17"/>
      <c r="X4143" s="18">
        <f t="shared" si="254"/>
        <v>0</v>
      </c>
      <c r="Y4143" t="str">
        <f>SUBSTITUTE(Tabla1[[#This Row],[Descripción]],CHAR(10),"    I    ")</f>
        <v/>
      </c>
      <c r="Z4143" s="112" t="e">
        <f>VLOOKUP(Tabla1[[#This Row],[Perfil]],Catalogos!$B$75:$D$100,3,FALSE)*Tabla1[[#This Row],[Tiempo
(Hrs 00/100)]]*1.16</f>
        <v>#N/A</v>
      </c>
    </row>
    <row r="4144" spans="1:26" ht="30" customHeight="1" x14ac:dyDescent="0.3">
      <c r="A4144" s="106"/>
      <c r="B4144" s="106"/>
      <c r="C4144" s="106"/>
      <c r="D4144" s="106"/>
      <c r="E4144" s="106"/>
      <c r="F4144" s="106"/>
      <c r="G4144" s="106"/>
      <c r="H4144" s="107"/>
      <c r="I4144" s="95"/>
      <c r="J4144" s="706"/>
      <c r="K4144" s="769"/>
      <c r="L4144" s="706"/>
      <c r="M4144" s="781"/>
      <c r="N4144" s="182"/>
      <c r="O4144" s="188"/>
      <c r="P4144" s="221"/>
      <c r="Q4144" s="106"/>
      <c r="R4144" s="108"/>
      <c r="S4144" s="108"/>
      <c r="T4144" s="108"/>
      <c r="U4144" s="108" t="str">
        <f>IFERROR(VLOOKUP(CONCATENATE(Tabla1[[#This Row],[Severidad]]," ",Tabla1[[#This Row],[Complejidad]]),Catalogos!E$120:G$128,3,FALSE),"")</f>
        <v/>
      </c>
      <c r="V4144" s="108" t="str">
        <f>IF(Tabla1[[#This Row],[Tiempo solución max (hrs)]]&lt;&gt;"",IF(Tabla1[[#This Row],[Tiempo solución max (hrs)]]&gt;=Tabla1[[#This Row],[Tiempo
(Hrs 00/100)]],"cumple","no cumple"),"")</f>
        <v/>
      </c>
      <c r="W4144" s="17"/>
      <c r="X4144" s="18">
        <f t="shared" si="254"/>
        <v>0</v>
      </c>
      <c r="Y4144" t="str">
        <f>SUBSTITUTE(Tabla1[[#This Row],[Descripción]],CHAR(10),"    I    ")</f>
        <v/>
      </c>
      <c r="Z4144" s="112" t="e">
        <f>VLOOKUP(Tabla1[[#This Row],[Perfil]],Catalogos!$B$75:$D$100,3,FALSE)*Tabla1[[#This Row],[Tiempo
(Hrs 00/100)]]*1.16</f>
        <v>#N/A</v>
      </c>
    </row>
    <row r="4145" spans="1:26" ht="30" customHeight="1" x14ac:dyDescent="0.3">
      <c r="A4145" s="106"/>
      <c r="B4145" s="106"/>
      <c r="C4145" s="106"/>
      <c r="D4145" s="106"/>
      <c r="E4145" s="106"/>
      <c r="F4145" s="106"/>
      <c r="G4145" s="106"/>
      <c r="H4145" s="107"/>
      <c r="I4145" s="95"/>
      <c r="J4145" s="706"/>
      <c r="K4145" s="769"/>
      <c r="L4145" s="706"/>
      <c r="M4145" s="781"/>
      <c r="N4145" s="182"/>
      <c r="O4145" s="188"/>
      <c r="P4145" s="221"/>
      <c r="Q4145" s="106"/>
      <c r="R4145" s="108"/>
      <c r="S4145" s="108"/>
      <c r="T4145" s="108"/>
      <c r="U4145" s="108" t="str">
        <f>IFERROR(VLOOKUP(CONCATENATE(Tabla1[[#This Row],[Severidad]]," ",Tabla1[[#This Row],[Complejidad]]),Catalogos!E$120:G$128,3,FALSE),"")</f>
        <v/>
      </c>
      <c r="V4145" s="108" t="str">
        <f>IF(Tabla1[[#This Row],[Tiempo solución max (hrs)]]&lt;&gt;"",IF(Tabla1[[#This Row],[Tiempo solución max (hrs)]]&gt;=Tabla1[[#This Row],[Tiempo
(Hrs 00/100)]],"cumple","no cumple"),"")</f>
        <v/>
      </c>
      <c r="W4145" s="17"/>
      <c r="X4145" s="18">
        <f t="shared" si="254"/>
        <v>0</v>
      </c>
      <c r="Y4145" t="str">
        <f>SUBSTITUTE(Tabla1[[#This Row],[Descripción]],CHAR(10),"    I    ")</f>
        <v/>
      </c>
      <c r="Z4145" s="112" t="e">
        <f>VLOOKUP(Tabla1[[#This Row],[Perfil]],Catalogos!$B$75:$D$100,3,FALSE)*Tabla1[[#This Row],[Tiempo
(Hrs 00/100)]]*1.16</f>
        <v>#N/A</v>
      </c>
    </row>
    <row r="4146" spans="1:26" ht="30" customHeight="1" x14ac:dyDescent="0.3">
      <c r="A4146" s="106"/>
      <c r="B4146" s="106"/>
      <c r="C4146" s="106"/>
      <c r="D4146" s="106"/>
      <c r="E4146" s="106"/>
      <c r="F4146" s="106"/>
      <c r="G4146" s="106"/>
      <c r="H4146" s="107"/>
      <c r="I4146" s="95"/>
      <c r="J4146" s="706"/>
      <c r="K4146" s="769"/>
      <c r="L4146" s="706"/>
      <c r="M4146" s="781"/>
      <c r="N4146" s="182"/>
      <c r="O4146" s="188"/>
      <c r="P4146" s="221"/>
      <c r="Q4146" s="106"/>
      <c r="R4146" s="108"/>
      <c r="S4146" s="108"/>
      <c r="T4146" s="108"/>
      <c r="U4146" s="108" t="str">
        <f>IFERROR(VLOOKUP(CONCATENATE(Tabla1[[#This Row],[Severidad]]," ",Tabla1[[#This Row],[Complejidad]]),Catalogos!E$120:G$128,3,FALSE),"")</f>
        <v/>
      </c>
      <c r="V4146" s="108" t="str">
        <f>IF(Tabla1[[#This Row],[Tiempo solución max (hrs)]]&lt;&gt;"",IF(Tabla1[[#This Row],[Tiempo solución max (hrs)]]&gt;=Tabla1[[#This Row],[Tiempo
(Hrs 00/100)]],"cumple","no cumple"),"")</f>
        <v/>
      </c>
      <c r="W4146" s="17"/>
      <c r="X4146" s="18">
        <f t="shared" si="254"/>
        <v>0</v>
      </c>
      <c r="Y4146" t="str">
        <f>SUBSTITUTE(Tabla1[[#This Row],[Descripción]],CHAR(10),"    I    ")</f>
        <v/>
      </c>
      <c r="Z4146" s="112" t="e">
        <f>VLOOKUP(Tabla1[[#This Row],[Perfil]],Catalogos!$B$75:$D$100,3,FALSE)*Tabla1[[#This Row],[Tiempo
(Hrs 00/100)]]*1.16</f>
        <v>#N/A</v>
      </c>
    </row>
    <row r="4147" spans="1:26" ht="30" customHeight="1" x14ac:dyDescent="0.3">
      <c r="A4147" s="106"/>
      <c r="B4147" s="106"/>
      <c r="C4147" s="106"/>
      <c r="D4147" s="106"/>
      <c r="E4147" s="106"/>
      <c r="F4147" s="106"/>
      <c r="G4147" s="106"/>
      <c r="H4147" s="107"/>
      <c r="I4147" s="95"/>
      <c r="J4147" s="706"/>
      <c r="K4147" s="769"/>
      <c r="L4147" s="706"/>
      <c r="M4147" s="781"/>
      <c r="N4147" s="182"/>
      <c r="O4147" s="188"/>
      <c r="P4147" s="221"/>
      <c r="Q4147" s="106"/>
      <c r="R4147" s="108"/>
      <c r="S4147" s="108"/>
      <c r="T4147" s="108"/>
      <c r="U4147" s="108" t="str">
        <f>IFERROR(VLOOKUP(CONCATENATE(Tabla1[[#This Row],[Severidad]]," ",Tabla1[[#This Row],[Complejidad]]),Catalogos!E$120:G$128,3,FALSE),"")</f>
        <v/>
      </c>
      <c r="V4147" s="108" t="str">
        <f>IF(Tabla1[[#This Row],[Tiempo solución max (hrs)]]&lt;&gt;"",IF(Tabla1[[#This Row],[Tiempo solución max (hrs)]]&gt;=Tabla1[[#This Row],[Tiempo
(Hrs 00/100)]],"cumple","no cumple"),"")</f>
        <v/>
      </c>
      <c r="W4147" s="17"/>
      <c r="X4147" s="18">
        <f t="shared" si="254"/>
        <v>0</v>
      </c>
      <c r="Y4147" t="str">
        <f>SUBSTITUTE(Tabla1[[#This Row],[Descripción]],CHAR(10),"    I    ")</f>
        <v/>
      </c>
      <c r="Z4147" s="112" t="e">
        <f>VLOOKUP(Tabla1[[#This Row],[Perfil]],Catalogos!$B$75:$D$100,3,FALSE)*Tabla1[[#This Row],[Tiempo
(Hrs 00/100)]]*1.16</f>
        <v>#N/A</v>
      </c>
    </row>
    <row r="4148" spans="1:26" ht="30" customHeight="1" x14ac:dyDescent="0.3">
      <c r="A4148" s="106"/>
      <c r="B4148" s="106"/>
      <c r="C4148" s="106"/>
      <c r="D4148" s="106"/>
      <c r="E4148" s="106"/>
      <c r="F4148" s="106"/>
      <c r="G4148" s="106"/>
      <c r="H4148" s="107"/>
      <c r="I4148" s="95"/>
      <c r="J4148" s="706"/>
      <c r="K4148" s="769"/>
      <c r="L4148" s="706"/>
      <c r="M4148" s="781"/>
      <c r="N4148" s="182"/>
      <c r="O4148" s="188"/>
      <c r="P4148" s="221"/>
      <c r="Q4148" s="106"/>
      <c r="R4148" s="108"/>
      <c r="S4148" s="108"/>
      <c r="T4148" s="108"/>
      <c r="U4148" s="108" t="str">
        <f>IFERROR(VLOOKUP(CONCATENATE(Tabla1[[#This Row],[Severidad]]," ",Tabla1[[#This Row],[Complejidad]]),Catalogos!E$120:G$128,3,FALSE),"")</f>
        <v/>
      </c>
      <c r="V4148" s="108" t="str">
        <f>IF(Tabla1[[#This Row],[Tiempo solución max (hrs)]]&lt;&gt;"",IF(Tabla1[[#This Row],[Tiempo solución max (hrs)]]&gt;=Tabla1[[#This Row],[Tiempo
(Hrs 00/100)]],"cumple","no cumple"),"")</f>
        <v/>
      </c>
      <c r="W4148" s="17"/>
      <c r="X4148" s="18">
        <f t="shared" si="254"/>
        <v>0</v>
      </c>
      <c r="Y4148" t="str">
        <f>SUBSTITUTE(Tabla1[[#This Row],[Descripción]],CHAR(10),"    I    ")</f>
        <v/>
      </c>
      <c r="Z4148" s="112" t="e">
        <f>VLOOKUP(Tabla1[[#This Row],[Perfil]],Catalogos!$B$75:$D$100,3,FALSE)*Tabla1[[#This Row],[Tiempo
(Hrs 00/100)]]*1.16</f>
        <v>#N/A</v>
      </c>
    </row>
    <row r="4149" spans="1:26" ht="30" customHeight="1" x14ac:dyDescent="0.3">
      <c r="A4149" s="106"/>
      <c r="B4149" s="106"/>
      <c r="C4149" s="106"/>
      <c r="D4149" s="106"/>
      <c r="E4149" s="106"/>
      <c r="F4149" s="106"/>
      <c r="G4149" s="106"/>
      <c r="H4149" s="107"/>
      <c r="I4149" s="95"/>
      <c r="J4149" s="706"/>
      <c r="K4149" s="769"/>
      <c r="L4149" s="706"/>
      <c r="M4149" s="781"/>
      <c r="N4149" s="182"/>
      <c r="O4149" s="188"/>
      <c r="P4149" s="221"/>
      <c r="Q4149" s="106"/>
      <c r="R4149" s="108"/>
      <c r="S4149" s="108"/>
      <c r="T4149" s="108"/>
      <c r="U4149" s="108" t="str">
        <f>IFERROR(VLOOKUP(CONCATENATE(Tabla1[[#This Row],[Severidad]]," ",Tabla1[[#This Row],[Complejidad]]),Catalogos!E$120:G$128,3,FALSE),"")</f>
        <v/>
      </c>
      <c r="V4149" s="108" t="str">
        <f>IF(Tabla1[[#This Row],[Tiempo solución max (hrs)]]&lt;&gt;"",IF(Tabla1[[#This Row],[Tiempo solución max (hrs)]]&gt;=Tabla1[[#This Row],[Tiempo
(Hrs 00/100)]],"cumple","no cumple"),"")</f>
        <v/>
      </c>
      <c r="W4149" s="17"/>
      <c r="X4149" s="18">
        <f t="shared" si="254"/>
        <v>0</v>
      </c>
      <c r="Y4149" t="str">
        <f>SUBSTITUTE(Tabla1[[#This Row],[Descripción]],CHAR(10),"    I    ")</f>
        <v/>
      </c>
      <c r="Z4149" s="112" t="e">
        <f>VLOOKUP(Tabla1[[#This Row],[Perfil]],Catalogos!$B$75:$D$100,3,FALSE)*Tabla1[[#This Row],[Tiempo
(Hrs 00/100)]]*1.16</f>
        <v>#N/A</v>
      </c>
    </row>
    <row r="4150" spans="1:26" ht="30" customHeight="1" x14ac:dyDescent="0.3">
      <c r="A4150" s="106"/>
      <c r="B4150" s="106"/>
      <c r="C4150" s="106"/>
      <c r="D4150" s="106"/>
      <c r="E4150" s="106"/>
      <c r="F4150" s="106"/>
      <c r="G4150" s="106"/>
      <c r="H4150" s="107"/>
      <c r="I4150" s="95"/>
      <c r="J4150" s="706"/>
      <c r="K4150" s="769"/>
      <c r="L4150" s="706"/>
      <c r="M4150" s="781"/>
      <c r="N4150" s="182"/>
      <c r="O4150" s="188"/>
      <c r="P4150" s="221"/>
      <c r="Q4150" s="106"/>
      <c r="R4150" s="108"/>
      <c r="S4150" s="108"/>
      <c r="T4150" s="108"/>
      <c r="U4150" s="108" t="str">
        <f>IFERROR(VLOOKUP(CONCATENATE(Tabla1[[#This Row],[Severidad]]," ",Tabla1[[#This Row],[Complejidad]]),Catalogos!E$120:G$128,3,FALSE),"")</f>
        <v/>
      </c>
      <c r="V4150" s="108" t="str">
        <f>IF(Tabla1[[#This Row],[Tiempo solución max (hrs)]]&lt;&gt;"",IF(Tabla1[[#This Row],[Tiempo solución max (hrs)]]&gt;=Tabla1[[#This Row],[Tiempo
(Hrs 00/100)]],"cumple","no cumple"),"")</f>
        <v/>
      </c>
      <c r="W4150" s="17"/>
      <c r="X4150" s="18">
        <f t="shared" si="254"/>
        <v>0</v>
      </c>
      <c r="Y4150" t="str">
        <f>SUBSTITUTE(Tabla1[[#This Row],[Descripción]],CHAR(10),"    I    ")</f>
        <v/>
      </c>
      <c r="Z4150" s="112" t="e">
        <f>VLOOKUP(Tabla1[[#This Row],[Perfil]],Catalogos!$B$75:$D$100,3,FALSE)*Tabla1[[#This Row],[Tiempo
(Hrs 00/100)]]*1.16</f>
        <v>#N/A</v>
      </c>
    </row>
    <row r="4151" spans="1:26" ht="30" customHeight="1" x14ac:dyDescent="0.3">
      <c r="A4151" s="106"/>
      <c r="B4151" s="106"/>
      <c r="C4151" s="106"/>
      <c r="D4151" s="106"/>
      <c r="E4151" s="106"/>
      <c r="F4151" s="106"/>
      <c r="G4151" s="106"/>
      <c r="H4151" s="107"/>
      <c r="I4151" s="95"/>
      <c r="J4151" s="706"/>
      <c r="K4151" s="769"/>
      <c r="L4151" s="706"/>
      <c r="M4151" s="781"/>
      <c r="N4151" s="182"/>
      <c r="O4151" s="188"/>
      <c r="P4151" s="221"/>
      <c r="Q4151" s="106"/>
      <c r="R4151" s="108"/>
      <c r="S4151" s="108"/>
      <c r="T4151" s="108"/>
      <c r="U4151" s="108" t="str">
        <f>IFERROR(VLOOKUP(CONCATENATE(Tabla1[[#This Row],[Severidad]]," ",Tabla1[[#This Row],[Complejidad]]),Catalogos!E$120:G$128,3,FALSE),"")</f>
        <v/>
      </c>
      <c r="V4151" s="108" t="str">
        <f>IF(Tabla1[[#This Row],[Tiempo solución max (hrs)]]&lt;&gt;"",IF(Tabla1[[#This Row],[Tiempo solución max (hrs)]]&gt;=Tabla1[[#This Row],[Tiempo
(Hrs 00/100)]],"cumple","no cumple"),"")</f>
        <v/>
      </c>
      <c r="W4151" s="17"/>
      <c r="X4151" s="18">
        <f t="shared" si="254"/>
        <v>0</v>
      </c>
      <c r="Y4151" t="str">
        <f>SUBSTITUTE(Tabla1[[#This Row],[Descripción]],CHAR(10),"    I    ")</f>
        <v/>
      </c>
      <c r="Z4151" s="112" t="e">
        <f>VLOOKUP(Tabla1[[#This Row],[Perfil]],Catalogos!$B$75:$D$100,3,FALSE)*Tabla1[[#This Row],[Tiempo
(Hrs 00/100)]]*1.16</f>
        <v>#N/A</v>
      </c>
    </row>
    <row r="4152" spans="1:26" ht="30" customHeight="1" x14ac:dyDescent="0.3">
      <c r="A4152" s="106"/>
      <c r="B4152" s="106"/>
      <c r="C4152" s="106"/>
      <c r="D4152" s="106"/>
      <c r="E4152" s="106"/>
      <c r="F4152" s="106"/>
      <c r="G4152" s="106"/>
      <c r="H4152" s="107"/>
      <c r="I4152" s="95"/>
      <c r="J4152" s="706"/>
      <c r="K4152" s="769"/>
      <c r="L4152" s="706"/>
      <c r="M4152" s="781"/>
      <c r="N4152" s="182"/>
      <c r="O4152" s="188"/>
      <c r="P4152" s="221"/>
      <c r="Q4152" s="106"/>
      <c r="R4152" s="108"/>
      <c r="S4152" s="108"/>
      <c r="T4152" s="108"/>
      <c r="U4152" s="108" t="str">
        <f>IFERROR(VLOOKUP(CONCATENATE(Tabla1[[#This Row],[Severidad]]," ",Tabla1[[#This Row],[Complejidad]]),Catalogos!E$120:G$128,3,FALSE),"")</f>
        <v/>
      </c>
      <c r="V4152" s="108" t="str">
        <f>IF(Tabla1[[#This Row],[Tiempo solución max (hrs)]]&lt;&gt;"",IF(Tabla1[[#This Row],[Tiempo solución max (hrs)]]&gt;=Tabla1[[#This Row],[Tiempo
(Hrs 00/100)]],"cumple","no cumple"),"")</f>
        <v/>
      </c>
      <c r="W4152" s="17"/>
      <c r="X4152" s="18">
        <f t="shared" si="254"/>
        <v>0</v>
      </c>
      <c r="Y4152" t="str">
        <f>SUBSTITUTE(Tabla1[[#This Row],[Descripción]],CHAR(10),"    I    ")</f>
        <v/>
      </c>
      <c r="Z4152" s="112" t="e">
        <f>VLOOKUP(Tabla1[[#This Row],[Perfil]],Catalogos!$B$75:$D$100,3,FALSE)*Tabla1[[#This Row],[Tiempo
(Hrs 00/100)]]*1.16</f>
        <v>#N/A</v>
      </c>
    </row>
    <row r="4153" spans="1:26" ht="30" customHeight="1" x14ac:dyDescent="0.3">
      <c r="A4153" s="106"/>
      <c r="B4153" s="106"/>
      <c r="C4153" s="106"/>
      <c r="D4153" s="106"/>
      <c r="E4153" s="106"/>
      <c r="F4153" s="106"/>
      <c r="G4153" s="106"/>
      <c r="H4153" s="107"/>
      <c r="I4153" s="95"/>
      <c r="J4153" s="706"/>
      <c r="K4153" s="769"/>
      <c r="L4153" s="706"/>
      <c r="M4153" s="781"/>
      <c r="N4153" s="182"/>
      <c r="O4153" s="188"/>
      <c r="P4153" s="221"/>
      <c r="Q4153" s="106"/>
      <c r="R4153" s="108"/>
      <c r="S4153" s="108"/>
      <c r="T4153" s="108"/>
      <c r="U4153" s="108" t="str">
        <f>IFERROR(VLOOKUP(CONCATENATE(Tabla1[[#This Row],[Severidad]]," ",Tabla1[[#This Row],[Complejidad]]),Catalogos!E$120:G$128,3,FALSE),"")</f>
        <v/>
      </c>
      <c r="V4153" s="108" t="str">
        <f>IF(Tabla1[[#This Row],[Tiempo solución max (hrs)]]&lt;&gt;"",IF(Tabla1[[#This Row],[Tiempo solución max (hrs)]]&gt;=Tabla1[[#This Row],[Tiempo
(Hrs 00/100)]],"cumple","no cumple"),"")</f>
        <v/>
      </c>
      <c r="W4153" s="17"/>
      <c r="X4153" s="18">
        <f t="shared" si="254"/>
        <v>0</v>
      </c>
      <c r="Y4153" t="str">
        <f>SUBSTITUTE(Tabla1[[#This Row],[Descripción]],CHAR(10),"    I    ")</f>
        <v/>
      </c>
      <c r="Z4153" s="112" t="e">
        <f>VLOOKUP(Tabla1[[#This Row],[Perfil]],Catalogos!$B$75:$D$100,3,FALSE)*Tabla1[[#This Row],[Tiempo
(Hrs 00/100)]]*1.16</f>
        <v>#N/A</v>
      </c>
    </row>
    <row r="4154" spans="1:26" ht="30" customHeight="1" x14ac:dyDescent="0.3">
      <c r="A4154" s="106"/>
      <c r="B4154" s="106"/>
      <c r="C4154" s="106"/>
      <c r="D4154" s="106"/>
      <c r="E4154" s="106"/>
      <c r="F4154" s="106"/>
      <c r="G4154" s="106"/>
      <c r="H4154" s="107"/>
      <c r="I4154" s="95"/>
      <c r="J4154" s="706"/>
      <c r="K4154" s="769"/>
      <c r="L4154" s="706"/>
      <c r="M4154" s="781"/>
      <c r="N4154" s="182"/>
      <c r="O4154" s="188"/>
      <c r="P4154" s="221"/>
      <c r="Q4154" s="106"/>
      <c r="R4154" s="108"/>
      <c r="S4154" s="108"/>
      <c r="T4154" s="108"/>
      <c r="U4154" s="108" t="str">
        <f>IFERROR(VLOOKUP(CONCATENATE(Tabla1[[#This Row],[Severidad]]," ",Tabla1[[#This Row],[Complejidad]]),Catalogos!E$120:G$128,3,FALSE),"")</f>
        <v/>
      </c>
      <c r="V4154" s="108" t="str">
        <f>IF(Tabla1[[#This Row],[Tiempo solución max (hrs)]]&lt;&gt;"",IF(Tabla1[[#This Row],[Tiempo solución max (hrs)]]&gt;=Tabla1[[#This Row],[Tiempo
(Hrs 00/100)]],"cumple","no cumple"),"")</f>
        <v/>
      </c>
      <c r="W4154" s="17"/>
      <c r="X4154" s="18">
        <f t="shared" si="254"/>
        <v>0</v>
      </c>
      <c r="Y4154" t="str">
        <f>SUBSTITUTE(Tabla1[[#This Row],[Descripción]],CHAR(10),"    I    ")</f>
        <v/>
      </c>
      <c r="Z4154" s="112" t="e">
        <f>VLOOKUP(Tabla1[[#This Row],[Perfil]],Catalogos!$B$75:$D$100,3,FALSE)*Tabla1[[#This Row],[Tiempo
(Hrs 00/100)]]*1.16</f>
        <v>#N/A</v>
      </c>
    </row>
    <row r="4155" spans="1:26" ht="30" customHeight="1" x14ac:dyDescent="0.3">
      <c r="A4155" s="106"/>
      <c r="B4155" s="106"/>
      <c r="C4155" s="106"/>
      <c r="D4155" s="106"/>
      <c r="E4155" s="106"/>
      <c r="F4155" s="106"/>
      <c r="G4155" s="106"/>
      <c r="H4155" s="107"/>
      <c r="I4155" s="95"/>
      <c r="J4155" s="706"/>
      <c r="K4155" s="769"/>
      <c r="L4155" s="706"/>
      <c r="M4155" s="781"/>
      <c r="N4155" s="182"/>
      <c r="O4155" s="188"/>
      <c r="P4155" s="221"/>
      <c r="Q4155" s="106"/>
      <c r="R4155" s="108"/>
      <c r="S4155" s="108"/>
      <c r="T4155" s="108"/>
      <c r="U4155" s="108" t="str">
        <f>IFERROR(VLOOKUP(CONCATENATE(Tabla1[[#This Row],[Severidad]]," ",Tabla1[[#This Row],[Complejidad]]),Catalogos!E$120:G$128,3,FALSE),"")</f>
        <v/>
      </c>
      <c r="V4155" s="108" t="str">
        <f>IF(Tabla1[[#This Row],[Tiempo solución max (hrs)]]&lt;&gt;"",IF(Tabla1[[#This Row],[Tiempo solución max (hrs)]]&gt;=Tabla1[[#This Row],[Tiempo
(Hrs 00/100)]],"cumple","no cumple"),"")</f>
        <v/>
      </c>
      <c r="W4155" s="17"/>
      <c r="X4155" s="18">
        <f t="shared" si="254"/>
        <v>0</v>
      </c>
      <c r="Y4155" t="str">
        <f>SUBSTITUTE(Tabla1[[#This Row],[Descripción]],CHAR(10),"    I    ")</f>
        <v/>
      </c>
      <c r="Z4155" s="112" t="e">
        <f>VLOOKUP(Tabla1[[#This Row],[Perfil]],Catalogos!$B$75:$D$100,3,FALSE)*Tabla1[[#This Row],[Tiempo
(Hrs 00/100)]]*1.16</f>
        <v>#N/A</v>
      </c>
    </row>
    <row r="4156" spans="1:26" ht="30" customHeight="1" x14ac:dyDescent="0.3">
      <c r="A4156" s="106"/>
      <c r="B4156" s="106"/>
      <c r="C4156" s="106"/>
      <c r="D4156" s="106"/>
      <c r="E4156" s="106"/>
      <c r="F4156" s="106"/>
      <c r="G4156" s="106"/>
      <c r="H4156" s="107"/>
      <c r="I4156" s="95"/>
      <c r="J4156" s="706"/>
      <c r="K4156" s="769"/>
      <c r="L4156" s="706"/>
      <c r="M4156" s="781"/>
      <c r="N4156" s="182"/>
      <c r="O4156" s="188"/>
      <c r="P4156" s="221"/>
      <c r="Q4156" s="106"/>
      <c r="R4156" s="108"/>
      <c r="S4156" s="108"/>
      <c r="T4156" s="108"/>
      <c r="U4156" s="108" t="str">
        <f>IFERROR(VLOOKUP(CONCATENATE(Tabla1[[#This Row],[Severidad]]," ",Tabla1[[#This Row],[Complejidad]]),Catalogos!E$120:G$128,3,FALSE),"")</f>
        <v/>
      </c>
      <c r="V4156" s="108" t="str">
        <f>IF(Tabla1[[#This Row],[Tiempo solución max (hrs)]]&lt;&gt;"",IF(Tabla1[[#This Row],[Tiempo solución max (hrs)]]&gt;=Tabla1[[#This Row],[Tiempo
(Hrs 00/100)]],"cumple","no cumple"),"")</f>
        <v/>
      </c>
      <c r="W4156" s="17"/>
      <c r="X4156" s="18">
        <f t="shared" si="254"/>
        <v>0</v>
      </c>
      <c r="Y4156" t="str">
        <f>SUBSTITUTE(Tabla1[[#This Row],[Descripción]],CHAR(10),"    I    ")</f>
        <v/>
      </c>
      <c r="Z4156" s="112" t="e">
        <f>VLOOKUP(Tabla1[[#This Row],[Perfil]],Catalogos!$B$75:$D$100,3,FALSE)*Tabla1[[#This Row],[Tiempo
(Hrs 00/100)]]*1.16</f>
        <v>#N/A</v>
      </c>
    </row>
    <row r="4157" spans="1:26" ht="30" customHeight="1" x14ac:dyDescent="0.3">
      <c r="A4157" s="106"/>
      <c r="B4157" s="106"/>
      <c r="C4157" s="106"/>
      <c r="D4157" s="106"/>
      <c r="E4157" s="106"/>
      <c r="F4157" s="106"/>
      <c r="G4157" s="106"/>
      <c r="H4157" s="107"/>
      <c r="I4157" s="95"/>
      <c r="J4157" s="706"/>
      <c r="K4157" s="769"/>
      <c r="L4157" s="706"/>
      <c r="M4157" s="781"/>
      <c r="N4157" s="182"/>
      <c r="O4157" s="188"/>
      <c r="P4157" s="221"/>
      <c r="Q4157" s="106"/>
      <c r="R4157" s="108"/>
      <c r="S4157" s="108"/>
      <c r="T4157" s="108"/>
      <c r="U4157" s="108" t="str">
        <f>IFERROR(VLOOKUP(CONCATENATE(Tabla1[[#This Row],[Severidad]]," ",Tabla1[[#This Row],[Complejidad]]),Catalogos!E$120:G$128,3,FALSE),"")</f>
        <v/>
      </c>
      <c r="V4157" s="108" t="str">
        <f>IF(Tabla1[[#This Row],[Tiempo solución max (hrs)]]&lt;&gt;"",IF(Tabla1[[#This Row],[Tiempo solución max (hrs)]]&gt;=Tabla1[[#This Row],[Tiempo
(Hrs 00/100)]],"cumple","no cumple"),"")</f>
        <v/>
      </c>
      <c r="W4157" s="17"/>
      <c r="X4157" s="18">
        <f t="shared" si="254"/>
        <v>0</v>
      </c>
      <c r="Y4157" t="str">
        <f>SUBSTITUTE(Tabla1[[#This Row],[Descripción]],CHAR(10),"    I    ")</f>
        <v/>
      </c>
      <c r="Z4157" s="112" t="e">
        <f>VLOOKUP(Tabla1[[#This Row],[Perfil]],Catalogos!$B$75:$D$100,3,FALSE)*Tabla1[[#This Row],[Tiempo
(Hrs 00/100)]]*1.16</f>
        <v>#N/A</v>
      </c>
    </row>
    <row r="4158" spans="1:26" ht="30" customHeight="1" x14ac:dyDescent="0.3">
      <c r="A4158" s="106"/>
      <c r="B4158" s="106"/>
      <c r="C4158" s="106"/>
      <c r="D4158" s="106"/>
      <c r="E4158" s="106"/>
      <c r="F4158" s="106"/>
      <c r="G4158" s="106"/>
      <c r="H4158" s="107"/>
      <c r="I4158" s="95"/>
      <c r="J4158" s="706"/>
      <c r="K4158" s="769"/>
      <c r="L4158" s="706"/>
      <c r="M4158" s="781"/>
      <c r="N4158" s="182"/>
      <c r="O4158" s="188"/>
      <c r="P4158" s="221"/>
      <c r="Q4158" s="106"/>
      <c r="R4158" s="108"/>
      <c r="S4158" s="108"/>
      <c r="T4158" s="108"/>
      <c r="U4158" s="108" t="str">
        <f>IFERROR(VLOOKUP(CONCATENATE(Tabla1[[#This Row],[Severidad]]," ",Tabla1[[#This Row],[Complejidad]]),Catalogos!E$120:G$128,3,FALSE),"")</f>
        <v/>
      </c>
      <c r="V4158" s="108" t="str">
        <f>IF(Tabla1[[#This Row],[Tiempo solución max (hrs)]]&lt;&gt;"",IF(Tabla1[[#This Row],[Tiempo solución max (hrs)]]&gt;=Tabla1[[#This Row],[Tiempo
(Hrs 00/100)]],"cumple","no cumple"),"")</f>
        <v/>
      </c>
      <c r="W4158" s="17"/>
      <c r="X4158" s="18">
        <f t="shared" si="254"/>
        <v>0</v>
      </c>
      <c r="Y4158" t="str">
        <f>SUBSTITUTE(Tabla1[[#This Row],[Descripción]],CHAR(10),"    I    ")</f>
        <v/>
      </c>
      <c r="Z4158" s="112" t="e">
        <f>VLOOKUP(Tabla1[[#This Row],[Perfil]],Catalogos!$B$75:$D$100,3,FALSE)*Tabla1[[#This Row],[Tiempo
(Hrs 00/100)]]*1.16</f>
        <v>#N/A</v>
      </c>
    </row>
    <row r="4159" spans="1:26" ht="30" customHeight="1" x14ac:dyDescent="0.3">
      <c r="A4159" s="106"/>
      <c r="B4159" s="106"/>
      <c r="C4159" s="106"/>
      <c r="D4159" s="106"/>
      <c r="E4159" s="106"/>
      <c r="F4159" s="106"/>
      <c r="G4159" s="106"/>
      <c r="H4159" s="107"/>
      <c r="I4159" s="95"/>
      <c r="J4159" s="706"/>
      <c r="K4159" s="769"/>
      <c r="L4159" s="706"/>
      <c r="M4159" s="781"/>
      <c r="N4159" s="182"/>
      <c r="O4159" s="188"/>
      <c r="P4159" s="221"/>
      <c r="Q4159" s="106"/>
      <c r="R4159" s="108"/>
      <c r="S4159" s="108"/>
      <c r="T4159" s="108"/>
      <c r="U4159" s="108" t="str">
        <f>IFERROR(VLOOKUP(CONCATENATE(Tabla1[[#This Row],[Severidad]]," ",Tabla1[[#This Row],[Complejidad]]),Catalogos!E$120:G$128,3,FALSE),"")</f>
        <v/>
      </c>
      <c r="V4159" s="108" t="str">
        <f>IF(Tabla1[[#This Row],[Tiempo solución max (hrs)]]&lt;&gt;"",IF(Tabla1[[#This Row],[Tiempo solución max (hrs)]]&gt;=Tabla1[[#This Row],[Tiempo
(Hrs 00/100)]],"cumple","no cumple"),"")</f>
        <v/>
      </c>
      <c r="W4159" s="17"/>
      <c r="X4159" s="18">
        <f t="shared" si="254"/>
        <v>0</v>
      </c>
      <c r="Y4159" t="str">
        <f>SUBSTITUTE(Tabla1[[#This Row],[Descripción]],CHAR(10),"    I    ")</f>
        <v/>
      </c>
      <c r="Z4159" s="112" t="e">
        <f>VLOOKUP(Tabla1[[#This Row],[Perfil]],Catalogos!$B$75:$D$100,3,FALSE)*Tabla1[[#This Row],[Tiempo
(Hrs 00/100)]]*1.16</f>
        <v>#N/A</v>
      </c>
    </row>
    <row r="4160" spans="1:26" ht="30" customHeight="1" x14ac:dyDescent="0.3">
      <c r="A4160" s="106"/>
      <c r="B4160" s="106"/>
      <c r="C4160" s="106"/>
      <c r="D4160" s="106"/>
      <c r="E4160" s="106"/>
      <c r="F4160" s="106"/>
      <c r="G4160" s="106"/>
      <c r="H4160" s="107"/>
      <c r="I4160" s="95"/>
      <c r="J4160" s="706"/>
      <c r="K4160" s="769"/>
      <c r="L4160" s="706"/>
      <c r="M4160" s="781"/>
      <c r="N4160" s="182"/>
      <c r="O4160" s="188"/>
      <c r="P4160" s="221"/>
      <c r="Q4160" s="106"/>
      <c r="R4160" s="108"/>
      <c r="S4160" s="108"/>
      <c r="T4160" s="108"/>
      <c r="U4160" s="108" t="str">
        <f>IFERROR(VLOOKUP(CONCATENATE(Tabla1[[#This Row],[Severidad]]," ",Tabla1[[#This Row],[Complejidad]]),Catalogos!E$120:G$128,3,FALSE),"")</f>
        <v/>
      </c>
      <c r="V4160" s="108" t="str">
        <f>IF(Tabla1[[#This Row],[Tiempo solución max (hrs)]]&lt;&gt;"",IF(Tabla1[[#This Row],[Tiempo solución max (hrs)]]&gt;=Tabla1[[#This Row],[Tiempo
(Hrs 00/100)]],"cumple","no cumple"),"")</f>
        <v/>
      </c>
      <c r="W4160" s="17"/>
      <c r="X4160" s="18">
        <f t="shared" si="254"/>
        <v>0</v>
      </c>
      <c r="Y4160" t="str">
        <f>SUBSTITUTE(Tabla1[[#This Row],[Descripción]],CHAR(10),"    I    ")</f>
        <v/>
      </c>
      <c r="Z4160" s="112" t="e">
        <f>VLOOKUP(Tabla1[[#This Row],[Perfil]],Catalogos!$B$75:$D$100,3,FALSE)*Tabla1[[#This Row],[Tiempo
(Hrs 00/100)]]*1.16</f>
        <v>#N/A</v>
      </c>
    </row>
    <row r="4161" spans="1:26" ht="30" customHeight="1" x14ac:dyDescent="0.3">
      <c r="A4161" s="106"/>
      <c r="B4161" s="106"/>
      <c r="C4161" s="106"/>
      <c r="D4161" s="106"/>
      <c r="E4161" s="106"/>
      <c r="F4161" s="106"/>
      <c r="G4161" s="106"/>
      <c r="H4161" s="107"/>
      <c r="I4161" s="95"/>
      <c r="J4161" s="706"/>
      <c r="K4161" s="769"/>
      <c r="L4161" s="706"/>
      <c r="M4161" s="781"/>
      <c r="N4161" s="182"/>
      <c r="O4161" s="188"/>
      <c r="P4161" s="221"/>
      <c r="Q4161" s="106"/>
      <c r="R4161" s="108"/>
      <c r="S4161" s="108"/>
      <c r="T4161" s="108"/>
      <c r="U4161" s="108" t="str">
        <f>IFERROR(VLOOKUP(CONCATENATE(Tabla1[[#This Row],[Severidad]]," ",Tabla1[[#This Row],[Complejidad]]),Catalogos!E$120:G$128,3,FALSE),"")</f>
        <v/>
      </c>
      <c r="V4161" s="108" t="str">
        <f>IF(Tabla1[[#This Row],[Tiempo solución max (hrs)]]&lt;&gt;"",IF(Tabla1[[#This Row],[Tiempo solución max (hrs)]]&gt;=Tabla1[[#This Row],[Tiempo
(Hrs 00/100)]],"cumple","no cumple"),"")</f>
        <v/>
      </c>
      <c r="W4161" s="17"/>
      <c r="X4161" s="18">
        <f t="shared" si="254"/>
        <v>0</v>
      </c>
      <c r="Y4161" t="str">
        <f>SUBSTITUTE(Tabla1[[#This Row],[Descripción]],CHAR(10),"    I    ")</f>
        <v/>
      </c>
      <c r="Z4161" s="112" t="e">
        <f>VLOOKUP(Tabla1[[#This Row],[Perfil]],Catalogos!$B$75:$D$100,3,FALSE)*Tabla1[[#This Row],[Tiempo
(Hrs 00/100)]]*1.16</f>
        <v>#N/A</v>
      </c>
    </row>
    <row r="4162" spans="1:26" ht="30" customHeight="1" x14ac:dyDescent="0.3">
      <c r="A4162" s="106"/>
      <c r="B4162" s="106"/>
      <c r="C4162" s="106"/>
      <c r="D4162" s="106"/>
      <c r="E4162" s="106"/>
      <c r="F4162" s="106"/>
      <c r="G4162" s="106"/>
      <c r="H4162" s="107"/>
      <c r="I4162" s="95"/>
      <c r="J4162" s="706"/>
      <c r="K4162" s="769"/>
      <c r="L4162" s="706"/>
      <c r="M4162" s="781"/>
      <c r="N4162" s="182"/>
      <c r="O4162" s="188"/>
      <c r="P4162" s="221"/>
      <c r="Q4162" s="106"/>
      <c r="R4162" s="108"/>
      <c r="S4162" s="108"/>
      <c r="T4162" s="108"/>
      <c r="U4162" s="108" t="str">
        <f>IFERROR(VLOOKUP(CONCATENATE(Tabla1[[#This Row],[Severidad]]," ",Tabla1[[#This Row],[Complejidad]]),Catalogos!E$120:G$128,3,FALSE),"")</f>
        <v/>
      </c>
      <c r="V4162" s="108" t="str">
        <f>IF(Tabla1[[#This Row],[Tiempo solución max (hrs)]]&lt;&gt;"",IF(Tabla1[[#This Row],[Tiempo solución max (hrs)]]&gt;=Tabla1[[#This Row],[Tiempo
(Hrs 00/100)]],"cumple","no cumple"),"")</f>
        <v/>
      </c>
      <c r="W4162" s="17"/>
      <c r="X4162" s="18">
        <f t="shared" si="254"/>
        <v>0</v>
      </c>
      <c r="Y4162" t="str">
        <f>SUBSTITUTE(Tabla1[[#This Row],[Descripción]],CHAR(10),"    I    ")</f>
        <v/>
      </c>
      <c r="Z4162" s="112" t="e">
        <f>VLOOKUP(Tabla1[[#This Row],[Perfil]],Catalogos!$B$75:$D$100,3,FALSE)*Tabla1[[#This Row],[Tiempo
(Hrs 00/100)]]*1.16</f>
        <v>#N/A</v>
      </c>
    </row>
    <row r="4163" spans="1:26" ht="30" customHeight="1" x14ac:dyDescent="0.3">
      <c r="A4163" s="106"/>
      <c r="B4163" s="106"/>
      <c r="C4163" s="106"/>
      <c r="D4163" s="106"/>
      <c r="E4163" s="106"/>
      <c r="F4163" s="106"/>
      <c r="G4163" s="106"/>
      <c r="H4163" s="107"/>
      <c r="I4163" s="95"/>
      <c r="J4163" s="706"/>
      <c r="K4163" s="769"/>
      <c r="L4163" s="706"/>
      <c r="M4163" s="781"/>
      <c r="N4163" s="182"/>
      <c r="O4163" s="188"/>
      <c r="P4163" s="221"/>
      <c r="Q4163" s="106"/>
      <c r="R4163" s="108"/>
      <c r="S4163" s="108"/>
      <c r="T4163" s="108"/>
      <c r="U4163" s="108" t="str">
        <f>IFERROR(VLOOKUP(CONCATENATE(Tabla1[[#This Row],[Severidad]]," ",Tabla1[[#This Row],[Complejidad]]),Catalogos!E$120:G$128,3,FALSE),"")</f>
        <v/>
      </c>
      <c r="V4163" s="108" t="str">
        <f>IF(Tabla1[[#This Row],[Tiempo solución max (hrs)]]&lt;&gt;"",IF(Tabla1[[#This Row],[Tiempo solución max (hrs)]]&gt;=Tabla1[[#This Row],[Tiempo
(Hrs 00/100)]],"cumple","no cumple"),"")</f>
        <v/>
      </c>
      <c r="W4163" s="17"/>
      <c r="X4163" s="18">
        <f t="shared" ref="X4163:X4226" si="255">IF(C4163&lt;&gt;"",C4163,D4163)</f>
        <v>0</v>
      </c>
      <c r="Y4163" t="str">
        <f>SUBSTITUTE(Tabla1[[#This Row],[Descripción]],CHAR(10),"    I    ")</f>
        <v/>
      </c>
      <c r="Z4163" s="112" t="e">
        <f>VLOOKUP(Tabla1[[#This Row],[Perfil]],Catalogos!$B$75:$D$100,3,FALSE)*Tabla1[[#This Row],[Tiempo
(Hrs 00/100)]]*1.16</f>
        <v>#N/A</v>
      </c>
    </row>
    <row r="4164" spans="1:26" ht="30" customHeight="1" x14ac:dyDescent="0.3">
      <c r="A4164" s="106"/>
      <c r="B4164" s="106"/>
      <c r="C4164" s="106"/>
      <c r="D4164" s="106"/>
      <c r="E4164" s="106"/>
      <c r="F4164" s="106"/>
      <c r="G4164" s="106"/>
      <c r="H4164" s="107"/>
      <c r="I4164" s="95"/>
      <c r="J4164" s="706"/>
      <c r="K4164" s="769"/>
      <c r="L4164" s="706"/>
      <c r="M4164" s="781"/>
      <c r="N4164" s="182"/>
      <c r="O4164" s="188"/>
      <c r="P4164" s="221"/>
      <c r="Q4164" s="106"/>
      <c r="R4164" s="108"/>
      <c r="S4164" s="108"/>
      <c r="T4164" s="108"/>
      <c r="U4164" s="108" t="str">
        <f>IFERROR(VLOOKUP(CONCATENATE(Tabla1[[#This Row],[Severidad]]," ",Tabla1[[#This Row],[Complejidad]]),Catalogos!E$120:G$128,3,FALSE),"")</f>
        <v/>
      </c>
      <c r="V4164" s="108" t="str">
        <f>IF(Tabla1[[#This Row],[Tiempo solución max (hrs)]]&lt;&gt;"",IF(Tabla1[[#This Row],[Tiempo solución max (hrs)]]&gt;=Tabla1[[#This Row],[Tiempo
(Hrs 00/100)]],"cumple","no cumple"),"")</f>
        <v/>
      </c>
      <c r="W4164" s="17"/>
      <c r="X4164" s="18">
        <f t="shared" si="255"/>
        <v>0</v>
      </c>
      <c r="Y4164" t="str">
        <f>SUBSTITUTE(Tabla1[[#This Row],[Descripción]],CHAR(10),"    I    ")</f>
        <v/>
      </c>
      <c r="Z4164" s="112" t="e">
        <f>VLOOKUP(Tabla1[[#This Row],[Perfil]],Catalogos!$B$75:$D$100,3,FALSE)*Tabla1[[#This Row],[Tiempo
(Hrs 00/100)]]*1.16</f>
        <v>#N/A</v>
      </c>
    </row>
    <row r="4165" spans="1:26" ht="30" customHeight="1" x14ac:dyDescent="0.3">
      <c r="A4165" s="106"/>
      <c r="B4165" s="106"/>
      <c r="C4165" s="106"/>
      <c r="D4165" s="106"/>
      <c r="E4165" s="106"/>
      <c r="F4165" s="106"/>
      <c r="G4165" s="106"/>
      <c r="H4165" s="107"/>
      <c r="I4165" s="95"/>
      <c r="J4165" s="706"/>
      <c r="K4165" s="769"/>
      <c r="L4165" s="706"/>
      <c r="M4165" s="781"/>
      <c r="N4165" s="182"/>
      <c r="O4165" s="188"/>
      <c r="P4165" s="221"/>
      <c r="Q4165" s="106"/>
      <c r="R4165" s="108"/>
      <c r="S4165" s="108"/>
      <c r="T4165" s="108"/>
      <c r="U4165" s="108" t="str">
        <f>IFERROR(VLOOKUP(CONCATENATE(Tabla1[[#This Row],[Severidad]]," ",Tabla1[[#This Row],[Complejidad]]),Catalogos!E$120:G$128,3,FALSE),"")</f>
        <v/>
      </c>
      <c r="V4165" s="108" t="str">
        <f>IF(Tabla1[[#This Row],[Tiempo solución max (hrs)]]&lt;&gt;"",IF(Tabla1[[#This Row],[Tiempo solución max (hrs)]]&gt;=Tabla1[[#This Row],[Tiempo
(Hrs 00/100)]],"cumple","no cumple"),"")</f>
        <v/>
      </c>
      <c r="W4165" s="17"/>
      <c r="X4165" s="18">
        <f t="shared" si="255"/>
        <v>0</v>
      </c>
      <c r="Y4165" t="str">
        <f>SUBSTITUTE(Tabla1[[#This Row],[Descripción]],CHAR(10),"    I    ")</f>
        <v/>
      </c>
      <c r="Z4165" s="112" t="e">
        <f>VLOOKUP(Tabla1[[#This Row],[Perfil]],Catalogos!$B$75:$D$100,3,FALSE)*Tabla1[[#This Row],[Tiempo
(Hrs 00/100)]]*1.16</f>
        <v>#N/A</v>
      </c>
    </row>
    <row r="4166" spans="1:26" ht="30" customHeight="1" x14ac:dyDescent="0.3">
      <c r="A4166" s="106"/>
      <c r="B4166" s="106"/>
      <c r="C4166" s="106"/>
      <c r="D4166" s="106"/>
      <c r="E4166" s="106"/>
      <c r="F4166" s="106"/>
      <c r="G4166" s="106"/>
      <c r="H4166" s="107"/>
      <c r="I4166" s="95"/>
      <c r="J4166" s="706"/>
      <c r="K4166" s="769"/>
      <c r="L4166" s="706"/>
      <c r="M4166" s="781"/>
      <c r="N4166" s="182"/>
      <c r="O4166" s="188"/>
      <c r="P4166" s="221"/>
      <c r="Q4166" s="106"/>
      <c r="R4166" s="108"/>
      <c r="S4166" s="108"/>
      <c r="T4166" s="108"/>
      <c r="U4166" s="108" t="str">
        <f>IFERROR(VLOOKUP(CONCATENATE(Tabla1[[#This Row],[Severidad]]," ",Tabla1[[#This Row],[Complejidad]]),Catalogos!E$120:G$128,3,FALSE),"")</f>
        <v/>
      </c>
      <c r="V4166" s="108" t="str">
        <f>IF(Tabla1[[#This Row],[Tiempo solución max (hrs)]]&lt;&gt;"",IF(Tabla1[[#This Row],[Tiempo solución max (hrs)]]&gt;=Tabla1[[#This Row],[Tiempo
(Hrs 00/100)]],"cumple","no cumple"),"")</f>
        <v/>
      </c>
      <c r="W4166" s="17"/>
      <c r="X4166" s="18">
        <f t="shared" si="255"/>
        <v>0</v>
      </c>
      <c r="Y4166" t="str">
        <f>SUBSTITUTE(Tabla1[[#This Row],[Descripción]],CHAR(10),"    I    ")</f>
        <v/>
      </c>
      <c r="Z4166" s="112" t="e">
        <f>VLOOKUP(Tabla1[[#This Row],[Perfil]],Catalogos!$B$75:$D$100,3,FALSE)*Tabla1[[#This Row],[Tiempo
(Hrs 00/100)]]*1.16</f>
        <v>#N/A</v>
      </c>
    </row>
    <row r="4167" spans="1:26" ht="30" customHeight="1" x14ac:dyDescent="0.3">
      <c r="A4167" s="106"/>
      <c r="B4167" s="106"/>
      <c r="C4167" s="106"/>
      <c r="D4167" s="106"/>
      <c r="E4167" s="106"/>
      <c r="F4167" s="106"/>
      <c r="G4167" s="106"/>
      <c r="H4167" s="107"/>
      <c r="I4167" s="95"/>
      <c r="J4167" s="706"/>
      <c r="K4167" s="769"/>
      <c r="L4167" s="706"/>
      <c r="M4167" s="781"/>
      <c r="N4167" s="182"/>
      <c r="O4167" s="188"/>
      <c r="P4167" s="221"/>
      <c r="Q4167" s="106"/>
      <c r="R4167" s="108"/>
      <c r="S4167" s="108"/>
      <c r="T4167" s="108"/>
      <c r="U4167" s="108" t="str">
        <f>IFERROR(VLOOKUP(CONCATENATE(Tabla1[[#This Row],[Severidad]]," ",Tabla1[[#This Row],[Complejidad]]),Catalogos!E$120:G$128,3,FALSE),"")</f>
        <v/>
      </c>
      <c r="V4167" s="108" t="str">
        <f>IF(Tabla1[[#This Row],[Tiempo solución max (hrs)]]&lt;&gt;"",IF(Tabla1[[#This Row],[Tiempo solución max (hrs)]]&gt;=Tabla1[[#This Row],[Tiempo
(Hrs 00/100)]],"cumple","no cumple"),"")</f>
        <v/>
      </c>
      <c r="W4167" s="17"/>
      <c r="X4167" s="18">
        <f t="shared" si="255"/>
        <v>0</v>
      </c>
      <c r="Y4167" t="str">
        <f>SUBSTITUTE(Tabla1[[#This Row],[Descripción]],CHAR(10),"    I    ")</f>
        <v/>
      </c>
      <c r="Z4167" s="112" t="e">
        <f>VLOOKUP(Tabla1[[#This Row],[Perfil]],Catalogos!$B$75:$D$100,3,FALSE)*Tabla1[[#This Row],[Tiempo
(Hrs 00/100)]]*1.16</f>
        <v>#N/A</v>
      </c>
    </row>
    <row r="4168" spans="1:26" ht="30" customHeight="1" x14ac:dyDescent="0.3">
      <c r="A4168" s="106"/>
      <c r="B4168" s="106"/>
      <c r="C4168" s="106"/>
      <c r="D4168" s="106"/>
      <c r="E4168" s="106"/>
      <c r="F4168" s="106"/>
      <c r="G4168" s="106"/>
      <c r="H4168" s="107"/>
      <c r="I4168" s="95"/>
      <c r="J4168" s="706"/>
      <c r="K4168" s="769"/>
      <c r="L4168" s="706"/>
      <c r="M4168" s="781"/>
      <c r="N4168" s="182"/>
      <c r="O4168" s="188"/>
      <c r="P4168" s="221"/>
      <c r="Q4168" s="106"/>
      <c r="R4168" s="108"/>
      <c r="S4168" s="108"/>
      <c r="T4168" s="108"/>
      <c r="U4168" s="108" t="str">
        <f>IFERROR(VLOOKUP(CONCATENATE(Tabla1[[#This Row],[Severidad]]," ",Tabla1[[#This Row],[Complejidad]]),Catalogos!E$120:G$128,3,FALSE),"")</f>
        <v/>
      </c>
      <c r="V4168" s="108" t="str">
        <f>IF(Tabla1[[#This Row],[Tiempo solución max (hrs)]]&lt;&gt;"",IF(Tabla1[[#This Row],[Tiempo solución max (hrs)]]&gt;=Tabla1[[#This Row],[Tiempo
(Hrs 00/100)]],"cumple","no cumple"),"")</f>
        <v/>
      </c>
      <c r="W4168" s="17"/>
      <c r="X4168" s="18">
        <f t="shared" si="255"/>
        <v>0</v>
      </c>
      <c r="Y4168" t="str">
        <f>SUBSTITUTE(Tabla1[[#This Row],[Descripción]],CHAR(10),"    I    ")</f>
        <v/>
      </c>
      <c r="Z4168" s="112" t="e">
        <f>VLOOKUP(Tabla1[[#This Row],[Perfil]],Catalogos!$B$75:$D$100,3,FALSE)*Tabla1[[#This Row],[Tiempo
(Hrs 00/100)]]*1.16</f>
        <v>#N/A</v>
      </c>
    </row>
    <row r="4169" spans="1:26" ht="30" customHeight="1" x14ac:dyDescent="0.3">
      <c r="A4169" s="106"/>
      <c r="B4169" s="106"/>
      <c r="C4169" s="106"/>
      <c r="D4169" s="106"/>
      <c r="E4169" s="106"/>
      <c r="F4169" s="106"/>
      <c r="G4169" s="106"/>
      <c r="H4169" s="107"/>
      <c r="I4169" s="95"/>
      <c r="J4169" s="706"/>
      <c r="K4169" s="769"/>
      <c r="L4169" s="706"/>
      <c r="M4169" s="781"/>
      <c r="N4169" s="182"/>
      <c r="O4169" s="188"/>
      <c r="P4169" s="221"/>
      <c r="Q4169" s="106"/>
      <c r="R4169" s="108"/>
      <c r="S4169" s="108"/>
      <c r="T4169" s="108"/>
      <c r="U4169" s="108" t="str">
        <f>IFERROR(VLOOKUP(CONCATENATE(Tabla1[[#This Row],[Severidad]]," ",Tabla1[[#This Row],[Complejidad]]),Catalogos!E$120:G$128,3,FALSE),"")</f>
        <v/>
      </c>
      <c r="V4169" s="108" t="str">
        <f>IF(Tabla1[[#This Row],[Tiempo solución max (hrs)]]&lt;&gt;"",IF(Tabla1[[#This Row],[Tiempo solución max (hrs)]]&gt;=Tabla1[[#This Row],[Tiempo
(Hrs 00/100)]],"cumple","no cumple"),"")</f>
        <v/>
      </c>
      <c r="W4169" s="17"/>
      <c r="X4169" s="18">
        <f t="shared" si="255"/>
        <v>0</v>
      </c>
      <c r="Y4169" t="str">
        <f>SUBSTITUTE(Tabla1[[#This Row],[Descripción]],CHAR(10),"    I    ")</f>
        <v/>
      </c>
      <c r="Z4169" s="112" t="e">
        <f>VLOOKUP(Tabla1[[#This Row],[Perfil]],Catalogos!$B$75:$D$100,3,FALSE)*Tabla1[[#This Row],[Tiempo
(Hrs 00/100)]]*1.16</f>
        <v>#N/A</v>
      </c>
    </row>
    <row r="4170" spans="1:26" ht="30" customHeight="1" x14ac:dyDescent="0.3">
      <c r="A4170" s="106"/>
      <c r="B4170" s="106"/>
      <c r="C4170" s="106"/>
      <c r="D4170" s="106"/>
      <c r="E4170" s="106"/>
      <c r="F4170" s="106"/>
      <c r="G4170" s="106"/>
      <c r="H4170" s="107"/>
      <c r="I4170" s="95"/>
      <c r="J4170" s="706"/>
      <c r="K4170" s="769"/>
      <c r="L4170" s="706"/>
      <c r="M4170" s="781"/>
      <c r="N4170" s="182"/>
      <c r="O4170" s="188"/>
      <c r="P4170" s="221"/>
      <c r="Q4170" s="106"/>
      <c r="R4170" s="108"/>
      <c r="S4170" s="108"/>
      <c r="T4170" s="108"/>
      <c r="U4170" s="108" t="str">
        <f>IFERROR(VLOOKUP(CONCATENATE(Tabla1[[#This Row],[Severidad]]," ",Tabla1[[#This Row],[Complejidad]]),Catalogos!E$120:G$128,3,FALSE),"")</f>
        <v/>
      </c>
      <c r="V4170" s="108" t="str">
        <f>IF(Tabla1[[#This Row],[Tiempo solución max (hrs)]]&lt;&gt;"",IF(Tabla1[[#This Row],[Tiempo solución max (hrs)]]&gt;=Tabla1[[#This Row],[Tiempo
(Hrs 00/100)]],"cumple","no cumple"),"")</f>
        <v/>
      </c>
      <c r="W4170" s="17"/>
      <c r="X4170" s="18">
        <f t="shared" si="255"/>
        <v>0</v>
      </c>
      <c r="Y4170" t="str">
        <f>SUBSTITUTE(Tabla1[[#This Row],[Descripción]],CHAR(10),"    I    ")</f>
        <v/>
      </c>
      <c r="Z4170" s="112" t="e">
        <f>VLOOKUP(Tabla1[[#This Row],[Perfil]],Catalogos!$B$75:$D$100,3,FALSE)*Tabla1[[#This Row],[Tiempo
(Hrs 00/100)]]*1.16</f>
        <v>#N/A</v>
      </c>
    </row>
    <row r="4171" spans="1:26" ht="30" customHeight="1" x14ac:dyDescent="0.3">
      <c r="A4171" s="106"/>
      <c r="B4171" s="106"/>
      <c r="C4171" s="106"/>
      <c r="D4171" s="106"/>
      <c r="E4171" s="106"/>
      <c r="F4171" s="106"/>
      <c r="G4171" s="106"/>
      <c r="H4171" s="107"/>
      <c r="I4171" s="95"/>
      <c r="J4171" s="706"/>
      <c r="K4171" s="769"/>
      <c r="L4171" s="706"/>
      <c r="M4171" s="781"/>
      <c r="N4171" s="182"/>
      <c r="O4171" s="188"/>
      <c r="P4171" s="221"/>
      <c r="Q4171" s="106"/>
      <c r="R4171" s="108"/>
      <c r="S4171" s="108"/>
      <c r="T4171" s="108"/>
      <c r="U4171" s="108" t="str">
        <f>IFERROR(VLOOKUP(CONCATENATE(Tabla1[[#This Row],[Severidad]]," ",Tabla1[[#This Row],[Complejidad]]),Catalogos!E$120:G$128,3,FALSE),"")</f>
        <v/>
      </c>
      <c r="V4171" s="108" t="str">
        <f>IF(Tabla1[[#This Row],[Tiempo solución max (hrs)]]&lt;&gt;"",IF(Tabla1[[#This Row],[Tiempo solución max (hrs)]]&gt;=Tabla1[[#This Row],[Tiempo
(Hrs 00/100)]],"cumple","no cumple"),"")</f>
        <v/>
      </c>
      <c r="W4171" s="17"/>
      <c r="X4171" s="18">
        <f t="shared" si="255"/>
        <v>0</v>
      </c>
      <c r="Y4171" t="str">
        <f>SUBSTITUTE(Tabla1[[#This Row],[Descripción]],CHAR(10),"    I    ")</f>
        <v/>
      </c>
      <c r="Z4171" s="112" t="e">
        <f>VLOOKUP(Tabla1[[#This Row],[Perfil]],Catalogos!$B$75:$D$100,3,FALSE)*Tabla1[[#This Row],[Tiempo
(Hrs 00/100)]]*1.16</f>
        <v>#N/A</v>
      </c>
    </row>
    <row r="4172" spans="1:26" ht="30" customHeight="1" x14ac:dyDescent="0.3">
      <c r="A4172" s="106"/>
      <c r="B4172" s="106"/>
      <c r="C4172" s="106"/>
      <c r="D4172" s="106"/>
      <c r="E4172" s="106"/>
      <c r="F4172" s="106"/>
      <c r="G4172" s="106"/>
      <c r="H4172" s="107"/>
      <c r="I4172" s="95"/>
      <c r="J4172" s="706"/>
      <c r="K4172" s="769"/>
      <c r="L4172" s="706"/>
      <c r="M4172" s="781"/>
      <c r="N4172" s="182"/>
      <c r="O4172" s="188"/>
      <c r="P4172" s="221"/>
      <c r="Q4172" s="106"/>
      <c r="R4172" s="108"/>
      <c r="S4172" s="108"/>
      <c r="T4172" s="108"/>
      <c r="U4172" s="108" t="str">
        <f>IFERROR(VLOOKUP(CONCATENATE(Tabla1[[#This Row],[Severidad]]," ",Tabla1[[#This Row],[Complejidad]]),Catalogos!E$120:G$128,3,FALSE),"")</f>
        <v/>
      </c>
      <c r="V4172" s="108" t="str">
        <f>IF(Tabla1[[#This Row],[Tiempo solución max (hrs)]]&lt;&gt;"",IF(Tabla1[[#This Row],[Tiempo solución max (hrs)]]&gt;=Tabla1[[#This Row],[Tiempo
(Hrs 00/100)]],"cumple","no cumple"),"")</f>
        <v/>
      </c>
      <c r="W4172" s="17"/>
      <c r="X4172" s="18">
        <f t="shared" si="255"/>
        <v>0</v>
      </c>
      <c r="Y4172" t="str">
        <f>SUBSTITUTE(Tabla1[[#This Row],[Descripción]],CHAR(10),"    I    ")</f>
        <v/>
      </c>
      <c r="Z4172" s="112" t="e">
        <f>VLOOKUP(Tabla1[[#This Row],[Perfil]],Catalogos!$B$75:$D$100,3,FALSE)*Tabla1[[#This Row],[Tiempo
(Hrs 00/100)]]*1.16</f>
        <v>#N/A</v>
      </c>
    </row>
    <row r="4173" spans="1:26" ht="30" customHeight="1" x14ac:dyDescent="0.3">
      <c r="A4173" s="106"/>
      <c r="B4173" s="106"/>
      <c r="C4173" s="106"/>
      <c r="D4173" s="106"/>
      <c r="E4173" s="106"/>
      <c r="F4173" s="106"/>
      <c r="G4173" s="106"/>
      <c r="H4173" s="107"/>
      <c r="I4173" s="95"/>
      <c r="J4173" s="706"/>
      <c r="K4173" s="769"/>
      <c r="L4173" s="706"/>
      <c r="M4173" s="781"/>
      <c r="N4173" s="182"/>
      <c r="O4173" s="188"/>
      <c r="P4173" s="221"/>
      <c r="Q4173" s="106"/>
      <c r="R4173" s="108"/>
      <c r="S4173" s="108"/>
      <c r="T4173" s="108"/>
      <c r="U4173" s="108" t="str">
        <f>IFERROR(VLOOKUP(CONCATENATE(Tabla1[[#This Row],[Severidad]]," ",Tabla1[[#This Row],[Complejidad]]),Catalogos!E$120:G$128,3,FALSE),"")</f>
        <v/>
      </c>
      <c r="V4173" s="108" t="str">
        <f>IF(Tabla1[[#This Row],[Tiempo solución max (hrs)]]&lt;&gt;"",IF(Tabla1[[#This Row],[Tiempo solución max (hrs)]]&gt;=Tabla1[[#This Row],[Tiempo
(Hrs 00/100)]],"cumple","no cumple"),"")</f>
        <v/>
      </c>
      <c r="W4173" s="17"/>
      <c r="X4173" s="18">
        <f t="shared" si="255"/>
        <v>0</v>
      </c>
      <c r="Y4173" t="str">
        <f>SUBSTITUTE(Tabla1[[#This Row],[Descripción]],CHAR(10),"    I    ")</f>
        <v/>
      </c>
      <c r="Z4173" s="112" t="e">
        <f>VLOOKUP(Tabla1[[#This Row],[Perfil]],Catalogos!$B$75:$D$100,3,FALSE)*Tabla1[[#This Row],[Tiempo
(Hrs 00/100)]]*1.16</f>
        <v>#N/A</v>
      </c>
    </row>
    <row r="4174" spans="1:26" ht="30" customHeight="1" x14ac:dyDescent="0.3">
      <c r="A4174" s="106"/>
      <c r="B4174" s="106"/>
      <c r="C4174" s="106"/>
      <c r="D4174" s="106"/>
      <c r="E4174" s="106"/>
      <c r="F4174" s="106"/>
      <c r="G4174" s="106"/>
      <c r="H4174" s="107"/>
      <c r="I4174" s="95"/>
      <c r="J4174" s="706"/>
      <c r="K4174" s="769"/>
      <c r="L4174" s="706"/>
      <c r="M4174" s="781"/>
      <c r="N4174" s="182"/>
      <c r="O4174" s="188"/>
      <c r="P4174" s="221"/>
      <c r="Q4174" s="106"/>
      <c r="R4174" s="108"/>
      <c r="S4174" s="108"/>
      <c r="T4174" s="108"/>
      <c r="U4174" s="108" t="str">
        <f>IFERROR(VLOOKUP(CONCATENATE(Tabla1[[#This Row],[Severidad]]," ",Tabla1[[#This Row],[Complejidad]]),Catalogos!E$120:G$128,3,FALSE),"")</f>
        <v/>
      </c>
      <c r="V4174" s="108" t="str">
        <f>IF(Tabla1[[#This Row],[Tiempo solución max (hrs)]]&lt;&gt;"",IF(Tabla1[[#This Row],[Tiempo solución max (hrs)]]&gt;=Tabla1[[#This Row],[Tiempo
(Hrs 00/100)]],"cumple","no cumple"),"")</f>
        <v/>
      </c>
      <c r="W4174" s="17"/>
      <c r="X4174" s="18">
        <f t="shared" si="255"/>
        <v>0</v>
      </c>
      <c r="Y4174" t="str">
        <f>SUBSTITUTE(Tabla1[[#This Row],[Descripción]],CHAR(10),"    I    ")</f>
        <v/>
      </c>
      <c r="Z4174" s="112" t="e">
        <f>VLOOKUP(Tabla1[[#This Row],[Perfil]],Catalogos!$B$75:$D$100,3,FALSE)*Tabla1[[#This Row],[Tiempo
(Hrs 00/100)]]*1.16</f>
        <v>#N/A</v>
      </c>
    </row>
    <row r="4175" spans="1:26" ht="30" customHeight="1" x14ac:dyDescent="0.3">
      <c r="A4175" s="106"/>
      <c r="B4175" s="106"/>
      <c r="C4175" s="106"/>
      <c r="D4175" s="106"/>
      <c r="E4175" s="106"/>
      <c r="F4175" s="106"/>
      <c r="G4175" s="106"/>
      <c r="H4175" s="107"/>
      <c r="I4175" s="95"/>
      <c r="J4175" s="706"/>
      <c r="K4175" s="769"/>
      <c r="L4175" s="706"/>
      <c r="M4175" s="781"/>
      <c r="N4175" s="182"/>
      <c r="O4175" s="188"/>
      <c r="P4175" s="221"/>
      <c r="Q4175" s="106"/>
      <c r="R4175" s="108"/>
      <c r="S4175" s="108"/>
      <c r="T4175" s="108"/>
      <c r="U4175" s="108" t="str">
        <f>IFERROR(VLOOKUP(CONCATENATE(Tabla1[[#This Row],[Severidad]]," ",Tabla1[[#This Row],[Complejidad]]),Catalogos!E$120:G$128,3,FALSE),"")</f>
        <v/>
      </c>
      <c r="V4175" s="108" t="str">
        <f>IF(Tabla1[[#This Row],[Tiempo solución max (hrs)]]&lt;&gt;"",IF(Tabla1[[#This Row],[Tiempo solución max (hrs)]]&gt;=Tabla1[[#This Row],[Tiempo
(Hrs 00/100)]],"cumple","no cumple"),"")</f>
        <v/>
      </c>
      <c r="W4175" s="17"/>
      <c r="X4175" s="18">
        <f t="shared" si="255"/>
        <v>0</v>
      </c>
      <c r="Y4175" t="str">
        <f>SUBSTITUTE(Tabla1[[#This Row],[Descripción]],CHAR(10),"    I    ")</f>
        <v/>
      </c>
      <c r="Z4175" s="112" t="e">
        <f>VLOOKUP(Tabla1[[#This Row],[Perfil]],Catalogos!$B$75:$D$100,3,FALSE)*Tabla1[[#This Row],[Tiempo
(Hrs 00/100)]]*1.16</f>
        <v>#N/A</v>
      </c>
    </row>
    <row r="4176" spans="1:26" ht="30" customHeight="1" x14ac:dyDescent="0.3">
      <c r="A4176" s="106"/>
      <c r="B4176" s="106"/>
      <c r="C4176" s="106"/>
      <c r="D4176" s="106"/>
      <c r="E4176" s="106"/>
      <c r="F4176" s="106"/>
      <c r="G4176" s="106"/>
      <c r="H4176" s="107"/>
      <c r="I4176" s="95"/>
      <c r="J4176" s="706"/>
      <c r="K4176" s="769"/>
      <c r="L4176" s="706"/>
      <c r="M4176" s="781"/>
      <c r="N4176" s="182"/>
      <c r="O4176" s="188"/>
      <c r="P4176" s="221"/>
      <c r="Q4176" s="106"/>
      <c r="R4176" s="108"/>
      <c r="S4176" s="108"/>
      <c r="T4176" s="108"/>
      <c r="U4176" s="108" t="str">
        <f>IFERROR(VLOOKUP(CONCATENATE(Tabla1[[#This Row],[Severidad]]," ",Tabla1[[#This Row],[Complejidad]]),Catalogos!E$120:G$128,3,FALSE),"")</f>
        <v/>
      </c>
      <c r="V4176" s="108" t="str">
        <f>IF(Tabla1[[#This Row],[Tiempo solución max (hrs)]]&lt;&gt;"",IF(Tabla1[[#This Row],[Tiempo solución max (hrs)]]&gt;=Tabla1[[#This Row],[Tiempo
(Hrs 00/100)]],"cumple","no cumple"),"")</f>
        <v/>
      </c>
      <c r="W4176" s="17"/>
      <c r="X4176" s="18">
        <f t="shared" si="255"/>
        <v>0</v>
      </c>
      <c r="Y4176" t="str">
        <f>SUBSTITUTE(Tabla1[[#This Row],[Descripción]],CHAR(10),"    I    ")</f>
        <v/>
      </c>
      <c r="Z4176" s="112" t="e">
        <f>VLOOKUP(Tabla1[[#This Row],[Perfil]],Catalogos!$B$75:$D$100,3,FALSE)*Tabla1[[#This Row],[Tiempo
(Hrs 00/100)]]*1.16</f>
        <v>#N/A</v>
      </c>
    </row>
    <row r="4177" spans="1:26" ht="30" customHeight="1" x14ac:dyDescent="0.3">
      <c r="A4177" s="106"/>
      <c r="B4177" s="106"/>
      <c r="C4177" s="106"/>
      <c r="D4177" s="106"/>
      <c r="E4177" s="106"/>
      <c r="F4177" s="106"/>
      <c r="G4177" s="106"/>
      <c r="H4177" s="107"/>
      <c r="I4177" s="95"/>
      <c r="J4177" s="706"/>
      <c r="K4177" s="769"/>
      <c r="L4177" s="706"/>
      <c r="M4177" s="781"/>
      <c r="N4177" s="182"/>
      <c r="O4177" s="188"/>
      <c r="P4177" s="221"/>
      <c r="Q4177" s="106"/>
      <c r="R4177" s="108"/>
      <c r="S4177" s="108"/>
      <c r="T4177" s="108"/>
      <c r="U4177" s="108" t="str">
        <f>IFERROR(VLOOKUP(CONCATENATE(Tabla1[[#This Row],[Severidad]]," ",Tabla1[[#This Row],[Complejidad]]),Catalogos!E$120:G$128,3,FALSE),"")</f>
        <v/>
      </c>
      <c r="V4177" s="108" t="str">
        <f>IF(Tabla1[[#This Row],[Tiempo solución max (hrs)]]&lt;&gt;"",IF(Tabla1[[#This Row],[Tiempo solución max (hrs)]]&gt;=Tabla1[[#This Row],[Tiempo
(Hrs 00/100)]],"cumple","no cumple"),"")</f>
        <v/>
      </c>
      <c r="W4177" s="17"/>
      <c r="X4177" s="18">
        <f t="shared" si="255"/>
        <v>0</v>
      </c>
      <c r="Y4177" t="str">
        <f>SUBSTITUTE(Tabla1[[#This Row],[Descripción]],CHAR(10),"    I    ")</f>
        <v/>
      </c>
      <c r="Z4177" s="112" t="e">
        <f>VLOOKUP(Tabla1[[#This Row],[Perfil]],Catalogos!$B$75:$D$100,3,FALSE)*Tabla1[[#This Row],[Tiempo
(Hrs 00/100)]]*1.16</f>
        <v>#N/A</v>
      </c>
    </row>
    <row r="4178" spans="1:26" ht="30" customHeight="1" x14ac:dyDescent="0.3">
      <c r="A4178" s="106"/>
      <c r="B4178" s="106"/>
      <c r="C4178" s="106"/>
      <c r="D4178" s="106"/>
      <c r="E4178" s="106"/>
      <c r="F4178" s="106"/>
      <c r="G4178" s="106"/>
      <c r="H4178" s="107"/>
      <c r="I4178" s="95"/>
      <c r="J4178" s="706"/>
      <c r="K4178" s="769"/>
      <c r="L4178" s="706"/>
      <c r="M4178" s="781"/>
      <c r="N4178" s="182"/>
      <c r="O4178" s="188"/>
      <c r="P4178" s="221"/>
      <c r="Q4178" s="106"/>
      <c r="R4178" s="108"/>
      <c r="S4178" s="108"/>
      <c r="T4178" s="108"/>
      <c r="U4178" s="108" t="str">
        <f>IFERROR(VLOOKUP(CONCATENATE(Tabla1[[#This Row],[Severidad]]," ",Tabla1[[#This Row],[Complejidad]]),Catalogos!E$120:G$128,3,FALSE),"")</f>
        <v/>
      </c>
      <c r="V4178" s="108" t="str">
        <f>IF(Tabla1[[#This Row],[Tiempo solución max (hrs)]]&lt;&gt;"",IF(Tabla1[[#This Row],[Tiempo solución max (hrs)]]&gt;=Tabla1[[#This Row],[Tiempo
(Hrs 00/100)]],"cumple","no cumple"),"")</f>
        <v/>
      </c>
      <c r="W4178" s="17"/>
      <c r="X4178" s="18">
        <f t="shared" si="255"/>
        <v>0</v>
      </c>
      <c r="Y4178" t="str">
        <f>SUBSTITUTE(Tabla1[[#This Row],[Descripción]],CHAR(10),"    I    ")</f>
        <v/>
      </c>
      <c r="Z4178" s="112" t="e">
        <f>VLOOKUP(Tabla1[[#This Row],[Perfil]],Catalogos!$B$75:$D$100,3,FALSE)*Tabla1[[#This Row],[Tiempo
(Hrs 00/100)]]*1.16</f>
        <v>#N/A</v>
      </c>
    </row>
    <row r="4179" spans="1:26" ht="30" customHeight="1" x14ac:dyDescent="0.3">
      <c r="A4179" s="106"/>
      <c r="B4179" s="106"/>
      <c r="C4179" s="106"/>
      <c r="D4179" s="106"/>
      <c r="E4179" s="106"/>
      <c r="F4179" s="106"/>
      <c r="G4179" s="106"/>
      <c r="H4179" s="107"/>
      <c r="I4179" s="95"/>
      <c r="J4179" s="706"/>
      <c r="K4179" s="769"/>
      <c r="L4179" s="706"/>
      <c r="M4179" s="781"/>
      <c r="N4179" s="182"/>
      <c r="O4179" s="188"/>
      <c r="P4179" s="221"/>
      <c r="Q4179" s="106"/>
      <c r="R4179" s="108"/>
      <c r="S4179" s="108"/>
      <c r="T4179" s="108"/>
      <c r="U4179" s="108" t="str">
        <f>IFERROR(VLOOKUP(CONCATENATE(Tabla1[[#This Row],[Severidad]]," ",Tabla1[[#This Row],[Complejidad]]),Catalogos!E$120:G$128,3,FALSE),"")</f>
        <v/>
      </c>
      <c r="V4179" s="108" t="str">
        <f>IF(Tabla1[[#This Row],[Tiempo solución max (hrs)]]&lt;&gt;"",IF(Tabla1[[#This Row],[Tiempo solución max (hrs)]]&gt;=Tabla1[[#This Row],[Tiempo
(Hrs 00/100)]],"cumple","no cumple"),"")</f>
        <v/>
      </c>
      <c r="W4179" s="17"/>
      <c r="X4179" s="18">
        <f t="shared" si="255"/>
        <v>0</v>
      </c>
      <c r="Y4179" t="str">
        <f>SUBSTITUTE(Tabla1[[#This Row],[Descripción]],CHAR(10),"    I    ")</f>
        <v/>
      </c>
      <c r="Z4179" s="112" t="e">
        <f>VLOOKUP(Tabla1[[#This Row],[Perfil]],Catalogos!$B$75:$D$100,3,FALSE)*Tabla1[[#This Row],[Tiempo
(Hrs 00/100)]]*1.16</f>
        <v>#N/A</v>
      </c>
    </row>
    <row r="4180" spans="1:26" ht="30" customHeight="1" x14ac:dyDescent="0.3">
      <c r="A4180" s="106"/>
      <c r="B4180" s="106"/>
      <c r="C4180" s="106"/>
      <c r="D4180" s="106"/>
      <c r="E4180" s="106"/>
      <c r="F4180" s="106"/>
      <c r="G4180" s="106"/>
      <c r="H4180" s="107"/>
      <c r="I4180" s="95"/>
      <c r="J4180" s="706"/>
      <c r="K4180" s="769"/>
      <c r="L4180" s="706"/>
      <c r="M4180" s="781"/>
      <c r="N4180" s="182"/>
      <c r="O4180" s="188"/>
      <c r="P4180" s="221"/>
      <c r="Q4180" s="106"/>
      <c r="R4180" s="108"/>
      <c r="S4180" s="108"/>
      <c r="T4180" s="108"/>
      <c r="U4180" s="108" t="str">
        <f>IFERROR(VLOOKUP(CONCATENATE(Tabla1[[#This Row],[Severidad]]," ",Tabla1[[#This Row],[Complejidad]]),Catalogos!E$120:G$128,3,FALSE),"")</f>
        <v/>
      </c>
      <c r="V4180" s="108" t="str">
        <f>IF(Tabla1[[#This Row],[Tiempo solución max (hrs)]]&lt;&gt;"",IF(Tabla1[[#This Row],[Tiempo solución max (hrs)]]&gt;=Tabla1[[#This Row],[Tiempo
(Hrs 00/100)]],"cumple","no cumple"),"")</f>
        <v/>
      </c>
      <c r="W4180" s="17"/>
      <c r="X4180" s="18">
        <f t="shared" si="255"/>
        <v>0</v>
      </c>
      <c r="Y4180" t="str">
        <f>SUBSTITUTE(Tabla1[[#This Row],[Descripción]],CHAR(10),"    I    ")</f>
        <v/>
      </c>
      <c r="Z4180" s="112" t="e">
        <f>VLOOKUP(Tabla1[[#This Row],[Perfil]],Catalogos!$B$75:$D$100,3,FALSE)*Tabla1[[#This Row],[Tiempo
(Hrs 00/100)]]*1.16</f>
        <v>#N/A</v>
      </c>
    </row>
    <row r="4181" spans="1:26" ht="30" customHeight="1" x14ac:dyDescent="0.3">
      <c r="A4181" s="106"/>
      <c r="B4181" s="106"/>
      <c r="C4181" s="106"/>
      <c r="D4181" s="106"/>
      <c r="E4181" s="106"/>
      <c r="F4181" s="106"/>
      <c r="G4181" s="106"/>
      <c r="H4181" s="107"/>
      <c r="I4181" s="95"/>
      <c r="J4181" s="706"/>
      <c r="K4181" s="769"/>
      <c r="L4181" s="706"/>
      <c r="M4181" s="781"/>
      <c r="N4181" s="182"/>
      <c r="O4181" s="188"/>
      <c r="P4181" s="221"/>
      <c r="Q4181" s="106"/>
      <c r="R4181" s="108"/>
      <c r="S4181" s="108"/>
      <c r="T4181" s="108"/>
      <c r="U4181" s="108" t="str">
        <f>IFERROR(VLOOKUP(CONCATENATE(Tabla1[[#This Row],[Severidad]]," ",Tabla1[[#This Row],[Complejidad]]),Catalogos!E$120:G$128,3,FALSE),"")</f>
        <v/>
      </c>
      <c r="V4181" s="108" t="str">
        <f>IF(Tabla1[[#This Row],[Tiempo solución max (hrs)]]&lt;&gt;"",IF(Tabla1[[#This Row],[Tiempo solución max (hrs)]]&gt;=Tabla1[[#This Row],[Tiempo
(Hrs 00/100)]],"cumple","no cumple"),"")</f>
        <v/>
      </c>
      <c r="W4181" s="17"/>
      <c r="X4181" s="18">
        <f t="shared" si="255"/>
        <v>0</v>
      </c>
      <c r="Y4181" t="str">
        <f>SUBSTITUTE(Tabla1[[#This Row],[Descripción]],CHAR(10),"    I    ")</f>
        <v/>
      </c>
      <c r="Z4181" s="112" t="e">
        <f>VLOOKUP(Tabla1[[#This Row],[Perfil]],Catalogos!$B$75:$D$100,3,FALSE)*Tabla1[[#This Row],[Tiempo
(Hrs 00/100)]]*1.16</f>
        <v>#N/A</v>
      </c>
    </row>
    <row r="4182" spans="1:26" ht="30" customHeight="1" x14ac:dyDescent="0.3">
      <c r="A4182" s="106"/>
      <c r="B4182" s="106"/>
      <c r="C4182" s="106"/>
      <c r="D4182" s="106"/>
      <c r="E4182" s="106"/>
      <c r="F4182" s="106"/>
      <c r="G4182" s="106"/>
      <c r="H4182" s="107"/>
      <c r="I4182" s="95"/>
      <c r="J4182" s="706"/>
      <c r="K4182" s="769"/>
      <c r="L4182" s="706"/>
      <c r="M4182" s="781"/>
      <c r="N4182" s="182"/>
      <c r="O4182" s="188"/>
      <c r="P4182" s="221"/>
      <c r="Q4182" s="106"/>
      <c r="R4182" s="108"/>
      <c r="S4182" s="108"/>
      <c r="T4182" s="108"/>
      <c r="U4182" s="108" t="str">
        <f>IFERROR(VLOOKUP(CONCATENATE(Tabla1[[#This Row],[Severidad]]," ",Tabla1[[#This Row],[Complejidad]]),Catalogos!E$120:G$128,3,FALSE),"")</f>
        <v/>
      </c>
      <c r="V4182" s="108" t="str">
        <f>IF(Tabla1[[#This Row],[Tiempo solución max (hrs)]]&lt;&gt;"",IF(Tabla1[[#This Row],[Tiempo solución max (hrs)]]&gt;=Tabla1[[#This Row],[Tiempo
(Hrs 00/100)]],"cumple","no cumple"),"")</f>
        <v/>
      </c>
      <c r="W4182" s="17"/>
      <c r="X4182" s="18">
        <f t="shared" si="255"/>
        <v>0</v>
      </c>
      <c r="Y4182" t="str">
        <f>SUBSTITUTE(Tabla1[[#This Row],[Descripción]],CHAR(10),"    I    ")</f>
        <v/>
      </c>
      <c r="Z4182" s="112" t="e">
        <f>VLOOKUP(Tabla1[[#This Row],[Perfil]],Catalogos!$B$75:$D$100,3,FALSE)*Tabla1[[#This Row],[Tiempo
(Hrs 00/100)]]*1.16</f>
        <v>#N/A</v>
      </c>
    </row>
    <row r="4183" spans="1:26" ht="30" customHeight="1" x14ac:dyDescent="0.3">
      <c r="A4183" s="106"/>
      <c r="B4183" s="106"/>
      <c r="C4183" s="106"/>
      <c r="D4183" s="106"/>
      <c r="E4183" s="106"/>
      <c r="F4183" s="106"/>
      <c r="G4183" s="106"/>
      <c r="H4183" s="107"/>
      <c r="I4183" s="95"/>
      <c r="J4183" s="706"/>
      <c r="K4183" s="769"/>
      <c r="L4183" s="706"/>
      <c r="M4183" s="781"/>
      <c r="N4183" s="182"/>
      <c r="O4183" s="188"/>
      <c r="P4183" s="221"/>
      <c r="Q4183" s="106"/>
      <c r="R4183" s="108"/>
      <c r="S4183" s="108"/>
      <c r="T4183" s="108"/>
      <c r="U4183" s="108" t="str">
        <f>IFERROR(VLOOKUP(CONCATENATE(Tabla1[[#This Row],[Severidad]]," ",Tabla1[[#This Row],[Complejidad]]),Catalogos!E$120:G$128,3,FALSE),"")</f>
        <v/>
      </c>
      <c r="V4183" s="108" t="str">
        <f>IF(Tabla1[[#This Row],[Tiempo solución max (hrs)]]&lt;&gt;"",IF(Tabla1[[#This Row],[Tiempo solución max (hrs)]]&gt;=Tabla1[[#This Row],[Tiempo
(Hrs 00/100)]],"cumple","no cumple"),"")</f>
        <v/>
      </c>
      <c r="W4183" s="17"/>
      <c r="X4183" s="18">
        <f t="shared" si="255"/>
        <v>0</v>
      </c>
      <c r="Y4183" t="str">
        <f>SUBSTITUTE(Tabla1[[#This Row],[Descripción]],CHAR(10),"    I    ")</f>
        <v/>
      </c>
      <c r="Z4183" s="112" t="e">
        <f>VLOOKUP(Tabla1[[#This Row],[Perfil]],Catalogos!$B$75:$D$100,3,FALSE)*Tabla1[[#This Row],[Tiempo
(Hrs 00/100)]]*1.16</f>
        <v>#N/A</v>
      </c>
    </row>
    <row r="4184" spans="1:26" ht="30" customHeight="1" x14ac:dyDescent="0.3">
      <c r="A4184" s="106"/>
      <c r="B4184" s="106"/>
      <c r="C4184" s="106"/>
      <c r="D4184" s="106"/>
      <c r="E4184" s="106"/>
      <c r="F4184" s="106"/>
      <c r="G4184" s="106"/>
      <c r="H4184" s="107"/>
      <c r="I4184" s="95"/>
      <c r="J4184" s="706"/>
      <c r="K4184" s="769"/>
      <c r="L4184" s="706"/>
      <c r="M4184" s="781"/>
      <c r="N4184" s="182"/>
      <c r="O4184" s="188"/>
      <c r="P4184" s="221"/>
      <c r="Q4184" s="106"/>
      <c r="R4184" s="108"/>
      <c r="S4184" s="108"/>
      <c r="T4184" s="108"/>
      <c r="U4184" s="108" t="str">
        <f>IFERROR(VLOOKUP(CONCATENATE(Tabla1[[#This Row],[Severidad]]," ",Tabla1[[#This Row],[Complejidad]]),Catalogos!E$120:G$128,3,FALSE),"")</f>
        <v/>
      </c>
      <c r="V4184" s="108" t="str">
        <f>IF(Tabla1[[#This Row],[Tiempo solución max (hrs)]]&lt;&gt;"",IF(Tabla1[[#This Row],[Tiempo solución max (hrs)]]&gt;=Tabla1[[#This Row],[Tiempo
(Hrs 00/100)]],"cumple","no cumple"),"")</f>
        <v/>
      </c>
      <c r="W4184" s="17"/>
      <c r="X4184" s="18">
        <f t="shared" si="255"/>
        <v>0</v>
      </c>
      <c r="Y4184" t="str">
        <f>SUBSTITUTE(Tabla1[[#This Row],[Descripción]],CHAR(10),"    I    ")</f>
        <v/>
      </c>
      <c r="Z4184" s="112" t="e">
        <f>VLOOKUP(Tabla1[[#This Row],[Perfil]],Catalogos!$B$75:$D$100,3,FALSE)*Tabla1[[#This Row],[Tiempo
(Hrs 00/100)]]*1.16</f>
        <v>#N/A</v>
      </c>
    </row>
    <row r="4185" spans="1:26" ht="30" customHeight="1" x14ac:dyDescent="0.3">
      <c r="A4185" s="106"/>
      <c r="B4185" s="106"/>
      <c r="C4185" s="106"/>
      <c r="D4185" s="106"/>
      <c r="E4185" s="106"/>
      <c r="F4185" s="106"/>
      <c r="G4185" s="106"/>
      <c r="H4185" s="107"/>
      <c r="I4185" s="95"/>
      <c r="J4185" s="706"/>
      <c r="K4185" s="769"/>
      <c r="L4185" s="706"/>
      <c r="M4185" s="781"/>
      <c r="N4185" s="182"/>
      <c r="O4185" s="188"/>
      <c r="P4185" s="221"/>
      <c r="Q4185" s="106"/>
      <c r="R4185" s="108"/>
      <c r="S4185" s="108"/>
      <c r="T4185" s="108"/>
      <c r="U4185" s="108" t="str">
        <f>IFERROR(VLOOKUP(CONCATENATE(Tabla1[[#This Row],[Severidad]]," ",Tabla1[[#This Row],[Complejidad]]),Catalogos!E$120:G$128,3,FALSE),"")</f>
        <v/>
      </c>
      <c r="V4185" s="108" t="str">
        <f>IF(Tabla1[[#This Row],[Tiempo solución max (hrs)]]&lt;&gt;"",IF(Tabla1[[#This Row],[Tiempo solución max (hrs)]]&gt;=Tabla1[[#This Row],[Tiempo
(Hrs 00/100)]],"cumple","no cumple"),"")</f>
        <v/>
      </c>
      <c r="W4185" s="17"/>
      <c r="X4185" s="18">
        <f t="shared" si="255"/>
        <v>0</v>
      </c>
      <c r="Y4185" t="str">
        <f>SUBSTITUTE(Tabla1[[#This Row],[Descripción]],CHAR(10),"    I    ")</f>
        <v/>
      </c>
      <c r="Z4185" s="112" t="e">
        <f>VLOOKUP(Tabla1[[#This Row],[Perfil]],Catalogos!$B$75:$D$100,3,FALSE)*Tabla1[[#This Row],[Tiempo
(Hrs 00/100)]]*1.16</f>
        <v>#N/A</v>
      </c>
    </row>
    <row r="4186" spans="1:26" ht="30" customHeight="1" x14ac:dyDescent="0.3">
      <c r="A4186" s="106"/>
      <c r="B4186" s="106"/>
      <c r="C4186" s="106"/>
      <c r="D4186" s="106"/>
      <c r="E4186" s="106"/>
      <c r="F4186" s="106"/>
      <c r="G4186" s="106"/>
      <c r="H4186" s="107"/>
      <c r="I4186" s="95"/>
      <c r="J4186" s="706"/>
      <c r="K4186" s="769"/>
      <c r="L4186" s="706"/>
      <c r="M4186" s="781"/>
      <c r="N4186" s="182"/>
      <c r="O4186" s="188"/>
      <c r="P4186" s="221"/>
      <c r="Q4186" s="106"/>
      <c r="R4186" s="108"/>
      <c r="S4186" s="108"/>
      <c r="T4186" s="108"/>
      <c r="U4186" s="108" t="str">
        <f>IFERROR(VLOOKUP(CONCATENATE(Tabla1[[#This Row],[Severidad]]," ",Tabla1[[#This Row],[Complejidad]]),Catalogos!E$120:G$128,3,FALSE),"")</f>
        <v/>
      </c>
      <c r="V4186" s="108" t="str">
        <f>IF(Tabla1[[#This Row],[Tiempo solución max (hrs)]]&lt;&gt;"",IF(Tabla1[[#This Row],[Tiempo solución max (hrs)]]&gt;=Tabla1[[#This Row],[Tiempo
(Hrs 00/100)]],"cumple","no cumple"),"")</f>
        <v/>
      </c>
      <c r="W4186" s="17"/>
      <c r="X4186" s="18">
        <f t="shared" si="255"/>
        <v>0</v>
      </c>
      <c r="Y4186" t="str">
        <f>SUBSTITUTE(Tabla1[[#This Row],[Descripción]],CHAR(10),"    I    ")</f>
        <v/>
      </c>
      <c r="Z4186" s="112" t="e">
        <f>VLOOKUP(Tabla1[[#This Row],[Perfil]],Catalogos!$B$75:$D$100,3,FALSE)*Tabla1[[#This Row],[Tiempo
(Hrs 00/100)]]*1.16</f>
        <v>#N/A</v>
      </c>
    </row>
    <row r="4187" spans="1:26" ht="30" customHeight="1" x14ac:dyDescent="0.3">
      <c r="A4187" s="106"/>
      <c r="B4187" s="106"/>
      <c r="C4187" s="106"/>
      <c r="D4187" s="106"/>
      <c r="E4187" s="106"/>
      <c r="F4187" s="106"/>
      <c r="G4187" s="106"/>
      <c r="H4187" s="107"/>
      <c r="I4187" s="95"/>
      <c r="J4187" s="706"/>
      <c r="K4187" s="769"/>
      <c r="L4187" s="706"/>
      <c r="M4187" s="781"/>
      <c r="N4187" s="182"/>
      <c r="O4187" s="188"/>
      <c r="P4187" s="221"/>
      <c r="Q4187" s="106"/>
      <c r="R4187" s="108"/>
      <c r="S4187" s="108"/>
      <c r="T4187" s="108"/>
      <c r="U4187" s="108" t="str">
        <f>IFERROR(VLOOKUP(CONCATENATE(Tabla1[[#This Row],[Severidad]]," ",Tabla1[[#This Row],[Complejidad]]),Catalogos!E$120:G$128,3,FALSE),"")</f>
        <v/>
      </c>
      <c r="V4187" s="108" t="str">
        <f>IF(Tabla1[[#This Row],[Tiempo solución max (hrs)]]&lt;&gt;"",IF(Tabla1[[#This Row],[Tiempo solución max (hrs)]]&gt;=Tabla1[[#This Row],[Tiempo
(Hrs 00/100)]],"cumple","no cumple"),"")</f>
        <v/>
      </c>
      <c r="W4187" s="17"/>
      <c r="X4187" s="18">
        <f t="shared" si="255"/>
        <v>0</v>
      </c>
      <c r="Y4187" t="str">
        <f>SUBSTITUTE(Tabla1[[#This Row],[Descripción]],CHAR(10),"    I    ")</f>
        <v/>
      </c>
      <c r="Z4187" s="112" t="e">
        <f>VLOOKUP(Tabla1[[#This Row],[Perfil]],Catalogos!$B$75:$D$100,3,FALSE)*Tabla1[[#This Row],[Tiempo
(Hrs 00/100)]]*1.16</f>
        <v>#N/A</v>
      </c>
    </row>
    <row r="4188" spans="1:26" ht="30" customHeight="1" x14ac:dyDescent="0.3">
      <c r="A4188" s="106"/>
      <c r="B4188" s="106"/>
      <c r="C4188" s="106"/>
      <c r="D4188" s="106"/>
      <c r="E4188" s="106"/>
      <c r="F4188" s="106"/>
      <c r="G4188" s="106"/>
      <c r="H4188" s="107"/>
      <c r="I4188" s="95"/>
      <c r="J4188" s="706"/>
      <c r="K4188" s="769"/>
      <c r="L4188" s="706"/>
      <c r="M4188" s="781"/>
      <c r="N4188" s="182"/>
      <c r="O4188" s="188"/>
      <c r="P4188" s="221"/>
      <c r="Q4188" s="106"/>
      <c r="R4188" s="108"/>
      <c r="S4188" s="108"/>
      <c r="T4188" s="108"/>
      <c r="U4188" s="108" t="str">
        <f>IFERROR(VLOOKUP(CONCATENATE(Tabla1[[#This Row],[Severidad]]," ",Tabla1[[#This Row],[Complejidad]]),Catalogos!E$120:G$128,3,FALSE),"")</f>
        <v/>
      </c>
      <c r="V4188" s="108" t="str">
        <f>IF(Tabla1[[#This Row],[Tiempo solución max (hrs)]]&lt;&gt;"",IF(Tabla1[[#This Row],[Tiempo solución max (hrs)]]&gt;=Tabla1[[#This Row],[Tiempo
(Hrs 00/100)]],"cumple","no cumple"),"")</f>
        <v/>
      </c>
      <c r="W4188" s="17"/>
      <c r="X4188" s="18">
        <f t="shared" si="255"/>
        <v>0</v>
      </c>
      <c r="Y4188" t="str">
        <f>SUBSTITUTE(Tabla1[[#This Row],[Descripción]],CHAR(10),"    I    ")</f>
        <v/>
      </c>
      <c r="Z4188" s="112" t="e">
        <f>VLOOKUP(Tabla1[[#This Row],[Perfil]],Catalogos!$B$75:$D$100,3,FALSE)*Tabla1[[#This Row],[Tiempo
(Hrs 00/100)]]*1.16</f>
        <v>#N/A</v>
      </c>
    </row>
    <row r="4189" spans="1:26" ht="30" customHeight="1" x14ac:dyDescent="0.3">
      <c r="A4189" s="106"/>
      <c r="B4189" s="106"/>
      <c r="C4189" s="106"/>
      <c r="D4189" s="106"/>
      <c r="E4189" s="106"/>
      <c r="F4189" s="106"/>
      <c r="G4189" s="106"/>
      <c r="H4189" s="107"/>
      <c r="I4189" s="95"/>
      <c r="J4189" s="706"/>
      <c r="K4189" s="769"/>
      <c r="L4189" s="706"/>
      <c r="M4189" s="781"/>
      <c r="N4189" s="182"/>
      <c r="O4189" s="188"/>
      <c r="P4189" s="221"/>
      <c r="Q4189" s="106"/>
      <c r="R4189" s="108"/>
      <c r="S4189" s="108"/>
      <c r="T4189" s="108"/>
      <c r="U4189" s="108" t="str">
        <f>IFERROR(VLOOKUP(CONCATENATE(Tabla1[[#This Row],[Severidad]]," ",Tabla1[[#This Row],[Complejidad]]),Catalogos!E$120:G$128,3,FALSE),"")</f>
        <v/>
      </c>
      <c r="V4189" s="108" t="str">
        <f>IF(Tabla1[[#This Row],[Tiempo solución max (hrs)]]&lt;&gt;"",IF(Tabla1[[#This Row],[Tiempo solución max (hrs)]]&gt;=Tabla1[[#This Row],[Tiempo
(Hrs 00/100)]],"cumple","no cumple"),"")</f>
        <v/>
      </c>
      <c r="W4189" s="17"/>
      <c r="X4189" s="18">
        <f t="shared" si="255"/>
        <v>0</v>
      </c>
      <c r="Y4189" t="str">
        <f>SUBSTITUTE(Tabla1[[#This Row],[Descripción]],CHAR(10),"    I    ")</f>
        <v/>
      </c>
      <c r="Z4189" s="112" t="e">
        <f>VLOOKUP(Tabla1[[#This Row],[Perfil]],Catalogos!$B$75:$D$100,3,FALSE)*Tabla1[[#This Row],[Tiempo
(Hrs 00/100)]]*1.16</f>
        <v>#N/A</v>
      </c>
    </row>
    <row r="4190" spans="1:26" ht="30" customHeight="1" x14ac:dyDescent="0.3">
      <c r="A4190" s="106"/>
      <c r="B4190" s="106"/>
      <c r="C4190" s="106"/>
      <c r="D4190" s="106"/>
      <c r="E4190" s="106"/>
      <c r="F4190" s="106"/>
      <c r="G4190" s="106"/>
      <c r="H4190" s="107"/>
      <c r="I4190" s="95"/>
      <c r="J4190" s="706"/>
      <c r="K4190" s="769"/>
      <c r="L4190" s="706"/>
      <c r="M4190" s="781"/>
      <c r="N4190" s="182"/>
      <c r="O4190" s="188"/>
      <c r="P4190" s="221"/>
      <c r="Q4190" s="106"/>
      <c r="R4190" s="108"/>
      <c r="S4190" s="108"/>
      <c r="T4190" s="108"/>
      <c r="U4190" s="108" t="str">
        <f>IFERROR(VLOOKUP(CONCATENATE(Tabla1[[#This Row],[Severidad]]," ",Tabla1[[#This Row],[Complejidad]]),Catalogos!E$120:G$128,3,FALSE),"")</f>
        <v/>
      </c>
      <c r="V4190" s="108" t="str">
        <f>IF(Tabla1[[#This Row],[Tiempo solución max (hrs)]]&lt;&gt;"",IF(Tabla1[[#This Row],[Tiempo solución max (hrs)]]&gt;=Tabla1[[#This Row],[Tiempo
(Hrs 00/100)]],"cumple","no cumple"),"")</f>
        <v/>
      </c>
      <c r="W4190" s="17"/>
      <c r="X4190" s="18">
        <f t="shared" si="255"/>
        <v>0</v>
      </c>
      <c r="Y4190" t="str">
        <f>SUBSTITUTE(Tabla1[[#This Row],[Descripción]],CHAR(10),"    I    ")</f>
        <v/>
      </c>
      <c r="Z4190" s="112" t="e">
        <f>VLOOKUP(Tabla1[[#This Row],[Perfil]],Catalogos!$B$75:$D$100,3,FALSE)*Tabla1[[#This Row],[Tiempo
(Hrs 00/100)]]*1.16</f>
        <v>#N/A</v>
      </c>
    </row>
    <row r="4191" spans="1:26" ht="30" customHeight="1" x14ac:dyDescent="0.3">
      <c r="A4191" s="106"/>
      <c r="B4191" s="106"/>
      <c r="C4191" s="106"/>
      <c r="D4191" s="106"/>
      <c r="E4191" s="106"/>
      <c r="F4191" s="106"/>
      <c r="G4191" s="106"/>
      <c r="H4191" s="107"/>
      <c r="I4191" s="95"/>
      <c r="J4191" s="706"/>
      <c r="K4191" s="769"/>
      <c r="L4191" s="706"/>
      <c r="M4191" s="781"/>
      <c r="N4191" s="182"/>
      <c r="O4191" s="188"/>
      <c r="P4191" s="221"/>
      <c r="Q4191" s="106"/>
      <c r="R4191" s="108"/>
      <c r="S4191" s="108"/>
      <c r="T4191" s="108"/>
      <c r="U4191" s="108" t="str">
        <f>IFERROR(VLOOKUP(CONCATENATE(Tabla1[[#This Row],[Severidad]]," ",Tabla1[[#This Row],[Complejidad]]),Catalogos!E$120:G$128,3,FALSE),"")</f>
        <v/>
      </c>
      <c r="V4191" s="108" t="str">
        <f>IF(Tabla1[[#This Row],[Tiempo solución max (hrs)]]&lt;&gt;"",IF(Tabla1[[#This Row],[Tiempo solución max (hrs)]]&gt;=Tabla1[[#This Row],[Tiempo
(Hrs 00/100)]],"cumple","no cumple"),"")</f>
        <v/>
      </c>
      <c r="W4191" s="17"/>
      <c r="X4191" s="18">
        <f t="shared" si="255"/>
        <v>0</v>
      </c>
      <c r="Y4191" t="str">
        <f>SUBSTITUTE(Tabla1[[#This Row],[Descripción]],CHAR(10),"    I    ")</f>
        <v/>
      </c>
      <c r="Z4191" s="112" t="e">
        <f>VLOOKUP(Tabla1[[#This Row],[Perfil]],Catalogos!$B$75:$D$100,3,FALSE)*Tabla1[[#This Row],[Tiempo
(Hrs 00/100)]]*1.16</f>
        <v>#N/A</v>
      </c>
    </row>
    <row r="4192" spans="1:26" ht="30" customHeight="1" x14ac:dyDescent="0.3">
      <c r="A4192" s="106"/>
      <c r="B4192" s="106"/>
      <c r="C4192" s="106"/>
      <c r="D4192" s="106"/>
      <c r="E4192" s="106"/>
      <c r="F4192" s="106"/>
      <c r="G4192" s="106"/>
      <c r="H4192" s="107"/>
      <c r="I4192" s="95"/>
      <c r="J4192" s="706"/>
      <c r="K4192" s="769"/>
      <c r="L4192" s="706"/>
      <c r="M4192" s="781"/>
      <c r="N4192" s="182"/>
      <c r="O4192" s="188"/>
      <c r="P4192" s="221"/>
      <c r="Q4192" s="106"/>
      <c r="R4192" s="108"/>
      <c r="S4192" s="108"/>
      <c r="T4192" s="108"/>
      <c r="U4192" s="108" t="str">
        <f>IFERROR(VLOOKUP(CONCATENATE(Tabla1[[#This Row],[Severidad]]," ",Tabla1[[#This Row],[Complejidad]]),Catalogos!E$120:G$128,3,FALSE),"")</f>
        <v/>
      </c>
      <c r="V4192" s="108" t="str">
        <f>IF(Tabla1[[#This Row],[Tiempo solución max (hrs)]]&lt;&gt;"",IF(Tabla1[[#This Row],[Tiempo solución max (hrs)]]&gt;=Tabla1[[#This Row],[Tiempo
(Hrs 00/100)]],"cumple","no cumple"),"")</f>
        <v/>
      </c>
      <c r="W4192" s="17"/>
      <c r="X4192" s="18">
        <f t="shared" si="255"/>
        <v>0</v>
      </c>
      <c r="Y4192" t="str">
        <f>SUBSTITUTE(Tabla1[[#This Row],[Descripción]],CHAR(10),"    I    ")</f>
        <v/>
      </c>
      <c r="Z4192" s="112" t="e">
        <f>VLOOKUP(Tabla1[[#This Row],[Perfil]],Catalogos!$B$75:$D$100,3,FALSE)*Tabla1[[#This Row],[Tiempo
(Hrs 00/100)]]*1.16</f>
        <v>#N/A</v>
      </c>
    </row>
    <row r="4193" spans="1:26" ht="30" customHeight="1" x14ac:dyDescent="0.3">
      <c r="A4193" s="106"/>
      <c r="B4193" s="106"/>
      <c r="C4193" s="106"/>
      <c r="D4193" s="106"/>
      <c r="E4193" s="106"/>
      <c r="F4193" s="106"/>
      <c r="G4193" s="106"/>
      <c r="H4193" s="107"/>
      <c r="I4193" s="95"/>
      <c r="J4193" s="706"/>
      <c r="K4193" s="769"/>
      <c r="L4193" s="706"/>
      <c r="M4193" s="781"/>
      <c r="N4193" s="182"/>
      <c r="O4193" s="188"/>
      <c r="P4193" s="221"/>
      <c r="Q4193" s="106"/>
      <c r="R4193" s="108"/>
      <c r="S4193" s="108"/>
      <c r="T4193" s="108"/>
      <c r="U4193" s="108" t="str">
        <f>IFERROR(VLOOKUP(CONCATENATE(Tabla1[[#This Row],[Severidad]]," ",Tabla1[[#This Row],[Complejidad]]),Catalogos!E$120:G$128,3,FALSE),"")</f>
        <v/>
      </c>
      <c r="V4193" s="108" t="str">
        <f>IF(Tabla1[[#This Row],[Tiempo solución max (hrs)]]&lt;&gt;"",IF(Tabla1[[#This Row],[Tiempo solución max (hrs)]]&gt;=Tabla1[[#This Row],[Tiempo
(Hrs 00/100)]],"cumple","no cumple"),"")</f>
        <v/>
      </c>
      <c r="W4193" s="17"/>
      <c r="X4193" s="18">
        <f t="shared" si="255"/>
        <v>0</v>
      </c>
      <c r="Y4193" t="str">
        <f>SUBSTITUTE(Tabla1[[#This Row],[Descripción]],CHAR(10),"    I    ")</f>
        <v/>
      </c>
      <c r="Z4193" s="112" t="e">
        <f>VLOOKUP(Tabla1[[#This Row],[Perfil]],Catalogos!$B$75:$D$100,3,FALSE)*Tabla1[[#This Row],[Tiempo
(Hrs 00/100)]]*1.16</f>
        <v>#N/A</v>
      </c>
    </row>
    <row r="4194" spans="1:26" ht="30" customHeight="1" x14ac:dyDescent="0.3">
      <c r="A4194" s="106"/>
      <c r="B4194" s="106"/>
      <c r="C4194" s="106"/>
      <c r="D4194" s="106"/>
      <c r="E4194" s="106"/>
      <c r="F4194" s="106"/>
      <c r="G4194" s="106"/>
      <c r="H4194" s="107"/>
      <c r="I4194" s="95"/>
      <c r="J4194" s="706"/>
      <c r="K4194" s="769"/>
      <c r="L4194" s="706"/>
      <c r="M4194" s="781"/>
      <c r="N4194" s="182"/>
      <c r="O4194" s="188"/>
      <c r="P4194" s="221"/>
      <c r="Q4194" s="106"/>
      <c r="R4194" s="108"/>
      <c r="S4194" s="108"/>
      <c r="T4194" s="108"/>
      <c r="U4194" s="108" t="str">
        <f>IFERROR(VLOOKUP(CONCATENATE(Tabla1[[#This Row],[Severidad]]," ",Tabla1[[#This Row],[Complejidad]]),Catalogos!E$120:G$128,3,FALSE),"")</f>
        <v/>
      </c>
      <c r="V4194" s="108" t="str">
        <f>IF(Tabla1[[#This Row],[Tiempo solución max (hrs)]]&lt;&gt;"",IF(Tabla1[[#This Row],[Tiempo solución max (hrs)]]&gt;=Tabla1[[#This Row],[Tiempo
(Hrs 00/100)]],"cumple","no cumple"),"")</f>
        <v/>
      </c>
      <c r="W4194" s="17"/>
      <c r="X4194" s="18">
        <f t="shared" si="255"/>
        <v>0</v>
      </c>
      <c r="Y4194" t="str">
        <f>SUBSTITUTE(Tabla1[[#This Row],[Descripción]],CHAR(10),"    I    ")</f>
        <v/>
      </c>
      <c r="Z4194" s="112" t="e">
        <f>VLOOKUP(Tabla1[[#This Row],[Perfil]],Catalogos!$B$75:$D$100,3,FALSE)*Tabla1[[#This Row],[Tiempo
(Hrs 00/100)]]*1.16</f>
        <v>#N/A</v>
      </c>
    </row>
    <row r="4195" spans="1:26" ht="30" customHeight="1" x14ac:dyDescent="0.3">
      <c r="A4195" s="106"/>
      <c r="B4195" s="106"/>
      <c r="C4195" s="106"/>
      <c r="D4195" s="106"/>
      <c r="E4195" s="106"/>
      <c r="F4195" s="106"/>
      <c r="G4195" s="106"/>
      <c r="H4195" s="107"/>
      <c r="I4195" s="95"/>
      <c r="J4195" s="706"/>
      <c r="K4195" s="769"/>
      <c r="L4195" s="706"/>
      <c r="M4195" s="781"/>
      <c r="N4195" s="182"/>
      <c r="O4195" s="188"/>
      <c r="P4195" s="221"/>
      <c r="Q4195" s="106"/>
      <c r="R4195" s="108"/>
      <c r="S4195" s="108"/>
      <c r="T4195" s="108"/>
      <c r="U4195" s="108" t="str">
        <f>IFERROR(VLOOKUP(CONCATENATE(Tabla1[[#This Row],[Severidad]]," ",Tabla1[[#This Row],[Complejidad]]),Catalogos!E$120:G$128,3,FALSE),"")</f>
        <v/>
      </c>
      <c r="V4195" s="108" t="str">
        <f>IF(Tabla1[[#This Row],[Tiempo solución max (hrs)]]&lt;&gt;"",IF(Tabla1[[#This Row],[Tiempo solución max (hrs)]]&gt;=Tabla1[[#This Row],[Tiempo
(Hrs 00/100)]],"cumple","no cumple"),"")</f>
        <v/>
      </c>
      <c r="W4195" s="17"/>
      <c r="X4195" s="18">
        <f t="shared" si="255"/>
        <v>0</v>
      </c>
      <c r="Y4195" t="str">
        <f>SUBSTITUTE(Tabla1[[#This Row],[Descripción]],CHAR(10),"    I    ")</f>
        <v/>
      </c>
      <c r="Z4195" s="112" t="e">
        <f>VLOOKUP(Tabla1[[#This Row],[Perfil]],Catalogos!$B$75:$D$100,3,FALSE)*Tabla1[[#This Row],[Tiempo
(Hrs 00/100)]]*1.16</f>
        <v>#N/A</v>
      </c>
    </row>
    <row r="4196" spans="1:26" ht="30" customHeight="1" x14ac:dyDescent="0.3">
      <c r="A4196" s="106"/>
      <c r="B4196" s="106"/>
      <c r="C4196" s="106"/>
      <c r="D4196" s="106"/>
      <c r="E4196" s="106"/>
      <c r="F4196" s="106"/>
      <c r="G4196" s="106"/>
      <c r="H4196" s="107"/>
      <c r="I4196" s="95"/>
      <c r="J4196" s="706"/>
      <c r="K4196" s="769"/>
      <c r="L4196" s="706"/>
      <c r="M4196" s="781"/>
      <c r="N4196" s="182"/>
      <c r="O4196" s="188"/>
      <c r="P4196" s="221"/>
      <c r="Q4196" s="106"/>
      <c r="R4196" s="108"/>
      <c r="S4196" s="108"/>
      <c r="T4196" s="108"/>
      <c r="U4196" s="108" t="str">
        <f>IFERROR(VLOOKUP(CONCATENATE(Tabla1[[#This Row],[Severidad]]," ",Tabla1[[#This Row],[Complejidad]]),Catalogos!E$120:G$128,3,FALSE),"")</f>
        <v/>
      </c>
      <c r="V4196" s="108" t="str">
        <f>IF(Tabla1[[#This Row],[Tiempo solución max (hrs)]]&lt;&gt;"",IF(Tabla1[[#This Row],[Tiempo solución max (hrs)]]&gt;=Tabla1[[#This Row],[Tiempo
(Hrs 00/100)]],"cumple","no cumple"),"")</f>
        <v/>
      </c>
      <c r="W4196" s="17"/>
      <c r="X4196" s="18">
        <f t="shared" si="255"/>
        <v>0</v>
      </c>
      <c r="Y4196" t="str">
        <f>SUBSTITUTE(Tabla1[[#This Row],[Descripción]],CHAR(10),"    I    ")</f>
        <v/>
      </c>
      <c r="Z4196" s="112" t="e">
        <f>VLOOKUP(Tabla1[[#This Row],[Perfil]],Catalogos!$B$75:$D$100,3,FALSE)*Tabla1[[#This Row],[Tiempo
(Hrs 00/100)]]*1.16</f>
        <v>#N/A</v>
      </c>
    </row>
    <row r="4197" spans="1:26" ht="30" customHeight="1" x14ac:dyDescent="0.3">
      <c r="A4197" s="106"/>
      <c r="B4197" s="106"/>
      <c r="C4197" s="106"/>
      <c r="D4197" s="106"/>
      <c r="E4197" s="106"/>
      <c r="F4197" s="106"/>
      <c r="G4197" s="106"/>
      <c r="H4197" s="107"/>
      <c r="I4197" s="95"/>
      <c r="J4197" s="706"/>
      <c r="K4197" s="769"/>
      <c r="L4197" s="706"/>
      <c r="M4197" s="781"/>
      <c r="N4197" s="182"/>
      <c r="O4197" s="188"/>
      <c r="P4197" s="221"/>
      <c r="Q4197" s="106"/>
      <c r="R4197" s="108"/>
      <c r="S4197" s="108"/>
      <c r="T4197" s="108"/>
      <c r="U4197" s="108" t="str">
        <f>IFERROR(VLOOKUP(CONCATENATE(Tabla1[[#This Row],[Severidad]]," ",Tabla1[[#This Row],[Complejidad]]),Catalogos!E$120:G$128,3,FALSE),"")</f>
        <v/>
      </c>
      <c r="V4197" s="108" t="str">
        <f>IF(Tabla1[[#This Row],[Tiempo solución max (hrs)]]&lt;&gt;"",IF(Tabla1[[#This Row],[Tiempo solución max (hrs)]]&gt;=Tabla1[[#This Row],[Tiempo
(Hrs 00/100)]],"cumple","no cumple"),"")</f>
        <v/>
      </c>
      <c r="W4197" s="17"/>
      <c r="X4197" s="18">
        <f t="shared" si="255"/>
        <v>0</v>
      </c>
      <c r="Y4197" t="str">
        <f>SUBSTITUTE(Tabla1[[#This Row],[Descripción]],CHAR(10),"    I    ")</f>
        <v/>
      </c>
      <c r="Z4197" s="112" t="e">
        <f>VLOOKUP(Tabla1[[#This Row],[Perfil]],Catalogos!$B$75:$D$100,3,FALSE)*Tabla1[[#This Row],[Tiempo
(Hrs 00/100)]]*1.16</f>
        <v>#N/A</v>
      </c>
    </row>
    <row r="4198" spans="1:26" ht="30" customHeight="1" x14ac:dyDescent="0.3">
      <c r="A4198" s="106"/>
      <c r="B4198" s="106"/>
      <c r="C4198" s="106"/>
      <c r="D4198" s="106"/>
      <c r="E4198" s="106"/>
      <c r="F4198" s="106"/>
      <c r="G4198" s="106"/>
      <c r="H4198" s="107"/>
      <c r="I4198" s="95"/>
      <c r="J4198" s="706"/>
      <c r="K4198" s="769"/>
      <c r="L4198" s="706"/>
      <c r="M4198" s="781"/>
      <c r="N4198" s="182"/>
      <c r="O4198" s="188"/>
      <c r="P4198" s="221"/>
      <c r="Q4198" s="106"/>
      <c r="R4198" s="108"/>
      <c r="S4198" s="108"/>
      <c r="T4198" s="108"/>
      <c r="U4198" s="108" t="str">
        <f>IFERROR(VLOOKUP(CONCATENATE(Tabla1[[#This Row],[Severidad]]," ",Tabla1[[#This Row],[Complejidad]]),Catalogos!E$120:G$128,3,FALSE),"")</f>
        <v/>
      </c>
      <c r="V4198" s="108" t="str">
        <f>IF(Tabla1[[#This Row],[Tiempo solución max (hrs)]]&lt;&gt;"",IF(Tabla1[[#This Row],[Tiempo solución max (hrs)]]&gt;=Tabla1[[#This Row],[Tiempo
(Hrs 00/100)]],"cumple","no cumple"),"")</f>
        <v/>
      </c>
      <c r="W4198" s="17"/>
      <c r="X4198" s="18">
        <f t="shared" si="255"/>
        <v>0</v>
      </c>
      <c r="Y4198" t="str">
        <f>SUBSTITUTE(Tabla1[[#This Row],[Descripción]],CHAR(10),"    I    ")</f>
        <v/>
      </c>
      <c r="Z4198" s="112" t="e">
        <f>VLOOKUP(Tabla1[[#This Row],[Perfil]],Catalogos!$B$75:$D$100,3,FALSE)*Tabla1[[#This Row],[Tiempo
(Hrs 00/100)]]*1.16</f>
        <v>#N/A</v>
      </c>
    </row>
    <row r="4199" spans="1:26" ht="30" customHeight="1" x14ac:dyDescent="0.3">
      <c r="A4199" s="106"/>
      <c r="B4199" s="106"/>
      <c r="C4199" s="106"/>
      <c r="D4199" s="106"/>
      <c r="E4199" s="106"/>
      <c r="F4199" s="106"/>
      <c r="G4199" s="106"/>
      <c r="H4199" s="107"/>
      <c r="I4199" s="95"/>
      <c r="J4199" s="706"/>
      <c r="K4199" s="769"/>
      <c r="L4199" s="706"/>
      <c r="M4199" s="781"/>
      <c r="N4199" s="182"/>
      <c r="O4199" s="188"/>
      <c r="P4199" s="221"/>
      <c r="Q4199" s="106"/>
      <c r="R4199" s="108"/>
      <c r="S4199" s="108"/>
      <c r="T4199" s="108"/>
      <c r="U4199" s="108" t="str">
        <f>IFERROR(VLOOKUP(CONCATENATE(Tabla1[[#This Row],[Severidad]]," ",Tabla1[[#This Row],[Complejidad]]),Catalogos!E$120:G$128,3,FALSE),"")</f>
        <v/>
      </c>
      <c r="V4199" s="108" t="str">
        <f>IF(Tabla1[[#This Row],[Tiempo solución max (hrs)]]&lt;&gt;"",IF(Tabla1[[#This Row],[Tiempo solución max (hrs)]]&gt;=Tabla1[[#This Row],[Tiempo
(Hrs 00/100)]],"cumple","no cumple"),"")</f>
        <v/>
      </c>
      <c r="W4199" s="17"/>
      <c r="X4199" s="18">
        <f t="shared" si="255"/>
        <v>0</v>
      </c>
      <c r="Y4199" t="str">
        <f>SUBSTITUTE(Tabla1[[#This Row],[Descripción]],CHAR(10),"    I    ")</f>
        <v/>
      </c>
      <c r="Z4199" s="112" t="e">
        <f>VLOOKUP(Tabla1[[#This Row],[Perfil]],Catalogos!$B$75:$D$100,3,FALSE)*Tabla1[[#This Row],[Tiempo
(Hrs 00/100)]]*1.16</f>
        <v>#N/A</v>
      </c>
    </row>
    <row r="4200" spans="1:26" ht="30" customHeight="1" x14ac:dyDescent="0.3">
      <c r="A4200" s="106"/>
      <c r="B4200" s="106"/>
      <c r="C4200" s="106"/>
      <c r="D4200" s="106"/>
      <c r="E4200" s="106"/>
      <c r="F4200" s="106"/>
      <c r="G4200" s="106"/>
      <c r="H4200" s="107"/>
      <c r="I4200" s="95"/>
      <c r="J4200" s="706"/>
      <c r="K4200" s="769"/>
      <c r="L4200" s="706"/>
      <c r="M4200" s="781"/>
      <c r="N4200" s="182"/>
      <c r="O4200" s="188"/>
      <c r="P4200" s="221"/>
      <c r="Q4200" s="106"/>
      <c r="R4200" s="108"/>
      <c r="S4200" s="108"/>
      <c r="T4200" s="108"/>
      <c r="U4200" s="108" t="str">
        <f>IFERROR(VLOOKUP(CONCATENATE(Tabla1[[#This Row],[Severidad]]," ",Tabla1[[#This Row],[Complejidad]]),Catalogos!E$120:G$128,3,FALSE),"")</f>
        <v/>
      </c>
      <c r="V4200" s="108" t="str">
        <f>IF(Tabla1[[#This Row],[Tiempo solución max (hrs)]]&lt;&gt;"",IF(Tabla1[[#This Row],[Tiempo solución max (hrs)]]&gt;=Tabla1[[#This Row],[Tiempo
(Hrs 00/100)]],"cumple","no cumple"),"")</f>
        <v/>
      </c>
      <c r="W4200" s="17"/>
      <c r="X4200" s="18">
        <f t="shared" si="255"/>
        <v>0</v>
      </c>
      <c r="Y4200" t="str">
        <f>SUBSTITUTE(Tabla1[[#This Row],[Descripción]],CHAR(10),"    I    ")</f>
        <v/>
      </c>
      <c r="Z4200" s="112" t="e">
        <f>VLOOKUP(Tabla1[[#This Row],[Perfil]],Catalogos!$B$75:$D$100,3,FALSE)*Tabla1[[#This Row],[Tiempo
(Hrs 00/100)]]*1.16</f>
        <v>#N/A</v>
      </c>
    </row>
    <row r="4201" spans="1:26" ht="30" customHeight="1" x14ac:dyDescent="0.3">
      <c r="A4201" s="106"/>
      <c r="B4201" s="106"/>
      <c r="C4201" s="106"/>
      <c r="D4201" s="106"/>
      <c r="E4201" s="106"/>
      <c r="F4201" s="106"/>
      <c r="G4201" s="106"/>
      <c r="H4201" s="107"/>
      <c r="I4201" s="95"/>
      <c r="J4201" s="706"/>
      <c r="K4201" s="769"/>
      <c r="L4201" s="706"/>
      <c r="M4201" s="781"/>
      <c r="N4201" s="182"/>
      <c r="O4201" s="188"/>
      <c r="P4201" s="221"/>
      <c r="Q4201" s="106"/>
      <c r="R4201" s="108"/>
      <c r="S4201" s="108"/>
      <c r="T4201" s="108"/>
      <c r="U4201" s="108" t="str">
        <f>IFERROR(VLOOKUP(CONCATENATE(Tabla1[[#This Row],[Severidad]]," ",Tabla1[[#This Row],[Complejidad]]),Catalogos!E$120:G$128,3,FALSE),"")</f>
        <v/>
      </c>
      <c r="V4201" s="108" t="str">
        <f>IF(Tabla1[[#This Row],[Tiempo solución max (hrs)]]&lt;&gt;"",IF(Tabla1[[#This Row],[Tiempo solución max (hrs)]]&gt;=Tabla1[[#This Row],[Tiempo
(Hrs 00/100)]],"cumple","no cumple"),"")</f>
        <v/>
      </c>
      <c r="W4201" s="17"/>
      <c r="X4201" s="18">
        <f t="shared" si="255"/>
        <v>0</v>
      </c>
      <c r="Y4201" t="str">
        <f>SUBSTITUTE(Tabla1[[#This Row],[Descripción]],CHAR(10),"    I    ")</f>
        <v/>
      </c>
      <c r="Z4201" s="112" t="e">
        <f>VLOOKUP(Tabla1[[#This Row],[Perfil]],Catalogos!$B$75:$D$100,3,FALSE)*Tabla1[[#This Row],[Tiempo
(Hrs 00/100)]]*1.16</f>
        <v>#N/A</v>
      </c>
    </row>
    <row r="4202" spans="1:26" ht="30" customHeight="1" x14ac:dyDescent="0.3">
      <c r="A4202" s="106"/>
      <c r="B4202" s="106"/>
      <c r="C4202" s="106"/>
      <c r="D4202" s="106"/>
      <c r="E4202" s="106"/>
      <c r="F4202" s="106"/>
      <c r="G4202" s="106"/>
      <c r="H4202" s="107"/>
      <c r="I4202" s="95"/>
      <c r="J4202" s="706"/>
      <c r="K4202" s="769"/>
      <c r="L4202" s="706"/>
      <c r="M4202" s="781"/>
      <c r="N4202" s="182"/>
      <c r="O4202" s="188"/>
      <c r="P4202" s="221"/>
      <c r="Q4202" s="106"/>
      <c r="R4202" s="108"/>
      <c r="S4202" s="108"/>
      <c r="T4202" s="108"/>
      <c r="U4202" s="108" t="str">
        <f>IFERROR(VLOOKUP(CONCATENATE(Tabla1[[#This Row],[Severidad]]," ",Tabla1[[#This Row],[Complejidad]]),Catalogos!E$120:G$128,3,FALSE),"")</f>
        <v/>
      </c>
      <c r="V4202" s="108" t="str">
        <f>IF(Tabla1[[#This Row],[Tiempo solución max (hrs)]]&lt;&gt;"",IF(Tabla1[[#This Row],[Tiempo solución max (hrs)]]&gt;=Tabla1[[#This Row],[Tiempo
(Hrs 00/100)]],"cumple","no cumple"),"")</f>
        <v/>
      </c>
      <c r="W4202" s="17"/>
      <c r="X4202" s="18">
        <f t="shared" si="255"/>
        <v>0</v>
      </c>
      <c r="Y4202" t="str">
        <f>SUBSTITUTE(Tabla1[[#This Row],[Descripción]],CHAR(10),"    I    ")</f>
        <v/>
      </c>
      <c r="Z4202" s="112" t="e">
        <f>VLOOKUP(Tabla1[[#This Row],[Perfil]],Catalogos!$B$75:$D$100,3,FALSE)*Tabla1[[#This Row],[Tiempo
(Hrs 00/100)]]*1.16</f>
        <v>#N/A</v>
      </c>
    </row>
    <row r="4203" spans="1:26" ht="30" customHeight="1" x14ac:dyDescent="0.3">
      <c r="A4203" s="106"/>
      <c r="B4203" s="106"/>
      <c r="C4203" s="106"/>
      <c r="D4203" s="106"/>
      <c r="E4203" s="106"/>
      <c r="F4203" s="106"/>
      <c r="G4203" s="106"/>
      <c r="H4203" s="107"/>
      <c r="I4203" s="95"/>
      <c r="J4203" s="706"/>
      <c r="K4203" s="769"/>
      <c r="L4203" s="706"/>
      <c r="M4203" s="781"/>
      <c r="N4203" s="182"/>
      <c r="O4203" s="188"/>
      <c r="P4203" s="221"/>
      <c r="Q4203" s="106"/>
      <c r="R4203" s="108"/>
      <c r="S4203" s="108"/>
      <c r="T4203" s="108"/>
      <c r="U4203" s="108" t="str">
        <f>IFERROR(VLOOKUP(CONCATENATE(Tabla1[[#This Row],[Severidad]]," ",Tabla1[[#This Row],[Complejidad]]),Catalogos!E$120:G$128,3,FALSE),"")</f>
        <v/>
      </c>
      <c r="V4203" s="108" t="str">
        <f>IF(Tabla1[[#This Row],[Tiempo solución max (hrs)]]&lt;&gt;"",IF(Tabla1[[#This Row],[Tiempo solución max (hrs)]]&gt;=Tabla1[[#This Row],[Tiempo
(Hrs 00/100)]],"cumple","no cumple"),"")</f>
        <v/>
      </c>
      <c r="W4203" s="17"/>
      <c r="X4203" s="18">
        <f t="shared" si="255"/>
        <v>0</v>
      </c>
      <c r="Y4203" t="str">
        <f>SUBSTITUTE(Tabla1[[#This Row],[Descripción]],CHAR(10),"    I    ")</f>
        <v/>
      </c>
      <c r="Z4203" s="112" t="e">
        <f>VLOOKUP(Tabla1[[#This Row],[Perfil]],Catalogos!$B$75:$D$100,3,FALSE)*Tabla1[[#This Row],[Tiempo
(Hrs 00/100)]]*1.16</f>
        <v>#N/A</v>
      </c>
    </row>
    <row r="4204" spans="1:26" ht="30" customHeight="1" x14ac:dyDescent="0.3">
      <c r="A4204" s="106"/>
      <c r="B4204" s="106"/>
      <c r="C4204" s="106"/>
      <c r="D4204" s="106"/>
      <c r="E4204" s="106"/>
      <c r="F4204" s="106"/>
      <c r="G4204" s="106"/>
      <c r="H4204" s="107"/>
      <c r="I4204" s="95"/>
      <c r="J4204" s="706"/>
      <c r="K4204" s="769"/>
      <c r="L4204" s="706"/>
      <c r="M4204" s="781"/>
      <c r="N4204" s="182"/>
      <c r="O4204" s="188"/>
      <c r="P4204" s="221"/>
      <c r="Q4204" s="106"/>
      <c r="R4204" s="108"/>
      <c r="S4204" s="108"/>
      <c r="T4204" s="108"/>
      <c r="U4204" s="108" t="str">
        <f>IFERROR(VLOOKUP(CONCATENATE(Tabla1[[#This Row],[Severidad]]," ",Tabla1[[#This Row],[Complejidad]]),Catalogos!E$120:G$128,3,FALSE),"")</f>
        <v/>
      </c>
      <c r="V4204" s="108" t="str">
        <f>IF(Tabla1[[#This Row],[Tiempo solución max (hrs)]]&lt;&gt;"",IF(Tabla1[[#This Row],[Tiempo solución max (hrs)]]&gt;=Tabla1[[#This Row],[Tiempo
(Hrs 00/100)]],"cumple","no cumple"),"")</f>
        <v/>
      </c>
      <c r="W4204" s="17"/>
      <c r="X4204" s="18">
        <f t="shared" si="255"/>
        <v>0</v>
      </c>
      <c r="Y4204" t="str">
        <f>SUBSTITUTE(Tabla1[[#This Row],[Descripción]],CHAR(10),"    I    ")</f>
        <v/>
      </c>
      <c r="Z4204" s="112" t="e">
        <f>VLOOKUP(Tabla1[[#This Row],[Perfil]],Catalogos!$B$75:$D$100,3,FALSE)*Tabla1[[#This Row],[Tiempo
(Hrs 00/100)]]*1.16</f>
        <v>#N/A</v>
      </c>
    </row>
    <row r="4205" spans="1:26" ht="30" customHeight="1" x14ac:dyDescent="0.3">
      <c r="A4205" s="106"/>
      <c r="B4205" s="106"/>
      <c r="C4205" s="106"/>
      <c r="D4205" s="106"/>
      <c r="E4205" s="106"/>
      <c r="F4205" s="106"/>
      <c r="G4205" s="106"/>
      <c r="H4205" s="107"/>
      <c r="I4205" s="95"/>
      <c r="J4205" s="706"/>
      <c r="K4205" s="769"/>
      <c r="L4205" s="706"/>
      <c r="M4205" s="781"/>
      <c r="N4205" s="182"/>
      <c r="O4205" s="188"/>
      <c r="P4205" s="221"/>
      <c r="Q4205" s="106"/>
      <c r="R4205" s="108"/>
      <c r="S4205" s="108"/>
      <c r="T4205" s="108"/>
      <c r="U4205" s="108" t="str">
        <f>IFERROR(VLOOKUP(CONCATENATE(Tabla1[[#This Row],[Severidad]]," ",Tabla1[[#This Row],[Complejidad]]),Catalogos!E$120:G$128,3,FALSE),"")</f>
        <v/>
      </c>
      <c r="V4205" s="108" t="str">
        <f>IF(Tabla1[[#This Row],[Tiempo solución max (hrs)]]&lt;&gt;"",IF(Tabla1[[#This Row],[Tiempo solución max (hrs)]]&gt;=Tabla1[[#This Row],[Tiempo
(Hrs 00/100)]],"cumple","no cumple"),"")</f>
        <v/>
      </c>
      <c r="W4205" s="17"/>
      <c r="X4205" s="18">
        <f t="shared" si="255"/>
        <v>0</v>
      </c>
      <c r="Y4205" t="str">
        <f>SUBSTITUTE(Tabla1[[#This Row],[Descripción]],CHAR(10),"    I    ")</f>
        <v/>
      </c>
      <c r="Z4205" s="112" t="e">
        <f>VLOOKUP(Tabla1[[#This Row],[Perfil]],Catalogos!$B$75:$D$100,3,FALSE)*Tabla1[[#This Row],[Tiempo
(Hrs 00/100)]]*1.16</f>
        <v>#N/A</v>
      </c>
    </row>
    <row r="4206" spans="1:26" ht="30" customHeight="1" x14ac:dyDescent="0.3">
      <c r="A4206" s="106"/>
      <c r="B4206" s="106"/>
      <c r="C4206" s="106"/>
      <c r="D4206" s="106"/>
      <c r="E4206" s="106"/>
      <c r="F4206" s="106"/>
      <c r="G4206" s="106"/>
      <c r="H4206" s="107"/>
      <c r="I4206" s="95"/>
      <c r="J4206" s="706"/>
      <c r="K4206" s="769"/>
      <c r="L4206" s="706"/>
      <c r="M4206" s="781"/>
      <c r="N4206" s="182"/>
      <c r="O4206" s="188"/>
      <c r="P4206" s="221"/>
      <c r="Q4206" s="106"/>
      <c r="R4206" s="108"/>
      <c r="S4206" s="108"/>
      <c r="T4206" s="108"/>
      <c r="U4206" s="108" t="str">
        <f>IFERROR(VLOOKUP(CONCATENATE(Tabla1[[#This Row],[Severidad]]," ",Tabla1[[#This Row],[Complejidad]]),Catalogos!E$120:G$128,3,FALSE),"")</f>
        <v/>
      </c>
      <c r="V4206" s="108" t="str">
        <f>IF(Tabla1[[#This Row],[Tiempo solución max (hrs)]]&lt;&gt;"",IF(Tabla1[[#This Row],[Tiempo solución max (hrs)]]&gt;=Tabla1[[#This Row],[Tiempo
(Hrs 00/100)]],"cumple","no cumple"),"")</f>
        <v/>
      </c>
      <c r="W4206" s="17"/>
      <c r="X4206" s="18">
        <f t="shared" si="255"/>
        <v>0</v>
      </c>
      <c r="Y4206" t="str">
        <f>SUBSTITUTE(Tabla1[[#This Row],[Descripción]],CHAR(10),"    I    ")</f>
        <v/>
      </c>
      <c r="Z4206" s="112" t="e">
        <f>VLOOKUP(Tabla1[[#This Row],[Perfil]],Catalogos!$B$75:$D$100,3,FALSE)*Tabla1[[#This Row],[Tiempo
(Hrs 00/100)]]*1.16</f>
        <v>#N/A</v>
      </c>
    </row>
    <row r="4207" spans="1:26" ht="30" customHeight="1" x14ac:dyDescent="0.3">
      <c r="A4207" s="106"/>
      <c r="B4207" s="106"/>
      <c r="C4207" s="106"/>
      <c r="D4207" s="106"/>
      <c r="E4207" s="106"/>
      <c r="F4207" s="106"/>
      <c r="G4207" s="106"/>
      <c r="H4207" s="107"/>
      <c r="I4207" s="95"/>
      <c r="J4207" s="706"/>
      <c r="K4207" s="769"/>
      <c r="L4207" s="706"/>
      <c r="M4207" s="781"/>
      <c r="N4207" s="182"/>
      <c r="O4207" s="188"/>
      <c r="P4207" s="221"/>
      <c r="Q4207" s="106"/>
      <c r="R4207" s="108"/>
      <c r="S4207" s="108"/>
      <c r="T4207" s="108"/>
      <c r="U4207" s="108" t="str">
        <f>IFERROR(VLOOKUP(CONCATENATE(Tabla1[[#This Row],[Severidad]]," ",Tabla1[[#This Row],[Complejidad]]),Catalogos!E$120:G$128,3,FALSE),"")</f>
        <v/>
      </c>
      <c r="V4207" s="108" t="str">
        <f>IF(Tabla1[[#This Row],[Tiempo solución max (hrs)]]&lt;&gt;"",IF(Tabla1[[#This Row],[Tiempo solución max (hrs)]]&gt;=Tabla1[[#This Row],[Tiempo
(Hrs 00/100)]],"cumple","no cumple"),"")</f>
        <v/>
      </c>
      <c r="W4207" s="17"/>
      <c r="X4207" s="18">
        <f t="shared" si="255"/>
        <v>0</v>
      </c>
      <c r="Y4207" t="str">
        <f>SUBSTITUTE(Tabla1[[#This Row],[Descripción]],CHAR(10),"    I    ")</f>
        <v/>
      </c>
      <c r="Z4207" s="112" t="e">
        <f>VLOOKUP(Tabla1[[#This Row],[Perfil]],Catalogos!$B$75:$D$100,3,FALSE)*Tabla1[[#This Row],[Tiempo
(Hrs 00/100)]]*1.16</f>
        <v>#N/A</v>
      </c>
    </row>
    <row r="4208" spans="1:26" ht="30" customHeight="1" x14ac:dyDescent="0.3">
      <c r="A4208" s="106"/>
      <c r="B4208" s="106"/>
      <c r="C4208" s="106"/>
      <c r="D4208" s="106"/>
      <c r="E4208" s="106"/>
      <c r="F4208" s="106"/>
      <c r="G4208" s="106"/>
      <c r="H4208" s="107"/>
      <c r="I4208" s="95"/>
      <c r="J4208" s="706"/>
      <c r="K4208" s="769"/>
      <c r="L4208" s="706"/>
      <c r="M4208" s="781"/>
      <c r="N4208" s="182"/>
      <c r="O4208" s="188"/>
      <c r="P4208" s="221"/>
      <c r="Q4208" s="106"/>
      <c r="R4208" s="108"/>
      <c r="S4208" s="108"/>
      <c r="T4208" s="108"/>
      <c r="U4208" s="108" t="str">
        <f>IFERROR(VLOOKUP(CONCATENATE(Tabla1[[#This Row],[Severidad]]," ",Tabla1[[#This Row],[Complejidad]]),Catalogos!E$120:G$128,3,FALSE),"")</f>
        <v/>
      </c>
      <c r="V4208" s="108" t="str">
        <f>IF(Tabla1[[#This Row],[Tiempo solución max (hrs)]]&lt;&gt;"",IF(Tabla1[[#This Row],[Tiempo solución max (hrs)]]&gt;=Tabla1[[#This Row],[Tiempo
(Hrs 00/100)]],"cumple","no cumple"),"")</f>
        <v/>
      </c>
      <c r="W4208" s="17"/>
      <c r="X4208" s="18">
        <f t="shared" si="255"/>
        <v>0</v>
      </c>
      <c r="Y4208" t="str">
        <f>SUBSTITUTE(Tabla1[[#This Row],[Descripción]],CHAR(10),"    I    ")</f>
        <v/>
      </c>
      <c r="Z4208" s="112" t="e">
        <f>VLOOKUP(Tabla1[[#This Row],[Perfil]],Catalogos!$B$75:$D$100,3,FALSE)*Tabla1[[#This Row],[Tiempo
(Hrs 00/100)]]*1.16</f>
        <v>#N/A</v>
      </c>
    </row>
    <row r="4209" spans="1:26" ht="30" customHeight="1" x14ac:dyDescent="0.3">
      <c r="A4209" s="106"/>
      <c r="B4209" s="106"/>
      <c r="C4209" s="106"/>
      <c r="D4209" s="106"/>
      <c r="E4209" s="106"/>
      <c r="F4209" s="106"/>
      <c r="G4209" s="106"/>
      <c r="H4209" s="107"/>
      <c r="I4209" s="95"/>
      <c r="J4209" s="706"/>
      <c r="K4209" s="769"/>
      <c r="L4209" s="706"/>
      <c r="M4209" s="781"/>
      <c r="N4209" s="182"/>
      <c r="O4209" s="188"/>
      <c r="P4209" s="221"/>
      <c r="Q4209" s="106"/>
      <c r="R4209" s="108"/>
      <c r="S4209" s="108"/>
      <c r="T4209" s="108"/>
      <c r="U4209" s="108" t="str">
        <f>IFERROR(VLOOKUP(CONCATENATE(Tabla1[[#This Row],[Severidad]]," ",Tabla1[[#This Row],[Complejidad]]),Catalogos!E$120:G$128,3,FALSE),"")</f>
        <v/>
      </c>
      <c r="V4209" s="108" t="str">
        <f>IF(Tabla1[[#This Row],[Tiempo solución max (hrs)]]&lt;&gt;"",IF(Tabla1[[#This Row],[Tiempo solución max (hrs)]]&gt;=Tabla1[[#This Row],[Tiempo
(Hrs 00/100)]],"cumple","no cumple"),"")</f>
        <v/>
      </c>
      <c r="W4209" s="17"/>
      <c r="X4209" s="18">
        <f t="shared" si="255"/>
        <v>0</v>
      </c>
      <c r="Y4209" t="str">
        <f>SUBSTITUTE(Tabla1[[#This Row],[Descripción]],CHAR(10),"    I    ")</f>
        <v/>
      </c>
      <c r="Z4209" s="112" t="e">
        <f>VLOOKUP(Tabla1[[#This Row],[Perfil]],Catalogos!$B$75:$D$100,3,FALSE)*Tabla1[[#This Row],[Tiempo
(Hrs 00/100)]]*1.16</f>
        <v>#N/A</v>
      </c>
    </row>
    <row r="4210" spans="1:26" ht="30" customHeight="1" x14ac:dyDescent="0.3">
      <c r="A4210" s="106"/>
      <c r="B4210" s="106"/>
      <c r="C4210" s="106"/>
      <c r="D4210" s="106"/>
      <c r="E4210" s="106"/>
      <c r="F4210" s="106"/>
      <c r="G4210" s="106"/>
      <c r="H4210" s="107"/>
      <c r="I4210" s="95"/>
      <c r="J4210" s="706"/>
      <c r="K4210" s="769"/>
      <c r="L4210" s="706"/>
      <c r="M4210" s="781"/>
      <c r="N4210" s="182"/>
      <c r="O4210" s="188"/>
      <c r="P4210" s="221"/>
      <c r="Q4210" s="106"/>
      <c r="R4210" s="108"/>
      <c r="S4210" s="108"/>
      <c r="T4210" s="108"/>
      <c r="U4210" s="108" t="str">
        <f>IFERROR(VLOOKUP(CONCATENATE(Tabla1[[#This Row],[Severidad]]," ",Tabla1[[#This Row],[Complejidad]]),Catalogos!E$120:G$128,3,FALSE),"")</f>
        <v/>
      </c>
      <c r="V4210" s="108" t="str">
        <f>IF(Tabla1[[#This Row],[Tiempo solución max (hrs)]]&lt;&gt;"",IF(Tabla1[[#This Row],[Tiempo solución max (hrs)]]&gt;=Tabla1[[#This Row],[Tiempo
(Hrs 00/100)]],"cumple","no cumple"),"")</f>
        <v/>
      </c>
      <c r="W4210" s="17"/>
      <c r="X4210" s="18">
        <f t="shared" si="255"/>
        <v>0</v>
      </c>
      <c r="Y4210" t="str">
        <f>SUBSTITUTE(Tabla1[[#This Row],[Descripción]],CHAR(10),"    I    ")</f>
        <v/>
      </c>
      <c r="Z4210" s="112" t="e">
        <f>VLOOKUP(Tabla1[[#This Row],[Perfil]],Catalogos!$B$75:$D$100,3,FALSE)*Tabla1[[#This Row],[Tiempo
(Hrs 00/100)]]*1.16</f>
        <v>#N/A</v>
      </c>
    </row>
    <row r="4211" spans="1:26" ht="30" customHeight="1" x14ac:dyDescent="0.3">
      <c r="A4211" s="106"/>
      <c r="B4211" s="106"/>
      <c r="C4211" s="106"/>
      <c r="D4211" s="106"/>
      <c r="E4211" s="106"/>
      <c r="F4211" s="106"/>
      <c r="G4211" s="106"/>
      <c r="H4211" s="107"/>
      <c r="I4211" s="95"/>
      <c r="J4211" s="706"/>
      <c r="K4211" s="769"/>
      <c r="L4211" s="706"/>
      <c r="M4211" s="781"/>
      <c r="N4211" s="182"/>
      <c r="O4211" s="188"/>
      <c r="P4211" s="221"/>
      <c r="Q4211" s="106"/>
      <c r="R4211" s="108"/>
      <c r="S4211" s="108"/>
      <c r="T4211" s="108"/>
      <c r="U4211" s="108" t="str">
        <f>IFERROR(VLOOKUP(CONCATENATE(Tabla1[[#This Row],[Severidad]]," ",Tabla1[[#This Row],[Complejidad]]),Catalogos!E$120:G$128,3,FALSE),"")</f>
        <v/>
      </c>
      <c r="V4211" s="108" t="str">
        <f>IF(Tabla1[[#This Row],[Tiempo solución max (hrs)]]&lt;&gt;"",IF(Tabla1[[#This Row],[Tiempo solución max (hrs)]]&gt;=Tabla1[[#This Row],[Tiempo
(Hrs 00/100)]],"cumple","no cumple"),"")</f>
        <v/>
      </c>
      <c r="W4211" s="17"/>
      <c r="X4211" s="18">
        <f t="shared" si="255"/>
        <v>0</v>
      </c>
      <c r="Y4211" t="str">
        <f>SUBSTITUTE(Tabla1[[#This Row],[Descripción]],CHAR(10),"    I    ")</f>
        <v/>
      </c>
      <c r="Z4211" s="112" t="e">
        <f>VLOOKUP(Tabla1[[#This Row],[Perfil]],Catalogos!$B$75:$D$100,3,FALSE)*Tabla1[[#This Row],[Tiempo
(Hrs 00/100)]]*1.16</f>
        <v>#N/A</v>
      </c>
    </row>
    <row r="4212" spans="1:26" ht="30" customHeight="1" x14ac:dyDescent="0.3">
      <c r="A4212" s="106"/>
      <c r="B4212" s="106"/>
      <c r="C4212" s="106"/>
      <c r="D4212" s="106"/>
      <c r="E4212" s="106"/>
      <c r="F4212" s="106"/>
      <c r="G4212" s="106"/>
      <c r="H4212" s="107"/>
      <c r="I4212" s="95"/>
      <c r="J4212" s="706"/>
      <c r="K4212" s="769"/>
      <c r="L4212" s="706"/>
      <c r="M4212" s="781"/>
      <c r="N4212" s="182"/>
      <c r="O4212" s="188"/>
      <c r="P4212" s="221"/>
      <c r="Q4212" s="106"/>
      <c r="R4212" s="108"/>
      <c r="S4212" s="108"/>
      <c r="T4212" s="108"/>
      <c r="U4212" s="108" t="str">
        <f>IFERROR(VLOOKUP(CONCATENATE(Tabla1[[#This Row],[Severidad]]," ",Tabla1[[#This Row],[Complejidad]]),Catalogos!E$120:G$128,3,FALSE),"")</f>
        <v/>
      </c>
      <c r="V4212" s="108" t="str">
        <f>IF(Tabla1[[#This Row],[Tiempo solución max (hrs)]]&lt;&gt;"",IF(Tabla1[[#This Row],[Tiempo solución max (hrs)]]&gt;=Tabla1[[#This Row],[Tiempo
(Hrs 00/100)]],"cumple","no cumple"),"")</f>
        <v/>
      </c>
      <c r="W4212" s="17"/>
      <c r="X4212" s="18">
        <f t="shared" si="255"/>
        <v>0</v>
      </c>
      <c r="Y4212" t="str">
        <f>SUBSTITUTE(Tabla1[[#This Row],[Descripción]],CHAR(10),"    I    ")</f>
        <v/>
      </c>
      <c r="Z4212" s="112" t="e">
        <f>VLOOKUP(Tabla1[[#This Row],[Perfil]],Catalogos!$B$75:$D$100,3,FALSE)*Tabla1[[#This Row],[Tiempo
(Hrs 00/100)]]*1.16</f>
        <v>#N/A</v>
      </c>
    </row>
    <row r="4213" spans="1:26" ht="30" customHeight="1" x14ac:dyDescent="0.3">
      <c r="A4213" s="106"/>
      <c r="B4213" s="106"/>
      <c r="C4213" s="106"/>
      <c r="D4213" s="106"/>
      <c r="E4213" s="106"/>
      <c r="F4213" s="106"/>
      <c r="G4213" s="106"/>
      <c r="H4213" s="107"/>
      <c r="I4213" s="95"/>
      <c r="J4213" s="706"/>
      <c r="K4213" s="769"/>
      <c r="L4213" s="706"/>
      <c r="M4213" s="781"/>
      <c r="N4213" s="182"/>
      <c r="O4213" s="188"/>
      <c r="P4213" s="221"/>
      <c r="Q4213" s="106"/>
      <c r="R4213" s="108"/>
      <c r="S4213" s="108"/>
      <c r="T4213" s="108"/>
      <c r="U4213" s="108" t="str">
        <f>IFERROR(VLOOKUP(CONCATENATE(Tabla1[[#This Row],[Severidad]]," ",Tabla1[[#This Row],[Complejidad]]),Catalogos!E$120:G$128,3,FALSE),"")</f>
        <v/>
      </c>
      <c r="V4213" s="108" t="str">
        <f>IF(Tabla1[[#This Row],[Tiempo solución max (hrs)]]&lt;&gt;"",IF(Tabla1[[#This Row],[Tiempo solución max (hrs)]]&gt;=Tabla1[[#This Row],[Tiempo
(Hrs 00/100)]],"cumple","no cumple"),"")</f>
        <v/>
      </c>
      <c r="W4213" s="17"/>
      <c r="X4213" s="18">
        <f t="shared" si="255"/>
        <v>0</v>
      </c>
      <c r="Y4213" t="str">
        <f>SUBSTITUTE(Tabla1[[#This Row],[Descripción]],CHAR(10),"    I    ")</f>
        <v/>
      </c>
      <c r="Z4213" s="112" t="e">
        <f>VLOOKUP(Tabla1[[#This Row],[Perfil]],Catalogos!$B$75:$D$100,3,FALSE)*Tabla1[[#This Row],[Tiempo
(Hrs 00/100)]]*1.16</f>
        <v>#N/A</v>
      </c>
    </row>
    <row r="4214" spans="1:26" ht="30" customHeight="1" x14ac:dyDescent="0.3">
      <c r="A4214" s="106"/>
      <c r="B4214" s="106"/>
      <c r="C4214" s="106"/>
      <c r="D4214" s="106"/>
      <c r="E4214" s="106"/>
      <c r="F4214" s="106"/>
      <c r="G4214" s="106"/>
      <c r="H4214" s="107"/>
      <c r="I4214" s="95"/>
      <c r="J4214" s="706"/>
      <c r="K4214" s="769"/>
      <c r="L4214" s="706"/>
      <c r="M4214" s="781"/>
      <c r="N4214" s="182"/>
      <c r="O4214" s="188"/>
      <c r="P4214" s="221"/>
      <c r="Q4214" s="106"/>
      <c r="R4214" s="108"/>
      <c r="S4214" s="108"/>
      <c r="T4214" s="108"/>
      <c r="U4214" s="108" t="str">
        <f>IFERROR(VLOOKUP(CONCATENATE(Tabla1[[#This Row],[Severidad]]," ",Tabla1[[#This Row],[Complejidad]]),Catalogos!E$120:G$128,3,FALSE),"")</f>
        <v/>
      </c>
      <c r="V4214" s="108" t="str">
        <f>IF(Tabla1[[#This Row],[Tiempo solución max (hrs)]]&lt;&gt;"",IF(Tabla1[[#This Row],[Tiempo solución max (hrs)]]&gt;=Tabla1[[#This Row],[Tiempo
(Hrs 00/100)]],"cumple","no cumple"),"")</f>
        <v/>
      </c>
      <c r="W4214" s="17"/>
      <c r="X4214" s="18">
        <f t="shared" si="255"/>
        <v>0</v>
      </c>
      <c r="Y4214" t="str">
        <f>SUBSTITUTE(Tabla1[[#This Row],[Descripción]],CHAR(10),"    I    ")</f>
        <v/>
      </c>
      <c r="Z4214" s="112" t="e">
        <f>VLOOKUP(Tabla1[[#This Row],[Perfil]],Catalogos!$B$75:$D$100,3,FALSE)*Tabla1[[#This Row],[Tiempo
(Hrs 00/100)]]*1.16</f>
        <v>#N/A</v>
      </c>
    </row>
    <row r="4215" spans="1:26" ht="30" customHeight="1" x14ac:dyDescent="0.3">
      <c r="A4215" s="106"/>
      <c r="B4215" s="106"/>
      <c r="C4215" s="106"/>
      <c r="D4215" s="106"/>
      <c r="E4215" s="106"/>
      <c r="F4215" s="106"/>
      <c r="G4215" s="106"/>
      <c r="H4215" s="107"/>
      <c r="I4215" s="95"/>
      <c r="J4215" s="706"/>
      <c r="K4215" s="769"/>
      <c r="L4215" s="706"/>
      <c r="M4215" s="781"/>
      <c r="N4215" s="182"/>
      <c r="O4215" s="188"/>
      <c r="P4215" s="221"/>
      <c r="Q4215" s="106"/>
      <c r="R4215" s="108"/>
      <c r="S4215" s="108"/>
      <c r="T4215" s="108"/>
      <c r="U4215" s="108" t="str">
        <f>IFERROR(VLOOKUP(CONCATENATE(Tabla1[[#This Row],[Severidad]]," ",Tabla1[[#This Row],[Complejidad]]),Catalogos!E$120:G$128,3,FALSE),"")</f>
        <v/>
      </c>
      <c r="V4215" s="108" t="str">
        <f>IF(Tabla1[[#This Row],[Tiempo solución max (hrs)]]&lt;&gt;"",IF(Tabla1[[#This Row],[Tiempo solución max (hrs)]]&gt;=Tabla1[[#This Row],[Tiempo
(Hrs 00/100)]],"cumple","no cumple"),"")</f>
        <v/>
      </c>
      <c r="W4215" s="17"/>
      <c r="X4215" s="18">
        <f t="shared" si="255"/>
        <v>0</v>
      </c>
      <c r="Y4215" t="str">
        <f>SUBSTITUTE(Tabla1[[#This Row],[Descripción]],CHAR(10),"    I    ")</f>
        <v/>
      </c>
      <c r="Z4215" s="112" t="e">
        <f>VLOOKUP(Tabla1[[#This Row],[Perfil]],Catalogos!$B$75:$D$100,3,FALSE)*Tabla1[[#This Row],[Tiempo
(Hrs 00/100)]]*1.16</f>
        <v>#N/A</v>
      </c>
    </row>
    <row r="4216" spans="1:26" ht="30" customHeight="1" x14ac:dyDescent="0.3">
      <c r="A4216" s="106"/>
      <c r="B4216" s="106"/>
      <c r="C4216" s="106"/>
      <c r="D4216" s="106"/>
      <c r="E4216" s="106"/>
      <c r="F4216" s="106"/>
      <c r="G4216" s="106"/>
      <c r="H4216" s="107"/>
      <c r="I4216" s="95"/>
      <c r="J4216" s="706"/>
      <c r="K4216" s="769"/>
      <c r="L4216" s="706"/>
      <c r="M4216" s="781"/>
      <c r="N4216" s="182"/>
      <c r="O4216" s="188"/>
      <c r="P4216" s="221"/>
      <c r="Q4216" s="106"/>
      <c r="R4216" s="108"/>
      <c r="S4216" s="108"/>
      <c r="T4216" s="108"/>
      <c r="U4216" s="108" t="str">
        <f>IFERROR(VLOOKUP(CONCATENATE(Tabla1[[#This Row],[Severidad]]," ",Tabla1[[#This Row],[Complejidad]]),Catalogos!E$120:G$128,3,FALSE),"")</f>
        <v/>
      </c>
      <c r="V4216" s="108" t="str">
        <f>IF(Tabla1[[#This Row],[Tiempo solución max (hrs)]]&lt;&gt;"",IF(Tabla1[[#This Row],[Tiempo solución max (hrs)]]&gt;=Tabla1[[#This Row],[Tiempo
(Hrs 00/100)]],"cumple","no cumple"),"")</f>
        <v/>
      </c>
      <c r="W4216" s="17"/>
      <c r="X4216" s="18">
        <f t="shared" si="255"/>
        <v>0</v>
      </c>
      <c r="Y4216" t="str">
        <f>SUBSTITUTE(Tabla1[[#This Row],[Descripción]],CHAR(10),"    I    ")</f>
        <v/>
      </c>
      <c r="Z4216" s="112" t="e">
        <f>VLOOKUP(Tabla1[[#This Row],[Perfil]],Catalogos!$B$75:$D$100,3,FALSE)*Tabla1[[#This Row],[Tiempo
(Hrs 00/100)]]*1.16</f>
        <v>#N/A</v>
      </c>
    </row>
    <row r="4217" spans="1:26" ht="30" customHeight="1" x14ac:dyDescent="0.3">
      <c r="A4217" s="106"/>
      <c r="B4217" s="106"/>
      <c r="C4217" s="106"/>
      <c r="D4217" s="106"/>
      <c r="E4217" s="106"/>
      <c r="F4217" s="106"/>
      <c r="G4217" s="106"/>
      <c r="H4217" s="107"/>
      <c r="I4217" s="95"/>
      <c r="J4217" s="706"/>
      <c r="K4217" s="769"/>
      <c r="L4217" s="706"/>
      <c r="M4217" s="781"/>
      <c r="N4217" s="182"/>
      <c r="O4217" s="188"/>
      <c r="P4217" s="221"/>
      <c r="Q4217" s="106"/>
      <c r="R4217" s="108"/>
      <c r="S4217" s="108"/>
      <c r="T4217" s="108"/>
      <c r="U4217" s="108" t="str">
        <f>IFERROR(VLOOKUP(CONCATENATE(Tabla1[[#This Row],[Severidad]]," ",Tabla1[[#This Row],[Complejidad]]),Catalogos!E$120:G$128,3,FALSE),"")</f>
        <v/>
      </c>
      <c r="V4217" s="108" t="str">
        <f>IF(Tabla1[[#This Row],[Tiempo solución max (hrs)]]&lt;&gt;"",IF(Tabla1[[#This Row],[Tiempo solución max (hrs)]]&gt;=Tabla1[[#This Row],[Tiempo
(Hrs 00/100)]],"cumple","no cumple"),"")</f>
        <v/>
      </c>
      <c r="W4217" s="17"/>
      <c r="X4217" s="18">
        <f t="shared" si="255"/>
        <v>0</v>
      </c>
      <c r="Y4217" t="str">
        <f>SUBSTITUTE(Tabla1[[#This Row],[Descripción]],CHAR(10),"    I    ")</f>
        <v/>
      </c>
      <c r="Z4217" s="112" t="e">
        <f>VLOOKUP(Tabla1[[#This Row],[Perfil]],Catalogos!$B$75:$D$100,3,FALSE)*Tabla1[[#This Row],[Tiempo
(Hrs 00/100)]]*1.16</f>
        <v>#N/A</v>
      </c>
    </row>
    <row r="4218" spans="1:26" ht="30" customHeight="1" x14ac:dyDescent="0.3">
      <c r="A4218" s="106"/>
      <c r="B4218" s="106"/>
      <c r="C4218" s="106"/>
      <c r="D4218" s="106"/>
      <c r="E4218" s="106"/>
      <c r="F4218" s="106"/>
      <c r="G4218" s="106"/>
      <c r="H4218" s="107"/>
      <c r="I4218" s="95"/>
      <c r="J4218" s="706"/>
      <c r="K4218" s="769"/>
      <c r="L4218" s="706"/>
      <c r="M4218" s="781"/>
      <c r="N4218" s="182"/>
      <c r="O4218" s="188"/>
      <c r="P4218" s="221"/>
      <c r="Q4218" s="106"/>
      <c r="R4218" s="108"/>
      <c r="S4218" s="108"/>
      <c r="T4218" s="108"/>
      <c r="U4218" s="108" t="str">
        <f>IFERROR(VLOOKUP(CONCATENATE(Tabla1[[#This Row],[Severidad]]," ",Tabla1[[#This Row],[Complejidad]]),Catalogos!E$120:G$128,3,FALSE),"")</f>
        <v/>
      </c>
      <c r="V4218" s="108" t="str">
        <f>IF(Tabla1[[#This Row],[Tiempo solución max (hrs)]]&lt;&gt;"",IF(Tabla1[[#This Row],[Tiempo solución max (hrs)]]&gt;=Tabla1[[#This Row],[Tiempo
(Hrs 00/100)]],"cumple","no cumple"),"")</f>
        <v/>
      </c>
      <c r="W4218" s="17"/>
      <c r="X4218" s="18">
        <f t="shared" si="255"/>
        <v>0</v>
      </c>
      <c r="Y4218" t="str">
        <f>SUBSTITUTE(Tabla1[[#This Row],[Descripción]],CHAR(10),"    I    ")</f>
        <v/>
      </c>
      <c r="Z4218" s="112" t="e">
        <f>VLOOKUP(Tabla1[[#This Row],[Perfil]],Catalogos!$B$75:$D$100,3,FALSE)*Tabla1[[#This Row],[Tiempo
(Hrs 00/100)]]*1.16</f>
        <v>#N/A</v>
      </c>
    </row>
    <row r="4219" spans="1:26" ht="30" customHeight="1" x14ac:dyDescent="0.3">
      <c r="A4219" s="106"/>
      <c r="B4219" s="106"/>
      <c r="C4219" s="106"/>
      <c r="D4219" s="106"/>
      <c r="E4219" s="106"/>
      <c r="F4219" s="106"/>
      <c r="G4219" s="106"/>
      <c r="H4219" s="107"/>
      <c r="I4219" s="95"/>
      <c r="J4219" s="706"/>
      <c r="K4219" s="769"/>
      <c r="L4219" s="706"/>
      <c r="M4219" s="781"/>
      <c r="N4219" s="182"/>
      <c r="O4219" s="188"/>
      <c r="P4219" s="221"/>
      <c r="Q4219" s="106"/>
      <c r="R4219" s="108"/>
      <c r="S4219" s="108"/>
      <c r="T4219" s="108"/>
      <c r="U4219" s="108" t="str">
        <f>IFERROR(VLOOKUP(CONCATENATE(Tabla1[[#This Row],[Severidad]]," ",Tabla1[[#This Row],[Complejidad]]),Catalogos!E$120:G$128,3,FALSE),"")</f>
        <v/>
      </c>
      <c r="V4219" s="108" t="str">
        <f>IF(Tabla1[[#This Row],[Tiempo solución max (hrs)]]&lt;&gt;"",IF(Tabla1[[#This Row],[Tiempo solución max (hrs)]]&gt;=Tabla1[[#This Row],[Tiempo
(Hrs 00/100)]],"cumple","no cumple"),"")</f>
        <v/>
      </c>
      <c r="W4219" s="17"/>
      <c r="X4219" s="18">
        <f t="shared" si="255"/>
        <v>0</v>
      </c>
      <c r="Y4219" t="str">
        <f>SUBSTITUTE(Tabla1[[#This Row],[Descripción]],CHAR(10),"    I    ")</f>
        <v/>
      </c>
      <c r="Z4219" s="112" t="e">
        <f>VLOOKUP(Tabla1[[#This Row],[Perfil]],Catalogos!$B$75:$D$100,3,FALSE)*Tabla1[[#This Row],[Tiempo
(Hrs 00/100)]]*1.16</f>
        <v>#N/A</v>
      </c>
    </row>
    <row r="4220" spans="1:26" ht="30" customHeight="1" x14ac:dyDescent="0.3">
      <c r="A4220" s="106"/>
      <c r="B4220" s="106"/>
      <c r="C4220" s="106"/>
      <c r="D4220" s="106"/>
      <c r="E4220" s="106"/>
      <c r="F4220" s="106"/>
      <c r="G4220" s="106"/>
      <c r="H4220" s="107"/>
      <c r="I4220" s="95"/>
      <c r="J4220" s="706"/>
      <c r="K4220" s="769"/>
      <c r="L4220" s="706"/>
      <c r="M4220" s="781"/>
      <c r="N4220" s="182"/>
      <c r="O4220" s="188"/>
      <c r="P4220" s="221"/>
      <c r="Q4220" s="106"/>
      <c r="R4220" s="108"/>
      <c r="S4220" s="108"/>
      <c r="T4220" s="108"/>
      <c r="U4220" s="108" t="str">
        <f>IFERROR(VLOOKUP(CONCATENATE(Tabla1[[#This Row],[Severidad]]," ",Tabla1[[#This Row],[Complejidad]]),Catalogos!E$120:G$128,3,FALSE),"")</f>
        <v/>
      </c>
      <c r="V4220" s="108" t="str">
        <f>IF(Tabla1[[#This Row],[Tiempo solución max (hrs)]]&lt;&gt;"",IF(Tabla1[[#This Row],[Tiempo solución max (hrs)]]&gt;=Tabla1[[#This Row],[Tiempo
(Hrs 00/100)]],"cumple","no cumple"),"")</f>
        <v/>
      </c>
      <c r="W4220" s="17"/>
      <c r="X4220" s="18">
        <f t="shared" si="255"/>
        <v>0</v>
      </c>
      <c r="Y4220" t="str">
        <f>SUBSTITUTE(Tabla1[[#This Row],[Descripción]],CHAR(10),"    I    ")</f>
        <v/>
      </c>
      <c r="Z4220" s="112" t="e">
        <f>VLOOKUP(Tabla1[[#This Row],[Perfil]],Catalogos!$B$75:$D$100,3,FALSE)*Tabla1[[#This Row],[Tiempo
(Hrs 00/100)]]*1.16</f>
        <v>#N/A</v>
      </c>
    </row>
    <row r="4221" spans="1:26" ht="30" customHeight="1" x14ac:dyDescent="0.3">
      <c r="A4221" s="106"/>
      <c r="B4221" s="106"/>
      <c r="C4221" s="106"/>
      <c r="D4221" s="106"/>
      <c r="E4221" s="106"/>
      <c r="F4221" s="106"/>
      <c r="G4221" s="106"/>
      <c r="H4221" s="107"/>
      <c r="I4221" s="95"/>
      <c r="J4221" s="706"/>
      <c r="K4221" s="769"/>
      <c r="L4221" s="706"/>
      <c r="M4221" s="781"/>
      <c r="N4221" s="182"/>
      <c r="O4221" s="188"/>
      <c r="P4221" s="221"/>
      <c r="Q4221" s="106"/>
      <c r="R4221" s="108"/>
      <c r="S4221" s="108"/>
      <c r="T4221" s="108"/>
      <c r="U4221" s="108" t="str">
        <f>IFERROR(VLOOKUP(CONCATENATE(Tabla1[[#This Row],[Severidad]]," ",Tabla1[[#This Row],[Complejidad]]),Catalogos!E$120:G$128,3,FALSE),"")</f>
        <v/>
      </c>
      <c r="V4221" s="108" t="str">
        <f>IF(Tabla1[[#This Row],[Tiempo solución max (hrs)]]&lt;&gt;"",IF(Tabla1[[#This Row],[Tiempo solución max (hrs)]]&gt;=Tabla1[[#This Row],[Tiempo
(Hrs 00/100)]],"cumple","no cumple"),"")</f>
        <v/>
      </c>
      <c r="W4221" s="17"/>
      <c r="X4221" s="18">
        <f t="shared" si="255"/>
        <v>0</v>
      </c>
      <c r="Y4221" t="str">
        <f>SUBSTITUTE(Tabla1[[#This Row],[Descripción]],CHAR(10),"    I    ")</f>
        <v/>
      </c>
      <c r="Z4221" s="112" t="e">
        <f>VLOOKUP(Tabla1[[#This Row],[Perfil]],Catalogos!$B$75:$D$100,3,FALSE)*Tabla1[[#This Row],[Tiempo
(Hrs 00/100)]]*1.16</f>
        <v>#N/A</v>
      </c>
    </row>
    <row r="4222" spans="1:26" ht="30" customHeight="1" x14ac:dyDescent="0.3">
      <c r="A4222" s="106"/>
      <c r="B4222" s="106"/>
      <c r="C4222" s="106"/>
      <c r="D4222" s="106"/>
      <c r="E4222" s="106"/>
      <c r="F4222" s="106"/>
      <c r="G4222" s="106"/>
      <c r="H4222" s="107"/>
      <c r="I4222" s="95"/>
      <c r="J4222" s="706"/>
      <c r="K4222" s="769"/>
      <c r="L4222" s="706"/>
      <c r="M4222" s="781"/>
      <c r="N4222" s="182"/>
      <c r="O4222" s="188"/>
      <c r="P4222" s="221"/>
      <c r="Q4222" s="106"/>
      <c r="R4222" s="108"/>
      <c r="S4222" s="108"/>
      <c r="T4222" s="108"/>
      <c r="U4222" s="108" t="str">
        <f>IFERROR(VLOOKUP(CONCATENATE(Tabla1[[#This Row],[Severidad]]," ",Tabla1[[#This Row],[Complejidad]]),Catalogos!E$120:G$128,3,FALSE),"")</f>
        <v/>
      </c>
      <c r="V4222" s="108" t="str">
        <f>IF(Tabla1[[#This Row],[Tiempo solución max (hrs)]]&lt;&gt;"",IF(Tabla1[[#This Row],[Tiempo solución max (hrs)]]&gt;=Tabla1[[#This Row],[Tiempo
(Hrs 00/100)]],"cumple","no cumple"),"")</f>
        <v/>
      </c>
      <c r="W4222" s="17"/>
      <c r="X4222" s="18">
        <f t="shared" si="255"/>
        <v>0</v>
      </c>
      <c r="Y4222" t="str">
        <f>SUBSTITUTE(Tabla1[[#This Row],[Descripción]],CHAR(10),"    I    ")</f>
        <v/>
      </c>
      <c r="Z4222" s="112" t="e">
        <f>VLOOKUP(Tabla1[[#This Row],[Perfil]],Catalogos!$B$75:$D$100,3,FALSE)*Tabla1[[#This Row],[Tiempo
(Hrs 00/100)]]*1.16</f>
        <v>#N/A</v>
      </c>
    </row>
    <row r="4223" spans="1:26" ht="30" customHeight="1" x14ac:dyDescent="0.3">
      <c r="A4223" s="106"/>
      <c r="B4223" s="106"/>
      <c r="C4223" s="106"/>
      <c r="D4223" s="106"/>
      <c r="E4223" s="106"/>
      <c r="F4223" s="106"/>
      <c r="G4223" s="106"/>
      <c r="H4223" s="107"/>
      <c r="I4223" s="95"/>
      <c r="J4223" s="706"/>
      <c r="K4223" s="769"/>
      <c r="L4223" s="706"/>
      <c r="M4223" s="781"/>
      <c r="N4223" s="182"/>
      <c r="O4223" s="188"/>
      <c r="P4223" s="221"/>
      <c r="Q4223" s="106"/>
      <c r="R4223" s="108"/>
      <c r="S4223" s="108"/>
      <c r="T4223" s="108"/>
      <c r="U4223" s="108" t="str">
        <f>IFERROR(VLOOKUP(CONCATENATE(Tabla1[[#This Row],[Severidad]]," ",Tabla1[[#This Row],[Complejidad]]),Catalogos!E$120:G$128,3,FALSE),"")</f>
        <v/>
      </c>
      <c r="V4223" s="108" t="str">
        <f>IF(Tabla1[[#This Row],[Tiempo solución max (hrs)]]&lt;&gt;"",IF(Tabla1[[#This Row],[Tiempo solución max (hrs)]]&gt;=Tabla1[[#This Row],[Tiempo
(Hrs 00/100)]],"cumple","no cumple"),"")</f>
        <v/>
      </c>
      <c r="W4223" s="17"/>
      <c r="X4223" s="18">
        <f t="shared" si="255"/>
        <v>0</v>
      </c>
      <c r="Y4223" t="str">
        <f>SUBSTITUTE(Tabla1[[#This Row],[Descripción]],CHAR(10),"    I    ")</f>
        <v/>
      </c>
      <c r="Z4223" s="112" t="e">
        <f>VLOOKUP(Tabla1[[#This Row],[Perfil]],Catalogos!$B$75:$D$100,3,FALSE)*Tabla1[[#This Row],[Tiempo
(Hrs 00/100)]]*1.16</f>
        <v>#N/A</v>
      </c>
    </row>
    <row r="4224" spans="1:26" ht="30" customHeight="1" x14ac:dyDescent="0.3">
      <c r="A4224" s="106"/>
      <c r="B4224" s="106"/>
      <c r="C4224" s="106"/>
      <c r="D4224" s="106"/>
      <c r="E4224" s="106"/>
      <c r="F4224" s="106"/>
      <c r="G4224" s="106"/>
      <c r="H4224" s="107"/>
      <c r="I4224" s="95"/>
      <c r="J4224" s="706"/>
      <c r="K4224" s="769"/>
      <c r="L4224" s="706"/>
      <c r="M4224" s="781"/>
      <c r="N4224" s="182"/>
      <c r="O4224" s="188"/>
      <c r="P4224" s="221"/>
      <c r="Q4224" s="106"/>
      <c r="R4224" s="108"/>
      <c r="S4224" s="108"/>
      <c r="T4224" s="108"/>
      <c r="U4224" s="108" t="str">
        <f>IFERROR(VLOOKUP(CONCATENATE(Tabla1[[#This Row],[Severidad]]," ",Tabla1[[#This Row],[Complejidad]]),Catalogos!E$120:G$128,3,FALSE),"")</f>
        <v/>
      </c>
      <c r="V4224" s="108" t="str">
        <f>IF(Tabla1[[#This Row],[Tiempo solución max (hrs)]]&lt;&gt;"",IF(Tabla1[[#This Row],[Tiempo solución max (hrs)]]&gt;=Tabla1[[#This Row],[Tiempo
(Hrs 00/100)]],"cumple","no cumple"),"")</f>
        <v/>
      </c>
      <c r="W4224" s="17"/>
      <c r="X4224" s="18">
        <f t="shared" si="255"/>
        <v>0</v>
      </c>
      <c r="Y4224" t="str">
        <f>SUBSTITUTE(Tabla1[[#This Row],[Descripción]],CHAR(10),"    I    ")</f>
        <v/>
      </c>
      <c r="Z4224" s="112" t="e">
        <f>VLOOKUP(Tabla1[[#This Row],[Perfil]],Catalogos!$B$75:$D$100,3,FALSE)*Tabla1[[#This Row],[Tiempo
(Hrs 00/100)]]*1.16</f>
        <v>#N/A</v>
      </c>
    </row>
    <row r="4225" spans="1:26" ht="30" customHeight="1" x14ac:dyDescent="0.3">
      <c r="A4225" s="106"/>
      <c r="B4225" s="106"/>
      <c r="C4225" s="106"/>
      <c r="D4225" s="106"/>
      <c r="E4225" s="106"/>
      <c r="F4225" s="106"/>
      <c r="G4225" s="106"/>
      <c r="H4225" s="107"/>
      <c r="I4225" s="95"/>
      <c r="J4225" s="706"/>
      <c r="K4225" s="769"/>
      <c r="L4225" s="706"/>
      <c r="M4225" s="781"/>
      <c r="N4225" s="182"/>
      <c r="O4225" s="188"/>
      <c r="P4225" s="221"/>
      <c r="Q4225" s="106"/>
      <c r="R4225" s="108"/>
      <c r="S4225" s="108"/>
      <c r="T4225" s="108"/>
      <c r="U4225" s="108" t="str">
        <f>IFERROR(VLOOKUP(CONCATENATE(Tabla1[[#This Row],[Severidad]]," ",Tabla1[[#This Row],[Complejidad]]),Catalogos!E$120:G$128,3,FALSE),"")</f>
        <v/>
      </c>
      <c r="V4225" s="108" t="str">
        <f>IF(Tabla1[[#This Row],[Tiempo solución max (hrs)]]&lt;&gt;"",IF(Tabla1[[#This Row],[Tiempo solución max (hrs)]]&gt;=Tabla1[[#This Row],[Tiempo
(Hrs 00/100)]],"cumple","no cumple"),"")</f>
        <v/>
      </c>
      <c r="W4225" s="17"/>
      <c r="X4225" s="18">
        <f t="shared" si="255"/>
        <v>0</v>
      </c>
      <c r="Y4225" t="str">
        <f>SUBSTITUTE(Tabla1[[#This Row],[Descripción]],CHAR(10),"    I    ")</f>
        <v/>
      </c>
      <c r="Z4225" s="112" t="e">
        <f>VLOOKUP(Tabla1[[#This Row],[Perfil]],Catalogos!$B$75:$D$100,3,FALSE)*Tabla1[[#This Row],[Tiempo
(Hrs 00/100)]]*1.16</f>
        <v>#N/A</v>
      </c>
    </row>
    <row r="4226" spans="1:26" ht="30" customHeight="1" x14ac:dyDescent="0.3">
      <c r="A4226" s="106"/>
      <c r="B4226" s="106"/>
      <c r="C4226" s="106"/>
      <c r="D4226" s="106"/>
      <c r="E4226" s="106"/>
      <c r="F4226" s="106"/>
      <c r="G4226" s="106"/>
      <c r="H4226" s="107"/>
      <c r="I4226" s="95"/>
      <c r="J4226" s="706"/>
      <c r="K4226" s="769"/>
      <c r="L4226" s="706"/>
      <c r="M4226" s="781"/>
      <c r="N4226" s="182"/>
      <c r="O4226" s="188"/>
      <c r="P4226" s="221"/>
      <c r="Q4226" s="106"/>
      <c r="R4226" s="108"/>
      <c r="S4226" s="108"/>
      <c r="T4226" s="108"/>
      <c r="U4226" s="108" t="str">
        <f>IFERROR(VLOOKUP(CONCATENATE(Tabla1[[#This Row],[Severidad]]," ",Tabla1[[#This Row],[Complejidad]]),Catalogos!E$120:G$128,3,FALSE),"")</f>
        <v/>
      </c>
      <c r="V4226" s="108" t="str">
        <f>IF(Tabla1[[#This Row],[Tiempo solución max (hrs)]]&lt;&gt;"",IF(Tabla1[[#This Row],[Tiempo solución max (hrs)]]&gt;=Tabla1[[#This Row],[Tiempo
(Hrs 00/100)]],"cumple","no cumple"),"")</f>
        <v/>
      </c>
      <c r="W4226" s="17"/>
      <c r="X4226" s="18">
        <f t="shared" si="255"/>
        <v>0</v>
      </c>
      <c r="Y4226" t="str">
        <f>SUBSTITUTE(Tabla1[[#This Row],[Descripción]],CHAR(10),"    I    ")</f>
        <v/>
      </c>
      <c r="Z4226" s="112" t="e">
        <f>VLOOKUP(Tabla1[[#This Row],[Perfil]],Catalogos!$B$75:$D$100,3,FALSE)*Tabla1[[#This Row],[Tiempo
(Hrs 00/100)]]*1.16</f>
        <v>#N/A</v>
      </c>
    </row>
    <row r="4227" spans="1:26" ht="30" customHeight="1" x14ac:dyDescent="0.3">
      <c r="A4227" s="106"/>
      <c r="B4227" s="106"/>
      <c r="C4227" s="106"/>
      <c r="D4227" s="106"/>
      <c r="E4227" s="106"/>
      <c r="F4227" s="106"/>
      <c r="G4227" s="106"/>
      <c r="H4227" s="107"/>
      <c r="I4227" s="95"/>
      <c r="J4227" s="706"/>
      <c r="K4227" s="769"/>
      <c r="L4227" s="706"/>
      <c r="M4227" s="781"/>
      <c r="N4227" s="182"/>
      <c r="O4227" s="188"/>
      <c r="P4227" s="221"/>
      <c r="Q4227" s="106"/>
      <c r="R4227" s="108"/>
      <c r="S4227" s="108"/>
      <c r="T4227" s="108"/>
      <c r="U4227" s="108" t="str">
        <f>IFERROR(VLOOKUP(CONCATENATE(Tabla1[[#This Row],[Severidad]]," ",Tabla1[[#This Row],[Complejidad]]),Catalogos!E$120:G$128,3,FALSE),"")</f>
        <v/>
      </c>
      <c r="V4227" s="108" t="str">
        <f>IF(Tabla1[[#This Row],[Tiempo solución max (hrs)]]&lt;&gt;"",IF(Tabla1[[#This Row],[Tiempo solución max (hrs)]]&gt;=Tabla1[[#This Row],[Tiempo
(Hrs 00/100)]],"cumple","no cumple"),"")</f>
        <v/>
      </c>
      <c r="W4227" s="17"/>
      <c r="X4227" s="18">
        <f t="shared" ref="X4227:X4290" si="256">IF(C4227&lt;&gt;"",C4227,D4227)</f>
        <v>0</v>
      </c>
      <c r="Y4227" t="str">
        <f>SUBSTITUTE(Tabla1[[#This Row],[Descripción]],CHAR(10),"    I    ")</f>
        <v/>
      </c>
      <c r="Z4227" s="112" t="e">
        <f>VLOOKUP(Tabla1[[#This Row],[Perfil]],Catalogos!$B$75:$D$100,3,FALSE)*Tabla1[[#This Row],[Tiempo
(Hrs 00/100)]]*1.16</f>
        <v>#N/A</v>
      </c>
    </row>
    <row r="4228" spans="1:26" ht="30" customHeight="1" x14ac:dyDescent="0.3">
      <c r="A4228" s="106"/>
      <c r="B4228" s="106"/>
      <c r="C4228" s="106"/>
      <c r="D4228" s="106"/>
      <c r="E4228" s="106"/>
      <c r="F4228" s="106"/>
      <c r="G4228" s="106"/>
      <c r="H4228" s="107"/>
      <c r="I4228" s="95"/>
      <c r="J4228" s="706"/>
      <c r="K4228" s="769"/>
      <c r="L4228" s="706"/>
      <c r="M4228" s="781"/>
      <c r="N4228" s="182"/>
      <c r="O4228" s="188"/>
      <c r="P4228" s="221"/>
      <c r="Q4228" s="106"/>
      <c r="R4228" s="108"/>
      <c r="S4228" s="108"/>
      <c r="T4228" s="108"/>
      <c r="U4228" s="108" t="str">
        <f>IFERROR(VLOOKUP(CONCATENATE(Tabla1[[#This Row],[Severidad]]," ",Tabla1[[#This Row],[Complejidad]]),Catalogos!E$120:G$128,3,FALSE),"")</f>
        <v/>
      </c>
      <c r="V4228" s="108" t="str">
        <f>IF(Tabla1[[#This Row],[Tiempo solución max (hrs)]]&lt;&gt;"",IF(Tabla1[[#This Row],[Tiempo solución max (hrs)]]&gt;=Tabla1[[#This Row],[Tiempo
(Hrs 00/100)]],"cumple","no cumple"),"")</f>
        <v/>
      </c>
      <c r="W4228" s="17"/>
      <c r="X4228" s="18">
        <f t="shared" si="256"/>
        <v>0</v>
      </c>
      <c r="Y4228" t="str">
        <f>SUBSTITUTE(Tabla1[[#This Row],[Descripción]],CHAR(10),"    I    ")</f>
        <v/>
      </c>
      <c r="Z4228" s="112" t="e">
        <f>VLOOKUP(Tabla1[[#This Row],[Perfil]],Catalogos!$B$75:$D$100,3,FALSE)*Tabla1[[#This Row],[Tiempo
(Hrs 00/100)]]*1.16</f>
        <v>#N/A</v>
      </c>
    </row>
    <row r="4229" spans="1:26" ht="30" customHeight="1" x14ac:dyDescent="0.3">
      <c r="A4229" s="106"/>
      <c r="B4229" s="106"/>
      <c r="C4229" s="106"/>
      <c r="D4229" s="106"/>
      <c r="E4229" s="106"/>
      <c r="F4229" s="106"/>
      <c r="G4229" s="106"/>
      <c r="H4229" s="107"/>
      <c r="I4229" s="95"/>
      <c r="J4229" s="706"/>
      <c r="K4229" s="769"/>
      <c r="L4229" s="706"/>
      <c r="M4229" s="781"/>
      <c r="N4229" s="182"/>
      <c r="O4229" s="188"/>
      <c r="P4229" s="221"/>
      <c r="Q4229" s="106"/>
      <c r="R4229" s="108"/>
      <c r="S4229" s="108"/>
      <c r="T4229" s="108"/>
      <c r="U4229" s="108" t="str">
        <f>IFERROR(VLOOKUP(CONCATENATE(Tabla1[[#This Row],[Severidad]]," ",Tabla1[[#This Row],[Complejidad]]),Catalogos!E$120:G$128,3,FALSE),"")</f>
        <v/>
      </c>
      <c r="V4229" s="108" t="str">
        <f>IF(Tabla1[[#This Row],[Tiempo solución max (hrs)]]&lt;&gt;"",IF(Tabla1[[#This Row],[Tiempo solución max (hrs)]]&gt;=Tabla1[[#This Row],[Tiempo
(Hrs 00/100)]],"cumple","no cumple"),"")</f>
        <v/>
      </c>
      <c r="W4229" s="17"/>
      <c r="X4229" s="18">
        <f t="shared" si="256"/>
        <v>0</v>
      </c>
      <c r="Y4229" t="str">
        <f>SUBSTITUTE(Tabla1[[#This Row],[Descripción]],CHAR(10),"    I    ")</f>
        <v/>
      </c>
      <c r="Z4229" s="112" t="e">
        <f>VLOOKUP(Tabla1[[#This Row],[Perfil]],Catalogos!$B$75:$D$100,3,FALSE)*Tabla1[[#This Row],[Tiempo
(Hrs 00/100)]]*1.16</f>
        <v>#N/A</v>
      </c>
    </row>
    <row r="4230" spans="1:26" ht="30" customHeight="1" x14ac:dyDescent="0.3">
      <c r="A4230" s="106"/>
      <c r="B4230" s="106"/>
      <c r="C4230" s="106"/>
      <c r="D4230" s="106"/>
      <c r="E4230" s="106"/>
      <c r="F4230" s="106"/>
      <c r="G4230" s="106"/>
      <c r="H4230" s="107"/>
      <c r="I4230" s="95"/>
      <c r="J4230" s="706"/>
      <c r="K4230" s="769"/>
      <c r="L4230" s="706"/>
      <c r="M4230" s="781"/>
      <c r="N4230" s="182"/>
      <c r="O4230" s="188"/>
      <c r="P4230" s="221"/>
      <c r="Q4230" s="106"/>
      <c r="R4230" s="108"/>
      <c r="S4230" s="108"/>
      <c r="T4230" s="108"/>
      <c r="U4230" s="108" t="str">
        <f>IFERROR(VLOOKUP(CONCATENATE(Tabla1[[#This Row],[Severidad]]," ",Tabla1[[#This Row],[Complejidad]]),Catalogos!E$120:G$128,3,FALSE),"")</f>
        <v/>
      </c>
      <c r="V4230" s="108" t="str">
        <f>IF(Tabla1[[#This Row],[Tiempo solución max (hrs)]]&lt;&gt;"",IF(Tabla1[[#This Row],[Tiempo solución max (hrs)]]&gt;=Tabla1[[#This Row],[Tiempo
(Hrs 00/100)]],"cumple","no cumple"),"")</f>
        <v/>
      </c>
      <c r="W4230" s="17"/>
      <c r="X4230" s="18">
        <f t="shared" si="256"/>
        <v>0</v>
      </c>
      <c r="Y4230" t="str">
        <f>SUBSTITUTE(Tabla1[[#This Row],[Descripción]],CHAR(10),"    I    ")</f>
        <v/>
      </c>
      <c r="Z4230" s="112" t="e">
        <f>VLOOKUP(Tabla1[[#This Row],[Perfil]],Catalogos!$B$75:$D$100,3,FALSE)*Tabla1[[#This Row],[Tiempo
(Hrs 00/100)]]*1.16</f>
        <v>#N/A</v>
      </c>
    </row>
    <row r="4231" spans="1:26" ht="30" customHeight="1" x14ac:dyDescent="0.3">
      <c r="A4231" s="106"/>
      <c r="B4231" s="106"/>
      <c r="C4231" s="106"/>
      <c r="D4231" s="106"/>
      <c r="E4231" s="106"/>
      <c r="F4231" s="106"/>
      <c r="G4231" s="106"/>
      <c r="H4231" s="107"/>
      <c r="I4231" s="95"/>
      <c r="J4231" s="706"/>
      <c r="K4231" s="769"/>
      <c r="L4231" s="706"/>
      <c r="M4231" s="781"/>
      <c r="N4231" s="182"/>
      <c r="O4231" s="188"/>
      <c r="P4231" s="221"/>
      <c r="Q4231" s="106"/>
      <c r="R4231" s="108"/>
      <c r="S4231" s="108"/>
      <c r="T4231" s="108"/>
      <c r="U4231" s="108" t="str">
        <f>IFERROR(VLOOKUP(CONCATENATE(Tabla1[[#This Row],[Severidad]]," ",Tabla1[[#This Row],[Complejidad]]),Catalogos!E$120:G$128,3,FALSE),"")</f>
        <v/>
      </c>
      <c r="V4231" s="108" t="str">
        <f>IF(Tabla1[[#This Row],[Tiempo solución max (hrs)]]&lt;&gt;"",IF(Tabla1[[#This Row],[Tiempo solución max (hrs)]]&gt;=Tabla1[[#This Row],[Tiempo
(Hrs 00/100)]],"cumple","no cumple"),"")</f>
        <v/>
      </c>
      <c r="W4231" s="17"/>
      <c r="X4231" s="18">
        <f t="shared" si="256"/>
        <v>0</v>
      </c>
      <c r="Y4231" t="str">
        <f>SUBSTITUTE(Tabla1[[#This Row],[Descripción]],CHAR(10),"    I    ")</f>
        <v/>
      </c>
      <c r="Z4231" s="112" t="e">
        <f>VLOOKUP(Tabla1[[#This Row],[Perfil]],Catalogos!$B$75:$D$100,3,FALSE)*Tabla1[[#This Row],[Tiempo
(Hrs 00/100)]]*1.16</f>
        <v>#N/A</v>
      </c>
    </row>
    <row r="4232" spans="1:26" ht="30" customHeight="1" x14ac:dyDescent="0.3">
      <c r="A4232" s="106"/>
      <c r="B4232" s="106"/>
      <c r="C4232" s="106"/>
      <c r="D4232" s="106"/>
      <c r="E4232" s="106"/>
      <c r="F4232" s="106"/>
      <c r="G4232" s="106"/>
      <c r="H4232" s="107"/>
      <c r="I4232" s="95"/>
      <c r="J4232" s="706"/>
      <c r="K4232" s="769"/>
      <c r="L4232" s="706"/>
      <c r="M4232" s="781"/>
      <c r="N4232" s="182"/>
      <c r="O4232" s="188"/>
      <c r="P4232" s="221"/>
      <c r="Q4232" s="106"/>
      <c r="R4232" s="108"/>
      <c r="S4232" s="108"/>
      <c r="T4232" s="108"/>
      <c r="U4232" s="108" t="str">
        <f>IFERROR(VLOOKUP(CONCATENATE(Tabla1[[#This Row],[Severidad]]," ",Tabla1[[#This Row],[Complejidad]]),Catalogos!E$120:G$128,3,FALSE),"")</f>
        <v/>
      </c>
      <c r="V4232" s="108" t="str">
        <f>IF(Tabla1[[#This Row],[Tiempo solución max (hrs)]]&lt;&gt;"",IF(Tabla1[[#This Row],[Tiempo solución max (hrs)]]&gt;=Tabla1[[#This Row],[Tiempo
(Hrs 00/100)]],"cumple","no cumple"),"")</f>
        <v/>
      </c>
      <c r="W4232" s="17"/>
      <c r="X4232" s="18">
        <f t="shared" si="256"/>
        <v>0</v>
      </c>
      <c r="Y4232" t="str">
        <f>SUBSTITUTE(Tabla1[[#This Row],[Descripción]],CHAR(10),"    I    ")</f>
        <v/>
      </c>
      <c r="Z4232" s="112" t="e">
        <f>VLOOKUP(Tabla1[[#This Row],[Perfil]],Catalogos!$B$75:$D$100,3,FALSE)*Tabla1[[#This Row],[Tiempo
(Hrs 00/100)]]*1.16</f>
        <v>#N/A</v>
      </c>
    </row>
    <row r="4233" spans="1:26" ht="30" customHeight="1" x14ac:dyDescent="0.3">
      <c r="A4233" s="106"/>
      <c r="B4233" s="106"/>
      <c r="C4233" s="106"/>
      <c r="D4233" s="106"/>
      <c r="E4233" s="106"/>
      <c r="F4233" s="106"/>
      <c r="G4233" s="106"/>
      <c r="H4233" s="107"/>
      <c r="I4233" s="95"/>
      <c r="J4233" s="706"/>
      <c r="K4233" s="769"/>
      <c r="L4233" s="706"/>
      <c r="M4233" s="781"/>
      <c r="N4233" s="182"/>
      <c r="O4233" s="188"/>
      <c r="P4233" s="221"/>
      <c r="Q4233" s="106"/>
      <c r="R4233" s="108"/>
      <c r="S4233" s="108"/>
      <c r="T4233" s="108"/>
      <c r="U4233" s="108" t="str">
        <f>IFERROR(VLOOKUP(CONCATENATE(Tabla1[[#This Row],[Severidad]]," ",Tabla1[[#This Row],[Complejidad]]),Catalogos!E$120:G$128,3,FALSE),"")</f>
        <v/>
      </c>
      <c r="V4233" s="108" t="str">
        <f>IF(Tabla1[[#This Row],[Tiempo solución max (hrs)]]&lt;&gt;"",IF(Tabla1[[#This Row],[Tiempo solución max (hrs)]]&gt;=Tabla1[[#This Row],[Tiempo
(Hrs 00/100)]],"cumple","no cumple"),"")</f>
        <v/>
      </c>
      <c r="W4233" s="17"/>
      <c r="X4233" s="18">
        <f t="shared" si="256"/>
        <v>0</v>
      </c>
      <c r="Y4233" t="str">
        <f>SUBSTITUTE(Tabla1[[#This Row],[Descripción]],CHAR(10),"    I    ")</f>
        <v/>
      </c>
      <c r="Z4233" s="112" t="e">
        <f>VLOOKUP(Tabla1[[#This Row],[Perfil]],Catalogos!$B$75:$D$100,3,FALSE)*Tabla1[[#This Row],[Tiempo
(Hrs 00/100)]]*1.16</f>
        <v>#N/A</v>
      </c>
    </row>
    <row r="4234" spans="1:26" ht="30" customHeight="1" x14ac:dyDescent="0.3">
      <c r="A4234" s="106"/>
      <c r="B4234" s="106"/>
      <c r="C4234" s="106"/>
      <c r="D4234" s="106"/>
      <c r="E4234" s="106"/>
      <c r="F4234" s="106"/>
      <c r="G4234" s="106"/>
      <c r="H4234" s="107"/>
      <c r="I4234" s="95"/>
      <c r="J4234" s="706"/>
      <c r="K4234" s="769"/>
      <c r="L4234" s="706"/>
      <c r="M4234" s="781"/>
      <c r="N4234" s="182"/>
      <c r="O4234" s="188"/>
      <c r="P4234" s="221"/>
      <c r="Q4234" s="106"/>
      <c r="R4234" s="108"/>
      <c r="S4234" s="108"/>
      <c r="T4234" s="108"/>
      <c r="U4234" s="108" t="str">
        <f>IFERROR(VLOOKUP(CONCATENATE(Tabla1[[#This Row],[Severidad]]," ",Tabla1[[#This Row],[Complejidad]]),Catalogos!E$120:G$128,3,FALSE),"")</f>
        <v/>
      </c>
      <c r="V4234" s="108" t="str">
        <f>IF(Tabla1[[#This Row],[Tiempo solución max (hrs)]]&lt;&gt;"",IF(Tabla1[[#This Row],[Tiempo solución max (hrs)]]&gt;=Tabla1[[#This Row],[Tiempo
(Hrs 00/100)]],"cumple","no cumple"),"")</f>
        <v/>
      </c>
      <c r="W4234" s="17"/>
      <c r="X4234" s="18">
        <f t="shared" si="256"/>
        <v>0</v>
      </c>
      <c r="Y4234" t="str">
        <f>SUBSTITUTE(Tabla1[[#This Row],[Descripción]],CHAR(10),"    I    ")</f>
        <v/>
      </c>
      <c r="Z4234" s="112" t="e">
        <f>VLOOKUP(Tabla1[[#This Row],[Perfil]],Catalogos!$B$75:$D$100,3,FALSE)*Tabla1[[#This Row],[Tiempo
(Hrs 00/100)]]*1.16</f>
        <v>#N/A</v>
      </c>
    </row>
    <row r="4235" spans="1:26" ht="30" customHeight="1" x14ac:dyDescent="0.3">
      <c r="A4235" s="106"/>
      <c r="B4235" s="106"/>
      <c r="C4235" s="106"/>
      <c r="D4235" s="106"/>
      <c r="E4235" s="106"/>
      <c r="F4235" s="106"/>
      <c r="G4235" s="106"/>
      <c r="H4235" s="107"/>
      <c r="I4235" s="95"/>
      <c r="J4235" s="706"/>
      <c r="K4235" s="769"/>
      <c r="L4235" s="706"/>
      <c r="M4235" s="781"/>
      <c r="N4235" s="182"/>
      <c r="O4235" s="188"/>
      <c r="P4235" s="221"/>
      <c r="Q4235" s="106"/>
      <c r="R4235" s="108"/>
      <c r="S4235" s="108"/>
      <c r="T4235" s="108"/>
      <c r="U4235" s="108" t="str">
        <f>IFERROR(VLOOKUP(CONCATENATE(Tabla1[[#This Row],[Severidad]]," ",Tabla1[[#This Row],[Complejidad]]),Catalogos!E$120:G$128,3,FALSE),"")</f>
        <v/>
      </c>
      <c r="V4235" s="108" t="str">
        <f>IF(Tabla1[[#This Row],[Tiempo solución max (hrs)]]&lt;&gt;"",IF(Tabla1[[#This Row],[Tiempo solución max (hrs)]]&gt;=Tabla1[[#This Row],[Tiempo
(Hrs 00/100)]],"cumple","no cumple"),"")</f>
        <v/>
      </c>
      <c r="W4235" s="17"/>
      <c r="X4235" s="18">
        <f t="shared" si="256"/>
        <v>0</v>
      </c>
      <c r="Y4235" t="str">
        <f>SUBSTITUTE(Tabla1[[#This Row],[Descripción]],CHAR(10),"    I    ")</f>
        <v/>
      </c>
      <c r="Z4235" s="112" t="e">
        <f>VLOOKUP(Tabla1[[#This Row],[Perfil]],Catalogos!$B$75:$D$100,3,FALSE)*Tabla1[[#This Row],[Tiempo
(Hrs 00/100)]]*1.16</f>
        <v>#N/A</v>
      </c>
    </row>
    <row r="4236" spans="1:26" ht="30" customHeight="1" x14ac:dyDescent="0.3">
      <c r="A4236" s="106"/>
      <c r="B4236" s="106"/>
      <c r="C4236" s="106"/>
      <c r="D4236" s="106"/>
      <c r="E4236" s="106"/>
      <c r="F4236" s="106"/>
      <c r="G4236" s="106"/>
      <c r="H4236" s="107"/>
      <c r="I4236" s="95"/>
      <c r="J4236" s="706"/>
      <c r="K4236" s="769"/>
      <c r="L4236" s="706"/>
      <c r="M4236" s="781"/>
      <c r="N4236" s="182"/>
      <c r="O4236" s="188"/>
      <c r="P4236" s="221"/>
      <c r="Q4236" s="106"/>
      <c r="R4236" s="108"/>
      <c r="S4236" s="108"/>
      <c r="T4236" s="108"/>
      <c r="U4236" s="108" t="str">
        <f>IFERROR(VLOOKUP(CONCATENATE(Tabla1[[#This Row],[Severidad]]," ",Tabla1[[#This Row],[Complejidad]]),Catalogos!E$120:G$128,3,FALSE),"")</f>
        <v/>
      </c>
      <c r="V4236" s="108" t="str">
        <f>IF(Tabla1[[#This Row],[Tiempo solución max (hrs)]]&lt;&gt;"",IF(Tabla1[[#This Row],[Tiempo solución max (hrs)]]&gt;=Tabla1[[#This Row],[Tiempo
(Hrs 00/100)]],"cumple","no cumple"),"")</f>
        <v/>
      </c>
      <c r="W4236" s="17"/>
      <c r="X4236" s="18">
        <f t="shared" si="256"/>
        <v>0</v>
      </c>
      <c r="Y4236" t="str">
        <f>SUBSTITUTE(Tabla1[[#This Row],[Descripción]],CHAR(10),"    I    ")</f>
        <v/>
      </c>
      <c r="Z4236" s="112" t="e">
        <f>VLOOKUP(Tabla1[[#This Row],[Perfil]],Catalogos!$B$75:$D$100,3,FALSE)*Tabla1[[#This Row],[Tiempo
(Hrs 00/100)]]*1.16</f>
        <v>#N/A</v>
      </c>
    </row>
    <row r="4237" spans="1:26" ht="30" customHeight="1" x14ac:dyDescent="0.3">
      <c r="A4237" s="106"/>
      <c r="B4237" s="106"/>
      <c r="C4237" s="106"/>
      <c r="D4237" s="106"/>
      <c r="E4237" s="106"/>
      <c r="F4237" s="106"/>
      <c r="G4237" s="106"/>
      <c r="H4237" s="107"/>
      <c r="I4237" s="95"/>
      <c r="J4237" s="706"/>
      <c r="K4237" s="769"/>
      <c r="L4237" s="706"/>
      <c r="M4237" s="781"/>
      <c r="N4237" s="182"/>
      <c r="O4237" s="188"/>
      <c r="P4237" s="221"/>
      <c r="Q4237" s="106"/>
      <c r="R4237" s="108"/>
      <c r="S4237" s="108"/>
      <c r="T4237" s="108"/>
      <c r="U4237" s="108" t="str">
        <f>IFERROR(VLOOKUP(CONCATENATE(Tabla1[[#This Row],[Severidad]]," ",Tabla1[[#This Row],[Complejidad]]),Catalogos!E$120:G$128,3,FALSE),"")</f>
        <v/>
      </c>
      <c r="V4237" s="108" t="str">
        <f>IF(Tabla1[[#This Row],[Tiempo solución max (hrs)]]&lt;&gt;"",IF(Tabla1[[#This Row],[Tiempo solución max (hrs)]]&gt;=Tabla1[[#This Row],[Tiempo
(Hrs 00/100)]],"cumple","no cumple"),"")</f>
        <v/>
      </c>
      <c r="W4237" s="17"/>
      <c r="X4237" s="18">
        <f t="shared" si="256"/>
        <v>0</v>
      </c>
      <c r="Y4237" t="str">
        <f>SUBSTITUTE(Tabla1[[#This Row],[Descripción]],CHAR(10),"    I    ")</f>
        <v/>
      </c>
      <c r="Z4237" s="112" t="e">
        <f>VLOOKUP(Tabla1[[#This Row],[Perfil]],Catalogos!$B$75:$D$100,3,FALSE)*Tabla1[[#This Row],[Tiempo
(Hrs 00/100)]]*1.16</f>
        <v>#N/A</v>
      </c>
    </row>
    <row r="4238" spans="1:26" ht="30" customHeight="1" x14ac:dyDescent="0.3">
      <c r="A4238" s="106"/>
      <c r="B4238" s="106"/>
      <c r="C4238" s="106"/>
      <c r="D4238" s="106"/>
      <c r="E4238" s="106"/>
      <c r="F4238" s="106"/>
      <c r="G4238" s="106"/>
      <c r="H4238" s="107"/>
      <c r="I4238" s="95"/>
      <c r="J4238" s="706"/>
      <c r="K4238" s="769"/>
      <c r="L4238" s="706"/>
      <c r="M4238" s="781"/>
      <c r="N4238" s="182"/>
      <c r="O4238" s="188"/>
      <c r="P4238" s="221"/>
      <c r="Q4238" s="106"/>
      <c r="R4238" s="108"/>
      <c r="S4238" s="108"/>
      <c r="T4238" s="108"/>
      <c r="U4238" s="108" t="str">
        <f>IFERROR(VLOOKUP(CONCATENATE(Tabla1[[#This Row],[Severidad]]," ",Tabla1[[#This Row],[Complejidad]]),Catalogos!E$120:G$128,3,FALSE),"")</f>
        <v/>
      </c>
      <c r="V4238" s="108" t="str">
        <f>IF(Tabla1[[#This Row],[Tiempo solución max (hrs)]]&lt;&gt;"",IF(Tabla1[[#This Row],[Tiempo solución max (hrs)]]&gt;=Tabla1[[#This Row],[Tiempo
(Hrs 00/100)]],"cumple","no cumple"),"")</f>
        <v/>
      </c>
      <c r="W4238" s="17"/>
      <c r="X4238" s="18">
        <f t="shared" si="256"/>
        <v>0</v>
      </c>
      <c r="Y4238" t="str">
        <f>SUBSTITUTE(Tabla1[[#This Row],[Descripción]],CHAR(10),"    I    ")</f>
        <v/>
      </c>
      <c r="Z4238" s="112" t="e">
        <f>VLOOKUP(Tabla1[[#This Row],[Perfil]],Catalogos!$B$75:$D$100,3,FALSE)*Tabla1[[#This Row],[Tiempo
(Hrs 00/100)]]*1.16</f>
        <v>#N/A</v>
      </c>
    </row>
    <row r="4239" spans="1:26" ht="30" customHeight="1" x14ac:dyDescent="0.3">
      <c r="A4239" s="106"/>
      <c r="B4239" s="106"/>
      <c r="C4239" s="106"/>
      <c r="D4239" s="106"/>
      <c r="E4239" s="106"/>
      <c r="F4239" s="106"/>
      <c r="G4239" s="106"/>
      <c r="H4239" s="107"/>
      <c r="I4239" s="95"/>
      <c r="J4239" s="706"/>
      <c r="K4239" s="769"/>
      <c r="L4239" s="706"/>
      <c r="M4239" s="781"/>
      <c r="N4239" s="182"/>
      <c r="O4239" s="188"/>
      <c r="P4239" s="221"/>
      <c r="Q4239" s="106"/>
      <c r="R4239" s="108"/>
      <c r="S4239" s="108"/>
      <c r="T4239" s="108"/>
      <c r="U4239" s="108" t="str">
        <f>IFERROR(VLOOKUP(CONCATENATE(Tabla1[[#This Row],[Severidad]]," ",Tabla1[[#This Row],[Complejidad]]),Catalogos!E$120:G$128,3,FALSE),"")</f>
        <v/>
      </c>
      <c r="V4239" s="108" t="str">
        <f>IF(Tabla1[[#This Row],[Tiempo solución max (hrs)]]&lt;&gt;"",IF(Tabla1[[#This Row],[Tiempo solución max (hrs)]]&gt;=Tabla1[[#This Row],[Tiempo
(Hrs 00/100)]],"cumple","no cumple"),"")</f>
        <v/>
      </c>
      <c r="W4239" s="17"/>
      <c r="X4239" s="18">
        <f t="shared" si="256"/>
        <v>0</v>
      </c>
      <c r="Y4239" t="str">
        <f>SUBSTITUTE(Tabla1[[#This Row],[Descripción]],CHAR(10),"    I    ")</f>
        <v/>
      </c>
      <c r="Z4239" s="112" t="e">
        <f>VLOOKUP(Tabla1[[#This Row],[Perfil]],Catalogos!$B$75:$D$100,3,FALSE)*Tabla1[[#This Row],[Tiempo
(Hrs 00/100)]]*1.16</f>
        <v>#N/A</v>
      </c>
    </row>
    <row r="4240" spans="1:26" ht="30" customHeight="1" x14ac:dyDescent="0.3">
      <c r="A4240" s="106"/>
      <c r="B4240" s="106"/>
      <c r="C4240" s="106"/>
      <c r="D4240" s="106"/>
      <c r="E4240" s="106"/>
      <c r="F4240" s="106"/>
      <c r="G4240" s="106"/>
      <c r="H4240" s="107"/>
      <c r="I4240" s="95"/>
      <c r="J4240" s="706"/>
      <c r="K4240" s="769"/>
      <c r="L4240" s="706"/>
      <c r="M4240" s="781"/>
      <c r="N4240" s="182"/>
      <c r="O4240" s="188"/>
      <c r="P4240" s="221"/>
      <c r="Q4240" s="106"/>
      <c r="R4240" s="108"/>
      <c r="S4240" s="108"/>
      <c r="T4240" s="108"/>
      <c r="U4240" s="108" t="str">
        <f>IFERROR(VLOOKUP(CONCATENATE(Tabla1[[#This Row],[Severidad]]," ",Tabla1[[#This Row],[Complejidad]]),Catalogos!E$120:G$128,3,FALSE),"")</f>
        <v/>
      </c>
      <c r="V4240" s="108" t="str">
        <f>IF(Tabla1[[#This Row],[Tiempo solución max (hrs)]]&lt;&gt;"",IF(Tabla1[[#This Row],[Tiempo solución max (hrs)]]&gt;=Tabla1[[#This Row],[Tiempo
(Hrs 00/100)]],"cumple","no cumple"),"")</f>
        <v/>
      </c>
      <c r="W4240" s="17"/>
      <c r="X4240" s="18">
        <f t="shared" si="256"/>
        <v>0</v>
      </c>
      <c r="Y4240" t="str">
        <f>SUBSTITUTE(Tabla1[[#This Row],[Descripción]],CHAR(10),"    I    ")</f>
        <v/>
      </c>
      <c r="Z4240" s="112" t="e">
        <f>VLOOKUP(Tabla1[[#This Row],[Perfil]],Catalogos!$B$75:$D$100,3,FALSE)*Tabla1[[#This Row],[Tiempo
(Hrs 00/100)]]*1.16</f>
        <v>#N/A</v>
      </c>
    </row>
    <row r="4241" spans="1:26" ht="30" customHeight="1" x14ac:dyDescent="0.3">
      <c r="A4241" s="106"/>
      <c r="B4241" s="106"/>
      <c r="C4241" s="106"/>
      <c r="D4241" s="106"/>
      <c r="E4241" s="106"/>
      <c r="F4241" s="106"/>
      <c r="G4241" s="106"/>
      <c r="H4241" s="107"/>
      <c r="I4241" s="95"/>
      <c r="J4241" s="706"/>
      <c r="K4241" s="769"/>
      <c r="L4241" s="706"/>
      <c r="M4241" s="781"/>
      <c r="N4241" s="182"/>
      <c r="O4241" s="188"/>
      <c r="P4241" s="221"/>
      <c r="Q4241" s="106"/>
      <c r="R4241" s="108"/>
      <c r="S4241" s="108"/>
      <c r="T4241" s="108"/>
      <c r="U4241" s="108" t="str">
        <f>IFERROR(VLOOKUP(CONCATENATE(Tabla1[[#This Row],[Severidad]]," ",Tabla1[[#This Row],[Complejidad]]),Catalogos!E$120:G$128,3,FALSE),"")</f>
        <v/>
      </c>
      <c r="V4241" s="108" t="str">
        <f>IF(Tabla1[[#This Row],[Tiempo solución max (hrs)]]&lt;&gt;"",IF(Tabla1[[#This Row],[Tiempo solución max (hrs)]]&gt;=Tabla1[[#This Row],[Tiempo
(Hrs 00/100)]],"cumple","no cumple"),"")</f>
        <v/>
      </c>
      <c r="W4241" s="17"/>
      <c r="X4241" s="18">
        <f t="shared" si="256"/>
        <v>0</v>
      </c>
      <c r="Y4241" t="str">
        <f>SUBSTITUTE(Tabla1[[#This Row],[Descripción]],CHAR(10),"    I    ")</f>
        <v/>
      </c>
      <c r="Z4241" s="112" t="e">
        <f>VLOOKUP(Tabla1[[#This Row],[Perfil]],Catalogos!$B$75:$D$100,3,FALSE)*Tabla1[[#This Row],[Tiempo
(Hrs 00/100)]]*1.16</f>
        <v>#N/A</v>
      </c>
    </row>
    <row r="4242" spans="1:26" ht="30" customHeight="1" x14ac:dyDescent="0.3">
      <c r="A4242" s="106"/>
      <c r="B4242" s="106"/>
      <c r="C4242" s="106"/>
      <c r="D4242" s="106"/>
      <c r="E4242" s="106"/>
      <c r="F4242" s="106"/>
      <c r="G4242" s="106"/>
      <c r="H4242" s="107"/>
      <c r="I4242" s="95"/>
      <c r="J4242" s="706"/>
      <c r="K4242" s="769"/>
      <c r="L4242" s="706"/>
      <c r="M4242" s="781"/>
      <c r="N4242" s="182"/>
      <c r="O4242" s="188"/>
      <c r="P4242" s="221"/>
      <c r="Q4242" s="106"/>
      <c r="R4242" s="108"/>
      <c r="S4242" s="108"/>
      <c r="T4242" s="108"/>
      <c r="U4242" s="108" t="str">
        <f>IFERROR(VLOOKUP(CONCATENATE(Tabla1[[#This Row],[Severidad]]," ",Tabla1[[#This Row],[Complejidad]]),Catalogos!E$120:G$128,3,FALSE),"")</f>
        <v/>
      </c>
      <c r="V4242" s="108" t="str">
        <f>IF(Tabla1[[#This Row],[Tiempo solución max (hrs)]]&lt;&gt;"",IF(Tabla1[[#This Row],[Tiempo solución max (hrs)]]&gt;=Tabla1[[#This Row],[Tiempo
(Hrs 00/100)]],"cumple","no cumple"),"")</f>
        <v/>
      </c>
      <c r="W4242" s="17"/>
      <c r="X4242" s="18">
        <f t="shared" si="256"/>
        <v>0</v>
      </c>
      <c r="Y4242" t="str">
        <f>SUBSTITUTE(Tabla1[[#This Row],[Descripción]],CHAR(10),"    I    ")</f>
        <v/>
      </c>
      <c r="Z4242" s="112" t="e">
        <f>VLOOKUP(Tabla1[[#This Row],[Perfil]],Catalogos!$B$75:$D$100,3,FALSE)*Tabla1[[#This Row],[Tiempo
(Hrs 00/100)]]*1.16</f>
        <v>#N/A</v>
      </c>
    </row>
    <row r="4243" spans="1:26" ht="30" customHeight="1" x14ac:dyDescent="0.3">
      <c r="A4243" s="106"/>
      <c r="B4243" s="106"/>
      <c r="C4243" s="106"/>
      <c r="D4243" s="106"/>
      <c r="E4243" s="106"/>
      <c r="F4243" s="106"/>
      <c r="G4243" s="106"/>
      <c r="H4243" s="107"/>
      <c r="I4243" s="95"/>
      <c r="J4243" s="706"/>
      <c r="K4243" s="769"/>
      <c r="L4243" s="706"/>
      <c r="M4243" s="781"/>
      <c r="N4243" s="182"/>
      <c r="O4243" s="188"/>
      <c r="P4243" s="221"/>
      <c r="Q4243" s="106"/>
      <c r="R4243" s="108"/>
      <c r="S4243" s="108"/>
      <c r="T4243" s="108"/>
      <c r="U4243" s="108" t="str">
        <f>IFERROR(VLOOKUP(CONCATENATE(Tabla1[[#This Row],[Severidad]]," ",Tabla1[[#This Row],[Complejidad]]),Catalogos!E$120:G$128,3,FALSE),"")</f>
        <v/>
      </c>
      <c r="V4243" s="108" t="str">
        <f>IF(Tabla1[[#This Row],[Tiempo solución max (hrs)]]&lt;&gt;"",IF(Tabla1[[#This Row],[Tiempo solución max (hrs)]]&gt;=Tabla1[[#This Row],[Tiempo
(Hrs 00/100)]],"cumple","no cumple"),"")</f>
        <v/>
      </c>
      <c r="W4243" s="17"/>
      <c r="X4243" s="18">
        <f t="shared" si="256"/>
        <v>0</v>
      </c>
      <c r="Y4243" t="str">
        <f>SUBSTITUTE(Tabla1[[#This Row],[Descripción]],CHAR(10),"    I    ")</f>
        <v/>
      </c>
      <c r="Z4243" s="112" t="e">
        <f>VLOOKUP(Tabla1[[#This Row],[Perfil]],Catalogos!$B$75:$D$100,3,FALSE)*Tabla1[[#This Row],[Tiempo
(Hrs 00/100)]]*1.16</f>
        <v>#N/A</v>
      </c>
    </row>
    <row r="4244" spans="1:26" ht="30" customHeight="1" x14ac:dyDescent="0.3">
      <c r="A4244" s="106"/>
      <c r="B4244" s="106"/>
      <c r="C4244" s="106"/>
      <c r="D4244" s="106"/>
      <c r="E4244" s="106"/>
      <c r="F4244" s="106"/>
      <c r="G4244" s="106"/>
      <c r="H4244" s="107"/>
      <c r="I4244" s="95"/>
      <c r="J4244" s="706"/>
      <c r="K4244" s="769"/>
      <c r="L4244" s="706"/>
      <c r="M4244" s="781"/>
      <c r="N4244" s="182"/>
      <c r="O4244" s="188"/>
      <c r="P4244" s="221"/>
      <c r="Q4244" s="106"/>
      <c r="R4244" s="108"/>
      <c r="S4244" s="108"/>
      <c r="T4244" s="108"/>
      <c r="U4244" s="108" t="str">
        <f>IFERROR(VLOOKUP(CONCATENATE(Tabla1[[#This Row],[Severidad]]," ",Tabla1[[#This Row],[Complejidad]]),Catalogos!E$120:G$128,3,FALSE),"")</f>
        <v/>
      </c>
      <c r="V4244" s="108" t="str">
        <f>IF(Tabla1[[#This Row],[Tiempo solución max (hrs)]]&lt;&gt;"",IF(Tabla1[[#This Row],[Tiempo solución max (hrs)]]&gt;=Tabla1[[#This Row],[Tiempo
(Hrs 00/100)]],"cumple","no cumple"),"")</f>
        <v/>
      </c>
      <c r="W4244" s="17"/>
      <c r="X4244" s="18">
        <f t="shared" si="256"/>
        <v>0</v>
      </c>
      <c r="Y4244" t="str">
        <f>SUBSTITUTE(Tabla1[[#This Row],[Descripción]],CHAR(10),"    I    ")</f>
        <v/>
      </c>
      <c r="Z4244" s="112" t="e">
        <f>VLOOKUP(Tabla1[[#This Row],[Perfil]],Catalogos!$B$75:$D$100,3,FALSE)*Tabla1[[#This Row],[Tiempo
(Hrs 00/100)]]*1.16</f>
        <v>#N/A</v>
      </c>
    </row>
    <row r="4245" spans="1:26" ht="30" customHeight="1" x14ac:dyDescent="0.3">
      <c r="A4245" s="106"/>
      <c r="B4245" s="106"/>
      <c r="C4245" s="106"/>
      <c r="D4245" s="106"/>
      <c r="E4245" s="106"/>
      <c r="F4245" s="106"/>
      <c r="G4245" s="106"/>
      <c r="H4245" s="107"/>
      <c r="I4245" s="95"/>
      <c r="J4245" s="706"/>
      <c r="K4245" s="769"/>
      <c r="L4245" s="706"/>
      <c r="M4245" s="781"/>
      <c r="N4245" s="182"/>
      <c r="O4245" s="188"/>
      <c r="P4245" s="221"/>
      <c r="Q4245" s="106"/>
      <c r="R4245" s="108"/>
      <c r="S4245" s="108"/>
      <c r="T4245" s="108"/>
      <c r="U4245" s="108" t="str">
        <f>IFERROR(VLOOKUP(CONCATENATE(Tabla1[[#This Row],[Severidad]]," ",Tabla1[[#This Row],[Complejidad]]),Catalogos!E$120:G$128,3,FALSE),"")</f>
        <v/>
      </c>
      <c r="V4245" s="108" t="str">
        <f>IF(Tabla1[[#This Row],[Tiempo solución max (hrs)]]&lt;&gt;"",IF(Tabla1[[#This Row],[Tiempo solución max (hrs)]]&gt;=Tabla1[[#This Row],[Tiempo
(Hrs 00/100)]],"cumple","no cumple"),"")</f>
        <v/>
      </c>
      <c r="W4245" s="17"/>
      <c r="X4245" s="18">
        <f t="shared" si="256"/>
        <v>0</v>
      </c>
      <c r="Y4245" t="str">
        <f>SUBSTITUTE(Tabla1[[#This Row],[Descripción]],CHAR(10),"    I    ")</f>
        <v/>
      </c>
      <c r="Z4245" s="112" t="e">
        <f>VLOOKUP(Tabla1[[#This Row],[Perfil]],Catalogos!$B$75:$D$100,3,FALSE)*Tabla1[[#This Row],[Tiempo
(Hrs 00/100)]]*1.16</f>
        <v>#N/A</v>
      </c>
    </row>
    <row r="4246" spans="1:26" ht="30" customHeight="1" x14ac:dyDescent="0.3">
      <c r="A4246" s="106"/>
      <c r="B4246" s="106"/>
      <c r="C4246" s="106"/>
      <c r="D4246" s="106"/>
      <c r="E4246" s="106"/>
      <c r="F4246" s="106"/>
      <c r="G4246" s="106"/>
      <c r="H4246" s="107"/>
      <c r="I4246" s="95"/>
      <c r="J4246" s="706"/>
      <c r="K4246" s="769"/>
      <c r="L4246" s="706"/>
      <c r="M4246" s="781"/>
      <c r="N4246" s="182"/>
      <c r="O4246" s="188"/>
      <c r="P4246" s="221"/>
      <c r="Q4246" s="106"/>
      <c r="R4246" s="108"/>
      <c r="S4246" s="108"/>
      <c r="T4246" s="108"/>
      <c r="U4246" s="108" t="str">
        <f>IFERROR(VLOOKUP(CONCATENATE(Tabla1[[#This Row],[Severidad]]," ",Tabla1[[#This Row],[Complejidad]]),Catalogos!E$120:G$128,3,FALSE),"")</f>
        <v/>
      </c>
      <c r="V4246" s="108" t="str">
        <f>IF(Tabla1[[#This Row],[Tiempo solución max (hrs)]]&lt;&gt;"",IF(Tabla1[[#This Row],[Tiempo solución max (hrs)]]&gt;=Tabla1[[#This Row],[Tiempo
(Hrs 00/100)]],"cumple","no cumple"),"")</f>
        <v/>
      </c>
      <c r="W4246" s="17"/>
      <c r="X4246" s="18">
        <f t="shared" si="256"/>
        <v>0</v>
      </c>
      <c r="Y4246" t="str">
        <f>SUBSTITUTE(Tabla1[[#This Row],[Descripción]],CHAR(10),"    I    ")</f>
        <v/>
      </c>
      <c r="Z4246" s="112" t="e">
        <f>VLOOKUP(Tabla1[[#This Row],[Perfil]],Catalogos!$B$75:$D$100,3,FALSE)*Tabla1[[#This Row],[Tiempo
(Hrs 00/100)]]*1.16</f>
        <v>#N/A</v>
      </c>
    </row>
    <row r="4247" spans="1:26" ht="30" customHeight="1" x14ac:dyDescent="0.3">
      <c r="A4247" s="106"/>
      <c r="B4247" s="106"/>
      <c r="C4247" s="106"/>
      <c r="D4247" s="106"/>
      <c r="E4247" s="106"/>
      <c r="F4247" s="106"/>
      <c r="G4247" s="106"/>
      <c r="H4247" s="107"/>
      <c r="I4247" s="95"/>
      <c r="J4247" s="706"/>
      <c r="K4247" s="769"/>
      <c r="L4247" s="706"/>
      <c r="M4247" s="781"/>
      <c r="N4247" s="182"/>
      <c r="O4247" s="188"/>
      <c r="P4247" s="221"/>
      <c r="Q4247" s="106"/>
      <c r="R4247" s="108"/>
      <c r="S4247" s="108"/>
      <c r="T4247" s="108"/>
      <c r="U4247" s="108" t="str">
        <f>IFERROR(VLOOKUP(CONCATENATE(Tabla1[[#This Row],[Severidad]]," ",Tabla1[[#This Row],[Complejidad]]),Catalogos!E$120:G$128,3,FALSE),"")</f>
        <v/>
      </c>
      <c r="V4247" s="108" t="str">
        <f>IF(Tabla1[[#This Row],[Tiempo solución max (hrs)]]&lt;&gt;"",IF(Tabla1[[#This Row],[Tiempo solución max (hrs)]]&gt;=Tabla1[[#This Row],[Tiempo
(Hrs 00/100)]],"cumple","no cumple"),"")</f>
        <v/>
      </c>
      <c r="W4247" s="17"/>
      <c r="X4247" s="18">
        <f t="shared" si="256"/>
        <v>0</v>
      </c>
      <c r="Y4247" t="str">
        <f>SUBSTITUTE(Tabla1[[#This Row],[Descripción]],CHAR(10),"    I    ")</f>
        <v/>
      </c>
      <c r="Z4247" s="112" t="e">
        <f>VLOOKUP(Tabla1[[#This Row],[Perfil]],Catalogos!$B$75:$D$100,3,FALSE)*Tabla1[[#This Row],[Tiempo
(Hrs 00/100)]]*1.16</f>
        <v>#N/A</v>
      </c>
    </row>
    <row r="4248" spans="1:26" ht="30" customHeight="1" x14ac:dyDescent="0.3">
      <c r="A4248" s="106"/>
      <c r="B4248" s="106"/>
      <c r="C4248" s="106"/>
      <c r="D4248" s="106"/>
      <c r="E4248" s="106"/>
      <c r="F4248" s="106"/>
      <c r="G4248" s="106"/>
      <c r="H4248" s="107"/>
      <c r="I4248" s="95"/>
      <c r="J4248" s="706"/>
      <c r="K4248" s="769"/>
      <c r="L4248" s="706"/>
      <c r="M4248" s="781"/>
      <c r="N4248" s="182"/>
      <c r="O4248" s="188"/>
      <c r="P4248" s="221"/>
      <c r="Q4248" s="106"/>
      <c r="R4248" s="108"/>
      <c r="S4248" s="108"/>
      <c r="T4248" s="108"/>
      <c r="U4248" s="108" t="str">
        <f>IFERROR(VLOOKUP(CONCATENATE(Tabla1[[#This Row],[Severidad]]," ",Tabla1[[#This Row],[Complejidad]]),Catalogos!E$120:G$128,3,FALSE),"")</f>
        <v/>
      </c>
      <c r="V4248" s="108" t="str">
        <f>IF(Tabla1[[#This Row],[Tiempo solución max (hrs)]]&lt;&gt;"",IF(Tabla1[[#This Row],[Tiempo solución max (hrs)]]&gt;=Tabla1[[#This Row],[Tiempo
(Hrs 00/100)]],"cumple","no cumple"),"")</f>
        <v/>
      </c>
      <c r="W4248" s="17"/>
      <c r="X4248" s="18">
        <f t="shared" si="256"/>
        <v>0</v>
      </c>
      <c r="Y4248" t="str">
        <f>SUBSTITUTE(Tabla1[[#This Row],[Descripción]],CHAR(10),"    I    ")</f>
        <v/>
      </c>
      <c r="Z4248" s="112" t="e">
        <f>VLOOKUP(Tabla1[[#This Row],[Perfil]],Catalogos!$B$75:$D$100,3,FALSE)*Tabla1[[#This Row],[Tiempo
(Hrs 00/100)]]*1.16</f>
        <v>#N/A</v>
      </c>
    </row>
    <row r="4249" spans="1:26" ht="30" customHeight="1" x14ac:dyDescent="0.3">
      <c r="A4249" s="106"/>
      <c r="B4249" s="106"/>
      <c r="C4249" s="106"/>
      <c r="D4249" s="106"/>
      <c r="E4249" s="106"/>
      <c r="F4249" s="106"/>
      <c r="G4249" s="106"/>
      <c r="H4249" s="107"/>
      <c r="I4249" s="95"/>
      <c r="J4249" s="706"/>
      <c r="K4249" s="769"/>
      <c r="L4249" s="706"/>
      <c r="M4249" s="781"/>
      <c r="N4249" s="182"/>
      <c r="O4249" s="188"/>
      <c r="P4249" s="221"/>
      <c r="Q4249" s="106"/>
      <c r="R4249" s="108"/>
      <c r="S4249" s="108"/>
      <c r="T4249" s="108"/>
      <c r="U4249" s="108" t="str">
        <f>IFERROR(VLOOKUP(CONCATENATE(Tabla1[[#This Row],[Severidad]]," ",Tabla1[[#This Row],[Complejidad]]),Catalogos!E$120:G$128,3,FALSE),"")</f>
        <v/>
      </c>
      <c r="V4249" s="108" t="str">
        <f>IF(Tabla1[[#This Row],[Tiempo solución max (hrs)]]&lt;&gt;"",IF(Tabla1[[#This Row],[Tiempo solución max (hrs)]]&gt;=Tabla1[[#This Row],[Tiempo
(Hrs 00/100)]],"cumple","no cumple"),"")</f>
        <v/>
      </c>
      <c r="W4249" s="17"/>
      <c r="X4249" s="18">
        <f t="shared" si="256"/>
        <v>0</v>
      </c>
      <c r="Y4249" t="str">
        <f>SUBSTITUTE(Tabla1[[#This Row],[Descripción]],CHAR(10),"    I    ")</f>
        <v/>
      </c>
      <c r="Z4249" s="112" t="e">
        <f>VLOOKUP(Tabla1[[#This Row],[Perfil]],Catalogos!$B$75:$D$100,3,FALSE)*Tabla1[[#This Row],[Tiempo
(Hrs 00/100)]]*1.16</f>
        <v>#N/A</v>
      </c>
    </row>
    <row r="4250" spans="1:26" ht="30" customHeight="1" x14ac:dyDescent="0.3">
      <c r="A4250" s="106"/>
      <c r="B4250" s="106"/>
      <c r="C4250" s="106"/>
      <c r="D4250" s="106"/>
      <c r="E4250" s="106"/>
      <c r="F4250" s="106"/>
      <c r="G4250" s="106"/>
      <c r="H4250" s="107"/>
      <c r="I4250" s="95"/>
      <c r="J4250" s="706"/>
      <c r="K4250" s="769"/>
      <c r="L4250" s="706"/>
      <c r="M4250" s="781"/>
      <c r="N4250" s="182"/>
      <c r="O4250" s="188"/>
      <c r="P4250" s="221"/>
      <c r="Q4250" s="106"/>
      <c r="R4250" s="108"/>
      <c r="S4250" s="108"/>
      <c r="T4250" s="108"/>
      <c r="U4250" s="108" t="str">
        <f>IFERROR(VLOOKUP(CONCATENATE(Tabla1[[#This Row],[Severidad]]," ",Tabla1[[#This Row],[Complejidad]]),Catalogos!E$120:G$128,3,FALSE),"")</f>
        <v/>
      </c>
      <c r="V4250" s="108" t="str">
        <f>IF(Tabla1[[#This Row],[Tiempo solución max (hrs)]]&lt;&gt;"",IF(Tabla1[[#This Row],[Tiempo solución max (hrs)]]&gt;=Tabla1[[#This Row],[Tiempo
(Hrs 00/100)]],"cumple","no cumple"),"")</f>
        <v/>
      </c>
      <c r="W4250" s="17"/>
      <c r="X4250" s="18">
        <f t="shared" si="256"/>
        <v>0</v>
      </c>
      <c r="Y4250" t="str">
        <f>SUBSTITUTE(Tabla1[[#This Row],[Descripción]],CHAR(10),"    I    ")</f>
        <v/>
      </c>
      <c r="Z4250" s="112" t="e">
        <f>VLOOKUP(Tabla1[[#This Row],[Perfil]],Catalogos!$B$75:$D$100,3,FALSE)*Tabla1[[#This Row],[Tiempo
(Hrs 00/100)]]*1.16</f>
        <v>#N/A</v>
      </c>
    </row>
    <row r="4251" spans="1:26" ht="30" customHeight="1" x14ac:dyDescent="0.3">
      <c r="A4251" s="106"/>
      <c r="B4251" s="106"/>
      <c r="C4251" s="106"/>
      <c r="D4251" s="106"/>
      <c r="E4251" s="106"/>
      <c r="F4251" s="106"/>
      <c r="G4251" s="106"/>
      <c r="H4251" s="107"/>
      <c r="I4251" s="95"/>
      <c r="J4251" s="706"/>
      <c r="K4251" s="769"/>
      <c r="L4251" s="706"/>
      <c r="M4251" s="781"/>
      <c r="N4251" s="182"/>
      <c r="O4251" s="188"/>
      <c r="P4251" s="221"/>
      <c r="Q4251" s="106"/>
      <c r="R4251" s="108"/>
      <c r="S4251" s="108"/>
      <c r="T4251" s="108"/>
      <c r="U4251" s="108" t="str">
        <f>IFERROR(VLOOKUP(CONCATENATE(Tabla1[[#This Row],[Severidad]]," ",Tabla1[[#This Row],[Complejidad]]),Catalogos!E$120:G$128,3,FALSE),"")</f>
        <v/>
      </c>
      <c r="V4251" s="108" t="str">
        <f>IF(Tabla1[[#This Row],[Tiempo solución max (hrs)]]&lt;&gt;"",IF(Tabla1[[#This Row],[Tiempo solución max (hrs)]]&gt;=Tabla1[[#This Row],[Tiempo
(Hrs 00/100)]],"cumple","no cumple"),"")</f>
        <v/>
      </c>
      <c r="W4251" s="17"/>
      <c r="X4251" s="18">
        <f t="shared" si="256"/>
        <v>0</v>
      </c>
      <c r="Y4251" t="str">
        <f>SUBSTITUTE(Tabla1[[#This Row],[Descripción]],CHAR(10),"    I    ")</f>
        <v/>
      </c>
      <c r="Z4251" s="112" t="e">
        <f>VLOOKUP(Tabla1[[#This Row],[Perfil]],Catalogos!$B$75:$D$100,3,FALSE)*Tabla1[[#This Row],[Tiempo
(Hrs 00/100)]]*1.16</f>
        <v>#N/A</v>
      </c>
    </row>
    <row r="4252" spans="1:26" ht="30" customHeight="1" x14ac:dyDescent="0.3">
      <c r="A4252" s="106"/>
      <c r="B4252" s="106"/>
      <c r="C4252" s="106"/>
      <c r="D4252" s="106"/>
      <c r="E4252" s="106"/>
      <c r="F4252" s="106"/>
      <c r="G4252" s="106"/>
      <c r="H4252" s="107"/>
      <c r="I4252" s="95"/>
      <c r="J4252" s="706"/>
      <c r="K4252" s="769"/>
      <c r="L4252" s="706"/>
      <c r="M4252" s="781"/>
      <c r="N4252" s="182"/>
      <c r="O4252" s="188"/>
      <c r="P4252" s="221"/>
      <c r="Q4252" s="106"/>
      <c r="R4252" s="108"/>
      <c r="S4252" s="108"/>
      <c r="T4252" s="108"/>
      <c r="U4252" s="108" t="str">
        <f>IFERROR(VLOOKUP(CONCATENATE(Tabla1[[#This Row],[Severidad]]," ",Tabla1[[#This Row],[Complejidad]]),Catalogos!E$120:G$128,3,FALSE),"")</f>
        <v/>
      </c>
      <c r="V4252" s="108" t="str">
        <f>IF(Tabla1[[#This Row],[Tiempo solución max (hrs)]]&lt;&gt;"",IF(Tabla1[[#This Row],[Tiempo solución max (hrs)]]&gt;=Tabla1[[#This Row],[Tiempo
(Hrs 00/100)]],"cumple","no cumple"),"")</f>
        <v/>
      </c>
      <c r="W4252" s="17"/>
      <c r="X4252" s="18">
        <f t="shared" si="256"/>
        <v>0</v>
      </c>
      <c r="Y4252" t="str">
        <f>SUBSTITUTE(Tabla1[[#This Row],[Descripción]],CHAR(10),"    I    ")</f>
        <v/>
      </c>
      <c r="Z4252" s="112" t="e">
        <f>VLOOKUP(Tabla1[[#This Row],[Perfil]],Catalogos!$B$75:$D$100,3,FALSE)*Tabla1[[#This Row],[Tiempo
(Hrs 00/100)]]*1.16</f>
        <v>#N/A</v>
      </c>
    </row>
    <row r="4253" spans="1:26" ht="30" customHeight="1" x14ac:dyDescent="0.3">
      <c r="A4253" s="106"/>
      <c r="B4253" s="106"/>
      <c r="C4253" s="106"/>
      <c r="D4253" s="106"/>
      <c r="E4253" s="106"/>
      <c r="F4253" s="106"/>
      <c r="G4253" s="106"/>
      <c r="H4253" s="107"/>
      <c r="I4253" s="95"/>
      <c r="J4253" s="706"/>
      <c r="K4253" s="769"/>
      <c r="L4253" s="706"/>
      <c r="M4253" s="781"/>
      <c r="N4253" s="182"/>
      <c r="O4253" s="188"/>
      <c r="P4253" s="221"/>
      <c r="Q4253" s="106"/>
      <c r="R4253" s="108"/>
      <c r="S4253" s="108"/>
      <c r="T4253" s="108"/>
      <c r="U4253" s="108" t="str">
        <f>IFERROR(VLOOKUP(CONCATENATE(Tabla1[[#This Row],[Severidad]]," ",Tabla1[[#This Row],[Complejidad]]),Catalogos!E$120:G$128,3,FALSE),"")</f>
        <v/>
      </c>
      <c r="V4253" s="108" t="str">
        <f>IF(Tabla1[[#This Row],[Tiempo solución max (hrs)]]&lt;&gt;"",IF(Tabla1[[#This Row],[Tiempo solución max (hrs)]]&gt;=Tabla1[[#This Row],[Tiempo
(Hrs 00/100)]],"cumple","no cumple"),"")</f>
        <v/>
      </c>
      <c r="W4253" s="17"/>
      <c r="X4253" s="18">
        <f t="shared" si="256"/>
        <v>0</v>
      </c>
      <c r="Y4253" t="str">
        <f>SUBSTITUTE(Tabla1[[#This Row],[Descripción]],CHAR(10),"    I    ")</f>
        <v/>
      </c>
      <c r="Z4253" s="112" t="e">
        <f>VLOOKUP(Tabla1[[#This Row],[Perfil]],Catalogos!$B$75:$D$100,3,FALSE)*Tabla1[[#This Row],[Tiempo
(Hrs 00/100)]]*1.16</f>
        <v>#N/A</v>
      </c>
    </row>
    <row r="4254" spans="1:26" ht="30" customHeight="1" x14ac:dyDescent="0.3">
      <c r="A4254" s="106"/>
      <c r="B4254" s="106"/>
      <c r="C4254" s="106"/>
      <c r="D4254" s="106"/>
      <c r="E4254" s="106"/>
      <c r="F4254" s="106"/>
      <c r="G4254" s="106"/>
      <c r="H4254" s="107"/>
      <c r="I4254" s="95"/>
      <c r="J4254" s="706"/>
      <c r="K4254" s="769"/>
      <c r="L4254" s="706"/>
      <c r="M4254" s="781"/>
      <c r="N4254" s="182"/>
      <c r="O4254" s="188"/>
      <c r="P4254" s="221"/>
      <c r="Q4254" s="106"/>
      <c r="R4254" s="108"/>
      <c r="S4254" s="108"/>
      <c r="T4254" s="108"/>
      <c r="U4254" s="108" t="str">
        <f>IFERROR(VLOOKUP(CONCATENATE(Tabla1[[#This Row],[Severidad]]," ",Tabla1[[#This Row],[Complejidad]]),Catalogos!E$120:G$128,3,FALSE),"")</f>
        <v/>
      </c>
      <c r="V4254" s="108" t="str">
        <f>IF(Tabla1[[#This Row],[Tiempo solución max (hrs)]]&lt;&gt;"",IF(Tabla1[[#This Row],[Tiempo solución max (hrs)]]&gt;=Tabla1[[#This Row],[Tiempo
(Hrs 00/100)]],"cumple","no cumple"),"")</f>
        <v/>
      </c>
      <c r="W4254" s="17"/>
      <c r="X4254" s="18">
        <f t="shared" si="256"/>
        <v>0</v>
      </c>
      <c r="Y4254" t="str">
        <f>SUBSTITUTE(Tabla1[[#This Row],[Descripción]],CHAR(10),"    I    ")</f>
        <v/>
      </c>
      <c r="Z4254" s="112" t="e">
        <f>VLOOKUP(Tabla1[[#This Row],[Perfil]],Catalogos!$B$75:$D$100,3,FALSE)*Tabla1[[#This Row],[Tiempo
(Hrs 00/100)]]*1.16</f>
        <v>#N/A</v>
      </c>
    </row>
    <row r="4255" spans="1:26" ht="30" customHeight="1" x14ac:dyDescent="0.3">
      <c r="A4255" s="106"/>
      <c r="B4255" s="106"/>
      <c r="C4255" s="106"/>
      <c r="D4255" s="106"/>
      <c r="E4255" s="106"/>
      <c r="F4255" s="106"/>
      <c r="G4255" s="106"/>
      <c r="H4255" s="107"/>
      <c r="I4255" s="95"/>
      <c r="J4255" s="706"/>
      <c r="K4255" s="769"/>
      <c r="L4255" s="706"/>
      <c r="M4255" s="781"/>
      <c r="N4255" s="182"/>
      <c r="O4255" s="188"/>
      <c r="P4255" s="221"/>
      <c r="Q4255" s="106"/>
      <c r="R4255" s="108"/>
      <c r="S4255" s="108"/>
      <c r="T4255" s="108"/>
      <c r="U4255" s="108" t="str">
        <f>IFERROR(VLOOKUP(CONCATENATE(Tabla1[[#This Row],[Severidad]]," ",Tabla1[[#This Row],[Complejidad]]),Catalogos!E$120:G$128,3,FALSE),"")</f>
        <v/>
      </c>
      <c r="V4255" s="108" t="str">
        <f>IF(Tabla1[[#This Row],[Tiempo solución max (hrs)]]&lt;&gt;"",IF(Tabla1[[#This Row],[Tiempo solución max (hrs)]]&gt;=Tabla1[[#This Row],[Tiempo
(Hrs 00/100)]],"cumple","no cumple"),"")</f>
        <v/>
      </c>
      <c r="W4255" s="17"/>
      <c r="X4255" s="18">
        <f t="shared" si="256"/>
        <v>0</v>
      </c>
      <c r="Y4255" t="str">
        <f>SUBSTITUTE(Tabla1[[#This Row],[Descripción]],CHAR(10),"    I    ")</f>
        <v/>
      </c>
      <c r="Z4255" s="112" t="e">
        <f>VLOOKUP(Tabla1[[#This Row],[Perfil]],Catalogos!$B$75:$D$100,3,FALSE)*Tabla1[[#This Row],[Tiempo
(Hrs 00/100)]]*1.16</f>
        <v>#N/A</v>
      </c>
    </row>
    <row r="4256" spans="1:26" ht="30" customHeight="1" x14ac:dyDescent="0.3">
      <c r="A4256" s="106"/>
      <c r="B4256" s="106"/>
      <c r="C4256" s="106"/>
      <c r="D4256" s="106"/>
      <c r="E4256" s="106"/>
      <c r="F4256" s="106"/>
      <c r="G4256" s="106"/>
      <c r="H4256" s="107"/>
      <c r="I4256" s="95"/>
      <c r="J4256" s="706"/>
      <c r="K4256" s="769"/>
      <c r="L4256" s="706"/>
      <c r="M4256" s="781"/>
      <c r="N4256" s="182"/>
      <c r="O4256" s="188"/>
      <c r="P4256" s="221"/>
      <c r="Q4256" s="106"/>
      <c r="R4256" s="108"/>
      <c r="S4256" s="108"/>
      <c r="T4256" s="108"/>
      <c r="U4256" s="108" t="str">
        <f>IFERROR(VLOOKUP(CONCATENATE(Tabla1[[#This Row],[Severidad]]," ",Tabla1[[#This Row],[Complejidad]]),Catalogos!E$120:G$128,3,FALSE),"")</f>
        <v/>
      </c>
      <c r="V4256" s="108" t="str">
        <f>IF(Tabla1[[#This Row],[Tiempo solución max (hrs)]]&lt;&gt;"",IF(Tabla1[[#This Row],[Tiempo solución max (hrs)]]&gt;=Tabla1[[#This Row],[Tiempo
(Hrs 00/100)]],"cumple","no cumple"),"")</f>
        <v/>
      </c>
      <c r="W4256" s="17"/>
      <c r="X4256" s="18">
        <f t="shared" si="256"/>
        <v>0</v>
      </c>
      <c r="Y4256" t="str">
        <f>SUBSTITUTE(Tabla1[[#This Row],[Descripción]],CHAR(10),"    I    ")</f>
        <v/>
      </c>
      <c r="Z4256" s="112" t="e">
        <f>VLOOKUP(Tabla1[[#This Row],[Perfil]],Catalogos!$B$75:$D$100,3,FALSE)*Tabla1[[#This Row],[Tiempo
(Hrs 00/100)]]*1.16</f>
        <v>#N/A</v>
      </c>
    </row>
    <row r="4257" spans="1:26" ht="30" customHeight="1" x14ac:dyDescent="0.3">
      <c r="A4257" s="106"/>
      <c r="B4257" s="106"/>
      <c r="C4257" s="106"/>
      <c r="D4257" s="106"/>
      <c r="E4257" s="106"/>
      <c r="F4257" s="106"/>
      <c r="G4257" s="106"/>
      <c r="H4257" s="107"/>
      <c r="I4257" s="95"/>
      <c r="J4257" s="706"/>
      <c r="K4257" s="769"/>
      <c r="L4257" s="706"/>
      <c r="M4257" s="781"/>
      <c r="N4257" s="182"/>
      <c r="O4257" s="188"/>
      <c r="P4257" s="221"/>
      <c r="Q4257" s="106"/>
      <c r="R4257" s="108"/>
      <c r="S4257" s="108"/>
      <c r="T4257" s="108"/>
      <c r="U4257" s="108" t="str">
        <f>IFERROR(VLOOKUP(CONCATENATE(Tabla1[[#This Row],[Severidad]]," ",Tabla1[[#This Row],[Complejidad]]),Catalogos!E$120:G$128,3,FALSE),"")</f>
        <v/>
      </c>
      <c r="V4257" s="108" t="str">
        <f>IF(Tabla1[[#This Row],[Tiempo solución max (hrs)]]&lt;&gt;"",IF(Tabla1[[#This Row],[Tiempo solución max (hrs)]]&gt;=Tabla1[[#This Row],[Tiempo
(Hrs 00/100)]],"cumple","no cumple"),"")</f>
        <v/>
      </c>
      <c r="W4257" s="17"/>
      <c r="X4257" s="18">
        <f t="shared" si="256"/>
        <v>0</v>
      </c>
      <c r="Y4257" t="str">
        <f>SUBSTITUTE(Tabla1[[#This Row],[Descripción]],CHAR(10),"    I    ")</f>
        <v/>
      </c>
      <c r="Z4257" s="112" t="e">
        <f>VLOOKUP(Tabla1[[#This Row],[Perfil]],Catalogos!$B$75:$D$100,3,FALSE)*Tabla1[[#This Row],[Tiempo
(Hrs 00/100)]]*1.16</f>
        <v>#N/A</v>
      </c>
    </row>
    <row r="4258" spans="1:26" ht="30" customHeight="1" x14ac:dyDescent="0.3">
      <c r="A4258" s="106"/>
      <c r="B4258" s="106"/>
      <c r="C4258" s="106"/>
      <c r="D4258" s="106"/>
      <c r="E4258" s="106"/>
      <c r="F4258" s="106"/>
      <c r="G4258" s="106"/>
      <c r="H4258" s="107"/>
      <c r="I4258" s="95"/>
      <c r="J4258" s="706"/>
      <c r="K4258" s="769"/>
      <c r="L4258" s="706"/>
      <c r="M4258" s="781"/>
      <c r="N4258" s="182"/>
      <c r="O4258" s="188"/>
      <c r="P4258" s="221"/>
      <c r="Q4258" s="106"/>
      <c r="R4258" s="108"/>
      <c r="S4258" s="108"/>
      <c r="T4258" s="108"/>
      <c r="U4258" s="108" t="str">
        <f>IFERROR(VLOOKUP(CONCATENATE(Tabla1[[#This Row],[Severidad]]," ",Tabla1[[#This Row],[Complejidad]]),Catalogos!E$120:G$128,3,FALSE),"")</f>
        <v/>
      </c>
      <c r="V4258" s="108" t="str">
        <f>IF(Tabla1[[#This Row],[Tiempo solución max (hrs)]]&lt;&gt;"",IF(Tabla1[[#This Row],[Tiempo solución max (hrs)]]&gt;=Tabla1[[#This Row],[Tiempo
(Hrs 00/100)]],"cumple","no cumple"),"")</f>
        <v/>
      </c>
      <c r="W4258" s="17"/>
      <c r="X4258" s="18">
        <f t="shared" si="256"/>
        <v>0</v>
      </c>
      <c r="Y4258" t="str">
        <f>SUBSTITUTE(Tabla1[[#This Row],[Descripción]],CHAR(10),"    I    ")</f>
        <v/>
      </c>
      <c r="Z4258" s="112" t="e">
        <f>VLOOKUP(Tabla1[[#This Row],[Perfil]],Catalogos!$B$75:$D$100,3,FALSE)*Tabla1[[#This Row],[Tiempo
(Hrs 00/100)]]*1.16</f>
        <v>#N/A</v>
      </c>
    </row>
    <row r="4259" spans="1:26" ht="30" customHeight="1" x14ac:dyDescent="0.3">
      <c r="A4259" s="106"/>
      <c r="B4259" s="106"/>
      <c r="C4259" s="106"/>
      <c r="D4259" s="106"/>
      <c r="E4259" s="106"/>
      <c r="F4259" s="106"/>
      <c r="G4259" s="106"/>
      <c r="H4259" s="107"/>
      <c r="I4259" s="95"/>
      <c r="J4259" s="706"/>
      <c r="K4259" s="769"/>
      <c r="L4259" s="706"/>
      <c r="M4259" s="781"/>
      <c r="N4259" s="182"/>
      <c r="O4259" s="188"/>
      <c r="P4259" s="221"/>
      <c r="Q4259" s="106"/>
      <c r="R4259" s="108"/>
      <c r="S4259" s="108"/>
      <c r="T4259" s="108"/>
      <c r="U4259" s="108" t="str">
        <f>IFERROR(VLOOKUP(CONCATENATE(Tabla1[[#This Row],[Severidad]]," ",Tabla1[[#This Row],[Complejidad]]),Catalogos!E$120:G$128,3,FALSE),"")</f>
        <v/>
      </c>
      <c r="V4259" s="108" t="str">
        <f>IF(Tabla1[[#This Row],[Tiempo solución max (hrs)]]&lt;&gt;"",IF(Tabla1[[#This Row],[Tiempo solución max (hrs)]]&gt;=Tabla1[[#This Row],[Tiempo
(Hrs 00/100)]],"cumple","no cumple"),"")</f>
        <v/>
      </c>
      <c r="W4259" s="17"/>
      <c r="X4259" s="18">
        <f t="shared" si="256"/>
        <v>0</v>
      </c>
      <c r="Y4259" t="str">
        <f>SUBSTITUTE(Tabla1[[#This Row],[Descripción]],CHAR(10),"    I    ")</f>
        <v/>
      </c>
      <c r="Z4259" s="112" t="e">
        <f>VLOOKUP(Tabla1[[#This Row],[Perfil]],Catalogos!$B$75:$D$100,3,FALSE)*Tabla1[[#This Row],[Tiempo
(Hrs 00/100)]]*1.16</f>
        <v>#N/A</v>
      </c>
    </row>
    <row r="4260" spans="1:26" ht="30" customHeight="1" x14ac:dyDescent="0.3">
      <c r="A4260" s="106"/>
      <c r="B4260" s="106"/>
      <c r="C4260" s="106"/>
      <c r="D4260" s="106"/>
      <c r="E4260" s="106"/>
      <c r="F4260" s="106"/>
      <c r="G4260" s="106"/>
      <c r="H4260" s="107"/>
      <c r="I4260" s="95"/>
      <c r="J4260" s="706"/>
      <c r="K4260" s="769"/>
      <c r="L4260" s="706"/>
      <c r="M4260" s="781"/>
      <c r="N4260" s="182"/>
      <c r="O4260" s="188"/>
      <c r="P4260" s="221"/>
      <c r="Q4260" s="106"/>
      <c r="R4260" s="108"/>
      <c r="S4260" s="108"/>
      <c r="T4260" s="108"/>
      <c r="U4260" s="108" t="str">
        <f>IFERROR(VLOOKUP(CONCATENATE(Tabla1[[#This Row],[Severidad]]," ",Tabla1[[#This Row],[Complejidad]]),Catalogos!E$120:G$128,3,FALSE),"")</f>
        <v/>
      </c>
      <c r="V4260" s="108" t="str">
        <f>IF(Tabla1[[#This Row],[Tiempo solución max (hrs)]]&lt;&gt;"",IF(Tabla1[[#This Row],[Tiempo solución max (hrs)]]&gt;=Tabla1[[#This Row],[Tiempo
(Hrs 00/100)]],"cumple","no cumple"),"")</f>
        <v/>
      </c>
      <c r="W4260" s="17"/>
      <c r="X4260" s="18">
        <f t="shared" si="256"/>
        <v>0</v>
      </c>
      <c r="Y4260" t="str">
        <f>SUBSTITUTE(Tabla1[[#This Row],[Descripción]],CHAR(10),"    I    ")</f>
        <v/>
      </c>
      <c r="Z4260" s="112" t="e">
        <f>VLOOKUP(Tabla1[[#This Row],[Perfil]],Catalogos!$B$75:$D$100,3,FALSE)*Tabla1[[#This Row],[Tiempo
(Hrs 00/100)]]*1.16</f>
        <v>#N/A</v>
      </c>
    </row>
    <row r="4261" spans="1:26" ht="30" customHeight="1" x14ac:dyDescent="0.3">
      <c r="A4261" s="106"/>
      <c r="B4261" s="106"/>
      <c r="C4261" s="106"/>
      <c r="D4261" s="106"/>
      <c r="E4261" s="106"/>
      <c r="F4261" s="106"/>
      <c r="G4261" s="106"/>
      <c r="H4261" s="107"/>
      <c r="I4261" s="95"/>
      <c r="J4261" s="706"/>
      <c r="K4261" s="769"/>
      <c r="L4261" s="706"/>
      <c r="M4261" s="781"/>
      <c r="N4261" s="182"/>
      <c r="O4261" s="188"/>
      <c r="P4261" s="221"/>
      <c r="Q4261" s="106"/>
      <c r="R4261" s="108"/>
      <c r="S4261" s="108"/>
      <c r="T4261" s="108"/>
      <c r="U4261" s="108" t="str">
        <f>IFERROR(VLOOKUP(CONCATENATE(Tabla1[[#This Row],[Severidad]]," ",Tabla1[[#This Row],[Complejidad]]),Catalogos!E$120:G$128,3,FALSE),"")</f>
        <v/>
      </c>
      <c r="V4261" s="108" t="str">
        <f>IF(Tabla1[[#This Row],[Tiempo solución max (hrs)]]&lt;&gt;"",IF(Tabla1[[#This Row],[Tiempo solución max (hrs)]]&gt;=Tabla1[[#This Row],[Tiempo
(Hrs 00/100)]],"cumple","no cumple"),"")</f>
        <v/>
      </c>
      <c r="W4261" s="17"/>
      <c r="X4261" s="18">
        <f t="shared" si="256"/>
        <v>0</v>
      </c>
      <c r="Y4261" t="str">
        <f>SUBSTITUTE(Tabla1[[#This Row],[Descripción]],CHAR(10),"    I    ")</f>
        <v/>
      </c>
      <c r="Z4261" s="112" t="e">
        <f>VLOOKUP(Tabla1[[#This Row],[Perfil]],Catalogos!$B$75:$D$100,3,FALSE)*Tabla1[[#This Row],[Tiempo
(Hrs 00/100)]]*1.16</f>
        <v>#N/A</v>
      </c>
    </row>
    <row r="4262" spans="1:26" ht="30" customHeight="1" x14ac:dyDescent="0.3">
      <c r="A4262" s="106"/>
      <c r="B4262" s="106"/>
      <c r="C4262" s="106"/>
      <c r="D4262" s="106"/>
      <c r="E4262" s="106"/>
      <c r="F4262" s="106"/>
      <c r="G4262" s="106"/>
      <c r="H4262" s="107"/>
      <c r="I4262" s="95"/>
      <c r="J4262" s="706"/>
      <c r="K4262" s="769"/>
      <c r="L4262" s="706"/>
      <c r="M4262" s="781"/>
      <c r="N4262" s="182"/>
      <c r="O4262" s="188"/>
      <c r="P4262" s="221"/>
      <c r="Q4262" s="106"/>
      <c r="R4262" s="108"/>
      <c r="S4262" s="108"/>
      <c r="T4262" s="108"/>
      <c r="U4262" s="108" t="str">
        <f>IFERROR(VLOOKUP(CONCATENATE(Tabla1[[#This Row],[Severidad]]," ",Tabla1[[#This Row],[Complejidad]]),Catalogos!E$120:G$128,3,FALSE),"")</f>
        <v/>
      </c>
      <c r="V4262" s="108" t="str">
        <f>IF(Tabla1[[#This Row],[Tiempo solución max (hrs)]]&lt;&gt;"",IF(Tabla1[[#This Row],[Tiempo solución max (hrs)]]&gt;=Tabla1[[#This Row],[Tiempo
(Hrs 00/100)]],"cumple","no cumple"),"")</f>
        <v/>
      </c>
      <c r="W4262" s="17"/>
      <c r="X4262" s="18">
        <f t="shared" si="256"/>
        <v>0</v>
      </c>
      <c r="Y4262" t="str">
        <f>SUBSTITUTE(Tabla1[[#This Row],[Descripción]],CHAR(10),"    I    ")</f>
        <v/>
      </c>
      <c r="Z4262" s="112" t="e">
        <f>VLOOKUP(Tabla1[[#This Row],[Perfil]],Catalogos!$B$75:$D$100,3,FALSE)*Tabla1[[#This Row],[Tiempo
(Hrs 00/100)]]*1.16</f>
        <v>#N/A</v>
      </c>
    </row>
    <row r="4263" spans="1:26" ht="30" customHeight="1" x14ac:dyDescent="0.3">
      <c r="A4263" s="106"/>
      <c r="B4263" s="106"/>
      <c r="C4263" s="106"/>
      <c r="D4263" s="106"/>
      <c r="E4263" s="106"/>
      <c r="F4263" s="106"/>
      <c r="G4263" s="106"/>
      <c r="H4263" s="107"/>
      <c r="I4263" s="95"/>
      <c r="J4263" s="706"/>
      <c r="K4263" s="769"/>
      <c r="L4263" s="706"/>
      <c r="M4263" s="781"/>
      <c r="N4263" s="182"/>
      <c r="O4263" s="188"/>
      <c r="P4263" s="221"/>
      <c r="Q4263" s="106"/>
      <c r="R4263" s="108"/>
      <c r="S4263" s="108"/>
      <c r="T4263" s="108"/>
      <c r="U4263" s="108" t="str">
        <f>IFERROR(VLOOKUP(CONCATENATE(Tabla1[[#This Row],[Severidad]]," ",Tabla1[[#This Row],[Complejidad]]),Catalogos!E$120:G$128,3,FALSE),"")</f>
        <v/>
      </c>
      <c r="V4263" s="108" t="str">
        <f>IF(Tabla1[[#This Row],[Tiempo solución max (hrs)]]&lt;&gt;"",IF(Tabla1[[#This Row],[Tiempo solución max (hrs)]]&gt;=Tabla1[[#This Row],[Tiempo
(Hrs 00/100)]],"cumple","no cumple"),"")</f>
        <v/>
      </c>
      <c r="W4263" s="17"/>
      <c r="X4263" s="18">
        <f t="shared" si="256"/>
        <v>0</v>
      </c>
      <c r="Y4263" t="str">
        <f>SUBSTITUTE(Tabla1[[#This Row],[Descripción]],CHAR(10),"    I    ")</f>
        <v/>
      </c>
      <c r="Z4263" s="112" t="e">
        <f>VLOOKUP(Tabla1[[#This Row],[Perfil]],Catalogos!$B$75:$D$100,3,FALSE)*Tabla1[[#This Row],[Tiempo
(Hrs 00/100)]]*1.16</f>
        <v>#N/A</v>
      </c>
    </row>
    <row r="4264" spans="1:26" ht="30" customHeight="1" x14ac:dyDescent="0.3">
      <c r="A4264" s="106"/>
      <c r="B4264" s="106"/>
      <c r="C4264" s="106"/>
      <c r="D4264" s="106"/>
      <c r="E4264" s="106"/>
      <c r="F4264" s="106"/>
      <c r="G4264" s="106"/>
      <c r="H4264" s="107"/>
      <c r="I4264" s="95"/>
      <c r="J4264" s="706"/>
      <c r="K4264" s="769"/>
      <c r="L4264" s="706"/>
      <c r="M4264" s="781"/>
      <c r="N4264" s="182"/>
      <c r="O4264" s="188"/>
      <c r="P4264" s="221"/>
      <c r="Q4264" s="106"/>
      <c r="R4264" s="108"/>
      <c r="S4264" s="108"/>
      <c r="T4264" s="108"/>
      <c r="U4264" s="108" t="str">
        <f>IFERROR(VLOOKUP(CONCATENATE(Tabla1[[#This Row],[Severidad]]," ",Tabla1[[#This Row],[Complejidad]]),Catalogos!E$120:G$128,3,FALSE),"")</f>
        <v/>
      </c>
      <c r="V4264" s="108" t="str">
        <f>IF(Tabla1[[#This Row],[Tiempo solución max (hrs)]]&lt;&gt;"",IF(Tabla1[[#This Row],[Tiempo solución max (hrs)]]&gt;=Tabla1[[#This Row],[Tiempo
(Hrs 00/100)]],"cumple","no cumple"),"")</f>
        <v/>
      </c>
      <c r="W4264" s="17"/>
      <c r="X4264" s="18">
        <f t="shared" si="256"/>
        <v>0</v>
      </c>
      <c r="Y4264" t="str">
        <f>SUBSTITUTE(Tabla1[[#This Row],[Descripción]],CHAR(10),"    I    ")</f>
        <v/>
      </c>
      <c r="Z4264" s="112" t="e">
        <f>VLOOKUP(Tabla1[[#This Row],[Perfil]],Catalogos!$B$75:$D$100,3,FALSE)*Tabla1[[#This Row],[Tiempo
(Hrs 00/100)]]*1.16</f>
        <v>#N/A</v>
      </c>
    </row>
    <row r="4265" spans="1:26" ht="30" customHeight="1" x14ac:dyDescent="0.3">
      <c r="A4265" s="106"/>
      <c r="B4265" s="106"/>
      <c r="C4265" s="106"/>
      <c r="D4265" s="106"/>
      <c r="E4265" s="106"/>
      <c r="F4265" s="106"/>
      <c r="G4265" s="106"/>
      <c r="H4265" s="107"/>
      <c r="I4265" s="95"/>
      <c r="J4265" s="706"/>
      <c r="K4265" s="769"/>
      <c r="L4265" s="706"/>
      <c r="M4265" s="781"/>
      <c r="N4265" s="182"/>
      <c r="O4265" s="188"/>
      <c r="P4265" s="221"/>
      <c r="Q4265" s="106"/>
      <c r="R4265" s="108"/>
      <c r="S4265" s="108"/>
      <c r="T4265" s="108"/>
      <c r="U4265" s="108" t="str">
        <f>IFERROR(VLOOKUP(CONCATENATE(Tabla1[[#This Row],[Severidad]]," ",Tabla1[[#This Row],[Complejidad]]),Catalogos!E$120:G$128,3,FALSE),"")</f>
        <v/>
      </c>
      <c r="V4265" s="108" t="str">
        <f>IF(Tabla1[[#This Row],[Tiempo solución max (hrs)]]&lt;&gt;"",IF(Tabla1[[#This Row],[Tiempo solución max (hrs)]]&gt;=Tabla1[[#This Row],[Tiempo
(Hrs 00/100)]],"cumple","no cumple"),"")</f>
        <v/>
      </c>
      <c r="W4265" s="17"/>
      <c r="X4265" s="18">
        <f t="shared" si="256"/>
        <v>0</v>
      </c>
      <c r="Y4265" t="str">
        <f>SUBSTITUTE(Tabla1[[#This Row],[Descripción]],CHAR(10),"    I    ")</f>
        <v/>
      </c>
      <c r="Z4265" s="112" t="e">
        <f>VLOOKUP(Tabla1[[#This Row],[Perfil]],Catalogos!$B$75:$D$100,3,FALSE)*Tabla1[[#This Row],[Tiempo
(Hrs 00/100)]]*1.16</f>
        <v>#N/A</v>
      </c>
    </row>
    <row r="4266" spans="1:26" ht="30" customHeight="1" x14ac:dyDescent="0.3">
      <c r="A4266" s="106"/>
      <c r="B4266" s="106"/>
      <c r="C4266" s="106"/>
      <c r="D4266" s="106"/>
      <c r="E4266" s="106"/>
      <c r="F4266" s="106"/>
      <c r="G4266" s="106"/>
      <c r="H4266" s="107"/>
      <c r="I4266" s="95"/>
      <c r="J4266" s="706"/>
      <c r="K4266" s="769"/>
      <c r="L4266" s="706"/>
      <c r="M4266" s="781"/>
      <c r="N4266" s="182"/>
      <c r="O4266" s="188"/>
      <c r="P4266" s="221"/>
      <c r="Q4266" s="106"/>
      <c r="R4266" s="108"/>
      <c r="S4266" s="108"/>
      <c r="T4266" s="108"/>
      <c r="U4266" s="108" t="str">
        <f>IFERROR(VLOOKUP(CONCATENATE(Tabla1[[#This Row],[Severidad]]," ",Tabla1[[#This Row],[Complejidad]]),Catalogos!E$120:G$128,3,FALSE),"")</f>
        <v/>
      </c>
      <c r="V4266" s="108" t="str">
        <f>IF(Tabla1[[#This Row],[Tiempo solución max (hrs)]]&lt;&gt;"",IF(Tabla1[[#This Row],[Tiempo solución max (hrs)]]&gt;=Tabla1[[#This Row],[Tiempo
(Hrs 00/100)]],"cumple","no cumple"),"")</f>
        <v/>
      </c>
      <c r="W4266" s="17"/>
      <c r="X4266" s="18">
        <f t="shared" si="256"/>
        <v>0</v>
      </c>
      <c r="Y4266" t="str">
        <f>SUBSTITUTE(Tabla1[[#This Row],[Descripción]],CHAR(10),"    I    ")</f>
        <v/>
      </c>
      <c r="Z4266" s="112" t="e">
        <f>VLOOKUP(Tabla1[[#This Row],[Perfil]],Catalogos!$B$75:$D$100,3,FALSE)*Tabla1[[#This Row],[Tiempo
(Hrs 00/100)]]*1.16</f>
        <v>#N/A</v>
      </c>
    </row>
    <row r="4267" spans="1:26" ht="30" customHeight="1" x14ac:dyDescent="0.3">
      <c r="A4267" s="106"/>
      <c r="B4267" s="106"/>
      <c r="C4267" s="106"/>
      <c r="D4267" s="106"/>
      <c r="E4267" s="106"/>
      <c r="F4267" s="106"/>
      <c r="G4267" s="106"/>
      <c r="H4267" s="107"/>
      <c r="I4267" s="95"/>
      <c r="J4267" s="706"/>
      <c r="K4267" s="769"/>
      <c r="L4267" s="706"/>
      <c r="M4267" s="781"/>
      <c r="N4267" s="182"/>
      <c r="O4267" s="188"/>
      <c r="P4267" s="221"/>
      <c r="Q4267" s="106"/>
      <c r="R4267" s="108"/>
      <c r="S4267" s="108"/>
      <c r="T4267" s="108"/>
      <c r="U4267" s="108" t="str">
        <f>IFERROR(VLOOKUP(CONCATENATE(Tabla1[[#This Row],[Severidad]]," ",Tabla1[[#This Row],[Complejidad]]),Catalogos!E$120:G$128,3,FALSE),"")</f>
        <v/>
      </c>
      <c r="V4267" s="108" t="str">
        <f>IF(Tabla1[[#This Row],[Tiempo solución max (hrs)]]&lt;&gt;"",IF(Tabla1[[#This Row],[Tiempo solución max (hrs)]]&gt;=Tabla1[[#This Row],[Tiempo
(Hrs 00/100)]],"cumple","no cumple"),"")</f>
        <v/>
      </c>
      <c r="W4267" s="17"/>
      <c r="X4267" s="18">
        <f t="shared" si="256"/>
        <v>0</v>
      </c>
      <c r="Y4267" t="str">
        <f>SUBSTITUTE(Tabla1[[#This Row],[Descripción]],CHAR(10),"    I    ")</f>
        <v/>
      </c>
      <c r="Z4267" s="112" t="e">
        <f>VLOOKUP(Tabla1[[#This Row],[Perfil]],Catalogos!$B$75:$D$100,3,FALSE)*Tabla1[[#This Row],[Tiempo
(Hrs 00/100)]]*1.16</f>
        <v>#N/A</v>
      </c>
    </row>
    <row r="4268" spans="1:26" ht="30" customHeight="1" x14ac:dyDescent="0.3">
      <c r="A4268" s="106"/>
      <c r="B4268" s="106"/>
      <c r="C4268" s="106"/>
      <c r="D4268" s="106"/>
      <c r="E4268" s="106"/>
      <c r="F4268" s="106"/>
      <c r="G4268" s="106"/>
      <c r="H4268" s="107"/>
      <c r="I4268" s="95"/>
      <c r="J4268" s="706"/>
      <c r="K4268" s="769"/>
      <c r="L4268" s="706"/>
      <c r="M4268" s="781"/>
      <c r="N4268" s="182"/>
      <c r="O4268" s="188"/>
      <c r="P4268" s="221"/>
      <c r="Q4268" s="106"/>
      <c r="R4268" s="108"/>
      <c r="S4268" s="108"/>
      <c r="T4268" s="108"/>
      <c r="U4268" s="108" t="str">
        <f>IFERROR(VLOOKUP(CONCATENATE(Tabla1[[#This Row],[Severidad]]," ",Tabla1[[#This Row],[Complejidad]]),Catalogos!E$120:G$128,3,FALSE),"")</f>
        <v/>
      </c>
      <c r="V4268" s="108" t="str">
        <f>IF(Tabla1[[#This Row],[Tiempo solución max (hrs)]]&lt;&gt;"",IF(Tabla1[[#This Row],[Tiempo solución max (hrs)]]&gt;=Tabla1[[#This Row],[Tiempo
(Hrs 00/100)]],"cumple","no cumple"),"")</f>
        <v/>
      </c>
      <c r="W4268" s="17"/>
      <c r="X4268" s="18">
        <f t="shared" si="256"/>
        <v>0</v>
      </c>
      <c r="Y4268" t="str">
        <f>SUBSTITUTE(Tabla1[[#This Row],[Descripción]],CHAR(10),"    I    ")</f>
        <v/>
      </c>
      <c r="Z4268" s="112" t="e">
        <f>VLOOKUP(Tabla1[[#This Row],[Perfil]],Catalogos!$B$75:$D$100,3,FALSE)*Tabla1[[#This Row],[Tiempo
(Hrs 00/100)]]*1.16</f>
        <v>#N/A</v>
      </c>
    </row>
    <row r="4269" spans="1:26" ht="30" customHeight="1" x14ac:dyDescent="0.3">
      <c r="A4269" s="106"/>
      <c r="B4269" s="106"/>
      <c r="C4269" s="106"/>
      <c r="D4269" s="106"/>
      <c r="E4269" s="106"/>
      <c r="F4269" s="106"/>
      <c r="G4269" s="106"/>
      <c r="H4269" s="107"/>
      <c r="I4269" s="95"/>
      <c r="J4269" s="706"/>
      <c r="K4269" s="769"/>
      <c r="L4269" s="706"/>
      <c r="M4269" s="781"/>
      <c r="N4269" s="182"/>
      <c r="O4269" s="188"/>
      <c r="P4269" s="221"/>
      <c r="Q4269" s="106"/>
      <c r="R4269" s="108"/>
      <c r="S4269" s="108"/>
      <c r="T4269" s="108"/>
      <c r="U4269" s="108" t="str">
        <f>IFERROR(VLOOKUP(CONCATENATE(Tabla1[[#This Row],[Severidad]]," ",Tabla1[[#This Row],[Complejidad]]),Catalogos!E$120:G$128,3,FALSE),"")</f>
        <v/>
      </c>
      <c r="V4269" s="108" t="str">
        <f>IF(Tabla1[[#This Row],[Tiempo solución max (hrs)]]&lt;&gt;"",IF(Tabla1[[#This Row],[Tiempo solución max (hrs)]]&gt;=Tabla1[[#This Row],[Tiempo
(Hrs 00/100)]],"cumple","no cumple"),"")</f>
        <v/>
      </c>
      <c r="W4269" s="17"/>
      <c r="X4269" s="18">
        <f t="shared" si="256"/>
        <v>0</v>
      </c>
      <c r="Y4269" t="str">
        <f>SUBSTITUTE(Tabla1[[#This Row],[Descripción]],CHAR(10),"    I    ")</f>
        <v/>
      </c>
      <c r="Z4269" s="112" t="e">
        <f>VLOOKUP(Tabla1[[#This Row],[Perfil]],Catalogos!$B$75:$D$100,3,FALSE)*Tabla1[[#This Row],[Tiempo
(Hrs 00/100)]]*1.16</f>
        <v>#N/A</v>
      </c>
    </row>
    <row r="4270" spans="1:26" ht="30" customHeight="1" x14ac:dyDescent="0.3">
      <c r="A4270" s="106"/>
      <c r="B4270" s="106"/>
      <c r="C4270" s="106"/>
      <c r="D4270" s="106"/>
      <c r="E4270" s="106"/>
      <c r="F4270" s="106"/>
      <c r="G4270" s="106"/>
      <c r="H4270" s="107"/>
      <c r="I4270" s="95"/>
      <c r="J4270" s="706"/>
      <c r="K4270" s="769"/>
      <c r="L4270" s="706"/>
      <c r="M4270" s="781"/>
      <c r="N4270" s="182"/>
      <c r="O4270" s="188"/>
      <c r="P4270" s="221"/>
      <c r="Q4270" s="106"/>
      <c r="R4270" s="108"/>
      <c r="S4270" s="108"/>
      <c r="T4270" s="108"/>
      <c r="U4270" s="108" t="str">
        <f>IFERROR(VLOOKUP(CONCATENATE(Tabla1[[#This Row],[Severidad]]," ",Tabla1[[#This Row],[Complejidad]]),Catalogos!E$120:G$128,3,FALSE),"")</f>
        <v/>
      </c>
      <c r="V4270" s="108" t="str">
        <f>IF(Tabla1[[#This Row],[Tiempo solución max (hrs)]]&lt;&gt;"",IF(Tabla1[[#This Row],[Tiempo solución max (hrs)]]&gt;=Tabla1[[#This Row],[Tiempo
(Hrs 00/100)]],"cumple","no cumple"),"")</f>
        <v/>
      </c>
      <c r="W4270" s="17"/>
      <c r="X4270" s="18">
        <f t="shared" si="256"/>
        <v>0</v>
      </c>
      <c r="Y4270" t="str">
        <f>SUBSTITUTE(Tabla1[[#This Row],[Descripción]],CHAR(10),"    I    ")</f>
        <v/>
      </c>
      <c r="Z4270" s="112" t="e">
        <f>VLOOKUP(Tabla1[[#This Row],[Perfil]],Catalogos!$B$75:$D$100,3,FALSE)*Tabla1[[#This Row],[Tiempo
(Hrs 00/100)]]*1.16</f>
        <v>#N/A</v>
      </c>
    </row>
    <row r="4271" spans="1:26" ht="30" customHeight="1" x14ac:dyDescent="0.3">
      <c r="A4271" s="106"/>
      <c r="B4271" s="106"/>
      <c r="C4271" s="106"/>
      <c r="D4271" s="106"/>
      <c r="E4271" s="106"/>
      <c r="F4271" s="106"/>
      <c r="G4271" s="106"/>
      <c r="H4271" s="107"/>
      <c r="I4271" s="95"/>
      <c r="J4271" s="706"/>
      <c r="K4271" s="769"/>
      <c r="L4271" s="706"/>
      <c r="M4271" s="781"/>
      <c r="N4271" s="182"/>
      <c r="O4271" s="188"/>
      <c r="P4271" s="221"/>
      <c r="Q4271" s="106"/>
      <c r="R4271" s="108"/>
      <c r="S4271" s="108"/>
      <c r="T4271" s="108"/>
      <c r="U4271" s="108" t="str">
        <f>IFERROR(VLOOKUP(CONCATENATE(Tabla1[[#This Row],[Severidad]]," ",Tabla1[[#This Row],[Complejidad]]),Catalogos!E$120:G$128,3,FALSE),"")</f>
        <v/>
      </c>
      <c r="V4271" s="108" t="str">
        <f>IF(Tabla1[[#This Row],[Tiempo solución max (hrs)]]&lt;&gt;"",IF(Tabla1[[#This Row],[Tiempo solución max (hrs)]]&gt;=Tabla1[[#This Row],[Tiempo
(Hrs 00/100)]],"cumple","no cumple"),"")</f>
        <v/>
      </c>
      <c r="W4271" s="17"/>
      <c r="X4271" s="18">
        <f t="shared" si="256"/>
        <v>0</v>
      </c>
      <c r="Y4271" t="str">
        <f>SUBSTITUTE(Tabla1[[#This Row],[Descripción]],CHAR(10),"    I    ")</f>
        <v/>
      </c>
      <c r="Z4271" s="112" t="e">
        <f>VLOOKUP(Tabla1[[#This Row],[Perfil]],Catalogos!$B$75:$D$100,3,FALSE)*Tabla1[[#This Row],[Tiempo
(Hrs 00/100)]]*1.16</f>
        <v>#N/A</v>
      </c>
    </row>
    <row r="4272" spans="1:26" ht="30" customHeight="1" x14ac:dyDescent="0.3">
      <c r="A4272" s="106"/>
      <c r="B4272" s="106"/>
      <c r="C4272" s="106"/>
      <c r="D4272" s="106"/>
      <c r="E4272" s="106"/>
      <c r="F4272" s="106"/>
      <c r="G4272" s="106"/>
      <c r="H4272" s="107"/>
      <c r="I4272" s="95"/>
      <c r="J4272" s="706"/>
      <c r="K4272" s="769"/>
      <c r="L4272" s="706"/>
      <c r="M4272" s="781"/>
      <c r="N4272" s="182"/>
      <c r="O4272" s="188"/>
      <c r="P4272" s="221"/>
      <c r="Q4272" s="106"/>
      <c r="R4272" s="108"/>
      <c r="S4272" s="108"/>
      <c r="T4272" s="108"/>
      <c r="U4272" s="108" t="str">
        <f>IFERROR(VLOOKUP(CONCATENATE(Tabla1[[#This Row],[Severidad]]," ",Tabla1[[#This Row],[Complejidad]]),Catalogos!E$120:G$128,3,FALSE),"")</f>
        <v/>
      </c>
      <c r="V4272" s="108" t="str">
        <f>IF(Tabla1[[#This Row],[Tiempo solución max (hrs)]]&lt;&gt;"",IF(Tabla1[[#This Row],[Tiempo solución max (hrs)]]&gt;=Tabla1[[#This Row],[Tiempo
(Hrs 00/100)]],"cumple","no cumple"),"")</f>
        <v/>
      </c>
      <c r="W4272" s="17"/>
      <c r="X4272" s="18">
        <f t="shared" si="256"/>
        <v>0</v>
      </c>
      <c r="Y4272" t="str">
        <f>SUBSTITUTE(Tabla1[[#This Row],[Descripción]],CHAR(10),"    I    ")</f>
        <v/>
      </c>
      <c r="Z4272" s="112" t="e">
        <f>VLOOKUP(Tabla1[[#This Row],[Perfil]],Catalogos!$B$75:$D$100,3,FALSE)*Tabla1[[#This Row],[Tiempo
(Hrs 00/100)]]*1.16</f>
        <v>#N/A</v>
      </c>
    </row>
    <row r="4273" spans="1:26" ht="30" customHeight="1" x14ac:dyDescent="0.3">
      <c r="A4273" s="106"/>
      <c r="B4273" s="106"/>
      <c r="C4273" s="106"/>
      <c r="D4273" s="106"/>
      <c r="E4273" s="106"/>
      <c r="F4273" s="106"/>
      <c r="G4273" s="106"/>
      <c r="H4273" s="107"/>
      <c r="I4273" s="95"/>
      <c r="J4273" s="706"/>
      <c r="K4273" s="769"/>
      <c r="L4273" s="706"/>
      <c r="M4273" s="781"/>
      <c r="N4273" s="182"/>
      <c r="O4273" s="188"/>
      <c r="P4273" s="221"/>
      <c r="Q4273" s="106"/>
      <c r="R4273" s="108"/>
      <c r="S4273" s="108"/>
      <c r="T4273" s="108"/>
      <c r="U4273" s="108" t="str">
        <f>IFERROR(VLOOKUP(CONCATENATE(Tabla1[[#This Row],[Severidad]]," ",Tabla1[[#This Row],[Complejidad]]),Catalogos!E$120:G$128,3,FALSE),"")</f>
        <v/>
      </c>
      <c r="V4273" s="108" t="str">
        <f>IF(Tabla1[[#This Row],[Tiempo solución max (hrs)]]&lt;&gt;"",IF(Tabla1[[#This Row],[Tiempo solución max (hrs)]]&gt;=Tabla1[[#This Row],[Tiempo
(Hrs 00/100)]],"cumple","no cumple"),"")</f>
        <v/>
      </c>
      <c r="W4273" s="17"/>
      <c r="X4273" s="18">
        <f t="shared" si="256"/>
        <v>0</v>
      </c>
      <c r="Y4273" t="str">
        <f>SUBSTITUTE(Tabla1[[#This Row],[Descripción]],CHAR(10),"    I    ")</f>
        <v/>
      </c>
      <c r="Z4273" s="112" t="e">
        <f>VLOOKUP(Tabla1[[#This Row],[Perfil]],Catalogos!$B$75:$D$100,3,FALSE)*Tabla1[[#This Row],[Tiempo
(Hrs 00/100)]]*1.16</f>
        <v>#N/A</v>
      </c>
    </row>
    <row r="4274" spans="1:26" ht="30" customHeight="1" x14ac:dyDescent="0.3">
      <c r="A4274" s="106"/>
      <c r="B4274" s="106"/>
      <c r="C4274" s="106"/>
      <c r="D4274" s="106"/>
      <c r="E4274" s="106"/>
      <c r="F4274" s="106"/>
      <c r="G4274" s="106"/>
      <c r="H4274" s="107"/>
      <c r="I4274" s="95"/>
      <c r="J4274" s="706"/>
      <c r="K4274" s="769"/>
      <c r="L4274" s="706"/>
      <c r="M4274" s="781"/>
      <c r="N4274" s="182"/>
      <c r="O4274" s="188"/>
      <c r="P4274" s="221"/>
      <c r="Q4274" s="106"/>
      <c r="R4274" s="108"/>
      <c r="S4274" s="108"/>
      <c r="T4274" s="108"/>
      <c r="U4274" s="108" t="str">
        <f>IFERROR(VLOOKUP(CONCATENATE(Tabla1[[#This Row],[Severidad]]," ",Tabla1[[#This Row],[Complejidad]]),Catalogos!E$120:G$128,3,FALSE),"")</f>
        <v/>
      </c>
      <c r="V4274" s="108" t="str">
        <f>IF(Tabla1[[#This Row],[Tiempo solución max (hrs)]]&lt;&gt;"",IF(Tabla1[[#This Row],[Tiempo solución max (hrs)]]&gt;=Tabla1[[#This Row],[Tiempo
(Hrs 00/100)]],"cumple","no cumple"),"")</f>
        <v/>
      </c>
      <c r="W4274" s="17"/>
      <c r="X4274" s="18">
        <f t="shared" si="256"/>
        <v>0</v>
      </c>
      <c r="Y4274" t="str">
        <f>SUBSTITUTE(Tabla1[[#This Row],[Descripción]],CHAR(10),"    I    ")</f>
        <v/>
      </c>
      <c r="Z4274" s="112" t="e">
        <f>VLOOKUP(Tabla1[[#This Row],[Perfil]],Catalogos!$B$75:$D$100,3,FALSE)*Tabla1[[#This Row],[Tiempo
(Hrs 00/100)]]*1.16</f>
        <v>#N/A</v>
      </c>
    </row>
    <row r="4275" spans="1:26" ht="30" customHeight="1" x14ac:dyDescent="0.3">
      <c r="A4275" s="106"/>
      <c r="B4275" s="106"/>
      <c r="C4275" s="106"/>
      <c r="D4275" s="106"/>
      <c r="E4275" s="106"/>
      <c r="F4275" s="106"/>
      <c r="G4275" s="106"/>
      <c r="H4275" s="107"/>
      <c r="I4275" s="95"/>
      <c r="J4275" s="706"/>
      <c r="K4275" s="769"/>
      <c r="L4275" s="706"/>
      <c r="M4275" s="781"/>
      <c r="N4275" s="182"/>
      <c r="O4275" s="188"/>
      <c r="P4275" s="221"/>
      <c r="Q4275" s="106"/>
      <c r="R4275" s="108"/>
      <c r="S4275" s="108"/>
      <c r="T4275" s="108"/>
      <c r="U4275" s="108" t="str">
        <f>IFERROR(VLOOKUP(CONCATENATE(Tabla1[[#This Row],[Severidad]]," ",Tabla1[[#This Row],[Complejidad]]),Catalogos!E$120:G$128,3,FALSE),"")</f>
        <v/>
      </c>
      <c r="V4275" s="108" t="str">
        <f>IF(Tabla1[[#This Row],[Tiempo solución max (hrs)]]&lt;&gt;"",IF(Tabla1[[#This Row],[Tiempo solución max (hrs)]]&gt;=Tabla1[[#This Row],[Tiempo
(Hrs 00/100)]],"cumple","no cumple"),"")</f>
        <v/>
      </c>
      <c r="W4275" s="17"/>
      <c r="X4275" s="18">
        <f t="shared" si="256"/>
        <v>0</v>
      </c>
      <c r="Y4275" t="str">
        <f>SUBSTITUTE(Tabla1[[#This Row],[Descripción]],CHAR(10),"    I    ")</f>
        <v/>
      </c>
      <c r="Z4275" s="112" t="e">
        <f>VLOOKUP(Tabla1[[#This Row],[Perfil]],Catalogos!$B$75:$D$100,3,FALSE)*Tabla1[[#This Row],[Tiempo
(Hrs 00/100)]]*1.16</f>
        <v>#N/A</v>
      </c>
    </row>
    <row r="4276" spans="1:26" ht="30" customHeight="1" x14ac:dyDescent="0.3">
      <c r="A4276" s="106"/>
      <c r="B4276" s="106"/>
      <c r="C4276" s="106"/>
      <c r="D4276" s="106"/>
      <c r="E4276" s="106"/>
      <c r="F4276" s="106"/>
      <c r="G4276" s="106"/>
      <c r="H4276" s="107"/>
      <c r="I4276" s="95"/>
      <c r="J4276" s="706"/>
      <c r="K4276" s="769"/>
      <c r="L4276" s="706"/>
      <c r="M4276" s="781"/>
      <c r="N4276" s="182"/>
      <c r="O4276" s="188"/>
      <c r="P4276" s="221"/>
      <c r="Q4276" s="106"/>
      <c r="R4276" s="108"/>
      <c r="S4276" s="108"/>
      <c r="T4276" s="108"/>
      <c r="U4276" s="108" t="str">
        <f>IFERROR(VLOOKUP(CONCATENATE(Tabla1[[#This Row],[Severidad]]," ",Tabla1[[#This Row],[Complejidad]]),Catalogos!E$120:G$128,3,FALSE),"")</f>
        <v/>
      </c>
      <c r="V4276" s="108" t="str">
        <f>IF(Tabla1[[#This Row],[Tiempo solución max (hrs)]]&lt;&gt;"",IF(Tabla1[[#This Row],[Tiempo solución max (hrs)]]&gt;=Tabla1[[#This Row],[Tiempo
(Hrs 00/100)]],"cumple","no cumple"),"")</f>
        <v/>
      </c>
      <c r="W4276" s="17"/>
      <c r="X4276" s="18">
        <f t="shared" si="256"/>
        <v>0</v>
      </c>
      <c r="Y4276" t="str">
        <f>SUBSTITUTE(Tabla1[[#This Row],[Descripción]],CHAR(10),"    I    ")</f>
        <v/>
      </c>
      <c r="Z4276" s="112" t="e">
        <f>VLOOKUP(Tabla1[[#This Row],[Perfil]],Catalogos!$B$75:$D$100,3,FALSE)*Tabla1[[#This Row],[Tiempo
(Hrs 00/100)]]*1.16</f>
        <v>#N/A</v>
      </c>
    </row>
    <row r="4277" spans="1:26" ht="30" customHeight="1" x14ac:dyDescent="0.3">
      <c r="A4277" s="106"/>
      <c r="B4277" s="106"/>
      <c r="C4277" s="106"/>
      <c r="D4277" s="106"/>
      <c r="E4277" s="106"/>
      <c r="F4277" s="106"/>
      <c r="G4277" s="106"/>
      <c r="H4277" s="107"/>
      <c r="I4277" s="95"/>
      <c r="J4277" s="706"/>
      <c r="K4277" s="769"/>
      <c r="L4277" s="706"/>
      <c r="M4277" s="781"/>
      <c r="N4277" s="182"/>
      <c r="O4277" s="188"/>
      <c r="P4277" s="221"/>
      <c r="Q4277" s="106"/>
      <c r="R4277" s="108"/>
      <c r="S4277" s="108"/>
      <c r="T4277" s="108"/>
      <c r="U4277" s="108" t="str">
        <f>IFERROR(VLOOKUP(CONCATENATE(Tabla1[[#This Row],[Severidad]]," ",Tabla1[[#This Row],[Complejidad]]),Catalogos!E$120:G$128,3,FALSE),"")</f>
        <v/>
      </c>
      <c r="V4277" s="108" t="str">
        <f>IF(Tabla1[[#This Row],[Tiempo solución max (hrs)]]&lt;&gt;"",IF(Tabla1[[#This Row],[Tiempo solución max (hrs)]]&gt;=Tabla1[[#This Row],[Tiempo
(Hrs 00/100)]],"cumple","no cumple"),"")</f>
        <v/>
      </c>
      <c r="W4277" s="17"/>
      <c r="X4277" s="18">
        <f t="shared" si="256"/>
        <v>0</v>
      </c>
      <c r="Y4277" t="str">
        <f>SUBSTITUTE(Tabla1[[#This Row],[Descripción]],CHAR(10),"    I    ")</f>
        <v/>
      </c>
      <c r="Z4277" s="112" t="e">
        <f>VLOOKUP(Tabla1[[#This Row],[Perfil]],Catalogos!$B$75:$D$100,3,FALSE)*Tabla1[[#This Row],[Tiempo
(Hrs 00/100)]]*1.16</f>
        <v>#N/A</v>
      </c>
    </row>
    <row r="4278" spans="1:26" ht="30" customHeight="1" x14ac:dyDescent="0.3">
      <c r="A4278" s="106"/>
      <c r="B4278" s="106"/>
      <c r="C4278" s="106"/>
      <c r="D4278" s="106"/>
      <c r="E4278" s="106"/>
      <c r="F4278" s="106"/>
      <c r="G4278" s="106"/>
      <c r="H4278" s="107"/>
      <c r="I4278" s="95"/>
      <c r="J4278" s="706"/>
      <c r="K4278" s="769"/>
      <c r="L4278" s="706"/>
      <c r="M4278" s="781"/>
      <c r="N4278" s="182"/>
      <c r="O4278" s="188"/>
      <c r="P4278" s="221"/>
      <c r="Q4278" s="106"/>
      <c r="R4278" s="108"/>
      <c r="S4278" s="108"/>
      <c r="T4278" s="108"/>
      <c r="U4278" s="108" t="str">
        <f>IFERROR(VLOOKUP(CONCATENATE(Tabla1[[#This Row],[Severidad]]," ",Tabla1[[#This Row],[Complejidad]]),Catalogos!E$120:G$128,3,FALSE),"")</f>
        <v/>
      </c>
      <c r="V4278" s="108" t="str">
        <f>IF(Tabla1[[#This Row],[Tiempo solución max (hrs)]]&lt;&gt;"",IF(Tabla1[[#This Row],[Tiempo solución max (hrs)]]&gt;=Tabla1[[#This Row],[Tiempo
(Hrs 00/100)]],"cumple","no cumple"),"")</f>
        <v/>
      </c>
      <c r="W4278" s="17"/>
      <c r="X4278" s="18">
        <f t="shared" si="256"/>
        <v>0</v>
      </c>
      <c r="Y4278" t="str">
        <f>SUBSTITUTE(Tabla1[[#This Row],[Descripción]],CHAR(10),"    I    ")</f>
        <v/>
      </c>
      <c r="Z4278" s="112" t="e">
        <f>VLOOKUP(Tabla1[[#This Row],[Perfil]],Catalogos!$B$75:$D$100,3,FALSE)*Tabla1[[#This Row],[Tiempo
(Hrs 00/100)]]*1.16</f>
        <v>#N/A</v>
      </c>
    </row>
    <row r="4279" spans="1:26" ht="30" customHeight="1" x14ac:dyDescent="0.3">
      <c r="A4279" s="106"/>
      <c r="B4279" s="106"/>
      <c r="C4279" s="106"/>
      <c r="D4279" s="106"/>
      <c r="E4279" s="106"/>
      <c r="F4279" s="106"/>
      <c r="G4279" s="106"/>
      <c r="H4279" s="107"/>
      <c r="I4279" s="95"/>
      <c r="J4279" s="706"/>
      <c r="K4279" s="769"/>
      <c r="L4279" s="706"/>
      <c r="M4279" s="781"/>
      <c r="N4279" s="182"/>
      <c r="O4279" s="188"/>
      <c r="P4279" s="221"/>
      <c r="Q4279" s="106"/>
      <c r="R4279" s="108"/>
      <c r="S4279" s="108"/>
      <c r="T4279" s="108"/>
      <c r="U4279" s="108" t="str">
        <f>IFERROR(VLOOKUP(CONCATENATE(Tabla1[[#This Row],[Severidad]]," ",Tabla1[[#This Row],[Complejidad]]),Catalogos!E$120:G$128,3,FALSE),"")</f>
        <v/>
      </c>
      <c r="V4279" s="108" t="str">
        <f>IF(Tabla1[[#This Row],[Tiempo solución max (hrs)]]&lt;&gt;"",IF(Tabla1[[#This Row],[Tiempo solución max (hrs)]]&gt;=Tabla1[[#This Row],[Tiempo
(Hrs 00/100)]],"cumple","no cumple"),"")</f>
        <v/>
      </c>
      <c r="W4279" s="17"/>
      <c r="X4279" s="18">
        <f t="shared" si="256"/>
        <v>0</v>
      </c>
      <c r="Y4279" t="str">
        <f>SUBSTITUTE(Tabla1[[#This Row],[Descripción]],CHAR(10),"    I    ")</f>
        <v/>
      </c>
      <c r="Z4279" s="112" t="e">
        <f>VLOOKUP(Tabla1[[#This Row],[Perfil]],Catalogos!$B$75:$D$100,3,FALSE)*Tabla1[[#This Row],[Tiempo
(Hrs 00/100)]]*1.16</f>
        <v>#N/A</v>
      </c>
    </row>
    <row r="4280" spans="1:26" ht="30" customHeight="1" x14ac:dyDescent="0.3">
      <c r="A4280" s="106"/>
      <c r="B4280" s="106"/>
      <c r="C4280" s="106"/>
      <c r="D4280" s="106"/>
      <c r="E4280" s="106"/>
      <c r="F4280" s="106"/>
      <c r="G4280" s="106"/>
      <c r="H4280" s="107"/>
      <c r="I4280" s="95"/>
      <c r="J4280" s="706"/>
      <c r="K4280" s="769"/>
      <c r="L4280" s="706"/>
      <c r="M4280" s="781"/>
      <c r="N4280" s="182"/>
      <c r="O4280" s="188"/>
      <c r="P4280" s="221"/>
      <c r="Q4280" s="106"/>
      <c r="R4280" s="108"/>
      <c r="S4280" s="108"/>
      <c r="T4280" s="108"/>
      <c r="U4280" s="108" t="str">
        <f>IFERROR(VLOOKUP(CONCATENATE(Tabla1[[#This Row],[Severidad]]," ",Tabla1[[#This Row],[Complejidad]]),Catalogos!E$120:G$128,3,FALSE),"")</f>
        <v/>
      </c>
      <c r="V4280" s="108" t="str">
        <f>IF(Tabla1[[#This Row],[Tiempo solución max (hrs)]]&lt;&gt;"",IF(Tabla1[[#This Row],[Tiempo solución max (hrs)]]&gt;=Tabla1[[#This Row],[Tiempo
(Hrs 00/100)]],"cumple","no cumple"),"")</f>
        <v/>
      </c>
      <c r="W4280" s="17"/>
      <c r="X4280" s="18">
        <f t="shared" si="256"/>
        <v>0</v>
      </c>
      <c r="Y4280" t="str">
        <f>SUBSTITUTE(Tabla1[[#This Row],[Descripción]],CHAR(10),"    I    ")</f>
        <v/>
      </c>
      <c r="Z4280" s="112" t="e">
        <f>VLOOKUP(Tabla1[[#This Row],[Perfil]],Catalogos!$B$75:$D$100,3,FALSE)*Tabla1[[#This Row],[Tiempo
(Hrs 00/100)]]*1.16</f>
        <v>#N/A</v>
      </c>
    </row>
    <row r="4281" spans="1:26" ht="30" customHeight="1" x14ac:dyDescent="0.3">
      <c r="A4281" s="106"/>
      <c r="B4281" s="106"/>
      <c r="C4281" s="106"/>
      <c r="D4281" s="106"/>
      <c r="E4281" s="106"/>
      <c r="F4281" s="106"/>
      <c r="G4281" s="106"/>
      <c r="H4281" s="107"/>
      <c r="I4281" s="95"/>
      <c r="J4281" s="706"/>
      <c r="K4281" s="769"/>
      <c r="L4281" s="706"/>
      <c r="M4281" s="781"/>
      <c r="N4281" s="182"/>
      <c r="O4281" s="188"/>
      <c r="P4281" s="221"/>
      <c r="Q4281" s="106"/>
      <c r="R4281" s="108"/>
      <c r="S4281" s="108"/>
      <c r="T4281" s="108"/>
      <c r="U4281" s="108" t="str">
        <f>IFERROR(VLOOKUP(CONCATENATE(Tabla1[[#This Row],[Severidad]]," ",Tabla1[[#This Row],[Complejidad]]),Catalogos!E$120:G$128,3,FALSE),"")</f>
        <v/>
      </c>
      <c r="V4281" s="108" t="str">
        <f>IF(Tabla1[[#This Row],[Tiempo solución max (hrs)]]&lt;&gt;"",IF(Tabla1[[#This Row],[Tiempo solución max (hrs)]]&gt;=Tabla1[[#This Row],[Tiempo
(Hrs 00/100)]],"cumple","no cumple"),"")</f>
        <v/>
      </c>
      <c r="W4281" s="17"/>
      <c r="X4281" s="18">
        <f t="shared" si="256"/>
        <v>0</v>
      </c>
      <c r="Y4281" t="str">
        <f>SUBSTITUTE(Tabla1[[#This Row],[Descripción]],CHAR(10),"    I    ")</f>
        <v/>
      </c>
      <c r="Z4281" s="112" t="e">
        <f>VLOOKUP(Tabla1[[#This Row],[Perfil]],Catalogos!$B$75:$D$100,3,FALSE)*Tabla1[[#This Row],[Tiempo
(Hrs 00/100)]]*1.16</f>
        <v>#N/A</v>
      </c>
    </row>
    <row r="4282" spans="1:26" ht="30" customHeight="1" x14ac:dyDescent="0.3">
      <c r="A4282" s="106"/>
      <c r="B4282" s="106"/>
      <c r="C4282" s="106"/>
      <c r="D4282" s="106"/>
      <c r="E4282" s="106"/>
      <c r="F4282" s="106"/>
      <c r="G4282" s="106"/>
      <c r="H4282" s="107"/>
      <c r="I4282" s="95"/>
      <c r="J4282" s="706"/>
      <c r="K4282" s="769"/>
      <c r="L4282" s="706"/>
      <c r="M4282" s="781"/>
      <c r="N4282" s="182"/>
      <c r="O4282" s="188"/>
      <c r="P4282" s="221"/>
      <c r="Q4282" s="106"/>
      <c r="R4282" s="108"/>
      <c r="S4282" s="108"/>
      <c r="T4282" s="108"/>
      <c r="U4282" s="108" t="str">
        <f>IFERROR(VLOOKUP(CONCATENATE(Tabla1[[#This Row],[Severidad]]," ",Tabla1[[#This Row],[Complejidad]]),Catalogos!E$120:G$128,3,FALSE),"")</f>
        <v/>
      </c>
      <c r="V4282" s="108" t="str">
        <f>IF(Tabla1[[#This Row],[Tiempo solución max (hrs)]]&lt;&gt;"",IF(Tabla1[[#This Row],[Tiempo solución max (hrs)]]&gt;=Tabla1[[#This Row],[Tiempo
(Hrs 00/100)]],"cumple","no cumple"),"")</f>
        <v/>
      </c>
      <c r="W4282" s="17"/>
      <c r="X4282" s="18">
        <f t="shared" si="256"/>
        <v>0</v>
      </c>
      <c r="Y4282" t="str">
        <f>SUBSTITUTE(Tabla1[[#This Row],[Descripción]],CHAR(10),"    I    ")</f>
        <v/>
      </c>
      <c r="Z4282" s="112" t="e">
        <f>VLOOKUP(Tabla1[[#This Row],[Perfil]],Catalogos!$B$75:$D$100,3,FALSE)*Tabla1[[#This Row],[Tiempo
(Hrs 00/100)]]*1.16</f>
        <v>#N/A</v>
      </c>
    </row>
    <row r="4283" spans="1:26" ht="30" customHeight="1" x14ac:dyDescent="0.3">
      <c r="A4283" s="106"/>
      <c r="B4283" s="106"/>
      <c r="C4283" s="106"/>
      <c r="D4283" s="106"/>
      <c r="E4283" s="106"/>
      <c r="F4283" s="106"/>
      <c r="G4283" s="106"/>
      <c r="H4283" s="107"/>
      <c r="I4283" s="95"/>
      <c r="J4283" s="706"/>
      <c r="K4283" s="769"/>
      <c r="L4283" s="706"/>
      <c r="M4283" s="781"/>
      <c r="N4283" s="182"/>
      <c r="O4283" s="188"/>
      <c r="P4283" s="221"/>
      <c r="Q4283" s="106"/>
      <c r="R4283" s="108"/>
      <c r="S4283" s="108"/>
      <c r="T4283" s="108"/>
      <c r="U4283" s="108" t="str">
        <f>IFERROR(VLOOKUP(CONCATENATE(Tabla1[[#This Row],[Severidad]]," ",Tabla1[[#This Row],[Complejidad]]),Catalogos!E$120:G$128,3,FALSE),"")</f>
        <v/>
      </c>
      <c r="V4283" s="108" t="str">
        <f>IF(Tabla1[[#This Row],[Tiempo solución max (hrs)]]&lt;&gt;"",IF(Tabla1[[#This Row],[Tiempo solución max (hrs)]]&gt;=Tabla1[[#This Row],[Tiempo
(Hrs 00/100)]],"cumple","no cumple"),"")</f>
        <v/>
      </c>
      <c r="W4283" s="17"/>
      <c r="X4283" s="18">
        <f t="shared" si="256"/>
        <v>0</v>
      </c>
      <c r="Y4283" t="str">
        <f>SUBSTITUTE(Tabla1[[#This Row],[Descripción]],CHAR(10),"    I    ")</f>
        <v/>
      </c>
      <c r="Z4283" s="112" t="e">
        <f>VLOOKUP(Tabla1[[#This Row],[Perfil]],Catalogos!$B$75:$D$100,3,FALSE)*Tabla1[[#This Row],[Tiempo
(Hrs 00/100)]]*1.16</f>
        <v>#N/A</v>
      </c>
    </row>
    <row r="4284" spans="1:26" ht="30" customHeight="1" x14ac:dyDescent="0.3">
      <c r="A4284" s="106"/>
      <c r="B4284" s="106"/>
      <c r="C4284" s="106"/>
      <c r="D4284" s="106"/>
      <c r="E4284" s="106"/>
      <c r="F4284" s="106"/>
      <c r="G4284" s="106"/>
      <c r="H4284" s="107"/>
      <c r="I4284" s="95"/>
      <c r="J4284" s="706"/>
      <c r="K4284" s="769"/>
      <c r="L4284" s="706"/>
      <c r="M4284" s="781"/>
      <c r="N4284" s="182"/>
      <c r="O4284" s="188"/>
      <c r="P4284" s="221"/>
      <c r="Q4284" s="106"/>
      <c r="R4284" s="108"/>
      <c r="S4284" s="108"/>
      <c r="T4284" s="108"/>
      <c r="U4284" s="108" t="str">
        <f>IFERROR(VLOOKUP(CONCATENATE(Tabla1[[#This Row],[Severidad]]," ",Tabla1[[#This Row],[Complejidad]]),Catalogos!E$120:G$128,3,FALSE),"")</f>
        <v/>
      </c>
      <c r="V4284" s="108" t="str">
        <f>IF(Tabla1[[#This Row],[Tiempo solución max (hrs)]]&lt;&gt;"",IF(Tabla1[[#This Row],[Tiempo solución max (hrs)]]&gt;=Tabla1[[#This Row],[Tiempo
(Hrs 00/100)]],"cumple","no cumple"),"")</f>
        <v/>
      </c>
      <c r="W4284" s="17"/>
      <c r="X4284" s="18">
        <f t="shared" si="256"/>
        <v>0</v>
      </c>
      <c r="Y4284" t="str">
        <f>SUBSTITUTE(Tabla1[[#This Row],[Descripción]],CHAR(10),"    I    ")</f>
        <v/>
      </c>
      <c r="Z4284" s="112" t="e">
        <f>VLOOKUP(Tabla1[[#This Row],[Perfil]],Catalogos!$B$75:$D$100,3,FALSE)*Tabla1[[#This Row],[Tiempo
(Hrs 00/100)]]*1.16</f>
        <v>#N/A</v>
      </c>
    </row>
    <row r="4285" spans="1:26" ht="30" customHeight="1" x14ac:dyDescent="0.3">
      <c r="A4285" s="106"/>
      <c r="B4285" s="106"/>
      <c r="C4285" s="106"/>
      <c r="D4285" s="106"/>
      <c r="E4285" s="106"/>
      <c r="F4285" s="106"/>
      <c r="G4285" s="106"/>
      <c r="H4285" s="107"/>
      <c r="I4285" s="95"/>
      <c r="J4285" s="706"/>
      <c r="K4285" s="769"/>
      <c r="L4285" s="706"/>
      <c r="M4285" s="781"/>
      <c r="N4285" s="182"/>
      <c r="O4285" s="188"/>
      <c r="P4285" s="221"/>
      <c r="Q4285" s="106"/>
      <c r="R4285" s="108"/>
      <c r="S4285" s="108"/>
      <c r="T4285" s="108"/>
      <c r="U4285" s="108" t="str">
        <f>IFERROR(VLOOKUP(CONCATENATE(Tabla1[[#This Row],[Severidad]]," ",Tabla1[[#This Row],[Complejidad]]),Catalogos!E$120:G$128,3,FALSE),"")</f>
        <v/>
      </c>
      <c r="V4285" s="108" t="str">
        <f>IF(Tabla1[[#This Row],[Tiempo solución max (hrs)]]&lt;&gt;"",IF(Tabla1[[#This Row],[Tiempo solución max (hrs)]]&gt;=Tabla1[[#This Row],[Tiempo
(Hrs 00/100)]],"cumple","no cumple"),"")</f>
        <v/>
      </c>
      <c r="W4285" s="17"/>
      <c r="X4285" s="18">
        <f t="shared" si="256"/>
        <v>0</v>
      </c>
      <c r="Y4285" t="str">
        <f>SUBSTITUTE(Tabla1[[#This Row],[Descripción]],CHAR(10),"    I    ")</f>
        <v/>
      </c>
      <c r="Z4285" s="112" t="e">
        <f>VLOOKUP(Tabla1[[#This Row],[Perfil]],Catalogos!$B$75:$D$100,3,FALSE)*Tabla1[[#This Row],[Tiempo
(Hrs 00/100)]]*1.16</f>
        <v>#N/A</v>
      </c>
    </row>
    <row r="4286" spans="1:26" ht="30" customHeight="1" x14ac:dyDescent="0.3">
      <c r="A4286" s="106"/>
      <c r="B4286" s="106"/>
      <c r="C4286" s="106"/>
      <c r="D4286" s="106"/>
      <c r="E4286" s="106"/>
      <c r="F4286" s="106"/>
      <c r="G4286" s="106"/>
      <c r="H4286" s="107"/>
      <c r="I4286" s="95"/>
      <c r="J4286" s="706"/>
      <c r="K4286" s="769"/>
      <c r="L4286" s="706"/>
      <c r="M4286" s="781"/>
      <c r="N4286" s="182"/>
      <c r="O4286" s="188"/>
      <c r="P4286" s="221"/>
      <c r="Q4286" s="106"/>
      <c r="R4286" s="108"/>
      <c r="S4286" s="108"/>
      <c r="T4286" s="108"/>
      <c r="U4286" s="108" t="str">
        <f>IFERROR(VLOOKUP(CONCATENATE(Tabla1[[#This Row],[Severidad]]," ",Tabla1[[#This Row],[Complejidad]]),Catalogos!E$120:G$128,3,FALSE),"")</f>
        <v/>
      </c>
      <c r="V4286" s="108" t="str">
        <f>IF(Tabla1[[#This Row],[Tiempo solución max (hrs)]]&lt;&gt;"",IF(Tabla1[[#This Row],[Tiempo solución max (hrs)]]&gt;=Tabla1[[#This Row],[Tiempo
(Hrs 00/100)]],"cumple","no cumple"),"")</f>
        <v/>
      </c>
      <c r="W4286" s="17"/>
      <c r="X4286" s="18">
        <f t="shared" si="256"/>
        <v>0</v>
      </c>
      <c r="Y4286" t="str">
        <f>SUBSTITUTE(Tabla1[[#This Row],[Descripción]],CHAR(10),"    I    ")</f>
        <v/>
      </c>
      <c r="Z4286" s="112" t="e">
        <f>VLOOKUP(Tabla1[[#This Row],[Perfil]],Catalogos!$B$75:$D$100,3,FALSE)*Tabla1[[#This Row],[Tiempo
(Hrs 00/100)]]*1.16</f>
        <v>#N/A</v>
      </c>
    </row>
    <row r="4287" spans="1:26" ht="30" customHeight="1" x14ac:dyDescent="0.3">
      <c r="A4287" s="106"/>
      <c r="B4287" s="106"/>
      <c r="C4287" s="106"/>
      <c r="D4287" s="106"/>
      <c r="E4287" s="106"/>
      <c r="F4287" s="106"/>
      <c r="G4287" s="106"/>
      <c r="H4287" s="107"/>
      <c r="I4287" s="95"/>
      <c r="J4287" s="706"/>
      <c r="K4287" s="769"/>
      <c r="L4287" s="706"/>
      <c r="M4287" s="781"/>
      <c r="N4287" s="182"/>
      <c r="O4287" s="188"/>
      <c r="P4287" s="221"/>
      <c r="Q4287" s="106"/>
      <c r="R4287" s="108"/>
      <c r="S4287" s="108"/>
      <c r="T4287" s="108"/>
      <c r="U4287" s="108" t="str">
        <f>IFERROR(VLOOKUP(CONCATENATE(Tabla1[[#This Row],[Severidad]]," ",Tabla1[[#This Row],[Complejidad]]),Catalogos!E$120:G$128,3,FALSE),"")</f>
        <v/>
      </c>
      <c r="V4287" s="108" t="str">
        <f>IF(Tabla1[[#This Row],[Tiempo solución max (hrs)]]&lt;&gt;"",IF(Tabla1[[#This Row],[Tiempo solución max (hrs)]]&gt;=Tabla1[[#This Row],[Tiempo
(Hrs 00/100)]],"cumple","no cumple"),"")</f>
        <v/>
      </c>
      <c r="W4287" s="17"/>
      <c r="X4287" s="18">
        <f t="shared" si="256"/>
        <v>0</v>
      </c>
      <c r="Y4287" t="str">
        <f>SUBSTITUTE(Tabla1[[#This Row],[Descripción]],CHAR(10),"    I    ")</f>
        <v/>
      </c>
      <c r="Z4287" s="112" t="e">
        <f>VLOOKUP(Tabla1[[#This Row],[Perfil]],Catalogos!$B$75:$D$100,3,FALSE)*Tabla1[[#This Row],[Tiempo
(Hrs 00/100)]]*1.16</f>
        <v>#N/A</v>
      </c>
    </row>
    <row r="4288" spans="1:26" ht="30" customHeight="1" x14ac:dyDescent="0.3">
      <c r="A4288" s="106"/>
      <c r="B4288" s="106"/>
      <c r="C4288" s="106"/>
      <c r="D4288" s="106"/>
      <c r="E4288" s="106"/>
      <c r="F4288" s="106"/>
      <c r="G4288" s="106"/>
      <c r="H4288" s="107"/>
      <c r="I4288" s="95"/>
      <c r="J4288" s="706"/>
      <c r="K4288" s="769"/>
      <c r="L4288" s="706"/>
      <c r="M4288" s="781"/>
      <c r="N4288" s="182"/>
      <c r="O4288" s="188"/>
      <c r="P4288" s="221"/>
      <c r="Q4288" s="106"/>
      <c r="R4288" s="108"/>
      <c r="S4288" s="108"/>
      <c r="T4288" s="108"/>
      <c r="U4288" s="108" t="str">
        <f>IFERROR(VLOOKUP(CONCATENATE(Tabla1[[#This Row],[Severidad]]," ",Tabla1[[#This Row],[Complejidad]]),Catalogos!E$120:G$128,3,FALSE),"")</f>
        <v/>
      </c>
      <c r="V4288" s="108" t="str">
        <f>IF(Tabla1[[#This Row],[Tiempo solución max (hrs)]]&lt;&gt;"",IF(Tabla1[[#This Row],[Tiempo solución max (hrs)]]&gt;=Tabla1[[#This Row],[Tiempo
(Hrs 00/100)]],"cumple","no cumple"),"")</f>
        <v/>
      </c>
      <c r="W4288" s="17"/>
      <c r="X4288" s="18">
        <f t="shared" si="256"/>
        <v>0</v>
      </c>
      <c r="Y4288" t="str">
        <f>SUBSTITUTE(Tabla1[[#This Row],[Descripción]],CHAR(10),"    I    ")</f>
        <v/>
      </c>
      <c r="Z4288" s="112" t="e">
        <f>VLOOKUP(Tabla1[[#This Row],[Perfil]],Catalogos!$B$75:$D$100,3,FALSE)*Tabla1[[#This Row],[Tiempo
(Hrs 00/100)]]*1.16</f>
        <v>#N/A</v>
      </c>
    </row>
    <row r="4289" spans="1:26" ht="30" customHeight="1" x14ac:dyDescent="0.3">
      <c r="A4289" s="106"/>
      <c r="B4289" s="106"/>
      <c r="C4289" s="106"/>
      <c r="D4289" s="106"/>
      <c r="E4289" s="106"/>
      <c r="F4289" s="106"/>
      <c r="G4289" s="106"/>
      <c r="H4289" s="107"/>
      <c r="I4289" s="95"/>
      <c r="J4289" s="706"/>
      <c r="K4289" s="769"/>
      <c r="L4289" s="706"/>
      <c r="M4289" s="781"/>
      <c r="N4289" s="182"/>
      <c r="O4289" s="188"/>
      <c r="P4289" s="221"/>
      <c r="Q4289" s="106"/>
      <c r="R4289" s="108"/>
      <c r="S4289" s="108"/>
      <c r="T4289" s="108"/>
      <c r="U4289" s="108" t="str">
        <f>IFERROR(VLOOKUP(CONCATENATE(Tabla1[[#This Row],[Severidad]]," ",Tabla1[[#This Row],[Complejidad]]),Catalogos!E$120:G$128,3,FALSE),"")</f>
        <v/>
      </c>
      <c r="V4289" s="108" t="str">
        <f>IF(Tabla1[[#This Row],[Tiempo solución max (hrs)]]&lt;&gt;"",IF(Tabla1[[#This Row],[Tiempo solución max (hrs)]]&gt;=Tabla1[[#This Row],[Tiempo
(Hrs 00/100)]],"cumple","no cumple"),"")</f>
        <v/>
      </c>
      <c r="W4289" s="17"/>
      <c r="X4289" s="18">
        <f t="shared" si="256"/>
        <v>0</v>
      </c>
      <c r="Y4289" t="str">
        <f>SUBSTITUTE(Tabla1[[#This Row],[Descripción]],CHAR(10),"    I    ")</f>
        <v/>
      </c>
      <c r="Z4289" s="112" t="e">
        <f>VLOOKUP(Tabla1[[#This Row],[Perfil]],Catalogos!$B$75:$D$100,3,FALSE)*Tabla1[[#This Row],[Tiempo
(Hrs 00/100)]]*1.16</f>
        <v>#N/A</v>
      </c>
    </row>
    <row r="4290" spans="1:26" ht="30" customHeight="1" x14ac:dyDescent="0.3">
      <c r="A4290" s="106"/>
      <c r="B4290" s="106"/>
      <c r="C4290" s="106"/>
      <c r="D4290" s="106"/>
      <c r="E4290" s="106"/>
      <c r="F4290" s="106"/>
      <c r="G4290" s="106"/>
      <c r="H4290" s="107"/>
      <c r="I4290" s="95"/>
      <c r="J4290" s="706"/>
      <c r="K4290" s="769"/>
      <c r="L4290" s="706"/>
      <c r="M4290" s="781"/>
      <c r="N4290" s="182"/>
      <c r="O4290" s="188"/>
      <c r="P4290" s="221"/>
      <c r="Q4290" s="106"/>
      <c r="R4290" s="108"/>
      <c r="S4290" s="108"/>
      <c r="T4290" s="108"/>
      <c r="U4290" s="108" t="str">
        <f>IFERROR(VLOOKUP(CONCATENATE(Tabla1[[#This Row],[Severidad]]," ",Tabla1[[#This Row],[Complejidad]]),Catalogos!E$120:G$128,3,FALSE),"")</f>
        <v/>
      </c>
      <c r="V4290" s="108" t="str">
        <f>IF(Tabla1[[#This Row],[Tiempo solución max (hrs)]]&lt;&gt;"",IF(Tabla1[[#This Row],[Tiempo solución max (hrs)]]&gt;=Tabla1[[#This Row],[Tiempo
(Hrs 00/100)]],"cumple","no cumple"),"")</f>
        <v/>
      </c>
      <c r="W4290" s="17"/>
      <c r="X4290" s="18">
        <f t="shared" si="256"/>
        <v>0</v>
      </c>
      <c r="Y4290" t="str">
        <f>SUBSTITUTE(Tabla1[[#This Row],[Descripción]],CHAR(10),"    I    ")</f>
        <v/>
      </c>
      <c r="Z4290" s="112" t="e">
        <f>VLOOKUP(Tabla1[[#This Row],[Perfil]],Catalogos!$B$75:$D$100,3,FALSE)*Tabla1[[#This Row],[Tiempo
(Hrs 00/100)]]*1.16</f>
        <v>#N/A</v>
      </c>
    </row>
    <row r="4291" spans="1:26" ht="30" customHeight="1" x14ac:dyDescent="0.3">
      <c r="A4291" s="106"/>
      <c r="B4291" s="106"/>
      <c r="C4291" s="106"/>
      <c r="D4291" s="106"/>
      <c r="E4291" s="106"/>
      <c r="F4291" s="106"/>
      <c r="G4291" s="106"/>
      <c r="H4291" s="107"/>
      <c r="I4291" s="95"/>
      <c r="J4291" s="706"/>
      <c r="K4291" s="769"/>
      <c r="L4291" s="706"/>
      <c r="M4291" s="781"/>
      <c r="N4291" s="182"/>
      <c r="O4291" s="188"/>
      <c r="P4291" s="221"/>
      <c r="Q4291" s="106"/>
      <c r="R4291" s="108"/>
      <c r="S4291" s="108"/>
      <c r="T4291" s="108"/>
      <c r="U4291" s="108" t="str">
        <f>IFERROR(VLOOKUP(CONCATENATE(Tabla1[[#This Row],[Severidad]]," ",Tabla1[[#This Row],[Complejidad]]),Catalogos!E$120:G$128,3,FALSE),"")</f>
        <v/>
      </c>
      <c r="V4291" s="108" t="str">
        <f>IF(Tabla1[[#This Row],[Tiempo solución max (hrs)]]&lt;&gt;"",IF(Tabla1[[#This Row],[Tiempo solución max (hrs)]]&gt;=Tabla1[[#This Row],[Tiempo
(Hrs 00/100)]],"cumple","no cumple"),"")</f>
        <v/>
      </c>
      <c r="W4291" s="17"/>
      <c r="X4291" s="18">
        <f t="shared" ref="X4291:X4354" si="257">IF(C4291&lt;&gt;"",C4291,D4291)</f>
        <v>0</v>
      </c>
      <c r="Y4291" t="str">
        <f>SUBSTITUTE(Tabla1[[#This Row],[Descripción]],CHAR(10),"    I    ")</f>
        <v/>
      </c>
      <c r="Z4291" s="112" t="e">
        <f>VLOOKUP(Tabla1[[#This Row],[Perfil]],Catalogos!$B$75:$D$100,3,FALSE)*Tabla1[[#This Row],[Tiempo
(Hrs 00/100)]]*1.16</f>
        <v>#N/A</v>
      </c>
    </row>
    <row r="4292" spans="1:26" ht="30" customHeight="1" x14ac:dyDescent="0.3">
      <c r="A4292" s="106"/>
      <c r="B4292" s="106"/>
      <c r="C4292" s="106"/>
      <c r="D4292" s="106"/>
      <c r="E4292" s="106"/>
      <c r="F4292" s="106"/>
      <c r="G4292" s="106"/>
      <c r="H4292" s="107"/>
      <c r="I4292" s="95"/>
      <c r="J4292" s="706"/>
      <c r="K4292" s="769"/>
      <c r="L4292" s="706"/>
      <c r="M4292" s="781"/>
      <c r="N4292" s="182"/>
      <c r="O4292" s="188"/>
      <c r="P4292" s="221"/>
      <c r="Q4292" s="106"/>
      <c r="R4292" s="108"/>
      <c r="S4292" s="108"/>
      <c r="T4292" s="108"/>
      <c r="U4292" s="108" t="str">
        <f>IFERROR(VLOOKUP(CONCATENATE(Tabla1[[#This Row],[Severidad]]," ",Tabla1[[#This Row],[Complejidad]]),Catalogos!E$120:G$128,3,FALSE),"")</f>
        <v/>
      </c>
      <c r="V4292" s="108" t="str">
        <f>IF(Tabla1[[#This Row],[Tiempo solución max (hrs)]]&lt;&gt;"",IF(Tabla1[[#This Row],[Tiempo solución max (hrs)]]&gt;=Tabla1[[#This Row],[Tiempo
(Hrs 00/100)]],"cumple","no cumple"),"")</f>
        <v/>
      </c>
      <c r="W4292" s="17"/>
      <c r="X4292" s="18">
        <f t="shared" si="257"/>
        <v>0</v>
      </c>
      <c r="Y4292" t="str">
        <f>SUBSTITUTE(Tabla1[[#This Row],[Descripción]],CHAR(10),"    I    ")</f>
        <v/>
      </c>
      <c r="Z4292" s="112" t="e">
        <f>VLOOKUP(Tabla1[[#This Row],[Perfil]],Catalogos!$B$75:$D$100,3,FALSE)*Tabla1[[#This Row],[Tiempo
(Hrs 00/100)]]*1.16</f>
        <v>#N/A</v>
      </c>
    </row>
    <row r="4293" spans="1:26" ht="30" customHeight="1" x14ac:dyDescent="0.3">
      <c r="A4293" s="106"/>
      <c r="B4293" s="106"/>
      <c r="C4293" s="106"/>
      <c r="D4293" s="106"/>
      <c r="E4293" s="106"/>
      <c r="F4293" s="106"/>
      <c r="G4293" s="106"/>
      <c r="H4293" s="107"/>
      <c r="I4293" s="95"/>
      <c r="J4293" s="706"/>
      <c r="K4293" s="769"/>
      <c r="L4293" s="706"/>
      <c r="M4293" s="781"/>
      <c r="N4293" s="182"/>
      <c r="O4293" s="188"/>
      <c r="P4293" s="221"/>
      <c r="Q4293" s="106"/>
      <c r="R4293" s="108"/>
      <c r="S4293" s="108"/>
      <c r="T4293" s="108"/>
      <c r="U4293" s="108" t="str">
        <f>IFERROR(VLOOKUP(CONCATENATE(Tabla1[[#This Row],[Severidad]]," ",Tabla1[[#This Row],[Complejidad]]),Catalogos!E$120:G$128,3,FALSE),"")</f>
        <v/>
      </c>
      <c r="V4293" s="108" t="str">
        <f>IF(Tabla1[[#This Row],[Tiempo solución max (hrs)]]&lt;&gt;"",IF(Tabla1[[#This Row],[Tiempo solución max (hrs)]]&gt;=Tabla1[[#This Row],[Tiempo
(Hrs 00/100)]],"cumple","no cumple"),"")</f>
        <v/>
      </c>
      <c r="W4293" s="17"/>
      <c r="X4293" s="18">
        <f t="shared" si="257"/>
        <v>0</v>
      </c>
      <c r="Y4293" t="str">
        <f>SUBSTITUTE(Tabla1[[#This Row],[Descripción]],CHAR(10),"    I    ")</f>
        <v/>
      </c>
      <c r="Z4293" s="112" t="e">
        <f>VLOOKUP(Tabla1[[#This Row],[Perfil]],Catalogos!$B$75:$D$100,3,FALSE)*Tabla1[[#This Row],[Tiempo
(Hrs 00/100)]]*1.16</f>
        <v>#N/A</v>
      </c>
    </row>
    <row r="4294" spans="1:26" ht="30" customHeight="1" x14ac:dyDescent="0.3">
      <c r="A4294" s="106"/>
      <c r="B4294" s="106"/>
      <c r="C4294" s="106"/>
      <c r="D4294" s="106"/>
      <c r="E4294" s="106"/>
      <c r="F4294" s="106"/>
      <c r="G4294" s="106"/>
      <c r="H4294" s="107"/>
      <c r="I4294" s="95"/>
      <c r="J4294" s="706"/>
      <c r="K4294" s="769"/>
      <c r="L4294" s="706"/>
      <c r="M4294" s="781"/>
      <c r="N4294" s="182"/>
      <c r="O4294" s="188"/>
      <c r="P4294" s="221"/>
      <c r="Q4294" s="106"/>
      <c r="R4294" s="108"/>
      <c r="S4294" s="108"/>
      <c r="T4294" s="108"/>
      <c r="U4294" s="108" t="str">
        <f>IFERROR(VLOOKUP(CONCATENATE(Tabla1[[#This Row],[Severidad]]," ",Tabla1[[#This Row],[Complejidad]]),Catalogos!E$120:G$128,3,FALSE),"")</f>
        <v/>
      </c>
      <c r="V4294" s="108" t="str">
        <f>IF(Tabla1[[#This Row],[Tiempo solución max (hrs)]]&lt;&gt;"",IF(Tabla1[[#This Row],[Tiempo solución max (hrs)]]&gt;=Tabla1[[#This Row],[Tiempo
(Hrs 00/100)]],"cumple","no cumple"),"")</f>
        <v/>
      </c>
      <c r="W4294" s="17"/>
      <c r="X4294" s="18">
        <f t="shared" si="257"/>
        <v>0</v>
      </c>
      <c r="Y4294" t="str">
        <f>SUBSTITUTE(Tabla1[[#This Row],[Descripción]],CHAR(10),"    I    ")</f>
        <v/>
      </c>
      <c r="Z4294" s="112" t="e">
        <f>VLOOKUP(Tabla1[[#This Row],[Perfil]],Catalogos!$B$75:$D$100,3,FALSE)*Tabla1[[#This Row],[Tiempo
(Hrs 00/100)]]*1.16</f>
        <v>#N/A</v>
      </c>
    </row>
    <row r="4295" spans="1:26" ht="30" customHeight="1" x14ac:dyDescent="0.3">
      <c r="A4295" s="106"/>
      <c r="B4295" s="106"/>
      <c r="C4295" s="106"/>
      <c r="D4295" s="106"/>
      <c r="E4295" s="106"/>
      <c r="F4295" s="106"/>
      <c r="G4295" s="106"/>
      <c r="H4295" s="107"/>
      <c r="I4295" s="95"/>
      <c r="J4295" s="706"/>
      <c r="K4295" s="769"/>
      <c r="L4295" s="706"/>
      <c r="M4295" s="781"/>
      <c r="N4295" s="182"/>
      <c r="O4295" s="188"/>
      <c r="P4295" s="221"/>
      <c r="Q4295" s="106"/>
      <c r="R4295" s="108"/>
      <c r="S4295" s="108"/>
      <c r="T4295" s="108"/>
      <c r="U4295" s="108" t="str">
        <f>IFERROR(VLOOKUP(CONCATENATE(Tabla1[[#This Row],[Severidad]]," ",Tabla1[[#This Row],[Complejidad]]),Catalogos!E$120:G$128,3,FALSE),"")</f>
        <v/>
      </c>
      <c r="V4295" s="108" t="str">
        <f>IF(Tabla1[[#This Row],[Tiempo solución max (hrs)]]&lt;&gt;"",IF(Tabla1[[#This Row],[Tiempo solución max (hrs)]]&gt;=Tabla1[[#This Row],[Tiempo
(Hrs 00/100)]],"cumple","no cumple"),"")</f>
        <v/>
      </c>
      <c r="W4295" s="17"/>
      <c r="X4295" s="18">
        <f t="shared" si="257"/>
        <v>0</v>
      </c>
      <c r="Y4295" t="str">
        <f>SUBSTITUTE(Tabla1[[#This Row],[Descripción]],CHAR(10),"    I    ")</f>
        <v/>
      </c>
      <c r="Z4295" s="112" t="e">
        <f>VLOOKUP(Tabla1[[#This Row],[Perfil]],Catalogos!$B$75:$D$100,3,FALSE)*Tabla1[[#This Row],[Tiempo
(Hrs 00/100)]]*1.16</f>
        <v>#N/A</v>
      </c>
    </row>
    <row r="4296" spans="1:26" ht="30" customHeight="1" x14ac:dyDescent="0.3">
      <c r="A4296" s="106"/>
      <c r="B4296" s="106"/>
      <c r="C4296" s="106"/>
      <c r="D4296" s="106"/>
      <c r="E4296" s="106"/>
      <c r="F4296" s="106"/>
      <c r="G4296" s="106"/>
      <c r="H4296" s="107"/>
      <c r="I4296" s="95"/>
      <c r="J4296" s="706"/>
      <c r="K4296" s="769"/>
      <c r="L4296" s="706"/>
      <c r="M4296" s="781"/>
      <c r="N4296" s="182"/>
      <c r="O4296" s="188"/>
      <c r="P4296" s="221"/>
      <c r="Q4296" s="106"/>
      <c r="R4296" s="108"/>
      <c r="S4296" s="108"/>
      <c r="T4296" s="108"/>
      <c r="U4296" s="108" t="str">
        <f>IFERROR(VLOOKUP(CONCATENATE(Tabla1[[#This Row],[Severidad]]," ",Tabla1[[#This Row],[Complejidad]]),Catalogos!E$120:G$128,3,FALSE),"")</f>
        <v/>
      </c>
      <c r="V4296" s="108" t="str">
        <f>IF(Tabla1[[#This Row],[Tiempo solución max (hrs)]]&lt;&gt;"",IF(Tabla1[[#This Row],[Tiempo solución max (hrs)]]&gt;=Tabla1[[#This Row],[Tiempo
(Hrs 00/100)]],"cumple","no cumple"),"")</f>
        <v/>
      </c>
      <c r="W4296" s="17"/>
      <c r="X4296" s="18">
        <f t="shared" si="257"/>
        <v>0</v>
      </c>
      <c r="Y4296" t="str">
        <f>SUBSTITUTE(Tabla1[[#This Row],[Descripción]],CHAR(10),"    I    ")</f>
        <v/>
      </c>
      <c r="Z4296" s="112" t="e">
        <f>VLOOKUP(Tabla1[[#This Row],[Perfil]],Catalogos!$B$75:$D$100,3,FALSE)*Tabla1[[#This Row],[Tiempo
(Hrs 00/100)]]*1.16</f>
        <v>#N/A</v>
      </c>
    </row>
    <row r="4297" spans="1:26" ht="30" customHeight="1" x14ac:dyDescent="0.3">
      <c r="A4297" s="106"/>
      <c r="B4297" s="106"/>
      <c r="C4297" s="106"/>
      <c r="D4297" s="106"/>
      <c r="E4297" s="106"/>
      <c r="F4297" s="106"/>
      <c r="G4297" s="106"/>
      <c r="H4297" s="107"/>
      <c r="I4297" s="95"/>
      <c r="J4297" s="706"/>
      <c r="K4297" s="769"/>
      <c r="L4297" s="706"/>
      <c r="M4297" s="781"/>
      <c r="N4297" s="182"/>
      <c r="O4297" s="188"/>
      <c r="P4297" s="221"/>
      <c r="Q4297" s="106"/>
      <c r="R4297" s="108"/>
      <c r="S4297" s="108"/>
      <c r="T4297" s="108"/>
      <c r="U4297" s="108" t="str">
        <f>IFERROR(VLOOKUP(CONCATENATE(Tabla1[[#This Row],[Severidad]]," ",Tabla1[[#This Row],[Complejidad]]),Catalogos!E$120:G$128,3,FALSE),"")</f>
        <v/>
      </c>
      <c r="V4297" s="108" t="str">
        <f>IF(Tabla1[[#This Row],[Tiempo solución max (hrs)]]&lt;&gt;"",IF(Tabla1[[#This Row],[Tiempo solución max (hrs)]]&gt;=Tabla1[[#This Row],[Tiempo
(Hrs 00/100)]],"cumple","no cumple"),"")</f>
        <v/>
      </c>
      <c r="W4297" s="17"/>
      <c r="X4297" s="18">
        <f t="shared" si="257"/>
        <v>0</v>
      </c>
      <c r="Y4297" t="str">
        <f>SUBSTITUTE(Tabla1[[#This Row],[Descripción]],CHAR(10),"    I    ")</f>
        <v/>
      </c>
      <c r="Z4297" s="112" t="e">
        <f>VLOOKUP(Tabla1[[#This Row],[Perfil]],Catalogos!$B$75:$D$100,3,FALSE)*Tabla1[[#This Row],[Tiempo
(Hrs 00/100)]]*1.16</f>
        <v>#N/A</v>
      </c>
    </row>
    <row r="4298" spans="1:26" ht="30" customHeight="1" x14ac:dyDescent="0.3">
      <c r="A4298" s="106"/>
      <c r="B4298" s="106"/>
      <c r="C4298" s="106"/>
      <c r="D4298" s="106"/>
      <c r="E4298" s="106"/>
      <c r="F4298" s="106"/>
      <c r="G4298" s="106"/>
      <c r="H4298" s="107"/>
      <c r="I4298" s="95"/>
      <c r="J4298" s="706"/>
      <c r="K4298" s="769"/>
      <c r="L4298" s="706"/>
      <c r="M4298" s="781"/>
      <c r="N4298" s="182"/>
      <c r="O4298" s="188"/>
      <c r="P4298" s="221"/>
      <c r="Q4298" s="106"/>
      <c r="R4298" s="108"/>
      <c r="S4298" s="108"/>
      <c r="T4298" s="108"/>
      <c r="U4298" s="108" t="str">
        <f>IFERROR(VLOOKUP(CONCATENATE(Tabla1[[#This Row],[Severidad]]," ",Tabla1[[#This Row],[Complejidad]]),Catalogos!E$120:G$128,3,FALSE),"")</f>
        <v/>
      </c>
      <c r="V4298" s="108" t="str">
        <f>IF(Tabla1[[#This Row],[Tiempo solución max (hrs)]]&lt;&gt;"",IF(Tabla1[[#This Row],[Tiempo solución max (hrs)]]&gt;=Tabla1[[#This Row],[Tiempo
(Hrs 00/100)]],"cumple","no cumple"),"")</f>
        <v/>
      </c>
      <c r="W4298" s="17"/>
      <c r="X4298" s="18">
        <f t="shared" si="257"/>
        <v>0</v>
      </c>
      <c r="Y4298" t="str">
        <f>SUBSTITUTE(Tabla1[[#This Row],[Descripción]],CHAR(10),"    I    ")</f>
        <v/>
      </c>
      <c r="Z4298" s="112" t="e">
        <f>VLOOKUP(Tabla1[[#This Row],[Perfil]],Catalogos!$B$75:$D$100,3,FALSE)*Tabla1[[#This Row],[Tiempo
(Hrs 00/100)]]*1.16</f>
        <v>#N/A</v>
      </c>
    </row>
    <row r="4299" spans="1:26" ht="30" customHeight="1" x14ac:dyDescent="0.3">
      <c r="A4299" s="106"/>
      <c r="B4299" s="106"/>
      <c r="C4299" s="106"/>
      <c r="D4299" s="106"/>
      <c r="E4299" s="106"/>
      <c r="F4299" s="106"/>
      <c r="G4299" s="106"/>
      <c r="H4299" s="107"/>
      <c r="I4299" s="95"/>
      <c r="J4299" s="706"/>
      <c r="K4299" s="769"/>
      <c r="L4299" s="706"/>
      <c r="M4299" s="781"/>
      <c r="N4299" s="182"/>
      <c r="O4299" s="188"/>
      <c r="P4299" s="221"/>
      <c r="Q4299" s="106"/>
      <c r="R4299" s="108"/>
      <c r="S4299" s="108"/>
      <c r="T4299" s="108"/>
      <c r="U4299" s="108" t="str">
        <f>IFERROR(VLOOKUP(CONCATENATE(Tabla1[[#This Row],[Severidad]]," ",Tabla1[[#This Row],[Complejidad]]),Catalogos!E$120:G$128,3,FALSE),"")</f>
        <v/>
      </c>
      <c r="V4299" s="108" t="str">
        <f>IF(Tabla1[[#This Row],[Tiempo solución max (hrs)]]&lt;&gt;"",IF(Tabla1[[#This Row],[Tiempo solución max (hrs)]]&gt;=Tabla1[[#This Row],[Tiempo
(Hrs 00/100)]],"cumple","no cumple"),"")</f>
        <v/>
      </c>
      <c r="W4299" s="17"/>
      <c r="X4299" s="18">
        <f t="shared" si="257"/>
        <v>0</v>
      </c>
      <c r="Y4299" t="str">
        <f>SUBSTITUTE(Tabla1[[#This Row],[Descripción]],CHAR(10),"    I    ")</f>
        <v/>
      </c>
      <c r="Z4299" s="112" t="e">
        <f>VLOOKUP(Tabla1[[#This Row],[Perfil]],Catalogos!$B$75:$D$100,3,FALSE)*Tabla1[[#This Row],[Tiempo
(Hrs 00/100)]]*1.16</f>
        <v>#N/A</v>
      </c>
    </row>
    <row r="4300" spans="1:26" ht="30" customHeight="1" x14ac:dyDescent="0.3">
      <c r="A4300" s="106"/>
      <c r="B4300" s="106"/>
      <c r="C4300" s="106"/>
      <c r="D4300" s="106"/>
      <c r="E4300" s="106"/>
      <c r="F4300" s="106"/>
      <c r="G4300" s="106"/>
      <c r="H4300" s="107"/>
      <c r="I4300" s="95"/>
      <c r="J4300" s="706"/>
      <c r="K4300" s="769"/>
      <c r="L4300" s="706"/>
      <c r="M4300" s="781"/>
      <c r="N4300" s="182"/>
      <c r="O4300" s="188"/>
      <c r="P4300" s="221"/>
      <c r="Q4300" s="106"/>
      <c r="R4300" s="108"/>
      <c r="S4300" s="108"/>
      <c r="T4300" s="108"/>
      <c r="U4300" s="108" t="str">
        <f>IFERROR(VLOOKUP(CONCATENATE(Tabla1[[#This Row],[Severidad]]," ",Tabla1[[#This Row],[Complejidad]]),Catalogos!E$120:G$128,3,FALSE),"")</f>
        <v/>
      </c>
      <c r="V4300" s="108" t="str">
        <f>IF(Tabla1[[#This Row],[Tiempo solución max (hrs)]]&lt;&gt;"",IF(Tabla1[[#This Row],[Tiempo solución max (hrs)]]&gt;=Tabla1[[#This Row],[Tiempo
(Hrs 00/100)]],"cumple","no cumple"),"")</f>
        <v/>
      </c>
      <c r="W4300" s="17"/>
      <c r="X4300" s="18">
        <f t="shared" si="257"/>
        <v>0</v>
      </c>
      <c r="Y4300" t="str">
        <f>SUBSTITUTE(Tabla1[[#This Row],[Descripción]],CHAR(10),"    I    ")</f>
        <v/>
      </c>
      <c r="Z4300" s="112" t="e">
        <f>VLOOKUP(Tabla1[[#This Row],[Perfil]],Catalogos!$B$75:$D$100,3,FALSE)*Tabla1[[#This Row],[Tiempo
(Hrs 00/100)]]*1.16</f>
        <v>#N/A</v>
      </c>
    </row>
    <row r="4301" spans="1:26" ht="30" customHeight="1" x14ac:dyDescent="0.3">
      <c r="A4301" s="106"/>
      <c r="B4301" s="106"/>
      <c r="C4301" s="106"/>
      <c r="D4301" s="106"/>
      <c r="E4301" s="106"/>
      <c r="F4301" s="106"/>
      <c r="G4301" s="106"/>
      <c r="H4301" s="107"/>
      <c r="I4301" s="95"/>
      <c r="J4301" s="706"/>
      <c r="K4301" s="769"/>
      <c r="L4301" s="706"/>
      <c r="M4301" s="781"/>
      <c r="N4301" s="182"/>
      <c r="O4301" s="188"/>
      <c r="P4301" s="221"/>
      <c r="Q4301" s="106"/>
      <c r="R4301" s="108"/>
      <c r="S4301" s="108"/>
      <c r="T4301" s="108"/>
      <c r="U4301" s="108" t="str">
        <f>IFERROR(VLOOKUP(CONCATENATE(Tabla1[[#This Row],[Severidad]]," ",Tabla1[[#This Row],[Complejidad]]),Catalogos!E$120:G$128,3,FALSE),"")</f>
        <v/>
      </c>
      <c r="V4301" s="108" t="str">
        <f>IF(Tabla1[[#This Row],[Tiempo solución max (hrs)]]&lt;&gt;"",IF(Tabla1[[#This Row],[Tiempo solución max (hrs)]]&gt;=Tabla1[[#This Row],[Tiempo
(Hrs 00/100)]],"cumple","no cumple"),"")</f>
        <v/>
      </c>
      <c r="W4301" s="17"/>
      <c r="X4301" s="18">
        <f t="shared" si="257"/>
        <v>0</v>
      </c>
      <c r="Y4301" t="str">
        <f>SUBSTITUTE(Tabla1[[#This Row],[Descripción]],CHAR(10),"    I    ")</f>
        <v/>
      </c>
      <c r="Z4301" s="112" t="e">
        <f>VLOOKUP(Tabla1[[#This Row],[Perfil]],Catalogos!$B$75:$D$100,3,FALSE)*Tabla1[[#This Row],[Tiempo
(Hrs 00/100)]]*1.16</f>
        <v>#N/A</v>
      </c>
    </row>
    <row r="4302" spans="1:26" ht="30" customHeight="1" x14ac:dyDescent="0.3">
      <c r="A4302" s="106"/>
      <c r="B4302" s="106"/>
      <c r="C4302" s="106"/>
      <c r="D4302" s="106"/>
      <c r="E4302" s="106"/>
      <c r="F4302" s="106"/>
      <c r="G4302" s="106"/>
      <c r="H4302" s="107"/>
      <c r="I4302" s="95"/>
      <c r="J4302" s="706"/>
      <c r="K4302" s="769"/>
      <c r="L4302" s="706"/>
      <c r="M4302" s="781"/>
      <c r="N4302" s="182"/>
      <c r="O4302" s="188"/>
      <c r="P4302" s="221"/>
      <c r="Q4302" s="106"/>
      <c r="R4302" s="108"/>
      <c r="S4302" s="108"/>
      <c r="T4302" s="108"/>
      <c r="U4302" s="108" t="str">
        <f>IFERROR(VLOOKUP(CONCATENATE(Tabla1[[#This Row],[Severidad]]," ",Tabla1[[#This Row],[Complejidad]]),Catalogos!E$120:G$128,3,FALSE),"")</f>
        <v/>
      </c>
      <c r="V4302" s="108" t="str">
        <f>IF(Tabla1[[#This Row],[Tiempo solución max (hrs)]]&lt;&gt;"",IF(Tabla1[[#This Row],[Tiempo solución max (hrs)]]&gt;=Tabla1[[#This Row],[Tiempo
(Hrs 00/100)]],"cumple","no cumple"),"")</f>
        <v/>
      </c>
      <c r="W4302" s="17"/>
      <c r="X4302" s="18">
        <f t="shared" si="257"/>
        <v>0</v>
      </c>
      <c r="Y4302" t="str">
        <f>SUBSTITUTE(Tabla1[[#This Row],[Descripción]],CHAR(10),"    I    ")</f>
        <v/>
      </c>
      <c r="Z4302" s="112" t="e">
        <f>VLOOKUP(Tabla1[[#This Row],[Perfil]],Catalogos!$B$75:$D$100,3,FALSE)*Tabla1[[#This Row],[Tiempo
(Hrs 00/100)]]*1.16</f>
        <v>#N/A</v>
      </c>
    </row>
    <row r="4303" spans="1:26" ht="30" customHeight="1" x14ac:dyDescent="0.3">
      <c r="A4303" s="106"/>
      <c r="B4303" s="106"/>
      <c r="C4303" s="106"/>
      <c r="D4303" s="106"/>
      <c r="E4303" s="106"/>
      <c r="F4303" s="106"/>
      <c r="G4303" s="106"/>
      <c r="H4303" s="107"/>
      <c r="I4303" s="95"/>
      <c r="J4303" s="706"/>
      <c r="K4303" s="769"/>
      <c r="L4303" s="706"/>
      <c r="M4303" s="781"/>
      <c r="N4303" s="182"/>
      <c r="O4303" s="188"/>
      <c r="P4303" s="221"/>
      <c r="Q4303" s="106"/>
      <c r="R4303" s="108"/>
      <c r="S4303" s="108"/>
      <c r="T4303" s="108"/>
      <c r="U4303" s="108" t="str">
        <f>IFERROR(VLOOKUP(CONCATENATE(Tabla1[[#This Row],[Severidad]]," ",Tabla1[[#This Row],[Complejidad]]),Catalogos!E$120:G$128,3,FALSE),"")</f>
        <v/>
      </c>
      <c r="V4303" s="108" t="str">
        <f>IF(Tabla1[[#This Row],[Tiempo solución max (hrs)]]&lt;&gt;"",IF(Tabla1[[#This Row],[Tiempo solución max (hrs)]]&gt;=Tabla1[[#This Row],[Tiempo
(Hrs 00/100)]],"cumple","no cumple"),"")</f>
        <v/>
      </c>
      <c r="W4303" s="17"/>
      <c r="X4303" s="18">
        <f t="shared" si="257"/>
        <v>0</v>
      </c>
      <c r="Y4303" t="str">
        <f>SUBSTITUTE(Tabla1[[#This Row],[Descripción]],CHAR(10),"    I    ")</f>
        <v/>
      </c>
      <c r="Z4303" s="112" t="e">
        <f>VLOOKUP(Tabla1[[#This Row],[Perfil]],Catalogos!$B$75:$D$100,3,FALSE)*Tabla1[[#This Row],[Tiempo
(Hrs 00/100)]]*1.16</f>
        <v>#N/A</v>
      </c>
    </row>
    <row r="4304" spans="1:26" ht="30" customHeight="1" x14ac:dyDescent="0.3">
      <c r="A4304" s="106"/>
      <c r="B4304" s="106"/>
      <c r="C4304" s="106"/>
      <c r="D4304" s="106"/>
      <c r="E4304" s="106"/>
      <c r="F4304" s="106"/>
      <c r="G4304" s="106"/>
      <c r="H4304" s="107"/>
      <c r="I4304" s="95"/>
      <c r="J4304" s="706"/>
      <c r="K4304" s="769"/>
      <c r="L4304" s="706"/>
      <c r="M4304" s="781"/>
      <c r="N4304" s="182"/>
      <c r="O4304" s="188"/>
      <c r="P4304" s="221"/>
      <c r="Q4304" s="106"/>
      <c r="R4304" s="108"/>
      <c r="S4304" s="108"/>
      <c r="T4304" s="108"/>
      <c r="U4304" s="108" t="str">
        <f>IFERROR(VLOOKUP(CONCATENATE(Tabla1[[#This Row],[Severidad]]," ",Tabla1[[#This Row],[Complejidad]]),Catalogos!E$120:G$128,3,FALSE),"")</f>
        <v/>
      </c>
      <c r="V4304" s="108" t="str">
        <f>IF(Tabla1[[#This Row],[Tiempo solución max (hrs)]]&lt;&gt;"",IF(Tabla1[[#This Row],[Tiempo solución max (hrs)]]&gt;=Tabla1[[#This Row],[Tiempo
(Hrs 00/100)]],"cumple","no cumple"),"")</f>
        <v/>
      </c>
      <c r="W4304" s="17"/>
      <c r="X4304" s="18">
        <f t="shared" si="257"/>
        <v>0</v>
      </c>
      <c r="Y4304" t="str">
        <f>SUBSTITUTE(Tabla1[[#This Row],[Descripción]],CHAR(10),"    I    ")</f>
        <v/>
      </c>
      <c r="Z4304" s="112" t="e">
        <f>VLOOKUP(Tabla1[[#This Row],[Perfil]],Catalogos!$B$75:$D$100,3,FALSE)*Tabla1[[#This Row],[Tiempo
(Hrs 00/100)]]*1.16</f>
        <v>#N/A</v>
      </c>
    </row>
    <row r="4305" spans="1:26" ht="30" customHeight="1" x14ac:dyDescent="0.3">
      <c r="A4305" s="106"/>
      <c r="B4305" s="106"/>
      <c r="C4305" s="106"/>
      <c r="D4305" s="106"/>
      <c r="E4305" s="106"/>
      <c r="F4305" s="106"/>
      <c r="G4305" s="106"/>
      <c r="H4305" s="107"/>
      <c r="I4305" s="95"/>
      <c r="J4305" s="706"/>
      <c r="K4305" s="769"/>
      <c r="L4305" s="706"/>
      <c r="M4305" s="781"/>
      <c r="N4305" s="182"/>
      <c r="O4305" s="188"/>
      <c r="P4305" s="221"/>
      <c r="Q4305" s="106"/>
      <c r="R4305" s="108"/>
      <c r="S4305" s="108"/>
      <c r="T4305" s="108"/>
      <c r="U4305" s="108" t="str">
        <f>IFERROR(VLOOKUP(CONCATENATE(Tabla1[[#This Row],[Severidad]]," ",Tabla1[[#This Row],[Complejidad]]),Catalogos!E$120:G$128,3,FALSE),"")</f>
        <v/>
      </c>
      <c r="V4305" s="108" t="str">
        <f>IF(Tabla1[[#This Row],[Tiempo solución max (hrs)]]&lt;&gt;"",IF(Tabla1[[#This Row],[Tiempo solución max (hrs)]]&gt;=Tabla1[[#This Row],[Tiempo
(Hrs 00/100)]],"cumple","no cumple"),"")</f>
        <v/>
      </c>
      <c r="W4305" s="17"/>
      <c r="X4305" s="18">
        <f t="shared" si="257"/>
        <v>0</v>
      </c>
      <c r="Y4305" t="str">
        <f>SUBSTITUTE(Tabla1[[#This Row],[Descripción]],CHAR(10),"    I    ")</f>
        <v/>
      </c>
      <c r="Z4305" s="112" t="e">
        <f>VLOOKUP(Tabla1[[#This Row],[Perfil]],Catalogos!$B$75:$D$100,3,FALSE)*Tabla1[[#This Row],[Tiempo
(Hrs 00/100)]]*1.16</f>
        <v>#N/A</v>
      </c>
    </row>
    <row r="4306" spans="1:26" ht="30" customHeight="1" x14ac:dyDescent="0.3">
      <c r="A4306" s="106"/>
      <c r="B4306" s="106"/>
      <c r="C4306" s="106"/>
      <c r="D4306" s="106"/>
      <c r="E4306" s="106"/>
      <c r="F4306" s="106"/>
      <c r="G4306" s="106"/>
      <c r="H4306" s="107"/>
      <c r="I4306" s="95"/>
      <c r="J4306" s="706"/>
      <c r="K4306" s="769"/>
      <c r="L4306" s="706"/>
      <c r="M4306" s="781"/>
      <c r="N4306" s="182"/>
      <c r="O4306" s="188"/>
      <c r="P4306" s="221"/>
      <c r="Q4306" s="106"/>
      <c r="R4306" s="108"/>
      <c r="S4306" s="108"/>
      <c r="T4306" s="108"/>
      <c r="U4306" s="108" t="str">
        <f>IFERROR(VLOOKUP(CONCATENATE(Tabla1[[#This Row],[Severidad]]," ",Tabla1[[#This Row],[Complejidad]]),Catalogos!E$120:G$128,3,FALSE),"")</f>
        <v/>
      </c>
      <c r="V4306" s="108" t="str">
        <f>IF(Tabla1[[#This Row],[Tiempo solución max (hrs)]]&lt;&gt;"",IF(Tabla1[[#This Row],[Tiempo solución max (hrs)]]&gt;=Tabla1[[#This Row],[Tiempo
(Hrs 00/100)]],"cumple","no cumple"),"")</f>
        <v/>
      </c>
      <c r="W4306" s="17"/>
      <c r="X4306" s="18">
        <f t="shared" si="257"/>
        <v>0</v>
      </c>
      <c r="Y4306" t="str">
        <f>SUBSTITUTE(Tabla1[[#This Row],[Descripción]],CHAR(10),"    I    ")</f>
        <v/>
      </c>
      <c r="Z4306" s="112" t="e">
        <f>VLOOKUP(Tabla1[[#This Row],[Perfil]],Catalogos!$B$75:$D$100,3,FALSE)*Tabla1[[#This Row],[Tiempo
(Hrs 00/100)]]*1.16</f>
        <v>#N/A</v>
      </c>
    </row>
    <row r="4307" spans="1:26" ht="30" customHeight="1" x14ac:dyDescent="0.3">
      <c r="A4307" s="106"/>
      <c r="B4307" s="106"/>
      <c r="C4307" s="106"/>
      <c r="D4307" s="106"/>
      <c r="E4307" s="106"/>
      <c r="F4307" s="106"/>
      <c r="G4307" s="106"/>
      <c r="H4307" s="107"/>
      <c r="I4307" s="95"/>
      <c r="J4307" s="706"/>
      <c r="K4307" s="769"/>
      <c r="L4307" s="706"/>
      <c r="M4307" s="781"/>
      <c r="N4307" s="182"/>
      <c r="O4307" s="188"/>
      <c r="P4307" s="221"/>
      <c r="Q4307" s="106"/>
      <c r="R4307" s="108"/>
      <c r="S4307" s="108"/>
      <c r="T4307" s="108"/>
      <c r="U4307" s="108" t="str">
        <f>IFERROR(VLOOKUP(CONCATENATE(Tabla1[[#This Row],[Severidad]]," ",Tabla1[[#This Row],[Complejidad]]),Catalogos!E$120:G$128,3,FALSE),"")</f>
        <v/>
      </c>
      <c r="V4307" s="108" t="str">
        <f>IF(Tabla1[[#This Row],[Tiempo solución max (hrs)]]&lt;&gt;"",IF(Tabla1[[#This Row],[Tiempo solución max (hrs)]]&gt;=Tabla1[[#This Row],[Tiempo
(Hrs 00/100)]],"cumple","no cumple"),"")</f>
        <v/>
      </c>
      <c r="W4307" s="17"/>
      <c r="X4307" s="18">
        <f t="shared" si="257"/>
        <v>0</v>
      </c>
      <c r="Y4307" t="str">
        <f>SUBSTITUTE(Tabla1[[#This Row],[Descripción]],CHAR(10),"    I    ")</f>
        <v/>
      </c>
      <c r="Z4307" s="112" t="e">
        <f>VLOOKUP(Tabla1[[#This Row],[Perfil]],Catalogos!$B$75:$D$100,3,FALSE)*Tabla1[[#This Row],[Tiempo
(Hrs 00/100)]]*1.16</f>
        <v>#N/A</v>
      </c>
    </row>
    <row r="4308" spans="1:26" ht="30" customHeight="1" x14ac:dyDescent="0.3">
      <c r="A4308" s="106"/>
      <c r="B4308" s="106"/>
      <c r="C4308" s="106"/>
      <c r="D4308" s="106"/>
      <c r="E4308" s="106"/>
      <c r="F4308" s="106"/>
      <c r="G4308" s="106"/>
      <c r="H4308" s="107"/>
      <c r="I4308" s="95"/>
      <c r="J4308" s="706"/>
      <c r="K4308" s="769"/>
      <c r="L4308" s="706"/>
      <c r="M4308" s="781"/>
      <c r="N4308" s="182"/>
      <c r="O4308" s="188"/>
      <c r="P4308" s="221"/>
      <c r="Q4308" s="106"/>
      <c r="R4308" s="108"/>
      <c r="S4308" s="108"/>
      <c r="T4308" s="108"/>
      <c r="U4308" s="108" t="str">
        <f>IFERROR(VLOOKUP(CONCATENATE(Tabla1[[#This Row],[Severidad]]," ",Tabla1[[#This Row],[Complejidad]]),Catalogos!E$120:G$128,3,FALSE),"")</f>
        <v/>
      </c>
      <c r="V4308" s="108" t="str">
        <f>IF(Tabla1[[#This Row],[Tiempo solución max (hrs)]]&lt;&gt;"",IF(Tabla1[[#This Row],[Tiempo solución max (hrs)]]&gt;=Tabla1[[#This Row],[Tiempo
(Hrs 00/100)]],"cumple","no cumple"),"")</f>
        <v/>
      </c>
      <c r="W4308" s="17"/>
      <c r="X4308" s="18">
        <f t="shared" si="257"/>
        <v>0</v>
      </c>
      <c r="Y4308" t="str">
        <f>SUBSTITUTE(Tabla1[[#This Row],[Descripción]],CHAR(10),"    I    ")</f>
        <v/>
      </c>
      <c r="Z4308" s="112" t="e">
        <f>VLOOKUP(Tabla1[[#This Row],[Perfil]],Catalogos!$B$75:$D$100,3,FALSE)*Tabla1[[#This Row],[Tiempo
(Hrs 00/100)]]*1.16</f>
        <v>#N/A</v>
      </c>
    </row>
    <row r="4309" spans="1:26" ht="30" customHeight="1" x14ac:dyDescent="0.3">
      <c r="A4309" s="106"/>
      <c r="B4309" s="106"/>
      <c r="C4309" s="106"/>
      <c r="D4309" s="106"/>
      <c r="E4309" s="106"/>
      <c r="F4309" s="106"/>
      <c r="G4309" s="106"/>
      <c r="H4309" s="107"/>
      <c r="I4309" s="95"/>
      <c r="J4309" s="706"/>
      <c r="K4309" s="769"/>
      <c r="L4309" s="706"/>
      <c r="M4309" s="781"/>
      <c r="N4309" s="182"/>
      <c r="O4309" s="188"/>
      <c r="P4309" s="221"/>
      <c r="Q4309" s="106"/>
      <c r="R4309" s="108"/>
      <c r="S4309" s="108"/>
      <c r="T4309" s="108"/>
      <c r="U4309" s="108" t="str">
        <f>IFERROR(VLOOKUP(CONCATENATE(Tabla1[[#This Row],[Severidad]]," ",Tabla1[[#This Row],[Complejidad]]),Catalogos!E$120:G$128,3,FALSE),"")</f>
        <v/>
      </c>
      <c r="V4309" s="108" t="str">
        <f>IF(Tabla1[[#This Row],[Tiempo solución max (hrs)]]&lt;&gt;"",IF(Tabla1[[#This Row],[Tiempo solución max (hrs)]]&gt;=Tabla1[[#This Row],[Tiempo
(Hrs 00/100)]],"cumple","no cumple"),"")</f>
        <v/>
      </c>
      <c r="W4309" s="17"/>
      <c r="X4309" s="18">
        <f t="shared" si="257"/>
        <v>0</v>
      </c>
      <c r="Y4309" t="str">
        <f>SUBSTITUTE(Tabla1[[#This Row],[Descripción]],CHAR(10),"    I    ")</f>
        <v/>
      </c>
      <c r="Z4309" s="112" t="e">
        <f>VLOOKUP(Tabla1[[#This Row],[Perfil]],Catalogos!$B$75:$D$100,3,FALSE)*Tabla1[[#This Row],[Tiempo
(Hrs 00/100)]]*1.16</f>
        <v>#N/A</v>
      </c>
    </row>
    <row r="4310" spans="1:26" ht="30" customHeight="1" x14ac:dyDescent="0.3">
      <c r="A4310" s="106"/>
      <c r="B4310" s="106"/>
      <c r="C4310" s="106"/>
      <c r="D4310" s="106"/>
      <c r="E4310" s="106"/>
      <c r="F4310" s="106"/>
      <c r="G4310" s="106"/>
      <c r="H4310" s="107"/>
      <c r="I4310" s="95"/>
      <c r="J4310" s="706"/>
      <c r="K4310" s="769"/>
      <c r="L4310" s="706"/>
      <c r="M4310" s="781"/>
      <c r="N4310" s="182"/>
      <c r="O4310" s="188"/>
      <c r="P4310" s="221"/>
      <c r="Q4310" s="106"/>
      <c r="R4310" s="108"/>
      <c r="S4310" s="108"/>
      <c r="T4310" s="108"/>
      <c r="U4310" s="108" t="str">
        <f>IFERROR(VLOOKUP(CONCATENATE(Tabla1[[#This Row],[Severidad]]," ",Tabla1[[#This Row],[Complejidad]]),Catalogos!E$120:G$128,3,FALSE),"")</f>
        <v/>
      </c>
      <c r="V4310" s="108" t="str">
        <f>IF(Tabla1[[#This Row],[Tiempo solución max (hrs)]]&lt;&gt;"",IF(Tabla1[[#This Row],[Tiempo solución max (hrs)]]&gt;=Tabla1[[#This Row],[Tiempo
(Hrs 00/100)]],"cumple","no cumple"),"")</f>
        <v/>
      </c>
      <c r="W4310" s="17"/>
      <c r="X4310" s="18">
        <f t="shared" si="257"/>
        <v>0</v>
      </c>
      <c r="Y4310" t="str">
        <f>SUBSTITUTE(Tabla1[[#This Row],[Descripción]],CHAR(10),"    I    ")</f>
        <v/>
      </c>
      <c r="Z4310" s="112" t="e">
        <f>VLOOKUP(Tabla1[[#This Row],[Perfil]],Catalogos!$B$75:$D$100,3,FALSE)*Tabla1[[#This Row],[Tiempo
(Hrs 00/100)]]*1.16</f>
        <v>#N/A</v>
      </c>
    </row>
    <row r="4311" spans="1:26" ht="30" customHeight="1" x14ac:dyDescent="0.3">
      <c r="A4311" s="106"/>
      <c r="B4311" s="106"/>
      <c r="C4311" s="106"/>
      <c r="D4311" s="106"/>
      <c r="E4311" s="106"/>
      <c r="F4311" s="106"/>
      <c r="G4311" s="106"/>
      <c r="H4311" s="107"/>
      <c r="I4311" s="95"/>
      <c r="J4311" s="706"/>
      <c r="K4311" s="769"/>
      <c r="L4311" s="706"/>
      <c r="M4311" s="781"/>
      <c r="N4311" s="182"/>
      <c r="O4311" s="188"/>
      <c r="P4311" s="221"/>
      <c r="Q4311" s="106"/>
      <c r="R4311" s="108"/>
      <c r="S4311" s="108"/>
      <c r="T4311" s="108"/>
      <c r="U4311" s="108" t="str">
        <f>IFERROR(VLOOKUP(CONCATENATE(Tabla1[[#This Row],[Severidad]]," ",Tabla1[[#This Row],[Complejidad]]),Catalogos!E$120:G$128,3,FALSE),"")</f>
        <v/>
      </c>
      <c r="V4311" s="108" t="str">
        <f>IF(Tabla1[[#This Row],[Tiempo solución max (hrs)]]&lt;&gt;"",IF(Tabla1[[#This Row],[Tiempo solución max (hrs)]]&gt;=Tabla1[[#This Row],[Tiempo
(Hrs 00/100)]],"cumple","no cumple"),"")</f>
        <v/>
      </c>
      <c r="W4311" s="17"/>
      <c r="X4311" s="18">
        <f t="shared" si="257"/>
        <v>0</v>
      </c>
      <c r="Y4311" t="str">
        <f>SUBSTITUTE(Tabla1[[#This Row],[Descripción]],CHAR(10),"    I    ")</f>
        <v/>
      </c>
      <c r="Z4311" s="112" t="e">
        <f>VLOOKUP(Tabla1[[#This Row],[Perfil]],Catalogos!$B$75:$D$100,3,FALSE)*Tabla1[[#This Row],[Tiempo
(Hrs 00/100)]]*1.16</f>
        <v>#N/A</v>
      </c>
    </row>
    <row r="4312" spans="1:26" ht="30" customHeight="1" x14ac:dyDescent="0.3">
      <c r="A4312" s="106"/>
      <c r="B4312" s="106"/>
      <c r="C4312" s="106"/>
      <c r="D4312" s="106"/>
      <c r="E4312" s="106"/>
      <c r="F4312" s="106"/>
      <c r="G4312" s="106"/>
      <c r="H4312" s="107"/>
      <c r="I4312" s="95"/>
      <c r="J4312" s="706"/>
      <c r="K4312" s="769"/>
      <c r="L4312" s="706"/>
      <c r="M4312" s="781"/>
      <c r="N4312" s="182"/>
      <c r="O4312" s="188"/>
      <c r="P4312" s="221"/>
      <c r="Q4312" s="106"/>
      <c r="R4312" s="108"/>
      <c r="S4312" s="108"/>
      <c r="T4312" s="108"/>
      <c r="U4312" s="108" t="str">
        <f>IFERROR(VLOOKUP(CONCATENATE(Tabla1[[#This Row],[Severidad]]," ",Tabla1[[#This Row],[Complejidad]]),Catalogos!E$120:G$128,3,FALSE),"")</f>
        <v/>
      </c>
      <c r="V4312" s="108" t="str">
        <f>IF(Tabla1[[#This Row],[Tiempo solución max (hrs)]]&lt;&gt;"",IF(Tabla1[[#This Row],[Tiempo solución max (hrs)]]&gt;=Tabla1[[#This Row],[Tiempo
(Hrs 00/100)]],"cumple","no cumple"),"")</f>
        <v/>
      </c>
      <c r="W4312" s="17"/>
      <c r="X4312" s="18">
        <f t="shared" si="257"/>
        <v>0</v>
      </c>
      <c r="Y4312" t="str">
        <f>SUBSTITUTE(Tabla1[[#This Row],[Descripción]],CHAR(10),"    I    ")</f>
        <v/>
      </c>
      <c r="Z4312" s="112" t="e">
        <f>VLOOKUP(Tabla1[[#This Row],[Perfil]],Catalogos!$B$75:$D$100,3,FALSE)*Tabla1[[#This Row],[Tiempo
(Hrs 00/100)]]*1.16</f>
        <v>#N/A</v>
      </c>
    </row>
    <row r="4313" spans="1:26" ht="30" customHeight="1" x14ac:dyDescent="0.3">
      <c r="A4313" s="106"/>
      <c r="B4313" s="106"/>
      <c r="C4313" s="106"/>
      <c r="D4313" s="106"/>
      <c r="E4313" s="106"/>
      <c r="F4313" s="106"/>
      <c r="G4313" s="106"/>
      <c r="H4313" s="107"/>
      <c r="I4313" s="95"/>
      <c r="J4313" s="706"/>
      <c r="K4313" s="769"/>
      <c r="L4313" s="706"/>
      <c r="M4313" s="781"/>
      <c r="N4313" s="182"/>
      <c r="O4313" s="188"/>
      <c r="P4313" s="221"/>
      <c r="Q4313" s="106"/>
      <c r="R4313" s="108"/>
      <c r="S4313" s="108"/>
      <c r="T4313" s="108"/>
      <c r="U4313" s="108" t="str">
        <f>IFERROR(VLOOKUP(CONCATENATE(Tabla1[[#This Row],[Severidad]]," ",Tabla1[[#This Row],[Complejidad]]),Catalogos!E$120:G$128,3,FALSE),"")</f>
        <v/>
      </c>
      <c r="V4313" s="108" t="str">
        <f>IF(Tabla1[[#This Row],[Tiempo solución max (hrs)]]&lt;&gt;"",IF(Tabla1[[#This Row],[Tiempo solución max (hrs)]]&gt;=Tabla1[[#This Row],[Tiempo
(Hrs 00/100)]],"cumple","no cumple"),"")</f>
        <v/>
      </c>
      <c r="W4313" s="17"/>
      <c r="X4313" s="18">
        <f t="shared" si="257"/>
        <v>0</v>
      </c>
      <c r="Y4313" t="str">
        <f>SUBSTITUTE(Tabla1[[#This Row],[Descripción]],CHAR(10),"    I    ")</f>
        <v/>
      </c>
      <c r="Z4313" s="112" t="e">
        <f>VLOOKUP(Tabla1[[#This Row],[Perfil]],Catalogos!$B$75:$D$100,3,FALSE)*Tabla1[[#This Row],[Tiempo
(Hrs 00/100)]]*1.16</f>
        <v>#N/A</v>
      </c>
    </row>
    <row r="4314" spans="1:26" ht="30" customHeight="1" x14ac:dyDescent="0.3">
      <c r="A4314" s="106"/>
      <c r="B4314" s="106"/>
      <c r="C4314" s="106"/>
      <c r="D4314" s="106"/>
      <c r="E4314" s="106"/>
      <c r="F4314" s="106"/>
      <c r="G4314" s="106"/>
      <c r="H4314" s="107"/>
      <c r="I4314" s="95"/>
      <c r="J4314" s="706"/>
      <c r="K4314" s="769"/>
      <c r="L4314" s="706"/>
      <c r="M4314" s="781"/>
      <c r="N4314" s="182"/>
      <c r="O4314" s="188"/>
      <c r="P4314" s="221"/>
      <c r="Q4314" s="106"/>
      <c r="R4314" s="108"/>
      <c r="S4314" s="108"/>
      <c r="T4314" s="108"/>
      <c r="U4314" s="108" t="str">
        <f>IFERROR(VLOOKUP(CONCATENATE(Tabla1[[#This Row],[Severidad]]," ",Tabla1[[#This Row],[Complejidad]]),Catalogos!E$120:G$128,3,FALSE),"")</f>
        <v/>
      </c>
      <c r="V4314" s="108" t="str">
        <f>IF(Tabla1[[#This Row],[Tiempo solución max (hrs)]]&lt;&gt;"",IF(Tabla1[[#This Row],[Tiempo solución max (hrs)]]&gt;=Tabla1[[#This Row],[Tiempo
(Hrs 00/100)]],"cumple","no cumple"),"")</f>
        <v/>
      </c>
      <c r="W4314" s="17"/>
      <c r="X4314" s="18">
        <f t="shared" si="257"/>
        <v>0</v>
      </c>
      <c r="Y4314" t="str">
        <f>SUBSTITUTE(Tabla1[[#This Row],[Descripción]],CHAR(10),"    I    ")</f>
        <v/>
      </c>
      <c r="Z4314" s="112" t="e">
        <f>VLOOKUP(Tabla1[[#This Row],[Perfil]],Catalogos!$B$75:$D$100,3,FALSE)*Tabla1[[#This Row],[Tiempo
(Hrs 00/100)]]*1.16</f>
        <v>#N/A</v>
      </c>
    </row>
    <row r="4315" spans="1:26" ht="30" customHeight="1" x14ac:dyDescent="0.3">
      <c r="A4315" s="106"/>
      <c r="B4315" s="106"/>
      <c r="C4315" s="106"/>
      <c r="D4315" s="106"/>
      <c r="E4315" s="106"/>
      <c r="F4315" s="106"/>
      <c r="G4315" s="106"/>
      <c r="H4315" s="107"/>
      <c r="I4315" s="95"/>
      <c r="J4315" s="706"/>
      <c r="K4315" s="769"/>
      <c r="L4315" s="706"/>
      <c r="M4315" s="781"/>
      <c r="N4315" s="182"/>
      <c r="O4315" s="188"/>
      <c r="P4315" s="221"/>
      <c r="Q4315" s="106"/>
      <c r="R4315" s="108"/>
      <c r="S4315" s="108"/>
      <c r="T4315" s="108"/>
      <c r="U4315" s="108" t="str">
        <f>IFERROR(VLOOKUP(CONCATENATE(Tabla1[[#This Row],[Severidad]]," ",Tabla1[[#This Row],[Complejidad]]),Catalogos!E$120:G$128,3,FALSE),"")</f>
        <v/>
      </c>
      <c r="V4315" s="108" t="str">
        <f>IF(Tabla1[[#This Row],[Tiempo solución max (hrs)]]&lt;&gt;"",IF(Tabla1[[#This Row],[Tiempo solución max (hrs)]]&gt;=Tabla1[[#This Row],[Tiempo
(Hrs 00/100)]],"cumple","no cumple"),"")</f>
        <v/>
      </c>
      <c r="W4315" s="17"/>
      <c r="X4315" s="18">
        <f t="shared" si="257"/>
        <v>0</v>
      </c>
      <c r="Y4315" t="str">
        <f>SUBSTITUTE(Tabla1[[#This Row],[Descripción]],CHAR(10),"    I    ")</f>
        <v/>
      </c>
      <c r="Z4315" s="112" t="e">
        <f>VLOOKUP(Tabla1[[#This Row],[Perfil]],Catalogos!$B$75:$D$100,3,FALSE)*Tabla1[[#This Row],[Tiempo
(Hrs 00/100)]]*1.16</f>
        <v>#N/A</v>
      </c>
    </row>
    <row r="4316" spans="1:26" ht="30" customHeight="1" x14ac:dyDescent="0.3">
      <c r="A4316" s="106"/>
      <c r="B4316" s="106"/>
      <c r="C4316" s="106"/>
      <c r="D4316" s="106"/>
      <c r="E4316" s="106"/>
      <c r="F4316" s="106"/>
      <c r="G4316" s="106"/>
      <c r="H4316" s="107"/>
      <c r="I4316" s="95"/>
      <c r="J4316" s="706"/>
      <c r="K4316" s="769"/>
      <c r="L4316" s="706"/>
      <c r="M4316" s="781"/>
      <c r="N4316" s="182"/>
      <c r="O4316" s="188"/>
      <c r="P4316" s="221"/>
      <c r="Q4316" s="106"/>
      <c r="R4316" s="108"/>
      <c r="S4316" s="108"/>
      <c r="T4316" s="108"/>
      <c r="U4316" s="108" t="str">
        <f>IFERROR(VLOOKUP(CONCATENATE(Tabla1[[#This Row],[Severidad]]," ",Tabla1[[#This Row],[Complejidad]]),Catalogos!E$120:G$128,3,FALSE),"")</f>
        <v/>
      </c>
      <c r="V4316" s="108" t="str">
        <f>IF(Tabla1[[#This Row],[Tiempo solución max (hrs)]]&lt;&gt;"",IF(Tabla1[[#This Row],[Tiempo solución max (hrs)]]&gt;=Tabla1[[#This Row],[Tiempo
(Hrs 00/100)]],"cumple","no cumple"),"")</f>
        <v/>
      </c>
      <c r="W4316" s="17"/>
      <c r="X4316" s="18">
        <f t="shared" si="257"/>
        <v>0</v>
      </c>
      <c r="Y4316" t="str">
        <f>SUBSTITUTE(Tabla1[[#This Row],[Descripción]],CHAR(10),"    I    ")</f>
        <v/>
      </c>
      <c r="Z4316" s="112" t="e">
        <f>VLOOKUP(Tabla1[[#This Row],[Perfil]],Catalogos!$B$75:$D$100,3,FALSE)*Tabla1[[#This Row],[Tiempo
(Hrs 00/100)]]*1.16</f>
        <v>#N/A</v>
      </c>
    </row>
    <row r="4317" spans="1:26" ht="30" customHeight="1" x14ac:dyDescent="0.3">
      <c r="A4317" s="106"/>
      <c r="B4317" s="106"/>
      <c r="C4317" s="106"/>
      <c r="D4317" s="106"/>
      <c r="E4317" s="106"/>
      <c r="F4317" s="106"/>
      <c r="G4317" s="106"/>
      <c r="H4317" s="107"/>
      <c r="I4317" s="95"/>
      <c r="J4317" s="706"/>
      <c r="K4317" s="769"/>
      <c r="L4317" s="706"/>
      <c r="M4317" s="781"/>
      <c r="N4317" s="182"/>
      <c r="O4317" s="188"/>
      <c r="P4317" s="221"/>
      <c r="Q4317" s="106"/>
      <c r="R4317" s="108"/>
      <c r="S4317" s="108"/>
      <c r="T4317" s="108"/>
      <c r="U4317" s="108" t="str">
        <f>IFERROR(VLOOKUP(CONCATENATE(Tabla1[[#This Row],[Severidad]]," ",Tabla1[[#This Row],[Complejidad]]),Catalogos!E$120:G$128,3,FALSE),"")</f>
        <v/>
      </c>
      <c r="V4317" s="108" t="str">
        <f>IF(Tabla1[[#This Row],[Tiempo solución max (hrs)]]&lt;&gt;"",IF(Tabla1[[#This Row],[Tiempo solución max (hrs)]]&gt;=Tabla1[[#This Row],[Tiempo
(Hrs 00/100)]],"cumple","no cumple"),"")</f>
        <v/>
      </c>
      <c r="W4317" s="17"/>
      <c r="X4317" s="18">
        <f t="shared" si="257"/>
        <v>0</v>
      </c>
      <c r="Y4317" t="str">
        <f>SUBSTITUTE(Tabla1[[#This Row],[Descripción]],CHAR(10),"    I    ")</f>
        <v/>
      </c>
      <c r="Z4317" s="112" t="e">
        <f>VLOOKUP(Tabla1[[#This Row],[Perfil]],Catalogos!$B$75:$D$100,3,FALSE)*Tabla1[[#This Row],[Tiempo
(Hrs 00/100)]]*1.16</f>
        <v>#N/A</v>
      </c>
    </row>
    <row r="4318" spans="1:26" ht="30" customHeight="1" x14ac:dyDescent="0.3">
      <c r="A4318" s="106"/>
      <c r="B4318" s="106"/>
      <c r="C4318" s="106"/>
      <c r="D4318" s="106"/>
      <c r="E4318" s="106"/>
      <c r="F4318" s="106"/>
      <c r="G4318" s="106"/>
      <c r="H4318" s="107"/>
      <c r="I4318" s="95"/>
      <c r="J4318" s="706"/>
      <c r="K4318" s="769"/>
      <c r="L4318" s="706"/>
      <c r="M4318" s="781"/>
      <c r="N4318" s="182"/>
      <c r="O4318" s="188"/>
      <c r="P4318" s="221"/>
      <c r="Q4318" s="106"/>
      <c r="R4318" s="108"/>
      <c r="S4318" s="108"/>
      <c r="T4318" s="108"/>
      <c r="U4318" s="108" t="str">
        <f>IFERROR(VLOOKUP(CONCATENATE(Tabla1[[#This Row],[Severidad]]," ",Tabla1[[#This Row],[Complejidad]]),Catalogos!E$120:G$128,3,FALSE),"")</f>
        <v/>
      </c>
      <c r="V4318" s="108" t="str">
        <f>IF(Tabla1[[#This Row],[Tiempo solución max (hrs)]]&lt;&gt;"",IF(Tabla1[[#This Row],[Tiempo solución max (hrs)]]&gt;=Tabla1[[#This Row],[Tiempo
(Hrs 00/100)]],"cumple","no cumple"),"")</f>
        <v/>
      </c>
      <c r="W4318" s="17"/>
      <c r="X4318" s="18">
        <f t="shared" si="257"/>
        <v>0</v>
      </c>
      <c r="Y4318" t="str">
        <f>SUBSTITUTE(Tabla1[[#This Row],[Descripción]],CHAR(10),"    I    ")</f>
        <v/>
      </c>
      <c r="Z4318" s="112" t="e">
        <f>VLOOKUP(Tabla1[[#This Row],[Perfil]],Catalogos!$B$75:$D$100,3,FALSE)*Tabla1[[#This Row],[Tiempo
(Hrs 00/100)]]*1.16</f>
        <v>#N/A</v>
      </c>
    </row>
    <row r="4319" spans="1:26" ht="30" customHeight="1" x14ac:dyDescent="0.3">
      <c r="A4319" s="106"/>
      <c r="B4319" s="106"/>
      <c r="C4319" s="106"/>
      <c r="D4319" s="106"/>
      <c r="E4319" s="106"/>
      <c r="F4319" s="106"/>
      <c r="G4319" s="106"/>
      <c r="H4319" s="107"/>
      <c r="I4319" s="95"/>
      <c r="J4319" s="706"/>
      <c r="K4319" s="769"/>
      <c r="L4319" s="706"/>
      <c r="M4319" s="781"/>
      <c r="N4319" s="182"/>
      <c r="O4319" s="188"/>
      <c r="P4319" s="221"/>
      <c r="Q4319" s="106"/>
      <c r="R4319" s="108"/>
      <c r="S4319" s="108"/>
      <c r="T4319" s="108"/>
      <c r="U4319" s="108" t="str">
        <f>IFERROR(VLOOKUP(CONCATENATE(Tabla1[[#This Row],[Severidad]]," ",Tabla1[[#This Row],[Complejidad]]),Catalogos!E$120:G$128,3,FALSE),"")</f>
        <v/>
      </c>
      <c r="V4319" s="108" t="str">
        <f>IF(Tabla1[[#This Row],[Tiempo solución max (hrs)]]&lt;&gt;"",IF(Tabla1[[#This Row],[Tiempo solución max (hrs)]]&gt;=Tabla1[[#This Row],[Tiempo
(Hrs 00/100)]],"cumple","no cumple"),"")</f>
        <v/>
      </c>
      <c r="W4319" s="17"/>
      <c r="X4319" s="18">
        <f t="shared" si="257"/>
        <v>0</v>
      </c>
      <c r="Y4319" t="str">
        <f>SUBSTITUTE(Tabla1[[#This Row],[Descripción]],CHAR(10),"    I    ")</f>
        <v/>
      </c>
      <c r="Z4319" s="112" t="e">
        <f>VLOOKUP(Tabla1[[#This Row],[Perfil]],Catalogos!$B$75:$D$100,3,FALSE)*Tabla1[[#This Row],[Tiempo
(Hrs 00/100)]]*1.16</f>
        <v>#N/A</v>
      </c>
    </row>
    <row r="4320" spans="1:26" ht="30" customHeight="1" x14ac:dyDescent="0.3">
      <c r="A4320" s="106"/>
      <c r="B4320" s="106"/>
      <c r="C4320" s="106"/>
      <c r="D4320" s="106"/>
      <c r="E4320" s="106"/>
      <c r="F4320" s="106"/>
      <c r="G4320" s="106"/>
      <c r="H4320" s="107"/>
      <c r="I4320" s="95"/>
      <c r="J4320" s="706"/>
      <c r="K4320" s="769"/>
      <c r="L4320" s="706"/>
      <c r="M4320" s="781"/>
      <c r="N4320" s="182"/>
      <c r="O4320" s="188"/>
      <c r="P4320" s="221"/>
      <c r="Q4320" s="106"/>
      <c r="R4320" s="108"/>
      <c r="S4320" s="108"/>
      <c r="T4320" s="108"/>
      <c r="U4320" s="108" t="str">
        <f>IFERROR(VLOOKUP(CONCATENATE(Tabla1[[#This Row],[Severidad]]," ",Tabla1[[#This Row],[Complejidad]]),Catalogos!E$120:G$128,3,FALSE),"")</f>
        <v/>
      </c>
      <c r="V4320" s="108" t="str">
        <f>IF(Tabla1[[#This Row],[Tiempo solución max (hrs)]]&lt;&gt;"",IF(Tabla1[[#This Row],[Tiempo solución max (hrs)]]&gt;=Tabla1[[#This Row],[Tiempo
(Hrs 00/100)]],"cumple","no cumple"),"")</f>
        <v/>
      </c>
      <c r="W4320" s="17"/>
      <c r="X4320" s="18">
        <f t="shared" si="257"/>
        <v>0</v>
      </c>
      <c r="Y4320" t="str">
        <f>SUBSTITUTE(Tabla1[[#This Row],[Descripción]],CHAR(10),"    I    ")</f>
        <v/>
      </c>
      <c r="Z4320" s="112" t="e">
        <f>VLOOKUP(Tabla1[[#This Row],[Perfil]],Catalogos!$B$75:$D$100,3,FALSE)*Tabla1[[#This Row],[Tiempo
(Hrs 00/100)]]*1.16</f>
        <v>#N/A</v>
      </c>
    </row>
    <row r="4321" spans="1:26" ht="30" customHeight="1" x14ac:dyDescent="0.3">
      <c r="A4321" s="106"/>
      <c r="B4321" s="106"/>
      <c r="C4321" s="106"/>
      <c r="D4321" s="106"/>
      <c r="E4321" s="106"/>
      <c r="F4321" s="106"/>
      <c r="G4321" s="106"/>
      <c r="H4321" s="107"/>
      <c r="I4321" s="95"/>
      <c r="J4321" s="706"/>
      <c r="K4321" s="769"/>
      <c r="L4321" s="706"/>
      <c r="M4321" s="781"/>
      <c r="N4321" s="182"/>
      <c r="O4321" s="188"/>
      <c r="P4321" s="221"/>
      <c r="Q4321" s="106"/>
      <c r="R4321" s="108"/>
      <c r="S4321" s="108"/>
      <c r="T4321" s="108"/>
      <c r="U4321" s="108" t="str">
        <f>IFERROR(VLOOKUP(CONCATENATE(Tabla1[[#This Row],[Severidad]]," ",Tabla1[[#This Row],[Complejidad]]),Catalogos!E$120:G$128,3,FALSE),"")</f>
        <v/>
      </c>
      <c r="V4321" s="108" t="str">
        <f>IF(Tabla1[[#This Row],[Tiempo solución max (hrs)]]&lt;&gt;"",IF(Tabla1[[#This Row],[Tiempo solución max (hrs)]]&gt;=Tabla1[[#This Row],[Tiempo
(Hrs 00/100)]],"cumple","no cumple"),"")</f>
        <v/>
      </c>
      <c r="W4321" s="17"/>
      <c r="X4321" s="18">
        <f t="shared" si="257"/>
        <v>0</v>
      </c>
      <c r="Y4321" t="str">
        <f>SUBSTITUTE(Tabla1[[#This Row],[Descripción]],CHAR(10),"    I    ")</f>
        <v/>
      </c>
      <c r="Z4321" s="112" t="e">
        <f>VLOOKUP(Tabla1[[#This Row],[Perfil]],Catalogos!$B$75:$D$100,3,FALSE)*Tabla1[[#This Row],[Tiempo
(Hrs 00/100)]]*1.16</f>
        <v>#N/A</v>
      </c>
    </row>
    <row r="4322" spans="1:26" ht="30" customHeight="1" x14ac:dyDescent="0.3">
      <c r="A4322" s="106"/>
      <c r="B4322" s="106"/>
      <c r="C4322" s="106"/>
      <c r="D4322" s="106"/>
      <c r="E4322" s="106"/>
      <c r="F4322" s="106"/>
      <c r="G4322" s="106"/>
      <c r="H4322" s="107"/>
      <c r="I4322" s="95"/>
      <c r="J4322" s="706"/>
      <c r="K4322" s="769"/>
      <c r="L4322" s="706"/>
      <c r="M4322" s="781"/>
      <c r="N4322" s="182"/>
      <c r="O4322" s="188"/>
      <c r="P4322" s="221"/>
      <c r="Q4322" s="106"/>
      <c r="R4322" s="108"/>
      <c r="S4322" s="108"/>
      <c r="T4322" s="108"/>
      <c r="U4322" s="108" t="str">
        <f>IFERROR(VLOOKUP(CONCATENATE(Tabla1[[#This Row],[Severidad]]," ",Tabla1[[#This Row],[Complejidad]]),Catalogos!E$120:G$128,3,FALSE),"")</f>
        <v/>
      </c>
      <c r="V4322" s="108" t="str">
        <f>IF(Tabla1[[#This Row],[Tiempo solución max (hrs)]]&lt;&gt;"",IF(Tabla1[[#This Row],[Tiempo solución max (hrs)]]&gt;=Tabla1[[#This Row],[Tiempo
(Hrs 00/100)]],"cumple","no cumple"),"")</f>
        <v/>
      </c>
      <c r="W4322" s="17"/>
      <c r="X4322" s="18">
        <f t="shared" si="257"/>
        <v>0</v>
      </c>
      <c r="Y4322" t="str">
        <f>SUBSTITUTE(Tabla1[[#This Row],[Descripción]],CHAR(10),"    I    ")</f>
        <v/>
      </c>
      <c r="Z4322" s="112" t="e">
        <f>VLOOKUP(Tabla1[[#This Row],[Perfil]],Catalogos!$B$75:$D$100,3,FALSE)*Tabla1[[#This Row],[Tiempo
(Hrs 00/100)]]*1.16</f>
        <v>#N/A</v>
      </c>
    </row>
    <row r="4323" spans="1:26" ht="30" customHeight="1" x14ac:dyDescent="0.3">
      <c r="A4323" s="106"/>
      <c r="B4323" s="106"/>
      <c r="C4323" s="106"/>
      <c r="D4323" s="106"/>
      <c r="E4323" s="106"/>
      <c r="F4323" s="106"/>
      <c r="G4323" s="106"/>
      <c r="H4323" s="107"/>
      <c r="I4323" s="95"/>
      <c r="J4323" s="706"/>
      <c r="K4323" s="769"/>
      <c r="L4323" s="706"/>
      <c r="M4323" s="781"/>
      <c r="N4323" s="182"/>
      <c r="O4323" s="188"/>
      <c r="P4323" s="221"/>
      <c r="Q4323" s="106"/>
      <c r="R4323" s="108"/>
      <c r="S4323" s="108"/>
      <c r="T4323" s="108"/>
      <c r="U4323" s="108" t="str">
        <f>IFERROR(VLOOKUP(CONCATENATE(Tabla1[[#This Row],[Severidad]]," ",Tabla1[[#This Row],[Complejidad]]),Catalogos!E$120:G$128,3,FALSE),"")</f>
        <v/>
      </c>
      <c r="V4323" s="108" t="str">
        <f>IF(Tabla1[[#This Row],[Tiempo solución max (hrs)]]&lt;&gt;"",IF(Tabla1[[#This Row],[Tiempo solución max (hrs)]]&gt;=Tabla1[[#This Row],[Tiempo
(Hrs 00/100)]],"cumple","no cumple"),"")</f>
        <v/>
      </c>
      <c r="W4323" s="17"/>
      <c r="X4323" s="18">
        <f t="shared" si="257"/>
        <v>0</v>
      </c>
      <c r="Y4323" t="str">
        <f>SUBSTITUTE(Tabla1[[#This Row],[Descripción]],CHAR(10),"    I    ")</f>
        <v/>
      </c>
      <c r="Z4323" s="112" t="e">
        <f>VLOOKUP(Tabla1[[#This Row],[Perfil]],Catalogos!$B$75:$D$100,3,FALSE)*Tabla1[[#This Row],[Tiempo
(Hrs 00/100)]]*1.16</f>
        <v>#N/A</v>
      </c>
    </row>
    <row r="4324" spans="1:26" ht="30" customHeight="1" x14ac:dyDescent="0.3">
      <c r="A4324" s="106"/>
      <c r="B4324" s="106"/>
      <c r="C4324" s="106"/>
      <c r="D4324" s="106"/>
      <c r="E4324" s="106"/>
      <c r="F4324" s="106"/>
      <c r="G4324" s="106"/>
      <c r="H4324" s="107"/>
      <c r="I4324" s="95"/>
      <c r="J4324" s="706"/>
      <c r="K4324" s="769"/>
      <c r="L4324" s="706"/>
      <c r="M4324" s="781"/>
      <c r="N4324" s="182"/>
      <c r="O4324" s="188"/>
      <c r="P4324" s="221"/>
      <c r="Q4324" s="106"/>
      <c r="R4324" s="108"/>
      <c r="S4324" s="108"/>
      <c r="T4324" s="108"/>
      <c r="U4324" s="108" t="str">
        <f>IFERROR(VLOOKUP(CONCATENATE(Tabla1[[#This Row],[Severidad]]," ",Tabla1[[#This Row],[Complejidad]]),Catalogos!E$120:G$128,3,FALSE),"")</f>
        <v/>
      </c>
      <c r="V4324" s="108" t="str">
        <f>IF(Tabla1[[#This Row],[Tiempo solución max (hrs)]]&lt;&gt;"",IF(Tabla1[[#This Row],[Tiempo solución max (hrs)]]&gt;=Tabla1[[#This Row],[Tiempo
(Hrs 00/100)]],"cumple","no cumple"),"")</f>
        <v/>
      </c>
      <c r="W4324" s="17"/>
      <c r="X4324" s="18">
        <f t="shared" si="257"/>
        <v>0</v>
      </c>
      <c r="Y4324" t="str">
        <f>SUBSTITUTE(Tabla1[[#This Row],[Descripción]],CHAR(10),"    I    ")</f>
        <v/>
      </c>
      <c r="Z4324" s="112" t="e">
        <f>VLOOKUP(Tabla1[[#This Row],[Perfil]],Catalogos!$B$75:$D$100,3,FALSE)*Tabla1[[#This Row],[Tiempo
(Hrs 00/100)]]*1.16</f>
        <v>#N/A</v>
      </c>
    </row>
    <row r="4325" spans="1:26" ht="30" customHeight="1" x14ac:dyDescent="0.3">
      <c r="A4325" s="106"/>
      <c r="B4325" s="106"/>
      <c r="C4325" s="106"/>
      <c r="D4325" s="106"/>
      <c r="E4325" s="106"/>
      <c r="F4325" s="106"/>
      <c r="G4325" s="106"/>
      <c r="H4325" s="107"/>
      <c r="I4325" s="95"/>
      <c r="J4325" s="706"/>
      <c r="K4325" s="769"/>
      <c r="L4325" s="706"/>
      <c r="M4325" s="781"/>
      <c r="N4325" s="182"/>
      <c r="O4325" s="188"/>
      <c r="P4325" s="221"/>
      <c r="Q4325" s="106"/>
      <c r="R4325" s="108"/>
      <c r="S4325" s="108"/>
      <c r="T4325" s="108"/>
      <c r="U4325" s="108" t="str">
        <f>IFERROR(VLOOKUP(CONCATENATE(Tabla1[[#This Row],[Severidad]]," ",Tabla1[[#This Row],[Complejidad]]),Catalogos!E$120:G$128,3,FALSE),"")</f>
        <v/>
      </c>
      <c r="V4325" s="108" t="str">
        <f>IF(Tabla1[[#This Row],[Tiempo solución max (hrs)]]&lt;&gt;"",IF(Tabla1[[#This Row],[Tiempo solución max (hrs)]]&gt;=Tabla1[[#This Row],[Tiempo
(Hrs 00/100)]],"cumple","no cumple"),"")</f>
        <v/>
      </c>
      <c r="W4325" s="17"/>
      <c r="X4325" s="18">
        <f t="shared" si="257"/>
        <v>0</v>
      </c>
      <c r="Y4325" t="str">
        <f>SUBSTITUTE(Tabla1[[#This Row],[Descripción]],CHAR(10),"    I    ")</f>
        <v/>
      </c>
      <c r="Z4325" s="112" t="e">
        <f>VLOOKUP(Tabla1[[#This Row],[Perfil]],Catalogos!$B$75:$D$100,3,FALSE)*Tabla1[[#This Row],[Tiempo
(Hrs 00/100)]]*1.16</f>
        <v>#N/A</v>
      </c>
    </row>
    <row r="4326" spans="1:26" ht="30" customHeight="1" x14ac:dyDescent="0.3">
      <c r="A4326" s="106"/>
      <c r="B4326" s="106"/>
      <c r="C4326" s="106"/>
      <c r="D4326" s="106"/>
      <c r="E4326" s="106"/>
      <c r="F4326" s="106"/>
      <c r="G4326" s="106"/>
      <c r="H4326" s="107"/>
      <c r="I4326" s="95"/>
      <c r="J4326" s="706"/>
      <c r="K4326" s="769"/>
      <c r="L4326" s="706"/>
      <c r="M4326" s="781"/>
      <c r="N4326" s="182"/>
      <c r="O4326" s="188"/>
      <c r="P4326" s="221"/>
      <c r="Q4326" s="106"/>
      <c r="R4326" s="108"/>
      <c r="S4326" s="108"/>
      <c r="T4326" s="108"/>
      <c r="U4326" s="108" t="str">
        <f>IFERROR(VLOOKUP(CONCATENATE(Tabla1[[#This Row],[Severidad]]," ",Tabla1[[#This Row],[Complejidad]]),Catalogos!E$120:G$128,3,FALSE),"")</f>
        <v/>
      </c>
      <c r="V4326" s="108" t="str">
        <f>IF(Tabla1[[#This Row],[Tiempo solución max (hrs)]]&lt;&gt;"",IF(Tabla1[[#This Row],[Tiempo solución max (hrs)]]&gt;=Tabla1[[#This Row],[Tiempo
(Hrs 00/100)]],"cumple","no cumple"),"")</f>
        <v/>
      </c>
      <c r="W4326" s="17"/>
      <c r="X4326" s="18">
        <f t="shared" si="257"/>
        <v>0</v>
      </c>
      <c r="Y4326" t="str">
        <f>SUBSTITUTE(Tabla1[[#This Row],[Descripción]],CHAR(10),"    I    ")</f>
        <v/>
      </c>
      <c r="Z4326" s="112" t="e">
        <f>VLOOKUP(Tabla1[[#This Row],[Perfil]],Catalogos!$B$75:$D$100,3,FALSE)*Tabla1[[#This Row],[Tiempo
(Hrs 00/100)]]*1.16</f>
        <v>#N/A</v>
      </c>
    </row>
    <row r="4327" spans="1:26" ht="30" customHeight="1" x14ac:dyDescent="0.3">
      <c r="A4327" s="106"/>
      <c r="B4327" s="106"/>
      <c r="C4327" s="106"/>
      <c r="D4327" s="106"/>
      <c r="E4327" s="106"/>
      <c r="F4327" s="106"/>
      <c r="G4327" s="106"/>
      <c r="H4327" s="107"/>
      <c r="I4327" s="95"/>
      <c r="J4327" s="706"/>
      <c r="K4327" s="769"/>
      <c r="L4327" s="706"/>
      <c r="M4327" s="781"/>
      <c r="N4327" s="182"/>
      <c r="O4327" s="188"/>
      <c r="P4327" s="221"/>
      <c r="Q4327" s="106"/>
      <c r="R4327" s="108"/>
      <c r="S4327" s="108"/>
      <c r="T4327" s="108"/>
      <c r="U4327" s="108" t="str">
        <f>IFERROR(VLOOKUP(CONCATENATE(Tabla1[[#This Row],[Severidad]]," ",Tabla1[[#This Row],[Complejidad]]),Catalogos!E$120:G$128,3,FALSE),"")</f>
        <v/>
      </c>
      <c r="V4327" s="108" t="str">
        <f>IF(Tabla1[[#This Row],[Tiempo solución max (hrs)]]&lt;&gt;"",IF(Tabla1[[#This Row],[Tiempo solución max (hrs)]]&gt;=Tabla1[[#This Row],[Tiempo
(Hrs 00/100)]],"cumple","no cumple"),"")</f>
        <v/>
      </c>
      <c r="W4327" s="17"/>
      <c r="X4327" s="18">
        <f t="shared" si="257"/>
        <v>0</v>
      </c>
      <c r="Y4327" t="str">
        <f>SUBSTITUTE(Tabla1[[#This Row],[Descripción]],CHAR(10),"    I    ")</f>
        <v/>
      </c>
      <c r="Z4327" s="112" t="e">
        <f>VLOOKUP(Tabla1[[#This Row],[Perfil]],Catalogos!$B$75:$D$100,3,FALSE)*Tabla1[[#This Row],[Tiempo
(Hrs 00/100)]]*1.16</f>
        <v>#N/A</v>
      </c>
    </row>
    <row r="4328" spans="1:26" ht="30" customHeight="1" x14ac:dyDescent="0.3">
      <c r="A4328" s="106"/>
      <c r="B4328" s="106"/>
      <c r="C4328" s="106"/>
      <c r="D4328" s="106"/>
      <c r="E4328" s="106"/>
      <c r="F4328" s="106"/>
      <c r="G4328" s="106"/>
      <c r="H4328" s="107"/>
      <c r="I4328" s="95"/>
      <c r="J4328" s="706"/>
      <c r="K4328" s="769"/>
      <c r="L4328" s="706"/>
      <c r="M4328" s="781"/>
      <c r="N4328" s="182"/>
      <c r="O4328" s="188"/>
      <c r="P4328" s="221"/>
      <c r="Q4328" s="106"/>
      <c r="R4328" s="108"/>
      <c r="S4328" s="108"/>
      <c r="T4328" s="108"/>
      <c r="U4328" s="108" t="str">
        <f>IFERROR(VLOOKUP(CONCATENATE(Tabla1[[#This Row],[Severidad]]," ",Tabla1[[#This Row],[Complejidad]]),Catalogos!E$120:G$128,3,FALSE),"")</f>
        <v/>
      </c>
      <c r="V4328" s="108" t="str">
        <f>IF(Tabla1[[#This Row],[Tiempo solución max (hrs)]]&lt;&gt;"",IF(Tabla1[[#This Row],[Tiempo solución max (hrs)]]&gt;=Tabla1[[#This Row],[Tiempo
(Hrs 00/100)]],"cumple","no cumple"),"")</f>
        <v/>
      </c>
      <c r="W4328" s="17"/>
      <c r="X4328" s="18">
        <f t="shared" si="257"/>
        <v>0</v>
      </c>
      <c r="Y4328" t="str">
        <f>SUBSTITUTE(Tabla1[[#This Row],[Descripción]],CHAR(10),"    I    ")</f>
        <v/>
      </c>
      <c r="Z4328" s="112" t="e">
        <f>VLOOKUP(Tabla1[[#This Row],[Perfil]],Catalogos!$B$75:$D$100,3,FALSE)*Tabla1[[#This Row],[Tiempo
(Hrs 00/100)]]*1.16</f>
        <v>#N/A</v>
      </c>
    </row>
    <row r="4329" spans="1:26" ht="30" customHeight="1" x14ac:dyDescent="0.3">
      <c r="A4329" s="106"/>
      <c r="B4329" s="106"/>
      <c r="C4329" s="106"/>
      <c r="D4329" s="106"/>
      <c r="E4329" s="106"/>
      <c r="F4329" s="106"/>
      <c r="G4329" s="106"/>
      <c r="H4329" s="107"/>
      <c r="I4329" s="95"/>
      <c r="J4329" s="706"/>
      <c r="K4329" s="769"/>
      <c r="L4329" s="706"/>
      <c r="M4329" s="781"/>
      <c r="N4329" s="182"/>
      <c r="O4329" s="188"/>
      <c r="P4329" s="221"/>
      <c r="Q4329" s="106"/>
      <c r="R4329" s="108"/>
      <c r="S4329" s="108"/>
      <c r="T4329" s="108"/>
      <c r="U4329" s="108" t="str">
        <f>IFERROR(VLOOKUP(CONCATENATE(Tabla1[[#This Row],[Severidad]]," ",Tabla1[[#This Row],[Complejidad]]),Catalogos!E$120:G$128,3,FALSE),"")</f>
        <v/>
      </c>
      <c r="V4329" s="108" t="str">
        <f>IF(Tabla1[[#This Row],[Tiempo solución max (hrs)]]&lt;&gt;"",IF(Tabla1[[#This Row],[Tiempo solución max (hrs)]]&gt;=Tabla1[[#This Row],[Tiempo
(Hrs 00/100)]],"cumple","no cumple"),"")</f>
        <v/>
      </c>
      <c r="W4329" s="17"/>
      <c r="X4329" s="18">
        <f t="shared" si="257"/>
        <v>0</v>
      </c>
      <c r="Y4329" t="str">
        <f>SUBSTITUTE(Tabla1[[#This Row],[Descripción]],CHAR(10),"    I    ")</f>
        <v/>
      </c>
      <c r="Z4329" s="112" t="e">
        <f>VLOOKUP(Tabla1[[#This Row],[Perfil]],Catalogos!$B$75:$D$100,3,FALSE)*Tabla1[[#This Row],[Tiempo
(Hrs 00/100)]]*1.16</f>
        <v>#N/A</v>
      </c>
    </row>
    <row r="4330" spans="1:26" ht="30" customHeight="1" x14ac:dyDescent="0.3">
      <c r="A4330" s="106"/>
      <c r="B4330" s="106"/>
      <c r="C4330" s="106"/>
      <c r="D4330" s="106"/>
      <c r="E4330" s="106"/>
      <c r="F4330" s="106"/>
      <c r="G4330" s="106"/>
      <c r="H4330" s="107"/>
      <c r="I4330" s="95"/>
      <c r="J4330" s="706"/>
      <c r="K4330" s="769"/>
      <c r="L4330" s="706"/>
      <c r="M4330" s="781"/>
      <c r="N4330" s="182"/>
      <c r="O4330" s="188"/>
      <c r="P4330" s="221"/>
      <c r="Q4330" s="106"/>
      <c r="R4330" s="108"/>
      <c r="S4330" s="108"/>
      <c r="T4330" s="108"/>
      <c r="U4330" s="108" t="str">
        <f>IFERROR(VLOOKUP(CONCATENATE(Tabla1[[#This Row],[Severidad]]," ",Tabla1[[#This Row],[Complejidad]]),Catalogos!E$120:G$128,3,FALSE),"")</f>
        <v/>
      </c>
      <c r="V4330" s="108" t="str">
        <f>IF(Tabla1[[#This Row],[Tiempo solución max (hrs)]]&lt;&gt;"",IF(Tabla1[[#This Row],[Tiempo solución max (hrs)]]&gt;=Tabla1[[#This Row],[Tiempo
(Hrs 00/100)]],"cumple","no cumple"),"")</f>
        <v/>
      </c>
      <c r="W4330" s="17"/>
      <c r="X4330" s="18">
        <f t="shared" si="257"/>
        <v>0</v>
      </c>
      <c r="Y4330" t="str">
        <f>SUBSTITUTE(Tabla1[[#This Row],[Descripción]],CHAR(10),"    I    ")</f>
        <v/>
      </c>
      <c r="Z4330" s="112" t="e">
        <f>VLOOKUP(Tabla1[[#This Row],[Perfil]],Catalogos!$B$75:$D$100,3,FALSE)*Tabla1[[#This Row],[Tiempo
(Hrs 00/100)]]*1.16</f>
        <v>#N/A</v>
      </c>
    </row>
    <row r="4331" spans="1:26" ht="30" customHeight="1" x14ac:dyDescent="0.3">
      <c r="A4331" s="106"/>
      <c r="B4331" s="106"/>
      <c r="C4331" s="106"/>
      <c r="D4331" s="106"/>
      <c r="E4331" s="106"/>
      <c r="F4331" s="106"/>
      <c r="G4331" s="106"/>
      <c r="H4331" s="107"/>
      <c r="I4331" s="95"/>
      <c r="J4331" s="706"/>
      <c r="K4331" s="769"/>
      <c r="L4331" s="706"/>
      <c r="M4331" s="781"/>
      <c r="N4331" s="182"/>
      <c r="O4331" s="188"/>
      <c r="P4331" s="221"/>
      <c r="Q4331" s="106"/>
      <c r="R4331" s="108"/>
      <c r="S4331" s="108"/>
      <c r="T4331" s="108"/>
      <c r="U4331" s="108" t="str">
        <f>IFERROR(VLOOKUP(CONCATENATE(Tabla1[[#This Row],[Severidad]]," ",Tabla1[[#This Row],[Complejidad]]),Catalogos!E$120:G$128,3,FALSE),"")</f>
        <v/>
      </c>
      <c r="V4331" s="108" t="str">
        <f>IF(Tabla1[[#This Row],[Tiempo solución max (hrs)]]&lt;&gt;"",IF(Tabla1[[#This Row],[Tiempo solución max (hrs)]]&gt;=Tabla1[[#This Row],[Tiempo
(Hrs 00/100)]],"cumple","no cumple"),"")</f>
        <v/>
      </c>
      <c r="W4331" s="17"/>
      <c r="X4331" s="18">
        <f t="shared" si="257"/>
        <v>0</v>
      </c>
      <c r="Y4331" t="str">
        <f>SUBSTITUTE(Tabla1[[#This Row],[Descripción]],CHAR(10),"    I    ")</f>
        <v/>
      </c>
      <c r="Z4331" s="112" t="e">
        <f>VLOOKUP(Tabla1[[#This Row],[Perfil]],Catalogos!$B$75:$D$100,3,FALSE)*Tabla1[[#This Row],[Tiempo
(Hrs 00/100)]]*1.16</f>
        <v>#N/A</v>
      </c>
    </row>
    <row r="4332" spans="1:26" ht="30" customHeight="1" x14ac:dyDescent="0.3">
      <c r="A4332" s="106"/>
      <c r="B4332" s="106"/>
      <c r="C4332" s="106"/>
      <c r="D4332" s="106"/>
      <c r="E4332" s="106"/>
      <c r="F4332" s="106"/>
      <c r="G4332" s="106"/>
      <c r="H4332" s="107"/>
      <c r="I4332" s="95"/>
      <c r="J4332" s="706"/>
      <c r="K4332" s="769"/>
      <c r="L4332" s="706"/>
      <c r="M4332" s="781"/>
      <c r="N4332" s="182"/>
      <c r="O4332" s="188"/>
      <c r="P4332" s="221"/>
      <c r="Q4332" s="106"/>
      <c r="R4332" s="108"/>
      <c r="S4332" s="108"/>
      <c r="T4332" s="108"/>
      <c r="U4332" s="108" t="str">
        <f>IFERROR(VLOOKUP(CONCATENATE(Tabla1[[#This Row],[Severidad]]," ",Tabla1[[#This Row],[Complejidad]]),Catalogos!E$120:G$128,3,FALSE),"")</f>
        <v/>
      </c>
      <c r="V4332" s="108" t="str">
        <f>IF(Tabla1[[#This Row],[Tiempo solución max (hrs)]]&lt;&gt;"",IF(Tabla1[[#This Row],[Tiempo solución max (hrs)]]&gt;=Tabla1[[#This Row],[Tiempo
(Hrs 00/100)]],"cumple","no cumple"),"")</f>
        <v/>
      </c>
      <c r="W4332" s="17"/>
      <c r="X4332" s="18">
        <f t="shared" si="257"/>
        <v>0</v>
      </c>
      <c r="Y4332" t="str">
        <f>SUBSTITUTE(Tabla1[[#This Row],[Descripción]],CHAR(10),"    I    ")</f>
        <v/>
      </c>
      <c r="Z4332" s="112" t="e">
        <f>VLOOKUP(Tabla1[[#This Row],[Perfil]],Catalogos!$B$75:$D$100,3,FALSE)*Tabla1[[#This Row],[Tiempo
(Hrs 00/100)]]*1.16</f>
        <v>#N/A</v>
      </c>
    </row>
    <row r="4333" spans="1:26" ht="30" customHeight="1" x14ac:dyDescent="0.3">
      <c r="A4333" s="106"/>
      <c r="B4333" s="106"/>
      <c r="C4333" s="106"/>
      <c r="D4333" s="106"/>
      <c r="E4333" s="106"/>
      <c r="F4333" s="106"/>
      <c r="G4333" s="106"/>
      <c r="H4333" s="107"/>
      <c r="I4333" s="95"/>
      <c r="J4333" s="706"/>
      <c r="K4333" s="769"/>
      <c r="L4333" s="706"/>
      <c r="M4333" s="781"/>
      <c r="N4333" s="182"/>
      <c r="O4333" s="188"/>
      <c r="P4333" s="221"/>
      <c r="Q4333" s="106"/>
      <c r="R4333" s="108"/>
      <c r="S4333" s="108"/>
      <c r="T4333" s="108"/>
      <c r="U4333" s="108" t="str">
        <f>IFERROR(VLOOKUP(CONCATENATE(Tabla1[[#This Row],[Severidad]]," ",Tabla1[[#This Row],[Complejidad]]),Catalogos!E$120:G$128,3,FALSE),"")</f>
        <v/>
      </c>
      <c r="V4333" s="108" t="str">
        <f>IF(Tabla1[[#This Row],[Tiempo solución max (hrs)]]&lt;&gt;"",IF(Tabla1[[#This Row],[Tiempo solución max (hrs)]]&gt;=Tabla1[[#This Row],[Tiempo
(Hrs 00/100)]],"cumple","no cumple"),"")</f>
        <v/>
      </c>
      <c r="W4333" s="17"/>
      <c r="X4333" s="18">
        <f t="shared" si="257"/>
        <v>0</v>
      </c>
      <c r="Y4333" t="str">
        <f>SUBSTITUTE(Tabla1[[#This Row],[Descripción]],CHAR(10),"    I    ")</f>
        <v/>
      </c>
      <c r="Z4333" s="112" t="e">
        <f>VLOOKUP(Tabla1[[#This Row],[Perfil]],Catalogos!$B$75:$D$100,3,FALSE)*Tabla1[[#This Row],[Tiempo
(Hrs 00/100)]]*1.16</f>
        <v>#N/A</v>
      </c>
    </row>
    <row r="4334" spans="1:26" ht="30" customHeight="1" x14ac:dyDescent="0.3">
      <c r="A4334" s="106"/>
      <c r="B4334" s="106"/>
      <c r="C4334" s="106"/>
      <c r="D4334" s="106"/>
      <c r="E4334" s="106"/>
      <c r="F4334" s="106"/>
      <c r="G4334" s="106"/>
      <c r="H4334" s="107"/>
      <c r="I4334" s="95"/>
      <c r="J4334" s="706"/>
      <c r="K4334" s="769"/>
      <c r="L4334" s="706"/>
      <c r="M4334" s="781"/>
      <c r="N4334" s="182"/>
      <c r="O4334" s="188"/>
      <c r="P4334" s="221"/>
      <c r="Q4334" s="106"/>
      <c r="R4334" s="108"/>
      <c r="S4334" s="108"/>
      <c r="T4334" s="108"/>
      <c r="U4334" s="108" t="str">
        <f>IFERROR(VLOOKUP(CONCATENATE(Tabla1[[#This Row],[Severidad]]," ",Tabla1[[#This Row],[Complejidad]]),Catalogos!E$120:G$128,3,FALSE),"")</f>
        <v/>
      </c>
      <c r="V4334" s="108" t="str">
        <f>IF(Tabla1[[#This Row],[Tiempo solución max (hrs)]]&lt;&gt;"",IF(Tabla1[[#This Row],[Tiempo solución max (hrs)]]&gt;=Tabla1[[#This Row],[Tiempo
(Hrs 00/100)]],"cumple","no cumple"),"")</f>
        <v/>
      </c>
      <c r="W4334" s="17"/>
      <c r="X4334" s="18">
        <f t="shared" si="257"/>
        <v>0</v>
      </c>
      <c r="Y4334" t="str">
        <f>SUBSTITUTE(Tabla1[[#This Row],[Descripción]],CHAR(10),"    I    ")</f>
        <v/>
      </c>
      <c r="Z4334" s="112" t="e">
        <f>VLOOKUP(Tabla1[[#This Row],[Perfil]],Catalogos!$B$75:$D$100,3,FALSE)*Tabla1[[#This Row],[Tiempo
(Hrs 00/100)]]*1.16</f>
        <v>#N/A</v>
      </c>
    </row>
    <row r="4335" spans="1:26" ht="30" customHeight="1" x14ac:dyDescent="0.3">
      <c r="A4335" s="106"/>
      <c r="B4335" s="106"/>
      <c r="C4335" s="106"/>
      <c r="D4335" s="106"/>
      <c r="E4335" s="106"/>
      <c r="F4335" s="106"/>
      <c r="G4335" s="106"/>
      <c r="H4335" s="107"/>
      <c r="I4335" s="95"/>
      <c r="J4335" s="706"/>
      <c r="K4335" s="769"/>
      <c r="L4335" s="706"/>
      <c r="M4335" s="781"/>
      <c r="N4335" s="182"/>
      <c r="O4335" s="188"/>
      <c r="P4335" s="221"/>
      <c r="Q4335" s="106"/>
      <c r="R4335" s="108"/>
      <c r="S4335" s="108"/>
      <c r="T4335" s="108"/>
      <c r="U4335" s="108" t="str">
        <f>IFERROR(VLOOKUP(CONCATENATE(Tabla1[[#This Row],[Severidad]]," ",Tabla1[[#This Row],[Complejidad]]),Catalogos!E$120:G$128,3,FALSE),"")</f>
        <v/>
      </c>
      <c r="V4335" s="108" t="str">
        <f>IF(Tabla1[[#This Row],[Tiempo solución max (hrs)]]&lt;&gt;"",IF(Tabla1[[#This Row],[Tiempo solución max (hrs)]]&gt;=Tabla1[[#This Row],[Tiempo
(Hrs 00/100)]],"cumple","no cumple"),"")</f>
        <v/>
      </c>
      <c r="W4335" s="17"/>
      <c r="X4335" s="18">
        <f t="shared" si="257"/>
        <v>0</v>
      </c>
      <c r="Y4335" t="str">
        <f>SUBSTITUTE(Tabla1[[#This Row],[Descripción]],CHAR(10),"    I    ")</f>
        <v/>
      </c>
      <c r="Z4335" s="112" t="e">
        <f>VLOOKUP(Tabla1[[#This Row],[Perfil]],Catalogos!$B$75:$D$100,3,FALSE)*Tabla1[[#This Row],[Tiempo
(Hrs 00/100)]]*1.16</f>
        <v>#N/A</v>
      </c>
    </row>
    <row r="4336" spans="1:26" ht="30" customHeight="1" x14ac:dyDescent="0.3">
      <c r="A4336" s="106"/>
      <c r="B4336" s="106"/>
      <c r="C4336" s="106"/>
      <c r="D4336" s="106"/>
      <c r="E4336" s="106"/>
      <c r="F4336" s="106"/>
      <c r="G4336" s="106"/>
      <c r="H4336" s="107"/>
      <c r="I4336" s="95"/>
      <c r="J4336" s="706"/>
      <c r="K4336" s="769"/>
      <c r="L4336" s="706"/>
      <c r="M4336" s="781"/>
      <c r="N4336" s="182"/>
      <c r="O4336" s="188"/>
      <c r="P4336" s="221"/>
      <c r="Q4336" s="106"/>
      <c r="R4336" s="108"/>
      <c r="S4336" s="108"/>
      <c r="T4336" s="108"/>
      <c r="U4336" s="108" t="str">
        <f>IFERROR(VLOOKUP(CONCATENATE(Tabla1[[#This Row],[Severidad]]," ",Tabla1[[#This Row],[Complejidad]]),Catalogos!E$120:G$128,3,FALSE),"")</f>
        <v/>
      </c>
      <c r="V4336" s="108" t="str">
        <f>IF(Tabla1[[#This Row],[Tiempo solución max (hrs)]]&lt;&gt;"",IF(Tabla1[[#This Row],[Tiempo solución max (hrs)]]&gt;=Tabla1[[#This Row],[Tiempo
(Hrs 00/100)]],"cumple","no cumple"),"")</f>
        <v/>
      </c>
      <c r="W4336" s="17"/>
      <c r="X4336" s="18">
        <f t="shared" si="257"/>
        <v>0</v>
      </c>
      <c r="Y4336" t="str">
        <f>SUBSTITUTE(Tabla1[[#This Row],[Descripción]],CHAR(10),"    I    ")</f>
        <v/>
      </c>
      <c r="Z4336" s="112" t="e">
        <f>VLOOKUP(Tabla1[[#This Row],[Perfil]],Catalogos!$B$75:$D$100,3,FALSE)*Tabla1[[#This Row],[Tiempo
(Hrs 00/100)]]*1.16</f>
        <v>#N/A</v>
      </c>
    </row>
    <row r="4337" spans="1:26" ht="30" customHeight="1" x14ac:dyDescent="0.3">
      <c r="A4337" s="106"/>
      <c r="B4337" s="106"/>
      <c r="C4337" s="106"/>
      <c r="D4337" s="106"/>
      <c r="E4337" s="106"/>
      <c r="F4337" s="106"/>
      <c r="G4337" s="106"/>
      <c r="H4337" s="107"/>
      <c r="I4337" s="95"/>
      <c r="J4337" s="706"/>
      <c r="K4337" s="769"/>
      <c r="L4337" s="706"/>
      <c r="M4337" s="781"/>
      <c r="N4337" s="182"/>
      <c r="O4337" s="188"/>
      <c r="P4337" s="221"/>
      <c r="Q4337" s="106"/>
      <c r="R4337" s="108"/>
      <c r="S4337" s="108"/>
      <c r="T4337" s="108"/>
      <c r="U4337" s="108" t="str">
        <f>IFERROR(VLOOKUP(CONCATENATE(Tabla1[[#This Row],[Severidad]]," ",Tabla1[[#This Row],[Complejidad]]),Catalogos!E$120:G$128,3,FALSE),"")</f>
        <v/>
      </c>
      <c r="V4337" s="108" t="str">
        <f>IF(Tabla1[[#This Row],[Tiempo solución max (hrs)]]&lt;&gt;"",IF(Tabla1[[#This Row],[Tiempo solución max (hrs)]]&gt;=Tabla1[[#This Row],[Tiempo
(Hrs 00/100)]],"cumple","no cumple"),"")</f>
        <v/>
      </c>
      <c r="W4337" s="17"/>
      <c r="X4337" s="18">
        <f t="shared" si="257"/>
        <v>0</v>
      </c>
      <c r="Y4337" t="str">
        <f>SUBSTITUTE(Tabla1[[#This Row],[Descripción]],CHAR(10),"    I    ")</f>
        <v/>
      </c>
      <c r="Z4337" s="112" t="e">
        <f>VLOOKUP(Tabla1[[#This Row],[Perfil]],Catalogos!$B$75:$D$100,3,FALSE)*Tabla1[[#This Row],[Tiempo
(Hrs 00/100)]]*1.16</f>
        <v>#N/A</v>
      </c>
    </row>
    <row r="4338" spans="1:26" ht="30" customHeight="1" x14ac:dyDescent="0.3">
      <c r="A4338" s="106"/>
      <c r="B4338" s="106"/>
      <c r="C4338" s="106"/>
      <c r="D4338" s="106"/>
      <c r="E4338" s="106"/>
      <c r="F4338" s="106"/>
      <c r="G4338" s="106"/>
      <c r="H4338" s="107"/>
      <c r="I4338" s="95"/>
      <c r="J4338" s="706"/>
      <c r="K4338" s="769"/>
      <c r="L4338" s="706"/>
      <c r="M4338" s="781"/>
      <c r="N4338" s="182"/>
      <c r="O4338" s="188"/>
      <c r="P4338" s="221"/>
      <c r="Q4338" s="106"/>
      <c r="R4338" s="108"/>
      <c r="S4338" s="108"/>
      <c r="T4338" s="108"/>
      <c r="U4338" s="108" t="str">
        <f>IFERROR(VLOOKUP(CONCATENATE(Tabla1[[#This Row],[Severidad]]," ",Tabla1[[#This Row],[Complejidad]]),Catalogos!E$120:G$128,3,FALSE),"")</f>
        <v/>
      </c>
      <c r="V4338" s="108" t="str">
        <f>IF(Tabla1[[#This Row],[Tiempo solución max (hrs)]]&lt;&gt;"",IF(Tabla1[[#This Row],[Tiempo solución max (hrs)]]&gt;=Tabla1[[#This Row],[Tiempo
(Hrs 00/100)]],"cumple","no cumple"),"")</f>
        <v/>
      </c>
      <c r="W4338" s="17"/>
      <c r="X4338" s="18">
        <f t="shared" si="257"/>
        <v>0</v>
      </c>
      <c r="Y4338" t="str">
        <f>SUBSTITUTE(Tabla1[[#This Row],[Descripción]],CHAR(10),"    I    ")</f>
        <v/>
      </c>
      <c r="Z4338" s="112" t="e">
        <f>VLOOKUP(Tabla1[[#This Row],[Perfil]],Catalogos!$B$75:$D$100,3,FALSE)*Tabla1[[#This Row],[Tiempo
(Hrs 00/100)]]*1.16</f>
        <v>#N/A</v>
      </c>
    </row>
    <row r="4339" spans="1:26" ht="30" customHeight="1" x14ac:dyDescent="0.3">
      <c r="A4339" s="106"/>
      <c r="B4339" s="106"/>
      <c r="C4339" s="106"/>
      <c r="D4339" s="106"/>
      <c r="E4339" s="106"/>
      <c r="F4339" s="106"/>
      <c r="G4339" s="106"/>
      <c r="H4339" s="107"/>
      <c r="I4339" s="95"/>
      <c r="J4339" s="706"/>
      <c r="K4339" s="769"/>
      <c r="L4339" s="706"/>
      <c r="M4339" s="781"/>
      <c r="N4339" s="182"/>
      <c r="O4339" s="188"/>
      <c r="P4339" s="221"/>
      <c r="Q4339" s="106"/>
      <c r="R4339" s="108"/>
      <c r="S4339" s="108"/>
      <c r="T4339" s="108"/>
      <c r="U4339" s="108" t="str">
        <f>IFERROR(VLOOKUP(CONCATENATE(Tabla1[[#This Row],[Severidad]]," ",Tabla1[[#This Row],[Complejidad]]),Catalogos!E$120:G$128,3,FALSE),"")</f>
        <v/>
      </c>
      <c r="V4339" s="108" t="str">
        <f>IF(Tabla1[[#This Row],[Tiempo solución max (hrs)]]&lt;&gt;"",IF(Tabla1[[#This Row],[Tiempo solución max (hrs)]]&gt;=Tabla1[[#This Row],[Tiempo
(Hrs 00/100)]],"cumple","no cumple"),"")</f>
        <v/>
      </c>
      <c r="W4339" s="17"/>
      <c r="X4339" s="18">
        <f t="shared" si="257"/>
        <v>0</v>
      </c>
      <c r="Y4339" t="str">
        <f>SUBSTITUTE(Tabla1[[#This Row],[Descripción]],CHAR(10),"    I    ")</f>
        <v/>
      </c>
      <c r="Z4339" s="112" t="e">
        <f>VLOOKUP(Tabla1[[#This Row],[Perfil]],Catalogos!$B$75:$D$100,3,FALSE)*Tabla1[[#This Row],[Tiempo
(Hrs 00/100)]]*1.16</f>
        <v>#N/A</v>
      </c>
    </row>
    <row r="4340" spans="1:26" ht="30" customHeight="1" x14ac:dyDescent="0.3">
      <c r="A4340" s="106"/>
      <c r="B4340" s="106"/>
      <c r="C4340" s="106"/>
      <c r="D4340" s="106"/>
      <c r="E4340" s="106"/>
      <c r="F4340" s="106"/>
      <c r="G4340" s="106"/>
      <c r="H4340" s="107"/>
      <c r="I4340" s="95"/>
      <c r="J4340" s="706"/>
      <c r="K4340" s="769"/>
      <c r="L4340" s="706"/>
      <c r="M4340" s="781"/>
      <c r="N4340" s="182"/>
      <c r="O4340" s="188"/>
      <c r="P4340" s="221"/>
      <c r="Q4340" s="106"/>
      <c r="R4340" s="108"/>
      <c r="S4340" s="108"/>
      <c r="T4340" s="108"/>
      <c r="U4340" s="108" t="str">
        <f>IFERROR(VLOOKUP(CONCATENATE(Tabla1[[#This Row],[Severidad]]," ",Tabla1[[#This Row],[Complejidad]]),Catalogos!E$120:G$128,3,FALSE),"")</f>
        <v/>
      </c>
      <c r="V4340" s="108" t="str">
        <f>IF(Tabla1[[#This Row],[Tiempo solución max (hrs)]]&lt;&gt;"",IF(Tabla1[[#This Row],[Tiempo solución max (hrs)]]&gt;=Tabla1[[#This Row],[Tiempo
(Hrs 00/100)]],"cumple","no cumple"),"")</f>
        <v/>
      </c>
      <c r="W4340" s="17"/>
      <c r="X4340" s="18">
        <f t="shared" si="257"/>
        <v>0</v>
      </c>
      <c r="Y4340" t="str">
        <f>SUBSTITUTE(Tabla1[[#This Row],[Descripción]],CHAR(10),"    I    ")</f>
        <v/>
      </c>
      <c r="Z4340" s="112" t="e">
        <f>VLOOKUP(Tabla1[[#This Row],[Perfil]],Catalogos!$B$75:$D$100,3,FALSE)*Tabla1[[#This Row],[Tiempo
(Hrs 00/100)]]*1.16</f>
        <v>#N/A</v>
      </c>
    </row>
    <row r="4341" spans="1:26" ht="30" customHeight="1" x14ac:dyDescent="0.3">
      <c r="A4341" s="106"/>
      <c r="B4341" s="106"/>
      <c r="C4341" s="106"/>
      <c r="D4341" s="106"/>
      <c r="E4341" s="106"/>
      <c r="F4341" s="106"/>
      <c r="G4341" s="106"/>
      <c r="H4341" s="107"/>
      <c r="I4341" s="95"/>
      <c r="J4341" s="706"/>
      <c r="K4341" s="769"/>
      <c r="L4341" s="706"/>
      <c r="M4341" s="781"/>
      <c r="N4341" s="182"/>
      <c r="O4341" s="188"/>
      <c r="P4341" s="221"/>
      <c r="Q4341" s="106"/>
      <c r="R4341" s="108"/>
      <c r="S4341" s="108"/>
      <c r="T4341" s="108"/>
      <c r="U4341" s="108" t="str">
        <f>IFERROR(VLOOKUP(CONCATENATE(Tabla1[[#This Row],[Severidad]]," ",Tabla1[[#This Row],[Complejidad]]),Catalogos!E$120:G$128,3,FALSE),"")</f>
        <v/>
      </c>
      <c r="V4341" s="108" t="str">
        <f>IF(Tabla1[[#This Row],[Tiempo solución max (hrs)]]&lt;&gt;"",IF(Tabla1[[#This Row],[Tiempo solución max (hrs)]]&gt;=Tabla1[[#This Row],[Tiempo
(Hrs 00/100)]],"cumple","no cumple"),"")</f>
        <v/>
      </c>
      <c r="W4341" s="17"/>
      <c r="X4341" s="18">
        <f t="shared" si="257"/>
        <v>0</v>
      </c>
      <c r="Y4341" t="str">
        <f>SUBSTITUTE(Tabla1[[#This Row],[Descripción]],CHAR(10),"    I    ")</f>
        <v/>
      </c>
      <c r="Z4341" s="112" t="e">
        <f>VLOOKUP(Tabla1[[#This Row],[Perfil]],Catalogos!$B$75:$D$100,3,FALSE)*Tabla1[[#This Row],[Tiempo
(Hrs 00/100)]]*1.16</f>
        <v>#N/A</v>
      </c>
    </row>
    <row r="4342" spans="1:26" ht="30" customHeight="1" x14ac:dyDescent="0.3">
      <c r="A4342" s="106"/>
      <c r="B4342" s="106"/>
      <c r="C4342" s="106"/>
      <c r="D4342" s="106"/>
      <c r="E4342" s="106"/>
      <c r="F4342" s="106"/>
      <c r="G4342" s="106"/>
      <c r="H4342" s="107"/>
      <c r="I4342" s="95"/>
      <c r="J4342" s="706"/>
      <c r="K4342" s="769"/>
      <c r="L4342" s="706"/>
      <c r="M4342" s="781"/>
      <c r="N4342" s="182"/>
      <c r="O4342" s="188"/>
      <c r="P4342" s="221"/>
      <c r="Q4342" s="106"/>
      <c r="R4342" s="108"/>
      <c r="S4342" s="108"/>
      <c r="T4342" s="108"/>
      <c r="U4342" s="108" t="str">
        <f>IFERROR(VLOOKUP(CONCATENATE(Tabla1[[#This Row],[Severidad]]," ",Tabla1[[#This Row],[Complejidad]]),Catalogos!E$120:G$128,3,FALSE),"")</f>
        <v/>
      </c>
      <c r="V4342" s="108" t="str">
        <f>IF(Tabla1[[#This Row],[Tiempo solución max (hrs)]]&lt;&gt;"",IF(Tabla1[[#This Row],[Tiempo solución max (hrs)]]&gt;=Tabla1[[#This Row],[Tiempo
(Hrs 00/100)]],"cumple","no cumple"),"")</f>
        <v/>
      </c>
      <c r="W4342" s="17"/>
      <c r="X4342" s="18">
        <f t="shared" si="257"/>
        <v>0</v>
      </c>
      <c r="Y4342" t="str">
        <f>SUBSTITUTE(Tabla1[[#This Row],[Descripción]],CHAR(10),"    I    ")</f>
        <v/>
      </c>
      <c r="Z4342" s="112" t="e">
        <f>VLOOKUP(Tabla1[[#This Row],[Perfil]],Catalogos!$B$75:$D$100,3,FALSE)*Tabla1[[#This Row],[Tiempo
(Hrs 00/100)]]*1.16</f>
        <v>#N/A</v>
      </c>
    </row>
    <row r="4343" spans="1:26" ht="30" customHeight="1" x14ac:dyDescent="0.3">
      <c r="A4343" s="106"/>
      <c r="B4343" s="106"/>
      <c r="C4343" s="106"/>
      <c r="D4343" s="106"/>
      <c r="E4343" s="106"/>
      <c r="F4343" s="106"/>
      <c r="G4343" s="106"/>
      <c r="H4343" s="107"/>
      <c r="I4343" s="95"/>
      <c r="J4343" s="706"/>
      <c r="K4343" s="769"/>
      <c r="L4343" s="706"/>
      <c r="M4343" s="781"/>
      <c r="N4343" s="182"/>
      <c r="O4343" s="188"/>
      <c r="P4343" s="221"/>
      <c r="Q4343" s="106"/>
      <c r="R4343" s="108"/>
      <c r="S4343" s="108"/>
      <c r="T4343" s="108"/>
      <c r="U4343" s="108" t="str">
        <f>IFERROR(VLOOKUP(CONCATENATE(Tabla1[[#This Row],[Severidad]]," ",Tabla1[[#This Row],[Complejidad]]),Catalogos!E$120:G$128,3,FALSE),"")</f>
        <v/>
      </c>
      <c r="V4343" s="108" t="str">
        <f>IF(Tabla1[[#This Row],[Tiempo solución max (hrs)]]&lt;&gt;"",IF(Tabla1[[#This Row],[Tiempo solución max (hrs)]]&gt;=Tabla1[[#This Row],[Tiempo
(Hrs 00/100)]],"cumple","no cumple"),"")</f>
        <v/>
      </c>
      <c r="W4343" s="17"/>
      <c r="X4343" s="18">
        <f t="shared" si="257"/>
        <v>0</v>
      </c>
      <c r="Y4343" t="str">
        <f>SUBSTITUTE(Tabla1[[#This Row],[Descripción]],CHAR(10),"    I    ")</f>
        <v/>
      </c>
      <c r="Z4343" s="112" t="e">
        <f>VLOOKUP(Tabla1[[#This Row],[Perfil]],Catalogos!$B$75:$D$100,3,FALSE)*Tabla1[[#This Row],[Tiempo
(Hrs 00/100)]]*1.16</f>
        <v>#N/A</v>
      </c>
    </row>
    <row r="4344" spans="1:26" ht="30" customHeight="1" x14ac:dyDescent="0.3">
      <c r="A4344" s="106"/>
      <c r="B4344" s="106"/>
      <c r="C4344" s="106"/>
      <c r="D4344" s="106"/>
      <c r="E4344" s="106"/>
      <c r="F4344" s="106"/>
      <c r="G4344" s="106"/>
      <c r="H4344" s="107"/>
      <c r="I4344" s="95"/>
      <c r="J4344" s="706"/>
      <c r="K4344" s="769"/>
      <c r="L4344" s="706"/>
      <c r="M4344" s="781"/>
      <c r="N4344" s="182"/>
      <c r="O4344" s="188"/>
      <c r="P4344" s="221"/>
      <c r="Q4344" s="106"/>
      <c r="R4344" s="108"/>
      <c r="S4344" s="108"/>
      <c r="T4344" s="108"/>
      <c r="U4344" s="108" t="str">
        <f>IFERROR(VLOOKUP(CONCATENATE(Tabla1[[#This Row],[Severidad]]," ",Tabla1[[#This Row],[Complejidad]]),Catalogos!E$120:G$128,3,FALSE),"")</f>
        <v/>
      </c>
      <c r="V4344" s="108" t="str">
        <f>IF(Tabla1[[#This Row],[Tiempo solución max (hrs)]]&lt;&gt;"",IF(Tabla1[[#This Row],[Tiempo solución max (hrs)]]&gt;=Tabla1[[#This Row],[Tiempo
(Hrs 00/100)]],"cumple","no cumple"),"")</f>
        <v/>
      </c>
      <c r="W4344" s="17"/>
      <c r="X4344" s="18">
        <f t="shared" si="257"/>
        <v>0</v>
      </c>
      <c r="Y4344" t="str">
        <f>SUBSTITUTE(Tabla1[[#This Row],[Descripción]],CHAR(10),"    I    ")</f>
        <v/>
      </c>
      <c r="Z4344" s="112" t="e">
        <f>VLOOKUP(Tabla1[[#This Row],[Perfil]],Catalogos!$B$75:$D$100,3,FALSE)*Tabla1[[#This Row],[Tiempo
(Hrs 00/100)]]*1.16</f>
        <v>#N/A</v>
      </c>
    </row>
    <row r="4345" spans="1:26" ht="30" customHeight="1" x14ac:dyDescent="0.3">
      <c r="A4345" s="106"/>
      <c r="B4345" s="106"/>
      <c r="C4345" s="106"/>
      <c r="D4345" s="106"/>
      <c r="E4345" s="106"/>
      <c r="F4345" s="106"/>
      <c r="G4345" s="106"/>
      <c r="H4345" s="107"/>
      <c r="I4345" s="95"/>
      <c r="J4345" s="706"/>
      <c r="K4345" s="769"/>
      <c r="L4345" s="706"/>
      <c r="M4345" s="781"/>
      <c r="N4345" s="182"/>
      <c r="O4345" s="188"/>
      <c r="P4345" s="221"/>
      <c r="Q4345" s="106"/>
      <c r="R4345" s="108"/>
      <c r="S4345" s="108"/>
      <c r="T4345" s="108"/>
      <c r="U4345" s="108" t="str">
        <f>IFERROR(VLOOKUP(CONCATENATE(Tabla1[[#This Row],[Severidad]]," ",Tabla1[[#This Row],[Complejidad]]),Catalogos!E$120:G$128,3,FALSE),"")</f>
        <v/>
      </c>
      <c r="V4345" s="108" t="str">
        <f>IF(Tabla1[[#This Row],[Tiempo solución max (hrs)]]&lt;&gt;"",IF(Tabla1[[#This Row],[Tiempo solución max (hrs)]]&gt;=Tabla1[[#This Row],[Tiempo
(Hrs 00/100)]],"cumple","no cumple"),"")</f>
        <v/>
      </c>
      <c r="W4345" s="17"/>
      <c r="X4345" s="18">
        <f t="shared" si="257"/>
        <v>0</v>
      </c>
      <c r="Y4345" t="str">
        <f>SUBSTITUTE(Tabla1[[#This Row],[Descripción]],CHAR(10),"    I    ")</f>
        <v/>
      </c>
      <c r="Z4345" s="112" t="e">
        <f>VLOOKUP(Tabla1[[#This Row],[Perfil]],Catalogos!$B$75:$D$100,3,FALSE)*Tabla1[[#This Row],[Tiempo
(Hrs 00/100)]]*1.16</f>
        <v>#N/A</v>
      </c>
    </row>
    <row r="4346" spans="1:26" ht="30" customHeight="1" x14ac:dyDescent="0.3">
      <c r="A4346" s="106"/>
      <c r="B4346" s="106"/>
      <c r="C4346" s="106"/>
      <c r="D4346" s="106"/>
      <c r="E4346" s="106"/>
      <c r="F4346" s="106"/>
      <c r="G4346" s="106"/>
      <c r="H4346" s="107"/>
      <c r="I4346" s="95"/>
      <c r="J4346" s="706"/>
      <c r="K4346" s="769"/>
      <c r="L4346" s="706"/>
      <c r="M4346" s="781"/>
      <c r="N4346" s="182"/>
      <c r="O4346" s="188"/>
      <c r="P4346" s="221"/>
      <c r="Q4346" s="106"/>
      <c r="R4346" s="108"/>
      <c r="S4346" s="108"/>
      <c r="T4346" s="108"/>
      <c r="U4346" s="108" t="str">
        <f>IFERROR(VLOOKUP(CONCATENATE(Tabla1[[#This Row],[Severidad]]," ",Tabla1[[#This Row],[Complejidad]]),Catalogos!E$120:G$128,3,FALSE),"")</f>
        <v/>
      </c>
      <c r="V4346" s="108" t="str">
        <f>IF(Tabla1[[#This Row],[Tiempo solución max (hrs)]]&lt;&gt;"",IF(Tabla1[[#This Row],[Tiempo solución max (hrs)]]&gt;=Tabla1[[#This Row],[Tiempo
(Hrs 00/100)]],"cumple","no cumple"),"")</f>
        <v/>
      </c>
      <c r="W4346" s="17"/>
      <c r="X4346" s="18">
        <f t="shared" si="257"/>
        <v>0</v>
      </c>
      <c r="Y4346" t="str">
        <f>SUBSTITUTE(Tabla1[[#This Row],[Descripción]],CHAR(10),"    I    ")</f>
        <v/>
      </c>
      <c r="Z4346" s="112" t="e">
        <f>VLOOKUP(Tabla1[[#This Row],[Perfil]],Catalogos!$B$75:$D$100,3,FALSE)*Tabla1[[#This Row],[Tiempo
(Hrs 00/100)]]*1.16</f>
        <v>#N/A</v>
      </c>
    </row>
    <row r="4347" spans="1:26" ht="30" customHeight="1" x14ac:dyDescent="0.3">
      <c r="A4347" s="106"/>
      <c r="B4347" s="106"/>
      <c r="C4347" s="106"/>
      <c r="D4347" s="106"/>
      <c r="E4347" s="106"/>
      <c r="F4347" s="106"/>
      <c r="G4347" s="106"/>
      <c r="H4347" s="107"/>
      <c r="I4347" s="95"/>
      <c r="J4347" s="706"/>
      <c r="K4347" s="769"/>
      <c r="L4347" s="706"/>
      <c r="M4347" s="781"/>
      <c r="N4347" s="182"/>
      <c r="O4347" s="188"/>
      <c r="P4347" s="221"/>
      <c r="Q4347" s="106"/>
      <c r="R4347" s="108"/>
      <c r="S4347" s="108"/>
      <c r="T4347" s="108"/>
      <c r="U4347" s="108" t="str">
        <f>IFERROR(VLOOKUP(CONCATENATE(Tabla1[[#This Row],[Severidad]]," ",Tabla1[[#This Row],[Complejidad]]),Catalogos!E$120:G$128,3,FALSE),"")</f>
        <v/>
      </c>
      <c r="V4347" s="108" t="str">
        <f>IF(Tabla1[[#This Row],[Tiempo solución max (hrs)]]&lt;&gt;"",IF(Tabla1[[#This Row],[Tiempo solución max (hrs)]]&gt;=Tabla1[[#This Row],[Tiempo
(Hrs 00/100)]],"cumple","no cumple"),"")</f>
        <v/>
      </c>
      <c r="W4347" s="17"/>
      <c r="X4347" s="18">
        <f t="shared" si="257"/>
        <v>0</v>
      </c>
      <c r="Y4347" t="str">
        <f>SUBSTITUTE(Tabla1[[#This Row],[Descripción]],CHAR(10),"    I    ")</f>
        <v/>
      </c>
      <c r="Z4347" s="112" t="e">
        <f>VLOOKUP(Tabla1[[#This Row],[Perfil]],Catalogos!$B$75:$D$100,3,FALSE)*Tabla1[[#This Row],[Tiempo
(Hrs 00/100)]]*1.16</f>
        <v>#N/A</v>
      </c>
    </row>
    <row r="4348" spans="1:26" ht="30" customHeight="1" x14ac:dyDescent="0.3">
      <c r="A4348" s="106"/>
      <c r="B4348" s="106"/>
      <c r="C4348" s="106"/>
      <c r="D4348" s="106"/>
      <c r="E4348" s="106"/>
      <c r="F4348" s="106"/>
      <c r="G4348" s="106"/>
      <c r="H4348" s="107"/>
      <c r="I4348" s="95"/>
      <c r="J4348" s="706"/>
      <c r="K4348" s="769"/>
      <c r="L4348" s="706"/>
      <c r="M4348" s="781"/>
      <c r="N4348" s="182"/>
      <c r="O4348" s="188"/>
      <c r="P4348" s="221"/>
      <c r="Q4348" s="106"/>
      <c r="R4348" s="108"/>
      <c r="S4348" s="108"/>
      <c r="T4348" s="108"/>
      <c r="U4348" s="108" t="str">
        <f>IFERROR(VLOOKUP(CONCATENATE(Tabla1[[#This Row],[Severidad]]," ",Tabla1[[#This Row],[Complejidad]]),Catalogos!E$120:G$128,3,FALSE),"")</f>
        <v/>
      </c>
      <c r="V4348" s="108" t="str">
        <f>IF(Tabla1[[#This Row],[Tiempo solución max (hrs)]]&lt;&gt;"",IF(Tabla1[[#This Row],[Tiempo solución max (hrs)]]&gt;=Tabla1[[#This Row],[Tiempo
(Hrs 00/100)]],"cumple","no cumple"),"")</f>
        <v/>
      </c>
      <c r="W4348" s="17"/>
      <c r="X4348" s="18">
        <f t="shared" si="257"/>
        <v>0</v>
      </c>
      <c r="Y4348" t="str">
        <f>SUBSTITUTE(Tabla1[[#This Row],[Descripción]],CHAR(10),"    I    ")</f>
        <v/>
      </c>
      <c r="Z4348" s="112" t="e">
        <f>VLOOKUP(Tabla1[[#This Row],[Perfil]],Catalogos!$B$75:$D$100,3,FALSE)*Tabla1[[#This Row],[Tiempo
(Hrs 00/100)]]*1.16</f>
        <v>#N/A</v>
      </c>
    </row>
    <row r="4349" spans="1:26" ht="30" customHeight="1" x14ac:dyDescent="0.3">
      <c r="A4349" s="106"/>
      <c r="B4349" s="106"/>
      <c r="C4349" s="106"/>
      <c r="D4349" s="106"/>
      <c r="E4349" s="106"/>
      <c r="F4349" s="106"/>
      <c r="G4349" s="106"/>
      <c r="H4349" s="107"/>
      <c r="I4349" s="95"/>
      <c r="J4349" s="706"/>
      <c r="K4349" s="769"/>
      <c r="L4349" s="706"/>
      <c r="M4349" s="781"/>
      <c r="N4349" s="182"/>
      <c r="O4349" s="188"/>
      <c r="P4349" s="221"/>
      <c r="Q4349" s="106"/>
      <c r="R4349" s="108"/>
      <c r="S4349" s="108"/>
      <c r="T4349" s="108"/>
      <c r="U4349" s="108" t="str">
        <f>IFERROR(VLOOKUP(CONCATENATE(Tabla1[[#This Row],[Severidad]]," ",Tabla1[[#This Row],[Complejidad]]),Catalogos!E$120:G$128,3,FALSE),"")</f>
        <v/>
      </c>
      <c r="V4349" s="108" t="str">
        <f>IF(Tabla1[[#This Row],[Tiempo solución max (hrs)]]&lt;&gt;"",IF(Tabla1[[#This Row],[Tiempo solución max (hrs)]]&gt;=Tabla1[[#This Row],[Tiempo
(Hrs 00/100)]],"cumple","no cumple"),"")</f>
        <v/>
      </c>
      <c r="W4349" s="17"/>
      <c r="X4349" s="18">
        <f t="shared" si="257"/>
        <v>0</v>
      </c>
      <c r="Y4349" t="str">
        <f>SUBSTITUTE(Tabla1[[#This Row],[Descripción]],CHAR(10),"    I    ")</f>
        <v/>
      </c>
      <c r="Z4349" s="112" t="e">
        <f>VLOOKUP(Tabla1[[#This Row],[Perfil]],Catalogos!$B$75:$D$100,3,FALSE)*Tabla1[[#This Row],[Tiempo
(Hrs 00/100)]]*1.16</f>
        <v>#N/A</v>
      </c>
    </row>
    <row r="4350" spans="1:26" ht="30" customHeight="1" x14ac:dyDescent="0.3">
      <c r="A4350" s="106"/>
      <c r="B4350" s="106"/>
      <c r="C4350" s="106"/>
      <c r="D4350" s="106"/>
      <c r="E4350" s="106"/>
      <c r="F4350" s="106"/>
      <c r="G4350" s="106"/>
      <c r="H4350" s="107"/>
      <c r="I4350" s="95"/>
      <c r="J4350" s="706"/>
      <c r="K4350" s="769"/>
      <c r="L4350" s="706"/>
      <c r="M4350" s="781"/>
      <c r="N4350" s="182"/>
      <c r="O4350" s="188"/>
      <c r="P4350" s="221"/>
      <c r="Q4350" s="106"/>
      <c r="R4350" s="108"/>
      <c r="S4350" s="108"/>
      <c r="T4350" s="108"/>
      <c r="U4350" s="108" t="str">
        <f>IFERROR(VLOOKUP(CONCATENATE(Tabla1[[#This Row],[Severidad]]," ",Tabla1[[#This Row],[Complejidad]]),Catalogos!E$120:G$128,3,FALSE),"")</f>
        <v/>
      </c>
      <c r="V4350" s="108" t="str">
        <f>IF(Tabla1[[#This Row],[Tiempo solución max (hrs)]]&lt;&gt;"",IF(Tabla1[[#This Row],[Tiempo solución max (hrs)]]&gt;=Tabla1[[#This Row],[Tiempo
(Hrs 00/100)]],"cumple","no cumple"),"")</f>
        <v/>
      </c>
      <c r="W4350" s="17"/>
      <c r="X4350" s="18">
        <f t="shared" si="257"/>
        <v>0</v>
      </c>
      <c r="Y4350" t="str">
        <f>SUBSTITUTE(Tabla1[[#This Row],[Descripción]],CHAR(10),"    I    ")</f>
        <v/>
      </c>
      <c r="Z4350" s="112" t="e">
        <f>VLOOKUP(Tabla1[[#This Row],[Perfil]],Catalogos!$B$75:$D$100,3,FALSE)*Tabla1[[#This Row],[Tiempo
(Hrs 00/100)]]*1.16</f>
        <v>#N/A</v>
      </c>
    </row>
    <row r="4351" spans="1:26" ht="30" customHeight="1" x14ac:dyDescent="0.3">
      <c r="A4351" s="106"/>
      <c r="B4351" s="106"/>
      <c r="C4351" s="106"/>
      <c r="D4351" s="106"/>
      <c r="E4351" s="106"/>
      <c r="F4351" s="106"/>
      <c r="G4351" s="106"/>
      <c r="H4351" s="107"/>
      <c r="I4351" s="95"/>
      <c r="J4351" s="706"/>
      <c r="K4351" s="769"/>
      <c r="L4351" s="706"/>
      <c r="M4351" s="781"/>
      <c r="N4351" s="182"/>
      <c r="O4351" s="188"/>
      <c r="P4351" s="221"/>
      <c r="Q4351" s="106"/>
      <c r="R4351" s="108"/>
      <c r="S4351" s="108"/>
      <c r="T4351" s="108"/>
      <c r="U4351" s="108" t="str">
        <f>IFERROR(VLOOKUP(CONCATENATE(Tabla1[[#This Row],[Severidad]]," ",Tabla1[[#This Row],[Complejidad]]),Catalogos!E$120:G$128,3,FALSE),"")</f>
        <v/>
      </c>
      <c r="V4351" s="108" t="str">
        <f>IF(Tabla1[[#This Row],[Tiempo solución max (hrs)]]&lt;&gt;"",IF(Tabla1[[#This Row],[Tiempo solución max (hrs)]]&gt;=Tabla1[[#This Row],[Tiempo
(Hrs 00/100)]],"cumple","no cumple"),"")</f>
        <v/>
      </c>
      <c r="W4351" s="17"/>
      <c r="X4351" s="18">
        <f t="shared" si="257"/>
        <v>0</v>
      </c>
      <c r="Y4351" t="str">
        <f>SUBSTITUTE(Tabla1[[#This Row],[Descripción]],CHAR(10),"    I    ")</f>
        <v/>
      </c>
      <c r="Z4351" s="112" t="e">
        <f>VLOOKUP(Tabla1[[#This Row],[Perfil]],Catalogos!$B$75:$D$100,3,FALSE)*Tabla1[[#This Row],[Tiempo
(Hrs 00/100)]]*1.16</f>
        <v>#N/A</v>
      </c>
    </row>
    <row r="4352" spans="1:26" ht="30" customHeight="1" x14ac:dyDescent="0.3">
      <c r="A4352" s="106"/>
      <c r="B4352" s="106"/>
      <c r="C4352" s="106"/>
      <c r="D4352" s="106"/>
      <c r="E4352" s="106"/>
      <c r="F4352" s="106"/>
      <c r="G4352" s="106"/>
      <c r="H4352" s="107"/>
      <c r="I4352" s="95"/>
      <c r="J4352" s="706"/>
      <c r="K4352" s="769"/>
      <c r="L4352" s="706"/>
      <c r="M4352" s="781"/>
      <c r="N4352" s="182"/>
      <c r="O4352" s="188"/>
      <c r="P4352" s="221"/>
      <c r="Q4352" s="106"/>
      <c r="R4352" s="108"/>
      <c r="S4352" s="108"/>
      <c r="T4352" s="108"/>
      <c r="U4352" s="108" t="str">
        <f>IFERROR(VLOOKUP(CONCATENATE(Tabla1[[#This Row],[Severidad]]," ",Tabla1[[#This Row],[Complejidad]]),Catalogos!E$120:G$128,3,FALSE),"")</f>
        <v/>
      </c>
      <c r="V4352" s="108" t="str">
        <f>IF(Tabla1[[#This Row],[Tiempo solución max (hrs)]]&lt;&gt;"",IF(Tabla1[[#This Row],[Tiempo solución max (hrs)]]&gt;=Tabla1[[#This Row],[Tiempo
(Hrs 00/100)]],"cumple","no cumple"),"")</f>
        <v/>
      </c>
      <c r="W4352" s="17"/>
      <c r="X4352" s="18">
        <f t="shared" si="257"/>
        <v>0</v>
      </c>
      <c r="Y4352" t="str">
        <f>SUBSTITUTE(Tabla1[[#This Row],[Descripción]],CHAR(10),"    I    ")</f>
        <v/>
      </c>
      <c r="Z4352" s="112" t="e">
        <f>VLOOKUP(Tabla1[[#This Row],[Perfil]],Catalogos!$B$75:$D$100,3,FALSE)*Tabla1[[#This Row],[Tiempo
(Hrs 00/100)]]*1.16</f>
        <v>#N/A</v>
      </c>
    </row>
    <row r="4353" spans="1:26" ht="30" customHeight="1" x14ac:dyDescent="0.3">
      <c r="A4353" s="106"/>
      <c r="B4353" s="106"/>
      <c r="C4353" s="106"/>
      <c r="D4353" s="106"/>
      <c r="E4353" s="106"/>
      <c r="F4353" s="106"/>
      <c r="G4353" s="106"/>
      <c r="H4353" s="107"/>
      <c r="I4353" s="95"/>
      <c r="J4353" s="706"/>
      <c r="K4353" s="769"/>
      <c r="L4353" s="706"/>
      <c r="M4353" s="781"/>
      <c r="N4353" s="182"/>
      <c r="O4353" s="188"/>
      <c r="P4353" s="221"/>
      <c r="Q4353" s="106"/>
      <c r="R4353" s="108"/>
      <c r="S4353" s="108"/>
      <c r="T4353" s="108"/>
      <c r="U4353" s="108" t="str">
        <f>IFERROR(VLOOKUP(CONCATENATE(Tabla1[[#This Row],[Severidad]]," ",Tabla1[[#This Row],[Complejidad]]),Catalogos!E$120:G$128,3,FALSE),"")</f>
        <v/>
      </c>
      <c r="V4353" s="108" t="str">
        <f>IF(Tabla1[[#This Row],[Tiempo solución max (hrs)]]&lt;&gt;"",IF(Tabla1[[#This Row],[Tiempo solución max (hrs)]]&gt;=Tabla1[[#This Row],[Tiempo
(Hrs 00/100)]],"cumple","no cumple"),"")</f>
        <v/>
      </c>
      <c r="W4353" s="17"/>
      <c r="X4353" s="18">
        <f t="shared" si="257"/>
        <v>0</v>
      </c>
      <c r="Y4353" t="str">
        <f>SUBSTITUTE(Tabla1[[#This Row],[Descripción]],CHAR(10),"    I    ")</f>
        <v/>
      </c>
      <c r="Z4353" s="112" t="e">
        <f>VLOOKUP(Tabla1[[#This Row],[Perfil]],Catalogos!$B$75:$D$100,3,FALSE)*Tabla1[[#This Row],[Tiempo
(Hrs 00/100)]]*1.16</f>
        <v>#N/A</v>
      </c>
    </row>
    <row r="4354" spans="1:26" ht="30" customHeight="1" x14ac:dyDescent="0.3">
      <c r="A4354" s="106"/>
      <c r="B4354" s="106"/>
      <c r="C4354" s="106"/>
      <c r="D4354" s="106"/>
      <c r="E4354" s="106"/>
      <c r="F4354" s="106"/>
      <c r="G4354" s="106"/>
      <c r="H4354" s="107"/>
      <c r="I4354" s="95"/>
      <c r="J4354" s="706"/>
      <c r="K4354" s="769"/>
      <c r="L4354" s="706"/>
      <c r="M4354" s="781"/>
      <c r="N4354" s="182"/>
      <c r="O4354" s="188"/>
      <c r="P4354" s="221"/>
      <c r="Q4354" s="106"/>
      <c r="R4354" s="108"/>
      <c r="S4354" s="108"/>
      <c r="T4354" s="108"/>
      <c r="U4354" s="108" t="str">
        <f>IFERROR(VLOOKUP(CONCATENATE(Tabla1[[#This Row],[Severidad]]," ",Tabla1[[#This Row],[Complejidad]]),Catalogos!E$120:G$128,3,FALSE),"")</f>
        <v/>
      </c>
      <c r="V4354" s="108" t="str">
        <f>IF(Tabla1[[#This Row],[Tiempo solución max (hrs)]]&lt;&gt;"",IF(Tabla1[[#This Row],[Tiempo solución max (hrs)]]&gt;=Tabla1[[#This Row],[Tiempo
(Hrs 00/100)]],"cumple","no cumple"),"")</f>
        <v/>
      </c>
      <c r="W4354" s="17"/>
      <c r="X4354" s="18">
        <f t="shared" si="257"/>
        <v>0</v>
      </c>
      <c r="Y4354" t="str">
        <f>SUBSTITUTE(Tabla1[[#This Row],[Descripción]],CHAR(10),"    I    ")</f>
        <v/>
      </c>
      <c r="Z4354" s="112" t="e">
        <f>VLOOKUP(Tabla1[[#This Row],[Perfil]],Catalogos!$B$75:$D$100,3,FALSE)*Tabla1[[#This Row],[Tiempo
(Hrs 00/100)]]*1.16</f>
        <v>#N/A</v>
      </c>
    </row>
    <row r="4355" spans="1:26" ht="30" customHeight="1" x14ac:dyDescent="0.3">
      <c r="A4355" s="106"/>
      <c r="B4355" s="106"/>
      <c r="C4355" s="106"/>
      <c r="D4355" s="106"/>
      <c r="E4355" s="106"/>
      <c r="F4355" s="106"/>
      <c r="G4355" s="106"/>
      <c r="H4355" s="107"/>
      <c r="I4355" s="95"/>
      <c r="J4355" s="706"/>
      <c r="K4355" s="769"/>
      <c r="L4355" s="706"/>
      <c r="M4355" s="781"/>
      <c r="N4355" s="182"/>
      <c r="O4355" s="188"/>
      <c r="P4355" s="221"/>
      <c r="Q4355" s="106"/>
      <c r="R4355" s="108"/>
      <c r="S4355" s="108"/>
      <c r="T4355" s="108"/>
      <c r="U4355" s="108" t="str">
        <f>IFERROR(VLOOKUP(CONCATENATE(Tabla1[[#This Row],[Severidad]]," ",Tabla1[[#This Row],[Complejidad]]),Catalogos!E$120:G$128,3,FALSE),"")</f>
        <v/>
      </c>
      <c r="V4355" s="108" t="str">
        <f>IF(Tabla1[[#This Row],[Tiempo solución max (hrs)]]&lt;&gt;"",IF(Tabla1[[#This Row],[Tiempo solución max (hrs)]]&gt;=Tabla1[[#This Row],[Tiempo
(Hrs 00/100)]],"cumple","no cumple"),"")</f>
        <v/>
      </c>
      <c r="W4355" s="17"/>
      <c r="X4355" s="18">
        <f t="shared" ref="X4355:X4418" si="258">IF(C4355&lt;&gt;"",C4355,D4355)</f>
        <v>0</v>
      </c>
      <c r="Y4355" t="str">
        <f>SUBSTITUTE(Tabla1[[#This Row],[Descripción]],CHAR(10),"    I    ")</f>
        <v/>
      </c>
      <c r="Z4355" s="112" t="e">
        <f>VLOOKUP(Tabla1[[#This Row],[Perfil]],Catalogos!$B$75:$D$100,3,FALSE)*Tabla1[[#This Row],[Tiempo
(Hrs 00/100)]]*1.16</f>
        <v>#N/A</v>
      </c>
    </row>
    <row r="4356" spans="1:26" ht="30" customHeight="1" x14ac:dyDescent="0.3">
      <c r="A4356" s="106"/>
      <c r="B4356" s="106"/>
      <c r="C4356" s="106"/>
      <c r="D4356" s="106"/>
      <c r="E4356" s="106"/>
      <c r="F4356" s="106"/>
      <c r="G4356" s="106"/>
      <c r="H4356" s="107"/>
      <c r="I4356" s="95"/>
      <c r="J4356" s="706"/>
      <c r="K4356" s="769"/>
      <c r="L4356" s="706"/>
      <c r="M4356" s="781"/>
      <c r="N4356" s="182"/>
      <c r="O4356" s="188"/>
      <c r="P4356" s="221"/>
      <c r="Q4356" s="106"/>
      <c r="R4356" s="108"/>
      <c r="S4356" s="108"/>
      <c r="T4356" s="108"/>
      <c r="U4356" s="108" t="str">
        <f>IFERROR(VLOOKUP(CONCATENATE(Tabla1[[#This Row],[Severidad]]," ",Tabla1[[#This Row],[Complejidad]]),Catalogos!E$120:G$128,3,FALSE),"")</f>
        <v/>
      </c>
      <c r="V4356" s="108" t="str">
        <f>IF(Tabla1[[#This Row],[Tiempo solución max (hrs)]]&lt;&gt;"",IF(Tabla1[[#This Row],[Tiempo solución max (hrs)]]&gt;=Tabla1[[#This Row],[Tiempo
(Hrs 00/100)]],"cumple","no cumple"),"")</f>
        <v/>
      </c>
      <c r="W4356" s="17"/>
      <c r="X4356" s="18">
        <f t="shared" si="258"/>
        <v>0</v>
      </c>
      <c r="Y4356" t="str">
        <f>SUBSTITUTE(Tabla1[[#This Row],[Descripción]],CHAR(10),"    I    ")</f>
        <v/>
      </c>
      <c r="Z4356" s="112" t="e">
        <f>VLOOKUP(Tabla1[[#This Row],[Perfil]],Catalogos!$B$75:$D$100,3,FALSE)*Tabla1[[#This Row],[Tiempo
(Hrs 00/100)]]*1.16</f>
        <v>#N/A</v>
      </c>
    </row>
    <row r="4357" spans="1:26" ht="30" customHeight="1" x14ac:dyDescent="0.3">
      <c r="A4357" s="106"/>
      <c r="B4357" s="106"/>
      <c r="C4357" s="106"/>
      <c r="D4357" s="106"/>
      <c r="E4357" s="106"/>
      <c r="F4357" s="106"/>
      <c r="G4357" s="106"/>
      <c r="H4357" s="107"/>
      <c r="I4357" s="95"/>
      <c r="J4357" s="706"/>
      <c r="K4357" s="769"/>
      <c r="L4357" s="706"/>
      <c r="M4357" s="781"/>
      <c r="N4357" s="182"/>
      <c r="O4357" s="188"/>
      <c r="P4357" s="221"/>
      <c r="Q4357" s="106"/>
      <c r="R4357" s="108"/>
      <c r="S4357" s="108"/>
      <c r="T4357" s="108"/>
      <c r="U4357" s="108" t="str">
        <f>IFERROR(VLOOKUP(CONCATENATE(Tabla1[[#This Row],[Severidad]]," ",Tabla1[[#This Row],[Complejidad]]),Catalogos!E$120:G$128,3,FALSE),"")</f>
        <v/>
      </c>
      <c r="V4357" s="108" t="str">
        <f>IF(Tabla1[[#This Row],[Tiempo solución max (hrs)]]&lt;&gt;"",IF(Tabla1[[#This Row],[Tiempo solución max (hrs)]]&gt;=Tabla1[[#This Row],[Tiempo
(Hrs 00/100)]],"cumple","no cumple"),"")</f>
        <v/>
      </c>
      <c r="W4357" s="17"/>
      <c r="X4357" s="18">
        <f t="shared" si="258"/>
        <v>0</v>
      </c>
      <c r="Y4357" t="str">
        <f>SUBSTITUTE(Tabla1[[#This Row],[Descripción]],CHAR(10),"    I    ")</f>
        <v/>
      </c>
      <c r="Z4357" s="112" t="e">
        <f>VLOOKUP(Tabla1[[#This Row],[Perfil]],Catalogos!$B$75:$D$100,3,FALSE)*Tabla1[[#This Row],[Tiempo
(Hrs 00/100)]]*1.16</f>
        <v>#N/A</v>
      </c>
    </row>
    <row r="4358" spans="1:26" ht="30" customHeight="1" x14ac:dyDescent="0.3">
      <c r="A4358" s="106"/>
      <c r="B4358" s="106"/>
      <c r="C4358" s="106"/>
      <c r="D4358" s="106"/>
      <c r="E4358" s="106"/>
      <c r="F4358" s="106"/>
      <c r="G4358" s="106"/>
      <c r="H4358" s="107"/>
      <c r="I4358" s="95"/>
      <c r="J4358" s="706"/>
      <c r="K4358" s="769"/>
      <c r="L4358" s="706"/>
      <c r="M4358" s="781"/>
      <c r="N4358" s="182"/>
      <c r="O4358" s="188"/>
      <c r="P4358" s="221"/>
      <c r="Q4358" s="106"/>
      <c r="R4358" s="108"/>
      <c r="S4358" s="108"/>
      <c r="T4358" s="108"/>
      <c r="U4358" s="108" t="str">
        <f>IFERROR(VLOOKUP(CONCATENATE(Tabla1[[#This Row],[Severidad]]," ",Tabla1[[#This Row],[Complejidad]]),Catalogos!E$120:G$128,3,FALSE),"")</f>
        <v/>
      </c>
      <c r="V4358" s="108" t="str">
        <f>IF(Tabla1[[#This Row],[Tiempo solución max (hrs)]]&lt;&gt;"",IF(Tabla1[[#This Row],[Tiempo solución max (hrs)]]&gt;=Tabla1[[#This Row],[Tiempo
(Hrs 00/100)]],"cumple","no cumple"),"")</f>
        <v/>
      </c>
      <c r="W4358" s="17"/>
      <c r="X4358" s="18">
        <f t="shared" si="258"/>
        <v>0</v>
      </c>
      <c r="Y4358" t="str">
        <f>SUBSTITUTE(Tabla1[[#This Row],[Descripción]],CHAR(10),"    I    ")</f>
        <v/>
      </c>
      <c r="Z4358" s="112" t="e">
        <f>VLOOKUP(Tabla1[[#This Row],[Perfil]],Catalogos!$B$75:$D$100,3,FALSE)*Tabla1[[#This Row],[Tiempo
(Hrs 00/100)]]*1.16</f>
        <v>#N/A</v>
      </c>
    </row>
    <row r="4359" spans="1:26" ht="30" customHeight="1" x14ac:dyDescent="0.3">
      <c r="A4359" s="106"/>
      <c r="B4359" s="106"/>
      <c r="C4359" s="106"/>
      <c r="D4359" s="106"/>
      <c r="E4359" s="106"/>
      <c r="F4359" s="106"/>
      <c r="G4359" s="106"/>
      <c r="H4359" s="107"/>
      <c r="I4359" s="95"/>
      <c r="J4359" s="706"/>
      <c r="K4359" s="769"/>
      <c r="L4359" s="706"/>
      <c r="M4359" s="781"/>
      <c r="N4359" s="182"/>
      <c r="O4359" s="188"/>
      <c r="P4359" s="221"/>
      <c r="Q4359" s="106"/>
      <c r="R4359" s="108"/>
      <c r="S4359" s="108"/>
      <c r="T4359" s="108"/>
      <c r="U4359" s="108" t="str">
        <f>IFERROR(VLOOKUP(CONCATENATE(Tabla1[[#This Row],[Severidad]]," ",Tabla1[[#This Row],[Complejidad]]),Catalogos!E$120:G$128,3,FALSE),"")</f>
        <v/>
      </c>
      <c r="V4359" s="108" t="str">
        <f>IF(Tabla1[[#This Row],[Tiempo solución max (hrs)]]&lt;&gt;"",IF(Tabla1[[#This Row],[Tiempo solución max (hrs)]]&gt;=Tabla1[[#This Row],[Tiempo
(Hrs 00/100)]],"cumple","no cumple"),"")</f>
        <v/>
      </c>
      <c r="W4359" s="17"/>
      <c r="X4359" s="18">
        <f t="shared" si="258"/>
        <v>0</v>
      </c>
      <c r="Y4359" t="str">
        <f>SUBSTITUTE(Tabla1[[#This Row],[Descripción]],CHAR(10),"    I    ")</f>
        <v/>
      </c>
      <c r="Z4359" s="112" t="e">
        <f>VLOOKUP(Tabla1[[#This Row],[Perfil]],Catalogos!$B$75:$D$100,3,FALSE)*Tabla1[[#This Row],[Tiempo
(Hrs 00/100)]]*1.16</f>
        <v>#N/A</v>
      </c>
    </row>
    <row r="4360" spans="1:26" ht="30" customHeight="1" x14ac:dyDescent="0.3">
      <c r="A4360" s="106"/>
      <c r="B4360" s="106"/>
      <c r="C4360" s="106"/>
      <c r="D4360" s="106"/>
      <c r="E4360" s="106"/>
      <c r="F4360" s="106"/>
      <c r="G4360" s="106"/>
      <c r="H4360" s="107"/>
      <c r="I4360" s="95"/>
      <c r="J4360" s="706"/>
      <c r="K4360" s="769"/>
      <c r="L4360" s="706"/>
      <c r="M4360" s="781"/>
      <c r="N4360" s="182"/>
      <c r="O4360" s="188"/>
      <c r="P4360" s="221"/>
      <c r="Q4360" s="106"/>
      <c r="R4360" s="108"/>
      <c r="S4360" s="108"/>
      <c r="T4360" s="108"/>
      <c r="U4360" s="108" t="str">
        <f>IFERROR(VLOOKUP(CONCATENATE(Tabla1[[#This Row],[Severidad]]," ",Tabla1[[#This Row],[Complejidad]]),Catalogos!E$120:G$128,3,FALSE),"")</f>
        <v/>
      </c>
      <c r="V4360" s="108" t="str">
        <f>IF(Tabla1[[#This Row],[Tiempo solución max (hrs)]]&lt;&gt;"",IF(Tabla1[[#This Row],[Tiempo solución max (hrs)]]&gt;=Tabla1[[#This Row],[Tiempo
(Hrs 00/100)]],"cumple","no cumple"),"")</f>
        <v/>
      </c>
      <c r="W4360" s="17"/>
      <c r="X4360" s="18">
        <f t="shared" si="258"/>
        <v>0</v>
      </c>
      <c r="Y4360" t="str">
        <f>SUBSTITUTE(Tabla1[[#This Row],[Descripción]],CHAR(10),"    I    ")</f>
        <v/>
      </c>
      <c r="Z4360" s="112" t="e">
        <f>VLOOKUP(Tabla1[[#This Row],[Perfil]],Catalogos!$B$75:$D$100,3,FALSE)*Tabla1[[#This Row],[Tiempo
(Hrs 00/100)]]*1.16</f>
        <v>#N/A</v>
      </c>
    </row>
    <row r="4361" spans="1:26" ht="30" customHeight="1" x14ac:dyDescent="0.3">
      <c r="A4361" s="106"/>
      <c r="B4361" s="106"/>
      <c r="C4361" s="106"/>
      <c r="D4361" s="106"/>
      <c r="E4361" s="106"/>
      <c r="F4361" s="106"/>
      <c r="G4361" s="106"/>
      <c r="H4361" s="107"/>
      <c r="I4361" s="95"/>
      <c r="J4361" s="706"/>
      <c r="K4361" s="769"/>
      <c r="L4361" s="706"/>
      <c r="M4361" s="781"/>
      <c r="N4361" s="182"/>
      <c r="O4361" s="188"/>
      <c r="P4361" s="221"/>
      <c r="Q4361" s="106"/>
      <c r="R4361" s="108"/>
      <c r="S4361" s="108"/>
      <c r="T4361" s="108"/>
      <c r="U4361" s="108" t="str">
        <f>IFERROR(VLOOKUP(CONCATENATE(Tabla1[[#This Row],[Severidad]]," ",Tabla1[[#This Row],[Complejidad]]),Catalogos!E$120:G$128,3,FALSE),"")</f>
        <v/>
      </c>
      <c r="V4361" s="108" t="str">
        <f>IF(Tabla1[[#This Row],[Tiempo solución max (hrs)]]&lt;&gt;"",IF(Tabla1[[#This Row],[Tiempo solución max (hrs)]]&gt;=Tabla1[[#This Row],[Tiempo
(Hrs 00/100)]],"cumple","no cumple"),"")</f>
        <v/>
      </c>
      <c r="W4361" s="17"/>
      <c r="X4361" s="18">
        <f t="shared" si="258"/>
        <v>0</v>
      </c>
      <c r="Y4361" t="str">
        <f>SUBSTITUTE(Tabla1[[#This Row],[Descripción]],CHAR(10),"    I    ")</f>
        <v/>
      </c>
      <c r="Z4361" s="112" t="e">
        <f>VLOOKUP(Tabla1[[#This Row],[Perfil]],Catalogos!$B$75:$D$100,3,FALSE)*Tabla1[[#This Row],[Tiempo
(Hrs 00/100)]]*1.16</f>
        <v>#N/A</v>
      </c>
    </row>
    <row r="4362" spans="1:26" ht="30" customHeight="1" x14ac:dyDescent="0.3">
      <c r="A4362" s="106"/>
      <c r="B4362" s="106"/>
      <c r="C4362" s="106"/>
      <c r="D4362" s="106"/>
      <c r="E4362" s="106"/>
      <c r="F4362" s="106"/>
      <c r="G4362" s="106"/>
      <c r="H4362" s="107"/>
      <c r="I4362" s="95"/>
      <c r="J4362" s="706"/>
      <c r="K4362" s="769"/>
      <c r="L4362" s="706"/>
      <c r="M4362" s="781"/>
      <c r="N4362" s="182"/>
      <c r="O4362" s="188"/>
      <c r="P4362" s="221"/>
      <c r="Q4362" s="106"/>
      <c r="R4362" s="108"/>
      <c r="S4362" s="108"/>
      <c r="T4362" s="108"/>
      <c r="U4362" s="108" t="str">
        <f>IFERROR(VLOOKUP(CONCATENATE(Tabla1[[#This Row],[Severidad]]," ",Tabla1[[#This Row],[Complejidad]]),Catalogos!E$120:G$128,3,FALSE),"")</f>
        <v/>
      </c>
      <c r="V4362" s="108" t="str">
        <f>IF(Tabla1[[#This Row],[Tiempo solución max (hrs)]]&lt;&gt;"",IF(Tabla1[[#This Row],[Tiempo solución max (hrs)]]&gt;=Tabla1[[#This Row],[Tiempo
(Hrs 00/100)]],"cumple","no cumple"),"")</f>
        <v/>
      </c>
      <c r="W4362" s="17"/>
      <c r="X4362" s="18">
        <f t="shared" si="258"/>
        <v>0</v>
      </c>
      <c r="Y4362" t="str">
        <f>SUBSTITUTE(Tabla1[[#This Row],[Descripción]],CHAR(10),"    I    ")</f>
        <v/>
      </c>
      <c r="Z4362" s="112" t="e">
        <f>VLOOKUP(Tabla1[[#This Row],[Perfil]],Catalogos!$B$75:$D$100,3,FALSE)*Tabla1[[#This Row],[Tiempo
(Hrs 00/100)]]*1.16</f>
        <v>#N/A</v>
      </c>
    </row>
    <row r="4363" spans="1:26" ht="30" customHeight="1" x14ac:dyDescent="0.3">
      <c r="A4363" s="106"/>
      <c r="B4363" s="106"/>
      <c r="C4363" s="106"/>
      <c r="D4363" s="106"/>
      <c r="E4363" s="106"/>
      <c r="F4363" s="106"/>
      <c r="G4363" s="106"/>
      <c r="H4363" s="107"/>
      <c r="I4363" s="95"/>
      <c r="J4363" s="706"/>
      <c r="K4363" s="769"/>
      <c r="L4363" s="706"/>
      <c r="M4363" s="781"/>
      <c r="N4363" s="182"/>
      <c r="O4363" s="188"/>
      <c r="P4363" s="221"/>
      <c r="Q4363" s="106"/>
      <c r="R4363" s="108"/>
      <c r="S4363" s="108"/>
      <c r="T4363" s="108"/>
      <c r="U4363" s="108" t="str">
        <f>IFERROR(VLOOKUP(CONCATENATE(Tabla1[[#This Row],[Severidad]]," ",Tabla1[[#This Row],[Complejidad]]),Catalogos!E$120:G$128,3,FALSE),"")</f>
        <v/>
      </c>
      <c r="V4363" s="108" t="str">
        <f>IF(Tabla1[[#This Row],[Tiempo solución max (hrs)]]&lt;&gt;"",IF(Tabla1[[#This Row],[Tiempo solución max (hrs)]]&gt;=Tabla1[[#This Row],[Tiempo
(Hrs 00/100)]],"cumple","no cumple"),"")</f>
        <v/>
      </c>
      <c r="W4363" s="17"/>
      <c r="X4363" s="18">
        <f t="shared" si="258"/>
        <v>0</v>
      </c>
      <c r="Y4363" t="str">
        <f>SUBSTITUTE(Tabla1[[#This Row],[Descripción]],CHAR(10),"    I    ")</f>
        <v/>
      </c>
      <c r="Z4363" s="112" t="e">
        <f>VLOOKUP(Tabla1[[#This Row],[Perfil]],Catalogos!$B$75:$D$100,3,FALSE)*Tabla1[[#This Row],[Tiempo
(Hrs 00/100)]]*1.16</f>
        <v>#N/A</v>
      </c>
    </row>
    <row r="4364" spans="1:26" ht="30" customHeight="1" x14ac:dyDescent="0.3">
      <c r="A4364" s="106"/>
      <c r="B4364" s="106"/>
      <c r="C4364" s="106"/>
      <c r="D4364" s="106"/>
      <c r="E4364" s="106"/>
      <c r="F4364" s="106"/>
      <c r="G4364" s="106"/>
      <c r="H4364" s="107"/>
      <c r="I4364" s="95"/>
      <c r="J4364" s="706"/>
      <c r="K4364" s="769"/>
      <c r="L4364" s="706"/>
      <c r="M4364" s="781"/>
      <c r="N4364" s="182"/>
      <c r="O4364" s="188"/>
      <c r="P4364" s="221"/>
      <c r="Q4364" s="106"/>
      <c r="R4364" s="108"/>
      <c r="S4364" s="108"/>
      <c r="T4364" s="108"/>
      <c r="U4364" s="108" t="str">
        <f>IFERROR(VLOOKUP(CONCATENATE(Tabla1[[#This Row],[Severidad]]," ",Tabla1[[#This Row],[Complejidad]]),Catalogos!E$120:G$128,3,FALSE),"")</f>
        <v/>
      </c>
      <c r="V4364" s="108" t="str">
        <f>IF(Tabla1[[#This Row],[Tiempo solución max (hrs)]]&lt;&gt;"",IF(Tabla1[[#This Row],[Tiempo solución max (hrs)]]&gt;=Tabla1[[#This Row],[Tiempo
(Hrs 00/100)]],"cumple","no cumple"),"")</f>
        <v/>
      </c>
      <c r="W4364" s="17"/>
      <c r="X4364" s="18">
        <f t="shared" si="258"/>
        <v>0</v>
      </c>
      <c r="Y4364" t="str">
        <f>SUBSTITUTE(Tabla1[[#This Row],[Descripción]],CHAR(10),"    I    ")</f>
        <v/>
      </c>
      <c r="Z4364" s="112" t="e">
        <f>VLOOKUP(Tabla1[[#This Row],[Perfil]],Catalogos!$B$75:$D$100,3,FALSE)*Tabla1[[#This Row],[Tiempo
(Hrs 00/100)]]*1.16</f>
        <v>#N/A</v>
      </c>
    </row>
    <row r="4365" spans="1:26" ht="30" customHeight="1" x14ac:dyDescent="0.3">
      <c r="A4365" s="106"/>
      <c r="B4365" s="106"/>
      <c r="C4365" s="106"/>
      <c r="D4365" s="106"/>
      <c r="E4365" s="106"/>
      <c r="F4365" s="106"/>
      <c r="G4365" s="106"/>
      <c r="H4365" s="107"/>
      <c r="I4365" s="95"/>
      <c r="J4365" s="706"/>
      <c r="K4365" s="769"/>
      <c r="L4365" s="706"/>
      <c r="M4365" s="781"/>
      <c r="N4365" s="182"/>
      <c r="O4365" s="188"/>
      <c r="P4365" s="221"/>
      <c r="Q4365" s="106"/>
      <c r="R4365" s="108"/>
      <c r="S4365" s="108"/>
      <c r="T4365" s="108"/>
      <c r="U4365" s="108" t="str">
        <f>IFERROR(VLOOKUP(CONCATENATE(Tabla1[[#This Row],[Severidad]]," ",Tabla1[[#This Row],[Complejidad]]),Catalogos!E$120:G$128,3,FALSE),"")</f>
        <v/>
      </c>
      <c r="V4365" s="108" t="str">
        <f>IF(Tabla1[[#This Row],[Tiempo solución max (hrs)]]&lt;&gt;"",IF(Tabla1[[#This Row],[Tiempo solución max (hrs)]]&gt;=Tabla1[[#This Row],[Tiempo
(Hrs 00/100)]],"cumple","no cumple"),"")</f>
        <v/>
      </c>
      <c r="W4365" s="17"/>
      <c r="X4365" s="18">
        <f t="shared" si="258"/>
        <v>0</v>
      </c>
      <c r="Y4365" t="str">
        <f>SUBSTITUTE(Tabla1[[#This Row],[Descripción]],CHAR(10),"    I    ")</f>
        <v/>
      </c>
      <c r="Z4365" s="112" t="e">
        <f>VLOOKUP(Tabla1[[#This Row],[Perfil]],Catalogos!$B$75:$D$100,3,FALSE)*Tabla1[[#This Row],[Tiempo
(Hrs 00/100)]]*1.16</f>
        <v>#N/A</v>
      </c>
    </row>
    <row r="4366" spans="1:26" ht="30" customHeight="1" x14ac:dyDescent="0.3">
      <c r="A4366" s="106"/>
      <c r="B4366" s="106"/>
      <c r="C4366" s="106"/>
      <c r="D4366" s="106"/>
      <c r="E4366" s="106"/>
      <c r="F4366" s="106"/>
      <c r="G4366" s="106"/>
      <c r="H4366" s="107"/>
      <c r="I4366" s="95"/>
      <c r="J4366" s="706"/>
      <c r="K4366" s="769"/>
      <c r="L4366" s="706"/>
      <c r="M4366" s="781"/>
      <c r="N4366" s="182"/>
      <c r="O4366" s="188"/>
      <c r="P4366" s="221"/>
      <c r="Q4366" s="106"/>
      <c r="R4366" s="108"/>
      <c r="S4366" s="108"/>
      <c r="T4366" s="108"/>
      <c r="U4366" s="108" t="str">
        <f>IFERROR(VLOOKUP(CONCATENATE(Tabla1[[#This Row],[Severidad]]," ",Tabla1[[#This Row],[Complejidad]]),Catalogos!E$120:G$128,3,FALSE),"")</f>
        <v/>
      </c>
      <c r="V4366" s="108" t="str">
        <f>IF(Tabla1[[#This Row],[Tiempo solución max (hrs)]]&lt;&gt;"",IF(Tabla1[[#This Row],[Tiempo solución max (hrs)]]&gt;=Tabla1[[#This Row],[Tiempo
(Hrs 00/100)]],"cumple","no cumple"),"")</f>
        <v/>
      </c>
      <c r="W4366" s="17"/>
      <c r="X4366" s="18">
        <f t="shared" si="258"/>
        <v>0</v>
      </c>
      <c r="Y4366" t="str">
        <f>SUBSTITUTE(Tabla1[[#This Row],[Descripción]],CHAR(10),"    I    ")</f>
        <v/>
      </c>
      <c r="Z4366" s="112" t="e">
        <f>VLOOKUP(Tabla1[[#This Row],[Perfil]],Catalogos!$B$75:$D$100,3,FALSE)*Tabla1[[#This Row],[Tiempo
(Hrs 00/100)]]*1.16</f>
        <v>#N/A</v>
      </c>
    </row>
    <row r="4367" spans="1:26" ht="30" customHeight="1" x14ac:dyDescent="0.3">
      <c r="A4367" s="106"/>
      <c r="B4367" s="106"/>
      <c r="C4367" s="106"/>
      <c r="D4367" s="106"/>
      <c r="E4367" s="106"/>
      <c r="F4367" s="106"/>
      <c r="G4367" s="106"/>
      <c r="H4367" s="107"/>
      <c r="I4367" s="95"/>
      <c r="J4367" s="706"/>
      <c r="K4367" s="769"/>
      <c r="L4367" s="706"/>
      <c r="M4367" s="781"/>
      <c r="N4367" s="182"/>
      <c r="O4367" s="188"/>
      <c r="P4367" s="221"/>
      <c r="Q4367" s="106"/>
      <c r="R4367" s="108"/>
      <c r="S4367" s="108"/>
      <c r="T4367" s="108"/>
      <c r="U4367" s="108" t="str">
        <f>IFERROR(VLOOKUP(CONCATENATE(Tabla1[[#This Row],[Severidad]]," ",Tabla1[[#This Row],[Complejidad]]),Catalogos!E$120:G$128,3,FALSE),"")</f>
        <v/>
      </c>
      <c r="V4367" s="108" t="str">
        <f>IF(Tabla1[[#This Row],[Tiempo solución max (hrs)]]&lt;&gt;"",IF(Tabla1[[#This Row],[Tiempo solución max (hrs)]]&gt;=Tabla1[[#This Row],[Tiempo
(Hrs 00/100)]],"cumple","no cumple"),"")</f>
        <v/>
      </c>
      <c r="W4367" s="17"/>
      <c r="X4367" s="18">
        <f t="shared" si="258"/>
        <v>0</v>
      </c>
      <c r="Y4367" t="str">
        <f>SUBSTITUTE(Tabla1[[#This Row],[Descripción]],CHAR(10),"    I    ")</f>
        <v/>
      </c>
      <c r="Z4367" s="112" t="e">
        <f>VLOOKUP(Tabla1[[#This Row],[Perfil]],Catalogos!$B$75:$D$100,3,FALSE)*Tabla1[[#This Row],[Tiempo
(Hrs 00/100)]]*1.16</f>
        <v>#N/A</v>
      </c>
    </row>
    <row r="4368" spans="1:26" ht="30" customHeight="1" x14ac:dyDescent="0.3">
      <c r="A4368" s="106"/>
      <c r="B4368" s="106"/>
      <c r="C4368" s="106"/>
      <c r="D4368" s="106"/>
      <c r="E4368" s="106"/>
      <c r="F4368" s="106"/>
      <c r="G4368" s="106"/>
      <c r="H4368" s="107"/>
      <c r="I4368" s="95"/>
      <c r="J4368" s="706"/>
      <c r="K4368" s="769"/>
      <c r="L4368" s="706"/>
      <c r="M4368" s="781"/>
      <c r="N4368" s="182"/>
      <c r="O4368" s="188"/>
      <c r="P4368" s="221"/>
      <c r="Q4368" s="106"/>
      <c r="R4368" s="108"/>
      <c r="S4368" s="108"/>
      <c r="T4368" s="108"/>
      <c r="U4368" s="108" t="str">
        <f>IFERROR(VLOOKUP(CONCATENATE(Tabla1[[#This Row],[Severidad]]," ",Tabla1[[#This Row],[Complejidad]]),Catalogos!E$120:G$128,3,FALSE),"")</f>
        <v/>
      </c>
      <c r="V4368" s="108" t="str">
        <f>IF(Tabla1[[#This Row],[Tiempo solución max (hrs)]]&lt;&gt;"",IF(Tabla1[[#This Row],[Tiempo solución max (hrs)]]&gt;=Tabla1[[#This Row],[Tiempo
(Hrs 00/100)]],"cumple","no cumple"),"")</f>
        <v/>
      </c>
      <c r="W4368" s="17"/>
      <c r="X4368" s="18">
        <f t="shared" si="258"/>
        <v>0</v>
      </c>
      <c r="Y4368" t="str">
        <f>SUBSTITUTE(Tabla1[[#This Row],[Descripción]],CHAR(10),"    I    ")</f>
        <v/>
      </c>
      <c r="Z4368" s="112" t="e">
        <f>VLOOKUP(Tabla1[[#This Row],[Perfil]],Catalogos!$B$75:$D$100,3,FALSE)*Tabla1[[#This Row],[Tiempo
(Hrs 00/100)]]*1.16</f>
        <v>#N/A</v>
      </c>
    </row>
    <row r="4369" spans="1:26" ht="30" customHeight="1" x14ac:dyDescent="0.3">
      <c r="A4369" s="106"/>
      <c r="B4369" s="106"/>
      <c r="C4369" s="106"/>
      <c r="D4369" s="106"/>
      <c r="E4369" s="106"/>
      <c r="F4369" s="106"/>
      <c r="G4369" s="106"/>
      <c r="H4369" s="107"/>
      <c r="I4369" s="95"/>
      <c r="J4369" s="706"/>
      <c r="K4369" s="769"/>
      <c r="L4369" s="706"/>
      <c r="M4369" s="781"/>
      <c r="N4369" s="182"/>
      <c r="O4369" s="188"/>
      <c r="P4369" s="221"/>
      <c r="Q4369" s="106"/>
      <c r="R4369" s="108"/>
      <c r="S4369" s="108"/>
      <c r="T4369" s="108"/>
      <c r="U4369" s="108" t="str">
        <f>IFERROR(VLOOKUP(CONCATENATE(Tabla1[[#This Row],[Severidad]]," ",Tabla1[[#This Row],[Complejidad]]),Catalogos!E$120:G$128,3,FALSE),"")</f>
        <v/>
      </c>
      <c r="V4369" s="108" t="str">
        <f>IF(Tabla1[[#This Row],[Tiempo solución max (hrs)]]&lt;&gt;"",IF(Tabla1[[#This Row],[Tiempo solución max (hrs)]]&gt;=Tabla1[[#This Row],[Tiempo
(Hrs 00/100)]],"cumple","no cumple"),"")</f>
        <v/>
      </c>
      <c r="W4369" s="17"/>
      <c r="X4369" s="18">
        <f t="shared" si="258"/>
        <v>0</v>
      </c>
      <c r="Y4369" t="str">
        <f>SUBSTITUTE(Tabla1[[#This Row],[Descripción]],CHAR(10),"    I    ")</f>
        <v/>
      </c>
      <c r="Z4369" s="112" t="e">
        <f>VLOOKUP(Tabla1[[#This Row],[Perfil]],Catalogos!$B$75:$D$100,3,FALSE)*Tabla1[[#This Row],[Tiempo
(Hrs 00/100)]]*1.16</f>
        <v>#N/A</v>
      </c>
    </row>
    <row r="4370" spans="1:26" ht="30" customHeight="1" x14ac:dyDescent="0.3">
      <c r="A4370" s="106"/>
      <c r="B4370" s="106"/>
      <c r="C4370" s="106"/>
      <c r="D4370" s="106"/>
      <c r="E4370" s="106"/>
      <c r="F4370" s="106"/>
      <c r="G4370" s="106"/>
      <c r="H4370" s="107"/>
      <c r="I4370" s="95"/>
      <c r="J4370" s="706"/>
      <c r="K4370" s="769"/>
      <c r="L4370" s="706"/>
      <c r="M4370" s="781"/>
      <c r="N4370" s="182"/>
      <c r="O4370" s="188"/>
      <c r="P4370" s="221"/>
      <c r="Q4370" s="106"/>
      <c r="R4370" s="108"/>
      <c r="S4370" s="108"/>
      <c r="T4370" s="108"/>
      <c r="U4370" s="108" t="str">
        <f>IFERROR(VLOOKUP(CONCATENATE(Tabla1[[#This Row],[Severidad]]," ",Tabla1[[#This Row],[Complejidad]]),Catalogos!E$120:G$128,3,FALSE),"")</f>
        <v/>
      </c>
      <c r="V4370" s="108" t="str">
        <f>IF(Tabla1[[#This Row],[Tiempo solución max (hrs)]]&lt;&gt;"",IF(Tabla1[[#This Row],[Tiempo solución max (hrs)]]&gt;=Tabla1[[#This Row],[Tiempo
(Hrs 00/100)]],"cumple","no cumple"),"")</f>
        <v/>
      </c>
      <c r="W4370" s="17"/>
      <c r="X4370" s="18">
        <f t="shared" si="258"/>
        <v>0</v>
      </c>
      <c r="Y4370" t="str">
        <f>SUBSTITUTE(Tabla1[[#This Row],[Descripción]],CHAR(10),"    I    ")</f>
        <v/>
      </c>
      <c r="Z4370" s="112" t="e">
        <f>VLOOKUP(Tabla1[[#This Row],[Perfil]],Catalogos!$B$75:$D$100,3,FALSE)*Tabla1[[#This Row],[Tiempo
(Hrs 00/100)]]*1.16</f>
        <v>#N/A</v>
      </c>
    </row>
    <row r="4371" spans="1:26" ht="30" customHeight="1" x14ac:dyDescent="0.3">
      <c r="A4371" s="106"/>
      <c r="B4371" s="106"/>
      <c r="C4371" s="106"/>
      <c r="D4371" s="106"/>
      <c r="E4371" s="106"/>
      <c r="F4371" s="106"/>
      <c r="G4371" s="106"/>
      <c r="H4371" s="107"/>
      <c r="I4371" s="95"/>
      <c r="J4371" s="706"/>
      <c r="K4371" s="769"/>
      <c r="L4371" s="706"/>
      <c r="M4371" s="781"/>
      <c r="N4371" s="182"/>
      <c r="O4371" s="188"/>
      <c r="P4371" s="221"/>
      <c r="Q4371" s="106"/>
      <c r="R4371" s="108"/>
      <c r="S4371" s="108"/>
      <c r="T4371" s="108"/>
      <c r="U4371" s="108" t="str">
        <f>IFERROR(VLOOKUP(CONCATENATE(Tabla1[[#This Row],[Severidad]]," ",Tabla1[[#This Row],[Complejidad]]),Catalogos!E$120:G$128,3,FALSE),"")</f>
        <v/>
      </c>
      <c r="V4371" s="108" t="str">
        <f>IF(Tabla1[[#This Row],[Tiempo solución max (hrs)]]&lt;&gt;"",IF(Tabla1[[#This Row],[Tiempo solución max (hrs)]]&gt;=Tabla1[[#This Row],[Tiempo
(Hrs 00/100)]],"cumple","no cumple"),"")</f>
        <v/>
      </c>
      <c r="W4371" s="17"/>
      <c r="X4371" s="18">
        <f t="shared" si="258"/>
        <v>0</v>
      </c>
      <c r="Y4371" t="str">
        <f>SUBSTITUTE(Tabla1[[#This Row],[Descripción]],CHAR(10),"    I    ")</f>
        <v/>
      </c>
      <c r="Z4371" s="112" t="e">
        <f>VLOOKUP(Tabla1[[#This Row],[Perfil]],Catalogos!$B$75:$D$100,3,FALSE)*Tabla1[[#This Row],[Tiempo
(Hrs 00/100)]]*1.16</f>
        <v>#N/A</v>
      </c>
    </row>
    <row r="4372" spans="1:26" ht="30" customHeight="1" x14ac:dyDescent="0.3">
      <c r="A4372" s="106"/>
      <c r="B4372" s="106"/>
      <c r="C4372" s="106"/>
      <c r="D4372" s="106"/>
      <c r="E4372" s="106"/>
      <c r="F4372" s="106"/>
      <c r="G4372" s="106"/>
      <c r="H4372" s="107"/>
      <c r="I4372" s="95"/>
      <c r="J4372" s="706"/>
      <c r="K4372" s="769"/>
      <c r="L4372" s="706"/>
      <c r="M4372" s="781"/>
      <c r="N4372" s="182"/>
      <c r="O4372" s="188"/>
      <c r="P4372" s="221"/>
      <c r="Q4372" s="106"/>
      <c r="R4372" s="108"/>
      <c r="S4372" s="108"/>
      <c r="T4372" s="108"/>
      <c r="U4372" s="108" t="str">
        <f>IFERROR(VLOOKUP(CONCATENATE(Tabla1[[#This Row],[Severidad]]," ",Tabla1[[#This Row],[Complejidad]]),Catalogos!E$120:G$128,3,FALSE),"")</f>
        <v/>
      </c>
      <c r="V4372" s="108" t="str">
        <f>IF(Tabla1[[#This Row],[Tiempo solución max (hrs)]]&lt;&gt;"",IF(Tabla1[[#This Row],[Tiempo solución max (hrs)]]&gt;=Tabla1[[#This Row],[Tiempo
(Hrs 00/100)]],"cumple","no cumple"),"")</f>
        <v/>
      </c>
      <c r="W4372" s="17"/>
      <c r="X4372" s="18">
        <f t="shared" si="258"/>
        <v>0</v>
      </c>
      <c r="Y4372" t="str">
        <f>SUBSTITUTE(Tabla1[[#This Row],[Descripción]],CHAR(10),"    I    ")</f>
        <v/>
      </c>
      <c r="Z4372" s="112" t="e">
        <f>VLOOKUP(Tabla1[[#This Row],[Perfil]],Catalogos!$B$75:$D$100,3,FALSE)*Tabla1[[#This Row],[Tiempo
(Hrs 00/100)]]*1.16</f>
        <v>#N/A</v>
      </c>
    </row>
    <row r="4373" spans="1:26" ht="30" customHeight="1" x14ac:dyDescent="0.3">
      <c r="A4373" s="106"/>
      <c r="B4373" s="106"/>
      <c r="C4373" s="106"/>
      <c r="D4373" s="106"/>
      <c r="E4373" s="106"/>
      <c r="F4373" s="106"/>
      <c r="G4373" s="106"/>
      <c r="H4373" s="107"/>
      <c r="I4373" s="95"/>
      <c r="J4373" s="706"/>
      <c r="K4373" s="769"/>
      <c r="L4373" s="706"/>
      <c r="M4373" s="781"/>
      <c r="N4373" s="182"/>
      <c r="O4373" s="188"/>
      <c r="P4373" s="221"/>
      <c r="Q4373" s="106"/>
      <c r="R4373" s="108"/>
      <c r="S4373" s="108"/>
      <c r="T4373" s="108"/>
      <c r="U4373" s="108" t="str">
        <f>IFERROR(VLOOKUP(CONCATENATE(Tabla1[[#This Row],[Severidad]]," ",Tabla1[[#This Row],[Complejidad]]),Catalogos!E$120:G$128,3,FALSE),"")</f>
        <v/>
      </c>
      <c r="V4373" s="108" t="str">
        <f>IF(Tabla1[[#This Row],[Tiempo solución max (hrs)]]&lt;&gt;"",IF(Tabla1[[#This Row],[Tiempo solución max (hrs)]]&gt;=Tabla1[[#This Row],[Tiempo
(Hrs 00/100)]],"cumple","no cumple"),"")</f>
        <v/>
      </c>
      <c r="W4373" s="17"/>
      <c r="X4373" s="18">
        <f t="shared" si="258"/>
        <v>0</v>
      </c>
      <c r="Y4373" t="str">
        <f>SUBSTITUTE(Tabla1[[#This Row],[Descripción]],CHAR(10),"    I    ")</f>
        <v/>
      </c>
      <c r="Z4373" s="112" t="e">
        <f>VLOOKUP(Tabla1[[#This Row],[Perfil]],Catalogos!$B$75:$D$100,3,FALSE)*Tabla1[[#This Row],[Tiempo
(Hrs 00/100)]]*1.16</f>
        <v>#N/A</v>
      </c>
    </row>
    <row r="4374" spans="1:26" ht="30" customHeight="1" x14ac:dyDescent="0.3">
      <c r="A4374" s="106"/>
      <c r="B4374" s="106"/>
      <c r="C4374" s="106"/>
      <c r="D4374" s="106"/>
      <c r="E4374" s="106"/>
      <c r="F4374" s="106"/>
      <c r="G4374" s="106"/>
      <c r="H4374" s="107"/>
      <c r="I4374" s="95"/>
      <c r="J4374" s="706"/>
      <c r="K4374" s="769"/>
      <c r="L4374" s="706"/>
      <c r="M4374" s="781"/>
      <c r="N4374" s="182"/>
      <c r="O4374" s="188"/>
      <c r="P4374" s="221"/>
      <c r="Q4374" s="106"/>
      <c r="R4374" s="108"/>
      <c r="S4374" s="108"/>
      <c r="T4374" s="108"/>
      <c r="U4374" s="108" t="str">
        <f>IFERROR(VLOOKUP(CONCATENATE(Tabla1[[#This Row],[Severidad]]," ",Tabla1[[#This Row],[Complejidad]]),Catalogos!E$120:G$128,3,FALSE),"")</f>
        <v/>
      </c>
      <c r="V4374" s="108" t="str">
        <f>IF(Tabla1[[#This Row],[Tiempo solución max (hrs)]]&lt;&gt;"",IF(Tabla1[[#This Row],[Tiempo solución max (hrs)]]&gt;=Tabla1[[#This Row],[Tiempo
(Hrs 00/100)]],"cumple","no cumple"),"")</f>
        <v/>
      </c>
      <c r="W4374" s="17"/>
      <c r="X4374" s="18">
        <f t="shared" si="258"/>
        <v>0</v>
      </c>
      <c r="Y4374" t="str">
        <f>SUBSTITUTE(Tabla1[[#This Row],[Descripción]],CHAR(10),"    I    ")</f>
        <v/>
      </c>
      <c r="Z4374" s="112" t="e">
        <f>VLOOKUP(Tabla1[[#This Row],[Perfil]],Catalogos!$B$75:$D$100,3,FALSE)*Tabla1[[#This Row],[Tiempo
(Hrs 00/100)]]*1.16</f>
        <v>#N/A</v>
      </c>
    </row>
    <row r="4375" spans="1:26" ht="30" customHeight="1" x14ac:dyDescent="0.3">
      <c r="A4375" s="106"/>
      <c r="B4375" s="106"/>
      <c r="C4375" s="106"/>
      <c r="D4375" s="106"/>
      <c r="E4375" s="106"/>
      <c r="F4375" s="106"/>
      <c r="G4375" s="106"/>
      <c r="H4375" s="107"/>
      <c r="I4375" s="95"/>
      <c r="J4375" s="706"/>
      <c r="K4375" s="769"/>
      <c r="L4375" s="706"/>
      <c r="M4375" s="781"/>
      <c r="N4375" s="182"/>
      <c r="O4375" s="188"/>
      <c r="P4375" s="221"/>
      <c r="Q4375" s="106"/>
      <c r="R4375" s="108"/>
      <c r="S4375" s="108"/>
      <c r="T4375" s="108"/>
      <c r="U4375" s="108" t="str">
        <f>IFERROR(VLOOKUP(CONCATENATE(Tabla1[[#This Row],[Severidad]]," ",Tabla1[[#This Row],[Complejidad]]),Catalogos!E$120:G$128,3,FALSE),"")</f>
        <v/>
      </c>
      <c r="V4375" s="108" t="str">
        <f>IF(Tabla1[[#This Row],[Tiempo solución max (hrs)]]&lt;&gt;"",IF(Tabla1[[#This Row],[Tiempo solución max (hrs)]]&gt;=Tabla1[[#This Row],[Tiempo
(Hrs 00/100)]],"cumple","no cumple"),"")</f>
        <v/>
      </c>
      <c r="W4375" s="17"/>
      <c r="X4375" s="18">
        <f t="shared" si="258"/>
        <v>0</v>
      </c>
      <c r="Y4375" t="str">
        <f>SUBSTITUTE(Tabla1[[#This Row],[Descripción]],CHAR(10),"    I    ")</f>
        <v/>
      </c>
      <c r="Z4375" s="112" t="e">
        <f>VLOOKUP(Tabla1[[#This Row],[Perfil]],Catalogos!$B$75:$D$100,3,FALSE)*Tabla1[[#This Row],[Tiempo
(Hrs 00/100)]]*1.16</f>
        <v>#N/A</v>
      </c>
    </row>
    <row r="4376" spans="1:26" ht="30" customHeight="1" x14ac:dyDescent="0.3">
      <c r="A4376" s="106"/>
      <c r="B4376" s="106"/>
      <c r="C4376" s="106"/>
      <c r="D4376" s="106"/>
      <c r="E4376" s="106"/>
      <c r="F4376" s="106"/>
      <c r="G4376" s="106"/>
      <c r="H4376" s="107"/>
      <c r="I4376" s="95"/>
      <c r="J4376" s="706"/>
      <c r="K4376" s="769"/>
      <c r="L4376" s="706"/>
      <c r="M4376" s="781"/>
      <c r="N4376" s="182"/>
      <c r="O4376" s="188"/>
      <c r="P4376" s="221"/>
      <c r="Q4376" s="106"/>
      <c r="R4376" s="108"/>
      <c r="S4376" s="108"/>
      <c r="T4376" s="108"/>
      <c r="U4376" s="108" t="str">
        <f>IFERROR(VLOOKUP(CONCATENATE(Tabla1[[#This Row],[Severidad]]," ",Tabla1[[#This Row],[Complejidad]]),Catalogos!E$120:G$128,3,FALSE),"")</f>
        <v/>
      </c>
      <c r="V4376" s="108" t="str">
        <f>IF(Tabla1[[#This Row],[Tiempo solución max (hrs)]]&lt;&gt;"",IF(Tabla1[[#This Row],[Tiempo solución max (hrs)]]&gt;=Tabla1[[#This Row],[Tiempo
(Hrs 00/100)]],"cumple","no cumple"),"")</f>
        <v/>
      </c>
      <c r="W4376" s="17"/>
      <c r="X4376" s="18">
        <f t="shared" si="258"/>
        <v>0</v>
      </c>
      <c r="Y4376" t="str">
        <f>SUBSTITUTE(Tabla1[[#This Row],[Descripción]],CHAR(10),"    I    ")</f>
        <v/>
      </c>
      <c r="Z4376" s="112" t="e">
        <f>VLOOKUP(Tabla1[[#This Row],[Perfil]],Catalogos!$B$75:$D$100,3,FALSE)*Tabla1[[#This Row],[Tiempo
(Hrs 00/100)]]*1.16</f>
        <v>#N/A</v>
      </c>
    </row>
    <row r="4377" spans="1:26" ht="30" customHeight="1" x14ac:dyDescent="0.3">
      <c r="A4377" s="106"/>
      <c r="B4377" s="106"/>
      <c r="C4377" s="106"/>
      <c r="D4377" s="106"/>
      <c r="E4377" s="106"/>
      <c r="F4377" s="106"/>
      <c r="G4377" s="106"/>
      <c r="H4377" s="107"/>
      <c r="I4377" s="95"/>
      <c r="J4377" s="706"/>
      <c r="K4377" s="769"/>
      <c r="L4377" s="706"/>
      <c r="M4377" s="781"/>
      <c r="N4377" s="182"/>
      <c r="O4377" s="188"/>
      <c r="P4377" s="221"/>
      <c r="Q4377" s="106"/>
      <c r="R4377" s="108"/>
      <c r="S4377" s="108"/>
      <c r="T4377" s="108"/>
      <c r="U4377" s="108" t="str">
        <f>IFERROR(VLOOKUP(CONCATENATE(Tabla1[[#This Row],[Severidad]]," ",Tabla1[[#This Row],[Complejidad]]),Catalogos!E$120:G$128,3,FALSE),"")</f>
        <v/>
      </c>
      <c r="V4377" s="108" t="str">
        <f>IF(Tabla1[[#This Row],[Tiempo solución max (hrs)]]&lt;&gt;"",IF(Tabla1[[#This Row],[Tiempo solución max (hrs)]]&gt;=Tabla1[[#This Row],[Tiempo
(Hrs 00/100)]],"cumple","no cumple"),"")</f>
        <v/>
      </c>
      <c r="W4377" s="17"/>
      <c r="X4377" s="18">
        <f t="shared" si="258"/>
        <v>0</v>
      </c>
      <c r="Y4377" t="str">
        <f>SUBSTITUTE(Tabla1[[#This Row],[Descripción]],CHAR(10),"    I    ")</f>
        <v/>
      </c>
      <c r="Z4377" s="112" t="e">
        <f>VLOOKUP(Tabla1[[#This Row],[Perfil]],Catalogos!$B$75:$D$100,3,FALSE)*Tabla1[[#This Row],[Tiempo
(Hrs 00/100)]]*1.16</f>
        <v>#N/A</v>
      </c>
    </row>
    <row r="4378" spans="1:26" ht="30" customHeight="1" x14ac:dyDescent="0.3">
      <c r="A4378" s="106"/>
      <c r="B4378" s="106"/>
      <c r="C4378" s="106"/>
      <c r="D4378" s="106"/>
      <c r="E4378" s="106"/>
      <c r="F4378" s="106"/>
      <c r="G4378" s="106"/>
      <c r="H4378" s="107"/>
      <c r="I4378" s="95"/>
      <c r="J4378" s="706"/>
      <c r="K4378" s="769"/>
      <c r="L4378" s="706"/>
      <c r="M4378" s="781"/>
      <c r="N4378" s="182"/>
      <c r="O4378" s="188"/>
      <c r="P4378" s="221"/>
      <c r="Q4378" s="106"/>
      <c r="R4378" s="108"/>
      <c r="S4378" s="108"/>
      <c r="T4378" s="108"/>
      <c r="U4378" s="108" t="str">
        <f>IFERROR(VLOOKUP(CONCATENATE(Tabla1[[#This Row],[Severidad]]," ",Tabla1[[#This Row],[Complejidad]]),Catalogos!E$120:G$128,3,FALSE),"")</f>
        <v/>
      </c>
      <c r="V4378" s="108" t="str">
        <f>IF(Tabla1[[#This Row],[Tiempo solución max (hrs)]]&lt;&gt;"",IF(Tabla1[[#This Row],[Tiempo solución max (hrs)]]&gt;=Tabla1[[#This Row],[Tiempo
(Hrs 00/100)]],"cumple","no cumple"),"")</f>
        <v/>
      </c>
      <c r="W4378" s="17"/>
      <c r="X4378" s="18">
        <f t="shared" si="258"/>
        <v>0</v>
      </c>
      <c r="Y4378" t="str">
        <f>SUBSTITUTE(Tabla1[[#This Row],[Descripción]],CHAR(10),"    I    ")</f>
        <v/>
      </c>
      <c r="Z4378" s="112" t="e">
        <f>VLOOKUP(Tabla1[[#This Row],[Perfil]],Catalogos!$B$75:$D$100,3,FALSE)*Tabla1[[#This Row],[Tiempo
(Hrs 00/100)]]*1.16</f>
        <v>#N/A</v>
      </c>
    </row>
    <row r="4379" spans="1:26" ht="30" customHeight="1" x14ac:dyDescent="0.3">
      <c r="A4379" s="106"/>
      <c r="B4379" s="106"/>
      <c r="C4379" s="106"/>
      <c r="D4379" s="106"/>
      <c r="E4379" s="106"/>
      <c r="F4379" s="106"/>
      <c r="G4379" s="106"/>
      <c r="H4379" s="107"/>
      <c r="I4379" s="95"/>
      <c r="J4379" s="706"/>
      <c r="K4379" s="769"/>
      <c r="L4379" s="706"/>
      <c r="M4379" s="781"/>
      <c r="N4379" s="182"/>
      <c r="O4379" s="188"/>
      <c r="P4379" s="221"/>
      <c r="Q4379" s="106"/>
      <c r="R4379" s="108"/>
      <c r="S4379" s="108"/>
      <c r="T4379" s="108"/>
      <c r="U4379" s="108" t="str">
        <f>IFERROR(VLOOKUP(CONCATENATE(Tabla1[[#This Row],[Severidad]]," ",Tabla1[[#This Row],[Complejidad]]),Catalogos!E$120:G$128,3,FALSE),"")</f>
        <v/>
      </c>
      <c r="V4379" s="108" t="str">
        <f>IF(Tabla1[[#This Row],[Tiempo solución max (hrs)]]&lt;&gt;"",IF(Tabla1[[#This Row],[Tiempo solución max (hrs)]]&gt;=Tabla1[[#This Row],[Tiempo
(Hrs 00/100)]],"cumple","no cumple"),"")</f>
        <v/>
      </c>
      <c r="W4379" s="17"/>
      <c r="X4379" s="18">
        <f t="shared" si="258"/>
        <v>0</v>
      </c>
      <c r="Y4379" t="str">
        <f>SUBSTITUTE(Tabla1[[#This Row],[Descripción]],CHAR(10),"    I    ")</f>
        <v/>
      </c>
      <c r="Z4379" s="112" t="e">
        <f>VLOOKUP(Tabla1[[#This Row],[Perfil]],Catalogos!$B$75:$D$100,3,FALSE)*Tabla1[[#This Row],[Tiempo
(Hrs 00/100)]]*1.16</f>
        <v>#N/A</v>
      </c>
    </row>
    <row r="4380" spans="1:26" ht="30" customHeight="1" x14ac:dyDescent="0.3">
      <c r="A4380" s="106"/>
      <c r="B4380" s="106"/>
      <c r="C4380" s="106"/>
      <c r="D4380" s="106"/>
      <c r="E4380" s="106"/>
      <c r="F4380" s="106"/>
      <c r="G4380" s="106"/>
      <c r="H4380" s="107"/>
      <c r="I4380" s="95"/>
      <c r="J4380" s="706"/>
      <c r="K4380" s="769"/>
      <c r="L4380" s="706"/>
      <c r="M4380" s="781"/>
      <c r="N4380" s="182"/>
      <c r="O4380" s="188"/>
      <c r="P4380" s="221"/>
      <c r="Q4380" s="106"/>
      <c r="R4380" s="108"/>
      <c r="S4380" s="108"/>
      <c r="T4380" s="108"/>
      <c r="U4380" s="108" t="str">
        <f>IFERROR(VLOOKUP(CONCATENATE(Tabla1[[#This Row],[Severidad]]," ",Tabla1[[#This Row],[Complejidad]]),Catalogos!E$120:G$128,3,FALSE),"")</f>
        <v/>
      </c>
      <c r="V4380" s="108" t="str">
        <f>IF(Tabla1[[#This Row],[Tiempo solución max (hrs)]]&lt;&gt;"",IF(Tabla1[[#This Row],[Tiempo solución max (hrs)]]&gt;=Tabla1[[#This Row],[Tiempo
(Hrs 00/100)]],"cumple","no cumple"),"")</f>
        <v/>
      </c>
      <c r="W4380" s="17"/>
      <c r="X4380" s="18">
        <f t="shared" si="258"/>
        <v>0</v>
      </c>
      <c r="Y4380" t="str">
        <f>SUBSTITUTE(Tabla1[[#This Row],[Descripción]],CHAR(10),"    I    ")</f>
        <v/>
      </c>
      <c r="Z4380" s="112" t="e">
        <f>VLOOKUP(Tabla1[[#This Row],[Perfil]],Catalogos!$B$75:$D$100,3,FALSE)*Tabla1[[#This Row],[Tiempo
(Hrs 00/100)]]*1.16</f>
        <v>#N/A</v>
      </c>
    </row>
    <row r="4381" spans="1:26" ht="30" customHeight="1" x14ac:dyDescent="0.3">
      <c r="A4381" s="106"/>
      <c r="B4381" s="106"/>
      <c r="C4381" s="106"/>
      <c r="D4381" s="106"/>
      <c r="E4381" s="106"/>
      <c r="F4381" s="106"/>
      <c r="G4381" s="106"/>
      <c r="H4381" s="107"/>
      <c r="I4381" s="95"/>
      <c r="J4381" s="706"/>
      <c r="K4381" s="769"/>
      <c r="L4381" s="706"/>
      <c r="M4381" s="781"/>
      <c r="N4381" s="182"/>
      <c r="O4381" s="188"/>
      <c r="P4381" s="221"/>
      <c r="Q4381" s="106"/>
      <c r="R4381" s="108"/>
      <c r="S4381" s="108"/>
      <c r="T4381" s="108"/>
      <c r="U4381" s="108" t="str">
        <f>IFERROR(VLOOKUP(CONCATENATE(Tabla1[[#This Row],[Severidad]]," ",Tabla1[[#This Row],[Complejidad]]),Catalogos!E$120:G$128,3,FALSE),"")</f>
        <v/>
      </c>
      <c r="V4381" s="108" t="str">
        <f>IF(Tabla1[[#This Row],[Tiempo solución max (hrs)]]&lt;&gt;"",IF(Tabla1[[#This Row],[Tiempo solución max (hrs)]]&gt;=Tabla1[[#This Row],[Tiempo
(Hrs 00/100)]],"cumple","no cumple"),"")</f>
        <v/>
      </c>
      <c r="W4381" s="17"/>
      <c r="X4381" s="18">
        <f t="shared" si="258"/>
        <v>0</v>
      </c>
      <c r="Y4381" t="str">
        <f>SUBSTITUTE(Tabla1[[#This Row],[Descripción]],CHAR(10),"    I    ")</f>
        <v/>
      </c>
      <c r="Z4381" s="112" t="e">
        <f>VLOOKUP(Tabla1[[#This Row],[Perfil]],Catalogos!$B$75:$D$100,3,FALSE)*Tabla1[[#This Row],[Tiempo
(Hrs 00/100)]]*1.16</f>
        <v>#N/A</v>
      </c>
    </row>
    <row r="4382" spans="1:26" ht="30" customHeight="1" x14ac:dyDescent="0.3">
      <c r="A4382" s="106"/>
      <c r="B4382" s="106"/>
      <c r="C4382" s="106"/>
      <c r="D4382" s="106"/>
      <c r="E4382" s="106"/>
      <c r="F4382" s="106"/>
      <c r="G4382" s="106"/>
      <c r="H4382" s="107"/>
      <c r="I4382" s="95"/>
      <c r="J4382" s="706"/>
      <c r="K4382" s="769"/>
      <c r="L4382" s="706"/>
      <c r="M4382" s="781"/>
      <c r="N4382" s="182"/>
      <c r="O4382" s="188"/>
      <c r="P4382" s="221"/>
      <c r="Q4382" s="106"/>
      <c r="R4382" s="108"/>
      <c r="S4382" s="108"/>
      <c r="T4382" s="108"/>
      <c r="U4382" s="108" t="str">
        <f>IFERROR(VLOOKUP(CONCATENATE(Tabla1[[#This Row],[Severidad]]," ",Tabla1[[#This Row],[Complejidad]]),Catalogos!E$120:G$128,3,FALSE),"")</f>
        <v/>
      </c>
      <c r="V4382" s="108" t="str">
        <f>IF(Tabla1[[#This Row],[Tiempo solución max (hrs)]]&lt;&gt;"",IF(Tabla1[[#This Row],[Tiempo solución max (hrs)]]&gt;=Tabla1[[#This Row],[Tiempo
(Hrs 00/100)]],"cumple","no cumple"),"")</f>
        <v/>
      </c>
      <c r="W4382" s="17"/>
      <c r="X4382" s="18">
        <f t="shared" si="258"/>
        <v>0</v>
      </c>
      <c r="Y4382" t="str">
        <f>SUBSTITUTE(Tabla1[[#This Row],[Descripción]],CHAR(10),"    I    ")</f>
        <v/>
      </c>
      <c r="Z4382" s="112" t="e">
        <f>VLOOKUP(Tabla1[[#This Row],[Perfil]],Catalogos!$B$75:$D$100,3,FALSE)*Tabla1[[#This Row],[Tiempo
(Hrs 00/100)]]*1.16</f>
        <v>#N/A</v>
      </c>
    </row>
    <row r="4383" spans="1:26" ht="30" customHeight="1" x14ac:dyDescent="0.3">
      <c r="A4383" s="106"/>
      <c r="B4383" s="106"/>
      <c r="C4383" s="106"/>
      <c r="D4383" s="106"/>
      <c r="E4383" s="106"/>
      <c r="F4383" s="106"/>
      <c r="G4383" s="106"/>
      <c r="H4383" s="107"/>
      <c r="I4383" s="95"/>
      <c r="J4383" s="706"/>
      <c r="K4383" s="769"/>
      <c r="L4383" s="706"/>
      <c r="M4383" s="781"/>
      <c r="N4383" s="182"/>
      <c r="O4383" s="188"/>
      <c r="P4383" s="221"/>
      <c r="Q4383" s="106"/>
      <c r="R4383" s="108"/>
      <c r="S4383" s="108"/>
      <c r="T4383" s="108"/>
      <c r="U4383" s="108" t="str">
        <f>IFERROR(VLOOKUP(CONCATENATE(Tabla1[[#This Row],[Severidad]]," ",Tabla1[[#This Row],[Complejidad]]),Catalogos!E$120:G$128,3,FALSE),"")</f>
        <v/>
      </c>
      <c r="V4383" s="108" t="str">
        <f>IF(Tabla1[[#This Row],[Tiempo solución max (hrs)]]&lt;&gt;"",IF(Tabla1[[#This Row],[Tiempo solución max (hrs)]]&gt;=Tabla1[[#This Row],[Tiempo
(Hrs 00/100)]],"cumple","no cumple"),"")</f>
        <v/>
      </c>
      <c r="W4383" s="17"/>
      <c r="X4383" s="18">
        <f t="shared" si="258"/>
        <v>0</v>
      </c>
      <c r="Y4383" t="str">
        <f>SUBSTITUTE(Tabla1[[#This Row],[Descripción]],CHAR(10),"    I    ")</f>
        <v/>
      </c>
      <c r="Z4383" s="112" t="e">
        <f>VLOOKUP(Tabla1[[#This Row],[Perfil]],Catalogos!$B$75:$D$100,3,FALSE)*Tabla1[[#This Row],[Tiempo
(Hrs 00/100)]]*1.16</f>
        <v>#N/A</v>
      </c>
    </row>
    <row r="4384" spans="1:26" ht="30" customHeight="1" x14ac:dyDescent="0.3">
      <c r="A4384" s="106"/>
      <c r="B4384" s="106"/>
      <c r="C4384" s="106"/>
      <c r="D4384" s="106"/>
      <c r="E4384" s="106"/>
      <c r="F4384" s="106"/>
      <c r="G4384" s="106"/>
      <c r="H4384" s="107"/>
      <c r="I4384" s="95"/>
      <c r="J4384" s="706"/>
      <c r="K4384" s="769"/>
      <c r="L4384" s="706"/>
      <c r="M4384" s="781"/>
      <c r="N4384" s="182"/>
      <c r="O4384" s="188"/>
      <c r="P4384" s="221"/>
      <c r="Q4384" s="106"/>
      <c r="R4384" s="108"/>
      <c r="S4384" s="108"/>
      <c r="T4384" s="108"/>
      <c r="U4384" s="108" t="str">
        <f>IFERROR(VLOOKUP(CONCATENATE(Tabla1[[#This Row],[Severidad]]," ",Tabla1[[#This Row],[Complejidad]]),Catalogos!E$120:G$128,3,FALSE),"")</f>
        <v/>
      </c>
      <c r="V4384" s="108" t="str">
        <f>IF(Tabla1[[#This Row],[Tiempo solución max (hrs)]]&lt;&gt;"",IF(Tabla1[[#This Row],[Tiempo solución max (hrs)]]&gt;=Tabla1[[#This Row],[Tiempo
(Hrs 00/100)]],"cumple","no cumple"),"")</f>
        <v/>
      </c>
      <c r="W4384" s="17"/>
      <c r="X4384" s="18">
        <f t="shared" si="258"/>
        <v>0</v>
      </c>
      <c r="Y4384" t="str">
        <f>SUBSTITUTE(Tabla1[[#This Row],[Descripción]],CHAR(10),"    I    ")</f>
        <v/>
      </c>
      <c r="Z4384" s="112" t="e">
        <f>VLOOKUP(Tabla1[[#This Row],[Perfil]],Catalogos!$B$75:$D$100,3,FALSE)*Tabla1[[#This Row],[Tiempo
(Hrs 00/100)]]*1.16</f>
        <v>#N/A</v>
      </c>
    </row>
    <row r="4385" spans="1:26" ht="30" customHeight="1" x14ac:dyDescent="0.3">
      <c r="A4385" s="106"/>
      <c r="B4385" s="106"/>
      <c r="C4385" s="106"/>
      <c r="D4385" s="106"/>
      <c r="E4385" s="106"/>
      <c r="F4385" s="106"/>
      <c r="G4385" s="106"/>
      <c r="H4385" s="107"/>
      <c r="I4385" s="95"/>
      <c r="J4385" s="706"/>
      <c r="K4385" s="769"/>
      <c r="L4385" s="706"/>
      <c r="M4385" s="781"/>
      <c r="N4385" s="182"/>
      <c r="O4385" s="188"/>
      <c r="P4385" s="221"/>
      <c r="Q4385" s="106"/>
      <c r="R4385" s="108"/>
      <c r="S4385" s="108"/>
      <c r="T4385" s="108"/>
      <c r="U4385" s="108" t="str">
        <f>IFERROR(VLOOKUP(CONCATENATE(Tabla1[[#This Row],[Severidad]]," ",Tabla1[[#This Row],[Complejidad]]),Catalogos!E$120:G$128,3,FALSE),"")</f>
        <v/>
      </c>
      <c r="V4385" s="108" t="str">
        <f>IF(Tabla1[[#This Row],[Tiempo solución max (hrs)]]&lt;&gt;"",IF(Tabla1[[#This Row],[Tiempo solución max (hrs)]]&gt;=Tabla1[[#This Row],[Tiempo
(Hrs 00/100)]],"cumple","no cumple"),"")</f>
        <v/>
      </c>
      <c r="W4385" s="17"/>
      <c r="X4385" s="18">
        <f t="shared" si="258"/>
        <v>0</v>
      </c>
      <c r="Y4385" t="str">
        <f>SUBSTITUTE(Tabla1[[#This Row],[Descripción]],CHAR(10),"    I    ")</f>
        <v/>
      </c>
      <c r="Z4385" s="112" t="e">
        <f>VLOOKUP(Tabla1[[#This Row],[Perfil]],Catalogos!$B$75:$D$100,3,FALSE)*Tabla1[[#This Row],[Tiempo
(Hrs 00/100)]]*1.16</f>
        <v>#N/A</v>
      </c>
    </row>
    <row r="4386" spans="1:26" ht="30" customHeight="1" x14ac:dyDescent="0.3">
      <c r="A4386" s="106"/>
      <c r="B4386" s="106"/>
      <c r="C4386" s="106"/>
      <c r="D4386" s="106"/>
      <c r="E4386" s="106"/>
      <c r="F4386" s="106"/>
      <c r="G4386" s="106"/>
      <c r="H4386" s="107"/>
      <c r="I4386" s="95"/>
      <c r="J4386" s="706"/>
      <c r="K4386" s="769"/>
      <c r="L4386" s="706"/>
      <c r="M4386" s="781"/>
      <c r="N4386" s="182"/>
      <c r="O4386" s="188"/>
      <c r="P4386" s="221"/>
      <c r="Q4386" s="106"/>
      <c r="R4386" s="108"/>
      <c r="S4386" s="108"/>
      <c r="T4386" s="108"/>
      <c r="U4386" s="108" t="str">
        <f>IFERROR(VLOOKUP(CONCATENATE(Tabla1[[#This Row],[Severidad]]," ",Tabla1[[#This Row],[Complejidad]]),Catalogos!E$120:G$128,3,FALSE),"")</f>
        <v/>
      </c>
      <c r="V4386" s="108" t="str">
        <f>IF(Tabla1[[#This Row],[Tiempo solución max (hrs)]]&lt;&gt;"",IF(Tabla1[[#This Row],[Tiempo solución max (hrs)]]&gt;=Tabla1[[#This Row],[Tiempo
(Hrs 00/100)]],"cumple","no cumple"),"")</f>
        <v/>
      </c>
      <c r="W4386" s="17"/>
      <c r="X4386" s="18">
        <f t="shared" si="258"/>
        <v>0</v>
      </c>
      <c r="Y4386" t="str">
        <f>SUBSTITUTE(Tabla1[[#This Row],[Descripción]],CHAR(10),"    I    ")</f>
        <v/>
      </c>
      <c r="Z4386" s="112" t="e">
        <f>VLOOKUP(Tabla1[[#This Row],[Perfil]],Catalogos!$B$75:$D$100,3,FALSE)*Tabla1[[#This Row],[Tiempo
(Hrs 00/100)]]*1.16</f>
        <v>#N/A</v>
      </c>
    </row>
    <row r="4387" spans="1:26" ht="30" customHeight="1" x14ac:dyDescent="0.3">
      <c r="A4387" s="106"/>
      <c r="B4387" s="106"/>
      <c r="C4387" s="106"/>
      <c r="D4387" s="106"/>
      <c r="E4387" s="106"/>
      <c r="F4387" s="106"/>
      <c r="G4387" s="106"/>
      <c r="H4387" s="107"/>
      <c r="I4387" s="95"/>
      <c r="J4387" s="706"/>
      <c r="K4387" s="769"/>
      <c r="L4387" s="706"/>
      <c r="M4387" s="781"/>
      <c r="N4387" s="182"/>
      <c r="O4387" s="188"/>
      <c r="P4387" s="221"/>
      <c r="Q4387" s="106"/>
      <c r="R4387" s="108"/>
      <c r="S4387" s="108"/>
      <c r="T4387" s="108"/>
      <c r="U4387" s="108" t="str">
        <f>IFERROR(VLOOKUP(CONCATENATE(Tabla1[[#This Row],[Severidad]]," ",Tabla1[[#This Row],[Complejidad]]),Catalogos!E$120:G$128,3,FALSE),"")</f>
        <v/>
      </c>
      <c r="V4387" s="108" t="str">
        <f>IF(Tabla1[[#This Row],[Tiempo solución max (hrs)]]&lt;&gt;"",IF(Tabla1[[#This Row],[Tiempo solución max (hrs)]]&gt;=Tabla1[[#This Row],[Tiempo
(Hrs 00/100)]],"cumple","no cumple"),"")</f>
        <v/>
      </c>
      <c r="W4387" s="17"/>
      <c r="X4387" s="18">
        <f t="shared" si="258"/>
        <v>0</v>
      </c>
      <c r="Y4387" t="str">
        <f>SUBSTITUTE(Tabla1[[#This Row],[Descripción]],CHAR(10),"    I    ")</f>
        <v/>
      </c>
      <c r="Z4387" s="112" t="e">
        <f>VLOOKUP(Tabla1[[#This Row],[Perfil]],Catalogos!$B$75:$D$100,3,FALSE)*Tabla1[[#This Row],[Tiempo
(Hrs 00/100)]]*1.16</f>
        <v>#N/A</v>
      </c>
    </row>
    <row r="4388" spans="1:26" ht="30" customHeight="1" x14ac:dyDescent="0.3">
      <c r="A4388" s="106"/>
      <c r="B4388" s="106"/>
      <c r="C4388" s="106"/>
      <c r="D4388" s="106"/>
      <c r="E4388" s="106"/>
      <c r="F4388" s="106"/>
      <c r="G4388" s="106"/>
      <c r="H4388" s="107"/>
      <c r="I4388" s="95"/>
      <c r="J4388" s="706"/>
      <c r="K4388" s="769"/>
      <c r="L4388" s="706"/>
      <c r="M4388" s="781"/>
      <c r="N4388" s="182"/>
      <c r="O4388" s="188"/>
      <c r="P4388" s="221"/>
      <c r="Q4388" s="106"/>
      <c r="R4388" s="108"/>
      <c r="S4388" s="108"/>
      <c r="T4388" s="108"/>
      <c r="U4388" s="108" t="str">
        <f>IFERROR(VLOOKUP(CONCATENATE(Tabla1[[#This Row],[Severidad]]," ",Tabla1[[#This Row],[Complejidad]]),Catalogos!E$120:G$128,3,FALSE),"")</f>
        <v/>
      </c>
      <c r="V4388" s="108" t="str">
        <f>IF(Tabla1[[#This Row],[Tiempo solución max (hrs)]]&lt;&gt;"",IF(Tabla1[[#This Row],[Tiempo solución max (hrs)]]&gt;=Tabla1[[#This Row],[Tiempo
(Hrs 00/100)]],"cumple","no cumple"),"")</f>
        <v/>
      </c>
      <c r="W4388" s="17"/>
      <c r="X4388" s="18">
        <f t="shared" si="258"/>
        <v>0</v>
      </c>
      <c r="Y4388" t="str">
        <f>SUBSTITUTE(Tabla1[[#This Row],[Descripción]],CHAR(10),"    I    ")</f>
        <v/>
      </c>
      <c r="Z4388" s="112" t="e">
        <f>VLOOKUP(Tabla1[[#This Row],[Perfil]],Catalogos!$B$75:$D$100,3,FALSE)*Tabla1[[#This Row],[Tiempo
(Hrs 00/100)]]*1.16</f>
        <v>#N/A</v>
      </c>
    </row>
    <row r="4389" spans="1:26" ht="30" customHeight="1" x14ac:dyDescent="0.3">
      <c r="A4389" s="106"/>
      <c r="B4389" s="106"/>
      <c r="C4389" s="106"/>
      <c r="D4389" s="106"/>
      <c r="E4389" s="106"/>
      <c r="F4389" s="106"/>
      <c r="G4389" s="106"/>
      <c r="H4389" s="107"/>
      <c r="I4389" s="95"/>
      <c r="J4389" s="706"/>
      <c r="K4389" s="769"/>
      <c r="L4389" s="706"/>
      <c r="M4389" s="781"/>
      <c r="N4389" s="182"/>
      <c r="O4389" s="188"/>
      <c r="P4389" s="221"/>
      <c r="Q4389" s="106"/>
      <c r="R4389" s="108"/>
      <c r="S4389" s="108"/>
      <c r="T4389" s="108"/>
      <c r="U4389" s="108" t="str">
        <f>IFERROR(VLOOKUP(CONCATENATE(Tabla1[[#This Row],[Severidad]]," ",Tabla1[[#This Row],[Complejidad]]),Catalogos!E$120:G$128,3,FALSE),"")</f>
        <v/>
      </c>
      <c r="V4389" s="108" t="str">
        <f>IF(Tabla1[[#This Row],[Tiempo solución max (hrs)]]&lt;&gt;"",IF(Tabla1[[#This Row],[Tiempo solución max (hrs)]]&gt;=Tabla1[[#This Row],[Tiempo
(Hrs 00/100)]],"cumple","no cumple"),"")</f>
        <v/>
      </c>
      <c r="W4389" s="17"/>
      <c r="X4389" s="18">
        <f t="shared" si="258"/>
        <v>0</v>
      </c>
      <c r="Y4389" t="str">
        <f>SUBSTITUTE(Tabla1[[#This Row],[Descripción]],CHAR(10),"    I    ")</f>
        <v/>
      </c>
      <c r="Z4389" s="112" t="e">
        <f>VLOOKUP(Tabla1[[#This Row],[Perfil]],Catalogos!$B$75:$D$100,3,FALSE)*Tabla1[[#This Row],[Tiempo
(Hrs 00/100)]]*1.16</f>
        <v>#N/A</v>
      </c>
    </row>
    <row r="4390" spans="1:26" ht="30" customHeight="1" x14ac:dyDescent="0.3">
      <c r="A4390" s="106"/>
      <c r="B4390" s="106"/>
      <c r="C4390" s="106"/>
      <c r="D4390" s="106"/>
      <c r="E4390" s="106"/>
      <c r="F4390" s="106"/>
      <c r="G4390" s="106"/>
      <c r="H4390" s="107"/>
      <c r="I4390" s="95"/>
      <c r="J4390" s="706"/>
      <c r="K4390" s="769"/>
      <c r="L4390" s="706"/>
      <c r="M4390" s="781"/>
      <c r="N4390" s="182"/>
      <c r="O4390" s="188"/>
      <c r="P4390" s="221"/>
      <c r="Q4390" s="106"/>
      <c r="R4390" s="108"/>
      <c r="S4390" s="108"/>
      <c r="T4390" s="108"/>
      <c r="U4390" s="108" t="str">
        <f>IFERROR(VLOOKUP(CONCATENATE(Tabla1[[#This Row],[Severidad]]," ",Tabla1[[#This Row],[Complejidad]]),Catalogos!E$120:G$128,3,FALSE),"")</f>
        <v/>
      </c>
      <c r="V4390" s="108" t="str">
        <f>IF(Tabla1[[#This Row],[Tiempo solución max (hrs)]]&lt;&gt;"",IF(Tabla1[[#This Row],[Tiempo solución max (hrs)]]&gt;=Tabla1[[#This Row],[Tiempo
(Hrs 00/100)]],"cumple","no cumple"),"")</f>
        <v/>
      </c>
      <c r="W4390" s="17"/>
      <c r="X4390" s="18">
        <f t="shared" si="258"/>
        <v>0</v>
      </c>
      <c r="Y4390" t="str">
        <f>SUBSTITUTE(Tabla1[[#This Row],[Descripción]],CHAR(10),"    I    ")</f>
        <v/>
      </c>
      <c r="Z4390" s="112" t="e">
        <f>VLOOKUP(Tabla1[[#This Row],[Perfil]],Catalogos!$B$75:$D$100,3,FALSE)*Tabla1[[#This Row],[Tiempo
(Hrs 00/100)]]*1.16</f>
        <v>#N/A</v>
      </c>
    </row>
    <row r="4391" spans="1:26" ht="30" customHeight="1" x14ac:dyDescent="0.3">
      <c r="A4391" s="106"/>
      <c r="B4391" s="106"/>
      <c r="C4391" s="106"/>
      <c r="D4391" s="106"/>
      <c r="E4391" s="106"/>
      <c r="F4391" s="106"/>
      <c r="G4391" s="106"/>
      <c r="H4391" s="107"/>
      <c r="I4391" s="95"/>
      <c r="J4391" s="706"/>
      <c r="K4391" s="769"/>
      <c r="L4391" s="706"/>
      <c r="M4391" s="781"/>
      <c r="N4391" s="182"/>
      <c r="O4391" s="188"/>
      <c r="P4391" s="221"/>
      <c r="Q4391" s="106"/>
      <c r="R4391" s="108"/>
      <c r="S4391" s="108"/>
      <c r="T4391" s="108"/>
      <c r="U4391" s="108" t="str">
        <f>IFERROR(VLOOKUP(CONCATENATE(Tabla1[[#This Row],[Severidad]]," ",Tabla1[[#This Row],[Complejidad]]),Catalogos!E$120:G$128,3,FALSE),"")</f>
        <v/>
      </c>
      <c r="V4391" s="108" t="str">
        <f>IF(Tabla1[[#This Row],[Tiempo solución max (hrs)]]&lt;&gt;"",IF(Tabla1[[#This Row],[Tiempo solución max (hrs)]]&gt;=Tabla1[[#This Row],[Tiempo
(Hrs 00/100)]],"cumple","no cumple"),"")</f>
        <v/>
      </c>
      <c r="W4391" s="17"/>
      <c r="X4391" s="18">
        <f t="shared" si="258"/>
        <v>0</v>
      </c>
      <c r="Y4391" t="str">
        <f>SUBSTITUTE(Tabla1[[#This Row],[Descripción]],CHAR(10),"    I    ")</f>
        <v/>
      </c>
      <c r="Z4391" s="112" t="e">
        <f>VLOOKUP(Tabla1[[#This Row],[Perfil]],Catalogos!$B$75:$D$100,3,FALSE)*Tabla1[[#This Row],[Tiempo
(Hrs 00/100)]]*1.16</f>
        <v>#N/A</v>
      </c>
    </row>
    <row r="4392" spans="1:26" ht="30" customHeight="1" x14ac:dyDescent="0.3">
      <c r="A4392" s="106"/>
      <c r="B4392" s="106"/>
      <c r="C4392" s="106"/>
      <c r="D4392" s="106"/>
      <c r="E4392" s="106"/>
      <c r="F4392" s="106"/>
      <c r="G4392" s="106"/>
      <c r="H4392" s="107"/>
      <c r="I4392" s="95"/>
      <c r="J4392" s="706"/>
      <c r="K4392" s="769"/>
      <c r="L4392" s="706"/>
      <c r="M4392" s="781"/>
      <c r="N4392" s="182"/>
      <c r="O4392" s="188"/>
      <c r="P4392" s="221"/>
      <c r="Q4392" s="106"/>
      <c r="R4392" s="108"/>
      <c r="S4392" s="108"/>
      <c r="T4392" s="108"/>
      <c r="U4392" s="108" t="str">
        <f>IFERROR(VLOOKUP(CONCATENATE(Tabla1[[#This Row],[Severidad]]," ",Tabla1[[#This Row],[Complejidad]]),Catalogos!E$120:G$128,3,FALSE),"")</f>
        <v/>
      </c>
      <c r="V4392" s="108" t="str">
        <f>IF(Tabla1[[#This Row],[Tiempo solución max (hrs)]]&lt;&gt;"",IF(Tabla1[[#This Row],[Tiempo solución max (hrs)]]&gt;=Tabla1[[#This Row],[Tiempo
(Hrs 00/100)]],"cumple","no cumple"),"")</f>
        <v/>
      </c>
      <c r="W4392" s="17"/>
      <c r="X4392" s="18">
        <f t="shared" si="258"/>
        <v>0</v>
      </c>
      <c r="Y4392" t="str">
        <f>SUBSTITUTE(Tabla1[[#This Row],[Descripción]],CHAR(10),"    I    ")</f>
        <v/>
      </c>
      <c r="Z4392" s="112" t="e">
        <f>VLOOKUP(Tabla1[[#This Row],[Perfil]],Catalogos!$B$75:$D$100,3,FALSE)*Tabla1[[#This Row],[Tiempo
(Hrs 00/100)]]*1.16</f>
        <v>#N/A</v>
      </c>
    </row>
    <row r="4393" spans="1:26" ht="30" customHeight="1" x14ac:dyDescent="0.3">
      <c r="A4393" s="106"/>
      <c r="B4393" s="106"/>
      <c r="C4393" s="106"/>
      <c r="D4393" s="106"/>
      <c r="E4393" s="106"/>
      <c r="F4393" s="106"/>
      <c r="G4393" s="106"/>
      <c r="H4393" s="107"/>
      <c r="I4393" s="95"/>
      <c r="J4393" s="706"/>
      <c r="K4393" s="769"/>
      <c r="L4393" s="706"/>
      <c r="M4393" s="781"/>
      <c r="N4393" s="182"/>
      <c r="O4393" s="188"/>
      <c r="P4393" s="221"/>
      <c r="Q4393" s="106"/>
      <c r="R4393" s="108"/>
      <c r="S4393" s="108"/>
      <c r="T4393" s="108"/>
      <c r="U4393" s="108" t="str">
        <f>IFERROR(VLOOKUP(CONCATENATE(Tabla1[[#This Row],[Severidad]]," ",Tabla1[[#This Row],[Complejidad]]),Catalogos!E$120:G$128,3,FALSE),"")</f>
        <v/>
      </c>
      <c r="V4393" s="108" t="str">
        <f>IF(Tabla1[[#This Row],[Tiempo solución max (hrs)]]&lt;&gt;"",IF(Tabla1[[#This Row],[Tiempo solución max (hrs)]]&gt;=Tabla1[[#This Row],[Tiempo
(Hrs 00/100)]],"cumple","no cumple"),"")</f>
        <v/>
      </c>
      <c r="W4393" s="17"/>
      <c r="X4393" s="18">
        <f t="shared" si="258"/>
        <v>0</v>
      </c>
      <c r="Y4393" t="str">
        <f>SUBSTITUTE(Tabla1[[#This Row],[Descripción]],CHAR(10),"    I    ")</f>
        <v/>
      </c>
      <c r="Z4393" s="112" t="e">
        <f>VLOOKUP(Tabla1[[#This Row],[Perfil]],Catalogos!$B$75:$D$100,3,FALSE)*Tabla1[[#This Row],[Tiempo
(Hrs 00/100)]]*1.16</f>
        <v>#N/A</v>
      </c>
    </row>
    <row r="4394" spans="1:26" ht="30" customHeight="1" x14ac:dyDescent="0.3">
      <c r="A4394" s="106"/>
      <c r="B4394" s="106"/>
      <c r="C4394" s="106"/>
      <c r="D4394" s="106"/>
      <c r="E4394" s="106"/>
      <c r="F4394" s="106"/>
      <c r="G4394" s="106"/>
      <c r="H4394" s="107"/>
      <c r="I4394" s="95"/>
      <c r="J4394" s="706"/>
      <c r="K4394" s="769"/>
      <c r="L4394" s="706"/>
      <c r="M4394" s="781"/>
      <c r="N4394" s="182"/>
      <c r="O4394" s="188"/>
      <c r="P4394" s="221"/>
      <c r="Q4394" s="106"/>
      <c r="R4394" s="108"/>
      <c r="S4394" s="108"/>
      <c r="T4394" s="108"/>
      <c r="U4394" s="108" t="str">
        <f>IFERROR(VLOOKUP(CONCATENATE(Tabla1[[#This Row],[Severidad]]," ",Tabla1[[#This Row],[Complejidad]]),Catalogos!E$120:G$128,3,FALSE),"")</f>
        <v/>
      </c>
      <c r="V4394" s="108" t="str">
        <f>IF(Tabla1[[#This Row],[Tiempo solución max (hrs)]]&lt;&gt;"",IF(Tabla1[[#This Row],[Tiempo solución max (hrs)]]&gt;=Tabla1[[#This Row],[Tiempo
(Hrs 00/100)]],"cumple","no cumple"),"")</f>
        <v/>
      </c>
      <c r="W4394" s="17"/>
      <c r="X4394" s="18">
        <f t="shared" si="258"/>
        <v>0</v>
      </c>
      <c r="Y4394" t="str">
        <f>SUBSTITUTE(Tabla1[[#This Row],[Descripción]],CHAR(10),"    I    ")</f>
        <v/>
      </c>
      <c r="Z4394" s="112" t="e">
        <f>VLOOKUP(Tabla1[[#This Row],[Perfil]],Catalogos!$B$75:$D$100,3,FALSE)*Tabla1[[#This Row],[Tiempo
(Hrs 00/100)]]*1.16</f>
        <v>#N/A</v>
      </c>
    </row>
    <row r="4395" spans="1:26" ht="30" customHeight="1" x14ac:dyDescent="0.3">
      <c r="A4395" s="106"/>
      <c r="B4395" s="106"/>
      <c r="C4395" s="106"/>
      <c r="D4395" s="106"/>
      <c r="E4395" s="106"/>
      <c r="F4395" s="106"/>
      <c r="G4395" s="106"/>
      <c r="H4395" s="107"/>
      <c r="I4395" s="95"/>
      <c r="J4395" s="706"/>
      <c r="K4395" s="769"/>
      <c r="L4395" s="706"/>
      <c r="M4395" s="781"/>
      <c r="N4395" s="182"/>
      <c r="O4395" s="188"/>
      <c r="P4395" s="221"/>
      <c r="Q4395" s="106"/>
      <c r="R4395" s="108"/>
      <c r="S4395" s="108"/>
      <c r="T4395" s="108"/>
      <c r="U4395" s="108" t="str">
        <f>IFERROR(VLOOKUP(CONCATENATE(Tabla1[[#This Row],[Severidad]]," ",Tabla1[[#This Row],[Complejidad]]),Catalogos!E$120:G$128,3,FALSE),"")</f>
        <v/>
      </c>
      <c r="V4395" s="108" t="str">
        <f>IF(Tabla1[[#This Row],[Tiempo solución max (hrs)]]&lt;&gt;"",IF(Tabla1[[#This Row],[Tiempo solución max (hrs)]]&gt;=Tabla1[[#This Row],[Tiempo
(Hrs 00/100)]],"cumple","no cumple"),"")</f>
        <v/>
      </c>
      <c r="W4395" s="17"/>
      <c r="X4395" s="18">
        <f t="shared" si="258"/>
        <v>0</v>
      </c>
      <c r="Y4395" t="str">
        <f>SUBSTITUTE(Tabla1[[#This Row],[Descripción]],CHAR(10),"    I    ")</f>
        <v/>
      </c>
      <c r="Z4395" s="112" t="e">
        <f>VLOOKUP(Tabla1[[#This Row],[Perfil]],Catalogos!$B$75:$D$100,3,FALSE)*Tabla1[[#This Row],[Tiempo
(Hrs 00/100)]]*1.16</f>
        <v>#N/A</v>
      </c>
    </row>
    <row r="4396" spans="1:26" ht="30" customHeight="1" x14ac:dyDescent="0.3">
      <c r="A4396" s="106"/>
      <c r="B4396" s="106"/>
      <c r="C4396" s="106"/>
      <c r="D4396" s="106"/>
      <c r="E4396" s="106"/>
      <c r="F4396" s="106"/>
      <c r="G4396" s="106"/>
      <c r="H4396" s="107"/>
      <c r="I4396" s="95"/>
      <c r="J4396" s="706"/>
      <c r="K4396" s="769"/>
      <c r="L4396" s="706"/>
      <c r="M4396" s="781"/>
      <c r="N4396" s="182"/>
      <c r="O4396" s="188"/>
      <c r="P4396" s="221"/>
      <c r="Q4396" s="106"/>
      <c r="R4396" s="108"/>
      <c r="S4396" s="108"/>
      <c r="T4396" s="108"/>
      <c r="U4396" s="108" t="str">
        <f>IFERROR(VLOOKUP(CONCATENATE(Tabla1[[#This Row],[Severidad]]," ",Tabla1[[#This Row],[Complejidad]]),Catalogos!E$120:G$128,3,FALSE),"")</f>
        <v/>
      </c>
      <c r="V4396" s="108" t="str">
        <f>IF(Tabla1[[#This Row],[Tiempo solución max (hrs)]]&lt;&gt;"",IF(Tabla1[[#This Row],[Tiempo solución max (hrs)]]&gt;=Tabla1[[#This Row],[Tiempo
(Hrs 00/100)]],"cumple","no cumple"),"")</f>
        <v/>
      </c>
      <c r="W4396" s="17"/>
      <c r="X4396" s="18">
        <f t="shared" si="258"/>
        <v>0</v>
      </c>
      <c r="Y4396" t="str">
        <f>SUBSTITUTE(Tabla1[[#This Row],[Descripción]],CHAR(10),"    I    ")</f>
        <v/>
      </c>
      <c r="Z4396" s="112" t="e">
        <f>VLOOKUP(Tabla1[[#This Row],[Perfil]],Catalogos!$B$75:$D$100,3,FALSE)*Tabla1[[#This Row],[Tiempo
(Hrs 00/100)]]*1.16</f>
        <v>#N/A</v>
      </c>
    </row>
    <row r="4397" spans="1:26" ht="30" customHeight="1" x14ac:dyDescent="0.3">
      <c r="A4397" s="106"/>
      <c r="B4397" s="106"/>
      <c r="C4397" s="106"/>
      <c r="D4397" s="106"/>
      <c r="E4397" s="106"/>
      <c r="F4397" s="106"/>
      <c r="G4397" s="106"/>
      <c r="H4397" s="107"/>
      <c r="I4397" s="95"/>
      <c r="J4397" s="706"/>
      <c r="K4397" s="769"/>
      <c r="L4397" s="706"/>
      <c r="M4397" s="781"/>
      <c r="N4397" s="182"/>
      <c r="O4397" s="188"/>
      <c r="P4397" s="221"/>
      <c r="Q4397" s="106"/>
      <c r="R4397" s="108"/>
      <c r="S4397" s="108"/>
      <c r="T4397" s="108"/>
      <c r="U4397" s="108" t="str">
        <f>IFERROR(VLOOKUP(CONCATENATE(Tabla1[[#This Row],[Severidad]]," ",Tabla1[[#This Row],[Complejidad]]),Catalogos!E$120:G$128,3,FALSE),"")</f>
        <v/>
      </c>
      <c r="V4397" s="108" t="str">
        <f>IF(Tabla1[[#This Row],[Tiempo solución max (hrs)]]&lt;&gt;"",IF(Tabla1[[#This Row],[Tiempo solución max (hrs)]]&gt;=Tabla1[[#This Row],[Tiempo
(Hrs 00/100)]],"cumple","no cumple"),"")</f>
        <v/>
      </c>
      <c r="W4397" s="17"/>
      <c r="X4397" s="18">
        <f t="shared" si="258"/>
        <v>0</v>
      </c>
      <c r="Y4397" t="str">
        <f>SUBSTITUTE(Tabla1[[#This Row],[Descripción]],CHAR(10),"    I    ")</f>
        <v/>
      </c>
      <c r="Z4397" s="112" t="e">
        <f>VLOOKUP(Tabla1[[#This Row],[Perfil]],Catalogos!$B$75:$D$100,3,FALSE)*Tabla1[[#This Row],[Tiempo
(Hrs 00/100)]]*1.16</f>
        <v>#N/A</v>
      </c>
    </row>
    <row r="4398" spans="1:26" ht="30" customHeight="1" x14ac:dyDescent="0.3">
      <c r="A4398" s="106"/>
      <c r="B4398" s="106"/>
      <c r="C4398" s="106"/>
      <c r="D4398" s="106"/>
      <c r="E4398" s="106"/>
      <c r="F4398" s="106"/>
      <c r="G4398" s="106"/>
      <c r="H4398" s="107"/>
      <c r="I4398" s="95"/>
      <c r="J4398" s="706"/>
      <c r="K4398" s="769"/>
      <c r="L4398" s="706"/>
      <c r="M4398" s="781"/>
      <c r="N4398" s="182"/>
      <c r="O4398" s="188"/>
      <c r="P4398" s="221"/>
      <c r="Q4398" s="106"/>
      <c r="R4398" s="108"/>
      <c r="S4398" s="108"/>
      <c r="T4398" s="108"/>
      <c r="U4398" s="108" t="str">
        <f>IFERROR(VLOOKUP(CONCATENATE(Tabla1[[#This Row],[Severidad]]," ",Tabla1[[#This Row],[Complejidad]]),Catalogos!E$120:G$128,3,FALSE),"")</f>
        <v/>
      </c>
      <c r="V4398" s="108" t="str">
        <f>IF(Tabla1[[#This Row],[Tiempo solución max (hrs)]]&lt;&gt;"",IF(Tabla1[[#This Row],[Tiempo solución max (hrs)]]&gt;=Tabla1[[#This Row],[Tiempo
(Hrs 00/100)]],"cumple","no cumple"),"")</f>
        <v/>
      </c>
      <c r="W4398" s="17"/>
      <c r="X4398" s="18">
        <f t="shared" si="258"/>
        <v>0</v>
      </c>
      <c r="Y4398" t="str">
        <f>SUBSTITUTE(Tabla1[[#This Row],[Descripción]],CHAR(10),"    I    ")</f>
        <v/>
      </c>
      <c r="Z4398" s="112" t="e">
        <f>VLOOKUP(Tabla1[[#This Row],[Perfil]],Catalogos!$B$75:$D$100,3,FALSE)*Tabla1[[#This Row],[Tiempo
(Hrs 00/100)]]*1.16</f>
        <v>#N/A</v>
      </c>
    </row>
    <row r="4399" spans="1:26" ht="30" customHeight="1" x14ac:dyDescent="0.3">
      <c r="A4399" s="106"/>
      <c r="B4399" s="106"/>
      <c r="C4399" s="106"/>
      <c r="D4399" s="106"/>
      <c r="E4399" s="106"/>
      <c r="F4399" s="106"/>
      <c r="G4399" s="106"/>
      <c r="H4399" s="107"/>
      <c r="I4399" s="95"/>
      <c r="J4399" s="706"/>
      <c r="K4399" s="769"/>
      <c r="L4399" s="706"/>
      <c r="M4399" s="781"/>
      <c r="N4399" s="182"/>
      <c r="O4399" s="188"/>
      <c r="P4399" s="221"/>
      <c r="Q4399" s="106"/>
      <c r="R4399" s="108"/>
      <c r="S4399" s="108"/>
      <c r="T4399" s="108"/>
      <c r="U4399" s="108" t="str">
        <f>IFERROR(VLOOKUP(CONCATENATE(Tabla1[[#This Row],[Severidad]]," ",Tabla1[[#This Row],[Complejidad]]),Catalogos!E$120:G$128,3,FALSE),"")</f>
        <v/>
      </c>
      <c r="V4399" s="108" t="str">
        <f>IF(Tabla1[[#This Row],[Tiempo solución max (hrs)]]&lt;&gt;"",IF(Tabla1[[#This Row],[Tiempo solución max (hrs)]]&gt;=Tabla1[[#This Row],[Tiempo
(Hrs 00/100)]],"cumple","no cumple"),"")</f>
        <v/>
      </c>
      <c r="W4399" s="17"/>
      <c r="X4399" s="18">
        <f t="shared" si="258"/>
        <v>0</v>
      </c>
      <c r="Y4399" t="str">
        <f>SUBSTITUTE(Tabla1[[#This Row],[Descripción]],CHAR(10),"    I    ")</f>
        <v/>
      </c>
      <c r="Z4399" s="112" t="e">
        <f>VLOOKUP(Tabla1[[#This Row],[Perfil]],Catalogos!$B$75:$D$100,3,FALSE)*Tabla1[[#This Row],[Tiempo
(Hrs 00/100)]]*1.16</f>
        <v>#N/A</v>
      </c>
    </row>
    <row r="4400" spans="1:26" ht="30" customHeight="1" x14ac:dyDescent="0.3">
      <c r="A4400" s="106"/>
      <c r="B4400" s="106"/>
      <c r="C4400" s="106"/>
      <c r="D4400" s="106"/>
      <c r="E4400" s="106"/>
      <c r="F4400" s="106"/>
      <c r="G4400" s="106"/>
      <c r="H4400" s="107"/>
      <c r="I4400" s="95"/>
      <c r="J4400" s="706"/>
      <c r="K4400" s="769"/>
      <c r="L4400" s="706"/>
      <c r="M4400" s="781"/>
      <c r="N4400" s="182"/>
      <c r="O4400" s="188"/>
      <c r="P4400" s="221"/>
      <c r="Q4400" s="106"/>
      <c r="R4400" s="108"/>
      <c r="S4400" s="108"/>
      <c r="T4400" s="108"/>
      <c r="U4400" s="108" t="str">
        <f>IFERROR(VLOOKUP(CONCATENATE(Tabla1[[#This Row],[Severidad]]," ",Tabla1[[#This Row],[Complejidad]]),Catalogos!E$120:G$128,3,FALSE),"")</f>
        <v/>
      </c>
      <c r="V4400" s="108" t="str">
        <f>IF(Tabla1[[#This Row],[Tiempo solución max (hrs)]]&lt;&gt;"",IF(Tabla1[[#This Row],[Tiempo solución max (hrs)]]&gt;=Tabla1[[#This Row],[Tiempo
(Hrs 00/100)]],"cumple","no cumple"),"")</f>
        <v/>
      </c>
      <c r="W4400" s="17"/>
      <c r="X4400" s="18">
        <f t="shared" si="258"/>
        <v>0</v>
      </c>
      <c r="Y4400" t="str">
        <f>SUBSTITUTE(Tabla1[[#This Row],[Descripción]],CHAR(10),"    I    ")</f>
        <v/>
      </c>
      <c r="Z4400" s="112" t="e">
        <f>VLOOKUP(Tabla1[[#This Row],[Perfil]],Catalogos!$B$75:$D$100,3,FALSE)*Tabla1[[#This Row],[Tiempo
(Hrs 00/100)]]*1.16</f>
        <v>#N/A</v>
      </c>
    </row>
    <row r="4401" spans="1:26" ht="30" customHeight="1" x14ac:dyDescent="0.3">
      <c r="A4401" s="106"/>
      <c r="B4401" s="106"/>
      <c r="C4401" s="106"/>
      <c r="D4401" s="106"/>
      <c r="E4401" s="106"/>
      <c r="F4401" s="106"/>
      <c r="G4401" s="106"/>
      <c r="H4401" s="107"/>
      <c r="I4401" s="95"/>
      <c r="J4401" s="706"/>
      <c r="K4401" s="769"/>
      <c r="L4401" s="706"/>
      <c r="M4401" s="781"/>
      <c r="N4401" s="182"/>
      <c r="O4401" s="188"/>
      <c r="P4401" s="221"/>
      <c r="Q4401" s="106"/>
      <c r="R4401" s="108"/>
      <c r="S4401" s="108"/>
      <c r="T4401" s="108"/>
      <c r="U4401" s="108" t="str">
        <f>IFERROR(VLOOKUP(CONCATENATE(Tabla1[[#This Row],[Severidad]]," ",Tabla1[[#This Row],[Complejidad]]),Catalogos!E$120:G$128,3,FALSE),"")</f>
        <v/>
      </c>
      <c r="V4401" s="108" t="str">
        <f>IF(Tabla1[[#This Row],[Tiempo solución max (hrs)]]&lt;&gt;"",IF(Tabla1[[#This Row],[Tiempo solución max (hrs)]]&gt;=Tabla1[[#This Row],[Tiempo
(Hrs 00/100)]],"cumple","no cumple"),"")</f>
        <v/>
      </c>
      <c r="W4401" s="17"/>
      <c r="X4401" s="18">
        <f t="shared" si="258"/>
        <v>0</v>
      </c>
      <c r="Y4401" t="str">
        <f>SUBSTITUTE(Tabla1[[#This Row],[Descripción]],CHAR(10),"    I    ")</f>
        <v/>
      </c>
      <c r="Z4401" s="112" t="e">
        <f>VLOOKUP(Tabla1[[#This Row],[Perfil]],Catalogos!$B$75:$D$100,3,FALSE)*Tabla1[[#This Row],[Tiempo
(Hrs 00/100)]]*1.16</f>
        <v>#N/A</v>
      </c>
    </row>
    <row r="4402" spans="1:26" ht="30" customHeight="1" x14ac:dyDescent="0.3">
      <c r="A4402" s="106"/>
      <c r="B4402" s="106"/>
      <c r="C4402" s="106"/>
      <c r="D4402" s="106"/>
      <c r="E4402" s="106"/>
      <c r="F4402" s="106"/>
      <c r="G4402" s="106"/>
      <c r="H4402" s="107"/>
      <c r="I4402" s="95"/>
      <c r="J4402" s="706"/>
      <c r="K4402" s="769"/>
      <c r="L4402" s="706"/>
      <c r="M4402" s="781"/>
      <c r="N4402" s="182"/>
      <c r="O4402" s="188"/>
      <c r="P4402" s="221"/>
      <c r="Q4402" s="106"/>
      <c r="R4402" s="108"/>
      <c r="S4402" s="108"/>
      <c r="T4402" s="108"/>
      <c r="U4402" s="108" t="str">
        <f>IFERROR(VLOOKUP(CONCATENATE(Tabla1[[#This Row],[Severidad]]," ",Tabla1[[#This Row],[Complejidad]]),Catalogos!E$120:G$128,3,FALSE),"")</f>
        <v/>
      </c>
      <c r="V4402" s="108" t="str">
        <f>IF(Tabla1[[#This Row],[Tiempo solución max (hrs)]]&lt;&gt;"",IF(Tabla1[[#This Row],[Tiempo solución max (hrs)]]&gt;=Tabla1[[#This Row],[Tiempo
(Hrs 00/100)]],"cumple","no cumple"),"")</f>
        <v/>
      </c>
      <c r="W4402" s="17"/>
      <c r="X4402" s="18">
        <f t="shared" si="258"/>
        <v>0</v>
      </c>
      <c r="Y4402" t="str">
        <f>SUBSTITUTE(Tabla1[[#This Row],[Descripción]],CHAR(10),"    I    ")</f>
        <v/>
      </c>
      <c r="Z4402" s="112" t="e">
        <f>VLOOKUP(Tabla1[[#This Row],[Perfil]],Catalogos!$B$75:$D$100,3,FALSE)*Tabla1[[#This Row],[Tiempo
(Hrs 00/100)]]*1.16</f>
        <v>#N/A</v>
      </c>
    </row>
    <row r="4403" spans="1:26" ht="30" customHeight="1" x14ac:dyDescent="0.3">
      <c r="A4403" s="106"/>
      <c r="B4403" s="106"/>
      <c r="C4403" s="106"/>
      <c r="D4403" s="106"/>
      <c r="E4403" s="106"/>
      <c r="F4403" s="106"/>
      <c r="G4403" s="106"/>
      <c r="H4403" s="107"/>
      <c r="I4403" s="95"/>
      <c r="J4403" s="706"/>
      <c r="K4403" s="769"/>
      <c r="L4403" s="706"/>
      <c r="M4403" s="781"/>
      <c r="N4403" s="182"/>
      <c r="O4403" s="188"/>
      <c r="P4403" s="221"/>
      <c r="Q4403" s="106"/>
      <c r="R4403" s="108"/>
      <c r="S4403" s="108"/>
      <c r="T4403" s="108"/>
      <c r="U4403" s="108" t="str">
        <f>IFERROR(VLOOKUP(CONCATENATE(Tabla1[[#This Row],[Severidad]]," ",Tabla1[[#This Row],[Complejidad]]),Catalogos!E$120:G$128,3,FALSE),"")</f>
        <v/>
      </c>
      <c r="V4403" s="108" t="str">
        <f>IF(Tabla1[[#This Row],[Tiempo solución max (hrs)]]&lt;&gt;"",IF(Tabla1[[#This Row],[Tiempo solución max (hrs)]]&gt;=Tabla1[[#This Row],[Tiempo
(Hrs 00/100)]],"cumple","no cumple"),"")</f>
        <v/>
      </c>
      <c r="W4403" s="17"/>
      <c r="X4403" s="18">
        <f t="shared" si="258"/>
        <v>0</v>
      </c>
      <c r="Y4403" t="str">
        <f>SUBSTITUTE(Tabla1[[#This Row],[Descripción]],CHAR(10),"    I    ")</f>
        <v/>
      </c>
      <c r="Z4403" s="112" t="e">
        <f>VLOOKUP(Tabla1[[#This Row],[Perfil]],Catalogos!$B$75:$D$100,3,FALSE)*Tabla1[[#This Row],[Tiempo
(Hrs 00/100)]]*1.16</f>
        <v>#N/A</v>
      </c>
    </row>
    <row r="4404" spans="1:26" ht="30" customHeight="1" x14ac:dyDescent="0.3">
      <c r="A4404" s="106"/>
      <c r="B4404" s="106"/>
      <c r="C4404" s="106"/>
      <c r="D4404" s="106"/>
      <c r="E4404" s="106"/>
      <c r="F4404" s="106"/>
      <c r="G4404" s="106"/>
      <c r="H4404" s="107"/>
      <c r="I4404" s="95"/>
      <c r="J4404" s="706"/>
      <c r="K4404" s="769"/>
      <c r="L4404" s="706"/>
      <c r="M4404" s="781"/>
      <c r="N4404" s="182"/>
      <c r="O4404" s="188"/>
      <c r="P4404" s="221"/>
      <c r="Q4404" s="106"/>
      <c r="R4404" s="108"/>
      <c r="S4404" s="108"/>
      <c r="T4404" s="108"/>
      <c r="U4404" s="108" t="str">
        <f>IFERROR(VLOOKUP(CONCATENATE(Tabla1[[#This Row],[Severidad]]," ",Tabla1[[#This Row],[Complejidad]]),Catalogos!E$120:G$128,3,FALSE),"")</f>
        <v/>
      </c>
      <c r="V4404" s="108" t="str">
        <f>IF(Tabla1[[#This Row],[Tiempo solución max (hrs)]]&lt;&gt;"",IF(Tabla1[[#This Row],[Tiempo solución max (hrs)]]&gt;=Tabla1[[#This Row],[Tiempo
(Hrs 00/100)]],"cumple","no cumple"),"")</f>
        <v/>
      </c>
      <c r="W4404" s="17"/>
      <c r="X4404" s="18">
        <f t="shared" si="258"/>
        <v>0</v>
      </c>
      <c r="Y4404" t="str">
        <f>SUBSTITUTE(Tabla1[[#This Row],[Descripción]],CHAR(10),"    I    ")</f>
        <v/>
      </c>
      <c r="Z4404" s="112" t="e">
        <f>VLOOKUP(Tabla1[[#This Row],[Perfil]],Catalogos!$B$75:$D$100,3,FALSE)*Tabla1[[#This Row],[Tiempo
(Hrs 00/100)]]*1.16</f>
        <v>#N/A</v>
      </c>
    </row>
    <row r="4405" spans="1:26" ht="30" customHeight="1" x14ac:dyDescent="0.3">
      <c r="A4405" s="106"/>
      <c r="B4405" s="106"/>
      <c r="C4405" s="106"/>
      <c r="D4405" s="106"/>
      <c r="E4405" s="106"/>
      <c r="F4405" s="106"/>
      <c r="G4405" s="106"/>
      <c r="H4405" s="107"/>
      <c r="I4405" s="95"/>
      <c r="J4405" s="706"/>
      <c r="K4405" s="769"/>
      <c r="L4405" s="706"/>
      <c r="M4405" s="781"/>
      <c r="N4405" s="182"/>
      <c r="O4405" s="188"/>
      <c r="P4405" s="221"/>
      <c r="Q4405" s="106"/>
      <c r="R4405" s="108"/>
      <c r="S4405" s="108"/>
      <c r="T4405" s="108"/>
      <c r="U4405" s="108" t="str">
        <f>IFERROR(VLOOKUP(CONCATENATE(Tabla1[[#This Row],[Severidad]]," ",Tabla1[[#This Row],[Complejidad]]),Catalogos!E$120:G$128,3,FALSE),"")</f>
        <v/>
      </c>
      <c r="V4405" s="108" t="str">
        <f>IF(Tabla1[[#This Row],[Tiempo solución max (hrs)]]&lt;&gt;"",IF(Tabla1[[#This Row],[Tiempo solución max (hrs)]]&gt;=Tabla1[[#This Row],[Tiempo
(Hrs 00/100)]],"cumple","no cumple"),"")</f>
        <v/>
      </c>
      <c r="W4405" s="17"/>
      <c r="X4405" s="18">
        <f t="shared" si="258"/>
        <v>0</v>
      </c>
      <c r="Y4405" t="str">
        <f>SUBSTITUTE(Tabla1[[#This Row],[Descripción]],CHAR(10),"    I    ")</f>
        <v/>
      </c>
      <c r="Z4405" s="112" t="e">
        <f>VLOOKUP(Tabla1[[#This Row],[Perfil]],Catalogos!$B$75:$D$100,3,FALSE)*Tabla1[[#This Row],[Tiempo
(Hrs 00/100)]]*1.16</f>
        <v>#N/A</v>
      </c>
    </row>
    <row r="4406" spans="1:26" ht="30" customHeight="1" x14ac:dyDescent="0.3">
      <c r="A4406" s="106"/>
      <c r="B4406" s="106"/>
      <c r="C4406" s="106"/>
      <c r="D4406" s="106"/>
      <c r="E4406" s="106"/>
      <c r="F4406" s="106"/>
      <c r="G4406" s="106"/>
      <c r="H4406" s="107"/>
      <c r="I4406" s="95"/>
      <c r="J4406" s="706"/>
      <c r="K4406" s="769"/>
      <c r="L4406" s="706"/>
      <c r="M4406" s="781"/>
      <c r="N4406" s="182"/>
      <c r="O4406" s="188"/>
      <c r="P4406" s="221"/>
      <c r="Q4406" s="106"/>
      <c r="R4406" s="108"/>
      <c r="S4406" s="108"/>
      <c r="T4406" s="108"/>
      <c r="U4406" s="108" t="str">
        <f>IFERROR(VLOOKUP(CONCATENATE(Tabla1[[#This Row],[Severidad]]," ",Tabla1[[#This Row],[Complejidad]]),Catalogos!E$120:G$128,3,FALSE),"")</f>
        <v/>
      </c>
      <c r="V4406" s="108" t="str">
        <f>IF(Tabla1[[#This Row],[Tiempo solución max (hrs)]]&lt;&gt;"",IF(Tabla1[[#This Row],[Tiempo solución max (hrs)]]&gt;=Tabla1[[#This Row],[Tiempo
(Hrs 00/100)]],"cumple","no cumple"),"")</f>
        <v/>
      </c>
      <c r="W4406" s="17"/>
      <c r="X4406" s="18">
        <f t="shared" si="258"/>
        <v>0</v>
      </c>
      <c r="Y4406" t="str">
        <f>SUBSTITUTE(Tabla1[[#This Row],[Descripción]],CHAR(10),"    I    ")</f>
        <v/>
      </c>
      <c r="Z4406" s="112" t="e">
        <f>VLOOKUP(Tabla1[[#This Row],[Perfil]],Catalogos!$B$75:$D$100,3,FALSE)*Tabla1[[#This Row],[Tiempo
(Hrs 00/100)]]*1.16</f>
        <v>#N/A</v>
      </c>
    </row>
    <row r="4407" spans="1:26" ht="30" customHeight="1" x14ac:dyDescent="0.3">
      <c r="A4407" s="106"/>
      <c r="B4407" s="106"/>
      <c r="C4407" s="106"/>
      <c r="D4407" s="106"/>
      <c r="E4407" s="106"/>
      <c r="F4407" s="106"/>
      <c r="G4407" s="106"/>
      <c r="H4407" s="107"/>
      <c r="I4407" s="95"/>
      <c r="J4407" s="706"/>
      <c r="K4407" s="769"/>
      <c r="L4407" s="706"/>
      <c r="M4407" s="781"/>
      <c r="N4407" s="182"/>
      <c r="O4407" s="188"/>
      <c r="P4407" s="221"/>
      <c r="Q4407" s="106"/>
      <c r="R4407" s="108"/>
      <c r="S4407" s="108"/>
      <c r="T4407" s="108"/>
      <c r="U4407" s="108" t="str">
        <f>IFERROR(VLOOKUP(CONCATENATE(Tabla1[[#This Row],[Severidad]]," ",Tabla1[[#This Row],[Complejidad]]),Catalogos!E$120:G$128,3,FALSE),"")</f>
        <v/>
      </c>
      <c r="V4407" s="108" t="str">
        <f>IF(Tabla1[[#This Row],[Tiempo solución max (hrs)]]&lt;&gt;"",IF(Tabla1[[#This Row],[Tiempo solución max (hrs)]]&gt;=Tabla1[[#This Row],[Tiempo
(Hrs 00/100)]],"cumple","no cumple"),"")</f>
        <v/>
      </c>
      <c r="W4407" s="17"/>
      <c r="X4407" s="18">
        <f t="shared" si="258"/>
        <v>0</v>
      </c>
      <c r="Y4407" t="str">
        <f>SUBSTITUTE(Tabla1[[#This Row],[Descripción]],CHAR(10),"    I    ")</f>
        <v/>
      </c>
      <c r="Z4407" s="112" t="e">
        <f>VLOOKUP(Tabla1[[#This Row],[Perfil]],Catalogos!$B$75:$D$100,3,FALSE)*Tabla1[[#This Row],[Tiempo
(Hrs 00/100)]]*1.16</f>
        <v>#N/A</v>
      </c>
    </row>
    <row r="4408" spans="1:26" ht="30" customHeight="1" x14ac:dyDescent="0.3">
      <c r="A4408" s="106"/>
      <c r="B4408" s="106"/>
      <c r="C4408" s="106"/>
      <c r="D4408" s="106"/>
      <c r="E4408" s="106"/>
      <c r="F4408" s="106"/>
      <c r="G4408" s="106"/>
      <c r="H4408" s="107"/>
      <c r="I4408" s="95"/>
      <c r="J4408" s="706"/>
      <c r="K4408" s="769"/>
      <c r="L4408" s="706"/>
      <c r="M4408" s="781"/>
      <c r="N4408" s="182"/>
      <c r="O4408" s="188"/>
      <c r="P4408" s="221"/>
      <c r="Q4408" s="106"/>
      <c r="R4408" s="108"/>
      <c r="S4408" s="108"/>
      <c r="T4408" s="108"/>
      <c r="U4408" s="108" t="str">
        <f>IFERROR(VLOOKUP(CONCATENATE(Tabla1[[#This Row],[Severidad]]," ",Tabla1[[#This Row],[Complejidad]]),Catalogos!E$120:G$128,3,FALSE),"")</f>
        <v/>
      </c>
      <c r="V4408" s="108" t="str">
        <f>IF(Tabla1[[#This Row],[Tiempo solución max (hrs)]]&lt;&gt;"",IF(Tabla1[[#This Row],[Tiempo solución max (hrs)]]&gt;=Tabla1[[#This Row],[Tiempo
(Hrs 00/100)]],"cumple","no cumple"),"")</f>
        <v/>
      </c>
      <c r="W4408" s="17"/>
      <c r="X4408" s="18">
        <f t="shared" si="258"/>
        <v>0</v>
      </c>
      <c r="Y4408" t="str">
        <f>SUBSTITUTE(Tabla1[[#This Row],[Descripción]],CHAR(10),"    I    ")</f>
        <v/>
      </c>
      <c r="Z4408" s="112" t="e">
        <f>VLOOKUP(Tabla1[[#This Row],[Perfil]],Catalogos!$B$75:$D$100,3,FALSE)*Tabla1[[#This Row],[Tiempo
(Hrs 00/100)]]*1.16</f>
        <v>#N/A</v>
      </c>
    </row>
    <row r="4409" spans="1:26" ht="30" customHeight="1" x14ac:dyDescent="0.3">
      <c r="A4409" s="106"/>
      <c r="B4409" s="106"/>
      <c r="C4409" s="106"/>
      <c r="D4409" s="106"/>
      <c r="E4409" s="106"/>
      <c r="F4409" s="106"/>
      <c r="G4409" s="106"/>
      <c r="H4409" s="107"/>
      <c r="I4409" s="95"/>
      <c r="J4409" s="706"/>
      <c r="K4409" s="769"/>
      <c r="L4409" s="706"/>
      <c r="M4409" s="781"/>
      <c r="N4409" s="182"/>
      <c r="O4409" s="188"/>
      <c r="P4409" s="221"/>
      <c r="Q4409" s="106"/>
      <c r="R4409" s="108"/>
      <c r="S4409" s="108"/>
      <c r="T4409" s="108"/>
      <c r="U4409" s="108" t="str">
        <f>IFERROR(VLOOKUP(CONCATENATE(Tabla1[[#This Row],[Severidad]]," ",Tabla1[[#This Row],[Complejidad]]),Catalogos!E$120:G$128,3,FALSE),"")</f>
        <v/>
      </c>
      <c r="V4409" s="108" t="str">
        <f>IF(Tabla1[[#This Row],[Tiempo solución max (hrs)]]&lt;&gt;"",IF(Tabla1[[#This Row],[Tiempo solución max (hrs)]]&gt;=Tabla1[[#This Row],[Tiempo
(Hrs 00/100)]],"cumple","no cumple"),"")</f>
        <v/>
      </c>
      <c r="W4409" s="17"/>
      <c r="X4409" s="18">
        <f t="shared" si="258"/>
        <v>0</v>
      </c>
      <c r="Y4409" t="str">
        <f>SUBSTITUTE(Tabla1[[#This Row],[Descripción]],CHAR(10),"    I    ")</f>
        <v/>
      </c>
      <c r="Z4409" s="112" t="e">
        <f>VLOOKUP(Tabla1[[#This Row],[Perfil]],Catalogos!$B$75:$D$100,3,FALSE)*Tabla1[[#This Row],[Tiempo
(Hrs 00/100)]]*1.16</f>
        <v>#N/A</v>
      </c>
    </row>
    <row r="4410" spans="1:26" ht="30" customHeight="1" x14ac:dyDescent="0.3">
      <c r="A4410" s="106"/>
      <c r="B4410" s="106"/>
      <c r="C4410" s="106"/>
      <c r="D4410" s="106"/>
      <c r="E4410" s="106"/>
      <c r="F4410" s="106"/>
      <c r="G4410" s="106"/>
      <c r="H4410" s="107"/>
      <c r="I4410" s="95"/>
      <c r="J4410" s="706"/>
      <c r="K4410" s="769"/>
      <c r="L4410" s="706"/>
      <c r="M4410" s="781"/>
      <c r="N4410" s="182"/>
      <c r="O4410" s="188"/>
      <c r="P4410" s="221"/>
      <c r="Q4410" s="106"/>
      <c r="R4410" s="108"/>
      <c r="S4410" s="108"/>
      <c r="T4410" s="108"/>
      <c r="U4410" s="108" t="str">
        <f>IFERROR(VLOOKUP(CONCATENATE(Tabla1[[#This Row],[Severidad]]," ",Tabla1[[#This Row],[Complejidad]]),Catalogos!E$120:G$128,3,FALSE),"")</f>
        <v/>
      </c>
      <c r="V4410" s="108" t="str">
        <f>IF(Tabla1[[#This Row],[Tiempo solución max (hrs)]]&lt;&gt;"",IF(Tabla1[[#This Row],[Tiempo solución max (hrs)]]&gt;=Tabla1[[#This Row],[Tiempo
(Hrs 00/100)]],"cumple","no cumple"),"")</f>
        <v/>
      </c>
      <c r="W4410" s="17"/>
      <c r="X4410" s="18">
        <f t="shared" si="258"/>
        <v>0</v>
      </c>
      <c r="Y4410" t="str">
        <f>SUBSTITUTE(Tabla1[[#This Row],[Descripción]],CHAR(10),"    I    ")</f>
        <v/>
      </c>
      <c r="Z4410" s="112" t="e">
        <f>VLOOKUP(Tabla1[[#This Row],[Perfil]],Catalogos!$B$75:$D$100,3,FALSE)*Tabla1[[#This Row],[Tiempo
(Hrs 00/100)]]*1.16</f>
        <v>#N/A</v>
      </c>
    </row>
    <row r="4411" spans="1:26" ht="30" customHeight="1" x14ac:dyDescent="0.3">
      <c r="A4411" s="106"/>
      <c r="B4411" s="106"/>
      <c r="C4411" s="106"/>
      <c r="D4411" s="106"/>
      <c r="E4411" s="106"/>
      <c r="F4411" s="106"/>
      <c r="G4411" s="106"/>
      <c r="H4411" s="107"/>
      <c r="I4411" s="95"/>
      <c r="J4411" s="706"/>
      <c r="K4411" s="769"/>
      <c r="L4411" s="706"/>
      <c r="M4411" s="781"/>
      <c r="N4411" s="182"/>
      <c r="O4411" s="188"/>
      <c r="P4411" s="221"/>
      <c r="Q4411" s="106"/>
      <c r="R4411" s="108"/>
      <c r="S4411" s="108"/>
      <c r="T4411" s="108"/>
      <c r="U4411" s="108" t="str">
        <f>IFERROR(VLOOKUP(CONCATENATE(Tabla1[[#This Row],[Severidad]]," ",Tabla1[[#This Row],[Complejidad]]),Catalogos!E$120:G$128,3,FALSE),"")</f>
        <v/>
      </c>
      <c r="V4411" s="108" t="str">
        <f>IF(Tabla1[[#This Row],[Tiempo solución max (hrs)]]&lt;&gt;"",IF(Tabla1[[#This Row],[Tiempo solución max (hrs)]]&gt;=Tabla1[[#This Row],[Tiempo
(Hrs 00/100)]],"cumple","no cumple"),"")</f>
        <v/>
      </c>
      <c r="W4411" s="17"/>
      <c r="X4411" s="18">
        <f t="shared" si="258"/>
        <v>0</v>
      </c>
      <c r="Y4411" t="str">
        <f>SUBSTITUTE(Tabla1[[#This Row],[Descripción]],CHAR(10),"    I    ")</f>
        <v/>
      </c>
      <c r="Z4411" s="112" t="e">
        <f>VLOOKUP(Tabla1[[#This Row],[Perfil]],Catalogos!$B$75:$D$100,3,FALSE)*Tabla1[[#This Row],[Tiempo
(Hrs 00/100)]]*1.16</f>
        <v>#N/A</v>
      </c>
    </row>
    <row r="4412" spans="1:26" ht="30" customHeight="1" x14ac:dyDescent="0.3">
      <c r="A4412" s="106"/>
      <c r="B4412" s="106"/>
      <c r="C4412" s="106"/>
      <c r="D4412" s="106"/>
      <c r="E4412" s="106"/>
      <c r="F4412" s="106"/>
      <c r="G4412" s="106"/>
      <c r="H4412" s="107"/>
      <c r="I4412" s="95"/>
      <c r="J4412" s="706"/>
      <c r="K4412" s="769"/>
      <c r="L4412" s="706"/>
      <c r="M4412" s="781"/>
      <c r="N4412" s="182"/>
      <c r="O4412" s="188"/>
      <c r="P4412" s="221"/>
      <c r="Q4412" s="106"/>
      <c r="R4412" s="108"/>
      <c r="S4412" s="108"/>
      <c r="T4412" s="108"/>
      <c r="U4412" s="108" t="str">
        <f>IFERROR(VLOOKUP(CONCATENATE(Tabla1[[#This Row],[Severidad]]," ",Tabla1[[#This Row],[Complejidad]]),Catalogos!E$120:G$128,3,FALSE),"")</f>
        <v/>
      </c>
      <c r="V4412" s="108" t="str">
        <f>IF(Tabla1[[#This Row],[Tiempo solución max (hrs)]]&lt;&gt;"",IF(Tabla1[[#This Row],[Tiempo solución max (hrs)]]&gt;=Tabla1[[#This Row],[Tiempo
(Hrs 00/100)]],"cumple","no cumple"),"")</f>
        <v/>
      </c>
      <c r="W4412" s="17"/>
      <c r="X4412" s="18">
        <f t="shared" si="258"/>
        <v>0</v>
      </c>
      <c r="Y4412" t="str">
        <f>SUBSTITUTE(Tabla1[[#This Row],[Descripción]],CHAR(10),"    I    ")</f>
        <v/>
      </c>
      <c r="Z4412" s="112" t="e">
        <f>VLOOKUP(Tabla1[[#This Row],[Perfil]],Catalogos!$B$75:$D$100,3,FALSE)*Tabla1[[#This Row],[Tiempo
(Hrs 00/100)]]*1.16</f>
        <v>#N/A</v>
      </c>
    </row>
    <row r="4413" spans="1:26" ht="30" customHeight="1" x14ac:dyDescent="0.3">
      <c r="A4413" s="106"/>
      <c r="B4413" s="106"/>
      <c r="C4413" s="106"/>
      <c r="D4413" s="106"/>
      <c r="E4413" s="106"/>
      <c r="F4413" s="106"/>
      <c r="G4413" s="106"/>
      <c r="H4413" s="107"/>
      <c r="I4413" s="95"/>
      <c r="J4413" s="706"/>
      <c r="K4413" s="769"/>
      <c r="L4413" s="706"/>
      <c r="M4413" s="781"/>
      <c r="N4413" s="182"/>
      <c r="O4413" s="188"/>
      <c r="P4413" s="221"/>
      <c r="Q4413" s="106"/>
      <c r="R4413" s="108"/>
      <c r="S4413" s="108"/>
      <c r="T4413" s="108"/>
      <c r="U4413" s="108" t="str">
        <f>IFERROR(VLOOKUP(CONCATENATE(Tabla1[[#This Row],[Severidad]]," ",Tabla1[[#This Row],[Complejidad]]),Catalogos!E$120:G$128,3,FALSE),"")</f>
        <v/>
      </c>
      <c r="V4413" s="108" t="str">
        <f>IF(Tabla1[[#This Row],[Tiempo solución max (hrs)]]&lt;&gt;"",IF(Tabla1[[#This Row],[Tiempo solución max (hrs)]]&gt;=Tabla1[[#This Row],[Tiempo
(Hrs 00/100)]],"cumple","no cumple"),"")</f>
        <v/>
      </c>
      <c r="W4413" s="17"/>
      <c r="X4413" s="18">
        <f t="shared" si="258"/>
        <v>0</v>
      </c>
      <c r="Y4413" t="str">
        <f>SUBSTITUTE(Tabla1[[#This Row],[Descripción]],CHAR(10),"    I    ")</f>
        <v/>
      </c>
      <c r="Z4413" s="112" t="e">
        <f>VLOOKUP(Tabla1[[#This Row],[Perfil]],Catalogos!$B$75:$D$100,3,FALSE)*Tabla1[[#This Row],[Tiempo
(Hrs 00/100)]]*1.16</f>
        <v>#N/A</v>
      </c>
    </row>
    <row r="4414" spans="1:26" ht="30" customHeight="1" x14ac:dyDescent="0.3">
      <c r="A4414" s="106"/>
      <c r="B4414" s="106"/>
      <c r="C4414" s="106"/>
      <c r="D4414" s="106"/>
      <c r="E4414" s="106"/>
      <c r="F4414" s="106"/>
      <c r="G4414" s="106"/>
      <c r="H4414" s="107"/>
      <c r="I4414" s="95"/>
      <c r="J4414" s="706"/>
      <c r="K4414" s="769"/>
      <c r="L4414" s="706"/>
      <c r="M4414" s="781"/>
      <c r="N4414" s="182"/>
      <c r="O4414" s="188"/>
      <c r="P4414" s="221"/>
      <c r="Q4414" s="106"/>
      <c r="R4414" s="108"/>
      <c r="S4414" s="108"/>
      <c r="T4414" s="108"/>
      <c r="U4414" s="108" t="str">
        <f>IFERROR(VLOOKUP(CONCATENATE(Tabla1[[#This Row],[Severidad]]," ",Tabla1[[#This Row],[Complejidad]]),Catalogos!E$120:G$128,3,FALSE),"")</f>
        <v/>
      </c>
      <c r="V4414" s="108" t="str">
        <f>IF(Tabla1[[#This Row],[Tiempo solución max (hrs)]]&lt;&gt;"",IF(Tabla1[[#This Row],[Tiempo solución max (hrs)]]&gt;=Tabla1[[#This Row],[Tiempo
(Hrs 00/100)]],"cumple","no cumple"),"")</f>
        <v/>
      </c>
      <c r="W4414" s="17"/>
      <c r="X4414" s="18">
        <f t="shared" si="258"/>
        <v>0</v>
      </c>
      <c r="Y4414" t="str">
        <f>SUBSTITUTE(Tabla1[[#This Row],[Descripción]],CHAR(10),"    I    ")</f>
        <v/>
      </c>
      <c r="Z4414" s="112" t="e">
        <f>VLOOKUP(Tabla1[[#This Row],[Perfil]],Catalogos!$B$75:$D$100,3,FALSE)*Tabla1[[#This Row],[Tiempo
(Hrs 00/100)]]*1.16</f>
        <v>#N/A</v>
      </c>
    </row>
    <row r="4415" spans="1:26" ht="30" customHeight="1" x14ac:dyDescent="0.3">
      <c r="A4415" s="106"/>
      <c r="B4415" s="106"/>
      <c r="C4415" s="106"/>
      <c r="D4415" s="106"/>
      <c r="E4415" s="106"/>
      <c r="F4415" s="106"/>
      <c r="G4415" s="106"/>
      <c r="H4415" s="107"/>
      <c r="I4415" s="95"/>
      <c r="J4415" s="706"/>
      <c r="K4415" s="769"/>
      <c r="L4415" s="706"/>
      <c r="M4415" s="781"/>
      <c r="N4415" s="182"/>
      <c r="O4415" s="188"/>
      <c r="P4415" s="221"/>
      <c r="Q4415" s="106"/>
      <c r="R4415" s="108"/>
      <c r="S4415" s="108"/>
      <c r="T4415" s="108"/>
      <c r="U4415" s="108" t="str">
        <f>IFERROR(VLOOKUP(CONCATENATE(Tabla1[[#This Row],[Severidad]]," ",Tabla1[[#This Row],[Complejidad]]),Catalogos!E$120:G$128,3,FALSE),"")</f>
        <v/>
      </c>
      <c r="V4415" s="108" t="str">
        <f>IF(Tabla1[[#This Row],[Tiempo solución max (hrs)]]&lt;&gt;"",IF(Tabla1[[#This Row],[Tiempo solución max (hrs)]]&gt;=Tabla1[[#This Row],[Tiempo
(Hrs 00/100)]],"cumple","no cumple"),"")</f>
        <v/>
      </c>
      <c r="W4415" s="17"/>
      <c r="X4415" s="18">
        <f t="shared" si="258"/>
        <v>0</v>
      </c>
      <c r="Y4415" t="str">
        <f>SUBSTITUTE(Tabla1[[#This Row],[Descripción]],CHAR(10),"    I    ")</f>
        <v/>
      </c>
      <c r="Z4415" s="112" t="e">
        <f>VLOOKUP(Tabla1[[#This Row],[Perfil]],Catalogos!$B$75:$D$100,3,FALSE)*Tabla1[[#This Row],[Tiempo
(Hrs 00/100)]]*1.16</f>
        <v>#N/A</v>
      </c>
    </row>
    <row r="4416" spans="1:26" ht="30" customHeight="1" x14ac:dyDescent="0.3">
      <c r="A4416" s="106"/>
      <c r="B4416" s="106"/>
      <c r="C4416" s="106"/>
      <c r="D4416" s="106"/>
      <c r="E4416" s="106"/>
      <c r="F4416" s="106"/>
      <c r="G4416" s="106"/>
      <c r="H4416" s="107"/>
      <c r="I4416" s="95"/>
      <c r="J4416" s="706"/>
      <c r="K4416" s="769"/>
      <c r="L4416" s="706"/>
      <c r="M4416" s="781"/>
      <c r="N4416" s="182"/>
      <c r="O4416" s="188"/>
      <c r="P4416" s="221"/>
      <c r="Q4416" s="106"/>
      <c r="R4416" s="108"/>
      <c r="S4416" s="108"/>
      <c r="T4416" s="108"/>
      <c r="U4416" s="108" t="str">
        <f>IFERROR(VLOOKUP(CONCATENATE(Tabla1[[#This Row],[Severidad]]," ",Tabla1[[#This Row],[Complejidad]]),Catalogos!E$120:G$128,3,FALSE),"")</f>
        <v/>
      </c>
      <c r="V4416" s="108" t="str">
        <f>IF(Tabla1[[#This Row],[Tiempo solución max (hrs)]]&lt;&gt;"",IF(Tabla1[[#This Row],[Tiempo solución max (hrs)]]&gt;=Tabla1[[#This Row],[Tiempo
(Hrs 00/100)]],"cumple","no cumple"),"")</f>
        <v/>
      </c>
      <c r="W4416" s="17"/>
      <c r="X4416" s="18">
        <f t="shared" si="258"/>
        <v>0</v>
      </c>
      <c r="Y4416" t="str">
        <f>SUBSTITUTE(Tabla1[[#This Row],[Descripción]],CHAR(10),"    I    ")</f>
        <v/>
      </c>
      <c r="Z4416" s="112" t="e">
        <f>VLOOKUP(Tabla1[[#This Row],[Perfil]],Catalogos!$B$75:$D$100,3,FALSE)*Tabla1[[#This Row],[Tiempo
(Hrs 00/100)]]*1.16</f>
        <v>#N/A</v>
      </c>
    </row>
    <row r="4417" spans="1:26" ht="30" customHeight="1" x14ac:dyDescent="0.3">
      <c r="A4417" s="106"/>
      <c r="B4417" s="106"/>
      <c r="C4417" s="106"/>
      <c r="D4417" s="106"/>
      <c r="E4417" s="106"/>
      <c r="F4417" s="106"/>
      <c r="G4417" s="106"/>
      <c r="H4417" s="107"/>
      <c r="I4417" s="95"/>
      <c r="J4417" s="706"/>
      <c r="K4417" s="769"/>
      <c r="L4417" s="706"/>
      <c r="M4417" s="781"/>
      <c r="N4417" s="182"/>
      <c r="O4417" s="188"/>
      <c r="P4417" s="221"/>
      <c r="Q4417" s="106"/>
      <c r="R4417" s="108"/>
      <c r="S4417" s="108"/>
      <c r="T4417" s="108"/>
      <c r="U4417" s="108" t="str">
        <f>IFERROR(VLOOKUP(CONCATENATE(Tabla1[[#This Row],[Severidad]]," ",Tabla1[[#This Row],[Complejidad]]),Catalogos!E$120:G$128,3,FALSE),"")</f>
        <v/>
      </c>
      <c r="V4417" s="108" t="str">
        <f>IF(Tabla1[[#This Row],[Tiempo solución max (hrs)]]&lt;&gt;"",IF(Tabla1[[#This Row],[Tiempo solución max (hrs)]]&gt;=Tabla1[[#This Row],[Tiempo
(Hrs 00/100)]],"cumple","no cumple"),"")</f>
        <v/>
      </c>
      <c r="W4417" s="17"/>
      <c r="X4417" s="18">
        <f t="shared" si="258"/>
        <v>0</v>
      </c>
      <c r="Y4417" t="str">
        <f>SUBSTITUTE(Tabla1[[#This Row],[Descripción]],CHAR(10),"    I    ")</f>
        <v/>
      </c>
      <c r="Z4417" s="112" t="e">
        <f>VLOOKUP(Tabla1[[#This Row],[Perfil]],Catalogos!$B$75:$D$100,3,FALSE)*Tabla1[[#This Row],[Tiempo
(Hrs 00/100)]]*1.16</f>
        <v>#N/A</v>
      </c>
    </row>
    <row r="4418" spans="1:26" ht="30" customHeight="1" x14ac:dyDescent="0.3">
      <c r="A4418" s="106"/>
      <c r="B4418" s="106"/>
      <c r="C4418" s="106"/>
      <c r="D4418" s="106"/>
      <c r="E4418" s="106"/>
      <c r="F4418" s="106"/>
      <c r="G4418" s="106"/>
      <c r="H4418" s="107"/>
      <c r="I4418" s="95"/>
      <c r="J4418" s="706"/>
      <c r="K4418" s="769"/>
      <c r="L4418" s="706"/>
      <c r="M4418" s="781"/>
      <c r="N4418" s="182"/>
      <c r="O4418" s="188"/>
      <c r="P4418" s="221"/>
      <c r="Q4418" s="106"/>
      <c r="R4418" s="108"/>
      <c r="S4418" s="108"/>
      <c r="T4418" s="108"/>
      <c r="U4418" s="108" t="str">
        <f>IFERROR(VLOOKUP(CONCATENATE(Tabla1[[#This Row],[Severidad]]," ",Tabla1[[#This Row],[Complejidad]]),Catalogos!E$120:G$128,3,FALSE),"")</f>
        <v/>
      </c>
      <c r="V4418" s="108" t="str">
        <f>IF(Tabla1[[#This Row],[Tiempo solución max (hrs)]]&lt;&gt;"",IF(Tabla1[[#This Row],[Tiempo solución max (hrs)]]&gt;=Tabla1[[#This Row],[Tiempo
(Hrs 00/100)]],"cumple","no cumple"),"")</f>
        <v/>
      </c>
      <c r="W4418" s="17"/>
      <c r="X4418" s="18">
        <f t="shared" si="258"/>
        <v>0</v>
      </c>
      <c r="Y4418" t="str">
        <f>SUBSTITUTE(Tabla1[[#This Row],[Descripción]],CHAR(10),"    I    ")</f>
        <v/>
      </c>
      <c r="Z4418" s="112" t="e">
        <f>VLOOKUP(Tabla1[[#This Row],[Perfil]],Catalogos!$B$75:$D$100,3,FALSE)*Tabla1[[#This Row],[Tiempo
(Hrs 00/100)]]*1.16</f>
        <v>#N/A</v>
      </c>
    </row>
    <row r="4419" spans="1:26" ht="30" customHeight="1" x14ac:dyDescent="0.3">
      <c r="A4419" s="106"/>
      <c r="B4419" s="106"/>
      <c r="C4419" s="106"/>
      <c r="D4419" s="106"/>
      <c r="E4419" s="106"/>
      <c r="F4419" s="106"/>
      <c r="G4419" s="106"/>
      <c r="H4419" s="107"/>
      <c r="I4419" s="95"/>
      <c r="J4419" s="706"/>
      <c r="K4419" s="769"/>
      <c r="L4419" s="706"/>
      <c r="M4419" s="781"/>
      <c r="N4419" s="182"/>
      <c r="O4419" s="188"/>
      <c r="P4419" s="221"/>
      <c r="Q4419" s="106"/>
      <c r="R4419" s="108"/>
      <c r="S4419" s="108"/>
      <c r="T4419" s="108"/>
      <c r="U4419" s="108" t="str">
        <f>IFERROR(VLOOKUP(CONCATENATE(Tabla1[[#This Row],[Severidad]]," ",Tabla1[[#This Row],[Complejidad]]),Catalogos!E$120:G$128,3,FALSE),"")</f>
        <v/>
      </c>
      <c r="V4419" s="108" t="str">
        <f>IF(Tabla1[[#This Row],[Tiempo solución max (hrs)]]&lt;&gt;"",IF(Tabla1[[#This Row],[Tiempo solución max (hrs)]]&gt;=Tabla1[[#This Row],[Tiempo
(Hrs 00/100)]],"cumple","no cumple"),"")</f>
        <v/>
      </c>
      <c r="W4419" s="17"/>
      <c r="X4419" s="18">
        <f t="shared" ref="X4419:X4482" si="259">IF(C4419&lt;&gt;"",C4419,D4419)</f>
        <v>0</v>
      </c>
      <c r="Y4419" t="str">
        <f>SUBSTITUTE(Tabla1[[#This Row],[Descripción]],CHAR(10),"    I    ")</f>
        <v/>
      </c>
      <c r="Z4419" s="112" t="e">
        <f>VLOOKUP(Tabla1[[#This Row],[Perfil]],Catalogos!$B$75:$D$100,3,FALSE)*Tabla1[[#This Row],[Tiempo
(Hrs 00/100)]]*1.16</f>
        <v>#N/A</v>
      </c>
    </row>
    <row r="4420" spans="1:26" ht="30" customHeight="1" x14ac:dyDescent="0.3">
      <c r="A4420" s="106"/>
      <c r="B4420" s="106"/>
      <c r="C4420" s="106"/>
      <c r="D4420" s="106"/>
      <c r="E4420" s="106"/>
      <c r="F4420" s="106"/>
      <c r="G4420" s="106"/>
      <c r="H4420" s="107"/>
      <c r="I4420" s="95"/>
      <c r="J4420" s="706"/>
      <c r="K4420" s="769"/>
      <c r="L4420" s="706"/>
      <c r="M4420" s="781"/>
      <c r="N4420" s="182"/>
      <c r="O4420" s="188"/>
      <c r="P4420" s="221"/>
      <c r="Q4420" s="106"/>
      <c r="R4420" s="108"/>
      <c r="S4420" s="108"/>
      <c r="T4420" s="108"/>
      <c r="U4420" s="108" t="str">
        <f>IFERROR(VLOOKUP(CONCATENATE(Tabla1[[#This Row],[Severidad]]," ",Tabla1[[#This Row],[Complejidad]]),Catalogos!E$120:G$128,3,FALSE),"")</f>
        <v/>
      </c>
      <c r="V4420" s="108" t="str">
        <f>IF(Tabla1[[#This Row],[Tiempo solución max (hrs)]]&lt;&gt;"",IF(Tabla1[[#This Row],[Tiempo solución max (hrs)]]&gt;=Tabla1[[#This Row],[Tiempo
(Hrs 00/100)]],"cumple","no cumple"),"")</f>
        <v/>
      </c>
      <c r="W4420" s="17"/>
      <c r="X4420" s="18">
        <f t="shared" si="259"/>
        <v>0</v>
      </c>
      <c r="Y4420" t="str">
        <f>SUBSTITUTE(Tabla1[[#This Row],[Descripción]],CHAR(10),"    I    ")</f>
        <v/>
      </c>
      <c r="Z4420" s="112" t="e">
        <f>VLOOKUP(Tabla1[[#This Row],[Perfil]],Catalogos!$B$75:$D$100,3,FALSE)*Tabla1[[#This Row],[Tiempo
(Hrs 00/100)]]*1.16</f>
        <v>#N/A</v>
      </c>
    </row>
    <row r="4421" spans="1:26" ht="30" customHeight="1" x14ac:dyDescent="0.3">
      <c r="A4421" s="106"/>
      <c r="B4421" s="106"/>
      <c r="C4421" s="106"/>
      <c r="D4421" s="106"/>
      <c r="E4421" s="106"/>
      <c r="F4421" s="106"/>
      <c r="G4421" s="106"/>
      <c r="H4421" s="107"/>
      <c r="I4421" s="95"/>
      <c r="J4421" s="706"/>
      <c r="K4421" s="769"/>
      <c r="L4421" s="706"/>
      <c r="M4421" s="781"/>
      <c r="N4421" s="182"/>
      <c r="O4421" s="188"/>
      <c r="P4421" s="221"/>
      <c r="Q4421" s="106"/>
      <c r="R4421" s="108"/>
      <c r="S4421" s="108"/>
      <c r="T4421" s="108"/>
      <c r="U4421" s="108" t="str">
        <f>IFERROR(VLOOKUP(CONCATENATE(Tabla1[[#This Row],[Severidad]]," ",Tabla1[[#This Row],[Complejidad]]),Catalogos!E$120:G$128,3,FALSE),"")</f>
        <v/>
      </c>
      <c r="V4421" s="108" t="str">
        <f>IF(Tabla1[[#This Row],[Tiempo solución max (hrs)]]&lt;&gt;"",IF(Tabla1[[#This Row],[Tiempo solución max (hrs)]]&gt;=Tabla1[[#This Row],[Tiempo
(Hrs 00/100)]],"cumple","no cumple"),"")</f>
        <v/>
      </c>
      <c r="W4421" s="17"/>
      <c r="X4421" s="18">
        <f t="shared" si="259"/>
        <v>0</v>
      </c>
      <c r="Y4421" t="str">
        <f>SUBSTITUTE(Tabla1[[#This Row],[Descripción]],CHAR(10),"    I    ")</f>
        <v/>
      </c>
      <c r="Z4421" s="112" t="e">
        <f>VLOOKUP(Tabla1[[#This Row],[Perfil]],Catalogos!$B$75:$D$100,3,FALSE)*Tabla1[[#This Row],[Tiempo
(Hrs 00/100)]]*1.16</f>
        <v>#N/A</v>
      </c>
    </row>
    <row r="4422" spans="1:26" ht="30" customHeight="1" x14ac:dyDescent="0.3">
      <c r="A4422" s="106"/>
      <c r="B4422" s="106"/>
      <c r="C4422" s="106"/>
      <c r="D4422" s="106"/>
      <c r="E4422" s="106"/>
      <c r="F4422" s="106"/>
      <c r="G4422" s="106"/>
      <c r="H4422" s="107"/>
      <c r="I4422" s="95"/>
      <c r="J4422" s="706"/>
      <c r="K4422" s="769"/>
      <c r="L4422" s="706"/>
      <c r="M4422" s="781"/>
      <c r="N4422" s="182"/>
      <c r="O4422" s="188"/>
      <c r="P4422" s="221"/>
      <c r="Q4422" s="106"/>
      <c r="R4422" s="108"/>
      <c r="S4422" s="108"/>
      <c r="T4422" s="108"/>
      <c r="U4422" s="108" t="str">
        <f>IFERROR(VLOOKUP(CONCATENATE(Tabla1[[#This Row],[Severidad]]," ",Tabla1[[#This Row],[Complejidad]]),Catalogos!E$120:G$128,3,FALSE),"")</f>
        <v/>
      </c>
      <c r="V4422" s="108" t="str">
        <f>IF(Tabla1[[#This Row],[Tiempo solución max (hrs)]]&lt;&gt;"",IF(Tabla1[[#This Row],[Tiempo solución max (hrs)]]&gt;=Tabla1[[#This Row],[Tiempo
(Hrs 00/100)]],"cumple","no cumple"),"")</f>
        <v/>
      </c>
      <c r="W4422" s="17"/>
      <c r="X4422" s="18">
        <f t="shared" si="259"/>
        <v>0</v>
      </c>
      <c r="Y4422" t="str">
        <f>SUBSTITUTE(Tabla1[[#This Row],[Descripción]],CHAR(10),"    I    ")</f>
        <v/>
      </c>
      <c r="Z4422" s="112" t="e">
        <f>VLOOKUP(Tabla1[[#This Row],[Perfil]],Catalogos!$B$75:$D$100,3,FALSE)*Tabla1[[#This Row],[Tiempo
(Hrs 00/100)]]*1.16</f>
        <v>#N/A</v>
      </c>
    </row>
    <row r="4423" spans="1:26" ht="30" customHeight="1" x14ac:dyDescent="0.3">
      <c r="A4423" s="106"/>
      <c r="B4423" s="106"/>
      <c r="C4423" s="106"/>
      <c r="D4423" s="106"/>
      <c r="E4423" s="106"/>
      <c r="F4423" s="106"/>
      <c r="G4423" s="106"/>
      <c r="H4423" s="107"/>
      <c r="I4423" s="95"/>
      <c r="J4423" s="706"/>
      <c r="K4423" s="769"/>
      <c r="L4423" s="706"/>
      <c r="M4423" s="781"/>
      <c r="N4423" s="182"/>
      <c r="O4423" s="188"/>
      <c r="P4423" s="221"/>
      <c r="Q4423" s="106"/>
      <c r="R4423" s="108"/>
      <c r="S4423" s="108"/>
      <c r="T4423" s="108"/>
      <c r="U4423" s="108" t="str">
        <f>IFERROR(VLOOKUP(CONCATENATE(Tabla1[[#This Row],[Severidad]]," ",Tabla1[[#This Row],[Complejidad]]),Catalogos!E$120:G$128,3,FALSE),"")</f>
        <v/>
      </c>
      <c r="V4423" s="108" t="str">
        <f>IF(Tabla1[[#This Row],[Tiempo solución max (hrs)]]&lt;&gt;"",IF(Tabla1[[#This Row],[Tiempo solución max (hrs)]]&gt;=Tabla1[[#This Row],[Tiempo
(Hrs 00/100)]],"cumple","no cumple"),"")</f>
        <v/>
      </c>
      <c r="W4423" s="17"/>
      <c r="X4423" s="18">
        <f t="shared" si="259"/>
        <v>0</v>
      </c>
      <c r="Y4423" t="str">
        <f>SUBSTITUTE(Tabla1[[#This Row],[Descripción]],CHAR(10),"    I    ")</f>
        <v/>
      </c>
      <c r="Z4423" s="112" t="e">
        <f>VLOOKUP(Tabla1[[#This Row],[Perfil]],Catalogos!$B$75:$D$100,3,FALSE)*Tabla1[[#This Row],[Tiempo
(Hrs 00/100)]]*1.16</f>
        <v>#N/A</v>
      </c>
    </row>
    <row r="4424" spans="1:26" ht="30" customHeight="1" x14ac:dyDescent="0.3">
      <c r="A4424" s="106"/>
      <c r="B4424" s="106"/>
      <c r="C4424" s="106"/>
      <c r="D4424" s="106"/>
      <c r="E4424" s="106"/>
      <c r="F4424" s="106"/>
      <c r="G4424" s="106"/>
      <c r="H4424" s="107"/>
      <c r="I4424" s="95"/>
      <c r="J4424" s="706"/>
      <c r="K4424" s="769"/>
      <c r="L4424" s="706"/>
      <c r="M4424" s="781"/>
      <c r="N4424" s="182"/>
      <c r="O4424" s="188"/>
      <c r="P4424" s="221"/>
      <c r="Q4424" s="106"/>
      <c r="R4424" s="108"/>
      <c r="S4424" s="108"/>
      <c r="T4424" s="108"/>
      <c r="U4424" s="108" t="str">
        <f>IFERROR(VLOOKUP(CONCATENATE(Tabla1[[#This Row],[Severidad]]," ",Tabla1[[#This Row],[Complejidad]]),Catalogos!E$120:G$128,3,FALSE),"")</f>
        <v/>
      </c>
      <c r="V4424" s="108" t="str">
        <f>IF(Tabla1[[#This Row],[Tiempo solución max (hrs)]]&lt;&gt;"",IF(Tabla1[[#This Row],[Tiempo solución max (hrs)]]&gt;=Tabla1[[#This Row],[Tiempo
(Hrs 00/100)]],"cumple","no cumple"),"")</f>
        <v/>
      </c>
      <c r="W4424" s="17"/>
      <c r="X4424" s="18">
        <f t="shared" si="259"/>
        <v>0</v>
      </c>
      <c r="Y4424" t="str">
        <f>SUBSTITUTE(Tabla1[[#This Row],[Descripción]],CHAR(10),"    I    ")</f>
        <v/>
      </c>
      <c r="Z4424" s="112" t="e">
        <f>VLOOKUP(Tabla1[[#This Row],[Perfil]],Catalogos!$B$75:$D$100,3,FALSE)*Tabla1[[#This Row],[Tiempo
(Hrs 00/100)]]*1.16</f>
        <v>#N/A</v>
      </c>
    </row>
    <row r="4425" spans="1:26" ht="30" customHeight="1" x14ac:dyDescent="0.3">
      <c r="A4425" s="106"/>
      <c r="B4425" s="106"/>
      <c r="C4425" s="106"/>
      <c r="D4425" s="106"/>
      <c r="E4425" s="106"/>
      <c r="F4425" s="106"/>
      <c r="G4425" s="106"/>
      <c r="H4425" s="107"/>
      <c r="I4425" s="95"/>
      <c r="J4425" s="706"/>
      <c r="K4425" s="769"/>
      <c r="L4425" s="706"/>
      <c r="M4425" s="781"/>
      <c r="N4425" s="182"/>
      <c r="O4425" s="188"/>
      <c r="P4425" s="221"/>
      <c r="Q4425" s="106"/>
      <c r="R4425" s="108"/>
      <c r="S4425" s="108"/>
      <c r="T4425" s="108"/>
      <c r="U4425" s="108" t="str">
        <f>IFERROR(VLOOKUP(CONCATENATE(Tabla1[[#This Row],[Severidad]]," ",Tabla1[[#This Row],[Complejidad]]),Catalogos!E$120:G$128,3,FALSE),"")</f>
        <v/>
      </c>
      <c r="V4425" s="108" t="str">
        <f>IF(Tabla1[[#This Row],[Tiempo solución max (hrs)]]&lt;&gt;"",IF(Tabla1[[#This Row],[Tiempo solución max (hrs)]]&gt;=Tabla1[[#This Row],[Tiempo
(Hrs 00/100)]],"cumple","no cumple"),"")</f>
        <v/>
      </c>
      <c r="W4425" s="17"/>
      <c r="X4425" s="18">
        <f t="shared" si="259"/>
        <v>0</v>
      </c>
      <c r="Y4425" t="str">
        <f>SUBSTITUTE(Tabla1[[#This Row],[Descripción]],CHAR(10),"    I    ")</f>
        <v/>
      </c>
      <c r="Z4425" s="112" t="e">
        <f>VLOOKUP(Tabla1[[#This Row],[Perfil]],Catalogos!$B$75:$D$100,3,FALSE)*Tabla1[[#This Row],[Tiempo
(Hrs 00/100)]]*1.16</f>
        <v>#N/A</v>
      </c>
    </row>
    <row r="4426" spans="1:26" ht="30" customHeight="1" x14ac:dyDescent="0.3">
      <c r="A4426" s="106"/>
      <c r="B4426" s="106"/>
      <c r="C4426" s="106"/>
      <c r="D4426" s="106"/>
      <c r="E4426" s="106"/>
      <c r="F4426" s="106"/>
      <c r="G4426" s="106"/>
      <c r="H4426" s="107"/>
      <c r="I4426" s="95"/>
      <c r="J4426" s="706"/>
      <c r="K4426" s="769"/>
      <c r="L4426" s="706"/>
      <c r="M4426" s="781"/>
      <c r="N4426" s="182"/>
      <c r="O4426" s="188"/>
      <c r="P4426" s="221"/>
      <c r="Q4426" s="106"/>
      <c r="R4426" s="108"/>
      <c r="S4426" s="108"/>
      <c r="T4426" s="108"/>
      <c r="U4426" s="108" t="str">
        <f>IFERROR(VLOOKUP(CONCATENATE(Tabla1[[#This Row],[Severidad]]," ",Tabla1[[#This Row],[Complejidad]]),Catalogos!E$120:G$128,3,FALSE),"")</f>
        <v/>
      </c>
      <c r="V4426" s="108" t="str">
        <f>IF(Tabla1[[#This Row],[Tiempo solución max (hrs)]]&lt;&gt;"",IF(Tabla1[[#This Row],[Tiempo solución max (hrs)]]&gt;=Tabla1[[#This Row],[Tiempo
(Hrs 00/100)]],"cumple","no cumple"),"")</f>
        <v/>
      </c>
      <c r="W4426" s="17"/>
      <c r="X4426" s="18">
        <f t="shared" si="259"/>
        <v>0</v>
      </c>
      <c r="Y4426" t="str">
        <f>SUBSTITUTE(Tabla1[[#This Row],[Descripción]],CHAR(10),"    I    ")</f>
        <v/>
      </c>
      <c r="Z4426" s="112" t="e">
        <f>VLOOKUP(Tabla1[[#This Row],[Perfil]],Catalogos!$B$75:$D$100,3,FALSE)*Tabla1[[#This Row],[Tiempo
(Hrs 00/100)]]*1.16</f>
        <v>#N/A</v>
      </c>
    </row>
    <row r="4427" spans="1:26" ht="30" customHeight="1" x14ac:dyDescent="0.3">
      <c r="A4427" s="106"/>
      <c r="B4427" s="106"/>
      <c r="C4427" s="106"/>
      <c r="D4427" s="106"/>
      <c r="E4427" s="106"/>
      <c r="F4427" s="106"/>
      <c r="G4427" s="106"/>
      <c r="H4427" s="107"/>
      <c r="I4427" s="95"/>
      <c r="J4427" s="706"/>
      <c r="K4427" s="769"/>
      <c r="L4427" s="706"/>
      <c r="M4427" s="781"/>
      <c r="N4427" s="182"/>
      <c r="O4427" s="188"/>
      <c r="P4427" s="221"/>
      <c r="Q4427" s="106"/>
      <c r="R4427" s="108"/>
      <c r="S4427" s="108"/>
      <c r="T4427" s="108"/>
      <c r="U4427" s="108" t="str">
        <f>IFERROR(VLOOKUP(CONCATENATE(Tabla1[[#This Row],[Severidad]]," ",Tabla1[[#This Row],[Complejidad]]),Catalogos!E$120:G$128,3,FALSE),"")</f>
        <v/>
      </c>
      <c r="V4427" s="108" t="str">
        <f>IF(Tabla1[[#This Row],[Tiempo solución max (hrs)]]&lt;&gt;"",IF(Tabla1[[#This Row],[Tiempo solución max (hrs)]]&gt;=Tabla1[[#This Row],[Tiempo
(Hrs 00/100)]],"cumple","no cumple"),"")</f>
        <v/>
      </c>
      <c r="W4427" s="17"/>
      <c r="X4427" s="18">
        <f t="shared" si="259"/>
        <v>0</v>
      </c>
      <c r="Y4427" t="str">
        <f>SUBSTITUTE(Tabla1[[#This Row],[Descripción]],CHAR(10),"    I    ")</f>
        <v/>
      </c>
      <c r="Z4427" s="112" t="e">
        <f>VLOOKUP(Tabla1[[#This Row],[Perfil]],Catalogos!$B$75:$D$100,3,FALSE)*Tabla1[[#This Row],[Tiempo
(Hrs 00/100)]]*1.16</f>
        <v>#N/A</v>
      </c>
    </row>
    <row r="4428" spans="1:26" ht="30" customHeight="1" x14ac:dyDescent="0.3">
      <c r="A4428" s="106"/>
      <c r="B4428" s="106"/>
      <c r="C4428" s="106"/>
      <c r="D4428" s="106"/>
      <c r="E4428" s="106"/>
      <c r="F4428" s="106"/>
      <c r="G4428" s="106"/>
      <c r="H4428" s="107"/>
      <c r="I4428" s="95"/>
      <c r="J4428" s="706"/>
      <c r="K4428" s="769"/>
      <c r="L4428" s="706"/>
      <c r="M4428" s="781"/>
      <c r="N4428" s="182"/>
      <c r="O4428" s="188"/>
      <c r="P4428" s="221"/>
      <c r="Q4428" s="106"/>
      <c r="R4428" s="108"/>
      <c r="S4428" s="108"/>
      <c r="T4428" s="108"/>
      <c r="U4428" s="108" t="str">
        <f>IFERROR(VLOOKUP(CONCATENATE(Tabla1[[#This Row],[Severidad]]," ",Tabla1[[#This Row],[Complejidad]]),Catalogos!E$120:G$128,3,FALSE),"")</f>
        <v/>
      </c>
      <c r="V4428" s="108" t="str">
        <f>IF(Tabla1[[#This Row],[Tiempo solución max (hrs)]]&lt;&gt;"",IF(Tabla1[[#This Row],[Tiempo solución max (hrs)]]&gt;=Tabla1[[#This Row],[Tiempo
(Hrs 00/100)]],"cumple","no cumple"),"")</f>
        <v/>
      </c>
      <c r="W4428" s="17"/>
      <c r="X4428" s="18">
        <f t="shared" si="259"/>
        <v>0</v>
      </c>
      <c r="Y4428" t="str">
        <f>SUBSTITUTE(Tabla1[[#This Row],[Descripción]],CHAR(10),"    I    ")</f>
        <v/>
      </c>
      <c r="Z4428" s="112" t="e">
        <f>VLOOKUP(Tabla1[[#This Row],[Perfil]],Catalogos!$B$75:$D$100,3,FALSE)*Tabla1[[#This Row],[Tiempo
(Hrs 00/100)]]*1.16</f>
        <v>#N/A</v>
      </c>
    </row>
    <row r="4429" spans="1:26" ht="30" customHeight="1" x14ac:dyDescent="0.3">
      <c r="A4429" s="106"/>
      <c r="B4429" s="106"/>
      <c r="C4429" s="106"/>
      <c r="D4429" s="106"/>
      <c r="E4429" s="106"/>
      <c r="F4429" s="106"/>
      <c r="G4429" s="106"/>
      <c r="H4429" s="107"/>
      <c r="I4429" s="95"/>
      <c r="J4429" s="706"/>
      <c r="K4429" s="769"/>
      <c r="L4429" s="706"/>
      <c r="M4429" s="781"/>
      <c r="N4429" s="182"/>
      <c r="O4429" s="188"/>
      <c r="P4429" s="221"/>
      <c r="Q4429" s="106"/>
      <c r="R4429" s="108"/>
      <c r="S4429" s="108"/>
      <c r="T4429" s="108"/>
      <c r="U4429" s="108" t="str">
        <f>IFERROR(VLOOKUP(CONCATENATE(Tabla1[[#This Row],[Severidad]]," ",Tabla1[[#This Row],[Complejidad]]),Catalogos!E$120:G$128,3,FALSE),"")</f>
        <v/>
      </c>
      <c r="V4429" s="108" t="str">
        <f>IF(Tabla1[[#This Row],[Tiempo solución max (hrs)]]&lt;&gt;"",IF(Tabla1[[#This Row],[Tiempo solución max (hrs)]]&gt;=Tabla1[[#This Row],[Tiempo
(Hrs 00/100)]],"cumple","no cumple"),"")</f>
        <v/>
      </c>
      <c r="W4429" s="17"/>
      <c r="X4429" s="18">
        <f t="shared" si="259"/>
        <v>0</v>
      </c>
      <c r="Y4429" t="str">
        <f>SUBSTITUTE(Tabla1[[#This Row],[Descripción]],CHAR(10),"    I    ")</f>
        <v/>
      </c>
      <c r="Z4429" s="112" t="e">
        <f>VLOOKUP(Tabla1[[#This Row],[Perfil]],Catalogos!$B$75:$D$100,3,FALSE)*Tabla1[[#This Row],[Tiempo
(Hrs 00/100)]]*1.16</f>
        <v>#N/A</v>
      </c>
    </row>
    <row r="4430" spans="1:26" ht="30" customHeight="1" x14ac:dyDescent="0.3">
      <c r="A4430" s="106"/>
      <c r="B4430" s="106"/>
      <c r="C4430" s="106"/>
      <c r="D4430" s="106"/>
      <c r="E4430" s="106"/>
      <c r="F4430" s="106"/>
      <c r="G4430" s="106"/>
      <c r="H4430" s="107"/>
      <c r="I4430" s="95"/>
      <c r="J4430" s="706"/>
      <c r="K4430" s="769"/>
      <c r="L4430" s="706"/>
      <c r="M4430" s="781"/>
      <c r="N4430" s="182"/>
      <c r="O4430" s="188"/>
      <c r="P4430" s="221"/>
      <c r="Q4430" s="106"/>
      <c r="R4430" s="108"/>
      <c r="S4430" s="108"/>
      <c r="T4430" s="108"/>
      <c r="U4430" s="108" t="str">
        <f>IFERROR(VLOOKUP(CONCATENATE(Tabla1[[#This Row],[Severidad]]," ",Tabla1[[#This Row],[Complejidad]]),Catalogos!E$120:G$128,3,FALSE),"")</f>
        <v/>
      </c>
      <c r="V4430" s="108" t="str">
        <f>IF(Tabla1[[#This Row],[Tiempo solución max (hrs)]]&lt;&gt;"",IF(Tabla1[[#This Row],[Tiempo solución max (hrs)]]&gt;=Tabla1[[#This Row],[Tiempo
(Hrs 00/100)]],"cumple","no cumple"),"")</f>
        <v/>
      </c>
      <c r="W4430" s="17"/>
      <c r="X4430" s="18">
        <f t="shared" si="259"/>
        <v>0</v>
      </c>
      <c r="Y4430" t="str">
        <f>SUBSTITUTE(Tabla1[[#This Row],[Descripción]],CHAR(10),"    I    ")</f>
        <v/>
      </c>
      <c r="Z4430" s="112" t="e">
        <f>VLOOKUP(Tabla1[[#This Row],[Perfil]],Catalogos!$B$75:$D$100,3,FALSE)*Tabla1[[#This Row],[Tiempo
(Hrs 00/100)]]*1.16</f>
        <v>#N/A</v>
      </c>
    </row>
    <row r="4431" spans="1:26" ht="30" customHeight="1" x14ac:dyDescent="0.3">
      <c r="A4431" s="106"/>
      <c r="B4431" s="106"/>
      <c r="C4431" s="106"/>
      <c r="D4431" s="106"/>
      <c r="E4431" s="106"/>
      <c r="F4431" s="106"/>
      <c r="G4431" s="106"/>
      <c r="H4431" s="107"/>
      <c r="I4431" s="95"/>
      <c r="J4431" s="706"/>
      <c r="K4431" s="769"/>
      <c r="L4431" s="706"/>
      <c r="M4431" s="781"/>
      <c r="N4431" s="182"/>
      <c r="O4431" s="188"/>
      <c r="P4431" s="221"/>
      <c r="Q4431" s="106"/>
      <c r="R4431" s="108"/>
      <c r="S4431" s="108"/>
      <c r="T4431" s="108"/>
      <c r="U4431" s="108" t="str">
        <f>IFERROR(VLOOKUP(CONCATENATE(Tabla1[[#This Row],[Severidad]]," ",Tabla1[[#This Row],[Complejidad]]),Catalogos!E$120:G$128,3,FALSE),"")</f>
        <v/>
      </c>
      <c r="V4431" s="108" t="str">
        <f>IF(Tabla1[[#This Row],[Tiempo solución max (hrs)]]&lt;&gt;"",IF(Tabla1[[#This Row],[Tiempo solución max (hrs)]]&gt;=Tabla1[[#This Row],[Tiempo
(Hrs 00/100)]],"cumple","no cumple"),"")</f>
        <v/>
      </c>
      <c r="W4431" s="17"/>
      <c r="X4431" s="18">
        <f t="shared" si="259"/>
        <v>0</v>
      </c>
      <c r="Y4431" t="str">
        <f>SUBSTITUTE(Tabla1[[#This Row],[Descripción]],CHAR(10),"    I    ")</f>
        <v/>
      </c>
      <c r="Z4431" s="112" t="e">
        <f>VLOOKUP(Tabla1[[#This Row],[Perfil]],Catalogos!$B$75:$D$100,3,FALSE)*Tabla1[[#This Row],[Tiempo
(Hrs 00/100)]]*1.16</f>
        <v>#N/A</v>
      </c>
    </row>
    <row r="4432" spans="1:26" ht="30" customHeight="1" x14ac:dyDescent="0.3">
      <c r="A4432" s="106"/>
      <c r="B4432" s="106"/>
      <c r="C4432" s="106"/>
      <c r="D4432" s="106"/>
      <c r="E4432" s="106"/>
      <c r="F4432" s="106"/>
      <c r="G4432" s="106"/>
      <c r="H4432" s="107"/>
      <c r="I4432" s="95"/>
      <c r="J4432" s="706"/>
      <c r="K4432" s="769"/>
      <c r="L4432" s="706"/>
      <c r="M4432" s="781"/>
      <c r="N4432" s="182"/>
      <c r="O4432" s="188"/>
      <c r="P4432" s="221"/>
      <c r="Q4432" s="106"/>
      <c r="R4432" s="108"/>
      <c r="S4432" s="108"/>
      <c r="T4432" s="108"/>
      <c r="U4432" s="108" t="str">
        <f>IFERROR(VLOOKUP(CONCATENATE(Tabla1[[#This Row],[Severidad]]," ",Tabla1[[#This Row],[Complejidad]]),Catalogos!E$120:G$128,3,FALSE),"")</f>
        <v/>
      </c>
      <c r="V4432" s="108" t="str">
        <f>IF(Tabla1[[#This Row],[Tiempo solución max (hrs)]]&lt;&gt;"",IF(Tabla1[[#This Row],[Tiempo solución max (hrs)]]&gt;=Tabla1[[#This Row],[Tiempo
(Hrs 00/100)]],"cumple","no cumple"),"")</f>
        <v/>
      </c>
      <c r="W4432" s="17"/>
      <c r="X4432" s="18">
        <f t="shared" si="259"/>
        <v>0</v>
      </c>
      <c r="Y4432" t="str">
        <f>SUBSTITUTE(Tabla1[[#This Row],[Descripción]],CHAR(10),"    I    ")</f>
        <v/>
      </c>
      <c r="Z4432" s="112" t="e">
        <f>VLOOKUP(Tabla1[[#This Row],[Perfil]],Catalogos!$B$75:$D$100,3,FALSE)*Tabla1[[#This Row],[Tiempo
(Hrs 00/100)]]*1.16</f>
        <v>#N/A</v>
      </c>
    </row>
    <row r="4433" spans="1:26" ht="30" customHeight="1" x14ac:dyDescent="0.3">
      <c r="A4433" s="106"/>
      <c r="B4433" s="106"/>
      <c r="C4433" s="106"/>
      <c r="D4433" s="106"/>
      <c r="E4433" s="106"/>
      <c r="F4433" s="106"/>
      <c r="G4433" s="106"/>
      <c r="H4433" s="107"/>
      <c r="I4433" s="95"/>
      <c r="J4433" s="706"/>
      <c r="K4433" s="769"/>
      <c r="L4433" s="706"/>
      <c r="M4433" s="781"/>
      <c r="N4433" s="182"/>
      <c r="O4433" s="188"/>
      <c r="P4433" s="221"/>
      <c r="Q4433" s="106"/>
      <c r="R4433" s="108"/>
      <c r="S4433" s="108"/>
      <c r="T4433" s="108"/>
      <c r="U4433" s="108" t="str">
        <f>IFERROR(VLOOKUP(CONCATENATE(Tabla1[[#This Row],[Severidad]]," ",Tabla1[[#This Row],[Complejidad]]),Catalogos!E$120:G$128,3,FALSE),"")</f>
        <v/>
      </c>
      <c r="V4433" s="108" t="str">
        <f>IF(Tabla1[[#This Row],[Tiempo solución max (hrs)]]&lt;&gt;"",IF(Tabla1[[#This Row],[Tiempo solución max (hrs)]]&gt;=Tabla1[[#This Row],[Tiempo
(Hrs 00/100)]],"cumple","no cumple"),"")</f>
        <v/>
      </c>
      <c r="W4433" s="17"/>
      <c r="X4433" s="18">
        <f t="shared" si="259"/>
        <v>0</v>
      </c>
      <c r="Y4433" t="str">
        <f>SUBSTITUTE(Tabla1[[#This Row],[Descripción]],CHAR(10),"    I    ")</f>
        <v/>
      </c>
      <c r="Z4433" s="112" t="e">
        <f>VLOOKUP(Tabla1[[#This Row],[Perfil]],Catalogos!$B$75:$D$100,3,FALSE)*Tabla1[[#This Row],[Tiempo
(Hrs 00/100)]]*1.16</f>
        <v>#N/A</v>
      </c>
    </row>
    <row r="4434" spans="1:26" ht="30" customHeight="1" x14ac:dyDescent="0.3">
      <c r="A4434" s="106"/>
      <c r="B4434" s="106"/>
      <c r="C4434" s="106"/>
      <c r="D4434" s="106"/>
      <c r="E4434" s="106"/>
      <c r="F4434" s="106"/>
      <c r="G4434" s="106"/>
      <c r="H4434" s="107"/>
      <c r="I4434" s="95"/>
      <c r="J4434" s="706"/>
      <c r="K4434" s="769"/>
      <c r="L4434" s="706"/>
      <c r="M4434" s="781"/>
      <c r="N4434" s="182"/>
      <c r="O4434" s="188"/>
      <c r="P4434" s="221"/>
      <c r="Q4434" s="106"/>
      <c r="R4434" s="108"/>
      <c r="S4434" s="108"/>
      <c r="T4434" s="108"/>
      <c r="U4434" s="108" t="str">
        <f>IFERROR(VLOOKUP(CONCATENATE(Tabla1[[#This Row],[Severidad]]," ",Tabla1[[#This Row],[Complejidad]]),Catalogos!E$120:G$128,3,FALSE),"")</f>
        <v/>
      </c>
      <c r="V4434" s="108" t="str">
        <f>IF(Tabla1[[#This Row],[Tiempo solución max (hrs)]]&lt;&gt;"",IF(Tabla1[[#This Row],[Tiempo solución max (hrs)]]&gt;=Tabla1[[#This Row],[Tiempo
(Hrs 00/100)]],"cumple","no cumple"),"")</f>
        <v/>
      </c>
      <c r="W4434" s="17"/>
      <c r="X4434" s="18">
        <f t="shared" si="259"/>
        <v>0</v>
      </c>
      <c r="Y4434" t="str">
        <f>SUBSTITUTE(Tabla1[[#This Row],[Descripción]],CHAR(10),"    I    ")</f>
        <v/>
      </c>
      <c r="Z4434" s="112" t="e">
        <f>VLOOKUP(Tabla1[[#This Row],[Perfil]],Catalogos!$B$75:$D$100,3,FALSE)*Tabla1[[#This Row],[Tiempo
(Hrs 00/100)]]*1.16</f>
        <v>#N/A</v>
      </c>
    </row>
    <row r="4435" spans="1:26" ht="30" customHeight="1" x14ac:dyDescent="0.3">
      <c r="A4435" s="106"/>
      <c r="B4435" s="106"/>
      <c r="C4435" s="106"/>
      <c r="D4435" s="106"/>
      <c r="E4435" s="106"/>
      <c r="F4435" s="106"/>
      <c r="G4435" s="106"/>
      <c r="H4435" s="107"/>
      <c r="I4435" s="95"/>
      <c r="J4435" s="706"/>
      <c r="K4435" s="769"/>
      <c r="L4435" s="706"/>
      <c r="M4435" s="781"/>
      <c r="N4435" s="182"/>
      <c r="O4435" s="188"/>
      <c r="P4435" s="221"/>
      <c r="Q4435" s="106"/>
      <c r="R4435" s="108"/>
      <c r="S4435" s="108"/>
      <c r="T4435" s="108"/>
      <c r="U4435" s="108" t="str">
        <f>IFERROR(VLOOKUP(CONCATENATE(Tabla1[[#This Row],[Severidad]]," ",Tabla1[[#This Row],[Complejidad]]),Catalogos!E$120:G$128,3,FALSE),"")</f>
        <v/>
      </c>
      <c r="V4435" s="108" t="str">
        <f>IF(Tabla1[[#This Row],[Tiempo solución max (hrs)]]&lt;&gt;"",IF(Tabla1[[#This Row],[Tiempo solución max (hrs)]]&gt;=Tabla1[[#This Row],[Tiempo
(Hrs 00/100)]],"cumple","no cumple"),"")</f>
        <v/>
      </c>
      <c r="W4435" s="17"/>
      <c r="X4435" s="18">
        <f t="shared" si="259"/>
        <v>0</v>
      </c>
      <c r="Y4435" t="str">
        <f>SUBSTITUTE(Tabla1[[#This Row],[Descripción]],CHAR(10),"    I    ")</f>
        <v/>
      </c>
      <c r="Z4435" s="112" t="e">
        <f>VLOOKUP(Tabla1[[#This Row],[Perfil]],Catalogos!$B$75:$D$100,3,FALSE)*Tabla1[[#This Row],[Tiempo
(Hrs 00/100)]]*1.16</f>
        <v>#N/A</v>
      </c>
    </row>
    <row r="4436" spans="1:26" ht="30" customHeight="1" x14ac:dyDescent="0.3">
      <c r="A4436" s="106"/>
      <c r="B4436" s="106"/>
      <c r="C4436" s="106"/>
      <c r="D4436" s="106"/>
      <c r="E4436" s="106"/>
      <c r="F4436" s="106"/>
      <c r="G4436" s="106"/>
      <c r="H4436" s="107"/>
      <c r="I4436" s="95"/>
      <c r="J4436" s="706"/>
      <c r="K4436" s="769"/>
      <c r="L4436" s="706"/>
      <c r="M4436" s="781"/>
      <c r="N4436" s="182"/>
      <c r="O4436" s="188"/>
      <c r="P4436" s="221"/>
      <c r="Q4436" s="106"/>
      <c r="R4436" s="108"/>
      <c r="S4436" s="108"/>
      <c r="T4436" s="108"/>
      <c r="U4436" s="108" t="str">
        <f>IFERROR(VLOOKUP(CONCATENATE(Tabla1[[#This Row],[Severidad]]," ",Tabla1[[#This Row],[Complejidad]]),Catalogos!E$120:G$128,3,FALSE),"")</f>
        <v/>
      </c>
      <c r="V4436" s="108" t="str">
        <f>IF(Tabla1[[#This Row],[Tiempo solución max (hrs)]]&lt;&gt;"",IF(Tabla1[[#This Row],[Tiempo solución max (hrs)]]&gt;=Tabla1[[#This Row],[Tiempo
(Hrs 00/100)]],"cumple","no cumple"),"")</f>
        <v/>
      </c>
      <c r="W4436" s="17"/>
      <c r="X4436" s="18">
        <f t="shared" si="259"/>
        <v>0</v>
      </c>
      <c r="Y4436" t="str">
        <f>SUBSTITUTE(Tabla1[[#This Row],[Descripción]],CHAR(10),"    I    ")</f>
        <v/>
      </c>
      <c r="Z4436" s="112" t="e">
        <f>VLOOKUP(Tabla1[[#This Row],[Perfil]],Catalogos!$B$75:$D$100,3,FALSE)*Tabla1[[#This Row],[Tiempo
(Hrs 00/100)]]*1.16</f>
        <v>#N/A</v>
      </c>
    </row>
    <row r="4437" spans="1:26" ht="30" customHeight="1" x14ac:dyDescent="0.3">
      <c r="A4437" s="106"/>
      <c r="B4437" s="106"/>
      <c r="C4437" s="106"/>
      <c r="D4437" s="106"/>
      <c r="E4437" s="106"/>
      <c r="F4437" s="106"/>
      <c r="G4437" s="106"/>
      <c r="H4437" s="107"/>
      <c r="I4437" s="95"/>
      <c r="J4437" s="706"/>
      <c r="K4437" s="769"/>
      <c r="L4437" s="706"/>
      <c r="M4437" s="781"/>
      <c r="N4437" s="182"/>
      <c r="O4437" s="188"/>
      <c r="P4437" s="221"/>
      <c r="Q4437" s="106"/>
      <c r="R4437" s="108"/>
      <c r="S4437" s="108"/>
      <c r="T4437" s="108"/>
      <c r="U4437" s="108" t="str">
        <f>IFERROR(VLOOKUP(CONCATENATE(Tabla1[[#This Row],[Severidad]]," ",Tabla1[[#This Row],[Complejidad]]),Catalogos!E$120:G$128,3,FALSE),"")</f>
        <v/>
      </c>
      <c r="V4437" s="108" t="str">
        <f>IF(Tabla1[[#This Row],[Tiempo solución max (hrs)]]&lt;&gt;"",IF(Tabla1[[#This Row],[Tiempo solución max (hrs)]]&gt;=Tabla1[[#This Row],[Tiempo
(Hrs 00/100)]],"cumple","no cumple"),"")</f>
        <v/>
      </c>
      <c r="W4437" s="17"/>
      <c r="X4437" s="18">
        <f t="shared" si="259"/>
        <v>0</v>
      </c>
      <c r="Y4437" t="str">
        <f>SUBSTITUTE(Tabla1[[#This Row],[Descripción]],CHAR(10),"    I    ")</f>
        <v/>
      </c>
      <c r="Z4437" s="112" t="e">
        <f>VLOOKUP(Tabla1[[#This Row],[Perfil]],Catalogos!$B$75:$D$100,3,FALSE)*Tabla1[[#This Row],[Tiempo
(Hrs 00/100)]]*1.16</f>
        <v>#N/A</v>
      </c>
    </row>
    <row r="4438" spans="1:26" ht="30" customHeight="1" x14ac:dyDescent="0.3">
      <c r="A4438" s="106"/>
      <c r="B4438" s="106"/>
      <c r="C4438" s="106"/>
      <c r="D4438" s="106"/>
      <c r="E4438" s="106"/>
      <c r="F4438" s="106"/>
      <c r="G4438" s="106"/>
      <c r="H4438" s="107"/>
      <c r="I4438" s="95"/>
      <c r="J4438" s="706"/>
      <c r="K4438" s="769"/>
      <c r="L4438" s="706"/>
      <c r="M4438" s="781"/>
      <c r="N4438" s="182"/>
      <c r="O4438" s="188"/>
      <c r="P4438" s="221"/>
      <c r="Q4438" s="106"/>
      <c r="R4438" s="108"/>
      <c r="S4438" s="108"/>
      <c r="T4438" s="108"/>
      <c r="U4438" s="108" t="str">
        <f>IFERROR(VLOOKUP(CONCATENATE(Tabla1[[#This Row],[Severidad]]," ",Tabla1[[#This Row],[Complejidad]]),Catalogos!E$120:G$128,3,FALSE),"")</f>
        <v/>
      </c>
      <c r="V4438" s="108" t="str">
        <f>IF(Tabla1[[#This Row],[Tiempo solución max (hrs)]]&lt;&gt;"",IF(Tabla1[[#This Row],[Tiempo solución max (hrs)]]&gt;=Tabla1[[#This Row],[Tiempo
(Hrs 00/100)]],"cumple","no cumple"),"")</f>
        <v/>
      </c>
      <c r="W4438" s="17"/>
      <c r="X4438" s="18">
        <f t="shared" si="259"/>
        <v>0</v>
      </c>
      <c r="Y4438" t="str">
        <f>SUBSTITUTE(Tabla1[[#This Row],[Descripción]],CHAR(10),"    I    ")</f>
        <v/>
      </c>
      <c r="Z4438" s="112" t="e">
        <f>VLOOKUP(Tabla1[[#This Row],[Perfil]],Catalogos!$B$75:$D$100,3,FALSE)*Tabla1[[#This Row],[Tiempo
(Hrs 00/100)]]*1.16</f>
        <v>#N/A</v>
      </c>
    </row>
    <row r="4439" spans="1:26" ht="30" customHeight="1" x14ac:dyDescent="0.3">
      <c r="A4439" s="106"/>
      <c r="B4439" s="106"/>
      <c r="C4439" s="106"/>
      <c r="D4439" s="106"/>
      <c r="E4439" s="106"/>
      <c r="F4439" s="106"/>
      <c r="G4439" s="106"/>
      <c r="H4439" s="107"/>
      <c r="I4439" s="95"/>
      <c r="J4439" s="706"/>
      <c r="K4439" s="769"/>
      <c r="L4439" s="706"/>
      <c r="M4439" s="781"/>
      <c r="N4439" s="182"/>
      <c r="O4439" s="188"/>
      <c r="P4439" s="221"/>
      <c r="Q4439" s="106"/>
      <c r="R4439" s="108"/>
      <c r="S4439" s="108"/>
      <c r="T4439" s="108"/>
      <c r="U4439" s="108" t="str">
        <f>IFERROR(VLOOKUP(CONCATENATE(Tabla1[[#This Row],[Severidad]]," ",Tabla1[[#This Row],[Complejidad]]),Catalogos!E$120:G$128,3,FALSE),"")</f>
        <v/>
      </c>
      <c r="V4439" s="108" t="str">
        <f>IF(Tabla1[[#This Row],[Tiempo solución max (hrs)]]&lt;&gt;"",IF(Tabla1[[#This Row],[Tiempo solución max (hrs)]]&gt;=Tabla1[[#This Row],[Tiempo
(Hrs 00/100)]],"cumple","no cumple"),"")</f>
        <v/>
      </c>
      <c r="W4439" s="17"/>
      <c r="X4439" s="18">
        <f t="shared" si="259"/>
        <v>0</v>
      </c>
      <c r="Y4439" t="str">
        <f>SUBSTITUTE(Tabla1[[#This Row],[Descripción]],CHAR(10),"    I    ")</f>
        <v/>
      </c>
      <c r="Z4439" s="112" t="e">
        <f>VLOOKUP(Tabla1[[#This Row],[Perfil]],Catalogos!$B$75:$D$100,3,FALSE)*Tabla1[[#This Row],[Tiempo
(Hrs 00/100)]]*1.16</f>
        <v>#N/A</v>
      </c>
    </row>
    <row r="4440" spans="1:26" ht="30" customHeight="1" x14ac:dyDescent="0.3">
      <c r="A4440" s="106"/>
      <c r="B4440" s="106"/>
      <c r="C4440" s="106"/>
      <c r="D4440" s="106"/>
      <c r="E4440" s="106"/>
      <c r="F4440" s="106"/>
      <c r="G4440" s="106"/>
      <c r="H4440" s="107"/>
      <c r="I4440" s="95"/>
      <c r="J4440" s="706"/>
      <c r="K4440" s="769"/>
      <c r="L4440" s="706"/>
      <c r="M4440" s="781"/>
      <c r="N4440" s="182"/>
      <c r="O4440" s="188"/>
      <c r="P4440" s="221"/>
      <c r="Q4440" s="106"/>
      <c r="R4440" s="108"/>
      <c r="S4440" s="108"/>
      <c r="T4440" s="108"/>
      <c r="U4440" s="108" t="str">
        <f>IFERROR(VLOOKUP(CONCATENATE(Tabla1[[#This Row],[Severidad]]," ",Tabla1[[#This Row],[Complejidad]]),Catalogos!E$120:G$128,3,FALSE),"")</f>
        <v/>
      </c>
      <c r="V4440" s="108" t="str">
        <f>IF(Tabla1[[#This Row],[Tiempo solución max (hrs)]]&lt;&gt;"",IF(Tabla1[[#This Row],[Tiempo solución max (hrs)]]&gt;=Tabla1[[#This Row],[Tiempo
(Hrs 00/100)]],"cumple","no cumple"),"")</f>
        <v/>
      </c>
      <c r="W4440" s="17"/>
      <c r="X4440" s="18">
        <f t="shared" si="259"/>
        <v>0</v>
      </c>
      <c r="Y4440" t="str">
        <f>SUBSTITUTE(Tabla1[[#This Row],[Descripción]],CHAR(10),"    I    ")</f>
        <v/>
      </c>
      <c r="Z4440" s="112" t="e">
        <f>VLOOKUP(Tabla1[[#This Row],[Perfil]],Catalogos!$B$75:$D$100,3,FALSE)*Tabla1[[#This Row],[Tiempo
(Hrs 00/100)]]*1.16</f>
        <v>#N/A</v>
      </c>
    </row>
    <row r="4441" spans="1:26" ht="30" customHeight="1" x14ac:dyDescent="0.3">
      <c r="A4441" s="106"/>
      <c r="B4441" s="106"/>
      <c r="C4441" s="106"/>
      <c r="D4441" s="106"/>
      <c r="E4441" s="106"/>
      <c r="F4441" s="106"/>
      <c r="G4441" s="106"/>
      <c r="H4441" s="107"/>
      <c r="I4441" s="95"/>
      <c r="J4441" s="706"/>
      <c r="K4441" s="769"/>
      <c r="L4441" s="706"/>
      <c r="M4441" s="781"/>
      <c r="N4441" s="182"/>
      <c r="O4441" s="188"/>
      <c r="P4441" s="221"/>
      <c r="Q4441" s="106"/>
      <c r="R4441" s="108"/>
      <c r="S4441" s="108"/>
      <c r="T4441" s="108"/>
      <c r="U4441" s="108" t="str">
        <f>IFERROR(VLOOKUP(CONCATENATE(Tabla1[[#This Row],[Severidad]]," ",Tabla1[[#This Row],[Complejidad]]),Catalogos!E$120:G$128,3,FALSE),"")</f>
        <v/>
      </c>
      <c r="V4441" s="108" t="str">
        <f>IF(Tabla1[[#This Row],[Tiempo solución max (hrs)]]&lt;&gt;"",IF(Tabla1[[#This Row],[Tiempo solución max (hrs)]]&gt;=Tabla1[[#This Row],[Tiempo
(Hrs 00/100)]],"cumple","no cumple"),"")</f>
        <v/>
      </c>
      <c r="W4441" s="17"/>
      <c r="X4441" s="18">
        <f t="shared" si="259"/>
        <v>0</v>
      </c>
      <c r="Y4441" t="str">
        <f>SUBSTITUTE(Tabla1[[#This Row],[Descripción]],CHAR(10),"    I    ")</f>
        <v/>
      </c>
      <c r="Z4441" s="112" t="e">
        <f>VLOOKUP(Tabla1[[#This Row],[Perfil]],Catalogos!$B$75:$D$100,3,FALSE)*Tabla1[[#This Row],[Tiempo
(Hrs 00/100)]]*1.16</f>
        <v>#N/A</v>
      </c>
    </row>
    <row r="4442" spans="1:26" ht="30" customHeight="1" x14ac:dyDescent="0.3">
      <c r="A4442" s="106"/>
      <c r="B4442" s="106"/>
      <c r="C4442" s="106"/>
      <c r="D4442" s="106"/>
      <c r="E4442" s="106"/>
      <c r="F4442" s="106"/>
      <c r="G4442" s="106"/>
      <c r="H4442" s="107"/>
      <c r="I4442" s="95"/>
      <c r="J4442" s="706"/>
      <c r="K4442" s="769"/>
      <c r="L4442" s="706"/>
      <c r="M4442" s="781"/>
      <c r="N4442" s="182"/>
      <c r="O4442" s="188"/>
      <c r="P4442" s="221"/>
      <c r="Q4442" s="106"/>
      <c r="R4442" s="108"/>
      <c r="S4442" s="108"/>
      <c r="T4442" s="108"/>
      <c r="U4442" s="108" t="str">
        <f>IFERROR(VLOOKUP(CONCATENATE(Tabla1[[#This Row],[Severidad]]," ",Tabla1[[#This Row],[Complejidad]]),Catalogos!E$120:G$128,3,FALSE),"")</f>
        <v/>
      </c>
      <c r="V4442" s="108" t="str">
        <f>IF(Tabla1[[#This Row],[Tiempo solución max (hrs)]]&lt;&gt;"",IF(Tabla1[[#This Row],[Tiempo solución max (hrs)]]&gt;=Tabla1[[#This Row],[Tiempo
(Hrs 00/100)]],"cumple","no cumple"),"")</f>
        <v/>
      </c>
      <c r="W4442" s="17"/>
      <c r="X4442" s="18">
        <f t="shared" si="259"/>
        <v>0</v>
      </c>
      <c r="Y4442" t="str">
        <f>SUBSTITUTE(Tabla1[[#This Row],[Descripción]],CHAR(10),"    I    ")</f>
        <v/>
      </c>
      <c r="Z4442" s="112" t="e">
        <f>VLOOKUP(Tabla1[[#This Row],[Perfil]],Catalogos!$B$75:$D$100,3,FALSE)*Tabla1[[#This Row],[Tiempo
(Hrs 00/100)]]*1.16</f>
        <v>#N/A</v>
      </c>
    </row>
    <row r="4443" spans="1:26" ht="30" customHeight="1" x14ac:dyDescent="0.3">
      <c r="A4443" s="106"/>
      <c r="B4443" s="106"/>
      <c r="C4443" s="106"/>
      <c r="D4443" s="106"/>
      <c r="E4443" s="106"/>
      <c r="F4443" s="106"/>
      <c r="G4443" s="106"/>
      <c r="H4443" s="107"/>
      <c r="I4443" s="95"/>
      <c r="J4443" s="706"/>
      <c r="K4443" s="769"/>
      <c r="L4443" s="706"/>
      <c r="M4443" s="781"/>
      <c r="N4443" s="182"/>
      <c r="O4443" s="188"/>
      <c r="P4443" s="221"/>
      <c r="Q4443" s="106"/>
      <c r="R4443" s="108"/>
      <c r="S4443" s="108"/>
      <c r="T4443" s="108"/>
      <c r="U4443" s="108" t="str">
        <f>IFERROR(VLOOKUP(CONCATENATE(Tabla1[[#This Row],[Severidad]]," ",Tabla1[[#This Row],[Complejidad]]),Catalogos!E$120:G$128,3,FALSE),"")</f>
        <v/>
      </c>
      <c r="V4443" s="108" t="str">
        <f>IF(Tabla1[[#This Row],[Tiempo solución max (hrs)]]&lt;&gt;"",IF(Tabla1[[#This Row],[Tiempo solución max (hrs)]]&gt;=Tabla1[[#This Row],[Tiempo
(Hrs 00/100)]],"cumple","no cumple"),"")</f>
        <v/>
      </c>
      <c r="W4443" s="17"/>
      <c r="X4443" s="18">
        <f t="shared" si="259"/>
        <v>0</v>
      </c>
      <c r="Y4443" t="str">
        <f>SUBSTITUTE(Tabla1[[#This Row],[Descripción]],CHAR(10),"    I    ")</f>
        <v/>
      </c>
      <c r="Z4443" s="112" t="e">
        <f>VLOOKUP(Tabla1[[#This Row],[Perfil]],Catalogos!$B$75:$D$100,3,FALSE)*Tabla1[[#This Row],[Tiempo
(Hrs 00/100)]]*1.16</f>
        <v>#N/A</v>
      </c>
    </row>
    <row r="4444" spans="1:26" ht="30" customHeight="1" x14ac:dyDescent="0.3">
      <c r="A4444" s="106"/>
      <c r="B4444" s="106"/>
      <c r="C4444" s="106"/>
      <c r="D4444" s="106"/>
      <c r="E4444" s="106"/>
      <c r="F4444" s="106"/>
      <c r="G4444" s="106"/>
      <c r="H4444" s="107"/>
      <c r="I4444" s="95"/>
      <c r="J4444" s="706"/>
      <c r="K4444" s="769"/>
      <c r="L4444" s="706"/>
      <c r="M4444" s="781"/>
      <c r="N4444" s="182"/>
      <c r="O4444" s="188"/>
      <c r="P4444" s="221"/>
      <c r="Q4444" s="106"/>
      <c r="R4444" s="108"/>
      <c r="S4444" s="108"/>
      <c r="T4444" s="108"/>
      <c r="U4444" s="108" t="str">
        <f>IFERROR(VLOOKUP(CONCATENATE(Tabla1[[#This Row],[Severidad]]," ",Tabla1[[#This Row],[Complejidad]]),Catalogos!E$120:G$128,3,FALSE),"")</f>
        <v/>
      </c>
      <c r="V4444" s="108" t="str">
        <f>IF(Tabla1[[#This Row],[Tiempo solución max (hrs)]]&lt;&gt;"",IF(Tabla1[[#This Row],[Tiempo solución max (hrs)]]&gt;=Tabla1[[#This Row],[Tiempo
(Hrs 00/100)]],"cumple","no cumple"),"")</f>
        <v/>
      </c>
      <c r="W4444" s="17"/>
      <c r="X4444" s="18">
        <f t="shared" si="259"/>
        <v>0</v>
      </c>
      <c r="Y4444" t="str">
        <f>SUBSTITUTE(Tabla1[[#This Row],[Descripción]],CHAR(10),"    I    ")</f>
        <v/>
      </c>
      <c r="Z4444" s="112" t="e">
        <f>VLOOKUP(Tabla1[[#This Row],[Perfil]],Catalogos!$B$75:$D$100,3,FALSE)*Tabla1[[#This Row],[Tiempo
(Hrs 00/100)]]*1.16</f>
        <v>#N/A</v>
      </c>
    </row>
    <row r="4445" spans="1:26" ht="30" customHeight="1" x14ac:dyDescent="0.3">
      <c r="A4445" s="106"/>
      <c r="B4445" s="106"/>
      <c r="C4445" s="106"/>
      <c r="D4445" s="106"/>
      <c r="E4445" s="106"/>
      <c r="F4445" s="106"/>
      <c r="G4445" s="106"/>
      <c r="H4445" s="107"/>
      <c r="I4445" s="95"/>
      <c r="J4445" s="706"/>
      <c r="K4445" s="769"/>
      <c r="L4445" s="706"/>
      <c r="M4445" s="781"/>
      <c r="N4445" s="182"/>
      <c r="O4445" s="188"/>
      <c r="P4445" s="221"/>
      <c r="Q4445" s="106"/>
      <c r="R4445" s="108"/>
      <c r="S4445" s="108"/>
      <c r="T4445" s="108"/>
      <c r="U4445" s="108" t="str">
        <f>IFERROR(VLOOKUP(CONCATENATE(Tabla1[[#This Row],[Severidad]]," ",Tabla1[[#This Row],[Complejidad]]),Catalogos!E$120:G$128,3,FALSE),"")</f>
        <v/>
      </c>
      <c r="V4445" s="108" t="str">
        <f>IF(Tabla1[[#This Row],[Tiempo solución max (hrs)]]&lt;&gt;"",IF(Tabla1[[#This Row],[Tiempo solución max (hrs)]]&gt;=Tabla1[[#This Row],[Tiempo
(Hrs 00/100)]],"cumple","no cumple"),"")</f>
        <v/>
      </c>
      <c r="W4445" s="17"/>
      <c r="X4445" s="18">
        <f t="shared" si="259"/>
        <v>0</v>
      </c>
      <c r="Y4445" t="str">
        <f>SUBSTITUTE(Tabla1[[#This Row],[Descripción]],CHAR(10),"    I    ")</f>
        <v/>
      </c>
      <c r="Z4445" s="112" t="e">
        <f>VLOOKUP(Tabla1[[#This Row],[Perfil]],Catalogos!$B$75:$D$100,3,FALSE)*Tabla1[[#This Row],[Tiempo
(Hrs 00/100)]]*1.16</f>
        <v>#N/A</v>
      </c>
    </row>
    <row r="4446" spans="1:26" ht="30" customHeight="1" x14ac:dyDescent="0.3">
      <c r="A4446" s="106"/>
      <c r="B4446" s="106"/>
      <c r="C4446" s="106"/>
      <c r="D4446" s="106"/>
      <c r="E4446" s="106"/>
      <c r="F4446" s="106"/>
      <c r="G4446" s="106"/>
      <c r="H4446" s="107"/>
      <c r="I4446" s="95"/>
      <c r="J4446" s="706"/>
      <c r="K4446" s="769"/>
      <c r="L4446" s="706"/>
      <c r="M4446" s="781"/>
      <c r="N4446" s="182"/>
      <c r="O4446" s="188"/>
      <c r="P4446" s="221"/>
      <c r="Q4446" s="106"/>
      <c r="R4446" s="108"/>
      <c r="S4446" s="108"/>
      <c r="T4446" s="108"/>
      <c r="U4446" s="108" t="str">
        <f>IFERROR(VLOOKUP(CONCATENATE(Tabla1[[#This Row],[Severidad]]," ",Tabla1[[#This Row],[Complejidad]]),Catalogos!E$120:G$128,3,FALSE),"")</f>
        <v/>
      </c>
      <c r="V4446" s="108" t="str">
        <f>IF(Tabla1[[#This Row],[Tiempo solución max (hrs)]]&lt;&gt;"",IF(Tabla1[[#This Row],[Tiempo solución max (hrs)]]&gt;=Tabla1[[#This Row],[Tiempo
(Hrs 00/100)]],"cumple","no cumple"),"")</f>
        <v/>
      </c>
      <c r="W4446" s="17"/>
      <c r="X4446" s="18">
        <f t="shared" si="259"/>
        <v>0</v>
      </c>
      <c r="Y4446" t="str">
        <f>SUBSTITUTE(Tabla1[[#This Row],[Descripción]],CHAR(10),"    I    ")</f>
        <v/>
      </c>
      <c r="Z4446" s="112" t="e">
        <f>VLOOKUP(Tabla1[[#This Row],[Perfil]],Catalogos!$B$75:$D$100,3,FALSE)*Tabla1[[#This Row],[Tiempo
(Hrs 00/100)]]*1.16</f>
        <v>#N/A</v>
      </c>
    </row>
    <row r="4447" spans="1:26" ht="30" customHeight="1" x14ac:dyDescent="0.3">
      <c r="A4447" s="106"/>
      <c r="B4447" s="106"/>
      <c r="C4447" s="106"/>
      <c r="D4447" s="106"/>
      <c r="E4447" s="106"/>
      <c r="F4447" s="106"/>
      <c r="G4447" s="106"/>
      <c r="H4447" s="107"/>
      <c r="I4447" s="95"/>
      <c r="J4447" s="706"/>
      <c r="K4447" s="769"/>
      <c r="L4447" s="706"/>
      <c r="M4447" s="781"/>
      <c r="N4447" s="182"/>
      <c r="O4447" s="188"/>
      <c r="P4447" s="221"/>
      <c r="Q4447" s="106"/>
      <c r="R4447" s="108"/>
      <c r="S4447" s="108"/>
      <c r="T4447" s="108"/>
      <c r="U4447" s="108" t="str">
        <f>IFERROR(VLOOKUP(CONCATENATE(Tabla1[[#This Row],[Severidad]]," ",Tabla1[[#This Row],[Complejidad]]),Catalogos!E$120:G$128,3,FALSE),"")</f>
        <v/>
      </c>
      <c r="V4447" s="108" t="str">
        <f>IF(Tabla1[[#This Row],[Tiempo solución max (hrs)]]&lt;&gt;"",IF(Tabla1[[#This Row],[Tiempo solución max (hrs)]]&gt;=Tabla1[[#This Row],[Tiempo
(Hrs 00/100)]],"cumple","no cumple"),"")</f>
        <v/>
      </c>
      <c r="W4447" s="17"/>
      <c r="X4447" s="18">
        <f t="shared" si="259"/>
        <v>0</v>
      </c>
      <c r="Y4447" t="str">
        <f>SUBSTITUTE(Tabla1[[#This Row],[Descripción]],CHAR(10),"    I    ")</f>
        <v/>
      </c>
      <c r="Z4447" s="112" t="e">
        <f>VLOOKUP(Tabla1[[#This Row],[Perfil]],Catalogos!$B$75:$D$100,3,FALSE)*Tabla1[[#This Row],[Tiempo
(Hrs 00/100)]]*1.16</f>
        <v>#N/A</v>
      </c>
    </row>
    <row r="4448" spans="1:26" ht="30" customHeight="1" x14ac:dyDescent="0.3">
      <c r="A4448" s="106"/>
      <c r="B4448" s="106"/>
      <c r="C4448" s="106"/>
      <c r="D4448" s="106"/>
      <c r="E4448" s="106"/>
      <c r="F4448" s="106"/>
      <c r="G4448" s="106"/>
      <c r="H4448" s="107"/>
      <c r="I4448" s="95"/>
      <c r="J4448" s="706"/>
      <c r="K4448" s="769"/>
      <c r="L4448" s="706"/>
      <c r="M4448" s="781"/>
      <c r="N4448" s="182"/>
      <c r="O4448" s="188"/>
      <c r="P4448" s="221"/>
      <c r="Q4448" s="106"/>
      <c r="R4448" s="108"/>
      <c r="S4448" s="108"/>
      <c r="T4448" s="108"/>
      <c r="U4448" s="108" t="str">
        <f>IFERROR(VLOOKUP(CONCATENATE(Tabla1[[#This Row],[Severidad]]," ",Tabla1[[#This Row],[Complejidad]]),Catalogos!E$120:G$128,3,FALSE),"")</f>
        <v/>
      </c>
      <c r="V4448" s="108" t="str">
        <f>IF(Tabla1[[#This Row],[Tiempo solución max (hrs)]]&lt;&gt;"",IF(Tabla1[[#This Row],[Tiempo solución max (hrs)]]&gt;=Tabla1[[#This Row],[Tiempo
(Hrs 00/100)]],"cumple","no cumple"),"")</f>
        <v/>
      </c>
      <c r="W4448" s="17"/>
      <c r="X4448" s="18">
        <f t="shared" si="259"/>
        <v>0</v>
      </c>
      <c r="Y4448" t="str">
        <f>SUBSTITUTE(Tabla1[[#This Row],[Descripción]],CHAR(10),"    I    ")</f>
        <v/>
      </c>
      <c r="Z4448" s="112" t="e">
        <f>VLOOKUP(Tabla1[[#This Row],[Perfil]],Catalogos!$B$75:$D$100,3,FALSE)*Tabla1[[#This Row],[Tiempo
(Hrs 00/100)]]*1.16</f>
        <v>#N/A</v>
      </c>
    </row>
    <row r="4449" spans="1:26" ht="30" customHeight="1" x14ac:dyDescent="0.3">
      <c r="A4449" s="106"/>
      <c r="B4449" s="106"/>
      <c r="C4449" s="106"/>
      <c r="D4449" s="106"/>
      <c r="E4449" s="106"/>
      <c r="F4449" s="106"/>
      <c r="G4449" s="106"/>
      <c r="H4449" s="107"/>
      <c r="I4449" s="95"/>
      <c r="J4449" s="706"/>
      <c r="K4449" s="769"/>
      <c r="L4449" s="706"/>
      <c r="M4449" s="781"/>
      <c r="N4449" s="182"/>
      <c r="O4449" s="188"/>
      <c r="P4449" s="221"/>
      <c r="Q4449" s="106"/>
      <c r="R4449" s="108"/>
      <c r="S4449" s="108"/>
      <c r="T4449" s="108"/>
      <c r="U4449" s="108" t="str">
        <f>IFERROR(VLOOKUP(CONCATENATE(Tabla1[[#This Row],[Severidad]]," ",Tabla1[[#This Row],[Complejidad]]),Catalogos!E$120:G$128,3,FALSE),"")</f>
        <v/>
      </c>
      <c r="V4449" s="108" t="str">
        <f>IF(Tabla1[[#This Row],[Tiempo solución max (hrs)]]&lt;&gt;"",IF(Tabla1[[#This Row],[Tiempo solución max (hrs)]]&gt;=Tabla1[[#This Row],[Tiempo
(Hrs 00/100)]],"cumple","no cumple"),"")</f>
        <v/>
      </c>
      <c r="W4449" s="17"/>
      <c r="X4449" s="18">
        <f t="shared" si="259"/>
        <v>0</v>
      </c>
      <c r="Y4449" t="str">
        <f>SUBSTITUTE(Tabla1[[#This Row],[Descripción]],CHAR(10),"    I    ")</f>
        <v/>
      </c>
      <c r="Z4449" s="112" t="e">
        <f>VLOOKUP(Tabla1[[#This Row],[Perfil]],Catalogos!$B$75:$D$100,3,FALSE)*Tabla1[[#This Row],[Tiempo
(Hrs 00/100)]]*1.16</f>
        <v>#N/A</v>
      </c>
    </row>
    <row r="4450" spans="1:26" ht="30" customHeight="1" x14ac:dyDescent="0.3">
      <c r="A4450" s="106"/>
      <c r="B4450" s="106"/>
      <c r="C4450" s="106"/>
      <c r="D4450" s="106"/>
      <c r="E4450" s="106"/>
      <c r="F4450" s="106"/>
      <c r="G4450" s="106"/>
      <c r="H4450" s="107"/>
      <c r="I4450" s="95"/>
      <c r="J4450" s="706"/>
      <c r="K4450" s="769"/>
      <c r="L4450" s="706"/>
      <c r="M4450" s="781"/>
      <c r="N4450" s="182"/>
      <c r="O4450" s="188"/>
      <c r="P4450" s="221"/>
      <c r="Q4450" s="106"/>
      <c r="R4450" s="108"/>
      <c r="S4450" s="108"/>
      <c r="T4450" s="108"/>
      <c r="U4450" s="108" t="str">
        <f>IFERROR(VLOOKUP(CONCATENATE(Tabla1[[#This Row],[Severidad]]," ",Tabla1[[#This Row],[Complejidad]]),Catalogos!E$120:G$128,3,FALSE),"")</f>
        <v/>
      </c>
      <c r="V4450" s="108" t="str">
        <f>IF(Tabla1[[#This Row],[Tiempo solución max (hrs)]]&lt;&gt;"",IF(Tabla1[[#This Row],[Tiempo solución max (hrs)]]&gt;=Tabla1[[#This Row],[Tiempo
(Hrs 00/100)]],"cumple","no cumple"),"")</f>
        <v/>
      </c>
      <c r="W4450" s="17"/>
      <c r="X4450" s="18">
        <f t="shared" si="259"/>
        <v>0</v>
      </c>
      <c r="Y4450" t="str">
        <f>SUBSTITUTE(Tabla1[[#This Row],[Descripción]],CHAR(10),"    I    ")</f>
        <v/>
      </c>
      <c r="Z4450" s="112" t="e">
        <f>VLOOKUP(Tabla1[[#This Row],[Perfil]],Catalogos!$B$75:$D$100,3,FALSE)*Tabla1[[#This Row],[Tiempo
(Hrs 00/100)]]*1.16</f>
        <v>#N/A</v>
      </c>
    </row>
    <row r="4451" spans="1:26" ht="30" customHeight="1" x14ac:dyDescent="0.3">
      <c r="A4451" s="106"/>
      <c r="B4451" s="106"/>
      <c r="C4451" s="106"/>
      <c r="D4451" s="106"/>
      <c r="E4451" s="106"/>
      <c r="F4451" s="106"/>
      <c r="G4451" s="106"/>
      <c r="H4451" s="107"/>
      <c r="I4451" s="95"/>
      <c r="J4451" s="706"/>
      <c r="K4451" s="769"/>
      <c r="L4451" s="706"/>
      <c r="M4451" s="781"/>
      <c r="N4451" s="182"/>
      <c r="O4451" s="188"/>
      <c r="P4451" s="221"/>
      <c r="Q4451" s="106"/>
      <c r="R4451" s="108"/>
      <c r="S4451" s="108"/>
      <c r="T4451" s="108"/>
      <c r="U4451" s="108" t="str">
        <f>IFERROR(VLOOKUP(CONCATENATE(Tabla1[[#This Row],[Severidad]]," ",Tabla1[[#This Row],[Complejidad]]),Catalogos!E$120:G$128,3,FALSE),"")</f>
        <v/>
      </c>
      <c r="V4451" s="108" t="str">
        <f>IF(Tabla1[[#This Row],[Tiempo solución max (hrs)]]&lt;&gt;"",IF(Tabla1[[#This Row],[Tiempo solución max (hrs)]]&gt;=Tabla1[[#This Row],[Tiempo
(Hrs 00/100)]],"cumple","no cumple"),"")</f>
        <v/>
      </c>
      <c r="W4451" s="17"/>
      <c r="X4451" s="18">
        <f t="shared" si="259"/>
        <v>0</v>
      </c>
      <c r="Y4451" t="str">
        <f>SUBSTITUTE(Tabla1[[#This Row],[Descripción]],CHAR(10),"    I    ")</f>
        <v/>
      </c>
      <c r="Z4451" s="112" t="e">
        <f>VLOOKUP(Tabla1[[#This Row],[Perfil]],Catalogos!$B$75:$D$100,3,FALSE)*Tabla1[[#This Row],[Tiempo
(Hrs 00/100)]]*1.16</f>
        <v>#N/A</v>
      </c>
    </row>
    <row r="4452" spans="1:26" ht="30" customHeight="1" x14ac:dyDescent="0.3">
      <c r="A4452" s="106"/>
      <c r="B4452" s="106"/>
      <c r="C4452" s="106"/>
      <c r="D4452" s="106"/>
      <c r="E4452" s="106"/>
      <c r="F4452" s="106"/>
      <c r="G4452" s="106"/>
      <c r="H4452" s="107"/>
      <c r="I4452" s="95"/>
      <c r="J4452" s="706"/>
      <c r="K4452" s="769"/>
      <c r="L4452" s="706"/>
      <c r="M4452" s="781"/>
      <c r="N4452" s="182"/>
      <c r="O4452" s="188"/>
      <c r="P4452" s="221"/>
      <c r="Q4452" s="106"/>
      <c r="R4452" s="108"/>
      <c r="S4452" s="108"/>
      <c r="T4452" s="108"/>
      <c r="U4452" s="108" t="str">
        <f>IFERROR(VLOOKUP(CONCATENATE(Tabla1[[#This Row],[Severidad]]," ",Tabla1[[#This Row],[Complejidad]]),Catalogos!E$120:G$128,3,FALSE),"")</f>
        <v/>
      </c>
      <c r="V4452" s="108" t="str">
        <f>IF(Tabla1[[#This Row],[Tiempo solución max (hrs)]]&lt;&gt;"",IF(Tabla1[[#This Row],[Tiempo solución max (hrs)]]&gt;=Tabla1[[#This Row],[Tiempo
(Hrs 00/100)]],"cumple","no cumple"),"")</f>
        <v/>
      </c>
      <c r="W4452" s="17"/>
      <c r="X4452" s="18">
        <f t="shared" si="259"/>
        <v>0</v>
      </c>
      <c r="Y4452" t="str">
        <f>SUBSTITUTE(Tabla1[[#This Row],[Descripción]],CHAR(10),"    I    ")</f>
        <v/>
      </c>
      <c r="Z4452" s="112" t="e">
        <f>VLOOKUP(Tabla1[[#This Row],[Perfil]],Catalogos!$B$75:$D$100,3,FALSE)*Tabla1[[#This Row],[Tiempo
(Hrs 00/100)]]*1.16</f>
        <v>#N/A</v>
      </c>
    </row>
    <row r="4453" spans="1:26" ht="30" customHeight="1" x14ac:dyDescent="0.3">
      <c r="A4453" s="106"/>
      <c r="B4453" s="106"/>
      <c r="C4453" s="106"/>
      <c r="D4453" s="106"/>
      <c r="E4453" s="106"/>
      <c r="F4453" s="106"/>
      <c r="G4453" s="106"/>
      <c r="H4453" s="107"/>
      <c r="I4453" s="95"/>
      <c r="J4453" s="706"/>
      <c r="K4453" s="769"/>
      <c r="L4453" s="706"/>
      <c r="M4453" s="781"/>
      <c r="N4453" s="182"/>
      <c r="O4453" s="188"/>
      <c r="P4453" s="221"/>
      <c r="Q4453" s="106"/>
      <c r="R4453" s="108"/>
      <c r="S4453" s="108"/>
      <c r="T4453" s="108"/>
      <c r="U4453" s="108" t="str">
        <f>IFERROR(VLOOKUP(CONCATENATE(Tabla1[[#This Row],[Severidad]]," ",Tabla1[[#This Row],[Complejidad]]),Catalogos!E$120:G$128,3,FALSE),"")</f>
        <v/>
      </c>
      <c r="V4453" s="108" t="str">
        <f>IF(Tabla1[[#This Row],[Tiempo solución max (hrs)]]&lt;&gt;"",IF(Tabla1[[#This Row],[Tiempo solución max (hrs)]]&gt;=Tabla1[[#This Row],[Tiempo
(Hrs 00/100)]],"cumple","no cumple"),"")</f>
        <v/>
      </c>
      <c r="W4453" s="17"/>
      <c r="X4453" s="18">
        <f t="shared" si="259"/>
        <v>0</v>
      </c>
      <c r="Y4453" t="str">
        <f>SUBSTITUTE(Tabla1[[#This Row],[Descripción]],CHAR(10),"    I    ")</f>
        <v/>
      </c>
      <c r="Z4453" s="112" t="e">
        <f>VLOOKUP(Tabla1[[#This Row],[Perfil]],Catalogos!$B$75:$D$100,3,FALSE)*Tabla1[[#This Row],[Tiempo
(Hrs 00/100)]]*1.16</f>
        <v>#N/A</v>
      </c>
    </row>
    <row r="4454" spans="1:26" ht="30" customHeight="1" x14ac:dyDescent="0.3">
      <c r="A4454" s="106"/>
      <c r="B4454" s="106"/>
      <c r="C4454" s="106"/>
      <c r="D4454" s="106"/>
      <c r="E4454" s="106"/>
      <c r="F4454" s="106"/>
      <c r="G4454" s="106"/>
      <c r="H4454" s="107"/>
      <c r="I4454" s="95"/>
      <c r="J4454" s="706"/>
      <c r="K4454" s="769"/>
      <c r="L4454" s="706"/>
      <c r="M4454" s="781"/>
      <c r="N4454" s="182"/>
      <c r="O4454" s="188"/>
      <c r="P4454" s="221"/>
      <c r="Q4454" s="106"/>
      <c r="R4454" s="108"/>
      <c r="S4454" s="108"/>
      <c r="T4454" s="108"/>
      <c r="U4454" s="108" t="str">
        <f>IFERROR(VLOOKUP(CONCATENATE(Tabla1[[#This Row],[Severidad]]," ",Tabla1[[#This Row],[Complejidad]]),Catalogos!E$120:G$128,3,FALSE),"")</f>
        <v/>
      </c>
      <c r="V4454" s="108" t="str">
        <f>IF(Tabla1[[#This Row],[Tiempo solución max (hrs)]]&lt;&gt;"",IF(Tabla1[[#This Row],[Tiempo solución max (hrs)]]&gt;=Tabla1[[#This Row],[Tiempo
(Hrs 00/100)]],"cumple","no cumple"),"")</f>
        <v/>
      </c>
      <c r="W4454" s="17"/>
      <c r="X4454" s="18">
        <f t="shared" si="259"/>
        <v>0</v>
      </c>
      <c r="Y4454" t="str">
        <f>SUBSTITUTE(Tabla1[[#This Row],[Descripción]],CHAR(10),"    I    ")</f>
        <v/>
      </c>
      <c r="Z4454" s="112" t="e">
        <f>VLOOKUP(Tabla1[[#This Row],[Perfil]],Catalogos!$B$75:$D$100,3,FALSE)*Tabla1[[#This Row],[Tiempo
(Hrs 00/100)]]*1.16</f>
        <v>#N/A</v>
      </c>
    </row>
    <row r="4455" spans="1:26" ht="30" customHeight="1" x14ac:dyDescent="0.3">
      <c r="A4455" s="106"/>
      <c r="B4455" s="106"/>
      <c r="C4455" s="106"/>
      <c r="D4455" s="106"/>
      <c r="E4455" s="106"/>
      <c r="F4455" s="106"/>
      <c r="G4455" s="106"/>
      <c r="H4455" s="107"/>
      <c r="I4455" s="95"/>
      <c r="J4455" s="706"/>
      <c r="K4455" s="769"/>
      <c r="L4455" s="706"/>
      <c r="M4455" s="781"/>
      <c r="N4455" s="182"/>
      <c r="O4455" s="188"/>
      <c r="P4455" s="221"/>
      <c r="Q4455" s="106"/>
      <c r="R4455" s="108"/>
      <c r="S4455" s="108"/>
      <c r="T4455" s="108"/>
      <c r="U4455" s="108" t="str">
        <f>IFERROR(VLOOKUP(CONCATENATE(Tabla1[[#This Row],[Severidad]]," ",Tabla1[[#This Row],[Complejidad]]),Catalogos!E$120:G$128,3,FALSE),"")</f>
        <v/>
      </c>
      <c r="V4455" s="108" t="str">
        <f>IF(Tabla1[[#This Row],[Tiempo solución max (hrs)]]&lt;&gt;"",IF(Tabla1[[#This Row],[Tiempo solución max (hrs)]]&gt;=Tabla1[[#This Row],[Tiempo
(Hrs 00/100)]],"cumple","no cumple"),"")</f>
        <v/>
      </c>
      <c r="W4455" s="17"/>
      <c r="X4455" s="18">
        <f t="shared" si="259"/>
        <v>0</v>
      </c>
      <c r="Y4455" t="str">
        <f>SUBSTITUTE(Tabla1[[#This Row],[Descripción]],CHAR(10),"    I    ")</f>
        <v/>
      </c>
      <c r="Z4455" s="112" t="e">
        <f>VLOOKUP(Tabla1[[#This Row],[Perfil]],Catalogos!$B$75:$D$100,3,FALSE)*Tabla1[[#This Row],[Tiempo
(Hrs 00/100)]]*1.16</f>
        <v>#N/A</v>
      </c>
    </row>
    <row r="4456" spans="1:26" ht="30" customHeight="1" x14ac:dyDescent="0.3">
      <c r="A4456" s="106"/>
      <c r="B4456" s="106"/>
      <c r="C4456" s="106"/>
      <c r="D4456" s="106"/>
      <c r="E4456" s="106"/>
      <c r="F4456" s="106"/>
      <c r="G4456" s="106"/>
      <c r="H4456" s="107"/>
      <c r="I4456" s="95"/>
      <c r="J4456" s="706"/>
      <c r="K4456" s="769"/>
      <c r="L4456" s="706"/>
      <c r="M4456" s="781"/>
      <c r="N4456" s="182"/>
      <c r="O4456" s="188"/>
      <c r="P4456" s="221"/>
      <c r="Q4456" s="106"/>
      <c r="R4456" s="108"/>
      <c r="S4456" s="108"/>
      <c r="T4456" s="108"/>
      <c r="U4456" s="108" t="str">
        <f>IFERROR(VLOOKUP(CONCATENATE(Tabla1[[#This Row],[Severidad]]," ",Tabla1[[#This Row],[Complejidad]]),Catalogos!E$120:G$128,3,FALSE),"")</f>
        <v/>
      </c>
      <c r="V4456" s="108" t="str">
        <f>IF(Tabla1[[#This Row],[Tiempo solución max (hrs)]]&lt;&gt;"",IF(Tabla1[[#This Row],[Tiempo solución max (hrs)]]&gt;=Tabla1[[#This Row],[Tiempo
(Hrs 00/100)]],"cumple","no cumple"),"")</f>
        <v/>
      </c>
      <c r="W4456" s="17"/>
      <c r="X4456" s="18">
        <f t="shared" si="259"/>
        <v>0</v>
      </c>
      <c r="Y4456" t="str">
        <f>SUBSTITUTE(Tabla1[[#This Row],[Descripción]],CHAR(10),"    I    ")</f>
        <v/>
      </c>
      <c r="Z4456" s="112" t="e">
        <f>VLOOKUP(Tabla1[[#This Row],[Perfil]],Catalogos!$B$75:$D$100,3,FALSE)*Tabla1[[#This Row],[Tiempo
(Hrs 00/100)]]*1.16</f>
        <v>#N/A</v>
      </c>
    </row>
    <row r="4457" spans="1:26" ht="30" customHeight="1" x14ac:dyDescent="0.3">
      <c r="A4457" s="106"/>
      <c r="B4457" s="106"/>
      <c r="C4457" s="106"/>
      <c r="D4457" s="106"/>
      <c r="E4457" s="106"/>
      <c r="F4457" s="106"/>
      <c r="G4457" s="106"/>
      <c r="H4457" s="107"/>
      <c r="I4457" s="95"/>
      <c r="J4457" s="706"/>
      <c r="K4457" s="769"/>
      <c r="L4457" s="706"/>
      <c r="M4457" s="781"/>
      <c r="N4457" s="182"/>
      <c r="O4457" s="188"/>
      <c r="P4457" s="221"/>
      <c r="Q4457" s="106"/>
      <c r="R4457" s="108"/>
      <c r="S4457" s="108"/>
      <c r="T4457" s="108"/>
      <c r="U4457" s="108" t="str">
        <f>IFERROR(VLOOKUP(CONCATENATE(Tabla1[[#This Row],[Severidad]]," ",Tabla1[[#This Row],[Complejidad]]),Catalogos!E$120:G$128,3,FALSE),"")</f>
        <v/>
      </c>
      <c r="V4457" s="108" t="str">
        <f>IF(Tabla1[[#This Row],[Tiempo solución max (hrs)]]&lt;&gt;"",IF(Tabla1[[#This Row],[Tiempo solución max (hrs)]]&gt;=Tabla1[[#This Row],[Tiempo
(Hrs 00/100)]],"cumple","no cumple"),"")</f>
        <v/>
      </c>
      <c r="W4457" s="17"/>
      <c r="X4457" s="18">
        <f t="shared" si="259"/>
        <v>0</v>
      </c>
      <c r="Y4457" t="str">
        <f>SUBSTITUTE(Tabla1[[#This Row],[Descripción]],CHAR(10),"    I    ")</f>
        <v/>
      </c>
      <c r="Z4457" s="112" t="e">
        <f>VLOOKUP(Tabla1[[#This Row],[Perfil]],Catalogos!$B$75:$D$100,3,FALSE)*Tabla1[[#This Row],[Tiempo
(Hrs 00/100)]]*1.16</f>
        <v>#N/A</v>
      </c>
    </row>
    <row r="4458" spans="1:26" ht="30" customHeight="1" x14ac:dyDescent="0.3">
      <c r="A4458" s="106"/>
      <c r="B4458" s="106"/>
      <c r="C4458" s="106"/>
      <c r="D4458" s="106"/>
      <c r="E4458" s="106"/>
      <c r="F4458" s="106"/>
      <c r="G4458" s="106"/>
      <c r="H4458" s="107"/>
      <c r="I4458" s="95"/>
      <c r="J4458" s="706"/>
      <c r="K4458" s="769"/>
      <c r="L4458" s="706"/>
      <c r="M4458" s="781"/>
      <c r="N4458" s="182"/>
      <c r="O4458" s="188"/>
      <c r="P4458" s="221"/>
      <c r="Q4458" s="106"/>
      <c r="R4458" s="108"/>
      <c r="S4458" s="108"/>
      <c r="T4458" s="108"/>
      <c r="U4458" s="108" t="str">
        <f>IFERROR(VLOOKUP(CONCATENATE(Tabla1[[#This Row],[Severidad]]," ",Tabla1[[#This Row],[Complejidad]]),Catalogos!E$120:G$128,3,FALSE),"")</f>
        <v/>
      </c>
      <c r="V4458" s="108" t="str">
        <f>IF(Tabla1[[#This Row],[Tiempo solución max (hrs)]]&lt;&gt;"",IF(Tabla1[[#This Row],[Tiempo solución max (hrs)]]&gt;=Tabla1[[#This Row],[Tiempo
(Hrs 00/100)]],"cumple","no cumple"),"")</f>
        <v/>
      </c>
      <c r="W4458" s="17"/>
      <c r="X4458" s="18">
        <f t="shared" si="259"/>
        <v>0</v>
      </c>
      <c r="Y4458" t="str">
        <f>SUBSTITUTE(Tabla1[[#This Row],[Descripción]],CHAR(10),"    I    ")</f>
        <v/>
      </c>
      <c r="Z4458" s="112" t="e">
        <f>VLOOKUP(Tabla1[[#This Row],[Perfil]],Catalogos!$B$75:$D$100,3,FALSE)*Tabla1[[#This Row],[Tiempo
(Hrs 00/100)]]*1.16</f>
        <v>#N/A</v>
      </c>
    </row>
    <row r="4459" spans="1:26" ht="30" customHeight="1" x14ac:dyDescent="0.3">
      <c r="A4459" s="106"/>
      <c r="B4459" s="106"/>
      <c r="C4459" s="106"/>
      <c r="D4459" s="106"/>
      <c r="E4459" s="106"/>
      <c r="F4459" s="106"/>
      <c r="G4459" s="106"/>
      <c r="H4459" s="107"/>
      <c r="I4459" s="95"/>
      <c r="J4459" s="706"/>
      <c r="K4459" s="769"/>
      <c r="L4459" s="706"/>
      <c r="M4459" s="781"/>
      <c r="N4459" s="182"/>
      <c r="O4459" s="188"/>
      <c r="P4459" s="221"/>
      <c r="Q4459" s="106"/>
      <c r="R4459" s="108"/>
      <c r="S4459" s="108"/>
      <c r="T4459" s="108"/>
      <c r="U4459" s="108" t="str">
        <f>IFERROR(VLOOKUP(CONCATENATE(Tabla1[[#This Row],[Severidad]]," ",Tabla1[[#This Row],[Complejidad]]),Catalogos!E$120:G$128,3,FALSE),"")</f>
        <v/>
      </c>
      <c r="V4459" s="108" t="str">
        <f>IF(Tabla1[[#This Row],[Tiempo solución max (hrs)]]&lt;&gt;"",IF(Tabla1[[#This Row],[Tiempo solución max (hrs)]]&gt;=Tabla1[[#This Row],[Tiempo
(Hrs 00/100)]],"cumple","no cumple"),"")</f>
        <v/>
      </c>
      <c r="W4459" s="17"/>
      <c r="X4459" s="18">
        <f t="shared" si="259"/>
        <v>0</v>
      </c>
      <c r="Y4459" t="str">
        <f>SUBSTITUTE(Tabla1[[#This Row],[Descripción]],CHAR(10),"    I    ")</f>
        <v/>
      </c>
      <c r="Z4459" s="112" t="e">
        <f>VLOOKUP(Tabla1[[#This Row],[Perfil]],Catalogos!$B$75:$D$100,3,FALSE)*Tabla1[[#This Row],[Tiempo
(Hrs 00/100)]]*1.16</f>
        <v>#N/A</v>
      </c>
    </row>
    <row r="4460" spans="1:26" ht="30" customHeight="1" x14ac:dyDescent="0.3">
      <c r="A4460" s="106"/>
      <c r="B4460" s="106"/>
      <c r="C4460" s="106"/>
      <c r="D4460" s="106"/>
      <c r="E4460" s="106"/>
      <c r="F4460" s="106"/>
      <c r="G4460" s="106"/>
      <c r="H4460" s="107"/>
      <c r="I4460" s="95"/>
      <c r="J4460" s="706"/>
      <c r="K4460" s="769"/>
      <c r="L4460" s="706"/>
      <c r="M4460" s="781"/>
      <c r="N4460" s="182"/>
      <c r="O4460" s="188"/>
      <c r="P4460" s="221"/>
      <c r="Q4460" s="106"/>
      <c r="R4460" s="108"/>
      <c r="S4460" s="108"/>
      <c r="T4460" s="108"/>
      <c r="U4460" s="108" t="str">
        <f>IFERROR(VLOOKUP(CONCATENATE(Tabla1[[#This Row],[Severidad]]," ",Tabla1[[#This Row],[Complejidad]]),Catalogos!E$120:G$128,3,FALSE),"")</f>
        <v/>
      </c>
      <c r="V4460" s="108" t="str">
        <f>IF(Tabla1[[#This Row],[Tiempo solución max (hrs)]]&lt;&gt;"",IF(Tabla1[[#This Row],[Tiempo solución max (hrs)]]&gt;=Tabla1[[#This Row],[Tiempo
(Hrs 00/100)]],"cumple","no cumple"),"")</f>
        <v/>
      </c>
      <c r="W4460" s="17"/>
      <c r="X4460" s="18">
        <f t="shared" si="259"/>
        <v>0</v>
      </c>
      <c r="Y4460" t="str">
        <f>SUBSTITUTE(Tabla1[[#This Row],[Descripción]],CHAR(10),"    I    ")</f>
        <v/>
      </c>
      <c r="Z4460" s="112" t="e">
        <f>VLOOKUP(Tabla1[[#This Row],[Perfil]],Catalogos!$B$75:$D$100,3,FALSE)*Tabla1[[#This Row],[Tiempo
(Hrs 00/100)]]*1.16</f>
        <v>#N/A</v>
      </c>
    </row>
    <row r="4461" spans="1:26" ht="30" customHeight="1" x14ac:dyDescent="0.3">
      <c r="A4461" s="106"/>
      <c r="B4461" s="106"/>
      <c r="C4461" s="106"/>
      <c r="D4461" s="106"/>
      <c r="E4461" s="106"/>
      <c r="F4461" s="106"/>
      <c r="G4461" s="106"/>
      <c r="H4461" s="107"/>
      <c r="I4461" s="95"/>
      <c r="J4461" s="706"/>
      <c r="K4461" s="769"/>
      <c r="L4461" s="706"/>
      <c r="M4461" s="781"/>
      <c r="N4461" s="182"/>
      <c r="O4461" s="188"/>
      <c r="P4461" s="221"/>
      <c r="Q4461" s="106"/>
      <c r="R4461" s="108"/>
      <c r="S4461" s="108"/>
      <c r="T4461" s="108"/>
      <c r="U4461" s="108" t="str">
        <f>IFERROR(VLOOKUP(CONCATENATE(Tabla1[[#This Row],[Severidad]]," ",Tabla1[[#This Row],[Complejidad]]),Catalogos!E$120:G$128,3,FALSE),"")</f>
        <v/>
      </c>
      <c r="V4461" s="108" t="str">
        <f>IF(Tabla1[[#This Row],[Tiempo solución max (hrs)]]&lt;&gt;"",IF(Tabla1[[#This Row],[Tiempo solución max (hrs)]]&gt;=Tabla1[[#This Row],[Tiempo
(Hrs 00/100)]],"cumple","no cumple"),"")</f>
        <v/>
      </c>
      <c r="W4461" s="17"/>
      <c r="X4461" s="18">
        <f t="shared" si="259"/>
        <v>0</v>
      </c>
      <c r="Y4461" t="str">
        <f>SUBSTITUTE(Tabla1[[#This Row],[Descripción]],CHAR(10),"    I    ")</f>
        <v/>
      </c>
      <c r="Z4461" s="112" t="e">
        <f>VLOOKUP(Tabla1[[#This Row],[Perfil]],Catalogos!$B$75:$D$100,3,FALSE)*Tabla1[[#This Row],[Tiempo
(Hrs 00/100)]]*1.16</f>
        <v>#N/A</v>
      </c>
    </row>
    <row r="4462" spans="1:26" ht="30" customHeight="1" x14ac:dyDescent="0.3">
      <c r="A4462" s="106"/>
      <c r="B4462" s="106"/>
      <c r="C4462" s="106"/>
      <c r="D4462" s="106"/>
      <c r="E4462" s="106"/>
      <c r="F4462" s="106"/>
      <c r="G4462" s="106"/>
      <c r="H4462" s="107"/>
      <c r="I4462" s="95"/>
      <c r="J4462" s="706"/>
      <c r="K4462" s="769"/>
      <c r="L4462" s="706"/>
      <c r="M4462" s="781"/>
      <c r="N4462" s="182"/>
      <c r="O4462" s="188"/>
      <c r="P4462" s="221"/>
      <c r="Q4462" s="106"/>
      <c r="R4462" s="108"/>
      <c r="S4462" s="108"/>
      <c r="T4462" s="108"/>
      <c r="U4462" s="108" t="str">
        <f>IFERROR(VLOOKUP(CONCATENATE(Tabla1[[#This Row],[Severidad]]," ",Tabla1[[#This Row],[Complejidad]]),Catalogos!E$120:G$128,3,FALSE),"")</f>
        <v/>
      </c>
      <c r="V4462" s="108" t="str">
        <f>IF(Tabla1[[#This Row],[Tiempo solución max (hrs)]]&lt;&gt;"",IF(Tabla1[[#This Row],[Tiempo solución max (hrs)]]&gt;=Tabla1[[#This Row],[Tiempo
(Hrs 00/100)]],"cumple","no cumple"),"")</f>
        <v/>
      </c>
      <c r="W4462" s="17"/>
      <c r="X4462" s="18">
        <f t="shared" si="259"/>
        <v>0</v>
      </c>
      <c r="Y4462" t="str">
        <f>SUBSTITUTE(Tabla1[[#This Row],[Descripción]],CHAR(10),"    I    ")</f>
        <v/>
      </c>
      <c r="Z4462" s="112" t="e">
        <f>VLOOKUP(Tabla1[[#This Row],[Perfil]],Catalogos!$B$75:$D$100,3,FALSE)*Tabla1[[#This Row],[Tiempo
(Hrs 00/100)]]*1.16</f>
        <v>#N/A</v>
      </c>
    </row>
    <row r="4463" spans="1:26" ht="30" customHeight="1" x14ac:dyDescent="0.3">
      <c r="A4463" s="106"/>
      <c r="B4463" s="106"/>
      <c r="C4463" s="106"/>
      <c r="D4463" s="106"/>
      <c r="E4463" s="106"/>
      <c r="F4463" s="106"/>
      <c r="G4463" s="106"/>
      <c r="H4463" s="107"/>
      <c r="I4463" s="95"/>
      <c r="J4463" s="706"/>
      <c r="K4463" s="769"/>
      <c r="L4463" s="706"/>
      <c r="M4463" s="781"/>
      <c r="N4463" s="182"/>
      <c r="O4463" s="188"/>
      <c r="P4463" s="221"/>
      <c r="Q4463" s="106"/>
      <c r="R4463" s="108"/>
      <c r="S4463" s="108"/>
      <c r="T4463" s="108"/>
      <c r="U4463" s="108" t="str">
        <f>IFERROR(VLOOKUP(CONCATENATE(Tabla1[[#This Row],[Severidad]]," ",Tabla1[[#This Row],[Complejidad]]),Catalogos!E$120:G$128,3,FALSE),"")</f>
        <v/>
      </c>
      <c r="V4463" s="108" t="str">
        <f>IF(Tabla1[[#This Row],[Tiempo solución max (hrs)]]&lt;&gt;"",IF(Tabla1[[#This Row],[Tiempo solución max (hrs)]]&gt;=Tabla1[[#This Row],[Tiempo
(Hrs 00/100)]],"cumple","no cumple"),"")</f>
        <v/>
      </c>
      <c r="W4463" s="17"/>
      <c r="X4463" s="18">
        <f t="shared" si="259"/>
        <v>0</v>
      </c>
      <c r="Y4463" t="str">
        <f>SUBSTITUTE(Tabla1[[#This Row],[Descripción]],CHAR(10),"    I    ")</f>
        <v/>
      </c>
      <c r="Z4463" s="112" t="e">
        <f>VLOOKUP(Tabla1[[#This Row],[Perfil]],Catalogos!$B$75:$D$100,3,FALSE)*Tabla1[[#This Row],[Tiempo
(Hrs 00/100)]]*1.16</f>
        <v>#N/A</v>
      </c>
    </row>
    <row r="4464" spans="1:26" ht="30" customHeight="1" x14ac:dyDescent="0.3">
      <c r="A4464" s="106"/>
      <c r="B4464" s="106"/>
      <c r="C4464" s="106"/>
      <c r="D4464" s="106"/>
      <c r="E4464" s="106"/>
      <c r="F4464" s="106"/>
      <c r="G4464" s="106"/>
      <c r="H4464" s="107"/>
      <c r="I4464" s="95"/>
      <c r="J4464" s="706"/>
      <c r="K4464" s="769"/>
      <c r="L4464" s="706"/>
      <c r="M4464" s="781"/>
      <c r="N4464" s="182"/>
      <c r="O4464" s="188"/>
      <c r="P4464" s="221"/>
      <c r="Q4464" s="106"/>
      <c r="R4464" s="108"/>
      <c r="S4464" s="108"/>
      <c r="T4464" s="108"/>
      <c r="U4464" s="108" t="str">
        <f>IFERROR(VLOOKUP(CONCATENATE(Tabla1[[#This Row],[Severidad]]," ",Tabla1[[#This Row],[Complejidad]]),Catalogos!E$120:G$128,3,FALSE),"")</f>
        <v/>
      </c>
      <c r="V4464" s="108" t="str">
        <f>IF(Tabla1[[#This Row],[Tiempo solución max (hrs)]]&lt;&gt;"",IF(Tabla1[[#This Row],[Tiempo solución max (hrs)]]&gt;=Tabla1[[#This Row],[Tiempo
(Hrs 00/100)]],"cumple","no cumple"),"")</f>
        <v/>
      </c>
      <c r="W4464" s="17"/>
      <c r="X4464" s="18">
        <f t="shared" si="259"/>
        <v>0</v>
      </c>
      <c r="Y4464" t="str">
        <f>SUBSTITUTE(Tabla1[[#This Row],[Descripción]],CHAR(10),"    I    ")</f>
        <v/>
      </c>
      <c r="Z4464" s="112" t="e">
        <f>VLOOKUP(Tabla1[[#This Row],[Perfil]],Catalogos!$B$75:$D$100,3,FALSE)*Tabla1[[#This Row],[Tiempo
(Hrs 00/100)]]*1.16</f>
        <v>#N/A</v>
      </c>
    </row>
    <row r="4465" spans="1:26" ht="30" customHeight="1" x14ac:dyDescent="0.3">
      <c r="A4465" s="106"/>
      <c r="B4465" s="106"/>
      <c r="C4465" s="106"/>
      <c r="D4465" s="106"/>
      <c r="E4465" s="106"/>
      <c r="F4465" s="106"/>
      <c r="G4465" s="106"/>
      <c r="H4465" s="107"/>
      <c r="I4465" s="95"/>
      <c r="J4465" s="706"/>
      <c r="K4465" s="769"/>
      <c r="L4465" s="706"/>
      <c r="M4465" s="781"/>
      <c r="N4465" s="182"/>
      <c r="O4465" s="188"/>
      <c r="P4465" s="221"/>
      <c r="Q4465" s="106"/>
      <c r="R4465" s="108"/>
      <c r="S4465" s="108"/>
      <c r="T4465" s="108"/>
      <c r="U4465" s="108" t="str">
        <f>IFERROR(VLOOKUP(CONCATENATE(Tabla1[[#This Row],[Severidad]]," ",Tabla1[[#This Row],[Complejidad]]),Catalogos!E$120:G$128,3,FALSE),"")</f>
        <v/>
      </c>
      <c r="V4465" s="108" t="str">
        <f>IF(Tabla1[[#This Row],[Tiempo solución max (hrs)]]&lt;&gt;"",IF(Tabla1[[#This Row],[Tiempo solución max (hrs)]]&gt;=Tabla1[[#This Row],[Tiempo
(Hrs 00/100)]],"cumple","no cumple"),"")</f>
        <v/>
      </c>
      <c r="W4465" s="17"/>
      <c r="X4465" s="18">
        <f t="shared" si="259"/>
        <v>0</v>
      </c>
      <c r="Y4465" t="str">
        <f>SUBSTITUTE(Tabla1[[#This Row],[Descripción]],CHAR(10),"    I    ")</f>
        <v/>
      </c>
      <c r="Z4465" s="112" t="e">
        <f>VLOOKUP(Tabla1[[#This Row],[Perfil]],Catalogos!$B$75:$D$100,3,FALSE)*Tabla1[[#This Row],[Tiempo
(Hrs 00/100)]]*1.16</f>
        <v>#N/A</v>
      </c>
    </row>
    <row r="4466" spans="1:26" ht="30" customHeight="1" x14ac:dyDescent="0.3">
      <c r="A4466" s="106"/>
      <c r="B4466" s="106"/>
      <c r="C4466" s="106"/>
      <c r="D4466" s="106"/>
      <c r="E4466" s="106"/>
      <c r="F4466" s="106"/>
      <c r="G4466" s="106"/>
      <c r="H4466" s="107"/>
      <c r="I4466" s="95"/>
      <c r="J4466" s="706"/>
      <c r="K4466" s="769"/>
      <c r="L4466" s="706"/>
      <c r="M4466" s="781"/>
      <c r="N4466" s="182"/>
      <c r="O4466" s="188"/>
      <c r="P4466" s="221"/>
      <c r="Q4466" s="106"/>
      <c r="R4466" s="108"/>
      <c r="S4466" s="108"/>
      <c r="T4466" s="108"/>
      <c r="U4466" s="108" t="str">
        <f>IFERROR(VLOOKUP(CONCATENATE(Tabla1[[#This Row],[Severidad]]," ",Tabla1[[#This Row],[Complejidad]]),Catalogos!E$120:G$128,3,FALSE),"")</f>
        <v/>
      </c>
      <c r="V4466" s="108" t="str">
        <f>IF(Tabla1[[#This Row],[Tiempo solución max (hrs)]]&lt;&gt;"",IF(Tabla1[[#This Row],[Tiempo solución max (hrs)]]&gt;=Tabla1[[#This Row],[Tiempo
(Hrs 00/100)]],"cumple","no cumple"),"")</f>
        <v/>
      </c>
      <c r="W4466" s="17"/>
      <c r="X4466" s="18">
        <f t="shared" si="259"/>
        <v>0</v>
      </c>
      <c r="Y4466" t="str">
        <f>SUBSTITUTE(Tabla1[[#This Row],[Descripción]],CHAR(10),"    I    ")</f>
        <v/>
      </c>
      <c r="Z4466" s="112" t="e">
        <f>VLOOKUP(Tabla1[[#This Row],[Perfil]],Catalogos!$B$75:$D$100,3,FALSE)*Tabla1[[#This Row],[Tiempo
(Hrs 00/100)]]*1.16</f>
        <v>#N/A</v>
      </c>
    </row>
    <row r="4467" spans="1:26" ht="30" customHeight="1" x14ac:dyDescent="0.3">
      <c r="A4467" s="106"/>
      <c r="B4467" s="106"/>
      <c r="C4467" s="106"/>
      <c r="D4467" s="106"/>
      <c r="E4467" s="106"/>
      <c r="F4467" s="106"/>
      <c r="G4467" s="106"/>
      <c r="H4467" s="107"/>
      <c r="I4467" s="95"/>
      <c r="J4467" s="706"/>
      <c r="K4467" s="769"/>
      <c r="L4467" s="706"/>
      <c r="M4467" s="781"/>
      <c r="N4467" s="182"/>
      <c r="O4467" s="188"/>
      <c r="P4467" s="221"/>
      <c r="Q4467" s="106"/>
      <c r="R4467" s="108"/>
      <c r="S4467" s="108"/>
      <c r="T4467" s="108"/>
      <c r="U4467" s="108" t="str">
        <f>IFERROR(VLOOKUP(CONCATENATE(Tabla1[[#This Row],[Severidad]]," ",Tabla1[[#This Row],[Complejidad]]),Catalogos!E$120:G$128,3,FALSE),"")</f>
        <v/>
      </c>
      <c r="V4467" s="108" t="str">
        <f>IF(Tabla1[[#This Row],[Tiempo solución max (hrs)]]&lt;&gt;"",IF(Tabla1[[#This Row],[Tiempo solución max (hrs)]]&gt;=Tabla1[[#This Row],[Tiempo
(Hrs 00/100)]],"cumple","no cumple"),"")</f>
        <v/>
      </c>
      <c r="W4467" s="17"/>
      <c r="X4467" s="18">
        <f t="shared" si="259"/>
        <v>0</v>
      </c>
      <c r="Y4467" t="str">
        <f>SUBSTITUTE(Tabla1[[#This Row],[Descripción]],CHAR(10),"    I    ")</f>
        <v/>
      </c>
      <c r="Z4467" s="112" t="e">
        <f>VLOOKUP(Tabla1[[#This Row],[Perfil]],Catalogos!$B$75:$D$100,3,FALSE)*Tabla1[[#This Row],[Tiempo
(Hrs 00/100)]]*1.16</f>
        <v>#N/A</v>
      </c>
    </row>
    <row r="4468" spans="1:26" ht="30" customHeight="1" x14ac:dyDescent="0.3">
      <c r="A4468" s="106"/>
      <c r="B4468" s="106"/>
      <c r="C4468" s="106"/>
      <c r="D4468" s="106"/>
      <c r="E4468" s="106"/>
      <c r="F4468" s="106"/>
      <c r="G4468" s="106"/>
      <c r="H4468" s="107"/>
      <c r="I4468" s="95"/>
      <c r="J4468" s="706"/>
      <c r="K4468" s="769"/>
      <c r="L4468" s="706"/>
      <c r="M4468" s="781"/>
      <c r="N4468" s="182"/>
      <c r="O4468" s="188"/>
      <c r="P4468" s="221"/>
      <c r="Q4468" s="106"/>
      <c r="R4468" s="108"/>
      <c r="S4468" s="108"/>
      <c r="T4468" s="108"/>
      <c r="U4468" s="108" t="str">
        <f>IFERROR(VLOOKUP(CONCATENATE(Tabla1[[#This Row],[Severidad]]," ",Tabla1[[#This Row],[Complejidad]]),Catalogos!E$120:G$128,3,FALSE),"")</f>
        <v/>
      </c>
      <c r="V4468" s="108" t="str">
        <f>IF(Tabla1[[#This Row],[Tiempo solución max (hrs)]]&lt;&gt;"",IF(Tabla1[[#This Row],[Tiempo solución max (hrs)]]&gt;=Tabla1[[#This Row],[Tiempo
(Hrs 00/100)]],"cumple","no cumple"),"")</f>
        <v/>
      </c>
      <c r="W4468" s="17"/>
      <c r="X4468" s="18">
        <f t="shared" si="259"/>
        <v>0</v>
      </c>
      <c r="Y4468" t="str">
        <f>SUBSTITUTE(Tabla1[[#This Row],[Descripción]],CHAR(10),"    I    ")</f>
        <v/>
      </c>
      <c r="Z4468" s="112" t="e">
        <f>VLOOKUP(Tabla1[[#This Row],[Perfil]],Catalogos!$B$75:$D$100,3,FALSE)*Tabla1[[#This Row],[Tiempo
(Hrs 00/100)]]*1.16</f>
        <v>#N/A</v>
      </c>
    </row>
    <row r="4469" spans="1:26" ht="30" customHeight="1" x14ac:dyDescent="0.3">
      <c r="A4469" s="106"/>
      <c r="B4469" s="106"/>
      <c r="C4469" s="106"/>
      <c r="D4469" s="106"/>
      <c r="E4469" s="106"/>
      <c r="F4469" s="106"/>
      <c r="G4469" s="106"/>
      <c r="H4469" s="107"/>
      <c r="I4469" s="95"/>
      <c r="J4469" s="706"/>
      <c r="K4469" s="769"/>
      <c r="L4469" s="706"/>
      <c r="M4469" s="781"/>
      <c r="N4469" s="182"/>
      <c r="O4469" s="188"/>
      <c r="P4469" s="221"/>
      <c r="Q4469" s="106"/>
      <c r="R4469" s="108"/>
      <c r="S4469" s="108"/>
      <c r="T4469" s="108"/>
      <c r="U4469" s="108" t="str">
        <f>IFERROR(VLOOKUP(CONCATENATE(Tabla1[[#This Row],[Severidad]]," ",Tabla1[[#This Row],[Complejidad]]),Catalogos!E$120:G$128,3,FALSE),"")</f>
        <v/>
      </c>
      <c r="V4469" s="108" t="str">
        <f>IF(Tabla1[[#This Row],[Tiempo solución max (hrs)]]&lt;&gt;"",IF(Tabla1[[#This Row],[Tiempo solución max (hrs)]]&gt;=Tabla1[[#This Row],[Tiempo
(Hrs 00/100)]],"cumple","no cumple"),"")</f>
        <v/>
      </c>
      <c r="W4469" s="17"/>
      <c r="X4469" s="18">
        <f t="shared" si="259"/>
        <v>0</v>
      </c>
      <c r="Y4469" t="str">
        <f>SUBSTITUTE(Tabla1[[#This Row],[Descripción]],CHAR(10),"    I    ")</f>
        <v/>
      </c>
      <c r="Z4469" s="112" t="e">
        <f>VLOOKUP(Tabla1[[#This Row],[Perfil]],Catalogos!$B$75:$D$100,3,FALSE)*Tabla1[[#This Row],[Tiempo
(Hrs 00/100)]]*1.16</f>
        <v>#N/A</v>
      </c>
    </row>
    <row r="4470" spans="1:26" ht="30" customHeight="1" x14ac:dyDescent="0.3">
      <c r="A4470" s="106"/>
      <c r="B4470" s="106"/>
      <c r="C4470" s="106"/>
      <c r="D4470" s="106"/>
      <c r="E4470" s="106"/>
      <c r="F4470" s="106"/>
      <c r="G4470" s="106"/>
      <c r="H4470" s="107"/>
      <c r="I4470" s="95"/>
      <c r="J4470" s="706"/>
      <c r="K4470" s="769"/>
      <c r="L4470" s="706"/>
      <c r="M4470" s="781"/>
      <c r="N4470" s="182"/>
      <c r="O4470" s="188"/>
      <c r="P4470" s="221"/>
      <c r="Q4470" s="106"/>
      <c r="R4470" s="108"/>
      <c r="S4470" s="108"/>
      <c r="T4470" s="108"/>
      <c r="U4470" s="108" t="str">
        <f>IFERROR(VLOOKUP(CONCATENATE(Tabla1[[#This Row],[Severidad]]," ",Tabla1[[#This Row],[Complejidad]]),Catalogos!E$120:G$128,3,FALSE),"")</f>
        <v/>
      </c>
      <c r="V4470" s="108" t="str">
        <f>IF(Tabla1[[#This Row],[Tiempo solución max (hrs)]]&lt;&gt;"",IF(Tabla1[[#This Row],[Tiempo solución max (hrs)]]&gt;=Tabla1[[#This Row],[Tiempo
(Hrs 00/100)]],"cumple","no cumple"),"")</f>
        <v/>
      </c>
      <c r="W4470" s="17"/>
      <c r="X4470" s="18">
        <f t="shared" si="259"/>
        <v>0</v>
      </c>
      <c r="Y4470" t="str">
        <f>SUBSTITUTE(Tabla1[[#This Row],[Descripción]],CHAR(10),"    I    ")</f>
        <v/>
      </c>
      <c r="Z4470" s="112" t="e">
        <f>VLOOKUP(Tabla1[[#This Row],[Perfil]],Catalogos!$B$75:$D$100,3,FALSE)*Tabla1[[#This Row],[Tiempo
(Hrs 00/100)]]*1.16</f>
        <v>#N/A</v>
      </c>
    </row>
    <row r="4471" spans="1:26" ht="30" customHeight="1" x14ac:dyDescent="0.3">
      <c r="A4471" s="106"/>
      <c r="B4471" s="106"/>
      <c r="C4471" s="106"/>
      <c r="D4471" s="106"/>
      <c r="E4471" s="106"/>
      <c r="F4471" s="106"/>
      <c r="G4471" s="106"/>
      <c r="H4471" s="107"/>
      <c r="I4471" s="95"/>
      <c r="J4471" s="706"/>
      <c r="K4471" s="769"/>
      <c r="L4471" s="706"/>
      <c r="M4471" s="781"/>
      <c r="N4471" s="182"/>
      <c r="O4471" s="188"/>
      <c r="P4471" s="221"/>
      <c r="Q4471" s="106"/>
      <c r="R4471" s="108"/>
      <c r="S4471" s="108"/>
      <c r="T4471" s="108"/>
      <c r="U4471" s="108" t="str">
        <f>IFERROR(VLOOKUP(CONCATENATE(Tabla1[[#This Row],[Severidad]]," ",Tabla1[[#This Row],[Complejidad]]),Catalogos!E$120:G$128,3,FALSE),"")</f>
        <v/>
      </c>
      <c r="V4471" s="108" t="str">
        <f>IF(Tabla1[[#This Row],[Tiempo solución max (hrs)]]&lt;&gt;"",IF(Tabla1[[#This Row],[Tiempo solución max (hrs)]]&gt;=Tabla1[[#This Row],[Tiempo
(Hrs 00/100)]],"cumple","no cumple"),"")</f>
        <v/>
      </c>
      <c r="W4471" s="17"/>
      <c r="X4471" s="18">
        <f t="shared" si="259"/>
        <v>0</v>
      </c>
      <c r="Y4471" t="str">
        <f>SUBSTITUTE(Tabla1[[#This Row],[Descripción]],CHAR(10),"    I    ")</f>
        <v/>
      </c>
      <c r="Z4471" s="112" t="e">
        <f>VLOOKUP(Tabla1[[#This Row],[Perfil]],Catalogos!$B$75:$D$100,3,FALSE)*Tabla1[[#This Row],[Tiempo
(Hrs 00/100)]]*1.16</f>
        <v>#N/A</v>
      </c>
    </row>
    <row r="4472" spans="1:26" ht="30" customHeight="1" x14ac:dyDescent="0.3">
      <c r="A4472" s="106"/>
      <c r="B4472" s="106"/>
      <c r="C4472" s="106"/>
      <c r="D4472" s="106"/>
      <c r="E4472" s="106"/>
      <c r="F4472" s="106"/>
      <c r="G4472" s="106"/>
      <c r="H4472" s="107"/>
      <c r="I4472" s="95"/>
      <c r="J4472" s="706"/>
      <c r="K4472" s="769"/>
      <c r="L4472" s="706"/>
      <c r="M4472" s="781"/>
      <c r="N4472" s="182"/>
      <c r="O4472" s="188"/>
      <c r="P4472" s="221"/>
      <c r="Q4472" s="106"/>
      <c r="R4472" s="108"/>
      <c r="S4472" s="108"/>
      <c r="T4472" s="108"/>
      <c r="U4472" s="108" t="str">
        <f>IFERROR(VLOOKUP(CONCATENATE(Tabla1[[#This Row],[Severidad]]," ",Tabla1[[#This Row],[Complejidad]]),Catalogos!E$120:G$128,3,FALSE),"")</f>
        <v/>
      </c>
      <c r="V4472" s="108" t="str">
        <f>IF(Tabla1[[#This Row],[Tiempo solución max (hrs)]]&lt;&gt;"",IF(Tabla1[[#This Row],[Tiempo solución max (hrs)]]&gt;=Tabla1[[#This Row],[Tiempo
(Hrs 00/100)]],"cumple","no cumple"),"")</f>
        <v/>
      </c>
      <c r="W4472" s="17"/>
      <c r="X4472" s="18">
        <f t="shared" si="259"/>
        <v>0</v>
      </c>
      <c r="Y4472" t="str">
        <f>SUBSTITUTE(Tabla1[[#This Row],[Descripción]],CHAR(10),"    I    ")</f>
        <v/>
      </c>
      <c r="Z4472" s="112" t="e">
        <f>VLOOKUP(Tabla1[[#This Row],[Perfil]],Catalogos!$B$75:$D$100,3,FALSE)*Tabla1[[#This Row],[Tiempo
(Hrs 00/100)]]*1.16</f>
        <v>#N/A</v>
      </c>
    </row>
    <row r="4473" spans="1:26" ht="30" customHeight="1" x14ac:dyDescent="0.3">
      <c r="A4473" s="106"/>
      <c r="B4473" s="106"/>
      <c r="C4473" s="106"/>
      <c r="D4473" s="106"/>
      <c r="E4473" s="106"/>
      <c r="F4473" s="106"/>
      <c r="G4473" s="106"/>
      <c r="H4473" s="107"/>
      <c r="I4473" s="95"/>
      <c r="J4473" s="706"/>
      <c r="K4473" s="769"/>
      <c r="L4473" s="706"/>
      <c r="M4473" s="781"/>
      <c r="N4473" s="182"/>
      <c r="O4473" s="188"/>
      <c r="P4473" s="221"/>
      <c r="Q4473" s="106"/>
      <c r="R4473" s="108"/>
      <c r="S4473" s="108"/>
      <c r="T4473" s="108"/>
      <c r="U4473" s="108" t="str">
        <f>IFERROR(VLOOKUP(CONCATENATE(Tabla1[[#This Row],[Severidad]]," ",Tabla1[[#This Row],[Complejidad]]),Catalogos!E$120:G$128,3,FALSE),"")</f>
        <v/>
      </c>
      <c r="V4473" s="108" t="str">
        <f>IF(Tabla1[[#This Row],[Tiempo solución max (hrs)]]&lt;&gt;"",IF(Tabla1[[#This Row],[Tiempo solución max (hrs)]]&gt;=Tabla1[[#This Row],[Tiempo
(Hrs 00/100)]],"cumple","no cumple"),"")</f>
        <v/>
      </c>
      <c r="W4473" s="17"/>
      <c r="X4473" s="18">
        <f t="shared" si="259"/>
        <v>0</v>
      </c>
      <c r="Y4473" t="str">
        <f>SUBSTITUTE(Tabla1[[#This Row],[Descripción]],CHAR(10),"    I    ")</f>
        <v/>
      </c>
      <c r="Z4473" s="112" t="e">
        <f>VLOOKUP(Tabla1[[#This Row],[Perfil]],Catalogos!$B$75:$D$100,3,FALSE)*Tabla1[[#This Row],[Tiempo
(Hrs 00/100)]]*1.16</f>
        <v>#N/A</v>
      </c>
    </row>
    <row r="4474" spans="1:26" ht="30" customHeight="1" x14ac:dyDescent="0.3">
      <c r="A4474" s="106"/>
      <c r="B4474" s="106"/>
      <c r="C4474" s="106"/>
      <c r="D4474" s="106"/>
      <c r="E4474" s="106"/>
      <c r="F4474" s="106"/>
      <c r="G4474" s="106"/>
      <c r="H4474" s="107"/>
      <c r="I4474" s="95"/>
      <c r="J4474" s="706"/>
      <c r="K4474" s="769"/>
      <c r="L4474" s="706"/>
      <c r="M4474" s="781"/>
      <c r="N4474" s="182"/>
      <c r="O4474" s="188"/>
      <c r="P4474" s="221"/>
      <c r="Q4474" s="106"/>
      <c r="R4474" s="108"/>
      <c r="S4474" s="108"/>
      <c r="T4474" s="108"/>
      <c r="U4474" s="108" t="str">
        <f>IFERROR(VLOOKUP(CONCATENATE(Tabla1[[#This Row],[Severidad]]," ",Tabla1[[#This Row],[Complejidad]]),Catalogos!E$120:G$128,3,FALSE),"")</f>
        <v/>
      </c>
      <c r="V4474" s="108" t="str">
        <f>IF(Tabla1[[#This Row],[Tiempo solución max (hrs)]]&lt;&gt;"",IF(Tabla1[[#This Row],[Tiempo solución max (hrs)]]&gt;=Tabla1[[#This Row],[Tiempo
(Hrs 00/100)]],"cumple","no cumple"),"")</f>
        <v/>
      </c>
      <c r="W4474" s="17"/>
      <c r="X4474" s="18">
        <f t="shared" si="259"/>
        <v>0</v>
      </c>
      <c r="Y4474" t="str">
        <f>SUBSTITUTE(Tabla1[[#This Row],[Descripción]],CHAR(10),"    I    ")</f>
        <v/>
      </c>
      <c r="Z4474" s="112" t="e">
        <f>VLOOKUP(Tabla1[[#This Row],[Perfil]],Catalogos!$B$75:$D$100,3,FALSE)*Tabla1[[#This Row],[Tiempo
(Hrs 00/100)]]*1.16</f>
        <v>#N/A</v>
      </c>
    </row>
    <row r="4475" spans="1:26" ht="30" customHeight="1" x14ac:dyDescent="0.3">
      <c r="A4475" s="106"/>
      <c r="B4475" s="106"/>
      <c r="C4475" s="106"/>
      <c r="D4475" s="106"/>
      <c r="E4475" s="106"/>
      <c r="F4475" s="106"/>
      <c r="G4475" s="106"/>
      <c r="H4475" s="107"/>
      <c r="I4475" s="95"/>
      <c r="J4475" s="706"/>
      <c r="K4475" s="769"/>
      <c r="L4475" s="706"/>
      <c r="M4475" s="781"/>
      <c r="N4475" s="182"/>
      <c r="O4475" s="188"/>
      <c r="P4475" s="221"/>
      <c r="Q4475" s="106"/>
      <c r="R4475" s="108"/>
      <c r="S4475" s="108"/>
      <c r="T4475" s="108"/>
      <c r="U4475" s="108" t="str">
        <f>IFERROR(VLOOKUP(CONCATENATE(Tabla1[[#This Row],[Severidad]]," ",Tabla1[[#This Row],[Complejidad]]),Catalogos!E$120:G$128,3,FALSE),"")</f>
        <v/>
      </c>
      <c r="V4475" s="108" t="str">
        <f>IF(Tabla1[[#This Row],[Tiempo solución max (hrs)]]&lt;&gt;"",IF(Tabla1[[#This Row],[Tiempo solución max (hrs)]]&gt;=Tabla1[[#This Row],[Tiempo
(Hrs 00/100)]],"cumple","no cumple"),"")</f>
        <v/>
      </c>
      <c r="W4475" s="17"/>
      <c r="X4475" s="18">
        <f t="shared" si="259"/>
        <v>0</v>
      </c>
      <c r="Y4475" t="str">
        <f>SUBSTITUTE(Tabla1[[#This Row],[Descripción]],CHAR(10),"    I    ")</f>
        <v/>
      </c>
      <c r="Z4475" s="112" t="e">
        <f>VLOOKUP(Tabla1[[#This Row],[Perfil]],Catalogos!$B$75:$D$100,3,FALSE)*Tabla1[[#This Row],[Tiempo
(Hrs 00/100)]]*1.16</f>
        <v>#N/A</v>
      </c>
    </row>
    <row r="4476" spans="1:26" ht="30" customHeight="1" x14ac:dyDescent="0.3">
      <c r="A4476" s="106"/>
      <c r="B4476" s="106"/>
      <c r="C4476" s="106"/>
      <c r="D4476" s="106"/>
      <c r="E4476" s="106"/>
      <c r="F4476" s="106"/>
      <c r="G4476" s="106"/>
      <c r="H4476" s="107"/>
      <c r="I4476" s="95"/>
      <c r="J4476" s="706"/>
      <c r="K4476" s="769"/>
      <c r="L4476" s="706"/>
      <c r="M4476" s="781"/>
      <c r="N4476" s="182"/>
      <c r="O4476" s="188"/>
      <c r="P4476" s="221"/>
      <c r="Q4476" s="106"/>
      <c r="R4476" s="108"/>
      <c r="S4476" s="108"/>
      <c r="T4476" s="108"/>
      <c r="U4476" s="108" t="str">
        <f>IFERROR(VLOOKUP(CONCATENATE(Tabla1[[#This Row],[Severidad]]," ",Tabla1[[#This Row],[Complejidad]]),Catalogos!E$120:G$128,3,FALSE),"")</f>
        <v/>
      </c>
      <c r="V4476" s="108" t="str">
        <f>IF(Tabla1[[#This Row],[Tiempo solución max (hrs)]]&lt;&gt;"",IF(Tabla1[[#This Row],[Tiempo solución max (hrs)]]&gt;=Tabla1[[#This Row],[Tiempo
(Hrs 00/100)]],"cumple","no cumple"),"")</f>
        <v/>
      </c>
      <c r="W4476" s="17"/>
      <c r="X4476" s="18">
        <f t="shared" si="259"/>
        <v>0</v>
      </c>
      <c r="Y4476" t="str">
        <f>SUBSTITUTE(Tabla1[[#This Row],[Descripción]],CHAR(10),"    I    ")</f>
        <v/>
      </c>
      <c r="Z4476" s="112" t="e">
        <f>VLOOKUP(Tabla1[[#This Row],[Perfil]],Catalogos!$B$75:$D$100,3,FALSE)*Tabla1[[#This Row],[Tiempo
(Hrs 00/100)]]*1.16</f>
        <v>#N/A</v>
      </c>
    </row>
    <row r="4477" spans="1:26" ht="30" customHeight="1" x14ac:dyDescent="0.3">
      <c r="A4477" s="106"/>
      <c r="B4477" s="106"/>
      <c r="C4477" s="106"/>
      <c r="D4477" s="106"/>
      <c r="E4477" s="106"/>
      <c r="F4477" s="106"/>
      <c r="G4477" s="106"/>
      <c r="H4477" s="107"/>
      <c r="I4477" s="95"/>
      <c r="J4477" s="706"/>
      <c r="K4477" s="769"/>
      <c r="L4477" s="706"/>
      <c r="M4477" s="781"/>
      <c r="N4477" s="182"/>
      <c r="O4477" s="188"/>
      <c r="P4477" s="221"/>
      <c r="Q4477" s="106"/>
      <c r="R4477" s="108"/>
      <c r="S4477" s="108"/>
      <c r="T4477" s="108"/>
      <c r="U4477" s="108" t="str">
        <f>IFERROR(VLOOKUP(CONCATENATE(Tabla1[[#This Row],[Severidad]]," ",Tabla1[[#This Row],[Complejidad]]),Catalogos!E$120:G$128,3,FALSE),"")</f>
        <v/>
      </c>
      <c r="V4477" s="108" t="str">
        <f>IF(Tabla1[[#This Row],[Tiempo solución max (hrs)]]&lt;&gt;"",IF(Tabla1[[#This Row],[Tiempo solución max (hrs)]]&gt;=Tabla1[[#This Row],[Tiempo
(Hrs 00/100)]],"cumple","no cumple"),"")</f>
        <v/>
      </c>
      <c r="W4477" s="17"/>
      <c r="X4477" s="18">
        <f t="shared" si="259"/>
        <v>0</v>
      </c>
      <c r="Y4477" t="str">
        <f>SUBSTITUTE(Tabla1[[#This Row],[Descripción]],CHAR(10),"    I    ")</f>
        <v/>
      </c>
      <c r="Z4477" s="112" t="e">
        <f>VLOOKUP(Tabla1[[#This Row],[Perfil]],Catalogos!$B$75:$D$100,3,FALSE)*Tabla1[[#This Row],[Tiempo
(Hrs 00/100)]]*1.16</f>
        <v>#N/A</v>
      </c>
    </row>
    <row r="4478" spans="1:26" ht="30" customHeight="1" x14ac:dyDescent="0.3">
      <c r="A4478" s="106"/>
      <c r="B4478" s="106"/>
      <c r="C4478" s="106"/>
      <c r="D4478" s="106"/>
      <c r="E4478" s="106"/>
      <c r="F4478" s="106"/>
      <c r="G4478" s="106"/>
      <c r="H4478" s="107"/>
      <c r="I4478" s="95"/>
      <c r="J4478" s="706"/>
      <c r="K4478" s="769"/>
      <c r="L4478" s="706"/>
      <c r="M4478" s="781"/>
      <c r="N4478" s="182"/>
      <c r="O4478" s="188"/>
      <c r="P4478" s="221"/>
      <c r="Q4478" s="106"/>
      <c r="R4478" s="108"/>
      <c r="S4478" s="108"/>
      <c r="T4478" s="108"/>
      <c r="U4478" s="108" t="str">
        <f>IFERROR(VLOOKUP(CONCATENATE(Tabla1[[#This Row],[Severidad]]," ",Tabla1[[#This Row],[Complejidad]]),Catalogos!E$120:G$128,3,FALSE),"")</f>
        <v/>
      </c>
      <c r="V4478" s="108" t="str">
        <f>IF(Tabla1[[#This Row],[Tiempo solución max (hrs)]]&lt;&gt;"",IF(Tabla1[[#This Row],[Tiempo solución max (hrs)]]&gt;=Tabla1[[#This Row],[Tiempo
(Hrs 00/100)]],"cumple","no cumple"),"")</f>
        <v/>
      </c>
      <c r="W4478" s="17"/>
      <c r="X4478" s="18">
        <f t="shared" si="259"/>
        <v>0</v>
      </c>
      <c r="Y4478" t="str">
        <f>SUBSTITUTE(Tabla1[[#This Row],[Descripción]],CHAR(10),"    I    ")</f>
        <v/>
      </c>
      <c r="Z4478" s="112" t="e">
        <f>VLOOKUP(Tabla1[[#This Row],[Perfil]],Catalogos!$B$75:$D$100,3,FALSE)*Tabla1[[#This Row],[Tiempo
(Hrs 00/100)]]*1.16</f>
        <v>#N/A</v>
      </c>
    </row>
    <row r="4479" spans="1:26" ht="30" customHeight="1" x14ac:dyDescent="0.3">
      <c r="A4479" s="106"/>
      <c r="B4479" s="106"/>
      <c r="C4479" s="106"/>
      <c r="D4479" s="106"/>
      <c r="E4479" s="106"/>
      <c r="F4479" s="106"/>
      <c r="G4479" s="106"/>
      <c r="H4479" s="107"/>
      <c r="I4479" s="95"/>
      <c r="J4479" s="706"/>
      <c r="K4479" s="769"/>
      <c r="L4479" s="706"/>
      <c r="M4479" s="781"/>
      <c r="N4479" s="182"/>
      <c r="O4479" s="188"/>
      <c r="P4479" s="221"/>
      <c r="Q4479" s="106"/>
      <c r="R4479" s="108"/>
      <c r="S4479" s="108"/>
      <c r="T4479" s="108"/>
      <c r="U4479" s="108" t="str">
        <f>IFERROR(VLOOKUP(CONCATENATE(Tabla1[[#This Row],[Severidad]]," ",Tabla1[[#This Row],[Complejidad]]),Catalogos!E$120:G$128,3,FALSE),"")</f>
        <v/>
      </c>
      <c r="V4479" s="108" t="str">
        <f>IF(Tabla1[[#This Row],[Tiempo solución max (hrs)]]&lt;&gt;"",IF(Tabla1[[#This Row],[Tiempo solución max (hrs)]]&gt;=Tabla1[[#This Row],[Tiempo
(Hrs 00/100)]],"cumple","no cumple"),"")</f>
        <v/>
      </c>
      <c r="W4479" s="17"/>
      <c r="X4479" s="18">
        <f t="shared" si="259"/>
        <v>0</v>
      </c>
      <c r="Y4479" t="str">
        <f>SUBSTITUTE(Tabla1[[#This Row],[Descripción]],CHAR(10),"    I    ")</f>
        <v/>
      </c>
      <c r="Z4479" s="112" t="e">
        <f>VLOOKUP(Tabla1[[#This Row],[Perfil]],Catalogos!$B$75:$D$100,3,FALSE)*Tabla1[[#This Row],[Tiempo
(Hrs 00/100)]]*1.16</f>
        <v>#N/A</v>
      </c>
    </row>
    <row r="4480" spans="1:26" ht="30" customHeight="1" x14ac:dyDescent="0.3">
      <c r="A4480" s="106"/>
      <c r="B4480" s="106"/>
      <c r="C4480" s="106"/>
      <c r="D4480" s="106"/>
      <c r="E4480" s="106"/>
      <c r="F4480" s="106"/>
      <c r="G4480" s="106"/>
      <c r="H4480" s="107"/>
      <c r="I4480" s="95"/>
      <c r="J4480" s="706"/>
      <c r="K4480" s="769"/>
      <c r="L4480" s="706"/>
      <c r="M4480" s="781"/>
      <c r="N4480" s="182"/>
      <c r="O4480" s="188"/>
      <c r="P4480" s="221"/>
      <c r="Q4480" s="106"/>
      <c r="R4480" s="108"/>
      <c r="S4480" s="108"/>
      <c r="T4480" s="108"/>
      <c r="U4480" s="108" t="str">
        <f>IFERROR(VLOOKUP(CONCATENATE(Tabla1[[#This Row],[Severidad]]," ",Tabla1[[#This Row],[Complejidad]]),Catalogos!E$120:G$128,3,FALSE),"")</f>
        <v/>
      </c>
      <c r="V4480" s="108" t="str">
        <f>IF(Tabla1[[#This Row],[Tiempo solución max (hrs)]]&lt;&gt;"",IF(Tabla1[[#This Row],[Tiempo solución max (hrs)]]&gt;=Tabla1[[#This Row],[Tiempo
(Hrs 00/100)]],"cumple","no cumple"),"")</f>
        <v/>
      </c>
      <c r="W4480" s="17"/>
      <c r="X4480" s="18">
        <f t="shared" si="259"/>
        <v>0</v>
      </c>
      <c r="Y4480" t="str">
        <f>SUBSTITUTE(Tabla1[[#This Row],[Descripción]],CHAR(10),"    I    ")</f>
        <v/>
      </c>
      <c r="Z4480" s="112" t="e">
        <f>VLOOKUP(Tabla1[[#This Row],[Perfil]],Catalogos!$B$75:$D$100,3,FALSE)*Tabla1[[#This Row],[Tiempo
(Hrs 00/100)]]*1.16</f>
        <v>#N/A</v>
      </c>
    </row>
    <row r="4481" spans="1:26" ht="30" customHeight="1" x14ac:dyDescent="0.3">
      <c r="A4481" s="106"/>
      <c r="B4481" s="106"/>
      <c r="C4481" s="106"/>
      <c r="D4481" s="106"/>
      <c r="E4481" s="106"/>
      <c r="F4481" s="106"/>
      <c r="G4481" s="106"/>
      <c r="H4481" s="107"/>
      <c r="I4481" s="95"/>
      <c r="J4481" s="706"/>
      <c r="K4481" s="769"/>
      <c r="L4481" s="706"/>
      <c r="M4481" s="781"/>
      <c r="N4481" s="182"/>
      <c r="O4481" s="188"/>
      <c r="P4481" s="221"/>
      <c r="Q4481" s="106"/>
      <c r="R4481" s="108"/>
      <c r="S4481" s="108"/>
      <c r="T4481" s="108"/>
      <c r="U4481" s="108" t="str">
        <f>IFERROR(VLOOKUP(CONCATENATE(Tabla1[[#This Row],[Severidad]]," ",Tabla1[[#This Row],[Complejidad]]),Catalogos!E$120:G$128,3,FALSE),"")</f>
        <v/>
      </c>
      <c r="V4481" s="108" t="str">
        <f>IF(Tabla1[[#This Row],[Tiempo solución max (hrs)]]&lt;&gt;"",IF(Tabla1[[#This Row],[Tiempo solución max (hrs)]]&gt;=Tabla1[[#This Row],[Tiempo
(Hrs 00/100)]],"cumple","no cumple"),"")</f>
        <v/>
      </c>
      <c r="W4481" s="17"/>
      <c r="X4481" s="18">
        <f t="shared" si="259"/>
        <v>0</v>
      </c>
      <c r="Y4481" t="str">
        <f>SUBSTITUTE(Tabla1[[#This Row],[Descripción]],CHAR(10),"    I    ")</f>
        <v/>
      </c>
      <c r="Z4481" s="112" t="e">
        <f>VLOOKUP(Tabla1[[#This Row],[Perfil]],Catalogos!$B$75:$D$100,3,FALSE)*Tabla1[[#This Row],[Tiempo
(Hrs 00/100)]]*1.16</f>
        <v>#N/A</v>
      </c>
    </row>
    <row r="4482" spans="1:26" ht="30" customHeight="1" x14ac:dyDescent="0.3">
      <c r="A4482" s="106"/>
      <c r="B4482" s="106"/>
      <c r="C4482" s="106"/>
      <c r="D4482" s="106"/>
      <c r="E4482" s="106"/>
      <c r="F4482" s="106"/>
      <c r="G4482" s="106"/>
      <c r="H4482" s="107"/>
      <c r="I4482" s="95"/>
      <c r="J4482" s="706"/>
      <c r="K4482" s="769"/>
      <c r="L4482" s="706"/>
      <c r="M4482" s="781"/>
      <c r="N4482" s="182"/>
      <c r="O4482" s="188"/>
      <c r="P4482" s="221"/>
      <c r="Q4482" s="106"/>
      <c r="R4482" s="108"/>
      <c r="S4482" s="108"/>
      <c r="T4482" s="108"/>
      <c r="U4482" s="108" t="str">
        <f>IFERROR(VLOOKUP(CONCATENATE(Tabla1[[#This Row],[Severidad]]," ",Tabla1[[#This Row],[Complejidad]]),Catalogos!E$120:G$128,3,FALSE),"")</f>
        <v/>
      </c>
      <c r="V4482" s="108" t="str">
        <f>IF(Tabla1[[#This Row],[Tiempo solución max (hrs)]]&lt;&gt;"",IF(Tabla1[[#This Row],[Tiempo solución max (hrs)]]&gt;=Tabla1[[#This Row],[Tiempo
(Hrs 00/100)]],"cumple","no cumple"),"")</f>
        <v/>
      </c>
      <c r="W4482" s="17"/>
      <c r="X4482" s="18">
        <f t="shared" si="259"/>
        <v>0</v>
      </c>
      <c r="Y4482" t="str">
        <f>SUBSTITUTE(Tabla1[[#This Row],[Descripción]],CHAR(10),"    I    ")</f>
        <v/>
      </c>
      <c r="Z4482" s="112" t="e">
        <f>VLOOKUP(Tabla1[[#This Row],[Perfil]],Catalogos!$B$75:$D$100,3,FALSE)*Tabla1[[#This Row],[Tiempo
(Hrs 00/100)]]*1.16</f>
        <v>#N/A</v>
      </c>
    </row>
    <row r="4483" spans="1:26" ht="30" customHeight="1" x14ac:dyDescent="0.3">
      <c r="A4483" s="106"/>
      <c r="B4483" s="106"/>
      <c r="C4483" s="106"/>
      <c r="D4483" s="106"/>
      <c r="E4483" s="106"/>
      <c r="F4483" s="106"/>
      <c r="G4483" s="106"/>
      <c r="H4483" s="107"/>
      <c r="I4483" s="95"/>
      <c r="J4483" s="706"/>
      <c r="K4483" s="769"/>
      <c r="L4483" s="706"/>
      <c r="M4483" s="781"/>
      <c r="N4483" s="182"/>
      <c r="O4483" s="188"/>
      <c r="P4483" s="221"/>
      <c r="Q4483" s="106"/>
      <c r="R4483" s="108"/>
      <c r="S4483" s="108"/>
      <c r="T4483" s="108"/>
      <c r="U4483" s="108" t="str">
        <f>IFERROR(VLOOKUP(CONCATENATE(Tabla1[[#This Row],[Severidad]]," ",Tabla1[[#This Row],[Complejidad]]),Catalogos!E$120:G$128,3,FALSE),"")</f>
        <v/>
      </c>
      <c r="V4483" s="108" t="str">
        <f>IF(Tabla1[[#This Row],[Tiempo solución max (hrs)]]&lt;&gt;"",IF(Tabla1[[#This Row],[Tiempo solución max (hrs)]]&gt;=Tabla1[[#This Row],[Tiempo
(Hrs 00/100)]],"cumple","no cumple"),"")</f>
        <v/>
      </c>
      <c r="W4483" s="17"/>
      <c r="X4483" s="18">
        <f t="shared" ref="X4483:X4546" si="260">IF(C4483&lt;&gt;"",C4483,D4483)</f>
        <v>0</v>
      </c>
      <c r="Y4483" t="str">
        <f>SUBSTITUTE(Tabla1[[#This Row],[Descripción]],CHAR(10),"    I    ")</f>
        <v/>
      </c>
      <c r="Z4483" s="112" t="e">
        <f>VLOOKUP(Tabla1[[#This Row],[Perfil]],Catalogos!$B$75:$D$100,3,FALSE)*Tabla1[[#This Row],[Tiempo
(Hrs 00/100)]]*1.16</f>
        <v>#N/A</v>
      </c>
    </row>
    <row r="4484" spans="1:26" ht="30" customHeight="1" x14ac:dyDescent="0.3">
      <c r="A4484" s="106"/>
      <c r="B4484" s="106"/>
      <c r="C4484" s="106"/>
      <c r="D4484" s="106"/>
      <c r="E4484" s="106"/>
      <c r="F4484" s="106"/>
      <c r="G4484" s="106"/>
      <c r="H4484" s="107"/>
      <c r="I4484" s="95"/>
      <c r="J4484" s="706"/>
      <c r="K4484" s="769"/>
      <c r="L4484" s="706"/>
      <c r="M4484" s="781"/>
      <c r="N4484" s="182"/>
      <c r="O4484" s="188"/>
      <c r="P4484" s="221"/>
      <c r="Q4484" s="106"/>
      <c r="R4484" s="108"/>
      <c r="S4484" s="108"/>
      <c r="T4484" s="108"/>
      <c r="U4484" s="108" t="str">
        <f>IFERROR(VLOOKUP(CONCATENATE(Tabla1[[#This Row],[Severidad]]," ",Tabla1[[#This Row],[Complejidad]]),Catalogos!E$120:G$128,3,FALSE),"")</f>
        <v/>
      </c>
      <c r="V4484" s="108" t="str">
        <f>IF(Tabla1[[#This Row],[Tiempo solución max (hrs)]]&lt;&gt;"",IF(Tabla1[[#This Row],[Tiempo solución max (hrs)]]&gt;=Tabla1[[#This Row],[Tiempo
(Hrs 00/100)]],"cumple","no cumple"),"")</f>
        <v/>
      </c>
      <c r="W4484" s="17"/>
      <c r="X4484" s="18">
        <f t="shared" si="260"/>
        <v>0</v>
      </c>
      <c r="Y4484" t="str">
        <f>SUBSTITUTE(Tabla1[[#This Row],[Descripción]],CHAR(10),"    I    ")</f>
        <v/>
      </c>
      <c r="Z4484" s="112" t="e">
        <f>VLOOKUP(Tabla1[[#This Row],[Perfil]],Catalogos!$B$75:$D$100,3,FALSE)*Tabla1[[#This Row],[Tiempo
(Hrs 00/100)]]*1.16</f>
        <v>#N/A</v>
      </c>
    </row>
    <row r="4485" spans="1:26" ht="30" customHeight="1" x14ac:dyDescent="0.3">
      <c r="A4485" s="106"/>
      <c r="B4485" s="106"/>
      <c r="C4485" s="106"/>
      <c r="D4485" s="106"/>
      <c r="E4485" s="106"/>
      <c r="F4485" s="106"/>
      <c r="G4485" s="106"/>
      <c r="H4485" s="107"/>
      <c r="I4485" s="95"/>
      <c r="J4485" s="706"/>
      <c r="K4485" s="769"/>
      <c r="L4485" s="706"/>
      <c r="M4485" s="781"/>
      <c r="N4485" s="182"/>
      <c r="O4485" s="188"/>
      <c r="P4485" s="221"/>
      <c r="Q4485" s="106"/>
      <c r="R4485" s="108"/>
      <c r="S4485" s="108"/>
      <c r="T4485" s="108"/>
      <c r="U4485" s="108" t="str">
        <f>IFERROR(VLOOKUP(CONCATENATE(Tabla1[[#This Row],[Severidad]]," ",Tabla1[[#This Row],[Complejidad]]),Catalogos!E$120:G$128,3,FALSE),"")</f>
        <v/>
      </c>
      <c r="V4485" s="108" t="str">
        <f>IF(Tabla1[[#This Row],[Tiempo solución max (hrs)]]&lt;&gt;"",IF(Tabla1[[#This Row],[Tiempo solución max (hrs)]]&gt;=Tabla1[[#This Row],[Tiempo
(Hrs 00/100)]],"cumple","no cumple"),"")</f>
        <v/>
      </c>
      <c r="W4485" s="17"/>
      <c r="X4485" s="18">
        <f t="shared" si="260"/>
        <v>0</v>
      </c>
      <c r="Y4485" t="str">
        <f>SUBSTITUTE(Tabla1[[#This Row],[Descripción]],CHAR(10),"    I    ")</f>
        <v/>
      </c>
      <c r="Z4485" s="112" t="e">
        <f>VLOOKUP(Tabla1[[#This Row],[Perfil]],Catalogos!$B$75:$D$100,3,FALSE)*Tabla1[[#This Row],[Tiempo
(Hrs 00/100)]]*1.16</f>
        <v>#N/A</v>
      </c>
    </row>
    <row r="4486" spans="1:26" ht="30" customHeight="1" x14ac:dyDescent="0.3">
      <c r="A4486" s="106"/>
      <c r="B4486" s="106"/>
      <c r="C4486" s="106"/>
      <c r="D4486" s="106"/>
      <c r="E4486" s="106"/>
      <c r="F4486" s="106"/>
      <c r="G4486" s="106"/>
      <c r="H4486" s="107"/>
      <c r="I4486" s="95"/>
      <c r="J4486" s="706"/>
      <c r="K4486" s="769"/>
      <c r="L4486" s="706"/>
      <c r="M4486" s="781"/>
      <c r="N4486" s="182"/>
      <c r="O4486" s="188"/>
      <c r="P4486" s="221"/>
      <c r="Q4486" s="106"/>
      <c r="R4486" s="108"/>
      <c r="S4486" s="108"/>
      <c r="T4486" s="108"/>
      <c r="U4486" s="108" t="str">
        <f>IFERROR(VLOOKUP(CONCATENATE(Tabla1[[#This Row],[Severidad]]," ",Tabla1[[#This Row],[Complejidad]]),Catalogos!E$120:G$128,3,FALSE),"")</f>
        <v/>
      </c>
      <c r="V4486" s="108" t="str">
        <f>IF(Tabla1[[#This Row],[Tiempo solución max (hrs)]]&lt;&gt;"",IF(Tabla1[[#This Row],[Tiempo solución max (hrs)]]&gt;=Tabla1[[#This Row],[Tiempo
(Hrs 00/100)]],"cumple","no cumple"),"")</f>
        <v/>
      </c>
      <c r="W4486" s="17"/>
      <c r="X4486" s="18">
        <f t="shared" si="260"/>
        <v>0</v>
      </c>
      <c r="Y4486" t="str">
        <f>SUBSTITUTE(Tabla1[[#This Row],[Descripción]],CHAR(10),"    I    ")</f>
        <v/>
      </c>
      <c r="Z4486" s="112" t="e">
        <f>VLOOKUP(Tabla1[[#This Row],[Perfil]],Catalogos!$B$75:$D$100,3,FALSE)*Tabla1[[#This Row],[Tiempo
(Hrs 00/100)]]*1.16</f>
        <v>#N/A</v>
      </c>
    </row>
    <row r="4487" spans="1:26" ht="30" customHeight="1" x14ac:dyDescent="0.3">
      <c r="A4487" s="106"/>
      <c r="B4487" s="106"/>
      <c r="C4487" s="106"/>
      <c r="D4487" s="106"/>
      <c r="E4487" s="106"/>
      <c r="F4487" s="106"/>
      <c r="G4487" s="106"/>
      <c r="H4487" s="107"/>
      <c r="I4487" s="95"/>
      <c r="J4487" s="706"/>
      <c r="K4487" s="769"/>
      <c r="L4487" s="706"/>
      <c r="M4487" s="781"/>
      <c r="N4487" s="182"/>
      <c r="O4487" s="188"/>
      <c r="P4487" s="221"/>
      <c r="Q4487" s="106"/>
      <c r="R4487" s="108"/>
      <c r="S4487" s="108"/>
      <c r="T4487" s="108"/>
      <c r="U4487" s="108" t="str">
        <f>IFERROR(VLOOKUP(CONCATENATE(Tabla1[[#This Row],[Severidad]]," ",Tabla1[[#This Row],[Complejidad]]),Catalogos!E$120:G$128,3,FALSE),"")</f>
        <v/>
      </c>
      <c r="V4487" s="108" t="str">
        <f>IF(Tabla1[[#This Row],[Tiempo solución max (hrs)]]&lt;&gt;"",IF(Tabla1[[#This Row],[Tiempo solución max (hrs)]]&gt;=Tabla1[[#This Row],[Tiempo
(Hrs 00/100)]],"cumple","no cumple"),"")</f>
        <v/>
      </c>
      <c r="W4487" s="17"/>
      <c r="X4487" s="18">
        <f t="shared" si="260"/>
        <v>0</v>
      </c>
      <c r="Y4487" t="str">
        <f>SUBSTITUTE(Tabla1[[#This Row],[Descripción]],CHAR(10),"    I    ")</f>
        <v/>
      </c>
      <c r="Z4487" s="112" t="e">
        <f>VLOOKUP(Tabla1[[#This Row],[Perfil]],Catalogos!$B$75:$D$100,3,FALSE)*Tabla1[[#This Row],[Tiempo
(Hrs 00/100)]]*1.16</f>
        <v>#N/A</v>
      </c>
    </row>
    <row r="4488" spans="1:26" ht="30" customHeight="1" x14ac:dyDescent="0.3">
      <c r="A4488" s="106"/>
      <c r="B4488" s="106"/>
      <c r="C4488" s="106"/>
      <c r="D4488" s="106"/>
      <c r="E4488" s="106"/>
      <c r="F4488" s="106"/>
      <c r="G4488" s="106"/>
      <c r="H4488" s="107"/>
      <c r="I4488" s="95"/>
      <c r="J4488" s="706"/>
      <c r="K4488" s="769"/>
      <c r="L4488" s="706"/>
      <c r="M4488" s="781"/>
      <c r="N4488" s="182"/>
      <c r="O4488" s="188"/>
      <c r="P4488" s="221"/>
      <c r="Q4488" s="106"/>
      <c r="R4488" s="108"/>
      <c r="S4488" s="108"/>
      <c r="T4488" s="108"/>
      <c r="U4488" s="108" t="str">
        <f>IFERROR(VLOOKUP(CONCATENATE(Tabla1[[#This Row],[Severidad]]," ",Tabla1[[#This Row],[Complejidad]]),Catalogos!E$120:G$128,3,FALSE),"")</f>
        <v/>
      </c>
      <c r="V4488" s="108" t="str">
        <f>IF(Tabla1[[#This Row],[Tiempo solución max (hrs)]]&lt;&gt;"",IF(Tabla1[[#This Row],[Tiempo solución max (hrs)]]&gt;=Tabla1[[#This Row],[Tiempo
(Hrs 00/100)]],"cumple","no cumple"),"")</f>
        <v/>
      </c>
      <c r="W4488" s="17"/>
      <c r="X4488" s="18">
        <f t="shared" si="260"/>
        <v>0</v>
      </c>
      <c r="Y4488" t="str">
        <f>SUBSTITUTE(Tabla1[[#This Row],[Descripción]],CHAR(10),"    I    ")</f>
        <v/>
      </c>
      <c r="Z4488" s="112" t="e">
        <f>VLOOKUP(Tabla1[[#This Row],[Perfil]],Catalogos!$B$75:$D$100,3,FALSE)*Tabla1[[#This Row],[Tiempo
(Hrs 00/100)]]*1.16</f>
        <v>#N/A</v>
      </c>
    </row>
    <row r="4489" spans="1:26" ht="30" customHeight="1" x14ac:dyDescent="0.3">
      <c r="A4489" s="106"/>
      <c r="B4489" s="106"/>
      <c r="C4489" s="106"/>
      <c r="D4489" s="106"/>
      <c r="E4489" s="106"/>
      <c r="F4489" s="106"/>
      <c r="G4489" s="106"/>
      <c r="H4489" s="107"/>
      <c r="I4489" s="95"/>
      <c r="J4489" s="706"/>
      <c r="K4489" s="769"/>
      <c r="L4489" s="706"/>
      <c r="M4489" s="781"/>
      <c r="N4489" s="182"/>
      <c r="O4489" s="188"/>
      <c r="P4489" s="221"/>
      <c r="Q4489" s="106"/>
      <c r="R4489" s="108"/>
      <c r="S4489" s="108"/>
      <c r="T4489" s="108"/>
      <c r="U4489" s="108" t="str">
        <f>IFERROR(VLOOKUP(CONCATENATE(Tabla1[[#This Row],[Severidad]]," ",Tabla1[[#This Row],[Complejidad]]),Catalogos!E$120:G$128,3,FALSE),"")</f>
        <v/>
      </c>
      <c r="V4489" s="108" t="str">
        <f>IF(Tabla1[[#This Row],[Tiempo solución max (hrs)]]&lt;&gt;"",IF(Tabla1[[#This Row],[Tiempo solución max (hrs)]]&gt;=Tabla1[[#This Row],[Tiempo
(Hrs 00/100)]],"cumple","no cumple"),"")</f>
        <v/>
      </c>
      <c r="W4489" s="17"/>
      <c r="X4489" s="18">
        <f t="shared" si="260"/>
        <v>0</v>
      </c>
      <c r="Y4489" t="str">
        <f>SUBSTITUTE(Tabla1[[#This Row],[Descripción]],CHAR(10),"    I    ")</f>
        <v/>
      </c>
      <c r="Z4489" s="112" t="e">
        <f>VLOOKUP(Tabla1[[#This Row],[Perfil]],Catalogos!$B$75:$D$100,3,FALSE)*Tabla1[[#This Row],[Tiempo
(Hrs 00/100)]]*1.16</f>
        <v>#N/A</v>
      </c>
    </row>
    <row r="4490" spans="1:26" ht="30" customHeight="1" x14ac:dyDescent="0.3">
      <c r="A4490" s="106"/>
      <c r="B4490" s="106"/>
      <c r="C4490" s="106"/>
      <c r="D4490" s="106"/>
      <c r="E4490" s="106"/>
      <c r="F4490" s="106"/>
      <c r="G4490" s="106"/>
      <c r="H4490" s="107"/>
      <c r="I4490" s="95"/>
      <c r="J4490" s="706"/>
      <c r="K4490" s="769"/>
      <c r="L4490" s="706"/>
      <c r="M4490" s="781"/>
      <c r="N4490" s="182"/>
      <c r="O4490" s="188"/>
      <c r="P4490" s="221"/>
      <c r="Q4490" s="106"/>
      <c r="R4490" s="108"/>
      <c r="S4490" s="108"/>
      <c r="T4490" s="108"/>
      <c r="U4490" s="108" t="str">
        <f>IFERROR(VLOOKUP(CONCATENATE(Tabla1[[#This Row],[Severidad]]," ",Tabla1[[#This Row],[Complejidad]]),Catalogos!E$120:G$128,3,FALSE),"")</f>
        <v/>
      </c>
      <c r="V4490" s="108" t="str">
        <f>IF(Tabla1[[#This Row],[Tiempo solución max (hrs)]]&lt;&gt;"",IF(Tabla1[[#This Row],[Tiempo solución max (hrs)]]&gt;=Tabla1[[#This Row],[Tiempo
(Hrs 00/100)]],"cumple","no cumple"),"")</f>
        <v/>
      </c>
      <c r="W4490" s="17"/>
      <c r="X4490" s="18">
        <f t="shared" si="260"/>
        <v>0</v>
      </c>
      <c r="Y4490" t="str">
        <f>SUBSTITUTE(Tabla1[[#This Row],[Descripción]],CHAR(10),"    I    ")</f>
        <v/>
      </c>
      <c r="Z4490" s="112" t="e">
        <f>VLOOKUP(Tabla1[[#This Row],[Perfil]],Catalogos!$B$75:$D$100,3,FALSE)*Tabla1[[#This Row],[Tiempo
(Hrs 00/100)]]*1.16</f>
        <v>#N/A</v>
      </c>
    </row>
    <row r="4491" spans="1:26" ht="30" customHeight="1" x14ac:dyDescent="0.3">
      <c r="A4491" s="106"/>
      <c r="B4491" s="106"/>
      <c r="C4491" s="106"/>
      <c r="D4491" s="106"/>
      <c r="E4491" s="106"/>
      <c r="F4491" s="106"/>
      <c r="G4491" s="106"/>
      <c r="H4491" s="107"/>
      <c r="I4491" s="95"/>
      <c r="J4491" s="706"/>
      <c r="K4491" s="769"/>
      <c r="L4491" s="706"/>
      <c r="M4491" s="781"/>
      <c r="N4491" s="182"/>
      <c r="O4491" s="188"/>
      <c r="P4491" s="221"/>
      <c r="Q4491" s="106"/>
      <c r="R4491" s="108"/>
      <c r="S4491" s="108"/>
      <c r="T4491" s="108"/>
      <c r="U4491" s="108" t="str">
        <f>IFERROR(VLOOKUP(CONCATENATE(Tabla1[[#This Row],[Severidad]]," ",Tabla1[[#This Row],[Complejidad]]),Catalogos!E$120:G$128,3,FALSE),"")</f>
        <v/>
      </c>
      <c r="V4491" s="108" t="str">
        <f>IF(Tabla1[[#This Row],[Tiempo solución max (hrs)]]&lt;&gt;"",IF(Tabla1[[#This Row],[Tiempo solución max (hrs)]]&gt;=Tabla1[[#This Row],[Tiempo
(Hrs 00/100)]],"cumple","no cumple"),"")</f>
        <v/>
      </c>
      <c r="W4491" s="17"/>
      <c r="X4491" s="18">
        <f t="shared" si="260"/>
        <v>0</v>
      </c>
      <c r="Y4491" t="str">
        <f>SUBSTITUTE(Tabla1[[#This Row],[Descripción]],CHAR(10),"    I    ")</f>
        <v/>
      </c>
      <c r="Z4491" s="112" t="e">
        <f>VLOOKUP(Tabla1[[#This Row],[Perfil]],Catalogos!$B$75:$D$100,3,FALSE)*Tabla1[[#This Row],[Tiempo
(Hrs 00/100)]]*1.16</f>
        <v>#N/A</v>
      </c>
    </row>
    <row r="4492" spans="1:26" ht="30" customHeight="1" x14ac:dyDescent="0.3">
      <c r="A4492" s="106"/>
      <c r="B4492" s="106"/>
      <c r="C4492" s="106"/>
      <c r="D4492" s="106"/>
      <c r="E4492" s="106"/>
      <c r="F4492" s="106"/>
      <c r="G4492" s="106"/>
      <c r="H4492" s="107"/>
      <c r="I4492" s="95"/>
      <c r="J4492" s="706"/>
      <c r="K4492" s="769"/>
      <c r="L4492" s="706"/>
      <c r="M4492" s="781"/>
      <c r="N4492" s="182"/>
      <c r="O4492" s="188"/>
      <c r="P4492" s="221"/>
      <c r="Q4492" s="106"/>
      <c r="R4492" s="108"/>
      <c r="S4492" s="108"/>
      <c r="T4492" s="108"/>
      <c r="U4492" s="108" t="str">
        <f>IFERROR(VLOOKUP(CONCATENATE(Tabla1[[#This Row],[Severidad]]," ",Tabla1[[#This Row],[Complejidad]]),Catalogos!E$120:G$128,3,FALSE),"")</f>
        <v/>
      </c>
      <c r="V4492" s="108" t="str">
        <f>IF(Tabla1[[#This Row],[Tiempo solución max (hrs)]]&lt;&gt;"",IF(Tabla1[[#This Row],[Tiempo solución max (hrs)]]&gt;=Tabla1[[#This Row],[Tiempo
(Hrs 00/100)]],"cumple","no cumple"),"")</f>
        <v/>
      </c>
      <c r="W4492" s="17"/>
      <c r="X4492" s="18">
        <f t="shared" si="260"/>
        <v>0</v>
      </c>
      <c r="Y4492" t="str">
        <f>SUBSTITUTE(Tabla1[[#This Row],[Descripción]],CHAR(10),"    I    ")</f>
        <v/>
      </c>
      <c r="Z4492" s="112" t="e">
        <f>VLOOKUP(Tabla1[[#This Row],[Perfil]],Catalogos!$B$75:$D$100,3,FALSE)*Tabla1[[#This Row],[Tiempo
(Hrs 00/100)]]*1.16</f>
        <v>#N/A</v>
      </c>
    </row>
    <row r="4493" spans="1:26" ht="30" customHeight="1" x14ac:dyDescent="0.3">
      <c r="A4493" s="106"/>
      <c r="B4493" s="106"/>
      <c r="C4493" s="106"/>
      <c r="D4493" s="106"/>
      <c r="E4493" s="106"/>
      <c r="F4493" s="106"/>
      <c r="G4493" s="106"/>
      <c r="H4493" s="107"/>
      <c r="I4493" s="95"/>
      <c r="J4493" s="706"/>
      <c r="K4493" s="769"/>
      <c r="L4493" s="706"/>
      <c r="M4493" s="781"/>
      <c r="N4493" s="182"/>
      <c r="O4493" s="188"/>
      <c r="P4493" s="221"/>
      <c r="Q4493" s="106"/>
      <c r="R4493" s="108"/>
      <c r="S4493" s="108"/>
      <c r="T4493" s="108"/>
      <c r="U4493" s="108" t="str">
        <f>IFERROR(VLOOKUP(CONCATENATE(Tabla1[[#This Row],[Severidad]]," ",Tabla1[[#This Row],[Complejidad]]),Catalogos!E$120:G$128,3,FALSE),"")</f>
        <v/>
      </c>
      <c r="V4493" s="108" t="str">
        <f>IF(Tabla1[[#This Row],[Tiempo solución max (hrs)]]&lt;&gt;"",IF(Tabla1[[#This Row],[Tiempo solución max (hrs)]]&gt;=Tabla1[[#This Row],[Tiempo
(Hrs 00/100)]],"cumple","no cumple"),"")</f>
        <v/>
      </c>
      <c r="W4493" s="17"/>
      <c r="X4493" s="18">
        <f t="shared" si="260"/>
        <v>0</v>
      </c>
      <c r="Y4493" t="str">
        <f>SUBSTITUTE(Tabla1[[#This Row],[Descripción]],CHAR(10),"    I    ")</f>
        <v/>
      </c>
      <c r="Z4493" s="112" t="e">
        <f>VLOOKUP(Tabla1[[#This Row],[Perfil]],Catalogos!$B$75:$D$100,3,FALSE)*Tabla1[[#This Row],[Tiempo
(Hrs 00/100)]]*1.16</f>
        <v>#N/A</v>
      </c>
    </row>
    <row r="4494" spans="1:26" ht="30" customHeight="1" x14ac:dyDescent="0.3">
      <c r="A4494" s="106"/>
      <c r="B4494" s="106"/>
      <c r="C4494" s="106"/>
      <c r="D4494" s="106"/>
      <c r="E4494" s="106"/>
      <c r="F4494" s="106"/>
      <c r="G4494" s="106"/>
      <c r="H4494" s="107"/>
      <c r="I4494" s="95"/>
      <c r="J4494" s="706"/>
      <c r="K4494" s="769"/>
      <c r="L4494" s="706"/>
      <c r="M4494" s="781"/>
      <c r="N4494" s="182"/>
      <c r="O4494" s="188"/>
      <c r="P4494" s="221"/>
      <c r="Q4494" s="106"/>
      <c r="R4494" s="108"/>
      <c r="S4494" s="108"/>
      <c r="T4494" s="108"/>
      <c r="U4494" s="108" t="str">
        <f>IFERROR(VLOOKUP(CONCATENATE(Tabla1[[#This Row],[Severidad]]," ",Tabla1[[#This Row],[Complejidad]]),Catalogos!E$120:G$128,3,FALSE),"")</f>
        <v/>
      </c>
      <c r="V4494" s="108" t="str">
        <f>IF(Tabla1[[#This Row],[Tiempo solución max (hrs)]]&lt;&gt;"",IF(Tabla1[[#This Row],[Tiempo solución max (hrs)]]&gt;=Tabla1[[#This Row],[Tiempo
(Hrs 00/100)]],"cumple","no cumple"),"")</f>
        <v/>
      </c>
      <c r="W4494" s="17"/>
      <c r="X4494" s="18">
        <f t="shared" si="260"/>
        <v>0</v>
      </c>
      <c r="Y4494" t="str">
        <f>SUBSTITUTE(Tabla1[[#This Row],[Descripción]],CHAR(10),"    I    ")</f>
        <v/>
      </c>
      <c r="Z4494" s="112" t="e">
        <f>VLOOKUP(Tabla1[[#This Row],[Perfil]],Catalogos!$B$75:$D$100,3,FALSE)*Tabla1[[#This Row],[Tiempo
(Hrs 00/100)]]*1.16</f>
        <v>#N/A</v>
      </c>
    </row>
    <row r="4495" spans="1:26" ht="30" customHeight="1" x14ac:dyDescent="0.3">
      <c r="A4495" s="106"/>
      <c r="B4495" s="106"/>
      <c r="C4495" s="106"/>
      <c r="D4495" s="106"/>
      <c r="E4495" s="106"/>
      <c r="F4495" s="106"/>
      <c r="G4495" s="106"/>
      <c r="H4495" s="107"/>
      <c r="I4495" s="95"/>
      <c r="J4495" s="706"/>
      <c r="K4495" s="769"/>
      <c r="L4495" s="706"/>
      <c r="M4495" s="781"/>
      <c r="N4495" s="182"/>
      <c r="O4495" s="188"/>
      <c r="P4495" s="221"/>
      <c r="Q4495" s="106"/>
      <c r="R4495" s="108"/>
      <c r="S4495" s="108"/>
      <c r="T4495" s="108"/>
      <c r="U4495" s="108" t="str">
        <f>IFERROR(VLOOKUP(CONCATENATE(Tabla1[[#This Row],[Severidad]]," ",Tabla1[[#This Row],[Complejidad]]),Catalogos!E$120:G$128,3,FALSE),"")</f>
        <v/>
      </c>
      <c r="V4495" s="108" t="str">
        <f>IF(Tabla1[[#This Row],[Tiempo solución max (hrs)]]&lt;&gt;"",IF(Tabla1[[#This Row],[Tiempo solución max (hrs)]]&gt;=Tabla1[[#This Row],[Tiempo
(Hrs 00/100)]],"cumple","no cumple"),"")</f>
        <v/>
      </c>
      <c r="W4495" s="17"/>
      <c r="X4495" s="18">
        <f t="shared" si="260"/>
        <v>0</v>
      </c>
      <c r="Y4495" t="str">
        <f>SUBSTITUTE(Tabla1[[#This Row],[Descripción]],CHAR(10),"    I    ")</f>
        <v/>
      </c>
      <c r="Z4495" s="112" t="e">
        <f>VLOOKUP(Tabla1[[#This Row],[Perfil]],Catalogos!$B$75:$D$100,3,FALSE)*Tabla1[[#This Row],[Tiempo
(Hrs 00/100)]]*1.16</f>
        <v>#N/A</v>
      </c>
    </row>
    <row r="4496" spans="1:26" ht="30" customHeight="1" x14ac:dyDescent="0.3">
      <c r="A4496" s="106"/>
      <c r="B4496" s="106"/>
      <c r="C4496" s="106"/>
      <c r="D4496" s="106"/>
      <c r="E4496" s="106"/>
      <c r="F4496" s="106"/>
      <c r="G4496" s="106"/>
      <c r="H4496" s="107"/>
      <c r="I4496" s="95"/>
      <c r="J4496" s="706"/>
      <c r="K4496" s="769"/>
      <c r="L4496" s="706"/>
      <c r="M4496" s="781"/>
      <c r="N4496" s="182"/>
      <c r="O4496" s="188"/>
      <c r="P4496" s="221"/>
      <c r="Q4496" s="106"/>
      <c r="R4496" s="108"/>
      <c r="S4496" s="108"/>
      <c r="T4496" s="108"/>
      <c r="U4496" s="108" t="str">
        <f>IFERROR(VLOOKUP(CONCATENATE(Tabla1[[#This Row],[Severidad]]," ",Tabla1[[#This Row],[Complejidad]]),Catalogos!E$120:G$128,3,FALSE),"")</f>
        <v/>
      </c>
      <c r="V4496" s="108" t="str">
        <f>IF(Tabla1[[#This Row],[Tiempo solución max (hrs)]]&lt;&gt;"",IF(Tabla1[[#This Row],[Tiempo solución max (hrs)]]&gt;=Tabla1[[#This Row],[Tiempo
(Hrs 00/100)]],"cumple","no cumple"),"")</f>
        <v/>
      </c>
      <c r="W4496" s="17"/>
      <c r="X4496" s="18">
        <f t="shared" si="260"/>
        <v>0</v>
      </c>
      <c r="Y4496" t="str">
        <f>SUBSTITUTE(Tabla1[[#This Row],[Descripción]],CHAR(10),"    I    ")</f>
        <v/>
      </c>
      <c r="Z4496" s="112" t="e">
        <f>VLOOKUP(Tabla1[[#This Row],[Perfil]],Catalogos!$B$75:$D$100,3,FALSE)*Tabla1[[#This Row],[Tiempo
(Hrs 00/100)]]*1.16</f>
        <v>#N/A</v>
      </c>
    </row>
    <row r="4497" spans="1:26" ht="30" customHeight="1" x14ac:dyDescent="0.3">
      <c r="A4497" s="106"/>
      <c r="B4497" s="106"/>
      <c r="C4497" s="106"/>
      <c r="D4497" s="106"/>
      <c r="E4497" s="106"/>
      <c r="F4497" s="106"/>
      <c r="G4497" s="106"/>
      <c r="H4497" s="107"/>
      <c r="I4497" s="95"/>
      <c r="J4497" s="706"/>
      <c r="K4497" s="769"/>
      <c r="L4497" s="706"/>
      <c r="M4497" s="781"/>
      <c r="N4497" s="182"/>
      <c r="O4497" s="188"/>
      <c r="P4497" s="221"/>
      <c r="Q4497" s="106"/>
      <c r="R4497" s="108"/>
      <c r="S4497" s="108"/>
      <c r="T4497" s="108"/>
      <c r="U4497" s="108" t="str">
        <f>IFERROR(VLOOKUP(CONCATENATE(Tabla1[[#This Row],[Severidad]]," ",Tabla1[[#This Row],[Complejidad]]),Catalogos!E$120:G$128,3,FALSE),"")</f>
        <v/>
      </c>
      <c r="V4497" s="108" t="str">
        <f>IF(Tabla1[[#This Row],[Tiempo solución max (hrs)]]&lt;&gt;"",IF(Tabla1[[#This Row],[Tiempo solución max (hrs)]]&gt;=Tabla1[[#This Row],[Tiempo
(Hrs 00/100)]],"cumple","no cumple"),"")</f>
        <v/>
      </c>
      <c r="W4497" s="17"/>
      <c r="X4497" s="18">
        <f t="shared" si="260"/>
        <v>0</v>
      </c>
      <c r="Y4497" t="str">
        <f>SUBSTITUTE(Tabla1[[#This Row],[Descripción]],CHAR(10),"    I    ")</f>
        <v/>
      </c>
      <c r="Z4497" s="112" t="e">
        <f>VLOOKUP(Tabla1[[#This Row],[Perfil]],Catalogos!$B$75:$D$100,3,FALSE)*Tabla1[[#This Row],[Tiempo
(Hrs 00/100)]]*1.16</f>
        <v>#N/A</v>
      </c>
    </row>
    <row r="4498" spans="1:26" ht="30" customHeight="1" x14ac:dyDescent="0.3">
      <c r="A4498" s="106"/>
      <c r="B4498" s="106"/>
      <c r="C4498" s="106"/>
      <c r="D4498" s="106"/>
      <c r="E4498" s="106"/>
      <c r="F4498" s="106"/>
      <c r="G4498" s="106"/>
      <c r="H4498" s="107"/>
      <c r="I4498" s="95"/>
      <c r="J4498" s="706"/>
      <c r="K4498" s="769"/>
      <c r="L4498" s="706"/>
      <c r="M4498" s="781"/>
      <c r="N4498" s="182"/>
      <c r="O4498" s="188"/>
      <c r="P4498" s="221"/>
      <c r="Q4498" s="106"/>
      <c r="R4498" s="108"/>
      <c r="S4498" s="108"/>
      <c r="T4498" s="108"/>
      <c r="U4498" s="108" t="str">
        <f>IFERROR(VLOOKUP(CONCATENATE(Tabla1[[#This Row],[Severidad]]," ",Tabla1[[#This Row],[Complejidad]]),Catalogos!E$120:G$128,3,FALSE),"")</f>
        <v/>
      </c>
      <c r="V4498" s="108" t="str">
        <f>IF(Tabla1[[#This Row],[Tiempo solución max (hrs)]]&lt;&gt;"",IF(Tabla1[[#This Row],[Tiempo solución max (hrs)]]&gt;=Tabla1[[#This Row],[Tiempo
(Hrs 00/100)]],"cumple","no cumple"),"")</f>
        <v/>
      </c>
      <c r="W4498" s="17"/>
      <c r="X4498" s="18">
        <f t="shared" si="260"/>
        <v>0</v>
      </c>
      <c r="Y4498" t="str">
        <f>SUBSTITUTE(Tabla1[[#This Row],[Descripción]],CHAR(10),"    I    ")</f>
        <v/>
      </c>
      <c r="Z4498" s="112" t="e">
        <f>VLOOKUP(Tabla1[[#This Row],[Perfil]],Catalogos!$B$75:$D$100,3,FALSE)*Tabla1[[#This Row],[Tiempo
(Hrs 00/100)]]*1.16</f>
        <v>#N/A</v>
      </c>
    </row>
    <row r="4499" spans="1:26" ht="30" customHeight="1" x14ac:dyDescent="0.3">
      <c r="A4499" s="106"/>
      <c r="B4499" s="106"/>
      <c r="C4499" s="106"/>
      <c r="D4499" s="106"/>
      <c r="E4499" s="106"/>
      <c r="F4499" s="106"/>
      <c r="G4499" s="106"/>
      <c r="H4499" s="107"/>
      <c r="I4499" s="95"/>
      <c r="J4499" s="706"/>
      <c r="K4499" s="769"/>
      <c r="L4499" s="706"/>
      <c r="M4499" s="781"/>
      <c r="N4499" s="182"/>
      <c r="O4499" s="188"/>
      <c r="P4499" s="221"/>
      <c r="Q4499" s="106"/>
      <c r="R4499" s="108"/>
      <c r="S4499" s="108"/>
      <c r="T4499" s="108"/>
      <c r="U4499" s="108" t="str">
        <f>IFERROR(VLOOKUP(CONCATENATE(Tabla1[[#This Row],[Severidad]]," ",Tabla1[[#This Row],[Complejidad]]),Catalogos!E$120:G$128,3,FALSE),"")</f>
        <v/>
      </c>
      <c r="V4499" s="108" t="str">
        <f>IF(Tabla1[[#This Row],[Tiempo solución max (hrs)]]&lt;&gt;"",IF(Tabla1[[#This Row],[Tiempo solución max (hrs)]]&gt;=Tabla1[[#This Row],[Tiempo
(Hrs 00/100)]],"cumple","no cumple"),"")</f>
        <v/>
      </c>
      <c r="W4499" s="17"/>
      <c r="X4499" s="18">
        <f t="shared" si="260"/>
        <v>0</v>
      </c>
      <c r="Y4499" t="str">
        <f>SUBSTITUTE(Tabla1[[#This Row],[Descripción]],CHAR(10),"    I    ")</f>
        <v/>
      </c>
      <c r="Z4499" s="112" t="e">
        <f>VLOOKUP(Tabla1[[#This Row],[Perfil]],Catalogos!$B$75:$D$100,3,FALSE)*Tabla1[[#This Row],[Tiempo
(Hrs 00/100)]]*1.16</f>
        <v>#N/A</v>
      </c>
    </row>
    <row r="4500" spans="1:26" ht="30" customHeight="1" x14ac:dyDescent="0.3">
      <c r="A4500" s="106"/>
      <c r="B4500" s="106"/>
      <c r="C4500" s="106"/>
      <c r="D4500" s="106"/>
      <c r="E4500" s="106"/>
      <c r="F4500" s="106"/>
      <c r="G4500" s="106"/>
      <c r="H4500" s="107"/>
      <c r="I4500" s="95"/>
      <c r="J4500" s="706"/>
      <c r="K4500" s="769"/>
      <c r="L4500" s="706"/>
      <c r="M4500" s="781"/>
      <c r="N4500" s="182"/>
      <c r="O4500" s="188"/>
      <c r="P4500" s="221"/>
      <c r="Q4500" s="106"/>
      <c r="R4500" s="108"/>
      <c r="S4500" s="108"/>
      <c r="T4500" s="108"/>
      <c r="U4500" s="108" t="str">
        <f>IFERROR(VLOOKUP(CONCATENATE(Tabla1[[#This Row],[Severidad]]," ",Tabla1[[#This Row],[Complejidad]]),Catalogos!E$120:G$128,3,FALSE),"")</f>
        <v/>
      </c>
      <c r="V4500" s="108" t="str">
        <f>IF(Tabla1[[#This Row],[Tiempo solución max (hrs)]]&lt;&gt;"",IF(Tabla1[[#This Row],[Tiempo solución max (hrs)]]&gt;=Tabla1[[#This Row],[Tiempo
(Hrs 00/100)]],"cumple","no cumple"),"")</f>
        <v/>
      </c>
      <c r="W4500" s="17"/>
      <c r="X4500" s="18">
        <f t="shared" si="260"/>
        <v>0</v>
      </c>
      <c r="Y4500" t="str">
        <f>SUBSTITUTE(Tabla1[[#This Row],[Descripción]],CHAR(10),"    I    ")</f>
        <v/>
      </c>
      <c r="Z4500" s="112" t="e">
        <f>VLOOKUP(Tabla1[[#This Row],[Perfil]],Catalogos!$B$75:$D$100,3,FALSE)*Tabla1[[#This Row],[Tiempo
(Hrs 00/100)]]*1.16</f>
        <v>#N/A</v>
      </c>
    </row>
    <row r="4501" spans="1:26" ht="30" customHeight="1" x14ac:dyDescent="0.3">
      <c r="A4501" s="106"/>
      <c r="B4501" s="106"/>
      <c r="C4501" s="106"/>
      <c r="D4501" s="106"/>
      <c r="E4501" s="106"/>
      <c r="F4501" s="106"/>
      <c r="G4501" s="106"/>
      <c r="H4501" s="107"/>
      <c r="I4501" s="95"/>
      <c r="J4501" s="706"/>
      <c r="K4501" s="769"/>
      <c r="L4501" s="706"/>
      <c r="M4501" s="781"/>
      <c r="N4501" s="182"/>
      <c r="O4501" s="188"/>
      <c r="P4501" s="221"/>
      <c r="Q4501" s="106"/>
      <c r="R4501" s="108"/>
      <c r="S4501" s="108"/>
      <c r="T4501" s="108"/>
      <c r="U4501" s="108" t="str">
        <f>IFERROR(VLOOKUP(CONCATENATE(Tabla1[[#This Row],[Severidad]]," ",Tabla1[[#This Row],[Complejidad]]),Catalogos!E$120:G$128,3,FALSE),"")</f>
        <v/>
      </c>
      <c r="V4501" s="108" t="str">
        <f>IF(Tabla1[[#This Row],[Tiempo solución max (hrs)]]&lt;&gt;"",IF(Tabla1[[#This Row],[Tiempo solución max (hrs)]]&gt;=Tabla1[[#This Row],[Tiempo
(Hrs 00/100)]],"cumple","no cumple"),"")</f>
        <v/>
      </c>
      <c r="W4501" s="17"/>
      <c r="X4501" s="18">
        <f t="shared" si="260"/>
        <v>0</v>
      </c>
      <c r="Y4501" t="str">
        <f>SUBSTITUTE(Tabla1[[#This Row],[Descripción]],CHAR(10),"    I    ")</f>
        <v/>
      </c>
      <c r="Z4501" s="112" t="e">
        <f>VLOOKUP(Tabla1[[#This Row],[Perfil]],Catalogos!$B$75:$D$100,3,FALSE)*Tabla1[[#This Row],[Tiempo
(Hrs 00/100)]]*1.16</f>
        <v>#N/A</v>
      </c>
    </row>
    <row r="4502" spans="1:26" ht="30" customHeight="1" x14ac:dyDescent="0.3">
      <c r="A4502" s="106"/>
      <c r="B4502" s="106"/>
      <c r="C4502" s="106"/>
      <c r="D4502" s="106"/>
      <c r="E4502" s="106"/>
      <c r="F4502" s="106"/>
      <c r="G4502" s="106"/>
      <c r="H4502" s="107"/>
      <c r="I4502" s="95"/>
      <c r="J4502" s="706"/>
      <c r="K4502" s="769"/>
      <c r="L4502" s="706"/>
      <c r="M4502" s="781"/>
      <c r="N4502" s="182"/>
      <c r="O4502" s="188"/>
      <c r="P4502" s="221"/>
      <c r="Q4502" s="106"/>
      <c r="R4502" s="108"/>
      <c r="S4502" s="108"/>
      <c r="T4502" s="108"/>
      <c r="U4502" s="108" t="str">
        <f>IFERROR(VLOOKUP(CONCATENATE(Tabla1[[#This Row],[Severidad]]," ",Tabla1[[#This Row],[Complejidad]]),Catalogos!E$120:G$128,3,FALSE),"")</f>
        <v/>
      </c>
      <c r="V4502" s="108" t="str">
        <f>IF(Tabla1[[#This Row],[Tiempo solución max (hrs)]]&lt;&gt;"",IF(Tabla1[[#This Row],[Tiempo solución max (hrs)]]&gt;=Tabla1[[#This Row],[Tiempo
(Hrs 00/100)]],"cumple","no cumple"),"")</f>
        <v/>
      </c>
      <c r="W4502" s="17"/>
      <c r="X4502" s="18">
        <f t="shared" si="260"/>
        <v>0</v>
      </c>
      <c r="Y4502" t="str">
        <f>SUBSTITUTE(Tabla1[[#This Row],[Descripción]],CHAR(10),"    I    ")</f>
        <v/>
      </c>
      <c r="Z4502" s="112" t="e">
        <f>VLOOKUP(Tabla1[[#This Row],[Perfil]],Catalogos!$B$75:$D$100,3,FALSE)*Tabla1[[#This Row],[Tiempo
(Hrs 00/100)]]*1.16</f>
        <v>#N/A</v>
      </c>
    </row>
    <row r="4503" spans="1:26" ht="30" customHeight="1" x14ac:dyDescent="0.3">
      <c r="A4503" s="106"/>
      <c r="B4503" s="106"/>
      <c r="C4503" s="106"/>
      <c r="D4503" s="106"/>
      <c r="E4503" s="106"/>
      <c r="F4503" s="106"/>
      <c r="G4503" s="106"/>
      <c r="H4503" s="107"/>
      <c r="I4503" s="95"/>
      <c r="J4503" s="706"/>
      <c r="K4503" s="769"/>
      <c r="L4503" s="706"/>
      <c r="M4503" s="781"/>
      <c r="N4503" s="182"/>
      <c r="O4503" s="188"/>
      <c r="P4503" s="221"/>
      <c r="Q4503" s="106"/>
      <c r="R4503" s="108"/>
      <c r="S4503" s="108"/>
      <c r="T4503" s="108"/>
      <c r="U4503" s="108" t="str">
        <f>IFERROR(VLOOKUP(CONCATENATE(Tabla1[[#This Row],[Severidad]]," ",Tabla1[[#This Row],[Complejidad]]),Catalogos!E$120:G$128,3,FALSE),"")</f>
        <v/>
      </c>
      <c r="V4503" s="108" t="str">
        <f>IF(Tabla1[[#This Row],[Tiempo solución max (hrs)]]&lt;&gt;"",IF(Tabla1[[#This Row],[Tiempo solución max (hrs)]]&gt;=Tabla1[[#This Row],[Tiempo
(Hrs 00/100)]],"cumple","no cumple"),"")</f>
        <v/>
      </c>
      <c r="W4503" s="17"/>
      <c r="X4503" s="18">
        <f t="shared" si="260"/>
        <v>0</v>
      </c>
      <c r="Y4503" t="str">
        <f>SUBSTITUTE(Tabla1[[#This Row],[Descripción]],CHAR(10),"    I    ")</f>
        <v/>
      </c>
      <c r="Z4503" s="112" t="e">
        <f>VLOOKUP(Tabla1[[#This Row],[Perfil]],Catalogos!$B$75:$D$100,3,FALSE)*Tabla1[[#This Row],[Tiempo
(Hrs 00/100)]]*1.16</f>
        <v>#N/A</v>
      </c>
    </row>
    <row r="4504" spans="1:26" ht="30" customHeight="1" x14ac:dyDescent="0.3">
      <c r="A4504" s="106"/>
      <c r="B4504" s="106"/>
      <c r="C4504" s="106"/>
      <c r="D4504" s="106"/>
      <c r="E4504" s="106"/>
      <c r="F4504" s="106"/>
      <c r="G4504" s="106"/>
      <c r="H4504" s="107"/>
      <c r="I4504" s="95"/>
      <c r="J4504" s="706"/>
      <c r="K4504" s="769"/>
      <c r="L4504" s="706"/>
      <c r="M4504" s="781"/>
      <c r="N4504" s="182"/>
      <c r="O4504" s="188"/>
      <c r="P4504" s="221"/>
      <c r="Q4504" s="106"/>
      <c r="R4504" s="108"/>
      <c r="S4504" s="108"/>
      <c r="T4504" s="108"/>
      <c r="U4504" s="108" t="str">
        <f>IFERROR(VLOOKUP(CONCATENATE(Tabla1[[#This Row],[Severidad]]," ",Tabla1[[#This Row],[Complejidad]]),Catalogos!E$120:G$128,3,FALSE),"")</f>
        <v/>
      </c>
      <c r="V4504" s="108" t="str">
        <f>IF(Tabla1[[#This Row],[Tiempo solución max (hrs)]]&lt;&gt;"",IF(Tabla1[[#This Row],[Tiempo solución max (hrs)]]&gt;=Tabla1[[#This Row],[Tiempo
(Hrs 00/100)]],"cumple","no cumple"),"")</f>
        <v/>
      </c>
      <c r="W4504" s="17"/>
      <c r="X4504" s="18">
        <f t="shared" si="260"/>
        <v>0</v>
      </c>
      <c r="Y4504" t="str">
        <f>SUBSTITUTE(Tabla1[[#This Row],[Descripción]],CHAR(10),"    I    ")</f>
        <v/>
      </c>
      <c r="Z4504" s="112" t="e">
        <f>VLOOKUP(Tabla1[[#This Row],[Perfil]],Catalogos!$B$75:$D$100,3,FALSE)*Tabla1[[#This Row],[Tiempo
(Hrs 00/100)]]*1.16</f>
        <v>#N/A</v>
      </c>
    </row>
    <row r="4505" spans="1:26" ht="30" customHeight="1" x14ac:dyDescent="0.3">
      <c r="A4505" s="106"/>
      <c r="B4505" s="106"/>
      <c r="C4505" s="106"/>
      <c r="D4505" s="106"/>
      <c r="E4505" s="106"/>
      <c r="F4505" s="106"/>
      <c r="G4505" s="106"/>
      <c r="H4505" s="107"/>
      <c r="I4505" s="95"/>
      <c r="J4505" s="706"/>
      <c r="K4505" s="769"/>
      <c r="L4505" s="706"/>
      <c r="M4505" s="781"/>
      <c r="N4505" s="182"/>
      <c r="O4505" s="188"/>
      <c r="P4505" s="221"/>
      <c r="Q4505" s="106"/>
      <c r="R4505" s="108"/>
      <c r="S4505" s="108"/>
      <c r="T4505" s="108"/>
      <c r="U4505" s="108" t="str">
        <f>IFERROR(VLOOKUP(CONCATENATE(Tabla1[[#This Row],[Severidad]]," ",Tabla1[[#This Row],[Complejidad]]),Catalogos!E$120:G$128,3,FALSE),"")</f>
        <v/>
      </c>
      <c r="V4505" s="108" t="str">
        <f>IF(Tabla1[[#This Row],[Tiempo solución max (hrs)]]&lt;&gt;"",IF(Tabla1[[#This Row],[Tiempo solución max (hrs)]]&gt;=Tabla1[[#This Row],[Tiempo
(Hrs 00/100)]],"cumple","no cumple"),"")</f>
        <v/>
      </c>
      <c r="W4505" s="17"/>
      <c r="X4505" s="18">
        <f t="shared" si="260"/>
        <v>0</v>
      </c>
      <c r="Y4505" t="str">
        <f>SUBSTITUTE(Tabla1[[#This Row],[Descripción]],CHAR(10),"    I    ")</f>
        <v/>
      </c>
      <c r="Z4505" s="112" t="e">
        <f>VLOOKUP(Tabla1[[#This Row],[Perfil]],Catalogos!$B$75:$D$100,3,FALSE)*Tabla1[[#This Row],[Tiempo
(Hrs 00/100)]]*1.16</f>
        <v>#N/A</v>
      </c>
    </row>
    <row r="4506" spans="1:26" ht="30" customHeight="1" x14ac:dyDescent="0.3">
      <c r="A4506" s="106"/>
      <c r="B4506" s="106"/>
      <c r="C4506" s="106"/>
      <c r="D4506" s="106"/>
      <c r="E4506" s="106"/>
      <c r="F4506" s="106"/>
      <c r="G4506" s="106"/>
      <c r="H4506" s="107"/>
      <c r="I4506" s="95"/>
      <c r="J4506" s="706"/>
      <c r="K4506" s="769"/>
      <c r="L4506" s="706"/>
      <c r="M4506" s="781"/>
      <c r="N4506" s="182"/>
      <c r="O4506" s="188"/>
      <c r="P4506" s="221"/>
      <c r="Q4506" s="106"/>
      <c r="R4506" s="108"/>
      <c r="S4506" s="108"/>
      <c r="T4506" s="108"/>
      <c r="U4506" s="108" t="str">
        <f>IFERROR(VLOOKUP(CONCATENATE(Tabla1[[#This Row],[Severidad]]," ",Tabla1[[#This Row],[Complejidad]]),Catalogos!E$120:G$128,3,FALSE),"")</f>
        <v/>
      </c>
      <c r="V4506" s="108" t="str">
        <f>IF(Tabla1[[#This Row],[Tiempo solución max (hrs)]]&lt;&gt;"",IF(Tabla1[[#This Row],[Tiempo solución max (hrs)]]&gt;=Tabla1[[#This Row],[Tiempo
(Hrs 00/100)]],"cumple","no cumple"),"")</f>
        <v/>
      </c>
      <c r="W4506" s="17"/>
      <c r="X4506" s="18">
        <f t="shared" si="260"/>
        <v>0</v>
      </c>
      <c r="Y4506" t="str">
        <f>SUBSTITUTE(Tabla1[[#This Row],[Descripción]],CHAR(10),"    I    ")</f>
        <v/>
      </c>
      <c r="Z4506" s="112" t="e">
        <f>VLOOKUP(Tabla1[[#This Row],[Perfil]],Catalogos!$B$75:$D$100,3,FALSE)*Tabla1[[#This Row],[Tiempo
(Hrs 00/100)]]*1.16</f>
        <v>#N/A</v>
      </c>
    </row>
    <row r="4507" spans="1:26" ht="30" customHeight="1" x14ac:dyDescent="0.3">
      <c r="A4507" s="106"/>
      <c r="B4507" s="106"/>
      <c r="C4507" s="106"/>
      <c r="D4507" s="106"/>
      <c r="E4507" s="106"/>
      <c r="F4507" s="106"/>
      <c r="G4507" s="106"/>
      <c r="H4507" s="107"/>
      <c r="I4507" s="95"/>
      <c r="J4507" s="706"/>
      <c r="K4507" s="769"/>
      <c r="L4507" s="706"/>
      <c r="M4507" s="781"/>
      <c r="N4507" s="182"/>
      <c r="O4507" s="188"/>
      <c r="P4507" s="221"/>
      <c r="Q4507" s="106"/>
      <c r="R4507" s="108"/>
      <c r="S4507" s="108"/>
      <c r="T4507" s="108"/>
      <c r="U4507" s="108" t="str">
        <f>IFERROR(VLOOKUP(CONCATENATE(Tabla1[[#This Row],[Severidad]]," ",Tabla1[[#This Row],[Complejidad]]),Catalogos!E$120:G$128,3,FALSE),"")</f>
        <v/>
      </c>
      <c r="V4507" s="108" t="str">
        <f>IF(Tabla1[[#This Row],[Tiempo solución max (hrs)]]&lt;&gt;"",IF(Tabla1[[#This Row],[Tiempo solución max (hrs)]]&gt;=Tabla1[[#This Row],[Tiempo
(Hrs 00/100)]],"cumple","no cumple"),"")</f>
        <v/>
      </c>
      <c r="W4507" s="17"/>
      <c r="X4507" s="18">
        <f t="shared" si="260"/>
        <v>0</v>
      </c>
      <c r="Y4507" t="str">
        <f>SUBSTITUTE(Tabla1[[#This Row],[Descripción]],CHAR(10),"    I    ")</f>
        <v/>
      </c>
      <c r="Z4507" s="112" t="e">
        <f>VLOOKUP(Tabla1[[#This Row],[Perfil]],Catalogos!$B$75:$D$100,3,FALSE)*Tabla1[[#This Row],[Tiempo
(Hrs 00/100)]]*1.16</f>
        <v>#N/A</v>
      </c>
    </row>
    <row r="4508" spans="1:26" ht="30" customHeight="1" x14ac:dyDescent="0.3">
      <c r="A4508" s="106"/>
      <c r="B4508" s="106"/>
      <c r="C4508" s="106"/>
      <c r="D4508" s="106"/>
      <c r="E4508" s="106"/>
      <c r="F4508" s="106"/>
      <c r="G4508" s="106"/>
      <c r="H4508" s="107"/>
      <c r="I4508" s="95"/>
      <c r="J4508" s="706"/>
      <c r="K4508" s="769"/>
      <c r="L4508" s="706"/>
      <c r="M4508" s="781"/>
      <c r="N4508" s="182"/>
      <c r="O4508" s="188"/>
      <c r="P4508" s="221"/>
      <c r="Q4508" s="106"/>
      <c r="R4508" s="108"/>
      <c r="S4508" s="108"/>
      <c r="T4508" s="108"/>
      <c r="U4508" s="108" t="str">
        <f>IFERROR(VLOOKUP(CONCATENATE(Tabla1[[#This Row],[Severidad]]," ",Tabla1[[#This Row],[Complejidad]]),Catalogos!E$120:G$128,3,FALSE),"")</f>
        <v/>
      </c>
      <c r="V4508" s="108" t="str">
        <f>IF(Tabla1[[#This Row],[Tiempo solución max (hrs)]]&lt;&gt;"",IF(Tabla1[[#This Row],[Tiempo solución max (hrs)]]&gt;=Tabla1[[#This Row],[Tiempo
(Hrs 00/100)]],"cumple","no cumple"),"")</f>
        <v/>
      </c>
      <c r="W4508" s="17"/>
      <c r="X4508" s="18">
        <f t="shared" si="260"/>
        <v>0</v>
      </c>
      <c r="Y4508" t="str">
        <f>SUBSTITUTE(Tabla1[[#This Row],[Descripción]],CHAR(10),"    I    ")</f>
        <v/>
      </c>
      <c r="Z4508" s="112" t="e">
        <f>VLOOKUP(Tabla1[[#This Row],[Perfil]],Catalogos!$B$75:$D$100,3,FALSE)*Tabla1[[#This Row],[Tiempo
(Hrs 00/100)]]*1.16</f>
        <v>#N/A</v>
      </c>
    </row>
    <row r="4509" spans="1:26" ht="30" customHeight="1" x14ac:dyDescent="0.3">
      <c r="A4509" s="106"/>
      <c r="B4509" s="106"/>
      <c r="C4509" s="106"/>
      <c r="D4509" s="106"/>
      <c r="E4509" s="106"/>
      <c r="F4509" s="106"/>
      <c r="G4509" s="106"/>
      <c r="H4509" s="107"/>
      <c r="I4509" s="95"/>
      <c r="J4509" s="706"/>
      <c r="K4509" s="769"/>
      <c r="L4509" s="706"/>
      <c r="M4509" s="781"/>
      <c r="N4509" s="182"/>
      <c r="O4509" s="188"/>
      <c r="P4509" s="221"/>
      <c r="Q4509" s="106"/>
      <c r="R4509" s="108"/>
      <c r="S4509" s="108"/>
      <c r="T4509" s="108"/>
      <c r="U4509" s="108" t="str">
        <f>IFERROR(VLOOKUP(CONCATENATE(Tabla1[[#This Row],[Severidad]]," ",Tabla1[[#This Row],[Complejidad]]),Catalogos!E$120:G$128,3,FALSE),"")</f>
        <v/>
      </c>
      <c r="V4509" s="108" t="str">
        <f>IF(Tabla1[[#This Row],[Tiempo solución max (hrs)]]&lt;&gt;"",IF(Tabla1[[#This Row],[Tiempo solución max (hrs)]]&gt;=Tabla1[[#This Row],[Tiempo
(Hrs 00/100)]],"cumple","no cumple"),"")</f>
        <v/>
      </c>
      <c r="W4509" s="17"/>
      <c r="X4509" s="18">
        <f t="shared" si="260"/>
        <v>0</v>
      </c>
      <c r="Y4509" t="str">
        <f>SUBSTITUTE(Tabla1[[#This Row],[Descripción]],CHAR(10),"    I    ")</f>
        <v/>
      </c>
      <c r="Z4509" s="112" t="e">
        <f>VLOOKUP(Tabla1[[#This Row],[Perfil]],Catalogos!$B$75:$D$100,3,FALSE)*Tabla1[[#This Row],[Tiempo
(Hrs 00/100)]]*1.16</f>
        <v>#N/A</v>
      </c>
    </row>
    <row r="4510" spans="1:26" ht="30" customHeight="1" x14ac:dyDescent="0.3">
      <c r="A4510" s="106"/>
      <c r="B4510" s="106"/>
      <c r="C4510" s="106"/>
      <c r="D4510" s="106"/>
      <c r="E4510" s="106"/>
      <c r="F4510" s="106"/>
      <c r="G4510" s="106"/>
      <c r="H4510" s="107"/>
      <c r="I4510" s="95"/>
      <c r="J4510" s="706"/>
      <c r="K4510" s="769"/>
      <c r="L4510" s="706"/>
      <c r="M4510" s="781"/>
      <c r="N4510" s="182"/>
      <c r="O4510" s="188"/>
      <c r="P4510" s="221"/>
      <c r="Q4510" s="106"/>
      <c r="R4510" s="108"/>
      <c r="S4510" s="108"/>
      <c r="T4510" s="108"/>
      <c r="U4510" s="108" t="str">
        <f>IFERROR(VLOOKUP(CONCATENATE(Tabla1[[#This Row],[Severidad]]," ",Tabla1[[#This Row],[Complejidad]]),Catalogos!E$120:G$128,3,FALSE),"")</f>
        <v/>
      </c>
      <c r="V4510" s="108" t="str">
        <f>IF(Tabla1[[#This Row],[Tiempo solución max (hrs)]]&lt;&gt;"",IF(Tabla1[[#This Row],[Tiempo solución max (hrs)]]&gt;=Tabla1[[#This Row],[Tiempo
(Hrs 00/100)]],"cumple","no cumple"),"")</f>
        <v/>
      </c>
      <c r="W4510" s="17"/>
      <c r="X4510" s="18">
        <f t="shared" si="260"/>
        <v>0</v>
      </c>
      <c r="Y4510" t="str">
        <f>SUBSTITUTE(Tabla1[[#This Row],[Descripción]],CHAR(10),"    I    ")</f>
        <v/>
      </c>
      <c r="Z4510" s="112" t="e">
        <f>VLOOKUP(Tabla1[[#This Row],[Perfil]],Catalogos!$B$75:$D$100,3,FALSE)*Tabla1[[#This Row],[Tiempo
(Hrs 00/100)]]*1.16</f>
        <v>#N/A</v>
      </c>
    </row>
    <row r="4511" spans="1:26" ht="30" customHeight="1" x14ac:dyDescent="0.3">
      <c r="A4511" s="106"/>
      <c r="B4511" s="106"/>
      <c r="C4511" s="106"/>
      <c r="D4511" s="106"/>
      <c r="E4511" s="106"/>
      <c r="F4511" s="106"/>
      <c r="G4511" s="106"/>
      <c r="H4511" s="107"/>
      <c r="I4511" s="95"/>
      <c r="J4511" s="706"/>
      <c r="K4511" s="769"/>
      <c r="L4511" s="706"/>
      <c r="M4511" s="781"/>
      <c r="N4511" s="182"/>
      <c r="O4511" s="188"/>
      <c r="P4511" s="221"/>
      <c r="Q4511" s="106"/>
      <c r="R4511" s="108"/>
      <c r="S4511" s="108"/>
      <c r="T4511" s="108"/>
      <c r="U4511" s="108" t="str">
        <f>IFERROR(VLOOKUP(CONCATENATE(Tabla1[[#This Row],[Severidad]]," ",Tabla1[[#This Row],[Complejidad]]),Catalogos!E$120:G$128,3,FALSE),"")</f>
        <v/>
      </c>
      <c r="V4511" s="108" t="str">
        <f>IF(Tabla1[[#This Row],[Tiempo solución max (hrs)]]&lt;&gt;"",IF(Tabla1[[#This Row],[Tiempo solución max (hrs)]]&gt;=Tabla1[[#This Row],[Tiempo
(Hrs 00/100)]],"cumple","no cumple"),"")</f>
        <v/>
      </c>
      <c r="W4511" s="17"/>
      <c r="X4511" s="18">
        <f t="shared" si="260"/>
        <v>0</v>
      </c>
      <c r="Y4511" t="str">
        <f>SUBSTITUTE(Tabla1[[#This Row],[Descripción]],CHAR(10),"    I    ")</f>
        <v/>
      </c>
      <c r="Z4511" s="112" t="e">
        <f>VLOOKUP(Tabla1[[#This Row],[Perfil]],Catalogos!$B$75:$D$100,3,FALSE)*Tabla1[[#This Row],[Tiempo
(Hrs 00/100)]]*1.16</f>
        <v>#N/A</v>
      </c>
    </row>
    <row r="4512" spans="1:26" ht="30" customHeight="1" x14ac:dyDescent="0.3">
      <c r="A4512" s="106"/>
      <c r="B4512" s="106"/>
      <c r="C4512" s="106"/>
      <c r="D4512" s="106"/>
      <c r="E4512" s="106"/>
      <c r="F4512" s="106"/>
      <c r="G4512" s="106"/>
      <c r="H4512" s="107"/>
      <c r="I4512" s="95"/>
      <c r="J4512" s="706"/>
      <c r="K4512" s="769"/>
      <c r="L4512" s="706"/>
      <c r="M4512" s="781"/>
      <c r="N4512" s="182"/>
      <c r="O4512" s="188"/>
      <c r="P4512" s="221"/>
      <c r="Q4512" s="106"/>
      <c r="R4512" s="108"/>
      <c r="S4512" s="108"/>
      <c r="T4512" s="108"/>
      <c r="U4512" s="108" t="str">
        <f>IFERROR(VLOOKUP(CONCATENATE(Tabla1[[#This Row],[Severidad]]," ",Tabla1[[#This Row],[Complejidad]]),Catalogos!E$120:G$128,3,FALSE),"")</f>
        <v/>
      </c>
      <c r="V4512" s="108" t="str">
        <f>IF(Tabla1[[#This Row],[Tiempo solución max (hrs)]]&lt;&gt;"",IF(Tabla1[[#This Row],[Tiempo solución max (hrs)]]&gt;=Tabla1[[#This Row],[Tiempo
(Hrs 00/100)]],"cumple","no cumple"),"")</f>
        <v/>
      </c>
      <c r="W4512" s="17"/>
      <c r="X4512" s="18">
        <f t="shared" si="260"/>
        <v>0</v>
      </c>
      <c r="Y4512" t="str">
        <f>SUBSTITUTE(Tabla1[[#This Row],[Descripción]],CHAR(10),"    I    ")</f>
        <v/>
      </c>
      <c r="Z4512" s="112" t="e">
        <f>VLOOKUP(Tabla1[[#This Row],[Perfil]],Catalogos!$B$75:$D$100,3,FALSE)*Tabla1[[#This Row],[Tiempo
(Hrs 00/100)]]*1.16</f>
        <v>#N/A</v>
      </c>
    </row>
    <row r="4513" spans="1:26" ht="30" customHeight="1" x14ac:dyDescent="0.3">
      <c r="A4513" s="106"/>
      <c r="B4513" s="106"/>
      <c r="C4513" s="106"/>
      <c r="D4513" s="106"/>
      <c r="E4513" s="106"/>
      <c r="F4513" s="106"/>
      <c r="G4513" s="106"/>
      <c r="H4513" s="107"/>
      <c r="I4513" s="95"/>
      <c r="J4513" s="706"/>
      <c r="K4513" s="769"/>
      <c r="L4513" s="706"/>
      <c r="M4513" s="781"/>
      <c r="N4513" s="182"/>
      <c r="O4513" s="188"/>
      <c r="P4513" s="221"/>
      <c r="Q4513" s="106"/>
      <c r="R4513" s="108"/>
      <c r="S4513" s="108"/>
      <c r="T4513" s="108"/>
      <c r="U4513" s="108" t="str">
        <f>IFERROR(VLOOKUP(CONCATENATE(Tabla1[[#This Row],[Severidad]]," ",Tabla1[[#This Row],[Complejidad]]),Catalogos!E$120:G$128,3,FALSE),"")</f>
        <v/>
      </c>
      <c r="V4513" s="108" t="str">
        <f>IF(Tabla1[[#This Row],[Tiempo solución max (hrs)]]&lt;&gt;"",IF(Tabla1[[#This Row],[Tiempo solución max (hrs)]]&gt;=Tabla1[[#This Row],[Tiempo
(Hrs 00/100)]],"cumple","no cumple"),"")</f>
        <v/>
      </c>
      <c r="W4513" s="17"/>
      <c r="X4513" s="18">
        <f t="shared" si="260"/>
        <v>0</v>
      </c>
      <c r="Y4513" t="str">
        <f>SUBSTITUTE(Tabla1[[#This Row],[Descripción]],CHAR(10),"    I    ")</f>
        <v/>
      </c>
      <c r="Z4513" s="112" t="e">
        <f>VLOOKUP(Tabla1[[#This Row],[Perfil]],Catalogos!$B$75:$D$100,3,FALSE)*Tabla1[[#This Row],[Tiempo
(Hrs 00/100)]]*1.16</f>
        <v>#N/A</v>
      </c>
    </row>
    <row r="4514" spans="1:26" ht="30" customHeight="1" x14ac:dyDescent="0.3">
      <c r="A4514" s="106"/>
      <c r="B4514" s="106"/>
      <c r="C4514" s="106"/>
      <c r="D4514" s="106"/>
      <c r="E4514" s="106"/>
      <c r="F4514" s="106"/>
      <c r="G4514" s="106"/>
      <c r="H4514" s="107"/>
      <c r="I4514" s="95"/>
      <c r="J4514" s="706"/>
      <c r="K4514" s="769"/>
      <c r="L4514" s="706"/>
      <c r="M4514" s="781"/>
      <c r="N4514" s="182"/>
      <c r="O4514" s="188"/>
      <c r="P4514" s="221"/>
      <c r="Q4514" s="106"/>
      <c r="R4514" s="108"/>
      <c r="S4514" s="108"/>
      <c r="T4514" s="108"/>
      <c r="U4514" s="108" t="str">
        <f>IFERROR(VLOOKUP(CONCATENATE(Tabla1[[#This Row],[Severidad]]," ",Tabla1[[#This Row],[Complejidad]]),Catalogos!E$120:G$128,3,FALSE),"")</f>
        <v/>
      </c>
      <c r="V4514" s="108" t="str">
        <f>IF(Tabla1[[#This Row],[Tiempo solución max (hrs)]]&lt;&gt;"",IF(Tabla1[[#This Row],[Tiempo solución max (hrs)]]&gt;=Tabla1[[#This Row],[Tiempo
(Hrs 00/100)]],"cumple","no cumple"),"")</f>
        <v/>
      </c>
      <c r="W4514" s="17"/>
      <c r="X4514" s="18">
        <f t="shared" si="260"/>
        <v>0</v>
      </c>
      <c r="Y4514" t="str">
        <f>SUBSTITUTE(Tabla1[[#This Row],[Descripción]],CHAR(10),"    I    ")</f>
        <v/>
      </c>
      <c r="Z4514" s="112" t="e">
        <f>VLOOKUP(Tabla1[[#This Row],[Perfil]],Catalogos!$B$75:$D$100,3,FALSE)*Tabla1[[#This Row],[Tiempo
(Hrs 00/100)]]*1.16</f>
        <v>#N/A</v>
      </c>
    </row>
    <row r="4515" spans="1:26" ht="30" customHeight="1" x14ac:dyDescent="0.3">
      <c r="A4515" s="106"/>
      <c r="B4515" s="106"/>
      <c r="C4515" s="106"/>
      <c r="D4515" s="106"/>
      <c r="E4515" s="106"/>
      <c r="F4515" s="106"/>
      <c r="G4515" s="106"/>
      <c r="H4515" s="107"/>
      <c r="I4515" s="95"/>
      <c r="J4515" s="706"/>
      <c r="K4515" s="769"/>
      <c r="L4515" s="706"/>
      <c r="M4515" s="781"/>
      <c r="N4515" s="182"/>
      <c r="O4515" s="188"/>
      <c r="P4515" s="221"/>
      <c r="Q4515" s="106"/>
      <c r="R4515" s="108"/>
      <c r="S4515" s="108"/>
      <c r="T4515" s="108"/>
      <c r="U4515" s="108" t="str">
        <f>IFERROR(VLOOKUP(CONCATENATE(Tabla1[[#This Row],[Severidad]]," ",Tabla1[[#This Row],[Complejidad]]),Catalogos!E$120:G$128,3,FALSE),"")</f>
        <v/>
      </c>
      <c r="V4515" s="108" t="str">
        <f>IF(Tabla1[[#This Row],[Tiempo solución max (hrs)]]&lt;&gt;"",IF(Tabla1[[#This Row],[Tiempo solución max (hrs)]]&gt;=Tabla1[[#This Row],[Tiempo
(Hrs 00/100)]],"cumple","no cumple"),"")</f>
        <v/>
      </c>
      <c r="W4515" s="17"/>
      <c r="X4515" s="18">
        <f t="shared" si="260"/>
        <v>0</v>
      </c>
      <c r="Y4515" t="str">
        <f>SUBSTITUTE(Tabla1[[#This Row],[Descripción]],CHAR(10),"    I    ")</f>
        <v/>
      </c>
      <c r="Z4515" s="112" t="e">
        <f>VLOOKUP(Tabla1[[#This Row],[Perfil]],Catalogos!$B$75:$D$100,3,FALSE)*Tabla1[[#This Row],[Tiempo
(Hrs 00/100)]]*1.16</f>
        <v>#N/A</v>
      </c>
    </row>
    <row r="4516" spans="1:26" ht="30" customHeight="1" x14ac:dyDescent="0.3">
      <c r="A4516" s="106"/>
      <c r="B4516" s="106"/>
      <c r="C4516" s="106"/>
      <c r="D4516" s="106"/>
      <c r="E4516" s="106"/>
      <c r="F4516" s="106"/>
      <c r="G4516" s="106"/>
      <c r="H4516" s="107"/>
      <c r="I4516" s="95"/>
      <c r="J4516" s="706"/>
      <c r="K4516" s="769"/>
      <c r="L4516" s="706"/>
      <c r="M4516" s="781"/>
      <c r="N4516" s="182"/>
      <c r="O4516" s="188"/>
      <c r="P4516" s="221"/>
      <c r="Q4516" s="106"/>
      <c r="R4516" s="108"/>
      <c r="S4516" s="108"/>
      <c r="T4516" s="108"/>
      <c r="U4516" s="108" t="str">
        <f>IFERROR(VLOOKUP(CONCATENATE(Tabla1[[#This Row],[Severidad]]," ",Tabla1[[#This Row],[Complejidad]]),Catalogos!E$120:G$128,3,FALSE),"")</f>
        <v/>
      </c>
      <c r="V4516" s="108" t="str">
        <f>IF(Tabla1[[#This Row],[Tiempo solución max (hrs)]]&lt;&gt;"",IF(Tabla1[[#This Row],[Tiempo solución max (hrs)]]&gt;=Tabla1[[#This Row],[Tiempo
(Hrs 00/100)]],"cumple","no cumple"),"")</f>
        <v/>
      </c>
      <c r="W4516" s="17"/>
      <c r="X4516" s="18">
        <f t="shared" si="260"/>
        <v>0</v>
      </c>
      <c r="Y4516" t="str">
        <f>SUBSTITUTE(Tabla1[[#This Row],[Descripción]],CHAR(10),"    I    ")</f>
        <v/>
      </c>
      <c r="Z4516" s="112" t="e">
        <f>VLOOKUP(Tabla1[[#This Row],[Perfil]],Catalogos!$B$75:$D$100,3,FALSE)*Tabla1[[#This Row],[Tiempo
(Hrs 00/100)]]*1.16</f>
        <v>#N/A</v>
      </c>
    </row>
    <row r="4517" spans="1:26" ht="30" customHeight="1" x14ac:dyDescent="0.3">
      <c r="A4517" s="106"/>
      <c r="B4517" s="106"/>
      <c r="C4517" s="106"/>
      <c r="D4517" s="106"/>
      <c r="E4517" s="106"/>
      <c r="F4517" s="106"/>
      <c r="G4517" s="106"/>
      <c r="H4517" s="107"/>
      <c r="I4517" s="95"/>
      <c r="J4517" s="706"/>
      <c r="K4517" s="769"/>
      <c r="L4517" s="706"/>
      <c r="M4517" s="781"/>
      <c r="N4517" s="182"/>
      <c r="O4517" s="188"/>
      <c r="P4517" s="221"/>
      <c r="Q4517" s="106"/>
      <c r="R4517" s="108"/>
      <c r="S4517" s="108"/>
      <c r="T4517" s="108"/>
      <c r="U4517" s="108" t="str">
        <f>IFERROR(VLOOKUP(CONCATENATE(Tabla1[[#This Row],[Severidad]]," ",Tabla1[[#This Row],[Complejidad]]),Catalogos!E$120:G$128,3,FALSE),"")</f>
        <v/>
      </c>
      <c r="V4517" s="108" t="str">
        <f>IF(Tabla1[[#This Row],[Tiempo solución max (hrs)]]&lt;&gt;"",IF(Tabla1[[#This Row],[Tiempo solución max (hrs)]]&gt;=Tabla1[[#This Row],[Tiempo
(Hrs 00/100)]],"cumple","no cumple"),"")</f>
        <v/>
      </c>
      <c r="W4517" s="17"/>
      <c r="X4517" s="18">
        <f t="shared" si="260"/>
        <v>0</v>
      </c>
      <c r="Y4517" t="str">
        <f>SUBSTITUTE(Tabla1[[#This Row],[Descripción]],CHAR(10),"    I    ")</f>
        <v/>
      </c>
      <c r="Z4517" s="112" t="e">
        <f>VLOOKUP(Tabla1[[#This Row],[Perfil]],Catalogos!$B$75:$D$100,3,FALSE)*Tabla1[[#This Row],[Tiempo
(Hrs 00/100)]]*1.16</f>
        <v>#N/A</v>
      </c>
    </row>
    <row r="4518" spans="1:26" ht="30" customHeight="1" x14ac:dyDescent="0.3">
      <c r="A4518" s="106"/>
      <c r="B4518" s="106"/>
      <c r="C4518" s="106"/>
      <c r="D4518" s="106"/>
      <c r="E4518" s="106"/>
      <c r="F4518" s="106"/>
      <c r="G4518" s="106"/>
      <c r="H4518" s="107"/>
      <c r="I4518" s="95"/>
      <c r="J4518" s="706"/>
      <c r="K4518" s="769"/>
      <c r="L4518" s="706"/>
      <c r="M4518" s="781"/>
      <c r="N4518" s="182"/>
      <c r="O4518" s="188"/>
      <c r="P4518" s="221"/>
      <c r="Q4518" s="106"/>
      <c r="R4518" s="108"/>
      <c r="S4518" s="108"/>
      <c r="T4518" s="108"/>
      <c r="U4518" s="108" t="str">
        <f>IFERROR(VLOOKUP(CONCATENATE(Tabla1[[#This Row],[Severidad]]," ",Tabla1[[#This Row],[Complejidad]]),Catalogos!E$120:G$128,3,FALSE),"")</f>
        <v/>
      </c>
      <c r="V4518" s="108" t="str">
        <f>IF(Tabla1[[#This Row],[Tiempo solución max (hrs)]]&lt;&gt;"",IF(Tabla1[[#This Row],[Tiempo solución max (hrs)]]&gt;=Tabla1[[#This Row],[Tiempo
(Hrs 00/100)]],"cumple","no cumple"),"")</f>
        <v/>
      </c>
      <c r="W4518" s="17"/>
      <c r="X4518" s="18">
        <f t="shared" si="260"/>
        <v>0</v>
      </c>
      <c r="Y4518" t="str">
        <f>SUBSTITUTE(Tabla1[[#This Row],[Descripción]],CHAR(10),"    I    ")</f>
        <v/>
      </c>
      <c r="Z4518" s="112" t="e">
        <f>VLOOKUP(Tabla1[[#This Row],[Perfil]],Catalogos!$B$75:$D$100,3,FALSE)*Tabla1[[#This Row],[Tiempo
(Hrs 00/100)]]*1.16</f>
        <v>#N/A</v>
      </c>
    </row>
    <row r="4519" spans="1:26" ht="30" customHeight="1" x14ac:dyDescent="0.3">
      <c r="A4519" s="106"/>
      <c r="B4519" s="106"/>
      <c r="C4519" s="106"/>
      <c r="D4519" s="106"/>
      <c r="E4519" s="106"/>
      <c r="F4519" s="106"/>
      <c r="G4519" s="106"/>
      <c r="H4519" s="107"/>
      <c r="I4519" s="95"/>
      <c r="J4519" s="706"/>
      <c r="K4519" s="769"/>
      <c r="L4519" s="706"/>
      <c r="M4519" s="781"/>
      <c r="N4519" s="182"/>
      <c r="O4519" s="188"/>
      <c r="P4519" s="221"/>
      <c r="Q4519" s="106"/>
      <c r="R4519" s="108"/>
      <c r="S4519" s="108"/>
      <c r="T4519" s="108"/>
      <c r="U4519" s="108" t="str">
        <f>IFERROR(VLOOKUP(CONCATENATE(Tabla1[[#This Row],[Severidad]]," ",Tabla1[[#This Row],[Complejidad]]),Catalogos!E$120:G$128,3,FALSE),"")</f>
        <v/>
      </c>
      <c r="V4519" s="108" t="str">
        <f>IF(Tabla1[[#This Row],[Tiempo solución max (hrs)]]&lt;&gt;"",IF(Tabla1[[#This Row],[Tiempo solución max (hrs)]]&gt;=Tabla1[[#This Row],[Tiempo
(Hrs 00/100)]],"cumple","no cumple"),"")</f>
        <v/>
      </c>
      <c r="W4519" s="17"/>
      <c r="X4519" s="18">
        <f t="shared" si="260"/>
        <v>0</v>
      </c>
      <c r="Y4519" t="str">
        <f>SUBSTITUTE(Tabla1[[#This Row],[Descripción]],CHAR(10),"    I    ")</f>
        <v/>
      </c>
      <c r="Z4519" s="112" t="e">
        <f>VLOOKUP(Tabla1[[#This Row],[Perfil]],Catalogos!$B$75:$D$100,3,FALSE)*Tabla1[[#This Row],[Tiempo
(Hrs 00/100)]]*1.16</f>
        <v>#N/A</v>
      </c>
    </row>
    <row r="4520" spans="1:26" ht="30" customHeight="1" x14ac:dyDescent="0.3">
      <c r="A4520" s="106"/>
      <c r="B4520" s="106"/>
      <c r="C4520" s="106"/>
      <c r="D4520" s="106"/>
      <c r="E4520" s="106"/>
      <c r="F4520" s="106"/>
      <c r="G4520" s="106"/>
      <c r="H4520" s="107"/>
      <c r="I4520" s="95"/>
      <c r="J4520" s="706"/>
      <c r="K4520" s="769"/>
      <c r="L4520" s="706"/>
      <c r="M4520" s="781"/>
      <c r="N4520" s="182"/>
      <c r="O4520" s="188"/>
      <c r="P4520" s="221"/>
      <c r="Q4520" s="106"/>
      <c r="R4520" s="108"/>
      <c r="S4520" s="108"/>
      <c r="T4520" s="108"/>
      <c r="U4520" s="108" t="str">
        <f>IFERROR(VLOOKUP(CONCATENATE(Tabla1[[#This Row],[Severidad]]," ",Tabla1[[#This Row],[Complejidad]]),Catalogos!E$120:G$128,3,FALSE),"")</f>
        <v/>
      </c>
      <c r="V4520" s="108" t="str">
        <f>IF(Tabla1[[#This Row],[Tiempo solución max (hrs)]]&lt;&gt;"",IF(Tabla1[[#This Row],[Tiempo solución max (hrs)]]&gt;=Tabla1[[#This Row],[Tiempo
(Hrs 00/100)]],"cumple","no cumple"),"")</f>
        <v/>
      </c>
      <c r="W4520" s="17"/>
      <c r="X4520" s="18">
        <f t="shared" si="260"/>
        <v>0</v>
      </c>
      <c r="Y4520" t="str">
        <f>SUBSTITUTE(Tabla1[[#This Row],[Descripción]],CHAR(10),"    I    ")</f>
        <v/>
      </c>
      <c r="Z4520" s="112" t="e">
        <f>VLOOKUP(Tabla1[[#This Row],[Perfil]],Catalogos!$B$75:$D$100,3,FALSE)*Tabla1[[#This Row],[Tiempo
(Hrs 00/100)]]*1.16</f>
        <v>#N/A</v>
      </c>
    </row>
    <row r="4521" spans="1:26" ht="30" customHeight="1" x14ac:dyDescent="0.3">
      <c r="A4521" s="106"/>
      <c r="B4521" s="106"/>
      <c r="C4521" s="106"/>
      <c r="D4521" s="106"/>
      <c r="E4521" s="106"/>
      <c r="F4521" s="106"/>
      <c r="G4521" s="106"/>
      <c r="H4521" s="107"/>
      <c r="I4521" s="95"/>
      <c r="J4521" s="706"/>
      <c r="K4521" s="769"/>
      <c r="L4521" s="706"/>
      <c r="M4521" s="781"/>
      <c r="N4521" s="182"/>
      <c r="O4521" s="188"/>
      <c r="P4521" s="221"/>
      <c r="Q4521" s="106"/>
      <c r="R4521" s="108"/>
      <c r="S4521" s="108"/>
      <c r="T4521" s="108"/>
      <c r="U4521" s="108" t="str">
        <f>IFERROR(VLOOKUP(CONCATENATE(Tabla1[[#This Row],[Severidad]]," ",Tabla1[[#This Row],[Complejidad]]),Catalogos!E$120:G$128,3,FALSE),"")</f>
        <v/>
      </c>
      <c r="V4521" s="108" t="str">
        <f>IF(Tabla1[[#This Row],[Tiempo solución max (hrs)]]&lt;&gt;"",IF(Tabla1[[#This Row],[Tiempo solución max (hrs)]]&gt;=Tabla1[[#This Row],[Tiempo
(Hrs 00/100)]],"cumple","no cumple"),"")</f>
        <v/>
      </c>
      <c r="W4521" s="17"/>
      <c r="X4521" s="18">
        <f t="shared" si="260"/>
        <v>0</v>
      </c>
      <c r="Y4521" t="str">
        <f>SUBSTITUTE(Tabla1[[#This Row],[Descripción]],CHAR(10),"    I    ")</f>
        <v/>
      </c>
      <c r="Z4521" s="112" t="e">
        <f>VLOOKUP(Tabla1[[#This Row],[Perfil]],Catalogos!$B$75:$D$100,3,FALSE)*Tabla1[[#This Row],[Tiempo
(Hrs 00/100)]]*1.16</f>
        <v>#N/A</v>
      </c>
    </row>
    <row r="4522" spans="1:26" ht="30" customHeight="1" x14ac:dyDescent="0.3">
      <c r="A4522" s="106"/>
      <c r="B4522" s="106"/>
      <c r="C4522" s="106"/>
      <c r="D4522" s="106"/>
      <c r="E4522" s="106"/>
      <c r="F4522" s="106"/>
      <c r="G4522" s="106"/>
      <c r="H4522" s="107"/>
      <c r="I4522" s="95"/>
      <c r="J4522" s="706"/>
      <c r="K4522" s="769"/>
      <c r="L4522" s="706"/>
      <c r="M4522" s="781"/>
      <c r="N4522" s="182"/>
      <c r="O4522" s="188"/>
      <c r="P4522" s="221"/>
      <c r="Q4522" s="106"/>
      <c r="R4522" s="108"/>
      <c r="S4522" s="108"/>
      <c r="T4522" s="108"/>
      <c r="U4522" s="108" t="str">
        <f>IFERROR(VLOOKUP(CONCATENATE(Tabla1[[#This Row],[Severidad]]," ",Tabla1[[#This Row],[Complejidad]]),Catalogos!E$120:G$128,3,FALSE),"")</f>
        <v/>
      </c>
      <c r="V4522" s="108" t="str">
        <f>IF(Tabla1[[#This Row],[Tiempo solución max (hrs)]]&lt;&gt;"",IF(Tabla1[[#This Row],[Tiempo solución max (hrs)]]&gt;=Tabla1[[#This Row],[Tiempo
(Hrs 00/100)]],"cumple","no cumple"),"")</f>
        <v/>
      </c>
      <c r="W4522" s="17"/>
      <c r="X4522" s="18">
        <f t="shared" si="260"/>
        <v>0</v>
      </c>
      <c r="Y4522" t="str">
        <f>SUBSTITUTE(Tabla1[[#This Row],[Descripción]],CHAR(10),"    I    ")</f>
        <v/>
      </c>
      <c r="Z4522" s="112" t="e">
        <f>VLOOKUP(Tabla1[[#This Row],[Perfil]],Catalogos!$B$75:$D$100,3,FALSE)*Tabla1[[#This Row],[Tiempo
(Hrs 00/100)]]*1.16</f>
        <v>#N/A</v>
      </c>
    </row>
    <row r="4523" spans="1:26" ht="30" customHeight="1" x14ac:dyDescent="0.3">
      <c r="A4523" s="106"/>
      <c r="B4523" s="106"/>
      <c r="C4523" s="106"/>
      <c r="D4523" s="106"/>
      <c r="E4523" s="106"/>
      <c r="F4523" s="106"/>
      <c r="G4523" s="106"/>
      <c r="H4523" s="107"/>
      <c r="I4523" s="95"/>
      <c r="J4523" s="706"/>
      <c r="K4523" s="769"/>
      <c r="L4523" s="706"/>
      <c r="M4523" s="781"/>
      <c r="N4523" s="182"/>
      <c r="O4523" s="188"/>
      <c r="P4523" s="221"/>
      <c r="Q4523" s="106"/>
      <c r="R4523" s="108"/>
      <c r="S4523" s="108"/>
      <c r="T4523" s="108"/>
      <c r="U4523" s="108" t="str">
        <f>IFERROR(VLOOKUP(CONCATENATE(Tabla1[[#This Row],[Severidad]]," ",Tabla1[[#This Row],[Complejidad]]),Catalogos!E$120:G$128,3,FALSE),"")</f>
        <v/>
      </c>
      <c r="V4523" s="108" t="str">
        <f>IF(Tabla1[[#This Row],[Tiempo solución max (hrs)]]&lt;&gt;"",IF(Tabla1[[#This Row],[Tiempo solución max (hrs)]]&gt;=Tabla1[[#This Row],[Tiempo
(Hrs 00/100)]],"cumple","no cumple"),"")</f>
        <v/>
      </c>
      <c r="W4523" s="17"/>
      <c r="X4523" s="18">
        <f t="shared" si="260"/>
        <v>0</v>
      </c>
      <c r="Y4523" t="str">
        <f>SUBSTITUTE(Tabla1[[#This Row],[Descripción]],CHAR(10),"    I    ")</f>
        <v/>
      </c>
      <c r="Z4523" s="112" t="e">
        <f>VLOOKUP(Tabla1[[#This Row],[Perfil]],Catalogos!$B$75:$D$100,3,FALSE)*Tabla1[[#This Row],[Tiempo
(Hrs 00/100)]]*1.16</f>
        <v>#N/A</v>
      </c>
    </row>
    <row r="4524" spans="1:26" ht="30" customHeight="1" x14ac:dyDescent="0.3">
      <c r="A4524" s="106"/>
      <c r="B4524" s="106"/>
      <c r="C4524" s="106"/>
      <c r="D4524" s="106"/>
      <c r="E4524" s="106"/>
      <c r="F4524" s="106"/>
      <c r="G4524" s="106"/>
      <c r="H4524" s="107"/>
      <c r="I4524" s="95"/>
      <c r="J4524" s="706"/>
      <c r="K4524" s="769"/>
      <c r="L4524" s="706"/>
      <c r="M4524" s="781"/>
      <c r="N4524" s="182"/>
      <c r="O4524" s="188"/>
      <c r="P4524" s="221"/>
      <c r="Q4524" s="106"/>
      <c r="R4524" s="108"/>
      <c r="S4524" s="108"/>
      <c r="T4524" s="108"/>
      <c r="U4524" s="108" t="str">
        <f>IFERROR(VLOOKUP(CONCATENATE(Tabla1[[#This Row],[Severidad]]," ",Tabla1[[#This Row],[Complejidad]]),Catalogos!E$120:G$128,3,FALSE),"")</f>
        <v/>
      </c>
      <c r="V4524" s="108" t="str">
        <f>IF(Tabla1[[#This Row],[Tiempo solución max (hrs)]]&lt;&gt;"",IF(Tabla1[[#This Row],[Tiempo solución max (hrs)]]&gt;=Tabla1[[#This Row],[Tiempo
(Hrs 00/100)]],"cumple","no cumple"),"")</f>
        <v/>
      </c>
      <c r="W4524" s="17"/>
      <c r="X4524" s="18">
        <f t="shared" si="260"/>
        <v>0</v>
      </c>
      <c r="Y4524" t="str">
        <f>SUBSTITUTE(Tabla1[[#This Row],[Descripción]],CHAR(10),"    I    ")</f>
        <v/>
      </c>
      <c r="Z4524" s="112" t="e">
        <f>VLOOKUP(Tabla1[[#This Row],[Perfil]],Catalogos!$B$75:$D$100,3,FALSE)*Tabla1[[#This Row],[Tiempo
(Hrs 00/100)]]*1.16</f>
        <v>#N/A</v>
      </c>
    </row>
    <row r="4525" spans="1:26" ht="30" customHeight="1" x14ac:dyDescent="0.3">
      <c r="A4525" s="106"/>
      <c r="B4525" s="106"/>
      <c r="C4525" s="106"/>
      <c r="D4525" s="106"/>
      <c r="E4525" s="106"/>
      <c r="F4525" s="106"/>
      <c r="G4525" s="106"/>
      <c r="H4525" s="107"/>
      <c r="I4525" s="95"/>
      <c r="J4525" s="706"/>
      <c r="K4525" s="769"/>
      <c r="L4525" s="706"/>
      <c r="M4525" s="781"/>
      <c r="N4525" s="182"/>
      <c r="O4525" s="188"/>
      <c r="P4525" s="221"/>
      <c r="Q4525" s="106"/>
      <c r="R4525" s="108"/>
      <c r="S4525" s="108"/>
      <c r="T4525" s="108"/>
      <c r="U4525" s="108" t="str">
        <f>IFERROR(VLOOKUP(CONCATENATE(Tabla1[[#This Row],[Severidad]]," ",Tabla1[[#This Row],[Complejidad]]),Catalogos!E$120:G$128,3,FALSE),"")</f>
        <v/>
      </c>
      <c r="V4525" s="108" t="str">
        <f>IF(Tabla1[[#This Row],[Tiempo solución max (hrs)]]&lt;&gt;"",IF(Tabla1[[#This Row],[Tiempo solución max (hrs)]]&gt;=Tabla1[[#This Row],[Tiempo
(Hrs 00/100)]],"cumple","no cumple"),"")</f>
        <v/>
      </c>
      <c r="W4525" s="17"/>
      <c r="X4525" s="18">
        <f t="shared" si="260"/>
        <v>0</v>
      </c>
      <c r="Y4525" t="str">
        <f>SUBSTITUTE(Tabla1[[#This Row],[Descripción]],CHAR(10),"    I    ")</f>
        <v/>
      </c>
      <c r="Z4525" s="112" t="e">
        <f>VLOOKUP(Tabla1[[#This Row],[Perfil]],Catalogos!$B$75:$D$100,3,FALSE)*Tabla1[[#This Row],[Tiempo
(Hrs 00/100)]]*1.16</f>
        <v>#N/A</v>
      </c>
    </row>
    <row r="4526" spans="1:26" ht="30" customHeight="1" x14ac:dyDescent="0.3">
      <c r="A4526" s="106"/>
      <c r="B4526" s="106"/>
      <c r="C4526" s="106"/>
      <c r="D4526" s="106"/>
      <c r="E4526" s="106"/>
      <c r="F4526" s="106"/>
      <c r="G4526" s="106"/>
      <c r="H4526" s="107"/>
      <c r="I4526" s="95"/>
      <c r="J4526" s="706"/>
      <c r="K4526" s="769"/>
      <c r="L4526" s="706"/>
      <c r="M4526" s="781"/>
      <c r="N4526" s="182"/>
      <c r="O4526" s="188"/>
      <c r="P4526" s="221"/>
      <c r="Q4526" s="106"/>
      <c r="R4526" s="108"/>
      <c r="S4526" s="108"/>
      <c r="T4526" s="108"/>
      <c r="U4526" s="108" t="str">
        <f>IFERROR(VLOOKUP(CONCATENATE(Tabla1[[#This Row],[Severidad]]," ",Tabla1[[#This Row],[Complejidad]]),Catalogos!E$120:G$128,3,FALSE),"")</f>
        <v/>
      </c>
      <c r="V4526" s="108" t="str">
        <f>IF(Tabla1[[#This Row],[Tiempo solución max (hrs)]]&lt;&gt;"",IF(Tabla1[[#This Row],[Tiempo solución max (hrs)]]&gt;=Tabla1[[#This Row],[Tiempo
(Hrs 00/100)]],"cumple","no cumple"),"")</f>
        <v/>
      </c>
      <c r="W4526" s="17"/>
      <c r="X4526" s="18">
        <f t="shared" si="260"/>
        <v>0</v>
      </c>
      <c r="Y4526" t="str">
        <f>SUBSTITUTE(Tabla1[[#This Row],[Descripción]],CHAR(10),"    I    ")</f>
        <v/>
      </c>
      <c r="Z4526" s="112" t="e">
        <f>VLOOKUP(Tabla1[[#This Row],[Perfil]],Catalogos!$B$75:$D$100,3,FALSE)*Tabla1[[#This Row],[Tiempo
(Hrs 00/100)]]*1.16</f>
        <v>#N/A</v>
      </c>
    </row>
    <row r="4527" spans="1:26" ht="30" customHeight="1" x14ac:dyDescent="0.3">
      <c r="A4527" s="106"/>
      <c r="B4527" s="106"/>
      <c r="C4527" s="106"/>
      <c r="D4527" s="106"/>
      <c r="E4527" s="106"/>
      <c r="F4527" s="106"/>
      <c r="G4527" s="106"/>
      <c r="H4527" s="107"/>
      <c r="I4527" s="95"/>
      <c r="J4527" s="706"/>
      <c r="K4527" s="769"/>
      <c r="L4527" s="706"/>
      <c r="M4527" s="781"/>
      <c r="N4527" s="182"/>
      <c r="O4527" s="188"/>
      <c r="P4527" s="221"/>
      <c r="Q4527" s="106"/>
      <c r="R4527" s="108"/>
      <c r="S4527" s="108"/>
      <c r="T4527" s="108"/>
      <c r="U4527" s="108" t="str">
        <f>IFERROR(VLOOKUP(CONCATENATE(Tabla1[[#This Row],[Severidad]]," ",Tabla1[[#This Row],[Complejidad]]),Catalogos!E$120:G$128,3,FALSE),"")</f>
        <v/>
      </c>
      <c r="V4527" s="108" t="str">
        <f>IF(Tabla1[[#This Row],[Tiempo solución max (hrs)]]&lt;&gt;"",IF(Tabla1[[#This Row],[Tiempo solución max (hrs)]]&gt;=Tabla1[[#This Row],[Tiempo
(Hrs 00/100)]],"cumple","no cumple"),"")</f>
        <v/>
      </c>
      <c r="W4527" s="17"/>
      <c r="X4527" s="18">
        <f t="shared" si="260"/>
        <v>0</v>
      </c>
      <c r="Y4527" t="str">
        <f>SUBSTITUTE(Tabla1[[#This Row],[Descripción]],CHAR(10),"    I    ")</f>
        <v/>
      </c>
      <c r="Z4527" s="112" t="e">
        <f>VLOOKUP(Tabla1[[#This Row],[Perfil]],Catalogos!$B$75:$D$100,3,FALSE)*Tabla1[[#This Row],[Tiempo
(Hrs 00/100)]]*1.16</f>
        <v>#N/A</v>
      </c>
    </row>
    <row r="4528" spans="1:26" ht="30" customHeight="1" x14ac:dyDescent="0.3">
      <c r="A4528" s="106"/>
      <c r="B4528" s="106"/>
      <c r="C4528" s="106"/>
      <c r="D4528" s="106"/>
      <c r="E4528" s="106"/>
      <c r="F4528" s="106"/>
      <c r="G4528" s="106"/>
      <c r="H4528" s="107"/>
      <c r="I4528" s="95"/>
      <c r="J4528" s="706"/>
      <c r="K4528" s="769"/>
      <c r="L4528" s="706"/>
      <c r="M4528" s="781"/>
      <c r="N4528" s="182"/>
      <c r="O4528" s="188"/>
      <c r="P4528" s="221"/>
      <c r="Q4528" s="106"/>
      <c r="R4528" s="108"/>
      <c r="S4528" s="108"/>
      <c r="T4528" s="108"/>
      <c r="U4528" s="108" t="str">
        <f>IFERROR(VLOOKUP(CONCATENATE(Tabla1[[#This Row],[Severidad]]," ",Tabla1[[#This Row],[Complejidad]]),Catalogos!E$120:G$128,3,FALSE),"")</f>
        <v/>
      </c>
      <c r="V4528" s="108" t="str">
        <f>IF(Tabla1[[#This Row],[Tiempo solución max (hrs)]]&lt;&gt;"",IF(Tabla1[[#This Row],[Tiempo solución max (hrs)]]&gt;=Tabla1[[#This Row],[Tiempo
(Hrs 00/100)]],"cumple","no cumple"),"")</f>
        <v/>
      </c>
      <c r="W4528" s="17"/>
      <c r="X4528" s="18">
        <f t="shared" si="260"/>
        <v>0</v>
      </c>
      <c r="Y4528" t="str">
        <f>SUBSTITUTE(Tabla1[[#This Row],[Descripción]],CHAR(10),"    I    ")</f>
        <v/>
      </c>
      <c r="Z4528" s="112" t="e">
        <f>VLOOKUP(Tabla1[[#This Row],[Perfil]],Catalogos!$B$75:$D$100,3,FALSE)*Tabla1[[#This Row],[Tiempo
(Hrs 00/100)]]*1.16</f>
        <v>#N/A</v>
      </c>
    </row>
    <row r="4529" spans="1:26" ht="30" customHeight="1" x14ac:dyDescent="0.3">
      <c r="A4529" s="106"/>
      <c r="B4529" s="106"/>
      <c r="C4529" s="106"/>
      <c r="D4529" s="106"/>
      <c r="E4529" s="106"/>
      <c r="F4529" s="106"/>
      <c r="G4529" s="106"/>
      <c r="H4529" s="107"/>
      <c r="I4529" s="95"/>
      <c r="J4529" s="706"/>
      <c r="K4529" s="769"/>
      <c r="L4529" s="706"/>
      <c r="M4529" s="781"/>
      <c r="N4529" s="182"/>
      <c r="O4529" s="188"/>
      <c r="P4529" s="221"/>
      <c r="Q4529" s="106"/>
      <c r="R4529" s="108"/>
      <c r="S4529" s="108"/>
      <c r="T4529" s="108"/>
      <c r="U4529" s="108" t="str">
        <f>IFERROR(VLOOKUP(CONCATENATE(Tabla1[[#This Row],[Severidad]]," ",Tabla1[[#This Row],[Complejidad]]),Catalogos!E$120:G$128,3,FALSE),"")</f>
        <v/>
      </c>
      <c r="V4529" s="108" t="str">
        <f>IF(Tabla1[[#This Row],[Tiempo solución max (hrs)]]&lt;&gt;"",IF(Tabla1[[#This Row],[Tiempo solución max (hrs)]]&gt;=Tabla1[[#This Row],[Tiempo
(Hrs 00/100)]],"cumple","no cumple"),"")</f>
        <v/>
      </c>
      <c r="W4529" s="17"/>
      <c r="X4529" s="18">
        <f t="shared" si="260"/>
        <v>0</v>
      </c>
      <c r="Y4529" t="str">
        <f>SUBSTITUTE(Tabla1[[#This Row],[Descripción]],CHAR(10),"    I    ")</f>
        <v/>
      </c>
      <c r="Z4529" s="112" t="e">
        <f>VLOOKUP(Tabla1[[#This Row],[Perfil]],Catalogos!$B$75:$D$100,3,FALSE)*Tabla1[[#This Row],[Tiempo
(Hrs 00/100)]]*1.16</f>
        <v>#N/A</v>
      </c>
    </row>
    <row r="4530" spans="1:26" ht="30" customHeight="1" x14ac:dyDescent="0.3">
      <c r="A4530" s="106"/>
      <c r="B4530" s="106"/>
      <c r="C4530" s="106"/>
      <c r="D4530" s="106"/>
      <c r="E4530" s="106"/>
      <c r="F4530" s="106"/>
      <c r="G4530" s="106"/>
      <c r="H4530" s="107"/>
      <c r="I4530" s="95"/>
      <c r="J4530" s="706"/>
      <c r="K4530" s="769"/>
      <c r="L4530" s="706"/>
      <c r="M4530" s="781"/>
      <c r="N4530" s="182"/>
      <c r="O4530" s="188"/>
      <c r="P4530" s="221"/>
      <c r="Q4530" s="106"/>
      <c r="R4530" s="108"/>
      <c r="S4530" s="108"/>
      <c r="T4530" s="108"/>
      <c r="U4530" s="108" t="str">
        <f>IFERROR(VLOOKUP(CONCATENATE(Tabla1[[#This Row],[Severidad]]," ",Tabla1[[#This Row],[Complejidad]]),Catalogos!E$120:G$128,3,FALSE),"")</f>
        <v/>
      </c>
      <c r="V4530" s="108" t="str">
        <f>IF(Tabla1[[#This Row],[Tiempo solución max (hrs)]]&lt;&gt;"",IF(Tabla1[[#This Row],[Tiempo solución max (hrs)]]&gt;=Tabla1[[#This Row],[Tiempo
(Hrs 00/100)]],"cumple","no cumple"),"")</f>
        <v/>
      </c>
      <c r="W4530" s="17"/>
      <c r="X4530" s="18">
        <f t="shared" si="260"/>
        <v>0</v>
      </c>
      <c r="Y4530" t="str">
        <f>SUBSTITUTE(Tabla1[[#This Row],[Descripción]],CHAR(10),"    I    ")</f>
        <v/>
      </c>
      <c r="Z4530" s="112" t="e">
        <f>VLOOKUP(Tabla1[[#This Row],[Perfil]],Catalogos!$B$75:$D$100,3,FALSE)*Tabla1[[#This Row],[Tiempo
(Hrs 00/100)]]*1.16</f>
        <v>#N/A</v>
      </c>
    </row>
    <row r="4531" spans="1:26" ht="30" customHeight="1" x14ac:dyDescent="0.3">
      <c r="A4531" s="106"/>
      <c r="B4531" s="106"/>
      <c r="C4531" s="106"/>
      <c r="D4531" s="106"/>
      <c r="E4531" s="106"/>
      <c r="F4531" s="106"/>
      <c r="G4531" s="106"/>
      <c r="H4531" s="107"/>
      <c r="I4531" s="95"/>
      <c r="J4531" s="706"/>
      <c r="K4531" s="769"/>
      <c r="L4531" s="706"/>
      <c r="M4531" s="781"/>
      <c r="N4531" s="182"/>
      <c r="O4531" s="188"/>
      <c r="P4531" s="221"/>
      <c r="Q4531" s="106"/>
      <c r="R4531" s="108"/>
      <c r="S4531" s="108"/>
      <c r="T4531" s="108"/>
      <c r="U4531" s="108" t="str">
        <f>IFERROR(VLOOKUP(CONCATENATE(Tabla1[[#This Row],[Severidad]]," ",Tabla1[[#This Row],[Complejidad]]),Catalogos!E$120:G$128,3,FALSE),"")</f>
        <v/>
      </c>
      <c r="V4531" s="108" t="str">
        <f>IF(Tabla1[[#This Row],[Tiempo solución max (hrs)]]&lt;&gt;"",IF(Tabla1[[#This Row],[Tiempo solución max (hrs)]]&gt;=Tabla1[[#This Row],[Tiempo
(Hrs 00/100)]],"cumple","no cumple"),"")</f>
        <v/>
      </c>
      <c r="W4531" s="17"/>
      <c r="X4531" s="18">
        <f t="shared" si="260"/>
        <v>0</v>
      </c>
      <c r="Y4531" t="str">
        <f>SUBSTITUTE(Tabla1[[#This Row],[Descripción]],CHAR(10),"    I    ")</f>
        <v/>
      </c>
      <c r="Z4531" s="112" t="e">
        <f>VLOOKUP(Tabla1[[#This Row],[Perfil]],Catalogos!$B$75:$D$100,3,FALSE)*Tabla1[[#This Row],[Tiempo
(Hrs 00/100)]]*1.16</f>
        <v>#N/A</v>
      </c>
    </row>
    <row r="4532" spans="1:26" ht="30" customHeight="1" x14ac:dyDescent="0.3">
      <c r="A4532" s="106"/>
      <c r="B4532" s="106"/>
      <c r="C4532" s="106"/>
      <c r="D4532" s="106"/>
      <c r="E4532" s="106"/>
      <c r="F4532" s="106"/>
      <c r="G4532" s="106"/>
      <c r="H4532" s="107"/>
      <c r="I4532" s="95"/>
      <c r="J4532" s="706"/>
      <c r="K4532" s="769"/>
      <c r="L4532" s="706"/>
      <c r="M4532" s="781"/>
      <c r="N4532" s="182"/>
      <c r="O4532" s="188"/>
      <c r="P4532" s="221"/>
      <c r="Q4532" s="106"/>
      <c r="R4532" s="108"/>
      <c r="S4532" s="108"/>
      <c r="T4532" s="108"/>
      <c r="U4532" s="108" t="str">
        <f>IFERROR(VLOOKUP(CONCATENATE(Tabla1[[#This Row],[Severidad]]," ",Tabla1[[#This Row],[Complejidad]]),Catalogos!E$120:G$128,3,FALSE),"")</f>
        <v/>
      </c>
      <c r="V4532" s="108" t="str">
        <f>IF(Tabla1[[#This Row],[Tiempo solución max (hrs)]]&lt;&gt;"",IF(Tabla1[[#This Row],[Tiempo solución max (hrs)]]&gt;=Tabla1[[#This Row],[Tiempo
(Hrs 00/100)]],"cumple","no cumple"),"")</f>
        <v/>
      </c>
      <c r="W4532" s="17"/>
      <c r="X4532" s="18">
        <f t="shared" si="260"/>
        <v>0</v>
      </c>
      <c r="Y4532" t="str">
        <f>SUBSTITUTE(Tabla1[[#This Row],[Descripción]],CHAR(10),"    I    ")</f>
        <v/>
      </c>
      <c r="Z4532" s="112" t="e">
        <f>VLOOKUP(Tabla1[[#This Row],[Perfil]],Catalogos!$B$75:$D$100,3,FALSE)*Tabla1[[#This Row],[Tiempo
(Hrs 00/100)]]*1.16</f>
        <v>#N/A</v>
      </c>
    </row>
    <row r="4533" spans="1:26" ht="30" customHeight="1" x14ac:dyDescent="0.3">
      <c r="A4533" s="106"/>
      <c r="B4533" s="106"/>
      <c r="C4533" s="106"/>
      <c r="D4533" s="106"/>
      <c r="E4533" s="106"/>
      <c r="F4533" s="106"/>
      <c r="G4533" s="106"/>
      <c r="H4533" s="107"/>
      <c r="I4533" s="95"/>
      <c r="J4533" s="706"/>
      <c r="K4533" s="769"/>
      <c r="L4533" s="706"/>
      <c r="M4533" s="781"/>
      <c r="N4533" s="182"/>
      <c r="O4533" s="188"/>
      <c r="P4533" s="221"/>
      <c r="Q4533" s="106"/>
      <c r="R4533" s="108"/>
      <c r="S4533" s="108"/>
      <c r="T4533" s="108"/>
      <c r="U4533" s="108" t="str">
        <f>IFERROR(VLOOKUP(CONCATENATE(Tabla1[[#This Row],[Severidad]]," ",Tabla1[[#This Row],[Complejidad]]),Catalogos!E$120:G$128,3,FALSE),"")</f>
        <v/>
      </c>
      <c r="V4533" s="108" t="str">
        <f>IF(Tabla1[[#This Row],[Tiempo solución max (hrs)]]&lt;&gt;"",IF(Tabla1[[#This Row],[Tiempo solución max (hrs)]]&gt;=Tabla1[[#This Row],[Tiempo
(Hrs 00/100)]],"cumple","no cumple"),"")</f>
        <v/>
      </c>
      <c r="W4533" s="17"/>
      <c r="X4533" s="18">
        <f t="shared" si="260"/>
        <v>0</v>
      </c>
      <c r="Y4533" t="str">
        <f>SUBSTITUTE(Tabla1[[#This Row],[Descripción]],CHAR(10),"    I    ")</f>
        <v/>
      </c>
      <c r="Z4533" s="112" t="e">
        <f>VLOOKUP(Tabla1[[#This Row],[Perfil]],Catalogos!$B$75:$D$100,3,FALSE)*Tabla1[[#This Row],[Tiempo
(Hrs 00/100)]]*1.16</f>
        <v>#N/A</v>
      </c>
    </row>
    <row r="4534" spans="1:26" ht="30" customHeight="1" x14ac:dyDescent="0.3">
      <c r="A4534" s="106"/>
      <c r="B4534" s="106"/>
      <c r="C4534" s="106"/>
      <c r="D4534" s="106"/>
      <c r="E4534" s="106"/>
      <c r="F4534" s="106"/>
      <c r="G4534" s="106"/>
      <c r="H4534" s="107"/>
      <c r="I4534" s="95"/>
      <c r="J4534" s="706"/>
      <c r="K4534" s="769"/>
      <c r="L4534" s="706"/>
      <c r="M4534" s="781"/>
      <c r="N4534" s="182"/>
      <c r="O4534" s="188"/>
      <c r="P4534" s="221"/>
      <c r="Q4534" s="106"/>
      <c r="R4534" s="108"/>
      <c r="S4534" s="108"/>
      <c r="T4534" s="108"/>
      <c r="U4534" s="108" t="str">
        <f>IFERROR(VLOOKUP(CONCATENATE(Tabla1[[#This Row],[Severidad]]," ",Tabla1[[#This Row],[Complejidad]]),Catalogos!E$120:G$128,3,FALSE),"")</f>
        <v/>
      </c>
      <c r="V4534" s="108" t="str">
        <f>IF(Tabla1[[#This Row],[Tiempo solución max (hrs)]]&lt;&gt;"",IF(Tabla1[[#This Row],[Tiempo solución max (hrs)]]&gt;=Tabla1[[#This Row],[Tiempo
(Hrs 00/100)]],"cumple","no cumple"),"")</f>
        <v/>
      </c>
      <c r="W4534" s="17"/>
      <c r="X4534" s="18">
        <f t="shared" si="260"/>
        <v>0</v>
      </c>
      <c r="Y4534" t="str">
        <f>SUBSTITUTE(Tabla1[[#This Row],[Descripción]],CHAR(10),"    I    ")</f>
        <v/>
      </c>
      <c r="Z4534" s="112" t="e">
        <f>VLOOKUP(Tabla1[[#This Row],[Perfil]],Catalogos!$B$75:$D$100,3,FALSE)*Tabla1[[#This Row],[Tiempo
(Hrs 00/100)]]*1.16</f>
        <v>#N/A</v>
      </c>
    </row>
    <row r="4535" spans="1:26" ht="30" customHeight="1" x14ac:dyDescent="0.3">
      <c r="A4535" s="106"/>
      <c r="B4535" s="106"/>
      <c r="C4535" s="106"/>
      <c r="D4535" s="106"/>
      <c r="E4535" s="106"/>
      <c r="F4535" s="106"/>
      <c r="G4535" s="106"/>
      <c r="H4535" s="107"/>
      <c r="I4535" s="95"/>
      <c r="J4535" s="706"/>
      <c r="K4535" s="769"/>
      <c r="L4535" s="706"/>
      <c r="M4535" s="781"/>
      <c r="N4535" s="182"/>
      <c r="O4535" s="188"/>
      <c r="P4535" s="221"/>
      <c r="Q4535" s="106"/>
      <c r="R4535" s="108"/>
      <c r="S4535" s="108"/>
      <c r="T4535" s="108"/>
      <c r="U4535" s="108" t="str">
        <f>IFERROR(VLOOKUP(CONCATENATE(Tabla1[[#This Row],[Severidad]]," ",Tabla1[[#This Row],[Complejidad]]),Catalogos!E$120:G$128,3,FALSE),"")</f>
        <v/>
      </c>
      <c r="V4535" s="108" t="str">
        <f>IF(Tabla1[[#This Row],[Tiempo solución max (hrs)]]&lt;&gt;"",IF(Tabla1[[#This Row],[Tiempo solución max (hrs)]]&gt;=Tabla1[[#This Row],[Tiempo
(Hrs 00/100)]],"cumple","no cumple"),"")</f>
        <v/>
      </c>
      <c r="W4535" s="17"/>
      <c r="X4535" s="18">
        <f t="shared" si="260"/>
        <v>0</v>
      </c>
      <c r="Y4535" t="str">
        <f>SUBSTITUTE(Tabla1[[#This Row],[Descripción]],CHAR(10),"    I    ")</f>
        <v/>
      </c>
      <c r="Z4535" s="112" t="e">
        <f>VLOOKUP(Tabla1[[#This Row],[Perfil]],Catalogos!$B$75:$D$100,3,FALSE)*Tabla1[[#This Row],[Tiempo
(Hrs 00/100)]]*1.16</f>
        <v>#N/A</v>
      </c>
    </row>
    <row r="4536" spans="1:26" ht="30" customHeight="1" x14ac:dyDescent="0.3">
      <c r="A4536" s="106"/>
      <c r="B4536" s="106"/>
      <c r="C4536" s="106"/>
      <c r="D4536" s="106"/>
      <c r="E4536" s="106"/>
      <c r="F4536" s="106"/>
      <c r="G4536" s="106"/>
      <c r="H4536" s="107"/>
      <c r="I4536" s="95"/>
      <c r="J4536" s="706"/>
      <c r="K4536" s="769"/>
      <c r="L4536" s="706"/>
      <c r="M4536" s="781"/>
      <c r="N4536" s="182"/>
      <c r="O4536" s="188"/>
      <c r="P4536" s="221"/>
      <c r="Q4536" s="106"/>
      <c r="R4536" s="108"/>
      <c r="S4536" s="108"/>
      <c r="T4536" s="108"/>
      <c r="U4536" s="108" t="str">
        <f>IFERROR(VLOOKUP(CONCATENATE(Tabla1[[#This Row],[Severidad]]," ",Tabla1[[#This Row],[Complejidad]]),Catalogos!E$120:G$128,3,FALSE),"")</f>
        <v/>
      </c>
      <c r="V4536" s="108" t="str">
        <f>IF(Tabla1[[#This Row],[Tiempo solución max (hrs)]]&lt;&gt;"",IF(Tabla1[[#This Row],[Tiempo solución max (hrs)]]&gt;=Tabla1[[#This Row],[Tiempo
(Hrs 00/100)]],"cumple","no cumple"),"")</f>
        <v/>
      </c>
      <c r="W4536" s="17"/>
      <c r="X4536" s="18">
        <f t="shared" si="260"/>
        <v>0</v>
      </c>
      <c r="Y4536" t="str">
        <f>SUBSTITUTE(Tabla1[[#This Row],[Descripción]],CHAR(10),"    I    ")</f>
        <v/>
      </c>
      <c r="Z4536" s="112" t="e">
        <f>VLOOKUP(Tabla1[[#This Row],[Perfil]],Catalogos!$B$75:$D$100,3,FALSE)*Tabla1[[#This Row],[Tiempo
(Hrs 00/100)]]*1.16</f>
        <v>#N/A</v>
      </c>
    </row>
    <row r="4537" spans="1:26" ht="30" customHeight="1" x14ac:dyDescent="0.3">
      <c r="A4537" s="106"/>
      <c r="B4537" s="106"/>
      <c r="C4537" s="106"/>
      <c r="D4537" s="106"/>
      <c r="E4537" s="106"/>
      <c r="F4537" s="106"/>
      <c r="G4537" s="106"/>
      <c r="H4537" s="107"/>
      <c r="I4537" s="95"/>
      <c r="J4537" s="706"/>
      <c r="K4537" s="769"/>
      <c r="L4537" s="706"/>
      <c r="M4537" s="781"/>
      <c r="N4537" s="182"/>
      <c r="O4537" s="188"/>
      <c r="P4537" s="221"/>
      <c r="Q4537" s="106"/>
      <c r="R4537" s="108"/>
      <c r="S4537" s="108"/>
      <c r="T4537" s="108"/>
      <c r="U4537" s="108" t="str">
        <f>IFERROR(VLOOKUP(CONCATENATE(Tabla1[[#This Row],[Severidad]]," ",Tabla1[[#This Row],[Complejidad]]),Catalogos!E$120:G$128,3,FALSE),"")</f>
        <v/>
      </c>
      <c r="V4537" s="108" t="str">
        <f>IF(Tabla1[[#This Row],[Tiempo solución max (hrs)]]&lt;&gt;"",IF(Tabla1[[#This Row],[Tiempo solución max (hrs)]]&gt;=Tabla1[[#This Row],[Tiempo
(Hrs 00/100)]],"cumple","no cumple"),"")</f>
        <v/>
      </c>
      <c r="W4537" s="17"/>
      <c r="X4537" s="18">
        <f t="shared" si="260"/>
        <v>0</v>
      </c>
      <c r="Y4537" t="str">
        <f>SUBSTITUTE(Tabla1[[#This Row],[Descripción]],CHAR(10),"    I    ")</f>
        <v/>
      </c>
      <c r="Z4537" s="112" t="e">
        <f>VLOOKUP(Tabla1[[#This Row],[Perfil]],Catalogos!$B$75:$D$100,3,FALSE)*Tabla1[[#This Row],[Tiempo
(Hrs 00/100)]]*1.16</f>
        <v>#N/A</v>
      </c>
    </row>
    <row r="4538" spans="1:26" ht="30" customHeight="1" x14ac:dyDescent="0.3">
      <c r="A4538" s="106"/>
      <c r="B4538" s="106"/>
      <c r="C4538" s="106"/>
      <c r="D4538" s="106"/>
      <c r="E4538" s="106"/>
      <c r="F4538" s="106"/>
      <c r="G4538" s="106"/>
      <c r="H4538" s="107"/>
      <c r="I4538" s="95"/>
      <c r="J4538" s="706"/>
      <c r="K4538" s="769"/>
      <c r="L4538" s="706"/>
      <c r="M4538" s="781"/>
      <c r="N4538" s="182"/>
      <c r="O4538" s="188"/>
      <c r="P4538" s="221"/>
      <c r="Q4538" s="106"/>
      <c r="R4538" s="108"/>
      <c r="S4538" s="108"/>
      <c r="T4538" s="108"/>
      <c r="U4538" s="108" t="str">
        <f>IFERROR(VLOOKUP(CONCATENATE(Tabla1[[#This Row],[Severidad]]," ",Tabla1[[#This Row],[Complejidad]]),Catalogos!E$120:G$128,3,FALSE),"")</f>
        <v/>
      </c>
      <c r="V4538" s="108" t="str">
        <f>IF(Tabla1[[#This Row],[Tiempo solución max (hrs)]]&lt;&gt;"",IF(Tabla1[[#This Row],[Tiempo solución max (hrs)]]&gt;=Tabla1[[#This Row],[Tiempo
(Hrs 00/100)]],"cumple","no cumple"),"")</f>
        <v/>
      </c>
      <c r="W4538" s="17"/>
      <c r="X4538" s="18">
        <f t="shared" si="260"/>
        <v>0</v>
      </c>
      <c r="Y4538" t="str">
        <f>SUBSTITUTE(Tabla1[[#This Row],[Descripción]],CHAR(10),"    I    ")</f>
        <v/>
      </c>
      <c r="Z4538" s="112" t="e">
        <f>VLOOKUP(Tabla1[[#This Row],[Perfil]],Catalogos!$B$75:$D$100,3,FALSE)*Tabla1[[#This Row],[Tiempo
(Hrs 00/100)]]*1.16</f>
        <v>#N/A</v>
      </c>
    </row>
    <row r="4539" spans="1:26" ht="30" customHeight="1" x14ac:dyDescent="0.3">
      <c r="A4539" s="106"/>
      <c r="B4539" s="106"/>
      <c r="C4539" s="106"/>
      <c r="D4539" s="106"/>
      <c r="E4539" s="106"/>
      <c r="F4539" s="106"/>
      <c r="G4539" s="106"/>
      <c r="H4539" s="107"/>
      <c r="I4539" s="95"/>
      <c r="J4539" s="706"/>
      <c r="K4539" s="769"/>
      <c r="L4539" s="706"/>
      <c r="M4539" s="781"/>
      <c r="N4539" s="182"/>
      <c r="O4539" s="188"/>
      <c r="P4539" s="221"/>
      <c r="Q4539" s="106"/>
      <c r="R4539" s="108"/>
      <c r="S4539" s="108"/>
      <c r="T4539" s="108"/>
      <c r="U4539" s="108" t="str">
        <f>IFERROR(VLOOKUP(CONCATENATE(Tabla1[[#This Row],[Severidad]]," ",Tabla1[[#This Row],[Complejidad]]),Catalogos!E$120:G$128,3,FALSE),"")</f>
        <v/>
      </c>
      <c r="V4539" s="108" t="str">
        <f>IF(Tabla1[[#This Row],[Tiempo solución max (hrs)]]&lt;&gt;"",IF(Tabla1[[#This Row],[Tiempo solución max (hrs)]]&gt;=Tabla1[[#This Row],[Tiempo
(Hrs 00/100)]],"cumple","no cumple"),"")</f>
        <v/>
      </c>
      <c r="W4539" s="17"/>
      <c r="X4539" s="18">
        <f t="shared" si="260"/>
        <v>0</v>
      </c>
      <c r="Y4539" t="str">
        <f>SUBSTITUTE(Tabla1[[#This Row],[Descripción]],CHAR(10),"    I    ")</f>
        <v/>
      </c>
      <c r="Z4539" s="112" t="e">
        <f>VLOOKUP(Tabla1[[#This Row],[Perfil]],Catalogos!$B$75:$D$100,3,FALSE)*Tabla1[[#This Row],[Tiempo
(Hrs 00/100)]]*1.16</f>
        <v>#N/A</v>
      </c>
    </row>
    <row r="4540" spans="1:26" ht="30" customHeight="1" x14ac:dyDescent="0.3">
      <c r="A4540" s="106"/>
      <c r="B4540" s="106"/>
      <c r="C4540" s="106"/>
      <c r="D4540" s="106"/>
      <c r="E4540" s="106"/>
      <c r="F4540" s="106"/>
      <c r="G4540" s="106"/>
      <c r="H4540" s="107"/>
      <c r="I4540" s="95"/>
      <c r="J4540" s="706"/>
      <c r="K4540" s="769"/>
      <c r="L4540" s="706"/>
      <c r="M4540" s="781"/>
      <c r="N4540" s="182"/>
      <c r="O4540" s="188"/>
      <c r="P4540" s="221"/>
      <c r="Q4540" s="106"/>
      <c r="R4540" s="108"/>
      <c r="S4540" s="108"/>
      <c r="T4540" s="108"/>
      <c r="U4540" s="108" t="str">
        <f>IFERROR(VLOOKUP(CONCATENATE(Tabla1[[#This Row],[Severidad]]," ",Tabla1[[#This Row],[Complejidad]]),Catalogos!E$120:G$128,3,FALSE),"")</f>
        <v/>
      </c>
      <c r="V4540" s="108" t="str">
        <f>IF(Tabla1[[#This Row],[Tiempo solución max (hrs)]]&lt;&gt;"",IF(Tabla1[[#This Row],[Tiempo solución max (hrs)]]&gt;=Tabla1[[#This Row],[Tiempo
(Hrs 00/100)]],"cumple","no cumple"),"")</f>
        <v/>
      </c>
      <c r="W4540" s="17"/>
      <c r="X4540" s="18">
        <f t="shared" si="260"/>
        <v>0</v>
      </c>
      <c r="Y4540" t="str">
        <f>SUBSTITUTE(Tabla1[[#This Row],[Descripción]],CHAR(10),"    I    ")</f>
        <v/>
      </c>
      <c r="Z4540" s="112" t="e">
        <f>VLOOKUP(Tabla1[[#This Row],[Perfil]],Catalogos!$B$75:$D$100,3,FALSE)*Tabla1[[#This Row],[Tiempo
(Hrs 00/100)]]*1.16</f>
        <v>#N/A</v>
      </c>
    </row>
    <row r="4541" spans="1:26" ht="30" customHeight="1" x14ac:dyDescent="0.3">
      <c r="A4541" s="106"/>
      <c r="B4541" s="106"/>
      <c r="C4541" s="106"/>
      <c r="D4541" s="106"/>
      <c r="E4541" s="106"/>
      <c r="F4541" s="106"/>
      <c r="G4541" s="106"/>
      <c r="H4541" s="107"/>
      <c r="I4541" s="95"/>
      <c r="J4541" s="706"/>
      <c r="K4541" s="769"/>
      <c r="L4541" s="706"/>
      <c r="M4541" s="781"/>
      <c r="N4541" s="182"/>
      <c r="O4541" s="188"/>
      <c r="P4541" s="221"/>
      <c r="Q4541" s="106"/>
      <c r="R4541" s="108"/>
      <c r="S4541" s="108"/>
      <c r="T4541" s="108"/>
      <c r="U4541" s="108" t="str">
        <f>IFERROR(VLOOKUP(CONCATENATE(Tabla1[[#This Row],[Severidad]]," ",Tabla1[[#This Row],[Complejidad]]),Catalogos!E$120:G$128,3,FALSE),"")</f>
        <v/>
      </c>
      <c r="V4541" s="108" t="str">
        <f>IF(Tabla1[[#This Row],[Tiempo solución max (hrs)]]&lt;&gt;"",IF(Tabla1[[#This Row],[Tiempo solución max (hrs)]]&gt;=Tabla1[[#This Row],[Tiempo
(Hrs 00/100)]],"cumple","no cumple"),"")</f>
        <v/>
      </c>
      <c r="W4541" s="17"/>
      <c r="X4541" s="18">
        <f t="shared" si="260"/>
        <v>0</v>
      </c>
      <c r="Y4541" t="str">
        <f>SUBSTITUTE(Tabla1[[#This Row],[Descripción]],CHAR(10),"    I    ")</f>
        <v/>
      </c>
      <c r="Z4541" s="112" t="e">
        <f>VLOOKUP(Tabla1[[#This Row],[Perfil]],Catalogos!$B$75:$D$100,3,FALSE)*Tabla1[[#This Row],[Tiempo
(Hrs 00/100)]]*1.16</f>
        <v>#N/A</v>
      </c>
    </row>
    <row r="4542" spans="1:26" ht="30" customHeight="1" x14ac:dyDescent="0.3">
      <c r="A4542" s="106"/>
      <c r="B4542" s="106"/>
      <c r="C4542" s="106"/>
      <c r="D4542" s="106"/>
      <c r="E4542" s="106"/>
      <c r="F4542" s="106"/>
      <c r="G4542" s="106"/>
      <c r="H4542" s="107"/>
      <c r="I4542" s="95"/>
      <c r="J4542" s="706"/>
      <c r="K4542" s="769"/>
      <c r="L4542" s="706"/>
      <c r="M4542" s="781"/>
      <c r="N4542" s="182"/>
      <c r="O4542" s="188"/>
      <c r="P4542" s="221"/>
      <c r="Q4542" s="106"/>
      <c r="R4542" s="108"/>
      <c r="S4542" s="108"/>
      <c r="T4542" s="108"/>
      <c r="U4542" s="108" t="str">
        <f>IFERROR(VLOOKUP(CONCATENATE(Tabla1[[#This Row],[Severidad]]," ",Tabla1[[#This Row],[Complejidad]]),Catalogos!E$120:G$128,3,FALSE),"")</f>
        <v/>
      </c>
      <c r="V4542" s="108" t="str">
        <f>IF(Tabla1[[#This Row],[Tiempo solución max (hrs)]]&lt;&gt;"",IF(Tabla1[[#This Row],[Tiempo solución max (hrs)]]&gt;=Tabla1[[#This Row],[Tiempo
(Hrs 00/100)]],"cumple","no cumple"),"")</f>
        <v/>
      </c>
      <c r="W4542" s="17"/>
      <c r="X4542" s="18">
        <f t="shared" si="260"/>
        <v>0</v>
      </c>
      <c r="Y4542" t="str">
        <f>SUBSTITUTE(Tabla1[[#This Row],[Descripción]],CHAR(10),"    I    ")</f>
        <v/>
      </c>
      <c r="Z4542" s="112" t="e">
        <f>VLOOKUP(Tabla1[[#This Row],[Perfil]],Catalogos!$B$75:$D$100,3,FALSE)*Tabla1[[#This Row],[Tiempo
(Hrs 00/100)]]*1.16</f>
        <v>#N/A</v>
      </c>
    </row>
    <row r="4543" spans="1:26" ht="30" customHeight="1" x14ac:dyDescent="0.3">
      <c r="A4543" s="106"/>
      <c r="B4543" s="106"/>
      <c r="C4543" s="106"/>
      <c r="D4543" s="106"/>
      <c r="E4543" s="106"/>
      <c r="F4543" s="106"/>
      <c r="G4543" s="106"/>
      <c r="H4543" s="107"/>
      <c r="I4543" s="95"/>
      <c r="J4543" s="706"/>
      <c r="K4543" s="769"/>
      <c r="L4543" s="706"/>
      <c r="M4543" s="781"/>
      <c r="N4543" s="182"/>
      <c r="O4543" s="188"/>
      <c r="P4543" s="221"/>
      <c r="Q4543" s="106"/>
      <c r="R4543" s="108"/>
      <c r="S4543" s="108"/>
      <c r="T4543" s="108"/>
      <c r="U4543" s="108" t="str">
        <f>IFERROR(VLOOKUP(CONCATENATE(Tabla1[[#This Row],[Severidad]]," ",Tabla1[[#This Row],[Complejidad]]),Catalogos!E$120:G$128,3,FALSE),"")</f>
        <v/>
      </c>
      <c r="V4543" s="108" t="str">
        <f>IF(Tabla1[[#This Row],[Tiempo solución max (hrs)]]&lt;&gt;"",IF(Tabla1[[#This Row],[Tiempo solución max (hrs)]]&gt;=Tabla1[[#This Row],[Tiempo
(Hrs 00/100)]],"cumple","no cumple"),"")</f>
        <v/>
      </c>
      <c r="W4543" s="17"/>
      <c r="X4543" s="18">
        <f t="shared" si="260"/>
        <v>0</v>
      </c>
      <c r="Y4543" t="str">
        <f>SUBSTITUTE(Tabla1[[#This Row],[Descripción]],CHAR(10),"    I    ")</f>
        <v/>
      </c>
      <c r="Z4543" s="112" t="e">
        <f>VLOOKUP(Tabla1[[#This Row],[Perfil]],Catalogos!$B$75:$D$100,3,FALSE)*Tabla1[[#This Row],[Tiempo
(Hrs 00/100)]]*1.16</f>
        <v>#N/A</v>
      </c>
    </row>
    <row r="4544" spans="1:26" ht="30" customHeight="1" x14ac:dyDescent="0.3">
      <c r="A4544" s="106"/>
      <c r="B4544" s="106"/>
      <c r="C4544" s="106"/>
      <c r="D4544" s="106"/>
      <c r="E4544" s="106"/>
      <c r="F4544" s="106"/>
      <c r="G4544" s="106"/>
      <c r="H4544" s="107"/>
      <c r="I4544" s="95"/>
      <c r="J4544" s="706"/>
      <c r="K4544" s="769"/>
      <c r="L4544" s="706"/>
      <c r="M4544" s="781"/>
      <c r="N4544" s="182"/>
      <c r="O4544" s="188"/>
      <c r="P4544" s="221"/>
      <c r="Q4544" s="106"/>
      <c r="R4544" s="108"/>
      <c r="S4544" s="108"/>
      <c r="T4544" s="108"/>
      <c r="U4544" s="108" t="str">
        <f>IFERROR(VLOOKUP(CONCATENATE(Tabla1[[#This Row],[Severidad]]," ",Tabla1[[#This Row],[Complejidad]]),Catalogos!E$120:G$128,3,FALSE),"")</f>
        <v/>
      </c>
      <c r="V4544" s="108" t="str">
        <f>IF(Tabla1[[#This Row],[Tiempo solución max (hrs)]]&lt;&gt;"",IF(Tabla1[[#This Row],[Tiempo solución max (hrs)]]&gt;=Tabla1[[#This Row],[Tiempo
(Hrs 00/100)]],"cumple","no cumple"),"")</f>
        <v/>
      </c>
      <c r="W4544" s="17"/>
      <c r="X4544" s="18">
        <f t="shared" si="260"/>
        <v>0</v>
      </c>
      <c r="Y4544" t="str">
        <f>SUBSTITUTE(Tabla1[[#This Row],[Descripción]],CHAR(10),"    I    ")</f>
        <v/>
      </c>
      <c r="Z4544" s="112" t="e">
        <f>VLOOKUP(Tabla1[[#This Row],[Perfil]],Catalogos!$B$75:$D$100,3,FALSE)*Tabla1[[#This Row],[Tiempo
(Hrs 00/100)]]*1.16</f>
        <v>#N/A</v>
      </c>
    </row>
    <row r="4545" spans="1:26" ht="30" customHeight="1" x14ac:dyDescent="0.3">
      <c r="A4545" s="106"/>
      <c r="B4545" s="106"/>
      <c r="C4545" s="106"/>
      <c r="D4545" s="106"/>
      <c r="E4545" s="106"/>
      <c r="F4545" s="106"/>
      <c r="G4545" s="106"/>
      <c r="H4545" s="107"/>
      <c r="I4545" s="95"/>
      <c r="J4545" s="706"/>
      <c r="K4545" s="769"/>
      <c r="L4545" s="706"/>
      <c r="M4545" s="781"/>
      <c r="N4545" s="182"/>
      <c r="O4545" s="188"/>
      <c r="P4545" s="221"/>
      <c r="Q4545" s="106"/>
      <c r="R4545" s="108"/>
      <c r="S4545" s="108"/>
      <c r="T4545" s="108"/>
      <c r="U4545" s="108" t="str">
        <f>IFERROR(VLOOKUP(CONCATENATE(Tabla1[[#This Row],[Severidad]]," ",Tabla1[[#This Row],[Complejidad]]),Catalogos!E$120:G$128,3,FALSE),"")</f>
        <v/>
      </c>
      <c r="V4545" s="108" t="str">
        <f>IF(Tabla1[[#This Row],[Tiempo solución max (hrs)]]&lt;&gt;"",IF(Tabla1[[#This Row],[Tiempo solución max (hrs)]]&gt;=Tabla1[[#This Row],[Tiempo
(Hrs 00/100)]],"cumple","no cumple"),"")</f>
        <v/>
      </c>
      <c r="W4545" s="17"/>
      <c r="X4545" s="18">
        <f t="shared" si="260"/>
        <v>0</v>
      </c>
      <c r="Y4545" t="str">
        <f>SUBSTITUTE(Tabla1[[#This Row],[Descripción]],CHAR(10),"    I    ")</f>
        <v/>
      </c>
      <c r="Z4545" s="112" t="e">
        <f>VLOOKUP(Tabla1[[#This Row],[Perfil]],Catalogos!$B$75:$D$100,3,FALSE)*Tabla1[[#This Row],[Tiempo
(Hrs 00/100)]]*1.16</f>
        <v>#N/A</v>
      </c>
    </row>
    <row r="4546" spans="1:26" ht="30" customHeight="1" x14ac:dyDescent="0.3">
      <c r="A4546" s="106"/>
      <c r="B4546" s="106"/>
      <c r="C4546" s="106"/>
      <c r="D4546" s="106"/>
      <c r="E4546" s="106"/>
      <c r="F4546" s="106"/>
      <c r="G4546" s="106"/>
      <c r="H4546" s="107"/>
      <c r="I4546" s="95"/>
      <c r="J4546" s="706"/>
      <c r="K4546" s="769"/>
      <c r="L4546" s="706"/>
      <c r="M4546" s="781"/>
      <c r="N4546" s="182"/>
      <c r="O4546" s="188"/>
      <c r="P4546" s="221"/>
      <c r="Q4546" s="106"/>
      <c r="R4546" s="108"/>
      <c r="S4546" s="108"/>
      <c r="T4546" s="108"/>
      <c r="U4546" s="108" t="str">
        <f>IFERROR(VLOOKUP(CONCATENATE(Tabla1[[#This Row],[Severidad]]," ",Tabla1[[#This Row],[Complejidad]]),Catalogos!E$120:G$128,3,FALSE),"")</f>
        <v/>
      </c>
      <c r="V4546" s="108" t="str">
        <f>IF(Tabla1[[#This Row],[Tiempo solución max (hrs)]]&lt;&gt;"",IF(Tabla1[[#This Row],[Tiempo solución max (hrs)]]&gt;=Tabla1[[#This Row],[Tiempo
(Hrs 00/100)]],"cumple","no cumple"),"")</f>
        <v/>
      </c>
      <c r="W4546" s="17"/>
      <c r="X4546" s="18">
        <f t="shared" si="260"/>
        <v>0</v>
      </c>
      <c r="Y4546" t="str">
        <f>SUBSTITUTE(Tabla1[[#This Row],[Descripción]],CHAR(10),"    I    ")</f>
        <v/>
      </c>
      <c r="Z4546" s="112" t="e">
        <f>VLOOKUP(Tabla1[[#This Row],[Perfil]],Catalogos!$B$75:$D$100,3,FALSE)*Tabla1[[#This Row],[Tiempo
(Hrs 00/100)]]*1.16</f>
        <v>#N/A</v>
      </c>
    </row>
    <row r="4547" spans="1:26" ht="30" customHeight="1" x14ac:dyDescent="0.3">
      <c r="A4547" s="106"/>
      <c r="B4547" s="106"/>
      <c r="C4547" s="106"/>
      <c r="D4547" s="106"/>
      <c r="E4547" s="106"/>
      <c r="F4547" s="106"/>
      <c r="G4547" s="106"/>
      <c r="H4547" s="107"/>
      <c r="I4547" s="95"/>
      <c r="J4547" s="706"/>
      <c r="K4547" s="769"/>
      <c r="L4547" s="706"/>
      <c r="M4547" s="781"/>
      <c r="N4547" s="182"/>
      <c r="O4547" s="188"/>
      <c r="P4547" s="221"/>
      <c r="Q4547" s="106"/>
      <c r="R4547" s="108"/>
      <c r="S4547" s="108"/>
      <c r="T4547" s="108"/>
      <c r="U4547" s="108" t="str">
        <f>IFERROR(VLOOKUP(CONCATENATE(Tabla1[[#This Row],[Severidad]]," ",Tabla1[[#This Row],[Complejidad]]),Catalogos!E$120:G$128,3,FALSE),"")</f>
        <v/>
      </c>
      <c r="V4547" s="108" t="str">
        <f>IF(Tabla1[[#This Row],[Tiempo solución max (hrs)]]&lt;&gt;"",IF(Tabla1[[#This Row],[Tiempo solución max (hrs)]]&gt;=Tabla1[[#This Row],[Tiempo
(Hrs 00/100)]],"cumple","no cumple"),"")</f>
        <v/>
      </c>
      <c r="W4547" s="17"/>
      <c r="X4547" s="18">
        <f t="shared" ref="X4547:X4610" si="261">IF(C4547&lt;&gt;"",C4547,D4547)</f>
        <v>0</v>
      </c>
      <c r="Y4547" t="str">
        <f>SUBSTITUTE(Tabla1[[#This Row],[Descripción]],CHAR(10),"    I    ")</f>
        <v/>
      </c>
      <c r="Z4547" s="112" t="e">
        <f>VLOOKUP(Tabla1[[#This Row],[Perfil]],Catalogos!$B$75:$D$100,3,FALSE)*Tabla1[[#This Row],[Tiempo
(Hrs 00/100)]]*1.16</f>
        <v>#N/A</v>
      </c>
    </row>
    <row r="4548" spans="1:26" ht="30" customHeight="1" x14ac:dyDescent="0.3">
      <c r="A4548" s="106"/>
      <c r="B4548" s="106"/>
      <c r="C4548" s="106"/>
      <c r="D4548" s="106"/>
      <c r="E4548" s="106"/>
      <c r="F4548" s="106"/>
      <c r="G4548" s="106"/>
      <c r="H4548" s="107"/>
      <c r="I4548" s="95"/>
      <c r="J4548" s="706"/>
      <c r="K4548" s="769"/>
      <c r="L4548" s="706"/>
      <c r="M4548" s="781"/>
      <c r="N4548" s="182"/>
      <c r="O4548" s="188"/>
      <c r="P4548" s="221"/>
      <c r="Q4548" s="106"/>
      <c r="R4548" s="108"/>
      <c r="S4548" s="108"/>
      <c r="T4548" s="108"/>
      <c r="U4548" s="108" t="str">
        <f>IFERROR(VLOOKUP(CONCATENATE(Tabla1[[#This Row],[Severidad]]," ",Tabla1[[#This Row],[Complejidad]]),Catalogos!E$120:G$128,3,FALSE),"")</f>
        <v/>
      </c>
      <c r="V4548" s="108" t="str">
        <f>IF(Tabla1[[#This Row],[Tiempo solución max (hrs)]]&lt;&gt;"",IF(Tabla1[[#This Row],[Tiempo solución max (hrs)]]&gt;=Tabla1[[#This Row],[Tiempo
(Hrs 00/100)]],"cumple","no cumple"),"")</f>
        <v/>
      </c>
      <c r="W4548" s="17"/>
      <c r="X4548" s="18">
        <f t="shared" si="261"/>
        <v>0</v>
      </c>
      <c r="Y4548" t="str">
        <f>SUBSTITUTE(Tabla1[[#This Row],[Descripción]],CHAR(10),"    I    ")</f>
        <v/>
      </c>
      <c r="Z4548" s="112" t="e">
        <f>VLOOKUP(Tabla1[[#This Row],[Perfil]],Catalogos!$B$75:$D$100,3,FALSE)*Tabla1[[#This Row],[Tiempo
(Hrs 00/100)]]*1.16</f>
        <v>#N/A</v>
      </c>
    </row>
    <row r="4549" spans="1:26" ht="30" customHeight="1" x14ac:dyDescent="0.3">
      <c r="A4549" s="106"/>
      <c r="B4549" s="106"/>
      <c r="C4549" s="106"/>
      <c r="D4549" s="106"/>
      <c r="E4549" s="106"/>
      <c r="F4549" s="106"/>
      <c r="G4549" s="106"/>
      <c r="H4549" s="107"/>
      <c r="I4549" s="95"/>
      <c r="J4549" s="706"/>
      <c r="K4549" s="769"/>
      <c r="L4549" s="706"/>
      <c r="M4549" s="781"/>
      <c r="N4549" s="182"/>
      <c r="O4549" s="188"/>
      <c r="P4549" s="221"/>
      <c r="Q4549" s="106"/>
      <c r="R4549" s="108"/>
      <c r="S4549" s="108"/>
      <c r="T4549" s="108"/>
      <c r="U4549" s="108" t="str">
        <f>IFERROR(VLOOKUP(CONCATENATE(Tabla1[[#This Row],[Severidad]]," ",Tabla1[[#This Row],[Complejidad]]),Catalogos!E$120:G$128,3,FALSE),"")</f>
        <v/>
      </c>
      <c r="V4549" s="108" t="str">
        <f>IF(Tabla1[[#This Row],[Tiempo solución max (hrs)]]&lt;&gt;"",IF(Tabla1[[#This Row],[Tiempo solución max (hrs)]]&gt;=Tabla1[[#This Row],[Tiempo
(Hrs 00/100)]],"cumple","no cumple"),"")</f>
        <v/>
      </c>
      <c r="W4549" s="17"/>
      <c r="X4549" s="18">
        <f t="shared" si="261"/>
        <v>0</v>
      </c>
      <c r="Y4549" t="str">
        <f>SUBSTITUTE(Tabla1[[#This Row],[Descripción]],CHAR(10),"    I    ")</f>
        <v/>
      </c>
      <c r="Z4549" s="112" t="e">
        <f>VLOOKUP(Tabla1[[#This Row],[Perfil]],Catalogos!$B$75:$D$100,3,FALSE)*Tabla1[[#This Row],[Tiempo
(Hrs 00/100)]]*1.16</f>
        <v>#N/A</v>
      </c>
    </row>
    <row r="4550" spans="1:26" ht="30" customHeight="1" x14ac:dyDescent="0.3">
      <c r="A4550" s="106"/>
      <c r="B4550" s="106"/>
      <c r="C4550" s="106"/>
      <c r="D4550" s="106"/>
      <c r="E4550" s="106"/>
      <c r="F4550" s="106"/>
      <c r="G4550" s="106"/>
      <c r="H4550" s="107"/>
      <c r="I4550" s="95"/>
      <c r="J4550" s="706"/>
      <c r="K4550" s="769"/>
      <c r="L4550" s="706"/>
      <c r="M4550" s="781"/>
      <c r="N4550" s="182"/>
      <c r="O4550" s="188"/>
      <c r="P4550" s="221"/>
      <c r="Q4550" s="106"/>
      <c r="R4550" s="108"/>
      <c r="S4550" s="108"/>
      <c r="T4550" s="108"/>
      <c r="U4550" s="108" t="str">
        <f>IFERROR(VLOOKUP(CONCATENATE(Tabla1[[#This Row],[Severidad]]," ",Tabla1[[#This Row],[Complejidad]]),Catalogos!E$120:G$128,3,FALSE),"")</f>
        <v/>
      </c>
      <c r="V4550" s="108" t="str">
        <f>IF(Tabla1[[#This Row],[Tiempo solución max (hrs)]]&lt;&gt;"",IF(Tabla1[[#This Row],[Tiempo solución max (hrs)]]&gt;=Tabla1[[#This Row],[Tiempo
(Hrs 00/100)]],"cumple","no cumple"),"")</f>
        <v/>
      </c>
      <c r="W4550" s="17"/>
      <c r="X4550" s="18">
        <f t="shared" si="261"/>
        <v>0</v>
      </c>
      <c r="Y4550" t="str">
        <f>SUBSTITUTE(Tabla1[[#This Row],[Descripción]],CHAR(10),"    I    ")</f>
        <v/>
      </c>
      <c r="Z4550" s="112" t="e">
        <f>VLOOKUP(Tabla1[[#This Row],[Perfil]],Catalogos!$B$75:$D$100,3,FALSE)*Tabla1[[#This Row],[Tiempo
(Hrs 00/100)]]*1.16</f>
        <v>#N/A</v>
      </c>
    </row>
    <row r="4551" spans="1:26" ht="30" customHeight="1" x14ac:dyDescent="0.3">
      <c r="A4551" s="106"/>
      <c r="B4551" s="106"/>
      <c r="C4551" s="106"/>
      <c r="D4551" s="106"/>
      <c r="E4551" s="106"/>
      <c r="F4551" s="106"/>
      <c r="G4551" s="106"/>
      <c r="H4551" s="107"/>
      <c r="I4551" s="95"/>
      <c r="J4551" s="706"/>
      <c r="K4551" s="769"/>
      <c r="L4551" s="706"/>
      <c r="M4551" s="781"/>
      <c r="N4551" s="182"/>
      <c r="O4551" s="188"/>
      <c r="P4551" s="221"/>
      <c r="Q4551" s="106"/>
      <c r="R4551" s="108"/>
      <c r="S4551" s="108"/>
      <c r="T4551" s="108"/>
      <c r="U4551" s="108" t="str">
        <f>IFERROR(VLOOKUP(CONCATENATE(Tabla1[[#This Row],[Severidad]]," ",Tabla1[[#This Row],[Complejidad]]),Catalogos!E$120:G$128,3,FALSE),"")</f>
        <v/>
      </c>
      <c r="V4551" s="108" t="str">
        <f>IF(Tabla1[[#This Row],[Tiempo solución max (hrs)]]&lt;&gt;"",IF(Tabla1[[#This Row],[Tiempo solución max (hrs)]]&gt;=Tabla1[[#This Row],[Tiempo
(Hrs 00/100)]],"cumple","no cumple"),"")</f>
        <v/>
      </c>
      <c r="W4551" s="17"/>
      <c r="X4551" s="18">
        <f t="shared" si="261"/>
        <v>0</v>
      </c>
      <c r="Y4551" t="str">
        <f>SUBSTITUTE(Tabla1[[#This Row],[Descripción]],CHAR(10),"    I    ")</f>
        <v/>
      </c>
      <c r="Z4551" s="112" t="e">
        <f>VLOOKUP(Tabla1[[#This Row],[Perfil]],Catalogos!$B$75:$D$100,3,FALSE)*Tabla1[[#This Row],[Tiempo
(Hrs 00/100)]]*1.16</f>
        <v>#N/A</v>
      </c>
    </row>
    <row r="4552" spans="1:26" ht="30" customHeight="1" x14ac:dyDescent="0.3">
      <c r="A4552" s="106"/>
      <c r="B4552" s="106"/>
      <c r="C4552" s="106"/>
      <c r="D4552" s="106"/>
      <c r="E4552" s="106"/>
      <c r="F4552" s="106"/>
      <c r="G4552" s="106"/>
      <c r="H4552" s="107"/>
      <c r="I4552" s="95"/>
      <c r="J4552" s="706"/>
      <c r="K4552" s="769"/>
      <c r="L4552" s="706"/>
      <c r="M4552" s="781"/>
      <c r="N4552" s="182"/>
      <c r="O4552" s="188"/>
      <c r="P4552" s="221"/>
      <c r="Q4552" s="106"/>
      <c r="R4552" s="108"/>
      <c r="S4552" s="108"/>
      <c r="T4552" s="108"/>
      <c r="U4552" s="108" t="str">
        <f>IFERROR(VLOOKUP(CONCATENATE(Tabla1[[#This Row],[Severidad]]," ",Tabla1[[#This Row],[Complejidad]]),Catalogos!E$120:G$128,3,FALSE),"")</f>
        <v/>
      </c>
      <c r="V4552" s="108" t="str">
        <f>IF(Tabla1[[#This Row],[Tiempo solución max (hrs)]]&lt;&gt;"",IF(Tabla1[[#This Row],[Tiempo solución max (hrs)]]&gt;=Tabla1[[#This Row],[Tiempo
(Hrs 00/100)]],"cumple","no cumple"),"")</f>
        <v/>
      </c>
      <c r="W4552" s="17"/>
      <c r="X4552" s="18">
        <f t="shared" si="261"/>
        <v>0</v>
      </c>
      <c r="Y4552" t="str">
        <f>SUBSTITUTE(Tabla1[[#This Row],[Descripción]],CHAR(10),"    I    ")</f>
        <v/>
      </c>
      <c r="Z4552" s="112" t="e">
        <f>VLOOKUP(Tabla1[[#This Row],[Perfil]],Catalogos!$B$75:$D$100,3,FALSE)*Tabla1[[#This Row],[Tiempo
(Hrs 00/100)]]*1.16</f>
        <v>#N/A</v>
      </c>
    </row>
    <row r="4553" spans="1:26" ht="30" customHeight="1" x14ac:dyDescent="0.3">
      <c r="A4553" s="106"/>
      <c r="B4553" s="106"/>
      <c r="C4553" s="106"/>
      <c r="D4553" s="106"/>
      <c r="E4553" s="106"/>
      <c r="F4553" s="106"/>
      <c r="G4553" s="106"/>
      <c r="H4553" s="107"/>
      <c r="I4553" s="95"/>
      <c r="J4553" s="706"/>
      <c r="K4553" s="769"/>
      <c r="L4553" s="706"/>
      <c r="M4553" s="781"/>
      <c r="N4553" s="182"/>
      <c r="O4553" s="188"/>
      <c r="P4553" s="221"/>
      <c r="Q4553" s="106"/>
      <c r="R4553" s="108"/>
      <c r="S4553" s="108"/>
      <c r="T4553" s="108"/>
      <c r="U4553" s="108" t="str">
        <f>IFERROR(VLOOKUP(CONCATENATE(Tabla1[[#This Row],[Severidad]]," ",Tabla1[[#This Row],[Complejidad]]),Catalogos!E$120:G$128,3,FALSE),"")</f>
        <v/>
      </c>
      <c r="V4553" s="108" t="str">
        <f>IF(Tabla1[[#This Row],[Tiempo solución max (hrs)]]&lt;&gt;"",IF(Tabla1[[#This Row],[Tiempo solución max (hrs)]]&gt;=Tabla1[[#This Row],[Tiempo
(Hrs 00/100)]],"cumple","no cumple"),"")</f>
        <v/>
      </c>
      <c r="W4553" s="17"/>
      <c r="X4553" s="18">
        <f t="shared" si="261"/>
        <v>0</v>
      </c>
      <c r="Y4553" t="str">
        <f>SUBSTITUTE(Tabla1[[#This Row],[Descripción]],CHAR(10),"    I    ")</f>
        <v/>
      </c>
      <c r="Z4553" s="112" t="e">
        <f>VLOOKUP(Tabla1[[#This Row],[Perfil]],Catalogos!$B$75:$D$100,3,FALSE)*Tabla1[[#This Row],[Tiempo
(Hrs 00/100)]]*1.16</f>
        <v>#N/A</v>
      </c>
    </row>
    <row r="4554" spans="1:26" ht="30" customHeight="1" x14ac:dyDescent="0.3">
      <c r="A4554" s="106"/>
      <c r="B4554" s="106"/>
      <c r="C4554" s="106"/>
      <c r="D4554" s="106"/>
      <c r="E4554" s="106"/>
      <c r="F4554" s="106"/>
      <c r="G4554" s="106"/>
      <c r="H4554" s="107"/>
      <c r="I4554" s="95"/>
      <c r="J4554" s="706"/>
      <c r="K4554" s="769"/>
      <c r="L4554" s="706"/>
      <c r="M4554" s="781"/>
      <c r="N4554" s="182"/>
      <c r="O4554" s="188"/>
      <c r="P4554" s="221"/>
      <c r="Q4554" s="106"/>
      <c r="R4554" s="108"/>
      <c r="S4554" s="108"/>
      <c r="T4554" s="108"/>
      <c r="U4554" s="108" t="str">
        <f>IFERROR(VLOOKUP(CONCATENATE(Tabla1[[#This Row],[Severidad]]," ",Tabla1[[#This Row],[Complejidad]]),Catalogos!E$120:G$128,3,FALSE),"")</f>
        <v/>
      </c>
      <c r="V4554" s="108" t="str">
        <f>IF(Tabla1[[#This Row],[Tiempo solución max (hrs)]]&lt;&gt;"",IF(Tabla1[[#This Row],[Tiempo solución max (hrs)]]&gt;=Tabla1[[#This Row],[Tiempo
(Hrs 00/100)]],"cumple","no cumple"),"")</f>
        <v/>
      </c>
      <c r="W4554" s="17"/>
      <c r="X4554" s="18">
        <f t="shared" si="261"/>
        <v>0</v>
      </c>
      <c r="Y4554" t="str">
        <f>SUBSTITUTE(Tabla1[[#This Row],[Descripción]],CHAR(10),"    I    ")</f>
        <v/>
      </c>
      <c r="Z4554" s="112" t="e">
        <f>VLOOKUP(Tabla1[[#This Row],[Perfil]],Catalogos!$B$75:$D$100,3,FALSE)*Tabla1[[#This Row],[Tiempo
(Hrs 00/100)]]*1.16</f>
        <v>#N/A</v>
      </c>
    </row>
    <row r="4555" spans="1:26" ht="30" customHeight="1" x14ac:dyDescent="0.3">
      <c r="A4555" s="106"/>
      <c r="B4555" s="106"/>
      <c r="C4555" s="106"/>
      <c r="D4555" s="106"/>
      <c r="E4555" s="106"/>
      <c r="F4555" s="106"/>
      <c r="G4555" s="106"/>
      <c r="H4555" s="107"/>
      <c r="I4555" s="95"/>
      <c r="J4555" s="706"/>
      <c r="K4555" s="769"/>
      <c r="L4555" s="706"/>
      <c r="M4555" s="781"/>
      <c r="N4555" s="182"/>
      <c r="O4555" s="188"/>
      <c r="P4555" s="221"/>
      <c r="Q4555" s="106"/>
      <c r="R4555" s="108"/>
      <c r="S4555" s="108"/>
      <c r="T4555" s="108"/>
      <c r="U4555" s="108" t="str">
        <f>IFERROR(VLOOKUP(CONCATENATE(Tabla1[[#This Row],[Severidad]]," ",Tabla1[[#This Row],[Complejidad]]),Catalogos!E$120:G$128,3,FALSE),"")</f>
        <v/>
      </c>
      <c r="V4555" s="108" t="str">
        <f>IF(Tabla1[[#This Row],[Tiempo solución max (hrs)]]&lt;&gt;"",IF(Tabla1[[#This Row],[Tiempo solución max (hrs)]]&gt;=Tabla1[[#This Row],[Tiempo
(Hrs 00/100)]],"cumple","no cumple"),"")</f>
        <v/>
      </c>
      <c r="W4555" s="17"/>
      <c r="X4555" s="18">
        <f t="shared" si="261"/>
        <v>0</v>
      </c>
      <c r="Y4555" t="str">
        <f>SUBSTITUTE(Tabla1[[#This Row],[Descripción]],CHAR(10),"    I    ")</f>
        <v/>
      </c>
      <c r="Z4555" s="112" t="e">
        <f>VLOOKUP(Tabla1[[#This Row],[Perfil]],Catalogos!$B$75:$D$100,3,FALSE)*Tabla1[[#This Row],[Tiempo
(Hrs 00/100)]]*1.16</f>
        <v>#N/A</v>
      </c>
    </row>
    <row r="4556" spans="1:26" ht="30" customHeight="1" x14ac:dyDescent="0.3">
      <c r="A4556" s="106"/>
      <c r="B4556" s="106"/>
      <c r="C4556" s="106"/>
      <c r="D4556" s="106"/>
      <c r="E4556" s="106"/>
      <c r="F4556" s="106"/>
      <c r="G4556" s="106"/>
      <c r="H4556" s="107"/>
      <c r="I4556" s="95"/>
      <c r="J4556" s="706"/>
      <c r="K4556" s="769"/>
      <c r="L4556" s="706"/>
      <c r="M4556" s="781"/>
      <c r="N4556" s="182"/>
      <c r="O4556" s="188"/>
      <c r="P4556" s="221"/>
      <c r="Q4556" s="106"/>
      <c r="R4556" s="108"/>
      <c r="S4556" s="108"/>
      <c r="T4556" s="108"/>
      <c r="U4556" s="108" t="str">
        <f>IFERROR(VLOOKUP(CONCATENATE(Tabla1[[#This Row],[Severidad]]," ",Tabla1[[#This Row],[Complejidad]]),Catalogos!E$120:G$128,3,FALSE),"")</f>
        <v/>
      </c>
      <c r="V4556" s="108" t="str">
        <f>IF(Tabla1[[#This Row],[Tiempo solución max (hrs)]]&lt;&gt;"",IF(Tabla1[[#This Row],[Tiempo solución max (hrs)]]&gt;=Tabla1[[#This Row],[Tiempo
(Hrs 00/100)]],"cumple","no cumple"),"")</f>
        <v/>
      </c>
      <c r="W4556" s="17"/>
      <c r="X4556" s="18">
        <f t="shared" si="261"/>
        <v>0</v>
      </c>
      <c r="Y4556" t="str">
        <f>SUBSTITUTE(Tabla1[[#This Row],[Descripción]],CHAR(10),"    I    ")</f>
        <v/>
      </c>
      <c r="Z4556" s="112" t="e">
        <f>VLOOKUP(Tabla1[[#This Row],[Perfil]],Catalogos!$B$75:$D$100,3,FALSE)*Tabla1[[#This Row],[Tiempo
(Hrs 00/100)]]*1.16</f>
        <v>#N/A</v>
      </c>
    </row>
    <row r="4557" spans="1:26" ht="30" customHeight="1" x14ac:dyDescent="0.3">
      <c r="A4557" s="106"/>
      <c r="B4557" s="106"/>
      <c r="C4557" s="106"/>
      <c r="D4557" s="106"/>
      <c r="E4557" s="106"/>
      <c r="F4557" s="106"/>
      <c r="G4557" s="106"/>
      <c r="H4557" s="107"/>
      <c r="I4557" s="95"/>
      <c r="J4557" s="706"/>
      <c r="K4557" s="769"/>
      <c r="L4557" s="706"/>
      <c r="M4557" s="781"/>
      <c r="N4557" s="182"/>
      <c r="O4557" s="188"/>
      <c r="P4557" s="221"/>
      <c r="Q4557" s="106"/>
      <c r="R4557" s="108"/>
      <c r="S4557" s="108"/>
      <c r="T4557" s="108"/>
      <c r="U4557" s="108" t="str">
        <f>IFERROR(VLOOKUP(CONCATENATE(Tabla1[[#This Row],[Severidad]]," ",Tabla1[[#This Row],[Complejidad]]),Catalogos!E$120:G$128,3,FALSE),"")</f>
        <v/>
      </c>
      <c r="V4557" s="108" t="str">
        <f>IF(Tabla1[[#This Row],[Tiempo solución max (hrs)]]&lt;&gt;"",IF(Tabla1[[#This Row],[Tiempo solución max (hrs)]]&gt;=Tabla1[[#This Row],[Tiempo
(Hrs 00/100)]],"cumple","no cumple"),"")</f>
        <v/>
      </c>
      <c r="W4557" s="17"/>
      <c r="X4557" s="18">
        <f t="shared" si="261"/>
        <v>0</v>
      </c>
      <c r="Y4557" t="str">
        <f>SUBSTITUTE(Tabla1[[#This Row],[Descripción]],CHAR(10),"    I    ")</f>
        <v/>
      </c>
      <c r="Z4557" s="112" t="e">
        <f>VLOOKUP(Tabla1[[#This Row],[Perfil]],Catalogos!$B$75:$D$100,3,FALSE)*Tabla1[[#This Row],[Tiempo
(Hrs 00/100)]]*1.16</f>
        <v>#N/A</v>
      </c>
    </row>
    <row r="4558" spans="1:26" ht="30" customHeight="1" x14ac:dyDescent="0.3">
      <c r="A4558" s="106"/>
      <c r="B4558" s="106"/>
      <c r="C4558" s="106"/>
      <c r="D4558" s="106"/>
      <c r="E4558" s="106"/>
      <c r="F4558" s="106"/>
      <c r="G4558" s="106"/>
      <c r="H4558" s="107"/>
      <c r="I4558" s="95"/>
      <c r="J4558" s="706"/>
      <c r="K4558" s="769"/>
      <c r="L4558" s="706"/>
      <c r="M4558" s="781"/>
      <c r="N4558" s="182"/>
      <c r="O4558" s="188"/>
      <c r="P4558" s="221"/>
      <c r="Q4558" s="106"/>
      <c r="R4558" s="108"/>
      <c r="S4558" s="108"/>
      <c r="T4558" s="108"/>
      <c r="U4558" s="108" t="str">
        <f>IFERROR(VLOOKUP(CONCATENATE(Tabla1[[#This Row],[Severidad]]," ",Tabla1[[#This Row],[Complejidad]]),Catalogos!E$120:G$128,3,FALSE),"")</f>
        <v/>
      </c>
      <c r="V4558" s="108" t="str">
        <f>IF(Tabla1[[#This Row],[Tiempo solución max (hrs)]]&lt;&gt;"",IF(Tabla1[[#This Row],[Tiempo solución max (hrs)]]&gt;=Tabla1[[#This Row],[Tiempo
(Hrs 00/100)]],"cumple","no cumple"),"")</f>
        <v/>
      </c>
      <c r="W4558" s="17"/>
      <c r="X4558" s="18">
        <f t="shared" si="261"/>
        <v>0</v>
      </c>
      <c r="Y4558" t="str">
        <f>SUBSTITUTE(Tabla1[[#This Row],[Descripción]],CHAR(10),"    I    ")</f>
        <v/>
      </c>
      <c r="Z4558" s="112" t="e">
        <f>VLOOKUP(Tabla1[[#This Row],[Perfil]],Catalogos!$B$75:$D$100,3,FALSE)*Tabla1[[#This Row],[Tiempo
(Hrs 00/100)]]*1.16</f>
        <v>#N/A</v>
      </c>
    </row>
    <row r="4559" spans="1:26" ht="30" customHeight="1" x14ac:dyDescent="0.3">
      <c r="A4559" s="106"/>
      <c r="B4559" s="106"/>
      <c r="C4559" s="106"/>
      <c r="D4559" s="106"/>
      <c r="E4559" s="106"/>
      <c r="F4559" s="106"/>
      <c r="G4559" s="106"/>
      <c r="H4559" s="107"/>
      <c r="I4559" s="95"/>
      <c r="J4559" s="706"/>
      <c r="K4559" s="769"/>
      <c r="L4559" s="706"/>
      <c r="M4559" s="781"/>
      <c r="N4559" s="182"/>
      <c r="O4559" s="188"/>
      <c r="P4559" s="221"/>
      <c r="Q4559" s="106"/>
      <c r="R4559" s="108"/>
      <c r="S4559" s="108"/>
      <c r="T4559" s="108"/>
      <c r="U4559" s="108" t="str">
        <f>IFERROR(VLOOKUP(CONCATENATE(Tabla1[[#This Row],[Severidad]]," ",Tabla1[[#This Row],[Complejidad]]),Catalogos!E$120:G$128,3,FALSE),"")</f>
        <v/>
      </c>
      <c r="V4559" s="108" t="str">
        <f>IF(Tabla1[[#This Row],[Tiempo solución max (hrs)]]&lt;&gt;"",IF(Tabla1[[#This Row],[Tiempo solución max (hrs)]]&gt;=Tabla1[[#This Row],[Tiempo
(Hrs 00/100)]],"cumple","no cumple"),"")</f>
        <v/>
      </c>
      <c r="W4559" s="17"/>
      <c r="X4559" s="18">
        <f t="shared" si="261"/>
        <v>0</v>
      </c>
      <c r="Y4559" t="str">
        <f>SUBSTITUTE(Tabla1[[#This Row],[Descripción]],CHAR(10),"    I    ")</f>
        <v/>
      </c>
      <c r="Z4559" s="112" t="e">
        <f>VLOOKUP(Tabla1[[#This Row],[Perfil]],Catalogos!$B$75:$D$100,3,FALSE)*Tabla1[[#This Row],[Tiempo
(Hrs 00/100)]]*1.16</f>
        <v>#N/A</v>
      </c>
    </row>
    <row r="4560" spans="1:26" ht="30" customHeight="1" x14ac:dyDescent="0.3">
      <c r="A4560" s="106"/>
      <c r="B4560" s="106"/>
      <c r="C4560" s="106"/>
      <c r="D4560" s="106"/>
      <c r="E4560" s="106"/>
      <c r="F4560" s="106"/>
      <c r="G4560" s="106"/>
      <c r="H4560" s="107"/>
      <c r="I4560" s="95"/>
      <c r="J4560" s="706"/>
      <c r="K4560" s="769"/>
      <c r="L4560" s="706"/>
      <c r="M4560" s="781"/>
      <c r="N4560" s="182"/>
      <c r="O4560" s="188"/>
      <c r="P4560" s="221"/>
      <c r="Q4560" s="106"/>
      <c r="R4560" s="108"/>
      <c r="S4560" s="108"/>
      <c r="T4560" s="108"/>
      <c r="U4560" s="108" t="str">
        <f>IFERROR(VLOOKUP(CONCATENATE(Tabla1[[#This Row],[Severidad]]," ",Tabla1[[#This Row],[Complejidad]]),Catalogos!E$120:G$128,3,FALSE),"")</f>
        <v/>
      </c>
      <c r="V4560" s="108" t="str">
        <f>IF(Tabla1[[#This Row],[Tiempo solución max (hrs)]]&lt;&gt;"",IF(Tabla1[[#This Row],[Tiempo solución max (hrs)]]&gt;=Tabla1[[#This Row],[Tiempo
(Hrs 00/100)]],"cumple","no cumple"),"")</f>
        <v/>
      </c>
      <c r="W4560" s="17"/>
      <c r="X4560" s="18">
        <f t="shared" si="261"/>
        <v>0</v>
      </c>
      <c r="Y4560" t="str">
        <f>SUBSTITUTE(Tabla1[[#This Row],[Descripción]],CHAR(10),"    I    ")</f>
        <v/>
      </c>
      <c r="Z4560" s="112" t="e">
        <f>VLOOKUP(Tabla1[[#This Row],[Perfil]],Catalogos!$B$75:$D$100,3,FALSE)*Tabla1[[#This Row],[Tiempo
(Hrs 00/100)]]*1.16</f>
        <v>#N/A</v>
      </c>
    </row>
    <row r="4561" spans="1:26" ht="30" customHeight="1" x14ac:dyDescent="0.3">
      <c r="A4561" s="106"/>
      <c r="B4561" s="106"/>
      <c r="C4561" s="106"/>
      <c r="D4561" s="106"/>
      <c r="E4561" s="106"/>
      <c r="F4561" s="106"/>
      <c r="G4561" s="106"/>
      <c r="H4561" s="107"/>
      <c r="I4561" s="95"/>
      <c r="J4561" s="706"/>
      <c r="K4561" s="769"/>
      <c r="L4561" s="706"/>
      <c r="M4561" s="781"/>
      <c r="N4561" s="182"/>
      <c r="O4561" s="188"/>
      <c r="P4561" s="221"/>
      <c r="Q4561" s="106"/>
      <c r="R4561" s="108"/>
      <c r="S4561" s="108"/>
      <c r="T4561" s="108"/>
      <c r="U4561" s="108" t="str">
        <f>IFERROR(VLOOKUP(CONCATENATE(Tabla1[[#This Row],[Severidad]]," ",Tabla1[[#This Row],[Complejidad]]),Catalogos!E$120:G$128,3,FALSE),"")</f>
        <v/>
      </c>
      <c r="V4561" s="108" t="str">
        <f>IF(Tabla1[[#This Row],[Tiempo solución max (hrs)]]&lt;&gt;"",IF(Tabla1[[#This Row],[Tiempo solución max (hrs)]]&gt;=Tabla1[[#This Row],[Tiempo
(Hrs 00/100)]],"cumple","no cumple"),"")</f>
        <v/>
      </c>
      <c r="W4561" s="17"/>
      <c r="X4561" s="18">
        <f t="shared" si="261"/>
        <v>0</v>
      </c>
      <c r="Y4561" t="str">
        <f>SUBSTITUTE(Tabla1[[#This Row],[Descripción]],CHAR(10),"    I    ")</f>
        <v/>
      </c>
      <c r="Z4561" s="112" t="e">
        <f>VLOOKUP(Tabla1[[#This Row],[Perfil]],Catalogos!$B$75:$D$100,3,FALSE)*Tabla1[[#This Row],[Tiempo
(Hrs 00/100)]]*1.16</f>
        <v>#N/A</v>
      </c>
    </row>
    <row r="4562" spans="1:26" ht="30" customHeight="1" x14ac:dyDescent="0.3">
      <c r="A4562" s="106"/>
      <c r="B4562" s="106"/>
      <c r="C4562" s="106"/>
      <c r="D4562" s="106"/>
      <c r="E4562" s="106"/>
      <c r="F4562" s="106"/>
      <c r="G4562" s="106"/>
      <c r="H4562" s="107"/>
      <c r="I4562" s="95"/>
      <c r="J4562" s="706"/>
      <c r="K4562" s="769"/>
      <c r="L4562" s="706"/>
      <c r="M4562" s="781"/>
      <c r="N4562" s="182"/>
      <c r="O4562" s="188"/>
      <c r="P4562" s="221"/>
      <c r="Q4562" s="106"/>
      <c r="R4562" s="108"/>
      <c r="S4562" s="108"/>
      <c r="T4562" s="108"/>
      <c r="U4562" s="108" t="str">
        <f>IFERROR(VLOOKUP(CONCATENATE(Tabla1[[#This Row],[Severidad]]," ",Tabla1[[#This Row],[Complejidad]]),Catalogos!E$120:G$128,3,FALSE),"")</f>
        <v/>
      </c>
      <c r="V4562" s="108" t="str">
        <f>IF(Tabla1[[#This Row],[Tiempo solución max (hrs)]]&lt;&gt;"",IF(Tabla1[[#This Row],[Tiempo solución max (hrs)]]&gt;=Tabla1[[#This Row],[Tiempo
(Hrs 00/100)]],"cumple","no cumple"),"")</f>
        <v/>
      </c>
      <c r="W4562" s="17"/>
      <c r="X4562" s="18">
        <f t="shared" si="261"/>
        <v>0</v>
      </c>
      <c r="Y4562" t="str">
        <f>SUBSTITUTE(Tabla1[[#This Row],[Descripción]],CHAR(10),"    I    ")</f>
        <v/>
      </c>
      <c r="Z4562" s="112" t="e">
        <f>VLOOKUP(Tabla1[[#This Row],[Perfil]],Catalogos!$B$75:$D$100,3,FALSE)*Tabla1[[#This Row],[Tiempo
(Hrs 00/100)]]*1.16</f>
        <v>#N/A</v>
      </c>
    </row>
    <row r="4563" spans="1:26" ht="30" customHeight="1" x14ac:dyDescent="0.3">
      <c r="A4563" s="106"/>
      <c r="B4563" s="106"/>
      <c r="C4563" s="106"/>
      <c r="D4563" s="106"/>
      <c r="E4563" s="106"/>
      <c r="F4563" s="106"/>
      <c r="G4563" s="106"/>
      <c r="H4563" s="107"/>
      <c r="I4563" s="95"/>
      <c r="J4563" s="706"/>
      <c r="K4563" s="769"/>
      <c r="L4563" s="706"/>
      <c r="M4563" s="781"/>
      <c r="N4563" s="182"/>
      <c r="O4563" s="188"/>
      <c r="P4563" s="221"/>
      <c r="Q4563" s="106"/>
      <c r="R4563" s="108"/>
      <c r="S4563" s="108"/>
      <c r="T4563" s="108"/>
      <c r="U4563" s="108" t="str">
        <f>IFERROR(VLOOKUP(CONCATENATE(Tabla1[[#This Row],[Severidad]]," ",Tabla1[[#This Row],[Complejidad]]),Catalogos!E$120:G$128,3,FALSE),"")</f>
        <v/>
      </c>
      <c r="V4563" s="108" t="str">
        <f>IF(Tabla1[[#This Row],[Tiempo solución max (hrs)]]&lt;&gt;"",IF(Tabla1[[#This Row],[Tiempo solución max (hrs)]]&gt;=Tabla1[[#This Row],[Tiempo
(Hrs 00/100)]],"cumple","no cumple"),"")</f>
        <v/>
      </c>
      <c r="W4563" s="17"/>
      <c r="X4563" s="18">
        <f t="shared" si="261"/>
        <v>0</v>
      </c>
      <c r="Y4563" t="str">
        <f>SUBSTITUTE(Tabla1[[#This Row],[Descripción]],CHAR(10),"    I    ")</f>
        <v/>
      </c>
      <c r="Z4563" s="112" t="e">
        <f>VLOOKUP(Tabla1[[#This Row],[Perfil]],Catalogos!$B$75:$D$100,3,FALSE)*Tabla1[[#This Row],[Tiempo
(Hrs 00/100)]]*1.16</f>
        <v>#N/A</v>
      </c>
    </row>
    <row r="4564" spans="1:26" ht="30" customHeight="1" x14ac:dyDescent="0.3">
      <c r="A4564" s="106"/>
      <c r="B4564" s="106"/>
      <c r="C4564" s="106"/>
      <c r="D4564" s="106"/>
      <c r="E4564" s="106"/>
      <c r="F4564" s="106"/>
      <c r="G4564" s="106"/>
      <c r="H4564" s="107"/>
      <c r="I4564" s="95"/>
      <c r="J4564" s="706"/>
      <c r="K4564" s="769"/>
      <c r="L4564" s="706"/>
      <c r="M4564" s="781"/>
      <c r="N4564" s="182"/>
      <c r="O4564" s="188"/>
      <c r="P4564" s="221"/>
      <c r="Q4564" s="106"/>
      <c r="R4564" s="108"/>
      <c r="S4564" s="108"/>
      <c r="T4564" s="108"/>
      <c r="U4564" s="108" t="str">
        <f>IFERROR(VLOOKUP(CONCATENATE(Tabla1[[#This Row],[Severidad]]," ",Tabla1[[#This Row],[Complejidad]]),Catalogos!E$120:G$128,3,FALSE),"")</f>
        <v/>
      </c>
      <c r="V4564" s="108" t="str">
        <f>IF(Tabla1[[#This Row],[Tiempo solución max (hrs)]]&lt;&gt;"",IF(Tabla1[[#This Row],[Tiempo solución max (hrs)]]&gt;=Tabla1[[#This Row],[Tiempo
(Hrs 00/100)]],"cumple","no cumple"),"")</f>
        <v/>
      </c>
      <c r="W4564" s="17"/>
      <c r="X4564" s="18">
        <f t="shared" si="261"/>
        <v>0</v>
      </c>
      <c r="Y4564" t="str">
        <f>SUBSTITUTE(Tabla1[[#This Row],[Descripción]],CHAR(10),"    I    ")</f>
        <v/>
      </c>
      <c r="Z4564" s="112" t="e">
        <f>VLOOKUP(Tabla1[[#This Row],[Perfil]],Catalogos!$B$75:$D$100,3,FALSE)*Tabla1[[#This Row],[Tiempo
(Hrs 00/100)]]*1.16</f>
        <v>#N/A</v>
      </c>
    </row>
    <row r="4565" spans="1:26" ht="30" customHeight="1" x14ac:dyDescent="0.3">
      <c r="A4565" s="106"/>
      <c r="B4565" s="106"/>
      <c r="C4565" s="106"/>
      <c r="D4565" s="106"/>
      <c r="E4565" s="106"/>
      <c r="F4565" s="106"/>
      <c r="G4565" s="106"/>
      <c r="H4565" s="107"/>
      <c r="I4565" s="95"/>
      <c r="J4565" s="706"/>
      <c r="K4565" s="769"/>
      <c r="L4565" s="706"/>
      <c r="M4565" s="781"/>
      <c r="N4565" s="182"/>
      <c r="O4565" s="188"/>
      <c r="P4565" s="221"/>
      <c r="Q4565" s="106"/>
      <c r="R4565" s="108"/>
      <c r="S4565" s="108"/>
      <c r="T4565" s="108"/>
      <c r="U4565" s="108" t="str">
        <f>IFERROR(VLOOKUP(CONCATENATE(Tabla1[[#This Row],[Severidad]]," ",Tabla1[[#This Row],[Complejidad]]),Catalogos!E$120:G$128,3,FALSE),"")</f>
        <v/>
      </c>
      <c r="V4565" s="108" t="str">
        <f>IF(Tabla1[[#This Row],[Tiempo solución max (hrs)]]&lt;&gt;"",IF(Tabla1[[#This Row],[Tiempo solución max (hrs)]]&gt;=Tabla1[[#This Row],[Tiempo
(Hrs 00/100)]],"cumple","no cumple"),"")</f>
        <v/>
      </c>
      <c r="W4565" s="17"/>
      <c r="X4565" s="18">
        <f t="shared" si="261"/>
        <v>0</v>
      </c>
      <c r="Y4565" t="str">
        <f>SUBSTITUTE(Tabla1[[#This Row],[Descripción]],CHAR(10),"    I    ")</f>
        <v/>
      </c>
      <c r="Z4565" s="112" t="e">
        <f>VLOOKUP(Tabla1[[#This Row],[Perfil]],Catalogos!$B$75:$D$100,3,FALSE)*Tabla1[[#This Row],[Tiempo
(Hrs 00/100)]]*1.16</f>
        <v>#N/A</v>
      </c>
    </row>
    <row r="4566" spans="1:26" ht="30" customHeight="1" x14ac:dyDescent="0.3">
      <c r="A4566" s="106"/>
      <c r="B4566" s="106"/>
      <c r="C4566" s="106"/>
      <c r="D4566" s="106"/>
      <c r="E4566" s="106"/>
      <c r="F4566" s="106"/>
      <c r="G4566" s="106"/>
      <c r="H4566" s="107"/>
      <c r="I4566" s="95"/>
      <c r="J4566" s="706"/>
      <c r="K4566" s="769"/>
      <c r="L4566" s="706"/>
      <c r="M4566" s="781"/>
      <c r="N4566" s="182"/>
      <c r="O4566" s="188"/>
      <c r="P4566" s="221"/>
      <c r="Q4566" s="106"/>
      <c r="R4566" s="108"/>
      <c r="S4566" s="108"/>
      <c r="T4566" s="108"/>
      <c r="U4566" s="108" t="str">
        <f>IFERROR(VLOOKUP(CONCATENATE(Tabla1[[#This Row],[Severidad]]," ",Tabla1[[#This Row],[Complejidad]]),Catalogos!E$120:G$128,3,FALSE),"")</f>
        <v/>
      </c>
      <c r="V4566" s="108" t="str">
        <f>IF(Tabla1[[#This Row],[Tiempo solución max (hrs)]]&lt;&gt;"",IF(Tabla1[[#This Row],[Tiempo solución max (hrs)]]&gt;=Tabla1[[#This Row],[Tiempo
(Hrs 00/100)]],"cumple","no cumple"),"")</f>
        <v/>
      </c>
      <c r="W4566" s="17"/>
      <c r="X4566" s="18">
        <f t="shared" si="261"/>
        <v>0</v>
      </c>
      <c r="Y4566" t="str">
        <f>SUBSTITUTE(Tabla1[[#This Row],[Descripción]],CHAR(10),"    I    ")</f>
        <v/>
      </c>
      <c r="Z4566" s="112" t="e">
        <f>VLOOKUP(Tabla1[[#This Row],[Perfil]],Catalogos!$B$75:$D$100,3,FALSE)*Tabla1[[#This Row],[Tiempo
(Hrs 00/100)]]*1.16</f>
        <v>#N/A</v>
      </c>
    </row>
    <row r="4567" spans="1:26" ht="30" customHeight="1" x14ac:dyDescent="0.3">
      <c r="A4567" s="106"/>
      <c r="B4567" s="106"/>
      <c r="C4567" s="106"/>
      <c r="D4567" s="106"/>
      <c r="E4567" s="106"/>
      <c r="F4567" s="106"/>
      <c r="G4567" s="106"/>
      <c r="H4567" s="107"/>
      <c r="I4567" s="95"/>
      <c r="J4567" s="706"/>
      <c r="K4567" s="769"/>
      <c r="L4567" s="706"/>
      <c r="M4567" s="781"/>
      <c r="N4567" s="182"/>
      <c r="O4567" s="188"/>
      <c r="P4567" s="221"/>
      <c r="Q4567" s="106"/>
      <c r="R4567" s="108"/>
      <c r="S4567" s="108"/>
      <c r="T4567" s="108"/>
      <c r="U4567" s="108" t="str">
        <f>IFERROR(VLOOKUP(CONCATENATE(Tabla1[[#This Row],[Severidad]]," ",Tabla1[[#This Row],[Complejidad]]),Catalogos!E$120:G$128,3,FALSE),"")</f>
        <v/>
      </c>
      <c r="V4567" s="108" t="str">
        <f>IF(Tabla1[[#This Row],[Tiempo solución max (hrs)]]&lt;&gt;"",IF(Tabla1[[#This Row],[Tiempo solución max (hrs)]]&gt;=Tabla1[[#This Row],[Tiempo
(Hrs 00/100)]],"cumple","no cumple"),"")</f>
        <v/>
      </c>
      <c r="W4567" s="17"/>
      <c r="X4567" s="18">
        <f t="shared" si="261"/>
        <v>0</v>
      </c>
      <c r="Y4567" t="str">
        <f>SUBSTITUTE(Tabla1[[#This Row],[Descripción]],CHAR(10),"    I    ")</f>
        <v/>
      </c>
      <c r="Z4567" s="112" t="e">
        <f>VLOOKUP(Tabla1[[#This Row],[Perfil]],Catalogos!$B$75:$D$100,3,FALSE)*Tabla1[[#This Row],[Tiempo
(Hrs 00/100)]]*1.16</f>
        <v>#N/A</v>
      </c>
    </row>
    <row r="4568" spans="1:26" ht="30" customHeight="1" x14ac:dyDescent="0.3">
      <c r="A4568" s="106"/>
      <c r="B4568" s="106"/>
      <c r="C4568" s="106"/>
      <c r="D4568" s="106"/>
      <c r="E4568" s="106"/>
      <c r="F4568" s="106"/>
      <c r="G4568" s="106"/>
      <c r="H4568" s="107"/>
      <c r="I4568" s="95"/>
      <c r="J4568" s="706"/>
      <c r="K4568" s="769"/>
      <c r="L4568" s="706"/>
      <c r="M4568" s="781"/>
      <c r="N4568" s="182"/>
      <c r="O4568" s="188"/>
      <c r="P4568" s="221"/>
      <c r="Q4568" s="106"/>
      <c r="R4568" s="108"/>
      <c r="S4568" s="108"/>
      <c r="T4568" s="108"/>
      <c r="U4568" s="108" t="str">
        <f>IFERROR(VLOOKUP(CONCATENATE(Tabla1[[#This Row],[Severidad]]," ",Tabla1[[#This Row],[Complejidad]]),Catalogos!E$120:G$128,3,FALSE),"")</f>
        <v/>
      </c>
      <c r="V4568" s="108" t="str">
        <f>IF(Tabla1[[#This Row],[Tiempo solución max (hrs)]]&lt;&gt;"",IF(Tabla1[[#This Row],[Tiempo solución max (hrs)]]&gt;=Tabla1[[#This Row],[Tiempo
(Hrs 00/100)]],"cumple","no cumple"),"")</f>
        <v/>
      </c>
      <c r="W4568" s="17"/>
      <c r="X4568" s="18">
        <f t="shared" si="261"/>
        <v>0</v>
      </c>
      <c r="Y4568" t="str">
        <f>SUBSTITUTE(Tabla1[[#This Row],[Descripción]],CHAR(10),"    I    ")</f>
        <v/>
      </c>
      <c r="Z4568" s="112" t="e">
        <f>VLOOKUP(Tabla1[[#This Row],[Perfil]],Catalogos!$B$75:$D$100,3,FALSE)*Tabla1[[#This Row],[Tiempo
(Hrs 00/100)]]*1.16</f>
        <v>#N/A</v>
      </c>
    </row>
    <row r="4569" spans="1:26" ht="30" customHeight="1" x14ac:dyDescent="0.3">
      <c r="A4569" s="106"/>
      <c r="B4569" s="106"/>
      <c r="C4569" s="106"/>
      <c r="D4569" s="106"/>
      <c r="E4569" s="106"/>
      <c r="F4569" s="106"/>
      <c r="G4569" s="106"/>
      <c r="H4569" s="107"/>
      <c r="I4569" s="95"/>
      <c r="J4569" s="706"/>
      <c r="K4569" s="769"/>
      <c r="L4569" s="706"/>
      <c r="M4569" s="781"/>
      <c r="N4569" s="182"/>
      <c r="O4569" s="188"/>
      <c r="P4569" s="221"/>
      <c r="Q4569" s="106"/>
      <c r="R4569" s="108"/>
      <c r="S4569" s="108"/>
      <c r="T4569" s="108"/>
      <c r="U4569" s="108" t="str">
        <f>IFERROR(VLOOKUP(CONCATENATE(Tabla1[[#This Row],[Severidad]]," ",Tabla1[[#This Row],[Complejidad]]),Catalogos!E$120:G$128,3,FALSE),"")</f>
        <v/>
      </c>
      <c r="V4569" s="108" t="str">
        <f>IF(Tabla1[[#This Row],[Tiempo solución max (hrs)]]&lt;&gt;"",IF(Tabla1[[#This Row],[Tiempo solución max (hrs)]]&gt;=Tabla1[[#This Row],[Tiempo
(Hrs 00/100)]],"cumple","no cumple"),"")</f>
        <v/>
      </c>
      <c r="W4569" s="17"/>
      <c r="X4569" s="18">
        <f t="shared" si="261"/>
        <v>0</v>
      </c>
      <c r="Y4569" t="str">
        <f>SUBSTITUTE(Tabla1[[#This Row],[Descripción]],CHAR(10),"    I    ")</f>
        <v/>
      </c>
      <c r="Z4569" s="112" t="e">
        <f>VLOOKUP(Tabla1[[#This Row],[Perfil]],Catalogos!$B$75:$D$100,3,FALSE)*Tabla1[[#This Row],[Tiempo
(Hrs 00/100)]]*1.16</f>
        <v>#N/A</v>
      </c>
    </row>
    <row r="4570" spans="1:26" ht="30" customHeight="1" x14ac:dyDescent="0.3">
      <c r="A4570" s="106"/>
      <c r="B4570" s="106"/>
      <c r="C4570" s="106"/>
      <c r="D4570" s="106"/>
      <c r="E4570" s="106"/>
      <c r="F4570" s="106"/>
      <c r="G4570" s="106"/>
      <c r="H4570" s="107"/>
      <c r="I4570" s="95"/>
      <c r="J4570" s="706"/>
      <c r="K4570" s="769"/>
      <c r="L4570" s="706"/>
      <c r="M4570" s="781"/>
      <c r="N4570" s="182"/>
      <c r="O4570" s="188"/>
      <c r="P4570" s="221"/>
      <c r="Q4570" s="106"/>
      <c r="R4570" s="108"/>
      <c r="S4570" s="108"/>
      <c r="T4570" s="108"/>
      <c r="U4570" s="108" t="str">
        <f>IFERROR(VLOOKUP(CONCATENATE(Tabla1[[#This Row],[Severidad]]," ",Tabla1[[#This Row],[Complejidad]]),Catalogos!E$120:G$128,3,FALSE),"")</f>
        <v/>
      </c>
      <c r="V4570" s="108" t="str">
        <f>IF(Tabla1[[#This Row],[Tiempo solución max (hrs)]]&lt;&gt;"",IF(Tabla1[[#This Row],[Tiempo solución max (hrs)]]&gt;=Tabla1[[#This Row],[Tiempo
(Hrs 00/100)]],"cumple","no cumple"),"")</f>
        <v/>
      </c>
      <c r="W4570" s="17"/>
      <c r="X4570" s="18">
        <f t="shared" si="261"/>
        <v>0</v>
      </c>
      <c r="Y4570" t="str">
        <f>SUBSTITUTE(Tabla1[[#This Row],[Descripción]],CHAR(10),"    I    ")</f>
        <v/>
      </c>
      <c r="Z4570" s="112" t="e">
        <f>VLOOKUP(Tabla1[[#This Row],[Perfil]],Catalogos!$B$75:$D$100,3,FALSE)*Tabla1[[#This Row],[Tiempo
(Hrs 00/100)]]*1.16</f>
        <v>#N/A</v>
      </c>
    </row>
    <row r="4571" spans="1:26" ht="30" customHeight="1" x14ac:dyDescent="0.3">
      <c r="A4571" s="106"/>
      <c r="B4571" s="106"/>
      <c r="C4571" s="106"/>
      <c r="D4571" s="106"/>
      <c r="E4571" s="106"/>
      <c r="F4571" s="106"/>
      <c r="G4571" s="106"/>
      <c r="H4571" s="107"/>
      <c r="I4571" s="95"/>
      <c r="J4571" s="706"/>
      <c r="K4571" s="769"/>
      <c r="L4571" s="706"/>
      <c r="M4571" s="781"/>
      <c r="N4571" s="182"/>
      <c r="O4571" s="188"/>
      <c r="P4571" s="221"/>
      <c r="Q4571" s="106"/>
      <c r="R4571" s="108"/>
      <c r="S4571" s="108"/>
      <c r="T4571" s="108"/>
      <c r="U4571" s="108" t="str">
        <f>IFERROR(VLOOKUP(CONCATENATE(Tabla1[[#This Row],[Severidad]]," ",Tabla1[[#This Row],[Complejidad]]),Catalogos!E$120:G$128,3,FALSE),"")</f>
        <v/>
      </c>
      <c r="V4571" s="108" t="str">
        <f>IF(Tabla1[[#This Row],[Tiempo solución max (hrs)]]&lt;&gt;"",IF(Tabla1[[#This Row],[Tiempo solución max (hrs)]]&gt;=Tabla1[[#This Row],[Tiempo
(Hrs 00/100)]],"cumple","no cumple"),"")</f>
        <v/>
      </c>
      <c r="W4571" s="17"/>
      <c r="X4571" s="18">
        <f t="shared" si="261"/>
        <v>0</v>
      </c>
      <c r="Y4571" t="str">
        <f>SUBSTITUTE(Tabla1[[#This Row],[Descripción]],CHAR(10),"    I    ")</f>
        <v/>
      </c>
      <c r="Z4571" s="112" t="e">
        <f>VLOOKUP(Tabla1[[#This Row],[Perfil]],Catalogos!$B$75:$D$100,3,FALSE)*Tabla1[[#This Row],[Tiempo
(Hrs 00/100)]]*1.16</f>
        <v>#N/A</v>
      </c>
    </row>
    <row r="4572" spans="1:26" ht="30" customHeight="1" x14ac:dyDescent="0.3">
      <c r="A4572" s="106"/>
      <c r="B4572" s="106"/>
      <c r="C4572" s="106"/>
      <c r="D4572" s="106"/>
      <c r="E4572" s="106"/>
      <c r="F4572" s="106"/>
      <c r="G4572" s="106"/>
      <c r="H4572" s="107"/>
      <c r="I4572" s="95"/>
      <c r="J4572" s="706"/>
      <c r="K4572" s="769"/>
      <c r="L4572" s="706"/>
      <c r="M4572" s="781"/>
      <c r="N4572" s="182"/>
      <c r="O4572" s="188"/>
      <c r="P4572" s="221"/>
      <c r="Q4572" s="106"/>
      <c r="R4572" s="108"/>
      <c r="S4572" s="108"/>
      <c r="T4572" s="108"/>
      <c r="U4572" s="108" t="str">
        <f>IFERROR(VLOOKUP(CONCATENATE(Tabla1[[#This Row],[Severidad]]," ",Tabla1[[#This Row],[Complejidad]]),Catalogos!E$120:G$128,3,FALSE),"")</f>
        <v/>
      </c>
      <c r="V4572" s="108" t="str">
        <f>IF(Tabla1[[#This Row],[Tiempo solución max (hrs)]]&lt;&gt;"",IF(Tabla1[[#This Row],[Tiempo solución max (hrs)]]&gt;=Tabla1[[#This Row],[Tiempo
(Hrs 00/100)]],"cumple","no cumple"),"")</f>
        <v/>
      </c>
      <c r="W4572" s="17"/>
      <c r="X4572" s="18">
        <f t="shared" si="261"/>
        <v>0</v>
      </c>
      <c r="Y4572" t="str">
        <f>SUBSTITUTE(Tabla1[[#This Row],[Descripción]],CHAR(10),"    I    ")</f>
        <v/>
      </c>
      <c r="Z4572" s="112" t="e">
        <f>VLOOKUP(Tabla1[[#This Row],[Perfil]],Catalogos!$B$75:$D$100,3,FALSE)*Tabla1[[#This Row],[Tiempo
(Hrs 00/100)]]*1.16</f>
        <v>#N/A</v>
      </c>
    </row>
    <row r="4573" spans="1:26" ht="30" customHeight="1" x14ac:dyDescent="0.3">
      <c r="A4573" s="106"/>
      <c r="B4573" s="106"/>
      <c r="C4573" s="106"/>
      <c r="D4573" s="106"/>
      <c r="E4573" s="106"/>
      <c r="F4573" s="106"/>
      <c r="G4573" s="106"/>
      <c r="H4573" s="107"/>
      <c r="I4573" s="95"/>
      <c r="J4573" s="706"/>
      <c r="K4573" s="769"/>
      <c r="L4573" s="706"/>
      <c r="M4573" s="781"/>
      <c r="N4573" s="182"/>
      <c r="O4573" s="188"/>
      <c r="P4573" s="221"/>
      <c r="Q4573" s="106"/>
      <c r="R4573" s="108"/>
      <c r="S4573" s="108"/>
      <c r="T4573" s="108"/>
      <c r="U4573" s="108" t="str">
        <f>IFERROR(VLOOKUP(CONCATENATE(Tabla1[[#This Row],[Severidad]]," ",Tabla1[[#This Row],[Complejidad]]),Catalogos!E$120:G$128,3,FALSE),"")</f>
        <v/>
      </c>
      <c r="V4573" s="108" t="str">
        <f>IF(Tabla1[[#This Row],[Tiempo solución max (hrs)]]&lt;&gt;"",IF(Tabla1[[#This Row],[Tiempo solución max (hrs)]]&gt;=Tabla1[[#This Row],[Tiempo
(Hrs 00/100)]],"cumple","no cumple"),"")</f>
        <v/>
      </c>
      <c r="W4573" s="17"/>
      <c r="X4573" s="18">
        <f t="shared" si="261"/>
        <v>0</v>
      </c>
      <c r="Y4573" t="str">
        <f>SUBSTITUTE(Tabla1[[#This Row],[Descripción]],CHAR(10),"    I    ")</f>
        <v/>
      </c>
      <c r="Z4573" s="112" t="e">
        <f>VLOOKUP(Tabla1[[#This Row],[Perfil]],Catalogos!$B$75:$D$100,3,FALSE)*Tabla1[[#This Row],[Tiempo
(Hrs 00/100)]]*1.16</f>
        <v>#N/A</v>
      </c>
    </row>
    <row r="4574" spans="1:26" ht="30" customHeight="1" x14ac:dyDescent="0.3">
      <c r="A4574" s="106"/>
      <c r="B4574" s="106"/>
      <c r="C4574" s="106"/>
      <c r="D4574" s="106"/>
      <c r="E4574" s="106"/>
      <c r="F4574" s="106"/>
      <c r="G4574" s="106"/>
      <c r="H4574" s="107"/>
      <c r="I4574" s="95"/>
      <c r="J4574" s="706"/>
      <c r="K4574" s="769"/>
      <c r="L4574" s="706"/>
      <c r="M4574" s="781"/>
      <c r="N4574" s="182"/>
      <c r="O4574" s="188"/>
      <c r="P4574" s="221"/>
      <c r="Q4574" s="106"/>
      <c r="R4574" s="108"/>
      <c r="S4574" s="108"/>
      <c r="T4574" s="108"/>
      <c r="U4574" s="108" t="str">
        <f>IFERROR(VLOOKUP(CONCATENATE(Tabla1[[#This Row],[Severidad]]," ",Tabla1[[#This Row],[Complejidad]]),Catalogos!E$120:G$128,3,FALSE),"")</f>
        <v/>
      </c>
      <c r="V4574" s="108" t="str">
        <f>IF(Tabla1[[#This Row],[Tiempo solución max (hrs)]]&lt;&gt;"",IF(Tabla1[[#This Row],[Tiempo solución max (hrs)]]&gt;=Tabla1[[#This Row],[Tiempo
(Hrs 00/100)]],"cumple","no cumple"),"")</f>
        <v/>
      </c>
      <c r="W4574" s="17"/>
      <c r="X4574" s="18">
        <f t="shared" si="261"/>
        <v>0</v>
      </c>
      <c r="Y4574" t="str">
        <f>SUBSTITUTE(Tabla1[[#This Row],[Descripción]],CHAR(10),"    I    ")</f>
        <v/>
      </c>
      <c r="Z4574" s="112" t="e">
        <f>VLOOKUP(Tabla1[[#This Row],[Perfil]],Catalogos!$B$75:$D$100,3,FALSE)*Tabla1[[#This Row],[Tiempo
(Hrs 00/100)]]*1.16</f>
        <v>#N/A</v>
      </c>
    </row>
    <row r="4575" spans="1:26" ht="30" customHeight="1" x14ac:dyDescent="0.3">
      <c r="A4575" s="106"/>
      <c r="B4575" s="106"/>
      <c r="C4575" s="106"/>
      <c r="D4575" s="106"/>
      <c r="E4575" s="106"/>
      <c r="F4575" s="106"/>
      <c r="G4575" s="106"/>
      <c r="H4575" s="107"/>
      <c r="I4575" s="95"/>
      <c r="J4575" s="706"/>
      <c r="K4575" s="769"/>
      <c r="L4575" s="706"/>
      <c r="M4575" s="781"/>
      <c r="N4575" s="182"/>
      <c r="O4575" s="188"/>
      <c r="P4575" s="221"/>
      <c r="Q4575" s="106"/>
      <c r="R4575" s="108"/>
      <c r="S4575" s="108"/>
      <c r="T4575" s="108"/>
      <c r="U4575" s="108" t="str">
        <f>IFERROR(VLOOKUP(CONCATENATE(Tabla1[[#This Row],[Severidad]]," ",Tabla1[[#This Row],[Complejidad]]),Catalogos!E$120:G$128,3,FALSE),"")</f>
        <v/>
      </c>
      <c r="V4575" s="108" t="str">
        <f>IF(Tabla1[[#This Row],[Tiempo solución max (hrs)]]&lt;&gt;"",IF(Tabla1[[#This Row],[Tiempo solución max (hrs)]]&gt;=Tabla1[[#This Row],[Tiempo
(Hrs 00/100)]],"cumple","no cumple"),"")</f>
        <v/>
      </c>
      <c r="W4575" s="17"/>
      <c r="X4575" s="18">
        <f t="shared" si="261"/>
        <v>0</v>
      </c>
      <c r="Y4575" t="str">
        <f>SUBSTITUTE(Tabla1[[#This Row],[Descripción]],CHAR(10),"    I    ")</f>
        <v/>
      </c>
      <c r="Z4575" s="112" t="e">
        <f>VLOOKUP(Tabla1[[#This Row],[Perfil]],Catalogos!$B$75:$D$100,3,FALSE)*Tabla1[[#This Row],[Tiempo
(Hrs 00/100)]]*1.16</f>
        <v>#N/A</v>
      </c>
    </row>
    <row r="4576" spans="1:26" ht="30" customHeight="1" x14ac:dyDescent="0.3">
      <c r="A4576" s="106"/>
      <c r="B4576" s="106"/>
      <c r="C4576" s="106"/>
      <c r="D4576" s="106"/>
      <c r="E4576" s="106"/>
      <c r="F4576" s="106"/>
      <c r="G4576" s="106"/>
      <c r="H4576" s="107"/>
      <c r="I4576" s="95"/>
      <c r="J4576" s="706"/>
      <c r="K4576" s="769"/>
      <c r="L4576" s="706"/>
      <c r="M4576" s="781"/>
      <c r="N4576" s="182"/>
      <c r="O4576" s="188"/>
      <c r="P4576" s="221"/>
      <c r="Q4576" s="106"/>
      <c r="R4576" s="108"/>
      <c r="S4576" s="108"/>
      <c r="T4576" s="108"/>
      <c r="U4576" s="108" t="str">
        <f>IFERROR(VLOOKUP(CONCATENATE(Tabla1[[#This Row],[Severidad]]," ",Tabla1[[#This Row],[Complejidad]]),Catalogos!E$120:G$128,3,FALSE),"")</f>
        <v/>
      </c>
      <c r="V4576" s="108" t="str">
        <f>IF(Tabla1[[#This Row],[Tiempo solución max (hrs)]]&lt;&gt;"",IF(Tabla1[[#This Row],[Tiempo solución max (hrs)]]&gt;=Tabla1[[#This Row],[Tiempo
(Hrs 00/100)]],"cumple","no cumple"),"")</f>
        <v/>
      </c>
      <c r="W4576" s="17"/>
      <c r="X4576" s="18">
        <f t="shared" si="261"/>
        <v>0</v>
      </c>
      <c r="Y4576" t="str">
        <f>SUBSTITUTE(Tabla1[[#This Row],[Descripción]],CHAR(10),"    I    ")</f>
        <v/>
      </c>
      <c r="Z4576" s="112" t="e">
        <f>VLOOKUP(Tabla1[[#This Row],[Perfil]],Catalogos!$B$75:$D$100,3,FALSE)*Tabla1[[#This Row],[Tiempo
(Hrs 00/100)]]*1.16</f>
        <v>#N/A</v>
      </c>
    </row>
    <row r="4577" spans="1:26" ht="30" customHeight="1" x14ac:dyDescent="0.3">
      <c r="A4577" s="106"/>
      <c r="B4577" s="106"/>
      <c r="C4577" s="106"/>
      <c r="D4577" s="106"/>
      <c r="E4577" s="106"/>
      <c r="F4577" s="106"/>
      <c r="G4577" s="106"/>
      <c r="H4577" s="107"/>
      <c r="I4577" s="95"/>
      <c r="J4577" s="706"/>
      <c r="K4577" s="769"/>
      <c r="L4577" s="706"/>
      <c r="M4577" s="781"/>
      <c r="N4577" s="182"/>
      <c r="O4577" s="188"/>
      <c r="P4577" s="221"/>
      <c r="Q4577" s="106"/>
      <c r="R4577" s="108"/>
      <c r="S4577" s="108"/>
      <c r="T4577" s="108"/>
      <c r="U4577" s="108" t="str">
        <f>IFERROR(VLOOKUP(CONCATENATE(Tabla1[[#This Row],[Severidad]]," ",Tabla1[[#This Row],[Complejidad]]),Catalogos!E$120:G$128,3,FALSE),"")</f>
        <v/>
      </c>
      <c r="V4577" s="108" t="str">
        <f>IF(Tabla1[[#This Row],[Tiempo solución max (hrs)]]&lt;&gt;"",IF(Tabla1[[#This Row],[Tiempo solución max (hrs)]]&gt;=Tabla1[[#This Row],[Tiempo
(Hrs 00/100)]],"cumple","no cumple"),"")</f>
        <v/>
      </c>
      <c r="W4577" s="17"/>
      <c r="X4577" s="18">
        <f t="shared" si="261"/>
        <v>0</v>
      </c>
      <c r="Y4577" t="str">
        <f>SUBSTITUTE(Tabla1[[#This Row],[Descripción]],CHAR(10),"    I    ")</f>
        <v/>
      </c>
      <c r="Z4577" s="112" t="e">
        <f>VLOOKUP(Tabla1[[#This Row],[Perfil]],Catalogos!$B$75:$D$100,3,FALSE)*Tabla1[[#This Row],[Tiempo
(Hrs 00/100)]]*1.16</f>
        <v>#N/A</v>
      </c>
    </row>
    <row r="4578" spans="1:26" ht="30" customHeight="1" x14ac:dyDescent="0.3">
      <c r="A4578" s="106"/>
      <c r="B4578" s="106"/>
      <c r="C4578" s="106"/>
      <c r="D4578" s="106"/>
      <c r="E4578" s="106"/>
      <c r="F4578" s="106"/>
      <c r="G4578" s="106"/>
      <c r="H4578" s="107"/>
      <c r="I4578" s="95"/>
      <c r="J4578" s="706"/>
      <c r="K4578" s="769"/>
      <c r="L4578" s="706"/>
      <c r="M4578" s="781"/>
      <c r="N4578" s="182"/>
      <c r="O4578" s="188"/>
      <c r="P4578" s="221"/>
      <c r="Q4578" s="106"/>
      <c r="R4578" s="108"/>
      <c r="S4578" s="108"/>
      <c r="T4578" s="108"/>
      <c r="U4578" s="108" t="str">
        <f>IFERROR(VLOOKUP(CONCATENATE(Tabla1[[#This Row],[Severidad]]," ",Tabla1[[#This Row],[Complejidad]]),Catalogos!E$120:G$128,3,FALSE),"")</f>
        <v/>
      </c>
      <c r="V4578" s="108" t="str">
        <f>IF(Tabla1[[#This Row],[Tiempo solución max (hrs)]]&lt;&gt;"",IF(Tabla1[[#This Row],[Tiempo solución max (hrs)]]&gt;=Tabla1[[#This Row],[Tiempo
(Hrs 00/100)]],"cumple","no cumple"),"")</f>
        <v/>
      </c>
      <c r="W4578" s="17"/>
      <c r="X4578" s="18">
        <f t="shared" si="261"/>
        <v>0</v>
      </c>
      <c r="Y4578" t="str">
        <f>SUBSTITUTE(Tabla1[[#This Row],[Descripción]],CHAR(10),"    I    ")</f>
        <v/>
      </c>
      <c r="Z4578" s="112" t="e">
        <f>VLOOKUP(Tabla1[[#This Row],[Perfil]],Catalogos!$B$75:$D$100,3,FALSE)*Tabla1[[#This Row],[Tiempo
(Hrs 00/100)]]*1.16</f>
        <v>#N/A</v>
      </c>
    </row>
    <row r="4579" spans="1:26" ht="30" customHeight="1" x14ac:dyDescent="0.3">
      <c r="A4579" s="106"/>
      <c r="B4579" s="106"/>
      <c r="C4579" s="106"/>
      <c r="D4579" s="106"/>
      <c r="E4579" s="106"/>
      <c r="F4579" s="106"/>
      <c r="G4579" s="106"/>
      <c r="H4579" s="107"/>
      <c r="I4579" s="95"/>
      <c r="J4579" s="706"/>
      <c r="K4579" s="769"/>
      <c r="L4579" s="706"/>
      <c r="M4579" s="781"/>
      <c r="N4579" s="182"/>
      <c r="O4579" s="188"/>
      <c r="P4579" s="221"/>
      <c r="Q4579" s="106"/>
      <c r="R4579" s="108"/>
      <c r="S4579" s="108"/>
      <c r="T4579" s="108"/>
      <c r="U4579" s="108" t="str">
        <f>IFERROR(VLOOKUP(CONCATENATE(Tabla1[[#This Row],[Severidad]]," ",Tabla1[[#This Row],[Complejidad]]),Catalogos!E$120:G$128,3,FALSE),"")</f>
        <v/>
      </c>
      <c r="V4579" s="108" t="str">
        <f>IF(Tabla1[[#This Row],[Tiempo solución max (hrs)]]&lt;&gt;"",IF(Tabla1[[#This Row],[Tiempo solución max (hrs)]]&gt;=Tabla1[[#This Row],[Tiempo
(Hrs 00/100)]],"cumple","no cumple"),"")</f>
        <v/>
      </c>
      <c r="W4579" s="17"/>
      <c r="X4579" s="18">
        <f t="shared" si="261"/>
        <v>0</v>
      </c>
      <c r="Y4579" t="str">
        <f>SUBSTITUTE(Tabla1[[#This Row],[Descripción]],CHAR(10),"    I    ")</f>
        <v/>
      </c>
      <c r="Z4579" s="112" t="e">
        <f>VLOOKUP(Tabla1[[#This Row],[Perfil]],Catalogos!$B$75:$D$100,3,FALSE)*Tabla1[[#This Row],[Tiempo
(Hrs 00/100)]]*1.16</f>
        <v>#N/A</v>
      </c>
    </row>
    <row r="4580" spans="1:26" ht="30" customHeight="1" x14ac:dyDescent="0.3">
      <c r="A4580" s="106"/>
      <c r="B4580" s="106"/>
      <c r="C4580" s="106"/>
      <c r="D4580" s="106"/>
      <c r="E4580" s="106"/>
      <c r="F4580" s="106"/>
      <c r="G4580" s="106"/>
      <c r="H4580" s="107"/>
      <c r="I4580" s="95"/>
      <c r="J4580" s="706"/>
      <c r="K4580" s="769"/>
      <c r="L4580" s="706"/>
      <c r="M4580" s="781"/>
      <c r="N4580" s="182"/>
      <c r="O4580" s="188"/>
      <c r="P4580" s="221"/>
      <c r="Q4580" s="106"/>
      <c r="R4580" s="108"/>
      <c r="S4580" s="108"/>
      <c r="T4580" s="108"/>
      <c r="U4580" s="108" t="str">
        <f>IFERROR(VLOOKUP(CONCATENATE(Tabla1[[#This Row],[Severidad]]," ",Tabla1[[#This Row],[Complejidad]]),Catalogos!E$120:G$128,3,FALSE),"")</f>
        <v/>
      </c>
      <c r="V4580" s="108" t="str">
        <f>IF(Tabla1[[#This Row],[Tiempo solución max (hrs)]]&lt;&gt;"",IF(Tabla1[[#This Row],[Tiempo solución max (hrs)]]&gt;=Tabla1[[#This Row],[Tiempo
(Hrs 00/100)]],"cumple","no cumple"),"")</f>
        <v/>
      </c>
      <c r="W4580" s="17"/>
      <c r="X4580" s="18">
        <f t="shared" si="261"/>
        <v>0</v>
      </c>
      <c r="Y4580" t="str">
        <f>SUBSTITUTE(Tabla1[[#This Row],[Descripción]],CHAR(10),"    I    ")</f>
        <v/>
      </c>
      <c r="Z4580" s="112" t="e">
        <f>VLOOKUP(Tabla1[[#This Row],[Perfil]],Catalogos!$B$75:$D$100,3,FALSE)*Tabla1[[#This Row],[Tiempo
(Hrs 00/100)]]*1.16</f>
        <v>#N/A</v>
      </c>
    </row>
    <row r="4581" spans="1:26" ht="30" customHeight="1" x14ac:dyDescent="0.3">
      <c r="A4581" s="106"/>
      <c r="B4581" s="106"/>
      <c r="C4581" s="106"/>
      <c r="D4581" s="106"/>
      <c r="E4581" s="106"/>
      <c r="F4581" s="106"/>
      <c r="G4581" s="106"/>
      <c r="H4581" s="107"/>
      <c r="I4581" s="95"/>
      <c r="J4581" s="706"/>
      <c r="K4581" s="769"/>
      <c r="L4581" s="706"/>
      <c r="M4581" s="781"/>
      <c r="N4581" s="182"/>
      <c r="O4581" s="188"/>
      <c r="P4581" s="221"/>
      <c r="Q4581" s="106"/>
      <c r="R4581" s="108"/>
      <c r="S4581" s="108"/>
      <c r="T4581" s="108"/>
      <c r="U4581" s="108" t="str">
        <f>IFERROR(VLOOKUP(CONCATENATE(Tabla1[[#This Row],[Severidad]]," ",Tabla1[[#This Row],[Complejidad]]),Catalogos!E$120:G$128,3,FALSE),"")</f>
        <v/>
      </c>
      <c r="V4581" s="108" t="str">
        <f>IF(Tabla1[[#This Row],[Tiempo solución max (hrs)]]&lt;&gt;"",IF(Tabla1[[#This Row],[Tiempo solución max (hrs)]]&gt;=Tabla1[[#This Row],[Tiempo
(Hrs 00/100)]],"cumple","no cumple"),"")</f>
        <v/>
      </c>
      <c r="W4581" s="17"/>
      <c r="X4581" s="18">
        <f t="shared" si="261"/>
        <v>0</v>
      </c>
      <c r="Y4581" t="str">
        <f>SUBSTITUTE(Tabla1[[#This Row],[Descripción]],CHAR(10),"    I    ")</f>
        <v/>
      </c>
      <c r="Z4581" s="112" t="e">
        <f>VLOOKUP(Tabla1[[#This Row],[Perfil]],Catalogos!$B$75:$D$100,3,FALSE)*Tabla1[[#This Row],[Tiempo
(Hrs 00/100)]]*1.16</f>
        <v>#N/A</v>
      </c>
    </row>
    <row r="4582" spans="1:26" ht="30" customHeight="1" x14ac:dyDescent="0.3">
      <c r="A4582" s="106"/>
      <c r="B4582" s="106"/>
      <c r="C4582" s="106"/>
      <c r="D4582" s="106"/>
      <c r="E4582" s="106"/>
      <c r="F4582" s="106"/>
      <c r="G4582" s="106"/>
      <c r="H4582" s="107"/>
      <c r="I4582" s="95"/>
      <c r="J4582" s="706"/>
      <c r="K4582" s="769"/>
      <c r="L4582" s="706"/>
      <c r="M4582" s="781"/>
      <c r="N4582" s="182"/>
      <c r="O4582" s="188"/>
      <c r="P4582" s="221"/>
      <c r="Q4582" s="106"/>
      <c r="R4582" s="108"/>
      <c r="S4582" s="108"/>
      <c r="T4582" s="108"/>
      <c r="U4582" s="108" t="str">
        <f>IFERROR(VLOOKUP(CONCATENATE(Tabla1[[#This Row],[Severidad]]," ",Tabla1[[#This Row],[Complejidad]]),Catalogos!E$120:G$128,3,FALSE),"")</f>
        <v/>
      </c>
      <c r="V4582" s="108" t="str">
        <f>IF(Tabla1[[#This Row],[Tiempo solución max (hrs)]]&lt;&gt;"",IF(Tabla1[[#This Row],[Tiempo solución max (hrs)]]&gt;=Tabla1[[#This Row],[Tiempo
(Hrs 00/100)]],"cumple","no cumple"),"")</f>
        <v/>
      </c>
      <c r="W4582" s="17"/>
      <c r="X4582" s="18">
        <f t="shared" si="261"/>
        <v>0</v>
      </c>
      <c r="Y4582" t="str">
        <f>SUBSTITUTE(Tabla1[[#This Row],[Descripción]],CHAR(10),"    I    ")</f>
        <v/>
      </c>
      <c r="Z4582" s="112" t="e">
        <f>VLOOKUP(Tabla1[[#This Row],[Perfil]],Catalogos!$B$75:$D$100,3,FALSE)*Tabla1[[#This Row],[Tiempo
(Hrs 00/100)]]*1.16</f>
        <v>#N/A</v>
      </c>
    </row>
    <row r="4583" spans="1:26" ht="30" customHeight="1" x14ac:dyDescent="0.3">
      <c r="A4583" s="106"/>
      <c r="B4583" s="106"/>
      <c r="C4583" s="106"/>
      <c r="D4583" s="106"/>
      <c r="E4583" s="106"/>
      <c r="F4583" s="106"/>
      <c r="G4583" s="106"/>
      <c r="H4583" s="107"/>
      <c r="I4583" s="95"/>
      <c r="J4583" s="706"/>
      <c r="K4583" s="769"/>
      <c r="L4583" s="706"/>
      <c r="M4583" s="781"/>
      <c r="N4583" s="182"/>
      <c r="O4583" s="188"/>
      <c r="P4583" s="221"/>
      <c r="Q4583" s="106"/>
      <c r="R4583" s="108"/>
      <c r="S4583" s="108"/>
      <c r="T4583" s="108"/>
      <c r="U4583" s="108" t="str">
        <f>IFERROR(VLOOKUP(CONCATENATE(Tabla1[[#This Row],[Severidad]]," ",Tabla1[[#This Row],[Complejidad]]),Catalogos!E$120:G$128,3,FALSE),"")</f>
        <v/>
      </c>
      <c r="V4583" s="108" t="str">
        <f>IF(Tabla1[[#This Row],[Tiempo solución max (hrs)]]&lt;&gt;"",IF(Tabla1[[#This Row],[Tiempo solución max (hrs)]]&gt;=Tabla1[[#This Row],[Tiempo
(Hrs 00/100)]],"cumple","no cumple"),"")</f>
        <v/>
      </c>
      <c r="W4583" s="17"/>
      <c r="X4583" s="18">
        <f t="shared" si="261"/>
        <v>0</v>
      </c>
      <c r="Y4583" t="str">
        <f>SUBSTITUTE(Tabla1[[#This Row],[Descripción]],CHAR(10),"    I    ")</f>
        <v/>
      </c>
      <c r="Z4583" s="112" t="e">
        <f>VLOOKUP(Tabla1[[#This Row],[Perfil]],Catalogos!$B$75:$D$100,3,FALSE)*Tabla1[[#This Row],[Tiempo
(Hrs 00/100)]]*1.16</f>
        <v>#N/A</v>
      </c>
    </row>
    <row r="4584" spans="1:26" ht="30" customHeight="1" x14ac:dyDescent="0.3">
      <c r="A4584" s="106"/>
      <c r="B4584" s="106"/>
      <c r="C4584" s="106"/>
      <c r="D4584" s="106"/>
      <c r="E4584" s="106"/>
      <c r="F4584" s="106"/>
      <c r="G4584" s="106"/>
      <c r="H4584" s="107"/>
      <c r="I4584" s="95"/>
      <c r="J4584" s="706"/>
      <c r="K4584" s="769"/>
      <c r="L4584" s="706"/>
      <c r="M4584" s="781"/>
      <c r="N4584" s="182"/>
      <c r="O4584" s="188"/>
      <c r="P4584" s="221"/>
      <c r="Q4584" s="106"/>
      <c r="R4584" s="108"/>
      <c r="S4584" s="108"/>
      <c r="T4584" s="108"/>
      <c r="U4584" s="108" t="str">
        <f>IFERROR(VLOOKUP(CONCATENATE(Tabla1[[#This Row],[Severidad]]," ",Tabla1[[#This Row],[Complejidad]]),Catalogos!E$120:G$128,3,FALSE),"")</f>
        <v/>
      </c>
      <c r="V4584" s="108" t="str">
        <f>IF(Tabla1[[#This Row],[Tiempo solución max (hrs)]]&lt;&gt;"",IF(Tabla1[[#This Row],[Tiempo solución max (hrs)]]&gt;=Tabla1[[#This Row],[Tiempo
(Hrs 00/100)]],"cumple","no cumple"),"")</f>
        <v/>
      </c>
      <c r="W4584" s="17"/>
      <c r="X4584" s="18">
        <f t="shared" si="261"/>
        <v>0</v>
      </c>
      <c r="Y4584" t="str">
        <f>SUBSTITUTE(Tabla1[[#This Row],[Descripción]],CHAR(10),"    I    ")</f>
        <v/>
      </c>
      <c r="Z4584" s="112" t="e">
        <f>VLOOKUP(Tabla1[[#This Row],[Perfil]],Catalogos!$B$75:$D$100,3,FALSE)*Tabla1[[#This Row],[Tiempo
(Hrs 00/100)]]*1.16</f>
        <v>#N/A</v>
      </c>
    </row>
    <row r="4585" spans="1:26" ht="30" customHeight="1" x14ac:dyDescent="0.3">
      <c r="A4585" s="106"/>
      <c r="B4585" s="106"/>
      <c r="C4585" s="106"/>
      <c r="D4585" s="106"/>
      <c r="E4585" s="106"/>
      <c r="F4585" s="106"/>
      <c r="G4585" s="106"/>
      <c r="H4585" s="107"/>
      <c r="I4585" s="95"/>
      <c r="J4585" s="706"/>
      <c r="K4585" s="769"/>
      <c r="L4585" s="706"/>
      <c r="M4585" s="781"/>
      <c r="N4585" s="182"/>
      <c r="O4585" s="188"/>
      <c r="P4585" s="221"/>
      <c r="Q4585" s="106"/>
      <c r="R4585" s="108"/>
      <c r="S4585" s="108"/>
      <c r="T4585" s="108"/>
      <c r="U4585" s="108" t="str">
        <f>IFERROR(VLOOKUP(CONCATENATE(Tabla1[[#This Row],[Severidad]]," ",Tabla1[[#This Row],[Complejidad]]),Catalogos!E$120:G$128,3,FALSE),"")</f>
        <v/>
      </c>
      <c r="V4585" s="108" t="str">
        <f>IF(Tabla1[[#This Row],[Tiempo solución max (hrs)]]&lt;&gt;"",IF(Tabla1[[#This Row],[Tiempo solución max (hrs)]]&gt;=Tabla1[[#This Row],[Tiempo
(Hrs 00/100)]],"cumple","no cumple"),"")</f>
        <v/>
      </c>
      <c r="W4585" s="17"/>
      <c r="X4585" s="18">
        <f t="shared" si="261"/>
        <v>0</v>
      </c>
      <c r="Y4585" t="str">
        <f>SUBSTITUTE(Tabla1[[#This Row],[Descripción]],CHAR(10),"    I    ")</f>
        <v/>
      </c>
      <c r="Z4585" s="112" t="e">
        <f>VLOOKUP(Tabla1[[#This Row],[Perfil]],Catalogos!$B$75:$D$100,3,FALSE)*Tabla1[[#This Row],[Tiempo
(Hrs 00/100)]]*1.16</f>
        <v>#N/A</v>
      </c>
    </row>
    <row r="4586" spans="1:26" ht="30" customHeight="1" x14ac:dyDescent="0.3">
      <c r="A4586" s="106"/>
      <c r="B4586" s="106"/>
      <c r="C4586" s="106"/>
      <c r="D4586" s="106"/>
      <c r="E4586" s="106"/>
      <c r="F4586" s="106"/>
      <c r="G4586" s="106"/>
      <c r="H4586" s="107"/>
      <c r="I4586" s="95"/>
      <c r="J4586" s="706"/>
      <c r="K4586" s="769"/>
      <c r="L4586" s="706"/>
      <c r="M4586" s="781"/>
      <c r="N4586" s="182"/>
      <c r="O4586" s="188"/>
      <c r="P4586" s="221"/>
      <c r="Q4586" s="106"/>
      <c r="R4586" s="108"/>
      <c r="S4586" s="108"/>
      <c r="T4586" s="108"/>
      <c r="U4586" s="108" t="str">
        <f>IFERROR(VLOOKUP(CONCATENATE(Tabla1[[#This Row],[Severidad]]," ",Tabla1[[#This Row],[Complejidad]]),Catalogos!E$120:G$128,3,FALSE),"")</f>
        <v/>
      </c>
      <c r="V4586" s="108" t="str">
        <f>IF(Tabla1[[#This Row],[Tiempo solución max (hrs)]]&lt;&gt;"",IF(Tabla1[[#This Row],[Tiempo solución max (hrs)]]&gt;=Tabla1[[#This Row],[Tiempo
(Hrs 00/100)]],"cumple","no cumple"),"")</f>
        <v/>
      </c>
      <c r="W4586" s="17"/>
      <c r="X4586" s="18">
        <f t="shared" si="261"/>
        <v>0</v>
      </c>
      <c r="Y4586" t="str">
        <f>SUBSTITUTE(Tabla1[[#This Row],[Descripción]],CHAR(10),"    I    ")</f>
        <v/>
      </c>
      <c r="Z4586" s="112" t="e">
        <f>VLOOKUP(Tabla1[[#This Row],[Perfil]],Catalogos!$B$75:$D$100,3,FALSE)*Tabla1[[#This Row],[Tiempo
(Hrs 00/100)]]*1.16</f>
        <v>#N/A</v>
      </c>
    </row>
    <row r="4587" spans="1:26" ht="30" customHeight="1" x14ac:dyDescent="0.3">
      <c r="A4587" s="106"/>
      <c r="B4587" s="106"/>
      <c r="C4587" s="106"/>
      <c r="D4587" s="106"/>
      <c r="E4587" s="106"/>
      <c r="F4587" s="106"/>
      <c r="G4587" s="106"/>
      <c r="H4587" s="107"/>
      <c r="I4587" s="95"/>
      <c r="J4587" s="706"/>
      <c r="K4587" s="769"/>
      <c r="L4587" s="706"/>
      <c r="M4587" s="781"/>
      <c r="N4587" s="182"/>
      <c r="O4587" s="188"/>
      <c r="P4587" s="221"/>
      <c r="Q4587" s="106"/>
      <c r="R4587" s="108"/>
      <c r="S4587" s="108"/>
      <c r="T4587" s="108"/>
      <c r="U4587" s="108" t="str">
        <f>IFERROR(VLOOKUP(CONCATENATE(Tabla1[[#This Row],[Severidad]]," ",Tabla1[[#This Row],[Complejidad]]),Catalogos!E$120:G$128,3,FALSE),"")</f>
        <v/>
      </c>
      <c r="V4587" s="108" t="str">
        <f>IF(Tabla1[[#This Row],[Tiempo solución max (hrs)]]&lt;&gt;"",IF(Tabla1[[#This Row],[Tiempo solución max (hrs)]]&gt;=Tabla1[[#This Row],[Tiempo
(Hrs 00/100)]],"cumple","no cumple"),"")</f>
        <v/>
      </c>
      <c r="W4587" s="17"/>
      <c r="X4587" s="18">
        <f t="shared" si="261"/>
        <v>0</v>
      </c>
      <c r="Y4587" t="str">
        <f>SUBSTITUTE(Tabla1[[#This Row],[Descripción]],CHAR(10),"    I    ")</f>
        <v/>
      </c>
      <c r="Z4587" s="112" t="e">
        <f>VLOOKUP(Tabla1[[#This Row],[Perfil]],Catalogos!$B$75:$D$100,3,FALSE)*Tabla1[[#This Row],[Tiempo
(Hrs 00/100)]]*1.16</f>
        <v>#N/A</v>
      </c>
    </row>
    <row r="4588" spans="1:26" ht="30" customHeight="1" x14ac:dyDescent="0.3">
      <c r="A4588" s="106"/>
      <c r="B4588" s="106"/>
      <c r="C4588" s="106"/>
      <c r="D4588" s="106"/>
      <c r="E4588" s="106"/>
      <c r="F4588" s="106"/>
      <c r="G4588" s="106"/>
      <c r="H4588" s="107"/>
      <c r="I4588" s="95"/>
      <c r="J4588" s="706"/>
      <c r="K4588" s="769"/>
      <c r="L4588" s="706"/>
      <c r="M4588" s="781"/>
      <c r="N4588" s="182"/>
      <c r="O4588" s="188"/>
      <c r="P4588" s="221"/>
      <c r="Q4588" s="106"/>
      <c r="R4588" s="108"/>
      <c r="S4588" s="108"/>
      <c r="T4588" s="108"/>
      <c r="U4588" s="108" t="str">
        <f>IFERROR(VLOOKUP(CONCATENATE(Tabla1[[#This Row],[Severidad]]," ",Tabla1[[#This Row],[Complejidad]]),Catalogos!E$120:G$128,3,FALSE),"")</f>
        <v/>
      </c>
      <c r="V4588" s="108" t="str">
        <f>IF(Tabla1[[#This Row],[Tiempo solución max (hrs)]]&lt;&gt;"",IF(Tabla1[[#This Row],[Tiempo solución max (hrs)]]&gt;=Tabla1[[#This Row],[Tiempo
(Hrs 00/100)]],"cumple","no cumple"),"")</f>
        <v/>
      </c>
      <c r="W4588" s="17"/>
      <c r="X4588" s="18">
        <f t="shared" si="261"/>
        <v>0</v>
      </c>
      <c r="Y4588" t="str">
        <f>SUBSTITUTE(Tabla1[[#This Row],[Descripción]],CHAR(10),"    I    ")</f>
        <v/>
      </c>
      <c r="Z4588" s="112" t="e">
        <f>VLOOKUP(Tabla1[[#This Row],[Perfil]],Catalogos!$B$75:$D$100,3,FALSE)*Tabla1[[#This Row],[Tiempo
(Hrs 00/100)]]*1.16</f>
        <v>#N/A</v>
      </c>
    </row>
    <row r="4589" spans="1:26" ht="30" customHeight="1" x14ac:dyDescent="0.3">
      <c r="A4589" s="106"/>
      <c r="B4589" s="106"/>
      <c r="C4589" s="106"/>
      <c r="D4589" s="106"/>
      <c r="E4589" s="106"/>
      <c r="F4589" s="106"/>
      <c r="G4589" s="106"/>
      <c r="H4589" s="107"/>
      <c r="I4589" s="95"/>
      <c r="J4589" s="706"/>
      <c r="K4589" s="769"/>
      <c r="L4589" s="706"/>
      <c r="M4589" s="781"/>
      <c r="N4589" s="182"/>
      <c r="O4589" s="188"/>
      <c r="P4589" s="221"/>
      <c r="Q4589" s="106"/>
      <c r="R4589" s="108"/>
      <c r="S4589" s="108"/>
      <c r="T4589" s="108"/>
      <c r="U4589" s="108" t="str">
        <f>IFERROR(VLOOKUP(CONCATENATE(Tabla1[[#This Row],[Severidad]]," ",Tabla1[[#This Row],[Complejidad]]),Catalogos!E$120:G$128,3,FALSE),"")</f>
        <v/>
      </c>
      <c r="V4589" s="108" t="str">
        <f>IF(Tabla1[[#This Row],[Tiempo solución max (hrs)]]&lt;&gt;"",IF(Tabla1[[#This Row],[Tiempo solución max (hrs)]]&gt;=Tabla1[[#This Row],[Tiempo
(Hrs 00/100)]],"cumple","no cumple"),"")</f>
        <v/>
      </c>
      <c r="W4589" s="17"/>
      <c r="X4589" s="18">
        <f t="shared" si="261"/>
        <v>0</v>
      </c>
      <c r="Y4589" t="str">
        <f>SUBSTITUTE(Tabla1[[#This Row],[Descripción]],CHAR(10),"    I    ")</f>
        <v/>
      </c>
      <c r="Z4589" s="112" t="e">
        <f>VLOOKUP(Tabla1[[#This Row],[Perfil]],Catalogos!$B$75:$D$100,3,FALSE)*Tabla1[[#This Row],[Tiempo
(Hrs 00/100)]]*1.16</f>
        <v>#N/A</v>
      </c>
    </row>
    <row r="4590" spans="1:26" ht="30" customHeight="1" x14ac:dyDescent="0.3">
      <c r="A4590" s="106"/>
      <c r="B4590" s="106"/>
      <c r="C4590" s="106"/>
      <c r="D4590" s="106"/>
      <c r="E4590" s="106"/>
      <c r="F4590" s="106"/>
      <c r="G4590" s="106"/>
      <c r="H4590" s="107"/>
      <c r="I4590" s="95"/>
      <c r="J4590" s="706"/>
      <c r="K4590" s="769"/>
      <c r="L4590" s="706"/>
      <c r="M4590" s="781"/>
      <c r="N4590" s="182"/>
      <c r="O4590" s="188"/>
      <c r="P4590" s="221"/>
      <c r="Q4590" s="106"/>
      <c r="R4590" s="108"/>
      <c r="S4590" s="108"/>
      <c r="T4590" s="108"/>
      <c r="U4590" s="108" t="str">
        <f>IFERROR(VLOOKUP(CONCATENATE(Tabla1[[#This Row],[Severidad]]," ",Tabla1[[#This Row],[Complejidad]]),Catalogos!E$120:G$128,3,FALSE),"")</f>
        <v/>
      </c>
      <c r="V4590" s="108" t="str">
        <f>IF(Tabla1[[#This Row],[Tiempo solución max (hrs)]]&lt;&gt;"",IF(Tabla1[[#This Row],[Tiempo solución max (hrs)]]&gt;=Tabla1[[#This Row],[Tiempo
(Hrs 00/100)]],"cumple","no cumple"),"")</f>
        <v/>
      </c>
      <c r="W4590" s="17"/>
      <c r="X4590" s="18">
        <f t="shared" si="261"/>
        <v>0</v>
      </c>
      <c r="Y4590" t="str">
        <f>SUBSTITUTE(Tabla1[[#This Row],[Descripción]],CHAR(10),"    I    ")</f>
        <v/>
      </c>
      <c r="Z4590" s="112" t="e">
        <f>VLOOKUP(Tabla1[[#This Row],[Perfil]],Catalogos!$B$75:$D$100,3,FALSE)*Tabla1[[#This Row],[Tiempo
(Hrs 00/100)]]*1.16</f>
        <v>#N/A</v>
      </c>
    </row>
    <row r="4591" spans="1:26" ht="30" customHeight="1" x14ac:dyDescent="0.3">
      <c r="A4591" s="106"/>
      <c r="B4591" s="106"/>
      <c r="C4591" s="106"/>
      <c r="D4591" s="106"/>
      <c r="E4591" s="106"/>
      <c r="F4591" s="106"/>
      <c r="G4591" s="106"/>
      <c r="H4591" s="107"/>
      <c r="I4591" s="95"/>
      <c r="J4591" s="706"/>
      <c r="K4591" s="769"/>
      <c r="L4591" s="706"/>
      <c r="M4591" s="781"/>
      <c r="N4591" s="182"/>
      <c r="O4591" s="188"/>
      <c r="P4591" s="221"/>
      <c r="Q4591" s="106"/>
      <c r="R4591" s="108"/>
      <c r="S4591" s="108"/>
      <c r="T4591" s="108"/>
      <c r="U4591" s="108" t="str">
        <f>IFERROR(VLOOKUP(CONCATENATE(Tabla1[[#This Row],[Severidad]]," ",Tabla1[[#This Row],[Complejidad]]),Catalogos!E$120:G$128,3,FALSE),"")</f>
        <v/>
      </c>
      <c r="V4591" s="108" t="str">
        <f>IF(Tabla1[[#This Row],[Tiempo solución max (hrs)]]&lt;&gt;"",IF(Tabla1[[#This Row],[Tiempo solución max (hrs)]]&gt;=Tabla1[[#This Row],[Tiempo
(Hrs 00/100)]],"cumple","no cumple"),"")</f>
        <v/>
      </c>
      <c r="W4591" s="17"/>
      <c r="X4591" s="18">
        <f t="shared" si="261"/>
        <v>0</v>
      </c>
      <c r="Y4591" t="str">
        <f>SUBSTITUTE(Tabla1[[#This Row],[Descripción]],CHAR(10),"    I    ")</f>
        <v/>
      </c>
      <c r="Z4591" s="112" t="e">
        <f>VLOOKUP(Tabla1[[#This Row],[Perfil]],Catalogos!$B$75:$D$100,3,FALSE)*Tabla1[[#This Row],[Tiempo
(Hrs 00/100)]]*1.16</f>
        <v>#N/A</v>
      </c>
    </row>
    <row r="4592" spans="1:26" ht="30" customHeight="1" x14ac:dyDescent="0.3">
      <c r="A4592" s="106"/>
      <c r="B4592" s="106"/>
      <c r="C4592" s="106"/>
      <c r="D4592" s="106"/>
      <c r="E4592" s="106"/>
      <c r="F4592" s="106"/>
      <c r="G4592" s="106"/>
      <c r="H4592" s="107"/>
      <c r="I4592" s="95"/>
      <c r="J4592" s="706"/>
      <c r="K4592" s="769"/>
      <c r="L4592" s="706"/>
      <c r="M4592" s="781"/>
      <c r="N4592" s="182"/>
      <c r="O4592" s="188"/>
      <c r="P4592" s="221"/>
      <c r="Q4592" s="106"/>
      <c r="R4592" s="108"/>
      <c r="S4592" s="108"/>
      <c r="T4592" s="108"/>
      <c r="U4592" s="108" t="str">
        <f>IFERROR(VLOOKUP(CONCATENATE(Tabla1[[#This Row],[Severidad]]," ",Tabla1[[#This Row],[Complejidad]]),Catalogos!E$120:G$128,3,FALSE),"")</f>
        <v/>
      </c>
      <c r="V4592" s="108" t="str">
        <f>IF(Tabla1[[#This Row],[Tiempo solución max (hrs)]]&lt;&gt;"",IF(Tabla1[[#This Row],[Tiempo solución max (hrs)]]&gt;=Tabla1[[#This Row],[Tiempo
(Hrs 00/100)]],"cumple","no cumple"),"")</f>
        <v/>
      </c>
      <c r="W4592" s="17"/>
      <c r="X4592" s="18">
        <f t="shared" si="261"/>
        <v>0</v>
      </c>
      <c r="Y4592" t="str">
        <f>SUBSTITUTE(Tabla1[[#This Row],[Descripción]],CHAR(10),"    I    ")</f>
        <v/>
      </c>
      <c r="Z4592" s="112" t="e">
        <f>VLOOKUP(Tabla1[[#This Row],[Perfil]],Catalogos!$B$75:$D$100,3,FALSE)*Tabla1[[#This Row],[Tiempo
(Hrs 00/100)]]*1.16</f>
        <v>#N/A</v>
      </c>
    </row>
    <row r="4593" spans="1:26" ht="30" customHeight="1" x14ac:dyDescent="0.3">
      <c r="A4593" s="106"/>
      <c r="B4593" s="106"/>
      <c r="C4593" s="106"/>
      <c r="D4593" s="106"/>
      <c r="E4593" s="106"/>
      <c r="F4593" s="106"/>
      <c r="G4593" s="106"/>
      <c r="H4593" s="107"/>
      <c r="I4593" s="95"/>
      <c r="J4593" s="706"/>
      <c r="K4593" s="769"/>
      <c r="L4593" s="706"/>
      <c r="M4593" s="781"/>
      <c r="N4593" s="182"/>
      <c r="O4593" s="188"/>
      <c r="P4593" s="221"/>
      <c r="Q4593" s="106"/>
      <c r="R4593" s="108"/>
      <c r="S4593" s="108"/>
      <c r="T4593" s="108"/>
      <c r="U4593" s="108" t="str">
        <f>IFERROR(VLOOKUP(CONCATENATE(Tabla1[[#This Row],[Severidad]]," ",Tabla1[[#This Row],[Complejidad]]),Catalogos!E$120:G$128,3,FALSE),"")</f>
        <v/>
      </c>
      <c r="V4593" s="108" t="str">
        <f>IF(Tabla1[[#This Row],[Tiempo solución max (hrs)]]&lt;&gt;"",IF(Tabla1[[#This Row],[Tiempo solución max (hrs)]]&gt;=Tabla1[[#This Row],[Tiempo
(Hrs 00/100)]],"cumple","no cumple"),"")</f>
        <v/>
      </c>
      <c r="W4593" s="17"/>
      <c r="X4593" s="18">
        <f t="shared" si="261"/>
        <v>0</v>
      </c>
      <c r="Y4593" t="str">
        <f>SUBSTITUTE(Tabla1[[#This Row],[Descripción]],CHAR(10),"    I    ")</f>
        <v/>
      </c>
      <c r="Z4593" s="112" t="e">
        <f>VLOOKUP(Tabla1[[#This Row],[Perfil]],Catalogos!$B$75:$D$100,3,FALSE)*Tabla1[[#This Row],[Tiempo
(Hrs 00/100)]]*1.16</f>
        <v>#N/A</v>
      </c>
    </row>
    <row r="4594" spans="1:26" ht="30" customHeight="1" x14ac:dyDescent="0.3">
      <c r="A4594" s="106"/>
      <c r="B4594" s="106"/>
      <c r="C4594" s="106"/>
      <c r="D4594" s="106"/>
      <c r="E4594" s="106"/>
      <c r="F4594" s="106"/>
      <c r="G4594" s="106"/>
      <c r="H4594" s="107"/>
      <c r="I4594" s="95"/>
      <c r="J4594" s="706"/>
      <c r="K4594" s="769"/>
      <c r="L4594" s="706"/>
      <c r="M4594" s="781"/>
      <c r="N4594" s="182"/>
      <c r="O4594" s="188"/>
      <c r="P4594" s="221"/>
      <c r="Q4594" s="106"/>
      <c r="R4594" s="108"/>
      <c r="S4594" s="108"/>
      <c r="T4594" s="108"/>
      <c r="U4594" s="108" t="str">
        <f>IFERROR(VLOOKUP(CONCATENATE(Tabla1[[#This Row],[Severidad]]," ",Tabla1[[#This Row],[Complejidad]]),Catalogos!E$120:G$128,3,FALSE),"")</f>
        <v/>
      </c>
      <c r="V4594" s="108" t="str">
        <f>IF(Tabla1[[#This Row],[Tiempo solución max (hrs)]]&lt;&gt;"",IF(Tabla1[[#This Row],[Tiempo solución max (hrs)]]&gt;=Tabla1[[#This Row],[Tiempo
(Hrs 00/100)]],"cumple","no cumple"),"")</f>
        <v/>
      </c>
      <c r="W4594" s="17"/>
      <c r="X4594" s="18">
        <f t="shared" si="261"/>
        <v>0</v>
      </c>
      <c r="Y4594" t="str">
        <f>SUBSTITUTE(Tabla1[[#This Row],[Descripción]],CHAR(10),"    I    ")</f>
        <v/>
      </c>
      <c r="Z4594" s="112" t="e">
        <f>VLOOKUP(Tabla1[[#This Row],[Perfil]],Catalogos!$B$75:$D$100,3,FALSE)*Tabla1[[#This Row],[Tiempo
(Hrs 00/100)]]*1.16</f>
        <v>#N/A</v>
      </c>
    </row>
    <row r="4595" spans="1:26" ht="30" customHeight="1" x14ac:dyDescent="0.3">
      <c r="A4595" s="106"/>
      <c r="B4595" s="106"/>
      <c r="C4595" s="106"/>
      <c r="D4595" s="106"/>
      <c r="E4595" s="106"/>
      <c r="F4595" s="106"/>
      <c r="G4595" s="106"/>
      <c r="H4595" s="107"/>
      <c r="I4595" s="95"/>
      <c r="J4595" s="706"/>
      <c r="K4595" s="769"/>
      <c r="L4595" s="706"/>
      <c r="M4595" s="781"/>
      <c r="N4595" s="182"/>
      <c r="O4595" s="188"/>
      <c r="P4595" s="221"/>
      <c r="Q4595" s="106"/>
      <c r="R4595" s="108"/>
      <c r="S4595" s="108"/>
      <c r="T4595" s="108"/>
      <c r="U4595" s="108" t="str">
        <f>IFERROR(VLOOKUP(CONCATENATE(Tabla1[[#This Row],[Severidad]]," ",Tabla1[[#This Row],[Complejidad]]),Catalogos!E$120:G$128,3,FALSE),"")</f>
        <v/>
      </c>
      <c r="V4595" s="108" t="str">
        <f>IF(Tabla1[[#This Row],[Tiempo solución max (hrs)]]&lt;&gt;"",IF(Tabla1[[#This Row],[Tiempo solución max (hrs)]]&gt;=Tabla1[[#This Row],[Tiempo
(Hrs 00/100)]],"cumple","no cumple"),"")</f>
        <v/>
      </c>
      <c r="W4595" s="17"/>
      <c r="X4595" s="18">
        <f t="shared" si="261"/>
        <v>0</v>
      </c>
      <c r="Y4595" t="str">
        <f>SUBSTITUTE(Tabla1[[#This Row],[Descripción]],CHAR(10),"    I    ")</f>
        <v/>
      </c>
      <c r="Z4595" s="112" t="e">
        <f>VLOOKUP(Tabla1[[#This Row],[Perfil]],Catalogos!$B$75:$D$100,3,FALSE)*Tabla1[[#This Row],[Tiempo
(Hrs 00/100)]]*1.16</f>
        <v>#N/A</v>
      </c>
    </row>
    <row r="4596" spans="1:26" ht="30" customHeight="1" x14ac:dyDescent="0.3">
      <c r="A4596" s="106"/>
      <c r="B4596" s="106"/>
      <c r="C4596" s="106"/>
      <c r="D4596" s="106"/>
      <c r="E4596" s="106"/>
      <c r="F4596" s="106"/>
      <c r="G4596" s="106"/>
      <c r="H4596" s="107"/>
      <c r="I4596" s="95"/>
      <c r="J4596" s="706"/>
      <c r="K4596" s="769"/>
      <c r="L4596" s="706"/>
      <c r="M4596" s="781"/>
      <c r="N4596" s="182"/>
      <c r="O4596" s="188"/>
      <c r="P4596" s="221"/>
      <c r="Q4596" s="106"/>
      <c r="R4596" s="108"/>
      <c r="S4596" s="108"/>
      <c r="T4596" s="108"/>
      <c r="U4596" s="108" t="str">
        <f>IFERROR(VLOOKUP(CONCATENATE(Tabla1[[#This Row],[Severidad]]," ",Tabla1[[#This Row],[Complejidad]]),Catalogos!E$120:G$128,3,FALSE),"")</f>
        <v/>
      </c>
      <c r="V4596" s="108" t="str">
        <f>IF(Tabla1[[#This Row],[Tiempo solución max (hrs)]]&lt;&gt;"",IF(Tabla1[[#This Row],[Tiempo solución max (hrs)]]&gt;=Tabla1[[#This Row],[Tiempo
(Hrs 00/100)]],"cumple","no cumple"),"")</f>
        <v/>
      </c>
      <c r="W4596" s="17"/>
      <c r="X4596" s="18">
        <f t="shared" si="261"/>
        <v>0</v>
      </c>
      <c r="Y4596" t="str">
        <f>SUBSTITUTE(Tabla1[[#This Row],[Descripción]],CHAR(10),"    I    ")</f>
        <v/>
      </c>
      <c r="Z4596" s="112" t="e">
        <f>VLOOKUP(Tabla1[[#This Row],[Perfil]],Catalogos!$B$75:$D$100,3,FALSE)*Tabla1[[#This Row],[Tiempo
(Hrs 00/100)]]*1.16</f>
        <v>#N/A</v>
      </c>
    </row>
    <row r="4597" spans="1:26" ht="30" customHeight="1" x14ac:dyDescent="0.3">
      <c r="A4597" s="106"/>
      <c r="B4597" s="106"/>
      <c r="C4597" s="106"/>
      <c r="D4597" s="106"/>
      <c r="E4597" s="106"/>
      <c r="F4597" s="106"/>
      <c r="G4597" s="106"/>
      <c r="H4597" s="107"/>
      <c r="I4597" s="95"/>
      <c r="J4597" s="706"/>
      <c r="K4597" s="769"/>
      <c r="L4597" s="706"/>
      <c r="M4597" s="781"/>
      <c r="N4597" s="182"/>
      <c r="O4597" s="188"/>
      <c r="P4597" s="221"/>
      <c r="Q4597" s="106"/>
      <c r="R4597" s="108"/>
      <c r="S4597" s="108"/>
      <c r="T4597" s="108"/>
      <c r="U4597" s="108" t="str">
        <f>IFERROR(VLOOKUP(CONCATENATE(Tabla1[[#This Row],[Severidad]]," ",Tabla1[[#This Row],[Complejidad]]),Catalogos!E$120:G$128,3,FALSE),"")</f>
        <v/>
      </c>
      <c r="V4597" s="108" t="str">
        <f>IF(Tabla1[[#This Row],[Tiempo solución max (hrs)]]&lt;&gt;"",IF(Tabla1[[#This Row],[Tiempo solución max (hrs)]]&gt;=Tabla1[[#This Row],[Tiempo
(Hrs 00/100)]],"cumple","no cumple"),"")</f>
        <v/>
      </c>
      <c r="W4597" s="17"/>
      <c r="X4597" s="18">
        <f t="shared" si="261"/>
        <v>0</v>
      </c>
      <c r="Y4597" t="str">
        <f>SUBSTITUTE(Tabla1[[#This Row],[Descripción]],CHAR(10),"    I    ")</f>
        <v/>
      </c>
      <c r="Z4597" s="112" t="e">
        <f>VLOOKUP(Tabla1[[#This Row],[Perfil]],Catalogos!$B$75:$D$100,3,FALSE)*Tabla1[[#This Row],[Tiempo
(Hrs 00/100)]]*1.16</f>
        <v>#N/A</v>
      </c>
    </row>
    <row r="4598" spans="1:26" ht="30" customHeight="1" x14ac:dyDescent="0.3">
      <c r="A4598" s="106"/>
      <c r="B4598" s="106"/>
      <c r="C4598" s="106"/>
      <c r="D4598" s="106"/>
      <c r="E4598" s="106"/>
      <c r="F4598" s="106"/>
      <c r="G4598" s="106"/>
      <c r="H4598" s="107"/>
      <c r="I4598" s="95"/>
      <c r="J4598" s="706"/>
      <c r="K4598" s="769"/>
      <c r="L4598" s="706"/>
      <c r="M4598" s="781"/>
      <c r="N4598" s="182"/>
      <c r="O4598" s="188"/>
      <c r="P4598" s="221"/>
      <c r="Q4598" s="106"/>
      <c r="R4598" s="108"/>
      <c r="S4598" s="108"/>
      <c r="T4598" s="108"/>
      <c r="U4598" s="108" t="str">
        <f>IFERROR(VLOOKUP(CONCATENATE(Tabla1[[#This Row],[Severidad]]," ",Tabla1[[#This Row],[Complejidad]]),Catalogos!E$120:G$128,3,FALSE),"")</f>
        <v/>
      </c>
      <c r="V4598" s="108" t="str">
        <f>IF(Tabla1[[#This Row],[Tiempo solución max (hrs)]]&lt;&gt;"",IF(Tabla1[[#This Row],[Tiempo solución max (hrs)]]&gt;=Tabla1[[#This Row],[Tiempo
(Hrs 00/100)]],"cumple","no cumple"),"")</f>
        <v/>
      </c>
      <c r="W4598" s="17"/>
      <c r="X4598" s="18">
        <f t="shared" si="261"/>
        <v>0</v>
      </c>
      <c r="Y4598" t="str">
        <f>SUBSTITUTE(Tabla1[[#This Row],[Descripción]],CHAR(10),"    I    ")</f>
        <v/>
      </c>
      <c r="Z4598" s="112" t="e">
        <f>VLOOKUP(Tabla1[[#This Row],[Perfil]],Catalogos!$B$75:$D$100,3,FALSE)*Tabla1[[#This Row],[Tiempo
(Hrs 00/100)]]*1.16</f>
        <v>#N/A</v>
      </c>
    </row>
    <row r="4599" spans="1:26" ht="30" customHeight="1" x14ac:dyDescent="0.3">
      <c r="A4599" s="106"/>
      <c r="B4599" s="106"/>
      <c r="C4599" s="106"/>
      <c r="D4599" s="106"/>
      <c r="E4599" s="106"/>
      <c r="F4599" s="106"/>
      <c r="G4599" s="106"/>
      <c r="H4599" s="107"/>
      <c r="I4599" s="95"/>
      <c r="J4599" s="706"/>
      <c r="K4599" s="769"/>
      <c r="L4599" s="706"/>
      <c r="M4599" s="781"/>
      <c r="N4599" s="182"/>
      <c r="O4599" s="188"/>
      <c r="P4599" s="221"/>
      <c r="Q4599" s="106"/>
      <c r="R4599" s="108"/>
      <c r="S4599" s="108"/>
      <c r="T4599" s="108"/>
      <c r="U4599" s="108" t="str">
        <f>IFERROR(VLOOKUP(CONCATENATE(Tabla1[[#This Row],[Severidad]]," ",Tabla1[[#This Row],[Complejidad]]),Catalogos!E$120:G$128,3,FALSE),"")</f>
        <v/>
      </c>
      <c r="V4599" s="108" t="str">
        <f>IF(Tabla1[[#This Row],[Tiempo solución max (hrs)]]&lt;&gt;"",IF(Tabla1[[#This Row],[Tiempo solución max (hrs)]]&gt;=Tabla1[[#This Row],[Tiempo
(Hrs 00/100)]],"cumple","no cumple"),"")</f>
        <v/>
      </c>
      <c r="W4599" s="17"/>
      <c r="X4599" s="18">
        <f t="shared" si="261"/>
        <v>0</v>
      </c>
      <c r="Y4599" t="str">
        <f>SUBSTITUTE(Tabla1[[#This Row],[Descripción]],CHAR(10),"    I    ")</f>
        <v/>
      </c>
      <c r="Z4599" s="112" t="e">
        <f>VLOOKUP(Tabla1[[#This Row],[Perfil]],Catalogos!$B$75:$D$100,3,FALSE)*Tabla1[[#This Row],[Tiempo
(Hrs 00/100)]]*1.16</f>
        <v>#N/A</v>
      </c>
    </row>
    <row r="4600" spans="1:26" ht="30" customHeight="1" x14ac:dyDescent="0.3">
      <c r="A4600" s="106"/>
      <c r="B4600" s="106"/>
      <c r="C4600" s="106"/>
      <c r="D4600" s="106"/>
      <c r="E4600" s="106"/>
      <c r="F4600" s="106"/>
      <c r="G4600" s="106"/>
      <c r="H4600" s="107"/>
      <c r="I4600" s="95"/>
      <c r="J4600" s="706"/>
      <c r="K4600" s="769"/>
      <c r="L4600" s="706"/>
      <c r="M4600" s="781"/>
      <c r="N4600" s="182"/>
      <c r="O4600" s="188"/>
      <c r="P4600" s="221"/>
      <c r="Q4600" s="106"/>
      <c r="R4600" s="108"/>
      <c r="S4600" s="108"/>
      <c r="T4600" s="108"/>
      <c r="U4600" s="108" t="str">
        <f>IFERROR(VLOOKUP(CONCATENATE(Tabla1[[#This Row],[Severidad]]," ",Tabla1[[#This Row],[Complejidad]]),Catalogos!E$120:G$128,3,FALSE),"")</f>
        <v/>
      </c>
      <c r="V4600" s="108" t="str">
        <f>IF(Tabla1[[#This Row],[Tiempo solución max (hrs)]]&lt;&gt;"",IF(Tabla1[[#This Row],[Tiempo solución max (hrs)]]&gt;=Tabla1[[#This Row],[Tiempo
(Hrs 00/100)]],"cumple","no cumple"),"")</f>
        <v/>
      </c>
      <c r="W4600" s="17"/>
      <c r="X4600" s="18">
        <f t="shared" si="261"/>
        <v>0</v>
      </c>
      <c r="Y4600" t="str">
        <f>SUBSTITUTE(Tabla1[[#This Row],[Descripción]],CHAR(10),"    I    ")</f>
        <v/>
      </c>
      <c r="Z4600" s="112" t="e">
        <f>VLOOKUP(Tabla1[[#This Row],[Perfil]],Catalogos!$B$75:$D$100,3,FALSE)*Tabla1[[#This Row],[Tiempo
(Hrs 00/100)]]*1.16</f>
        <v>#N/A</v>
      </c>
    </row>
    <row r="4601" spans="1:26" ht="30" customHeight="1" x14ac:dyDescent="0.3">
      <c r="A4601" s="106"/>
      <c r="B4601" s="106"/>
      <c r="C4601" s="106"/>
      <c r="D4601" s="106"/>
      <c r="E4601" s="106"/>
      <c r="F4601" s="106"/>
      <c r="G4601" s="106"/>
      <c r="H4601" s="107"/>
      <c r="I4601" s="95"/>
      <c r="J4601" s="706"/>
      <c r="K4601" s="769"/>
      <c r="L4601" s="706"/>
      <c r="M4601" s="781"/>
      <c r="N4601" s="182"/>
      <c r="O4601" s="188"/>
      <c r="P4601" s="221"/>
      <c r="Q4601" s="106"/>
      <c r="R4601" s="108"/>
      <c r="S4601" s="108"/>
      <c r="T4601" s="108"/>
      <c r="U4601" s="108" t="str">
        <f>IFERROR(VLOOKUP(CONCATENATE(Tabla1[[#This Row],[Severidad]]," ",Tabla1[[#This Row],[Complejidad]]),Catalogos!E$120:G$128,3,FALSE),"")</f>
        <v/>
      </c>
      <c r="V4601" s="108" t="str">
        <f>IF(Tabla1[[#This Row],[Tiempo solución max (hrs)]]&lt;&gt;"",IF(Tabla1[[#This Row],[Tiempo solución max (hrs)]]&gt;=Tabla1[[#This Row],[Tiempo
(Hrs 00/100)]],"cumple","no cumple"),"")</f>
        <v/>
      </c>
      <c r="W4601" s="17"/>
      <c r="X4601" s="18">
        <f t="shared" si="261"/>
        <v>0</v>
      </c>
      <c r="Y4601" t="str">
        <f>SUBSTITUTE(Tabla1[[#This Row],[Descripción]],CHAR(10),"    I    ")</f>
        <v/>
      </c>
      <c r="Z4601" s="112" t="e">
        <f>VLOOKUP(Tabla1[[#This Row],[Perfil]],Catalogos!$B$75:$D$100,3,FALSE)*Tabla1[[#This Row],[Tiempo
(Hrs 00/100)]]*1.16</f>
        <v>#N/A</v>
      </c>
    </row>
    <row r="4602" spans="1:26" ht="30" customHeight="1" x14ac:dyDescent="0.3">
      <c r="A4602" s="106"/>
      <c r="B4602" s="106"/>
      <c r="C4602" s="106"/>
      <c r="D4602" s="106"/>
      <c r="E4602" s="106"/>
      <c r="F4602" s="106"/>
      <c r="G4602" s="106"/>
      <c r="H4602" s="107"/>
      <c r="I4602" s="95"/>
      <c r="J4602" s="706"/>
      <c r="K4602" s="769"/>
      <c r="L4602" s="706"/>
      <c r="M4602" s="781"/>
      <c r="N4602" s="182"/>
      <c r="O4602" s="188"/>
      <c r="P4602" s="221"/>
      <c r="Q4602" s="106"/>
      <c r="R4602" s="108"/>
      <c r="S4602" s="108"/>
      <c r="T4602" s="108"/>
      <c r="U4602" s="108" t="str">
        <f>IFERROR(VLOOKUP(CONCATENATE(Tabla1[[#This Row],[Severidad]]," ",Tabla1[[#This Row],[Complejidad]]),Catalogos!E$120:G$128,3,FALSE),"")</f>
        <v/>
      </c>
      <c r="V4602" s="108" t="str">
        <f>IF(Tabla1[[#This Row],[Tiempo solución max (hrs)]]&lt;&gt;"",IF(Tabla1[[#This Row],[Tiempo solución max (hrs)]]&gt;=Tabla1[[#This Row],[Tiempo
(Hrs 00/100)]],"cumple","no cumple"),"")</f>
        <v/>
      </c>
      <c r="W4602" s="17"/>
      <c r="X4602" s="18">
        <f t="shared" si="261"/>
        <v>0</v>
      </c>
      <c r="Y4602" t="str">
        <f>SUBSTITUTE(Tabla1[[#This Row],[Descripción]],CHAR(10),"    I    ")</f>
        <v/>
      </c>
      <c r="Z4602" s="112" t="e">
        <f>VLOOKUP(Tabla1[[#This Row],[Perfil]],Catalogos!$B$75:$D$100,3,FALSE)*Tabla1[[#This Row],[Tiempo
(Hrs 00/100)]]*1.16</f>
        <v>#N/A</v>
      </c>
    </row>
    <row r="4603" spans="1:26" ht="30" customHeight="1" x14ac:dyDescent="0.3">
      <c r="A4603" s="106"/>
      <c r="B4603" s="106"/>
      <c r="C4603" s="106"/>
      <c r="D4603" s="106"/>
      <c r="E4603" s="106"/>
      <c r="F4603" s="106"/>
      <c r="G4603" s="106"/>
      <c r="H4603" s="107"/>
      <c r="I4603" s="95"/>
      <c r="J4603" s="706"/>
      <c r="K4603" s="769"/>
      <c r="L4603" s="706"/>
      <c r="M4603" s="781"/>
      <c r="N4603" s="182"/>
      <c r="O4603" s="188"/>
      <c r="P4603" s="221"/>
      <c r="Q4603" s="106"/>
      <c r="R4603" s="108"/>
      <c r="S4603" s="108"/>
      <c r="T4603" s="108"/>
      <c r="U4603" s="108" t="str">
        <f>IFERROR(VLOOKUP(CONCATENATE(Tabla1[[#This Row],[Severidad]]," ",Tabla1[[#This Row],[Complejidad]]),Catalogos!E$120:G$128,3,FALSE),"")</f>
        <v/>
      </c>
      <c r="V4603" s="108" t="str">
        <f>IF(Tabla1[[#This Row],[Tiempo solución max (hrs)]]&lt;&gt;"",IF(Tabla1[[#This Row],[Tiempo solución max (hrs)]]&gt;=Tabla1[[#This Row],[Tiempo
(Hrs 00/100)]],"cumple","no cumple"),"")</f>
        <v/>
      </c>
      <c r="W4603" s="17"/>
      <c r="X4603" s="18">
        <f t="shared" si="261"/>
        <v>0</v>
      </c>
      <c r="Y4603" t="str">
        <f>SUBSTITUTE(Tabla1[[#This Row],[Descripción]],CHAR(10),"    I    ")</f>
        <v/>
      </c>
      <c r="Z4603" s="112" t="e">
        <f>VLOOKUP(Tabla1[[#This Row],[Perfil]],Catalogos!$B$75:$D$100,3,FALSE)*Tabla1[[#This Row],[Tiempo
(Hrs 00/100)]]*1.16</f>
        <v>#N/A</v>
      </c>
    </row>
    <row r="4604" spans="1:26" ht="30" customHeight="1" x14ac:dyDescent="0.3">
      <c r="A4604" s="106"/>
      <c r="B4604" s="106"/>
      <c r="C4604" s="106"/>
      <c r="D4604" s="106"/>
      <c r="E4604" s="106"/>
      <c r="F4604" s="106"/>
      <c r="G4604" s="106"/>
      <c r="H4604" s="107"/>
      <c r="I4604" s="95"/>
      <c r="J4604" s="706"/>
      <c r="K4604" s="769"/>
      <c r="L4604" s="706"/>
      <c r="M4604" s="781"/>
      <c r="N4604" s="182"/>
      <c r="O4604" s="188"/>
      <c r="P4604" s="221"/>
      <c r="Q4604" s="106"/>
      <c r="R4604" s="108"/>
      <c r="S4604" s="108"/>
      <c r="T4604" s="108"/>
      <c r="U4604" s="108" t="str">
        <f>IFERROR(VLOOKUP(CONCATENATE(Tabla1[[#This Row],[Severidad]]," ",Tabla1[[#This Row],[Complejidad]]),Catalogos!E$120:G$128,3,FALSE),"")</f>
        <v/>
      </c>
      <c r="V4604" s="108" t="str">
        <f>IF(Tabla1[[#This Row],[Tiempo solución max (hrs)]]&lt;&gt;"",IF(Tabla1[[#This Row],[Tiempo solución max (hrs)]]&gt;=Tabla1[[#This Row],[Tiempo
(Hrs 00/100)]],"cumple","no cumple"),"")</f>
        <v/>
      </c>
      <c r="W4604" s="17"/>
      <c r="X4604" s="18">
        <f t="shared" si="261"/>
        <v>0</v>
      </c>
      <c r="Y4604" t="str">
        <f>SUBSTITUTE(Tabla1[[#This Row],[Descripción]],CHAR(10),"    I    ")</f>
        <v/>
      </c>
      <c r="Z4604" s="112" t="e">
        <f>VLOOKUP(Tabla1[[#This Row],[Perfil]],Catalogos!$B$75:$D$100,3,FALSE)*Tabla1[[#This Row],[Tiempo
(Hrs 00/100)]]*1.16</f>
        <v>#N/A</v>
      </c>
    </row>
    <row r="4605" spans="1:26" ht="30" customHeight="1" x14ac:dyDescent="0.3">
      <c r="A4605" s="106"/>
      <c r="B4605" s="106"/>
      <c r="C4605" s="106"/>
      <c r="D4605" s="106"/>
      <c r="E4605" s="106"/>
      <c r="F4605" s="106"/>
      <c r="G4605" s="106"/>
      <c r="H4605" s="107"/>
      <c r="I4605" s="95"/>
      <c r="J4605" s="706"/>
      <c r="K4605" s="769"/>
      <c r="L4605" s="706"/>
      <c r="M4605" s="781"/>
      <c r="N4605" s="182"/>
      <c r="O4605" s="188"/>
      <c r="P4605" s="221"/>
      <c r="Q4605" s="106"/>
      <c r="R4605" s="108"/>
      <c r="S4605" s="108"/>
      <c r="T4605" s="108"/>
      <c r="U4605" s="108" t="str">
        <f>IFERROR(VLOOKUP(CONCATENATE(Tabla1[[#This Row],[Severidad]]," ",Tabla1[[#This Row],[Complejidad]]),Catalogos!E$120:G$128,3,FALSE),"")</f>
        <v/>
      </c>
      <c r="V4605" s="108" t="str">
        <f>IF(Tabla1[[#This Row],[Tiempo solución max (hrs)]]&lt;&gt;"",IF(Tabla1[[#This Row],[Tiempo solución max (hrs)]]&gt;=Tabla1[[#This Row],[Tiempo
(Hrs 00/100)]],"cumple","no cumple"),"")</f>
        <v/>
      </c>
      <c r="W4605" s="17"/>
      <c r="X4605" s="18">
        <f t="shared" si="261"/>
        <v>0</v>
      </c>
      <c r="Y4605" t="str">
        <f>SUBSTITUTE(Tabla1[[#This Row],[Descripción]],CHAR(10),"    I    ")</f>
        <v/>
      </c>
      <c r="Z4605" s="112" t="e">
        <f>VLOOKUP(Tabla1[[#This Row],[Perfil]],Catalogos!$B$75:$D$100,3,FALSE)*Tabla1[[#This Row],[Tiempo
(Hrs 00/100)]]*1.16</f>
        <v>#N/A</v>
      </c>
    </row>
    <row r="4606" spans="1:26" ht="30" customHeight="1" x14ac:dyDescent="0.3">
      <c r="A4606" s="106"/>
      <c r="B4606" s="106"/>
      <c r="C4606" s="106"/>
      <c r="D4606" s="106"/>
      <c r="E4606" s="106"/>
      <c r="F4606" s="106"/>
      <c r="G4606" s="106"/>
      <c r="H4606" s="107"/>
      <c r="I4606" s="95"/>
      <c r="J4606" s="706"/>
      <c r="K4606" s="769"/>
      <c r="L4606" s="706"/>
      <c r="M4606" s="781"/>
      <c r="N4606" s="182"/>
      <c r="O4606" s="188"/>
      <c r="P4606" s="221"/>
      <c r="Q4606" s="106"/>
      <c r="R4606" s="108"/>
      <c r="S4606" s="108"/>
      <c r="T4606" s="108"/>
      <c r="U4606" s="108" t="str">
        <f>IFERROR(VLOOKUP(CONCATENATE(Tabla1[[#This Row],[Severidad]]," ",Tabla1[[#This Row],[Complejidad]]),Catalogos!E$120:G$128,3,FALSE),"")</f>
        <v/>
      </c>
      <c r="V4606" s="108" t="str">
        <f>IF(Tabla1[[#This Row],[Tiempo solución max (hrs)]]&lt;&gt;"",IF(Tabla1[[#This Row],[Tiempo solución max (hrs)]]&gt;=Tabla1[[#This Row],[Tiempo
(Hrs 00/100)]],"cumple","no cumple"),"")</f>
        <v/>
      </c>
      <c r="W4606" s="17"/>
      <c r="X4606" s="18">
        <f t="shared" si="261"/>
        <v>0</v>
      </c>
      <c r="Y4606" t="str">
        <f>SUBSTITUTE(Tabla1[[#This Row],[Descripción]],CHAR(10),"    I    ")</f>
        <v/>
      </c>
      <c r="Z4606" s="112" t="e">
        <f>VLOOKUP(Tabla1[[#This Row],[Perfil]],Catalogos!$B$75:$D$100,3,FALSE)*Tabla1[[#This Row],[Tiempo
(Hrs 00/100)]]*1.16</f>
        <v>#N/A</v>
      </c>
    </row>
    <row r="4607" spans="1:26" ht="30" customHeight="1" x14ac:dyDescent="0.3">
      <c r="A4607" s="106"/>
      <c r="B4607" s="106"/>
      <c r="C4607" s="106"/>
      <c r="D4607" s="106"/>
      <c r="E4607" s="106"/>
      <c r="F4607" s="106"/>
      <c r="G4607" s="106"/>
      <c r="H4607" s="107"/>
      <c r="I4607" s="95"/>
      <c r="J4607" s="706"/>
      <c r="K4607" s="769"/>
      <c r="L4607" s="706"/>
      <c r="M4607" s="781"/>
      <c r="N4607" s="182"/>
      <c r="O4607" s="188"/>
      <c r="P4607" s="221"/>
      <c r="Q4607" s="106"/>
      <c r="R4607" s="108"/>
      <c r="S4607" s="108"/>
      <c r="T4607" s="108"/>
      <c r="U4607" s="108" t="str">
        <f>IFERROR(VLOOKUP(CONCATENATE(Tabla1[[#This Row],[Severidad]]," ",Tabla1[[#This Row],[Complejidad]]),Catalogos!E$120:G$128,3,FALSE),"")</f>
        <v/>
      </c>
      <c r="V4607" s="108" t="str">
        <f>IF(Tabla1[[#This Row],[Tiempo solución max (hrs)]]&lt;&gt;"",IF(Tabla1[[#This Row],[Tiempo solución max (hrs)]]&gt;=Tabla1[[#This Row],[Tiempo
(Hrs 00/100)]],"cumple","no cumple"),"")</f>
        <v/>
      </c>
      <c r="W4607" s="17"/>
      <c r="X4607" s="18">
        <f t="shared" si="261"/>
        <v>0</v>
      </c>
      <c r="Y4607" t="str">
        <f>SUBSTITUTE(Tabla1[[#This Row],[Descripción]],CHAR(10),"    I    ")</f>
        <v/>
      </c>
      <c r="Z4607" s="112" t="e">
        <f>VLOOKUP(Tabla1[[#This Row],[Perfil]],Catalogos!$B$75:$D$100,3,FALSE)*Tabla1[[#This Row],[Tiempo
(Hrs 00/100)]]*1.16</f>
        <v>#N/A</v>
      </c>
    </row>
    <row r="4608" spans="1:26" ht="30" customHeight="1" x14ac:dyDescent="0.3">
      <c r="A4608" s="106"/>
      <c r="B4608" s="106"/>
      <c r="C4608" s="106"/>
      <c r="D4608" s="106"/>
      <c r="E4608" s="106"/>
      <c r="F4608" s="106"/>
      <c r="G4608" s="106"/>
      <c r="H4608" s="107"/>
      <c r="I4608" s="95"/>
      <c r="J4608" s="706"/>
      <c r="K4608" s="769"/>
      <c r="L4608" s="706"/>
      <c r="M4608" s="781"/>
      <c r="N4608" s="182"/>
      <c r="O4608" s="188"/>
      <c r="P4608" s="221"/>
      <c r="Q4608" s="106"/>
      <c r="R4608" s="108"/>
      <c r="S4608" s="108"/>
      <c r="T4608" s="108"/>
      <c r="U4608" s="108" t="str">
        <f>IFERROR(VLOOKUP(CONCATENATE(Tabla1[[#This Row],[Severidad]]," ",Tabla1[[#This Row],[Complejidad]]),Catalogos!E$120:G$128,3,FALSE),"")</f>
        <v/>
      </c>
      <c r="V4608" s="108" t="str">
        <f>IF(Tabla1[[#This Row],[Tiempo solución max (hrs)]]&lt;&gt;"",IF(Tabla1[[#This Row],[Tiempo solución max (hrs)]]&gt;=Tabla1[[#This Row],[Tiempo
(Hrs 00/100)]],"cumple","no cumple"),"")</f>
        <v/>
      </c>
      <c r="W4608" s="17"/>
      <c r="X4608" s="18">
        <f t="shared" si="261"/>
        <v>0</v>
      </c>
      <c r="Y4608" t="str">
        <f>SUBSTITUTE(Tabla1[[#This Row],[Descripción]],CHAR(10),"    I    ")</f>
        <v/>
      </c>
      <c r="Z4608" s="112" t="e">
        <f>VLOOKUP(Tabla1[[#This Row],[Perfil]],Catalogos!$B$75:$D$100,3,FALSE)*Tabla1[[#This Row],[Tiempo
(Hrs 00/100)]]*1.16</f>
        <v>#N/A</v>
      </c>
    </row>
    <row r="4609" spans="1:26" ht="30" customHeight="1" x14ac:dyDescent="0.3">
      <c r="A4609" s="106"/>
      <c r="B4609" s="106"/>
      <c r="C4609" s="106"/>
      <c r="D4609" s="106"/>
      <c r="E4609" s="106"/>
      <c r="F4609" s="106"/>
      <c r="G4609" s="106"/>
      <c r="H4609" s="107"/>
      <c r="I4609" s="95"/>
      <c r="J4609" s="706"/>
      <c r="K4609" s="769"/>
      <c r="L4609" s="706"/>
      <c r="M4609" s="781"/>
      <c r="N4609" s="182"/>
      <c r="O4609" s="188"/>
      <c r="P4609" s="221"/>
      <c r="Q4609" s="106"/>
      <c r="R4609" s="108"/>
      <c r="S4609" s="108"/>
      <c r="T4609" s="108"/>
      <c r="U4609" s="108" t="str">
        <f>IFERROR(VLOOKUP(CONCATENATE(Tabla1[[#This Row],[Severidad]]," ",Tabla1[[#This Row],[Complejidad]]),Catalogos!E$120:G$128,3,FALSE),"")</f>
        <v/>
      </c>
      <c r="V4609" s="108" t="str">
        <f>IF(Tabla1[[#This Row],[Tiempo solución max (hrs)]]&lt;&gt;"",IF(Tabla1[[#This Row],[Tiempo solución max (hrs)]]&gt;=Tabla1[[#This Row],[Tiempo
(Hrs 00/100)]],"cumple","no cumple"),"")</f>
        <v/>
      </c>
      <c r="W4609" s="17"/>
      <c r="X4609" s="18">
        <f t="shared" si="261"/>
        <v>0</v>
      </c>
      <c r="Y4609" t="str">
        <f>SUBSTITUTE(Tabla1[[#This Row],[Descripción]],CHAR(10),"    I    ")</f>
        <v/>
      </c>
      <c r="Z4609" s="112" t="e">
        <f>VLOOKUP(Tabla1[[#This Row],[Perfil]],Catalogos!$B$75:$D$100,3,FALSE)*Tabla1[[#This Row],[Tiempo
(Hrs 00/100)]]*1.16</f>
        <v>#N/A</v>
      </c>
    </row>
    <row r="4610" spans="1:26" ht="30" customHeight="1" x14ac:dyDescent="0.3">
      <c r="A4610" s="106"/>
      <c r="B4610" s="106"/>
      <c r="C4610" s="106"/>
      <c r="D4610" s="106"/>
      <c r="E4610" s="106"/>
      <c r="F4610" s="106"/>
      <c r="G4610" s="106"/>
      <c r="H4610" s="107"/>
      <c r="I4610" s="95"/>
      <c r="J4610" s="706"/>
      <c r="K4610" s="769"/>
      <c r="L4610" s="706"/>
      <c r="M4610" s="781"/>
      <c r="N4610" s="182"/>
      <c r="O4610" s="188"/>
      <c r="P4610" s="221"/>
      <c r="Q4610" s="106"/>
      <c r="R4610" s="108"/>
      <c r="S4610" s="108"/>
      <c r="T4610" s="108"/>
      <c r="U4610" s="108" t="str">
        <f>IFERROR(VLOOKUP(CONCATENATE(Tabla1[[#This Row],[Severidad]]," ",Tabla1[[#This Row],[Complejidad]]),Catalogos!E$120:G$128,3,FALSE),"")</f>
        <v/>
      </c>
      <c r="V4610" s="108" t="str">
        <f>IF(Tabla1[[#This Row],[Tiempo solución max (hrs)]]&lt;&gt;"",IF(Tabla1[[#This Row],[Tiempo solución max (hrs)]]&gt;=Tabla1[[#This Row],[Tiempo
(Hrs 00/100)]],"cumple","no cumple"),"")</f>
        <v/>
      </c>
      <c r="W4610" s="17"/>
      <c r="X4610" s="18">
        <f t="shared" si="261"/>
        <v>0</v>
      </c>
      <c r="Y4610" t="str">
        <f>SUBSTITUTE(Tabla1[[#This Row],[Descripción]],CHAR(10),"    I    ")</f>
        <v/>
      </c>
      <c r="Z4610" s="112" t="e">
        <f>VLOOKUP(Tabla1[[#This Row],[Perfil]],Catalogos!$B$75:$D$100,3,FALSE)*Tabla1[[#This Row],[Tiempo
(Hrs 00/100)]]*1.16</f>
        <v>#N/A</v>
      </c>
    </row>
    <row r="4611" spans="1:26" ht="30" customHeight="1" x14ac:dyDescent="0.3">
      <c r="A4611" s="106"/>
      <c r="B4611" s="106"/>
      <c r="C4611" s="106"/>
      <c r="D4611" s="106"/>
      <c r="E4611" s="106"/>
      <c r="F4611" s="106"/>
      <c r="G4611" s="106"/>
      <c r="H4611" s="107"/>
      <c r="I4611" s="95"/>
      <c r="J4611" s="706"/>
      <c r="K4611" s="769"/>
      <c r="L4611" s="706"/>
      <c r="M4611" s="781"/>
      <c r="N4611" s="182"/>
      <c r="O4611" s="188"/>
      <c r="P4611" s="221"/>
      <c r="Q4611" s="106"/>
      <c r="R4611" s="108"/>
      <c r="S4611" s="108"/>
      <c r="T4611" s="108"/>
      <c r="U4611" s="108" t="str">
        <f>IFERROR(VLOOKUP(CONCATENATE(Tabla1[[#This Row],[Severidad]]," ",Tabla1[[#This Row],[Complejidad]]),Catalogos!E$120:G$128,3,FALSE),"")</f>
        <v/>
      </c>
      <c r="V4611" s="108" t="str">
        <f>IF(Tabla1[[#This Row],[Tiempo solución max (hrs)]]&lt;&gt;"",IF(Tabla1[[#This Row],[Tiempo solución max (hrs)]]&gt;=Tabla1[[#This Row],[Tiempo
(Hrs 00/100)]],"cumple","no cumple"),"")</f>
        <v/>
      </c>
      <c r="W4611" s="17"/>
      <c r="X4611" s="18">
        <f t="shared" ref="X4611:X4674" si="262">IF(C4611&lt;&gt;"",C4611,D4611)</f>
        <v>0</v>
      </c>
      <c r="Y4611" t="str">
        <f>SUBSTITUTE(Tabla1[[#This Row],[Descripción]],CHAR(10),"    I    ")</f>
        <v/>
      </c>
      <c r="Z4611" s="112" t="e">
        <f>VLOOKUP(Tabla1[[#This Row],[Perfil]],Catalogos!$B$75:$D$100,3,FALSE)*Tabla1[[#This Row],[Tiempo
(Hrs 00/100)]]*1.16</f>
        <v>#N/A</v>
      </c>
    </row>
    <row r="4612" spans="1:26" ht="30" customHeight="1" x14ac:dyDescent="0.3">
      <c r="A4612" s="106"/>
      <c r="B4612" s="106"/>
      <c r="C4612" s="106"/>
      <c r="D4612" s="106"/>
      <c r="E4612" s="106"/>
      <c r="F4612" s="106"/>
      <c r="G4612" s="106"/>
      <c r="H4612" s="107"/>
      <c r="I4612" s="95"/>
      <c r="J4612" s="706"/>
      <c r="K4612" s="769"/>
      <c r="L4612" s="706"/>
      <c r="M4612" s="781"/>
      <c r="N4612" s="182"/>
      <c r="O4612" s="188"/>
      <c r="P4612" s="221"/>
      <c r="Q4612" s="106"/>
      <c r="R4612" s="108"/>
      <c r="S4612" s="108"/>
      <c r="T4612" s="108"/>
      <c r="U4612" s="108" t="str">
        <f>IFERROR(VLOOKUP(CONCATENATE(Tabla1[[#This Row],[Severidad]]," ",Tabla1[[#This Row],[Complejidad]]),Catalogos!E$120:G$128,3,FALSE),"")</f>
        <v/>
      </c>
      <c r="V4612" s="108" t="str">
        <f>IF(Tabla1[[#This Row],[Tiempo solución max (hrs)]]&lt;&gt;"",IF(Tabla1[[#This Row],[Tiempo solución max (hrs)]]&gt;=Tabla1[[#This Row],[Tiempo
(Hrs 00/100)]],"cumple","no cumple"),"")</f>
        <v/>
      </c>
      <c r="W4612" s="17"/>
      <c r="X4612" s="18">
        <f t="shared" si="262"/>
        <v>0</v>
      </c>
      <c r="Y4612" t="str">
        <f>SUBSTITUTE(Tabla1[[#This Row],[Descripción]],CHAR(10),"    I    ")</f>
        <v/>
      </c>
      <c r="Z4612" s="112" t="e">
        <f>VLOOKUP(Tabla1[[#This Row],[Perfil]],Catalogos!$B$75:$D$100,3,FALSE)*Tabla1[[#This Row],[Tiempo
(Hrs 00/100)]]*1.16</f>
        <v>#N/A</v>
      </c>
    </row>
    <row r="4613" spans="1:26" ht="30" customHeight="1" x14ac:dyDescent="0.3">
      <c r="A4613" s="106"/>
      <c r="B4613" s="106"/>
      <c r="C4613" s="106"/>
      <c r="D4613" s="106"/>
      <c r="E4613" s="106"/>
      <c r="F4613" s="106"/>
      <c r="G4613" s="106"/>
      <c r="H4613" s="107"/>
      <c r="I4613" s="95"/>
      <c r="J4613" s="706"/>
      <c r="K4613" s="769"/>
      <c r="L4613" s="706"/>
      <c r="M4613" s="781"/>
      <c r="N4613" s="182"/>
      <c r="O4613" s="188"/>
      <c r="P4613" s="221"/>
      <c r="Q4613" s="106"/>
      <c r="R4613" s="108"/>
      <c r="S4613" s="108"/>
      <c r="T4613" s="108"/>
      <c r="U4613" s="108" t="str">
        <f>IFERROR(VLOOKUP(CONCATENATE(Tabla1[[#This Row],[Severidad]]," ",Tabla1[[#This Row],[Complejidad]]),Catalogos!E$120:G$128,3,FALSE),"")</f>
        <v/>
      </c>
      <c r="V4613" s="108" t="str">
        <f>IF(Tabla1[[#This Row],[Tiempo solución max (hrs)]]&lt;&gt;"",IF(Tabla1[[#This Row],[Tiempo solución max (hrs)]]&gt;=Tabla1[[#This Row],[Tiempo
(Hrs 00/100)]],"cumple","no cumple"),"")</f>
        <v/>
      </c>
      <c r="W4613" s="17"/>
      <c r="X4613" s="18">
        <f t="shared" si="262"/>
        <v>0</v>
      </c>
      <c r="Y4613" t="str">
        <f>SUBSTITUTE(Tabla1[[#This Row],[Descripción]],CHAR(10),"    I    ")</f>
        <v/>
      </c>
      <c r="Z4613" s="112" t="e">
        <f>VLOOKUP(Tabla1[[#This Row],[Perfil]],Catalogos!$B$75:$D$100,3,FALSE)*Tabla1[[#This Row],[Tiempo
(Hrs 00/100)]]*1.16</f>
        <v>#N/A</v>
      </c>
    </row>
    <row r="4614" spans="1:26" ht="30" customHeight="1" x14ac:dyDescent="0.3">
      <c r="A4614" s="106"/>
      <c r="B4614" s="106"/>
      <c r="C4614" s="106"/>
      <c r="D4614" s="106"/>
      <c r="E4614" s="106"/>
      <c r="F4614" s="106"/>
      <c r="G4614" s="106"/>
      <c r="H4614" s="107"/>
      <c r="I4614" s="95"/>
      <c r="J4614" s="706"/>
      <c r="K4614" s="769"/>
      <c r="L4614" s="706"/>
      <c r="M4614" s="781"/>
      <c r="N4614" s="182"/>
      <c r="O4614" s="188"/>
      <c r="P4614" s="221"/>
      <c r="Q4614" s="106"/>
      <c r="R4614" s="108"/>
      <c r="S4614" s="108"/>
      <c r="T4614" s="108"/>
      <c r="U4614" s="108" t="str">
        <f>IFERROR(VLOOKUP(CONCATENATE(Tabla1[[#This Row],[Severidad]]," ",Tabla1[[#This Row],[Complejidad]]),Catalogos!E$120:G$128,3,FALSE),"")</f>
        <v/>
      </c>
      <c r="V4614" s="108" t="str">
        <f>IF(Tabla1[[#This Row],[Tiempo solución max (hrs)]]&lt;&gt;"",IF(Tabla1[[#This Row],[Tiempo solución max (hrs)]]&gt;=Tabla1[[#This Row],[Tiempo
(Hrs 00/100)]],"cumple","no cumple"),"")</f>
        <v/>
      </c>
      <c r="W4614" s="17"/>
      <c r="X4614" s="18">
        <f t="shared" si="262"/>
        <v>0</v>
      </c>
      <c r="Y4614" t="str">
        <f>SUBSTITUTE(Tabla1[[#This Row],[Descripción]],CHAR(10),"    I    ")</f>
        <v/>
      </c>
      <c r="Z4614" s="112" t="e">
        <f>VLOOKUP(Tabla1[[#This Row],[Perfil]],Catalogos!$B$75:$D$100,3,FALSE)*Tabla1[[#This Row],[Tiempo
(Hrs 00/100)]]*1.16</f>
        <v>#N/A</v>
      </c>
    </row>
    <row r="4615" spans="1:26" ht="30" customHeight="1" x14ac:dyDescent="0.3">
      <c r="A4615" s="106"/>
      <c r="B4615" s="106"/>
      <c r="C4615" s="106"/>
      <c r="D4615" s="106"/>
      <c r="E4615" s="106"/>
      <c r="F4615" s="106"/>
      <c r="G4615" s="106"/>
      <c r="H4615" s="107"/>
      <c r="I4615" s="95"/>
      <c r="J4615" s="706"/>
      <c r="K4615" s="769"/>
      <c r="L4615" s="706"/>
      <c r="M4615" s="781"/>
      <c r="N4615" s="182"/>
      <c r="O4615" s="188"/>
      <c r="P4615" s="221"/>
      <c r="Q4615" s="106"/>
      <c r="R4615" s="108"/>
      <c r="S4615" s="108"/>
      <c r="T4615" s="108"/>
      <c r="U4615" s="108" t="str">
        <f>IFERROR(VLOOKUP(CONCATENATE(Tabla1[[#This Row],[Severidad]]," ",Tabla1[[#This Row],[Complejidad]]),Catalogos!E$120:G$128,3,FALSE),"")</f>
        <v/>
      </c>
      <c r="V4615" s="108" t="str">
        <f>IF(Tabla1[[#This Row],[Tiempo solución max (hrs)]]&lt;&gt;"",IF(Tabla1[[#This Row],[Tiempo solución max (hrs)]]&gt;=Tabla1[[#This Row],[Tiempo
(Hrs 00/100)]],"cumple","no cumple"),"")</f>
        <v/>
      </c>
      <c r="W4615" s="17"/>
      <c r="X4615" s="18">
        <f t="shared" si="262"/>
        <v>0</v>
      </c>
      <c r="Y4615" t="str">
        <f>SUBSTITUTE(Tabla1[[#This Row],[Descripción]],CHAR(10),"    I    ")</f>
        <v/>
      </c>
      <c r="Z4615" s="112" t="e">
        <f>VLOOKUP(Tabla1[[#This Row],[Perfil]],Catalogos!$B$75:$D$100,3,FALSE)*Tabla1[[#This Row],[Tiempo
(Hrs 00/100)]]*1.16</f>
        <v>#N/A</v>
      </c>
    </row>
    <row r="4616" spans="1:26" ht="30" customHeight="1" x14ac:dyDescent="0.3">
      <c r="A4616" s="106"/>
      <c r="B4616" s="106"/>
      <c r="C4616" s="106"/>
      <c r="D4616" s="106"/>
      <c r="E4616" s="106"/>
      <c r="F4616" s="106"/>
      <c r="G4616" s="106"/>
      <c r="H4616" s="107"/>
      <c r="I4616" s="95"/>
      <c r="J4616" s="706"/>
      <c r="K4616" s="769"/>
      <c r="L4616" s="706"/>
      <c r="M4616" s="781"/>
      <c r="N4616" s="182"/>
      <c r="O4616" s="188"/>
      <c r="P4616" s="221"/>
      <c r="Q4616" s="106"/>
      <c r="R4616" s="108"/>
      <c r="S4616" s="108"/>
      <c r="T4616" s="108"/>
      <c r="U4616" s="108" t="str">
        <f>IFERROR(VLOOKUP(CONCATENATE(Tabla1[[#This Row],[Severidad]]," ",Tabla1[[#This Row],[Complejidad]]),Catalogos!E$120:G$128,3,FALSE),"")</f>
        <v/>
      </c>
      <c r="V4616" s="108" t="str">
        <f>IF(Tabla1[[#This Row],[Tiempo solución max (hrs)]]&lt;&gt;"",IF(Tabla1[[#This Row],[Tiempo solución max (hrs)]]&gt;=Tabla1[[#This Row],[Tiempo
(Hrs 00/100)]],"cumple","no cumple"),"")</f>
        <v/>
      </c>
      <c r="W4616" s="17"/>
      <c r="X4616" s="18">
        <f t="shared" si="262"/>
        <v>0</v>
      </c>
      <c r="Y4616" t="str">
        <f>SUBSTITUTE(Tabla1[[#This Row],[Descripción]],CHAR(10),"    I    ")</f>
        <v/>
      </c>
      <c r="Z4616" s="112" t="e">
        <f>VLOOKUP(Tabla1[[#This Row],[Perfil]],Catalogos!$B$75:$D$100,3,FALSE)*Tabla1[[#This Row],[Tiempo
(Hrs 00/100)]]*1.16</f>
        <v>#N/A</v>
      </c>
    </row>
    <row r="4617" spans="1:26" ht="30" customHeight="1" x14ac:dyDescent="0.3">
      <c r="A4617" s="106"/>
      <c r="B4617" s="106"/>
      <c r="C4617" s="106"/>
      <c r="D4617" s="106"/>
      <c r="E4617" s="106"/>
      <c r="F4617" s="106"/>
      <c r="G4617" s="106"/>
      <c r="H4617" s="107"/>
      <c r="I4617" s="95"/>
      <c r="J4617" s="706"/>
      <c r="K4617" s="769"/>
      <c r="L4617" s="706"/>
      <c r="M4617" s="781"/>
      <c r="N4617" s="182"/>
      <c r="O4617" s="188"/>
      <c r="P4617" s="221"/>
      <c r="Q4617" s="106"/>
      <c r="R4617" s="108"/>
      <c r="S4617" s="108"/>
      <c r="T4617" s="108"/>
      <c r="U4617" s="108" t="str">
        <f>IFERROR(VLOOKUP(CONCATENATE(Tabla1[[#This Row],[Severidad]]," ",Tabla1[[#This Row],[Complejidad]]),Catalogos!E$120:G$128,3,FALSE),"")</f>
        <v/>
      </c>
      <c r="V4617" s="108" t="str">
        <f>IF(Tabla1[[#This Row],[Tiempo solución max (hrs)]]&lt;&gt;"",IF(Tabla1[[#This Row],[Tiempo solución max (hrs)]]&gt;=Tabla1[[#This Row],[Tiempo
(Hrs 00/100)]],"cumple","no cumple"),"")</f>
        <v/>
      </c>
      <c r="W4617" s="17"/>
      <c r="X4617" s="18">
        <f t="shared" si="262"/>
        <v>0</v>
      </c>
      <c r="Y4617" t="str">
        <f>SUBSTITUTE(Tabla1[[#This Row],[Descripción]],CHAR(10),"    I    ")</f>
        <v/>
      </c>
      <c r="Z4617" s="112" t="e">
        <f>VLOOKUP(Tabla1[[#This Row],[Perfil]],Catalogos!$B$75:$D$100,3,FALSE)*Tabla1[[#This Row],[Tiempo
(Hrs 00/100)]]*1.16</f>
        <v>#N/A</v>
      </c>
    </row>
    <row r="4618" spans="1:26" ht="30" customHeight="1" x14ac:dyDescent="0.3">
      <c r="A4618" s="106"/>
      <c r="B4618" s="106"/>
      <c r="C4618" s="106"/>
      <c r="D4618" s="106"/>
      <c r="E4618" s="106"/>
      <c r="F4618" s="106"/>
      <c r="G4618" s="106"/>
      <c r="H4618" s="107"/>
      <c r="I4618" s="95"/>
      <c r="J4618" s="706"/>
      <c r="K4618" s="769"/>
      <c r="L4618" s="706"/>
      <c r="M4618" s="781"/>
      <c r="N4618" s="182"/>
      <c r="O4618" s="188"/>
      <c r="P4618" s="221"/>
      <c r="Q4618" s="106"/>
      <c r="R4618" s="108"/>
      <c r="S4618" s="108"/>
      <c r="T4618" s="108"/>
      <c r="U4618" s="108" t="str">
        <f>IFERROR(VLOOKUP(CONCATENATE(Tabla1[[#This Row],[Severidad]]," ",Tabla1[[#This Row],[Complejidad]]),Catalogos!E$120:G$128,3,FALSE),"")</f>
        <v/>
      </c>
      <c r="V4618" s="108" t="str">
        <f>IF(Tabla1[[#This Row],[Tiempo solución max (hrs)]]&lt;&gt;"",IF(Tabla1[[#This Row],[Tiempo solución max (hrs)]]&gt;=Tabla1[[#This Row],[Tiempo
(Hrs 00/100)]],"cumple","no cumple"),"")</f>
        <v/>
      </c>
      <c r="W4618" s="17"/>
      <c r="X4618" s="18">
        <f t="shared" si="262"/>
        <v>0</v>
      </c>
      <c r="Y4618" t="str">
        <f>SUBSTITUTE(Tabla1[[#This Row],[Descripción]],CHAR(10),"    I    ")</f>
        <v/>
      </c>
      <c r="Z4618" s="112" t="e">
        <f>VLOOKUP(Tabla1[[#This Row],[Perfil]],Catalogos!$B$75:$D$100,3,FALSE)*Tabla1[[#This Row],[Tiempo
(Hrs 00/100)]]*1.16</f>
        <v>#N/A</v>
      </c>
    </row>
    <row r="4619" spans="1:26" ht="30" customHeight="1" x14ac:dyDescent="0.3">
      <c r="A4619" s="106"/>
      <c r="B4619" s="106"/>
      <c r="C4619" s="106"/>
      <c r="D4619" s="106"/>
      <c r="E4619" s="106"/>
      <c r="F4619" s="106"/>
      <c r="G4619" s="106"/>
      <c r="H4619" s="107"/>
      <c r="I4619" s="95"/>
      <c r="J4619" s="706"/>
      <c r="K4619" s="769"/>
      <c r="L4619" s="706"/>
      <c r="M4619" s="781"/>
      <c r="N4619" s="182"/>
      <c r="O4619" s="188"/>
      <c r="P4619" s="221"/>
      <c r="Q4619" s="106"/>
      <c r="R4619" s="108"/>
      <c r="S4619" s="108"/>
      <c r="T4619" s="108"/>
      <c r="U4619" s="108" t="str">
        <f>IFERROR(VLOOKUP(CONCATENATE(Tabla1[[#This Row],[Severidad]]," ",Tabla1[[#This Row],[Complejidad]]),Catalogos!E$120:G$128,3,FALSE),"")</f>
        <v/>
      </c>
      <c r="V4619" s="108" t="str">
        <f>IF(Tabla1[[#This Row],[Tiempo solución max (hrs)]]&lt;&gt;"",IF(Tabla1[[#This Row],[Tiempo solución max (hrs)]]&gt;=Tabla1[[#This Row],[Tiempo
(Hrs 00/100)]],"cumple","no cumple"),"")</f>
        <v/>
      </c>
      <c r="W4619" s="17"/>
      <c r="X4619" s="18">
        <f t="shared" si="262"/>
        <v>0</v>
      </c>
      <c r="Y4619" t="str">
        <f>SUBSTITUTE(Tabla1[[#This Row],[Descripción]],CHAR(10),"    I    ")</f>
        <v/>
      </c>
      <c r="Z4619" s="112" t="e">
        <f>VLOOKUP(Tabla1[[#This Row],[Perfil]],Catalogos!$B$75:$D$100,3,FALSE)*Tabla1[[#This Row],[Tiempo
(Hrs 00/100)]]*1.16</f>
        <v>#N/A</v>
      </c>
    </row>
    <row r="4620" spans="1:26" ht="30" customHeight="1" x14ac:dyDescent="0.3">
      <c r="A4620" s="106"/>
      <c r="B4620" s="106"/>
      <c r="C4620" s="106"/>
      <c r="D4620" s="106"/>
      <c r="E4620" s="106"/>
      <c r="F4620" s="106"/>
      <c r="G4620" s="106"/>
      <c r="H4620" s="107"/>
      <c r="I4620" s="95"/>
      <c r="J4620" s="706"/>
      <c r="K4620" s="769"/>
      <c r="L4620" s="706"/>
      <c r="M4620" s="781"/>
      <c r="N4620" s="182"/>
      <c r="O4620" s="188"/>
      <c r="P4620" s="221"/>
      <c r="Q4620" s="106"/>
      <c r="R4620" s="108"/>
      <c r="S4620" s="108"/>
      <c r="T4620" s="108"/>
      <c r="U4620" s="108" t="str">
        <f>IFERROR(VLOOKUP(CONCATENATE(Tabla1[[#This Row],[Severidad]]," ",Tabla1[[#This Row],[Complejidad]]),Catalogos!E$120:G$128,3,FALSE),"")</f>
        <v/>
      </c>
      <c r="V4620" s="108" t="str">
        <f>IF(Tabla1[[#This Row],[Tiempo solución max (hrs)]]&lt;&gt;"",IF(Tabla1[[#This Row],[Tiempo solución max (hrs)]]&gt;=Tabla1[[#This Row],[Tiempo
(Hrs 00/100)]],"cumple","no cumple"),"")</f>
        <v/>
      </c>
      <c r="W4620" s="17"/>
      <c r="X4620" s="18">
        <f t="shared" si="262"/>
        <v>0</v>
      </c>
      <c r="Y4620" t="str">
        <f>SUBSTITUTE(Tabla1[[#This Row],[Descripción]],CHAR(10),"    I    ")</f>
        <v/>
      </c>
      <c r="Z4620" s="112" t="e">
        <f>VLOOKUP(Tabla1[[#This Row],[Perfil]],Catalogos!$B$75:$D$100,3,FALSE)*Tabla1[[#This Row],[Tiempo
(Hrs 00/100)]]*1.16</f>
        <v>#N/A</v>
      </c>
    </row>
    <row r="4621" spans="1:26" ht="30" customHeight="1" x14ac:dyDescent="0.3">
      <c r="A4621" s="106"/>
      <c r="B4621" s="106"/>
      <c r="C4621" s="106"/>
      <c r="D4621" s="106"/>
      <c r="E4621" s="106"/>
      <c r="F4621" s="106"/>
      <c r="G4621" s="106"/>
      <c r="H4621" s="107"/>
      <c r="I4621" s="95"/>
      <c r="J4621" s="706"/>
      <c r="K4621" s="769"/>
      <c r="L4621" s="706"/>
      <c r="M4621" s="781"/>
      <c r="N4621" s="182"/>
      <c r="O4621" s="188"/>
      <c r="P4621" s="221"/>
      <c r="Q4621" s="106"/>
      <c r="R4621" s="108"/>
      <c r="S4621" s="108"/>
      <c r="T4621" s="108"/>
      <c r="U4621" s="108" t="str">
        <f>IFERROR(VLOOKUP(CONCATENATE(Tabla1[[#This Row],[Severidad]]," ",Tabla1[[#This Row],[Complejidad]]),Catalogos!E$120:G$128,3,FALSE),"")</f>
        <v/>
      </c>
      <c r="V4621" s="108" t="str">
        <f>IF(Tabla1[[#This Row],[Tiempo solución max (hrs)]]&lt;&gt;"",IF(Tabla1[[#This Row],[Tiempo solución max (hrs)]]&gt;=Tabla1[[#This Row],[Tiempo
(Hrs 00/100)]],"cumple","no cumple"),"")</f>
        <v/>
      </c>
      <c r="W4621" s="17"/>
      <c r="X4621" s="18">
        <f t="shared" si="262"/>
        <v>0</v>
      </c>
      <c r="Y4621" t="str">
        <f>SUBSTITUTE(Tabla1[[#This Row],[Descripción]],CHAR(10),"    I    ")</f>
        <v/>
      </c>
      <c r="Z4621" s="112" t="e">
        <f>VLOOKUP(Tabla1[[#This Row],[Perfil]],Catalogos!$B$75:$D$100,3,FALSE)*Tabla1[[#This Row],[Tiempo
(Hrs 00/100)]]*1.16</f>
        <v>#N/A</v>
      </c>
    </row>
    <row r="4622" spans="1:26" ht="30" customHeight="1" x14ac:dyDescent="0.3">
      <c r="A4622" s="106"/>
      <c r="B4622" s="106"/>
      <c r="C4622" s="106"/>
      <c r="D4622" s="106"/>
      <c r="E4622" s="106"/>
      <c r="F4622" s="106"/>
      <c r="G4622" s="106"/>
      <c r="H4622" s="107"/>
      <c r="I4622" s="95"/>
      <c r="J4622" s="706"/>
      <c r="K4622" s="769"/>
      <c r="L4622" s="706"/>
      <c r="M4622" s="781"/>
      <c r="N4622" s="182"/>
      <c r="O4622" s="188"/>
      <c r="P4622" s="221"/>
      <c r="Q4622" s="106"/>
      <c r="R4622" s="108"/>
      <c r="S4622" s="108"/>
      <c r="T4622" s="108"/>
      <c r="U4622" s="108" t="str">
        <f>IFERROR(VLOOKUP(CONCATENATE(Tabla1[[#This Row],[Severidad]]," ",Tabla1[[#This Row],[Complejidad]]),Catalogos!E$120:G$128,3,FALSE),"")</f>
        <v/>
      </c>
      <c r="V4622" s="108" t="str">
        <f>IF(Tabla1[[#This Row],[Tiempo solución max (hrs)]]&lt;&gt;"",IF(Tabla1[[#This Row],[Tiempo solución max (hrs)]]&gt;=Tabla1[[#This Row],[Tiempo
(Hrs 00/100)]],"cumple","no cumple"),"")</f>
        <v/>
      </c>
      <c r="W4622" s="17"/>
      <c r="X4622" s="18">
        <f t="shared" si="262"/>
        <v>0</v>
      </c>
      <c r="Y4622" t="str">
        <f>SUBSTITUTE(Tabla1[[#This Row],[Descripción]],CHAR(10),"    I    ")</f>
        <v/>
      </c>
      <c r="Z4622" s="112" t="e">
        <f>VLOOKUP(Tabla1[[#This Row],[Perfil]],Catalogos!$B$75:$D$100,3,FALSE)*Tabla1[[#This Row],[Tiempo
(Hrs 00/100)]]*1.16</f>
        <v>#N/A</v>
      </c>
    </row>
    <row r="4623" spans="1:26" ht="30" customHeight="1" x14ac:dyDescent="0.3">
      <c r="A4623" s="106"/>
      <c r="B4623" s="106"/>
      <c r="C4623" s="106"/>
      <c r="D4623" s="106"/>
      <c r="E4623" s="106"/>
      <c r="F4623" s="106"/>
      <c r="G4623" s="106"/>
      <c r="H4623" s="107"/>
      <c r="I4623" s="95"/>
      <c r="J4623" s="706"/>
      <c r="K4623" s="769"/>
      <c r="L4623" s="706"/>
      <c r="M4623" s="781"/>
      <c r="N4623" s="182"/>
      <c r="O4623" s="188"/>
      <c r="P4623" s="221"/>
      <c r="Q4623" s="106"/>
      <c r="R4623" s="108"/>
      <c r="S4623" s="108"/>
      <c r="T4623" s="108"/>
      <c r="U4623" s="108" t="str">
        <f>IFERROR(VLOOKUP(CONCATENATE(Tabla1[[#This Row],[Severidad]]," ",Tabla1[[#This Row],[Complejidad]]),Catalogos!E$120:G$128,3,FALSE),"")</f>
        <v/>
      </c>
      <c r="V4623" s="108" t="str">
        <f>IF(Tabla1[[#This Row],[Tiempo solución max (hrs)]]&lt;&gt;"",IF(Tabla1[[#This Row],[Tiempo solución max (hrs)]]&gt;=Tabla1[[#This Row],[Tiempo
(Hrs 00/100)]],"cumple","no cumple"),"")</f>
        <v/>
      </c>
      <c r="W4623" s="17"/>
      <c r="X4623" s="18">
        <f t="shared" si="262"/>
        <v>0</v>
      </c>
      <c r="Y4623" t="str">
        <f>SUBSTITUTE(Tabla1[[#This Row],[Descripción]],CHAR(10),"    I    ")</f>
        <v/>
      </c>
      <c r="Z4623" s="112" t="e">
        <f>VLOOKUP(Tabla1[[#This Row],[Perfil]],Catalogos!$B$75:$D$100,3,FALSE)*Tabla1[[#This Row],[Tiempo
(Hrs 00/100)]]*1.16</f>
        <v>#N/A</v>
      </c>
    </row>
    <row r="4624" spans="1:26" ht="30" customHeight="1" x14ac:dyDescent="0.3">
      <c r="A4624" s="106"/>
      <c r="B4624" s="106"/>
      <c r="C4624" s="106"/>
      <c r="D4624" s="106"/>
      <c r="E4624" s="106"/>
      <c r="F4624" s="106"/>
      <c r="G4624" s="106"/>
      <c r="H4624" s="107"/>
      <c r="I4624" s="95"/>
      <c r="J4624" s="706"/>
      <c r="K4624" s="769"/>
      <c r="L4624" s="706"/>
      <c r="M4624" s="781"/>
      <c r="N4624" s="182"/>
      <c r="O4624" s="188"/>
      <c r="P4624" s="221"/>
      <c r="Q4624" s="106"/>
      <c r="R4624" s="108"/>
      <c r="S4624" s="108"/>
      <c r="T4624" s="108"/>
      <c r="U4624" s="108" t="str">
        <f>IFERROR(VLOOKUP(CONCATENATE(Tabla1[[#This Row],[Severidad]]," ",Tabla1[[#This Row],[Complejidad]]),Catalogos!E$120:G$128,3,FALSE),"")</f>
        <v/>
      </c>
      <c r="V4624" s="108" t="str">
        <f>IF(Tabla1[[#This Row],[Tiempo solución max (hrs)]]&lt;&gt;"",IF(Tabla1[[#This Row],[Tiempo solución max (hrs)]]&gt;=Tabla1[[#This Row],[Tiempo
(Hrs 00/100)]],"cumple","no cumple"),"")</f>
        <v/>
      </c>
      <c r="W4624" s="17"/>
      <c r="X4624" s="18">
        <f t="shared" si="262"/>
        <v>0</v>
      </c>
      <c r="Y4624" t="str">
        <f>SUBSTITUTE(Tabla1[[#This Row],[Descripción]],CHAR(10),"    I    ")</f>
        <v/>
      </c>
      <c r="Z4624" s="112" t="e">
        <f>VLOOKUP(Tabla1[[#This Row],[Perfil]],Catalogos!$B$75:$D$100,3,FALSE)*Tabla1[[#This Row],[Tiempo
(Hrs 00/100)]]*1.16</f>
        <v>#N/A</v>
      </c>
    </row>
    <row r="4625" spans="1:26" ht="30" customHeight="1" x14ac:dyDescent="0.3">
      <c r="A4625" s="106"/>
      <c r="B4625" s="106"/>
      <c r="C4625" s="106"/>
      <c r="D4625" s="106"/>
      <c r="E4625" s="106"/>
      <c r="F4625" s="106"/>
      <c r="G4625" s="106"/>
      <c r="H4625" s="107"/>
      <c r="I4625" s="95"/>
      <c r="J4625" s="706"/>
      <c r="K4625" s="769"/>
      <c r="L4625" s="706"/>
      <c r="M4625" s="781"/>
      <c r="N4625" s="182"/>
      <c r="O4625" s="188"/>
      <c r="P4625" s="221"/>
      <c r="Q4625" s="106"/>
      <c r="R4625" s="108"/>
      <c r="S4625" s="108"/>
      <c r="T4625" s="108"/>
      <c r="U4625" s="108" t="str">
        <f>IFERROR(VLOOKUP(CONCATENATE(Tabla1[[#This Row],[Severidad]]," ",Tabla1[[#This Row],[Complejidad]]),Catalogos!E$120:G$128,3,FALSE),"")</f>
        <v/>
      </c>
      <c r="V4625" s="108" t="str">
        <f>IF(Tabla1[[#This Row],[Tiempo solución max (hrs)]]&lt;&gt;"",IF(Tabla1[[#This Row],[Tiempo solución max (hrs)]]&gt;=Tabla1[[#This Row],[Tiempo
(Hrs 00/100)]],"cumple","no cumple"),"")</f>
        <v/>
      </c>
      <c r="W4625" s="17"/>
      <c r="X4625" s="18">
        <f t="shared" si="262"/>
        <v>0</v>
      </c>
      <c r="Y4625" t="str">
        <f>SUBSTITUTE(Tabla1[[#This Row],[Descripción]],CHAR(10),"    I    ")</f>
        <v/>
      </c>
      <c r="Z4625" s="112" t="e">
        <f>VLOOKUP(Tabla1[[#This Row],[Perfil]],Catalogos!$B$75:$D$100,3,FALSE)*Tabla1[[#This Row],[Tiempo
(Hrs 00/100)]]*1.16</f>
        <v>#N/A</v>
      </c>
    </row>
    <row r="4626" spans="1:26" ht="30" customHeight="1" x14ac:dyDescent="0.3">
      <c r="A4626" s="106"/>
      <c r="B4626" s="106"/>
      <c r="C4626" s="106"/>
      <c r="D4626" s="106"/>
      <c r="E4626" s="106"/>
      <c r="F4626" s="106"/>
      <c r="G4626" s="106"/>
      <c r="H4626" s="107"/>
      <c r="I4626" s="95"/>
      <c r="J4626" s="706"/>
      <c r="K4626" s="769"/>
      <c r="L4626" s="706"/>
      <c r="M4626" s="781"/>
      <c r="N4626" s="182"/>
      <c r="O4626" s="188"/>
      <c r="P4626" s="221"/>
      <c r="Q4626" s="106"/>
      <c r="R4626" s="108"/>
      <c r="S4626" s="108"/>
      <c r="T4626" s="108"/>
      <c r="U4626" s="108" t="str">
        <f>IFERROR(VLOOKUP(CONCATENATE(Tabla1[[#This Row],[Severidad]]," ",Tabla1[[#This Row],[Complejidad]]),Catalogos!E$120:G$128,3,FALSE),"")</f>
        <v/>
      </c>
      <c r="V4626" s="108" t="str">
        <f>IF(Tabla1[[#This Row],[Tiempo solución max (hrs)]]&lt;&gt;"",IF(Tabla1[[#This Row],[Tiempo solución max (hrs)]]&gt;=Tabla1[[#This Row],[Tiempo
(Hrs 00/100)]],"cumple","no cumple"),"")</f>
        <v/>
      </c>
      <c r="W4626" s="17"/>
      <c r="X4626" s="18">
        <f t="shared" si="262"/>
        <v>0</v>
      </c>
      <c r="Y4626" t="str">
        <f>SUBSTITUTE(Tabla1[[#This Row],[Descripción]],CHAR(10),"    I    ")</f>
        <v/>
      </c>
      <c r="Z4626" s="112" t="e">
        <f>VLOOKUP(Tabla1[[#This Row],[Perfil]],Catalogos!$B$75:$D$100,3,FALSE)*Tabla1[[#This Row],[Tiempo
(Hrs 00/100)]]*1.16</f>
        <v>#N/A</v>
      </c>
    </row>
    <row r="4627" spans="1:26" ht="30" customHeight="1" x14ac:dyDescent="0.3">
      <c r="A4627" s="106"/>
      <c r="B4627" s="106"/>
      <c r="C4627" s="106"/>
      <c r="D4627" s="106"/>
      <c r="E4627" s="106"/>
      <c r="F4627" s="106"/>
      <c r="G4627" s="106"/>
      <c r="H4627" s="107"/>
      <c r="I4627" s="95"/>
      <c r="J4627" s="706"/>
      <c r="K4627" s="769"/>
      <c r="L4627" s="706"/>
      <c r="M4627" s="781"/>
      <c r="N4627" s="182"/>
      <c r="O4627" s="188"/>
      <c r="P4627" s="221"/>
      <c r="Q4627" s="106"/>
      <c r="R4627" s="108"/>
      <c r="S4627" s="108"/>
      <c r="T4627" s="108"/>
      <c r="U4627" s="108" t="str">
        <f>IFERROR(VLOOKUP(CONCATENATE(Tabla1[[#This Row],[Severidad]]," ",Tabla1[[#This Row],[Complejidad]]),Catalogos!E$120:G$128,3,FALSE),"")</f>
        <v/>
      </c>
      <c r="V4627" s="108" t="str">
        <f>IF(Tabla1[[#This Row],[Tiempo solución max (hrs)]]&lt;&gt;"",IF(Tabla1[[#This Row],[Tiempo solución max (hrs)]]&gt;=Tabla1[[#This Row],[Tiempo
(Hrs 00/100)]],"cumple","no cumple"),"")</f>
        <v/>
      </c>
      <c r="W4627" s="17"/>
      <c r="X4627" s="18">
        <f t="shared" si="262"/>
        <v>0</v>
      </c>
      <c r="Y4627" t="str">
        <f>SUBSTITUTE(Tabla1[[#This Row],[Descripción]],CHAR(10),"    I    ")</f>
        <v/>
      </c>
      <c r="Z4627" s="112" t="e">
        <f>VLOOKUP(Tabla1[[#This Row],[Perfil]],Catalogos!$B$75:$D$100,3,FALSE)*Tabla1[[#This Row],[Tiempo
(Hrs 00/100)]]*1.16</f>
        <v>#N/A</v>
      </c>
    </row>
    <row r="4628" spans="1:26" ht="30" customHeight="1" x14ac:dyDescent="0.3">
      <c r="A4628" s="106"/>
      <c r="B4628" s="106"/>
      <c r="C4628" s="106"/>
      <c r="D4628" s="106"/>
      <c r="E4628" s="106"/>
      <c r="F4628" s="106"/>
      <c r="G4628" s="106"/>
      <c r="H4628" s="107"/>
      <c r="I4628" s="95"/>
      <c r="J4628" s="706"/>
      <c r="K4628" s="769"/>
      <c r="L4628" s="706"/>
      <c r="M4628" s="781"/>
      <c r="N4628" s="182"/>
      <c r="O4628" s="188"/>
      <c r="P4628" s="221"/>
      <c r="Q4628" s="106"/>
      <c r="R4628" s="108"/>
      <c r="S4628" s="108"/>
      <c r="T4628" s="108"/>
      <c r="U4628" s="108" t="str">
        <f>IFERROR(VLOOKUP(CONCATENATE(Tabla1[[#This Row],[Severidad]]," ",Tabla1[[#This Row],[Complejidad]]),Catalogos!E$120:G$128,3,FALSE),"")</f>
        <v/>
      </c>
      <c r="V4628" s="108" t="str">
        <f>IF(Tabla1[[#This Row],[Tiempo solución max (hrs)]]&lt;&gt;"",IF(Tabla1[[#This Row],[Tiempo solución max (hrs)]]&gt;=Tabla1[[#This Row],[Tiempo
(Hrs 00/100)]],"cumple","no cumple"),"")</f>
        <v/>
      </c>
      <c r="W4628" s="17"/>
      <c r="X4628" s="18">
        <f t="shared" si="262"/>
        <v>0</v>
      </c>
      <c r="Y4628" t="str">
        <f>SUBSTITUTE(Tabla1[[#This Row],[Descripción]],CHAR(10),"    I    ")</f>
        <v/>
      </c>
      <c r="Z4628" s="112" t="e">
        <f>VLOOKUP(Tabla1[[#This Row],[Perfil]],Catalogos!$B$75:$D$100,3,FALSE)*Tabla1[[#This Row],[Tiempo
(Hrs 00/100)]]*1.16</f>
        <v>#N/A</v>
      </c>
    </row>
    <row r="4629" spans="1:26" ht="30" customHeight="1" x14ac:dyDescent="0.3">
      <c r="A4629" s="106"/>
      <c r="B4629" s="106"/>
      <c r="C4629" s="106"/>
      <c r="D4629" s="106"/>
      <c r="E4629" s="106"/>
      <c r="F4629" s="106"/>
      <c r="G4629" s="106"/>
      <c r="H4629" s="107"/>
      <c r="I4629" s="95"/>
      <c r="J4629" s="706"/>
      <c r="K4629" s="769"/>
      <c r="L4629" s="706"/>
      <c r="M4629" s="781"/>
      <c r="N4629" s="182"/>
      <c r="O4629" s="188"/>
      <c r="P4629" s="221"/>
      <c r="Q4629" s="106"/>
      <c r="R4629" s="108"/>
      <c r="S4629" s="108"/>
      <c r="T4629" s="108"/>
      <c r="U4629" s="108" t="str">
        <f>IFERROR(VLOOKUP(CONCATENATE(Tabla1[[#This Row],[Severidad]]," ",Tabla1[[#This Row],[Complejidad]]),Catalogos!E$120:G$128,3,FALSE),"")</f>
        <v/>
      </c>
      <c r="V4629" s="108" t="str">
        <f>IF(Tabla1[[#This Row],[Tiempo solución max (hrs)]]&lt;&gt;"",IF(Tabla1[[#This Row],[Tiempo solución max (hrs)]]&gt;=Tabla1[[#This Row],[Tiempo
(Hrs 00/100)]],"cumple","no cumple"),"")</f>
        <v/>
      </c>
      <c r="W4629" s="17"/>
      <c r="X4629" s="18">
        <f t="shared" si="262"/>
        <v>0</v>
      </c>
      <c r="Y4629" t="str">
        <f>SUBSTITUTE(Tabla1[[#This Row],[Descripción]],CHAR(10),"    I    ")</f>
        <v/>
      </c>
      <c r="Z4629" s="112" t="e">
        <f>VLOOKUP(Tabla1[[#This Row],[Perfil]],Catalogos!$B$75:$D$100,3,FALSE)*Tabla1[[#This Row],[Tiempo
(Hrs 00/100)]]*1.16</f>
        <v>#N/A</v>
      </c>
    </row>
    <row r="4630" spans="1:26" ht="30" customHeight="1" x14ac:dyDescent="0.3">
      <c r="A4630" s="106"/>
      <c r="B4630" s="106"/>
      <c r="C4630" s="106"/>
      <c r="D4630" s="106"/>
      <c r="E4630" s="106"/>
      <c r="F4630" s="106"/>
      <c r="G4630" s="106"/>
      <c r="H4630" s="107"/>
      <c r="I4630" s="95"/>
      <c r="J4630" s="706"/>
      <c r="K4630" s="769"/>
      <c r="L4630" s="706"/>
      <c r="M4630" s="781"/>
      <c r="N4630" s="182"/>
      <c r="O4630" s="188"/>
      <c r="P4630" s="221"/>
      <c r="Q4630" s="106"/>
      <c r="R4630" s="108"/>
      <c r="S4630" s="108"/>
      <c r="T4630" s="108"/>
      <c r="U4630" s="108" t="str">
        <f>IFERROR(VLOOKUP(CONCATENATE(Tabla1[[#This Row],[Severidad]]," ",Tabla1[[#This Row],[Complejidad]]),Catalogos!E$120:G$128,3,FALSE),"")</f>
        <v/>
      </c>
      <c r="V4630" s="108" t="str">
        <f>IF(Tabla1[[#This Row],[Tiempo solución max (hrs)]]&lt;&gt;"",IF(Tabla1[[#This Row],[Tiempo solución max (hrs)]]&gt;=Tabla1[[#This Row],[Tiempo
(Hrs 00/100)]],"cumple","no cumple"),"")</f>
        <v/>
      </c>
      <c r="W4630" s="17"/>
      <c r="X4630" s="18">
        <f t="shared" si="262"/>
        <v>0</v>
      </c>
      <c r="Y4630" t="str">
        <f>SUBSTITUTE(Tabla1[[#This Row],[Descripción]],CHAR(10),"    I    ")</f>
        <v/>
      </c>
      <c r="Z4630" s="112" t="e">
        <f>VLOOKUP(Tabla1[[#This Row],[Perfil]],Catalogos!$B$75:$D$100,3,FALSE)*Tabla1[[#This Row],[Tiempo
(Hrs 00/100)]]*1.16</f>
        <v>#N/A</v>
      </c>
    </row>
    <row r="4631" spans="1:26" ht="30" customHeight="1" x14ac:dyDescent="0.3">
      <c r="A4631" s="106"/>
      <c r="B4631" s="106"/>
      <c r="C4631" s="106"/>
      <c r="D4631" s="106"/>
      <c r="E4631" s="106"/>
      <c r="F4631" s="106"/>
      <c r="G4631" s="106"/>
      <c r="H4631" s="107"/>
      <c r="I4631" s="95"/>
      <c r="J4631" s="706"/>
      <c r="K4631" s="769"/>
      <c r="L4631" s="706"/>
      <c r="M4631" s="781"/>
      <c r="N4631" s="182"/>
      <c r="O4631" s="188"/>
      <c r="P4631" s="221"/>
      <c r="Q4631" s="106"/>
      <c r="R4631" s="108"/>
      <c r="S4631" s="108"/>
      <c r="T4631" s="108"/>
      <c r="U4631" s="108" t="str">
        <f>IFERROR(VLOOKUP(CONCATENATE(Tabla1[[#This Row],[Severidad]]," ",Tabla1[[#This Row],[Complejidad]]),Catalogos!E$120:G$128,3,FALSE),"")</f>
        <v/>
      </c>
      <c r="V4631" s="108" t="str">
        <f>IF(Tabla1[[#This Row],[Tiempo solución max (hrs)]]&lt;&gt;"",IF(Tabla1[[#This Row],[Tiempo solución max (hrs)]]&gt;=Tabla1[[#This Row],[Tiempo
(Hrs 00/100)]],"cumple","no cumple"),"")</f>
        <v/>
      </c>
      <c r="W4631" s="17"/>
      <c r="X4631" s="18">
        <f t="shared" si="262"/>
        <v>0</v>
      </c>
      <c r="Y4631" t="str">
        <f>SUBSTITUTE(Tabla1[[#This Row],[Descripción]],CHAR(10),"    I    ")</f>
        <v/>
      </c>
      <c r="Z4631" s="112" t="e">
        <f>VLOOKUP(Tabla1[[#This Row],[Perfil]],Catalogos!$B$75:$D$100,3,FALSE)*Tabla1[[#This Row],[Tiempo
(Hrs 00/100)]]*1.16</f>
        <v>#N/A</v>
      </c>
    </row>
    <row r="4632" spans="1:26" ht="30" customHeight="1" x14ac:dyDescent="0.3">
      <c r="A4632" s="106"/>
      <c r="B4632" s="106"/>
      <c r="C4632" s="106"/>
      <c r="D4632" s="106"/>
      <c r="E4632" s="106"/>
      <c r="F4632" s="106"/>
      <c r="G4632" s="106"/>
      <c r="H4632" s="107"/>
      <c r="I4632" s="95"/>
      <c r="J4632" s="706"/>
      <c r="K4632" s="769"/>
      <c r="L4632" s="706"/>
      <c r="M4632" s="781"/>
      <c r="N4632" s="182"/>
      <c r="O4632" s="188"/>
      <c r="P4632" s="221"/>
      <c r="Q4632" s="106"/>
      <c r="R4632" s="108"/>
      <c r="S4632" s="108"/>
      <c r="T4632" s="108"/>
      <c r="U4632" s="108" t="str">
        <f>IFERROR(VLOOKUP(CONCATENATE(Tabla1[[#This Row],[Severidad]]," ",Tabla1[[#This Row],[Complejidad]]),Catalogos!E$120:G$128,3,FALSE),"")</f>
        <v/>
      </c>
      <c r="V4632" s="108" t="str">
        <f>IF(Tabla1[[#This Row],[Tiempo solución max (hrs)]]&lt;&gt;"",IF(Tabla1[[#This Row],[Tiempo solución max (hrs)]]&gt;=Tabla1[[#This Row],[Tiempo
(Hrs 00/100)]],"cumple","no cumple"),"")</f>
        <v/>
      </c>
      <c r="W4632" s="17"/>
      <c r="X4632" s="18">
        <f t="shared" si="262"/>
        <v>0</v>
      </c>
      <c r="Y4632" t="str">
        <f>SUBSTITUTE(Tabla1[[#This Row],[Descripción]],CHAR(10),"    I    ")</f>
        <v/>
      </c>
      <c r="Z4632" s="112" t="e">
        <f>VLOOKUP(Tabla1[[#This Row],[Perfil]],Catalogos!$B$75:$D$100,3,FALSE)*Tabla1[[#This Row],[Tiempo
(Hrs 00/100)]]*1.16</f>
        <v>#N/A</v>
      </c>
    </row>
    <row r="4633" spans="1:26" ht="30" customHeight="1" x14ac:dyDescent="0.3">
      <c r="A4633" s="106"/>
      <c r="B4633" s="106"/>
      <c r="C4633" s="106"/>
      <c r="D4633" s="106"/>
      <c r="E4633" s="106"/>
      <c r="F4633" s="106"/>
      <c r="G4633" s="106"/>
      <c r="H4633" s="107"/>
      <c r="I4633" s="95"/>
      <c r="J4633" s="706"/>
      <c r="K4633" s="769"/>
      <c r="L4633" s="706"/>
      <c r="M4633" s="781"/>
      <c r="N4633" s="182"/>
      <c r="O4633" s="188"/>
      <c r="P4633" s="221"/>
      <c r="Q4633" s="106"/>
      <c r="R4633" s="108"/>
      <c r="S4633" s="108"/>
      <c r="T4633" s="108"/>
      <c r="U4633" s="108" t="str">
        <f>IFERROR(VLOOKUP(CONCATENATE(Tabla1[[#This Row],[Severidad]]," ",Tabla1[[#This Row],[Complejidad]]),Catalogos!E$120:G$128,3,FALSE),"")</f>
        <v/>
      </c>
      <c r="V4633" s="108" t="str">
        <f>IF(Tabla1[[#This Row],[Tiempo solución max (hrs)]]&lt;&gt;"",IF(Tabla1[[#This Row],[Tiempo solución max (hrs)]]&gt;=Tabla1[[#This Row],[Tiempo
(Hrs 00/100)]],"cumple","no cumple"),"")</f>
        <v/>
      </c>
      <c r="W4633" s="17"/>
      <c r="X4633" s="18">
        <f t="shared" si="262"/>
        <v>0</v>
      </c>
      <c r="Y4633" t="str">
        <f>SUBSTITUTE(Tabla1[[#This Row],[Descripción]],CHAR(10),"    I    ")</f>
        <v/>
      </c>
      <c r="Z4633" s="112" t="e">
        <f>VLOOKUP(Tabla1[[#This Row],[Perfil]],Catalogos!$B$75:$D$100,3,FALSE)*Tabla1[[#This Row],[Tiempo
(Hrs 00/100)]]*1.16</f>
        <v>#N/A</v>
      </c>
    </row>
    <row r="4634" spans="1:26" ht="30" customHeight="1" x14ac:dyDescent="0.3">
      <c r="A4634" s="106"/>
      <c r="B4634" s="106"/>
      <c r="C4634" s="106"/>
      <c r="D4634" s="106"/>
      <c r="E4634" s="106"/>
      <c r="F4634" s="106"/>
      <c r="G4634" s="106"/>
      <c r="H4634" s="107"/>
      <c r="I4634" s="95"/>
      <c r="J4634" s="706"/>
      <c r="K4634" s="769"/>
      <c r="L4634" s="706"/>
      <c r="M4634" s="781"/>
      <c r="N4634" s="182"/>
      <c r="O4634" s="188"/>
      <c r="P4634" s="221"/>
      <c r="Q4634" s="106"/>
      <c r="R4634" s="108"/>
      <c r="S4634" s="108"/>
      <c r="T4634" s="108"/>
      <c r="U4634" s="108" t="str">
        <f>IFERROR(VLOOKUP(CONCATENATE(Tabla1[[#This Row],[Severidad]]," ",Tabla1[[#This Row],[Complejidad]]),Catalogos!E$120:G$128,3,FALSE),"")</f>
        <v/>
      </c>
      <c r="V4634" s="108" t="str">
        <f>IF(Tabla1[[#This Row],[Tiempo solución max (hrs)]]&lt;&gt;"",IF(Tabla1[[#This Row],[Tiempo solución max (hrs)]]&gt;=Tabla1[[#This Row],[Tiempo
(Hrs 00/100)]],"cumple","no cumple"),"")</f>
        <v/>
      </c>
      <c r="W4634" s="17"/>
      <c r="X4634" s="18">
        <f t="shared" si="262"/>
        <v>0</v>
      </c>
      <c r="Y4634" t="str">
        <f>SUBSTITUTE(Tabla1[[#This Row],[Descripción]],CHAR(10),"    I    ")</f>
        <v/>
      </c>
      <c r="Z4634" s="112" t="e">
        <f>VLOOKUP(Tabla1[[#This Row],[Perfil]],Catalogos!$B$75:$D$100,3,FALSE)*Tabla1[[#This Row],[Tiempo
(Hrs 00/100)]]*1.16</f>
        <v>#N/A</v>
      </c>
    </row>
    <row r="4635" spans="1:26" ht="30" customHeight="1" x14ac:dyDescent="0.3">
      <c r="A4635" s="106"/>
      <c r="B4635" s="106"/>
      <c r="C4635" s="106"/>
      <c r="D4635" s="106"/>
      <c r="E4635" s="106"/>
      <c r="F4635" s="106"/>
      <c r="G4635" s="106"/>
      <c r="H4635" s="107"/>
      <c r="I4635" s="95"/>
      <c r="J4635" s="706"/>
      <c r="K4635" s="769"/>
      <c r="L4635" s="706"/>
      <c r="M4635" s="781"/>
      <c r="N4635" s="182"/>
      <c r="O4635" s="188"/>
      <c r="P4635" s="221"/>
      <c r="Q4635" s="106"/>
      <c r="R4635" s="108"/>
      <c r="S4635" s="108"/>
      <c r="T4635" s="108"/>
      <c r="U4635" s="108" t="str">
        <f>IFERROR(VLOOKUP(CONCATENATE(Tabla1[[#This Row],[Severidad]]," ",Tabla1[[#This Row],[Complejidad]]),Catalogos!E$120:G$128,3,FALSE),"")</f>
        <v/>
      </c>
      <c r="V4635" s="108" t="str">
        <f>IF(Tabla1[[#This Row],[Tiempo solución max (hrs)]]&lt;&gt;"",IF(Tabla1[[#This Row],[Tiempo solución max (hrs)]]&gt;=Tabla1[[#This Row],[Tiempo
(Hrs 00/100)]],"cumple","no cumple"),"")</f>
        <v/>
      </c>
      <c r="W4635" s="17"/>
      <c r="X4635" s="18">
        <f t="shared" si="262"/>
        <v>0</v>
      </c>
      <c r="Y4635" t="str">
        <f>SUBSTITUTE(Tabla1[[#This Row],[Descripción]],CHAR(10),"    I    ")</f>
        <v/>
      </c>
      <c r="Z4635" s="112" t="e">
        <f>VLOOKUP(Tabla1[[#This Row],[Perfil]],Catalogos!$B$75:$D$100,3,FALSE)*Tabla1[[#This Row],[Tiempo
(Hrs 00/100)]]*1.16</f>
        <v>#N/A</v>
      </c>
    </row>
    <row r="4636" spans="1:26" ht="30" customHeight="1" x14ac:dyDescent="0.3">
      <c r="A4636" s="106"/>
      <c r="B4636" s="106"/>
      <c r="C4636" s="106"/>
      <c r="D4636" s="106"/>
      <c r="E4636" s="106"/>
      <c r="F4636" s="106"/>
      <c r="G4636" s="106"/>
      <c r="H4636" s="107"/>
      <c r="I4636" s="95"/>
      <c r="J4636" s="706"/>
      <c r="K4636" s="769"/>
      <c r="L4636" s="706"/>
      <c r="M4636" s="781"/>
      <c r="N4636" s="182"/>
      <c r="O4636" s="188"/>
      <c r="P4636" s="221"/>
      <c r="Q4636" s="106"/>
      <c r="R4636" s="108"/>
      <c r="S4636" s="108"/>
      <c r="T4636" s="108"/>
      <c r="U4636" s="108" t="str">
        <f>IFERROR(VLOOKUP(CONCATENATE(Tabla1[[#This Row],[Severidad]]," ",Tabla1[[#This Row],[Complejidad]]),Catalogos!E$120:G$128,3,FALSE),"")</f>
        <v/>
      </c>
      <c r="V4636" s="108" t="str">
        <f>IF(Tabla1[[#This Row],[Tiempo solución max (hrs)]]&lt;&gt;"",IF(Tabla1[[#This Row],[Tiempo solución max (hrs)]]&gt;=Tabla1[[#This Row],[Tiempo
(Hrs 00/100)]],"cumple","no cumple"),"")</f>
        <v/>
      </c>
      <c r="W4636" s="17"/>
      <c r="X4636" s="18">
        <f t="shared" si="262"/>
        <v>0</v>
      </c>
      <c r="Y4636" t="str">
        <f>SUBSTITUTE(Tabla1[[#This Row],[Descripción]],CHAR(10),"    I    ")</f>
        <v/>
      </c>
      <c r="Z4636" s="112" t="e">
        <f>VLOOKUP(Tabla1[[#This Row],[Perfil]],Catalogos!$B$75:$D$100,3,FALSE)*Tabla1[[#This Row],[Tiempo
(Hrs 00/100)]]*1.16</f>
        <v>#N/A</v>
      </c>
    </row>
    <row r="4637" spans="1:26" ht="30" customHeight="1" x14ac:dyDescent="0.3">
      <c r="A4637" s="106"/>
      <c r="B4637" s="106"/>
      <c r="C4637" s="106"/>
      <c r="D4637" s="106"/>
      <c r="E4637" s="106"/>
      <c r="F4637" s="106"/>
      <c r="G4637" s="106"/>
      <c r="H4637" s="107"/>
      <c r="I4637" s="95"/>
      <c r="J4637" s="706"/>
      <c r="K4637" s="769"/>
      <c r="L4637" s="706"/>
      <c r="M4637" s="781"/>
      <c r="N4637" s="182"/>
      <c r="O4637" s="188"/>
      <c r="P4637" s="221"/>
      <c r="Q4637" s="106"/>
      <c r="R4637" s="108"/>
      <c r="S4637" s="108"/>
      <c r="T4637" s="108"/>
      <c r="U4637" s="108" t="str">
        <f>IFERROR(VLOOKUP(CONCATENATE(Tabla1[[#This Row],[Severidad]]," ",Tabla1[[#This Row],[Complejidad]]),Catalogos!E$120:G$128,3,FALSE),"")</f>
        <v/>
      </c>
      <c r="V4637" s="108" t="str">
        <f>IF(Tabla1[[#This Row],[Tiempo solución max (hrs)]]&lt;&gt;"",IF(Tabla1[[#This Row],[Tiempo solución max (hrs)]]&gt;=Tabla1[[#This Row],[Tiempo
(Hrs 00/100)]],"cumple","no cumple"),"")</f>
        <v/>
      </c>
      <c r="W4637" s="17"/>
      <c r="X4637" s="18">
        <f t="shared" si="262"/>
        <v>0</v>
      </c>
      <c r="Y4637" t="str">
        <f>SUBSTITUTE(Tabla1[[#This Row],[Descripción]],CHAR(10),"    I    ")</f>
        <v/>
      </c>
      <c r="Z4637" s="112" t="e">
        <f>VLOOKUP(Tabla1[[#This Row],[Perfil]],Catalogos!$B$75:$D$100,3,FALSE)*Tabla1[[#This Row],[Tiempo
(Hrs 00/100)]]*1.16</f>
        <v>#N/A</v>
      </c>
    </row>
    <row r="4638" spans="1:26" ht="30" customHeight="1" x14ac:dyDescent="0.3">
      <c r="A4638" s="106"/>
      <c r="B4638" s="106"/>
      <c r="C4638" s="106"/>
      <c r="D4638" s="106"/>
      <c r="E4638" s="106"/>
      <c r="F4638" s="106"/>
      <c r="G4638" s="106"/>
      <c r="H4638" s="107"/>
      <c r="I4638" s="95"/>
      <c r="J4638" s="706"/>
      <c r="K4638" s="769"/>
      <c r="L4638" s="706"/>
      <c r="M4638" s="781"/>
      <c r="N4638" s="182"/>
      <c r="O4638" s="188"/>
      <c r="P4638" s="221"/>
      <c r="Q4638" s="106"/>
      <c r="R4638" s="108"/>
      <c r="S4638" s="108"/>
      <c r="T4638" s="108"/>
      <c r="U4638" s="108" t="str">
        <f>IFERROR(VLOOKUP(CONCATENATE(Tabla1[[#This Row],[Severidad]]," ",Tabla1[[#This Row],[Complejidad]]),Catalogos!E$120:G$128,3,FALSE),"")</f>
        <v/>
      </c>
      <c r="V4638" s="108" t="str">
        <f>IF(Tabla1[[#This Row],[Tiempo solución max (hrs)]]&lt;&gt;"",IF(Tabla1[[#This Row],[Tiempo solución max (hrs)]]&gt;=Tabla1[[#This Row],[Tiempo
(Hrs 00/100)]],"cumple","no cumple"),"")</f>
        <v/>
      </c>
      <c r="W4638" s="17"/>
      <c r="X4638" s="18">
        <f t="shared" si="262"/>
        <v>0</v>
      </c>
      <c r="Y4638" t="str">
        <f>SUBSTITUTE(Tabla1[[#This Row],[Descripción]],CHAR(10),"    I    ")</f>
        <v/>
      </c>
      <c r="Z4638" s="112" t="e">
        <f>VLOOKUP(Tabla1[[#This Row],[Perfil]],Catalogos!$B$75:$D$100,3,FALSE)*Tabla1[[#This Row],[Tiempo
(Hrs 00/100)]]*1.16</f>
        <v>#N/A</v>
      </c>
    </row>
    <row r="4639" spans="1:26" ht="30" customHeight="1" x14ac:dyDescent="0.3">
      <c r="A4639" s="106"/>
      <c r="B4639" s="106"/>
      <c r="C4639" s="106"/>
      <c r="D4639" s="106"/>
      <c r="E4639" s="106"/>
      <c r="F4639" s="106"/>
      <c r="G4639" s="106"/>
      <c r="H4639" s="107"/>
      <c r="I4639" s="95"/>
      <c r="J4639" s="706"/>
      <c r="K4639" s="769"/>
      <c r="L4639" s="706"/>
      <c r="M4639" s="781"/>
      <c r="N4639" s="182"/>
      <c r="O4639" s="188"/>
      <c r="P4639" s="221"/>
      <c r="Q4639" s="106"/>
      <c r="R4639" s="108"/>
      <c r="S4639" s="108"/>
      <c r="T4639" s="108"/>
      <c r="U4639" s="108" t="str">
        <f>IFERROR(VLOOKUP(CONCATENATE(Tabla1[[#This Row],[Severidad]]," ",Tabla1[[#This Row],[Complejidad]]),Catalogos!E$120:G$128,3,FALSE),"")</f>
        <v/>
      </c>
      <c r="V4639" s="108" t="str">
        <f>IF(Tabla1[[#This Row],[Tiempo solución max (hrs)]]&lt;&gt;"",IF(Tabla1[[#This Row],[Tiempo solución max (hrs)]]&gt;=Tabla1[[#This Row],[Tiempo
(Hrs 00/100)]],"cumple","no cumple"),"")</f>
        <v/>
      </c>
      <c r="W4639" s="17"/>
      <c r="X4639" s="18">
        <f t="shared" si="262"/>
        <v>0</v>
      </c>
      <c r="Y4639" t="str">
        <f>SUBSTITUTE(Tabla1[[#This Row],[Descripción]],CHAR(10),"    I    ")</f>
        <v/>
      </c>
      <c r="Z4639" s="112" t="e">
        <f>VLOOKUP(Tabla1[[#This Row],[Perfil]],Catalogos!$B$75:$D$100,3,FALSE)*Tabla1[[#This Row],[Tiempo
(Hrs 00/100)]]*1.16</f>
        <v>#N/A</v>
      </c>
    </row>
    <row r="4640" spans="1:26" ht="30" customHeight="1" x14ac:dyDescent="0.3">
      <c r="A4640" s="106"/>
      <c r="B4640" s="106"/>
      <c r="C4640" s="106"/>
      <c r="D4640" s="106"/>
      <c r="E4640" s="106"/>
      <c r="F4640" s="106"/>
      <c r="G4640" s="106"/>
      <c r="H4640" s="107"/>
      <c r="I4640" s="95"/>
      <c r="J4640" s="706"/>
      <c r="K4640" s="769"/>
      <c r="L4640" s="706"/>
      <c r="M4640" s="781"/>
      <c r="N4640" s="182"/>
      <c r="O4640" s="188"/>
      <c r="P4640" s="221"/>
      <c r="Q4640" s="106"/>
      <c r="R4640" s="108"/>
      <c r="S4640" s="108"/>
      <c r="T4640" s="108"/>
      <c r="U4640" s="108" t="str">
        <f>IFERROR(VLOOKUP(CONCATENATE(Tabla1[[#This Row],[Severidad]]," ",Tabla1[[#This Row],[Complejidad]]),Catalogos!E$120:G$128,3,FALSE),"")</f>
        <v/>
      </c>
      <c r="V4640" s="108" t="str">
        <f>IF(Tabla1[[#This Row],[Tiempo solución max (hrs)]]&lt;&gt;"",IF(Tabla1[[#This Row],[Tiempo solución max (hrs)]]&gt;=Tabla1[[#This Row],[Tiempo
(Hrs 00/100)]],"cumple","no cumple"),"")</f>
        <v/>
      </c>
      <c r="W4640" s="17"/>
      <c r="X4640" s="18">
        <f t="shared" si="262"/>
        <v>0</v>
      </c>
      <c r="Y4640" t="str">
        <f>SUBSTITUTE(Tabla1[[#This Row],[Descripción]],CHAR(10),"    I    ")</f>
        <v/>
      </c>
      <c r="Z4640" s="112" t="e">
        <f>VLOOKUP(Tabla1[[#This Row],[Perfil]],Catalogos!$B$75:$D$100,3,FALSE)*Tabla1[[#This Row],[Tiempo
(Hrs 00/100)]]*1.16</f>
        <v>#N/A</v>
      </c>
    </row>
    <row r="4641" spans="1:26" ht="30" customHeight="1" x14ac:dyDescent="0.3">
      <c r="A4641" s="106"/>
      <c r="B4641" s="106"/>
      <c r="C4641" s="106"/>
      <c r="D4641" s="106"/>
      <c r="E4641" s="106"/>
      <c r="F4641" s="106"/>
      <c r="G4641" s="106"/>
      <c r="H4641" s="107"/>
      <c r="I4641" s="95"/>
      <c r="J4641" s="706"/>
      <c r="K4641" s="769"/>
      <c r="L4641" s="706"/>
      <c r="M4641" s="781"/>
      <c r="N4641" s="182"/>
      <c r="O4641" s="188"/>
      <c r="P4641" s="221"/>
      <c r="Q4641" s="106"/>
      <c r="R4641" s="108"/>
      <c r="S4641" s="108"/>
      <c r="T4641" s="108"/>
      <c r="U4641" s="108" t="str">
        <f>IFERROR(VLOOKUP(CONCATENATE(Tabla1[[#This Row],[Severidad]]," ",Tabla1[[#This Row],[Complejidad]]),Catalogos!E$120:G$128,3,FALSE),"")</f>
        <v/>
      </c>
      <c r="V4641" s="108" t="str">
        <f>IF(Tabla1[[#This Row],[Tiempo solución max (hrs)]]&lt;&gt;"",IF(Tabla1[[#This Row],[Tiempo solución max (hrs)]]&gt;=Tabla1[[#This Row],[Tiempo
(Hrs 00/100)]],"cumple","no cumple"),"")</f>
        <v/>
      </c>
      <c r="W4641" s="17"/>
      <c r="X4641" s="18">
        <f t="shared" si="262"/>
        <v>0</v>
      </c>
      <c r="Y4641" t="str">
        <f>SUBSTITUTE(Tabla1[[#This Row],[Descripción]],CHAR(10),"    I    ")</f>
        <v/>
      </c>
      <c r="Z4641" s="112" t="e">
        <f>VLOOKUP(Tabla1[[#This Row],[Perfil]],Catalogos!$B$75:$D$100,3,FALSE)*Tabla1[[#This Row],[Tiempo
(Hrs 00/100)]]*1.16</f>
        <v>#N/A</v>
      </c>
    </row>
    <row r="4642" spans="1:26" ht="30" customHeight="1" x14ac:dyDescent="0.3">
      <c r="A4642" s="106"/>
      <c r="B4642" s="106"/>
      <c r="C4642" s="106"/>
      <c r="D4642" s="106"/>
      <c r="E4642" s="106"/>
      <c r="F4642" s="106"/>
      <c r="G4642" s="106"/>
      <c r="H4642" s="107"/>
      <c r="I4642" s="95"/>
      <c r="J4642" s="706"/>
      <c r="K4642" s="769"/>
      <c r="L4642" s="706"/>
      <c r="M4642" s="781"/>
      <c r="N4642" s="182"/>
      <c r="O4642" s="188"/>
      <c r="P4642" s="221"/>
      <c r="Q4642" s="106"/>
      <c r="R4642" s="108"/>
      <c r="S4642" s="108"/>
      <c r="T4642" s="108"/>
      <c r="U4642" s="108" t="str">
        <f>IFERROR(VLOOKUP(CONCATENATE(Tabla1[[#This Row],[Severidad]]," ",Tabla1[[#This Row],[Complejidad]]),Catalogos!E$120:G$128,3,FALSE),"")</f>
        <v/>
      </c>
      <c r="V4642" s="108" t="str">
        <f>IF(Tabla1[[#This Row],[Tiempo solución max (hrs)]]&lt;&gt;"",IF(Tabla1[[#This Row],[Tiempo solución max (hrs)]]&gt;=Tabla1[[#This Row],[Tiempo
(Hrs 00/100)]],"cumple","no cumple"),"")</f>
        <v/>
      </c>
      <c r="W4642" s="17"/>
      <c r="X4642" s="18">
        <f t="shared" si="262"/>
        <v>0</v>
      </c>
      <c r="Y4642" t="str">
        <f>SUBSTITUTE(Tabla1[[#This Row],[Descripción]],CHAR(10),"    I    ")</f>
        <v/>
      </c>
      <c r="Z4642" s="112" t="e">
        <f>VLOOKUP(Tabla1[[#This Row],[Perfil]],Catalogos!$B$75:$D$100,3,FALSE)*Tabla1[[#This Row],[Tiempo
(Hrs 00/100)]]*1.16</f>
        <v>#N/A</v>
      </c>
    </row>
    <row r="4643" spans="1:26" ht="30" customHeight="1" x14ac:dyDescent="0.3">
      <c r="A4643" s="106"/>
      <c r="B4643" s="106"/>
      <c r="C4643" s="106"/>
      <c r="D4643" s="106"/>
      <c r="E4643" s="106"/>
      <c r="F4643" s="106"/>
      <c r="G4643" s="106"/>
      <c r="H4643" s="107"/>
      <c r="I4643" s="95"/>
      <c r="J4643" s="706"/>
      <c r="K4643" s="769"/>
      <c r="L4643" s="706"/>
      <c r="M4643" s="781"/>
      <c r="N4643" s="182"/>
      <c r="O4643" s="188"/>
      <c r="P4643" s="221"/>
      <c r="Q4643" s="106"/>
      <c r="R4643" s="108"/>
      <c r="S4643" s="108"/>
      <c r="T4643" s="108"/>
      <c r="U4643" s="108" t="str">
        <f>IFERROR(VLOOKUP(CONCATENATE(Tabla1[[#This Row],[Severidad]]," ",Tabla1[[#This Row],[Complejidad]]),Catalogos!E$120:G$128,3,FALSE),"")</f>
        <v/>
      </c>
      <c r="V4643" s="108" t="str">
        <f>IF(Tabla1[[#This Row],[Tiempo solución max (hrs)]]&lt;&gt;"",IF(Tabla1[[#This Row],[Tiempo solución max (hrs)]]&gt;=Tabla1[[#This Row],[Tiempo
(Hrs 00/100)]],"cumple","no cumple"),"")</f>
        <v/>
      </c>
      <c r="W4643" s="17"/>
      <c r="X4643" s="18">
        <f t="shared" si="262"/>
        <v>0</v>
      </c>
      <c r="Y4643" t="str">
        <f>SUBSTITUTE(Tabla1[[#This Row],[Descripción]],CHAR(10),"    I    ")</f>
        <v/>
      </c>
      <c r="Z4643" s="112" t="e">
        <f>VLOOKUP(Tabla1[[#This Row],[Perfil]],Catalogos!$B$75:$D$100,3,FALSE)*Tabla1[[#This Row],[Tiempo
(Hrs 00/100)]]*1.16</f>
        <v>#N/A</v>
      </c>
    </row>
    <row r="4644" spans="1:26" ht="30" customHeight="1" x14ac:dyDescent="0.3">
      <c r="A4644" s="106"/>
      <c r="B4644" s="106"/>
      <c r="C4644" s="106"/>
      <c r="D4644" s="106"/>
      <c r="E4644" s="106"/>
      <c r="F4644" s="106"/>
      <c r="G4644" s="106"/>
      <c r="H4644" s="107"/>
      <c r="I4644" s="95"/>
      <c r="J4644" s="706"/>
      <c r="K4644" s="769"/>
      <c r="L4644" s="706"/>
      <c r="M4644" s="781"/>
      <c r="N4644" s="182"/>
      <c r="O4644" s="188"/>
      <c r="P4644" s="221"/>
      <c r="Q4644" s="106"/>
      <c r="R4644" s="108"/>
      <c r="S4644" s="108"/>
      <c r="T4644" s="108"/>
      <c r="U4644" s="108" t="str">
        <f>IFERROR(VLOOKUP(CONCATENATE(Tabla1[[#This Row],[Severidad]]," ",Tabla1[[#This Row],[Complejidad]]),Catalogos!E$120:G$128,3,FALSE),"")</f>
        <v/>
      </c>
      <c r="V4644" s="108" t="str">
        <f>IF(Tabla1[[#This Row],[Tiempo solución max (hrs)]]&lt;&gt;"",IF(Tabla1[[#This Row],[Tiempo solución max (hrs)]]&gt;=Tabla1[[#This Row],[Tiempo
(Hrs 00/100)]],"cumple","no cumple"),"")</f>
        <v/>
      </c>
      <c r="W4644" s="17"/>
      <c r="X4644" s="18">
        <f t="shared" si="262"/>
        <v>0</v>
      </c>
      <c r="Y4644" t="str">
        <f>SUBSTITUTE(Tabla1[[#This Row],[Descripción]],CHAR(10),"    I    ")</f>
        <v/>
      </c>
      <c r="Z4644" s="112" t="e">
        <f>VLOOKUP(Tabla1[[#This Row],[Perfil]],Catalogos!$B$75:$D$100,3,FALSE)*Tabla1[[#This Row],[Tiempo
(Hrs 00/100)]]*1.16</f>
        <v>#N/A</v>
      </c>
    </row>
    <row r="4645" spans="1:26" ht="30" customHeight="1" x14ac:dyDescent="0.3">
      <c r="A4645" s="106"/>
      <c r="B4645" s="106"/>
      <c r="C4645" s="106"/>
      <c r="D4645" s="106"/>
      <c r="E4645" s="106"/>
      <c r="F4645" s="106"/>
      <c r="G4645" s="106"/>
      <c r="H4645" s="107"/>
      <c r="I4645" s="95"/>
      <c r="J4645" s="706"/>
      <c r="K4645" s="769"/>
      <c r="L4645" s="706"/>
      <c r="M4645" s="781"/>
      <c r="N4645" s="182"/>
      <c r="O4645" s="188"/>
      <c r="P4645" s="221"/>
      <c r="Q4645" s="106"/>
      <c r="R4645" s="108"/>
      <c r="S4645" s="108"/>
      <c r="T4645" s="108"/>
      <c r="U4645" s="108" t="str">
        <f>IFERROR(VLOOKUP(CONCATENATE(Tabla1[[#This Row],[Severidad]]," ",Tabla1[[#This Row],[Complejidad]]),Catalogos!E$120:G$128,3,FALSE),"")</f>
        <v/>
      </c>
      <c r="V4645" s="108" t="str">
        <f>IF(Tabla1[[#This Row],[Tiempo solución max (hrs)]]&lt;&gt;"",IF(Tabla1[[#This Row],[Tiempo solución max (hrs)]]&gt;=Tabla1[[#This Row],[Tiempo
(Hrs 00/100)]],"cumple","no cumple"),"")</f>
        <v/>
      </c>
      <c r="W4645" s="17"/>
      <c r="X4645" s="18">
        <f t="shared" si="262"/>
        <v>0</v>
      </c>
      <c r="Y4645" t="str">
        <f>SUBSTITUTE(Tabla1[[#This Row],[Descripción]],CHAR(10),"    I    ")</f>
        <v/>
      </c>
      <c r="Z4645" s="112" t="e">
        <f>VLOOKUP(Tabla1[[#This Row],[Perfil]],Catalogos!$B$75:$D$100,3,FALSE)*Tabla1[[#This Row],[Tiempo
(Hrs 00/100)]]*1.16</f>
        <v>#N/A</v>
      </c>
    </row>
    <row r="4646" spans="1:26" ht="30" customHeight="1" x14ac:dyDescent="0.3">
      <c r="A4646" s="106"/>
      <c r="B4646" s="106"/>
      <c r="C4646" s="106"/>
      <c r="D4646" s="106"/>
      <c r="E4646" s="106"/>
      <c r="F4646" s="106"/>
      <c r="G4646" s="106"/>
      <c r="H4646" s="107"/>
      <c r="I4646" s="95"/>
      <c r="J4646" s="706"/>
      <c r="K4646" s="769"/>
      <c r="L4646" s="706"/>
      <c r="M4646" s="781"/>
      <c r="N4646" s="182"/>
      <c r="O4646" s="188"/>
      <c r="P4646" s="221"/>
      <c r="Q4646" s="106"/>
      <c r="R4646" s="108"/>
      <c r="S4646" s="108"/>
      <c r="T4646" s="108"/>
      <c r="U4646" s="108" t="str">
        <f>IFERROR(VLOOKUP(CONCATENATE(Tabla1[[#This Row],[Severidad]]," ",Tabla1[[#This Row],[Complejidad]]),Catalogos!E$120:G$128,3,FALSE),"")</f>
        <v/>
      </c>
      <c r="V4646" s="108" t="str">
        <f>IF(Tabla1[[#This Row],[Tiempo solución max (hrs)]]&lt;&gt;"",IF(Tabla1[[#This Row],[Tiempo solución max (hrs)]]&gt;=Tabla1[[#This Row],[Tiempo
(Hrs 00/100)]],"cumple","no cumple"),"")</f>
        <v/>
      </c>
      <c r="W4646" s="17"/>
      <c r="X4646" s="18">
        <f t="shared" si="262"/>
        <v>0</v>
      </c>
      <c r="Y4646" t="str">
        <f>SUBSTITUTE(Tabla1[[#This Row],[Descripción]],CHAR(10),"    I    ")</f>
        <v/>
      </c>
      <c r="Z4646" s="112" t="e">
        <f>VLOOKUP(Tabla1[[#This Row],[Perfil]],Catalogos!$B$75:$D$100,3,FALSE)*Tabla1[[#This Row],[Tiempo
(Hrs 00/100)]]*1.16</f>
        <v>#N/A</v>
      </c>
    </row>
    <row r="4647" spans="1:26" ht="30" customHeight="1" x14ac:dyDescent="0.3">
      <c r="A4647" s="106"/>
      <c r="B4647" s="106"/>
      <c r="C4647" s="106"/>
      <c r="D4647" s="106"/>
      <c r="E4647" s="106"/>
      <c r="F4647" s="106"/>
      <c r="G4647" s="106"/>
      <c r="H4647" s="107"/>
      <c r="I4647" s="95"/>
      <c r="J4647" s="706"/>
      <c r="K4647" s="769"/>
      <c r="L4647" s="706"/>
      <c r="M4647" s="781"/>
      <c r="N4647" s="182"/>
      <c r="O4647" s="188"/>
      <c r="P4647" s="221"/>
      <c r="Q4647" s="106"/>
      <c r="R4647" s="108"/>
      <c r="S4647" s="108"/>
      <c r="T4647" s="108"/>
      <c r="U4647" s="108" t="str">
        <f>IFERROR(VLOOKUP(CONCATENATE(Tabla1[[#This Row],[Severidad]]," ",Tabla1[[#This Row],[Complejidad]]),Catalogos!E$120:G$128,3,FALSE),"")</f>
        <v/>
      </c>
      <c r="V4647" s="108" t="str">
        <f>IF(Tabla1[[#This Row],[Tiempo solución max (hrs)]]&lt;&gt;"",IF(Tabla1[[#This Row],[Tiempo solución max (hrs)]]&gt;=Tabla1[[#This Row],[Tiempo
(Hrs 00/100)]],"cumple","no cumple"),"")</f>
        <v/>
      </c>
      <c r="W4647" s="17"/>
      <c r="X4647" s="18">
        <f t="shared" si="262"/>
        <v>0</v>
      </c>
      <c r="Y4647" t="str">
        <f>SUBSTITUTE(Tabla1[[#This Row],[Descripción]],CHAR(10),"    I    ")</f>
        <v/>
      </c>
      <c r="Z4647" s="112" t="e">
        <f>VLOOKUP(Tabla1[[#This Row],[Perfil]],Catalogos!$B$75:$D$100,3,FALSE)*Tabla1[[#This Row],[Tiempo
(Hrs 00/100)]]*1.16</f>
        <v>#N/A</v>
      </c>
    </row>
    <row r="4648" spans="1:26" ht="30" customHeight="1" x14ac:dyDescent="0.3">
      <c r="A4648" s="106"/>
      <c r="B4648" s="106"/>
      <c r="C4648" s="106"/>
      <c r="D4648" s="106"/>
      <c r="E4648" s="106"/>
      <c r="F4648" s="106"/>
      <c r="G4648" s="106"/>
      <c r="H4648" s="107"/>
      <c r="I4648" s="95"/>
      <c r="J4648" s="706"/>
      <c r="K4648" s="769"/>
      <c r="L4648" s="706"/>
      <c r="M4648" s="781"/>
      <c r="N4648" s="182"/>
      <c r="O4648" s="188"/>
      <c r="P4648" s="221"/>
      <c r="Q4648" s="106"/>
      <c r="R4648" s="108"/>
      <c r="S4648" s="108"/>
      <c r="T4648" s="108"/>
      <c r="U4648" s="108" t="str">
        <f>IFERROR(VLOOKUP(CONCATENATE(Tabla1[[#This Row],[Severidad]]," ",Tabla1[[#This Row],[Complejidad]]),Catalogos!E$120:G$128,3,FALSE),"")</f>
        <v/>
      </c>
      <c r="V4648" s="108" t="str">
        <f>IF(Tabla1[[#This Row],[Tiempo solución max (hrs)]]&lt;&gt;"",IF(Tabla1[[#This Row],[Tiempo solución max (hrs)]]&gt;=Tabla1[[#This Row],[Tiempo
(Hrs 00/100)]],"cumple","no cumple"),"")</f>
        <v/>
      </c>
      <c r="W4648" s="17"/>
      <c r="X4648" s="18">
        <f t="shared" si="262"/>
        <v>0</v>
      </c>
      <c r="Y4648" t="str">
        <f>SUBSTITUTE(Tabla1[[#This Row],[Descripción]],CHAR(10),"    I    ")</f>
        <v/>
      </c>
      <c r="Z4648" s="112" t="e">
        <f>VLOOKUP(Tabla1[[#This Row],[Perfil]],Catalogos!$B$75:$D$100,3,FALSE)*Tabla1[[#This Row],[Tiempo
(Hrs 00/100)]]*1.16</f>
        <v>#N/A</v>
      </c>
    </row>
    <row r="4649" spans="1:26" ht="30" customHeight="1" x14ac:dyDescent="0.3">
      <c r="A4649" s="106"/>
      <c r="B4649" s="106"/>
      <c r="C4649" s="106"/>
      <c r="D4649" s="106"/>
      <c r="E4649" s="106"/>
      <c r="F4649" s="106"/>
      <c r="G4649" s="106"/>
      <c r="H4649" s="107"/>
      <c r="I4649" s="95"/>
      <c r="J4649" s="706"/>
      <c r="K4649" s="769"/>
      <c r="L4649" s="706"/>
      <c r="M4649" s="781"/>
      <c r="N4649" s="182"/>
      <c r="O4649" s="188"/>
      <c r="P4649" s="221"/>
      <c r="Q4649" s="106"/>
      <c r="R4649" s="108"/>
      <c r="S4649" s="108"/>
      <c r="T4649" s="108"/>
      <c r="U4649" s="108" t="str">
        <f>IFERROR(VLOOKUP(CONCATENATE(Tabla1[[#This Row],[Severidad]]," ",Tabla1[[#This Row],[Complejidad]]),Catalogos!E$120:G$128,3,FALSE),"")</f>
        <v/>
      </c>
      <c r="V4649" s="108" t="str">
        <f>IF(Tabla1[[#This Row],[Tiempo solución max (hrs)]]&lt;&gt;"",IF(Tabla1[[#This Row],[Tiempo solución max (hrs)]]&gt;=Tabla1[[#This Row],[Tiempo
(Hrs 00/100)]],"cumple","no cumple"),"")</f>
        <v/>
      </c>
      <c r="W4649" s="17"/>
      <c r="X4649" s="18">
        <f t="shared" si="262"/>
        <v>0</v>
      </c>
      <c r="Y4649" t="str">
        <f>SUBSTITUTE(Tabla1[[#This Row],[Descripción]],CHAR(10),"    I    ")</f>
        <v/>
      </c>
      <c r="Z4649" s="112" t="e">
        <f>VLOOKUP(Tabla1[[#This Row],[Perfil]],Catalogos!$B$75:$D$100,3,FALSE)*Tabla1[[#This Row],[Tiempo
(Hrs 00/100)]]*1.16</f>
        <v>#N/A</v>
      </c>
    </row>
    <row r="4650" spans="1:26" ht="30" customHeight="1" x14ac:dyDescent="0.3">
      <c r="A4650" s="106"/>
      <c r="B4650" s="106"/>
      <c r="C4650" s="106"/>
      <c r="D4650" s="106"/>
      <c r="E4650" s="106"/>
      <c r="F4650" s="106"/>
      <c r="G4650" s="106"/>
      <c r="H4650" s="107"/>
      <c r="I4650" s="95"/>
      <c r="J4650" s="706"/>
      <c r="K4650" s="769"/>
      <c r="L4650" s="706"/>
      <c r="M4650" s="781"/>
      <c r="N4650" s="182"/>
      <c r="O4650" s="188"/>
      <c r="P4650" s="221"/>
      <c r="Q4650" s="106"/>
      <c r="R4650" s="108"/>
      <c r="S4650" s="108"/>
      <c r="T4650" s="108"/>
      <c r="U4650" s="108" t="str">
        <f>IFERROR(VLOOKUP(CONCATENATE(Tabla1[[#This Row],[Severidad]]," ",Tabla1[[#This Row],[Complejidad]]),Catalogos!E$120:G$128,3,FALSE),"")</f>
        <v/>
      </c>
      <c r="V4650" s="108" t="str">
        <f>IF(Tabla1[[#This Row],[Tiempo solución max (hrs)]]&lt;&gt;"",IF(Tabla1[[#This Row],[Tiempo solución max (hrs)]]&gt;=Tabla1[[#This Row],[Tiempo
(Hrs 00/100)]],"cumple","no cumple"),"")</f>
        <v/>
      </c>
      <c r="W4650" s="17"/>
      <c r="X4650" s="18">
        <f t="shared" si="262"/>
        <v>0</v>
      </c>
      <c r="Y4650" t="str">
        <f>SUBSTITUTE(Tabla1[[#This Row],[Descripción]],CHAR(10),"    I    ")</f>
        <v/>
      </c>
      <c r="Z4650" s="112" t="e">
        <f>VLOOKUP(Tabla1[[#This Row],[Perfil]],Catalogos!$B$75:$D$100,3,FALSE)*Tabla1[[#This Row],[Tiempo
(Hrs 00/100)]]*1.16</f>
        <v>#N/A</v>
      </c>
    </row>
    <row r="4651" spans="1:26" ht="30" customHeight="1" x14ac:dyDescent="0.3">
      <c r="A4651" s="106"/>
      <c r="B4651" s="106"/>
      <c r="C4651" s="106"/>
      <c r="D4651" s="106"/>
      <c r="E4651" s="106"/>
      <c r="F4651" s="106"/>
      <c r="G4651" s="106"/>
      <c r="H4651" s="107"/>
      <c r="I4651" s="95"/>
      <c r="J4651" s="706"/>
      <c r="K4651" s="769"/>
      <c r="L4651" s="706"/>
      <c r="M4651" s="781"/>
      <c r="N4651" s="182"/>
      <c r="O4651" s="188"/>
      <c r="P4651" s="221"/>
      <c r="Q4651" s="106"/>
      <c r="R4651" s="108"/>
      <c r="S4651" s="108"/>
      <c r="T4651" s="108"/>
      <c r="U4651" s="108" t="str">
        <f>IFERROR(VLOOKUP(CONCATENATE(Tabla1[[#This Row],[Severidad]]," ",Tabla1[[#This Row],[Complejidad]]),Catalogos!E$120:G$128,3,FALSE),"")</f>
        <v/>
      </c>
      <c r="V4651" s="108" t="str">
        <f>IF(Tabla1[[#This Row],[Tiempo solución max (hrs)]]&lt;&gt;"",IF(Tabla1[[#This Row],[Tiempo solución max (hrs)]]&gt;=Tabla1[[#This Row],[Tiempo
(Hrs 00/100)]],"cumple","no cumple"),"")</f>
        <v/>
      </c>
      <c r="W4651" s="17"/>
      <c r="X4651" s="18">
        <f t="shared" si="262"/>
        <v>0</v>
      </c>
      <c r="Y4651" t="str">
        <f>SUBSTITUTE(Tabla1[[#This Row],[Descripción]],CHAR(10),"    I    ")</f>
        <v/>
      </c>
      <c r="Z4651" s="112" t="e">
        <f>VLOOKUP(Tabla1[[#This Row],[Perfil]],Catalogos!$B$75:$D$100,3,FALSE)*Tabla1[[#This Row],[Tiempo
(Hrs 00/100)]]*1.16</f>
        <v>#N/A</v>
      </c>
    </row>
    <row r="4652" spans="1:26" ht="30" customHeight="1" x14ac:dyDescent="0.3">
      <c r="A4652" s="106"/>
      <c r="B4652" s="106"/>
      <c r="C4652" s="106"/>
      <c r="D4652" s="106"/>
      <c r="E4652" s="106"/>
      <c r="F4652" s="106"/>
      <c r="G4652" s="106"/>
      <c r="H4652" s="107"/>
      <c r="I4652" s="95"/>
      <c r="J4652" s="706"/>
      <c r="K4652" s="769"/>
      <c r="L4652" s="706"/>
      <c r="M4652" s="781"/>
      <c r="N4652" s="182"/>
      <c r="O4652" s="188"/>
      <c r="P4652" s="221"/>
      <c r="Q4652" s="106"/>
      <c r="R4652" s="108"/>
      <c r="S4652" s="108"/>
      <c r="T4652" s="108"/>
      <c r="U4652" s="108" t="str">
        <f>IFERROR(VLOOKUP(CONCATENATE(Tabla1[[#This Row],[Severidad]]," ",Tabla1[[#This Row],[Complejidad]]),Catalogos!E$120:G$128,3,FALSE),"")</f>
        <v/>
      </c>
      <c r="V4652" s="108" t="str">
        <f>IF(Tabla1[[#This Row],[Tiempo solución max (hrs)]]&lt;&gt;"",IF(Tabla1[[#This Row],[Tiempo solución max (hrs)]]&gt;=Tabla1[[#This Row],[Tiempo
(Hrs 00/100)]],"cumple","no cumple"),"")</f>
        <v/>
      </c>
      <c r="W4652" s="17"/>
      <c r="X4652" s="18">
        <f t="shared" si="262"/>
        <v>0</v>
      </c>
      <c r="Y4652" t="str">
        <f>SUBSTITUTE(Tabla1[[#This Row],[Descripción]],CHAR(10),"    I    ")</f>
        <v/>
      </c>
      <c r="Z4652" s="112" t="e">
        <f>VLOOKUP(Tabla1[[#This Row],[Perfil]],Catalogos!$B$75:$D$100,3,FALSE)*Tabla1[[#This Row],[Tiempo
(Hrs 00/100)]]*1.16</f>
        <v>#N/A</v>
      </c>
    </row>
    <row r="4653" spans="1:26" ht="30" customHeight="1" x14ac:dyDescent="0.3">
      <c r="A4653" s="106"/>
      <c r="B4653" s="106"/>
      <c r="C4653" s="106"/>
      <c r="D4653" s="106"/>
      <c r="E4653" s="106"/>
      <c r="F4653" s="106"/>
      <c r="G4653" s="106"/>
      <c r="H4653" s="107"/>
      <c r="I4653" s="95"/>
      <c r="J4653" s="706"/>
      <c r="K4653" s="769"/>
      <c r="L4653" s="706"/>
      <c r="M4653" s="781"/>
      <c r="N4653" s="182"/>
      <c r="O4653" s="188"/>
      <c r="P4653" s="221"/>
      <c r="Q4653" s="106"/>
      <c r="R4653" s="108"/>
      <c r="S4653" s="108"/>
      <c r="T4653" s="108"/>
      <c r="U4653" s="108" t="str">
        <f>IFERROR(VLOOKUP(CONCATENATE(Tabla1[[#This Row],[Severidad]]," ",Tabla1[[#This Row],[Complejidad]]),Catalogos!E$120:G$128,3,FALSE),"")</f>
        <v/>
      </c>
      <c r="V4653" s="108" t="str">
        <f>IF(Tabla1[[#This Row],[Tiempo solución max (hrs)]]&lt;&gt;"",IF(Tabla1[[#This Row],[Tiempo solución max (hrs)]]&gt;=Tabla1[[#This Row],[Tiempo
(Hrs 00/100)]],"cumple","no cumple"),"")</f>
        <v/>
      </c>
      <c r="W4653" s="17"/>
      <c r="X4653" s="18">
        <f t="shared" si="262"/>
        <v>0</v>
      </c>
      <c r="Y4653" t="str">
        <f>SUBSTITUTE(Tabla1[[#This Row],[Descripción]],CHAR(10),"    I    ")</f>
        <v/>
      </c>
      <c r="Z4653" s="112" t="e">
        <f>VLOOKUP(Tabla1[[#This Row],[Perfil]],Catalogos!$B$75:$D$100,3,FALSE)*Tabla1[[#This Row],[Tiempo
(Hrs 00/100)]]*1.16</f>
        <v>#N/A</v>
      </c>
    </row>
    <row r="4654" spans="1:26" ht="30" customHeight="1" x14ac:dyDescent="0.3">
      <c r="A4654" s="106"/>
      <c r="B4654" s="106"/>
      <c r="C4654" s="106"/>
      <c r="D4654" s="106"/>
      <c r="E4654" s="106"/>
      <c r="F4654" s="106"/>
      <c r="G4654" s="106"/>
      <c r="H4654" s="107"/>
      <c r="I4654" s="95"/>
      <c r="J4654" s="706"/>
      <c r="K4654" s="769"/>
      <c r="L4654" s="706"/>
      <c r="M4654" s="781"/>
      <c r="N4654" s="182"/>
      <c r="O4654" s="188"/>
      <c r="P4654" s="221"/>
      <c r="Q4654" s="106"/>
      <c r="R4654" s="108"/>
      <c r="S4654" s="108"/>
      <c r="T4654" s="108"/>
      <c r="U4654" s="108" t="str">
        <f>IFERROR(VLOOKUP(CONCATENATE(Tabla1[[#This Row],[Severidad]]," ",Tabla1[[#This Row],[Complejidad]]),Catalogos!E$120:G$128,3,FALSE),"")</f>
        <v/>
      </c>
      <c r="V4654" s="108" t="str">
        <f>IF(Tabla1[[#This Row],[Tiempo solución max (hrs)]]&lt;&gt;"",IF(Tabla1[[#This Row],[Tiempo solución max (hrs)]]&gt;=Tabla1[[#This Row],[Tiempo
(Hrs 00/100)]],"cumple","no cumple"),"")</f>
        <v/>
      </c>
      <c r="W4654" s="17"/>
      <c r="X4654" s="18">
        <f t="shared" si="262"/>
        <v>0</v>
      </c>
      <c r="Y4654" t="str">
        <f>SUBSTITUTE(Tabla1[[#This Row],[Descripción]],CHAR(10),"    I    ")</f>
        <v/>
      </c>
      <c r="Z4654" s="112" t="e">
        <f>VLOOKUP(Tabla1[[#This Row],[Perfil]],Catalogos!$B$75:$D$100,3,FALSE)*Tabla1[[#This Row],[Tiempo
(Hrs 00/100)]]*1.16</f>
        <v>#N/A</v>
      </c>
    </row>
    <row r="4655" spans="1:26" ht="30" customHeight="1" x14ac:dyDescent="0.3">
      <c r="A4655" s="106"/>
      <c r="B4655" s="106"/>
      <c r="C4655" s="106"/>
      <c r="D4655" s="106"/>
      <c r="E4655" s="106"/>
      <c r="F4655" s="106"/>
      <c r="G4655" s="106"/>
      <c r="H4655" s="107"/>
      <c r="I4655" s="95"/>
      <c r="J4655" s="706"/>
      <c r="K4655" s="769"/>
      <c r="L4655" s="706"/>
      <c r="M4655" s="781"/>
      <c r="N4655" s="182"/>
      <c r="O4655" s="188"/>
      <c r="P4655" s="221"/>
      <c r="Q4655" s="106"/>
      <c r="R4655" s="108"/>
      <c r="S4655" s="108"/>
      <c r="T4655" s="108"/>
      <c r="U4655" s="108" t="str">
        <f>IFERROR(VLOOKUP(CONCATENATE(Tabla1[[#This Row],[Severidad]]," ",Tabla1[[#This Row],[Complejidad]]),Catalogos!E$120:G$128,3,FALSE),"")</f>
        <v/>
      </c>
      <c r="V4655" s="108" t="str">
        <f>IF(Tabla1[[#This Row],[Tiempo solución max (hrs)]]&lt;&gt;"",IF(Tabla1[[#This Row],[Tiempo solución max (hrs)]]&gt;=Tabla1[[#This Row],[Tiempo
(Hrs 00/100)]],"cumple","no cumple"),"")</f>
        <v/>
      </c>
      <c r="W4655" s="17"/>
      <c r="X4655" s="18">
        <f t="shared" si="262"/>
        <v>0</v>
      </c>
      <c r="Y4655" t="str">
        <f>SUBSTITUTE(Tabla1[[#This Row],[Descripción]],CHAR(10),"    I    ")</f>
        <v/>
      </c>
      <c r="Z4655" s="112" t="e">
        <f>VLOOKUP(Tabla1[[#This Row],[Perfil]],Catalogos!$B$75:$D$100,3,FALSE)*Tabla1[[#This Row],[Tiempo
(Hrs 00/100)]]*1.16</f>
        <v>#N/A</v>
      </c>
    </row>
    <row r="4656" spans="1:26" ht="30" customHeight="1" x14ac:dyDescent="0.3">
      <c r="A4656" s="106"/>
      <c r="B4656" s="106"/>
      <c r="C4656" s="106"/>
      <c r="D4656" s="106"/>
      <c r="E4656" s="106"/>
      <c r="F4656" s="106"/>
      <c r="G4656" s="106"/>
      <c r="H4656" s="107"/>
      <c r="I4656" s="95"/>
      <c r="J4656" s="706"/>
      <c r="K4656" s="769"/>
      <c r="L4656" s="706"/>
      <c r="M4656" s="781"/>
      <c r="N4656" s="182"/>
      <c r="O4656" s="188"/>
      <c r="P4656" s="221"/>
      <c r="Q4656" s="106"/>
      <c r="R4656" s="108"/>
      <c r="S4656" s="108"/>
      <c r="T4656" s="108"/>
      <c r="U4656" s="108" t="str">
        <f>IFERROR(VLOOKUP(CONCATENATE(Tabla1[[#This Row],[Severidad]]," ",Tabla1[[#This Row],[Complejidad]]),Catalogos!E$120:G$128,3,FALSE),"")</f>
        <v/>
      </c>
      <c r="V4656" s="108" t="str">
        <f>IF(Tabla1[[#This Row],[Tiempo solución max (hrs)]]&lt;&gt;"",IF(Tabla1[[#This Row],[Tiempo solución max (hrs)]]&gt;=Tabla1[[#This Row],[Tiempo
(Hrs 00/100)]],"cumple","no cumple"),"")</f>
        <v/>
      </c>
      <c r="W4656" s="17"/>
      <c r="X4656" s="18">
        <f t="shared" si="262"/>
        <v>0</v>
      </c>
      <c r="Y4656" t="str">
        <f>SUBSTITUTE(Tabla1[[#This Row],[Descripción]],CHAR(10),"    I    ")</f>
        <v/>
      </c>
      <c r="Z4656" s="112" t="e">
        <f>VLOOKUP(Tabla1[[#This Row],[Perfil]],Catalogos!$B$75:$D$100,3,FALSE)*Tabla1[[#This Row],[Tiempo
(Hrs 00/100)]]*1.16</f>
        <v>#N/A</v>
      </c>
    </row>
    <row r="4657" spans="1:26" ht="30" customHeight="1" x14ac:dyDescent="0.3">
      <c r="A4657" s="106"/>
      <c r="B4657" s="106"/>
      <c r="C4657" s="106"/>
      <c r="D4657" s="106"/>
      <c r="E4657" s="106"/>
      <c r="F4657" s="106"/>
      <c r="G4657" s="106"/>
      <c r="H4657" s="107"/>
      <c r="I4657" s="95"/>
      <c r="J4657" s="706"/>
      <c r="K4657" s="769"/>
      <c r="L4657" s="706"/>
      <c r="M4657" s="781"/>
      <c r="N4657" s="182"/>
      <c r="O4657" s="188"/>
      <c r="P4657" s="221"/>
      <c r="Q4657" s="106"/>
      <c r="R4657" s="108"/>
      <c r="S4657" s="108"/>
      <c r="T4657" s="108"/>
      <c r="U4657" s="108" t="str">
        <f>IFERROR(VLOOKUP(CONCATENATE(Tabla1[[#This Row],[Severidad]]," ",Tabla1[[#This Row],[Complejidad]]),Catalogos!E$120:G$128,3,FALSE),"")</f>
        <v/>
      </c>
      <c r="V4657" s="108" t="str">
        <f>IF(Tabla1[[#This Row],[Tiempo solución max (hrs)]]&lt;&gt;"",IF(Tabla1[[#This Row],[Tiempo solución max (hrs)]]&gt;=Tabla1[[#This Row],[Tiempo
(Hrs 00/100)]],"cumple","no cumple"),"")</f>
        <v/>
      </c>
      <c r="W4657" s="17"/>
      <c r="X4657" s="18">
        <f t="shared" si="262"/>
        <v>0</v>
      </c>
      <c r="Y4657" t="str">
        <f>SUBSTITUTE(Tabla1[[#This Row],[Descripción]],CHAR(10),"    I    ")</f>
        <v/>
      </c>
      <c r="Z4657" s="112" t="e">
        <f>VLOOKUP(Tabla1[[#This Row],[Perfil]],Catalogos!$B$75:$D$100,3,FALSE)*Tabla1[[#This Row],[Tiempo
(Hrs 00/100)]]*1.16</f>
        <v>#N/A</v>
      </c>
    </row>
    <row r="4658" spans="1:26" ht="30" customHeight="1" x14ac:dyDescent="0.3">
      <c r="A4658" s="106"/>
      <c r="B4658" s="106"/>
      <c r="C4658" s="106"/>
      <c r="D4658" s="106"/>
      <c r="E4658" s="106"/>
      <c r="F4658" s="106"/>
      <c r="G4658" s="106"/>
      <c r="H4658" s="107"/>
      <c r="I4658" s="95"/>
      <c r="J4658" s="706"/>
      <c r="K4658" s="769"/>
      <c r="L4658" s="706"/>
      <c r="M4658" s="781"/>
      <c r="N4658" s="182"/>
      <c r="O4658" s="188"/>
      <c r="P4658" s="221"/>
      <c r="Q4658" s="106"/>
      <c r="R4658" s="108"/>
      <c r="S4658" s="108"/>
      <c r="T4658" s="108"/>
      <c r="U4658" s="108" t="str">
        <f>IFERROR(VLOOKUP(CONCATENATE(Tabla1[[#This Row],[Severidad]]," ",Tabla1[[#This Row],[Complejidad]]),Catalogos!E$120:G$128,3,FALSE),"")</f>
        <v/>
      </c>
      <c r="V4658" s="108" t="str">
        <f>IF(Tabla1[[#This Row],[Tiempo solución max (hrs)]]&lt;&gt;"",IF(Tabla1[[#This Row],[Tiempo solución max (hrs)]]&gt;=Tabla1[[#This Row],[Tiempo
(Hrs 00/100)]],"cumple","no cumple"),"")</f>
        <v/>
      </c>
      <c r="W4658" s="17"/>
      <c r="X4658" s="18">
        <f t="shared" si="262"/>
        <v>0</v>
      </c>
      <c r="Y4658" t="str">
        <f>SUBSTITUTE(Tabla1[[#This Row],[Descripción]],CHAR(10),"    I    ")</f>
        <v/>
      </c>
      <c r="Z4658" s="112" t="e">
        <f>VLOOKUP(Tabla1[[#This Row],[Perfil]],Catalogos!$B$75:$D$100,3,FALSE)*Tabla1[[#This Row],[Tiempo
(Hrs 00/100)]]*1.16</f>
        <v>#N/A</v>
      </c>
    </row>
    <row r="4659" spans="1:26" ht="30" customHeight="1" x14ac:dyDescent="0.3">
      <c r="A4659" s="106"/>
      <c r="B4659" s="106"/>
      <c r="C4659" s="106"/>
      <c r="D4659" s="106"/>
      <c r="E4659" s="106"/>
      <c r="F4659" s="106"/>
      <c r="G4659" s="106"/>
      <c r="H4659" s="107"/>
      <c r="I4659" s="95"/>
      <c r="J4659" s="706"/>
      <c r="K4659" s="769"/>
      <c r="L4659" s="706"/>
      <c r="M4659" s="781"/>
      <c r="N4659" s="182"/>
      <c r="O4659" s="188"/>
      <c r="P4659" s="221"/>
      <c r="Q4659" s="106"/>
      <c r="R4659" s="108"/>
      <c r="S4659" s="108"/>
      <c r="T4659" s="108"/>
      <c r="U4659" s="108" t="str">
        <f>IFERROR(VLOOKUP(CONCATENATE(Tabla1[[#This Row],[Severidad]]," ",Tabla1[[#This Row],[Complejidad]]),Catalogos!E$120:G$128,3,FALSE),"")</f>
        <v/>
      </c>
      <c r="V4659" s="108" t="str">
        <f>IF(Tabla1[[#This Row],[Tiempo solución max (hrs)]]&lt;&gt;"",IF(Tabla1[[#This Row],[Tiempo solución max (hrs)]]&gt;=Tabla1[[#This Row],[Tiempo
(Hrs 00/100)]],"cumple","no cumple"),"")</f>
        <v/>
      </c>
      <c r="W4659" s="17"/>
      <c r="X4659" s="18">
        <f t="shared" si="262"/>
        <v>0</v>
      </c>
      <c r="Y4659" t="str">
        <f>SUBSTITUTE(Tabla1[[#This Row],[Descripción]],CHAR(10),"    I    ")</f>
        <v/>
      </c>
      <c r="Z4659" s="112" t="e">
        <f>VLOOKUP(Tabla1[[#This Row],[Perfil]],Catalogos!$B$75:$D$100,3,FALSE)*Tabla1[[#This Row],[Tiempo
(Hrs 00/100)]]*1.16</f>
        <v>#N/A</v>
      </c>
    </row>
    <row r="4660" spans="1:26" ht="30" customHeight="1" x14ac:dyDescent="0.3">
      <c r="A4660" s="106"/>
      <c r="B4660" s="106"/>
      <c r="C4660" s="106"/>
      <c r="D4660" s="106"/>
      <c r="E4660" s="106"/>
      <c r="F4660" s="106"/>
      <c r="G4660" s="106"/>
      <c r="H4660" s="107"/>
      <c r="I4660" s="95"/>
      <c r="J4660" s="706"/>
      <c r="K4660" s="769"/>
      <c r="L4660" s="706"/>
      <c r="M4660" s="781"/>
      <c r="N4660" s="182"/>
      <c r="O4660" s="188"/>
      <c r="P4660" s="221"/>
      <c r="Q4660" s="106"/>
      <c r="R4660" s="108"/>
      <c r="S4660" s="108"/>
      <c r="T4660" s="108"/>
      <c r="U4660" s="108" t="str">
        <f>IFERROR(VLOOKUP(CONCATENATE(Tabla1[[#This Row],[Severidad]]," ",Tabla1[[#This Row],[Complejidad]]),Catalogos!E$120:G$128,3,FALSE),"")</f>
        <v/>
      </c>
      <c r="V4660" s="108" t="str">
        <f>IF(Tabla1[[#This Row],[Tiempo solución max (hrs)]]&lt;&gt;"",IF(Tabla1[[#This Row],[Tiempo solución max (hrs)]]&gt;=Tabla1[[#This Row],[Tiempo
(Hrs 00/100)]],"cumple","no cumple"),"")</f>
        <v/>
      </c>
      <c r="W4660" s="17"/>
      <c r="X4660" s="18">
        <f t="shared" si="262"/>
        <v>0</v>
      </c>
      <c r="Y4660" t="str">
        <f>SUBSTITUTE(Tabla1[[#This Row],[Descripción]],CHAR(10),"    I    ")</f>
        <v/>
      </c>
      <c r="Z4660" s="112" t="e">
        <f>VLOOKUP(Tabla1[[#This Row],[Perfil]],Catalogos!$B$75:$D$100,3,FALSE)*Tabla1[[#This Row],[Tiempo
(Hrs 00/100)]]*1.16</f>
        <v>#N/A</v>
      </c>
    </row>
    <row r="4661" spans="1:26" ht="30" customHeight="1" x14ac:dyDescent="0.3">
      <c r="A4661" s="106"/>
      <c r="B4661" s="106"/>
      <c r="C4661" s="106"/>
      <c r="D4661" s="106"/>
      <c r="E4661" s="106"/>
      <c r="F4661" s="106"/>
      <c r="G4661" s="106"/>
      <c r="H4661" s="107"/>
      <c r="I4661" s="95"/>
      <c r="J4661" s="706"/>
      <c r="K4661" s="769"/>
      <c r="L4661" s="706"/>
      <c r="M4661" s="781"/>
      <c r="N4661" s="182"/>
      <c r="O4661" s="188"/>
      <c r="P4661" s="221"/>
      <c r="Q4661" s="106"/>
      <c r="R4661" s="108"/>
      <c r="S4661" s="108"/>
      <c r="T4661" s="108"/>
      <c r="U4661" s="108" t="str">
        <f>IFERROR(VLOOKUP(CONCATENATE(Tabla1[[#This Row],[Severidad]]," ",Tabla1[[#This Row],[Complejidad]]),Catalogos!E$120:G$128,3,FALSE),"")</f>
        <v/>
      </c>
      <c r="V4661" s="108" t="str">
        <f>IF(Tabla1[[#This Row],[Tiempo solución max (hrs)]]&lt;&gt;"",IF(Tabla1[[#This Row],[Tiempo solución max (hrs)]]&gt;=Tabla1[[#This Row],[Tiempo
(Hrs 00/100)]],"cumple","no cumple"),"")</f>
        <v/>
      </c>
      <c r="W4661" s="17"/>
      <c r="X4661" s="18">
        <f t="shared" si="262"/>
        <v>0</v>
      </c>
      <c r="Y4661" t="str">
        <f>SUBSTITUTE(Tabla1[[#This Row],[Descripción]],CHAR(10),"    I    ")</f>
        <v/>
      </c>
      <c r="Z4661" s="112" t="e">
        <f>VLOOKUP(Tabla1[[#This Row],[Perfil]],Catalogos!$B$75:$D$100,3,FALSE)*Tabla1[[#This Row],[Tiempo
(Hrs 00/100)]]*1.16</f>
        <v>#N/A</v>
      </c>
    </row>
    <row r="4662" spans="1:26" ht="30" customHeight="1" x14ac:dyDescent="0.3">
      <c r="A4662" s="106"/>
      <c r="B4662" s="106"/>
      <c r="C4662" s="106"/>
      <c r="D4662" s="106"/>
      <c r="E4662" s="106"/>
      <c r="F4662" s="106"/>
      <c r="G4662" s="106"/>
      <c r="H4662" s="107"/>
      <c r="I4662" s="95"/>
      <c r="J4662" s="706"/>
      <c r="K4662" s="769"/>
      <c r="L4662" s="706"/>
      <c r="M4662" s="781"/>
      <c r="N4662" s="182"/>
      <c r="O4662" s="188"/>
      <c r="P4662" s="221"/>
      <c r="Q4662" s="106"/>
      <c r="R4662" s="108"/>
      <c r="S4662" s="108"/>
      <c r="T4662" s="108"/>
      <c r="U4662" s="108" t="str">
        <f>IFERROR(VLOOKUP(CONCATENATE(Tabla1[[#This Row],[Severidad]]," ",Tabla1[[#This Row],[Complejidad]]),Catalogos!E$120:G$128,3,FALSE),"")</f>
        <v/>
      </c>
      <c r="V4662" s="108" t="str">
        <f>IF(Tabla1[[#This Row],[Tiempo solución max (hrs)]]&lt;&gt;"",IF(Tabla1[[#This Row],[Tiempo solución max (hrs)]]&gt;=Tabla1[[#This Row],[Tiempo
(Hrs 00/100)]],"cumple","no cumple"),"")</f>
        <v/>
      </c>
      <c r="W4662" s="17"/>
      <c r="X4662" s="18">
        <f t="shared" si="262"/>
        <v>0</v>
      </c>
      <c r="Y4662" t="str">
        <f>SUBSTITUTE(Tabla1[[#This Row],[Descripción]],CHAR(10),"    I    ")</f>
        <v/>
      </c>
      <c r="Z4662" s="112" t="e">
        <f>VLOOKUP(Tabla1[[#This Row],[Perfil]],Catalogos!$B$75:$D$100,3,FALSE)*Tabla1[[#This Row],[Tiempo
(Hrs 00/100)]]*1.16</f>
        <v>#N/A</v>
      </c>
    </row>
    <row r="4663" spans="1:26" ht="30" customHeight="1" x14ac:dyDescent="0.3">
      <c r="A4663" s="106"/>
      <c r="B4663" s="106"/>
      <c r="C4663" s="106"/>
      <c r="D4663" s="106"/>
      <c r="E4663" s="106"/>
      <c r="F4663" s="106"/>
      <c r="G4663" s="106"/>
      <c r="H4663" s="107"/>
      <c r="I4663" s="95"/>
      <c r="J4663" s="706"/>
      <c r="K4663" s="769"/>
      <c r="L4663" s="706"/>
      <c r="M4663" s="781"/>
      <c r="N4663" s="182"/>
      <c r="O4663" s="188"/>
      <c r="P4663" s="221"/>
      <c r="Q4663" s="106"/>
      <c r="R4663" s="108"/>
      <c r="S4663" s="108"/>
      <c r="T4663" s="108"/>
      <c r="U4663" s="108" t="str">
        <f>IFERROR(VLOOKUP(CONCATENATE(Tabla1[[#This Row],[Severidad]]," ",Tabla1[[#This Row],[Complejidad]]),Catalogos!E$120:G$128,3,FALSE),"")</f>
        <v/>
      </c>
      <c r="V4663" s="108" t="str">
        <f>IF(Tabla1[[#This Row],[Tiempo solución max (hrs)]]&lt;&gt;"",IF(Tabla1[[#This Row],[Tiempo solución max (hrs)]]&gt;=Tabla1[[#This Row],[Tiempo
(Hrs 00/100)]],"cumple","no cumple"),"")</f>
        <v/>
      </c>
      <c r="W4663" s="17"/>
      <c r="X4663" s="18">
        <f t="shared" si="262"/>
        <v>0</v>
      </c>
      <c r="Y4663" t="str">
        <f>SUBSTITUTE(Tabla1[[#This Row],[Descripción]],CHAR(10),"    I    ")</f>
        <v/>
      </c>
      <c r="Z4663" s="112" t="e">
        <f>VLOOKUP(Tabla1[[#This Row],[Perfil]],Catalogos!$B$75:$D$100,3,FALSE)*Tabla1[[#This Row],[Tiempo
(Hrs 00/100)]]*1.16</f>
        <v>#N/A</v>
      </c>
    </row>
    <row r="4664" spans="1:26" ht="30" customHeight="1" x14ac:dyDescent="0.3">
      <c r="A4664" s="106"/>
      <c r="B4664" s="106"/>
      <c r="C4664" s="106"/>
      <c r="D4664" s="106"/>
      <c r="E4664" s="106"/>
      <c r="F4664" s="106"/>
      <c r="G4664" s="106"/>
      <c r="H4664" s="107"/>
      <c r="I4664" s="95"/>
      <c r="J4664" s="706"/>
      <c r="K4664" s="769"/>
      <c r="L4664" s="706"/>
      <c r="M4664" s="781"/>
      <c r="N4664" s="182"/>
      <c r="O4664" s="188"/>
      <c r="P4664" s="221"/>
      <c r="Q4664" s="106"/>
      <c r="R4664" s="108"/>
      <c r="S4664" s="108"/>
      <c r="T4664" s="108"/>
      <c r="U4664" s="108" t="str">
        <f>IFERROR(VLOOKUP(CONCATENATE(Tabla1[[#This Row],[Severidad]]," ",Tabla1[[#This Row],[Complejidad]]),Catalogos!E$120:G$128,3,FALSE),"")</f>
        <v/>
      </c>
      <c r="V4664" s="108" t="str">
        <f>IF(Tabla1[[#This Row],[Tiempo solución max (hrs)]]&lt;&gt;"",IF(Tabla1[[#This Row],[Tiempo solución max (hrs)]]&gt;=Tabla1[[#This Row],[Tiempo
(Hrs 00/100)]],"cumple","no cumple"),"")</f>
        <v/>
      </c>
      <c r="W4664" s="17"/>
      <c r="X4664" s="18">
        <f t="shared" si="262"/>
        <v>0</v>
      </c>
      <c r="Y4664" t="str">
        <f>SUBSTITUTE(Tabla1[[#This Row],[Descripción]],CHAR(10),"    I    ")</f>
        <v/>
      </c>
      <c r="Z4664" s="112" t="e">
        <f>VLOOKUP(Tabla1[[#This Row],[Perfil]],Catalogos!$B$75:$D$100,3,FALSE)*Tabla1[[#This Row],[Tiempo
(Hrs 00/100)]]*1.16</f>
        <v>#N/A</v>
      </c>
    </row>
    <row r="4665" spans="1:26" ht="30" customHeight="1" x14ac:dyDescent="0.3">
      <c r="A4665" s="106"/>
      <c r="B4665" s="106"/>
      <c r="C4665" s="106"/>
      <c r="D4665" s="106"/>
      <c r="E4665" s="106"/>
      <c r="F4665" s="106"/>
      <c r="G4665" s="106"/>
      <c r="H4665" s="107"/>
      <c r="I4665" s="95"/>
      <c r="J4665" s="706"/>
      <c r="K4665" s="769"/>
      <c r="L4665" s="706"/>
      <c r="M4665" s="781"/>
      <c r="N4665" s="182"/>
      <c r="O4665" s="188"/>
      <c r="P4665" s="221"/>
      <c r="Q4665" s="106"/>
      <c r="R4665" s="108"/>
      <c r="S4665" s="108"/>
      <c r="T4665" s="108"/>
      <c r="U4665" s="108" t="str">
        <f>IFERROR(VLOOKUP(CONCATENATE(Tabla1[[#This Row],[Severidad]]," ",Tabla1[[#This Row],[Complejidad]]),Catalogos!E$120:G$128,3,FALSE),"")</f>
        <v/>
      </c>
      <c r="V4665" s="108" t="str">
        <f>IF(Tabla1[[#This Row],[Tiempo solución max (hrs)]]&lt;&gt;"",IF(Tabla1[[#This Row],[Tiempo solución max (hrs)]]&gt;=Tabla1[[#This Row],[Tiempo
(Hrs 00/100)]],"cumple","no cumple"),"")</f>
        <v/>
      </c>
      <c r="W4665" s="17"/>
      <c r="X4665" s="18">
        <f t="shared" si="262"/>
        <v>0</v>
      </c>
      <c r="Y4665" t="str">
        <f>SUBSTITUTE(Tabla1[[#This Row],[Descripción]],CHAR(10),"    I    ")</f>
        <v/>
      </c>
      <c r="Z4665" s="112" t="e">
        <f>VLOOKUP(Tabla1[[#This Row],[Perfil]],Catalogos!$B$75:$D$100,3,FALSE)*Tabla1[[#This Row],[Tiempo
(Hrs 00/100)]]*1.16</f>
        <v>#N/A</v>
      </c>
    </row>
    <row r="4666" spans="1:26" ht="30" customHeight="1" x14ac:dyDescent="0.3">
      <c r="A4666" s="106"/>
      <c r="B4666" s="106"/>
      <c r="C4666" s="106"/>
      <c r="D4666" s="106"/>
      <c r="E4666" s="106"/>
      <c r="F4666" s="106"/>
      <c r="G4666" s="106"/>
      <c r="H4666" s="107"/>
      <c r="I4666" s="95"/>
      <c r="J4666" s="706"/>
      <c r="K4666" s="769"/>
      <c r="L4666" s="706"/>
      <c r="M4666" s="781"/>
      <c r="N4666" s="182"/>
      <c r="O4666" s="188"/>
      <c r="P4666" s="221"/>
      <c r="Q4666" s="106"/>
      <c r="R4666" s="108"/>
      <c r="S4666" s="108"/>
      <c r="T4666" s="108"/>
      <c r="U4666" s="108" t="str">
        <f>IFERROR(VLOOKUP(CONCATENATE(Tabla1[[#This Row],[Severidad]]," ",Tabla1[[#This Row],[Complejidad]]),Catalogos!E$120:G$128,3,FALSE),"")</f>
        <v/>
      </c>
      <c r="V4666" s="108" t="str">
        <f>IF(Tabla1[[#This Row],[Tiempo solución max (hrs)]]&lt;&gt;"",IF(Tabla1[[#This Row],[Tiempo solución max (hrs)]]&gt;=Tabla1[[#This Row],[Tiempo
(Hrs 00/100)]],"cumple","no cumple"),"")</f>
        <v/>
      </c>
      <c r="W4666" s="17"/>
      <c r="X4666" s="18">
        <f t="shared" si="262"/>
        <v>0</v>
      </c>
      <c r="Y4666" t="str">
        <f>SUBSTITUTE(Tabla1[[#This Row],[Descripción]],CHAR(10),"    I    ")</f>
        <v/>
      </c>
      <c r="Z4666" s="112" t="e">
        <f>VLOOKUP(Tabla1[[#This Row],[Perfil]],Catalogos!$B$75:$D$100,3,FALSE)*Tabla1[[#This Row],[Tiempo
(Hrs 00/100)]]*1.16</f>
        <v>#N/A</v>
      </c>
    </row>
    <row r="4667" spans="1:26" ht="30" customHeight="1" x14ac:dyDescent="0.3">
      <c r="A4667" s="106"/>
      <c r="B4667" s="106"/>
      <c r="C4667" s="106"/>
      <c r="D4667" s="106"/>
      <c r="E4667" s="106"/>
      <c r="F4667" s="106"/>
      <c r="G4667" s="106"/>
      <c r="H4667" s="107"/>
      <c r="I4667" s="95"/>
      <c r="J4667" s="706"/>
      <c r="K4667" s="769"/>
      <c r="L4667" s="706"/>
      <c r="M4667" s="781"/>
      <c r="N4667" s="182"/>
      <c r="O4667" s="188"/>
      <c r="P4667" s="221"/>
      <c r="Q4667" s="106"/>
      <c r="R4667" s="108"/>
      <c r="S4667" s="108"/>
      <c r="T4667" s="108"/>
      <c r="U4667" s="108" t="str">
        <f>IFERROR(VLOOKUP(CONCATENATE(Tabla1[[#This Row],[Severidad]]," ",Tabla1[[#This Row],[Complejidad]]),Catalogos!E$120:G$128,3,FALSE),"")</f>
        <v/>
      </c>
      <c r="V4667" s="108" t="str">
        <f>IF(Tabla1[[#This Row],[Tiempo solución max (hrs)]]&lt;&gt;"",IF(Tabla1[[#This Row],[Tiempo solución max (hrs)]]&gt;=Tabla1[[#This Row],[Tiempo
(Hrs 00/100)]],"cumple","no cumple"),"")</f>
        <v/>
      </c>
      <c r="W4667" s="17"/>
      <c r="X4667" s="18">
        <f t="shared" si="262"/>
        <v>0</v>
      </c>
      <c r="Y4667" t="str">
        <f>SUBSTITUTE(Tabla1[[#This Row],[Descripción]],CHAR(10),"    I    ")</f>
        <v/>
      </c>
      <c r="Z4667" s="112" t="e">
        <f>VLOOKUP(Tabla1[[#This Row],[Perfil]],Catalogos!$B$75:$D$100,3,FALSE)*Tabla1[[#This Row],[Tiempo
(Hrs 00/100)]]*1.16</f>
        <v>#N/A</v>
      </c>
    </row>
    <row r="4668" spans="1:26" ht="30" customHeight="1" x14ac:dyDescent="0.3">
      <c r="A4668" s="106"/>
      <c r="B4668" s="106"/>
      <c r="C4668" s="106"/>
      <c r="D4668" s="106"/>
      <c r="E4668" s="106"/>
      <c r="F4668" s="106"/>
      <c r="G4668" s="106"/>
      <c r="H4668" s="107"/>
      <c r="I4668" s="95"/>
      <c r="J4668" s="706"/>
      <c r="K4668" s="769"/>
      <c r="L4668" s="706"/>
      <c r="M4668" s="781"/>
      <c r="N4668" s="182"/>
      <c r="O4668" s="188"/>
      <c r="P4668" s="221"/>
      <c r="Q4668" s="106"/>
      <c r="R4668" s="108"/>
      <c r="S4668" s="108"/>
      <c r="T4668" s="108"/>
      <c r="U4668" s="108" t="str">
        <f>IFERROR(VLOOKUP(CONCATENATE(Tabla1[[#This Row],[Severidad]]," ",Tabla1[[#This Row],[Complejidad]]),Catalogos!E$120:G$128,3,FALSE),"")</f>
        <v/>
      </c>
      <c r="V4668" s="108" t="str">
        <f>IF(Tabla1[[#This Row],[Tiempo solución max (hrs)]]&lt;&gt;"",IF(Tabla1[[#This Row],[Tiempo solución max (hrs)]]&gt;=Tabla1[[#This Row],[Tiempo
(Hrs 00/100)]],"cumple","no cumple"),"")</f>
        <v/>
      </c>
      <c r="W4668" s="17"/>
      <c r="X4668" s="18">
        <f t="shared" si="262"/>
        <v>0</v>
      </c>
      <c r="Y4668" t="str">
        <f>SUBSTITUTE(Tabla1[[#This Row],[Descripción]],CHAR(10),"    I    ")</f>
        <v/>
      </c>
      <c r="Z4668" s="112" t="e">
        <f>VLOOKUP(Tabla1[[#This Row],[Perfil]],Catalogos!$B$75:$D$100,3,FALSE)*Tabla1[[#This Row],[Tiempo
(Hrs 00/100)]]*1.16</f>
        <v>#N/A</v>
      </c>
    </row>
    <row r="4669" spans="1:26" ht="30" customHeight="1" x14ac:dyDescent="0.3">
      <c r="A4669" s="106"/>
      <c r="B4669" s="106"/>
      <c r="C4669" s="106"/>
      <c r="D4669" s="106"/>
      <c r="E4669" s="106"/>
      <c r="F4669" s="106"/>
      <c r="G4669" s="106"/>
      <c r="H4669" s="107"/>
      <c r="I4669" s="95"/>
      <c r="J4669" s="706"/>
      <c r="K4669" s="769"/>
      <c r="L4669" s="706"/>
      <c r="M4669" s="781"/>
      <c r="N4669" s="182"/>
      <c r="O4669" s="188"/>
      <c r="P4669" s="221"/>
      <c r="Q4669" s="106"/>
      <c r="R4669" s="108"/>
      <c r="S4669" s="108"/>
      <c r="T4669" s="108"/>
      <c r="U4669" s="108" t="str">
        <f>IFERROR(VLOOKUP(CONCATENATE(Tabla1[[#This Row],[Severidad]]," ",Tabla1[[#This Row],[Complejidad]]),Catalogos!E$120:G$128,3,FALSE),"")</f>
        <v/>
      </c>
      <c r="V4669" s="108" t="str">
        <f>IF(Tabla1[[#This Row],[Tiempo solución max (hrs)]]&lt;&gt;"",IF(Tabla1[[#This Row],[Tiempo solución max (hrs)]]&gt;=Tabla1[[#This Row],[Tiempo
(Hrs 00/100)]],"cumple","no cumple"),"")</f>
        <v/>
      </c>
      <c r="W4669" s="17"/>
      <c r="X4669" s="18">
        <f t="shared" si="262"/>
        <v>0</v>
      </c>
      <c r="Y4669" t="str">
        <f>SUBSTITUTE(Tabla1[[#This Row],[Descripción]],CHAR(10),"    I    ")</f>
        <v/>
      </c>
      <c r="Z4669" s="112" t="e">
        <f>VLOOKUP(Tabla1[[#This Row],[Perfil]],Catalogos!$B$75:$D$100,3,FALSE)*Tabla1[[#This Row],[Tiempo
(Hrs 00/100)]]*1.16</f>
        <v>#N/A</v>
      </c>
    </row>
    <row r="4670" spans="1:26" ht="30" customHeight="1" x14ac:dyDescent="0.3">
      <c r="A4670" s="106"/>
      <c r="B4670" s="106"/>
      <c r="C4670" s="106"/>
      <c r="D4670" s="106"/>
      <c r="E4670" s="106"/>
      <c r="F4670" s="106"/>
      <c r="G4670" s="106"/>
      <c r="H4670" s="107"/>
      <c r="I4670" s="95"/>
      <c r="J4670" s="706"/>
      <c r="K4670" s="769"/>
      <c r="L4670" s="706"/>
      <c r="M4670" s="781"/>
      <c r="N4670" s="182"/>
      <c r="O4670" s="188"/>
      <c r="P4670" s="221"/>
      <c r="Q4670" s="106"/>
      <c r="R4670" s="108"/>
      <c r="S4670" s="108"/>
      <c r="T4670" s="108"/>
      <c r="U4670" s="108" t="str">
        <f>IFERROR(VLOOKUP(CONCATENATE(Tabla1[[#This Row],[Severidad]]," ",Tabla1[[#This Row],[Complejidad]]),Catalogos!E$120:G$128,3,FALSE),"")</f>
        <v/>
      </c>
      <c r="V4670" s="108" t="str">
        <f>IF(Tabla1[[#This Row],[Tiempo solución max (hrs)]]&lt;&gt;"",IF(Tabla1[[#This Row],[Tiempo solución max (hrs)]]&gt;=Tabla1[[#This Row],[Tiempo
(Hrs 00/100)]],"cumple","no cumple"),"")</f>
        <v/>
      </c>
      <c r="W4670" s="17"/>
      <c r="X4670" s="18">
        <f t="shared" si="262"/>
        <v>0</v>
      </c>
      <c r="Y4670" t="str">
        <f>SUBSTITUTE(Tabla1[[#This Row],[Descripción]],CHAR(10),"    I    ")</f>
        <v/>
      </c>
      <c r="Z4670" s="112" t="e">
        <f>VLOOKUP(Tabla1[[#This Row],[Perfil]],Catalogos!$B$75:$D$100,3,FALSE)*Tabla1[[#This Row],[Tiempo
(Hrs 00/100)]]*1.16</f>
        <v>#N/A</v>
      </c>
    </row>
    <row r="4671" spans="1:26" ht="30" customHeight="1" x14ac:dyDescent="0.3">
      <c r="A4671" s="106"/>
      <c r="B4671" s="106"/>
      <c r="C4671" s="106"/>
      <c r="D4671" s="106"/>
      <c r="E4671" s="106"/>
      <c r="F4671" s="106"/>
      <c r="G4671" s="106"/>
      <c r="H4671" s="107"/>
      <c r="I4671" s="95"/>
      <c r="J4671" s="706"/>
      <c r="K4671" s="769"/>
      <c r="L4671" s="706"/>
      <c r="M4671" s="781"/>
      <c r="N4671" s="182"/>
      <c r="O4671" s="188"/>
      <c r="P4671" s="221"/>
      <c r="Q4671" s="106"/>
      <c r="R4671" s="108"/>
      <c r="S4671" s="108"/>
      <c r="T4671" s="108"/>
      <c r="U4671" s="108" t="str">
        <f>IFERROR(VLOOKUP(CONCATENATE(Tabla1[[#This Row],[Severidad]]," ",Tabla1[[#This Row],[Complejidad]]),Catalogos!E$120:G$128,3,FALSE),"")</f>
        <v/>
      </c>
      <c r="V4671" s="108" t="str">
        <f>IF(Tabla1[[#This Row],[Tiempo solución max (hrs)]]&lt;&gt;"",IF(Tabla1[[#This Row],[Tiempo solución max (hrs)]]&gt;=Tabla1[[#This Row],[Tiempo
(Hrs 00/100)]],"cumple","no cumple"),"")</f>
        <v/>
      </c>
      <c r="W4671" s="17"/>
      <c r="X4671" s="18">
        <f t="shared" si="262"/>
        <v>0</v>
      </c>
      <c r="Y4671" t="str">
        <f>SUBSTITUTE(Tabla1[[#This Row],[Descripción]],CHAR(10),"    I    ")</f>
        <v/>
      </c>
      <c r="Z4671" s="112" t="e">
        <f>VLOOKUP(Tabla1[[#This Row],[Perfil]],Catalogos!$B$75:$D$100,3,FALSE)*Tabla1[[#This Row],[Tiempo
(Hrs 00/100)]]*1.16</f>
        <v>#N/A</v>
      </c>
    </row>
    <row r="4672" spans="1:26" ht="30" customHeight="1" x14ac:dyDescent="0.3">
      <c r="A4672" s="106"/>
      <c r="B4672" s="106"/>
      <c r="C4672" s="106"/>
      <c r="D4672" s="106"/>
      <c r="E4672" s="106"/>
      <c r="F4672" s="106"/>
      <c r="G4672" s="106"/>
      <c r="H4672" s="107"/>
      <c r="I4672" s="95"/>
      <c r="J4672" s="706"/>
      <c r="K4672" s="769"/>
      <c r="L4672" s="706"/>
      <c r="M4672" s="781"/>
      <c r="N4672" s="182"/>
      <c r="O4672" s="188"/>
      <c r="P4672" s="221"/>
      <c r="Q4672" s="106"/>
      <c r="R4672" s="108"/>
      <c r="S4672" s="108"/>
      <c r="T4672" s="108"/>
      <c r="U4672" s="108" t="str">
        <f>IFERROR(VLOOKUP(CONCATENATE(Tabla1[[#This Row],[Severidad]]," ",Tabla1[[#This Row],[Complejidad]]),Catalogos!E$120:G$128,3,FALSE),"")</f>
        <v/>
      </c>
      <c r="V4672" s="108" t="str">
        <f>IF(Tabla1[[#This Row],[Tiempo solución max (hrs)]]&lt;&gt;"",IF(Tabla1[[#This Row],[Tiempo solución max (hrs)]]&gt;=Tabla1[[#This Row],[Tiempo
(Hrs 00/100)]],"cumple","no cumple"),"")</f>
        <v/>
      </c>
      <c r="W4672" s="17"/>
      <c r="X4672" s="18">
        <f t="shared" si="262"/>
        <v>0</v>
      </c>
      <c r="Y4672" t="str">
        <f>SUBSTITUTE(Tabla1[[#This Row],[Descripción]],CHAR(10),"    I    ")</f>
        <v/>
      </c>
      <c r="Z4672" s="112" t="e">
        <f>VLOOKUP(Tabla1[[#This Row],[Perfil]],Catalogos!$B$75:$D$100,3,FALSE)*Tabla1[[#This Row],[Tiempo
(Hrs 00/100)]]*1.16</f>
        <v>#N/A</v>
      </c>
    </row>
    <row r="4673" spans="1:26" ht="30" customHeight="1" x14ac:dyDescent="0.3">
      <c r="A4673" s="106"/>
      <c r="B4673" s="106"/>
      <c r="C4673" s="106"/>
      <c r="D4673" s="106"/>
      <c r="E4673" s="106"/>
      <c r="F4673" s="106"/>
      <c r="G4673" s="106"/>
      <c r="H4673" s="107"/>
      <c r="I4673" s="95"/>
      <c r="J4673" s="706"/>
      <c r="K4673" s="769"/>
      <c r="L4673" s="706"/>
      <c r="M4673" s="781"/>
      <c r="N4673" s="182"/>
      <c r="O4673" s="188"/>
      <c r="P4673" s="221"/>
      <c r="Q4673" s="106"/>
      <c r="R4673" s="108"/>
      <c r="S4673" s="108"/>
      <c r="T4673" s="108"/>
      <c r="U4673" s="108" t="str">
        <f>IFERROR(VLOOKUP(CONCATENATE(Tabla1[[#This Row],[Severidad]]," ",Tabla1[[#This Row],[Complejidad]]),Catalogos!E$120:G$128,3,FALSE),"")</f>
        <v/>
      </c>
      <c r="V4673" s="108" t="str">
        <f>IF(Tabla1[[#This Row],[Tiempo solución max (hrs)]]&lt;&gt;"",IF(Tabla1[[#This Row],[Tiempo solución max (hrs)]]&gt;=Tabla1[[#This Row],[Tiempo
(Hrs 00/100)]],"cumple","no cumple"),"")</f>
        <v/>
      </c>
      <c r="W4673" s="17"/>
      <c r="X4673" s="18">
        <f t="shared" si="262"/>
        <v>0</v>
      </c>
      <c r="Y4673" t="str">
        <f>SUBSTITUTE(Tabla1[[#This Row],[Descripción]],CHAR(10),"    I    ")</f>
        <v/>
      </c>
      <c r="Z4673" s="112" t="e">
        <f>VLOOKUP(Tabla1[[#This Row],[Perfil]],Catalogos!$B$75:$D$100,3,FALSE)*Tabla1[[#This Row],[Tiempo
(Hrs 00/100)]]*1.16</f>
        <v>#N/A</v>
      </c>
    </row>
    <row r="4674" spans="1:26" ht="30" customHeight="1" x14ac:dyDescent="0.3">
      <c r="A4674" s="106"/>
      <c r="B4674" s="106"/>
      <c r="C4674" s="106"/>
      <c r="D4674" s="106"/>
      <c r="E4674" s="106"/>
      <c r="F4674" s="106"/>
      <c r="G4674" s="106"/>
      <c r="H4674" s="107"/>
      <c r="I4674" s="95"/>
      <c r="J4674" s="706"/>
      <c r="K4674" s="769"/>
      <c r="L4674" s="706"/>
      <c r="M4674" s="781"/>
      <c r="N4674" s="182"/>
      <c r="O4674" s="188"/>
      <c r="P4674" s="221"/>
      <c r="Q4674" s="106"/>
      <c r="R4674" s="108"/>
      <c r="S4674" s="108"/>
      <c r="T4674" s="108"/>
      <c r="U4674" s="108" t="str">
        <f>IFERROR(VLOOKUP(CONCATENATE(Tabla1[[#This Row],[Severidad]]," ",Tabla1[[#This Row],[Complejidad]]),Catalogos!E$120:G$128,3,FALSE),"")</f>
        <v/>
      </c>
      <c r="V4674" s="108" t="str">
        <f>IF(Tabla1[[#This Row],[Tiempo solución max (hrs)]]&lt;&gt;"",IF(Tabla1[[#This Row],[Tiempo solución max (hrs)]]&gt;=Tabla1[[#This Row],[Tiempo
(Hrs 00/100)]],"cumple","no cumple"),"")</f>
        <v/>
      </c>
      <c r="W4674" s="17"/>
      <c r="X4674" s="18">
        <f t="shared" si="262"/>
        <v>0</v>
      </c>
      <c r="Y4674" t="str">
        <f>SUBSTITUTE(Tabla1[[#This Row],[Descripción]],CHAR(10),"    I    ")</f>
        <v/>
      </c>
      <c r="Z4674" s="112" t="e">
        <f>VLOOKUP(Tabla1[[#This Row],[Perfil]],Catalogos!$B$75:$D$100,3,FALSE)*Tabla1[[#This Row],[Tiempo
(Hrs 00/100)]]*1.16</f>
        <v>#N/A</v>
      </c>
    </row>
    <row r="4675" spans="1:26" ht="30" customHeight="1" x14ac:dyDescent="0.3">
      <c r="A4675" s="106"/>
      <c r="B4675" s="106"/>
      <c r="C4675" s="106"/>
      <c r="D4675" s="106"/>
      <c r="E4675" s="106"/>
      <c r="F4675" s="106"/>
      <c r="G4675" s="106"/>
      <c r="H4675" s="107"/>
      <c r="I4675" s="95"/>
      <c r="J4675" s="706"/>
      <c r="K4675" s="769"/>
      <c r="L4675" s="706"/>
      <c r="M4675" s="781"/>
      <c r="N4675" s="182"/>
      <c r="O4675" s="188"/>
      <c r="P4675" s="221"/>
      <c r="Q4675" s="106"/>
      <c r="R4675" s="108"/>
      <c r="S4675" s="108"/>
      <c r="T4675" s="108"/>
      <c r="U4675" s="108" t="str">
        <f>IFERROR(VLOOKUP(CONCATENATE(Tabla1[[#This Row],[Severidad]]," ",Tabla1[[#This Row],[Complejidad]]),Catalogos!E$120:G$128,3,FALSE),"")</f>
        <v/>
      </c>
      <c r="V4675" s="108" t="str">
        <f>IF(Tabla1[[#This Row],[Tiempo solución max (hrs)]]&lt;&gt;"",IF(Tabla1[[#This Row],[Tiempo solución max (hrs)]]&gt;=Tabla1[[#This Row],[Tiempo
(Hrs 00/100)]],"cumple","no cumple"),"")</f>
        <v/>
      </c>
      <c r="W4675" s="17"/>
      <c r="X4675" s="18">
        <f t="shared" ref="X4675:X4738" si="263">IF(C4675&lt;&gt;"",C4675,D4675)</f>
        <v>0</v>
      </c>
      <c r="Y4675" t="str">
        <f>SUBSTITUTE(Tabla1[[#This Row],[Descripción]],CHAR(10),"    I    ")</f>
        <v/>
      </c>
      <c r="Z4675" s="112" t="e">
        <f>VLOOKUP(Tabla1[[#This Row],[Perfil]],Catalogos!$B$75:$D$100,3,FALSE)*Tabla1[[#This Row],[Tiempo
(Hrs 00/100)]]*1.16</f>
        <v>#N/A</v>
      </c>
    </row>
    <row r="4676" spans="1:26" ht="30" customHeight="1" x14ac:dyDescent="0.3">
      <c r="A4676" s="106"/>
      <c r="B4676" s="106"/>
      <c r="C4676" s="106"/>
      <c r="D4676" s="106"/>
      <c r="E4676" s="106"/>
      <c r="F4676" s="106"/>
      <c r="G4676" s="106"/>
      <c r="H4676" s="107"/>
      <c r="I4676" s="95"/>
      <c r="J4676" s="706"/>
      <c r="K4676" s="769"/>
      <c r="L4676" s="706"/>
      <c r="M4676" s="781"/>
      <c r="N4676" s="182"/>
      <c r="O4676" s="188"/>
      <c r="P4676" s="221"/>
      <c r="Q4676" s="106"/>
      <c r="R4676" s="108"/>
      <c r="S4676" s="108"/>
      <c r="T4676" s="108"/>
      <c r="U4676" s="108" t="str">
        <f>IFERROR(VLOOKUP(CONCATENATE(Tabla1[[#This Row],[Severidad]]," ",Tabla1[[#This Row],[Complejidad]]),Catalogos!E$120:G$128,3,FALSE),"")</f>
        <v/>
      </c>
      <c r="V4676" s="108" t="str">
        <f>IF(Tabla1[[#This Row],[Tiempo solución max (hrs)]]&lt;&gt;"",IF(Tabla1[[#This Row],[Tiempo solución max (hrs)]]&gt;=Tabla1[[#This Row],[Tiempo
(Hrs 00/100)]],"cumple","no cumple"),"")</f>
        <v/>
      </c>
      <c r="W4676" s="17"/>
      <c r="X4676" s="18">
        <f t="shared" si="263"/>
        <v>0</v>
      </c>
      <c r="Y4676" t="str">
        <f>SUBSTITUTE(Tabla1[[#This Row],[Descripción]],CHAR(10),"    I    ")</f>
        <v/>
      </c>
      <c r="Z4676" s="112" t="e">
        <f>VLOOKUP(Tabla1[[#This Row],[Perfil]],Catalogos!$B$75:$D$100,3,FALSE)*Tabla1[[#This Row],[Tiempo
(Hrs 00/100)]]*1.16</f>
        <v>#N/A</v>
      </c>
    </row>
    <row r="4677" spans="1:26" ht="30" customHeight="1" x14ac:dyDescent="0.3">
      <c r="A4677" s="106"/>
      <c r="B4677" s="106"/>
      <c r="C4677" s="106"/>
      <c r="D4677" s="106"/>
      <c r="E4677" s="106"/>
      <c r="F4677" s="106"/>
      <c r="G4677" s="106"/>
      <c r="H4677" s="107"/>
      <c r="I4677" s="95"/>
      <c r="J4677" s="706"/>
      <c r="K4677" s="769"/>
      <c r="L4677" s="706"/>
      <c r="M4677" s="781"/>
      <c r="N4677" s="182"/>
      <c r="O4677" s="188"/>
      <c r="P4677" s="221"/>
      <c r="Q4677" s="106"/>
      <c r="R4677" s="108"/>
      <c r="S4677" s="108"/>
      <c r="T4677" s="108"/>
      <c r="U4677" s="108" t="str">
        <f>IFERROR(VLOOKUP(CONCATENATE(Tabla1[[#This Row],[Severidad]]," ",Tabla1[[#This Row],[Complejidad]]),Catalogos!E$120:G$128,3,FALSE),"")</f>
        <v/>
      </c>
      <c r="V4677" s="108" t="str">
        <f>IF(Tabla1[[#This Row],[Tiempo solución max (hrs)]]&lt;&gt;"",IF(Tabla1[[#This Row],[Tiempo solución max (hrs)]]&gt;=Tabla1[[#This Row],[Tiempo
(Hrs 00/100)]],"cumple","no cumple"),"")</f>
        <v/>
      </c>
      <c r="W4677" s="17"/>
      <c r="X4677" s="18">
        <f t="shared" si="263"/>
        <v>0</v>
      </c>
      <c r="Y4677" t="str">
        <f>SUBSTITUTE(Tabla1[[#This Row],[Descripción]],CHAR(10),"    I    ")</f>
        <v/>
      </c>
      <c r="Z4677" s="112" t="e">
        <f>VLOOKUP(Tabla1[[#This Row],[Perfil]],Catalogos!$B$75:$D$100,3,FALSE)*Tabla1[[#This Row],[Tiempo
(Hrs 00/100)]]*1.16</f>
        <v>#N/A</v>
      </c>
    </row>
    <row r="4678" spans="1:26" ht="30" customHeight="1" x14ac:dyDescent="0.3">
      <c r="A4678" s="106"/>
      <c r="B4678" s="106"/>
      <c r="C4678" s="106"/>
      <c r="D4678" s="106"/>
      <c r="E4678" s="106"/>
      <c r="F4678" s="106"/>
      <c r="G4678" s="106"/>
      <c r="H4678" s="107"/>
      <c r="I4678" s="95"/>
      <c r="J4678" s="706"/>
      <c r="K4678" s="769"/>
      <c r="L4678" s="706"/>
      <c r="M4678" s="781"/>
      <c r="N4678" s="182"/>
      <c r="O4678" s="188"/>
      <c r="P4678" s="221"/>
      <c r="Q4678" s="106"/>
      <c r="R4678" s="108"/>
      <c r="S4678" s="108"/>
      <c r="T4678" s="108"/>
      <c r="U4678" s="108" t="str">
        <f>IFERROR(VLOOKUP(CONCATENATE(Tabla1[[#This Row],[Severidad]]," ",Tabla1[[#This Row],[Complejidad]]),Catalogos!E$120:G$128,3,FALSE),"")</f>
        <v/>
      </c>
      <c r="V4678" s="108" t="str">
        <f>IF(Tabla1[[#This Row],[Tiempo solución max (hrs)]]&lt;&gt;"",IF(Tabla1[[#This Row],[Tiempo solución max (hrs)]]&gt;=Tabla1[[#This Row],[Tiempo
(Hrs 00/100)]],"cumple","no cumple"),"")</f>
        <v/>
      </c>
      <c r="W4678" s="17"/>
      <c r="X4678" s="18">
        <f t="shared" si="263"/>
        <v>0</v>
      </c>
      <c r="Y4678" t="str">
        <f>SUBSTITUTE(Tabla1[[#This Row],[Descripción]],CHAR(10),"    I    ")</f>
        <v/>
      </c>
      <c r="Z4678" s="112" t="e">
        <f>VLOOKUP(Tabla1[[#This Row],[Perfil]],Catalogos!$B$75:$D$100,3,FALSE)*Tabla1[[#This Row],[Tiempo
(Hrs 00/100)]]*1.16</f>
        <v>#N/A</v>
      </c>
    </row>
    <row r="4679" spans="1:26" ht="30" customHeight="1" x14ac:dyDescent="0.3">
      <c r="A4679" s="106"/>
      <c r="B4679" s="106"/>
      <c r="C4679" s="106"/>
      <c r="D4679" s="106"/>
      <c r="E4679" s="106"/>
      <c r="F4679" s="106"/>
      <c r="G4679" s="106"/>
      <c r="H4679" s="107"/>
      <c r="I4679" s="95"/>
      <c r="J4679" s="706"/>
      <c r="K4679" s="769"/>
      <c r="L4679" s="706"/>
      <c r="M4679" s="781"/>
      <c r="N4679" s="182"/>
      <c r="O4679" s="188"/>
      <c r="P4679" s="221"/>
      <c r="Q4679" s="106"/>
      <c r="R4679" s="108"/>
      <c r="S4679" s="108"/>
      <c r="T4679" s="108"/>
      <c r="U4679" s="108" t="str">
        <f>IFERROR(VLOOKUP(CONCATENATE(Tabla1[[#This Row],[Severidad]]," ",Tabla1[[#This Row],[Complejidad]]),Catalogos!E$120:G$128,3,FALSE),"")</f>
        <v/>
      </c>
      <c r="V4679" s="108" t="str">
        <f>IF(Tabla1[[#This Row],[Tiempo solución max (hrs)]]&lt;&gt;"",IF(Tabla1[[#This Row],[Tiempo solución max (hrs)]]&gt;=Tabla1[[#This Row],[Tiempo
(Hrs 00/100)]],"cumple","no cumple"),"")</f>
        <v/>
      </c>
      <c r="W4679" s="17"/>
      <c r="X4679" s="18">
        <f t="shared" si="263"/>
        <v>0</v>
      </c>
      <c r="Y4679" t="str">
        <f>SUBSTITUTE(Tabla1[[#This Row],[Descripción]],CHAR(10),"    I    ")</f>
        <v/>
      </c>
      <c r="Z4679" s="112" t="e">
        <f>VLOOKUP(Tabla1[[#This Row],[Perfil]],Catalogos!$B$75:$D$100,3,FALSE)*Tabla1[[#This Row],[Tiempo
(Hrs 00/100)]]*1.16</f>
        <v>#N/A</v>
      </c>
    </row>
    <row r="4680" spans="1:26" ht="30" customHeight="1" x14ac:dyDescent="0.3">
      <c r="A4680" s="106"/>
      <c r="B4680" s="106"/>
      <c r="C4680" s="106"/>
      <c r="D4680" s="106"/>
      <c r="E4680" s="106"/>
      <c r="F4680" s="106"/>
      <c r="G4680" s="106"/>
      <c r="H4680" s="107"/>
      <c r="I4680" s="95"/>
      <c r="J4680" s="706"/>
      <c r="K4680" s="769"/>
      <c r="L4680" s="706"/>
      <c r="M4680" s="781"/>
      <c r="N4680" s="182"/>
      <c r="O4680" s="188"/>
      <c r="P4680" s="221"/>
      <c r="Q4680" s="106"/>
      <c r="R4680" s="108"/>
      <c r="S4680" s="108"/>
      <c r="T4680" s="108"/>
      <c r="U4680" s="108" t="str">
        <f>IFERROR(VLOOKUP(CONCATENATE(Tabla1[[#This Row],[Severidad]]," ",Tabla1[[#This Row],[Complejidad]]),Catalogos!E$120:G$128,3,FALSE),"")</f>
        <v/>
      </c>
      <c r="V4680" s="108" t="str">
        <f>IF(Tabla1[[#This Row],[Tiempo solución max (hrs)]]&lt;&gt;"",IF(Tabla1[[#This Row],[Tiempo solución max (hrs)]]&gt;=Tabla1[[#This Row],[Tiempo
(Hrs 00/100)]],"cumple","no cumple"),"")</f>
        <v/>
      </c>
      <c r="W4680" s="17"/>
      <c r="X4680" s="18">
        <f t="shared" si="263"/>
        <v>0</v>
      </c>
      <c r="Y4680" t="str">
        <f>SUBSTITUTE(Tabla1[[#This Row],[Descripción]],CHAR(10),"    I    ")</f>
        <v/>
      </c>
      <c r="Z4680" s="112" t="e">
        <f>VLOOKUP(Tabla1[[#This Row],[Perfil]],Catalogos!$B$75:$D$100,3,FALSE)*Tabla1[[#This Row],[Tiempo
(Hrs 00/100)]]*1.16</f>
        <v>#N/A</v>
      </c>
    </row>
    <row r="4681" spans="1:26" ht="30" customHeight="1" x14ac:dyDescent="0.3">
      <c r="A4681" s="106"/>
      <c r="B4681" s="106"/>
      <c r="C4681" s="106"/>
      <c r="D4681" s="106"/>
      <c r="E4681" s="106"/>
      <c r="F4681" s="106"/>
      <c r="G4681" s="106"/>
      <c r="H4681" s="107"/>
      <c r="I4681" s="95"/>
      <c r="J4681" s="706"/>
      <c r="K4681" s="769"/>
      <c r="L4681" s="706"/>
      <c r="M4681" s="781"/>
      <c r="N4681" s="182"/>
      <c r="O4681" s="188"/>
      <c r="P4681" s="221"/>
      <c r="Q4681" s="106"/>
      <c r="R4681" s="108"/>
      <c r="S4681" s="108"/>
      <c r="T4681" s="108"/>
      <c r="U4681" s="108" t="str">
        <f>IFERROR(VLOOKUP(CONCATENATE(Tabla1[[#This Row],[Severidad]]," ",Tabla1[[#This Row],[Complejidad]]),Catalogos!E$120:G$128,3,FALSE),"")</f>
        <v/>
      </c>
      <c r="V4681" s="108" t="str">
        <f>IF(Tabla1[[#This Row],[Tiempo solución max (hrs)]]&lt;&gt;"",IF(Tabla1[[#This Row],[Tiempo solución max (hrs)]]&gt;=Tabla1[[#This Row],[Tiempo
(Hrs 00/100)]],"cumple","no cumple"),"")</f>
        <v/>
      </c>
      <c r="W4681" s="17"/>
      <c r="X4681" s="18">
        <f t="shared" si="263"/>
        <v>0</v>
      </c>
      <c r="Y4681" t="str">
        <f>SUBSTITUTE(Tabla1[[#This Row],[Descripción]],CHAR(10),"    I    ")</f>
        <v/>
      </c>
      <c r="Z4681" s="112" t="e">
        <f>VLOOKUP(Tabla1[[#This Row],[Perfil]],Catalogos!$B$75:$D$100,3,FALSE)*Tabla1[[#This Row],[Tiempo
(Hrs 00/100)]]*1.16</f>
        <v>#N/A</v>
      </c>
    </row>
    <row r="4682" spans="1:26" ht="30" customHeight="1" x14ac:dyDescent="0.3">
      <c r="A4682" s="106"/>
      <c r="B4682" s="106"/>
      <c r="C4682" s="106"/>
      <c r="D4682" s="106"/>
      <c r="E4682" s="106"/>
      <c r="F4682" s="106"/>
      <c r="G4682" s="106"/>
      <c r="H4682" s="107"/>
      <c r="I4682" s="95"/>
      <c r="J4682" s="706"/>
      <c r="K4682" s="769"/>
      <c r="L4682" s="706"/>
      <c r="M4682" s="781"/>
      <c r="N4682" s="182"/>
      <c r="O4682" s="188"/>
      <c r="P4682" s="221"/>
      <c r="Q4682" s="106"/>
      <c r="R4682" s="108"/>
      <c r="S4682" s="108"/>
      <c r="T4682" s="108"/>
      <c r="U4682" s="108" t="str">
        <f>IFERROR(VLOOKUP(CONCATENATE(Tabla1[[#This Row],[Severidad]]," ",Tabla1[[#This Row],[Complejidad]]),Catalogos!E$120:G$128,3,FALSE),"")</f>
        <v/>
      </c>
      <c r="V4682" s="108" t="str">
        <f>IF(Tabla1[[#This Row],[Tiempo solución max (hrs)]]&lt;&gt;"",IF(Tabla1[[#This Row],[Tiempo solución max (hrs)]]&gt;=Tabla1[[#This Row],[Tiempo
(Hrs 00/100)]],"cumple","no cumple"),"")</f>
        <v/>
      </c>
      <c r="W4682" s="17"/>
      <c r="X4682" s="18">
        <f t="shared" si="263"/>
        <v>0</v>
      </c>
      <c r="Y4682" t="str">
        <f>SUBSTITUTE(Tabla1[[#This Row],[Descripción]],CHAR(10),"    I    ")</f>
        <v/>
      </c>
      <c r="Z4682" s="112" t="e">
        <f>VLOOKUP(Tabla1[[#This Row],[Perfil]],Catalogos!$B$75:$D$100,3,FALSE)*Tabla1[[#This Row],[Tiempo
(Hrs 00/100)]]*1.16</f>
        <v>#N/A</v>
      </c>
    </row>
    <row r="4683" spans="1:26" ht="30" customHeight="1" x14ac:dyDescent="0.3">
      <c r="A4683" s="106"/>
      <c r="B4683" s="106"/>
      <c r="C4683" s="106"/>
      <c r="D4683" s="106"/>
      <c r="E4683" s="106"/>
      <c r="F4683" s="106"/>
      <c r="G4683" s="106"/>
      <c r="H4683" s="107"/>
      <c r="I4683" s="95"/>
      <c r="J4683" s="706"/>
      <c r="K4683" s="769"/>
      <c r="L4683" s="706"/>
      <c r="M4683" s="781"/>
      <c r="N4683" s="182"/>
      <c r="O4683" s="188"/>
      <c r="P4683" s="221"/>
      <c r="Q4683" s="106"/>
      <c r="R4683" s="108"/>
      <c r="S4683" s="108"/>
      <c r="T4683" s="108"/>
      <c r="U4683" s="108" t="str">
        <f>IFERROR(VLOOKUP(CONCATENATE(Tabla1[[#This Row],[Severidad]]," ",Tabla1[[#This Row],[Complejidad]]),Catalogos!E$120:G$128,3,FALSE),"")</f>
        <v/>
      </c>
      <c r="V4683" s="108" t="str">
        <f>IF(Tabla1[[#This Row],[Tiempo solución max (hrs)]]&lt;&gt;"",IF(Tabla1[[#This Row],[Tiempo solución max (hrs)]]&gt;=Tabla1[[#This Row],[Tiempo
(Hrs 00/100)]],"cumple","no cumple"),"")</f>
        <v/>
      </c>
      <c r="W4683" s="17"/>
      <c r="X4683" s="18">
        <f t="shared" si="263"/>
        <v>0</v>
      </c>
      <c r="Y4683" t="str">
        <f>SUBSTITUTE(Tabla1[[#This Row],[Descripción]],CHAR(10),"    I    ")</f>
        <v/>
      </c>
      <c r="Z4683" s="112" t="e">
        <f>VLOOKUP(Tabla1[[#This Row],[Perfil]],Catalogos!$B$75:$D$100,3,FALSE)*Tabla1[[#This Row],[Tiempo
(Hrs 00/100)]]*1.16</f>
        <v>#N/A</v>
      </c>
    </row>
    <row r="4684" spans="1:26" ht="30" customHeight="1" x14ac:dyDescent="0.3">
      <c r="A4684" s="106"/>
      <c r="B4684" s="106"/>
      <c r="C4684" s="106"/>
      <c r="D4684" s="106"/>
      <c r="E4684" s="106"/>
      <c r="F4684" s="106"/>
      <c r="G4684" s="106"/>
      <c r="H4684" s="107"/>
      <c r="I4684" s="95"/>
      <c r="J4684" s="706"/>
      <c r="K4684" s="769"/>
      <c r="L4684" s="706"/>
      <c r="M4684" s="781"/>
      <c r="N4684" s="182"/>
      <c r="O4684" s="188"/>
      <c r="P4684" s="221"/>
      <c r="Q4684" s="106"/>
      <c r="R4684" s="108"/>
      <c r="S4684" s="108"/>
      <c r="T4684" s="108"/>
      <c r="U4684" s="108" t="str">
        <f>IFERROR(VLOOKUP(CONCATENATE(Tabla1[[#This Row],[Severidad]]," ",Tabla1[[#This Row],[Complejidad]]),Catalogos!E$120:G$128,3,FALSE),"")</f>
        <v/>
      </c>
      <c r="V4684" s="108" t="str">
        <f>IF(Tabla1[[#This Row],[Tiempo solución max (hrs)]]&lt;&gt;"",IF(Tabla1[[#This Row],[Tiempo solución max (hrs)]]&gt;=Tabla1[[#This Row],[Tiempo
(Hrs 00/100)]],"cumple","no cumple"),"")</f>
        <v/>
      </c>
      <c r="W4684" s="17"/>
      <c r="X4684" s="18">
        <f t="shared" si="263"/>
        <v>0</v>
      </c>
      <c r="Y4684" t="str">
        <f>SUBSTITUTE(Tabla1[[#This Row],[Descripción]],CHAR(10),"    I    ")</f>
        <v/>
      </c>
      <c r="Z4684" s="112" t="e">
        <f>VLOOKUP(Tabla1[[#This Row],[Perfil]],Catalogos!$B$75:$D$100,3,FALSE)*Tabla1[[#This Row],[Tiempo
(Hrs 00/100)]]*1.16</f>
        <v>#N/A</v>
      </c>
    </row>
    <row r="4685" spans="1:26" ht="30" customHeight="1" x14ac:dyDescent="0.3">
      <c r="A4685" s="106"/>
      <c r="B4685" s="106"/>
      <c r="C4685" s="106"/>
      <c r="D4685" s="106"/>
      <c r="E4685" s="106"/>
      <c r="F4685" s="106"/>
      <c r="G4685" s="106"/>
      <c r="H4685" s="107"/>
      <c r="I4685" s="95"/>
      <c r="J4685" s="706"/>
      <c r="K4685" s="769"/>
      <c r="L4685" s="706"/>
      <c r="M4685" s="781"/>
      <c r="N4685" s="182"/>
      <c r="O4685" s="188"/>
      <c r="P4685" s="221"/>
      <c r="Q4685" s="106"/>
      <c r="R4685" s="108"/>
      <c r="S4685" s="108"/>
      <c r="T4685" s="108"/>
      <c r="U4685" s="108" t="str">
        <f>IFERROR(VLOOKUP(CONCATENATE(Tabla1[[#This Row],[Severidad]]," ",Tabla1[[#This Row],[Complejidad]]),Catalogos!E$120:G$128,3,FALSE),"")</f>
        <v/>
      </c>
      <c r="V4685" s="108" t="str">
        <f>IF(Tabla1[[#This Row],[Tiempo solución max (hrs)]]&lt;&gt;"",IF(Tabla1[[#This Row],[Tiempo solución max (hrs)]]&gt;=Tabla1[[#This Row],[Tiempo
(Hrs 00/100)]],"cumple","no cumple"),"")</f>
        <v/>
      </c>
      <c r="W4685" s="17"/>
      <c r="X4685" s="18">
        <f t="shared" si="263"/>
        <v>0</v>
      </c>
      <c r="Y4685" t="str">
        <f>SUBSTITUTE(Tabla1[[#This Row],[Descripción]],CHAR(10),"    I    ")</f>
        <v/>
      </c>
      <c r="Z4685" s="112" t="e">
        <f>VLOOKUP(Tabla1[[#This Row],[Perfil]],Catalogos!$B$75:$D$100,3,FALSE)*Tabla1[[#This Row],[Tiempo
(Hrs 00/100)]]*1.16</f>
        <v>#N/A</v>
      </c>
    </row>
    <row r="4686" spans="1:26" ht="30" customHeight="1" x14ac:dyDescent="0.3">
      <c r="A4686" s="106"/>
      <c r="B4686" s="106"/>
      <c r="C4686" s="106"/>
      <c r="D4686" s="106"/>
      <c r="E4686" s="106"/>
      <c r="F4686" s="106"/>
      <c r="G4686" s="106"/>
      <c r="H4686" s="107"/>
      <c r="I4686" s="95"/>
      <c r="J4686" s="706"/>
      <c r="K4686" s="769"/>
      <c r="L4686" s="706"/>
      <c r="M4686" s="781"/>
      <c r="N4686" s="182"/>
      <c r="O4686" s="188"/>
      <c r="P4686" s="221"/>
      <c r="Q4686" s="106"/>
      <c r="R4686" s="108"/>
      <c r="S4686" s="108"/>
      <c r="T4686" s="108"/>
      <c r="U4686" s="108" t="str">
        <f>IFERROR(VLOOKUP(CONCATENATE(Tabla1[[#This Row],[Severidad]]," ",Tabla1[[#This Row],[Complejidad]]),Catalogos!E$120:G$128,3,FALSE),"")</f>
        <v/>
      </c>
      <c r="V4686" s="108" t="str">
        <f>IF(Tabla1[[#This Row],[Tiempo solución max (hrs)]]&lt;&gt;"",IF(Tabla1[[#This Row],[Tiempo solución max (hrs)]]&gt;=Tabla1[[#This Row],[Tiempo
(Hrs 00/100)]],"cumple","no cumple"),"")</f>
        <v/>
      </c>
      <c r="W4686" s="17"/>
      <c r="X4686" s="18">
        <f t="shared" si="263"/>
        <v>0</v>
      </c>
      <c r="Y4686" t="str">
        <f>SUBSTITUTE(Tabla1[[#This Row],[Descripción]],CHAR(10),"    I    ")</f>
        <v/>
      </c>
      <c r="Z4686" s="112" t="e">
        <f>VLOOKUP(Tabla1[[#This Row],[Perfil]],Catalogos!$B$75:$D$100,3,FALSE)*Tabla1[[#This Row],[Tiempo
(Hrs 00/100)]]*1.16</f>
        <v>#N/A</v>
      </c>
    </row>
    <row r="4687" spans="1:26" ht="30" customHeight="1" x14ac:dyDescent="0.3">
      <c r="A4687" s="106"/>
      <c r="B4687" s="106"/>
      <c r="C4687" s="106"/>
      <c r="D4687" s="106"/>
      <c r="E4687" s="106"/>
      <c r="F4687" s="106"/>
      <c r="G4687" s="106"/>
      <c r="H4687" s="107"/>
      <c r="I4687" s="95"/>
      <c r="J4687" s="706"/>
      <c r="K4687" s="769"/>
      <c r="L4687" s="706"/>
      <c r="M4687" s="781"/>
      <c r="N4687" s="182"/>
      <c r="O4687" s="188"/>
      <c r="P4687" s="221"/>
      <c r="Q4687" s="106"/>
      <c r="R4687" s="108"/>
      <c r="S4687" s="108"/>
      <c r="T4687" s="108"/>
      <c r="U4687" s="108" t="str">
        <f>IFERROR(VLOOKUP(CONCATENATE(Tabla1[[#This Row],[Severidad]]," ",Tabla1[[#This Row],[Complejidad]]),Catalogos!E$120:G$128,3,FALSE),"")</f>
        <v/>
      </c>
      <c r="V4687" s="108" t="str">
        <f>IF(Tabla1[[#This Row],[Tiempo solución max (hrs)]]&lt;&gt;"",IF(Tabla1[[#This Row],[Tiempo solución max (hrs)]]&gt;=Tabla1[[#This Row],[Tiempo
(Hrs 00/100)]],"cumple","no cumple"),"")</f>
        <v/>
      </c>
      <c r="W4687" s="17"/>
      <c r="X4687" s="18">
        <f t="shared" si="263"/>
        <v>0</v>
      </c>
      <c r="Y4687" t="str">
        <f>SUBSTITUTE(Tabla1[[#This Row],[Descripción]],CHAR(10),"    I    ")</f>
        <v/>
      </c>
      <c r="Z4687" s="112" t="e">
        <f>VLOOKUP(Tabla1[[#This Row],[Perfil]],Catalogos!$B$75:$D$100,3,FALSE)*Tabla1[[#This Row],[Tiempo
(Hrs 00/100)]]*1.16</f>
        <v>#N/A</v>
      </c>
    </row>
    <row r="4688" spans="1:26" ht="30" customHeight="1" x14ac:dyDescent="0.3">
      <c r="A4688" s="106"/>
      <c r="B4688" s="106"/>
      <c r="C4688" s="106"/>
      <c r="D4688" s="106"/>
      <c r="E4688" s="106"/>
      <c r="F4688" s="106"/>
      <c r="G4688" s="106"/>
      <c r="H4688" s="107"/>
      <c r="I4688" s="95"/>
      <c r="J4688" s="706"/>
      <c r="K4688" s="769"/>
      <c r="L4688" s="706"/>
      <c r="M4688" s="781"/>
      <c r="N4688" s="182"/>
      <c r="O4688" s="188"/>
      <c r="P4688" s="221"/>
      <c r="Q4688" s="106"/>
      <c r="R4688" s="108"/>
      <c r="S4688" s="108"/>
      <c r="T4688" s="108"/>
      <c r="U4688" s="108" t="str">
        <f>IFERROR(VLOOKUP(CONCATENATE(Tabla1[[#This Row],[Severidad]]," ",Tabla1[[#This Row],[Complejidad]]),Catalogos!E$120:G$128,3,FALSE),"")</f>
        <v/>
      </c>
      <c r="V4688" s="108" t="str">
        <f>IF(Tabla1[[#This Row],[Tiempo solución max (hrs)]]&lt;&gt;"",IF(Tabla1[[#This Row],[Tiempo solución max (hrs)]]&gt;=Tabla1[[#This Row],[Tiempo
(Hrs 00/100)]],"cumple","no cumple"),"")</f>
        <v/>
      </c>
      <c r="W4688" s="17"/>
      <c r="X4688" s="18">
        <f t="shared" si="263"/>
        <v>0</v>
      </c>
      <c r="Y4688" t="str">
        <f>SUBSTITUTE(Tabla1[[#This Row],[Descripción]],CHAR(10),"    I    ")</f>
        <v/>
      </c>
      <c r="Z4688" s="112" t="e">
        <f>VLOOKUP(Tabla1[[#This Row],[Perfil]],Catalogos!$B$75:$D$100,3,FALSE)*Tabla1[[#This Row],[Tiempo
(Hrs 00/100)]]*1.16</f>
        <v>#N/A</v>
      </c>
    </row>
    <row r="4689" spans="1:26" ht="30" customHeight="1" x14ac:dyDescent="0.3">
      <c r="A4689" s="106"/>
      <c r="B4689" s="106"/>
      <c r="C4689" s="106"/>
      <c r="D4689" s="106"/>
      <c r="E4689" s="106"/>
      <c r="F4689" s="106"/>
      <c r="G4689" s="106"/>
      <c r="H4689" s="107"/>
      <c r="I4689" s="95"/>
      <c r="J4689" s="706"/>
      <c r="K4689" s="769"/>
      <c r="L4689" s="706"/>
      <c r="M4689" s="781"/>
      <c r="N4689" s="182"/>
      <c r="O4689" s="188"/>
      <c r="P4689" s="221"/>
      <c r="Q4689" s="106"/>
      <c r="R4689" s="108"/>
      <c r="S4689" s="108"/>
      <c r="T4689" s="108"/>
      <c r="U4689" s="108" t="str">
        <f>IFERROR(VLOOKUP(CONCATENATE(Tabla1[[#This Row],[Severidad]]," ",Tabla1[[#This Row],[Complejidad]]),Catalogos!E$120:G$128,3,FALSE),"")</f>
        <v/>
      </c>
      <c r="V4689" s="108" t="str">
        <f>IF(Tabla1[[#This Row],[Tiempo solución max (hrs)]]&lt;&gt;"",IF(Tabla1[[#This Row],[Tiempo solución max (hrs)]]&gt;=Tabla1[[#This Row],[Tiempo
(Hrs 00/100)]],"cumple","no cumple"),"")</f>
        <v/>
      </c>
      <c r="W4689" s="17"/>
      <c r="X4689" s="18">
        <f t="shared" si="263"/>
        <v>0</v>
      </c>
      <c r="Y4689" t="str">
        <f>SUBSTITUTE(Tabla1[[#This Row],[Descripción]],CHAR(10),"    I    ")</f>
        <v/>
      </c>
      <c r="Z4689" s="112" t="e">
        <f>VLOOKUP(Tabla1[[#This Row],[Perfil]],Catalogos!$B$75:$D$100,3,FALSE)*Tabla1[[#This Row],[Tiempo
(Hrs 00/100)]]*1.16</f>
        <v>#N/A</v>
      </c>
    </row>
    <row r="4690" spans="1:26" ht="30" customHeight="1" x14ac:dyDescent="0.3">
      <c r="A4690" s="106"/>
      <c r="B4690" s="106"/>
      <c r="C4690" s="106"/>
      <c r="D4690" s="106"/>
      <c r="E4690" s="106"/>
      <c r="F4690" s="106"/>
      <c r="G4690" s="106"/>
      <c r="H4690" s="107"/>
      <c r="I4690" s="95"/>
      <c r="J4690" s="706"/>
      <c r="K4690" s="769"/>
      <c r="L4690" s="706"/>
      <c r="M4690" s="781"/>
      <c r="N4690" s="182"/>
      <c r="O4690" s="188"/>
      <c r="P4690" s="221"/>
      <c r="Q4690" s="106"/>
      <c r="R4690" s="108"/>
      <c r="S4690" s="108"/>
      <c r="T4690" s="108"/>
      <c r="U4690" s="108" t="str">
        <f>IFERROR(VLOOKUP(CONCATENATE(Tabla1[[#This Row],[Severidad]]," ",Tabla1[[#This Row],[Complejidad]]),Catalogos!E$120:G$128,3,FALSE),"")</f>
        <v/>
      </c>
      <c r="V4690" s="108" t="str">
        <f>IF(Tabla1[[#This Row],[Tiempo solución max (hrs)]]&lt;&gt;"",IF(Tabla1[[#This Row],[Tiempo solución max (hrs)]]&gt;=Tabla1[[#This Row],[Tiempo
(Hrs 00/100)]],"cumple","no cumple"),"")</f>
        <v/>
      </c>
      <c r="W4690" s="17"/>
      <c r="X4690" s="18">
        <f t="shared" si="263"/>
        <v>0</v>
      </c>
      <c r="Y4690" t="str">
        <f>SUBSTITUTE(Tabla1[[#This Row],[Descripción]],CHAR(10),"    I    ")</f>
        <v/>
      </c>
      <c r="Z4690" s="112" t="e">
        <f>VLOOKUP(Tabla1[[#This Row],[Perfil]],Catalogos!$B$75:$D$100,3,FALSE)*Tabla1[[#This Row],[Tiempo
(Hrs 00/100)]]*1.16</f>
        <v>#N/A</v>
      </c>
    </row>
    <row r="4691" spans="1:26" ht="30" customHeight="1" x14ac:dyDescent="0.3">
      <c r="A4691" s="106"/>
      <c r="B4691" s="106"/>
      <c r="C4691" s="106"/>
      <c r="D4691" s="106"/>
      <c r="E4691" s="106"/>
      <c r="F4691" s="106"/>
      <c r="G4691" s="106"/>
      <c r="H4691" s="107"/>
      <c r="I4691" s="95"/>
      <c r="J4691" s="706"/>
      <c r="K4691" s="769"/>
      <c r="L4691" s="706"/>
      <c r="M4691" s="781"/>
      <c r="N4691" s="182"/>
      <c r="O4691" s="188"/>
      <c r="P4691" s="221"/>
      <c r="Q4691" s="106"/>
      <c r="R4691" s="108"/>
      <c r="S4691" s="108"/>
      <c r="T4691" s="108"/>
      <c r="U4691" s="108" t="str">
        <f>IFERROR(VLOOKUP(CONCATENATE(Tabla1[[#This Row],[Severidad]]," ",Tabla1[[#This Row],[Complejidad]]),Catalogos!E$120:G$128,3,FALSE),"")</f>
        <v/>
      </c>
      <c r="V4691" s="108" t="str">
        <f>IF(Tabla1[[#This Row],[Tiempo solución max (hrs)]]&lt;&gt;"",IF(Tabla1[[#This Row],[Tiempo solución max (hrs)]]&gt;=Tabla1[[#This Row],[Tiempo
(Hrs 00/100)]],"cumple","no cumple"),"")</f>
        <v/>
      </c>
      <c r="W4691" s="17"/>
      <c r="X4691" s="18">
        <f t="shared" si="263"/>
        <v>0</v>
      </c>
      <c r="Y4691" t="str">
        <f>SUBSTITUTE(Tabla1[[#This Row],[Descripción]],CHAR(10),"    I    ")</f>
        <v/>
      </c>
      <c r="Z4691" s="112" t="e">
        <f>VLOOKUP(Tabla1[[#This Row],[Perfil]],Catalogos!$B$75:$D$100,3,FALSE)*Tabla1[[#This Row],[Tiempo
(Hrs 00/100)]]*1.16</f>
        <v>#N/A</v>
      </c>
    </row>
    <row r="4692" spans="1:26" ht="30" customHeight="1" x14ac:dyDescent="0.3">
      <c r="A4692" s="106"/>
      <c r="B4692" s="106"/>
      <c r="C4692" s="106"/>
      <c r="D4692" s="106"/>
      <c r="E4692" s="106"/>
      <c r="F4692" s="106"/>
      <c r="G4692" s="106"/>
      <c r="H4692" s="107"/>
      <c r="I4692" s="95"/>
      <c r="J4692" s="706"/>
      <c r="K4692" s="769"/>
      <c r="L4692" s="706"/>
      <c r="M4692" s="781"/>
      <c r="N4692" s="182"/>
      <c r="O4692" s="188"/>
      <c r="P4692" s="221"/>
      <c r="Q4692" s="106"/>
      <c r="R4692" s="108"/>
      <c r="S4692" s="108"/>
      <c r="T4692" s="108"/>
      <c r="U4692" s="108" t="str">
        <f>IFERROR(VLOOKUP(CONCATENATE(Tabla1[[#This Row],[Severidad]]," ",Tabla1[[#This Row],[Complejidad]]),Catalogos!E$120:G$128,3,FALSE),"")</f>
        <v/>
      </c>
      <c r="V4692" s="108" t="str">
        <f>IF(Tabla1[[#This Row],[Tiempo solución max (hrs)]]&lt;&gt;"",IF(Tabla1[[#This Row],[Tiempo solución max (hrs)]]&gt;=Tabla1[[#This Row],[Tiempo
(Hrs 00/100)]],"cumple","no cumple"),"")</f>
        <v/>
      </c>
      <c r="W4692" s="17"/>
      <c r="X4692" s="18">
        <f t="shared" si="263"/>
        <v>0</v>
      </c>
      <c r="Y4692" t="str">
        <f>SUBSTITUTE(Tabla1[[#This Row],[Descripción]],CHAR(10),"    I    ")</f>
        <v/>
      </c>
      <c r="Z4692" s="112" t="e">
        <f>VLOOKUP(Tabla1[[#This Row],[Perfil]],Catalogos!$B$75:$D$100,3,FALSE)*Tabla1[[#This Row],[Tiempo
(Hrs 00/100)]]*1.16</f>
        <v>#N/A</v>
      </c>
    </row>
    <row r="4693" spans="1:26" ht="30" customHeight="1" x14ac:dyDescent="0.3">
      <c r="A4693" s="106"/>
      <c r="B4693" s="106"/>
      <c r="C4693" s="106"/>
      <c r="D4693" s="106"/>
      <c r="E4693" s="106"/>
      <c r="F4693" s="106"/>
      <c r="G4693" s="106"/>
      <c r="H4693" s="107"/>
      <c r="I4693" s="95"/>
      <c r="J4693" s="706"/>
      <c r="K4693" s="769"/>
      <c r="L4693" s="706"/>
      <c r="M4693" s="781"/>
      <c r="N4693" s="182"/>
      <c r="O4693" s="188"/>
      <c r="P4693" s="221"/>
      <c r="Q4693" s="106"/>
      <c r="R4693" s="108"/>
      <c r="S4693" s="108"/>
      <c r="T4693" s="108"/>
      <c r="U4693" s="108" t="str">
        <f>IFERROR(VLOOKUP(CONCATENATE(Tabla1[[#This Row],[Severidad]]," ",Tabla1[[#This Row],[Complejidad]]),Catalogos!E$120:G$128,3,FALSE),"")</f>
        <v/>
      </c>
      <c r="V4693" s="108" t="str">
        <f>IF(Tabla1[[#This Row],[Tiempo solución max (hrs)]]&lt;&gt;"",IF(Tabla1[[#This Row],[Tiempo solución max (hrs)]]&gt;=Tabla1[[#This Row],[Tiempo
(Hrs 00/100)]],"cumple","no cumple"),"")</f>
        <v/>
      </c>
      <c r="W4693" s="17"/>
      <c r="X4693" s="18">
        <f t="shared" si="263"/>
        <v>0</v>
      </c>
      <c r="Y4693" t="str">
        <f>SUBSTITUTE(Tabla1[[#This Row],[Descripción]],CHAR(10),"    I    ")</f>
        <v/>
      </c>
      <c r="Z4693" s="112" t="e">
        <f>VLOOKUP(Tabla1[[#This Row],[Perfil]],Catalogos!$B$75:$D$100,3,FALSE)*Tabla1[[#This Row],[Tiempo
(Hrs 00/100)]]*1.16</f>
        <v>#N/A</v>
      </c>
    </row>
    <row r="4694" spans="1:26" ht="30" customHeight="1" x14ac:dyDescent="0.3">
      <c r="A4694" s="106"/>
      <c r="B4694" s="106"/>
      <c r="C4694" s="106"/>
      <c r="D4694" s="106"/>
      <c r="E4694" s="106"/>
      <c r="F4694" s="106"/>
      <c r="G4694" s="106"/>
      <c r="H4694" s="107"/>
      <c r="I4694" s="95"/>
      <c r="J4694" s="706"/>
      <c r="K4694" s="769"/>
      <c r="L4694" s="706"/>
      <c r="M4694" s="781"/>
      <c r="N4694" s="182"/>
      <c r="O4694" s="188"/>
      <c r="P4694" s="221"/>
      <c r="Q4694" s="106"/>
      <c r="R4694" s="108"/>
      <c r="S4694" s="108"/>
      <c r="T4694" s="108"/>
      <c r="U4694" s="108" t="str">
        <f>IFERROR(VLOOKUP(CONCATENATE(Tabla1[[#This Row],[Severidad]]," ",Tabla1[[#This Row],[Complejidad]]),Catalogos!E$120:G$128,3,FALSE),"")</f>
        <v/>
      </c>
      <c r="V4694" s="108" t="str">
        <f>IF(Tabla1[[#This Row],[Tiempo solución max (hrs)]]&lt;&gt;"",IF(Tabla1[[#This Row],[Tiempo solución max (hrs)]]&gt;=Tabla1[[#This Row],[Tiempo
(Hrs 00/100)]],"cumple","no cumple"),"")</f>
        <v/>
      </c>
      <c r="W4694" s="17"/>
      <c r="X4694" s="18">
        <f t="shared" si="263"/>
        <v>0</v>
      </c>
      <c r="Y4694" t="str">
        <f>SUBSTITUTE(Tabla1[[#This Row],[Descripción]],CHAR(10),"    I    ")</f>
        <v/>
      </c>
      <c r="Z4694" s="112" t="e">
        <f>VLOOKUP(Tabla1[[#This Row],[Perfil]],Catalogos!$B$75:$D$100,3,FALSE)*Tabla1[[#This Row],[Tiempo
(Hrs 00/100)]]*1.16</f>
        <v>#N/A</v>
      </c>
    </row>
    <row r="4695" spans="1:26" ht="30" customHeight="1" x14ac:dyDescent="0.3">
      <c r="A4695" s="106"/>
      <c r="B4695" s="106"/>
      <c r="C4695" s="106"/>
      <c r="D4695" s="106"/>
      <c r="E4695" s="106"/>
      <c r="F4695" s="106"/>
      <c r="G4695" s="106"/>
      <c r="H4695" s="107"/>
      <c r="I4695" s="95"/>
      <c r="J4695" s="706"/>
      <c r="K4695" s="769"/>
      <c r="L4695" s="706"/>
      <c r="M4695" s="781"/>
      <c r="N4695" s="182"/>
      <c r="O4695" s="188"/>
      <c r="P4695" s="221"/>
      <c r="Q4695" s="106"/>
      <c r="R4695" s="108"/>
      <c r="S4695" s="108"/>
      <c r="T4695" s="108"/>
      <c r="U4695" s="108" t="str">
        <f>IFERROR(VLOOKUP(CONCATENATE(Tabla1[[#This Row],[Severidad]]," ",Tabla1[[#This Row],[Complejidad]]),Catalogos!E$120:G$128,3,FALSE),"")</f>
        <v/>
      </c>
      <c r="V4695" s="108" t="str">
        <f>IF(Tabla1[[#This Row],[Tiempo solución max (hrs)]]&lt;&gt;"",IF(Tabla1[[#This Row],[Tiempo solución max (hrs)]]&gt;=Tabla1[[#This Row],[Tiempo
(Hrs 00/100)]],"cumple","no cumple"),"")</f>
        <v/>
      </c>
      <c r="W4695" s="17"/>
      <c r="X4695" s="18">
        <f t="shared" si="263"/>
        <v>0</v>
      </c>
      <c r="Y4695" t="str">
        <f>SUBSTITUTE(Tabla1[[#This Row],[Descripción]],CHAR(10),"    I    ")</f>
        <v/>
      </c>
      <c r="Z4695" s="112" t="e">
        <f>VLOOKUP(Tabla1[[#This Row],[Perfil]],Catalogos!$B$75:$D$100,3,FALSE)*Tabla1[[#This Row],[Tiempo
(Hrs 00/100)]]*1.16</f>
        <v>#N/A</v>
      </c>
    </row>
    <row r="4696" spans="1:26" ht="30" customHeight="1" x14ac:dyDescent="0.3">
      <c r="A4696" s="106"/>
      <c r="B4696" s="106"/>
      <c r="C4696" s="106"/>
      <c r="D4696" s="106"/>
      <c r="E4696" s="106"/>
      <c r="F4696" s="106"/>
      <c r="G4696" s="106"/>
      <c r="H4696" s="107"/>
      <c r="I4696" s="95"/>
      <c r="J4696" s="706"/>
      <c r="K4696" s="769"/>
      <c r="L4696" s="706"/>
      <c r="M4696" s="781"/>
      <c r="N4696" s="182"/>
      <c r="O4696" s="188"/>
      <c r="P4696" s="221"/>
      <c r="Q4696" s="106"/>
      <c r="R4696" s="108"/>
      <c r="S4696" s="108"/>
      <c r="T4696" s="108"/>
      <c r="U4696" s="108" t="str">
        <f>IFERROR(VLOOKUP(CONCATENATE(Tabla1[[#This Row],[Severidad]]," ",Tabla1[[#This Row],[Complejidad]]),Catalogos!E$120:G$128,3,FALSE),"")</f>
        <v/>
      </c>
      <c r="V4696" s="108" t="str">
        <f>IF(Tabla1[[#This Row],[Tiempo solución max (hrs)]]&lt;&gt;"",IF(Tabla1[[#This Row],[Tiempo solución max (hrs)]]&gt;=Tabla1[[#This Row],[Tiempo
(Hrs 00/100)]],"cumple","no cumple"),"")</f>
        <v/>
      </c>
      <c r="W4696" s="17"/>
      <c r="X4696" s="18">
        <f t="shared" si="263"/>
        <v>0</v>
      </c>
      <c r="Y4696" t="str">
        <f>SUBSTITUTE(Tabla1[[#This Row],[Descripción]],CHAR(10),"    I    ")</f>
        <v/>
      </c>
      <c r="Z4696" s="112" t="e">
        <f>VLOOKUP(Tabla1[[#This Row],[Perfil]],Catalogos!$B$75:$D$100,3,FALSE)*Tabla1[[#This Row],[Tiempo
(Hrs 00/100)]]*1.16</f>
        <v>#N/A</v>
      </c>
    </row>
    <row r="4697" spans="1:26" ht="30" customHeight="1" x14ac:dyDescent="0.3">
      <c r="A4697" s="106"/>
      <c r="B4697" s="106"/>
      <c r="C4697" s="106"/>
      <c r="D4697" s="106"/>
      <c r="E4697" s="106"/>
      <c r="F4697" s="106"/>
      <c r="G4697" s="106"/>
      <c r="H4697" s="107"/>
      <c r="I4697" s="95"/>
      <c r="J4697" s="706"/>
      <c r="K4697" s="769"/>
      <c r="L4697" s="706"/>
      <c r="M4697" s="781"/>
      <c r="N4697" s="182"/>
      <c r="O4697" s="188"/>
      <c r="P4697" s="221"/>
      <c r="Q4697" s="106"/>
      <c r="R4697" s="108"/>
      <c r="S4697" s="108"/>
      <c r="T4697" s="108"/>
      <c r="U4697" s="108" t="str">
        <f>IFERROR(VLOOKUP(CONCATENATE(Tabla1[[#This Row],[Severidad]]," ",Tabla1[[#This Row],[Complejidad]]),Catalogos!E$120:G$128,3,FALSE),"")</f>
        <v/>
      </c>
      <c r="V4697" s="108" t="str">
        <f>IF(Tabla1[[#This Row],[Tiempo solución max (hrs)]]&lt;&gt;"",IF(Tabla1[[#This Row],[Tiempo solución max (hrs)]]&gt;=Tabla1[[#This Row],[Tiempo
(Hrs 00/100)]],"cumple","no cumple"),"")</f>
        <v/>
      </c>
      <c r="W4697" s="17"/>
      <c r="X4697" s="18">
        <f t="shared" si="263"/>
        <v>0</v>
      </c>
      <c r="Y4697" t="str">
        <f>SUBSTITUTE(Tabla1[[#This Row],[Descripción]],CHAR(10),"    I    ")</f>
        <v/>
      </c>
      <c r="Z4697" s="112" t="e">
        <f>VLOOKUP(Tabla1[[#This Row],[Perfil]],Catalogos!$B$75:$D$100,3,FALSE)*Tabla1[[#This Row],[Tiempo
(Hrs 00/100)]]*1.16</f>
        <v>#N/A</v>
      </c>
    </row>
    <row r="4698" spans="1:26" ht="30" customHeight="1" x14ac:dyDescent="0.3">
      <c r="A4698" s="106"/>
      <c r="B4698" s="106"/>
      <c r="C4698" s="106"/>
      <c r="D4698" s="106"/>
      <c r="E4698" s="106"/>
      <c r="F4698" s="106"/>
      <c r="G4698" s="106"/>
      <c r="H4698" s="107"/>
      <c r="I4698" s="95"/>
      <c r="J4698" s="706"/>
      <c r="K4698" s="769"/>
      <c r="L4698" s="706"/>
      <c r="M4698" s="781"/>
      <c r="N4698" s="182"/>
      <c r="O4698" s="188"/>
      <c r="P4698" s="221"/>
      <c r="Q4698" s="106"/>
      <c r="R4698" s="108"/>
      <c r="S4698" s="108"/>
      <c r="T4698" s="108"/>
      <c r="U4698" s="108" t="str">
        <f>IFERROR(VLOOKUP(CONCATENATE(Tabla1[[#This Row],[Severidad]]," ",Tabla1[[#This Row],[Complejidad]]),Catalogos!E$120:G$128,3,FALSE),"")</f>
        <v/>
      </c>
      <c r="V4698" s="108" t="str">
        <f>IF(Tabla1[[#This Row],[Tiempo solución max (hrs)]]&lt;&gt;"",IF(Tabla1[[#This Row],[Tiempo solución max (hrs)]]&gt;=Tabla1[[#This Row],[Tiempo
(Hrs 00/100)]],"cumple","no cumple"),"")</f>
        <v/>
      </c>
      <c r="W4698" s="17"/>
      <c r="X4698" s="18">
        <f t="shared" si="263"/>
        <v>0</v>
      </c>
      <c r="Y4698" t="str">
        <f>SUBSTITUTE(Tabla1[[#This Row],[Descripción]],CHAR(10),"    I    ")</f>
        <v/>
      </c>
      <c r="Z4698" s="112" t="e">
        <f>VLOOKUP(Tabla1[[#This Row],[Perfil]],Catalogos!$B$75:$D$100,3,FALSE)*Tabla1[[#This Row],[Tiempo
(Hrs 00/100)]]*1.16</f>
        <v>#N/A</v>
      </c>
    </row>
    <row r="4699" spans="1:26" ht="30" customHeight="1" x14ac:dyDescent="0.3">
      <c r="A4699" s="106"/>
      <c r="B4699" s="106"/>
      <c r="C4699" s="106"/>
      <c r="D4699" s="106"/>
      <c r="E4699" s="106"/>
      <c r="F4699" s="106"/>
      <c r="G4699" s="106"/>
      <c r="H4699" s="107"/>
      <c r="I4699" s="95"/>
      <c r="J4699" s="706"/>
      <c r="K4699" s="769"/>
      <c r="L4699" s="706"/>
      <c r="M4699" s="781"/>
      <c r="N4699" s="182"/>
      <c r="O4699" s="188"/>
      <c r="P4699" s="221"/>
      <c r="Q4699" s="106"/>
      <c r="R4699" s="108"/>
      <c r="S4699" s="108"/>
      <c r="T4699" s="108"/>
      <c r="U4699" s="108" t="str">
        <f>IFERROR(VLOOKUP(CONCATENATE(Tabla1[[#This Row],[Severidad]]," ",Tabla1[[#This Row],[Complejidad]]),Catalogos!E$120:G$128,3,FALSE),"")</f>
        <v/>
      </c>
      <c r="V4699" s="108" t="str">
        <f>IF(Tabla1[[#This Row],[Tiempo solución max (hrs)]]&lt;&gt;"",IF(Tabla1[[#This Row],[Tiempo solución max (hrs)]]&gt;=Tabla1[[#This Row],[Tiempo
(Hrs 00/100)]],"cumple","no cumple"),"")</f>
        <v/>
      </c>
      <c r="W4699" s="17"/>
      <c r="X4699" s="18">
        <f t="shared" si="263"/>
        <v>0</v>
      </c>
      <c r="Y4699" t="str">
        <f>SUBSTITUTE(Tabla1[[#This Row],[Descripción]],CHAR(10),"    I    ")</f>
        <v/>
      </c>
      <c r="Z4699" s="112" t="e">
        <f>VLOOKUP(Tabla1[[#This Row],[Perfil]],Catalogos!$B$75:$D$100,3,FALSE)*Tabla1[[#This Row],[Tiempo
(Hrs 00/100)]]*1.16</f>
        <v>#N/A</v>
      </c>
    </row>
    <row r="4700" spans="1:26" ht="30" customHeight="1" x14ac:dyDescent="0.3">
      <c r="A4700" s="106"/>
      <c r="B4700" s="106"/>
      <c r="C4700" s="106"/>
      <c r="D4700" s="106"/>
      <c r="E4700" s="106"/>
      <c r="F4700" s="106"/>
      <c r="G4700" s="106"/>
      <c r="H4700" s="107"/>
      <c r="I4700" s="95"/>
      <c r="J4700" s="706"/>
      <c r="K4700" s="769"/>
      <c r="L4700" s="706"/>
      <c r="M4700" s="781"/>
      <c r="N4700" s="182"/>
      <c r="O4700" s="188"/>
      <c r="P4700" s="221"/>
      <c r="Q4700" s="106"/>
      <c r="R4700" s="108"/>
      <c r="S4700" s="108"/>
      <c r="T4700" s="108"/>
      <c r="U4700" s="108" t="str">
        <f>IFERROR(VLOOKUP(CONCATENATE(Tabla1[[#This Row],[Severidad]]," ",Tabla1[[#This Row],[Complejidad]]),Catalogos!E$120:G$128,3,FALSE),"")</f>
        <v/>
      </c>
      <c r="V4700" s="108" t="str">
        <f>IF(Tabla1[[#This Row],[Tiempo solución max (hrs)]]&lt;&gt;"",IF(Tabla1[[#This Row],[Tiempo solución max (hrs)]]&gt;=Tabla1[[#This Row],[Tiempo
(Hrs 00/100)]],"cumple","no cumple"),"")</f>
        <v/>
      </c>
      <c r="W4700" s="17"/>
      <c r="X4700" s="18">
        <f t="shared" si="263"/>
        <v>0</v>
      </c>
      <c r="Y4700" t="str">
        <f>SUBSTITUTE(Tabla1[[#This Row],[Descripción]],CHAR(10),"    I    ")</f>
        <v/>
      </c>
      <c r="Z4700" s="112" t="e">
        <f>VLOOKUP(Tabla1[[#This Row],[Perfil]],Catalogos!$B$75:$D$100,3,FALSE)*Tabla1[[#This Row],[Tiempo
(Hrs 00/100)]]*1.16</f>
        <v>#N/A</v>
      </c>
    </row>
    <row r="4701" spans="1:26" ht="30" customHeight="1" x14ac:dyDescent="0.3">
      <c r="A4701" s="106"/>
      <c r="B4701" s="106"/>
      <c r="C4701" s="106"/>
      <c r="D4701" s="106"/>
      <c r="E4701" s="106"/>
      <c r="F4701" s="106"/>
      <c r="G4701" s="106"/>
      <c r="H4701" s="107"/>
      <c r="I4701" s="95"/>
      <c r="J4701" s="706"/>
      <c r="K4701" s="769"/>
      <c r="L4701" s="706"/>
      <c r="M4701" s="781"/>
      <c r="N4701" s="182"/>
      <c r="O4701" s="188"/>
      <c r="P4701" s="221"/>
      <c r="Q4701" s="106"/>
      <c r="R4701" s="108"/>
      <c r="S4701" s="108"/>
      <c r="T4701" s="108"/>
      <c r="U4701" s="108" t="str">
        <f>IFERROR(VLOOKUP(CONCATENATE(Tabla1[[#This Row],[Severidad]]," ",Tabla1[[#This Row],[Complejidad]]),Catalogos!E$120:G$128,3,FALSE),"")</f>
        <v/>
      </c>
      <c r="V4701" s="108" t="str">
        <f>IF(Tabla1[[#This Row],[Tiempo solución max (hrs)]]&lt;&gt;"",IF(Tabla1[[#This Row],[Tiempo solución max (hrs)]]&gt;=Tabla1[[#This Row],[Tiempo
(Hrs 00/100)]],"cumple","no cumple"),"")</f>
        <v/>
      </c>
      <c r="W4701" s="17"/>
      <c r="X4701" s="18">
        <f t="shared" si="263"/>
        <v>0</v>
      </c>
      <c r="Y4701" t="str">
        <f>SUBSTITUTE(Tabla1[[#This Row],[Descripción]],CHAR(10),"    I    ")</f>
        <v/>
      </c>
      <c r="Z4701" s="112" t="e">
        <f>VLOOKUP(Tabla1[[#This Row],[Perfil]],Catalogos!$B$75:$D$100,3,FALSE)*Tabla1[[#This Row],[Tiempo
(Hrs 00/100)]]*1.16</f>
        <v>#N/A</v>
      </c>
    </row>
    <row r="4702" spans="1:26" ht="30" customHeight="1" x14ac:dyDescent="0.3">
      <c r="A4702" s="106"/>
      <c r="B4702" s="106"/>
      <c r="C4702" s="106"/>
      <c r="D4702" s="106"/>
      <c r="E4702" s="106"/>
      <c r="F4702" s="106"/>
      <c r="G4702" s="106"/>
      <c r="H4702" s="107"/>
      <c r="I4702" s="95"/>
      <c r="J4702" s="706"/>
      <c r="K4702" s="769"/>
      <c r="L4702" s="706"/>
      <c r="M4702" s="781"/>
      <c r="N4702" s="182"/>
      <c r="O4702" s="188"/>
      <c r="P4702" s="221"/>
      <c r="Q4702" s="106"/>
      <c r="R4702" s="108"/>
      <c r="S4702" s="108"/>
      <c r="T4702" s="108"/>
      <c r="U4702" s="108" t="str">
        <f>IFERROR(VLOOKUP(CONCATENATE(Tabla1[[#This Row],[Severidad]]," ",Tabla1[[#This Row],[Complejidad]]),Catalogos!E$120:G$128,3,FALSE),"")</f>
        <v/>
      </c>
      <c r="V4702" s="108" t="str">
        <f>IF(Tabla1[[#This Row],[Tiempo solución max (hrs)]]&lt;&gt;"",IF(Tabla1[[#This Row],[Tiempo solución max (hrs)]]&gt;=Tabla1[[#This Row],[Tiempo
(Hrs 00/100)]],"cumple","no cumple"),"")</f>
        <v/>
      </c>
      <c r="W4702" s="17"/>
      <c r="X4702" s="18">
        <f t="shared" si="263"/>
        <v>0</v>
      </c>
      <c r="Y4702" t="str">
        <f>SUBSTITUTE(Tabla1[[#This Row],[Descripción]],CHAR(10),"    I    ")</f>
        <v/>
      </c>
      <c r="Z4702" s="112" t="e">
        <f>VLOOKUP(Tabla1[[#This Row],[Perfil]],Catalogos!$B$75:$D$100,3,FALSE)*Tabla1[[#This Row],[Tiempo
(Hrs 00/100)]]*1.16</f>
        <v>#N/A</v>
      </c>
    </row>
    <row r="4703" spans="1:26" ht="30" customHeight="1" x14ac:dyDescent="0.3">
      <c r="A4703" s="106"/>
      <c r="B4703" s="106"/>
      <c r="C4703" s="106"/>
      <c r="D4703" s="106"/>
      <c r="E4703" s="106"/>
      <c r="F4703" s="106"/>
      <c r="G4703" s="106"/>
      <c r="H4703" s="107"/>
      <c r="I4703" s="95"/>
      <c r="J4703" s="706"/>
      <c r="K4703" s="769"/>
      <c r="L4703" s="706"/>
      <c r="M4703" s="781"/>
      <c r="N4703" s="182"/>
      <c r="O4703" s="188"/>
      <c r="P4703" s="221"/>
      <c r="Q4703" s="106"/>
      <c r="R4703" s="108"/>
      <c r="S4703" s="108"/>
      <c r="T4703" s="108"/>
      <c r="U4703" s="108" t="str">
        <f>IFERROR(VLOOKUP(CONCATENATE(Tabla1[[#This Row],[Severidad]]," ",Tabla1[[#This Row],[Complejidad]]),Catalogos!E$120:G$128,3,FALSE),"")</f>
        <v/>
      </c>
      <c r="V4703" s="108" t="str">
        <f>IF(Tabla1[[#This Row],[Tiempo solución max (hrs)]]&lt;&gt;"",IF(Tabla1[[#This Row],[Tiempo solución max (hrs)]]&gt;=Tabla1[[#This Row],[Tiempo
(Hrs 00/100)]],"cumple","no cumple"),"")</f>
        <v/>
      </c>
      <c r="W4703" s="17"/>
      <c r="X4703" s="18">
        <f t="shared" si="263"/>
        <v>0</v>
      </c>
      <c r="Y4703" t="str">
        <f>SUBSTITUTE(Tabla1[[#This Row],[Descripción]],CHAR(10),"    I    ")</f>
        <v/>
      </c>
      <c r="Z4703" s="112" t="e">
        <f>VLOOKUP(Tabla1[[#This Row],[Perfil]],Catalogos!$B$75:$D$100,3,FALSE)*Tabla1[[#This Row],[Tiempo
(Hrs 00/100)]]*1.16</f>
        <v>#N/A</v>
      </c>
    </row>
    <row r="4704" spans="1:26" ht="30" customHeight="1" x14ac:dyDescent="0.3">
      <c r="A4704" s="106"/>
      <c r="B4704" s="106"/>
      <c r="C4704" s="106"/>
      <c r="D4704" s="106"/>
      <c r="E4704" s="106"/>
      <c r="F4704" s="106"/>
      <c r="G4704" s="106"/>
      <c r="H4704" s="107"/>
      <c r="I4704" s="95"/>
      <c r="J4704" s="706"/>
      <c r="K4704" s="769"/>
      <c r="L4704" s="706"/>
      <c r="M4704" s="781"/>
      <c r="N4704" s="182"/>
      <c r="O4704" s="188"/>
      <c r="P4704" s="221"/>
      <c r="Q4704" s="106"/>
      <c r="R4704" s="108"/>
      <c r="S4704" s="108"/>
      <c r="T4704" s="108"/>
      <c r="U4704" s="108" t="str">
        <f>IFERROR(VLOOKUP(CONCATENATE(Tabla1[[#This Row],[Severidad]]," ",Tabla1[[#This Row],[Complejidad]]),Catalogos!E$120:G$128,3,FALSE),"")</f>
        <v/>
      </c>
      <c r="V4704" s="108" t="str">
        <f>IF(Tabla1[[#This Row],[Tiempo solución max (hrs)]]&lt;&gt;"",IF(Tabla1[[#This Row],[Tiempo solución max (hrs)]]&gt;=Tabla1[[#This Row],[Tiempo
(Hrs 00/100)]],"cumple","no cumple"),"")</f>
        <v/>
      </c>
      <c r="W4704" s="17"/>
      <c r="X4704" s="18">
        <f t="shared" si="263"/>
        <v>0</v>
      </c>
      <c r="Y4704" t="str">
        <f>SUBSTITUTE(Tabla1[[#This Row],[Descripción]],CHAR(10),"    I    ")</f>
        <v/>
      </c>
      <c r="Z4704" s="112" t="e">
        <f>VLOOKUP(Tabla1[[#This Row],[Perfil]],Catalogos!$B$75:$D$100,3,FALSE)*Tabla1[[#This Row],[Tiempo
(Hrs 00/100)]]*1.16</f>
        <v>#N/A</v>
      </c>
    </row>
    <row r="4705" spans="1:26" ht="30" customHeight="1" x14ac:dyDescent="0.3">
      <c r="A4705" s="106"/>
      <c r="B4705" s="106"/>
      <c r="C4705" s="106"/>
      <c r="D4705" s="106"/>
      <c r="E4705" s="106"/>
      <c r="F4705" s="106"/>
      <c r="G4705" s="106"/>
      <c r="H4705" s="107"/>
      <c r="I4705" s="95"/>
      <c r="J4705" s="706"/>
      <c r="K4705" s="769"/>
      <c r="L4705" s="706"/>
      <c r="M4705" s="781"/>
      <c r="N4705" s="182"/>
      <c r="O4705" s="188"/>
      <c r="P4705" s="221"/>
      <c r="Q4705" s="106"/>
      <c r="R4705" s="108"/>
      <c r="S4705" s="108"/>
      <c r="T4705" s="108"/>
      <c r="U4705" s="108" t="str">
        <f>IFERROR(VLOOKUP(CONCATENATE(Tabla1[[#This Row],[Severidad]]," ",Tabla1[[#This Row],[Complejidad]]),Catalogos!E$120:G$128,3,FALSE),"")</f>
        <v/>
      </c>
      <c r="V4705" s="108" t="str">
        <f>IF(Tabla1[[#This Row],[Tiempo solución max (hrs)]]&lt;&gt;"",IF(Tabla1[[#This Row],[Tiempo solución max (hrs)]]&gt;=Tabla1[[#This Row],[Tiempo
(Hrs 00/100)]],"cumple","no cumple"),"")</f>
        <v/>
      </c>
      <c r="W4705" s="17"/>
      <c r="X4705" s="18">
        <f t="shared" si="263"/>
        <v>0</v>
      </c>
      <c r="Y4705" t="str">
        <f>SUBSTITUTE(Tabla1[[#This Row],[Descripción]],CHAR(10),"    I    ")</f>
        <v/>
      </c>
      <c r="Z4705" s="112" t="e">
        <f>VLOOKUP(Tabla1[[#This Row],[Perfil]],Catalogos!$B$75:$D$100,3,FALSE)*Tabla1[[#This Row],[Tiempo
(Hrs 00/100)]]*1.16</f>
        <v>#N/A</v>
      </c>
    </row>
    <row r="4706" spans="1:26" ht="30" customHeight="1" x14ac:dyDescent="0.3">
      <c r="A4706" s="106"/>
      <c r="B4706" s="106"/>
      <c r="C4706" s="106"/>
      <c r="D4706" s="106"/>
      <c r="E4706" s="106"/>
      <c r="F4706" s="106"/>
      <c r="G4706" s="106"/>
      <c r="H4706" s="107"/>
      <c r="I4706" s="95"/>
      <c r="J4706" s="706"/>
      <c r="K4706" s="769"/>
      <c r="L4706" s="706"/>
      <c r="M4706" s="781"/>
      <c r="N4706" s="182"/>
      <c r="O4706" s="188"/>
      <c r="P4706" s="221"/>
      <c r="Q4706" s="106"/>
      <c r="R4706" s="108"/>
      <c r="S4706" s="108"/>
      <c r="T4706" s="108"/>
      <c r="U4706" s="108" t="str">
        <f>IFERROR(VLOOKUP(CONCATENATE(Tabla1[[#This Row],[Severidad]]," ",Tabla1[[#This Row],[Complejidad]]),Catalogos!E$120:G$128,3,FALSE),"")</f>
        <v/>
      </c>
      <c r="V4706" s="108" t="str">
        <f>IF(Tabla1[[#This Row],[Tiempo solución max (hrs)]]&lt;&gt;"",IF(Tabla1[[#This Row],[Tiempo solución max (hrs)]]&gt;=Tabla1[[#This Row],[Tiempo
(Hrs 00/100)]],"cumple","no cumple"),"")</f>
        <v/>
      </c>
      <c r="W4706" s="17"/>
      <c r="X4706" s="18">
        <f t="shared" si="263"/>
        <v>0</v>
      </c>
      <c r="Y4706" t="str">
        <f>SUBSTITUTE(Tabla1[[#This Row],[Descripción]],CHAR(10),"    I    ")</f>
        <v/>
      </c>
      <c r="Z4706" s="112" t="e">
        <f>VLOOKUP(Tabla1[[#This Row],[Perfil]],Catalogos!$B$75:$D$100,3,FALSE)*Tabla1[[#This Row],[Tiempo
(Hrs 00/100)]]*1.16</f>
        <v>#N/A</v>
      </c>
    </row>
    <row r="4707" spans="1:26" ht="30" customHeight="1" x14ac:dyDescent="0.3">
      <c r="A4707" s="106"/>
      <c r="B4707" s="106"/>
      <c r="C4707" s="106"/>
      <c r="D4707" s="106"/>
      <c r="E4707" s="106"/>
      <c r="F4707" s="106"/>
      <c r="G4707" s="106"/>
      <c r="H4707" s="107"/>
      <c r="I4707" s="95"/>
      <c r="J4707" s="706"/>
      <c r="K4707" s="769"/>
      <c r="L4707" s="706"/>
      <c r="M4707" s="781"/>
      <c r="N4707" s="182"/>
      <c r="O4707" s="188"/>
      <c r="P4707" s="221"/>
      <c r="Q4707" s="106"/>
      <c r="R4707" s="108"/>
      <c r="S4707" s="108"/>
      <c r="T4707" s="108"/>
      <c r="U4707" s="108" t="str">
        <f>IFERROR(VLOOKUP(CONCATENATE(Tabla1[[#This Row],[Severidad]]," ",Tabla1[[#This Row],[Complejidad]]),Catalogos!E$120:G$128,3,FALSE),"")</f>
        <v/>
      </c>
      <c r="V4707" s="108" t="str">
        <f>IF(Tabla1[[#This Row],[Tiempo solución max (hrs)]]&lt;&gt;"",IF(Tabla1[[#This Row],[Tiempo solución max (hrs)]]&gt;=Tabla1[[#This Row],[Tiempo
(Hrs 00/100)]],"cumple","no cumple"),"")</f>
        <v/>
      </c>
      <c r="W4707" s="17"/>
      <c r="X4707" s="18">
        <f t="shared" si="263"/>
        <v>0</v>
      </c>
      <c r="Y4707" t="str">
        <f>SUBSTITUTE(Tabla1[[#This Row],[Descripción]],CHAR(10),"    I    ")</f>
        <v/>
      </c>
      <c r="Z4707" s="112" t="e">
        <f>VLOOKUP(Tabla1[[#This Row],[Perfil]],Catalogos!$B$75:$D$100,3,FALSE)*Tabla1[[#This Row],[Tiempo
(Hrs 00/100)]]*1.16</f>
        <v>#N/A</v>
      </c>
    </row>
    <row r="4708" spans="1:26" ht="30" customHeight="1" x14ac:dyDescent="0.3">
      <c r="A4708" s="106"/>
      <c r="B4708" s="106"/>
      <c r="C4708" s="106"/>
      <c r="D4708" s="106"/>
      <c r="E4708" s="106"/>
      <c r="F4708" s="106"/>
      <c r="G4708" s="106"/>
      <c r="H4708" s="107"/>
      <c r="I4708" s="95"/>
      <c r="J4708" s="706"/>
      <c r="K4708" s="769"/>
      <c r="L4708" s="706"/>
      <c r="M4708" s="781"/>
      <c r="N4708" s="182"/>
      <c r="O4708" s="188"/>
      <c r="P4708" s="221"/>
      <c r="Q4708" s="106"/>
      <c r="R4708" s="108"/>
      <c r="S4708" s="108"/>
      <c r="T4708" s="108"/>
      <c r="U4708" s="108" t="str">
        <f>IFERROR(VLOOKUP(CONCATENATE(Tabla1[[#This Row],[Severidad]]," ",Tabla1[[#This Row],[Complejidad]]),Catalogos!E$120:G$128,3,FALSE),"")</f>
        <v/>
      </c>
      <c r="V4708" s="108" t="str">
        <f>IF(Tabla1[[#This Row],[Tiempo solución max (hrs)]]&lt;&gt;"",IF(Tabla1[[#This Row],[Tiempo solución max (hrs)]]&gt;=Tabla1[[#This Row],[Tiempo
(Hrs 00/100)]],"cumple","no cumple"),"")</f>
        <v/>
      </c>
      <c r="W4708" s="17"/>
      <c r="X4708" s="18">
        <f t="shared" si="263"/>
        <v>0</v>
      </c>
      <c r="Y4708" t="str">
        <f>SUBSTITUTE(Tabla1[[#This Row],[Descripción]],CHAR(10),"    I    ")</f>
        <v/>
      </c>
      <c r="Z4708" s="112" t="e">
        <f>VLOOKUP(Tabla1[[#This Row],[Perfil]],Catalogos!$B$75:$D$100,3,FALSE)*Tabla1[[#This Row],[Tiempo
(Hrs 00/100)]]*1.16</f>
        <v>#N/A</v>
      </c>
    </row>
    <row r="4709" spans="1:26" ht="30" customHeight="1" x14ac:dyDescent="0.3">
      <c r="A4709" s="106"/>
      <c r="B4709" s="106"/>
      <c r="C4709" s="106"/>
      <c r="D4709" s="106"/>
      <c r="E4709" s="106"/>
      <c r="F4709" s="106"/>
      <c r="G4709" s="106"/>
      <c r="H4709" s="107"/>
      <c r="I4709" s="95"/>
      <c r="J4709" s="706"/>
      <c r="K4709" s="769"/>
      <c r="L4709" s="706"/>
      <c r="M4709" s="781"/>
      <c r="N4709" s="182"/>
      <c r="O4709" s="188"/>
      <c r="P4709" s="221"/>
      <c r="Q4709" s="106"/>
      <c r="R4709" s="108"/>
      <c r="S4709" s="108"/>
      <c r="T4709" s="108"/>
      <c r="U4709" s="108" t="str">
        <f>IFERROR(VLOOKUP(CONCATENATE(Tabla1[[#This Row],[Severidad]]," ",Tabla1[[#This Row],[Complejidad]]),Catalogos!E$120:G$128,3,FALSE),"")</f>
        <v/>
      </c>
      <c r="V4709" s="108" t="str">
        <f>IF(Tabla1[[#This Row],[Tiempo solución max (hrs)]]&lt;&gt;"",IF(Tabla1[[#This Row],[Tiempo solución max (hrs)]]&gt;=Tabla1[[#This Row],[Tiempo
(Hrs 00/100)]],"cumple","no cumple"),"")</f>
        <v/>
      </c>
      <c r="W4709" s="17"/>
      <c r="X4709" s="18">
        <f t="shared" si="263"/>
        <v>0</v>
      </c>
      <c r="Y4709" t="str">
        <f>SUBSTITUTE(Tabla1[[#This Row],[Descripción]],CHAR(10),"    I    ")</f>
        <v/>
      </c>
      <c r="Z4709" s="112" t="e">
        <f>VLOOKUP(Tabla1[[#This Row],[Perfil]],Catalogos!$B$75:$D$100,3,FALSE)*Tabla1[[#This Row],[Tiempo
(Hrs 00/100)]]*1.16</f>
        <v>#N/A</v>
      </c>
    </row>
    <row r="4710" spans="1:26" ht="30" customHeight="1" x14ac:dyDescent="0.3">
      <c r="A4710" s="106"/>
      <c r="B4710" s="106"/>
      <c r="C4710" s="106"/>
      <c r="D4710" s="106"/>
      <c r="E4710" s="106"/>
      <c r="F4710" s="106"/>
      <c r="G4710" s="106"/>
      <c r="H4710" s="107"/>
      <c r="I4710" s="95"/>
      <c r="J4710" s="706"/>
      <c r="K4710" s="769"/>
      <c r="L4710" s="706"/>
      <c r="M4710" s="781"/>
      <c r="N4710" s="182"/>
      <c r="O4710" s="188"/>
      <c r="P4710" s="221"/>
      <c r="Q4710" s="106"/>
      <c r="R4710" s="108"/>
      <c r="S4710" s="108"/>
      <c r="T4710" s="108"/>
      <c r="U4710" s="108" t="str">
        <f>IFERROR(VLOOKUP(CONCATENATE(Tabla1[[#This Row],[Severidad]]," ",Tabla1[[#This Row],[Complejidad]]),Catalogos!E$120:G$128,3,FALSE),"")</f>
        <v/>
      </c>
      <c r="V4710" s="108" t="str">
        <f>IF(Tabla1[[#This Row],[Tiempo solución max (hrs)]]&lt;&gt;"",IF(Tabla1[[#This Row],[Tiempo solución max (hrs)]]&gt;=Tabla1[[#This Row],[Tiempo
(Hrs 00/100)]],"cumple","no cumple"),"")</f>
        <v/>
      </c>
      <c r="W4710" s="17"/>
      <c r="X4710" s="18">
        <f t="shared" si="263"/>
        <v>0</v>
      </c>
      <c r="Y4710" t="str">
        <f>SUBSTITUTE(Tabla1[[#This Row],[Descripción]],CHAR(10),"    I    ")</f>
        <v/>
      </c>
      <c r="Z4710" s="112" t="e">
        <f>VLOOKUP(Tabla1[[#This Row],[Perfil]],Catalogos!$B$75:$D$100,3,FALSE)*Tabla1[[#This Row],[Tiempo
(Hrs 00/100)]]*1.16</f>
        <v>#N/A</v>
      </c>
    </row>
    <row r="4711" spans="1:26" ht="30" customHeight="1" x14ac:dyDescent="0.3">
      <c r="A4711" s="106"/>
      <c r="B4711" s="106"/>
      <c r="C4711" s="106"/>
      <c r="D4711" s="106"/>
      <c r="E4711" s="106"/>
      <c r="F4711" s="106"/>
      <c r="G4711" s="106"/>
      <c r="H4711" s="107"/>
      <c r="I4711" s="95"/>
      <c r="J4711" s="706"/>
      <c r="K4711" s="769"/>
      <c r="L4711" s="706"/>
      <c r="M4711" s="781"/>
      <c r="N4711" s="182"/>
      <c r="O4711" s="188"/>
      <c r="P4711" s="221"/>
      <c r="Q4711" s="106"/>
      <c r="R4711" s="108"/>
      <c r="S4711" s="108"/>
      <c r="T4711" s="108"/>
      <c r="U4711" s="108" t="str">
        <f>IFERROR(VLOOKUP(CONCATENATE(Tabla1[[#This Row],[Severidad]]," ",Tabla1[[#This Row],[Complejidad]]),Catalogos!E$120:G$128,3,FALSE),"")</f>
        <v/>
      </c>
      <c r="V4711" s="108" t="str">
        <f>IF(Tabla1[[#This Row],[Tiempo solución max (hrs)]]&lt;&gt;"",IF(Tabla1[[#This Row],[Tiempo solución max (hrs)]]&gt;=Tabla1[[#This Row],[Tiempo
(Hrs 00/100)]],"cumple","no cumple"),"")</f>
        <v/>
      </c>
      <c r="W4711" s="17"/>
      <c r="X4711" s="18">
        <f t="shared" si="263"/>
        <v>0</v>
      </c>
      <c r="Y4711" t="str">
        <f>SUBSTITUTE(Tabla1[[#This Row],[Descripción]],CHAR(10),"    I    ")</f>
        <v/>
      </c>
      <c r="Z4711" s="112" t="e">
        <f>VLOOKUP(Tabla1[[#This Row],[Perfil]],Catalogos!$B$75:$D$100,3,FALSE)*Tabla1[[#This Row],[Tiempo
(Hrs 00/100)]]*1.16</f>
        <v>#N/A</v>
      </c>
    </row>
    <row r="4712" spans="1:26" ht="30" customHeight="1" x14ac:dyDescent="0.3">
      <c r="A4712" s="106"/>
      <c r="B4712" s="106"/>
      <c r="C4712" s="106"/>
      <c r="D4712" s="106"/>
      <c r="E4712" s="106"/>
      <c r="F4712" s="106"/>
      <c r="G4712" s="106"/>
      <c r="H4712" s="107"/>
      <c r="I4712" s="95"/>
      <c r="J4712" s="706"/>
      <c r="K4712" s="769"/>
      <c r="L4712" s="706"/>
      <c r="M4712" s="781"/>
      <c r="N4712" s="182"/>
      <c r="O4712" s="188"/>
      <c r="P4712" s="221"/>
      <c r="Q4712" s="106"/>
      <c r="R4712" s="108"/>
      <c r="S4712" s="108"/>
      <c r="T4712" s="108"/>
      <c r="U4712" s="108" t="str">
        <f>IFERROR(VLOOKUP(CONCATENATE(Tabla1[[#This Row],[Severidad]]," ",Tabla1[[#This Row],[Complejidad]]),Catalogos!E$120:G$128,3,FALSE),"")</f>
        <v/>
      </c>
      <c r="V4712" s="108" t="str">
        <f>IF(Tabla1[[#This Row],[Tiempo solución max (hrs)]]&lt;&gt;"",IF(Tabla1[[#This Row],[Tiempo solución max (hrs)]]&gt;=Tabla1[[#This Row],[Tiempo
(Hrs 00/100)]],"cumple","no cumple"),"")</f>
        <v/>
      </c>
      <c r="W4712" s="17"/>
      <c r="X4712" s="18">
        <f t="shared" si="263"/>
        <v>0</v>
      </c>
      <c r="Y4712" t="str">
        <f>SUBSTITUTE(Tabla1[[#This Row],[Descripción]],CHAR(10),"    I    ")</f>
        <v/>
      </c>
      <c r="Z4712" s="112" t="e">
        <f>VLOOKUP(Tabla1[[#This Row],[Perfil]],Catalogos!$B$75:$D$100,3,FALSE)*Tabla1[[#This Row],[Tiempo
(Hrs 00/100)]]*1.16</f>
        <v>#N/A</v>
      </c>
    </row>
    <row r="4713" spans="1:26" ht="30" customHeight="1" x14ac:dyDescent="0.3">
      <c r="A4713" s="106"/>
      <c r="B4713" s="106"/>
      <c r="C4713" s="106"/>
      <c r="D4713" s="106"/>
      <c r="E4713" s="106"/>
      <c r="F4713" s="106"/>
      <c r="G4713" s="106"/>
      <c r="H4713" s="107"/>
      <c r="I4713" s="95"/>
      <c r="J4713" s="706"/>
      <c r="K4713" s="769"/>
      <c r="L4713" s="706"/>
      <c r="M4713" s="781"/>
      <c r="N4713" s="182"/>
      <c r="O4713" s="188"/>
      <c r="P4713" s="221"/>
      <c r="Q4713" s="106"/>
      <c r="R4713" s="108"/>
      <c r="S4713" s="108"/>
      <c r="T4713" s="108"/>
      <c r="U4713" s="108" t="str">
        <f>IFERROR(VLOOKUP(CONCATENATE(Tabla1[[#This Row],[Severidad]]," ",Tabla1[[#This Row],[Complejidad]]),Catalogos!E$120:G$128,3,FALSE),"")</f>
        <v/>
      </c>
      <c r="V4713" s="108" t="str">
        <f>IF(Tabla1[[#This Row],[Tiempo solución max (hrs)]]&lt;&gt;"",IF(Tabla1[[#This Row],[Tiempo solución max (hrs)]]&gt;=Tabla1[[#This Row],[Tiempo
(Hrs 00/100)]],"cumple","no cumple"),"")</f>
        <v/>
      </c>
      <c r="W4713" s="17"/>
      <c r="X4713" s="18">
        <f t="shared" si="263"/>
        <v>0</v>
      </c>
      <c r="Y4713" t="str">
        <f>SUBSTITUTE(Tabla1[[#This Row],[Descripción]],CHAR(10),"    I    ")</f>
        <v/>
      </c>
      <c r="Z4713" s="112" t="e">
        <f>VLOOKUP(Tabla1[[#This Row],[Perfil]],Catalogos!$B$75:$D$100,3,FALSE)*Tabla1[[#This Row],[Tiempo
(Hrs 00/100)]]*1.16</f>
        <v>#N/A</v>
      </c>
    </row>
    <row r="4714" spans="1:26" ht="30" customHeight="1" x14ac:dyDescent="0.3">
      <c r="A4714" s="106"/>
      <c r="B4714" s="106"/>
      <c r="C4714" s="106"/>
      <c r="D4714" s="106"/>
      <c r="E4714" s="106"/>
      <c r="F4714" s="106"/>
      <c r="G4714" s="106"/>
      <c r="H4714" s="107"/>
      <c r="I4714" s="95"/>
      <c r="J4714" s="706"/>
      <c r="K4714" s="769"/>
      <c r="L4714" s="706"/>
      <c r="M4714" s="781"/>
      <c r="N4714" s="182"/>
      <c r="O4714" s="188"/>
      <c r="P4714" s="221"/>
      <c r="Q4714" s="106"/>
      <c r="R4714" s="108"/>
      <c r="S4714" s="108"/>
      <c r="T4714" s="108"/>
      <c r="U4714" s="108" t="str">
        <f>IFERROR(VLOOKUP(CONCATENATE(Tabla1[[#This Row],[Severidad]]," ",Tabla1[[#This Row],[Complejidad]]),Catalogos!E$120:G$128,3,FALSE),"")</f>
        <v/>
      </c>
      <c r="V4714" s="108" t="str">
        <f>IF(Tabla1[[#This Row],[Tiempo solución max (hrs)]]&lt;&gt;"",IF(Tabla1[[#This Row],[Tiempo solución max (hrs)]]&gt;=Tabla1[[#This Row],[Tiempo
(Hrs 00/100)]],"cumple","no cumple"),"")</f>
        <v/>
      </c>
      <c r="W4714" s="17"/>
      <c r="X4714" s="18">
        <f t="shared" si="263"/>
        <v>0</v>
      </c>
      <c r="Y4714" t="str">
        <f>SUBSTITUTE(Tabla1[[#This Row],[Descripción]],CHAR(10),"    I    ")</f>
        <v/>
      </c>
      <c r="Z4714" s="112" t="e">
        <f>VLOOKUP(Tabla1[[#This Row],[Perfil]],Catalogos!$B$75:$D$100,3,FALSE)*Tabla1[[#This Row],[Tiempo
(Hrs 00/100)]]*1.16</f>
        <v>#N/A</v>
      </c>
    </row>
    <row r="4715" spans="1:26" ht="30" customHeight="1" x14ac:dyDescent="0.3">
      <c r="A4715" s="106"/>
      <c r="B4715" s="106"/>
      <c r="C4715" s="106"/>
      <c r="D4715" s="106"/>
      <c r="E4715" s="106"/>
      <c r="F4715" s="106"/>
      <c r="G4715" s="106"/>
      <c r="H4715" s="107"/>
      <c r="I4715" s="95"/>
      <c r="J4715" s="706"/>
      <c r="K4715" s="769"/>
      <c r="L4715" s="706"/>
      <c r="M4715" s="781"/>
      <c r="N4715" s="182"/>
      <c r="O4715" s="188"/>
      <c r="P4715" s="221"/>
      <c r="Q4715" s="106"/>
      <c r="R4715" s="108"/>
      <c r="S4715" s="108"/>
      <c r="T4715" s="108"/>
      <c r="U4715" s="108" t="str">
        <f>IFERROR(VLOOKUP(CONCATENATE(Tabla1[[#This Row],[Severidad]]," ",Tabla1[[#This Row],[Complejidad]]),Catalogos!E$120:G$128,3,FALSE),"")</f>
        <v/>
      </c>
      <c r="V4715" s="108" t="str">
        <f>IF(Tabla1[[#This Row],[Tiempo solución max (hrs)]]&lt;&gt;"",IF(Tabla1[[#This Row],[Tiempo solución max (hrs)]]&gt;=Tabla1[[#This Row],[Tiempo
(Hrs 00/100)]],"cumple","no cumple"),"")</f>
        <v/>
      </c>
      <c r="W4715" s="17"/>
      <c r="X4715" s="18">
        <f t="shared" si="263"/>
        <v>0</v>
      </c>
      <c r="Y4715" t="str">
        <f>SUBSTITUTE(Tabla1[[#This Row],[Descripción]],CHAR(10),"    I    ")</f>
        <v/>
      </c>
      <c r="Z4715" s="112" t="e">
        <f>VLOOKUP(Tabla1[[#This Row],[Perfil]],Catalogos!$B$75:$D$100,3,FALSE)*Tabla1[[#This Row],[Tiempo
(Hrs 00/100)]]*1.16</f>
        <v>#N/A</v>
      </c>
    </row>
    <row r="4716" spans="1:26" ht="30" customHeight="1" x14ac:dyDescent="0.3">
      <c r="A4716" s="106"/>
      <c r="B4716" s="106"/>
      <c r="C4716" s="106"/>
      <c r="D4716" s="106"/>
      <c r="E4716" s="106"/>
      <c r="F4716" s="106"/>
      <c r="G4716" s="106"/>
      <c r="H4716" s="107"/>
      <c r="I4716" s="95"/>
      <c r="J4716" s="706"/>
      <c r="K4716" s="769"/>
      <c r="L4716" s="706"/>
      <c r="M4716" s="781"/>
      <c r="N4716" s="182"/>
      <c r="O4716" s="188"/>
      <c r="P4716" s="221"/>
      <c r="Q4716" s="106"/>
      <c r="R4716" s="108"/>
      <c r="S4716" s="108"/>
      <c r="T4716" s="108"/>
      <c r="U4716" s="108" t="str">
        <f>IFERROR(VLOOKUP(CONCATENATE(Tabla1[[#This Row],[Severidad]]," ",Tabla1[[#This Row],[Complejidad]]),Catalogos!E$120:G$128,3,FALSE),"")</f>
        <v/>
      </c>
      <c r="V4716" s="108" t="str">
        <f>IF(Tabla1[[#This Row],[Tiempo solución max (hrs)]]&lt;&gt;"",IF(Tabla1[[#This Row],[Tiempo solución max (hrs)]]&gt;=Tabla1[[#This Row],[Tiempo
(Hrs 00/100)]],"cumple","no cumple"),"")</f>
        <v/>
      </c>
      <c r="W4716" s="17"/>
      <c r="X4716" s="18">
        <f t="shared" si="263"/>
        <v>0</v>
      </c>
      <c r="Y4716" t="str">
        <f>SUBSTITUTE(Tabla1[[#This Row],[Descripción]],CHAR(10),"    I    ")</f>
        <v/>
      </c>
      <c r="Z4716" s="112" t="e">
        <f>VLOOKUP(Tabla1[[#This Row],[Perfil]],Catalogos!$B$75:$D$100,3,FALSE)*Tabla1[[#This Row],[Tiempo
(Hrs 00/100)]]*1.16</f>
        <v>#N/A</v>
      </c>
    </row>
    <row r="4717" spans="1:26" ht="30" customHeight="1" x14ac:dyDescent="0.3">
      <c r="A4717" s="106"/>
      <c r="B4717" s="106"/>
      <c r="C4717" s="106"/>
      <c r="D4717" s="106"/>
      <c r="E4717" s="106"/>
      <c r="F4717" s="106"/>
      <c r="G4717" s="106"/>
      <c r="H4717" s="107"/>
      <c r="I4717" s="95"/>
      <c r="J4717" s="706"/>
      <c r="K4717" s="769"/>
      <c r="L4717" s="706"/>
      <c r="M4717" s="781"/>
      <c r="N4717" s="182"/>
      <c r="O4717" s="188"/>
      <c r="P4717" s="221"/>
      <c r="Q4717" s="106"/>
      <c r="R4717" s="108"/>
      <c r="S4717" s="108"/>
      <c r="T4717" s="108"/>
      <c r="U4717" s="108" t="str">
        <f>IFERROR(VLOOKUP(CONCATENATE(Tabla1[[#This Row],[Severidad]]," ",Tabla1[[#This Row],[Complejidad]]),Catalogos!E$120:G$128,3,FALSE),"")</f>
        <v/>
      </c>
      <c r="V4717" s="108" t="str">
        <f>IF(Tabla1[[#This Row],[Tiempo solución max (hrs)]]&lt;&gt;"",IF(Tabla1[[#This Row],[Tiempo solución max (hrs)]]&gt;=Tabla1[[#This Row],[Tiempo
(Hrs 00/100)]],"cumple","no cumple"),"")</f>
        <v/>
      </c>
      <c r="W4717" s="17"/>
      <c r="X4717" s="18">
        <f t="shared" si="263"/>
        <v>0</v>
      </c>
      <c r="Y4717" t="str">
        <f>SUBSTITUTE(Tabla1[[#This Row],[Descripción]],CHAR(10),"    I    ")</f>
        <v/>
      </c>
      <c r="Z4717" s="112" t="e">
        <f>VLOOKUP(Tabla1[[#This Row],[Perfil]],Catalogos!$B$75:$D$100,3,FALSE)*Tabla1[[#This Row],[Tiempo
(Hrs 00/100)]]*1.16</f>
        <v>#N/A</v>
      </c>
    </row>
    <row r="4718" spans="1:26" ht="30" customHeight="1" x14ac:dyDescent="0.3">
      <c r="A4718" s="106"/>
      <c r="B4718" s="106"/>
      <c r="C4718" s="106"/>
      <c r="D4718" s="106"/>
      <c r="E4718" s="106"/>
      <c r="F4718" s="106"/>
      <c r="G4718" s="106"/>
      <c r="H4718" s="107"/>
      <c r="I4718" s="95"/>
      <c r="J4718" s="706"/>
      <c r="K4718" s="769"/>
      <c r="L4718" s="706"/>
      <c r="M4718" s="781"/>
      <c r="N4718" s="182"/>
      <c r="O4718" s="188"/>
      <c r="P4718" s="221"/>
      <c r="Q4718" s="106"/>
      <c r="R4718" s="108"/>
      <c r="S4718" s="108"/>
      <c r="T4718" s="108"/>
      <c r="U4718" s="108" t="str">
        <f>IFERROR(VLOOKUP(CONCATENATE(Tabla1[[#This Row],[Severidad]]," ",Tabla1[[#This Row],[Complejidad]]),Catalogos!E$120:G$128,3,FALSE),"")</f>
        <v/>
      </c>
      <c r="V4718" s="108" t="str">
        <f>IF(Tabla1[[#This Row],[Tiempo solución max (hrs)]]&lt;&gt;"",IF(Tabla1[[#This Row],[Tiempo solución max (hrs)]]&gt;=Tabla1[[#This Row],[Tiempo
(Hrs 00/100)]],"cumple","no cumple"),"")</f>
        <v/>
      </c>
      <c r="W4718" s="17"/>
      <c r="X4718" s="18">
        <f t="shared" si="263"/>
        <v>0</v>
      </c>
      <c r="Y4718" t="str">
        <f>SUBSTITUTE(Tabla1[[#This Row],[Descripción]],CHAR(10),"    I    ")</f>
        <v/>
      </c>
      <c r="Z4718" s="112" t="e">
        <f>VLOOKUP(Tabla1[[#This Row],[Perfil]],Catalogos!$B$75:$D$100,3,FALSE)*Tabla1[[#This Row],[Tiempo
(Hrs 00/100)]]*1.16</f>
        <v>#N/A</v>
      </c>
    </row>
    <row r="4719" spans="1:26" ht="30" customHeight="1" x14ac:dyDescent="0.3">
      <c r="A4719" s="106"/>
      <c r="B4719" s="106"/>
      <c r="C4719" s="106"/>
      <c r="D4719" s="106"/>
      <c r="E4719" s="106"/>
      <c r="F4719" s="106"/>
      <c r="G4719" s="106"/>
      <c r="H4719" s="107"/>
      <c r="I4719" s="95"/>
      <c r="J4719" s="706"/>
      <c r="K4719" s="769"/>
      <c r="L4719" s="706"/>
      <c r="M4719" s="781"/>
      <c r="N4719" s="182"/>
      <c r="O4719" s="188"/>
      <c r="P4719" s="221"/>
      <c r="Q4719" s="106"/>
      <c r="R4719" s="108"/>
      <c r="S4719" s="108"/>
      <c r="T4719" s="108"/>
      <c r="U4719" s="108" t="str">
        <f>IFERROR(VLOOKUP(CONCATENATE(Tabla1[[#This Row],[Severidad]]," ",Tabla1[[#This Row],[Complejidad]]),Catalogos!E$120:G$128,3,FALSE),"")</f>
        <v/>
      </c>
      <c r="V4719" s="108" t="str">
        <f>IF(Tabla1[[#This Row],[Tiempo solución max (hrs)]]&lt;&gt;"",IF(Tabla1[[#This Row],[Tiempo solución max (hrs)]]&gt;=Tabla1[[#This Row],[Tiempo
(Hrs 00/100)]],"cumple","no cumple"),"")</f>
        <v/>
      </c>
      <c r="W4719" s="17"/>
      <c r="X4719" s="18">
        <f t="shared" si="263"/>
        <v>0</v>
      </c>
      <c r="Y4719" t="str">
        <f>SUBSTITUTE(Tabla1[[#This Row],[Descripción]],CHAR(10),"    I    ")</f>
        <v/>
      </c>
      <c r="Z4719" s="112" t="e">
        <f>VLOOKUP(Tabla1[[#This Row],[Perfil]],Catalogos!$B$75:$D$100,3,FALSE)*Tabla1[[#This Row],[Tiempo
(Hrs 00/100)]]*1.16</f>
        <v>#N/A</v>
      </c>
    </row>
    <row r="4720" spans="1:26" ht="30" customHeight="1" x14ac:dyDescent="0.3">
      <c r="A4720" s="106"/>
      <c r="B4720" s="106"/>
      <c r="C4720" s="106"/>
      <c r="D4720" s="106"/>
      <c r="E4720" s="106"/>
      <c r="F4720" s="106"/>
      <c r="G4720" s="106"/>
      <c r="H4720" s="107"/>
      <c r="I4720" s="95"/>
      <c r="J4720" s="706"/>
      <c r="K4720" s="769"/>
      <c r="L4720" s="706"/>
      <c r="M4720" s="781"/>
      <c r="N4720" s="182"/>
      <c r="O4720" s="188"/>
      <c r="P4720" s="221"/>
      <c r="Q4720" s="106"/>
      <c r="R4720" s="108"/>
      <c r="S4720" s="108"/>
      <c r="T4720" s="108"/>
      <c r="U4720" s="108" t="str">
        <f>IFERROR(VLOOKUP(CONCATENATE(Tabla1[[#This Row],[Severidad]]," ",Tabla1[[#This Row],[Complejidad]]),Catalogos!E$120:G$128,3,FALSE),"")</f>
        <v/>
      </c>
      <c r="V4720" s="108" t="str">
        <f>IF(Tabla1[[#This Row],[Tiempo solución max (hrs)]]&lt;&gt;"",IF(Tabla1[[#This Row],[Tiempo solución max (hrs)]]&gt;=Tabla1[[#This Row],[Tiempo
(Hrs 00/100)]],"cumple","no cumple"),"")</f>
        <v/>
      </c>
      <c r="W4720" s="17"/>
      <c r="X4720" s="18">
        <f t="shared" si="263"/>
        <v>0</v>
      </c>
      <c r="Y4720" t="str">
        <f>SUBSTITUTE(Tabla1[[#This Row],[Descripción]],CHAR(10),"    I    ")</f>
        <v/>
      </c>
      <c r="Z4720" s="112" t="e">
        <f>VLOOKUP(Tabla1[[#This Row],[Perfil]],Catalogos!$B$75:$D$100,3,FALSE)*Tabla1[[#This Row],[Tiempo
(Hrs 00/100)]]*1.16</f>
        <v>#N/A</v>
      </c>
    </row>
    <row r="4721" spans="1:26" ht="30" customHeight="1" x14ac:dyDescent="0.3">
      <c r="A4721" s="106"/>
      <c r="B4721" s="106"/>
      <c r="C4721" s="106"/>
      <c r="D4721" s="106"/>
      <c r="E4721" s="106"/>
      <c r="F4721" s="106"/>
      <c r="G4721" s="106"/>
      <c r="H4721" s="107"/>
      <c r="I4721" s="95"/>
      <c r="J4721" s="706"/>
      <c r="K4721" s="769"/>
      <c r="L4721" s="706"/>
      <c r="M4721" s="781"/>
      <c r="N4721" s="182"/>
      <c r="O4721" s="188"/>
      <c r="P4721" s="221"/>
      <c r="Q4721" s="106"/>
      <c r="R4721" s="108"/>
      <c r="S4721" s="108"/>
      <c r="T4721" s="108"/>
      <c r="U4721" s="108" t="str">
        <f>IFERROR(VLOOKUP(CONCATENATE(Tabla1[[#This Row],[Severidad]]," ",Tabla1[[#This Row],[Complejidad]]),Catalogos!E$120:G$128,3,FALSE),"")</f>
        <v/>
      </c>
      <c r="V4721" s="108" t="str">
        <f>IF(Tabla1[[#This Row],[Tiempo solución max (hrs)]]&lt;&gt;"",IF(Tabla1[[#This Row],[Tiempo solución max (hrs)]]&gt;=Tabla1[[#This Row],[Tiempo
(Hrs 00/100)]],"cumple","no cumple"),"")</f>
        <v/>
      </c>
      <c r="W4721" s="17"/>
      <c r="X4721" s="18">
        <f t="shared" si="263"/>
        <v>0</v>
      </c>
      <c r="Y4721" t="str">
        <f>SUBSTITUTE(Tabla1[[#This Row],[Descripción]],CHAR(10),"    I    ")</f>
        <v/>
      </c>
      <c r="Z4721" s="112" t="e">
        <f>VLOOKUP(Tabla1[[#This Row],[Perfil]],Catalogos!$B$75:$D$100,3,FALSE)*Tabla1[[#This Row],[Tiempo
(Hrs 00/100)]]*1.16</f>
        <v>#N/A</v>
      </c>
    </row>
    <row r="4722" spans="1:26" ht="30" customHeight="1" x14ac:dyDescent="0.3">
      <c r="A4722" s="106"/>
      <c r="B4722" s="106"/>
      <c r="C4722" s="106"/>
      <c r="D4722" s="106"/>
      <c r="E4722" s="106"/>
      <c r="F4722" s="106"/>
      <c r="G4722" s="106"/>
      <c r="H4722" s="107"/>
      <c r="I4722" s="95"/>
      <c r="J4722" s="706"/>
      <c r="K4722" s="769"/>
      <c r="L4722" s="706"/>
      <c r="M4722" s="781"/>
      <c r="N4722" s="182"/>
      <c r="O4722" s="188"/>
      <c r="P4722" s="221"/>
      <c r="Q4722" s="106"/>
      <c r="R4722" s="108"/>
      <c r="S4722" s="108"/>
      <c r="T4722" s="108"/>
      <c r="U4722" s="108" t="str">
        <f>IFERROR(VLOOKUP(CONCATENATE(Tabla1[[#This Row],[Severidad]]," ",Tabla1[[#This Row],[Complejidad]]),Catalogos!E$120:G$128,3,FALSE),"")</f>
        <v/>
      </c>
      <c r="V4722" s="108" t="str">
        <f>IF(Tabla1[[#This Row],[Tiempo solución max (hrs)]]&lt;&gt;"",IF(Tabla1[[#This Row],[Tiempo solución max (hrs)]]&gt;=Tabla1[[#This Row],[Tiempo
(Hrs 00/100)]],"cumple","no cumple"),"")</f>
        <v/>
      </c>
      <c r="W4722" s="17"/>
      <c r="X4722" s="18">
        <f t="shared" si="263"/>
        <v>0</v>
      </c>
      <c r="Y4722" t="str">
        <f>SUBSTITUTE(Tabla1[[#This Row],[Descripción]],CHAR(10),"    I    ")</f>
        <v/>
      </c>
      <c r="Z4722" s="112" t="e">
        <f>VLOOKUP(Tabla1[[#This Row],[Perfil]],Catalogos!$B$75:$D$100,3,FALSE)*Tabla1[[#This Row],[Tiempo
(Hrs 00/100)]]*1.16</f>
        <v>#N/A</v>
      </c>
    </row>
    <row r="4723" spans="1:26" ht="30" customHeight="1" x14ac:dyDescent="0.3">
      <c r="A4723" s="106"/>
      <c r="B4723" s="106"/>
      <c r="C4723" s="106"/>
      <c r="D4723" s="106"/>
      <c r="E4723" s="106"/>
      <c r="F4723" s="106"/>
      <c r="G4723" s="106"/>
      <c r="H4723" s="107"/>
      <c r="I4723" s="95"/>
      <c r="J4723" s="706"/>
      <c r="K4723" s="769"/>
      <c r="L4723" s="706"/>
      <c r="M4723" s="781"/>
      <c r="N4723" s="182"/>
      <c r="O4723" s="188"/>
      <c r="P4723" s="221"/>
      <c r="Q4723" s="106"/>
      <c r="R4723" s="108"/>
      <c r="S4723" s="108"/>
      <c r="T4723" s="108"/>
      <c r="U4723" s="108" t="str">
        <f>IFERROR(VLOOKUP(CONCATENATE(Tabla1[[#This Row],[Severidad]]," ",Tabla1[[#This Row],[Complejidad]]),Catalogos!E$120:G$128,3,FALSE),"")</f>
        <v/>
      </c>
      <c r="V4723" s="108" t="str">
        <f>IF(Tabla1[[#This Row],[Tiempo solución max (hrs)]]&lt;&gt;"",IF(Tabla1[[#This Row],[Tiempo solución max (hrs)]]&gt;=Tabla1[[#This Row],[Tiempo
(Hrs 00/100)]],"cumple","no cumple"),"")</f>
        <v/>
      </c>
      <c r="W4723" s="17"/>
      <c r="X4723" s="18">
        <f t="shared" si="263"/>
        <v>0</v>
      </c>
      <c r="Y4723" t="str">
        <f>SUBSTITUTE(Tabla1[[#This Row],[Descripción]],CHAR(10),"    I    ")</f>
        <v/>
      </c>
      <c r="Z4723" s="112" t="e">
        <f>VLOOKUP(Tabla1[[#This Row],[Perfil]],Catalogos!$B$75:$D$100,3,FALSE)*Tabla1[[#This Row],[Tiempo
(Hrs 00/100)]]*1.16</f>
        <v>#N/A</v>
      </c>
    </row>
    <row r="4724" spans="1:26" ht="30" customHeight="1" x14ac:dyDescent="0.3">
      <c r="A4724" s="106"/>
      <c r="B4724" s="106"/>
      <c r="C4724" s="106"/>
      <c r="D4724" s="106"/>
      <c r="E4724" s="106"/>
      <c r="F4724" s="106"/>
      <c r="G4724" s="106"/>
      <c r="H4724" s="107"/>
      <c r="I4724" s="95"/>
      <c r="J4724" s="706"/>
      <c r="K4724" s="769"/>
      <c r="L4724" s="706"/>
      <c r="M4724" s="781"/>
      <c r="N4724" s="182"/>
      <c r="O4724" s="188"/>
      <c r="P4724" s="221"/>
      <c r="Q4724" s="106"/>
      <c r="R4724" s="108"/>
      <c r="S4724" s="108"/>
      <c r="T4724" s="108"/>
      <c r="U4724" s="108" t="str">
        <f>IFERROR(VLOOKUP(CONCATENATE(Tabla1[[#This Row],[Severidad]]," ",Tabla1[[#This Row],[Complejidad]]),Catalogos!E$120:G$128,3,FALSE),"")</f>
        <v/>
      </c>
      <c r="V4724" s="108" t="str">
        <f>IF(Tabla1[[#This Row],[Tiempo solución max (hrs)]]&lt;&gt;"",IF(Tabla1[[#This Row],[Tiempo solución max (hrs)]]&gt;=Tabla1[[#This Row],[Tiempo
(Hrs 00/100)]],"cumple","no cumple"),"")</f>
        <v/>
      </c>
      <c r="W4724" s="17"/>
      <c r="X4724" s="18">
        <f t="shared" si="263"/>
        <v>0</v>
      </c>
      <c r="Y4724" t="str">
        <f>SUBSTITUTE(Tabla1[[#This Row],[Descripción]],CHAR(10),"    I    ")</f>
        <v/>
      </c>
      <c r="Z4724" s="112" t="e">
        <f>VLOOKUP(Tabla1[[#This Row],[Perfil]],Catalogos!$B$75:$D$100,3,FALSE)*Tabla1[[#This Row],[Tiempo
(Hrs 00/100)]]*1.16</f>
        <v>#N/A</v>
      </c>
    </row>
    <row r="4725" spans="1:26" ht="30" customHeight="1" x14ac:dyDescent="0.3">
      <c r="A4725" s="106"/>
      <c r="B4725" s="106"/>
      <c r="C4725" s="106"/>
      <c r="D4725" s="106"/>
      <c r="E4725" s="106"/>
      <c r="F4725" s="106"/>
      <c r="G4725" s="106"/>
      <c r="H4725" s="107"/>
      <c r="I4725" s="95"/>
      <c r="J4725" s="706"/>
      <c r="K4725" s="769"/>
      <c r="L4725" s="706"/>
      <c r="M4725" s="781"/>
      <c r="N4725" s="182"/>
      <c r="O4725" s="188"/>
      <c r="P4725" s="221"/>
      <c r="Q4725" s="106"/>
      <c r="R4725" s="108"/>
      <c r="S4725" s="108"/>
      <c r="T4725" s="108"/>
      <c r="U4725" s="108" t="str">
        <f>IFERROR(VLOOKUP(CONCATENATE(Tabla1[[#This Row],[Severidad]]," ",Tabla1[[#This Row],[Complejidad]]),Catalogos!E$120:G$128,3,FALSE),"")</f>
        <v/>
      </c>
      <c r="V4725" s="108" t="str">
        <f>IF(Tabla1[[#This Row],[Tiempo solución max (hrs)]]&lt;&gt;"",IF(Tabla1[[#This Row],[Tiempo solución max (hrs)]]&gt;=Tabla1[[#This Row],[Tiempo
(Hrs 00/100)]],"cumple","no cumple"),"")</f>
        <v/>
      </c>
      <c r="W4725" s="17"/>
      <c r="X4725" s="18">
        <f t="shared" si="263"/>
        <v>0</v>
      </c>
      <c r="Y4725" t="str">
        <f>SUBSTITUTE(Tabla1[[#This Row],[Descripción]],CHAR(10),"    I    ")</f>
        <v/>
      </c>
      <c r="Z4725" s="112" t="e">
        <f>VLOOKUP(Tabla1[[#This Row],[Perfil]],Catalogos!$B$75:$D$100,3,FALSE)*Tabla1[[#This Row],[Tiempo
(Hrs 00/100)]]*1.16</f>
        <v>#N/A</v>
      </c>
    </row>
    <row r="4726" spans="1:26" ht="30" customHeight="1" x14ac:dyDescent="0.3">
      <c r="A4726" s="106"/>
      <c r="B4726" s="106"/>
      <c r="C4726" s="106"/>
      <c r="D4726" s="106"/>
      <c r="E4726" s="106"/>
      <c r="F4726" s="106"/>
      <c r="G4726" s="106"/>
      <c r="H4726" s="107"/>
      <c r="I4726" s="95"/>
      <c r="J4726" s="706"/>
      <c r="K4726" s="769"/>
      <c r="L4726" s="706"/>
      <c r="M4726" s="781"/>
      <c r="N4726" s="182"/>
      <c r="O4726" s="188"/>
      <c r="P4726" s="221"/>
      <c r="Q4726" s="106"/>
      <c r="R4726" s="108"/>
      <c r="S4726" s="108"/>
      <c r="T4726" s="108"/>
      <c r="U4726" s="108" t="str">
        <f>IFERROR(VLOOKUP(CONCATENATE(Tabla1[[#This Row],[Severidad]]," ",Tabla1[[#This Row],[Complejidad]]),Catalogos!E$120:G$128,3,FALSE),"")</f>
        <v/>
      </c>
      <c r="V4726" s="108" t="str">
        <f>IF(Tabla1[[#This Row],[Tiempo solución max (hrs)]]&lt;&gt;"",IF(Tabla1[[#This Row],[Tiempo solución max (hrs)]]&gt;=Tabla1[[#This Row],[Tiempo
(Hrs 00/100)]],"cumple","no cumple"),"")</f>
        <v/>
      </c>
      <c r="W4726" s="17"/>
      <c r="X4726" s="18">
        <f t="shared" si="263"/>
        <v>0</v>
      </c>
      <c r="Y4726" t="str">
        <f>SUBSTITUTE(Tabla1[[#This Row],[Descripción]],CHAR(10),"    I    ")</f>
        <v/>
      </c>
      <c r="Z4726" s="112" t="e">
        <f>VLOOKUP(Tabla1[[#This Row],[Perfil]],Catalogos!$B$75:$D$100,3,FALSE)*Tabla1[[#This Row],[Tiempo
(Hrs 00/100)]]*1.16</f>
        <v>#N/A</v>
      </c>
    </row>
    <row r="4727" spans="1:26" ht="30" customHeight="1" x14ac:dyDescent="0.3">
      <c r="A4727" s="106"/>
      <c r="B4727" s="106"/>
      <c r="C4727" s="106"/>
      <c r="D4727" s="106"/>
      <c r="E4727" s="106"/>
      <c r="F4727" s="106"/>
      <c r="G4727" s="106"/>
      <c r="H4727" s="107"/>
      <c r="I4727" s="95"/>
      <c r="J4727" s="706"/>
      <c r="K4727" s="769"/>
      <c r="L4727" s="706"/>
      <c r="M4727" s="781"/>
      <c r="N4727" s="182"/>
      <c r="O4727" s="188"/>
      <c r="P4727" s="221"/>
      <c r="Q4727" s="106"/>
      <c r="R4727" s="108"/>
      <c r="S4727" s="108"/>
      <c r="T4727" s="108"/>
      <c r="U4727" s="108" t="str">
        <f>IFERROR(VLOOKUP(CONCATENATE(Tabla1[[#This Row],[Severidad]]," ",Tabla1[[#This Row],[Complejidad]]),Catalogos!E$120:G$128,3,FALSE),"")</f>
        <v/>
      </c>
      <c r="V4727" s="108" t="str">
        <f>IF(Tabla1[[#This Row],[Tiempo solución max (hrs)]]&lt;&gt;"",IF(Tabla1[[#This Row],[Tiempo solución max (hrs)]]&gt;=Tabla1[[#This Row],[Tiempo
(Hrs 00/100)]],"cumple","no cumple"),"")</f>
        <v/>
      </c>
      <c r="W4727" s="17"/>
      <c r="X4727" s="18">
        <f t="shared" si="263"/>
        <v>0</v>
      </c>
      <c r="Y4727" t="str">
        <f>SUBSTITUTE(Tabla1[[#This Row],[Descripción]],CHAR(10),"    I    ")</f>
        <v/>
      </c>
      <c r="Z4727" s="112" t="e">
        <f>VLOOKUP(Tabla1[[#This Row],[Perfil]],Catalogos!$B$75:$D$100,3,FALSE)*Tabla1[[#This Row],[Tiempo
(Hrs 00/100)]]*1.16</f>
        <v>#N/A</v>
      </c>
    </row>
    <row r="4728" spans="1:26" ht="30" customHeight="1" x14ac:dyDescent="0.3">
      <c r="A4728" s="106"/>
      <c r="B4728" s="106"/>
      <c r="C4728" s="106"/>
      <c r="D4728" s="106"/>
      <c r="E4728" s="106"/>
      <c r="F4728" s="106"/>
      <c r="G4728" s="106"/>
      <c r="H4728" s="107"/>
      <c r="I4728" s="95"/>
      <c r="J4728" s="706"/>
      <c r="K4728" s="769"/>
      <c r="L4728" s="706"/>
      <c r="M4728" s="781"/>
      <c r="N4728" s="182"/>
      <c r="O4728" s="188"/>
      <c r="P4728" s="221"/>
      <c r="Q4728" s="106"/>
      <c r="R4728" s="108"/>
      <c r="S4728" s="108"/>
      <c r="T4728" s="108"/>
      <c r="U4728" s="108" t="str">
        <f>IFERROR(VLOOKUP(CONCATENATE(Tabla1[[#This Row],[Severidad]]," ",Tabla1[[#This Row],[Complejidad]]),Catalogos!E$120:G$128,3,FALSE),"")</f>
        <v/>
      </c>
      <c r="V4728" s="108" t="str">
        <f>IF(Tabla1[[#This Row],[Tiempo solución max (hrs)]]&lt;&gt;"",IF(Tabla1[[#This Row],[Tiempo solución max (hrs)]]&gt;=Tabla1[[#This Row],[Tiempo
(Hrs 00/100)]],"cumple","no cumple"),"")</f>
        <v/>
      </c>
      <c r="W4728" s="17"/>
      <c r="X4728" s="18">
        <f t="shared" si="263"/>
        <v>0</v>
      </c>
      <c r="Y4728" t="str">
        <f>SUBSTITUTE(Tabla1[[#This Row],[Descripción]],CHAR(10),"    I    ")</f>
        <v/>
      </c>
      <c r="Z4728" s="112" t="e">
        <f>VLOOKUP(Tabla1[[#This Row],[Perfil]],Catalogos!$B$75:$D$100,3,FALSE)*Tabla1[[#This Row],[Tiempo
(Hrs 00/100)]]*1.16</f>
        <v>#N/A</v>
      </c>
    </row>
    <row r="4729" spans="1:26" ht="30" customHeight="1" x14ac:dyDescent="0.3">
      <c r="A4729" s="106"/>
      <c r="B4729" s="106"/>
      <c r="C4729" s="106"/>
      <c r="D4729" s="106"/>
      <c r="E4729" s="106"/>
      <c r="F4729" s="106"/>
      <c r="G4729" s="106"/>
      <c r="H4729" s="107"/>
      <c r="I4729" s="95"/>
      <c r="J4729" s="706"/>
      <c r="K4729" s="769"/>
      <c r="L4729" s="706"/>
      <c r="M4729" s="781"/>
      <c r="N4729" s="182"/>
      <c r="O4729" s="188"/>
      <c r="P4729" s="221"/>
      <c r="Q4729" s="106"/>
      <c r="R4729" s="108"/>
      <c r="S4729" s="108"/>
      <c r="T4729" s="108"/>
      <c r="U4729" s="108" t="str">
        <f>IFERROR(VLOOKUP(CONCATENATE(Tabla1[[#This Row],[Severidad]]," ",Tabla1[[#This Row],[Complejidad]]),Catalogos!E$120:G$128,3,FALSE),"")</f>
        <v/>
      </c>
      <c r="V4729" s="108" t="str">
        <f>IF(Tabla1[[#This Row],[Tiempo solución max (hrs)]]&lt;&gt;"",IF(Tabla1[[#This Row],[Tiempo solución max (hrs)]]&gt;=Tabla1[[#This Row],[Tiempo
(Hrs 00/100)]],"cumple","no cumple"),"")</f>
        <v/>
      </c>
      <c r="W4729" s="17"/>
      <c r="X4729" s="18">
        <f t="shared" si="263"/>
        <v>0</v>
      </c>
      <c r="Y4729" t="str">
        <f>SUBSTITUTE(Tabla1[[#This Row],[Descripción]],CHAR(10),"    I    ")</f>
        <v/>
      </c>
      <c r="Z4729" s="112" t="e">
        <f>VLOOKUP(Tabla1[[#This Row],[Perfil]],Catalogos!$B$75:$D$100,3,FALSE)*Tabla1[[#This Row],[Tiempo
(Hrs 00/100)]]*1.16</f>
        <v>#N/A</v>
      </c>
    </row>
    <row r="4730" spans="1:26" ht="30" customHeight="1" x14ac:dyDescent="0.3">
      <c r="A4730" s="106"/>
      <c r="B4730" s="106"/>
      <c r="C4730" s="106"/>
      <c r="D4730" s="106"/>
      <c r="E4730" s="106"/>
      <c r="F4730" s="106"/>
      <c r="G4730" s="106"/>
      <c r="H4730" s="107"/>
      <c r="I4730" s="95"/>
      <c r="J4730" s="706"/>
      <c r="K4730" s="769"/>
      <c r="L4730" s="706"/>
      <c r="M4730" s="781"/>
      <c r="N4730" s="182"/>
      <c r="O4730" s="188"/>
      <c r="P4730" s="221"/>
      <c r="Q4730" s="106"/>
      <c r="R4730" s="108"/>
      <c r="S4730" s="108"/>
      <c r="T4730" s="108"/>
      <c r="U4730" s="108" t="str">
        <f>IFERROR(VLOOKUP(CONCATENATE(Tabla1[[#This Row],[Severidad]]," ",Tabla1[[#This Row],[Complejidad]]),Catalogos!E$120:G$128,3,FALSE),"")</f>
        <v/>
      </c>
      <c r="V4730" s="108" t="str">
        <f>IF(Tabla1[[#This Row],[Tiempo solución max (hrs)]]&lt;&gt;"",IF(Tabla1[[#This Row],[Tiempo solución max (hrs)]]&gt;=Tabla1[[#This Row],[Tiempo
(Hrs 00/100)]],"cumple","no cumple"),"")</f>
        <v/>
      </c>
      <c r="W4730" s="17"/>
      <c r="X4730" s="18">
        <f t="shared" si="263"/>
        <v>0</v>
      </c>
      <c r="Y4730" t="str">
        <f>SUBSTITUTE(Tabla1[[#This Row],[Descripción]],CHAR(10),"    I    ")</f>
        <v/>
      </c>
      <c r="Z4730" s="112" t="e">
        <f>VLOOKUP(Tabla1[[#This Row],[Perfil]],Catalogos!$B$75:$D$100,3,FALSE)*Tabla1[[#This Row],[Tiempo
(Hrs 00/100)]]*1.16</f>
        <v>#N/A</v>
      </c>
    </row>
    <row r="4731" spans="1:26" ht="30" customHeight="1" x14ac:dyDescent="0.3">
      <c r="A4731" s="106"/>
      <c r="B4731" s="106"/>
      <c r="C4731" s="106"/>
      <c r="D4731" s="106"/>
      <c r="E4731" s="106"/>
      <c r="F4731" s="106"/>
      <c r="G4731" s="106"/>
      <c r="H4731" s="107"/>
      <c r="I4731" s="95"/>
      <c r="J4731" s="706"/>
      <c r="K4731" s="769"/>
      <c r="L4731" s="706"/>
      <c r="M4731" s="781"/>
      <c r="N4731" s="182"/>
      <c r="O4731" s="188"/>
      <c r="P4731" s="221"/>
      <c r="Q4731" s="106"/>
      <c r="R4731" s="108"/>
      <c r="S4731" s="108"/>
      <c r="T4731" s="108"/>
      <c r="U4731" s="108" t="str">
        <f>IFERROR(VLOOKUP(CONCATENATE(Tabla1[[#This Row],[Severidad]]," ",Tabla1[[#This Row],[Complejidad]]),Catalogos!E$120:G$128,3,FALSE),"")</f>
        <v/>
      </c>
      <c r="V4731" s="108" t="str">
        <f>IF(Tabla1[[#This Row],[Tiempo solución max (hrs)]]&lt;&gt;"",IF(Tabla1[[#This Row],[Tiempo solución max (hrs)]]&gt;=Tabla1[[#This Row],[Tiempo
(Hrs 00/100)]],"cumple","no cumple"),"")</f>
        <v/>
      </c>
      <c r="W4731" s="17"/>
      <c r="X4731" s="18">
        <f t="shared" si="263"/>
        <v>0</v>
      </c>
      <c r="Y4731" t="str">
        <f>SUBSTITUTE(Tabla1[[#This Row],[Descripción]],CHAR(10),"    I    ")</f>
        <v/>
      </c>
      <c r="Z4731" s="112" t="e">
        <f>VLOOKUP(Tabla1[[#This Row],[Perfil]],Catalogos!$B$75:$D$100,3,FALSE)*Tabla1[[#This Row],[Tiempo
(Hrs 00/100)]]*1.16</f>
        <v>#N/A</v>
      </c>
    </row>
    <row r="4732" spans="1:26" ht="30" customHeight="1" x14ac:dyDescent="0.3">
      <c r="A4732" s="106"/>
      <c r="B4732" s="106"/>
      <c r="C4732" s="106"/>
      <c r="D4732" s="106"/>
      <c r="E4732" s="106"/>
      <c r="F4732" s="106"/>
      <c r="G4732" s="106"/>
      <c r="H4732" s="107"/>
      <c r="I4732" s="95"/>
      <c r="J4732" s="706"/>
      <c r="K4732" s="769"/>
      <c r="L4732" s="706"/>
      <c r="M4732" s="781"/>
      <c r="N4732" s="182"/>
      <c r="O4732" s="188"/>
      <c r="P4732" s="221"/>
      <c r="Q4732" s="106"/>
      <c r="R4732" s="108"/>
      <c r="S4732" s="108"/>
      <c r="T4732" s="108"/>
      <c r="U4732" s="108" t="str">
        <f>IFERROR(VLOOKUP(CONCATENATE(Tabla1[[#This Row],[Severidad]]," ",Tabla1[[#This Row],[Complejidad]]),Catalogos!E$120:G$128,3,FALSE),"")</f>
        <v/>
      </c>
      <c r="V4732" s="108" t="str">
        <f>IF(Tabla1[[#This Row],[Tiempo solución max (hrs)]]&lt;&gt;"",IF(Tabla1[[#This Row],[Tiempo solución max (hrs)]]&gt;=Tabla1[[#This Row],[Tiempo
(Hrs 00/100)]],"cumple","no cumple"),"")</f>
        <v/>
      </c>
      <c r="W4732" s="17"/>
      <c r="X4732" s="18">
        <f t="shared" si="263"/>
        <v>0</v>
      </c>
      <c r="Y4732" t="str">
        <f>SUBSTITUTE(Tabla1[[#This Row],[Descripción]],CHAR(10),"    I    ")</f>
        <v/>
      </c>
      <c r="Z4732" s="112" t="e">
        <f>VLOOKUP(Tabla1[[#This Row],[Perfil]],Catalogos!$B$75:$D$100,3,FALSE)*Tabla1[[#This Row],[Tiempo
(Hrs 00/100)]]*1.16</f>
        <v>#N/A</v>
      </c>
    </row>
    <row r="4733" spans="1:26" ht="30" customHeight="1" x14ac:dyDescent="0.3">
      <c r="A4733" s="106"/>
      <c r="B4733" s="106"/>
      <c r="C4733" s="106"/>
      <c r="D4733" s="106"/>
      <c r="E4733" s="106"/>
      <c r="F4733" s="106"/>
      <c r="G4733" s="106"/>
      <c r="H4733" s="107"/>
      <c r="I4733" s="95"/>
      <c r="J4733" s="706"/>
      <c r="K4733" s="769"/>
      <c r="L4733" s="706"/>
      <c r="M4733" s="781"/>
      <c r="N4733" s="182"/>
      <c r="O4733" s="188"/>
      <c r="P4733" s="221"/>
      <c r="Q4733" s="106"/>
      <c r="R4733" s="108"/>
      <c r="S4733" s="108"/>
      <c r="T4733" s="108"/>
      <c r="U4733" s="108" t="str">
        <f>IFERROR(VLOOKUP(CONCATENATE(Tabla1[[#This Row],[Severidad]]," ",Tabla1[[#This Row],[Complejidad]]),Catalogos!E$120:G$128,3,FALSE),"")</f>
        <v/>
      </c>
      <c r="V4733" s="108" t="str">
        <f>IF(Tabla1[[#This Row],[Tiempo solución max (hrs)]]&lt;&gt;"",IF(Tabla1[[#This Row],[Tiempo solución max (hrs)]]&gt;=Tabla1[[#This Row],[Tiempo
(Hrs 00/100)]],"cumple","no cumple"),"")</f>
        <v/>
      </c>
      <c r="W4733" s="17"/>
      <c r="X4733" s="18">
        <f t="shared" si="263"/>
        <v>0</v>
      </c>
      <c r="Y4733" t="str">
        <f>SUBSTITUTE(Tabla1[[#This Row],[Descripción]],CHAR(10),"    I    ")</f>
        <v/>
      </c>
      <c r="Z4733" s="112" t="e">
        <f>VLOOKUP(Tabla1[[#This Row],[Perfil]],Catalogos!$B$75:$D$100,3,FALSE)*Tabla1[[#This Row],[Tiempo
(Hrs 00/100)]]*1.16</f>
        <v>#N/A</v>
      </c>
    </row>
    <row r="4734" spans="1:26" ht="30" customHeight="1" x14ac:dyDescent="0.3">
      <c r="A4734" s="106"/>
      <c r="B4734" s="106"/>
      <c r="C4734" s="106"/>
      <c r="D4734" s="106"/>
      <c r="E4734" s="106"/>
      <c r="F4734" s="106"/>
      <c r="G4734" s="106"/>
      <c r="H4734" s="107"/>
      <c r="I4734" s="95"/>
      <c r="J4734" s="706"/>
      <c r="K4734" s="769"/>
      <c r="L4734" s="706"/>
      <c r="M4734" s="781"/>
      <c r="N4734" s="182"/>
      <c r="O4734" s="188"/>
      <c r="P4734" s="221"/>
      <c r="Q4734" s="106"/>
      <c r="R4734" s="108"/>
      <c r="S4734" s="108"/>
      <c r="T4734" s="108"/>
      <c r="U4734" s="108" t="str">
        <f>IFERROR(VLOOKUP(CONCATENATE(Tabla1[[#This Row],[Severidad]]," ",Tabla1[[#This Row],[Complejidad]]),Catalogos!E$120:G$128,3,FALSE),"")</f>
        <v/>
      </c>
      <c r="V4734" s="108" t="str">
        <f>IF(Tabla1[[#This Row],[Tiempo solución max (hrs)]]&lt;&gt;"",IF(Tabla1[[#This Row],[Tiempo solución max (hrs)]]&gt;=Tabla1[[#This Row],[Tiempo
(Hrs 00/100)]],"cumple","no cumple"),"")</f>
        <v/>
      </c>
      <c r="W4734" s="17"/>
      <c r="X4734" s="18">
        <f t="shared" si="263"/>
        <v>0</v>
      </c>
      <c r="Y4734" t="str">
        <f>SUBSTITUTE(Tabla1[[#This Row],[Descripción]],CHAR(10),"    I    ")</f>
        <v/>
      </c>
      <c r="Z4734" s="112" t="e">
        <f>VLOOKUP(Tabla1[[#This Row],[Perfil]],Catalogos!$B$75:$D$100,3,FALSE)*Tabla1[[#This Row],[Tiempo
(Hrs 00/100)]]*1.16</f>
        <v>#N/A</v>
      </c>
    </row>
    <row r="4735" spans="1:26" ht="30" customHeight="1" x14ac:dyDescent="0.3">
      <c r="A4735" s="106"/>
      <c r="B4735" s="106"/>
      <c r="C4735" s="106"/>
      <c r="D4735" s="106"/>
      <c r="E4735" s="106"/>
      <c r="F4735" s="106"/>
      <c r="G4735" s="106"/>
      <c r="H4735" s="107"/>
      <c r="I4735" s="95"/>
      <c r="J4735" s="706"/>
      <c r="K4735" s="769"/>
      <c r="L4735" s="706"/>
      <c r="M4735" s="781"/>
      <c r="N4735" s="182"/>
      <c r="O4735" s="188"/>
      <c r="P4735" s="221"/>
      <c r="Q4735" s="106"/>
      <c r="R4735" s="108"/>
      <c r="S4735" s="108"/>
      <c r="T4735" s="108"/>
      <c r="U4735" s="108" t="str">
        <f>IFERROR(VLOOKUP(CONCATENATE(Tabla1[[#This Row],[Severidad]]," ",Tabla1[[#This Row],[Complejidad]]),Catalogos!E$120:G$128,3,FALSE),"")</f>
        <v/>
      </c>
      <c r="V4735" s="108" t="str">
        <f>IF(Tabla1[[#This Row],[Tiempo solución max (hrs)]]&lt;&gt;"",IF(Tabla1[[#This Row],[Tiempo solución max (hrs)]]&gt;=Tabla1[[#This Row],[Tiempo
(Hrs 00/100)]],"cumple","no cumple"),"")</f>
        <v/>
      </c>
      <c r="W4735" s="17"/>
      <c r="X4735" s="18">
        <f t="shared" si="263"/>
        <v>0</v>
      </c>
      <c r="Y4735" t="str">
        <f>SUBSTITUTE(Tabla1[[#This Row],[Descripción]],CHAR(10),"    I    ")</f>
        <v/>
      </c>
      <c r="Z4735" s="112" t="e">
        <f>VLOOKUP(Tabla1[[#This Row],[Perfil]],Catalogos!$B$75:$D$100,3,FALSE)*Tabla1[[#This Row],[Tiempo
(Hrs 00/100)]]*1.16</f>
        <v>#N/A</v>
      </c>
    </row>
    <row r="4736" spans="1:26" ht="30" customHeight="1" x14ac:dyDescent="0.3">
      <c r="A4736" s="106"/>
      <c r="B4736" s="106"/>
      <c r="C4736" s="106"/>
      <c r="D4736" s="106"/>
      <c r="E4736" s="106"/>
      <c r="F4736" s="106"/>
      <c r="G4736" s="106"/>
      <c r="H4736" s="107"/>
      <c r="I4736" s="95"/>
      <c r="J4736" s="706"/>
      <c r="K4736" s="769"/>
      <c r="L4736" s="706"/>
      <c r="M4736" s="781"/>
      <c r="N4736" s="182"/>
      <c r="O4736" s="188"/>
      <c r="P4736" s="221"/>
      <c r="Q4736" s="106"/>
      <c r="R4736" s="108"/>
      <c r="S4736" s="108"/>
      <c r="T4736" s="108"/>
      <c r="U4736" s="108" t="str">
        <f>IFERROR(VLOOKUP(CONCATENATE(Tabla1[[#This Row],[Severidad]]," ",Tabla1[[#This Row],[Complejidad]]),Catalogos!E$120:G$128,3,FALSE),"")</f>
        <v/>
      </c>
      <c r="V4736" s="108" t="str">
        <f>IF(Tabla1[[#This Row],[Tiempo solución max (hrs)]]&lt;&gt;"",IF(Tabla1[[#This Row],[Tiempo solución max (hrs)]]&gt;=Tabla1[[#This Row],[Tiempo
(Hrs 00/100)]],"cumple","no cumple"),"")</f>
        <v/>
      </c>
      <c r="W4736" s="17"/>
      <c r="X4736" s="18">
        <f t="shared" si="263"/>
        <v>0</v>
      </c>
      <c r="Y4736" t="str">
        <f>SUBSTITUTE(Tabla1[[#This Row],[Descripción]],CHAR(10),"    I    ")</f>
        <v/>
      </c>
      <c r="Z4736" s="112" t="e">
        <f>VLOOKUP(Tabla1[[#This Row],[Perfil]],Catalogos!$B$75:$D$100,3,FALSE)*Tabla1[[#This Row],[Tiempo
(Hrs 00/100)]]*1.16</f>
        <v>#N/A</v>
      </c>
    </row>
    <row r="4737" spans="1:26" ht="30" customHeight="1" x14ac:dyDescent="0.3">
      <c r="A4737" s="106"/>
      <c r="B4737" s="106"/>
      <c r="C4737" s="106"/>
      <c r="D4737" s="106"/>
      <c r="E4737" s="106"/>
      <c r="F4737" s="106"/>
      <c r="G4737" s="106"/>
      <c r="H4737" s="107"/>
      <c r="I4737" s="95"/>
      <c r="J4737" s="706"/>
      <c r="K4737" s="769"/>
      <c r="L4737" s="706"/>
      <c r="M4737" s="781"/>
      <c r="N4737" s="182"/>
      <c r="O4737" s="188"/>
      <c r="P4737" s="221"/>
      <c r="Q4737" s="106"/>
      <c r="R4737" s="108"/>
      <c r="S4737" s="108"/>
      <c r="T4737" s="108"/>
      <c r="U4737" s="108" t="str">
        <f>IFERROR(VLOOKUP(CONCATENATE(Tabla1[[#This Row],[Severidad]]," ",Tabla1[[#This Row],[Complejidad]]),Catalogos!E$120:G$128,3,FALSE),"")</f>
        <v/>
      </c>
      <c r="V4737" s="108" t="str">
        <f>IF(Tabla1[[#This Row],[Tiempo solución max (hrs)]]&lt;&gt;"",IF(Tabla1[[#This Row],[Tiempo solución max (hrs)]]&gt;=Tabla1[[#This Row],[Tiempo
(Hrs 00/100)]],"cumple","no cumple"),"")</f>
        <v/>
      </c>
      <c r="W4737" s="17"/>
      <c r="X4737" s="18">
        <f t="shared" si="263"/>
        <v>0</v>
      </c>
      <c r="Y4737" t="str">
        <f>SUBSTITUTE(Tabla1[[#This Row],[Descripción]],CHAR(10),"    I    ")</f>
        <v/>
      </c>
      <c r="Z4737" s="112" t="e">
        <f>VLOOKUP(Tabla1[[#This Row],[Perfil]],Catalogos!$B$75:$D$100,3,FALSE)*Tabla1[[#This Row],[Tiempo
(Hrs 00/100)]]*1.16</f>
        <v>#N/A</v>
      </c>
    </row>
    <row r="4738" spans="1:26" ht="30" customHeight="1" x14ac:dyDescent="0.3">
      <c r="A4738" s="106"/>
      <c r="B4738" s="106"/>
      <c r="C4738" s="106"/>
      <c r="D4738" s="106"/>
      <c r="E4738" s="106"/>
      <c r="F4738" s="106"/>
      <c r="G4738" s="106"/>
      <c r="H4738" s="107"/>
      <c r="I4738" s="95"/>
      <c r="J4738" s="706"/>
      <c r="K4738" s="769"/>
      <c r="L4738" s="706"/>
      <c r="M4738" s="781"/>
      <c r="N4738" s="182"/>
      <c r="O4738" s="188"/>
      <c r="P4738" s="221"/>
      <c r="Q4738" s="106"/>
      <c r="R4738" s="108"/>
      <c r="S4738" s="108"/>
      <c r="T4738" s="108"/>
      <c r="U4738" s="108" t="str">
        <f>IFERROR(VLOOKUP(CONCATENATE(Tabla1[[#This Row],[Severidad]]," ",Tabla1[[#This Row],[Complejidad]]),Catalogos!E$120:G$128,3,FALSE),"")</f>
        <v/>
      </c>
      <c r="V4738" s="108" t="str">
        <f>IF(Tabla1[[#This Row],[Tiempo solución max (hrs)]]&lt;&gt;"",IF(Tabla1[[#This Row],[Tiempo solución max (hrs)]]&gt;=Tabla1[[#This Row],[Tiempo
(Hrs 00/100)]],"cumple","no cumple"),"")</f>
        <v/>
      </c>
      <c r="W4738" s="17"/>
      <c r="X4738" s="18">
        <f t="shared" si="263"/>
        <v>0</v>
      </c>
      <c r="Y4738" t="str">
        <f>SUBSTITUTE(Tabla1[[#This Row],[Descripción]],CHAR(10),"    I    ")</f>
        <v/>
      </c>
      <c r="Z4738" s="112" t="e">
        <f>VLOOKUP(Tabla1[[#This Row],[Perfil]],Catalogos!$B$75:$D$100,3,FALSE)*Tabla1[[#This Row],[Tiempo
(Hrs 00/100)]]*1.16</f>
        <v>#N/A</v>
      </c>
    </row>
    <row r="4739" spans="1:26" ht="30" customHeight="1" x14ac:dyDescent="0.3">
      <c r="A4739" s="106"/>
      <c r="B4739" s="106"/>
      <c r="C4739" s="106"/>
      <c r="D4739" s="106"/>
      <c r="E4739" s="106"/>
      <c r="F4739" s="106"/>
      <c r="G4739" s="106"/>
      <c r="H4739" s="107"/>
      <c r="I4739" s="95"/>
      <c r="J4739" s="706"/>
      <c r="K4739" s="769"/>
      <c r="L4739" s="706"/>
      <c r="M4739" s="781"/>
      <c r="N4739" s="182"/>
      <c r="O4739" s="188"/>
      <c r="P4739" s="221"/>
      <c r="Q4739" s="106"/>
      <c r="R4739" s="108"/>
      <c r="S4739" s="108"/>
      <c r="T4739" s="108"/>
      <c r="U4739" s="108" t="str">
        <f>IFERROR(VLOOKUP(CONCATENATE(Tabla1[[#This Row],[Severidad]]," ",Tabla1[[#This Row],[Complejidad]]),Catalogos!E$120:G$128,3,FALSE),"")</f>
        <v/>
      </c>
      <c r="V4739" s="108" t="str">
        <f>IF(Tabla1[[#This Row],[Tiempo solución max (hrs)]]&lt;&gt;"",IF(Tabla1[[#This Row],[Tiempo solución max (hrs)]]&gt;=Tabla1[[#This Row],[Tiempo
(Hrs 00/100)]],"cumple","no cumple"),"")</f>
        <v/>
      </c>
      <c r="W4739" s="17"/>
      <c r="X4739" s="18">
        <f t="shared" ref="X4739:X4802" si="264">IF(C4739&lt;&gt;"",C4739,D4739)</f>
        <v>0</v>
      </c>
      <c r="Y4739" t="str">
        <f>SUBSTITUTE(Tabla1[[#This Row],[Descripción]],CHAR(10),"    I    ")</f>
        <v/>
      </c>
      <c r="Z4739" s="112" t="e">
        <f>VLOOKUP(Tabla1[[#This Row],[Perfil]],Catalogos!$B$75:$D$100,3,FALSE)*Tabla1[[#This Row],[Tiempo
(Hrs 00/100)]]*1.16</f>
        <v>#N/A</v>
      </c>
    </row>
    <row r="4740" spans="1:26" ht="30" customHeight="1" x14ac:dyDescent="0.3">
      <c r="A4740" s="106"/>
      <c r="B4740" s="106"/>
      <c r="C4740" s="106"/>
      <c r="D4740" s="106"/>
      <c r="E4740" s="106"/>
      <c r="F4740" s="106"/>
      <c r="G4740" s="106"/>
      <c r="H4740" s="107"/>
      <c r="I4740" s="95"/>
      <c r="J4740" s="706"/>
      <c r="K4740" s="769"/>
      <c r="L4740" s="706"/>
      <c r="M4740" s="781"/>
      <c r="N4740" s="182"/>
      <c r="O4740" s="188"/>
      <c r="P4740" s="221"/>
      <c r="Q4740" s="106"/>
      <c r="R4740" s="108"/>
      <c r="S4740" s="108"/>
      <c r="T4740" s="108"/>
      <c r="U4740" s="108" t="str">
        <f>IFERROR(VLOOKUP(CONCATENATE(Tabla1[[#This Row],[Severidad]]," ",Tabla1[[#This Row],[Complejidad]]),Catalogos!E$120:G$128,3,FALSE),"")</f>
        <v/>
      </c>
      <c r="V4740" s="108" t="str">
        <f>IF(Tabla1[[#This Row],[Tiempo solución max (hrs)]]&lt;&gt;"",IF(Tabla1[[#This Row],[Tiempo solución max (hrs)]]&gt;=Tabla1[[#This Row],[Tiempo
(Hrs 00/100)]],"cumple","no cumple"),"")</f>
        <v/>
      </c>
      <c r="W4740" s="17"/>
      <c r="X4740" s="18">
        <f t="shared" si="264"/>
        <v>0</v>
      </c>
      <c r="Y4740" t="str">
        <f>SUBSTITUTE(Tabla1[[#This Row],[Descripción]],CHAR(10),"    I    ")</f>
        <v/>
      </c>
      <c r="Z4740" s="112" t="e">
        <f>VLOOKUP(Tabla1[[#This Row],[Perfil]],Catalogos!$B$75:$D$100,3,FALSE)*Tabla1[[#This Row],[Tiempo
(Hrs 00/100)]]*1.16</f>
        <v>#N/A</v>
      </c>
    </row>
    <row r="4741" spans="1:26" ht="30" customHeight="1" x14ac:dyDescent="0.3">
      <c r="A4741" s="106"/>
      <c r="B4741" s="106"/>
      <c r="C4741" s="106"/>
      <c r="D4741" s="106"/>
      <c r="E4741" s="106"/>
      <c r="F4741" s="106"/>
      <c r="G4741" s="106"/>
      <c r="H4741" s="107"/>
      <c r="I4741" s="95"/>
      <c r="J4741" s="706"/>
      <c r="K4741" s="769"/>
      <c r="L4741" s="706"/>
      <c r="M4741" s="781"/>
      <c r="N4741" s="182"/>
      <c r="O4741" s="188"/>
      <c r="P4741" s="221"/>
      <c r="Q4741" s="106"/>
      <c r="R4741" s="108"/>
      <c r="S4741" s="108"/>
      <c r="T4741" s="108"/>
      <c r="U4741" s="108" t="str">
        <f>IFERROR(VLOOKUP(CONCATENATE(Tabla1[[#This Row],[Severidad]]," ",Tabla1[[#This Row],[Complejidad]]),Catalogos!E$120:G$128,3,FALSE),"")</f>
        <v/>
      </c>
      <c r="V4741" s="108" t="str">
        <f>IF(Tabla1[[#This Row],[Tiempo solución max (hrs)]]&lt;&gt;"",IF(Tabla1[[#This Row],[Tiempo solución max (hrs)]]&gt;=Tabla1[[#This Row],[Tiempo
(Hrs 00/100)]],"cumple","no cumple"),"")</f>
        <v/>
      </c>
      <c r="W4741" s="17"/>
      <c r="X4741" s="18">
        <f t="shared" si="264"/>
        <v>0</v>
      </c>
      <c r="Y4741" t="str">
        <f>SUBSTITUTE(Tabla1[[#This Row],[Descripción]],CHAR(10),"    I    ")</f>
        <v/>
      </c>
      <c r="Z4741" s="112" t="e">
        <f>VLOOKUP(Tabla1[[#This Row],[Perfil]],Catalogos!$B$75:$D$100,3,FALSE)*Tabla1[[#This Row],[Tiempo
(Hrs 00/100)]]*1.16</f>
        <v>#N/A</v>
      </c>
    </row>
    <row r="4742" spans="1:26" ht="30" customHeight="1" x14ac:dyDescent="0.3">
      <c r="A4742" s="106"/>
      <c r="B4742" s="106"/>
      <c r="C4742" s="106"/>
      <c r="D4742" s="106"/>
      <c r="E4742" s="106"/>
      <c r="F4742" s="106"/>
      <c r="G4742" s="106"/>
      <c r="H4742" s="107"/>
      <c r="I4742" s="95"/>
      <c r="J4742" s="706"/>
      <c r="K4742" s="769"/>
      <c r="L4742" s="706"/>
      <c r="M4742" s="781"/>
      <c r="N4742" s="182"/>
      <c r="O4742" s="188"/>
      <c r="P4742" s="221"/>
      <c r="Q4742" s="106"/>
      <c r="R4742" s="108"/>
      <c r="S4742" s="108"/>
      <c r="T4742" s="108"/>
      <c r="U4742" s="108" t="str">
        <f>IFERROR(VLOOKUP(CONCATENATE(Tabla1[[#This Row],[Severidad]]," ",Tabla1[[#This Row],[Complejidad]]),Catalogos!E$120:G$128,3,FALSE),"")</f>
        <v/>
      </c>
      <c r="V4742" s="108" t="str">
        <f>IF(Tabla1[[#This Row],[Tiempo solución max (hrs)]]&lt;&gt;"",IF(Tabla1[[#This Row],[Tiempo solución max (hrs)]]&gt;=Tabla1[[#This Row],[Tiempo
(Hrs 00/100)]],"cumple","no cumple"),"")</f>
        <v/>
      </c>
      <c r="W4742" s="17"/>
      <c r="X4742" s="18">
        <f t="shared" si="264"/>
        <v>0</v>
      </c>
      <c r="Y4742" t="str">
        <f>SUBSTITUTE(Tabla1[[#This Row],[Descripción]],CHAR(10),"    I    ")</f>
        <v/>
      </c>
      <c r="Z4742" s="112" t="e">
        <f>VLOOKUP(Tabla1[[#This Row],[Perfil]],Catalogos!$B$75:$D$100,3,FALSE)*Tabla1[[#This Row],[Tiempo
(Hrs 00/100)]]*1.16</f>
        <v>#N/A</v>
      </c>
    </row>
    <row r="4743" spans="1:26" ht="30" customHeight="1" x14ac:dyDescent="0.3">
      <c r="A4743" s="106"/>
      <c r="B4743" s="106"/>
      <c r="C4743" s="106"/>
      <c r="D4743" s="106"/>
      <c r="E4743" s="106"/>
      <c r="F4743" s="106"/>
      <c r="G4743" s="106"/>
      <c r="H4743" s="107"/>
      <c r="I4743" s="95"/>
      <c r="J4743" s="706"/>
      <c r="K4743" s="769"/>
      <c r="L4743" s="706"/>
      <c r="M4743" s="781"/>
      <c r="N4743" s="182"/>
      <c r="O4743" s="188"/>
      <c r="P4743" s="221"/>
      <c r="Q4743" s="106"/>
      <c r="R4743" s="108"/>
      <c r="S4743" s="108"/>
      <c r="T4743" s="108"/>
      <c r="U4743" s="108" t="str">
        <f>IFERROR(VLOOKUP(CONCATENATE(Tabla1[[#This Row],[Severidad]]," ",Tabla1[[#This Row],[Complejidad]]),Catalogos!E$120:G$128,3,FALSE),"")</f>
        <v/>
      </c>
      <c r="V4743" s="108" t="str">
        <f>IF(Tabla1[[#This Row],[Tiempo solución max (hrs)]]&lt;&gt;"",IF(Tabla1[[#This Row],[Tiempo solución max (hrs)]]&gt;=Tabla1[[#This Row],[Tiempo
(Hrs 00/100)]],"cumple","no cumple"),"")</f>
        <v/>
      </c>
      <c r="W4743" s="17"/>
      <c r="X4743" s="18">
        <f t="shared" si="264"/>
        <v>0</v>
      </c>
      <c r="Y4743" t="str">
        <f>SUBSTITUTE(Tabla1[[#This Row],[Descripción]],CHAR(10),"    I    ")</f>
        <v/>
      </c>
      <c r="Z4743" s="112" t="e">
        <f>VLOOKUP(Tabla1[[#This Row],[Perfil]],Catalogos!$B$75:$D$100,3,FALSE)*Tabla1[[#This Row],[Tiempo
(Hrs 00/100)]]*1.16</f>
        <v>#N/A</v>
      </c>
    </row>
    <row r="4744" spans="1:26" ht="30" customHeight="1" x14ac:dyDescent="0.3">
      <c r="A4744" s="106"/>
      <c r="B4744" s="106"/>
      <c r="C4744" s="106"/>
      <c r="D4744" s="106"/>
      <c r="E4744" s="106"/>
      <c r="F4744" s="106"/>
      <c r="G4744" s="106"/>
      <c r="H4744" s="107"/>
      <c r="I4744" s="95"/>
      <c r="J4744" s="706"/>
      <c r="K4744" s="769"/>
      <c r="L4744" s="706"/>
      <c r="M4744" s="781"/>
      <c r="N4744" s="182"/>
      <c r="O4744" s="188"/>
      <c r="P4744" s="221"/>
      <c r="Q4744" s="106"/>
      <c r="R4744" s="108"/>
      <c r="S4744" s="108"/>
      <c r="T4744" s="108"/>
      <c r="U4744" s="108" t="str">
        <f>IFERROR(VLOOKUP(CONCATENATE(Tabla1[[#This Row],[Severidad]]," ",Tabla1[[#This Row],[Complejidad]]),Catalogos!E$120:G$128,3,FALSE),"")</f>
        <v/>
      </c>
      <c r="V4744" s="108" t="str">
        <f>IF(Tabla1[[#This Row],[Tiempo solución max (hrs)]]&lt;&gt;"",IF(Tabla1[[#This Row],[Tiempo solución max (hrs)]]&gt;=Tabla1[[#This Row],[Tiempo
(Hrs 00/100)]],"cumple","no cumple"),"")</f>
        <v/>
      </c>
      <c r="W4744" s="17"/>
      <c r="X4744" s="18">
        <f t="shared" si="264"/>
        <v>0</v>
      </c>
      <c r="Y4744" t="str">
        <f>SUBSTITUTE(Tabla1[[#This Row],[Descripción]],CHAR(10),"    I    ")</f>
        <v/>
      </c>
      <c r="Z4744" s="112" t="e">
        <f>VLOOKUP(Tabla1[[#This Row],[Perfil]],Catalogos!$B$75:$D$100,3,FALSE)*Tabla1[[#This Row],[Tiempo
(Hrs 00/100)]]*1.16</f>
        <v>#N/A</v>
      </c>
    </row>
    <row r="4745" spans="1:26" ht="30" customHeight="1" x14ac:dyDescent="0.3">
      <c r="A4745" s="106"/>
      <c r="B4745" s="106"/>
      <c r="C4745" s="106"/>
      <c r="D4745" s="106"/>
      <c r="E4745" s="106"/>
      <c r="F4745" s="106"/>
      <c r="G4745" s="106"/>
      <c r="H4745" s="107"/>
      <c r="I4745" s="95"/>
      <c r="J4745" s="706"/>
      <c r="K4745" s="769"/>
      <c r="L4745" s="706"/>
      <c r="M4745" s="781"/>
      <c r="N4745" s="182"/>
      <c r="O4745" s="188"/>
      <c r="P4745" s="221"/>
      <c r="Q4745" s="106"/>
      <c r="R4745" s="108"/>
      <c r="S4745" s="108"/>
      <c r="T4745" s="108"/>
      <c r="U4745" s="108" t="str">
        <f>IFERROR(VLOOKUP(CONCATENATE(Tabla1[[#This Row],[Severidad]]," ",Tabla1[[#This Row],[Complejidad]]),Catalogos!E$120:G$128,3,FALSE),"")</f>
        <v/>
      </c>
      <c r="V4745" s="108" t="str">
        <f>IF(Tabla1[[#This Row],[Tiempo solución max (hrs)]]&lt;&gt;"",IF(Tabla1[[#This Row],[Tiempo solución max (hrs)]]&gt;=Tabla1[[#This Row],[Tiempo
(Hrs 00/100)]],"cumple","no cumple"),"")</f>
        <v/>
      </c>
      <c r="W4745" s="17"/>
      <c r="X4745" s="18">
        <f t="shared" si="264"/>
        <v>0</v>
      </c>
      <c r="Y4745" t="str">
        <f>SUBSTITUTE(Tabla1[[#This Row],[Descripción]],CHAR(10),"    I    ")</f>
        <v/>
      </c>
      <c r="Z4745" s="112" t="e">
        <f>VLOOKUP(Tabla1[[#This Row],[Perfil]],Catalogos!$B$75:$D$100,3,FALSE)*Tabla1[[#This Row],[Tiempo
(Hrs 00/100)]]*1.16</f>
        <v>#N/A</v>
      </c>
    </row>
    <row r="4746" spans="1:26" ht="30" customHeight="1" x14ac:dyDescent="0.3">
      <c r="A4746" s="106"/>
      <c r="B4746" s="106"/>
      <c r="C4746" s="106"/>
      <c r="D4746" s="106"/>
      <c r="E4746" s="106"/>
      <c r="F4746" s="106"/>
      <c r="G4746" s="106"/>
      <c r="H4746" s="107"/>
      <c r="I4746" s="95"/>
      <c r="J4746" s="706"/>
      <c r="K4746" s="769"/>
      <c r="L4746" s="706"/>
      <c r="M4746" s="781"/>
      <c r="N4746" s="182"/>
      <c r="O4746" s="188"/>
      <c r="P4746" s="221"/>
      <c r="Q4746" s="106"/>
      <c r="R4746" s="108"/>
      <c r="S4746" s="108"/>
      <c r="T4746" s="108"/>
      <c r="U4746" s="108" t="str">
        <f>IFERROR(VLOOKUP(CONCATENATE(Tabla1[[#This Row],[Severidad]]," ",Tabla1[[#This Row],[Complejidad]]),Catalogos!E$120:G$128,3,FALSE),"")</f>
        <v/>
      </c>
      <c r="V4746" s="108" t="str">
        <f>IF(Tabla1[[#This Row],[Tiempo solución max (hrs)]]&lt;&gt;"",IF(Tabla1[[#This Row],[Tiempo solución max (hrs)]]&gt;=Tabla1[[#This Row],[Tiempo
(Hrs 00/100)]],"cumple","no cumple"),"")</f>
        <v/>
      </c>
      <c r="W4746" s="17"/>
      <c r="X4746" s="18">
        <f t="shared" si="264"/>
        <v>0</v>
      </c>
      <c r="Y4746" t="str">
        <f>SUBSTITUTE(Tabla1[[#This Row],[Descripción]],CHAR(10),"    I    ")</f>
        <v/>
      </c>
      <c r="Z4746" s="112" t="e">
        <f>VLOOKUP(Tabla1[[#This Row],[Perfil]],Catalogos!$B$75:$D$100,3,FALSE)*Tabla1[[#This Row],[Tiempo
(Hrs 00/100)]]*1.16</f>
        <v>#N/A</v>
      </c>
    </row>
    <row r="4747" spans="1:26" ht="30" customHeight="1" x14ac:dyDescent="0.3">
      <c r="A4747" s="106"/>
      <c r="B4747" s="106"/>
      <c r="C4747" s="106"/>
      <c r="D4747" s="106"/>
      <c r="E4747" s="106"/>
      <c r="F4747" s="106"/>
      <c r="G4747" s="106"/>
      <c r="H4747" s="107"/>
      <c r="I4747" s="95"/>
      <c r="J4747" s="706"/>
      <c r="K4747" s="769"/>
      <c r="L4747" s="706"/>
      <c r="M4747" s="781"/>
      <c r="N4747" s="182"/>
      <c r="O4747" s="188"/>
      <c r="P4747" s="221"/>
      <c r="Q4747" s="106"/>
      <c r="R4747" s="108"/>
      <c r="S4747" s="108"/>
      <c r="T4747" s="108"/>
      <c r="U4747" s="108" t="str">
        <f>IFERROR(VLOOKUP(CONCATENATE(Tabla1[[#This Row],[Severidad]]," ",Tabla1[[#This Row],[Complejidad]]),Catalogos!E$120:G$128,3,FALSE),"")</f>
        <v/>
      </c>
      <c r="V4747" s="108" t="str">
        <f>IF(Tabla1[[#This Row],[Tiempo solución max (hrs)]]&lt;&gt;"",IF(Tabla1[[#This Row],[Tiempo solución max (hrs)]]&gt;=Tabla1[[#This Row],[Tiempo
(Hrs 00/100)]],"cumple","no cumple"),"")</f>
        <v/>
      </c>
      <c r="W4747" s="17"/>
      <c r="X4747" s="18">
        <f t="shared" si="264"/>
        <v>0</v>
      </c>
      <c r="Y4747" t="str">
        <f>SUBSTITUTE(Tabla1[[#This Row],[Descripción]],CHAR(10),"    I    ")</f>
        <v/>
      </c>
      <c r="Z4747" s="112" t="e">
        <f>VLOOKUP(Tabla1[[#This Row],[Perfil]],Catalogos!$B$75:$D$100,3,FALSE)*Tabla1[[#This Row],[Tiempo
(Hrs 00/100)]]*1.16</f>
        <v>#N/A</v>
      </c>
    </row>
    <row r="4748" spans="1:26" ht="30" customHeight="1" x14ac:dyDescent="0.3">
      <c r="A4748" s="106"/>
      <c r="B4748" s="106"/>
      <c r="C4748" s="106"/>
      <c r="D4748" s="106"/>
      <c r="E4748" s="106"/>
      <c r="F4748" s="106"/>
      <c r="G4748" s="106"/>
      <c r="H4748" s="107"/>
      <c r="I4748" s="95"/>
      <c r="J4748" s="706"/>
      <c r="K4748" s="769"/>
      <c r="L4748" s="706"/>
      <c r="M4748" s="781"/>
      <c r="N4748" s="182"/>
      <c r="O4748" s="188"/>
      <c r="P4748" s="221"/>
      <c r="Q4748" s="106"/>
      <c r="R4748" s="108"/>
      <c r="S4748" s="108"/>
      <c r="T4748" s="108"/>
      <c r="U4748" s="108" t="str">
        <f>IFERROR(VLOOKUP(CONCATENATE(Tabla1[[#This Row],[Severidad]]," ",Tabla1[[#This Row],[Complejidad]]),Catalogos!E$120:G$128,3,FALSE),"")</f>
        <v/>
      </c>
      <c r="V4748" s="108" t="str">
        <f>IF(Tabla1[[#This Row],[Tiempo solución max (hrs)]]&lt;&gt;"",IF(Tabla1[[#This Row],[Tiempo solución max (hrs)]]&gt;=Tabla1[[#This Row],[Tiempo
(Hrs 00/100)]],"cumple","no cumple"),"")</f>
        <v/>
      </c>
      <c r="W4748" s="17"/>
      <c r="X4748" s="18">
        <f t="shared" si="264"/>
        <v>0</v>
      </c>
      <c r="Y4748" t="str">
        <f>SUBSTITUTE(Tabla1[[#This Row],[Descripción]],CHAR(10),"    I    ")</f>
        <v/>
      </c>
      <c r="Z4748" s="112" t="e">
        <f>VLOOKUP(Tabla1[[#This Row],[Perfil]],Catalogos!$B$75:$D$100,3,FALSE)*Tabla1[[#This Row],[Tiempo
(Hrs 00/100)]]*1.16</f>
        <v>#N/A</v>
      </c>
    </row>
    <row r="4749" spans="1:26" ht="30" customHeight="1" x14ac:dyDescent="0.3">
      <c r="A4749" s="106"/>
      <c r="B4749" s="106"/>
      <c r="C4749" s="106"/>
      <c r="D4749" s="106"/>
      <c r="E4749" s="106"/>
      <c r="F4749" s="106"/>
      <c r="G4749" s="106"/>
      <c r="H4749" s="107"/>
      <c r="I4749" s="95"/>
      <c r="J4749" s="706"/>
      <c r="K4749" s="769"/>
      <c r="L4749" s="706"/>
      <c r="M4749" s="781"/>
      <c r="N4749" s="182"/>
      <c r="O4749" s="188"/>
      <c r="P4749" s="221"/>
      <c r="Q4749" s="106"/>
      <c r="R4749" s="108"/>
      <c r="S4749" s="108"/>
      <c r="T4749" s="108"/>
      <c r="U4749" s="108" t="str">
        <f>IFERROR(VLOOKUP(CONCATENATE(Tabla1[[#This Row],[Severidad]]," ",Tabla1[[#This Row],[Complejidad]]),Catalogos!E$120:G$128,3,FALSE),"")</f>
        <v/>
      </c>
      <c r="V4749" s="108" t="str">
        <f>IF(Tabla1[[#This Row],[Tiempo solución max (hrs)]]&lt;&gt;"",IF(Tabla1[[#This Row],[Tiempo solución max (hrs)]]&gt;=Tabla1[[#This Row],[Tiempo
(Hrs 00/100)]],"cumple","no cumple"),"")</f>
        <v/>
      </c>
      <c r="W4749" s="17"/>
      <c r="X4749" s="18">
        <f t="shared" si="264"/>
        <v>0</v>
      </c>
      <c r="Y4749" t="str">
        <f>SUBSTITUTE(Tabla1[[#This Row],[Descripción]],CHAR(10),"    I    ")</f>
        <v/>
      </c>
      <c r="Z4749" s="112" t="e">
        <f>VLOOKUP(Tabla1[[#This Row],[Perfil]],Catalogos!$B$75:$D$100,3,FALSE)*Tabla1[[#This Row],[Tiempo
(Hrs 00/100)]]*1.16</f>
        <v>#N/A</v>
      </c>
    </row>
    <row r="4750" spans="1:26" ht="30" customHeight="1" x14ac:dyDescent="0.3">
      <c r="A4750" s="106"/>
      <c r="B4750" s="106"/>
      <c r="C4750" s="106"/>
      <c r="D4750" s="106"/>
      <c r="E4750" s="106"/>
      <c r="F4750" s="106"/>
      <c r="G4750" s="106"/>
      <c r="H4750" s="107"/>
      <c r="I4750" s="95"/>
      <c r="J4750" s="706"/>
      <c r="K4750" s="769"/>
      <c r="L4750" s="706"/>
      <c r="M4750" s="781"/>
      <c r="N4750" s="182"/>
      <c r="O4750" s="188"/>
      <c r="P4750" s="221"/>
      <c r="Q4750" s="106"/>
      <c r="R4750" s="108"/>
      <c r="S4750" s="108"/>
      <c r="T4750" s="108"/>
      <c r="U4750" s="108" t="str">
        <f>IFERROR(VLOOKUP(CONCATENATE(Tabla1[[#This Row],[Severidad]]," ",Tabla1[[#This Row],[Complejidad]]),Catalogos!E$120:G$128,3,FALSE),"")</f>
        <v/>
      </c>
      <c r="V4750" s="108" t="str">
        <f>IF(Tabla1[[#This Row],[Tiempo solución max (hrs)]]&lt;&gt;"",IF(Tabla1[[#This Row],[Tiempo solución max (hrs)]]&gt;=Tabla1[[#This Row],[Tiempo
(Hrs 00/100)]],"cumple","no cumple"),"")</f>
        <v/>
      </c>
      <c r="W4750" s="17"/>
      <c r="X4750" s="18">
        <f t="shared" si="264"/>
        <v>0</v>
      </c>
      <c r="Y4750" t="str">
        <f>SUBSTITUTE(Tabla1[[#This Row],[Descripción]],CHAR(10),"    I    ")</f>
        <v/>
      </c>
      <c r="Z4750" s="112" t="e">
        <f>VLOOKUP(Tabla1[[#This Row],[Perfil]],Catalogos!$B$75:$D$100,3,FALSE)*Tabla1[[#This Row],[Tiempo
(Hrs 00/100)]]*1.16</f>
        <v>#N/A</v>
      </c>
    </row>
    <row r="4751" spans="1:26" ht="30" customHeight="1" x14ac:dyDescent="0.3">
      <c r="A4751" s="106"/>
      <c r="B4751" s="106"/>
      <c r="C4751" s="106"/>
      <c r="D4751" s="106"/>
      <c r="E4751" s="106"/>
      <c r="F4751" s="106"/>
      <c r="G4751" s="106"/>
      <c r="H4751" s="107"/>
      <c r="I4751" s="95"/>
      <c r="J4751" s="706"/>
      <c r="K4751" s="769"/>
      <c r="L4751" s="706"/>
      <c r="M4751" s="781"/>
      <c r="N4751" s="182"/>
      <c r="O4751" s="188"/>
      <c r="P4751" s="221"/>
      <c r="Q4751" s="106"/>
      <c r="R4751" s="108"/>
      <c r="S4751" s="108"/>
      <c r="T4751" s="108"/>
      <c r="U4751" s="108" t="str">
        <f>IFERROR(VLOOKUP(CONCATENATE(Tabla1[[#This Row],[Severidad]]," ",Tabla1[[#This Row],[Complejidad]]),Catalogos!E$120:G$128,3,FALSE),"")</f>
        <v/>
      </c>
      <c r="V4751" s="108" t="str">
        <f>IF(Tabla1[[#This Row],[Tiempo solución max (hrs)]]&lt;&gt;"",IF(Tabla1[[#This Row],[Tiempo solución max (hrs)]]&gt;=Tabla1[[#This Row],[Tiempo
(Hrs 00/100)]],"cumple","no cumple"),"")</f>
        <v/>
      </c>
      <c r="W4751" s="17"/>
      <c r="X4751" s="18">
        <f t="shared" si="264"/>
        <v>0</v>
      </c>
      <c r="Y4751" t="str">
        <f>SUBSTITUTE(Tabla1[[#This Row],[Descripción]],CHAR(10),"    I    ")</f>
        <v/>
      </c>
      <c r="Z4751" s="112" t="e">
        <f>VLOOKUP(Tabla1[[#This Row],[Perfil]],Catalogos!$B$75:$D$100,3,FALSE)*Tabla1[[#This Row],[Tiempo
(Hrs 00/100)]]*1.16</f>
        <v>#N/A</v>
      </c>
    </row>
    <row r="4752" spans="1:26" ht="30" customHeight="1" x14ac:dyDescent="0.3">
      <c r="A4752" s="106"/>
      <c r="B4752" s="106"/>
      <c r="C4752" s="106"/>
      <c r="D4752" s="106"/>
      <c r="E4752" s="106"/>
      <c r="F4752" s="106"/>
      <c r="G4752" s="106"/>
      <c r="H4752" s="107"/>
      <c r="I4752" s="95"/>
      <c r="J4752" s="706"/>
      <c r="K4752" s="769"/>
      <c r="L4752" s="706"/>
      <c r="M4752" s="781"/>
      <c r="N4752" s="182"/>
      <c r="O4752" s="188"/>
      <c r="P4752" s="221"/>
      <c r="Q4752" s="106"/>
      <c r="R4752" s="108"/>
      <c r="S4752" s="108"/>
      <c r="T4752" s="108"/>
      <c r="U4752" s="108" t="str">
        <f>IFERROR(VLOOKUP(CONCATENATE(Tabla1[[#This Row],[Severidad]]," ",Tabla1[[#This Row],[Complejidad]]),Catalogos!E$120:G$128,3,FALSE),"")</f>
        <v/>
      </c>
      <c r="V4752" s="108" t="str">
        <f>IF(Tabla1[[#This Row],[Tiempo solución max (hrs)]]&lt;&gt;"",IF(Tabla1[[#This Row],[Tiempo solución max (hrs)]]&gt;=Tabla1[[#This Row],[Tiempo
(Hrs 00/100)]],"cumple","no cumple"),"")</f>
        <v/>
      </c>
      <c r="W4752" s="17"/>
      <c r="X4752" s="18">
        <f t="shared" si="264"/>
        <v>0</v>
      </c>
      <c r="Y4752" t="str">
        <f>SUBSTITUTE(Tabla1[[#This Row],[Descripción]],CHAR(10),"    I    ")</f>
        <v/>
      </c>
      <c r="Z4752" s="112" t="e">
        <f>VLOOKUP(Tabla1[[#This Row],[Perfil]],Catalogos!$B$75:$D$100,3,FALSE)*Tabla1[[#This Row],[Tiempo
(Hrs 00/100)]]*1.16</f>
        <v>#N/A</v>
      </c>
    </row>
    <row r="4753" spans="1:26" ht="30" customHeight="1" x14ac:dyDescent="0.3">
      <c r="A4753" s="106"/>
      <c r="B4753" s="106"/>
      <c r="C4753" s="106"/>
      <c r="D4753" s="106"/>
      <c r="E4753" s="106"/>
      <c r="F4753" s="106"/>
      <c r="G4753" s="106"/>
      <c r="H4753" s="107"/>
      <c r="I4753" s="95"/>
      <c r="J4753" s="706"/>
      <c r="K4753" s="769"/>
      <c r="L4753" s="706"/>
      <c r="M4753" s="781"/>
      <c r="N4753" s="182"/>
      <c r="O4753" s="188"/>
      <c r="P4753" s="221"/>
      <c r="Q4753" s="106"/>
      <c r="R4753" s="108"/>
      <c r="S4753" s="108"/>
      <c r="T4753" s="108"/>
      <c r="U4753" s="108" t="str">
        <f>IFERROR(VLOOKUP(CONCATENATE(Tabla1[[#This Row],[Severidad]]," ",Tabla1[[#This Row],[Complejidad]]),Catalogos!E$120:G$128,3,FALSE),"")</f>
        <v/>
      </c>
      <c r="V4753" s="108" t="str">
        <f>IF(Tabla1[[#This Row],[Tiempo solución max (hrs)]]&lt;&gt;"",IF(Tabla1[[#This Row],[Tiempo solución max (hrs)]]&gt;=Tabla1[[#This Row],[Tiempo
(Hrs 00/100)]],"cumple","no cumple"),"")</f>
        <v/>
      </c>
      <c r="W4753" s="17"/>
      <c r="X4753" s="18">
        <f t="shared" si="264"/>
        <v>0</v>
      </c>
      <c r="Y4753" t="str">
        <f>SUBSTITUTE(Tabla1[[#This Row],[Descripción]],CHAR(10),"    I    ")</f>
        <v/>
      </c>
      <c r="Z4753" s="112" t="e">
        <f>VLOOKUP(Tabla1[[#This Row],[Perfil]],Catalogos!$B$75:$D$100,3,FALSE)*Tabla1[[#This Row],[Tiempo
(Hrs 00/100)]]*1.16</f>
        <v>#N/A</v>
      </c>
    </row>
    <row r="4754" spans="1:26" ht="30" customHeight="1" x14ac:dyDescent="0.3">
      <c r="A4754" s="106"/>
      <c r="B4754" s="106"/>
      <c r="C4754" s="106"/>
      <c r="D4754" s="106"/>
      <c r="E4754" s="106"/>
      <c r="F4754" s="106"/>
      <c r="G4754" s="106"/>
      <c r="H4754" s="107"/>
      <c r="I4754" s="95"/>
      <c r="J4754" s="706"/>
      <c r="K4754" s="769"/>
      <c r="L4754" s="706"/>
      <c r="M4754" s="781"/>
      <c r="N4754" s="182"/>
      <c r="O4754" s="188"/>
      <c r="P4754" s="221"/>
      <c r="Q4754" s="106"/>
      <c r="R4754" s="108"/>
      <c r="S4754" s="108"/>
      <c r="T4754" s="108"/>
      <c r="U4754" s="108" t="str">
        <f>IFERROR(VLOOKUP(CONCATENATE(Tabla1[[#This Row],[Severidad]]," ",Tabla1[[#This Row],[Complejidad]]),Catalogos!E$120:G$128,3,FALSE),"")</f>
        <v/>
      </c>
      <c r="V4754" s="108" t="str">
        <f>IF(Tabla1[[#This Row],[Tiempo solución max (hrs)]]&lt;&gt;"",IF(Tabla1[[#This Row],[Tiempo solución max (hrs)]]&gt;=Tabla1[[#This Row],[Tiempo
(Hrs 00/100)]],"cumple","no cumple"),"")</f>
        <v/>
      </c>
      <c r="W4754" s="17"/>
      <c r="X4754" s="18">
        <f t="shared" si="264"/>
        <v>0</v>
      </c>
      <c r="Y4754" t="str">
        <f>SUBSTITUTE(Tabla1[[#This Row],[Descripción]],CHAR(10),"    I    ")</f>
        <v/>
      </c>
      <c r="Z4754" s="112" t="e">
        <f>VLOOKUP(Tabla1[[#This Row],[Perfil]],Catalogos!$B$75:$D$100,3,FALSE)*Tabla1[[#This Row],[Tiempo
(Hrs 00/100)]]*1.16</f>
        <v>#N/A</v>
      </c>
    </row>
    <row r="4755" spans="1:26" ht="30" customHeight="1" x14ac:dyDescent="0.3">
      <c r="A4755" s="106"/>
      <c r="B4755" s="106"/>
      <c r="C4755" s="106"/>
      <c r="D4755" s="106"/>
      <c r="E4755" s="106"/>
      <c r="F4755" s="106"/>
      <c r="G4755" s="106"/>
      <c r="H4755" s="107"/>
      <c r="I4755" s="95"/>
      <c r="J4755" s="706"/>
      <c r="K4755" s="769"/>
      <c r="L4755" s="706"/>
      <c r="M4755" s="781"/>
      <c r="N4755" s="182"/>
      <c r="O4755" s="188"/>
      <c r="P4755" s="221"/>
      <c r="Q4755" s="106"/>
      <c r="R4755" s="108"/>
      <c r="S4755" s="108"/>
      <c r="T4755" s="108"/>
      <c r="U4755" s="108" t="str">
        <f>IFERROR(VLOOKUP(CONCATENATE(Tabla1[[#This Row],[Severidad]]," ",Tabla1[[#This Row],[Complejidad]]),Catalogos!E$120:G$128,3,FALSE),"")</f>
        <v/>
      </c>
      <c r="V4755" s="108" t="str">
        <f>IF(Tabla1[[#This Row],[Tiempo solución max (hrs)]]&lt;&gt;"",IF(Tabla1[[#This Row],[Tiempo solución max (hrs)]]&gt;=Tabla1[[#This Row],[Tiempo
(Hrs 00/100)]],"cumple","no cumple"),"")</f>
        <v/>
      </c>
      <c r="W4755" s="17"/>
      <c r="X4755" s="18">
        <f t="shared" si="264"/>
        <v>0</v>
      </c>
      <c r="Y4755" t="str">
        <f>SUBSTITUTE(Tabla1[[#This Row],[Descripción]],CHAR(10),"    I    ")</f>
        <v/>
      </c>
      <c r="Z4755" s="112" t="e">
        <f>VLOOKUP(Tabla1[[#This Row],[Perfil]],Catalogos!$B$75:$D$100,3,FALSE)*Tabla1[[#This Row],[Tiempo
(Hrs 00/100)]]*1.16</f>
        <v>#N/A</v>
      </c>
    </row>
    <row r="4756" spans="1:26" ht="30" customHeight="1" x14ac:dyDescent="0.3">
      <c r="A4756" s="106"/>
      <c r="B4756" s="106"/>
      <c r="C4756" s="106"/>
      <c r="D4756" s="106"/>
      <c r="E4756" s="106"/>
      <c r="F4756" s="106"/>
      <c r="G4756" s="106"/>
      <c r="H4756" s="107"/>
      <c r="I4756" s="95"/>
      <c r="J4756" s="706"/>
      <c r="K4756" s="769"/>
      <c r="L4756" s="706"/>
      <c r="M4756" s="781"/>
      <c r="N4756" s="182"/>
      <c r="O4756" s="188"/>
      <c r="P4756" s="221"/>
      <c r="Q4756" s="106"/>
      <c r="R4756" s="108"/>
      <c r="S4756" s="108"/>
      <c r="T4756" s="108"/>
      <c r="U4756" s="108" t="str">
        <f>IFERROR(VLOOKUP(CONCATENATE(Tabla1[[#This Row],[Severidad]]," ",Tabla1[[#This Row],[Complejidad]]),Catalogos!E$120:G$128,3,FALSE),"")</f>
        <v/>
      </c>
      <c r="V4756" s="108" t="str">
        <f>IF(Tabla1[[#This Row],[Tiempo solución max (hrs)]]&lt;&gt;"",IF(Tabla1[[#This Row],[Tiempo solución max (hrs)]]&gt;=Tabla1[[#This Row],[Tiempo
(Hrs 00/100)]],"cumple","no cumple"),"")</f>
        <v/>
      </c>
      <c r="W4756" s="17"/>
      <c r="X4756" s="18">
        <f t="shared" si="264"/>
        <v>0</v>
      </c>
      <c r="Y4756" t="str">
        <f>SUBSTITUTE(Tabla1[[#This Row],[Descripción]],CHAR(10),"    I    ")</f>
        <v/>
      </c>
      <c r="Z4756" s="112" t="e">
        <f>VLOOKUP(Tabla1[[#This Row],[Perfil]],Catalogos!$B$75:$D$100,3,FALSE)*Tabla1[[#This Row],[Tiempo
(Hrs 00/100)]]*1.16</f>
        <v>#N/A</v>
      </c>
    </row>
    <row r="4757" spans="1:26" ht="30" customHeight="1" x14ac:dyDescent="0.3">
      <c r="A4757" s="106"/>
      <c r="B4757" s="106"/>
      <c r="C4757" s="106"/>
      <c r="D4757" s="106"/>
      <c r="E4757" s="106"/>
      <c r="F4757" s="106"/>
      <c r="G4757" s="106"/>
      <c r="H4757" s="107"/>
      <c r="I4757" s="95"/>
      <c r="J4757" s="706"/>
      <c r="K4757" s="769"/>
      <c r="L4757" s="706"/>
      <c r="M4757" s="781"/>
      <c r="N4757" s="182"/>
      <c r="O4757" s="188"/>
      <c r="P4757" s="221"/>
      <c r="Q4757" s="106"/>
      <c r="R4757" s="108"/>
      <c r="S4757" s="108"/>
      <c r="T4757" s="108"/>
      <c r="U4757" s="108" t="str">
        <f>IFERROR(VLOOKUP(CONCATENATE(Tabla1[[#This Row],[Severidad]]," ",Tabla1[[#This Row],[Complejidad]]),Catalogos!E$120:G$128,3,FALSE),"")</f>
        <v/>
      </c>
      <c r="V4757" s="108" t="str">
        <f>IF(Tabla1[[#This Row],[Tiempo solución max (hrs)]]&lt;&gt;"",IF(Tabla1[[#This Row],[Tiempo solución max (hrs)]]&gt;=Tabla1[[#This Row],[Tiempo
(Hrs 00/100)]],"cumple","no cumple"),"")</f>
        <v/>
      </c>
      <c r="W4757" s="17"/>
      <c r="X4757" s="18">
        <f t="shared" si="264"/>
        <v>0</v>
      </c>
      <c r="Y4757" t="str">
        <f>SUBSTITUTE(Tabla1[[#This Row],[Descripción]],CHAR(10),"    I    ")</f>
        <v/>
      </c>
      <c r="Z4757" s="112" t="e">
        <f>VLOOKUP(Tabla1[[#This Row],[Perfil]],Catalogos!$B$75:$D$100,3,FALSE)*Tabla1[[#This Row],[Tiempo
(Hrs 00/100)]]*1.16</f>
        <v>#N/A</v>
      </c>
    </row>
    <row r="4758" spans="1:26" ht="30" customHeight="1" x14ac:dyDescent="0.3">
      <c r="A4758" s="106"/>
      <c r="B4758" s="106"/>
      <c r="C4758" s="106"/>
      <c r="D4758" s="106"/>
      <c r="E4758" s="106"/>
      <c r="F4758" s="106"/>
      <c r="G4758" s="106"/>
      <c r="H4758" s="107"/>
      <c r="I4758" s="95"/>
      <c r="J4758" s="706"/>
      <c r="K4758" s="769"/>
      <c r="L4758" s="706"/>
      <c r="M4758" s="781"/>
      <c r="N4758" s="182"/>
      <c r="O4758" s="188"/>
      <c r="P4758" s="221"/>
      <c r="Q4758" s="106"/>
      <c r="R4758" s="108"/>
      <c r="S4758" s="108"/>
      <c r="T4758" s="108"/>
      <c r="U4758" s="108" t="str">
        <f>IFERROR(VLOOKUP(CONCATENATE(Tabla1[[#This Row],[Severidad]]," ",Tabla1[[#This Row],[Complejidad]]),Catalogos!E$120:G$128,3,FALSE),"")</f>
        <v/>
      </c>
      <c r="V4758" s="108" t="str">
        <f>IF(Tabla1[[#This Row],[Tiempo solución max (hrs)]]&lt;&gt;"",IF(Tabla1[[#This Row],[Tiempo solución max (hrs)]]&gt;=Tabla1[[#This Row],[Tiempo
(Hrs 00/100)]],"cumple","no cumple"),"")</f>
        <v/>
      </c>
      <c r="W4758" s="17"/>
      <c r="X4758" s="18">
        <f t="shared" si="264"/>
        <v>0</v>
      </c>
      <c r="Y4758" t="str">
        <f>SUBSTITUTE(Tabla1[[#This Row],[Descripción]],CHAR(10),"    I    ")</f>
        <v/>
      </c>
      <c r="Z4758" s="112" t="e">
        <f>VLOOKUP(Tabla1[[#This Row],[Perfil]],Catalogos!$B$75:$D$100,3,FALSE)*Tabla1[[#This Row],[Tiempo
(Hrs 00/100)]]*1.16</f>
        <v>#N/A</v>
      </c>
    </row>
    <row r="4759" spans="1:26" ht="30" customHeight="1" x14ac:dyDescent="0.3">
      <c r="A4759" s="106"/>
      <c r="B4759" s="106"/>
      <c r="C4759" s="106"/>
      <c r="D4759" s="106"/>
      <c r="E4759" s="106"/>
      <c r="F4759" s="106"/>
      <c r="G4759" s="106"/>
      <c r="H4759" s="107"/>
      <c r="I4759" s="95"/>
      <c r="J4759" s="706"/>
      <c r="K4759" s="769"/>
      <c r="L4759" s="706"/>
      <c r="M4759" s="781"/>
      <c r="N4759" s="182"/>
      <c r="O4759" s="188"/>
      <c r="P4759" s="221"/>
      <c r="Q4759" s="106"/>
      <c r="R4759" s="108"/>
      <c r="S4759" s="108"/>
      <c r="T4759" s="108"/>
      <c r="U4759" s="108" t="str">
        <f>IFERROR(VLOOKUP(CONCATENATE(Tabla1[[#This Row],[Severidad]]," ",Tabla1[[#This Row],[Complejidad]]),Catalogos!E$120:G$128,3,FALSE),"")</f>
        <v/>
      </c>
      <c r="V4759" s="108" t="str">
        <f>IF(Tabla1[[#This Row],[Tiempo solución max (hrs)]]&lt;&gt;"",IF(Tabla1[[#This Row],[Tiempo solución max (hrs)]]&gt;=Tabla1[[#This Row],[Tiempo
(Hrs 00/100)]],"cumple","no cumple"),"")</f>
        <v/>
      </c>
      <c r="W4759" s="17"/>
      <c r="X4759" s="18">
        <f t="shared" si="264"/>
        <v>0</v>
      </c>
      <c r="Y4759" t="str">
        <f>SUBSTITUTE(Tabla1[[#This Row],[Descripción]],CHAR(10),"    I    ")</f>
        <v/>
      </c>
      <c r="Z4759" s="112" t="e">
        <f>VLOOKUP(Tabla1[[#This Row],[Perfil]],Catalogos!$B$75:$D$100,3,FALSE)*Tabla1[[#This Row],[Tiempo
(Hrs 00/100)]]*1.16</f>
        <v>#N/A</v>
      </c>
    </row>
    <row r="4760" spans="1:26" ht="30" customHeight="1" x14ac:dyDescent="0.3">
      <c r="A4760" s="106"/>
      <c r="B4760" s="106"/>
      <c r="C4760" s="106"/>
      <c r="D4760" s="106"/>
      <c r="E4760" s="106"/>
      <c r="F4760" s="106"/>
      <c r="G4760" s="106"/>
      <c r="H4760" s="107"/>
      <c r="I4760" s="95"/>
      <c r="J4760" s="706"/>
      <c r="K4760" s="769"/>
      <c r="L4760" s="706"/>
      <c r="M4760" s="781"/>
      <c r="N4760" s="182"/>
      <c r="O4760" s="188"/>
      <c r="P4760" s="221"/>
      <c r="Q4760" s="106"/>
      <c r="R4760" s="108"/>
      <c r="S4760" s="108"/>
      <c r="T4760" s="108"/>
      <c r="U4760" s="108" t="str">
        <f>IFERROR(VLOOKUP(CONCATENATE(Tabla1[[#This Row],[Severidad]]," ",Tabla1[[#This Row],[Complejidad]]),Catalogos!E$120:G$128,3,FALSE),"")</f>
        <v/>
      </c>
      <c r="V4760" s="108" t="str">
        <f>IF(Tabla1[[#This Row],[Tiempo solución max (hrs)]]&lt;&gt;"",IF(Tabla1[[#This Row],[Tiempo solución max (hrs)]]&gt;=Tabla1[[#This Row],[Tiempo
(Hrs 00/100)]],"cumple","no cumple"),"")</f>
        <v/>
      </c>
      <c r="W4760" s="17"/>
      <c r="X4760" s="18">
        <f t="shared" si="264"/>
        <v>0</v>
      </c>
      <c r="Y4760" t="str">
        <f>SUBSTITUTE(Tabla1[[#This Row],[Descripción]],CHAR(10),"    I    ")</f>
        <v/>
      </c>
      <c r="Z4760" s="112" t="e">
        <f>VLOOKUP(Tabla1[[#This Row],[Perfil]],Catalogos!$B$75:$D$100,3,FALSE)*Tabla1[[#This Row],[Tiempo
(Hrs 00/100)]]*1.16</f>
        <v>#N/A</v>
      </c>
    </row>
    <row r="4761" spans="1:26" ht="30" customHeight="1" x14ac:dyDescent="0.3">
      <c r="A4761" s="106"/>
      <c r="B4761" s="106"/>
      <c r="C4761" s="106"/>
      <c r="D4761" s="106"/>
      <c r="E4761" s="106"/>
      <c r="F4761" s="106"/>
      <c r="G4761" s="106"/>
      <c r="H4761" s="107"/>
      <c r="I4761" s="95"/>
      <c r="J4761" s="706"/>
      <c r="K4761" s="769"/>
      <c r="L4761" s="706"/>
      <c r="M4761" s="781"/>
      <c r="N4761" s="182"/>
      <c r="O4761" s="188"/>
      <c r="P4761" s="221"/>
      <c r="Q4761" s="106"/>
      <c r="R4761" s="108"/>
      <c r="S4761" s="108"/>
      <c r="T4761" s="108"/>
      <c r="U4761" s="108" t="str">
        <f>IFERROR(VLOOKUP(CONCATENATE(Tabla1[[#This Row],[Severidad]]," ",Tabla1[[#This Row],[Complejidad]]),Catalogos!E$120:G$128,3,FALSE),"")</f>
        <v/>
      </c>
      <c r="V4761" s="108" t="str">
        <f>IF(Tabla1[[#This Row],[Tiempo solución max (hrs)]]&lt;&gt;"",IF(Tabla1[[#This Row],[Tiempo solución max (hrs)]]&gt;=Tabla1[[#This Row],[Tiempo
(Hrs 00/100)]],"cumple","no cumple"),"")</f>
        <v/>
      </c>
      <c r="W4761" s="17"/>
      <c r="X4761" s="18">
        <f t="shared" si="264"/>
        <v>0</v>
      </c>
      <c r="Y4761" t="str">
        <f>SUBSTITUTE(Tabla1[[#This Row],[Descripción]],CHAR(10),"    I    ")</f>
        <v/>
      </c>
      <c r="Z4761" s="112" t="e">
        <f>VLOOKUP(Tabla1[[#This Row],[Perfil]],Catalogos!$B$75:$D$100,3,FALSE)*Tabla1[[#This Row],[Tiempo
(Hrs 00/100)]]*1.16</f>
        <v>#N/A</v>
      </c>
    </row>
    <row r="4762" spans="1:26" ht="30" customHeight="1" x14ac:dyDescent="0.3">
      <c r="A4762" s="106"/>
      <c r="B4762" s="106"/>
      <c r="C4762" s="106"/>
      <c r="D4762" s="106"/>
      <c r="E4762" s="106"/>
      <c r="F4762" s="106"/>
      <c r="G4762" s="106"/>
      <c r="H4762" s="107"/>
      <c r="I4762" s="95"/>
      <c r="J4762" s="706"/>
      <c r="K4762" s="769"/>
      <c r="L4762" s="706"/>
      <c r="M4762" s="781"/>
      <c r="N4762" s="182"/>
      <c r="O4762" s="188"/>
      <c r="P4762" s="221"/>
      <c r="Q4762" s="106"/>
      <c r="R4762" s="108"/>
      <c r="S4762" s="108"/>
      <c r="T4762" s="108"/>
      <c r="U4762" s="108" t="str">
        <f>IFERROR(VLOOKUP(CONCATENATE(Tabla1[[#This Row],[Severidad]]," ",Tabla1[[#This Row],[Complejidad]]),Catalogos!E$120:G$128,3,FALSE),"")</f>
        <v/>
      </c>
      <c r="V4762" s="108" t="str">
        <f>IF(Tabla1[[#This Row],[Tiempo solución max (hrs)]]&lt;&gt;"",IF(Tabla1[[#This Row],[Tiempo solución max (hrs)]]&gt;=Tabla1[[#This Row],[Tiempo
(Hrs 00/100)]],"cumple","no cumple"),"")</f>
        <v/>
      </c>
      <c r="W4762" s="17"/>
      <c r="X4762" s="18">
        <f t="shared" si="264"/>
        <v>0</v>
      </c>
      <c r="Y4762" t="str">
        <f>SUBSTITUTE(Tabla1[[#This Row],[Descripción]],CHAR(10),"    I    ")</f>
        <v/>
      </c>
      <c r="Z4762" s="112" t="e">
        <f>VLOOKUP(Tabla1[[#This Row],[Perfil]],Catalogos!$B$75:$D$100,3,FALSE)*Tabla1[[#This Row],[Tiempo
(Hrs 00/100)]]*1.16</f>
        <v>#N/A</v>
      </c>
    </row>
    <row r="4763" spans="1:26" ht="30" customHeight="1" x14ac:dyDescent="0.3">
      <c r="A4763" s="106"/>
      <c r="B4763" s="106"/>
      <c r="C4763" s="106"/>
      <c r="D4763" s="106"/>
      <c r="E4763" s="106"/>
      <c r="F4763" s="106"/>
      <c r="G4763" s="106"/>
      <c r="H4763" s="107"/>
      <c r="I4763" s="95"/>
      <c r="J4763" s="706"/>
      <c r="K4763" s="769"/>
      <c r="L4763" s="706"/>
      <c r="M4763" s="781"/>
      <c r="N4763" s="182"/>
      <c r="O4763" s="188"/>
      <c r="P4763" s="221"/>
      <c r="Q4763" s="106"/>
      <c r="R4763" s="108"/>
      <c r="S4763" s="108"/>
      <c r="T4763" s="108"/>
      <c r="U4763" s="108" t="str">
        <f>IFERROR(VLOOKUP(CONCATENATE(Tabla1[[#This Row],[Severidad]]," ",Tabla1[[#This Row],[Complejidad]]),Catalogos!E$120:G$128,3,FALSE),"")</f>
        <v/>
      </c>
      <c r="V4763" s="108" t="str">
        <f>IF(Tabla1[[#This Row],[Tiempo solución max (hrs)]]&lt;&gt;"",IF(Tabla1[[#This Row],[Tiempo solución max (hrs)]]&gt;=Tabla1[[#This Row],[Tiempo
(Hrs 00/100)]],"cumple","no cumple"),"")</f>
        <v/>
      </c>
      <c r="W4763" s="17"/>
      <c r="X4763" s="18">
        <f t="shared" si="264"/>
        <v>0</v>
      </c>
      <c r="Y4763" t="str">
        <f>SUBSTITUTE(Tabla1[[#This Row],[Descripción]],CHAR(10),"    I    ")</f>
        <v/>
      </c>
      <c r="Z4763" s="112" t="e">
        <f>VLOOKUP(Tabla1[[#This Row],[Perfil]],Catalogos!$B$75:$D$100,3,FALSE)*Tabla1[[#This Row],[Tiempo
(Hrs 00/100)]]*1.16</f>
        <v>#N/A</v>
      </c>
    </row>
    <row r="4764" spans="1:26" ht="30" customHeight="1" x14ac:dyDescent="0.3">
      <c r="A4764" s="106"/>
      <c r="B4764" s="106"/>
      <c r="C4764" s="106"/>
      <c r="D4764" s="106"/>
      <c r="E4764" s="106"/>
      <c r="F4764" s="106"/>
      <c r="G4764" s="106"/>
      <c r="H4764" s="107"/>
      <c r="I4764" s="95"/>
      <c r="J4764" s="706"/>
      <c r="K4764" s="769"/>
      <c r="L4764" s="706"/>
      <c r="M4764" s="781"/>
      <c r="N4764" s="182"/>
      <c r="O4764" s="188"/>
      <c r="P4764" s="221"/>
      <c r="Q4764" s="106"/>
      <c r="R4764" s="108"/>
      <c r="S4764" s="108"/>
      <c r="T4764" s="108"/>
      <c r="U4764" s="108" t="str">
        <f>IFERROR(VLOOKUP(CONCATENATE(Tabla1[[#This Row],[Severidad]]," ",Tabla1[[#This Row],[Complejidad]]),Catalogos!E$120:G$128,3,FALSE),"")</f>
        <v/>
      </c>
      <c r="V4764" s="108" t="str">
        <f>IF(Tabla1[[#This Row],[Tiempo solución max (hrs)]]&lt;&gt;"",IF(Tabla1[[#This Row],[Tiempo solución max (hrs)]]&gt;=Tabla1[[#This Row],[Tiempo
(Hrs 00/100)]],"cumple","no cumple"),"")</f>
        <v/>
      </c>
      <c r="W4764" s="17"/>
      <c r="X4764" s="18">
        <f t="shared" si="264"/>
        <v>0</v>
      </c>
      <c r="Y4764" t="str">
        <f>SUBSTITUTE(Tabla1[[#This Row],[Descripción]],CHAR(10),"    I    ")</f>
        <v/>
      </c>
      <c r="Z4764" s="112" t="e">
        <f>VLOOKUP(Tabla1[[#This Row],[Perfil]],Catalogos!$B$75:$D$100,3,FALSE)*Tabla1[[#This Row],[Tiempo
(Hrs 00/100)]]*1.16</f>
        <v>#N/A</v>
      </c>
    </row>
    <row r="4765" spans="1:26" ht="30" customHeight="1" x14ac:dyDescent="0.3">
      <c r="A4765" s="106"/>
      <c r="B4765" s="106"/>
      <c r="C4765" s="106"/>
      <c r="D4765" s="106"/>
      <c r="E4765" s="106"/>
      <c r="F4765" s="106"/>
      <c r="G4765" s="106"/>
      <c r="H4765" s="107"/>
      <c r="I4765" s="95"/>
      <c r="J4765" s="706"/>
      <c r="K4765" s="769"/>
      <c r="L4765" s="706"/>
      <c r="M4765" s="781"/>
      <c r="N4765" s="182"/>
      <c r="O4765" s="188"/>
      <c r="P4765" s="221"/>
      <c r="Q4765" s="106"/>
      <c r="R4765" s="108"/>
      <c r="S4765" s="108"/>
      <c r="T4765" s="108"/>
      <c r="U4765" s="108" t="str">
        <f>IFERROR(VLOOKUP(CONCATENATE(Tabla1[[#This Row],[Severidad]]," ",Tabla1[[#This Row],[Complejidad]]),Catalogos!E$120:G$128,3,FALSE),"")</f>
        <v/>
      </c>
      <c r="V4765" s="108" t="str">
        <f>IF(Tabla1[[#This Row],[Tiempo solución max (hrs)]]&lt;&gt;"",IF(Tabla1[[#This Row],[Tiempo solución max (hrs)]]&gt;=Tabla1[[#This Row],[Tiempo
(Hrs 00/100)]],"cumple","no cumple"),"")</f>
        <v/>
      </c>
      <c r="W4765" s="17"/>
      <c r="X4765" s="18">
        <f t="shared" si="264"/>
        <v>0</v>
      </c>
      <c r="Y4765" t="str">
        <f>SUBSTITUTE(Tabla1[[#This Row],[Descripción]],CHAR(10),"    I    ")</f>
        <v/>
      </c>
      <c r="Z4765" s="112" t="e">
        <f>VLOOKUP(Tabla1[[#This Row],[Perfil]],Catalogos!$B$75:$D$100,3,FALSE)*Tabla1[[#This Row],[Tiempo
(Hrs 00/100)]]*1.16</f>
        <v>#N/A</v>
      </c>
    </row>
    <row r="4766" spans="1:26" ht="30" customHeight="1" x14ac:dyDescent="0.3">
      <c r="A4766" s="106"/>
      <c r="B4766" s="106"/>
      <c r="C4766" s="106"/>
      <c r="D4766" s="106"/>
      <c r="E4766" s="106"/>
      <c r="F4766" s="106"/>
      <c r="G4766" s="106"/>
      <c r="H4766" s="107"/>
      <c r="I4766" s="95"/>
      <c r="J4766" s="706"/>
      <c r="K4766" s="769"/>
      <c r="L4766" s="706"/>
      <c r="M4766" s="781"/>
      <c r="N4766" s="182"/>
      <c r="O4766" s="188"/>
      <c r="P4766" s="221"/>
      <c r="Q4766" s="106"/>
      <c r="R4766" s="108"/>
      <c r="S4766" s="108"/>
      <c r="T4766" s="108"/>
      <c r="U4766" s="108" t="str">
        <f>IFERROR(VLOOKUP(CONCATENATE(Tabla1[[#This Row],[Severidad]]," ",Tabla1[[#This Row],[Complejidad]]),Catalogos!E$120:G$128,3,FALSE),"")</f>
        <v/>
      </c>
      <c r="V4766" s="108" t="str">
        <f>IF(Tabla1[[#This Row],[Tiempo solución max (hrs)]]&lt;&gt;"",IF(Tabla1[[#This Row],[Tiempo solución max (hrs)]]&gt;=Tabla1[[#This Row],[Tiempo
(Hrs 00/100)]],"cumple","no cumple"),"")</f>
        <v/>
      </c>
      <c r="W4766" s="17"/>
      <c r="X4766" s="18">
        <f t="shared" si="264"/>
        <v>0</v>
      </c>
      <c r="Y4766" t="str">
        <f>SUBSTITUTE(Tabla1[[#This Row],[Descripción]],CHAR(10),"    I    ")</f>
        <v/>
      </c>
      <c r="Z4766" s="112" t="e">
        <f>VLOOKUP(Tabla1[[#This Row],[Perfil]],Catalogos!$B$75:$D$100,3,FALSE)*Tabla1[[#This Row],[Tiempo
(Hrs 00/100)]]*1.16</f>
        <v>#N/A</v>
      </c>
    </row>
    <row r="4767" spans="1:26" ht="30" customHeight="1" x14ac:dyDescent="0.3">
      <c r="A4767" s="106"/>
      <c r="B4767" s="106"/>
      <c r="C4767" s="106"/>
      <c r="D4767" s="106"/>
      <c r="E4767" s="106"/>
      <c r="F4767" s="106"/>
      <c r="G4767" s="106"/>
      <c r="H4767" s="107"/>
      <c r="I4767" s="95"/>
      <c r="J4767" s="706"/>
      <c r="K4767" s="769"/>
      <c r="L4767" s="706"/>
      <c r="M4767" s="781"/>
      <c r="N4767" s="182"/>
      <c r="O4767" s="188"/>
      <c r="P4767" s="221"/>
      <c r="Q4767" s="106"/>
      <c r="R4767" s="108"/>
      <c r="S4767" s="108"/>
      <c r="T4767" s="108"/>
      <c r="U4767" s="108" t="str">
        <f>IFERROR(VLOOKUP(CONCATENATE(Tabla1[[#This Row],[Severidad]]," ",Tabla1[[#This Row],[Complejidad]]),Catalogos!E$120:G$128,3,FALSE),"")</f>
        <v/>
      </c>
      <c r="V4767" s="108" t="str">
        <f>IF(Tabla1[[#This Row],[Tiempo solución max (hrs)]]&lt;&gt;"",IF(Tabla1[[#This Row],[Tiempo solución max (hrs)]]&gt;=Tabla1[[#This Row],[Tiempo
(Hrs 00/100)]],"cumple","no cumple"),"")</f>
        <v/>
      </c>
      <c r="W4767" s="17"/>
      <c r="X4767" s="18">
        <f t="shared" si="264"/>
        <v>0</v>
      </c>
      <c r="Y4767" t="str">
        <f>SUBSTITUTE(Tabla1[[#This Row],[Descripción]],CHAR(10),"    I    ")</f>
        <v/>
      </c>
      <c r="Z4767" s="112" t="e">
        <f>VLOOKUP(Tabla1[[#This Row],[Perfil]],Catalogos!$B$75:$D$100,3,FALSE)*Tabla1[[#This Row],[Tiempo
(Hrs 00/100)]]*1.16</f>
        <v>#N/A</v>
      </c>
    </row>
    <row r="4768" spans="1:26" ht="30" customHeight="1" x14ac:dyDescent="0.3">
      <c r="A4768" s="106"/>
      <c r="B4768" s="106"/>
      <c r="C4768" s="106"/>
      <c r="D4768" s="106"/>
      <c r="E4768" s="106"/>
      <c r="F4768" s="106"/>
      <c r="G4768" s="106"/>
      <c r="H4768" s="107"/>
      <c r="I4768" s="95"/>
      <c r="J4768" s="706"/>
      <c r="K4768" s="769"/>
      <c r="L4768" s="706"/>
      <c r="M4768" s="781"/>
      <c r="N4768" s="182"/>
      <c r="O4768" s="188"/>
      <c r="P4768" s="221"/>
      <c r="Q4768" s="106"/>
      <c r="R4768" s="108"/>
      <c r="S4768" s="108"/>
      <c r="T4768" s="108"/>
      <c r="U4768" s="108" t="str">
        <f>IFERROR(VLOOKUP(CONCATENATE(Tabla1[[#This Row],[Severidad]]," ",Tabla1[[#This Row],[Complejidad]]),Catalogos!E$120:G$128,3,FALSE),"")</f>
        <v/>
      </c>
      <c r="V4768" s="108" t="str">
        <f>IF(Tabla1[[#This Row],[Tiempo solución max (hrs)]]&lt;&gt;"",IF(Tabla1[[#This Row],[Tiempo solución max (hrs)]]&gt;=Tabla1[[#This Row],[Tiempo
(Hrs 00/100)]],"cumple","no cumple"),"")</f>
        <v/>
      </c>
      <c r="W4768" s="17"/>
      <c r="X4768" s="18">
        <f t="shared" si="264"/>
        <v>0</v>
      </c>
      <c r="Y4768" t="str">
        <f>SUBSTITUTE(Tabla1[[#This Row],[Descripción]],CHAR(10),"    I    ")</f>
        <v/>
      </c>
      <c r="Z4768" s="112" t="e">
        <f>VLOOKUP(Tabla1[[#This Row],[Perfil]],Catalogos!$B$75:$D$100,3,FALSE)*Tabla1[[#This Row],[Tiempo
(Hrs 00/100)]]*1.16</f>
        <v>#N/A</v>
      </c>
    </row>
    <row r="4769" spans="1:26" ht="30" customHeight="1" x14ac:dyDescent="0.3">
      <c r="A4769" s="106"/>
      <c r="B4769" s="106"/>
      <c r="C4769" s="106"/>
      <c r="D4769" s="106"/>
      <c r="E4769" s="106"/>
      <c r="F4769" s="106"/>
      <c r="G4769" s="106"/>
      <c r="H4769" s="107"/>
      <c r="I4769" s="95"/>
      <c r="J4769" s="706"/>
      <c r="K4769" s="769"/>
      <c r="L4769" s="706"/>
      <c r="M4769" s="781"/>
      <c r="N4769" s="182"/>
      <c r="O4769" s="188"/>
      <c r="P4769" s="221"/>
      <c r="Q4769" s="106"/>
      <c r="R4769" s="108"/>
      <c r="S4769" s="108"/>
      <c r="T4769" s="108"/>
      <c r="U4769" s="108" t="str">
        <f>IFERROR(VLOOKUP(CONCATENATE(Tabla1[[#This Row],[Severidad]]," ",Tabla1[[#This Row],[Complejidad]]),Catalogos!E$120:G$128,3,FALSE),"")</f>
        <v/>
      </c>
      <c r="V4769" s="108" t="str">
        <f>IF(Tabla1[[#This Row],[Tiempo solución max (hrs)]]&lt;&gt;"",IF(Tabla1[[#This Row],[Tiempo solución max (hrs)]]&gt;=Tabla1[[#This Row],[Tiempo
(Hrs 00/100)]],"cumple","no cumple"),"")</f>
        <v/>
      </c>
      <c r="W4769" s="17"/>
      <c r="X4769" s="18">
        <f t="shared" si="264"/>
        <v>0</v>
      </c>
      <c r="Y4769" t="str">
        <f>SUBSTITUTE(Tabla1[[#This Row],[Descripción]],CHAR(10),"    I    ")</f>
        <v/>
      </c>
      <c r="Z4769" s="112" t="e">
        <f>VLOOKUP(Tabla1[[#This Row],[Perfil]],Catalogos!$B$75:$D$100,3,FALSE)*Tabla1[[#This Row],[Tiempo
(Hrs 00/100)]]*1.16</f>
        <v>#N/A</v>
      </c>
    </row>
    <row r="4770" spans="1:26" ht="30" customHeight="1" x14ac:dyDescent="0.3">
      <c r="A4770" s="106"/>
      <c r="B4770" s="106"/>
      <c r="C4770" s="106"/>
      <c r="D4770" s="106"/>
      <c r="E4770" s="106"/>
      <c r="F4770" s="106"/>
      <c r="G4770" s="106"/>
      <c r="H4770" s="107"/>
      <c r="I4770" s="95"/>
      <c r="J4770" s="706"/>
      <c r="K4770" s="769"/>
      <c r="L4770" s="706"/>
      <c r="M4770" s="781"/>
      <c r="N4770" s="182"/>
      <c r="O4770" s="188"/>
      <c r="P4770" s="221"/>
      <c r="Q4770" s="106"/>
      <c r="R4770" s="108"/>
      <c r="S4770" s="108"/>
      <c r="T4770" s="108"/>
      <c r="U4770" s="108" t="str">
        <f>IFERROR(VLOOKUP(CONCATENATE(Tabla1[[#This Row],[Severidad]]," ",Tabla1[[#This Row],[Complejidad]]),Catalogos!E$120:G$128,3,FALSE),"")</f>
        <v/>
      </c>
      <c r="V4770" s="108" t="str">
        <f>IF(Tabla1[[#This Row],[Tiempo solución max (hrs)]]&lt;&gt;"",IF(Tabla1[[#This Row],[Tiempo solución max (hrs)]]&gt;=Tabla1[[#This Row],[Tiempo
(Hrs 00/100)]],"cumple","no cumple"),"")</f>
        <v/>
      </c>
      <c r="W4770" s="17"/>
      <c r="X4770" s="18">
        <f t="shared" si="264"/>
        <v>0</v>
      </c>
      <c r="Y4770" t="str">
        <f>SUBSTITUTE(Tabla1[[#This Row],[Descripción]],CHAR(10),"    I    ")</f>
        <v/>
      </c>
      <c r="Z4770" s="112" t="e">
        <f>VLOOKUP(Tabla1[[#This Row],[Perfil]],Catalogos!$B$75:$D$100,3,FALSE)*Tabla1[[#This Row],[Tiempo
(Hrs 00/100)]]*1.16</f>
        <v>#N/A</v>
      </c>
    </row>
    <row r="4771" spans="1:26" ht="30" customHeight="1" x14ac:dyDescent="0.3">
      <c r="A4771" s="106"/>
      <c r="B4771" s="106"/>
      <c r="C4771" s="106"/>
      <c r="D4771" s="106"/>
      <c r="E4771" s="106"/>
      <c r="F4771" s="106"/>
      <c r="G4771" s="106"/>
      <c r="H4771" s="107"/>
      <c r="I4771" s="95"/>
      <c r="J4771" s="706"/>
      <c r="K4771" s="769"/>
      <c r="L4771" s="706"/>
      <c r="M4771" s="781"/>
      <c r="N4771" s="182"/>
      <c r="O4771" s="188"/>
      <c r="P4771" s="221"/>
      <c r="Q4771" s="106"/>
      <c r="R4771" s="108"/>
      <c r="S4771" s="108"/>
      <c r="T4771" s="108"/>
      <c r="U4771" s="108" t="str">
        <f>IFERROR(VLOOKUP(CONCATENATE(Tabla1[[#This Row],[Severidad]]," ",Tabla1[[#This Row],[Complejidad]]),Catalogos!E$120:G$128,3,FALSE),"")</f>
        <v/>
      </c>
      <c r="V4771" s="108" t="str">
        <f>IF(Tabla1[[#This Row],[Tiempo solución max (hrs)]]&lt;&gt;"",IF(Tabla1[[#This Row],[Tiempo solución max (hrs)]]&gt;=Tabla1[[#This Row],[Tiempo
(Hrs 00/100)]],"cumple","no cumple"),"")</f>
        <v/>
      </c>
      <c r="W4771" s="17"/>
      <c r="X4771" s="18">
        <f t="shared" si="264"/>
        <v>0</v>
      </c>
      <c r="Y4771" t="str">
        <f>SUBSTITUTE(Tabla1[[#This Row],[Descripción]],CHAR(10),"    I    ")</f>
        <v/>
      </c>
      <c r="Z4771" s="112" t="e">
        <f>VLOOKUP(Tabla1[[#This Row],[Perfil]],Catalogos!$B$75:$D$100,3,FALSE)*Tabla1[[#This Row],[Tiempo
(Hrs 00/100)]]*1.16</f>
        <v>#N/A</v>
      </c>
    </row>
    <row r="4772" spans="1:26" ht="30" customHeight="1" x14ac:dyDescent="0.3">
      <c r="A4772" s="106"/>
      <c r="B4772" s="106"/>
      <c r="C4772" s="106"/>
      <c r="D4772" s="106"/>
      <c r="E4772" s="106"/>
      <c r="F4772" s="106"/>
      <c r="G4772" s="106"/>
      <c r="H4772" s="107"/>
      <c r="I4772" s="95"/>
      <c r="J4772" s="706"/>
      <c r="K4772" s="769"/>
      <c r="L4772" s="706"/>
      <c r="M4772" s="781"/>
      <c r="N4772" s="182"/>
      <c r="O4772" s="188"/>
      <c r="P4772" s="221"/>
      <c r="Q4772" s="106"/>
      <c r="R4772" s="108"/>
      <c r="S4772" s="108"/>
      <c r="T4772" s="108"/>
      <c r="U4772" s="108" t="str">
        <f>IFERROR(VLOOKUP(CONCATENATE(Tabla1[[#This Row],[Severidad]]," ",Tabla1[[#This Row],[Complejidad]]),Catalogos!E$120:G$128,3,FALSE),"")</f>
        <v/>
      </c>
      <c r="V4772" s="108" t="str">
        <f>IF(Tabla1[[#This Row],[Tiempo solución max (hrs)]]&lt;&gt;"",IF(Tabla1[[#This Row],[Tiempo solución max (hrs)]]&gt;=Tabla1[[#This Row],[Tiempo
(Hrs 00/100)]],"cumple","no cumple"),"")</f>
        <v/>
      </c>
      <c r="W4772" s="17"/>
      <c r="X4772" s="18">
        <f t="shared" si="264"/>
        <v>0</v>
      </c>
      <c r="Y4772" t="str">
        <f>SUBSTITUTE(Tabla1[[#This Row],[Descripción]],CHAR(10),"    I    ")</f>
        <v/>
      </c>
      <c r="Z4772" s="112" t="e">
        <f>VLOOKUP(Tabla1[[#This Row],[Perfil]],Catalogos!$B$75:$D$100,3,FALSE)*Tabla1[[#This Row],[Tiempo
(Hrs 00/100)]]*1.16</f>
        <v>#N/A</v>
      </c>
    </row>
    <row r="4773" spans="1:26" ht="30" customHeight="1" x14ac:dyDescent="0.3">
      <c r="A4773" s="106"/>
      <c r="B4773" s="106"/>
      <c r="C4773" s="106"/>
      <c r="D4773" s="106"/>
      <c r="E4773" s="106"/>
      <c r="F4773" s="106"/>
      <c r="G4773" s="106"/>
      <c r="H4773" s="107"/>
      <c r="I4773" s="95"/>
      <c r="J4773" s="706"/>
      <c r="K4773" s="769"/>
      <c r="L4773" s="706"/>
      <c r="M4773" s="781"/>
      <c r="N4773" s="182"/>
      <c r="O4773" s="188"/>
      <c r="P4773" s="221"/>
      <c r="Q4773" s="106"/>
      <c r="R4773" s="108"/>
      <c r="S4773" s="108"/>
      <c r="T4773" s="108"/>
      <c r="U4773" s="108" t="str">
        <f>IFERROR(VLOOKUP(CONCATENATE(Tabla1[[#This Row],[Severidad]]," ",Tabla1[[#This Row],[Complejidad]]),Catalogos!E$120:G$128,3,FALSE),"")</f>
        <v/>
      </c>
      <c r="V4773" s="108" t="str">
        <f>IF(Tabla1[[#This Row],[Tiempo solución max (hrs)]]&lt;&gt;"",IF(Tabla1[[#This Row],[Tiempo solución max (hrs)]]&gt;=Tabla1[[#This Row],[Tiempo
(Hrs 00/100)]],"cumple","no cumple"),"")</f>
        <v/>
      </c>
      <c r="W4773" s="17"/>
      <c r="X4773" s="18">
        <f t="shared" si="264"/>
        <v>0</v>
      </c>
      <c r="Y4773" t="str">
        <f>SUBSTITUTE(Tabla1[[#This Row],[Descripción]],CHAR(10),"    I    ")</f>
        <v/>
      </c>
      <c r="Z4773" s="112" t="e">
        <f>VLOOKUP(Tabla1[[#This Row],[Perfil]],Catalogos!$B$75:$D$100,3,FALSE)*Tabla1[[#This Row],[Tiempo
(Hrs 00/100)]]*1.16</f>
        <v>#N/A</v>
      </c>
    </row>
    <row r="4774" spans="1:26" ht="30" customHeight="1" x14ac:dyDescent="0.3">
      <c r="A4774" s="106"/>
      <c r="B4774" s="106"/>
      <c r="C4774" s="106"/>
      <c r="D4774" s="106"/>
      <c r="E4774" s="106"/>
      <c r="F4774" s="106"/>
      <c r="G4774" s="106"/>
      <c r="H4774" s="107"/>
      <c r="I4774" s="95"/>
      <c r="J4774" s="706"/>
      <c r="K4774" s="769"/>
      <c r="L4774" s="706"/>
      <c r="M4774" s="781"/>
      <c r="N4774" s="182"/>
      <c r="O4774" s="188"/>
      <c r="P4774" s="221"/>
      <c r="Q4774" s="106"/>
      <c r="R4774" s="108"/>
      <c r="S4774" s="108"/>
      <c r="T4774" s="108"/>
      <c r="U4774" s="108" t="str">
        <f>IFERROR(VLOOKUP(CONCATENATE(Tabla1[[#This Row],[Severidad]]," ",Tabla1[[#This Row],[Complejidad]]),Catalogos!E$120:G$128,3,FALSE),"")</f>
        <v/>
      </c>
      <c r="V4774" s="108" t="str">
        <f>IF(Tabla1[[#This Row],[Tiempo solución max (hrs)]]&lt;&gt;"",IF(Tabla1[[#This Row],[Tiempo solución max (hrs)]]&gt;=Tabla1[[#This Row],[Tiempo
(Hrs 00/100)]],"cumple","no cumple"),"")</f>
        <v/>
      </c>
      <c r="W4774" s="17"/>
      <c r="X4774" s="18">
        <f t="shared" si="264"/>
        <v>0</v>
      </c>
      <c r="Y4774" t="str">
        <f>SUBSTITUTE(Tabla1[[#This Row],[Descripción]],CHAR(10),"    I    ")</f>
        <v/>
      </c>
      <c r="Z4774" s="112" t="e">
        <f>VLOOKUP(Tabla1[[#This Row],[Perfil]],Catalogos!$B$75:$D$100,3,FALSE)*Tabla1[[#This Row],[Tiempo
(Hrs 00/100)]]*1.16</f>
        <v>#N/A</v>
      </c>
    </row>
    <row r="4775" spans="1:26" ht="30" customHeight="1" x14ac:dyDescent="0.3">
      <c r="A4775" s="106"/>
      <c r="B4775" s="106"/>
      <c r="C4775" s="106"/>
      <c r="D4775" s="106"/>
      <c r="E4775" s="106"/>
      <c r="F4775" s="106"/>
      <c r="G4775" s="106"/>
      <c r="H4775" s="107"/>
      <c r="I4775" s="95"/>
      <c r="J4775" s="706"/>
      <c r="K4775" s="769"/>
      <c r="L4775" s="706"/>
      <c r="M4775" s="781"/>
      <c r="N4775" s="182"/>
      <c r="O4775" s="188"/>
      <c r="P4775" s="221"/>
      <c r="Q4775" s="106"/>
      <c r="R4775" s="108"/>
      <c r="S4775" s="108"/>
      <c r="T4775" s="108"/>
      <c r="U4775" s="108" t="str">
        <f>IFERROR(VLOOKUP(CONCATENATE(Tabla1[[#This Row],[Severidad]]," ",Tabla1[[#This Row],[Complejidad]]),Catalogos!E$120:G$128,3,FALSE),"")</f>
        <v/>
      </c>
      <c r="V4775" s="108" t="str">
        <f>IF(Tabla1[[#This Row],[Tiempo solución max (hrs)]]&lt;&gt;"",IF(Tabla1[[#This Row],[Tiempo solución max (hrs)]]&gt;=Tabla1[[#This Row],[Tiempo
(Hrs 00/100)]],"cumple","no cumple"),"")</f>
        <v/>
      </c>
      <c r="W4775" s="17"/>
      <c r="X4775" s="18">
        <f t="shared" si="264"/>
        <v>0</v>
      </c>
      <c r="Y4775" t="str">
        <f>SUBSTITUTE(Tabla1[[#This Row],[Descripción]],CHAR(10),"    I    ")</f>
        <v/>
      </c>
      <c r="Z4775" s="112" t="e">
        <f>VLOOKUP(Tabla1[[#This Row],[Perfil]],Catalogos!$B$75:$D$100,3,FALSE)*Tabla1[[#This Row],[Tiempo
(Hrs 00/100)]]*1.16</f>
        <v>#N/A</v>
      </c>
    </row>
    <row r="4776" spans="1:26" ht="30" customHeight="1" x14ac:dyDescent="0.3">
      <c r="A4776" s="106"/>
      <c r="B4776" s="106"/>
      <c r="C4776" s="106"/>
      <c r="D4776" s="106"/>
      <c r="E4776" s="106"/>
      <c r="F4776" s="106"/>
      <c r="G4776" s="106"/>
      <c r="H4776" s="107"/>
      <c r="I4776" s="95"/>
      <c r="J4776" s="706"/>
      <c r="K4776" s="769"/>
      <c r="L4776" s="706"/>
      <c r="M4776" s="781"/>
      <c r="N4776" s="182"/>
      <c r="O4776" s="188"/>
      <c r="P4776" s="221"/>
      <c r="Q4776" s="106"/>
      <c r="R4776" s="108"/>
      <c r="S4776" s="108"/>
      <c r="T4776" s="108"/>
      <c r="U4776" s="108" t="str">
        <f>IFERROR(VLOOKUP(CONCATENATE(Tabla1[[#This Row],[Severidad]]," ",Tabla1[[#This Row],[Complejidad]]),Catalogos!E$120:G$128,3,FALSE),"")</f>
        <v/>
      </c>
      <c r="V4776" s="108" t="str">
        <f>IF(Tabla1[[#This Row],[Tiempo solución max (hrs)]]&lt;&gt;"",IF(Tabla1[[#This Row],[Tiempo solución max (hrs)]]&gt;=Tabla1[[#This Row],[Tiempo
(Hrs 00/100)]],"cumple","no cumple"),"")</f>
        <v/>
      </c>
      <c r="W4776" s="17"/>
      <c r="X4776" s="18">
        <f t="shared" si="264"/>
        <v>0</v>
      </c>
      <c r="Y4776" t="str">
        <f>SUBSTITUTE(Tabla1[[#This Row],[Descripción]],CHAR(10),"    I    ")</f>
        <v/>
      </c>
      <c r="Z4776" s="112" t="e">
        <f>VLOOKUP(Tabla1[[#This Row],[Perfil]],Catalogos!$B$75:$D$100,3,FALSE)*Tabla1[[#This Row],[Tiempo
(Hrs 00/100)]]*1.16</f>
        <v>#N/A</v>
      </c>
    </row>
    <row r="4777" spans="1:26" ht="30" customHeight="1" x14ac:dyDescent="0.3">
      <c r="A4777" s="106"/>
      <c r="B4777" s="106"/>
      <c r="C4777" s="106"/>
      <c r="D4777" s="106"/>
      <c r="E4777" s="106"/>
      <c r="F4777" s="106"/>
      <c r="G4777" s="106"/>
      <c r="H4777" s="107"/>
      <c r="I4777" s="95"/>
      <c r="J4777" s="706"/>
      <c r="K4777" s="769"/>
      <c r="L4777" s="706"/>
      <c r="M4777" s="781"/>
      <c r="N4777" s="182"/>
      <c r="O4777" s="188"/>
      <c r="P4777" s="221"/>
      <c r="Q4777" s="106"/>
      <c r="R4777" s="108"/>
      <c r="S4777" s="108"/>
      <c r="T4777" s="108"/>
      <c r="U4777" s="108" t="str">
        <f>IFERROR(VLOOKUP(CONCATENATE(Tabla1[[#This Row],[Severidad]]," ",Tabla1[[#This Row],[Complejidad]]),Catalogos!E$120:G$128,3,FALSE),"")</f>
        <v/>
      </c>
      <c r="V4777" s="108" t="str">
        <f>IF(Tabla1[[#This Row],[Tiempo solución max (hrs)]]&lt;&gt;"",IF(Tabla1[[#This Row],[Tiempo solución max (hrs)]]&gt;=Tabla1[[#This Row],[Tiempo
(Hrs 00/100)]],"cumple","no cumple"),"")</f>
        <v/>
      </c>
      <c r="W4777" s="17"/>
      <c r="X4777" s="18">
        <f t="shared" si="264"/>
        <v>0</v>
      </c>
      <c r="Y4777" t="str">
        <f>SUBSTITUTE(Tabla1[[#This Row],[Descripción]],CHAR(10),"    I    ")</f>
        <v/>
      </c>
      <c r="Z4777" s="112" t="e">
        <f>VLOOKUP(Tabla1[[#This Row],[Perfil]],Catalogos!$B$75:$D$100,3,FALSE)*Tabla1[[#This Row],[Tiempo
(Hrs 00/100)]]*1.16</f>
        <v>#N/A</v>
      </c>
    </row>
    <row r="4778" spans="1:26" ht="30" customHeight="1" x14ac:dyDescent="0.3">
      <c r="A4778" s="106"/>
      <c r="B4778" s="106"/>
      <c r="C4778" s="106"/>
      <c r="D4778" s="106"/>
      <c r="E4778" s="106"/>
      <c r="F4778" s="106"/>
      <c r="G4778" s="106"/>
      <c r="H4778" s="107"/>
      <c r="I4778" s="95"/>
      <c r="J4778" s="706"/>
      <c r="K4778" s="769"/>
      <c r="L4778" s="706"/>
      <c r="M4778" s="781"/>
      <c r="N4778" s="182"/>
      <c r="O4778" s="188"/>
      <c r="P4778" s="221"/>
      <c r="Q4778" s="106"/>
      <c r="R4778" s="108"/>
      <c r="S4778" s="108"/>
      <c r="T4778" s="108"/>
      <c r="U4778" s="108" t="str">
        <f>IFERROR(VLOOKUP(CONCATENATE(Tabla1[[#This Row],[Severidad]]," ",Tabla1[[#This Row],[Complejidad]]),Catalogos!E$120:G$128,3,FALSE),"")</f>
        <v/>
      </c>
      <c r="V4778" s="108" t="str">
        <f>IF(Tabla1[[#This Row],[Tiempo solución max (hrs)]]&lt;&gt;"",IF(Tabla1[[#This Row],[Tiempo solución max (hrs)]]&gt;=Tabla1[[#This Row],[Tiempo
(Hrs 00/100)]],"cumple","no cumple"),"")</f>
        <v/>
      </c>
      <c r="W4778" s="17"/>
      <c r="X4778" s="18">
        <f t="shared" si="264"/>
        <v>0</v>
      </c>
      <c r="Y4778" t="str">
        <f>SUBSTITUTE(Tabla1[[#This Row],[Descripción]],CHAR(10),"    I    ")</f>
        <v/>
      </c>
      <c r="Z4778" s="112" t="e">
        <f>VLOOKUP(Tabla1[[#This Row],[Perfil]],Catalogos!$B$75:$D$100,3,FALSE)*Tabla1[[#This Row],[Tiempo
(Hrs 00/100)]]*1.16</f>
        <v>#N/A</v>
      </c>
    </row>
    <row r="4779" spans="1:26" ht="30" customHeight="1" x14ac:dyDescent="0.3">
      <c r="A4779" s="106"/>
      <c r="B4779" s="106"/>
      <c r="C4779" s="106"/>
      <c r="D4779" s="106"/>
      <c r="E4779" s="106"/>
      <c r="F4779" s="106"/>
      <c r="G4779" s="106"/>
      <c r="H4779" s="107"/>
      <c r="I4779" s="95"/>
      <c r="J4779" s="706"/>
      <c r="K4779" s="769"/>
      <c r="L4779" s="706"/>
      <c r="M4779" s="781"/>
      <c r="N4779" s="182"/>
      <c r="O4779" s="188"/>
      <c r="P4779" s="221"/>
      <c r="Q4779" s="106"/>
      <c r="R4779" s="108"/>
      <c r="S4779" s="108"/>
      <c r="T4779" s="108"/>
      <c r="U4779" s="108" t="str">
        <f>IFERROR(VLOOKUP(CONCATENATE(Tabla1[[#This Row],[Severidad]]," ",Tabla1[[#This Row],[Complejidad]]),Catalogos!E$120:G$128,3,FALSE),"")</f>
        <v/>
      </c>
      <c r="V4779" s="108" t="str">
        <f>IF(Tabla1[[#This Row],[Tiempo solución max (hrs)]]&lt;&gt;"",IF(Tabla1[[#This Row],[Tiempo solución max (hrs)]]&gt;=Tabla1[[#This Row],[Tiempo
(Hrs 00/100)]],"cumple","no cumple"),"")</f>
        <v/>
      </c>
      <c r="W4779" s="17"/>
      <c r="X4779" s="18">
        <f t="shared" si="264"/>
        <v>0</v>
      </c>
      <c r="Y4779" t="str">
        <f>SUBSTITUTE(Tabla1[[#This Row],[Descripción]],CHAR(10),"    I    ")</f>
        <v/>
      </c>
      <c r="Z4779" s="112" t="e">
        <f>VLOOKUP(Tabla1[[#This Row],[Perfil]],Catalogos!$B$75:$D$100,3,FALSE)*Tabla1[[#This Row],[Tiempo
(Hrs 00/100)]]*1.16</f>
        <v>#N/A</v>
      </c>
    </row>
    <row r="4780" spans="1:26" ht="30" customHeight="1" x14ac:dyDescent="0.3">
      <c r="A4780" s="106"/>
      <c r="B4780" s="106"/>
      <c r="C4780" s="106"/>
      <c r="D4780" s="106"/>
      <c r="E4780" s="106"/>
      <c r="F4780" s="106"/>
      <c r="G4780" s="106"/>
      <c r="H4780" s="107"/>
      <c r="I4780" s="95"/>
      <c r="J4780" s="706"/>
      <c r="K4780" s="769"/>
      <c r="L4780" s="706"/>
      <c r="M4780" s="781"/>
      <c r="N4780" s="182"/>
      <c r="O4780" s="188"/>
      <c r="P4780" s="221"/>
      <c r="Q4780" s="106"/>
      <c r="R4780" s="108"/>
      <c r="S4780" s="108"/>
      <c r="T4780" s="108"/>
      <c r="U4780" s="108" t="str">
        <f>IFERROR(VLOOKUP(CONCATENATE(Tabla1[[#This Row],[Severidad]]," ",Tabla1[[#This Row],[Complejidad]]),Catalogos!E$120:G$128,3,FALSE),"")</f>
        <v/>
      </c>
      <c r="V4780" s="108" t="str">
        <f>IF(Tabla1[[#This Row],[Tiempo solución max (hrs)]]&lt;&gt;"",IF(Tabla1[[#This Row],[Tiempo solución max (hrs)]]&gt;=Tabla1[[#This Row],[Tiempo
(Hrs 00/100)]],"cumple","no cumple"),"")</f>
        <v/>
      </c>
      <c r="W4780" s="17"/>
      <c r="X4780" s="18">
        <f t="shared" si="264"/>
        <v>0</v>
      </c>
      <c r="Y4780" t="str">
        <f>SUBSTITUTE(Tabla1[[#This Row],[Descripción]],CHAR(10),"    I    ")</f>
        <v/>
      </c>
      <c r="Z4780" s="112" t="e">
        <f>VLOOKUP(Tabla1[[#This Row],[Perfil]],Catalogos!$B$75:$D$100,3,FALSE)*Tabla1[[#This Row],[Tiempo
(Hrs 00/100)]]*1.16</f>
        <v>#N/A</v>
      </c>
    </row>
    <row r="4781" spans="1:26" ht="30" customHeight="1" x14ac:dyDescent="0.3">
      <c r="A4781" s="106"/>
      <c r="B4781" s="106"/>
      <c r="C4781" s="106"/>
      <c r="D4781" s="106"/>
      <c r="E4781" s="106"/>
      <c r="F4781" s="106"/>
      <c r="G4781" s="106"/>
      <c r="H4781" s="107"/>
      <c r="I4781" s="95"/>
      <c r="J4781" s="706"/>
      <c r="K4781" s="769"/>
      <c r="L4781" s="706"/>
      <c r="M4781" s="781"/>
      <c r="N4781" s="182"/>
      <c r="O4781" s="188"/>
      <c r="P4781" s="221"/>
      <c r="Q4781" s="106"/>
      <c r="R4781" s="108"/>
      <c r="S4781" s="108"/>
      <c r="T4781" s="108"/>
      <c r="U4781" s="108" t="str">
        <f>IFERROR(VLOOKUP(CONCATENATE(Tabla1[[#This Row],[Severidad]]," ",Tabla1[[#This Row],[Complejidad]]),Catalogos!E$120:G$128,3,FALSE),"")</f>
        <v/>
      </c>
      <c r="V4781" s="108" t="str">
        <f>IF(Tabla1[[#This Row],[Tiempo solución max (hrs)]]&lt;&gt;"",IF(Tabla1[[#This Row],[Tiempo solución max (hrs)]]&gt;=Tabla1[[#This Row],[Tiempo
(Hrs 00/100)]],"cumple","no cumple"),"")</f>
        <v/>
      </c>
      <c r="W4781" s="17"/>
      <c r="X4781" s="18">
        <f t="shared" si="264"/>
        <v>0</v>
      </c>
      <c r="Y4781" t="str">
        <f>SUBSTITUTE(Tabla1[[#This Row],[Descripción]],CHAR(10),"    I    ")</f>
        <v/>
      </c>
      <c r="Z4781" s="112" t="e">
        <f>VLOOKUP(Tabla1[[#This Row],[Perfil]],Catalogos!$B$75:$D$100,3,FALSE)*Tabla1[[#This Row],[Tiempo
(Hrs 00/100)]]*1.16</f>
        <v>#N/A</v>
      </c>
    </row>
    <row r="4782" spans="1:26" ht="30" customHeight="1" x14ac:dyDescent="0.3">
      <c r="A4782" s="106"/>
      <c r="B4782" s="106"/>
      <c r="C4782" s="106"/>
      <c r="D4782" s="106"/>
      <c r="E4782" s="106"/>
      <c r="F4782" s="106"/>
      <c r="G4782" s="106"/>
      <c r="H4782" s="107"/>
      <c r="I4782" s="95"/>
      <c r="J4782" s="706"/>
      <c r="K4782" s="769"/>
      <c r="L4782" s="706"/>
      <c r="M4782" s="781"/>
      <c r="N4782" s="182"/>
      <c r="O4782" s="188"/>
      <c r="P4782" s="221"/>
      <c r="Q4782" s="106"/>
      <c r="R4782" s="108"/>
      <c r="S4782" s="108"/>
      <c r="T4782" s="108"/>
      <c r="U4782" s="108" t="str">
        <f>IFERROR(VLOOKUP(CONCATENATE(Tabla1[[#This Row],[Severidad]]," ",Tabla1[[#This Row],[Complejidad]]),Catalogos!E$120:G$128,3,FALSE),"")</f>
        <v/>
      </c>
      <c r="V4782" s="108" t="str">
        <f>IF(Tabla1[[#This Row],[Tiempo solución max (hrs)]]&lt;&gt;"",IF(Tabla1[[#This Row],[Tiempo solución max (hrs)]]&gt;=Tabla1[[#This Row],[Tiempo
(Hrs 00/100)]],"cumple","no cumple"),"")</f>
        <v/>
      </c>
      <c r="W4782" s="17"/>
      <c r="X4782" s="18">
        <f t="shared" si="264"/>
        <v>0</v>
      </c>
      <c r="Y4782" t="str">
        <f>SUBSTITUTE(Tabla1[[#This Row],[Descripción]],CHAR(10),"    I    ")</f>
        <v/>
      </c>
      <c r="Z4782" s="112" t="e">
        <f>VLOOKUP(Tabla1[[#This Row],[Perfil]],Catalogos!$B$75:$D$100,3,FALSE)*Tabla1[[#This Row],[Tiempo
(Hrs 00/100)]]*1.16</f>
        <v>#N/A</v>
      </c>
    </row>
    <row r="4783" spans="1:26" ht="30" customHeight="1" x14ac:dyDescent="0.3">
      <c r="A4783" s="106"/>
      <c r="B4783" s="106"/>
      <c r="C4783" s="106"/>
      <c r="D4783" s="106"/>
      <c r="E4783" s="106"/>
      <c r="F4783" s="106"/>
      <c r="G4783" s="106"/>
      <c r="H4783" s="107"/>
      <c r="I4783" s="95"/>
      <c r="J4783" s="706"/>
      <c r="K4783" s="769"/>
      <c r="L4783" s="706"/>
      <c r="M4783" s="781"/>
      <c r="N4783" s="182"/>
      <c r="O4783" s="188"/>
      <c r="P4783" s="221"/>
      <c r="Q4783" s="106"/>
      <c r="R4783" s="108"/>
      <c r="S4783" s="108"/>
      <c r="T4783" s="108"/>
      <c r="U4783" s="108" t="str">
        <f>IFERROR(VLOOKUP(CONCATENATE(Tabla1[[#This Row],[Severidad]]," ",Tabla1[[#This Row],[Complejidad]]),Catalogos!E$120:G$128,3,FALSE),"")</f>
        <v/>
      </c>
      <c r="V4783" s="108" t="str">
        <f>IF(Tabla1[[#This Row],[Tiempo solución max (hrs)]]&lt;&gt;"",IF(Tabla1[[#This Row],[Tiempo solución max (hrs)]]&gt;=Tabla1[[#This Row],[Tiempo
(Hrs 00/100)]],"cumple","no cumple"),"")</f>
        <v/>
      </c>
      <c r="W4783" s="17"/>
      <c r="X4783" s="18">
        <f t="shared" si="264"/>
        <v>0</v>
      </c>
      <c r="Y4783" t="str">
        <f>SUBSTITUTE(Tabla1[[#This Row],[Descripción]],CHAR(10),"    I    ")</f>
        <v/>
      </c>
      <c r="Z4783" s="112" t="e">
        <f>VLOOKUP(Tabla1[[#This Row],[Perfil]],Catalogos!$B$75:$D$100,3,FALSE)*Tabla1[[#This Row],[Tiempo
(Hrs 00/100)]]*1.16</f>
        <v>#N/A</v>
      </c>
    </row>
    <row r="4784" spans="1:26" ht="30" customHeight="1" x14ac:dyDescent="0.3">
      <c r="A4784" s="106"/>
      <c r="B4784" s="106"/>
      <c r="C4784" s="106"/>
      <c r="D4784" s="106"/>
      <c r="E4784" s="106"/>
      <c r="F4784" s="106"/>
      <c r="G4784" s="106"/>
      <c r="H4784" s="107"/>
      <c r="I4784" s="95"/>
      <c r="J4784" s="706"/>
      <c r="K4784" s="769"/>
      <c r="L4784" s="706"/>
      <c r="M4784" s="781"/>
      <c r="N4784" s="182"/>
      <c r="O4784" s="188"/>
      <c r="P4784" s="221"/>
      <c r="Q4784" s="106"/>
      <c r="R4784" s="108"/>
      <c r="S4784" s="108"/>
      <c r="T4784" s="108"/>
      <c r="U4784" s="108" t="str">
        <f>IFERROR(VLOOKUP(CONCATENATE(Tabla1[[#This Row],[Severidad]]," ",Tabla1[[#This Row],[Complejidad]]),Catalogos!E$120:G$128,3,FALSE),"")</f>
        <v/>
      </c>
      <c r="V4784" s="108" t="str">
        <f>IF(Tabla1[[#This Row],[Tiempo solución max (hrs)]]&lt;&gt;"",IF(Tabla1[[#This Row],[Tiempo solución max (hrs)]]&gt;=Tabla1[[#This Row],[Tiempo
(Hrs 00/100)]],"cumple","no cumple"),"")</f>
        <v/>
      </c>
      <c r="W4784" s="17"/>
      <c r="X4784" s="18">
        <f t="shared" si="264"/>
        <v>0</v>
      </c>
      <c r="Y4784" t="str">
        <f>SUBSTITUTE(Tabla1[[#This Row],[Descripción]],CHAR(10),"    I    ")</f>
        <v/>
      </c>
      <c r="Z4784" s="112" t="e">
        <f>VLOOKUP(Tabla1[[#This Row],[Perfil]],Catalogos!$B$75:$D$100,3,FALSE)*Tabla1[[#This Row],[Tiempo
(Hrs 00/100)]]*1.16</f>
        <v>#N/A</v>
      </c>
    </row>
    <row r="4785" spans="1:26" ht="30" customHeight="1" x14ac:dyDescent="0.3">
      <c r="A4785" s="106"/>
      <c r="B4785" s="106"/>
      <c r="C4785" s="106"/>
      <c r="D4785" s="106"/>
      <c r="E4785" s="106"/>
      <c r="F4785" s="106"/>
      <c r="G4785" s="106"/>
      <c r="H4785" s="107"/>
      <c r="I4785" s="95"/>
      <c r="J4785" s="706"/>
      <c r="K4785" s="769"/>
      <c r="L4785" s="706"/>
      <c r="M4785" s="781"/>
      <c r="N4785" s="182"/>
      <c r="O4785" s="188"/>
      <c r="P4785" s="221"/>
      <c r="Q4785" s="106"/>
      <c r="R4785" s="108"/>
      <c r="S4785" s="108"/>
      <c r="T4785" s="108"/>
      <c r="U4785" s="108" t="str">
        <f>IFERROR(VLOOKUP(CONCATENATE(Tabla1[[#This Row],[Severidad]]," ",Tabla1[[#This Row],[Complejidad]]),Catalogos!E$120:G$128,3,FALSE),"")</f>
        <v/>
      </c>
      <c r="V4785" s="108" t="str">
        <f>IF(Tabla1[[#This Row],[Tiempo solución max (hrs)]]&lt;&gt;"",IF(Tabla1[[#This Row],[Tiempo solución max (hrs)]]&gt;=Tabla1[[#This Row],[Tiempo
(Hrs 00/100)]],"cumple","no cumple"),"")</f>
        <v/>
      </c>
      <c r="W4785" s="17"/>
      <c r="X4785" s="18">
        <f t="shared" si="264"/>
        <v>0</v>
      </c>
      <c r="Y4785" t="str">
        <f>SUBSTITUTE(Tabla1[[#This Row],[Descripción]],CHAR(10),"    I    ")</f>
        <v/>
      </c>
      <c r="Z4785" s="112" t="e">
        <f>VLOOKUP(Tabla1[[#This Row],[Perfil]],Catalogos!$B$75:$D$100,3,FALSE)*Tabla1[[#This Row],[Tiempo
(Hrs 00/100)]]*1.16</f>
        <v>#N/A</v>
      </c>
    </row>
    <row r="4786" spans="1:26" ht="30" customHeight="1" x14ac:dyDescent="0.3">
      <c r="A4786" s="106"/>
      <c r="B4786" s="106"/>
      <c r="C4786" s="106"/>
      <c r="D4786" s="106"/>
      <c r="E4786" s="106"/>
      <c r="F4786" s="106"/>
      <c r="G4786" s="106"/>
      <c r="H4786" s="107"/>
      <c r="I4786" s="95"/>
      <c r="J4786" s="706"/>
      <c r="K4786" s="769"/>
      <c r="L4786" s="706"/>
      <c r="M4786" s="781"/>
      <c r="N4786" s="182"/>
      <c r="O4786" s="188"/>
      <c r="P4786" s="221"/>
      <c r="Q4786" s="106"/>
      <c r="R4786" s="108"/>
      <c r="S4786" s="108"/>
      <c r="T4786" s="108"/>
      <c r="U4786" s="108" t="str">
        <f>IFERROR(VLOOKUP(CONCATENATE(Tabla1[[#This Row],[Severidad]]," ",Tabla1[[#This Row],[Complejidad]]),Catalogos!E$120:G$128,3,FALSE),"")</f>
        <v/>
      </c>
      <c r="V4786" s="108" t="str">
        <f>IF(Tabla1[[#This Row],[Tiempo solución max (hrs)]]&lt;&gt;"",IF(Tabla1[[#This Row],[Tiempo solución max (hrs)]]&gt;=Tabla1[[#This Row],[Tiempo
(Hrs 00/100)]],"cumple","no cumple"),"")</f>
        <v/>
      </c>
      <c r="W4786" s="17"/>
      <c r="X4786" s="18">
        <f t="shared" si="264"/>
        <v>0</v>
      </c>
      <c r="Y4786" t="str">
        <f>SUBSTITUTE(Tabla1[[#This Row],[Descripción]],CHAR(10),"    I    ")</f>
        <v/>
      </c>
      <c r="Z4786" s="112" t="e">
        <f>VLOOKUP(Tabla1[[#This Row],[Perfil]],Catalogos!$B$75:$D$100,3,FALSE)*Tabla1[[#This Row],[Tiempo
(Hrs 00/100)]]*1.16</f>
        <v>#N/A</v>
      </c>
    </row>
    <row r="4787" spans="1:26" ht="30" customHeight="1" x14ac:dyDescent="0.3">
      <c r="A4787" s="106"/>
      <c r="B4787" s="106"/>
      <c r="C4787" s="106"/>
      <c r="D4787" s="106"/>
      <c r="E4787" s="106"/>
      <c r="F4787" s="106"/>
      <c r="G4787" s="106"/>
      <c r="H4787" s="107"/>
      <c r="I4787" s="95"/>
      <c r="J4787" s="706"/>
      <c r="K4787" s="769"/>
      <c r="L4787" s="706"/>
      <c r="M4787" s="781"/>
      <c r="N4787" s="182"/>
      <c r="O4787" s="188"/>
      <c r="P4787" s="221"/>
      <c r="Q4787" s="106"/>
      <c r="R4787" s="108"/>
      <c r="S4787" s="108"/>
      <c r="T4787" s="108"/>
      <c r="U4787" s="108" t="str">
        <f>IFERROR(VLOOKUP(CONCATENATE(Tabla1[[#This Row],[Severidad]]," ",Tabla1[[#This Row],[Complejidad]]),Catalogos!E$120:G$128,3,FALSE),"")</f>
        <v/>
      </c>
      <c r="V4787" s="108" t="str">
        <f>IF(Tabla1[[#This Row],[Tiempo solución max (hrs)]]&lt;&gt;"",IF(Tabla1[[#This Row],[Tiempo solución max (hrs)]]&gt;=Tabla1[[#This Row],[Tiempo
(Hrs 00/100)]],"cumple","no cumple"),"")</f>
        <v/>
      </c>
      <c r="W4787" s="17"/>
      <c r="X4787" s="18">
        <f t="shared" si="264"/>
        <v>0</v>
      </c>
      <c r="Y4787" t="str">
        <f>SUBSTITUTE(Tabla1[[#This Row],[Descripción]],CHAR(10),"    I    ")</f>
        <v/>
      </c>
      <c r="Z4787" s="112" t="e">
        <f>VLOOKUP(Tabla1[[#This Row],[Perfil]],Catalogos!$B$75:$D$100,3,FALSE)*Tabla1[[#This Row],[Tiempo
(Hrs 00/100)]]*1.16</f>
        <v>#N/A</v>
      </c>
    </row>
    <row r="4788" spans="1:26" ht="30" customHeight="1" x14ac:dyDescent="0.3">
      <c r="A4788" s="106"/>
      <c r="B4788" s="106"/>
      <c r="C4788" s="106"/>
      <c r="D4788" s="106"/>
      <c r="E4788" s="106"/>
      <c r="F4788" s="106"/>
      <c r="G4788" s="106"/>
      <c r="H4788" s="107"/>
      <c r="I4788" s="95"/>
      <c r="J4788" s="706"/>
      <c r="K4788" s="769"/>
      <c r="L4788" s="706"/>
      <c r="M4788" s="781"/>
      <c r="N4788" s="182"/>
      <c r="O4788" s="188"/>
      <c r="P4788" s="221"/>
      <c r="Q4788" s="106"/>
      <c r="R4788" s="108"/>
      <c r="S4788" s="108"/>
      <c r="T4788" s="108"/>
      <c r="U4788" s="108" t="str">
        <f>IFERROR(VLOOKUP(CONCATENATE(Tabla1[[#This Row],[Severidad]]," ",Tabla1[[#This Row],[Complejidad]]),Catalogos!E$120:G$128,3,FALSE),"")</f>
        <v/>
      </c>
      <c r="V4788" s="108" t="str">
        <f>IF(Tabla1[[#This Row],[Tiempo solución max (hrs)]]&lt;&gt;"",IF(Tabla1[[#This Row],[Tiempo solución max (hrs)]]&gt;=Tabla1[[#This Row],[Tiempo
(Hrs 00/100)]],"cumple","no cumple"),"")</f>
        <v/>
      </c>
      <c r="W4788" s="17"/>
      <c r="X4788" s="18">
        <f t="shared" si="264"/>
        <v>0</v>
      </c>
      <c r="Y4788" t="str">
        <f>SUBSTITUTE(Tabla1[[#This Row],[Descripción]],CHAR(10),"    I    ")</f>
        <v/>
      </c>
      <c r="Z4788" s="112" t="e">
        <f>VLOOKUP(Tabla1[[#This Row],[Perfil]],Catalogos!$B$75:$D$100,3,FALSE)*Tabla1[[#This Row],[Tiempo
(Hrs 00/100)]]*1.16</f>
        <v>#N/A</v>
      </c>
    </row>
    <row r="4789" spans="1:26" ht="30" customHeight="1" x14ac:dyDescent="0.3">
      <c r="A4789" s="106"/>
      <c r="B4789" s="106"/>
      <c r="C4789" s="106"/>
      <c r="D4789" s="106"/>
      <c r="E4789" s="106"/>
      <c r="F4789" s="106"/>
      <c r="G4789" s="106"/>
      <c r="H4789" s="107"/>
      <c r="I4789" s="95"/>
      <c r="J4789" s="706"/>
      <c r="K4789" s="769"/>
      <c r="L4789" s="706"/>
      <c r="M4789" s="781"/>
      <c r="N4789" s="182"/>
      <c r="O4789" s="188"/>
      <c r="P4789" s="221"/>
      <c r="Q4789" s="106"/>
      <c r="R4789" s="108"/>
      <c r="S4789" s="108"/>
      <c r="T4789" s="108"/>
      <c r="U4789" s="108" t="str">
        <f>IFERROR(VLOOKUP(CONCATENATE(Tabla1[[#This Row],[Severidad]]," ",Tabla1[[#This Row],[Complejidad]]),Catalogos!E$120:G$128,3,FALSE),"")</f>
        <v/>
      </c>
      <c r="V4789" s="108" t="str">
        <f>IF(Tabla1[[#This Row],[Tiempo solución max (hrs)]]&lt;&gt;"",IF(Tabla1[[#This Row],[Tiempo solución max (hrs)]]&gt;=Tabla1[[#This Row],[Tiempo
(Hrs 00/100)]],"cumple","no cumple"),"")</f>
        <v/>
      </c>
      <c r="W4789" s="17"/>
      <c r="X4789" s="18">
        <f t="shared" si="264"/>
        <v>0</v>
      </c>
      <c r="Y4789" t="str">
        <f>SUBSTITUTE(Tabla1[[#This Row],[Descripción]],CHAR(10),"    I    ")</f>
        <v/>
      </c>
      <c r="Z4789" s="112" t="e">
        <f>VLOOKUP(Tabla1[[#This Row],[Perfil]],Catalogos!$B$75:$D$100,3,FALSE)*Tabla1[[#This Row],[Tiempo
(Hrs 00/100)]]*1.16</f>
        <v>#N/A</v>
      </c>
    </row>
    <row r="4790" spans="1:26" ht="30" customHeight="1" x14ac:dyDescent="0.3">
      <c r="A4790" s="106"/>
      <c r="B4790" s="106"/>
      <c r="C4790" s="106"/>
      <c r="D4790" s="106"/>
      <c r="E4790" s="106"/>
      <c r="F4790" s="106"/>
      <c r="G4790" s="106"/>
      <c r="H4790" s="107"/>
      <c r="I4790" s="95"/>
      <c r="J4790" s="706"/>
      <c r="K4790" s="769"/>
      <c r="L4790" s="706"/>
      <c r="M4790" s="781"/>
      <c r="N4790" s="182"/>
      <c r="O4790" s="188"/>
      <c r="P4790" s="221"/>
      <c r="Q4790" s="106"/>
      <c r="R4790" s="108"/>
      <c r="S4790" s="108"/>
      <c r="T4790" s="108"/>
      <c r="U4790" s="108" t="str">
        <f>IFERROR(VLOOKUP(CONCATENATE(Tabla1[[#This Row],[Severidad]]," ",Tabla1[[#This Row],[Complejidad]]),Catalogos!E$120:G$128,3,FALSE),"")</f>
        <v/>
      </c>
      <c r="V4790" s="108" t="str">
        <f>IF(Tabla1[[#This Row],[Tiempo solución max (hrs)]]&lt;&gt;"",IF(Tabla1[[#This Row],[Tiempo solución max (hrs)]]&gt;=Tabla1[[#This Row],[Tiempo
(Hrs 00/100)]],"cumple","no cumple"),"")</f>
        <v/>
      </c>
      <c r="W4790" s="17"/>
      <c r="X4790" s="18">
        <f t="shared" si="264"/>
        <v>0</v>
      </c>
      <c r="Y4790" t="str">
        <f>SUBSTITUTE(Tabla1[[#This Row],[Descripción]],CHAR(10),"    I    ")</f>
        <v/>
      </c>
      <c r="Z4790" s="112" t="e">
        <f>VLOOKUP(Tabla1[[#This Row],[Perfil]],Catalogos!$B$75:$D$100,3,FALSE)*Tabla1[[#This Row],[Tiempo
(Hrs 00/100)]]*1.16</f>
        <v>#N/A</v>
      </c>
    </row>
    <row r="4791" spans="1:26" ht="30" customHeight="1" x14ac:dyDescent="0.3">
      <c r="A4791" s="106"/>
      <c r="B4791" s="106"/>
      <c r="C4791" s="106"/>
      <c r="D4791" s="106"/>
      <c r="E4791" s="106"/>
      <c r="F4791" s="106"/>
      <c r="G4791" s="106"/>
      <c r="H4791" s="107"/>
      <c r="I4791" s="95"/>
      <c r="J4791" s="706"/>
      <c r="K4791" s="769"/>
      <c r="L4791" s="706"/>
      <c r="M4791" s="781"/>
      <c r="N4791" s="182"/>
      <c r="O4791" s="188"/>
      <c r="P4791" s="221"/>
      <c r="Q4791" s="106"/>
      <c r="R4791" s="108"/>
      <c r="S4791" s="108"/>
      <c r="T4791" s="108"/>
      <c r="U4791" s="108" t="str">
        <f>IFERROR(VLOOKUP(CONCATENATE(Tabla1[[#This Row],[Severidad]]," ",Tabla1[[#This Row],[Complejidad]]),Catalogos!E$120:G$128,3,FALSE),"")</f>
        <v/>
      </c>
      <c r="V4791" s="108" t="str">
        <f>IF(Tabla1[[#This Row],[Tiempo solución max (hrs)]]&lt;&gt;"",IF(Tabla1[[#This Row],[Tiempo solución max (hrs)]]&gt;=Tabla1[[#This Row],[Tiempo
(Hrs 00/100)]],"cumple","no cumple"),"")</f>
        <v/>
      </c>
      <c r="W4791" s="17"/>
      <c r="X4791" s="18">
        <f t="shared" si="264"/>
        <v>0</v>
      </c>
      <c r="Y4791" t="str">
        <f>SUBSTITUTE(Tabla1[[#This Row],[Descripción]],CHAR(10),"    I    ")</f>
        <v/>
      </c>
      <c r="Z4791" s="112" t="e">
        <f>VLOOKUP(Tabla1[[#This Row],[Perfil]],Catalogos!$B$75:$D$100,3,FALSE)*Tabla1[[#This Row],[Tiempo
(Hrs 00/100)]]*1.16</f>
        <v>#N/A</v>
      </c>
    </row>
    <row r="4792" spans="1:26" ht="30" customHeight="1" x14ac:dyDescent="0.3">
      <c r="A4792" s="106"/>
      <c r="B4792" s="106"/>
      <c r="C4792" s="106"/>
      <c r="D4792" s="106"/>
      <c r="E4792" s="106"/>
      <c r="F4792" s="106"/>
      <c r="G4792" s="106"/>
      <c r="H4792" s="107"/>
      <c r="I4792" s="95"/>
      <c r="J4792" s="706"/>
      <c r="K4792" s="769"/>
      <c r="L4792" s="706"/>
      <c r="M4792" s="781"/>
      <c r="N4792" s="182"/>
      <c r="O4792" s="188"/>
      <c r="P4792" s="221"/>
      <c r="Q4792" s="106"/>
      <c r="R4792" s="108"/>
      <c r="S4792" s="108"/>
      <c r="T4792" s="108"/>
      <c r="U4792" s="108" t="str">
        <f>IFERROR(VLOOKUP(CONCATENATE(Tabla1[[#This Row],[Severidad]]," ",Tabla1[[#This Row],[Complejidad]]),Catalogos!E$120:G$128,3,FALSE),"")</f>
        <v/>
      </c>
      <c r="V4792" s="108" t="str">
        <f>IF(Tabla1[[#This Row],[Tiempo solución max (hrs)]]&lt;&gt;"",IF(Tabla1[[#This Row],[Tiempo solución max (hrs)]]&gt;=Tabla1[[#This Row],[Tiempo
(Hrs 00/100)]],"cumple","no cumple"),"")</f>
        <v/>
      </c>
      <c r="W4792" s="17"/>
      <c r="X4792" s="18">
        <f t="shared" si="264"/>
        <v>0</v>
      </c>
      <c r="Y4792" t="str">
        <f>SUBSTITUTE(Tabla1[[#This Row],[Descripción]],CHAR(10),"    I    ")</f>
        <v/>
      </c>
      <c r="Z4792" s="112" t="e">
        <f>VLOOKUP(Tabla1[[#This Row],[Perfil]],Catalogos!$B$75:$D$100,3,FALSE)*Tabla1[[#This Row],[Tiempo
(Hrs 00/100)]]*1.16</f>
        <v>#N/A</v>
      </c>
    </row>
    <row r="4793" spans="1:26" ht="30" customHeight="1" x14ac:dyDescent="0.3">
      <c r="A4793" s="106"/>
      <c r="B4793" s="106"/>
      <c r="C4793" s="106"/>
      <c r="D4793" s="106"/>
      <c r="E4793" s="106"/>
      <c r="F4793" s="106"/>
      <c r="G4793" s="106"/>
      <c r="H4793" s="107"/>
      <c r="I4793" s="95"/>
      <c r="J4793" s="706"/>
      <c r="K4793" s="769"/>
      <c r="L4793" s="706"/>
      <c r="M4793" s="781"/>
      <c r="N4793" s="182"/>
      <c r="O4793" s="188"/>
      <c r="P4793" s="221"/>
      <c r="Q4793" s="106"/>
      <c r="R4793" s="108"/>
      <c r="S4793" s="108"/>
      <c r="T4793" s="108"/>
      <c r="U4793" s="108" t="str">
        <f>IFERROR(VLOOKUP(CONCATENATE(Tabla1[[#This Row],[Severidad]]," ",Tabla1[[#This Row],[Complejidad]]),Catalogos!E$120:G$128,3,FALSE),"")</f>
        <v/>
      </c>
      <c r="V4793" s="108" t="str">
        <f>IF(Tabla1[[#This Row],[Tiempo solución max (hrs)]]&lt;&gt;"",IF(Tabla1[[#This Row],[Tiempo solución max (hrs)]]&gt;=Tabla1[[#This Row],[Tiempo
(Hrs 00/100)]],"cumple","no cumple"),"")</f>
        <v/>
      </c>
      <c r="W4793" s="17"/>
      <c r="X4793" s="18">
        <f t="shared" si="264"/>
        <v>0</v>
      </c>
      <c r="Y4793" t="str">
        <f>SUBSTITUTE(Tabla1[[#This Row],[Descripción]],CHAR(10),"    I    ")</f>
        <v/>
      </c>
      <c r="Z4793" s="112" t="e">
        <f>VLOOKUP(Tabla1[[#This Row],[Perfil]],Catalogos!$B$75:$D$100,3,FALSE)*Tabla1[[#This Row],[Tiempo
(Hrs 00/100)]]*1.16</f>
        <v>#N/A</v>
      </c>
    </row>
    <row r="4794" spans="1:26" ht="30" customHeight="1" x14ac:dyDescent="0.3">
      <c r="A4794" s="106"/>
      <c r="B4794" s="106"/>
      <c r="C4794" s="106"/>
      <c r="D4794" s="106"/>
      <c r="E4794" s="106"/>
      <c r="F4794" s="106"/>
      <c r="G4794" s="106"/>
      <c r="H4794" s="107"/>
      <c r="I4794" s="95"/>
      <c r="J4794" s="706"/>
      <c r="K4794" s="769"/>
      <c r="L4794" s="706"/>
      <c r="M4794" s="781"/>
      <c r="N4794" s="182"/>
      <c r="O4794" s="188"/>
      <c r="P4794" s="221"/>
      <c r="Q4794" s="106"/>
      <c r="R4794" s="108"/>
      <c r="S4794" s="108"/>
      <c r="T4794" s="108"/>
      <c r="U4794" s="108" t="str">
        <f>IFERROR(VLOOKUP(CONCATENATE(Tabla1[[#This Row],[Severidad]]," ",Tabla1[[#This Row],[Complejidad]]),Catalogos!E$120:G$128,3,FALSE),"")</f>
        <v/>
      </c>
      <c r="V4794" s="108" t="str">
        <f>IF(Tabla1[[#This Row],[Tiempo solución max (hrs)]]&lt;&gt;"",IF(Tabla1[[#This Row],[Tiempo solución max (hrs)]]&gt;=Tabla1[[#This Row],[Tiempo
(Hrs 00/100)]],"cumple","no cumple"),"")</f>
        <v/>
      </c>
      <c r="W4794" s="17"/>
      <c r="X4794" s="18">
        <f t="shared" si="264"/>
        <v>0</v>
      </c>
      <c r="Y4794" t="str">
        <f>SUBSTITUTE(Tabla1[[#This Row],[Descripción]],CHAR(10),"    I    ")</f>
        <v/>
      </c>
      <c r="Z4794" s="112" t="e">
        <f>VLOOKUP(Tabla1[[#This Row],[Perfil]],Catalogos!$B$75:$D$100,3,FALSE)*Tabla1[[#This Row],[Tiempo
(Hrs 00/100)]]*1.16</f>
        <v>#N/A</v>
      </c>
    </row>
    <row r="4795" spans="1:26" ht="30" customHeight="1" x14ac:dyDescent="0.3">
      <c r="A4795" s="106"/>
      <c r="B4795" s="106"/>
      <c r="C4795" s="106"/>
      <c r="D4795" s="106"/>
      <c r="E4795" s="106"/>
      <c r="F4795" s="106"/>
      <c r="G4795" s="106"/>
      <c r="H4795" s="107"/>
      <c r="I4795" s="95"/>
      <c r="J4795" s="706"/>
      <c r="K4795" s="769"/>
      <c r="L4795" s="706"/>
      <c r="M4795" s="781"/>
      <c r="N4795" s="182"/>
      <c r="O4795" s="188"/>
      <c r="P4795" s="221"/>
      <c r="Q4795" s="106"/>
      <c r="R4795" s="108"/>
      <c r="S4795" s="108"/>
      <c r="T4795" s="108"/>
      <c r="U4795" s="108" t="str">
        <f>IFERROR(VLOOKUP(CONCATENATE(Tabla1[[#This Row],[Severidad]]," ",Tabla1[[#This Row],[Complejidad]]),Catalogos!E$120:G$128,3,FALSE),"")</f>
        <v/>
      </c>
      <c r="V4795" s="108" t="str">
        <f>IF(Tabla1[[#This Row],[Tiempo solución max (hrs)]]&lt;&gt;"",IF(Tabla1[[#This Row],[Tiempo solución max (hrs)]]&gt;=Tabla1[[#This Row],[Tiempo
(Hrs 00/100)]],"cumple","no cumple"),"")</f>
        <v/>
      </c>
      <c r="W4795" s="17"/>
      <c r="X4795" s="18">
        <f t="shared" si="264"/>
        <v>0</v>
      </c>
      <c r="Y4795" t="str">
        <f>SUBSTITUTE(Tabla1[[#This Row],[Descripción]],CHAR(10),"    I    ")</f>
        <v/>
      </c>
      <c r="Z4795" s="112" t="e">
        <f>VLOOKUP(Tabla1[[#This Row],[Perfil]],Catalogos!$B$75:$D$100,3,FALSE)*Tabla1[[#This Row],[Tiempo
(Hrs 00/100)]]*1.16</f>
        <v>#N/A</v>
      </c>
    </row>
    <row r="4796" spans="1:26" ht="30" customHeight="1" x14ac:dyDescent="0.3">
      <c r="A4796" s="106"/>
      <c r="B4796" s="106"/>
      <c r="C4796" s="106"/>
      <c r="D4796" s="106"/>
      <c r="E4796" s="106"/>
      <c r="F4796" s="106"/>
      <c r="G4796" s="106"/>
      <c r="H4796" s="107"/>
      <c r="I4796" s="95"/>
      <c r="J4796" s="706"/>
      <c r="K4796" s="769"/>
      <c r="L4796" s="706"/>
      <c r="M4796" s="781"/>
      <c r="N4796" s="182"/>
      <c r="O4796" s="188"/>
      <c r="P4796" s="221"/>
      <c r="Q4796" s="106"/>
      <c r="R4796" s="108"/>
      <c r="S4796" s="108"/>
      <c r="T4796" s="108"/>
      <c r="U4796" s="108" t="str">
        <f>IFERROR(VLOOKUP(CONCATENATE(Tabla1[[#This Row],[Severidad]]," ",Tabla1[[#This Row],[Complejidad]]),Catalogos!E$120:G$128,3,FALSE),"")</f>
        <v/>
      </c>
      <c r="V4796" s="108" t="str">
        <f>IF(Tabla1[[#This Row],[Tiempo solución max (hrs)]]&lt;&gt;"",IF(Tabla1[[#This Row],[Tiempo solución max (hrs)]]&gt;=Tabla1[[#This Row],[Tiempo
(Hrs 00/100)]],"cumple","no cumple"),"")</f>
        <v/>
      </c>
      <c r="W4796" s="17"/>
      <c r="X4796" s="18">
        <f t="shared" si="264"/>
        <v>0</v>
      </c>
      <c r="Y4796" t="str">
        <f>SUBSTITUTE(Tabla1[[#This Row],[Descripción]],CHAR(10),"    I    ")</f>
        <v/>
      </c>
      <c r="Z4796" s="112" t="e">
        <f>VLOOKUP(Tabla1[[#This Row],[Perfil]],Catalogos!$B$75:$D$100,3,FALSE)*Tabla1[[#This Row],[Tiempo
(Hrs 00/100)]]*1.16</f>
        <v>#N/A</v>
      </c>
    </row>
    <row r="4797" spans="1:26" ht="30" customHeight="1" x14ac:dyDescent="0.3">
      <c r="A4797" s="106"/>
      <c r="B4797" s="106"/>
      <c r="C4797" s="106"/>
      <c r="D4797" s="106"/>
      <c r="E4797" s="106"/>
      <c r="F4797" s="106"/>
      <c r="G4797" s="106"/>
      <c r="H4797" s="107"/>
      <c r="I4797" s="95"/>
      <c r="J4797" s="706"/>
      <c r="K4797" s="769"/>
      <c r="L4797" s="706"/>
      <c r="M4797" s="781"/>
      <c r="N4797" s="182"/>
      <c r="O4797" s="188"/>
      <c r="P4797" s="221"/>
      <c r="Q4797" s="106"/>
      <c r="R4797" s="108"/>
      <c r="S4797" s="108"/>
      <c r="T4797" s="108"/>
      <c r="U4797" s="108" t="str">
        <f>IFERROR(VLOOKUP(CONCATENATE(Tabla1[[#This Row],[Severidad]]," ",Tabla1[[#This Row],[Complejidad]]),Catalogos!E$120:G$128,3,FALSE),"")</f>
        <v/>
      </c>
      <c r="V4797" s="108" t="str">
        <f>IF(Tabla1[[#This Row],[Tiempo solución max (hrs)]]&lt;&gt;"",IF(Tabla1[[#This Row],[Tiempo solución max (hrs)]]&gt;=Tabla1[[#This Row],[Tiempo
(Hrs 00/100)]],"cumple","no cumple"),"")</f>
        <v/>
      </c>
      <c r="W4797" s="17"/>
      <c r="X4797" s="18">
        <f t="shared" si="264"/>
        <v>0</v>
      </c>
      <c r="Y4797" t="str">
        <f>SUBSTITUTE(Tabla1[[#This Row],[Descripción]],CHAR(10),"    I    ")</f>
        <v/>
      </c>
      <c r="Z4797" s="112" t="e">
        <f>VLOOKUP(Tabla1[[#This Row],[Perfil]],Catalogos!$B$75:$D$100,3,FALSE)*Tabla1[[#This Row],[Tiempo
(Hrs 00/100)]]*1.16</f>
        <v>#N/A</v>
      </c>
    </row>
    <row r="4798" spans="1:26" ht="30" customHeight="1" x14ac:dyDescent="0.3">
      <c r="A4798" s="106"/>
      <c r="B4798" s="106"/>
      <c r="C4798" s="106"/>
      <c r="D4798" s="106"/>
      <c r="E4798" s="106"/>
      <c r="F4798" s="106"/>
      <c r="G4798" s="106"/>
      <c r="H4798" s="107"/>
      <c r="I4798" s="95"/>
      <c r="J4798" s="706"/>
      <c r="K4798" s="769"/>
      <c r="L4798" s="706"/>
      <c r="M4798" s="781"/>
      <c r="N4798" s="182"/>
      <c r="O4798" s="188"/>
      <c r="P4798" s="221"/>
      <c r="Q4798" s="106"/>
      <c r="R4798" s="108"/>
      <c r="S4798" s="108"/>
      <c r="T4798" s="108"/>
      <c r="U4798" s="108" t="str">
        <f>IFERROR(VLOOKUP(CONCATENATE(Tabla1[[#This Row],[Severidad]]," ",Tabla1[[#This Row],[Complejidad]]),Catalogos!E$120:G$128,3,FALSE),"")</f>
        <v/>
      </c>
      <c r="V4798" s="108" t="str">
        <f>IF(Tabla1[[#This Row],[Tiempo solución max (hrs)]]&lt;&gt;"",IF(Tabla1[[#This Row],[Tiempo solución max (hrs)]]&gt;=Tabla1[[#This Row],[Tiempo
(Hrs 00/100)]],"cumple","no cumple"),"")</f>
        <v/>
      </c>
      <c r="W4798" s="17"/>
      <c r="X4798" s="18">
        <f t="shared" si="264"/>
        <v>0</v>
      </c>
      <c r="Y4798" t="str">
        <f>SUBSTITUTE(Tabla1[[#This Row],[Descripción]],CHAR(10),"    I    ")</f>
        <v/>
      </c>
      <c r="Z4798" s="112" t="e">
        <f>VLOOKUP(Tabla1[[#This Row],[Perfil]],Catalogos!$B$75:$D$100,3,FALSE)*Tabla1[[#This Row],[Tiempo
(Hrs 00/100)]]*1.16</f>
        <v>#N/A</v>
      </c>
    </row>
    <row r="4799" spans="1:26" ht="30" customHeight="1" x14ac:dyDescent="0.3">
      <c r="A4799" s="106"/>
      <c r="B4799" s="106"/>
      <c r="C4799" s="106"/>
      <c r="D4799" s="106"/>
      <c r="E4799" s="106"/>
      <c r="F4799" s="106"/>
      <c r="G4799" s="106"/>
      <c r="H4799" s="107"/>
      <c r="I4799" s="95"/>
      <c r="J4799" s="706"/>
      <c r="K4799" s="769"/>
      <c r="L4799" s="706"/>
      <c r="M4799" s="781"/>
      <c r="N4799" s="182"/>
      <c r="O4799" s="188"/>
      <c r="P4799" s="221"/>
      <c r="Q4799" s="106"/>
      <c r="R4799" s="108"/>
      <c r="S4799" s="108"/>
      <c r="T4799" s="108"/>
      <c r="U4799" s="108" t="str">
        <f>IFERROR(VLOOKUP(CONCATENATE(Tabla1[[#This Row],[Severidad]]," ",Tabla1[[#This Row],[Complejidad]]),Catalogos!E$120:G$128,3,FALSE),"")</f>
        <v/>
      </c>
      <c r="V4799" s="108" t="str">
        <f>IF(Tabla1[[#This Row],[Tiempo solución max (hrs)]]&lt;&gt;"",IF(Tabla1[[#This Row],[Tiempo solución max (hrs)]]&gt;=Tabla1[[#This Row],[Tiempo
(Hrs 00/100)]],"cumple","no cumple"),"")</f>
        <v/>
      </c>
      <c r="W4799" s="17"/>
      <c r="X4799" s="18">
        <f t="shared" si="264"/>
        <v>0</v>
      </c>
      <c r="Y4799" t="str">
        <f>SUBSTITUTE(Tabla1[[#This Row],[Descripción]],CHAR(10),"    I    ")</f>
        <v/>
      </c>
      <c r="Z4799" s="112" t="e">
        <f>VLOOKUP(Tabla1[[#This Row],[Perfil]],Catalogos!$B$75:$D$100,3,FALSE)*Tabla1[[#This Row],[Tiempo
(Hrs 00/100)]]*1.16</f>
        <v>#N/A</v>
      </c>
    </row>
    <row r="4800" spans="1:26" ht="30" customHeight="1" x14ac:dyDescent="0.3">
      <c r="A4800" s="106"/>
      <c r="B4800" s="106"/>
      <c r="C4800" s="106"/>
      <c r="D4800" s="106"/>
      <c r="E4800" s="106"/>
      <c r="F4800" s="106"/>
      <c r="G4800" s="106"/>
      <c r="H4800" s="107"/>
      <c r="I4800" s="95"/>
      <c r="J4800" s="706"/>
      <c r="K4800" s="769"/>
      <c r="L4800" s="706"/>
      <c r="M4800" s="781"/>
      <c r="N4800" s="182"/>
      <c r="O4800" s="188"/>
      <c r="P4800" s="221"/>
      <c r="Q4800" s="106"/>
      <c r="R4800" s="108"/>
      <c r="S4800" s="108"/>
      <c r="T4800" s="108"/>
      <c r="U4800" s="108" t="str">
        <f>IFERROR(VLOOKUP(CONCATENATE(Tabla1[[#This Row],[Severidad]]," ",Tabla1[[#This Row],[Complejidad]]),Catalogos!E$120:G$128,3,FALSE),"")</f>
        <v/>
      </c>
      <c r="V4800" s="108" t="str">
        <f>IF(Tabla1[[#This Row],[Tiempo solución max (hrs)]]&lt;&gt;"",IF(Tabla1[[#This Row],[Tiempo solución max (hrs)]]&gt;=Tabla1[[#This Row],[Tiempo
(Hrs 00/100)]],"cumple","no cumple"),"")</f>
        <v/>
      </c>
      <c r="W4800" s="17"/>
      <c r="X4800" s="18">
        <f t="shared" si="264"/>
        <v>0</v>
      </c>
      <c r="Y4800" t="str">
        <f>SUBSTITUTE(Tabla1[[#This Row],[Descripción]],CHAR(10),"    I    ")</f>
        <v/>
      </c>
      <c r="Z4800" s="112" t="e">
        <f>VLOOKUP(Tabla1[[#This Row],[Perfil]],Catalogos!$B$75:$D$100,3,FALSE)*Tabla1[[#This Row],[Tiempo
(Hrs 00/100)]]*1.16</f>
        <v>#N/A</v>
      </c>
    </row>
    <row r="4801" spans="1:26" ht="30" customHeight="1" x14ac:dyDescent="0.3">
      <c r="A4801" s="106"/>
      <c r="B4801" s="106"/>
      <c r="C4801" s="106"/>
      <c r="D4801" s="106"/>
      <c r="E4801" s="106"/>
      <c r="F4801" s="106"/>
      <c r="G4801" s="106"/>
      <c r="H4801" s="107"/>
      <c r="I4801" s="95"/>
      <c r="J4801" s="706"/>
      <c r="K4801" s="769"/>
      <c r="L4801" s="706"/>
      <c r="M4801" s="781"/>
      <c r="N4801" s="182"/>
      <c r="O4801" s="188"/>
      <c r="P4801" s="221"/>
      <c r="Q4801" s="106"/>
      <c r="R4801" s="108"/>
      <c r="S4801" s="108"/>
      <c r="T4801" s="108"/>
      <c r="U4801" s="108" t="str">
        <f>IFERROR(VLOOKUP(CONCATENATE(Tabla1[[#This Row],[Severidad]]," ",Tabla1[[#This Row],[Complejidad]]),Catalogos!E$120:G$128,3,FALSE),"")</f>
        <v/>
      </c>
      <c r="V4801" s="108" t="str">
        <f>IF(Tabla1[[#This Row],[Tiempo solución max (hrs)]]&lt;&gt;"",IF(Tabla1[[#This Row],[Tiempo solución max (hrs)]]&gt;=Tabla1[[#This Row],[Tiempo
(Hrs 00/100)]],"cumple","no cumple"),"")</f>
        <v/>
      </c>
      <c r="W4801" s="17"/>
      <c r="X4801" s="18">
        <f t="shared" si="264"/>
        <v>0</v>
      </c>
      <c r="Y4801" t="str">
        <f>SUBSTITUTE(Tabla1[[#This Row],[Descripción]],CHAR(10),"    I    ")</f>
        <v/>
      </c>
      <c r="Z4801" s="112" t="e">
        <f>VLOOKUP(Tabla1[[#This Row],[Perfil]],Catalogos!$B$75:$D$100,3,FALSE)*Tabla1[[#This Row],[Tiempo
(Hrs 00/100)]]*1.16</f>
        <v>#N/A</v>
      </c>
    </row>
    <row r="4802" spans="1:26" ht="30" customHeight="1" x14ac:dyDescent="0.3">
      <c r="A4802" s="106"/>
      <c r="B4802" s="106"/>
      <c r="C4802" s="106"/>
      <c r="D4802" s="106"/>
      <c r="E4802" s="106"/>
      <c r="F4802" s="106"/>
      <c r="G4802" s="106"/>
      <c r="H4802" s="107"/>
      <c r="I4802" s="95"/>
      <c r="J4802" s="706"/>
      <c r="K4802" s="769"/>
      <c r="L4802" s="706"/>
      <c r="M4802" s="781"/>
      <c r="N4802" s="182"/>
      <c r="O4802" s="188"/>
      <c r="P4802" s="221"/>
      <c r="Q4802" s="106"/>
      <c r="R4802" s="108"/>
      <c r="S4802" s="108"/>
      <c r="T4802" s="108"/>
      <c r="U4802" s="108" t="str">
        <f>IFERROR(VLOOKUP(CONCATENATE(Tabla1[[#This Row],[Severidad]]," ",Tabla1[[#This Row],[Complejidad]]),Catalogos!E$120:G$128,3,FALSE),"")</f>
        <v/>
      </c>
      <c r="V4802" s="108" t="str">
        <f>IF(Tabla1[[#This Row],[Tiempo solución max (hrs)]]&lt;&gt;"",IF(Tabla1[[#This Row],[Tiempo solución max (hrs)]]&gt;=Tabla1[[#This Row],[Tiempo
(Hrs 00/100)]],"cumple","no cumple"),"")</f>
        <v/>
      </c>
      <c r="W4802" s="17"/>
      <c r="X4802" s="18">
        <f t="shared" si="264"/>
        <v>0</v>
      </c>
      <c r="Y4802" t="str">
        <f>SUBSTITUTE(Tabla1[[#This Row],[Descripción]],CHAR(10),"    I    ")</f>
        <v/>
      </c>
      <c r="Z4802" s="112" t="e">
        <f>VLOOKUP(Tabla1[[#This Row],[Perfil]],Catalogos!$B$75:$D$100,3,FALSE)*Tabla1[[#This Row],[Tiempo
(Hrs 00/100)]]*1.16</f>
        <v>#N/A</v>
      </c>
    </row>
    <row r="4803" spans="1:26" ht="30" customHeight="1" x14ac:dyDescent="0.3">
      <c r="A4803" s="106"/>
      <c r="B4803" s="106"/>
      <c r="C4803" s="106"/>
      <c r="D4803" s="106"/>
      <c r="E4803" s="106"/>
      <c r="F4803" s="106"/>
      <c r="G4803" s="106"/>
      <c r="H4803" s="107"/>
      <c r="I4803" s="95"/>
      <c r="J4803" s="706"/>
      <c r="K4803" s="769"/>
      <c r="L4803" s="706"/>
      <c r="M4803" s="781"/>
      <c r="N4803" s="182"/>
      <c r="O4803" s="188"/>
      <c r="P4803" s="221"/>
      <c r="Q4803" s="106"/>
      <c r="R4803" s="108"/>
      <c r="S4803" s="108"/>
      <c r="T4803" s="108"/>
      <c r="U4803" s="108" t="str">
        <f>IFERROR(VLOOKUP(CONCATENATE(Tabla1[[#This Row],[Severidad]]," ",Tabla1[[#This Row],[Complejidad]]),Catalogos!E$120:G$128,3,FALSE),"")</f>
        <v/>
      </c>
      <c r="V4803" s="108" t="str">
        <f>IF(Tabla1[[#This Row],[Tiempo solución max (hrs)]]&lt;&gt;"",IF(Tabla1[[#This Row],[Tiempo solución max (hrs)]]&gt;=Tabla1[[#This Row],[Tiempo
(Hrs 00/100)]],"cumple","no cumple"),"")</f>
        <v/>
      </c>
      <c r="W4803" s="17"/>
      <c r="X4803" s="18">
        <f t="shared" ref="X4803:X4866" si="265">IF(C4803&lt;&gt;"",C4803,D4803)</f>
        <v>0</v>
      </c>
      <c r="Y4803" t="str">
        <f>SUBSTITUTE(Tabla1[[#This Row],[Descripción]],CHAR(10),"    I    ")</f>
        <v/>
      </c>
      <c r="Z4803" s="112" t="e">
        <f>VLOOKUP(Tabla1[[#This Row],[Perfil]],Catalogos!$B$75:$D$100,3,FALSE)*Tabla1[[#This Row],[Tiempo
(Hrs 00/100)]]*1.16</f>
        <v>#N/A</v>
      </c>
    </row>
    <row r="4804" spans="1:26" ht="30" customHeight="1" x14ac:dyDescent="0.3">
      <c r="A4804" s="106"/>
      <c r="B4804" s="106"/>
      <c r="C4804" s="106"/>
      <c r="D4804" s="106"/>
      <c r="E4804" s="106"/>
      <c r="F4804" s="106"/>
      <c r="G4804" s="106"/>
      <c r="H4804" s="107"/>
      <c r="I4804" s="95"/>
      <c r="J4804" s="706"/>
      <c r="K4804" s="769"/>
      <c r="L4804" s="706"/>
      <c r="M4804" s="781"/>
      <c r="N4804" s="182"/>
      <c r="O4804" s="188"/>
      <c r="P4804" s="221"/>
      <c r="Q4804" s="106"/>
      <c r="R4804" s="108"/>
      <c r="S4804" s="108"/>
      <c r="T4804" s="108"/>
      <c r="U4804" s="108" t="str">
        <f>IFERROR(VLOOKUP(CONCATENATE(Tabla1[[#This Row],[Severidad]]," ",Tabla1[[#This Row],[Complejidad]]),Catalogos!E$120:G$128,3,FALSE),"")</f>
        <v/>
      </c>
      <c r="V4804" s="108" t="str">
        <f>IF(Tabla1[[#This Row],[Tiempo solución max (hrs)]]&lt;&gt;"",IF(Tabla1[[#This Row],[Tiempo solución max (hrs)]]&gt;=Tabla1[[#This Row],[Tiempo
(Hrs 00/100)]],"cumple","no cumple"),"")</f>
        <v/>
      </c>
      <c r="W4804" s="17"/>
      <c r="X4804" s="18">
        <f t="shared" si="265"/>
        <v>0</v>
      </c>
      <c r="Y4804" t="str">
        <f>SUBSTITUTE(Tabla1[[#This Row],[Descripción]],CHAR(10),"    I    ")</f>
        <v/>
      </c>
      <c r="Z4804" s="112" t="e">
        <f>VLOOKUP(Tabla1[[#This Row],[Perfil]],Catalogos!$B$75:$D$100,3,FALSE)*Tabla1[[#This Row],[Tiempo
(Hrs 00/100)]]*1.16</f>
        <v>#N/A</v>
      </c>
    </row>
    <row r="4805" spans="1:26" ht="30" customHeight="1" x14ac:dyDescent="0.3">
      <c r="A4805" s="106"/>
      <c r="B4805" s="106"/>
      <c r="C4805" s="106"/>
      <c r="D4805" s="106"/>
      <c r="E4805" s="106"/>
      <c r="F4805" s="106"/>
      <c r="G4805" s="106"/>
      <c r="H4805" s="107"/>
      <c r="I4805" s="95"/>
      <c r="J4805" s="706"/>
      <c r="K4805" s="769"/>
      <c r="L4805" s="706"/>
      <c r="M4805" s="781"/>
      <c r="N4805" s="182"/>
      <c r="O4805" s="188"/>
      <c r="P4805" s="221"/>
      <c r="Q4805" s="106"/>
      <c r="R4805" s="108"/>
      <c r="S4805" s="108"/>
      <c r="T4805" s="108"/>
      <c r="U4805" s="108" t="str">
        <f>IFERROR(VLOOKUP(CONCATENATE(Tabla1[[#This Row],[Severidad]]," ",Tabla1[[#This Row],[Complejidad]]),Catalogos!E$120:G$128,3,FALSE),"")</f>
        <v/>
      </c>
      <c r="V4805" s="108" t="str">
        <f>IF(Tabla1[[#This Row],[Tiempo solución max (hrs)]]&lt;&gt;"",IF(Tabla1[[#This Row],[Tiempo solución max (hrs)]]&gt;=Tabla1[[#This Row],[Tiempo
(Hrs 00/100)]],"cumple","no cumple"),"")</f>
        <v/>
      </c>
      <c r="W4805" s="17"/>
      <c r="X4805" s="18">
        <f t="shared" si="265"/>
        <v>0</v>
      </c>
      <c r="Y4805" t="str">
        <f>SUBSTITUTE(Tabla1[[#This Row],[Descripción]],CHAR(10),"    I    ")</f>
        <v/>
      </c>
      <c r="Z4805" s="112" t="e">
        <f>VLOOKUP(Tabla1[[#This Row],[Perfil]],Catalogos!$B$75:$D$100,3,FALSE)*Tabla1[[#This Row],[Tiempo
(Hrs 00/100)]]*1.16</f>
        <v>#N/A</v>
      </c>
    </row>
    <row r="4806" spans="1:26" ht="30" customHeight="1" x14ac:dyDescent="0.3">
      <c r="A4806" s="106"/>
      <c r="B4806" s="106"/>
      <c r="C4806" s="106"/>
      <c r="D4806" s="106"/>
      <c r="E4806" s="106"/>
      <c r="F4806" s="106"/>
      <c r="G4806" s="106"/>
      <c r="H4806" s="107"/>
      <c r="I4806" s="95"/>
      <c r="J4806" s="706"/>
      <c r="K4806" s="769"/>
      <c r="L4806" s="706"/>
      <c r="M4806" s="781"/>
      <c r="N4806" s="182"/>
      <c r="O4806" s="188"/>
      <c r="P4806" s="221"/>
      <c r="Q4806" s="106"/>
      <c r="R4806" s="108"/>
      <c r="S4806" s="108"/>
      <c r="T4806" s="108"/>
      <c r="U4806" s="108" t="str">
        <f>IFERROR(VLOOKUP(CONCATENATE(Tabla1[[#This Row],[Severidad]]," ",Tabla1[[#This Row],[Complejidad]]),Catalogos!E$120:G$128,3,FALSE),"")</f>
        <v/>
      </c>
      <c r="V4806" s="108" t="str">
        <f>IF(Tabla1[[#This Row],[Tiempo solución max (hrs)]]&lt;&gt;"",IF(Tabla1[[#This Row],[Tiempo solución max (hrs)]]&gt;=Tabla1[[#This Row],[Tiempo
(Hrs 00/100)]],"cumple","no cumple"),"")</f>
        <v/>
      </c>
      <c r="W4806" s="17"/>
      <c r="X4806" s="18">
        <f t="shared" si="265"/>
        <v>0</v>
      </c>
      <c r="Y4806" t="str">
        <f>SUBSTITUTE(Tabla1[[#This Row],[Descripción]],CHAR(10),"    I    ")</f>
        <v/>
      </c>
      <c r="Z4806" s="112" t="e">
        <f>VLOOKUP(Tabla1[[#This Row],[Perfil]],Catalogos!$B$75:$D$100,3,FALSE)*Tabla1[[#This Row],[Tiempo
(Hrs 00/100)]]*1.16</f>
        <v>#N/A</v>
      </c>
    </row>
    <row r="4807" spans="1:26" ht="30" customHeight="1" x14ac:dyDescent="0.3">
      <c r="A4807" s="106"/>
      <c r="B4807" s="106"/>
      <c r="C4807" s="106"/>
      <c r="D4807" s="106"/>
      <c r="E4807" s="106"/>
      <c r="F4807" s="106"/>
      <c r="G4807" s="106"/>
      <c r="H4807" s="107"/>
      <c r="I4807" s="95"/>
      <c r="J4807" s="706"/>
      <c r="K4807" s="769"/>
      <c r="L4807" s="706"/>
      <c r="M4807" s="781"/>
      <c r="N4807" s="182"/>
      <c r="O4807" s="188"/>
      <c r="P4807" s="221"/>
      <c r="Q4807" s="106"/>
      <c r="R4807" s="108"/>
      <c r="S4807" s="108"/>
      <c r="T4807" s="108"/>
      <c r="U4807" s="108" t="str">
        <f>IFERROR(VLOOKUP(CONCATENATE(Tabla1[[#This Row],[Severidad]]," ",Tabla1[[#This Row],[Complejidad]]),Catalogos!E$120:G$128,3,FALSE),"")</f>
        <v/>
      </c>
      <c r="V4807" s="108" t="str">
        <f>IF(Tabla1[[#This Row],[Tiempo solución max (hrs)]]&lt;&gt;"",IF(Tabla1[[#This Row],[Tiempo solución max (hrs)]]&gt;=Tabla1[[#This Row],[Tiempo
(Hrs 00/100)]],"cumple","no cumple"),"")</f>
        <v/>
      </c>
      <c r="W4807" s="17"/>
      <c r="X4807" s="18">
        <f t="shared" si="265"/>
        <v>0</v>
      </c>
      <c r="Y4807" t="str">
        <f>SUBSTITUTE(Tabla1[[#This Row],[Descripción]],CHAR(10),"    I    ")</f>
        <v/>
      </c>
      <c r="Z4807" s="112" t="e">
        <f>VLOOKUP(Tabla1[[#This Row],[Perfil]],Catalogos!$B$75:$D$100,3,FALSE)*Tabla1[[#This Row],[Tiempo
(Hrs 00/100)]]*1.16</f>
        <v>#N/A</v>
      </c>
    </row>
    <row r="4808" spans="1:26" ht="30" customHeight="1" x14ac:dyDescent="0.3">
      <c r="A4808" s="106"/>
      <c r="B4808" s="106"/>
      <c r="C4808" s="106"/>
      <c r="D4808" s="106"/>
      <c r="E4808" s="106"/>
      <c r="F4808" s="106"/>
      <c r="G4808" s="106"/>
      <c r="H4808" s="107"/>
      <c r="I4808" s="95"/>
      <c r="J4808" s="706"/>
      <c r="K4808" s="769"/>
      <c r="L4808" s="706"/>
      <c r="M4808" s="781"/>
      <c r="N4808" s="182"/>
      <c r="O4808" s="188"/>
      <c r="P4808" s="221"/>
      <c r="Q4808" s="106"/>
      <c r="R4808" s="108"/>
      <c r="S4808" s="108"/>
      <c r="T4808" s="108"/>
      <c r="U4808" s="108" t="str">
        <f>IFERROR(VLOOKUP(CONCATENATE(Tabla1[[#This Row],[Severidad]]," ",Tabla1[[#This Row],[Complejidad]]),Catalogos!E$120:G$128,3,FALSE),"")</f>
        <v/>
      </c>
      <c r="V4808" s="108" t="str">
        <f>IF(Tabla1[[#This Row],[Tiempo solución max (hrs)]]&lt;&gt;"",IF(Tabla1[[#This Row],[Tiempo solución max (hrs)]]&gt;=Tabla1[[#This Row],[Tiempo
(Hrs 00/100)]],"cumple","no cumple"),"")</f>
        <v/>
      </c>
      <c r="W4808" s="17"/>
      <c r="X4808" s="18">
        <f t="shared" si="265"/>
        <v>0</v>
      </c>
      <c r="Y4808" t="str">
        <f>SUBSTITUTE(Tabla1[[#This Row],[Descripción]],CHAR(10),"    I    ")</f>
        <v/>
      </c>
      <c r="Z4808" s="112" t="e">
        <f>VLOOKUP(Tabla1[[#This Row],[Perfil]],Catalogos!$B$75:$D$100,3,FALSE)*Tabla1[[#This Row],[Tiempo
(Hrs 00/100)]]*1.16</f>
        <v>#N/A</v>
      </c>
    </row>
    <row r="4809" spans="1:26" ht="30" customHeight="1" x14ac:dyDescent="0.3">
      <c r="A4809" s="106"/>
      <c r="B4809" s="106"/>
      <c r="C4809" s="106"/>
      <c r="D4809" s="106"/>
      <c r="E4809" s="106"/>
      <c r="F4809" s="106"/>
      <c r="G4809" s="106"/>
      <c r="H4809" s="107"/>
      <c r="I4809" s="95"/>
      <c r="J4809" s="706"/>
      <c r="K4809" s="769"/>
      <c r="L4809" s="706"/>
      <c r="M4809" s="781"/>
      <c r="N4809" s="182"/>
      <c r="O4809" s="188"/>
      <c r="P4809" s="221"/>
      <c r="Q4809" s="106"/>
      <c r="R4809" s="108"/>
      <c r="S4809" s="108"/>
      <c r="T4809" s="108"/>
      <c r="U4809" s="108" t="str">
        <f>IFERROR(VLOOKUP(CONCATENATE(Tabla1[[#This Row],[Severidad]]," ",Tabla1[[#This Row],[Complejidad]]),Catalogos!E$120:G$128,3,FALSE),"")</f>
        <v/>
      </c>
      <c r="V4809" s="108" t="str">
        <f>IF(Tabla1[[#This Row],[Tiempo solución max (hrs)]]&lt;&gt;"",IF(Tabla1[[#This Row],[Tiempo solución max (hrs)]]&gt;=Tabla1[[#This Row],[Tiempo
(Hrs 00/100)]],"cumple","no cumple"),"")</f>
        <v/>
      </c>
      <c r="W4809" s="17"/>
      <c r="X4809" s="18">
        <f t="shared" si="265"/>
        <v>0</v>
      </c>
      <c r="Y4809" t="str">
        <f>SUBSTITUTE(Tabla1[[#This Row],[Descripción]],CHAR(10),"    I    ")</f>
        <v/>
      </c>
      <c r="Z4809" s="112" t="e">
        <f>VLOOKUP(Tabla1[[#This Row],[Perfil]],Catalogos!$B$75:$D$100,3,FALSE)*Tabla1[[#This Row],[Tiempo
(Hrs 00/100)]]*1.16</f>
        <v>#N/A</v>
      </c>
    </row>
    <row r="4810" spans="1:26" ht="30" customHeight="1" x14ac:dyDescent="0.3">
      <c r="A4810" s="106"/>
      <c r="B4810" s="106"/>
      <c r="C4810" s="106"/>
      <c r="D4810" s="106"/>
      <c r="E4810" s="106"/>
      <c r="F4810" s="106"/>
      <c r="G4810" s="106"/>
      <c r="H4810" s="107"/>
      <c r="I4810" s="95"/>
      <c r="J4810" s="706"/>
      <c r="K4810" s="769"/>
      <c r="L4810" s="706"/>
      <c r="M4810" s="781"/>
      <c r="N4810" s="182"/>
      <c r="O4810" s="188"/>
      <c r="P4810" s="221"/>
      <c r="Q4810" s="106"/>
      <c r="R4810" s="108"/>
      <c r="S4810" s="108"/>
      <c r="T4810" s="108"/>
      <c r="U4810" s="108" t="str">
        <f>IFERROR(VLOOKUP(CONCATENATE(Tabla1[[#This Row],[Severidad]]," ",Tabla1[[#This Row],[Complejidad]]),Catalogos!E$120:G$128,3,FALSE),"")</f>
        <v/>
      </c>
      <c r="V4810" s="108" t="str">
        <f>IF(Tabla1[[#This Row],[Tiempo solución max (hrs)]]&lt;&gt;"",IF(Tabla1[[#This Row],[Tiempo solución max (hrs)]]&gt;=Tabla1[[#This Row],[Tiempo
(Hrs 00/100)]],"cumple","no cumple"),"")</f>
        <v/>
      </c>
      <c r="W4810" s="17"/>
      <c r="X4810" s="18">
        <f t="shared" si="265"/>
        <v>0</v>
      </c>
      <c r="Y4810" t="str">
        <f>SUBSTITUTE(Tabla1[[#This Row],[Descripción]],CHAR(10),"    I    ")</f>
        <v/>
      </c>
      <c r="Z4810" s="112" t="e">
        <f>VLOOKUP(Tabla1[[#This Row],[Perfil]],Catalogos!$B$75:$D$100,3,FALSE)*Tabla1[[#This Row],[Tiempo
(Hrs 00/100)]]*1.16</f>
        <v>#N/A</v>
      </c>
    </row>
    <row r="4811" spans="1:26" ht="30" customHeight="1" x14ac:dyDescent="0.3">
      <c r="A4811" s="106"/>
      <c r="B4811" s="106"/>
      <c r="C4811" s="106"/>
      <c r="D4811" s="106"/>
      <c r="E4811" s="106"/>
      <c r="F4811" s="106"/>
      <c r="G4811" s="106"/>
      <c r="H4811" s="107"/>
      <c r="I4811" s="95"/>
      <c r="J4811" s="706"/>
      <c r="K4811" s="769"/>
      <c r="L4811" s="706"/>
      <c r="M4811" s="781"/>
      <c r="N4811" s="182"/>
      <c r="O4811" s="188"/>
      <c r="P4811" s="221"/>
      <c r="Q4811" s="106"/>
      <c r="R4811" s="108"/>
      <c r="S4811" s="108"/>
      <c r="T4811" s="108"/>
      <c r="U4811" s="108" t="str">
        <f>IFERROR(VLOOKUP(CONCATENATE(Tabla1[[#This Row],[Severidad]]," ",Tabla1[[#This Row],[Complejidad]]),Catalogos!E$120:G$128,3,FALSE),"")</f>
        <v/>
      </c>
      <c r="V4811" s="108" t="str">
        <f>IF(Tabla1[[#This Row],[Tiempo solución max (hrs)]]&lt;&gt;"",IF(Tabla1[[#This Row],[Tiempo solución max (hrs)]]&gt;=Tabla1[[#This Row],[Tiempo
(Hrs 00/100)]],"cumple","no cumple"),"")</f>
        <v/>
      </c>
      <c r="W4811" s="17"/>
      <c r="X4811" s="18">
        <f t="shared" si="265"/>
        <v>0</v>
      </c>
      <c r="Y4811" t="str">
        <f>SUBSTITUTE(Tabla1[[#This Row],[Descripción]],CHAR(10),"    I    ")</f>
        <v/>
      </c>
      <c r="Z4811" s="112" t="e">
        <f>VLOOKUP(Tabla1[[#This Row],[Perfil]],Catalogos!$B$75:$D$100,3,FALSE)*Tabla1[[#This Row],[Tiempo
(Hrs 00/100)]]*1.16</f>
        <v>#N/A</v>
      </c>
    </row>
    <row r="4812" spans="1:26" ht="30" customHeight="1" x14ac:dyDescent="0.3">
      <c r="A4812" s="106"/>
      <c r="B4812" s="106"/>
      <c r="C4812" s="106"/>
      <c r="D4812" s="106"/>
      <c r="E4812" s="106"/>
      <c r="F4812" s="106"/>
      <c r="G4812" s="106"/>
      <c r="H4812" s="107"/>
      <c r="I4812" s="95"/>
      <c r="J4812" s="706"/>
      <c r="K4812" s="769"/>
      <c r="L4812" s="706"/>
      <c r="M4812" s="781"/>
      <c r="N4812" s="182"/>
      <c r="O4812" s="188"/>
      <c r="P4812" s="221"/>
      <c r="Q4812" s="106"/>
      <c r="R4812" s="108"/>
      <c r="S4812" s="108"/>
      <c r="T4812" s="108"/>
      <c r="U4812" s="108" t="str">
        <f>IFERROR(VLOOKUP(CONCATENATE(Tabla1[[#This Row],[Severidad]]," ",Tabla1[[#This Row],[Complejidad]]),Catalogos!E$120:G$128,3,FALSE),"")</f>
        <v/>
      </c>
      <c r="V4812" s="108" t="str">
        <f>IF(Tabla1[[#This Row],[Tiempo solución max (hrs)]]&lt;&gt;"",IF(Tabla1[[#This Row],[Tiempo solución max (hrs)]]&gt;=Tabla1[[#This Row],[Tiempo
(Hrs 00/100)]],"cumple","no cumple"),"")</f>
        <v/>
      </c>
      <c r="W4812" s="17"/>
      <c r="X4812" s="18">
        <f t="shared" si="265"/>
        <v>0</v>
      </c>
      <c r="Y4812" t="str">
        <f>SUBSTITUTE(Tabla1[[#This Row],[Descripción]],CHAR(10),"    I    ")</f>
        <v/>
      </c>
      <c r="Z4812" s="112" t="e">
        <f>VLOOKUP(Tabla1[[#This Row],[Perfil]],Catalogos!$B$75:$D$100,3,FALSE)*Tabla1[[#This Row],[Tiempo
(Hrs 00/100)]]*1.16</f>
        <v>#N/A</v>
      </c>
    </row>
    <row r="4813" spans="1:26" ht="30" customHeight="1" x14ac:dyDescent="0.3">
      <c r="A4813" s="106"/>
      <c r="B4813" s="106"/>
      <c r="C4813" s="106"/>
      <c r="D4813" s="106"/>
      <c r="E4813" s="106"/>
      <c r="F4813" s="106"/>
      <c r="G4813" s="106"/>
      <c r="H4813" s="107"/>
      <c r="I4813" s="95"/>
      <c r="J4813" s="706"/>
      <c r="K4813" s="769"/>
      <c r="L4813" s="706"/>
      <c r="M4813" s="781"/>
      <c r="N4813" s="182"/>
      <c r="O4813" s="188"/>
      <c r="P4813" s="221"/>
      <c r="Q4813" s="106"/>
      <c r="R4813" s="108"/>
      <c r="S4813" s="108"/>
      <c r="T4813" s="108"/>
      <c r="U4813" s="108" t="str">
        <f>IFERROR(VLOOKUP(CONCATENATE(Tabla1[[#This Row],[Severidad]]," ",Tabla1[[#This Row],[Complejidad]]),Catalogos!E$120:G$128,3,FALSE),"")</f>
        <v/>
      </c>
      <c r="V4813" s="108" t="str">
        <f>IF(Tabla1[[#This Row],[Tiempo solución max (hrs)]]&lt;&gt;"",IF(Tabla1[[#This Row],[Tiempo solución max (hrs)]]&gt;=Tabla1[[#This Row],[Tiempo
(Hrs 00/100)]],"cumple","no cumple"),"")</f>
        <v/>
      </c>
      <c r="W4813" s="17"/>
      <c r="X4813" s="18">
        <f t="shared" si="265"/>
        <v>0</v>
      </c>
      <c r="Y4813" t="str">
        <f>SUBSTITUTE(Tabla1[[#This Row],[Descripción]],CHAR(10),"    I    ")</f>
        <v/>
      </c>
      <c r="Z4813" s="112" t="e">
        <f>VLOOKUP(Tabla1[[#This Row],[Perfil]],Catalogos!$B$75:$D$100,3,FALSE)*Tabla1[[#This Row],[Tiempo
(Hrs 00/100)]]*1.16</f>
        <v>#N/A</v>
      </c>
    </row>
    <row r="4814" spans="1:26" ht="30" customHeight="1" x14ac:dyDescent="0.3">
      <c r="A4814" s="106"/>
      <c r="B4814" s="106"/>
      <c r="C4814" s="106"/>
      <c r="D4814" s="106"/>
      <c r="E4814" s="106"/>
      <c r="F4814" s="106"/>
      <c r="G4814" s="106"/>
      <c r="H4814" s="107"/>
      <c r="I4814" s="95"/>
      <c r="J4814" s="706"/>
      <c r="K4814" s="769"/>
      <c r="L4814" s="706"/>
      <c r="M4814" s="781"/>
      <c r="N4814" s="182"/>
      <c r="O4814" s="188"/>
      <c r="P4814" s="221"/>
      <c r="Q4814" s="106"/>
      <c r="R4814" s="108"/>
      <c r="S4814" s="108"/>
      <c r="T4814" s="108"/>
      <c r="U4814" s="108" t="str">
        <f>IFERROR(VLOOKUP(CONCATENATE(Tabla1[[#This Row],[Severidad]]," ",Tabla1[[#This Row],[Complejidad]]),Catalogos!E$120:G$128,3,FALSE),"")</f>
        <v/>
      </c>
      <c r="V4814" s="108" t="str">
        <f>IF(Tabla1[[#This Row],[Tiempo solución max (hrs)]]&lt;&gt;"",IF(Tabla1[[#This Row],[Tiempo solución max (hrs)]]&gt;=Tabla1[[#This Row],[Tiempo
(Hrs 00/100)]],"cumple","no cumple"),"")</f>
        <v/>
      </c>
      <c r="W4814" s="17"/>
      <c r="X4814" s="18">
        <f t="shared" si="265"/>
        <v>0</v>
      </c>
      <c r="Y4814" t="str">
        <f>SUBSTITUTE(Tabla1[[#This Row],[Descripción]],CHAR(10),"    I    ")</f>
        <v/>
      </c>
      <c r="Z4814" s="112" t="e">
        <f>VLOOKUP(Tabla1[[#This Row],[Perfil]],Catalogos!$B$75:$D$100,3,FALSE)*Tabla1[[#This Row],[Tiempo
(Hrs 00/100)]]*1.16</f>
        <v>#N/A</v>
      </c>
    </row>
    <row r="4815" spans="1:26" ht="30" customHeight="1" x14ac:dyDescent="0.3">
      <c r="A4815" s="106"/>
      <c r="B4815" s="106"/>
      <c r="C4815" s="106"/>
      <c r="D4815" s="106"/>
      <c r="E4815" s="106"/>
      <c r="F4815" s="106"/>
      <c r="G4815" s="106"/>
      <c r="H4815" s="107"/>
      <c r="I4815" s="95"/>
      <c r="J4815" s="706"/>
      <c r="K4815" s="769"/>
      <c r="L4815" s="706"/>
      <c r="M4815" s="781"/>
      <c r="N4815" s="182"/>
      <c r="O4815" s="188"/>
      <c r="P4815" s="221"/>
      <c r="Q4815" s="106"/>
      <c r="R4815" s="108"/>
      <c r="S4815" s="108"/>
      <c r="T4815" s="108"/>
      <c r="U4815" s="108" t="str">
        <f>IFERROR(VLOOKUP(CONCATENATE(Tabla1[[#This Row],[Severidad]]," ",Tabla1[[#This Row],[Complejidad]]),Catalogos!E$120:G$128,3,FALSE),"")</f>
        <v/>
      </c>
      <c r="V4815" s="108" t="str">
        <f>IF(Tabla1[[#This Row],[Tiempo solución max (hrs)]]&lt;&gt;"",IF(Tabla1[[#This Row],[Tiempo solución max (hrs)]]&gt;=Tabla1[[#This Row],[Tiempo
(Hrs 00/100)]],"cumple","no cumple"),"")</f>
        <v/>
      </c>
      <c r="W4815" s="17"/>
      <c r="X4815" s="18">
        <f t="shared" si="265"/>
        <v>0</v>
      </c>
      <c r="Y4815" t="str">
        <f>SUBSTITUTE(Tabla1[[#This Row],[Descripción]],CHAR(10),"    I    ")</f>
        <v/>
      </c>
      <c r="Z4815" s="112" t="e">
        <f>VLOOKUP(Tabla1[[#This Row],[Perfil]],Catalogos!$B$75:$D$100,3,FALSE)*Tabla1[[#This Row],[Tiempo
(Hrs 00/100)]]*1.16</f>
        <v>#N/A</v>
      </c>
    </row>
    <row r="4816" spans="1:26" ht="30" customHeight="1" x14ac:dyDescent="0.3">
      <c r="A4816" s="106"/>
      <c r="B4816" s="106"/>
      <c r="C4816" s="106"/>
      <c r="D4816" s="106"/>
      <c r="E4816" s="106"/>
      <c r="F4816" s="106"/>
      <c r="G4816" s="106"/>
      <c r="H4816" s="107"/>
      <c r="I4816" s="95"/>
      <c r="J4816" s="706"/>
      <c r="K4816" s="769"/>
      <c r="L4816" s="706"/>
      <c r="M4816" s="781"/>
      <c r="N4816" s="182"/>
      <c r="O4816" s="188"/>
      <c r="P4816" s="221"/>
      <c r="Q4816" s="106"/>
      <c r="R4816" s="108"/>
      <c r="S4816" s="108"/>
      <c r="T4816" s="108"/>
      <c r="U4816" s="108" t="str">
        <f>IFERROR(VLOOKUP(CONCATENATE(Tabla1[[#This Row],[Severidad]]," ",Tabla1[[#This Row],[Complejidad]]),Catalogos!E$120:G$128,3,FALSE),"")</f>
        <v/>
      </c>
      <c r="V4816" s="108" t="str">
        <f>IF(Tabla1[[#This Row],[Tiempo solución max (hrs)]]&lt;&gt;"",IF(Tabla1[[#This Row],[Tiempo solución max (hrs)]]&gt;=Tabla1[[#This Row],[Tiempo
(Hrs 00/100)]],"cumple","no cumple"),"")</f>
        <v/>
      </c>
      <c r="W4816" s="17"/>
      <c r="X4816" s="18">
        <f t="shared" si="265"/>
        <v>0</v>
      </c>
      <c r="Y4816" t="str">
        <f>SUBSTITUTE(Tabla1[[#This Row],[Descripción]],CHAR(10),"    I    ")</f>
        <v/>
      </c>
      <c r="Z4816" s="112" t="e">
        <f>VLOOKUP(Tabla1[[#This Row],[Perfil]],Catalogos!$B$75:$D$100,3,FALSE)*Tabla1[[#This Row],[Tiempo
(Hrs 00/100)]]*1.16</f>
        <v>#N/A</v>
      </c>
    </row>
    <row r="4817" spans="1:26" ht="30" customHeight="1" x14ac:dyDescent="0.3">
      <c r="A4817" s="106"/>
      <c r="B4817" s="106"/>
      <c r="C4817" s="106"/>
      <c r="D4817" s="106"/>
      <c r="E4817" s="106"/>
      <c r="F4817" s="106"/>
      <c r="G4817" s="106"/>
      <c r="H4817" s="107"/>
      <c r="I4817" s="95"/>
      <c r="J4817" s="706"/>
      <c r="K4817" s="769"/>
      <c r="L4817" s="706"/>
      <c r="M4817" s="781"/>
      <c r="N4817" s="182"/>
      <c r="O4817" s="188"/>
      <c r="P4817" s="221"/>
      <c r="Q4817" s="106"/>
      <c r="R4817" s="108"/>
      <c r="S4817" s="108"/>
      <c r="T4817" s="108"/>
      <c r="U4817" s="108" t="str">
        <f>IFERROR(VLOOKUP(CONCATENATE(Tabla1[[#This Row],[Severidad]]," ",Tabla1[[#This Row],[Complejidad]]),Catalogos!E$120:G$128,3,FALSE),"")</f>
        <v/>
      </c>
      <c r="V4817" s="108" t="str">
        <f>IF(Tabla1[[#This Row],[Tiempo solución max (hrs)]]&lt;&gt;"",IF(Tabla1[[#This Row],[Tiempo solución max (hrs)]]&gt;=Tabla1[[#This Row],[Tiempo
(Hrs 00/100)]],"cumple","no cumple"),"")</f>
        <v/>
      </c>
      <c r="W4817" s="17"/>
      <c r="X4817" s="18">
        <f t="shared" si="265"/>
        <v>0</v>
      </c>
      <c r="Y4817" t="str">
        <f>SUBSTITUTE(Tabla1[[#This Row],[Descripción]],CHAR(10),"    I    ")</f>
        <v/>
      </c>
      <c r="Z4817" s="112" t="e">
        <f>VLOOKUP(Tabla1[[#This Row],[Perfil]],Catalogos!$B$75:$D$100,3,FALSE)*Tabla1[[#This Row],[Tiempo
(Hrs 00/100)]]*1.16</f>
        <v>#N/A</v>
      </c>
    </row>
    <row r="4818" spans="1:26" ht="30" customHeight="1" x14ac:dyDescent="0.3">
      <c r="A4818" s="106"/>
      <c r="B4818" s="106"/>
      <c r="C4818" s="106"/>
      <c r="D4818" s="106"/>
      <c r="E4818" s="106"/>
      <c r="F4818" s="106"/>
      <c r="G4818" s="106"/>
      <c r="H4818" s="107"/>
      <c r="I4818" s="95"/>
      <c r="J4818" s="706"/>
      <c r="K4818" s="769"/>
      <c r="L4818" s="706"/>
      <c r="M4818" s="781"/>
      <c r="N4818" s="182"/>
      <c r="O4818" s="188"/>
      <c r="P4818" s="221"/>
      <c r="Q4818" s="106"/>
      <c r="R4818" s="108"/>
      <c r="S4818" s="108"/>
      <c r="T4818" s="108"/>
      <c r="U4818" s="108" t="str">
        <f>IFERROR(VLOOKUP(CONCATENATE(Tabla1[[#This Row],[Severidad]]," ",Tabla1[[#This Row],[Complejidad]]),Catalogos!E$120:G$128,3,FALSE),"")</f>
        <v/>
      </c>
      <c r="V4818" s="108" t="str">
        <f>IF(Tabla1[[#This Row],[Tiempo solución max (hrs)]]&lt;&gt;"",IF(Tabla1[[#This Row],[Tiempo solución max (hrs)]]&gt;=Tabla1[[#This Row],[Tiempo
(Hrs 00/100)]],"cumple","no cumple"),"")</f>
        <v/>
      </c>
      <c r="W4818" s="17"/>
      <c r="X4818" s="18">
        <f t="shared" si="265"/>
        <v>0</v>
      </c>
      <c r="Y4818" t="str">
        <f>SUBSTITUTE(Tabla1[[#This Row],[Descripción]],CHAR(10),"    I    ")</f>
        <v/>
      </c>
      <c r="Z4818" s="112" t="e">
        <f>VLOOKUP(Tabla1[[#This Row],[Perfil]],Catalogos!$B$75:$D$100,3,FALSE)*Tabla1[[#This Row],[Tiempo
(Hrs 00/100)]]*1.16</f>
        <v>#N/A</v>
      </c>
    </row>
    <row r="4819" spans="1:26" ht="30" customHeight="1" x14ac:dyDescent="0.3">
      <c r="A4819" s="106"/>
      <c r="B4819" s="106"/>
      <c r="C4819" s="106"/>
      <c r="D4819" s="106"/>
      <c r="E4819" s="106"/>
      <c r="F4819" s="106"/>
      <c r="G4819" s="106"/>
      <c r="H4819" s="107"/>
      <c r="I4819" s="95"/>
      <c r="J4819" s="706"/>
      <c r="K4819" s="769"/>
      <c r="L4819" s="706"/>
      <c r="M4819" s="781"/>
      <c r="N4819" s="182"/>
      <c r="O4819" s="188"/>
      <c r="P4819" s="221"/>
      <c r="Q4819" s="106"/>
      <c r="R4819" s="108"/>
      <c r="S4819" s="108"/>
      <c r="T4819" s="108"/>
      <c r="U4819" s="108" t="str">
        <f>IFERROR(VLOOKUP(CONCATENATE(Tabla1[[#This Row],[Severidad]]," ",Tabla1[[#This Row],[Complejidad]]),Catalogos!E$120:G$128,3,FALSE),"")</f>
        <v/>
      </c>
      <c r="V4819" s="108" t="str">
        <f>IF(Tabla1[[#This Row],[Tiempo solución max (hrs)]]&lt;&gt;"",IF(Tabla1[[#This Row],[Tiempo solución max (hrs)]]&gt;=Tabla1[[#This Row],[Tiempo
(Hrs 00/100)]],"cumple","no cumple"),"")</f>
        <v/>
      </c>
      <c r="W4819" s="17"/>
      <c r="X4819" s="18">
        <f t="shared" si="265"/>
        <v>0</v>
      </c>
      <c r="Y4819" t="str">
        <f>SUBSTITUTE(Tabla1[[#This Row],[Descripción]],CHAR(10),"    I    ")</f>
        <v/>
      </c>
      <c r="Z4819" s="112" t="e">
        <f>VLOOKUP(Tabla1[[#This Row],[Perfil]],Catalogos!$B$75:$D$100,3,FALSE)*Tabla1[[#This Row],[Tiempo
(Hrs 00/100)]]*1.16</f>
        <v>#N/A</v>
      </c>
    </row>
    <row r="4820" spans="1:26" ht="30" customHeight="1" x14ac:dyDescent="0.3">
      <c r="A4820" s="106"/>
      <c r="B4820" s="106"/>
      <c r="C4820" s="106"/>
      <c r="D4820" s="106"/>
      <c r="E4820" s="106"/>
      <c r="F4820" s="106"/>
      <c r="G4820" s="106"/>
      <c r="H4820" s="107"/>
      <c r="I4820" s="95"/>
      <c r="J4820" s="706"/>
      <c r="K4820" s="769"/>
      <c r="L4820" s="706"/>
      <c r="M4820" s="781"/>
      <c r="N4820" s="182"/>
      <c r="O4820" s="188"/>
      <c r="P4820" s="221"/>
      <c r="Q4820" s="106"/>
      <c r="R4820" s="108"/>
      <c r="S4820" s="108"/>
      <c r="T4820" s="108"/>
      <c r="U4820" s="108" t="str">
        <f>IFERROR(VLOOKUP(CONCATENATE(Tabla1[[#This Row],[Severidad]]," ",Tabla1[[#This Row],[Complejidad]]),Catalogos!E$120:G$128,3,FALSE),"")</f>
        <v/>
      </c>
      <c r="V4820" s="108" t="str">
        <f>IF(Tabla1[[#This Row],[Tiempo solución max (hrs)]]&lt;&gt;"",IF(Tabla1[[#This Row],[Tiempo solución max (hrs)]]&gt;=Tabla1[[#This Row],[Tiempo
(Hrs 00/100)]],"cumple","no cumple"),"")</f>
        <v/>
      </c>
      <c r="W4820" s="17"/>
      <c r="X4820" s="18">
        <f t="shared" si="265"/>
        <v>0</v>
      </c>
      <c r="Y4820" t="str">
        <f>SUBSTITUTE(Tabla1[[#This Row],[Descripción]],CHAR(10),"    I    ")</f>
        <v/>
      </c>
      <c r="Z4820" s="112" t="e">
        <f>VLOOKUP(Tabla1[[#This Row],[Perfil]],Catalogos!$B$75:$D$100,3,FALSE)*Tabla1[[#This Row],[Tiempo
(Hrs 00/100)]]*1.16</f>
        <v>#N/A</v>
      </c>
    </row>
    <row r="4821" spans="1:26" ht="30" customHeight="1" x14ac:dyDescent="0.3">
      <c r="A4821" s="106"/>
      <c r="B4821" s="106"/>
      <c r="C4821" s="106"/>
      <c r="D4821" s="106"/>
      <c r="E4821" s="106"/>
      <c r="F4821" s="106"/>
      <c r="G4821" s="106"/>
      <c r="H4821" s="107"/>
      <c r="I4821" s="95"/>
      <c r="J4821" s="706"/>
      <c r="K4821" s="769"/>
      <c r="L4821" s="706"/>
      <c r="M4821" s="781"/>
      <c r="N4821" s="182"/>
      <c r="O4821" s="188"/>
      <c r="P4821" s="221"/>
      <c r="Q4821" s="106"/>
      <c r="R4821" s="108"/>
      <c r="S4821" s="108"/>
      <c r="T4821" s="108"/>
      <c r="U4821" s="108" t="str">
        <f>IFERROR(VLOOKUP(CONCATENATE(Tabla1[[#This Row],[Severidad]]," ",Tabla1[[#This Row],[Complejidad]]),Catalogos!E$120:G$128,3,FALSE),"")</f>
        <v/>
      </c>
      <c r="V4821" s="108" t="str">
        <f>IF(Tabla1[[#This Row],[Tiempo solución max (hrs)]]&lt;&gt;"",IF(Tabla1[[#This Row],[Tiempo solución max (hrs)]]&gt;=Tabla1[[#This Row],[Tiempo
(Hrs 00/100)]],"cumple","no cumple"),"")</f>
        <v/>
      </c>
      <c r="W4821" s="17"/>
      <c r="X4821" s="18">
        <f t="shared" si="265"/>
        <v>0</v>
      </c>
      <c r="Y4821" t="str">
        <f>SUBSTITUTE(Tabla1[[#This Row],[Descripción]],CHAR(10),"    I    ")</f>
        <v/>
      </c>
      <c r="Z4821" s="112" t="e">
        <f>VLOOKUP(Tabla1[[#This Row],[Perfil]],Catalogos!$B$75:$D$100,3,FALSE)*Tabla1[[#This Row],[Tiempo
(Hrs 00/100)]]*1.16</f>
        <v>#N/A</v>
      </c>
    </row>
    <row r="4822" spans="1:26" ht="30" customHeight="1" x14ac:dyDescent="0.3">
      <c r="A4822" s="106"/>
      <c r="B4822" s="106"/>
      <c r="C4822" s="106"/>
      <c r="D4822" s="106"/>
      <c r="E4822" s="106"/>
      <c r="F4822" s="106"/>
      <c r="G4822" s="106"/>
      <c r="H4822" s="107"/>
      <c r="I4822" s="95"/>
      <c r="J4822" s="706"/>
      <c r="K4822" s="769"/>
      <c r="L4822" s="706"/>
      <c r="M4822" s="781"/>
      <c r="N4822" s="182"/>
      <c r="O4822" s="188"/>
      <c r="P4822" s="221"/>
      <c r="Q4822" s="106"/>
      <c r="R4822" s="108"/>
      <c r="S4822" s="108"/>
      <c r="T4822" s="108"/>
      <c r="U4822" s="108" t="str">
        <f>IFERROR(VLOOKUP(CONCATENATE(Tabla1[[#This Row],[Severidad]]," ",Tabla1[[#This Row],[Complejidad]]),Catalogos!E$120:G$128,3,FALSE),"")</f>
        <v/>
      </c>
      <c r="V4822" s="108" t="str">
        <f>IF(Tabla1[[#This Row],[Tiempo solución max (hrs)]]&lt;&gt;"",IF(Tabla1[[#This Row],[Tiempo solución max (hrs)]]&gt;=Tabla1[[#This Row],[Tiempo
(Hrs 00/100)]],"cumple","no cumple"),"")</f>
        <v/>
      </c>
      <c r="W4822" s="17"/>
      <c r="X4822" s="18">
        <f t="shared" si="265"/>
        <v>0</v>
      </c>
      <c r="Y4822" t="str">
        <f>SUBSTITUTE(Tabla1[[#This Row],[Descripción]],CHAR(10),"    I    ")</f>
        <v/>
      </c>
      <c r="Z4822" s="112" t="e">
        <f>VLOOKUP(Tabla1[[#This Row],[Perfil]],Catalogos!$B$75:$D$100,3,FALSE)*Tabla1[[#This Row],[Tiempo
(Hrs 00/100)]]*1.16</f>
        <v>#N/A</v>
      </c>
    </row>
    <row r="4823" spans="1:26" ht="30" customHeight="1" x14ac:dyDescent="0.3">
      <c r="A4823" s="106"/>
      <c r="B4823" s="106"/>
      <c r="C4823" s="106"/>
      <c r="D4823" s="106"/>
      <c r="E4823" s="106"/>
      <c r="F4823" s="106"/>
      <c r="G4823" s="106"/>
      <c r="H4823" s="107"/>
      <c r="I4823" s="95"/>
      <c r="J4823" s="706"/>
      <c r="K4823" s="769"/>
      <c r="L4823" s="706"/>
      <c r="M4823" s="781"/>
      <c r="N4823" s="182"/>
      <c r="O4823" s="188"/>
      <c r="P4823" s="221"/>
      <c r="Q4823" s="106"/>
      <c r="R4823" s="108"/>
      <c r="S4823" s="108"/>
      <c r="T4823" s="108"/>
      <c r="U4823" s="108" t="str">
        <f>IFERROR(VLOOKUP(CONCATENATE(Tabla1[[#This Row],[Severidad]]," ",Tabla1[[#This Row],[Complejidad]]),Catalogos!E$120:G$128,3,FALSE),"")</f>
        <v/>
      </c>
      <c r="V4823" s="108" t="str">
        <f>IF(Tabla1[[#This Row],[Tiempo solución max (hrs)]]&lt;&gt;"",IF(Tabla1[[#This Row],[Tiempo solución max (hrs)]]&gt;=Tabla1[[#This Row],[Tiempo
(Hrs 00/100)]],"cumple","no cumple"),"")</f>
        <v/>
      </c>
      <c r="W4823" s="17"/>
      <c r="X4823" s="18">
        <f t="shared" si="265"/>
        <v>0</v>
      </c>
      <c r="Y4823" t="str">
        <f>SUBSTITUTE(Tabla1[[#This Row],[Descripción]],CHAR(10),"    I    ")</f>
        <v/>
      </c>
      <c r="Z4823" s="112" t="e">
        <f>VLOOKUP(Tabla1[[#This Row],[Perfil]],Catalogos!$B$75:$D$100,3,FALSE)*Tabla1[[#This Row],[Tiempo
(Hrs 00/100)]]*1.16</f>
        <v>#N/A</v>
      </c>
    </row>
    <row r="4824" spans="1:26" ht="30" customHeight="1" x14ac:dyDescent="0.3">
      <c r="A4824" s="106"/>
      <c r="B4824" s="106"/>
      <c r="C4824" s="106"/>
      <c r="D4824" s="106"/>
      <c r="E4824" s="106"/>
      <c r="F4824" s="106"/>
      <c r="G4824" s="106"/>
      <c r="H4824" s="107"/>
      <c r="I4824" s="95"/>
      <c r="J4824" s="706"/>
      <c r="K4824" s="769"/>
      <c r="L4824" s="706"/>
      <c r="M4824" s="781"/>
      <c r="N4824" s="182"/>
      <c r="O4824" s="188"/>
      <c r="P4824" s="221"/>
      <c r="Q4824" s="106"/>
      <c r="R4824" s="108"/>
      <c r="S4824" s="108"/>
      <c r="T4824" s="108"/>
      <c r="U4824" s="108" t="str">
        <f>IFERROR(VLOOKUP(CONCATENATE(Tabla1[[#This Row],[Severidad]]," ",Tabla1[[#This Row],[Complejidad]]),Catalogos!E$120:G$128,3,FALSE),"")</f>
        <v/>
      </c>
      <c r="V4824" s="108" t="str">
        <f>IF(Tabla1[[#This Row],[Tiempo solución max (hrs)]]&lt;&gt;"",IF(Tabla1[[#This Row],[Tiempo solución max (hrs)]]&gt;=Tabla1[[#This Row],[Tiempo
(Hrs 00/100)]],"cumple","no cumple"),"")</f>
        <v/>
      </c>
      <c r="W4824" s="17"/>
      <c r="X4824" s="18">
        <f t="shared" si="265"/>
        <v>0</v>
      </c>
      <c r="Y4824" t="str">
        <f>SUBSTITUTE(Tabla1[[#This Row],[Descripción]],CHAR(10),"    I    ")</f>
        <v/>
      </c>
      <c r="Z4824" s="112" t="e">
        <f>VLOOKUP(Tabla1[[#This Row],[Perfil]],Catalogos!$B$75:$D$100,3,FALSE)*Tabla1[[#This Row],[Tiempo
(Hrs 00/100)]]*1.16</f>
        <v>#N/A</v>
      </c>
    </row>
    <row r="4825" spans="1:26" ht="30" customHeight="1" x14ac:dyDescent="0.3">
      <c r="A4825" s="106"/>
      <c r="B4825" s="106"/>
      <c r="C4825" s="106"/>
      <c r="D4825" s="106"/>
      <c r="E4825" s="106"/>
      <c r="F4825" s="106"/>
      <c r="G4825" s="106"/>
      <c r="H4825" s="107"/>
      <c r="I4825" s="95"/>
      <c r="J4825" s="706"/>
      <c r="K4825" s="769"/>
      <c r="L4825" s="706"/>
      <c r="M4825" s="781"/>
      <c r="N4825" s="182"/>
      <c r="O4825" s="188"/>
      <c r="P4825" s="221"/>
      <c r="Q4825" s="106"/>
      <c r="R4825" s="108"/>
      <c r="S4825" s="108"/>
      <c r="T4825" s="108"/>
      <c r="U4825" s="108" t="str">
        <f>IFERROR(VLOOKUP(CONCATENATE(Tabla1[[#This Row],[Severidad]]," ",Tabla1[[#This Row],[Complejidad]]),Catalogos!E$120:G$128,3,FALSE),"")</f>
        <v/>
      </c>
      <c r="V4825" s="108" t="str">
        <f>IF(Tabla1[[#This Row],[Tiempo solución max (hrs)]]&lt;&gt;"",IF(Tabla1[[#This Row],[Tiempo solución max (hrs)]]&gt;=Tabla1[[#This Row],[Tiempo
(Hrs 00/100)]],"cumple","no cumple"),"")</f>
        <v/>
      </c>
      <c r="W4825" s="17"/>
      <c r="X4825" s="18">
        <f t="shared" si="265"/>
        <v>0</v>
      </c>
      <c r="Y4825" t="str">
        <f>SUBSTITUTE(Tabla1[[#This Row],[Descripción]],CHAR(10),"    I    ")</f>
        <v/>
      </c>
      <c r="Z4825" s="112" t="e">
        <f>VLOOKUP(Tabla1[[#This Row],[Perfil]],Catalogos!$B$75:$D$100,3,FALSE)*Tabla1[[#This Row],[Tiempo
(Hrs 00/100)]]*1.16</f>
        <v>#N/A</v>
      </c>
    </row>
    <row r="4826" spans="1:26" ht="30" customHeight="1" x14ac:dyDescent="0.3">
      <c r="A4826" s="106"/>
      <c r="B4826" s="106"/>
      <c r="C4826" s="106"/>
      <c r="D4826" s="106"/>
      <c r="E4826" s="106"/>
      <c r="F4826" s="106"/>
      <c r="G4826" s="106"/>
      <c r="H4826" s="107"/>
      <c r="I4826" s="95"/>
      <c r="J4826" s="706"/>
      <c r="K4826" s="769"/>
      <c r="L4826" s="706"/>
      <c r="M4826" s="781"/>
      <c r="N4826" s="182"/>
      <c r="O4826" s="188"/>
      <c r="P4826" s="221"/>
      <c r="Q4826" s="106"/>
      <c r="R4826" s="108"/>
      <c r="S4826" s="108"/>
      <c r="T4826" s="108"/>
      <c r="U4826" s="108" t="str">
        <f>IFERROR(VLOOKUP(CONCATENATE(Tabla1[[#This Row],[Severidad]]," ",Tabla1[[#This Row],[Complejidad]]),Catalogos!E$120:G$128,3,FALSE),"")</f>
        <v/>
      </c>
      <c r="V4826" s="108" t="str">
        <f>IF(Tabla1[[#This Row],[Tiempo solución max (hrs)]]&lt;&gt;"",IF(Tabla1[[#This Row],[Tiempo solución max (hrs)]]&gt;=Tabla1[[#This Row],[Tiempo
(Hrs 00/100)]],"cumple","no cumple"),"")</f>
        <v/>
      </c>
      <c r="W4826" s="17"/>
      <c r="X4826" s="18">
        <f t="shared" si="265"/>
        <v>0</v>
      </c>
      <c r="Y4826" t="str">
        <f>SUBSTITUTE(Tabla1[[#This Row],[Descripción]],CHAR(10),"    I    ")</f>
        <v/>
      </c>
      <c r="Z4826" s="112" t="e">
        <f>VLOOKUP(Tabla1[[#This Row],[Perfil]],Catalogos!$B$75:$D$100,3,FALSE)*Tabla1[[#This Row],[Tiempo
(Hrs 00/100)]]*1.16</f>
        <v>#N/A</v>
      </c>
    </row>
    <row r="4827" spans="1:26" ht="30" customHeight="1" x14ac:dyDescent="0.3">
      <c r="A4827" s="106"/>
      <c r="B4827" s="106"/>
      <c r="C4827" s="106"/>
      <c r="D4827" s="106"/>
      <c r="E4827" s="106"/>
      <c r="F4827" s="106"/>
      <c r="G4827" s="106"/>
      <c r="H4827" s="107"/>
      <c r="I4827" s="95"/>
      <c r="J4827" s="706"/>
      <c r="K4827" s="769"/>
      <c r="L4827" s="706"/>
      <c r="M4827" s="781"/>
      <c r="N4827" s="182"/>
      <c r="O4827" s="188"/>
      <c r="P4827" s="221"/>
      <c r="Q4827" s="106"/>
      <c r="R4827" s="108"/>
      <c r="S4827" s="108"/>
      <c r="T4827" s="108"/>
      <c r="U4827" s="108" t="str">
        <f>IFERROR(VLOOKUP(CONCATENATE(Tabla1[[#This Row],[Severidad]]," ",Tabla1[[#This Row],[Complejidad]]),Catalogos!E$120:G$128,3,FALSE),"")</f>
        <v/>
      </c>
      <c r="V4827" s="108" t="str">
        <f>IF(Tabla1[[#This Row],[Tiempo solución max (hrs)]]&lt;&gt;"",IF(Tabla1[[#This Row],[Tiempo solución max (hrs)]]&gt;=Tabla1[[#This Row],[Tiempo
(Hrs 00/100)]],"cumple","no cumple"),"")</f>
        <v/>
      </c>
      <c r="W4827" s="17"/>
      <c r="X4827" s="18">
        <f t="shared" si="265"/>
        <v>0</v>
      </c>
      <c r="Y4827" t="str">
        <f>SUBSTITUTE(Tabla1[[#This Row],[Descripción]],CHAR(10),"    I    ")</f>
        <v/>
      </c>
      <c r="Z4827" s="112" t="e">
        <f>VLOOKUP(Tabla1[[#This Row],[Perfil]],Catalogos!$B$75:$D$100,3,FALSE)*Tabla1[[#This Row],[Tiempo
(Hrs 00/100)]]*1.16</f>
        <v>#N/A</v>
      </c>
    </row>
    <row r="4828" spans="1:26" ht="30" customHeight="1" x14ac:dyDescent="0.3">
      <c r="A4828" s="106"/>
      <c r="B4828" s="106"/>
      <c r="C4828" s="106"/>
      <c r="D4828" s="106"/>
      <c r="E4828" s="106"/>
      <c r="F4828" s="106"/>
      <c r="G4828" s="106"/>
      <c r="H4828" s="107"/>
      <c r="I4828" s="95"/>
      <c r="J4828" s="706"/>
      <c r="K4828" s="769"/>
      <c r="L4828" s="706"/>
      <c r="M4828" s="781"/>
      <c r="N4828" s="182"/>
      <c r="O4828" s="188"/>
      <c r="P4828" s="221"/>
      <c r="Q4828" s="106"/>
      <c r="R4828" s="108"/>
      <c r="S4828" s="108"/>
      <c r="T4828" s="108"/>
      <c r="U4828" s="108" t="str">
        <f>IFERROR(VLOOKUP(CONCATENATE(Tabla1[[#This Row],[Severidad]]," ",Tabla1[[#This Row],[Complejidad]]),Catalogos!E$120:G$128,3,FALSE),"")</f>
        <v/>
      </c>
      <c r="V4828" s="108" t="str">
        <f>IF(Tabla1[[#This Row],[Tiempo solución max (hrs)]]&lt;&gt;"",IF(Tabla1[[#This Row],[Tiempo solución max (hrs)]]&gt;=Tabla1[[#This Row],[Tiempo
(Hrs 00/100)]],"cumple","no cumple"),"")</f>
        <v/>
      </c>
      <c r="W4828" s="17"/>
      <c r="X4828" s="18">
        <f t="shared" si="265"/>
        <v>0</v>
      </c>
      <c r="Y4828" t="str">
        <f>SUBSTITUTE(Tabla1[[#This Row],[Descripción]],CHAR(10),"    I    ")</f>
        <v/>
      </c>
      <c r="Z4828" s="112" t="e">
        <f>VLOOKUP(Tabla1[[#This Row],[Perfil]],Catalogos!$B$75:$D$100,3,FALSE)*Tabla1[[#This Row],[Tiempo
(Hrs 00/100)]]*1.16</f>
        <v>#N/A</v>
      </c>
    </row>
    <row r="4829" spans="1:26" ht="30" customHeight="1" x14ac:dyDescent="0.3">
      <c r="A4829" s="106"/>
      <c r="B4829" s="106"/>
      <c r="C4829" s="106"/>
      <c r="D4829" s="106"/>
      <c r="E4829" s="106"/>
      <c r="F4829" s="106"/>
      <c r="G4829" s="106"/>
      <c r="H4829" s="107"/>
      <c r="I4829" s="95"/>
      <c r="J4829" s="706"/>
      <c r="K4829" s="769"/>
      <c r="L4829" s="706"/>
      <c r="M4829" s="781"/>
      <c r="N4829" s="182"/>
      <c r="O4829" s="188"/>
      <c r="P4829" s="221"/>
      <c r="Q4829" s="106"/>
      <c r="R4829" s="108"/>
      <c r="S4829" s="108"/>
      <c r="T4829" s="108"/>
      <c r="U4829" s="108" t="str">
        <f>IFERROR(VLOOKUP(CONCATENATE(Tabla1[[#This Row],[Severidad]]," ",Tabla1[[#This Row],[Complejidad]]),Catalogos!E$120:G$128,3,FALSE),"")</f>
        <v/>
      </c>
      <c r="V4829" s="108" t="str">
        <f>IF(Tabla1[[#This Row],[Tiempo solución max (hrs)]]&lt;&gt;"",IF(Tabla1[[#This Row],[Tiempo solución max (hrs)]]&gt;=Tabla1[[#This Row],[Tiempo
(Hrs 00/100)]],"cumple","no cumple"),"")</f>
        <v/>
      </c>
      <c r="W4829" s="17"/>
      <c r="X4829" s="18">
        <f t="shared" si="265"/>
        <v>0</v>
      </c>
      <c r="Y4829" t="str">
        <f>SUBSTITUTE(Tabla1[[#This Row],[Descripción]],CHAR(10),"    I    ")</f>
        <v/>
      </c>
      <c r="Z4829" s="112" t="e">
        <f>VLOOKUP(Tabla1[[#This Row],[Perfil]],Catalogos!$B$75:$D$100,3,FALSE)*Tabla1[[#This Row],[Tiempo
(Hrs 00/100)]]*1.16</f>
        <v>#N/A</v>
      </c>
    </row>
    <row r="4830" spans="1:26" ht="30" customHeight="1" x14ac:dyDescent="0.3">
      <c r="A4830" s="106"/>
      <c r="B4830" s="106"/>
      <c r="C4830" s="106"/>
      <c r="D4830" s="106"/>
      <c r="E4830" s="106"/>
      <c r="F4830" s="106"/>
      <c r="G4830" s="106"/>
      <c r="H4830" s="107"/>
      <c r="I4830" s="95"/>
      <c r="J4830" s="706"/>
      <c r="K4830" s="769"/>
      <c r="L4830" s="706"/>
      <c r="M4830" s="781"/>
      <c r="N4830" s="182"/>
      <c r="O4830" s="188"/>
      <c r="P4830" s="221"/>
      <c r="Q4830" s="106"/>
      <c r="R4830" s="108"/>
      <c r="S4830" s="108"/>
      <c r="T4830" s="108"/>
      <c r="U4830" s="108" t="str">
        <f>IFERROR(VLOOKUP(CONCATENATE(Tabla1[[#This Row],[Severidad]]," ",Tabla1[[#This Row],[Complejidad]]),Catalogos!E$120:G$128,3,FALSE),"")</f>
        <v/>
      </c>
      <c r="V4830" s="108" t="str">
        <f>IF(Tabla1[[#This Row],[Tiempo solución max (hrs)]]&lt;&gt;"",IF(Tabla1[[#This Row],[Tiempo solución max (hrs)]]&gt;=Tabla1[[#This Row],[Tiempo
(Hrs 00/100)]],"cumple","no cumple"),"")</f>
        <v/>
      </c>
      <c r="W4830" s="17"/>
      <c r="X4830" s="18">
        <f t="shared" si="265"/>
        <v>0</v>
      </c>
      <c r="Y4830" t="str">
        <f>SUBSTITUTE(Tabla1[[#This Row],[Descripción]],CHAR(10),"    I    ")</f>
        <v/>
      </c>
      <c r="Z4830" s="112" t="e">
        <f>VLOOKUP(Tabla1[[#This Row],[Perfil]],Catalogos!$B$75:$D$100,3,FALSE)*Tabla1[[#This Row],[Tiempo
(Hrs 00/100)]]*1.16</f>
        <v>#N/A</v>
      </c>
    </row>
    <row r="4831" spans="1:26" ht="30" customHeight="1" x14ac:dyDescent="0.3">
      <c r="A4831" s="106"/>
      <c r="B4831" s="106"/>
      <c r="C4831" s="106"/>
      <c r="D4831" s="106"/>
      <c r="E4831" s="106"/>
      <c r="F4831" s="106"/>
      <c r="G4831" s="106"/>
      <c r="H4831" s="107"/>
      <c r="I4831" s="95"/>
      <c r="J4831" s="706"/>
      <c r="K4831" s="769"/>
      <c r="L4831" s="706"/>
      <c r="M4831" s="781"/>
      <c r="N4831" s="182"/>
      <c r="O4831" s="188"/>
      <c r="P4831" s="221"/>
      <c r="Q4831" s="106"/>
      <c r="R4831" s="108"/>
      <c r="S4831" s="108"/>
      <c r="T4831" s="108"/>
      <c r="U4831" s="108" t="str">
        <f>IFERROR(VLOOKUP(CONCATENATE(Tabla1[[#This Row],[Severidad]]," ",Tabla1[[#This Row],[Complejidad]]),Catalogos!E$120:G$128,3,FALSE),"")</f>
        <v/>
      </c>
      <c r="V4831" s="108" t="str">
        <f>IF(Tabla1[[#This Row],[Tiempo solución max (hrs)]]&lt;&gt;"",IF(Tabla1[[#This Row],[Tiempo solución max (hrs)]]&gt;=Tabla1[[#This Row],[Tiempo
(Hrs 00/100)]],"cumple","no cumple"),"")</f>
        <v/>
      </c>
      <c r="W4831" s="17"/>
      <c r="X4831" s="18">
        <f t="shared" si="265"/>
        <v>0</v>
      </c>
      <c r="Y4831" t="str">
        <f>SUBSTITUTE(Tabla1[[#This Row],[Descripción]],CHAR(10),"    I    ")</f>
        <v/>
      </c>
      <c r="Z4831" s="112" t="e">
        <f>VLOOKUP(Tabla1[[#This Row],[Perfil]],Catalogos!$B$75:$D$100,3,FALSE)*Tabla1[[#This Row],[Tiempo
(Hrs 00/100)]]*1.16</f>
        <v>#N/A</v>
      </c>
    </row>
    <row r="4832" spans="1:26" ht="30" customHeight="1" x14ac:dyDescent="0.3">
      <c r="A4832" s="106"/>
      <c r="B4832" s="106"/>
      <c r="C4832" s="106"/>
      <c r="D4832" s="106"/>
      <c r="E4832" s="106"/>
      <c r="F4832" s="106"/>
      <c r="G4832" s="106"/>
      <c r="H4832" s="107"/>
      <c r="I4832" s="95"/>
      <c r="J4832" s="706"/>
      <c r="K4832" s="769"/>
      <c r="L4832" s="706"/>
      <c r="M4832" s="781"/>
      <c r="N4832" s="182"/>
      <c r="O4832" s="188"/>
      <c r="P4832" s="221"/>
      <c r="Q4832" s="106"/>
      <c r="R4832" s="108"/>
      <c r="S4832" s="108"/>
      <c r="T4832" s="108"/>
      <c r="U4832" s="108" t="str">
        <f>IFERROR(VLOOKUP(CONCATENATE(Tabla1[[#This Row],[Severidad]]," ",Tabla1[[#This Row],[Complejidad]]),Catalogos!E$120:G$128,3,FALSE),"")</f>
        <v/>
      </c>
      <c r="V4832" s="108" t="str">
        <f>IF(Tabla1[[#This Row],[Tiempo solución max (hrs)]]&lt;&gt;"",IF(Tabla1[[#This Row],[Tiempo solución max (hrs)]]&gt;=Tabla1[[#This Row],[Tiempo
(Hrs 00/100)]],"cumple","no cumple"),"")</f>
        <v/>
      </c>
      <c r="W4832" s="17"/>
      <c r="X4832" s="18">
        <f t="shared" si="265"/>
        <v>0</v>
      </c>
      <c r="Y4832" t="str">
        <f>SUBSTITUTE(Tabla1[[#This Row],[Descripción]],CHAR(10),"    I    ")</f>
        <v/>
      </c>
      <c r="Z4832" s="112" t="e">
        <f>VLOOKUP(Tabla1[[#This Row],[Perfil]],Catalogos!$B$75:$D$100,3,FALSE)*Tabla1[[#This Row],[Tiempo
(Hrs 00/100)]]*1.16</f>
        <v>#N/A</v>
      </c>
    </row>
    <row r="4833" spans="1:26" ht="30" customHeight="1" x14ac:dyDescent="0.3">
      <c r="A4833" s="106"/>
      <c r="B4833" s="106"/>
      <c r="C4833" s="106"/>
      <c r="D4833" s="106"/>
      <c r="E4833" s="106"/>
      <c r="F4833" s="106"/>
      <c r="G4833" s="106"/>
      <c r="H4833" s="107"/>
      <c r="I4833" s="95"/>
      <c r="J4833" s="706"/>
      <c r="K4833" s="769"/>
      <c r="L4833" s="706"/>
      <c r="M4833" s="781"/>
      <c r="N4833" s="182"/>
      <c r="O4833" s="188"/>
      <c r="P4833" s="221"/>
      <c r="Q4833" s="106"/>
      <c r="R4833" s="108"/>
      <c r="S4833" s="108"/>
      <c r="T4833" s="108"/>
      <c r="U4833" s="108" t="str">
        <f>IFERROR(VLOOKUP(CONCATENATE(Tabla1[[#This Row],[Severidad]]," ",Tabla1[[#This Row],[Complejidad]]),Catalogos!E$120:G$128,3,FALSE),"")</f>
        <v/>
      </c>
      <c r="V4833" s="108" t="str">
        <f>IF(Tabla1[[#This Row],[Tiempo solución max (hrs)]]&lt;&gt;"",IF(Tabla1[[#This Row],[Tiempo solución max (hrs)]]&gt;=Tabla1[[#This Row],[Tiempo
(Hrs 00/100)]],"cumple","no cumple"),"")</f>
        <v/>
      </c>
      <c r="W4833" s="17"/>
      <c r="X4833" s="18">
        <f t="shared" si="265"/>
        <v>0</v>
      </c>
      <c r="Y4833" t="str">
        <f>SUBSTITUTE(Tabla1[[#This Row],[Descripción]],CHAR(10),"    I    ")</f>
        <v/>
      </c>
      <c r="Z4833" s="112" t="e">
        <f>VLOOKUP(Tabla1[[#This Row],[Perfil]],Catalogos!$B$75:$D$100,3,FALSE)*Tabla1[[#This Row],[Tiempo
(Hrs 00/100)]]*1.16</f>
        <v>#N/A</v>
      </c>
    </row>
    <row r="4834" spans="1:26" ht="30" customHeight="1" x14ac:dyDescent="0.3">
      <c r="A4834" s="106"/>
      <c r="B4834" s="106"/>
      <c r="C4834" s="106"/>
      <c r="D4834" s="106"/>
      <c r="E4834" s="106"/>
      <c r="F4834" s="106"/>
      <c r="G4834" s="106"/>
      <c r="H4834" s="107"/>
      <c r="I4834" s="95"/>
      <c r="J4834" s="706"/>
      <c r="K4834" s="769"/>
      <c r="L4834" s="706"/>
      <c r="M4834" s="781"/>
      <c r="N4834" s="182"/>
      <c r="O4834" s="188"/>
      <c r="P4834" s="221"/>
      <c r="Q4834" s="106"/>
      <c r="R4834" s="108"/>
      <c r="S4834" s="108"/>
      <c r="T4834" s="108"/>
      <c r="U4834" s="108" t="str">
        <f>IFERROR(VLOOKUP(CONCATENATE(Tabla1[[#This Row],[Severidad]]," ",Tabla1[[#This Row],[Complejidad]]),Catalogos!E$120:G$128,3,FALSE),"")</f>
        <v/>
      </c>
      <c r="V4834" s="108" t="str">
        <f>IF(Tabla1[[#This Row],[Tiempo solución max (hrs)]]&lt;&gt;"",IF(Tabla1[[#This Row],[Tiempo solución max (hrs)]]&gt;=Tabla1[[#This Row],[Tiempo
(Hrs 00/100)]],"cumple","no cumple"),"")</f>
        <v/>
      </c>
      <c r="W4834" s="17"/>
      <c r="X4834" s="18">
        <f t="shared" si="265"/>
        <v>0</v>
      </c>
      <c r="Y4834" t="str">
        <f>SUBSTITUTE(Tabla1[[#This Row],[Descripción]],CHAR(10),"    I    ")</f>
        <v/>
      </c>
      <c r="Z4834" s="112" t="e">
        <f>VLOOKUP(Tabla1[[#This Row],[Perfil]],Catalogos!$B$75:$D$100,3,FALSE)*Tabla1[[#This Row],[Tiempo
(Hrs 00/100)]]*1.16</f>
        <v>#N/A</v>
      </c>
    </row>
    <row r="4835" spans="1:26" ht="30" customHeight="1" x14ac:dyDescent="0.3">
      <c r="A4835" s="106"/>
      <c r="B4835" s="106"/>
      <c r="C4835" s="106"/>
      <c r="D4835" s="106"/>
      <c r="E4835" s="106"/>
      <c r="F4835" s="106"/>
      <c r="G4835" s="106"/>
      <c r="H4835" s="107"/>
      <c r="I4835" s="95"/>
      <c r="J4835" s="706"/>
      <c r="K4835" s="769"/>
      <c r="L4835" s="706"/>
      <c r="M4835" s="781"/>
      <c r="N4835" s="182"/>
      <c r="O4835" s="188"/>
      <c r="P4835" s="221"/>
      <c r="Q4835" s="106"/>
      <c r="R4835" s="108"/>
      <c r="S4835" s="108"/>
      <c r="T4835" s="108"/>
      <c r="U4835" s="108" t="str">
        <f>IFERROR(VLOOKUP(CONCATENATE(Tabla1[[#This Row],[Severidad]]," ",Tabla1[[#This Row],[Complejidad]]),Catalogos!E$120:G$128,3,FALSE),"")</f>
        <v/>
      </c>
      <c r="V4835" s="108" t="str">
        <f>IF(Tabla1[[#This Row],[Tiempo solución max (hrs)]]&lt;&gt;"",IF(Tabla1[[#This Row],[Tiempo solución max (hrs)]]&gt;=Tabla1[[#This Row],[Tiempo
(Hrs 00/100)]],"cumple","no cumple"),"")</f>
        <v/>
      </c>
      <c r="W4835" s="17"/>
      <c r="X4835" s="18">
        <f t="shared" si="265"/>
        <v>0</v>
      </c>
      <c r="Y4835" t="str">
        <f>SUBSTITUTE(Tabla1[[#This Row],[Descripción]],CHAR(10),"    I    ")</f>
        <v/>
      </c>
      <c r="Z4835" s="112" t="e">
        <f>VLOOKUP(Tabla1[[#This Row],[Perfil]],Catalogos!$B$75:$D$100,3,FALSE)*Tabla1[[#This Row],[Tiempo
(Hrs 00/100)]]*1.16</f>
        <v>#N/A</v>
      </c>
    </row>
    <row r="4836" spans="1:26" ht="30" customHeight="1" x14ac:dyDescent="0.3">
      <c r="A4836" s="106"/>
      <c r="B4836" s="106"/>
      <c r="C4836" s="106"/>
      <c r="D4836" s="106"/>
      <c r="E4836" s="106"/>
      <c r="F4836" s="106"/>
      <c r="G4836" s="106"/>
      <c r="H4836" s="107"/>
      <c r="I4836" s="95"/>
      <c r="J4836" s="706"/>
      <c r="K4836" s="769"/>
      <c r="L4836" s="706"/>
      <c r="M4836" s="781"/>
      <c r="N4836" s="182"/>
      <c r="O4836" s="188"/>
      <c r="P4836" s="221"/>
      <c r="Q4836" s="106"/>
      <c r="R4836" s="108"/>
      <c r="S4836" s="108"/>
      <c r="T4836" s="108"/>
      <c r="U4836" s="108" t="str">
        <f>IFERROR(VLOOKUP(CONCATENATE(Tabla1[[#This Row],[Severidad]]," ",Tabla1[[#This Row],[Complejidad]]),Catalogos!E$120:G$128,3,FALSE),"")</f>
        <v/>
      </c>
      <c r="V4836" s="108" t="str">
        <f>IF(Tabla1[[#This Row],[Tiempo solución max (hrs)]]&lt;&gt;"",IF(Tabla1[[#This Row],[Tiempo solución max (hrs)]]&gt;=Tabla1[[#This Row],[Tiempo
(Hrs 00/100)]],"cumple","no cumple"),"")</f>
        <v/>
      </c>
      <c r="W4836" s="17"/>
      <c r="X4836" s="18">
        <f t="shared" si="265"/>
        <v>0</v>
      </c>
      <c r="Y4836" t="str">
        <f>SUBSTITUTE(Tabla1[[#This Row],[Descripción]],CHAR(10),"    I    ")</f>
        <v/>
      </c>
      <c r="Z4836" s="112" t="e">
        <f>VLOOKUP(Tabla1[[#This Row],[Perfil]],Catalogos!$B$75:$D$100,3,FALSE)*Tabla1[[#This Row],[Tiempo
(Hrs 00/100)]]*1.16</f>
        <v>#N/A</v>
      </c>
    </row>
    <row r="4837" spans="1:26" ht="30" customHeight="1" x14ac:dyDescent="0.3">
      <c r="A4837" s="106"/>
      <c r="B4837" s="106"/>
      <c r="C4837" s="106"/>
      <c r="D4837" s="106"/>
      <c r="E4837" s="106"/>
      <c r="F4837" s="106"/>
      <c r="G4837" s="106"/>
      <c r="H4837" s="107"/>
      <c r="I4837" s="95"/>
      <c r="J4837" s="706"/>
      <c r="K4837" s="769"/>
      <c r="L4837" s="706"/>
      <c r="M4837" s="781"/>
      <c r="N4837" s="182"/>
      <c r="O4837" s="188"/>
      <c r="P4837" s="221"/>
      <c r="Q4837" s="106"/>
      <c r="R4837" s="108"/>
      <c r="S4837" s="108"/>
      <c r="T4837" s="108"/>
      <c r="U4837" s="108" t="str">
        <f>IFERROR(VLOOKUP(CONCATENATE(Tabla1[[#This Row],[Severidad]]," ",Tabla1[[#This Row],[Complejidad]]),Catalogos!E$120:G$128,3,FALSE),"")</f>
        <v/>
      </c>
      <c r="V4837" s="108" t="str">
        <f>IF(Tabla1[[#This Row],[Tiempo solución max (hrs)]]&lt;&gt;"",IF(Tabla1[[#This Row],[Tiempo solución max (hrs)]]&gt;=Tabla1[[#This Row],[Tiempo
(Hrs 00/100)]],"cumple","no cumple"),"")</f>
        <v/>
      </c>
      <c r="W4837" s="17"/>
      <c r="X4837" s="18">
        <f t="shared" si="265"/>
        <v>0</v>
      </c>
      <c r="Y4837" t="str">
        <f>SUBSTITUTE(Tabla1[[#This Row],[Descripción]],CHAR(10),"    I    ")</f>
        <v/>
      </c>
      <c r="Z4837" s="112" t="e">
        <f>VLOOKUP(Tabla1[[#This Row],[Perfil]],Catalogos!$B$75:$D$100,3,FALSE)*Tabla1[[#This Row],[Tiempo
(Hrs 00/100)]]*1.16</f>
        <v>#N/A</v>
      </c>
    </row>
    <row r="4838" spans="1:26" ht="30" customHeight="1" x14ac:dyDescent="0.3">
      <c r="A4838" s="106"/>
      <c r="B4838" s="106"/>
      <c r="C4838" s="106"/>
      <c r="D4838" s="106"/>
      <c r="E4838" s="106"/>
      <c r="F4838" s="106"/>
      <c r="G4838" s="106"/>
      <c r="H4838" s="107"/>
      <c r="I4838" s="95"/>
      <c r="J4838" s="706"/>
      <c r="K4838" s="769"/>
      <c r="L4838" s="706"/>
      <c r="M4838" s="781"/>
      <c r="N4838" s="182"/>
      <c r="O4838" s="188"/>
      <c r="P4838" s="221"/>
      <c r="Q4838" s="106"/>
      <c r="R4838" s="108"/>
      <c r="S4838" s="108"/>
      <c r="T4838" s="108"/>
      <c r="U4838" s="108" t="str">
        <f>IFERROR(VLOOKUP(CONCATENATE(Tabla1[[#This Row],[Severidad]]," ",Tabla1[[#This Row],[Complejidad]]),Catalogos!E$120:G$128,3,FALSE),"")</f>
        <v/>
      </c>
      <c r="V4838" s="108" t="str">
        <f>IF(Tabla1[[#This Row],[Tiempo solución max (hrs)]]&lt;&gt;"",IF(Tabla1[[#This Row],[Tiempo solución max (hrs)]]&gt;=Tabla1[[#This Row],[Tiempo
(Hrs 00/100)]],"cumple","no cumple"),"")</f>
        <v/>
      </c>
      <c r="W4838" s="17"/>
      <c r="X4838" s="18">
        <f t="shared" si="265"/>
        <v>0</v>
      </c>
      <c r="Y4838" t="str">
        <f>SUBSTITUTE(Tabla1[[#This Row],[Descripción]],CHAR(10),"    I    ")</f>
        <v/>
      </c>
      <c r="Z4838" s="112" t="e">
        <f>VLOOKUP(Tabla1[[#This Row],[Perfil]],Catalogos!$B$75:$D$100,3,FALSE)*Tabla1[[#This Row],[Tiempo
(Hrs 00/100)]]*1.16</f>
        <v>#N/A</v>
      </c>
    </row>
    <row r="4839" spans="1:26" ht="30" customHeight="1" x14ac:dyDescent="0.3">
      <c r="A4839" s="106"/>
      <c r="B4839" s="106"/>
      <c r="C4839" s="106"/>
      <c r="D4839" s="106"/>
      <c r="E4839" s="106"/>
      <c r="F4839" s="106"/>
      <c r="G4839" s="106"/>
      <c r="H4839" s="107"/>
      <c r="I4839" s="95"/>
      <c r="J4839" s="706"/>
      <c r="K4839" s="769"/>
      <c r="L4839" s="706"/>
      <c r="M4839" s="781"/>
      <c r="N4839" s="182"/>
      <c r="O4839" s="188"/>
      <c r="P4839" s="221"/>
      <c r="Q4839" s="106"/>
      <c r="R4839" s="108"/>
      <c r="S4839" s="108"/>
      <c r="T4839" s="108"/>
      <c r="U4839" s="108" t="str">
        <f>IFERROR(VLOOKUP(CONCATENATE(Tabla1[[#This Row],[Severidad]]," ",Tabla1[[#This Row],[Complejidad]]),Catalogos!E$120:G$128,3,FALSE),"")</f>
        <v/>
      </c>
      <c r="V4839" s="108" t="str">
        <f>IF(Tabla1[[#This Row],[Tiempo solución max (hrs)]]&lt;&gt;"",IF(Tabla1[[#This Row],[Tiempo solución max (hrs)]]&gt;=Tabla1[[#This Row],[Tiempo
(Hrs 00/100)]],"cumple","no cumple"),"")</f>
        <v/>
      </c>
      <c r="W4839" s="17"/>
      <c r="X4839" s="18">
        <f t="shared" si="265"/>
        <v>0</v>
      </c>
      <c r="Y4839" t="str">
        <f>SUBSTITUTE(Tabla1[[#This Row],[Descripción]],CHAR(10),"    I    ")</f>
        <v/>
      </c>
      <c r="Z4839" s="112" t="e">
        <f>VLOOKUP(Tabla1[[#This Row],[Perfil]],Catalogos!$B$75:$D$100,3,FALSE)*Tabla1[[#This Row],[Tiempo
(Hrs 00/100)]]*1.16</f>
        <v>#N/A</v>
      </c>
    </row>
    <row r="4840" spans="1:26" ht="30" customHeight="1" x14ac:dyDescent="0.3">
      <c r="A4840" s="106"/>
      <c r="B4840" s="106"/>
      <c r="C4840" s="106"/>
      <c r="D4840" s="106"/>
      <c r="E4840" s="106"/>
      <c r="F4840" s="106"/>
      <c r="G4840" s="106"/>
      <c r="H4840" s="107"/>
      <c r="I4840" s="95"/>
      <c r="J4840" s="706"/>
      <c r="K4840" s="769"/>
      <c r="L4840" s="706"/>
      <c r="M4840" s="781"/>
      <c r="N4840" s="182"/>
      <c r="O4840" s="188"/>
      <c r="P4840" s="221"/>
      <c r="Q4840" s="106"/>
      <c r="R4840" s="108"/>
      <c r="S4840" s="108"/>
      <c r="T4840" s="108"/>
      <c r="U4840" s="108" t="str">
        <f>IFERROR(VLOOKUP(CONCATENATE(Tabla1[[#This Row],[Severidad]]," ",Tabla1[[#This Row],[Complejidad]]),Catalogos!E$120:G$128,3,FALSE),"")</f>
        <v/>
      </c>
      <c r="V4840" s="108" t="str">
        <f>IF(Tabla1[[#This Row],[Tiempo solución max (hrs)]]&lt;&gt;"",IF(Tabla1[[#This Row],[Tiempo solución max (hrs)]]&gt;=Tabla1[[#This Row],[Tiempo
(Hrs 00/100)]],"cumple","no cumple"),"")</f>
        <v/>
      </c>
      <c r="W4840" s="17"/>
      <c r="X4840" s="18">
        <f t="shared" si="265"/>
        <v>0</v>
      </c>
      <c r="Y4840" t="str">
        <f>SUBSTITUTE(Tabla1[[#This Row],[Descripción]],CHAR(10),"    I    ")</f>
        <v/>
      </c>
      <c r="Z4840" s="112" t="e">
        <f>VLOOKUP(Tabla1[[#This Row],[Perfil]],Catalogos!$B$75:$D$100,3,FALSE)*Tabla1[[#This Row],[Tiempo
(Hrs 00/100)]]*1.16</f>
        <v>#N/A</v>
      </c>
    </row>
    <row r="4841" spans="1:26" ht="30" customHeight="1" x14ac:dyDescent="0.3">
      <c r="A4841" s="106"/>
      <c r="B4841" s="106"/>
      <c r="C4841" s="106"/>
      <c r="D4841" s="106"/>
      <c r="E4841" s="106"/>
      <c r="F4841" s="106"/>
      <c r="G4841" s="106"/>
      <c r="H4841" s="107"/>
      <c r="I4841" s="95"/>
      <c r="J4841" s="706"/>
      <c r="K4841" s="769"/>
      <c r="L4841" s="706"/>
      <c r="M4841" s="781"/>
      <c r="N4841" s="182"/>
      <c r="O4841" s="188"/>
      <c r="P4841" s="221"/>
      <c r="Q4841" s="106"/>
      <c r="R4841" s="108"/>
      <c r="S4841" s="108"/>
      <c r="T4841" s="108"/>
      <c r="U4841" s="108" t="str">
        <f>IFERROR(VLOOKUP(CONCATENATE(Tabla1[[#This Row],[Severidad]]," ",Tabla1[[#This Row],[Complejidad]]),Catalogos!E$120:G$128,3,FALSE),"")</f>
        <v/>
      </c>
      <c r="V4841" s="108" t="str">
        <f>IF(Tabla1[[#This Row],[Tiempo solución max (hrs)]]&lt;&gt;"",IF(Tabla1[[#This Row],[Tiempo solución max (hrs)]]&gt;=Tabla1[[#This Row],[Tiempo
(Hrs 00/100)]],"cumple","no cumple"),"")</f>
        <v/>
      </c>
      <c r="W4841" s="17"/>
      <c r="X4841" s="18">
        <f t="shared" si="265"/>
        <v>0</v>
      </c>
      <c r="Y4841" t="str">
        <f>SUBSTITUTE(Tabla1[[#This Row],[Descripción]],CHAR(10),"    I    ")</f>
        <v/>
      </c>
      <c r="Z4841" s="112" t="e">
        <f>VLOOKUP(Tabla1[[#This Row],[Perfil]],Catalogos!$B$75:$D$100,3,FALSE)*Tabla1[[#This Row],[Tiempo
(Hrs 00/100)]]*1.16</f>
        <v>#N/A</v>
      </c>
    </row>
    <row r="4842" spans="1:26" ht="30" customHeight="1" x14ac:dyDescent="0.3">
      <c r="A4842" s="106"/>
      <c r="B4842" s="106"/>
      <c r="C4842" s="106"/>
      <c r="D4842" s="106"/>
      <c r="E4842" s="106"/>
      <c r="F4842" s="106"/>
      <c r="G4842" s="106"/>
      <c r="H4842" s="107"/>
      <c r="I4842" s="95"/>
      <c r="J4842" s="706"/>
      <c r="K4842" s="769"/>
      <c r="L4842" s="706"/>
      <c r="M4842" s="781"/>
      <c r="N4842" s="182"/>
      <c r="O4842" s="188"/>
      <c r="P4842" s="221"/>
      <c r="Q4842" s="106"/>
      <c r="R4842" s="108"/>
      <c r="S4842" s="108"/>
      <c r="T4842" s="108"/>
      <c r="U4842" s="108" t="str">
        <f>IFERROR(VLOOKUP(CONCATENATE(Tabla1[[#This Row],[Severidad]]," ",Tabla1[[#This Row],[Complejidad]]),Catalogos!E$120:G$128,3,FALSE),"")</f>
        <v/>
      </c>
      <c r="V4842" s="108" t="str">
        <f>IF(Tabla1[[#This Row],[Tiempo solución max (hrs)]]&lt;&gt;"",IF(Tabla1[[#This Row],[Tiempo solución max (hrs)]]&gt;=Tabla1[[#This Row],[Tiempo
(Hrs 00/100)]],"cumple","no cumple"),"")</f>
        <v/>
      </c>
      <c r="W4842" s="17"/>
      <c r="X4842" s="18">
        <f t="shared" si="265"/>
        <v>0</v>
      </c>
      <c r="Y4842" t="str">
        <f>SUBSTITUTE(Tabla1[[#This Row],[Descripción]],CHAR(10),"    I    ")</f>
        <v/>
      </c>
      <c r="Z4842" s="112" t="e">
        <f>VLOOKUP(Tabla1[[#This Row],[Perfil]],Catalogos!$B$75:$D$100,3,FALSE)*Tabla1[[#This Row],[Tiempo
(Hrs 00/100)]]*1.16</f>
        <v>#N/A</v>
      </c>
    </row>
    <row r="4843" spans="1:26" ht="30" customHeight="1" x14ac:dyDescent="0.3">
      <c r="A4843" s="106"/>
      <c r="B4843" s="106"/>
      <c r="C4843" s="106"/>
      <c r="D4843" s="106"/>
      <c r="E4843" s="106"/>
      <c r="F4843" s="106"/>
      <c r="G4843" s="106"/>
      <c r="H4843" s="107"/>
      <c r="I4843" s="95"/>
      <c r="J4843" s="706"/>
      <c r="K4843" s="769"/>
      <c r="L4843" s="706"/>
      <c r="M4843" s="781"/>
      <c r="N4843" s="182"/>
      <c r="O4843" s="188"/>
      <c r="P4843" s="221"/>
      <c r="Q4843" s="106"/>
      <c r="R4843" s="108"/>
      <c r="S4843" s="108"/>
      <c r="T4843" s="108"/>
      <c r="U4843" s="108" t="str">
        <f>IFERROR(VLOOKUP(CONCATENATE(Tabla1[[#This Row],[Severidad]]," ",Tabla1[[#This Row],[Complejidad]]),Catalogos!E$120:G$128,3,FALSE),"")</f>
        <v/>
      </c>
      <c r="V4843" s="108" t="str">
        <f>IF(Tabla1[[#This Row],[Tiempo solución max (hrs)]]&lt;&gt;"",IF(Tabla1[[#This Row],[Tiempo solución max (hrs)]]&gt;=Tabla1[[#This Row],[Tiempo
(Hrs 00/100)]],"cumple","no cumple"),"")</f>
        <v/>
      </c>
      <c r="W4843" s="17"/>
      <c r="X4843" s="18">
        <f t="shared" si="265"/>
        <v>0</v>
      </c>
      <c r="Y4843" t="str">
        <f>SUBSTITUTE(Tabla1[[#This Row],[Descripción]],CHAR(10),"    I    ")</f>
        <v/>
      </c>
      <c r="Z4843" s="112" t="e">
        <f>VLOOKUP(Tabla1[[#This Row],[Perfil]],Catalogos!$B$75:$D$100,3,FALSE)*Tabla1[[#This Row],[Tiempo
(Hrs 00/100)]]*1.16</f>
        <v>#N/A</v>
      </c>
    </row>
    <row r="4844" spans="1:26" ht="30" customHeight="1" x14ac:dyDescent="0.3">
      <c r="A4844" s="106"/>
      <c r="B4844" s="106"/>
      <c r="C4844" s="106"/>
      <c r="D4844" s="106"/>
      <c r="E4844" s="106"/>
      <c r="F4844" s="106"/>
      <c r="G4844" s="106"/>
      <c r="H4844" s="107"/>
      <c r="I4844" s="95"/>
      <c r="J4844" s="706"/>
      <c r="K4844" s="769"/>
      <c r="L4844" s="706"/>
      <c r="M4844" s="781"/>
      <c r="N4844" s="182"/>
      <c r="O4844" s="188"/>
      <c r="P4844" s="221"/>
      <c r="Q4844" s="106"/>
      <c r="R4844" s="108"/>
      <c r="S4844" s="108"/>
      <c r="T4844" s="108"/>
      <c r="U4844" s="108" t="str">
        <f>IFERROR(VLOOKUP(CONCATENATE(Tabla1[[#This Row],[Severidad]]," ",Tabla1[[#This Row],[Complejidad]]),Catalogos!E$120:G$128,3,FALSE),"")</f>
        <v/>
      </c>
      <c r="V4844" s="108" t="str">
        <f>IF(Tabla1[[#This Row],[Tiempo solución max (hrs)]]&lt;&gt;"",IF(Tabla1[[#This Row],[Tiempo solución max (hrs)]]&gt;=Tabla1[[#This Row],[Tiempo
(Hrs 00/100)]],"cumple","no cumple"),"")</f>
        <v/>
      </c>
      <c r="W4844" s="17"/>
      <c r="X4844" s="18">
        <f t="shared" si="265"/>
        <v>0</v>
      </c>
      <c r="Y4844" t="str">
        <f>SUBSTITUTE(Tabla1[[#This Row],[Descripción]],CHAR(10),"    I    ")</f>
        <v/>
      </c>
      <c r="Z4844" s="112" t="e">
        <f>VLOOKUP(Tabla1[[#This Row],[Perfil]],Catalogos!$B$75:$D$100,3,FALSE)*Tabla1[[#This Row],[Tiempo
(Hrs 00/100)]]*1.16</f>
        <v>#N/A</v>
      </c>
    </row>
    <row r="4845" spans="1:26" ht="30" customHeight="1" x14ac:dyDescent="0.3">
      <c r="A4845" s="106"/>
      <c r="B4845" s="106"/>
      <c r="C4845" s="106"/>
      <c r="D4845" s="106"/>
      <c r="E4845" s="106"/>
      <c r="F4845" s="106"/>
      <c r="G4845" s="106"/>
      <c r="H4845" s="107"/>
      <c r="I4845" s="95"/>
      <c r="J4845" s="706"/>
      <c r="K4845" s="769"/>
      <c r="L4845" s="706"/>
      <c r="M4845" s="781"/>
      <c r="N4845" s="182"/>
      <c r="O4845" s="188"/>
      <c r="P4845" s="221"/>
      <c r="Q4845" s="106"/>
      <c r="R4845" s="108"/>
      <c r="S4845" s="108"/>
      <c r="T4845" s="108"/>
      <c r="U4845" s="108" t="str">
        <f>IFERROR(VLOOKUP(CONCATENATE(Tabla1[[#This Row],[Severidad]]," ",Tabla1[[#This Row],[Complejidad]]),Catalogos!E$120:G$128,3,FALSE),"")</f>
        <v/>
      </c>
      <c r="V4845" s="108" t="str">
        <f>IF(Tabla1[[#This Row],[Tiempo solución max (hrs)]]&lt;&gt;"",IF(Tabla1[[#This Row],[Tiempo solución max (hrs)]]&gt;=Tabla1[[#This Row],[Tiempo
(Hrs 00/100)]],"cumple","no cumple"),"")</f>
        <v/>
      </c>
      <c r="W4845" s="17"/>
      <c r="X4845" s="18">
        <f t="shared" si="265"/>
        <v>0</v>
      </c>
      <c r="Y4845" t="str">
        <f>SUBSTITUTE(Tabla1[[#This Row],[Descripción]],CHAR(10),"    I    ")</f>
        <v/>
      </c>
      <c r="Z4845" s="112" t="e">
        <f>VLOOKUP(Tabla1[[#This Row],[Perfil]],Catalogos!$B$75:$D$100,3,FALSE)*Tabla1[[#This Row],[Tiempo
(Hrs 00/100)]]*1.16</f>
        <v>#N/A</v>
      </c>
    </row>
    <row r="4846" spans="1:26" ht="30" customHeight="1" x14ac:dyDescent="0.3">
      <c r="A4846" s="106"/>
      <c r="B4846" s="106"/>
      <c r="C4846" s="106"/>
      <c r="D4846" s="106"/>
      <c r="E4846" s="106"/>
      <c r="F4846" s="106"/>
      <c r="G4846" s="106"/>
      <c r="H4846" s="107"/>
      <c r="I4846" s="95"/>
      <c r="J4846" s="706"/>
      <c r="K4846" s="769"/>
      <c r="L4846" s="706"/>
      <c r="M4846" s="781"/>
      <c r="N4846" s="182"/>
      <c r="O4846" s="188"/>
      <c r="P4846" s="221"/>
      <c r="Q4846" s="106"/>
      <c r="R4846" s="108"/>
      <c r="S4846" s="108"/>
      <c r="T4846" s="108"/>
      <c r="U4846" s="108" t="str">
        <f>IFERROR(VLOOKUP(CONCATENATE(Tabla1[[#This Row],[Severidad]]," ",Tabla1[[#This Row],[Complejidad]]),Catalogos!E$120:G$128,3,FALSE),"")</f>
        <v/>
      </c>
      <c r="V4846" s="108" t="str">
        <f>IF(Tabla1[[#This Row],[Tiempo solución max (hrs)]]&lt;&gt;"",IF(Tabla1[[#This Row],[Tiempo solución max (hrs)]]&gt;=Tabla1[[#This Row],[Tiempo
(Hrs 00/100)]],"cumple","no cumple"),"")</f>
        <v/>
      </c>
      <c r="W4846" s="17"/>
      <c r="X4846" s="18">
        <f t="shared" si="265"/>
        <v>0</v>
      </c>
      <c r="Y4846" t="str">
        <f>SUBSTITUTE(Tabla1[[#This Row],[Descripción]],CHAR(10),"    I    ")</f>
        <v/>
      </c>
      <c r="Z4846" s="112" t="e">
        <f>VLOOKUP(Tabla1[[#This Row],[Perfil]],Catalogos!$B$75:$D$100,3,FALSE)*Tabla1[[#This Row],[Tiempo
(Hrs 00/100)]]*1.16</f>
        <v>#N/A</v>
      </c>
    </row>
    <row r="4847" spans="1:26" ht="30" customHeight="1" x14ac:dyDescent="0.3">
      <c r="A4847" s="106"/>
      <c r="B4847" s="106"/>
      <c r="C4847" s="106"/>
      <c r="D4847" s="106"/>
      <c r="E4847" s="106"/>
      <c r="F4847" s="106"/>
      <c r="G4847" s="106"/>
      <c r="H4847" s="107"/>
      <c r="I4847" s="95"/>
      <c r="J4847" s="706"/>
      <c r="K4847" s="769"/>
      <c r="L4847" s="706"/>
      <c r="M4847" s="781"/>
      <c r="N4847" s="182"/>
      <c r="O4847" s="188"/>
      <c r="P4847" s="221"/>
      <c r="Q4847" s="106"/>
      <c r="R4847" s="108"/>
      <c r="S4847" s="108"/>
      <c r="T4847" s="108"/>
      <c r="U4847" s="108" t="str">
        <f>IFERROR(VLOOKUP(CONCATENATE(Tabla1[[#This Row],[Severidad]]," ",Tabla1[[#This Row],[Complejidad]]),Catalogos!E$120:G$128,3,FALSE),"")</f>
        <v/>
      </c>
      <c r="V4847" s="108" t="str">
        <f>IF(Tabla1[[#This Row],[Tiempo solución max (hrs)]]&lt;&gt;"",IF(Tabla1[[#This Row],[Tiempo solución max (hrs)]]&gt;=Tabla1[[#This Row],[Tiempo
(Hrs 00/100)]],"cumple","no cumple"),"")</f>
        <v/>
      </c>
      <c r="W4847" s="17"/>
      <c r="X4847" s="18">
        <f t="shared" si="265"/>
        <v>0</v>
      </c>
      <c r="Y4847" t="str">
        <f>SUBSTITUTE(Tabla1[[#This Row],[Descripción]],CHAR(10),"    I    ")</f>
        <v/>
      </c>
      <c r="Z4847" s="112" t="e">
        <f>VLOOKUP(Tabla1[[#This Row],[Perfil]],Catalogos!$B$75:$D$100,3,FALSE)*Tabla1[[#This Row],[Tiempo
(Hrs 00/100)]]*1.16</f>
        <v>#N/A</v>
      </c>
    </row>
    <row r="4848" spans="1:26" ht="30" customHeight="1" x14ac:dyDescent="0.3">
      <c r="A4848" s="106"/>
      <c r="B4848" s="106"/>
      <c r="C4848" s="106"/>
      <c r="D4848" s="106"/>
      <c r="E4848" s="106"/>
      <c r="F4848" s="106"/>
      <c r="G4848" s="106"/>
      <c r="H4848" s="107"/>
      <c r="I4848" s="95"/>
      <c r="J4848" s="706"/>
      <c r="K4848" s="769"/>
      <c r="L4848" s="706"/>
      <c r="M4848" s="781"/>
      <c r="N4848" s="182"/>
      <c r="O4848" s="188"/>
      <c r="P4848" s="221"/>
      <c r="Q4848" s="106"/>
      <c r="R4848" s="108"/>
      <c r="S4848" s="108"/>
      <c r="T4848" s="108"/>
      <c r="U4848" s="108" t="str">
        <f>IFERROR(VLOOKUP(CONCATENATE(Tabla1[[#This Row],[Severidad]]," ",Tabla1[[#This Row],[Complejidad]]),Catalogos!E$120:G$128,3,FALSE),"")</f>
        <v/>
      </c>
      <c r="V4848" s="108" t="str">
        <f>IF(Tabla1[[#This Row],[Tiempo solución max (hrs)]]&lt;&gt;"",IF(Tabla1[[#This Row],[Tiempo solución max (hrs)]]&gt;=Tabla1[[#This Row],[Tiempo
(Hrs 00/100)]],"cumple","no cumple"),"")</f>
        <v/>
      </c>
      <c r="W4848" s="17"/>
      <c r="X4848" s="18">
        <f t="shared" si="265"/>
        <v>0</v>
      </c>
      <c r="Y4848" t="str">
        <f>SUBSTITUTE(Tabla1[[#This Row],[Descripción]],CHAR(10),"    I    ")</f>
        <v/>
      </c>
      <c r="Z4848" s="112" t="e">
        <f>VLOOKUP(Tabla1[[#This Row],[Perfil]],Catalogos!$B$75:$D$100,3,FALSE)*Tabla1[[#This Row],[Tiempo
(Hrs 00/100)]]*1.16</f>
        <v>#N/A</v>
      </c>
    </row>
    <row r="4849" spans="1:26" ht="30" customHeight="1" x14ac:dyDescent="0.3">
      <c r="A4849" s="106"/>
      <c r="B4849" s="106"/>
      <c r="C4849" s="106"/>
      <c r="D4849" s="106"/>
      <c r="E4849" s="106"/>
      <c r="F4849" s="106"/>
      <c r="G4849" s="106"/>
      <c r="H4849" s="107"/>
      <c r="I4849" s="95"/>
      <c r="J4849" s="706"/>
      <c r="K4849" s="769"/>
      <c r="L4849" s="706"/>
      <c r="M4849" s="781"/>
      <c r="N4849" s="182"/>
      <c r="O4849" s="188"/>
      <c r="P4849" s="221"/>
      <c r="Q4849" s="106"/>
      <c r="R4849" s="108"/>
      <c r="S4849" s="108"/>
      <c r="T4849" s="108"/>
      <c r="U4849" s="108" t="str">
        <f>IFERROR(VLOOKUP(CONCATENATE(Tabla1[[#This Row],[Severidad]]," ",Tabla1[[#This Row],[Complejidad]]),Catalogos!E$120:G$128,3,FALSE),"")</f>
        <v/>
      </c>
      <c r="V4849" s="108" t="str">
        <f>IF(Tabla1[[#This Row],[Tiempo solución max (hrs)]]&lt;&gt;"",IF(Tabla1[[#This Row],[Tiempo solución max (hrs)]]&gt;=Tabla1[[#This Row],[Tiempo
(Hrs 00/100)]],"cumple","no cumple"),"")</f>
        <v/>
      </c>
      <c r="W4849" s="17"/>
      <c r="X4849" s="18">
        <f t="shared" si="265"/>
        <v>0</v>
      </c>
      <c r="Y4849" t="str">
        <f>SUBSTITUTE(Tabla1[[#This Row],[Descripción]],CHAR(10),"    I    ")</f>
        <v/>
      </c>
      <c r="Z4849" s="112" t="e">
        <f>VLOOKUP(Tabla1[[#This Row],[Perfil]],Catalogos!$B$75:$D$100,3,FALSE)*Tabla1[[#This Row],[Tiempo
(Hrs 00/100)]]*1.16</f>
        <v>#N/A</v>
      </c>
    </row>
    <row r="4850" spans="1:26" ht="30" customHeight="1" x14ac:dyDescent="0.3">
      <c r="A4850" s="106"/>
      <c r="B4850" s="106"/>
      <c r="C4850" s="106"/>
      <c r="D4850" s="106"/>
      <c r="E4850" s="106"/>
      <c r="F4850" s="106"/>
      <c r="G4850" s="106"/>
      <c r="H4850" s="107"/>
      <c r="I4850" s="95"/>
      <c r="J4850" s="706"/>
      <c r="K4850" s="769"/>
      <c r="L4850" s="706"/>
      <c r="M4850" s="781"/>
      <c r="N4850" s="182"/>
      <c r="O4850" s="188"/>
      <c r="P4850" s="221"/>
      <c r="Q4850" s="106"/>
      <c r="R4850" s="108"/>
      <c r="S4850" s="108"/>
      <c r="T4850" s="108"/>
      <c r="U4850" s="108" t="str">
        <f>IFERROR(VLOOKUP(CONCATENATE(Tabla1[[#This Row],[Severidad]]," ",Tabla1[[#This Row],[Complejidad]]),Catalogos!E$120:G$128,3,FALSE),"")</f>
        <v/>
      </c>
      <c r="V4850" s="108" t="str">
        <f>IF(Tabla1[[#This Row],[Tiempo solución max (hrs)]]&lt;&gt;"",IF(Tabla1[[#This Row],[Tiempo solución max (hrs)]]&gt;=Tabla1[[#This Row],[Tiempo
(Hrs 00/100)]],"cumple","no cumple"),"")</f>
        <v/>
      </c>
      <c r="W4850" s="17"/>
      <c r="X4850" s="18">
        <f t="shared" si="265"/>
        <v>0</v>
      </c>
      <c r="Y4850" t="str">
        <f>SUBSTITUTE(Tabla1[[#This Row],[Descripción]],CHAR(10),"    I    ")</f>
        <v/>
      </c>
      <c r="Z4850" s="112" t="e">
        <f>VLOOKUP(Tabla1[[#This Row],[Perfil]],Catalogos!$B$75:$D$100,3,FALSE)*Tabla1[[#This Row],[Tiempo
(Hrs 00/100)]]*1.16</f>
        <v>#N/A</v>
      </c>
    </row>
    <row r="4851" spans="1:26" ht="30" customHeight="1" x14ac:dyDescent="0.3">
      <c r="A4851" s="106"/>
      <c r="B4851" s="106"/>
      <c r="C4851" s="106"/>
      <c r="D4851" s="106"/>
      <c r="E4851" s="106"/>
      <c r="F4851" s="106"/>
      <c r="G4851" s="106"/>
      <c r="H4851" s="107"/>
      <c r="I4851" s="95"/>
      <c r="J4851" s="706"/>
      <c r="K4851" s="769"/>
      <c r="L4851" s="706"/>
      <c r="M4851" s="781"/>
      <c r="N4851" s="182"/>
      <c r="O4851" s="188"/>
      <c r="P4851" s="221"/>
      <c r="Q4851" s="106"/>
      <c r="R4851" s="108"/>
      <c r="S4851" s="108"/>
      <c r="T4851" s="108"/>
      <c r="U4851" s="108" t="str">
        <f>IFERROR(VLOOKUP(CONCATENATE(Tabla1[[#This Row],[Severidad]]," ",Tabla1[[#This Row],[Complejidad]]),Catalogos!E$120:G$128,3,FALSE),"")</f>
        <v/>
      </c>
      <c r="V4851" s="108" t="str">
        <f>IF(Tabla1[[#This Row],[Tiempo solución max (hrs)]]&lt;&gt;"",IF(Tabla1[[#This Row],[Tiempo solución max (hrs)]]&gt;=Tabla1[[#This Row],[Tiempo
(Hrs 00/100)]],"cumple","no cumple"),"")</f>
        <v/>
      </c>
      <c r="W4851" s="17"/>
      <c r="X4851" s="18">
        <f t="shared" si="265"/>
        <v>0</v>
      </c>
      <c r="Y4851" t="str">
        <f>SUBSTITUTE(Tabla1[[#This Row],[Descripción]],CHAR(10),"    I    ")</f>
        <v/>
      </c>
      <c r="Z4851" s="112" t="e">
        <f>VLOOKUP(Tabla1[[#This Row],[Perfil]],Catalogos!$B$75:$D$100,3,FALSE)*Tabla1[[#This Row],[Tiempo
(Hrs 00/100)]]*1.16</f>
        <v>#N/A</v>
      </c>
    </row>
    <row r="4852" spans="1:26" ht="30" customHeight="1" x14ac:dyDescent="0.3">
      <c r="A4852" s="106"/>
      <c r="B4852" s="106"/>
      <c r="C4852" s="106"/>
      <c r="D4852" s="106"/>
      <c r="E4852" s="106"/>
      <c r="F4852" s="106"/>
      <c r="G4852" s="106"/>
      <c r="H4852" s="107"/>
      <c r="I4852" s="95"/>
      <c r="J4852" s="706"/>
      <c r="K4852" s="769"/>
      <c r="L4852" s="706"/>
      <c r="M4852" s="781"/>
      <c r="N4852" s="182"/>
      <c r="O4852" s="188"/>
      <c r="P4852" s="221"/>
      <c r="Q4852" s="106"/>
      <c r="R4852" s="108"/>
      <c r="S4852" s="108"/>
      <c r="T4852" s="108"/>
      <c r="U4852" s="108" t="str">
        <f>IFERROR(VLOOKUP(CONCATENATE(Tabla1[[#This Row],[Severidad]]," ",Tabla1[[#This Row],[Complejidad]]),Catalogos!E$120:G$128,3,FALSE),"")</f>
        <v/>
      </c>
      <c r="V4852" s="108" t="str">
        <f>IF(Tabla1[[#This Row],[Tiempo solución max (hrs)]]&lt;&gt;"",IF(Tabla1[[#This Row],[Tiempo solución max (hrs)]]&gt;=Tabla1[[#This Row],[Tiempo
(Hrs 00/100)]],"cumple","no cumple"),"")</f>
        <v/>
      </c>
      <c r="W4852" s="17"/>
      <c r="X4852" s="18">
        <f t="shared" si="265"/>
        <v>0</v>
      </c>
      <c r="Y4852" t="str">
        <f>SUBSTITUTE(Tabla1[[#This Row],[Descripción]],CHAR(10),"    I    ")</f>
        <v/>
      </c>
      <c r="Z4852" s="112" t="e">
        <f>VLOOKUP(Tabla1[[#This Row],[Perfil]],Catalogos!$B$75:$D$100,3,FALSE)*Tabla1[[#This Row],[Tiempo
(Hrs 00/100)]]*1.16</f>
        <v>#N/A</v>
      </c>
    </row>
    <row r="4853" spans="1:26" ht="30" customHeight="1" x14ac:dyDescent="0.3">
      <c r="A4853" s="106"/>
      <c r="B4853" s="106"/>
      <c r="C4853" s="106"/>
      <c r="D4853" s="106"/>
      <c r="E4853" s="106"/>
      <c r="F4853" s="106"/>
      <c r="G4853" s="106"/>
      <c r="H4853" s="107"/>
      <c r="I4853" s="95"/>
      <c r="J4853" s="706"/>
      <c r="K4853" s="769"/>
      <c r="L4853" s="706"/>
      <c r="M4853" s="781"/>
      <c r="N4853" s="182"/>
      <c r="O4853" s="188"/>
      <c r="P4853" s="221"/>
      <c r="Q4853" s="106"/>
      <c r="R4853" s="108"/>
      <c r="S4853" s="108"/>
      <c r="T4853" s="108"/>
      <c r="U4853" s="108" t="str">
        <f>IFERROR(VLOOKUP(CONCATENATE(Tabla1[[#This Row],[Severidad]]," ",Tabla1[[#This Row],[Complejidad]]),Catalogos!E$120:G$128,3,FALSE),"")</f>
        <v/>
      </c>
      <c r="V4853" s="108" t="str">
        <f>IF(Tabla1[[#This Row],[Tiempo solución max (hrs)]]&lt;&gt;"",IF(Tabla1[[#This Row],[Tiempo solución max (hrs)]]&gt;=Tabla1[[#This Row],[Tiempo
(Hrs 00/100)]],"cumple","no cumple"),"")</f>
        <v/>
      </c>
      <c r="W4853" s="17"/>
      <c r="X4853" s="18">
        <f t="shared" si="265"/>
        <v>0</v>
      </c>
      <c r="Y4853" t="str">
        <f>SUBSTITUTE(Tabla1[[#This Row],[Descripción]],CHAR(10),"    I    ")</f>
        <v/>
      </c>
      <c r="Z4853" s="112" t="e">
        <f>VLOOKUP(Tabla1[[#This Row],[Perfil]],Catalogos!$B$75:$D$100,3,FALSE)*Tabla1[[#This Row],[Tiempo
(Hrs 00/100)]]*1.16</f>
        <v>#N/A</v>
      </c>
    </row>
    <row r="4854" spans="1:26" ht="30" customHeight="1" x14ac:dyDescent="0.3">
      <c r="A4854" s="106"/>
      <c r="B4854" s="106"/>
      <c r="C4854" s="106"/>
      <c r="D4854" s="106"/>
      <c r="E4854" s="106"/>
      <c r="F4854" s="106"/>
      <c r="G4854" s="106"/>
      <c r="H4854" s="107"/>
      <c r="I4854" s="95"/>
      <c r="J4854" s="706"/>
      <c r="K4854" s="769"/>
      <c r="L4854" s="706"/>
      <c r="M4854" s="781"/>
      <c r="N4854" s="182"/>
      <c r="O4854" s="188"/>
      <c r="P4854" s="221"/>
      <c r="Q4854" s="106"/>
      <c r="R4854" s="108"/>
      <c r="S4854" s="108"/>
      <c r="T4854" s="108"/>
      <c r="U4854" s="108" t="str">
        <f>IFERROR(VLOOKUP(CONCATENATE(Tabla1[[#This Row],[Severidad]]," ",Tabla1[[#This Row],[Complejidad]]),Catalogos!E$120:G$128,3,FALSE),"")</f>
        <v/>
      </c>
      <c r="V4854" s="108" t="str">
        <f>IF(Tabla1[[#This Row],[Tiempo solución max (hrs)]]&lt;&gt;"",IF(Tabla1[[#This Row],[Tiempo solución max (hrs)]]&gt;=Tabla1[[#This Row],[Tiempo
(Hrs 00/100)]],"cumple","no cumple"),"")</f>
        <v/>
      </c>
      <c r="W4854" s="17"/>
      <c r="X4854" s="18">
        <f t="shared" si="265"/>
        <v>0</v>
      </c>
      <c r="Y4854" t="str">
        <f>SUBSTITUTE(Tabla1[[#This Row],[Descripción]],CHAR(10),"    I    ")</f>
        <v/>
      </c>
      <c r="Z4854" s="112" t="e">
        <f>VLOOKUP(Tabla1[[#This Row],[Perfil]],Catalogos!$B$75:$D$100,3,FALSE)*Tabla1[[#This Row],[Tiempo
(Hrs 00/100)]]*1.16</f>
        <v>#N/A</v>
      </c>
    </row>
    <row r="4855" spans="1:26" ht="30" customHeight="1" x14ac:dyDescent="0.3">
      <c r="A4855" s="106"/>
      <c r="B4855" s="106"/>
      <c r="C4855" s="106"/>
      <c r="D4855" s="106"/>
      <c r="E4855" s="106"/>
      <c r="F4855" s="106"/>
      <c r="G4855" s="106"/>
      <c r="H4855" s="107"/>
      <c r="I4855" s="95"/>
      <c r="J4855" s="706"/>
      <c r="K4855" s="769"/>
      <c r="L4855" s="706"/>
      <c r="M4855" s="781"/>
      <c r="N4855" s="182"/>
      <c r="O4855" s="188"/>
      <c r="P4855" s="221"/>
      <c r="Q4855" s="106"/>
      <c r="R4855" s="108"/>
      <c r="S4855" s="108"/>
      <c r="T4855" s="108"/>
      <c r="U4855" s="108" t="str">
        <f>IFERROR(VLOOKUP(CONCATENATE(Tabla1[[#This Row],[Severidad]]," ",Tabla1[[#This Row],[Complejidad]]),Catalogos!E$120:G$128,3,FALSE),"")</f>
        <v/>
      </c>
      <c r="V4855" s="108" t="str">
        <f>IF(Tabla1[[#This Row],[Tiempo solución max (hrs)]]&lt;&gt;"",IF(Tabla1[[#This Row],[Tiempo solución max (hrs)]]&gt;=Tabla1[[#This Row],[Tiempo
(Hrs 00/100)]],"cumple","no cumple"),"")</f>
        <v/>
      </c>
      <c r="W4855" s="17"/>
      <c r="X4855" s="18">
        <f t="shared" si="265"/>
        <v>0</v>
      </c>
      <c r="Y4855" t="str">
        <f>SUBSTITUTE(Tabla1[[#This Row],[Descripción]],CHAR(10),"    I    ")</f>
        <v/>
      </c>
      <c r="Z4855" s="112" t="e">
        <f>VLOOKUP(Tabla1[[#This Row],[Perfil]],Catalogos!$B$75:$D$100,3,FALSE)*Tabla1[[#This Row],[Tiempo
(Hrs 00/100)]]*1.16</f>
        <v>#N/A</v>
      </c>
    </row>
    <row r="4856" spans="1:26" ht="30" customHeight="1" x14ac:dyDescent="0.3">
      <c r="A4856" s="106"/>
      <c r="B4856" s="106"/>
      <c r="C4856" s="106"/>
      <c r="D4856" s="106"/>
      <c r="E4856" s="106"/>
      <c r="F4856" s="106"/>
      <c r="G4856" s="106"/>
      <c r="H4856" s="107"/>
      <c r="I4856" s="95"/>
      <c r="J4856" s="706"/>
      <c r="K4856" s="769"/>
      <c r="L4856" s="706"/>
      <c r="M4856" s="781"/>
      <c r="N4856" s="182"/>
      <c r="O4856" s="188"/>
      <c r="P4856" s="221"/>
      <c r="Q4856" s="106"/>
      <c r="R4856" s="108"/>
      <c r="S4856" s="108"/>
      <c r="T4856" s="108"/>
      <c r="U4856" s="108" t="str">
        <f>IFERROR(VLOOKUP(CONCATENATE(Tabla1[[#This Row],[Severidad]]," ",Tabla1[[#This Row],[Complejidad]]),Catalogos!E$120:G$128,3,FALSE),"")</f>
        <v/>
      </c>
      <c r="V4856" s="108" t="str">
        <f>IF(Tabla1[[#This Row],[Tiempo solución max (hrs)]]&lt;&gt;"",IF(Tabla1[[#This Row],[Tiempo solución max (hrs)]]&gt;=Tabla1[[#This Row],[Tiempo
(Hrs 00/100)]],"cumple","no cumple"),"")</f>
        <v/>
      </c>
      <c r="W4856" s="17"/>
      <c r="X4856" s="18">
        <f t="shared" si="265"/>
        <v>0</v>
      </c>
      <c r="Y4856" t="str">
        <f>SUBSTITUTE(Tabla1[[#This Row],[Descripción]],CHAR(10),"    I    ")</f>
        <v/>
      </c>
      <c r="Z4856" s="112" t="e">
        <f>VLOOKUP(Tabla1[[#This Row],[Perfil]],Catalogos!$B$75:$D$100,3,FALSE)*Tabla1[[#This Row],[Tiempo
(Hrs 00/100)]]*1.16</f>
        <v>#N/A</v>
      </c>
    </row>
    <row r="4857" spans="1:26" ht="30" customHeight="1" x14ac:dyDescent="0.3">
      <c r="A4857" s="106"/>
      <c r="B4857" s="106"/>
      <c r="C4857" s="106"/>
      <c r="D4857" s="106"/>
      <c r="E4857" s="106"/>
      <c r="F4857" s="106"/>
      <c r="G4857" s="106"/>
      <c r="H4857" s="107"/>
      <c r="I4857" s="95"/>
      <c r="J4857" s="706"/>
      <c r="K4857" s="769"/>
      <c r="L4857" s="706"/>
      <c r="M4857" s="781"/>
      <c r="N4857" s="182"/>
      <c r="O4857" s="188"/>
      <c r="P4857" s="221"/>
      <c r="Q4857" s="106"/>
      <c r="R4857" s="108"/>
      <c r="S4857" s="108"/>
      <c r="T4857" s="108"/>
      <c r="U4857" s="108" t="str">
        <f>IFERROR(VLOOKUP(CONCATENATE(Tabla1[[#This Row],[Severidad]]," ",Tabla1[[#This Row],[Complejidad]]),Catalogos!E$120:G$128,3,FALSE),"")</f>
        <v/>
      </c>
      <c r="V4857" s="108" t="str">
        <f>IF(Tabla1[[#This Row],[Tiempo solución max (hrs)]]&lt;&gt;"",IF(Tabla1[[#This Row],[Tiempo solución max (hrs)]]&gt;=Tabla1[[#This Row],[Tiempo
(Hrs 00/100)]],"cumple","no cumple"),"")</f>
        <v/>
      </c>
      <c r="W4857" s="17"/>
      <c r="X4857" s="18">
        <f t="shared" si="265"/>
        <v>0</v>
      </c>
      <c r="Y4857" t="str">
        <f>SUBSTITUTE(Tabla1[[#This Row],[Descripción]],CHAR(10),"    I    ")</f>
        <v/>
      </c>
      <c r="Z4857" s="112" t="e">
        <f>VLOOKUP(Tabla1[[#This Row],[Perfil]],Catalogos!$B$75:$D$100,3,FALSE)*Tabla1[[#This Row],[Tiempo
(Hrs 00/100)]]*1.16</f>
        <v>#N/A</v>
      </c>
    </row>
    <row r="4858" spans="1:26" ht="30" customHeight="1" x14ac:dyDescent="0.3">
      <c r="A4858" s="106"/>
      <c r="B4858" s="106"/>
      <c r="C4858" s="106"/>
      <c r="D4858" s="106"/>
      <c r="E4858" s="106"/>
      <c r="F4858" s="106"/>
      <c r="G4858" s="106"/>
      <c r="H4858" s="107"/>
      <c r="I4858" s="95"/>
      <c r="J4858" s="706"/>
      <c r="K4858" s="769"/>
      <c r="L4858" s="706"/>
      <c r="M4858" s="781"/>
      <c r="N4858" s="182"/>
      <c r="O4858" s="188"/>
      <c r="P4858" s="221"/>
      <c r="Q4858" s="106"/>
      <c r="R4858" s="108"/>
      <c r="S4858" s="108"/>
      <c r="T4858" s="108"/>
      <c r="U4858" s="108" t="str">
        <f>IFERROR(VLOOKUP(CONCATENATE(Tabla1[[#This Row],[Severidad]]," ",Tabla1[[#This Row],[Complejidad]]),Catalogos!E$120:G$128,3,FALSE),"")</f>
        <v/>
      </c>
      <c r="V4858" s="108" t="str">
        <f>IF(Tabla1[[#This Row],[Tiempo solución max (hrs)]]&lt;&gt;"",IF(Tabla1[[#This Row],[Tiempo solución max (hrs)]]&gt;=Tabla1[[#This Row],[Tiempo
(Hrs 00/100)]],"cumple","no cumple"),"")</f>
        <v/>
      </c>
      <c r="W4858" s="17"/>
      <c r="X4858" s="18">
        <f t="shared" si="265"/>
        <v>0</v>
      </c>
      <c r="Y4858" t="str">
        <f>SUBSTITUTE(Tabla1[[#This Row],[Descripción]],CHAR(10),"    I    ")</f>
        <v/>
      </c>
      <c r="Z4858" s="112" t="e">
        <f>VLOOKUP(Tabla1[[#This Row],[Perfil]],Catalogos!$B$75:$D$100,3,FALSE)*Tabla1[[#This Row],[Tiempo
(Hrs 00/100)]]*1.16</f>
        <v>#N/A</v>
      </c>
    </row>
    <row r="4859" spans="1:26" ht="30" customHeight="1" x14ac:dyDescent="0.3">
      <c r="A4859" s="106"/>
      <c r="B4859" s="106"/>
      <c r="C4859" s="106"/>
      <c r="D4859" s="106"/>
      <c r="E4859" s="106"/>
      <c r="F4859" s="106"/>
      <c r="G4859" s="106"/>
      <c r="H4859" s="107"/>
      <c r="I4859" s="95"/>
      <c r="J4859" s="706"/>
      <c r="K4859" s="769"/>
      <c r="L4859" s="706"/>
      <c r="M4859" s="781"/>
      <c r="N4859" s="182"/>
      <c r="O4859" s="188"/>
      <c r="P4859" s="221"/>
      <c r="Q4859" s="106"/>
      <c r="R4859" s="108"/>
      <c r="S4859" s="108"/>
      <c r="T4859" s="108"/>
      <c r="U4859" s="108" t="str">
        <f>IFERROR(VLOOKUP(CONCATENATE(Tabla1[[#This Row],[Severidad]]," ",Tabla1[[#This Row],[Complejidad]]),Catalogos!E$120:G$128,3,FALSE),"")</f>
        <v/>
      </c>
      <c r="V4859" s="108" t="str">
        <f>IF(Tabla1[[#This Row],[Tiempo solución max (hrs)]]&lt;&gt;"",IF(Tabla1[[#This Row],[Tiempo solución max (hrs)]]&gt;=Tabla1[[#This Row],[Tiempo
(Hrs 00/100)]],"cumple","no cumple"),"")</f>
        <v/>
      </c>
      <c r="W4859" s="17"/>
      <c r="X4859" s="18">
        <f t="shared" si="265"/>
        <v>0</v>
      </c>
      <c r="Y4859" t="str">
        <f>SUBSTITUTE(Tabla1[[#This Row],[Descripción]],CHAR(10),"    I    ")</f>
        <v/>
      </c>
      <c r="Z4859" s="112" t="e">
        <f>VLOOKUP(Tabla1[[#This Row],[Perfil]],Catalogos!$B$75:$D$100,3,FALSE)*Tabla1[[#This Row],[Tiempo
(Hrs 00/100)]]*1.16</f>
        <v>#N/A</v>
      </c>
    </row>
    <row r="4860" spans="1:26" ht="30" customHeight="1" x14ac:dyDescent="0.3">
      <c r="A4860" s="106"/>
      <c r="B4860" s="106"/>
      <c r="C4860" s="106"/>
      <c r="D4860" s="106"/>
      <c r="E4860" s="106"/>
      <c r="F4860" s="106"/>
      <c r="G4860" s="106"/>
      <c r="H4860" s="107"/>
      <c r="I4860" s="95"/>
      <c r="J4860" s="706"/>
      <c r="K4860" s="769"/>
      <c r="L4860" s="706"/>
      <c r="M4860" s="781"/>
      <c r="N4860" s="182"/>
      <c r="O4860" s="188"/>
      <c r="P4860" s="221"/>
      <c r="Q4860" s="106"/>
      <c r="R4860" s="108"/>
      <c r="S4860" s="108"/>
      <c r="T4860" s="108"/>
      <c r="U4860" s="108" t="str">
        <f>IFERROR(VLOOKUP(CONCATENATE(Tabla1[[#This Row],[Severidad]]," ",Tabla1[[#This Row],[Complejidad]]),Catalogos!E$120:G$128,3,FALSE),"")</f>
        <v/>
      </c>
      <c r="V4860" s="108" t="str">
        <f>IF(Tabla1[[#This Row],[Tiempo solución max (hrs)]]&lt;&gt;"",IF(Tabla1[[#This Row],[Tiempo solución max (hrs)]]&gt;=Tabla1[[#This Row],[Tiempo
(Hrs 00/100)]],"cumple","no cumple"),"")</f>
        <v/>
      </c>
      <c r="W4860" s="17"/>
      <c r="X4860" s="18">
        <f t="shared" si="265"/>
        <v>0</v>
      </c>
      <c r="Y4860" t="str">
        <f>SUBSTITUTE(Tabla1[[#This Row],[Descripción]],CHAR(10),"    I    ")</f>
        <v/>
      </c>
      <c r="Z4860" s="112" t="e">
        <f>VLOOKUP(Tabla1[[#This Row],[Perfil]],Catalogos!$B$75:$D$100,3,FALSE)*Tabla1[[#This Row],[Tiempo
(Hrs 00/100)]]*1.16</f>
        <v>#N/A</v>
      </c>
    </row>
    <row r="4861" spans="1:26" ht="30" customHeight="1" x14ac:dyDescent="0.3">
      <c r="A4861" s="106"/>
      <c r="B4861" s="106"/>
      <c r="C4861" s="106"/>
      <c r="D4861" s="106"/>
      <c r="E4861" s="106"/>
      <c r="F4861" s="106"/>
      <c r="G4861" s="106"/>
      <c r="H4861" s="107"/>
      <c r="I4861" s="95"/>
      <c r="J4861" s="706"/>
      <c r="K4861" s="769"/>
      <c r="L4861" s="706"/>
      <c r="M4861" s="781"/>
      <c r="N4861" s="182"/>
      <c r="O4861" s="188"/>
      <c r="P4861" s="221"/>
      <c r="Q4861" s="106"/>
      <c r="R4861" s="108"/>
      <c r="S4861" s="108"/>
      <c r="T4861" s="108"/>
      <c r="U4861" s="108" t="str">
        <f>IFERROR(VLOOKUP(CONCATENATE(Tabla1[[#This Row],[Severidad]]," ",Tabla1[[#This Row],[Complejidad]]),Catalogos!E$120:G$128,3,FALSE),"")</f>
        <v/>
      </c>
      <c r="V4861" s="108" t="str">
        <f>IF(Tabla1[[#This Row],[Tiempo solución max (hrs)]]&lt;&gt;"",IF(Tabla1[[#This Row],[Tiempo solución max (hrs)]]&gt;=Tabla1[[#This Row],[Tiempo
(Hrs 00/100)]],"cumple","no cumple"),"")</f>
        <v/>
      </c>
      <c r="W4861" s="17"/>
      <c r="X4861" s="18">
        <f t="shared" si="265"/>
        <v>0</v>
      </c>
      <c r="Y4861" t="str">
        <f>SUBSTITUTE(Tabla1[[#This Row],[Descripción]],CHAR(10),"    I    ")</f>
        <v/>
      </c>
      <c r="Z4861" s="112" t="e">
        <f>VLOOKUP(Tabla1[[#This Row],[Perfil]],Catalogos!$B$75:$D$100,3,FALSE)*Tabla1[[#This Row],[Tiempo
(Hrs 00/100)]]*1.16</f>
        <v>#N/A</v>
      </c>
    </row>
    <row r="4862" spans="1:26" ht="30" customHeight="1" x14ac:dyDescent="0.3">
      <c r="A4862" s="106"/>
      <c r="B4862" s="106"/>
      <c r="C4862" s="106"/>
      <c r="D4862" s="106"/>
      <c r="E4862" s="106"/>
      <c r="F4862" s="106"/>
      <c r="G4862" s="106"/>
      <c r="H4862" s="107"/>
      <c r="I4862" s="95"/>
      <c r="J4862" s="706"/>
      <c r="K4862" s="769"/>
      <c r="L4862" s="706"/>
      <c r="M4862" s="781"/>
      <c r="N4862" s="182"/>
      <c r="O4862" s="188"/>
      <c r="P4862" s="221"/>
      <c r="Q4862" s="106"/>
      <c r="R4862" s="108"/>
      <c r="S4862" s="108"/>
      <c r="T4862" s="108"/>
      <c r="U4862" s="108" t="str">
        <f>IFERROR(VLOOKUP(CONCATENATE(Tabla1[[#This Row],[Severidad]]," ",Tabla1[[#This Row],[Complejidad]]),Catalogos!E$120:G$128,3,FALSE),"")</f>
        <v/>
      </c>
      <c r="V4862" s="108" t="str">
        <f>IF(Tabla1[[#This Row],[Tiempo solución max (hrs)]]&lt;&gt;"",IF(Tabla1[[#This Row],[Tiempo solución max (hrs)]]&gt;=Tabla1[[#This Row],[Tiempo
(Hrs 00/100)]],"cumple","no cumple"),"")</f>
        <v/>
      </c>
      <c r="W4862" s="17"/>
      <c r="X4862" s="18">
        <f t="shared" si="265"/>
        <v>0</v>
      </c>
      <c r="Y4862" t="str">
        <f>SUBSTITUTE(Tabla1[[#This Row],[Descripción]],CHAR(10),"    I    ")</f>
        <v/>
      </c>
      <c r="Z4862" s="112" t="e">
        <f>VLOOKUP(Tabla1[[#This Row],[Perfil]],Catalogos!$B$75:$D$100,3,FALSE)*Tabla1[[#This Row],[Tiempo
(Hrs 00/100)]]*1.16</f>
        <v>#N/A</v>
      </c>
    </row>
    <row r="4863" spans="1:26" ht="30" customHeight="1" x14ac:dyDescent="0.3">
      <c r="A4863" s="106"/>
      <c r="B4863" s="106"/>
      <c r="C4863" s="106"/>
      <c r="D4863" s="106"/>
      <c r="E4863" s="106"/>
      <c r="F4863" s="106"/>
      <c r="G4863" s="106"/>
      <c r="H4863" s="107"/>
      <c r="I4863" s="95"/>
      <c r="J4863" s="706"/>
      <c r="K4863" s="769"/>
      <c r="L4863" s="706"/>
      <c r="M4863" s="781"/>
      <c r="N4863" s="182"/>
      <c r="O4863" s="188"/>
      <c r="P4863" s="221"/>
      <c r="Q4863" s="106"/>
      <c r="R4863" s="108"/>
      <c r="S4863" s="108"/>
      <c r="T4863" s="108"/>
      <c r="U4863" s="108" t="str">
        <f>IFERROR(VLOOKUP(CONCATENATE(Tabla1[[#This Row],[Severidad]]," ",Tabla1[[#This Row],[Complejidad]]),Catalogos!E$120:G$128,3,FALSE),"")</f>
        <v/>
      </c>
      <c r="V4863" s="108" t="str">
        <f>IF(Tabla1[[#This Row],[Tiempo solución max (hrs)]]&lt;&gt;"",IF(Tabla1[[#This Row],[Tiempo solución max (hrs)]]&gt;=Tabla1[[#This Row],[Tiempo
(Hrs 00/100)]],"cumple","no cumple"),"")</f>
        <v/>
      </c>
      <c r="W4863" s="17"/>
      <c r="X4863" s="18">
        <f t="shared" si="265"/>
        <v>0</v>
      </c>
      <c r="Y4863" t="str">
        <f>SUBSTITUTE(Tabla1[[#This Row],[Descripción]],CHAR(10),"    I    ")</f>
        <v/>
      </c>
      <c r="Z4863" s="112" t="e">
        <f>VLOOKUP(Tabla1[[#This Row],[Perfil]],Catalogos!$B$75:$D$100,3,FALSE)*Tabla1[[#This Row],[Tiempo
(Hrs 00/100)]]*1.16</f>
        <v>#N/A</v>
      </c>
    </row>
    <row r="4864" spans="1:26" ht="30" customHeight="1" x14ac:dyDescent="0.3">
      <c r="A4864" s="106"/>
      <c r="B4864" s="106"/>
      <c r="C4864" s="106"/>
      <c r="D4864" s="106"/>
      <c r="E4864" s="106"/>
      <c r="F4864" s="106"/>
      <c r="G4864" s="106"/>
      <c r="H4864" s="107"/>
      <c r="I4864" s="95"/>
      <c r="J4864" s="706"/>
      <c r="K4864" s="769"/>
      <c r="L4864" s="706"/>
      <c r="M4864" s="781"/>
      <c r="N4864" s="182"/>
      <c r="O4864" s="188"/>
      <c r="P4864" s="221"/>
      <c r="Q4864" s="106"/>
      <c r="R4864" s="108"/>
      <c r="S4864" s="108"/>
      <c r="T4864" s="108"/>
      <c r="U4864" s="108" t="str">
        <f>IFERROR(VLOOKUP(CONCATENATE(Tabla1[[#This Row],[Severidad]]," ",Tabla1[[#This Row],[Complejidad]]),Catalogos!E$120:G$128,3,FALSE),"")</f>
        <v/>
      </c>
      <c r="V4864" s="108" t="str">
        <f>IF(Tabla1[[#This Row],[Tiempo solución max (hrs)]]&lt;&gt;"",IF(Tabla1[[#This Row],[Tiempo solución max (hrs)]]&gt;=Tabla1[[#This Row],[Tiempo
(Hrs 00/100)]],"cumple","no cumple"),"")</f>
        <v/>
      </c>
      <c r="W4864" s="17"/>
      <c r="X4864" s="18">
        <f t="shared" si="265"/>
        <v>0</v>
      </c>
      <c r="Y4864" t="str">
        <f>SUBSTITUTE(Tabla1[[#This Row],[Descripción]],CHAR(10),"    I    ")</f>
        <v/>
      </c>
      <c r="Z4864" s="112" t="e">
        <f>VLOOKUP(Tabla1[[#This Row],[Perfil]],Catalogos!$B$75:$D$100,3,FALSE)*Tabla1[[#This Row],[Tiempo
(Hrs 00/100)]]*1.16</f>
        <v>#N/A</v>
      </c>
    </row>
    <row r="4865" spans="1:26" ht="30" customHeight="1" x14ac:dyDescent="0.3">
      <c r="A4865" s="106"/>
      <c r="B4865" s="106"/>
      <c r="C4865" s="106"/>
      <c r="D4865" s="106"/>
      <c r="E4865" s="106"/>
      <c r="F4865" s="106"/>
      <c r="G4865" s="106"/>
      <c r="H4865" s="107"/>
      <c r="I4865" s="95"/>
      <c r="J4865" s="706"/>
      <c r="K4865" s="769"/>
      <c r="L4865" s="706"/>
      <c r="M4865" s="781"/>
      <c r="N4865" s="182"/>
      <c r="O4865" s="188"/>
      <c r="P4865" s="221"/>
      <c r="Q4865" s="106"/>
      <c r="R4865" s="108"/>
      <c r="S4865" s="108"/>
      <c r="T4865" s="108"/>
      <c r="U4865" s="108" t="str">
        <f>IFERROR(VLOOKUP(CONCATENATE(Tabla1[[#This Row],[Severidad]]," ",Tabla1[[#This Row],[Complejidad]]),Catalogos!E$120:G$128,3,FALSE),"")</f>
        <v/>
      </c>
      <c r="V4865" s="108" t="str">
        <f>IF(Tabla1[[#This Row],[Tiempo solución max (hrs)]]&lt;&gt;"",IF(Tabla1[[#This Row],[Tiempo solución max (hrs)]]&gt;=Tabla1[[#This Row],[Tiempo
(Hrs 00/100)]],"cumple","no cumple"),"")</f>
        <v/>
      </c>
      <c r="W4865" s="17"/>
      <c r="X4865" s="18">
        <f t="shared" si="265"/>
        <v>0</v>
      </c>
      <c r="Y4865" t="str">
        <f>SUBSTITUTE(Tabla1[[#This Row],[Descripción]],CHAR(10),"    I    ")</f>
        <v/>
      </c>
      <c r="Z4865" s="112" t="e">
        <f>VLOOKUP(Tabla1[[#This Row],[Perfil]],Catalogos!$B$75:$D$100,3,FALSE)*Tabla1[[#This Row],[Tiempo
(Hrs 00/100)]]*1.16</f>
        <v>#N/A</v>
      </c>
    </row>
    <row r="4866" spans="1:26" ht="30" customHeight="1" x14ac:dyDescent="0.3">
      <c r="A4866" s="106"/>
      <c r="B4866" s="106"/>
      <c r="C4866" s="106"/>
      <c r="D4866" s="106"/>
      <c r="E4866" s="106"/>
      <c r="F4866" s="106"/>
      <c r="G4866" s="106"/>
      <c r="H4866" s="107"/>
      <c r="I4866" s="95"/>
      <c r="J4866" s="706"/>
      <c r="K4866" s="769"/>
      <c r="L4866" s="706"/>
      <c r="M4866" s="781"/>
      <c r="N4866" s="182"/>
      <c r="O4866" s="188"/>
      <c r="P4866" s="221"/>
      <c r="Q4866" s="106"/>
      <c r="R4866" s="108"/>
      <c r="S4866" s="108"/>
      <c r="T4866" s="108"/>
      <c r="U4866" s="108" t="str">
        <f>IFERROR(VLOOKUP(CONCATENATE(Tabla1[[#This Row],[Severidad]]," ",Tabla1[[#This Row],[Complejidad]]),Catalogos!E$120:G$128,3,FALSE),"")</f>
        <v/>
      </c>
      <c r="V4866" s="108" t="str">
        <f>IF(Tabla1[[#This Row],[Tiempo solución max (hrs)]]&lt;&gt;"",IF(Tabla1[[#This Row],[Tiempo solución max (hrs)]]&gt;=Tabla1[[#This Row],[Tiempo
(Hrs 00/100)]],"cumple","no cumple"),"")</f>
        <v/>
      </c>
      <c r="W4866" s="17"/>
      <c r="X4866" s="18">
        <f t="shared" si="265"/>
        <v>0</v>
      </c>
      <c r="Y4866" t="str">
        <f>SUBSTITUTE(Tabla1[[#This Row],[Descripción]],CHAR(10),"    I    ")</f>
        <v/>
      </c>
      <c r="Z4866" s="112" t="e">
        <f>VLOOKUP(Tabla1[[#This Row],[Perfil]],Catalogos!$B$75:$D$100,3,FALSE)*Tabla1[[#This Row],[Tiempo
(Hrs 00/100)]]*1.16</f>
        <v>#N/A</v>
      </c>
    </row>
    <row r="4867" spans="1:26" ht="30" customHeight="1" x14ac:dyDescent="0.3">
      <c r="A4867" s="106"/>
      <c r="B4867" s="106"/>
      <c r="C4867" s="106"/>
      <c r="D4867" s="106"/>
      <c r="E4867" s="106"/>
      <c r="F4867" s="106"/>
      <c r="G4867" s="106"/>
      <c r="H4867" s="107"/>
      <c r="I4867" s="95"/>
      <c r="J4867" s="706"/>
      <c r="K4867" s="769"/>
      <c r="L4867" s="706"/>
      <c r="M4867" s="781"/>
      <c r="N4867" s="182"/>
      <c r="O4867" s="188"/>
      <c r="P4867" s="221"/>
      <c r="Q4867" s="106"/>
      <c r="R4867" s="108"/>
      <c r="S4867" s="108"/>
      <c r="T4867" s="108"/>
      <c r="U4867" s="108" t="str">
        <f>IFERROR(VLOOKUP(CONCATENATE(Tabla1[[#This Row],[Severidad]]," ",Tabla1[[#This Row],[Complejidad]]),Catalogos!E$120:G$128,3,FALSE),"")</f>
        <v/>
      </c>
      <c r="V4867" s="108" t="str">
        <f>IF(Tabla1[[#This Row],[Tiempo solución max (hrs)]]&lt;&gt;"",IF(Tabla1[[#This Row],[Tiempo solución max (hrs)]]&gt;=Tabla1[[#This Row],[Tiempo
(Hrs 00/100)]],"cumple","no cumple"),"")</f>
        <v/>
      </c>
      <c r="W4867" s="17"/>
      <c r="X4867" s="18">
        <f t="shared" ref="X4867:X4930" si="266">IF(C4867&lt;&gt;"",C4867,D4867)</f>
        <v>0</v>
      </c>
      <c r="Y4867" t="str">
        <f>SUBSTITUTE(Tabla1[[#This Row],[Descripción]],CHAR(10),"    I    ")</f>
        <v/>
      </c>
      <c r="Z4867" s="112" t="e">
        <f>VLOOKUP(Tabla1[[#This Row],[Perfil]],Catalogos!$B$75:$D$100,3,FALSE)*Tabla1[[#This Row],[Tiempo
(Hrs 00/100)]]*1.16</f>
        <v>#N/A</v>
      </c>
    </row>
    <row r="4868" spans="1:26" ht="30" customHeight="1" x14ac:dyDescent="0.3">
      <c r="A4868" s="106"/>
      <c r="B4868" s="106"/>
      <c r="C4868" s="106"/>
      <c r="D4868" s="106"/>
      <c r="E4868" s="106"/>
      <c r="F4868" s="106"/>
      <c r="G4868" s="106"/>
      <c r="H4868" s="107"/>
      <c r="I4868" s="95"/>
      <c r="J4868" s="706"/>
      <c r="K4868" s="769"/>
      <c r="L4868" s="706"/>
      <c r="M4868" s="781"/>
      <c r="N4868" s="182"/>
      <c r="O4868" s="188"/>
      <c r="P4868" s="221"/>
      <c r="Q4868" s="106"/>
      <c r="R4868" s="108"/>
      <c r="S4868" s="108"/>
      <c r="T4868" s="108"/>
      <c r="U4868" s="108" t="str">
        <f>IFERROR(VLOOKUP(CONCATENATE(Tabla1[[#This Row],[Severidad]]," ",Tabla1[[#This Row],[Complejidad]]),Catalogos!E$120:G$128,3,FALSE),"")</f>
        <v/>
      </c>
      <c r="V4868" s="108" t="str">
        <f>IF(Tabla1[[#This Row],[Tiempo solución max (hrs)]]&lt;&gt;"",IF(Tabla1[[#This Row],[Tiempo solución max (hrs)]]&gt;=Tabla1[[#This Row],[Tiempo
(Hrs 00/100)]],"cumple","no cumple"),"")</f>
        <v/>
      </c>
      <c r="W4868" s="17"/>
      <c r="X4868" s="18">
        <f t="shared" si="266"/>
        <v>0</v>
      </c>
      <c r="Y4868" t="str">
        <f>SUBSTITUTE(Tabla1[[#This Row],[Descripción]],CHAR(10),"    I    ")</f>
        <v/>
      </c>
      <c r="Z4868" s="112" t="e">
        <f>VLOOKUP(Tabla1[[#This Row],[Perfil]],Catalogos!$B$75:$D$100,3,FALSE)*Tabla1[[#This Row],[Tiempo
(Hrs 00/100)]]*1.16</f>
        <v>#N/A</v>
      </c>
    </row>
    <row r="4869" spans="1:26" ht="30" customHeight="1" x14ac:dyDescent="0.3">
      <c r="A4869" s="106"/>
      <c r="B4869" s="106"/>
      <c r="C4869" s="106"/>
      <c r="D4869" s="106"/>
      <c r="E4869" s="106"/>
      <c r="F4869" s="106"/>
      <c r="G4869" s="106"/>
      <c r="H4869" s="107"/>
      <c r="I4869" s="95"/>
      <c r="J4869" s="706"/>
      <c r="K4869" s="769"/>
      <c r="L4869" s="706"/>
      <c r="M4869" s="781"/>
      <c r="N4869" s="182"/>
      <c r="O4869" s="188"/>
      <c r="P4869" s="221"/>
      <c r="Q4869" s="106"/>
      <c r="R4869" s="108"/>
      <c r="S4869" s="108"/>
      <c r="T4869" s="108"/>
      <c r="U4869" s="108" t="str">
        <f>IFERROR(VLOOKUP(CONCATENATE(Tabla1[[#This Row],[Severidad]]," ",Tabla1[[#This Row],[Complejidad]]),Catalogos!E$120:G$128,3,FALSE),"")</f>
        <v/>
      </c>
      <c r="V4869" s="108" t="str">
        <f>IF(Tabla1[[#This Row],[Tiempo solución max (hrs)]]&lt;&gt;"",IF(Tabla1[[#This Row],[Tiempo solución max (hrs)]]&gt;=Tabla1[[#This Row],[Tiempo
(Hrs 00/100)]],"cumple","no cumple"),"")</f>
        <v/>
      </c>
      <c r="W4869" s="17"/>
      <c r="X4869" s="18">
        <f t="shared" si="266"/>
        <v>0</v>
      </c>
      <c r="Y4869" t="str">
        <f>SUBSTITUTE(Tabla1[[#This Row],[Descripción]],CHAR(10),"    I    ")</f>
        <v/>
      </c>
      <c r="Z4869" s="112" t="e">
        <f>VLOOKUP(Tabla1[[#This Row],[Perfil]],Catalogos!$B$75:$D$100,3,FALSE)*Tabla1[[#This Row],[Tiempo
(Hrs 00/100)]]*1.16</f>
        <v>#N/A</v>
      </c>
    </row>
    <row r="4870" spans="1:26" ht="30" customHeight="1" x14ac:dyDescent="0.3">
      <c r="A4870" s="106"/>
      <c r="B4870" s="106"/>
      <c r="C4870" s="106"/>
      <c r="D4870" s="106"/>
      <c r="E4870" s="106"/>
      <c r="F4870" s="106"/>
      <c r="G4870" s="106"/>
      <c r="H4870" s="107"/>
      <c r="I4870" s="95"/>
      <c r="J4870" s="706"/>
      <c r="K4870" s="769"/>
      <c r="L4870" s="706"/>
      <c r="M4870" s="781"/>
      <c r="N4870" s="182"/>
      <c r="O4870" s="188"/>
      <c r="P4870" s="221"/>
      <c r="Q4870" s="106"/>
      <c r="R4870" s="108"/>
      <c r="S4870" s="108"/>
      <c r="T4870" s="108"/>
      <c r="U4870" s="108" t="str">
        <f>IFERROR(VLOOKUP(CONCATENATE(Tabla1[[#This Row],[Severidad]]," ",Tabla1[[#This Row],[Complejidad]]),Catalogos!E$120:G$128,3,FALSE),"")</f>
        <v/>
      </c>
      <c r="V4870" s="108" t="str">
        <f>IF(Tabla1[[#This Row],[Tiempo solución max (hrs)]]&lt;&gt;"",IF(Tabla1[[#This Row],[Tiempo solución max (hrs)]]&gt;=Tabla1[[#This Row],[Tiempo
(Hrs 00/100)]],"cumple","no cumple"),"")</f>
        <v/>
      </c>
      <c r="W4870" s="17"/>
      <c r="X4870" s="18">
        <f t="shared" si="266"/>
        <v>0</v>
      </c>
      <c r="Y4870" t="str">
        <f>SUBSTITUTE(Tabla1[[#This Row],[Descripción]],CHAR(10),"    I    ")</f>
        <v/>
      </c>
      <c r="Z4870" s="112" t="e">
        <f>VLOOKUP(Tabla1[[#This Row],[Perfil]],Catalogos!$B$75:$D$100,3,FALSE)*Tabla1[[#This Row],[Tiempo
(Hrs 00/100)]]*1.16</f>
        <v>#N/A</v>
      </c>
    </row>
    <row r="4871" spans="1:26" ht="30" customHeight="1" x14ac:dyDescent="0.3">
      <c r="A4871" s="106"/>
      <c r="B4871" s="106"/>
      <c r="C4871" s="106"/>
      <c r="D4871" s="106"/>
      <c r="E4871" s="106"/>
      <c r="F4871" s="106"/>
      <c r="G4871" s="106"/>
      <c r="H4871" s="107"/>
      <c r="I4871" s="95"/>
      <c r="J4871" s="706"/>
      <c r="K4871" s="769"/>
      <c r="L4871" s="706"/>
      <c r="M4871" s="781"/>
      <c r="N4871" s="182"/>
      <c r="O4871" s="188"/>
      <c r="P4871" s="221"/>
      <c r="Q4871" s="106"/>
      <c r="R4871" s="108"/>
      <c r="S4871" s="108"/>
      <c r="T4871" s="108"/>
      <c r="U4871" s="108" t="str">
        <f>IFERROR(VLOOKUP(CONCATENATE(Tabla1[[#This Row],[Severidad]]," ",Tabla1[[#This Row],[Complejidad]]),Catalogos!E$120:G$128,3,FALSE),"")</f>
        <v/>
      </c>
      <c r="V4871" s="108" t="str">
        <f>IF(Tabla1[[#This Row],[Tiempo solución max (hrs)]]&lt;&gt;"",IF(Tabla1[[#This Row],[Tiempo solución max (hrs)]]&gt;=Tabla1[[#This Row],[Tiempo
(Hrs 00/100)]],"cumple","no cumple"),"")</f>
        <v/>
      </c>
      <c r="W4871" s="17"/>
      <c r="X4871" s="18">
        <f t="shared" si="266"/>
        <v>0</v>
      </c>
      <c r="Y4871" t="str">
        <f>SUBSTITUTE(Tabla1[[#This Row],[Descripción]],CHAR(10),"    I    ")</f>
        <v/>
      </c>
      <c r="Z4871" s="112" t="e">
        <f>VLOOKUP(Tabla1[[#This Row],[Perfil]],Catalogos!$B$75:$D$100,3,FALSE)*Tabla1[[#This Row],[Tiempo
(Hrs 00/100)]]*1.16</f>
        <v>#N/A</v>
      </c>
    </row>
    <row r="4872" spans="1:26" ht="30" customHeight="1" x14ac:dyDescent="0.3">
      <c r="A4872" s="106"/>
      <c r="B4872" s="106"/>
      <c r="C4872" s="106"/>
      <c r="D4872" s="106"/>
      <c r="E4872" s="106"/>
      <c r="F4872" s="106"/>
      <c r="G4872" s="106"/>
      <c r="H4872" s="107"/>
      <c r="I4872" s="95"/>
      <c r="J4872" s="706"/>
      <c r="K4872" s="769"/>
      <c r="L4872" s="706"/>
      <c r="M4872" s="781"/>
      <c r="N4872" s="182"/>
      <c r="O4872" s="188"/>
      <c r="P4872" s="221"/>
      <c r="Q4872" s="106"/>
      <c r="R4872" s="108"/>
      <c r="S4872" s="108"/>
      <c r="T4872" s="108"/>
      <c r="U4872" s="108" t="str">
        <f>IFERROR(VLOOKUP(CONCATENATE(Tabla1[[#This Row],[Severidad]]," ",Tabla1[[#This Row],[Complejidad]]),Catalogos!E$120:G$128,3,FALSE),"")</f>
        <v/>
      </c>
      <c r="V4872" s="108" t="str">
        <f>IF(Tabla1[[#This Row],[Tiempo solución max (hrs)]]&lt;&gt;"",IF(Tabla1[[#This Row],[Tiempo solución max (hrs)]]&gt;=Tabla1[[#This Row],[Tiempo
(Hrs 00/100)]],"cumple","no cumple"),"")</f>
        <v/>
      </c>
      <c r="W4872" s="17"/>
      <c r="X4872" s="18">
        <f t="shared" si="266"/>
        <v>0</v>
      </c>
      <c r="Y4872" t="str">
        <f>SUBSTITUTE(Tabla1[[#This Row],[Descripción]],CHAR(10),"    I    ")</f>
        <v/>
      </c>
      <c r="Z4872" s="112" t="e">
        <f>VLOOKUP(Tabla1[[#This Row],[Perfil]],Catalogos!$B$75:$D$100,3,FALSE)*Tabla1[[#This Row],[Tiempo
(Hrs 00/100)]]*1.16</f>
        <v>#N/A</v>
      </c>
    </row>
    <row r="4873" spans="1:26" ht="30" customHeight="1" x14ac:dyDescent="0.3">
      <c r="A4873" s="106"/>
      <c r="B4873" s="106"/>
      <c r="C4873" s="106"/>
      <c r="D4873" s="106"/>
      <c r="E4873" s="106"/>
      <c r="F4873" s="106"/>
      <c r="G4873" s="106"/>
      <c r="H4873" s="107"/>
      <c r="I4873" s="95"/>
      <c r="J4873" s="706"/>
      <c r="K4873" s="769"/>
      <c r="L4873" s="706"/>
      <c r="M4873" s="781"/>
      <c r="N4873" s="182"/>
      <c r="O4873" s="188"/>
      <c r="P4873" s="221"/>
      <c r="Q4873" s="106"/>
      <c r="R4873" s="108"/>
      <c r="S4873" s="108"/>
      <c r="T4873" s="108"/>
      <c r="U4873" s="108" t="str">
        <f>IFERROR(VLOOKUP(CONCATENATE(Tabla1[[#This Row],[Severidad]]," ",Tabla1[[#This Row],[Complejidad]]),Catalogos!E$120:G$128,3,FALSE),"")</f>
        <v/>
      </c>
      <c r="V4873" s="108" t="str">
        <f>IF(Tabla1[[#This Row],[Tiempo solución max (hrs)]]&lt;&gt;"",IF(Tabla1[[#This Row],[Tiempo solución max (hrs)]]&gt;=Tabla1[[#This Row],[Tiempo
(Hrs 00/100)]],"cumple","no cumple"),"")</f>
        <v/>
      </c>
      <c r="W4873" s="17"/>
      <c r="X4873" s="18">
        <f t="shared" si="266"/>
        <v>0</v>
      </c>
      <c r="Y4873" t="str">
        <f>SUBSTITUTE(Tabla1[[#This Row],[Descripción]],CHAR(10),"    I    ")</f>
        <v/>
      </c>
      <c r="Z4873" s="112" t="e">
        <f>VLOOKUP(Tabla1[[#This Row],[Perfil]],Catalogos!$B$75:$D$100,3,FALSE)*Tabla1[[#This Row],[Tiempo
(Hrs 00/100)]]*1.16</f>
        <v>#N/A</v>
      </c>
    </row>
    <row r="4874" spans="1:26" ht="30" customHeight="1" x14ac:dyDescent="0.3">
      <c r="A4874" s="106"/>
      <c r="B4874" s="106"/>
      <c r="C4874" s="106"/>
      <c r="D4874" s="106"/>
      <c r="E4874" s="106"/>
      <c r="F4874" s="106"/>
      <c r="G4874" s="106"/>
      <c r="H4874" s="107"/>
      <c r="I4874" s="95"/>
      <c r="J4874" s="706"/>
      <c r="K4874" s="769"/>
      <c r="L4874" s="706"/>
      <c r="M4874" s="781"/>
      <c r="N4874" s="182"/>
      <c r="O4874" s="188"/>
      <c r="P4874" s="221"/>
      <c r="Q4874" s="106"/>
      <c r="R4874" s="108"/>
      <c r="S4874" s="108"/>
      <c r="T4874" s="108"/>
      <c r="U4874" s="108" t="str">
        <f>IFERROR(VLOOKUP(CONCATENATE(Tabla1[[#This Row],[Severidad]]," ",Tabla1[[#This Row],[Complejidad]]),Catalogos!E$120:G$128,3,FALSE),"")</f>
        <v/>
      </c>
      <c r="V4874" s="108" t="str">
        <f>IF(Tabla1[[#This Row],[Tiempo solución max (hrs)]]&lt;&gt;"",IF(Tabla1[[#This Row],[Tiempo solución max (hrs)]]&gt;=Tabla1[[#This Row],[Tiempo
(Hrs 00/100)]],"cumple","no cumple"),"")</f>
        <v/>
      </c>
      <c r="W4874" s="17"/>
      <c r="X4874" s="18">
        <f t="shared" si="266"/>
        <v>0</v>
      </c>
      <c r="Y4874" t="str">
        <f>SUBSTITUTE(Tabla1[[#This Row],[Descripción]],CHAR(10),"    I    ")</f>
        <v/>
      </c>
      <c r="Z4874" s="112" t="e">
        <f>VLOOKUP(Tabla1[[#This Row],[Perfil]],Catalogos!$B$75:$D$100,3,FALSE)*Tabla1[[#This Row],[Tiempo
(Hrs 00/100)]]*1.16</f>
        <v>#N/A</v>
      </c>
    </row>
    <row r="4875" spans="1:26" ht="30" customHeight="1" x14ac:dyDescent="0.3">
      <c r="A4875" s="106"/>
      <c r="B4875" s="106"/>
      <c r="C4875" s="106"/>
      <c r="D4875" s="106"/>
      <c r="E4875" s="106"/>
      <c r="F4875" s="106"/>
      <c r="G4875" s="106"/>
      <c r="H4875" s="107"/>
      <c r="I4875" s="95"/>
      <c r="J4875" s="706"/>
      <c r="K4875" s="769"/>
      <c r="L4875" s="706"/>
      <c r="M4875" s="781"/>
      <c r="N4875" s="182"/>
      <c r="O4875" s="188"/>
      <c r="P4875" s="221"/>
      <c r="Q4875" s="106"/>
      <c r="R4875" s="108"/>
      <c r="S4875" s="108"/>
      <c r="T4875" s="108"/>
      <c r="U4875" s="108" t="str">
        <f>IFERROR(VLOOKUP(CONCATENATE(Tabla1[[#This Row],[Severidad]]," ",Tabla1[[#This Row],[Complejidad]]),Catalogos!E$120:G$128,3,FALSE),"")</f>
        <v/>
      </c>
      <c r="V4875" s="108" t="str">
        <f>IF(Tabla1[[#This Row],[Tiempo solución max (hrs)]]&lt;&gt;"",IF(Tabla1[[#This Row],[Tiempo solución max (hrs)]]&gt;=Tabla1[[#This Row],[Tiempo
(Hrs 00/100)]],"cumple","no cumple"),"")</f>
        <v/>
      </c>
      <c r="W4875" s="17"/>
      <c r="X4875" s="18">
        <f t="shared" si="266"/>
        <v>0</v>
      </c>
      <c r="Y4875" t="str">
        <f>SUBSTITUTE(Tabla1[[#This Row],[Descripción]],CHAR(10),"    I    ")</f>
        <v/>
      </c>
      <c r="Z4875" s="112" t="e">
        <f>VLOOKUP(Tabla1[[#This Row],[Perfil]],Catalogos!$B$75:$D$100,3,FALSE)*Tabla1[[#This Row],[Tiempo
(Hrs 00/100)]]*1.16</f>
        <v>#N/A</v>
      </c>
    </row>
    <row r="4876" spans="1:26" ht="30" customHeight="1" x14ac:dyDescent="0.3">
      <c r="A4876" s="106"/>
      <c r="B4876" s="106"/>
      <c r="C4876" s="106"/>
      <c r="D4876" s="106"/>
      <c r="E4876" s="106"/>
      <c r="F4876" s="106"/>
      <c r="G4876" s="106"/>
      <c r="H4876" s="107"/>
      <c r="I4876" s="95"/>
      <c r="J4876" s="706"/>
      <c r="K4876" s="769"/>
      <c r="L4876" s="706"/>
      <c r="M4876" s="781"/>
      <c r="N4876" s="182"/>
      <c r="O4876" s="188"/>
      <c r="P4876" s="221"/>
      <c r="Q4876" s="106"/>
      <c r="R4876" s="108"/>
      <c r="S4876" s="108"/>
      <c r="T4876" s="108"/>
      <c r="U4876" s="108" t="str">
        <f>IFERROR(VLOOKUP(CONCATENATE(Tabla1[[#This Row],[Severidad]]," ",Tabla1[[#This Row],[Complejidad]]),Catalogos!E$120:G$128,3,FALSE),"")</f>
        <v/>
      </c>
      <c r="V4876" s="108" t="str">
        <f>IF(Tabla1[[#This Row],[Tiempo solución max (hrs)]]&lt;&gt;"",IF(Tabla1[[#This Row],[Tiempo solución max (hrs)]]&gt;=Tabla1[[#This Row],[Tiempo
(Hrs 00/100)]],"cumple","no cumple"),"")</f>
        <v/>
      </c>
      <c r="W4876" s="17"/>
      <c r="X4876" s="18">
        <f t="shared" si="266"/>
        <v>0</v>
      </c>
      <c r="Y4876" t="str">
        <f>SUBSTITUTE(Tabla1[[#This Row],[Descripción]],CHAR(10),"    I    ")</f>
        <v/>
      </c>
      <c r="Z4876" s="112" t="e">
        <f>VLOOKUP(Tabla1[[#This Row],[Perfil]],Catalogos!$B$75:$D$100,3,FALSE)*Tabla1[[#This Row],[Tiempo
(Hrs 00/100)]]*1.16</f>
        <v>#N/A</v>
      </c>
    </row>
    <row r="4877" spans="1:26" ht="30" customHeight="1" x14ac:dyDescent="0.3">
      <c r="A4877" s="106"/>
      <c r="B4877" s="106"/>
      <c r="C4877" s="106"/>
      <c r="D4877" s="106"/>
      <c r="E4877" s="106"/>
      <c r="F4877" s="106"/>
      <c r="G4877" s="106"/>
      <c r="H4877" s="107"/>
      <c r="I4877" s="95"/>
      <c r="J4877" s="706"/>
      <c r="K4877" s="769"/>
      <c r="L4877" s="706"/>
      <c r="M4877" s="781"/>
      <c r="N4877" s="182"/>
      <c r="O4877" s="188"/>
      <c r="P4877" s="221"/>
      <c r="Q4877" s="106"/>
      <c r="R4877" s="108"/>
      <c r="S4877" s="108"/>
      <c r="T4877" s="108"/>
      <c r="U4877" s="108" t="str">
        <f>IFERROR(VLOOKUP(CONCATENATE(Tabla1[[#This Row],[Severidad]]," ",Tabla1[[#This Row],[Complejidad]]),Catalogos!E$120:G$128,3,FALSE),"")</f>
        <v/>
      </c>
      <c r="V4877" s="108" t="str">
        <f>IF(Tabla1[[#This Row],[Tiempo solución max (hrs)]]&lt;&gt;"",IF(Tabla1[[#This Row],[Tiempo solución max (hrs)]]&gt;=Tabla1[[#This Row],[Tiempo
(Hrs 00/100)]],"cumple","no cumple"),"")</f>
        <v/>
      </c>
      <c r="W4877" s="17"/>
      <c r="X4877" s="18">
        <f t="shared" si="266"/>
        <v>0</v>
      </c>
      <c r="Y4877" t="str">
        <f>SUBSTITUTE(Tabla1[[#This Row],[Descripción]],CHAR(10),"    I    ")</f>
        <v/>
      </c>
      <c r="Z4877" s="112" t="e">
        <f>VLOOKUP(Tabla1[[#This Row],[Perfil]],Catalogos!$B$75:$D$100,3,FALSE)*Tabla1[[#This Row],[Tiempo
(Hrs 00/100)]]*1.16</f>
        <v>#N/A</v>
      </c>
    </row>
    <row r="4878" spans="1:26" ht="30" customHeight="1" x14ac:dyDescent="0.3">
      <c r="A4878" s="106"/>
      <c r="B4878" s="106"/>
      <c r="C4878" s="106"/>
      <c r="D4878" s="106"/>
      <c r="E4878" s="106"/>
      <c r="F4878" s="106"/>
      <c r="G4878" s="106"/>
      <c r="H4878" s="107"/>
      <c r="I4878" s="95"/>
      <c r="J4878" s="706"/>
      <c r="K4878" s="769"/>
      <c r="L4878" s="706"/>
      <c r="M4878" s="781"/>
      <c r="N4878" s="182"/>
      <c r="O4878" s="188"/>
      <c r="P4878" s="221"/>
      <c r="Q4878" s="106"/>
      <c r="R4878" s="108"/>
      <c r="S4878" s="108"/>
      <c r="T4878" s="108"/>
      <c r="U4878" s="108" t="str">
        <f>IFERROR(VLOOKUP(CONCATENATE(Tabla1[[#This Row],[Severidad]]," ",Tabla1[[#This Row],[Complejidad]]),Catalogos!E$120:G$128,3,FALSE),"")</f>
        <v/>
      </c>
      <c r="V4878" s="108" t="str">
        <f>IF(Tabla1[[#This Row],[Tiempo solución max (hrs)]]&lt;&gt;"",IF(Tabla1[[#This Row],[Tiempo solución max (hrs)]]&gt;=Tabla1[[#This Row],[Tiempo
(Hrs 00/100)]],"cumple","no cumple"),"")</f>
        <v/>
      </c>
      <c r="W4878" s="17"/>
      <c r="X4878" s="18">
        <f t="shared" si="266"/>
        <v>0</v>
      </c>
      <c r="Y4878" t="str">
        <f>SUBSTITUTE(Tabla1[[#This Row],[Descripción]],CHAR(10),"    I    ")</f>
        <v/>
      </c>
      <c r="Z4878" s="112" t="e">
        <f>VLOOKUP(Tabla1[[#This Row],[Perfil]],Catalogos!$B$75:$D$100,3,FALSE)*Tabla1[[#This Row],[Tiempo
(Hrs 00/100)]]*1.16</f>
        <v>#N/A</v>
      </c>
    </row>
    <row r="4879" spans="1:26" ht="30" customHeight="1" x14ac:dyDescent="0.3">
      <c r="A4879" s="106"/>
      <c r="B4879" s="106"/>
      <c r="C4879" s="106"/>
      <c r="D4879" s="106"/>
      <c r="E4879" s="106"/>
      <c r="F4879" s="106"/>
      <c r="G4879" s="106"/>
      <c r="H4879" s="107"/>
      <c r="I4879" s="95"/>
      <c r="J4879" s="706"/>
      <c r="K4879" s="769"/>
      <c r="L4879" s="706"/>
      <c r="M4879" s="781"/>
      <c r="N4879" s="182"/>
      <c r="O4879" s="188"/>
      <c r="P4879" s="221"/>
      <c r="Q4879" s="106"/>
      <c r="R4879" s="108"/>
      <c r="S4879" s="108"/>
      <c r="T4879" s="108"/>
      <c r="U4879" s="108" t="str">
        <f>IFERROR(VLOOKUP(CONCATENATE(Tabla1[[#This Row],[Severidad]]," ",Tabla1[[#This Row],[Complejidad]]),Catalogos!E$120:G$128,3,FALSE),"")</f>
        <v/>
      </c>
      <c r="V4879" s="108" t="str">
        <f>IF(Tabla1[[#This Row],[Tiempo solución max (hrs)]]&lt;&gt;"",IF(Tabla1[[#This Row],[Tiempo solución max (hrs)]]&gt;=Tabla1[[#This Row],[Tiempo
(Hrs 00/100)]],"cumple","no cumple"),"")</f>
        <v/>
      </c>
      <c r="W4879" s="17"/>
      <c r="X4879" s="18">
        <f t="shared" si="266"/>
        <v>0</v>
      </c>
      <c r="Y4879" t="str">
        <f>SUBSTITUTE(Tabla1[[#This Row],[Descripción]],CHAR(10),"    I    ")</f>
        <v/>
      </c>
      <c r="Z4879" s="112" t="e">
        <f>VLOOKUP(Tabla1[[#This Row],[Perfil]],Catalogos!$B$75:$D$100,3,FALSE)*Tabla1[[#This Row],[Tiempo
(Hrs 00/100)]]*1.16</f>
        <v>#N/A</v>
      </c>
    </row>
    <row r="4880" spans="1:26" ht="30" customHeight="1" x14ac:dyDescent="0.3">
      <c r="A4880" s="106"/>
      <c r="B4880" s="106"/>
      <c r="C4880" s="106"/>
      <c r="D4880" s="106"/>
      <c r="E4880" s="106"/>
      <c r="F4880" s="106"/>
      <c r="G4880" s="106"/>
      <c r="H4880" s="107"/>
      <c r="I4880" s="95"/>
      <c r="J4880" s="706"/>
      <c r="K4880" s="769"/>
      <c r="L4880" s="706"/>
      <c r="M4880" s="781"/>
      <c r="N4880" s="182"/>
      <c r="O4880" s="188"/>
      <c r="P4880" s="221"/>
      <c r="Q4880" s="106"/>
      <c r="R4880" s="108"/>
      <c r="S4880" s="108"/>
      <c r="T4880" s="108"/>
      <c r="U4880" s="108" t="str">
        <f>IFERROR(VLOOKUP(CONCATENATE(Tabla1[[#This Row],[Severidad]]," ",Tabla1[[#This Row],[Complejidad]]),Catalogos!E$120:G$128,3,FALSE),"")</f>
        <v/>
      </c>
      <c r="V4880" s="108" t="str">
        <f>IF(Tabla1[[#This Row],[Tiempo solución max (hrs)]]&lt;&gt;"",IF(Tabla1[[#This Row],[Tiempo solución max (hrs)]]&gt;=Tabla1[[#This Row],[Tiempo
(Hrs 00/100)]],"cumple","no cumple"),"")</f>
        <v/>
      </c>
      <c r="W4880" s="17"/>
      <c r="X4880" s="18">
        <f t="shared" si="266"/>
        <v>0</v>
      </c>
      <c r="Y4880" t="str">
        <f>SUBSTITUTE(Tabla1[[#This Row],[Descripción]],CHAR(10),"    I    ")</f>
        <v/>
      </c>
      <c r="Z4880" s="112" t="e">
        <f>VLOOKUP(Tabla1[[#This Row],[Perfil]],Catalogos!$B$75:$D$100,3,FALSE)*Tabla1[[#This Row],[Tiempo
(Hrs 00/100)]]*1.16</f>
        <v>#N/A</v>
      </c>
    </row>
    <row r="4881" spans="1:26" ht="30" customHeight="1" x14ac:dyDescent="0.3">
      <c r="A4881" s="106"/>
      <c r="B4881" s="106"/>
      <c r="C4881" s="106"/>
      <c r="D4881" s="106"/>
      <c r="E4881" s="106"/>
      <c r="F4881" s="106"/>
      <c r="G4881" s="106"/>
      <c r="H4881" s="107"/>
      <c r="I4881" s="95"/>
      <c r="J4881" s="706"/>
      <c r="K4881" s="769"/>
      <c r="L4881" s="706"/>
      <c r="M4881" s="781"/>
      <c r="N4881" s="182"/>
      <c r="O4881" s="188"/>
      <c r="P4881" s="221"/>
      <c r="Q4881" s="106"/>
      <c r="R4881" s="108"/>
      <c r="S4881" s="108"/>
      <c r="T4881" s="108"/>
      <c r="U4881" s="108" t="str">
        <f>IFERROR(VLOOKUP(CONCATENATE(Tabla1[[#This Row],[Severidad]]," ",Tabla1[[#This Row],[Complejidad]]),Catalogos!E$120:G$128,3,FALSE),"")</f>
        <v/>
      </c>
      <c r="V4881" s="108" t="str">
        <f>IF(Tabla1[[#This Row],[Tiempo solución max (hrs)]]&lt;&gt;"",IF(Tabla1[[#This Row],[Tiempo solución max (hrs)]]&gt;=Tabla1[[#This Row],[Tiempo
(Hrs 00/100)]],"cumple","no cumple"),"")</f>
        <v/>
      </c>
      <c r="W4881" s="17"/>
      <c r="X4881" s="18">
        <f t="shared" si="266"/>
        <v>0</v>
      </c>
      <c r="Y4881" t="str">
        <f>SUBSTITUTE(Tabla1[[#This Row],[Descripción]],CHAR(10),"    I    ")</f>
        <v/>
      </c>
      <c r="Z4881" s="112" t="e">
        <f>VLOOKUP(Tabla1[[#This Row],[Perfil]],Catalogos!$B$75:$D$100,3,FALSE)*Tabla1[[#This Row],[Tiempo
(Hrs 00/100)]]*1.16</f>
        <v>#N/A</v>
      </c>
    </row>
    <row r="4882" spans="1:26" ht="30" customHeight="1" x14ac:dyDescent="0.3">
      <c r="A4882" s="106"/>
      <c r="B4882" s="106"/>
      <c r="C4882" s="106"/>
      <c r="D4882" s="106"/>
      <c r="E4882" s="106"/>
      <c r="F4882" s="106"/>
      <c r="G4882" s="106"/>
      <c r="H4882" s="107"/>
      <c r="I4882" s="95"/>
      <c r="J4882" s="706"/>
      <c r="K4882" s="769"/>
      <c r="L4882" s="706"/>
      <c r="M4882" s="781"/>
      <c r="N4882" s="182"/>
      <c r="O4882" s="188"/>
      <c r="P4882" s="221"/>
      <c r="Q4882" s="106"/>
      <c r="R4882" s="108"/>
      <c r="S4882" s="108"/>
      <c r="T4882" s="108"/>
      <c r="U4882" s="108" t="str">
        <f>IFERROR(VLOOKUP(CONCATENATE(Tabla1[[#This Row],[Severidad]]," ",Tabla1[[#This Row],[Complejidad]]),Catalogos!E$120:G$128,3,FALSE),"")</f>
        <v/>
      </c>
      <c r="V4882" s="108" t="str">
        <f>IF(Tabla1[[#This Row],[Tiempo solución max (hrs)]]&lt;&gt;"",IF(Tabla1[[#This Row],[Tiempo solución max (hrs)]]&gt;=Tabla1[[#This Row],[Tiempo
(Hrs 00/100)]],"cumple","no cumple"),"")</f>
        <v/>
      </c>
      <c r="W4882" s="17"/>
      <c r="X4882" s="18">
        <f t="shared" si="266"/>
        <v>0</v>
      </c>
      <c r="Y4882" t="str">
        <f>SUBSTITUTE(Tabla1[[#This Row],[Descripción]],CHAR(10),"    I    ")</f>
        <v/>
      </c>
      <c r="Z4882" s="112" t="e">
        <f>VLOOKUP(Tabla1[[#This Row],[Perfil]],Catalogos!$B$75:$D$100,3,FALSE)*Tabla1[[#This Row],[Tiempo
(Hrs 00/100)]]*1.16</f>
        <v>#N/A</v>
      </c>
    </row>
    <row r="4883" spans="1:26" ht="30" customHeight="1" x14ac:dyDescent="0.3">
      <c r="A4883" s="106"/>
      <c r="B4883" s="106"/>
      <c r="C4883" s="106"/>
      <c r="D4883" s="106"/>
      <c r="E4883" s="106"/>
      <c r="F4883" s="106"/>
      <c r="G4883" s="106"/>
      <c r="H4883" s="107"/>
      <c r="I4883" s="95"/>
      <c r="J4883" s="706"/>
      <c r="K4883" s="769"/>
      <c r="L4883" s="706"/>
      <c r="M4883" s="781"/>
      <c r="N4883" s="182"/>
      <c r="O4883" s="188"/>
      <c r="P4883" s="221"/>
      <c r="Q4883" s="106"/>
      <c r="R4883" s="108"/>
      <c r="S4883" s="108"/>
      <c r="T4883" s="108"/>
      <c r="U4883" s="108" t="str">
        <f>IFERROR(VLOOKUP(CONCATENATE(Tabla1[[#This Row],[Severidad]]," ",Tabla1[[#This Row],[Complejidad]]),Catalogos!E$120:G$128,3,FALSE),"")</f>
        <v/>
      </c>
      <c r="V4883" s="108" t="str">
        <f>IF(Tabla1[[#This Row],[Tiempo solución max (hrs)]]&lt;&gt;"",IF(Tabla1[[#This Row],[Tiempo solución max (hrs)]]&gt;=Tabla1[[#This Row],[Tiempo
(Hrs 00/100)]],"cumple","no cumple"),"")</f>
        <v/>
      </c>
      <c r="W4883" s="17"/>
      <c r="X4883" s="18">
        <f t="shared" si="266"/>
        <v>0</v>
      </c>
      <c r="Y4883" t="str">
        <f>SUBSTITUTE(Tabla1[[#This Row],[Descripción]],CHAR(10),"    I    ")</f>
        <v/>
      </c>
      <c r="Z4883" s="112" t="e">
        <f>VLOOKUP(Tabla1[[#This Row],[Perfil]],Catalogos!$B$75:$D$100,3,FALSE)*Tabla1[[#This Row],[Tiempo
(Hrs 00/100)]]*1.16</f>
        <v>#N/A</v>
      </c>
    </row>
    <row r="4884" spans="1:26" ht="30" customHeight="1" x14ac:dyDescent="0.3">
      <c r="A4884" s="106"/>
      <c r="B4884" s="106"/>
      <c r="C4884" s="106"/>
      <c r="D4884" s="106"/>
      <c r="E4884" s="106"/>
      <c r="F4884" s="106"/>
      <c r="G4884" s="106"/>
      <c r="H4884" s="107"/>
      <c r="I4884" s="95"/>
      <c r="J4884" s="706"/>
      <c r="K4884" s="769"/>
      <c r="L4884" s="706"/>
      <c r="M4884" s="781"/>
      <c r="N4884" s="182"/>
      <c r="O4884" s="188"/>
      <c r="P4884" s="221"/>
      <c r="Q4884" s="106"/>
      <c r="R4884" s="108"/>
      <c r="S4884" s="108"/>
      <c r="T4884" s="108"/>
      <c r="U4884" s="108" t="str">
        <f>IFERROR(VLOOKUP(CONCATENATE(Tabla1[[#This Row],[Severidad]]," ",Tabla1[[#This Row],[Complejidad]]),Catalogos!E$120:G$128,3,FALSE),"")</f>
        <v/>
      </c>
      <c r="V4884" s="108" t="str">
        <f>IF(Tabla1[[#This Row],[Tiempo solución max (hrs)]]&lt;&gt;"",IF(Tabla1[[#This Row],[Tiempo solución max (hrs)]]&gt;=Tabla1[[#This Row],[Tiempo
(Hrs 00/100)]],"cumple","no cumple"),"")</f>
        <v/>
      </c>
      <c r="W4884" s="17"/>
      <c r="X4884" s="18">
        <f t="shared" si="266"/>
        <v>0</v>
      </c>
      <c r="Y4884" t="str">
        <f>SUBSTITUTE(Tabla1[[#This Row],[Descripción]],CHAR(10),"    I    ")</f>
        <v/>
      </c>
      <c r="Z4884" s="112" t="e">
        <f>VLOOKUP(Tabla1[[#This Row],[Perfil]],Catalogos!$B$75:$D$100,3,FALSE)*Tabla1[[#This Row],[Tiempo
(Hrs 00/100)]]*1.16</f>
        <v>#N/A</v>
      </c>
    </row>
    <row r="4885" spans="1:26" ht="30" customHeight="1" x14ac:dyDescent="0.3">
      <c r="A4885" s="106"/>
      <c r="B4885" s="106"/>
      <c r="C4885" s="106"/>
      <c r="D4885" s="106"/>
      <c r="E4885" s="106"/>
      <c r="F4885" s="106"/>
      <c r="G4885" s="106"/>
      <c r="H4885" s="107"/>
      <c r="I4885" s="95"/>
      <c r="J4885" s="706"/>
      <c r="K4885" s="769"/>
      <c r="L4885" s="706"/>
      <c r="M4885" s="781"/>
      <c r="N4885" s="182"/>
      <c r="O4885" s="188"/>
      <c r="P4885" s="221"/>
      <c r="Q4885" s="106"/>
      <c r="R4885" s="108"/>
      <c r="S4885" s="108"/>
      <c r="T4885" s="108"/>
      <c r="U4885" s="108" t="str">
        <f>IFERROR(VLOOKUP(CONCATENATE(Tabla1[[#This Row],[Severidad]]," ",Tabla1[[#This Row],[Complejidad]]),Catalogos!E$120:G$128,3,FALSE),"")</f>
        <v/>
      </c>
      <c r="V4885" s="108" t="str">
        <f>IF(Tabla1[[#This Row],[Tiempo solución max (hrs)]]&lt;&gt;"",IF(Tabla1[[#This Row],[Tiempo solución max (hrs)]]&gt;=Tabla1[[#This Row],[Tiempo
(Hrs 00/100)]],"cumple","no cumple"),"")</f>
        <v/>
      </c>
      <c r="W4885" s="17"/>
      <c r="X4885" s="18">
        <f t="shared" si="266"/>
        <v>0</v>
      </c>
      <c r="Y4885" t="str">
        <f>SUBSTITUTE(Tabla1[[#This Row],[Descripción]],CHAR(10),"    I    ")</f>
        <v/>
      </c>
      <c r="Z4885" s="112" t="e">
        <f>VLOOKUP(Tabla1[[#This Row],[Perfil]],Catalogos!$B$75:$D$100,3,FALSE)*Tabla1[[#This Row],[Tiempo
(Hrs 00/100)]]*1.16</f>
        <v>#N/A</v>
      </c>
    </row>
    <row r="4886" spans="1:26" ht="30" customHeight="1" x14ac:dyDescent="0.3">
      <c r="A4886" s="106"/>
      <c r="B4886" s="106"/>
      <c r="C4886" s="106"/>
      <c r="D4886" s="106"/>
      <c r="E4886" s="106"/>
      <c r="F4886" s="106"/>
      <c r="G4886" s="106"/>
      <c r="H4886" s="107"/>
      <c r="I4886" s="95"/>
      <c r="J4886" s="706"/>
      <c r="K4886" s="769"/>
      <c r="L4886" s="706"/>
      <c r="M4886" s="781"/>
      <c r="N4886" s="182"/>
      <c r="O4886" s="188"/>
      <c r="P4886" s="221"/>
      <c r="Q4886" s="106"/>
      <c r="R4886" s="108"/>
      <c r="S4886" s="108"/>
      <c r="T4886" s="108"/>
      <c r="U4886" s="108" t="str">
        <f>IFERROR(VLOOKUP(CONCATENATE(Tabla1[[#This Row],[Severidad]]," ",Tabla1[[#This Row],[Complejidad]]),Catalogos!E$120:G$128,3,FALSE),"")</f>
        <v/>
      </c>
      <c r="V4886" s="108" t="str">
        <f>IF(Tabla1[[#This Row],[Tiempo solución max (hrs)]]&lt;&gt;"",IF(Tabla1[[#This Row],[Tiempo solución max (hrs)]]&gt;=Tabla1[[#This Row],[Tiempo
(Hrs 00/100)]],"cumple","no cumple"),"")</f>
        <v/>
      </c>
      <c r="W4886" s="17"/>
      <c r="X4886" s="18">
        <f t="shared" si="266"/>
        <v>0</v>
      </c>
      <c r="Y4886" t="str">
        <f>SUBSTITUTE(Tabla1[[#This Row],[Descripción]],CHAR(10),"    I    ")</f>
        <v/>
      </c>
      <c r="Z4886" s="112" t="e">
        <f>VLOOKUP(Tabla1[[#This Row],[Perfil]],Catalogos!$B$75:$D$100,3,FALSE)*Tabla1[[#This Row],[Tiempo
(Hrs 00/100)]]*1.16</f>
        <v>#N/A</v>
      </c>
    </row>
    <row r="4887" spans="1:26" ht="30" customHeight="1" x14ac:dyDescent="0.3">
      <c r="A4887" s="106"/>
      <c r="B4887" s="106"/>
      <c r="C4887" s="106"/>
      <c r="D4887" s="106"/>
      <c r="E4887" s="106"/>
      <c r="F4887" s="106"/>
      <c r="G4887" s="106"/>
      <c r="H4887" s="107"/>
      <c r="I4887" s="95"/>
      <c r="J4887" s="706"/>
      <c r="K4887" s="769"/>
      <c r="L4887" s="706"/>
      <c r="M4887" s="781"/>
      <c r="N4887" s="182"/>
      <c r="O4887" s="188"/>
      <c r="P4887" s="221"/>
      <c r="Q4887" s="106"/>
      <c r="R4887" s="108"/>
      <c r="S4887" s="108"/>
      <c r="T4887" s="108"/>
      <c r="U4887" s="108" t="str">
        <f>IFERROR(VLOOKUP(CONCATENATE(Tabla1[[#This Row],[Severidad]]," ",Tabla1[[#This Row],[Complejidad]]),Catalogos!E$120:G$128,3,FALSE),"")</f>
        <v/>
      </c>
      <c r="V4887" s="108" t="str">
        <f>IF(Tabla1[[#This Row],[Tiempo solución max (hrs)]]&lt;&gt;"",IF(Tabla1[[#This Row],[Tiempo solución max (hrs)]]&gt;=Tabla1[[#This Row],[Tiempo
(Hrs 00/100)]],"cumple","no cumple"),"")</f>
        <v/>
      </c>
      <c r="W4887" s="17"/>
      <c r="X4887" s="18">
        <f t="shared" si="266"/>
        <v>0</v>
      </c>
      <c r="Y4887" t="str">
        <f>SUBSTITUTE(Tabla1[[#This Row],[Descripción]],CHAR(10),"    I    ")</f>
        <v/>
      </c>
      <c r="Z4887" s="112" t="e">
        <f>VLOOKUP(Tabla1[[#This Row],[Perfil]],Catalogos!$B$75:$D$100,3,FALSE)*Tabla1[[#This Row],[Tiempo
(Hrs 00/100)]]*1.16</f>
        <v>#N/A</v>
      </c>
    </row>
    <row r="4888" spans="1:26" ht="30" customHeight="1" x14ac:dyDescent="0.3">
      <c r="A4888" s="106"/>
      <c r="B4888" s="106"/>
      <c r="C4888" s="106"/>
      <c r="D4888" s="106"/>
      <c r="E4888" s="106"/>
      <c r="F4888" s="106"/>
      <c r="G4888" s="106"/>
      <c r="H4888" s="107"/>
      <c r="I4888" s="95"/>
      <c r="J4888" s="706"/>
      <c r="K4888" s="769"/>
      <c r="L4888" s="706"/>
      <c r="M4888" s="781"/>
      <c r="N4888" s="182"/>
      <c r="O4888" s="188"/>
      <c r="P4888" s="221"/>
      <c r="Q4888" s="106"/>
      <c r="R4888" s="108"/>
      <c r="S4888" s="108"/>
      <c r="T4888" s="108"/>
      <c r="U4888" s="108" t="str">
        <f>IFERROR(VLOOKUP(CONCATENATE(Tabla1[[#This Row],[Severidad]]," ",Tabla1[[#This Row],[Complejidad]]),Catalogos!E$120:G$128,3,FALSE),"")</f>
        <v/>
      </c>
      <c r="V4888" s="108" t="str">
        <f>IF(Tabla1[[#This Row],[Tiempo solución max (hrs)]]&lt;&gt;"",IF(Tabla1[[#This Row],[Tiempo solución max (hrs)]]&gt;=Tabla1[[#This Row],[Tiempo
(Hrs 00/100)]],"cumple","no cumple"),"")</f>
        <v/>
      </c>
      <c r="W4888" s="17"/>
      <c r="X4888" s="18">
        <f t="shared" si="266"/>
        <v>0</v>
      </c>
      <c r="Y4888" t="str">
        <f>SUBSTITUTE(Tabla1[[#This Row],[Descripción]],CHAR(10),"    I    ")</f>
        <v/>
      </c>
      <c r="Z4888" s="112" t="e">
        <f>VLOOKUP(Tabla1[[#This Row],[Perfil]],Catalogos!$B$75:$D$100,3,FALSE)*Tabla1[[#This Row],[Tiempo
(Hrs 00/100)]]*1.16</f>
        <v>#N/A</v>
      </c>
    </row>
    <row r="4889" spans="1:26" ht="30" customHeight="1" x14ac:dyDescent="0.3">
      <c r="A4889" s="106"/>
      <c r="B4889" s="106"/>
      <c r="C4889" s="106"/>
      <c r="D4889" s="106"/>
      <c r="E4889" s="106"/>
      <c r="F4889" s="106"/>
      <c r="G4889" s="106"/>
      <c r="H4889" s="107"/>
      <c r="I4889" s="95"/>
      <c r="J4889" s="706"/>
      <c r="K4889" s="769"/>
      <c r="L4889" s="706"/>
      <c r="M4889" s="781"/>
      <c r="N4889" s="182"/>
      <c r="O4889" s="188"/>
      <c r="P4889" s="221"/>
      <c r="Q4889" s="106"/>
      <c r="R4889" s="108"/>
      <c r="S4889" s="108"/>
      <c r="T4889" s="108"/>
      <c r="U4889" s="108" t="str">
        <f>IFERROR(VLOOKUP(CONCATENATE(Tabla1[[#This Row],[Severidad]]," ",Tabla1[[#This Row],[Complejidad]]),Catalogos!E$120:G$128,3,FALSE),"")</f>
        <v/>
      </c>
      <c r="V4889" s="108" t="str">
        <f>IF(Tabla1[[#This Row],[Tiempo solución max (hrs)]]&lt;&gt;"",IF(Tabla1[[#This Row],[Tiempo solución max (hrs)]]&gt;=Tabla1[[#This Row],[Tiempo
(Hrs 00/100)]],"cumple","no cumple"),"")</f>
        <v/>
      </c>
      <c r="W4889" s="17"/>
      <c r="X4889" s="18">
        <f t="shared" si="266"/>
        <v>0</v>
      </c>
      <c r="Y4889" t="str">
        <f>SUBSTITUTE(Tabla1[[#This Row],[Descripción]],CHAR(10),"    I    ")</f>
        <v/>
      </c>
      <c r="Z4889" s="112" t="e">
        <f>VLOOKUP(Tabla1[[#This Row],[Perfil]],Catalogos!$B$75:$D$100,3,FALSE)*Tabla1[[#This Row],[Tiempo
(Hrs 00/100)]]*1.16</f>
        <v>#N/A</v>
      </c>
    </row>
    <row r="4890" spans="1:26" ht="30" customHeight="1" x14ac:dyDescent="0.3">
      <c r="A4890" s="106"/>
      <c r="B4890" s="106"/>
      <c r="C4890" s="106"/>
      <c r="D4890" s="106"/>
      <c r="E4890" s="106"/>
      <c r="F4890" s="106"/>
      <c r="G4890" s="106"/>
      <c r="H4890" s="107"/>
      <c r="I4890" s="95"/>
      <c r="J4890" s="706"/>
      <c r="K4890" s="769"/>
      <c r="L4890" s="706"/>
      <c r="M4890" s="781"/>
      <c r="N4890" s="182"/>
      <c r="O4890" s="188"/>
      <c r="P4890" s="221"/>
      <c r="Q4890" s="106"/>
      <c r="R4890" s="108"/>
      <c r="S4890" s="108"/>
      <c r="T4890" s="108"/>
      <c r="U4890" s="108" t="str">
        <f>IFERROR(VLOOKUP(CONCATENATE(Tabla1[[#This Row],[Severidad]]," ",Tabla1[[#This Row],[Complejidad]]),Catalogos!E$120:G$128,3,FALSE),"")</f>
        <v/>
      </c>
      <c r="V4890" s="108" t="str">
        <f>IF(Tabla1[[#This Row],[Tiempo solución max (hrs)]]&lt;&gt;"",IF(Tabla1[[#This Row],[Tiempo solución max (hrs)]]&gt;=Tabla1[[#This Row],[Tiempo
(Hrs 00/100)]],"cumple","no cumple"),"")</f>
        <v/>
      </c>
      <c r="W4890" s="17"/>
      <c r="X4890" s="18">
        <f t="shared" si="266"/>
        <v>0</v>
      </c>
      <c r="Y4890" t="str">
        <f>SUBSTITUTE(Tabla1[[#This Row],[Descripción]],CHAR(10),"    I    ")</f>
        <v/>
      </c>
      <c r="Z4890" s="112" t="e">
        <f>VLOOKUP(Tabla1[[#This Row],[Perfil]],Catalogos!$B$75:$D$100,3,FALSE)*Tabla1[[#This Row],[Tiempo
(Hrs 00/100)]]*1.16</f>
        <v>#N/A</v>
      </c>
    </row>
    <row r="4891" spans="1:26" ht="30" customHeight="1" x14ac:dyDescent="0.3">
      <c r="A4891" s="106"/>
      <c r="B4891" s="106"/>
      <c r="C4891" s="106"/>
      <c r="D4891" s="106"/>
      <c r="E4891" s="106"/>
      <c r="F4891" s="106"/>
      <c r="G4891" s="106"/>
      <c r="H4891" s="107"/>
      <c r="I4891" s="95"/>
      <c r="J4891" s="706"/>
      <c r="K4891" s="769"/>
      <c r="L4891" s="706"/>
      <c r="M4891" s="781"/>
      <c r="N4891" s="182"/>
      <c r="O4891" s="188"/>
      <c r="P4891" s="221"/>
      <c r="Q4891" s="106"/>
      <c r="R4891" s="108"/>
      <c r="S4891" s="108"/>
      <c r="T4891" s="108"/>
      <c r="U4891" s="108" t="str">
        <f>IFERROR(VLOOKUP(CONCATENATE(Tabla1[[#This Row],[Severidad]]," ",Tabla1[[#This Row],[Complejidad]]),Catalogos!E$120:G$128,3,FALSE),"")</f>
        <v/>
      </c>
      <c r="V4891" s="108" t="str">
        <f>IF(Tabla1[[#This Row],[Tiempo solución max (hrs)]]&lt;&gt;"",IF(Tabla1[[#This Row],[Tiempo solución max (hrs)]]&gt;=Tabla1[[#This Row],[Tiempo
(Hrs 00/100)]],"cumple","no cumple"),"")</f>
        <v/>
      </c>
      <c r="W4891" s="17"/>
      <c r="X4891" s="18">
        <f t="shared" si="266"/>
        <v>0</v>
      </c>
      <c r="Y4891" t="str">
        <f>SUBSTITUTE(Tabla1[[#This Row],[Descripción]],CHAR(10),"    I    ")</f>
        <v/>
      </c>
      <c r="Z4891" s="112" t="e">
        <f>VLOOKUP(Tabla1[[#This Row],[Perfil]],Catalogos!$B$75:$D$100,3,FALSE)*Tabla1[[#This Row],[Tiempo
(Hrs 00/100)]]*1.16</f>
        <v>#N/A</v>
      </c>
    </row>
    <row r="4892" spans="1:26" ht="30" customHeight="1" x14ac:dyDescent="0.3">
      <c r="A4892" s="106"/>
      <c r="B4892" s="106"/>
      <c r="C4892" s="106"/>
      <c r="D4892" s="106"/>
      <c r="E4892" s="106"/>
      <c r="F4892" s="106"/>
      <c r="G4892" s="106"/>
      <c r="H4892" s="107"/>
      <c r="I4892" s="95"/>
      <c r="J4892" s="706"/>
      <c r="K4892" s="769"/>
      <c r="L4892" s="706"/>
      <c r="M4892" s="781"/>
      <c r="N4892" s="182"/>
      <c r="O4892" s="188"/>
      <c r="P4892" s="221"/>
      <c r="Q4892" s="106"/>
      <c r="R4892" s="108"/>
      <c r="S4892" s="108"/>
      <c r="T4892" s="108"/>
      <c r="U4892" s="108" t="str">
        <f>IFERROR(VLOOKUP(CONCATENATE(Tabla1[[#This Row],[Severidad]]," ",Tabla1[[#This Row],[Complejidad]]),Catalogos!E$120:G$128,3,FALSE),"")</f>
        <v/>
      </c>
      <c r="V4892" s="108" t="str">
        <f>IF(Tabla1[[#This Row],[Tiempo solución max (hrs)]]&lt;&gt;"",IF(Tabla1[[#This Row],[Tiempo solución max (hrs)]]&gt;=Tabla1[[#This Row],[Tiempo
(Hrs 00/100)]],"cumple","no cumple"),"")</f>
        <v/>
      </c>
      <c r="W4892" s="17"/>
      <c r="X4892" s="18">
        <f t="shared" si="266"/>
        <v>0</v>
      </c>
      <c r="Y4892" t="str">
        <f>SUBSTITUTE(Tabla1[[#This Row],[Descripción]],CHAR(10),"    I    ")</f>
        <v/>
      </c>
      <c r="Z4892" s="112" t="e">
        <f>VLOOKUP(Tabla1[[#This Row],[Perfil]],Catalogos!$B$75:$D$100,3,FALSE)*Tabla1[[#This Row],[Tiempo
(Hrs 00/100)]]*1.16</f>
        <v>#N/A</v>
      </c>
    </row>
    <row r="4893" spans="1:26" ht="30" customHeight="1" x14ac:dyDescent="0.3">
      <c r="A4893" s="106"/>
      <c r="B4893" s="106"/>
      <c r="C4893" s="106"/>
      <c r="D4893" s="106"/>
      <c r="E4893" s="106"/>
      <c r="F4893" s="106"/>
      <c r="G4893" s="106"/>
      <c r="H4893" s="107"/>
      <c r="I4893" s="95"/>
      <c r="J4893" s="706"/>
      <c r="K4893" s="769"/>
      <c r="L4893" s="706"/>
      <c r="M4893" s="781"/>
      <c r="N4893" s="182"/>
      <c r="O4893" s="188"/>
      <c r="P4893" s="221"/>
      <c r="Q4893" s="106"/>
      <c r="R4893" s="108"/>
      <c r="S4893" s="108"/>
      <c r="T4893" s="108"/>
      <c r="U4893" s="108" t="str">
        <f>IFERROR(VLOOKUP(CONCATENATE(Tabla1[[#This Row],[Severidad]]," ",Tabla1[[#This Row],[Complejidad]]),Catalogos!E$120:G$128,3,FALSE),"")</f>
        <v/>
      </c>
      <c r="V4893" s="108" t="str">
        <f>IF(Tabla1[[#This Row],[Tiempo solución max (hrs)]]&lt;&gt;"",IF(Tabla1[[#This Row],[Tiempo solución max (hrs)]]&gt;=Tabla1[[#This Row],[Tiempo
(Hrs 00/100)]],"cumple","no cumple"),"")</f>
        <v/>
      </c>
      <c r="W4893" s="17"/>
      <c r="X4893" s="18">
        <f t="shared" si="266"/>
        <v>0</v>
      </c>
      <c r="Y4893" t="str">
        <f>SUBSTITUTE(Tabla1[[#This Row],[Descripción]],CHAR(10),"    I    ")</f>
        <v/>
      </c>
      <c r="Z4893" s="112" t="e">
        <f>VLOOKUP(Tabla1[[#This Row],[Perfil]],Catalogos!$B$75:$D$100,3,FALSE)*Tabla1[[#This Row],[Tiempo
(Hrs 00/100)]]*1.16</f>
        <v>#N/A</v>
      </c>
    </row>
    <row r="4894" spans="1:26" ht="30" customHeight="1" x14ac:dyDescent="0.3">
      <c r="A4894" s="106"/>
      <c r="B4894" s="106"/>
      <c r="C4894" s="106"/>
      <c r="D4894" s="106"/>
      <c r="E4894" s="106"/>
      <c r="F4894" s="106"/>
      <c r="G4894" s="106"/>
      <c r="H4894" s="107"/>
      <c r="I4894" s="95"/>
      <c r="J4894" s="706"/>
      <c r="K4894" s="769"/>
      <c r="L4894" s="706"/>
      <c r="M4894" s="781"/>
      <c r="N4894" s="182"/>
      <c r="O4894" s="188"/>
      <c r="P4894" s="221"/>
      <c r="Q4894" s="106"/>
      <c r="R4894" s="108"/>
      <c r="S4894" s="108"/>
      <c r="T4894" s="108"/>
      <c r="U4894" s="108" t="str">
        <f>IFERROR(VLOOKUP(CONCATENATE(Tabla1[[#This Row],[Severidad]]," ",Tabla1[[#This Row],[Complejidad]]),Catalogos!E$120:G$128,3,FALSE),"")</f>
        <v/>
      </c>
      <c r="V4894" s="108" t="str">
        <f>IF(Tabla1[[#This Row],[Tiempo solución max (hrs)]]&lt;&gt;"",IF(Tabla1[[#This Row],[Tiempo solución max (hrs)]]&gt;=Tabla1[[#This Row],[Tiempo
(Hrs 00/100)]],"cumple","no cumple"),"")</f>
        <v/>
      </c>
      <c r="W4894" s="17"/>
      <c r="X4894" s="18">
        <f t="shared" si="266"/>
        <v>0</v>
      </c>
      <c r="Y4894" t="str">
        <f>SUBSTITUTE(Tabla1[[#This Row],[Descripción]],CHAR(10),"    I    ")</f>
        <v/>
      </c>
      <c r="Z4894" s="112" t="e">
        <f>VLOOKUP(Tabla1[[#This Row],[Perfil]],Catalogos!$B$75:$D$100,3,FALSE)*Tabla1[[#This Row],[Tiempo
(Hrs 00/100)]]*1.16</f>
        <v>#N/A</v>
      </c>
    </row>
    <row r="4895" spans="1:26" ht="30" customHeight="1" x14ac:dyDescent="0.3">
      <c r="A4895" s="106"/>
      <c r="B4895" s="106"/>
      <c r="C4895" s="106"/>
      <c r="D4895" s="106"/>
      <c r="E4895" s="106"/>
      <c r="F4895" s="106"/>
      <c r="G4895" s="106"/>
      <c r="H4895" s="107"/>
      <c r="I4895" s="95"/>
      <c r="J4895" s="706"/>
      <c r="K4895" s="769"/>
      <c r="L4895" s="706"/>
      <c r="M4895" s="781"/>
      <c r="N4895" s="182"/>
      <c r="O4895" s="188"/>
      <c r="P4895" s="221"/>
      <c r="Q4895" s="106"/>
      <c r="R4895" s="108"/>
      <c r="S4895" s="108"/>
      <c r="T4895" s="108"/>
      <c r="U4895" s="108" t="str">
        <f>IFERROR(VLOOKUP(CONCATENATE(Tabla1[[#This Row],[Severidad]]," ",Tabla1[[#This Row],[Complejidad]]),Catalogos!E$120:G$128,3,FALSE),"")</f>
        <v/>
      </c>
      <c r="V4895" s="108" t="str">
        <f>IF(Tabla1[[#This Row],[Tiempo solución max (hrs)]]&lt;&gt;"",IF(Tabla1[[#This Row],[Tiempo solución max (hrs)]]&gt;=Tabla1[[#This Row],[Tiempo
(Hrs 00/100)]],"cumple","no cumple"),"")</f>
        <v/>
      </c>
      <c r="W4895" s="17"/>
      <c r="X4895" s="18">
        <f t="shared" si="266"/>
        <v>0</v>
      </c>
      <c r="Y4895" t="str">
        <f>SUBSTITUTE(Tabla1[[#This Row],[Descripción]],CHAR(10),"    I    ")</f>
        <v/>
      </c>
      <c r="Z4895" s="112" t="e">
        <f>VLOOKUP(Tabla1[[#This Row],[Perfil]],Catalogos!$B$75:$D$100,3,FALSE)*Tabla1[[#This Row],[Tiempo
(Hrs 00/100)]]*1.16</f>
        <v>#N/A</v>
      </c>
    </row>
    <row r="4896" spans="1:26" ht="30" customHeight="1" x14ac:dyDescent="0.3">
      <c r="A4896" s="106"/>
      <c r="B4896" s="106"/>
      <c r="C4896" s="106"/>
      <c r="D4896" s="106"/>
      <c r="E4896" s="106"/>
      <c r="F4896" s="106"/>
      <c r="G4896" s="106"/>
      <c r="H4896" s="107"/>
      <c r="I4896" s="95"/>
      <c r="J4896" s="706"/>
      <c r="K4896" s="769"/>
      <c r="L4896" s="706"/>
      <c r="M4896" s="781"/>
      <c r="N4896" s="182"/>
      <c r="O4896" s="188"/>
      <c r="P4896" s="221"/>
      <c r="Q4896" s="106"/>
      <c r="R4896" s="108"/>
      <c r="S4896" s="108"/>
      <c r="T4896" s="108"/>
      <c r="U4896" s="108" t="str">
        <f>IFERROR(VLOOKUP(CONCATENATE(Tabla1[[#This Row],[Severidad]]," ",Tabla1[[#This Row],[Complejidad]]),Catalogos!E$120:G$128,3,FALSE),"")</f>
        <v/>
      </c>
      <c r="V4896" s="108" t="str">
        <f>IF(Tabla1[[#This Row],[Tiempo solución max (hrs)]]&lt;&gt;"",IF(Tabla1[[#This Row],[Tiempo solución max (hrs)]]&gt;=Tabla1[[#This Row],[Tiempo
(Hrs 00/100)]],"cumple","no cumple"),"")</f>
        <v/>
      </c>
      <c r="W4896" s="17"/>
      <c r="X4896" s="18">
        <f t="shared" si="266"/>
        <v>0</v>
      </c>
      <c r="Y4896" t="str">
        <f>SUBSTITUTE(Tabla1[[#This Row],[Descripción]],CHAR(10),"    I    ")</f>
        <v/>
      </c>
      <c r="Z4896" s="112" t="e">
        <f>VLOOKUP(Tabla1[[#This Row],[Perfil]],Catalogos!$B$75:$D$100,3,FALSE)*Tabla1[[#This Row],[Tiempo
(Hrs 00/100)]]*1.16</f>
        <v>#N/A</v>
      </c>
    </row>
    <row r="4897" spans="1:26" ht="30" customHeight="1" x14ac:dyDescent="0.3">
      <c r="A4897" s="106"/>
      <c r="B4897" s="106"/>
      <c r="C4897" s="106"/>
      <c r="D4897" s="106"/>
      <c r="E4897" s="106"/>
      <c r="F4897" s="106"/>
      <c r="G4897" s="106"/>
      <c r="H4897" s="107"/>
      <c r="I4897" s="95"/>
      <c r="J4897" s="706"/>
      <c r="K4897" s="769"/>
      <c r="L4897" s="706"/>
      <c r="M4897" s="781"/>
      <c r="N4897" s="182"/>
      <c r="O4897" s="188"/>
      <c r="P4897" s="221"/>
      <c r="Q4897" s="106"/>
      <c r="R4897" s="108"/>
      <c r="S4897" s="108"/>
      <c r="T4897" s="108"/>
      <c r="U4897" s="108" t="str">
        <f>IFERROR(VLOOKUP(CONCATENATE(Tabla1[[#This Row],[Severidad]]," ",Tabla1[[#This Row],[Complejidad]]),Catalogos!E$120:G$128,3,FALSE),"")</f>
        <v/>
      </c>
      <c r="V4897" s="108" t="str">
        <f>IF(Tabla1[[#This Row],[Tiempo solución max (hrs)]]&lt;&gt;"",IF(Tabla1[[#This Row],[Tiempo solución max (hrs)]]&gt;=Tabla1[[#This Row],[Tiempo
(Hrs 00/100)]],"cumple","no cumple"),"")</f>
        <v/>
      </c>
      <c r="W4897" s="17"/>
      <c r="X4897" s="18">
        <f t="shared" si="266"/>
        <v>0</v>
      </c>
      <c r="Y4897" t="str">
        <f>SUBSTITUTE(Tabla1[[#This Row],[Descripción]],CHAR(10),"    I    ")</f>
        <v/>
      </c>
      <c r="Z4897" s="112" t="e">
        <f>VLOOKUP(Tabla1[[#This Row],[Perfil]],Catalogos!$B$75:$D$100,3,FALSE)*Tabla1[[#This Row],[Tiempo
(Hrs 00/100)]]*1.16</f>
        <v>#N/A</v>
      </c>
    </row>
    <row r="4898" spans="1:26" ht="30" customHeight="1" x14ac:dyDescent="0.3">
      <c r="A4898" s="106"/>
      <c r="B4898" s="106"/>
      <c r="C4898" s="106"/>
      <c r="D4898" s="106"/>
      <c r="E4898" s="106"/>
      <c r="F4898" s="106"/>
      <c r="G4898" s="106"/>
      <c r="H4898" s="107"/>
      <c r="I4898" s="95"/>
      <c r="J4898" s="706"/>
      <c r="K4898" s="769"/>
      <c r="L4898" s="706"/>
      <c r="M4898" s="781"/>
      <c r="N4898" s="182"/>
      <c r="O4898" s="188"/>
      <c r="P4898" s="221"/>
      <c r="Q4898" s="106"/>
      <c r="R4898" s="108"/>
      <c r="S4898" s="108"/>
      <c r="T4898" s="108"/>
      <c r="U4898" s="108" t="str">
        <f>IFERROR(VLOOKUP(CONCATENATE(Tabla1[[#This Row],[Severidad]]," ",Tabla1[[#This Row],[Complejidad]]),Catalogos!E$120:G$128,3,FALSE),"")</f>
        <v/>
      </c>
      <c r="V4898" s="108" t="str">
        <f>IF(Tabla1[[#This Row],[Tiempo solución max (hrs)]]&lt;&gt;"",IF(Tabla1[[#This Row],[Tiempo solución max (hrs)]]&gt;=Tabla1[[#This Row],[Tiempo
(Hrs 00/100)]],"cumple","no cumple"),"")</f>
        <v/>
      </c>
      <c r="W4898" s="17"/>
      <c r="X4898" s="18">
        <f t="shared" si="266"/>
        <v>0</v>
      </c>
      <c r="Y4898" t="str">
        <f>SUBSTITUTE(Tabla1[[#This Row],[Descripción]],CHAR(10),"    I    ")</f>
        <v/>
      </c>
      <c r="Z4898" s="112" t="e">
        <f>VLOOKUP(Tabla1[[#This Row],[Perfil]],Catalogos!$B$75:$D$100,3,FALSE)*Tabla1[[#This Row],[Tiempo
(Hrs 00/100)]]*1.16</f>
        <v>#N/A</v>
      </c>
    </row>
    <row r="4899" spans="1:26" ht="30" customHeight="1" x14ac:dyDescent="0.3">
      <c r="A4899" s="106"/>
      <c r="B4899" s="106"/>
      <c r="C4899" s="106"/>
      <c r="D4899" s="106"/>
      <c r="E4899" s="106"/>
      <c r="F4899" s="106"/>
      <c r="G4899" s="106"/>
      <c r="H4899" s="107"/>
      <c r="I4899" s="95"/>
      <c r="J4899" s="706"/>
      <c r="K4899" s="769"/>
      <c r="L4899" s="706"/>
      <c r="M4899" s="781"/>
      <c r="N4899" s="182"/>
      <c r="O4899" s="188"/>
      <c r="P4899" s="221"/>
      <c r="Q4899" s="106"/>
      <c r="R4899" s="108"/>
      <c r="S4899" s="108"/>
      <c r="T4899" s="108"/>
      <c r="U4899" s="108" t="str">
        <f>IFERROR(VLOOKUP(CONCATENATE(Tabla1[[#This Row],[Severidad]]," ",Tabla1[[#This Row],[Complejidad]]),Catalogos!E$120:G$128,3,FALSE),"")</f>
        <v/>
      </c>
      <c r="V4899" s="108" t="str">
        <f>IF(Tabla1[[#This Row],[Tiempo solución max (hrs)]]&lt;&gt;"",IF(Tabla1[[#This Row],[Tiempo solución max (hrs)]]&gt;=Tabla1[[#This Row],[Tiempo
(Hrs 00/100)]],"cumple","no cumple"),"")</f>
        <v/>
      </c>
      <c r="W4899" s="17"/>
      <c r="X4899" s="18">
        <f t="shared" si="266"/>
        <v>0</v>
      </c>
      <c r="Y4899" t="str">
        <f>SUBSTITUTE(Tabla1[[#This Row],[Descripción]],CHAR(10),"    I    ")</f>
        <v/>
      </c>
      <c r="Z4899" s="112" t="e">
        <f>VLOOKUP(Tabla1[[#This Row],[Perfil]],Catalogos!$B$75:$D$100,3,FALSE)*Tabla1[[#This Row],[Tiempo
(Hrs 00/100)]]*1.16</f>
        <v>#N/A</v>
      </c>
    </row>
    <row r="4900" spans="1:26" ht="30" customHeight="1" x14ac:dyDescent="0.3">
      <c r="A4900" s="106"/>
      <c r="B4900" s="106"/>
      <c r="C4900" s="106"/>
      <c r="D4900" s="106"/>
      <c r="E4900" s="106"/>
      <c r="F4900" s="106"/>
      <c r="G4900" s="106"/>
      <c r="H4900" s="107"/>
      <c r="I4900" s="95"/>
      <c r="J4900" s="706"/>
      <c r="K4900" s="769"/>
      <c r="L4900" s="706"/>
      <c r="M4900" s="781"/>
      <c r="N4900" s="182"/>
      <c r="O4900" s="188"/>
      <c r="P4900" s="221"/>
      <c r="Q4900" s="106"/>
      <c r="R4900" s="108"/>
      <c r="S4900" s="108"/>
      <c r="T4900" s="108"/>
      <c r="U4900" s="108" t="str">
        <f>IFERROR(VLOOKUP(CONCATENATE(Tabla1[[#This Row],[Severidad]]," ",Tabla1[[#This Row],[Complejidad]]),Catalogos!E$120:G$128,3,FALSE),"")</f>
        <v/>
      </c>
      <c r="V4900" s="108" t="str">
        <f>IF(Tabla1[[#This Row],[Tiempo solución max (hrs)]]&lt;&gt;"",IF(Tabla1[[#This Row],[Tiempo solución max (hrs)]]&gt;=Tabla1[[#This Row],[Tiempo
(Hrs 00/100)]],"cumple","no cumple"),"")</f>
        <v/>
      </c>
      <c r="W4900" s="17"/>
      <c r="X4900" s="18">
        <f t="shared" si="266"/>
        <v>0</v>
      </c>
      <c r="Y4900" t="str">
        <f>SUBSTITUTE(Tabla1[[#This Row],[Descripción]],CHAR(10),"    I    ")</f>
        <v/>
      </c>
      <c r="Z4900" s="112" t="e">
        <f>VLOOKUP(Tabla1[[#This Row],[Perfil]],Catalogos!$B$75:$D$100,3,FALSE)*Tabla1[[#This Row],[Tiempo
(Hrs 00/100)]]*1.16</f>
        <v>#N/A</v>
      </c>
    </row>
    <row r="4901" spans="1:26" ht="30" customHeight="1" x14ac:dyDescent="0.3">
      <c r="A4901" s="106"/>
      <c r="B4901" s="106"/>
      <c r="C4901" s="106"/>
      <c r="D4901" s="106"/>
      <c r="E4901" s="106"/>
      <c r="F4901" s="106"/>
      <c r="G4901" s="106"/>
      <c r="H4901" s="107"/>
      <c r="I4901" s="95"/>
      <c r="J4901" s="706"/>
      <c r="K4901" s="769"/>
      <c r="L4901" s="706"/>
      <c r="M4901" s="781"/>
      <c r="N4901" s="182"/>
      <c r="O4901" s="188"/>
      <c r="P4901" s="221"/>
      <c r="Q4901" s="106"/>
      <c r="R4901" s="108"/>
      <c r="S4901" s="108"/>
      <c r="T4901" s="108"/>
      <c r="U4901" s="108" t="str">
        <f>IFERROR(VLOOKUP(CONCATENATE(Tabla1[[#This Row],[Severidad]]," ",Tabla1[[#This Row],[Complejidad]]),Catalogos!E$120:G$128,3,FALSE),"")</f>
        <v/>
      </c>
      <c r="V4901" s="108" t="str">
        <f>IF(Tabla1[[#This Row],[Tiempo solución max (hrs)]]&lt;&gt;"",IF(Tabla1[[#This Row],[Tiempo solución max (hrs)]]&gt;=Tabla1[[#This Row],[Tiempo
(Hrs 00/100)]],"cumple","no cumple"),"")</f>
        <v/>
      </c>
      <c r="W4901" s="17"/>
      <c r="X4901" s="18">
        <f t="shared" si="266"/>
        <v>0</v>
      </c>
      <c r="Y4901" t="str">
        <f>SUBSTITUTE(Tabla1[[#This Row],[Descripción]],CHAR(10),"    I    ")</f>
        <v/>
      </c>
      <c r="Z4901" s="112" t="e">
        <f>VLOOKUP(Tabla1[[#This Row],[Perfil]],Catalogos!$B$75:$D$100,3,FALSE)*Tabla1[[#This Row],[Tiempo
(Hrs 00/100)]]*1.16</f>
        <v>#N/A</v>
      </c>
    </row>
    <row r="4902" spans="1:26" ht="30" customHeight="1" x14ac:dyDescent="0.3">
      <c r="A4902" s="106"/>
      <c r="B4902" s="106"/>
      <c r="C4902" s="106"/>
      <c r="D4902" s="106"/>
      <c r="E4902" s="106"/>
      <c r="F4902" s="106"/>
      <c r="G4902" s="106"/>
      <c r="H4902" s="107"/>
      <c r="I4902" s="95"/>
      <c r="J4902" s="706"/>
      <c r="K4902" s="769"/>
      <c r="L4902" s="706"/>
      <c r="M4902" s="781"/>
      <c r="N4902" s="182"/>
      <c r="O4902" s="188"/>
      <c r="P4902" s="221"/>
      <c r="Q4902" s="106"/>
      <c r="R4902" s="108"/>
      <c r="S4902" s="108"/>
      <c r="T4902" s="108"/>
      <c r="U4902" s="108" t="str">
        <f>IFERROR(VLOOKUP(CONCATENATE(Tabla1[[#This Row],[Severidad]]," ",Tabla1[[#This Row],[Complejidad]]),Catalogos!E$120:G$128,3,FALSE),"")</f>
        <v/>
      </c>
      <c r="V4902" s="108" t="str">
        <f>IF(Tabla1[[#This Row],[Tiempo solución max (hrs)]]&lt;&gt;"",IF(Tabla1[[#This Row],[Tiempo solución max (hrs)]]&gt;=Tabla1[[#This Row],[Tiempo
(Hrs 00/100)]],"cumple","no cumple"),"")</f>
        <v/>
      </c>
      <c r="W4902" s="17"/>
      <c r="X4902" s="18">
        <f t="shared" si="266"/>
        <v>0</v>
      </c>
      <c r="Y4902" t="str">
        <f>SUBSTITUTE(Tabla1[[#This Row],[Descripción]],CHAR(10),"    I    ")</f>
        <v/>
      </c>
      <c r="Z4902" s="112" t="e">
        <f>VLOOKUP(Tabla1[[#This Row],[Perfil]],Catalogos!$B$75:$D$100,3,FALSE)*Tabla1[[#This Row],[Tiempo
(Hrs 00/100)]]*1.16</f>
        <v>#N/A</v>
      </c>
    </row>
    <row r="4903" spans="1:26" ht="30" customHeight="1" x14ac:dyDescent="0.3">
      <c r="A4903" s="106"/>
      <c r="B4903" s="106"/>
      <c r="C4903" s="106"/>
      <c r="D4903" s="106"/>
      <c r="E4903" s="106"/>
      <c r="F4903" s="106"/>
      <c r="G4903" s="106"/>
      <c r="H4903" s="107"/>
      <c r="I4903" s="95"/>
      <c r="J4903" s="706"/>
      <c r="K4903" s="769"/>
      <c r="L4903" s="706"/>
      <c r="M4903" s="781"/>
      <c r="N4903" s="182"/>
      <c r="O4903" s="188"/>
      <c r="P4903" s="221"/>
      <c r="Q4903" s="106"/>
      <c r="R4903" s="108"/>
      <c r="S4903" s="108"/>
      <c r="T4903" s="108"/>
      <c r="U4903" s="108" t="str">
        <f>IFERROR(VLOOKUP(CONCATENATE(Tabla1[[#This Row],[Severidad]]," ",Tabla1[[#This Row],[Complejidad]]),Catalogos!E$120:G$128,3,FALSE),"")</f>
        <v/>
      </c>
      <c r="V4903" s="108" t="str">
        <f>IF(Tabla1[[#This Row],[Tiempo solución max (hrs)]]&lt;&gt;"",IF(Tabla1[[#This Row],[Tiempo solución max (hrs)]]&gt;=Tabla1[[#This Row],[Tiempo
(Hrs 00/100)]],"cumple","no cumple"),"")</f>
        <v/>
      </c>
      <c r="W4903" s="17"/>
      <c r="X4903" s="18">
        <f t="shared" si="266"/>
        <v>0</v>
      </c>
      <c r="Y4903" t="str">
        <f>SUBSTITUTE(Tabla1[[#This Row],[Descripción]],CHAR(10),"    I    ")</f>
        <v/>
      </c>
      <c r="Z4903" s="112" t="e">
        <f>VLOOKUP(Tabla1[[#This Row],[Perfil]],Catalogos!$B$75:$D$100,3,FALSE)*Tabla1[[#This Row],[Tiempo
(Hrs 00/100)]]*1.16</f>
        <v>#N/A</v>
      </c>
    </row>
    <row r="4904" spans="1:26" ht="30" customHeight="1" x14ac:dyDescent="0.3">
      <c r="A4904" s="106"/>
      <c r="B4904" s="106"/>
      <c r="C4904" s="106"/>
      <c r="D4904" s="106"/>
      <c r="E4904" s="106"/>
      <c r="F4904" s="106"/>
      <c r="G4904" s="106"/>
      <c r="H4904" s="107"/>
      <c r="I4904" s="95"/>
      <c r="J4904" s="706"/>
      <c r="K4904" s="769"/>
      <c r="L4904" s="706"/>
      <c r="M4904" s="781"/>
      <c r="N4904" s="182"/>
      <c r="O4904" s="188"/>
      <c r="P4904" s="221"/>
      <c r="Q4904" s="106"/>
      <c r="R4904" s="108"/>
      <c r="S4904" s="108"/>
      <c r="T4904" s="108"/>
      <c r="U4904" s="108" t="str">
        <f>IFERROR(VLOOKUP(CONCATENATE(Tabla1[[#This Row],[Severidad]]," ",Tabla1[[#This Row],[Complejidad]]),Catalogos!E$120:G$128,3,FALSE),"")</f>
        <v/>
      </c>
      <c r="V4904" s="108" t="str">
        <f>IF(Tabla1[[#This Row],[Tiempo solución max (hrs)]]&lt;&gt;"",IF(Tabla1[[#This Row],[Tiempo solución max (hrs)]]&gt;=Tabla1[[#This Row],[Tiempo
(Hrs 00/100)]],"cumple","no cumple"),"")</f>
        <v/>
      </c>
      <c r="W4904" s="17"/>
      <c r="X4904" s="18">
        <f t="shared" si="266"/>
        <v>0</v>
      </c>
      <c r="Y4904" t="str">
        <f>SUBSTITUTE(Tabla1[[#This Row],[Descripción]],CHAR(10),"    I    ")</f>
        <v/>
      </c>
      <c r="Z4904" s="112" t="e">
        <f>VLOOKUP(Tabla1[[#This Row],[Perfil]],Catalogos!$B$75:$D$100,3,FALSE)*Tabla1[[#This Row],[Tiempo
(Hrs 00/100)]]*1.16</f>
        <v>#N/A</v>
      </c>
    </row>
    <row r="4905" spans="1:26" ht="30" customHeight="1" x14ac:dyDescent="0.3">
      <c r="A4905" s="106"/>
      <c r="B4905" s="106"/>
      <c r="C4905" s="106"/>
      <c r="D4905" s="106"/>
      <c r="E4905" s="106"/>
      <c r="F4905" s="106"/>
      <c r="G4905" s="106"/>
      <c r="H4905" s="107"/>
      <c r="I4905" s="95"/>
      <c r="J4905" s="706"/>
      <c r="K4905" s="769"/>
      <c r="L4905" s="706"/>
      <c r="M4905" s="781"/>
      <c r="N4905" s="182"/>
      <c r="O4905" s="188"/>
      <c r="P4905" s="221"/>
      <c r="Q4905" s="106"/>
      <c r="R4905" s="108"/>
      <c r="S4905" s="108"/>
      <c r="T4905" s="108"/>
      <c r="U4905" s="108" t="str">
        <f>IFERROR(VLOOKUP(CONCATENATE(Tabla1[[#This Row],[Severidad]]," ",Tabla1[[#This Row],[Complejidad]]),Catalogos!E$120:G$128,3,FALSE),"")</f>
        <v/>
      </c>
      <c r="V4905" s="108" t="str">
        <f>IF(Tabla1[[#This Row],[Tiempo solución max (hrs)]]&lt;&gt;"",IF(Tabla1[[#This Row],[Tiempo solución max (hrs)]]&gt;=Tabla1[[#This Row],[Tiempo
(Hrs 00/100)]],"cumple","no cumple"),"")</f>
        <v/>
      </c>
      <c r="W4905" s="17"/>
      <c r="X4905" s="18">
        <f t="shared" si="266"/>
        <v>0</v>
      </c>
      <c r="Y4905" t="str">
        <f>SUBSTITUTE(Tabla1[[#This Row],[Descripción]],CHAR(10),"    I    ")</f>
        <v/>
      </c>
      <c r="Z4905" s="112" t="e">
        <f>VLOOKUP(Tabla1[[#This Row],[Perfil]],Catalogos!$B$75:$D$100,3,FALSE)*Tabla1[[#This Row],[Tiempo
(Hrs 00/100)]]*1.16</f>
        <v>#N/A</v>
      </c>
    </row>
    <row r="4906" spans="1:26" ht="30" customHeight="1" x14ac:dyDescent="0.3">
      <c r="A4906" s="106"/>
      <c r="B4906" s="106"/>
      <c r="C4906" s="106"/>
      <c r="D4906" s="106"/>
      <c r="E4906" s="106"/>
      <c r="F4906" s="106"/>
      <c r="G4906" s="106"/>
      <c r="H4906" s="107"/>
      <c r="I4906" s="95"/>
      <c r="J4906" s="706"/>
      <c r="K4906" s="769"/>
      <c r="L4906" s="706"/>
      <c r="M4906" s="781"/>
      <c r="N4906" s="182"/>
      <c r="O4906" s="188"/>
      <c r="P4906" s="221"/>
      <c r="Q4906" s="106"/>
      <c r="R4906" s="108"/>
      <c r="S4906" s="108"/>
      <c r="T4906" s="108"/>
      <c r="U4906" s="108" t="str">
        <f>IFERROR(VLOOKUP(CONCATENATE(Tabla1[[#This Row],[Severidad]]," ",Tabla1[[#This Row],[Complejidad]]),Catalogos!E$120:G$128,3,FALSE),"")</f>
        <v/>
      </c>
      <c r="V4906" s="108" t="str">
        <f>IF(Tabla1[[#This Row],[Tiempo solución max (hrs)]]&lt;&gt;"",IF(Tabla1[[#This Row],[Tiempo solución max (hrs)]]&gt;=Tabla1[[#This Row],[Tiempo
(Hrs 00/100)]],"cumple","no cumple"),"")</f>
        <v/>
      </c>
      <c r="W4906" s="17"/>
      <c r="X4906" s="18">
        <f t="shared" si="266"/>
        <v>0</v>
      </c>
      <c r="Y4906" t="str">
        <f>SUBSTITUTE(Tabla1[[#This Row],[Descripción]],CHAR(10),"    I    ")</f>
        <v/>
      </c>
      <c r="Z4906" s="112" t="e">
        <f>VLOOKUP(Tabla1[[#This Row],[Perfil]],Catalogos!$B$75:$D$100,3,FALSE)*Tabla1[[#This Row],[Tiempo
(Hrs 00/100)]]*1.16</f>
        <v>#N/A</v>
      </c>
    </row>
    <row r="4907" spans="1:26" ht="30" customHeight="1" x14ac:dyDescent="0.3">
      <c r="A4907" s="106"/>
      <c r="B4907" s="106"/>
      <c r="C4907" s="106"/>
      <c r="D4907" s="106"/>
      <c r="E4907" s="106"/>
      <c r="F4907" s="106"/>
      <c r="G4907" s="106"/>
      <c r="H4907" s="107"/>
      <c r="I4907" s="95"/>
      <c r="J4907" s="706"/>
      <c r="K4907" s="769"/>
      <c r="L4907" s="706"/>
      <c r="M4907" s="781"/>
      <c r="N4907" s="182"/>
      <c r="O4907" s="188"/>
      <c r="P4907" s="221"/>
      <c r="Q4907" s="106"/>
      <c r="R4907" s="108"/>
      <c r="S4907" s="108"/>
      <c r="T4907" s="108"/>
      <c r="U4907" s="108" t="str">
        <f>IFERROR(VLOOKUP(CONCATENATE(Tabla1[[#This Row],[Severidad]]," ",Tabla1[[#This Row],[Complejidad]]),Catalogos!E$120:G$128,3,FALSE),"")</f>
        <v/>
      </c>
      <c r="V4907" s="108" t="str">
        <f>IF(Tabla1[[#This Row],[Tiempo solución max (hrs)]]&lt;&gt;"",IF(Tabla1[[#This Row],[Tiempo solución max (hrs)]]&gt;=Tabla1[[#This Row],[Tiempo
(Hrs 00/100)]],"cumple","no cumple"),"")</f>
        <v/>
      </c>
      <c r="W4907" s="17"/>
      <c r="X4907" s="18">
        <f t="shared" si="266"/>
        <v>0</v>
      </c>
      <c r="Y4907" t="str">
        <f>SUBSTITUTE(Tabla1[[#This Row],[Descripción]],CHAR(10),"    I    ")</f>
        <v/>
      </c>
      <c r="Z4907" s="112" t="e">
        <f>VLOOKUP(Tabla1[[#This Row],[Perfil]],Catalogos!$B$75:$D$100,3,FALSE)*Tabla1[[#This Row],[Tiempo
(Hrs 00/100)]]*1.16</f>
        <v>#N/A</v>
      </c>
    </row>
    <row r="4908" spans="1:26" ht="30" customHeight="1" x14ac:dyDescent="0.3">
      <c r="A4908" s="106"/>
      <c r="B4908" s="106"/>
      <c r="C4908" s="106"/>
      <c r="D4908" s="106"/>
      <c r="E4908" s="106"/>
      <c r="F4908" s="106"/>
      <c r="G4908" s="106"/>
      <c r="H4908" s="107"/>
      <c r="I4908" s="95"/>
      <c r="J4908" s="706"/>
      <c r="K4908" s="769"/>
      <c r="L4908" s="706"/>
      <c r="M4908" s="781"/>
      <c r="N4908" s="182"/>
      <c r="O4908" s="188"/>
      <c r="P4908" s="221"/>
      <c r="Q4908" s="106"/>
      <c r="R4908" s="108"/>
      <c r="S4908" s="108"/>
      <c r="T4908" s="108"/>
      <c r="U4908" s="108" t="str">
        <f>IFERROR(VLOOKUP(CONCATENATE(Tabla1[[#This Row],[Severidad]]," ",Tabla1[[#This Row],[Complejidad]]),Catalogos!E$120:G$128,3,FALSE),"")</f>
        <v/>
      </c>
      <c r="V4908" s="108" t="str">
        <f>IF(Tabla1[[#This Row],[Tiempo solución max (hrs)]]&lt;&gt;"",IF(Tabla1[[#This Row],[Tiempo solución max (hrs)]]&gt;=Tabla1[[#This Row],[Tiempo
(Hrs 00/100)]],"cumple","no cumple"),"")</f>
        <v/>
      </c>
      <c r="W4908" s="17"/>
      <c r="X4908" s="18">
        <f t="shared" si="266"/>
        <v>0</v>
      </c>
      <c r="Y4908" t="str">
        <f>SUBSTITUTE(Tabla1[[#This Row],[Descripción]],CHAR(10),"    I    ")</f>
        <v/>
      </c>
      <c r="Z4908" s="112" t="e">
        <f>VLOOKUP(Tabla1[[#This Row],[Perfil]],Catalogos!$B$75:$D$100,3,FALSE)*Tabla1[[#This Row],[Tiempo
(Hrs 00/100)]]*1.16</f>
        <v>#N/A</v>
      </c>
    </row>
    <row r="4909" spans="1:26" ht="30" customHeight="1" x14ac:dyDescent="0.3">
      <c r="A4909" s="106"/>
      <c r="B4909" s="106"/>
      <c r="C4909" s="106"/>
      <c r="D4909" s="106"/>
      <c r="E4909" s="106"/>
      <c r="F4909" s="106"/>
      <c r="G4909" s="106"/>
      <c r="H4909" s="107"/>
      <c r="I4909" s="95"/>
      <c r="J4909" s="706"/>
      <c r="K4909" s="769"/>
      <c r="L4909" s="706"/>
      <c r="M4909" s="781"/>
      <c r="N4909" s="182"/>
      <c r="O4909" s="188"/>
      <c r="P4909" s="221"/>
      <c r="Q4909" s="106"/>
      <c r="R4909" s="108"/>
      <c r="S4909" s="108"/>
      <c r="T4909" s="108"/>
      <c r="U4909" s="108" t="str">
        <f>IFERROR(VLOOKUP(CONCATENATE(Tabla1[[#This Row],[Severidad]]," ",Tabla1[[#This Row],[Complejidad]]),Catalogos!E$120:G$128,3,FALSE),"")</f>
        <v/>
      </c>
      <c r="V4909" s="108" t="str">
        <f>IF(Tabla1[[#This Row],[Tiempo solución max (hrs)]]&lt;&gt;"",IF(Tabla1[[#This Row],[Tiempo solución max (hrs)]]&gt;=Tabla1[[#This Row],[Tiempo
(Hrs 00/100)]],"cumple","no cumple"),"")</f>
        <v/>
      </c>
      <c r="W4909" s="17"/>
      <c r="X4909" s="18">
        <f t="shared" si="266"/>
        <v>0</v>
      </c>
      <c r="Y4909" t="str">
        <f>SUBSTITUTE(Tabla1[[#This Row],[Descripción]],CHAR(10),"    I    ")</f>
        <v/>
      </c>
      <c r="Z4909" s="112" t="e">
        <f>VLOOKUP(Tabla1[[#This Row],[Perfil]],Catalogos!$B$75:$D$100,3,FALSE)*Tabla1[[#This Row],[Tiempo
(Hrs 00/100)]]*1.16</f>
        <v>#N/A</v>
      </c>
    </row>
    <row r="4910" spans="1:26" ht="30" customHeight="1" x14ac:dyDescent="0.3">
      <c r="A4910" s="106"/>
      <c r="B4910" s="106"/>
      <c r="C4910" s="106"/>
      <c r="D4910" s="106"/>
      <c r="E4910" s="106"/>
      <c r="F4910" s="106"/>
      <c r="G4910" s="106"/>
      <c r="H4910" s="107"/>
      <c r="I4910" s="95"/>
      <c r="J4910" s="706"/>
      <c r="K4910" s="769"/>
      <c r="L4910" s="706"/>
      <c r="M4910" s="781"/>
      <c r="N4910" s="182"/>
      <c r="O4910" s="188"/>
      <c r="P4910" s="221"/>
      <c r="Q4910" s="106"/>
      <c r="R4910" s="108"/>
      <c r="S4910" s="108"/>
      <c r="T4910" s="108"/>
      <c r="U4910" s="108" t="str">
        <f>IFERROR(VLOOKUP(CONCATENATE(Tabla1[[#This Row],[Severidad]]," ",Tabla1[[#This Row],[Complejidad]]),Catalogos!E$120:G$128,3,FALSE),"")</f>
        <v/>
      </c>
      <c r="V4910" s="108" t="str">
        <f>IF(Tabla1[[#This Row],[Tiempo solución max (hrs)]]&lt;&gt;"",IF(Tabla1[[#This Row],[Tiempo solución max (hrs)]]&gt;=Tabla1[[#This Row],[Tiempo
(Hrs 00/100)]],"cumple","no cumple"),"")</f>
        <v/>
      </c>
      <c r="W4910" s="17"/>
      <c r="X4910" s="18">
        <f t="shared" si="266"/>
        <v>0</v>
      </c>
      <c r="Y4910" t="str">
        <f>SUBSTITUTE(Tabla1[[#This Row],[Descripción]],CHAR(10),"    I    ")</f>
        <v/>
      </c>
      <c r="Z4910" s="112" t="e">
        <f>VLOOKUP(Tabla1[[#This Row],[Perfil]],Catalogos!$B$75:$D$100,3,FALSE)*Tabla1[[#This Row],[Tiempo
(Hrs 00/100)]]*1.16</f>
        <v>#N/A</v>
      </c>
    </row>
    <row r="4911" spans="1:26" ht="30" customHeight="1" x14ac:dyDescent="0.3">
      <c r="A4911" s="106"/>
      <c r="B4911" s="106"/>
      <c r="C4911" s="106"/>
      <c r="D4911" s="106"/>
      <c r="E4911" s="106"/>
      <c r="F4911" s="106"/>
      <c r="G4911" s="106"/>
      <c r="H4911" s="107"/>
      <c r="I4911" s="95"/>
      <c r="J4911" s="706"/>
      <c r="K4911" s="769"/>
      <c r="L4911" s="706"/>
      <c r="M4911" s="781"/>
      <c r="N4911" s="182"/>
      <c r="O4911" s="188"/>
      <c r="P4911" s="221"/>
      <c r="Q4911" s="106"/>
      <c r="R4911" s="108"/>
      <c r="S4911" s="108"/>
      <c r="T4911" s="108"/>
      <c r="U4911" s="108" t="str">
        <f>IFERROR(VLOOKUP(CONCATENATE(Tabla1[[#This Row],[Severidad]]," ",Tabla1[[#This Row],[Complejidad]]),Catalogos!E$120:G$128,3,FALSE),"")</f>
        <v/>
      </c>
      <c r="V4911" s="108" t="str">
        <f>IF(Tabla1[[#This Row],[Tiempo solución max (hrs)]]&lt;&gt;"",IF(Tabla1[[#This Row],[Tiempo solución max (hrs)]]&gt;=Tabla1[[#This Row],[Tiempo
(Hrs 00/100)]],"cumple","no cumple"),"")</f>
        <v/>
      </c>
      <c r="W4911" s="17"/>
      <c r="X4911" s="18">
        <f t="shared" si="266"/>
        <v>0</v>
      </c>
      <c r="Y4911" t="str">
        <f>SUBSTITUTE(Tabla1[[#This Row],[Descripción]],CHAR(10),"    I    ")</f>
        <v/>
      </c>
      <c r="Z4911" s="112" t="e">
        <f>VLOOKUP(Tabla1[[#This Row],[Perfil]],Catalogos!$B$75:$D$100,3,FALSE)*Tabla1[[#This Row],[Tiempo
(Hrs 00/100)]]*1.16</f>
        <v>#N/A</v>
      </c>
    </row>
    <row r="4912" spans="1:26" ht="30" customHeight="1" x14ac:dyDescent="0.3">
      <c r="A4912" s="106"/>
      <c r="B4912" s="106"/>
      <c r="C4912" s="106"/>
      <c r="D4912" s="106"/>
      <c r="E4912" s="106"/>
      <c r="F4912" s="106"/>
      <c r="G4912" s="106"/>
      <c r="H4912" s="107"/>
      <c r="I4912" s="95"/>
      <c r="J4912" s="706"/>
      <c r="K4912" s="769"/>
      <c r="L4912" s="706"/>
      <c r="M4912" s="781"/>
      <c r="N4912" s="182"/>
      <c r="O4912" s="188"/>
      <c r="P4912" s="221"/>
      <c r="Q4912" s="106"/>
      <c r="R4912" s="108"/>
      <c r="S4912" s="108"/>
      <c r="T4912" s="108"/>
      <c r="U4912" s="108" t="str">
        <f>IFERROR(VLOOKUP(CONCATENATE(Tabla1[[#This Row],[Severidad]]," ",Tabla1[[#This Row],[Complejidad]]),Catalogos!E$120:G$128,3,FALSE),"")</f>
        <v/>
      </c>
      <c r="V4912" s="108" t="str">
        <f>IF(Tabla1[[#This Row],[Tiempo solución max (hrs)]]&lt;&gt;"",IF(Tabla1[[#This Row],[Tiempo solución max (hrs)]]&gt;=Tabla1[[#This Row],[Tiempo
(Hrs 00/100)]],"cumple","no cumple"),"")</f>
        <v/>
      </c>
      <c r="W4912" s="17"/>
      <c r="X4912" s="18">
        <f t="shared" si="266"/>
        <v>0</v>
      </c>
      <c r="Y4912" t="str">
        <f>SUBSTITUTE(Tabla1[[#This Row],[Descripción]],CHAR(10),"    I    ")</f>
        <v/>
      </c>
      <c r="Z4912" s="112" t="e">
        <f>VLOOKUP(Tabla1[[#This Row],[Perfil]],Catalogos!$B$75:$D$100,3,FALSE)*Tabla1[[#This Row],[Tiempo
(Hrs 00/100)]]*1.16</f>
        <v>#N/A</v>
      </c>
    </row>
    <row r="4913" spans="1:26" ht="30" customHeight="1" x14ac:dyDescent="0.3">
      <c r="A4913" s="106"/>
      <c r="B4913" s="106"/>
      <c r="C4913" s="106"/>
      <c r="D4913" s="106"/>
      <c r="E4913" s="106"/>
      <c r="F4913" s="106"/>
      <c r="G4913" s="106"/>
      <c r="H4913" s="107"/>
      <c r="I4913" s="95"/>
      <c r="J4913" s="706"/>
      <c r="K4913" s="769"/>
      <c r="L4913" s="706"/>
      <c r="M4913" s="781"/>
      <c r="N4913" s="182"/>
      <c r="O4913" s="188"/>
      <c r="P4913" s="221"/>
      <c r="Q4913" s="106"/>
      <c r="R4913" s="108"/>
      <c r="S4913" s="108"/>
      <c r="T4913" s="108"/>
      <c r="U4913" s="108" t="str">
        <f>IFERROR(VLOOKUP(CONCATENATE(Tabla1[[#This Row],[Severidad]]," ",Tabla1[[#This Row],[Complejidad]]),Catalogos!E$120:G$128,3,FALSE),"")</f>
        <v/>
      </c>
      <c r="V4913" s="108" t="str">
        <f>IF(Tabla1[[#This Row],[Tiempo solución max (hrs)]]&lt;&gt;"",IF(Tabla1[[#This Row],[Tiempo solución max (hrs)]]&gt;=Tabla1[[#This Row],[Tiempo
(Hrs 00/100)]],"cumple","no cumple"),"")</f>
        <v/>
      </c>
      <c r="W4913" s="17"/>
      <c r="X4913" s="18">
        <f t="shared" si="266"/>
        <v>0</v>
      </c>
      <c r="Y4913" t="str">
        <f>SUBSTITUTE(Tabla1[[#This Row],[Descripción]],CHAR(10),"    I    ")</f>
        <v/>
      </c>
      <c r="Z4913" s="112" t="e">
        <f>VLOOKUP(Tabla1[[#This Row],[Perfil]],Catalogos!$B$75:$D$100,3,FALSE)*Tabla1[[#This Row],[Tiempo
(Hrs 00/100)]]*1.16</f>
        <v>#N/A</v>
      </c>
    </row>
    <row r="4914" spans="1:26" ht="30" customHeight="1" x14ac:dyDescent="0.3">
      <c r="A4914" s="106"/>
      <c r="B4914" s="106"/>
      <c r="C4914" s="106"/>
      <c r="D4914" s="106"/>
      <c r="E4914" s="106"/>
      <c r="F4914" s="106"/>
      <c r="G4914" s="106"/>
      <c r="H4914" s="107"/>
      <c r="I4914" s="95"/>
      <c r="J4914" s="706"/>
      <c r="K4914" s="769"/>
      <c r="L4914" s="706"/>
      <c r="M4914" s="781"/>
      <c r="N4914" s="182"/>
      <c r="O4914" s="188"/>
      <c r="P4914" s="221"/>
      <c r="Q4914" s="106"/>
      <c r="R4914" s="108"/>
      <c r="S4914" s="108"/>
      <c r="T4914" s="108"/>
      <c r="U4914" s="108" t="str">
        <f>IFERROR(VLOOKUP(CONCATENATE(Tabla1[[#This Row],[Severidad]]," ",Tabla1[[#This Row],[Complejidad]]),Catalogos!E$120:G$128,3,FALSE),"")</f>
        <v/>
      </c>
      <c r="V4914" s="108" t="str">
        <f>IF(Tabla1[[#This Row],[Tiempo solución max (hrs)]]&lt;&gt;"",IF(Tabla1[[#This Row],[Tiempo solución max (hrs)]]&gt;=Tabla1[[#This Row],[Tiempo
(Hrs 00/100)]],"cumple","no cumple"),"")</f>
        <v/>
      </c>
      <c r="W4914" s="17"/>
      <c r="X4914" s="18">
        <f t="shared" si="266"/>
        <v>0</v>
      </c>
      <c r="Y4914" t="str">
        <f>SUBSTITUTE(Tabla1[[#This Row],[Descripción]],CHAR(10),"    I    ")</f>
        <v/>
      </c>
      <c r="Z4914" s="112" t="e">
        <f>VLOOKUP(Tabla1[[#This Row],[Perfil]],Catalogos!$B$75:$D$100,3,FALSE)*Tabla1[[#This Row],[Tiempo
(Hrs 00/100)]]*1.16</f>
        <v>#N/A</v>
      </c>
    </row>
    <row r="4915" spans="1:26" ht="30" customHeight="1" x14ac:dyDescent="0.3">
      <c r="A4915" s="106"/>
      <c r="B4915" s="106"/>
      <c r="C4915" s="106"/>
      <c r="D4915" s="106"/>
      <c r="E4915" s="106"/>
      <c r="F4915" s="106"/>
      <c r="G4915" s="106"/>
      <c r="H4915" s="107"/>
      <c r="I4915" s="95"/>
      <c r="J4915" s="706"/>
      <c r="K4915" s="769"/>
      <c r="L4915" s="706"/>
      <c r="M4915" s="781"/>
      <c r="N4915" s="182"/>
      <c r="O4915" s="188"/>
      <c r="P4915" s="221"/>
      <c r="Q4915" s="106"/>
      <c r="R4915" s="108"/>
      <c r="S4915" s="108"/>
      <c r="T4915" s="108"/>
      <c r="U4915" s="108" t="str">
        <f>IFERROR(VLOOKUP(CONCATENATE(Tabla1[[#This Row],[Severidad]]," ",Tabla1[[#This Row],[Complejidad]]),Catalogos!E$120:G$128,3,FALSE),"")</f>
        <v/>
      </c>
      <c r="V4915" s="108" t="str">
        <f>IF(Tabla1[[#This Row],[Tiempo solución max (hrs)]]&lt;&gt;"",IF(Tabla1[[#This Row],[Tiempo solución max (hrs)]]&gt;=Tabla1[[#This Row],[Tiempo
(Hrs 00/100)]],"cumple","no cumple"),"")</f>
        <v/>
      </c>
      <c r="W4915" s="17"/>
      <c r="X4915" s="18">
        <f t="shared" si="266"/>
        <v>0</v>
      </c>
      <c r="Y4915" t="str">
        <f>SUBSTITUTE(Tabla1[[#This Row],[Descripción]],CHAR(10),"    I    ")</f>
        <v/>
      </c>
      <c r="Z4915" s="112" t="e">
        <f>VLOOKUP(Tabla1[[#This Row],[Perfil]],Catalogos!$B$75:$D$100,3,FALSE)*Tabla1[[#This Row],[Tiempo
(Hrs 00/100)]]*1.16</f>
        <v>#N/A</v>
      </c>
    </row>
    <row r="4916" spans="1:26" ht="30" customHeight="1" x14ac:dyDescent="0.3">
      <c r="A4916" s="106"/>
      <c r="B4916" s="106"/>
      <c r="C4916" s="106"/>
      <c r="D4916" s="106"/>
      <c r="E4916" s="106"/>
      <c r="F4916" s="106"/>
      <c r="G4916" s="106"/>
      <c r="H4916" s="107"/>
      <c r="I4916" s="95"/>
      <c r="J4916" s="706"/>
      <c r="K4916" s="769"/>
      <c r="L4916" s="706"/>
      <c r="M4916" s="781"/>
      <c r="N4916" s="182"/>
      <c r="O4916" s="188"/>
      <c r="P4916" s="221"/>
      <c r="Q4916" s="106"/>
      <c r="R4916" s="108"/>
      <c r="S4916" s="108"/>
      <c r="T4916" s="108"/>
      <c r="U4916" s="108" t="str">
        <f>IFERROR(VLOOKUP(CONCATENATE(Tabla1[[#This Row],[Severidad]]," ",Tabla1[[#This Row],[Complejidad]]),Catalogos!E$120:G$128,3,FALSE),"")</f>
        <v/>
      </c>
      <c r="V4916" s="108" t="str">
        <f>IF(Tabla1[[#This Row],[Tiempo solución max (hrs)]]&lt;&gt;"",IF(Tabla1[[#This Row],[Tiempo solución max (hrs)]]&gt;=Tabla1[[#This Row],[Tiempo
(Hrs 00/100)]],"cumple","no cumple"),"")</f>
        <v/>
      </c>
      <c r="W4916" s="17"/>
      <c r="X4916" s="18">
        <f t="shared" si="266"/>
        <v>0</v>
      </c>
      <c r="Y4916" t="str">
        <f>SUBSTITUTE(Tabla1[[#This Row],[Descripción]],CHAR(10),"    I    ")</f>
        <v/>
      </c>
      <c r="Z4916" s="112" t="e">
        <f>VLOOKUP(Tabla1[[#This Row],[Perfil]],Catalogos!$B$75:$D$100,3,FALSE)*Tabla1[[#This Row],[Tiempo
(Hrs 00/100)]]*1.16</f>
        <v>#N/A</v>
      </c>
    </row>
    <row r="4917" spans="1:26" ht="30" customHeight="1" x14ac:dyDescent="0.3">
      <c r="A4917" s="106"/>
      <c r="B4917" s="106"/>
      <c r="C4917" s="106"/>
      <c r="D4917" s="106"/>
      <c r="E4917" s="106"/>
      <c r="F4917" s="106"/>
      <c r="G4917" s="106"/>
      <c r="H4917" s="107"/>
      <c r="I4917" s="95"/>
      <c r="J4917" s="706"/>
      <c r="K4917" s="769"/>
      <c r="L4917" s="706"/>
      <c r="M4917" s="781"/>
      <c r="N4917" s="182"/>
      <c r="O4917" s="188"/>
      <c r="P4917" s="221"/>
      <c r="Q4917" s="106"/>
      <c r="R4917" s="108"/>
      <c r="S4917" s="108"/>
      <c r="T4917" s="108"/>
      <c r="U4917" s="108" t="str">
        <f>IFERROR(VLOOKUP(CONCATENATE(Tabla1[[#This Row],[Severidad]]," ",Tabla1[[#This Row],[Complejidad]]),Catalogos!E$120:G$128,3,FALSE),"")</f>
        <v/>
      </c>
      <c r="V4917" s="108" t="str">
        <f>IF(Tabla1[[#This Row],[Tiempo solución max (hrs)]]&lt;&gt;"",IF(Tabla1[[#This Row],[Tiempo solución max (hrs)]]&gt;=Tabla1[[#This Row],[Tiempo
(Hrs 00/100)]],"cumple","no cumple"),"")</f>
        <v/>
      </c>
      <c r="W4917" s="17"/>
      <c r="X4917" s="18">
        <f t="shared" si="266"/>
        <v>0</v>
      </c>
      <c r="Y4917" t="str">
        <f>SUBSTITUTE(Tabla1[[#This Row],[Descripción]],CHAR(10),"    I    ")</f>
        <v/>
      </c>
      <c r="Z4917" s="112" t="e">
        <f>VLOOKUP(Tabla1[[#This Row],[Perfil]],Catalogos!$B$75:$D$100,3,FALSE)*Tabla1[[#This Row],[Tiempo
(Hrs 00/100)]]*1.16</f>
        <v>#N/A</v>
      </c>
    </row>
    <row r="4918" spans="1:26" ht="30" customHeight="1" x14ac:dyDescent="0.3">
      <c r="A4918" s="106"/>
      <c r="B4918" s="106"/>
      <c r="C4918" s="106"/>
      <c r="D4918" s="106"/>
      <c r="E4918" s="106"/>
      <c r="F4918" s="106"/>
      <c r="G4918" s="106"/>
      <c r="H4918" s="107"/>
      <c r="I4918" s="95"/>
      <c r="J4918" s="706"/>
      <c r="K4918" s="769"/>
      <c r="L4918" s="706"/>
      <c r="M4918" s="781"/>
      <c r="N4918" s="182"/>
      <c r="O4918" s="188"/>
      <c r="P4918" s="221"/>
      <c r="Q4918" s="106"/>
      <c r="R4918" s="108"/>
      <c r="S4918" s="108"/>
      <c r="T4918" s="108"/>
      <c r="U4918" s="108" t="str">
        <f>IFERROR(VLOOKUP(CONCATENATE(Tabla1[[#This Row],[Severidad]]," ",Tabla1[[#This Row],[Complejidad]]),Catalogos!E$120:G$128,3,FALSE),"")</f>
        <v/>
      </c>
      <c r="V4918" s="108" t="str">
        <f>IF(Tabla1[[#This Row],[Tiempo solución max (hrs)]]&lt;&gt;"",IF(Tabla1[[#This Row],[Tiempo solución max (hrs)]]&gt;=Tabla1[[#This Row],[Tiempo
(Hrs 00/100)]],"cumple","no cumple"),"")</f>
        <v/>
      </c>
      <c r="W4918" s="17"/>
      <c r="X4918" s="18">
        <f t="shared" si="266"/>
        <v>0</v>
      </c>
      <c r="Y4918" t="str">
        <f>SUBSTITUTE(Tabla1[[#This Row],[Descripción]],CHAR(10),"    I    ")</f>
        <v/>
      </c>
      <c r="Z4918" s="112" t="e">
        <f>VLOOKUP(Tabla1[[#This Row],[Perfil]],Catalogos!$B$75:$D$100,3,FALSE)*Tabla1[[#This Row],[Tiempo
(Hrs 00/100)]]*1.16</f>
        <v>#N/A</v>
      </c>
    </row>
    <row r="4919" spans="1:26" ht="30" customHeight="1" x14ac:dyDescent="0.3">
      <c r="A4919" s="106"/>
      <c r="B4919" s="106"/>
      <c r="C4919" s="106"/>
      <c r="D4919" s="106"/>
      <c r="E4919" s="106"/>
      <c r="F4919" s="106"/>
      <c r="G4919" s="106"/>
      <c r="H4919" s="107"/>
      <c r="I4919" s="95"/>
      <c r="J4919" s="706"/>
      <c r="K4919" s="769"/>
      <c r="L4919" s="706"/>
      <c r="M4919" s="781"/>
      <c r="N4919" s="182"/>
      <c r="O4919" s="188"/>
      <c r="P4919" s="221"/>
      <c r="Q4919" s="106"/>
      <c r="R4919" s="108"/>
      <c r="S4919" s="108"/>
      <c r="T4919" s="108"/>
      <c r="U4919" s="108" t="str">
        <f>IFERROR(VLOOKUP(CONCATENATE(Tabla1[[#This Row],[Severidad]]," ",Tabla1[[#This Row],[Complejidad]]),Catalogos!E$120:G$128,3,FALSE),"")</f>
        <v/>
      </c>
      <c r="V4919" s="108" t="str">
        <f>IF(Tabla1[[#This Row],[Tiempo solución max (hrs)]]&lt;&gt;"",IF(Tabla1[[#This Row],[Tiempo solución max (hrs)]]&gt;=Tabla1[[#This Row],[Tiempo
(Hrs 00/100)]],"cumple","no cumple"),"")</f>
        <v/>
      </c>
      <c r="W4919" s="17"/>
      <c r="X4919" s="18">
        <f t="shared" si="266"/>
        <v>0</v>
      </c>
      <c r="Y4919" t="str">
        <f>SUBSTITUTE(Tabla1[[#This Row],[Descripción]],CHAR(10),"    I    ")</f>
        <v/>
      </c>
      <c r="Z4919" s="112" t="e">
        <f>VLOOKUP(Tabla1[[#This Row],[Perfil]],Catalogos!$B$75:$D$100,3,FALSE)*Tabla1[[#This Row],[Tiempo
(Hrs 00/100)]]*1.16</f>
        <v>#N/A</v>
      </c>
    </row>
    <row r="4920" spans="1:26" ht="30" customHeight="1" x14ac:dyDescent="0.3">
      <c r="A4920" s="106"/>
      <c r="B4920" s="106"/>
      <c r="C4920" s="106"/>
      <c r="D4920" s="106"/>
      <c r="E4920" s="106"/>
      <c r="F4920" s="106"/>
      <c r="G4920" s="106"/>
      <c r="H4920" s="107"/>
      <c r="I4920" s="95"/>
      <c r="J4920" s="706"/>
      <c r="K4920" s="769"/>
      <c r="L4920" s="706"/>
      <c r="M4920" s="781"/>
      <c r="N4920" s="182"/>
      <c r="O4920" s="188"/>
      <c r="P4920" s="221"/>
      <c r="Q4920" s="106"/>
      <c r="R4920" s="108"/>
      <c r="S4920" s="108"/>
      <c r="T4920" s="108"/>
      <c r="U4920" s="108" t="str">
        <f>IFERROR(VLOOKUP(CONCATENATE(Tabla1[[#This Row],[Severidad]]," ",Tabla1[[#This Row],[Complejidad]]),Catalogos!E$120:G$128,3,FALSE),"")</f>
        <v/>
      </c>
      <c r="V4920" s="108" t="str">
        <f>IF(Tabla1[[#This Row],[Tiempo solución max (hrs)]]&lt;&gt;"",IF(Tabla1[[#This Row],[Tiempo solución max (hrs)]]&gt;=Tabla1[[#This Row],[Tiempo
(Hrs 00/100)]],"cumple","no cumple"),"")</f>
        <v/>
      </c>
      <c r="W4920" s="17"/>
      <c r="X4920" s="18">
        <f t="shared" si="266"/>
        <v>0</v>
      </c>
      <c r="Y4920" t="str">
        <f>SUBSTITUTE(Tabla1[[#This Row],[Descripción]],CHAR(10),"    I    ")</f>
        <v/>
      </c>
      <c r="Z4920" s="112" t="e">
        <f>VLOOKUP(Tabla1[[#This Row],[Perfil]],Catalogos!$B$75:$D$100,3,FALSE)*Tabla1[[#This Row],[Tiempo
(Hrs 00/100)]]*1.16</f>
        <v>#N/A</v>
      </c>
    </row>
    <row r="4921" spans="1:26" ht="30" customHeight="1" x14ac:dyDescent="0.3">
      <c r="A4921" s="106"/>
      <c r="B4921" s="106"/>
      <c r="C4921" s="106"/>
      <c r="D4921" s="106"/>
      <c r="E4921" s="106"/>
      <c r="F4921" s="106"/>
      <c r="G4921" s="106"/>
      <c r="H4921" s="107"/>
      <c r="I4921" s="95"/>
      <c r="J4921" s="706"/>
      <c r="K4921" s="769"/>
      <c r="L4921" s="706"/>
      <c r="M4921" s="781"/>
      <c r="N4921" s="182"/>
      <c r="O4921" s="188"/>
      <c r="P4921" s="221"/>
      <c r="Q4921" s="106"/>
      <c r="R4921" s="108"/>
      <c r="S4921" s="108"/>
      <c r="T4921" s="108"/>
      <c r="U4921" s="108" t="str">
        <f>IFERROR(VLOOKUP(CONCATENATE(Tabla1[[#This Row],[Severidad]]," ",Tabla1[[#This Row],[Complejidad]]),Catalogos!E$120:G$128,3,FALSE),"")</f>
        <v/>
      </c>
      <c r="V4921" s="108" t="str">
        <f>IF(Tabla1[[#This Row],[Tiempo solución max (hrs)]]&lt;&gt;"",IF(Tabla1[[#This Row],[Tiempo solución max (hrs)]]&gt;=Tabla1[[#This Row],[Tiempo
(Hrs 00/100)]],"cumple","no cumple"),"")</f>
        <v/>
      </c>
      <c r="W4921" s="17"/>
      <c r="X4921" s="18">
        <f t="shared" si="266"/>
        <v>0</v>
      </c>
      <c r="Y4921" t="str">
        <f>SUBSTITUTE(Tabla1[[#This Row],[Descripción]],CHAR(10),"    I    ")</f>
        <v/>
      </c>
      <c r="Z4921" s="112" t="e">
        <f>VLOOKUP(Tabla1[[#This Row],[Perfil]],Catalogos!$B$75:$D$100,3,FALSE)*Tabla1[[#This Row],[Tiempo
(Hrs 00/100)]]*1.16</f>
        <v>#N/A</v>
      </c>
    </row>
    <row r="4922" spans="1:26" ht="30" customHeight="1" x14ac:dyDescent="0.3">
      <c r="A4922" s="106"/>
      <c r="B4922" s="106"/>
      <c r="C4922" s="106"/>
      <c r="D4922" s="106"/>
      <c r="E4922" s="106"/>
      <c r="F4922" s="106"/>
      <c r="G4922" s="106"/>
      <c r="H4922" s="107"/>
      <c r="I4922" s="95"/>
      <c r="J4922" s="706"/>
      <c r="K4922" s="769"/>
      <c r="L4922" s="706"/>
      <c r="M4922" s="781"/>
      <c r="N4922" s="182"/>
      <c r="O4922" s="188"/>
      <c r="P4922" s="221"/>
      <c r="Q4922" s="106"/>
      <c r="R4922" s="108"/>
      <c r="S4922" s="108"/>
      <c r="T4922" s="108"/>
      <c r="U4922" s="108" t="str">
        <f>IFERROR(VLOOKUP(CONCATENATE(Tabla1[[#This Row],[Severidad]]," ",Tabla1[[#This Row],[Complejidad]]),Catalogos!E$120:G$128,3,FALSE),"")</f>
        <v/>
      </c>
      <c r="V4922" s="108" t="str">
        <f>IF(Tabla1[[#This Row],[Tiempo solución max (hrs)]]&lt;&gt;"",IF(Tabla1[[#This Row],[Tiempo solución max (hrs)]]&gt;=Tabla1[[#This Row],[Tiempo
(Hrs 00/100)]],"cumple","no cumple"),"")</f>
        <v/>
      </c>
      <c r="W4922" s="17"/>
      <c r="X4922" s="18">
        <f t="shared" si="266"/>
        <v>0</v>
      </c>
      <c r="Y4922" t="str">
        <f>SUBSTITUTE(Tabla1[[#This Row],[Descripción]],CHAR(10),"    I    ")</f>
        <v/>
      </c>
      <c r="Z4922" s="112" t="e">
        <f>VLOOKUP(Tabla1[[#This Row],[Perfil]],Catalogos!$B$75:$D$100,3,FALSE)*Tabla1[[#This Row],[Tiempo
(Hrs 00/100)]]*1.16</f>
        <v>#N/A</v>
      </c>
    </row>
    <row r="4923" spans="1:26" ht="30" customHeight="1" x14ac:dyDescent="0.3">
      <c r="A4923" s="106"/>
      <c r="B4923" s="106"/>
      <c r="C4923" s="106"/>
      <c r="D4923" s="106"/>
      <c r="E4923" s="106"/>
      <c r="F4923" s="106"/>
      <c r="G4923" s="106"/>
      <c r="H4923" s="107"/>
      <c r="I4923" s="95"/>
      <c r="J4923" s="706"/>
      <c r="K4923" s="769"/>
      <c r="L4923" s="706"/>
      <c r="M4923" s="781"/>
      <c r="N4923" s="182"/>
      <c r="O4923" s="188"/>
      <c r="P4923" s="221"/>
      <c r="Q4923" s="106"/>
      <c r="R4923" s="108"/>
      <c r="S4923" s="108"/>
      <c r="T4923" s="108"/>
      <c r="U4923" s="108" t="str">
        <f>IFERROR(VLOOKUP(CONCATENATE(Tabla1[[#This Row],[Severidad]]," ",Tabla1[[#This Row],[Complejidad]]),Catalogos!E$120:G$128,3,FALSE),"")</f>
        <v/>
      </c>
      <c r="V4923" s="108" t="str">
        <f>IF(Tabla1[[#This Row],[Tiempo solución max (hrs)]]&lt;&gt;"",IF(Tabla1[[#This Row],[Tiempo solución max (hrs)]]&gt;=Tabla1[[#This Row],[Tiempo
(Hrs 00/100)]],"cumple","no cumple"),"")</f>
        <v/>
      </c>
      <c r="W4923" s="17"/>
      <c r="X4923" s="18">
        <f t="shared" si="266"/>
        <v>0</v>
      </c>
      <c r="Y4923" t="str">
        <f>SUBSTITUTE(Tabla1[[#This Row],[Descripción]],CHAR(10),"    I    ")</f>
        <v/>
      </c>
      <c r="Z4923" s="112" t="e">
        <f>VLOOKUP(Tabla1[[#This Row],[Perfil]],Catalogos!$B$75:$D$100,3,FALSE)*Tabla1[[#This Row],[Tiempo
(Hrs 00/100)]]*1.16</f>
        <v>#N/A</v>
      </c>
    </row>
    <row r="4924" spans="1:26" ht="30" customHeight="1" x14ac:dyDescent="0.3">
      <c r="A4924" s="106"/>
      <c r="B4924" s="106"/>
      <c r="C4924" s="106"/>
      <c r="D4924" s="106"/>
      <c r="E4924" s="106"/>
      <c r="F4924" s="106"/>
      <c r="G4924" s="106"/>
      <c r="H4924" s="107"/>
      <c r="I4924" s="95"/>
      <c r="J4924" s="706"/>
      <c r="K4924" s="769"/>
      <c r="L4924" s="706"/>
      <c r="M4924" s="781"/>
      <c r="N4924" s="182"/>
      <c r="O4924" s="188"/>
      <c r="P4924" s="221"/>
      <c r="Q4924" s="106"/>
      <c r="R4924" s="108"/>
      <c r="S4924" s="108"/>
      <c r="T4924" s="108"/>
      <c r="U4924" s="108" t="str">
        <f>IFERROR(VLOOKUP(CONCATENATE(Tabla1[[#This Row],[Severidad]]," ",Tabla1[[#This Row],[Complejidad]]),Catalogos!E$120:G$128,3,FALSE),"")</f>
        <v/>
      </c>
      <c r="V4924" s="108" t="str">
        <f>IF(Tabla1[[#This Row],[Tiempo solución max (hrs)]]&lt;&gt;"",IF(Tabla1[[#This Row],[Tiempo solución max (hrs)]]&gt;=Tabla1[[#This Row],[Tiempo
(Hrs 00/100)]],"cumple","no cumple"),"")</f>
        <v/>
      </c>
      <c r="W4924" s="17"/>
      <c r="X4924" s="18">
        <f t="shared" si="266"/>
        <v>0</v>
      </c>
      <c r="Y4924" t="str">
        <f>SUBSTITUTE(Tabla1[[#This Row],[Descripción]],CHAR(10),"    I    ")</f>
        <v/>
      </c>
      <c r="Z4924" s="112" t="e">
        <f>VLOOKUP(Tabla1[[#This Row],[Perfil]],Catalogos!$B$75:$D$100,3,FALSE)*Tabla1[[#This Row],[Tiempo
(Hrs 00/100)]]*1.16</f>
        <v>#N/A</v>
      </c>
    </row>
    <row r="4925" spans="1:26" ht="30" customHeight="1" x14ac:dyDescent="0.3">
      <c r="A4925" s="106"/>
      <c r="B4925" s="106"/>
      <c r="C4925" s="106"/>
      <c r="D4925" s="106"/>
      <c r="E4925" s="106"/>
      <c r="F4925" s="106"/>
      <c r="G4925" s="106"/>
      <c r="H4925" s="107"/>
      <c r="I4925" s="95"/>
      <c r="J4925" s="706"/>
      <c r="K4925" s="769"/>
      <c r="L4925" s="706"/>
      <c r="M4925" s="781"/>
      <c r="N4925" s="182"/>
      <c r="O4925" s="188"/>
      <c r="P4925" s="221"/>
      <c r="Q4925" s="106"/>
      <c r="R4925" s="108"/>
      <c r="S4925" s="108"/>
      <c r="T4925" s="108"/>
      <c r="U4925" s="108" t="str">
        <f>IFERROR(VLOOKUP(CONCATENATE(Tabla1[[#This Row],[Severidad]]," ",Tabla1[[#This Row],[Complejidad]]),Catalogos!E$120:G$128,3,FALSE),"")</f>
        <v/>
      </c>
      <c r="V4925" s="108" t="str">
        <f>IF(Tabla1[[#This Row],[Tiempo solución max (hrs)]]&lt;&gt;"",IF(Tabla1[[#This Row],[Tiempo solución max (hrs)]]&gt;=Tabla1[[#This Row],[Tiempo
(Hrs 00/100)]],"cumple","no cumple"),"")</f>
        <v/>
      </c>
      <c r="W4925" s="17"/>
      <c r="X4925" s="18">
        <f t="shared" si="266"/>
        <v>0</v>
      </c>
      <c r="Y4925" t="str">
        <f>SUBSTITUTE(Tabla1[[#This Row],[Descripción]],CHAR(10),"    I    ")</f>
        <v/>
      </c>
      <c r="Z4925" s="112" t="e">
        <f>VLOOKUP(Tabla1[[#This Row],[Perfil]],Catalogos!$B$75:$D$100,3,FALSE)*Tabla1[[#This Row],[Tiempo
(Hrs 00/100)]]*1.16</f>
        <v>#N/A</v>
      </c>
    </row>
    <row r="4926" spans="1:26" ht="30" customHeight="1" x14ac:dyDescent="0.3">
      <c r="A4926" s="106"/>
      <c r="B4926" s="106"/>
      <c r="C4926" s="106"/>
      <c r="D4926" s="106"/>
      <c r="E4926" s="106"/>
      <c r="F4926" s="106"/>
      <c r="G4926" s="106"/>
      <c r="H4926" s="107"/>
      <c r="I4926" s="95"/>
      <c r="J4926" s="706"/>
      <c r="K4926" s="769"/>
      <c r="L4926" s="706"/>
      <c r="M4926" s="781"/>
      <c r="N4926" s="182"/>
      <c r="O4926" s="188"/>
      <c r="P4926" s="221"/>
      <c r="Q4926" s="106"/>
      <c r="R4926" s="108"/>
      <c r="S4926" s="108"/>
      <c r="T4926" s="108"/>
      <c r="U4926" s="108" t="str">
        <f>IFERROR(VLOOKUP(CONCATENATE(Tabla1[[#This Row],[Severidad]]," ",Tabla1[[#This Row],[Complejidad]]),Catalogos!E$120:G$128,3,FALSE),"")</f>
        <v/>
      </c>
      <c r="V4926" s="108" t="str">
        <f>IF(Tabla1[[#This Row],[Tiempo solución max (hrs)]]&lt;&gt;"",IF(Tabla1[[#This Row],[Tiempo solución max (hrs)]]&gt;=Tabla1[[#This Row],[Tiempo
(Hrs 00/100)]],"cumple","no cumple"),"")</f>
        <v/>
      </c>
      <c r="W4926" s="17"/>
      <c r="X4926" s="18">
        <f t="shared" si="266"/>
        <v>0</v>
      </c>
      <c r="Y4926" t="str">
        <f>SUBSTITUTE(Tabla1[[#This Row],[Descripción]],CHAR(10),"    I    ")</f>
        <v/>
      </c>
      <c r="Z4926" s="112" t="e">
        <f>VLOOKUP(Tabla1[[#This Row],[Perfil]],Catalogos!$B$75:$D$100,3,FALSE)*Tabla1[[#This Row],[Tiempo
(Hrs 00/100)]]*1.16</f>
        <v>#N/A</v>
      </c>
    </row>
    <row r="4927" spans="1:26" ht="30" customHeight="1" x14ac:dyDescent="0.3">
      <c r="A4927" s="106"/>
      <c r="B4927" s="106"/>
      <c r="C4927" s="106"/>
      <c r="D4927" s="106"/>
      <c r="E4927" s="106"/>
      <c r="F4927" s="106"/>
      <c r="G4927" s="106"/>
      <c r="H4927" s="107"/>
      <c r="I4927" s="95"/>
      <c r="J4927" s="706"/>
      <c r="K4927" s="769"/>
      <c r="L4927" s="706"/>
      <c r="M4927" s="781"/>
      <c r="N4927" s="182"/>
      <c r="O4927" s="188"/>
      <c r="P4927" s="221"/>
      <c r="Q4927" s="106"/>
      <c r="R4927" s="108"/>
      <c r="S4927" s="108"/>
      <c r="T4927" s="108"/>
      <c r="U4927" s="108" t="str">
        <f>IFERROR(VLOOKUP(CONCATENATE(Tabla1[[#This Row],[Severidad]]," ",Tabla1[[#This Row],[Complejidad]]),Catalogos!E$120:G$128,3,FALSE),"")</f>
        <v/>
      </c>
      <c r="V4927" s="108" t="str">
        <f>IF(Tabla1[[#This Row],[Tiempo solución max (hrs)]]&lt;&gt;"",IF(Tabla1[[#This Row],[Tiempo solución max (hrs)]]&gt;=Tabla1[[#This Row],[Tiempo
(Hrs 00/100)]],"cumple","no cumple"),"")</f>
        <v/>
      </c>
      <c r="W4927" s="17"/>
      <c r="X4927" s="18">
        <f t="shared" si="266"/>
        <v>0</v>
      </c>
      <c r="Y4927" t="str">
        <f>SUBSTITUTE(Tabla1[[#This Row],[Descripción]],CHAR(10),"    I    ")</f>
        <v/>
      </c>
      <c r="Z4927" s="112" t="e">
        <f>VLOOKUP(Tabla1[[#This Row],[Perfil]],Catalogos!$B$75:$D$100,3,FALSE)*Tabla1[[#This Row],[Tiempo
(Hrs 00/100)]]*1.16</f>
        <v>#N/A</v>
      </c>
    </row>
    <row r="4928" spans="1:26" ht="30" customHeight="1" x14ac:dyDescent="0.3">
      <c r="A4928" s="106"/>
      <c r="B4928" s="106"/>
      <c r="C4928" s="106"/>
      <c r="D4928" s="106"/>
      <c r="E4928" s="106"/>
      <c r="F4928" s="106"/>
      <c r="G4928" s="106"/>
      <c r="H4928" s="107"/>
      <c r="I4928" s="95"/>
      <c r="J4928" s="706"/>
      <c r="K4928" s="769"/>
      <c r="L4928" s="706"/>
      <c r="M4928" s="781"/>
      <c r="N4928" s="182"/>
      <c r="O4928" s="188"/>
      <c r="P4928" s="221"/>
      <c r="Q4928" s="106"/>
      <c r="R4928" s="108"/>
      <c r="S4928" s="108"/>
      <c r="T4928" s="108"/>
      <c r="U4928" s="108" t="str">
        <f>IFERROR(VLOOKUP(CONCATENATE(Tabla1[[#This Row],[Severidad]]," ",Tabla1[[#This Row],[Complejidad]]),Catalogos!E$120:G$128,3,FALSE),"")</f>
        <v/>
      </c>
      <c r="V4928" s="108" t="str">
        <f>IF(Tabla1[[#This Row],[Tiempo solución max (hrs)]]&lt;&gt;"",IF(Tabla1[[#This Row],[Tiempo solución max (hrs)]]&gt;=Tabla1[[#This Row],[Tiempo
(Hrs 00/100)]],"cumple","no cumple"),"")</f>
        <v/>
      </c>
      <c r="W4928" s="17"/>
      <c r="X4928" s="18">
        <f t="shared" si="266"/>
        <v>0</v>
      </c>
      <c r="Y4928" t="str">
        <f>SUBSTITUTE(Tabla1[[#This Row],[Descripción]],CHAR(10),"    I    ")</f>
        <v/>
      </c>
      <c r="Z4928" s="112" t="e">
        <f>VLOOKUP(Tabla1[[#This Row],[Perfil]],Catalogos!$B$75:$D$100,3,FALSE)*Tabla1[[#This Row],[Tiempo
(Hrs 00/100)]]*1.16</f>
        <v>#N/A</v>
      </c>
    </row>
    <row r="4929" spans="1:26" ht="30" customHeight="1" x14ac:dyDescent="0.3">
      <c r="A4929" s="106"/>
      <c r="B4929" s="106"/>
      <c r="C4929" s="106"/>
      <c r="D4929" s="106"/>
      <c r="E4929" s="106"/>
      <c r="F4929" s="106"/>
      <c r="G4929" s="106"/>
      <c r="H4929" s="107"/>
      <c r="I4929" s="95"/>
      <c r="J4929" s="706"/>
      <c r="K4929" s="769"/>
      <c r="L4929" s="706"/>
      <c r="M4929" s="781"/>
      <c r="N4929" s="182"/>
      <c r="O4929" s="188"/>
      <c r="P4929" s="221"/>
      <c r="Q4929" s="106"/>
      <c r="R4929" s="108"/>
      <c r="S4929" s="108"/>
      <c r="T4929" s="108"/>
      <c r="U4929" s="108" t="str">
        <f>IFERROR(VLOOKUP(CONCATENATE(Tabla1[[#This Row],[Severidad]]," ",Tabla1[[#This Row],[Complejidad]]),Catalogos!E$120:G$128,3,FALSE),"")</f>
        <v/>
      </c>
      <c r="V4929" s="108" t="str">
        <f>IF(Tabla1[[#This Row],[Tiempo solución max (hrs)]]&lt;&gt;"",IF(Tabla1[[#This Row],[Tiempo solución max (hrs)]]&gt;=Tabla1[[#This Row],[Tiempo
(Hrs 00/100)]],"cumple","no cumple"),"")</f>
        <v/>
      </c>
      <c r="W4929" s="17"/>
      <c r="X4929" s="18">
        <f t="shared" si="266"/>
        <v>0</v>
      </c>
      <c r="Y4929" t="str">
        <f>SUBSTITUTE(Tabla1[[#This Row],[Descripción]],CHAR(10),"    I    ")</f>
        <v/>
      </c>
      <c r="Z4929" s="112" t="e">
        <f>VLOOKUP(Tabla1[[#This Row],[Perfil]],Catalogos!$B$75:$D$100,3,FALSE)*Tabla1[[#This Row],[Tiempo
(Hrs 00/100)]]*1.16</f>
        <v>#N/A</v>
      </c>
    </row>
    <row r="4930" spans="1:26" ht="30" customHeight="1" x14ac:dyDescent="0.3">
      <c r="A4930" s="106"/>
      <c r="B4930" s="106"/>
      <c r="C4930" s="106"/>
      <c r="D4930" s="106"/>
      <c r="E4930" s="106"/>
      <c r="F4930" s="106"/>
      <c r="G4930" s="106"/>
      <c r="H4930" s="107"/>
      <c r="I4930" s="95"/>
      <c r="J4930" s="706"/>
      <c r="K4930" s="769"/>
      <c r="L4930" s="706"/>
      <c r="M4930" s="781"/>
      <c r="N4930" s="182"/>
      <c r="O4930" s="188"/>
      <c r="P4930" s="221"/>
      <c r="Q4930" s="106"/>
      <c r="R4930" s="108"/>
      <c r="S4930" s="108"/>
      <c r="T4930" s="108"/>
      <c r="U4930" s="108" t="str">
        <f>IFERROR(VLOOKUP(CONCATENATE(Tabla1[[#This Row],[Severidad]]," ",Tabla1[[#This Row],[Complejidad]]),Catalogos!E$120:G$128,3,FALSE),"")</f>
        <v/>
      </c>
      <c r="V4930" s="108" t="str">
        <f>IF(Tabla1[[#This Row],[Tiempo solución max (hrs)]]&lt;&gt;"",IF(Tabla1[[#This Row],[Tiempo solución max (hrs)]]&gt;=Tabla1[[#This Row],[Tiempo
(Hrs 00/100)]],"cumple","no cumple"),"")</f>
        <v/>
      </c>
      <c r="W4930" s="17"/>
      <c r="X4930" s="18">
        <f t="shared" si="266"/>
        <v>0</v>
      </c>
      <c r="Y4930" t="str">
        <f>SUBSTITUTE(Tabla1[[#This Row],[Descripción]],CHAR(10),"    I    ")</f>
        <v/>
      </c>
      <c r="Z4930" s="112" t="e">
        <f>VLOOKUP(Tabla1[[#This Row],[Perfil]],Catalogos!$B$75:$D$100,3,FALSE)*Tabla1[[#This Row],[Tiempo
(Hrs 00/100)]]*1.16</f>
        <v>#N/A</v>
      </c>
    </row>
    <row r="4931" spans="1:26" ht="30" customHeight="1" x14ac:dyDescent="0.3">
      <c r="A4931" s="106"/>
      <c r="B4931" s="106"/>
      <c r="C4931" s="106"/>
      <c r="D4931" s="106"/>
      <c r="E4931" s="106"/>
      <c r="F4931" s="106"/>
      <c r="G4931" s="106"/>
      <c r="H4931" s="107"/>
      <c r="I4931" s="95"/>
      <c r="J4931" s="706"/>
      <c r="K4931" s="769"/>
      <c r="L4931" s="706"/>
      <c r="M4931" s="781"/>
      <c r="N4931" s="182"/>
      <c r="O4931" s="188"/>
      <c r="P4931" s="221"/>
      <c r="Q4931" s="106"/>
      <c r="R4931" s="108"/>
      <c r="S4931" s="108"/>
      <c r="T4931" s="108"/>
      <c r="U4931" s="108" t="str">
        <f>IFERROR(VLOOKUP(CONCATENATE(Tabla1[[#This Row],[Severidad]]," ",Tabla1[[#This Row],[Complejidad]]),Catalogos!E$120:G$128,3,FALSE),"")</f>
        <v/>
      </c>
      <c r="V4931" s="108" t="str">
        <f>IF(Tabla1[[#This Row],[Tiempo solución max (hrs)]]&lt;&gt;"",IF(Tabla1[[#This Row],[Tiempo solución max (hrs)]]&gt;=Tabla1[[#This Row],[Tiempo
(Hrs 00/100)]],"cumple","no cumple"),"")</f>
        <v/>
      </c>
      <c r="W4931" s="17"/>
      <c r="X4931" s="18">
        <f t="shared" ref="X4931:X4994" si="267">IF(C4931&lt;&gt;"",C4931,D4931)</f>
        <v>0</v>
      </c>
      <c r="Y4931" t="str">
        <f>SUBSTITUTE(Tabla1[[#This Row],[Descripción]],CHAR(10),"    I    ")</f>
        <v/>
      </c>
      <c r="Z4931" s="112" t="e">
        <f>VLOOKUP(Tabla1[[#This Row],[Perfil]],Catalogos!$B$75:$D$100,3,FALSE)*Tabla1[[#This Row],[Tiempo
(Hrs 00/100)]]*1.16</f>
        <v>#N/A</v>
      </c>
    </row>
    <row r="4932" spans="1:26" ht="30" customHeight="1" x14ac:dyDescent="0.3">
      <c r="A4932" s="106"/>
      <c r="B4932" s="106"/>
      <c r="C4932" s="106"/>
      <c r="D4932" s="106"/>
      <c r="E4932" s="106"/>
      <c r="F4932" s="106"/>
      <c r="G4932" s="106"/>
      <c r="H4932" s="107"/>
      <c r="I4932" s="95"/>
      <c r="J4932" s="706"/>
      <c r="K4932" s="769"/>
      <c r="L4932" s="706"/>
      <c r="M4932" s="781"/>
      <c r="N4932" s="182"/>
      <c r="O4932" s="188"/>
      <c r="P4932" s="221"/>
      <c r="Q4932" s="106"/>
      <c r="R4932" s="108"/>
      <c r="S4932" s="108"/>
      <c r="T4932" s="108"/>
      <c r="U4932" s="108" t="str">
        <f>IFERROR(VLOOKUP(CONCATENATE(Tabla1[[#This Row],[Severidad]]," ",Tabla1[[#This Row],[Complejidad]]),Catalogos!E$120:G$128,3,FALSE),"")</f>
        <v/>
      </c>
      <c r="V4932" s="108" t="str">
        <f>IF(Tabla1[[#This Row],[Tiempo solución max (hrs)]]&lt;&gt;"",IF(Tabla1[[#This Row],[Tiempo solución max (hrs)]]&gt;=Tabla1[[#This Row],[Tiempo
(Hrs 00/100)]],"cumple","no cumple"),"")</f>
        <v/>
      </c>
      <c r="W4932" s="17"/>
      <c r="X4932" s="18">
        <f t="shared" si="267"/>
        <v>0</v>
      </c>
      <c r="Y4932" t="str">
        <f>SUBSTITUTE(Tabla1[[#This Row],[Descripción]],CHAR(10),"    I    ")</f>
        <v/>
      </c>
      <c r="Z4932" s="112" t="e">
        <f>VLOOKUP(Tabla1[[#This Row],[Perfil]],Catalogos!$B$75:$D$100,3,FALSE)*Tabla1[[#This Row],[Tiempo
(Hrs 00/100)]]*1.16</f>
        <v>#N/A</v>
      </c>
    </row>
    <row r="4933" spans="1:26" ht="30" customHeight="1" x14ac:dyDescent="0.3">
      <c r="A4933" s="106"/>
      <c r="B4933" s="106"/>
      <c r="C4933" s="106"/>
      <c r="D4933" s="106"/>
      <c r="E4933" s="106"/>
      <c r="F4933" s="106"/>
      <c r="G4933" s="106"/>
      <c r="H4933" s="107"/>
      <c r="I4933" s="95"/>
      <c r="J4933" s="706"/>
      <c r="K4933" s="769"/>
      <c r="L4933" s="706"/>
      <c r="M4933" s="781"/>
      <c r="N4933" s="182"/>
      <c r="O4933" s="188"/>
      <c r="P4933" s="221"/>
      <c r="Q4933" s="106"/>
      <c r="R4933" s="108"/>
      <c r="S4933" s="108"/>
      <c r="T4933" s="108"/>
      <c r="U4933" s="108" t="str">
        <f>IFERROR(VLOOKUP(CONCATENATE(Tabla1[[#This Row],[Severidad]]," ",Tabla1[[#This Row],[Complejidad]]),Catalogos!E$120:G$128,3,FALSE),"")</f>
        <v/>
      </c>
      <c r="V4933" s="108" t="str">
        <f>IF(Tabla1[[#This Row],[Tiempo solución max (hrs)]]&lt;&gt;"",IF(Tabla1[[#This Row],[Tiempo solución max (hrs)]]&gt;=Tabla1[[#This Row],[Tiempo
(Hrs 00/100)]],"cumple","no cumple"),"")</f>
        <v/>
      </c>
      <c r="W4933" s="17"/>
      <c r="X4933" s="18">
        <f t="shared" si="267"/>
        <v>0</v>
      </c>
      <c r="Y4933" t="str">
        <f>SUBSTITUTE(Tabla1[[#This Row],[Descripción]],CHAR(10),"    I    ")</f>
        <v/>
      </c>
      <c r="Z4933" s="112" t="e">
        <f>VLOOKUP(Tabla1[[#This Row],[Perfil]],Catalogos!$B$75:$D$100,3,FALSE)*Tabla1[[#This Row],[Tiempo
(Hrs 00/100)]]*1.16</f>
        <v>#N/A</v>
      </c>
    </row>
    <row r="4934" spans="1:26" ht="30" customHeight="1" x14ac:dyDescent="0.3">
      <c r="A4934" s="106"/>
      <c r="B4934" s="106"/>
      <c r="C4934" s="106"/>
      <c r="D4934" s="106"/>
      <c r="E4934" s="106"/>
      <c r="F4934" s="106"/>
      <c r="G4934" s="106"/>
      <c r="H4934" s="107"/>
      <c r="I4934" s="95"/>
      <c r="J4934" s="706"/>
      <c r="K4934" s="769"/>
      <c r="L4934" s="706"/>
      <c r="M4934" s="781"/>
      <c r="N4934" s="182"/>
      <c r="O4934" s="188"/>
      <c r="P4934" s="221"/>
      <c r="Q4934" s="106"/>
      <c r="R4934" s="108"/>
      <c r="S4934" s="108"/>
      <c r="T4934" s="108"/>
      <c r="U4934" s="108" t="str">
        <f>IFERROR(VLOOKUP(CONCATENATE(Tabla1[[#This Row],[Severidad]]," ",Tabla1[[#This Row],[Complejidad]]),Catalogos!E$120:G$128,3,FALSE),"")</f>
        <v/>
      </c>
      <c r="V4934" s="108" t="str">
        <f>IF(Tabla1[[#This Row],[Tiempo solución max (hrs)]]&lt;&gt;"",IF(Tabla1[[#This Row],[Tiempo solución max (hrs)]]&gt;=Tabla1[[#This Row],[Tiempo
(Hrs 00/100)]],"cumple","no cumple"),"")</f>
        <v/>
      </c>
      <c r="W4934" s="17"/>
      <c r="X4934" s="18">
        <f t="shared" si="267"/>
        <v>0</v>
      </c>
      <c r="Y4934" t="str">
        <f>SUBSTITUTE(Tabla1[[#This Row],[Descripción]],CHAR(10),"    I    ")</f>
        <v/>
      </c>
      <c r="Z4934" s="112" t="e">
        <f>VLOOKUP(Tabla1[[#This Row],[Perfil]],Catalogos!$B$75:$D$100,3,FALSE)*Tabla1[[#This Row],[Tiempo
(Hrs 00/100)]]*1.16</f>
        <v>#N/A</v>
      </c>
    </row>
    <row r="4935" spans="1:26" ht="30" customHeight="1" x14ac:dyDescent="0.3">
      <c r="A4935" s="106"/>
      <c r="B4935" s="106"/>
      <c r="C4935" s="106"/>
      <c r="D4935" s="106"/>
      <c r="E4935" s="106"/>
      <c r="F4935" s="106"/>
      <c r="G4935" s="106"/>
      <c r="H4935" s="107"/>
      <c r="I4935" s="95"/>
      <c r="J4935" s="706"/>
      <c r="K4935" s="769"/>
      <c r="L4935" s="706"/>
      <c r="M4935" s="781"/>
      <c r="N4935" s="182"/>
      <c r="O4935" s="188"/>
      <c r="P4935" s="221"/>
      <c r="Q4935" s="106"/>
      <c r="R4935" s="108"/>
      <c r="S4935" s="108"/>
      <c r="T4935" s="108"/>
      <c r="U4935" s="108" t="str">
        <f>IFERROR(VLOOKUP(CONCATENATE(Tabla1[[#This Row],[Severidad]]," ",Tabla1[[#This Row],[Complejidad]]),Catalogos!E$120:G$128,3,FALSE),"")</f>
        <v/>
      </c>
      <c r="V4935" s="108" t="str">
        <f>IF(Tabla1[[#This Row],[Tiempo solución max (hrs)]]&lt;&gt;"",IF(Tabla1[[#This Row],[Tiempo solución max (hrs)]]&gt;=Tabla1[[#This Row],[Tiempo
(Hrs 00/100)]],"cumple","no cumple"),"")</f>
        <v/>
      </c>
      <c r="W4935" s="17"/>
      <c r="X4935" s="18">
        <f t="shared" si="267"/>
        <v>0</v>
      </c>
      <c r="Y4935" t="str">
        <f>SUBSTITUTE(Tabla1[[#This Row],[Descripción]],CHAR(10),"    I    ")</f>
        <v/>
      </c>
      <c r="Z4935" s="112" t="e">
        <f>VLOOKUP(Tabla1[[#This Row],[Perfil]],Catalogos!$B$75:$D$100,3,FALSE)*Tabla1[[#This Row],[Tiempo
(Hrs 00/100)]]*1.16</f>
        <v>#N/A</v>
      </c>
    </row>
    <row r="4936" spans="1:26" ht="30" customHeight="1" x14ac:dyDescent="0.3">
      <c r="A4936" s="106"/>
      <c r="B4936" s="106"/>
      <c r="C4936" s="106"/>
      <c r="D4936" s="106"/>
      <c r="E4936" s="106"/>
      <c r="F4936" s="106"/>
      <c r="G4936" s="106"/>
      <c r="H4936" s="107"/>
      <c r="I4936" s="95"/>
      <c r="J4936" s="706"/>
      <c r="K4936" s="769"/>
      <c r="L4936" s="706"/>
      <c r="M4936" s="781"/>
      <c r="N4936" s="182"/>
      <c r="O4936" s="188"/>
      <c r="P4936" s="221"/>
      <c r="Q4936" s="106"/>
      <c r="R4936" s="108"/>
      <c r="S4936" s="108"/>
      <c r="T4936" s="108"/>
      <c r="U4936" s="108" t="str">
        <f>IFERROR(VLOOKUP(CONCATENATE(Tabla1[[#This Row],[Severidad]]," ",Tabla1[[#This Row],[Complejidad]]),Catalogos!E$120:G$128,3,FALSE),"")</f>
        <v/>
      </c>
      <c r="V4936" s="108" t="str">
        <f>IF(Tabla1[[#This Row],[Tiempo solución max (hrs)]]&lt;&gt;"",IF(Tabla1[[#This Row],[Tiempo solución max (hrs)]]&gt;=Tabla1[[#This Row],[Tiempo
(Hrs 00/100)]],"cumple","no cumple"),"")</f>
        <v/>
      </c>
      <c r="W4936" s="17"/>
      <c r="X4936" s="18">
        <f t="shared" si="267"/>
        <v>0</v>
      </c>
      <c r="Y4936" t="str">
        <f>SUBSTITUTE(Tabla1[[#This Row],[Descripción]],CHAR(10),"    I    ")</f>
        <v/>
      </c>
      <c r="Z4936" s="112" t="e">
        <f>VLOOKUP(Tabla1[[#This Row],[Perfil]],Catalogos!$B$75:$D$100,3,FALSE)*Tabla1[[#This Row],[Tiempo
(Hrs 00/100)]]*1.16</f>
        <v>#N/A</v>
      </c>
    </row>
    <row r="4937" spans="1:26" ht="30" customHeight="1" x14ac:dyDescent="0.3">
      <c r="A4937" s="106"/>
      <c r="B4937" s="106"/>
      <c r="C4937" s="106"/>
      <c r="D4937" s="106"/>
      <c r="E4937" s="106"/>
      <c r="F4937" s="106"/>
      <c r="G4937" s="106"/>
      <c r="H4937" s="107"/>
      <c r="I4937" s="95"/>
      <c r="J4937" s="706"/>
      <c r="K4937" s="769"/>
      <c r="L4937" s="706"/>
      <c r="M4937" s="781"/>
      <c r="N4937" s="182"/>
      <c r="O4937" s="188"/>
      <c r="P4937" s="221"/>
      <c r="Q4937" s="106"/>
      <c r="R4937" s="108"/>
      <c r="S4937" s="108"/>
      <c r="T4937" s="108"/>
      <c r="U4937" s="108" t="str">
        <f>IFERROR(VLOOKUP(CONCATENATE(Tabla1[[#This Row],[Severidad]]," ",Tabla1[[#This Row],[Complejidad]]),Catalogos!E$120:G$128,3,FALSE),"")</f>
        <v/>
      </c>
      <c r="V4937" s="108" t="str">
        <f>IF(Tabla1[[#This Row],[Tiempo solución max (hrs)]]&lt;&gt;"",IF(Tabla1[[#This Row],[Tiempo solución max (hrs)]]&gt;=Tabla1[[#This Row],[Tiempo
(Hrs 00/100)]],"cumple","no cumple"),"")</f>
        <v/>
      </c>
      <c r="W4937" s="17"/>
      <c r="X4937" s="18">
        <f t="shared" si="267"/>
        <v>0</v>
      </c>
      <c r="Y4937" t="str">
        <f>SUBSTITUTE(Tabla1[[#This Row],[Descripción]],CHAR(10),"    I    ")</f>
        <v/>
      </c>
      <c r="Z4937" s="112" t="e">
        <f>VLOOKUP(Tabla1[[#This Row],[Perfil]],Catalogos!$B$75:$D$100,3,FALSE)*Tabla1[[#This Row],[Tiempo
(Hrs 00/100)]]*1.16</f>
        <v>#N/A</v>
      </c>
    </row>
    <row r="4938" spans="1:26" ht="30" customHeight="1" x14ac:dyDescent="0.3">
      <c r="A4938" s="106"/>
      <c r="B4938" s="106"/>
      <c r="C4938" s="106"/>
      <c r="D4938" s="106"/>
      <c r="E4938" s="106"/>
      <c r="F4938" s="106"/>
      <c r="G4938" s="106"/>
      <c r="H4938" s="107"/>
      <c r="I4938" s="95"/>
      <c r="J4938" s="706"/>
      <c r="K4938" s="769"/>
      <c r="L4938" s="706"/>
      <c r="M4938" s="781"/>
      <c r="N4938" s="182"/>
      <c r="O4938" s="188"/>
      <c r="P4938" s="221"/>
      <c r="Q4938" s="106"/>
      <c r="R4938" s="108"/>
      <c r="S4938" s="108"/>
      <c r="T4938" s="108"/>
      <c r="U4938" s="108" t="str">
        <f>IFERROR(VLOOKUP(CONCATENATE(Tabla1[[#This Row],[Severidad]]," ",Tabla1[[#This Row],[Complejidad]]),Catalogos!E$120:G$128,3,FALSE),"")</f>
        <v/>
      </c>
      <c r="V4938" s="108" t="str">
        <f>IF(Tabla1[[#This Row],[Tiempo solución max (hrs)]]&lt;&gt;"",IF(Tabla1[[#This Row],[Tiempo solución max (hrs)]]&gt;=Tabla1[[#This Row],[Tiempo
(Hrs 00/100)]],"cumple","no cumple"),"")</f>
        <v/>
      </c>
      <c r="W4938" s="17"/>
      <c r="X4938" s="18">
        <f t="shared" si="267"/>
        <v>0</v>
      </c>
      <c r="Y4938" t="str">
        <f>SUBSTITUTE(Tabla1[[#This Row],[Descripción]],CHAR(10),"    I    ")</f>
        <v/>
      </c>
      <c r="Z4938" s="112" t="e">
        <f>VLOOKUP(Tabla1[[#This Row],[Perfil]],Catalogos!$B$75:$D$100,3,FALSE)*Tabla1[[#This Row],[Tiempo
(Hrs 00/100)]]*1.16</f>
        <v>#N/A</v>
      </c>
    </row>
    <row r="4939" spans="1:26" ht="30" customHeight="1" x14ac:dyDescent="0.3">
      <c r="A4939" s="106"/>
      <c r="B4939" s="106"/>
      <c r="C4939" s="106"/>
      <c r="D4939" s="106"/>
      <c r="E4939" s="106"/>
      <c r="F4939" s="106"/>
      <c r="G4939" s="106"/>
      <c r="H4939" s="107"/>
      <c r="I4939" s="95"/>
      <c r="J4939" s="706"/>
      <c r="K4939" s="769"/>
      <c r="L4939" s="706"/>
      <c r="M4939" s="781"/>
      <c r="N4939" s="182"/>
      <c r="O4939" s="188"/>
      <c r="P4939" s="221"/>
      <c r="Q4939" s="106"/>
      <c r="R4939" s="108"/>
      <c r="S4939" s="108"/>
      <c r="T4939" s="108"/>
      <c r="U4939" s="108" t="str">
        <f>IFERROR(VLOOKUP(CONCATENATE(Tabla1[[#This Row],[Severidad]]," ",Tabla1[[#This Row],[Complejidad]]),Catalogos!E$120:G$128,3,FALSE),"")</f>
        <v/>
      </c>
      <c r="V4939" s="108" t="str">
        <f>IF(Tabla1[[#This Row],[Tiempo solución max (hrs)]]&lt;&gt;"",IF(Tabla1[[#This Row],[Tiempo solución max (hrs)]]&gt;=Tabla1[[#This Row],[Tiempo
(Hrs 00/100)]],"cumple","no cumple"),"")</f>
        <v/>
      </c>
      <c r="W4939" s="17"/>
      <c r="X4939" s="18">
        <f t="shared" si="267"/>
        <v>0</v>
      </c>
      <c r="Y4939" t="str">
        <f>SUBSTITUTE(Tabla1[[#This Row],[Descripción]],CHAR(10),"    I    ")</f>
        <v/>
      </c>
      <c r="Z4939" s="112" t="e">
        <f>VLOOKUP(Tabla1[[#This Row],[Perfil]],Catalogos!$B$75:$D$100,3,FALSE)*Tabla1[[#This Row],[Tiempo
(Hrs 00/100)]]*1.16</f>
        <v>#N/A</v>
      </c>
    </row>
    <row r="4940" spans="1:26" ht="30" customHeight="1" x14ac:dyDescent="0.3">
      <c r="A4940" s="106"/>
      <c r="B4940" s="106"/>
      <c r="C4940" s="106"/>
      <c r="D4940" s="106"/>
      <c r="E4940" s="106"/>
      <c r="F4940" s="106"/>
      <c r="G4940" s="106"/>
      <c r="H4940" s="107"/>
      <c r="I4940" s="95"/>
      <c r="J4940" s="706"/>
      <c r="K4940" s="769"/>
      <c r="L4940" s="706"/>
      <c r="M4940" s="781"/>
      <c r="N4940" s="182"/>
      <c r="O4940" s="188"/>
      <c r="P4940" s="221"/>
      <c r="Q4940" s="106"/>
      <c r="R4940" s="108"/>
      <c r="S4940" s="108"/>
      <c r="T4940" s="108"/>
      <c r="U4940" s="108" t="str">
        <f>IFERROR(VLOOKUP(CONCATENATE(Tabla1[[#This Row],[Severidad]]," ",Tabla1[[#This Row],[Complejidad]]),Catalogos!E$120:G$128,3,FALSE),"")</f>
        <v/>
      </c>
      <c r="V4940" s="108" t="str">
        <f>IF(Tabla1[[#This Row],[Tiempo solución max (hrs)]]&lt;&gt;"",IF(Tabla1[[#This Row],[Tiempo solución max (hrs)]]&gt;=Tabla1[[#This Row],[Tiempo
(Hrs 00/100)]],"cumple","no cumple"),"")</f>
        <v/>
      </c>
      <c r="W4940" s="17"/>
      <c r="X4940" s="18">
        <f t="shared" si="267"/>
        <v>0</v>
      </c>
      <c r="Y4940" t="str">
        <f>SUBSTITUTE(Tabla1[[#This Row],[Descripción]],CHAR(10),"    I    ")</f>
        <v/>
      </c>
      <c r="Z4940" s="112" t="e">
        <f>VLOOKUP(Tabla1[[#This Row],[Perfil]],Catalogos!$B$75:$D$100,3,FALSE)*Tabla1[[#This Row],[Tiempo
(Hrs 00/100)]]*1.16</f>
        <v>#N/A</v>
      </c>
    </row>
    <row r="4941" spans="1:26" ht="30" customHeight="1" x14ac:dyDescent="0.3">
      <c r="A4941" s="106"/>
      <c r="B4941" s="106"/>
      <c r="C4941" s="106"/>
      <c r="D4941" s="106"/>
      <c r="E4941" s="106"/>
      <c r="F4941" s="106"/>
      <c r="G4941" s="106"/>
      <c r="H4941" s="107"/>
      <c r="I4941" s="95"/>
      <c r="J4941" s="706"/>
      <c r="K4941" s="769"/>
      <c r="L4941" s="706"/>
      <c r="M4941" s="781"/>
      <c r="N4941" s="182"/>
      <c r="O4941" s="188"/>
      <c r="P4941" s="221"/>
      <c r="Q4941" s="106"/>
      <c r="R4941" s="108"/>
      <c r="S4941" s="108"/>
      <c r="T4941" s="108"/>
      <c r="U4941" s="108" t="str">
        <f>IFERROR(VLOOKUP(CONCATENATE(Tabla1[[#This Row],[Severidad]]," ",Tabla1[[#This Row],[Complejidad]]),Catalogos!E$120:G$128,3,FALSE),"")</f>
        <v/>
      </c>
      <c r="V4941" s="108" t="str">
        <f>IF(Tabla1[[#This Row],[Tiempo solución max (hrs)]]&lt;&gt;"",IF(Tabla1[[#This Row],[Tiempo solución max (hrs)]]&gt;=Tabla1[[#This Row],[Tiempo
(Hrs 00/100)]],"cumple","no cumple"),"")</f>
        <v/>
      </c>
      <c r="W4941" s="17"/>
      <c r="X4941" s="18">
        <f t="shared" si="267"/>
        <v>0</v>
      </c>
      <c r="Y4941" t="str">
        <f>SUBSTITUTE(Tabla1[[#This Row],[Descripción]],CHAR(10),"    I    ")</f>
        <v/>
      </c>
      <c r="Z4941" s="112" t="e">
        <f>VLOOKUP(Tabla1[[#This Row],[Perfil]],Catalogos!$B$75:$D$100,3,FALSE)*Tabla1[[#This Row],[Tiempo
(Hrs 00/100)]]*1.16</f>
        <v>#N/A</v>
      </c>
    </row>
    <row r="4942" spans="1:26" ht="30" customHeight="1" x14ac:dyDescent="0.3">
      <c r="A4942" s="106"/>
      <c r="B4942" s="106"/>
      <c r="C4942" s="106"/>
      <c r="D4942" s="106"/>
      <c r="E4942" s="106"/>
      <c r="F4942" s="106"/>
      <c r="G4942" s="106"/>
      <c r="H4942" s="107"/>
      <c r="I4942" s="95"/>
      <c r="J4942" s="706"/>
      <c r="K4942" s="769"/>
      <c r="L4942" s="706"/>
      <c r="M4942" s="781"/>
      <c r="N4942" s="182"/>
      <c r="O4942" s="188"/>
      <c r="P4942" s="221"/>
      <c r="Q4942" s="106"/>
      <c r="R4942" s="108"/>
      <c r="S4942" s="108"/>
      <c r="T4942" s="108"/>
      <c r="U4942" s="108" t="str">
        <f>IFERROR(VLOOKUP(CONCATENATE(Tabla1[[#This Row],[Severidad]]," ",Tabla1[[#This Row],[Complejidad]]),Catalogos!E$120:G$128,3,FALSE),"")</f>
        <v/>
      </c>
      <c r="V4942" s="108" t="str">
        <f>IF(Tabla1[[#This Row],[Tiempo solución max (hrs)]]&lt;&gt;"",IF(Tabla1[[#This Row],[Tiempo solución max (hrs)]]&gt;=Tabla1[[#This Row],[Tiempo
(Hrs 00/100)]],"cumple","no cumple"),"")</f>
        <v/>
      </c>
      <c r="W4942" s="17"/>
      <c r="X4942" s="18">
        <f t="shared" si="267"/>
        <v>0</v>
      </c>
      <c r="Y4942" t="str">
        <f>SUBSTITUTE(Tabla1[[#This Row],[Descripción]],CHAR(10),"    I    ")</f>
        <v/>
      </c>
      <c r="Z4942" s="112" t="e">
        <f>VLOOKUP(Tabla1[[#This Row],[Perfil]],Catalogos!$B$75:$D$100,3,FALSE)*Tabla1[[#This Row],[Tiempo
(Hrs 00/100)]]*1.16</f>
        <v>#N/A</v>
      </c>
    </row>
    <row r="4943" spans="1:26" ht="30" customHeight="1" x14ac:dyDescent="0.3">
      <c r="A4943" s="106"/>
      <c r="B4943" s="106"/>
      <c r="C4943" s="106"/>
      <c r="D4943" s="106"/>
      <c r="E4943" s="106"/>
      <c r="F4943" s="106"/>
      <c r="G4943" s="106"/>
      <c r="H4943" s="107"/>
      <c r="I4943" s="95"/>
      <c r="J4943" s="706"/>
      <c r="K4943" s="769"/>
      <c r="L4943" s="706"/>
      <c r="M4943" s="781"/>
      <c r="N4943" s="182"/>
      <c r="O4943" s="188"/>
      <c r="P4943" s="221"/>
      <c r="Q4943" s="106"/>
      <c r="R4943" s="108"/>
      <c r="S4943" s="108"/>
      <c r="T4943" s="108"/>
      <c r="U4943" s="108" t="str">
        <f>IFERROR(VLOOKUP(CONCATENATE(Tabla1[[#This Row],[Severidad]]," ",Tabla1[[#This Row],[Complejidad]]),Catalogos!E$120:G$128,3,FALSE),"")</f>
        <v/>
      </c>
      <c r="V4943" s="108" t="str">
        <f>IF(Tabla1[[#This Row],[Tiempo solución max (hrs)]]&lt;&gt;"",IF(Tabla1[[#This Row],[Tiempo solución max (hrs)]]&gt;=Tabla1[[#This Row],[Tiempo
(Hrs 00/100)]],"cumple","no cumple"),"")</f>
        <v/>
      </c>
      <c r="W4943" s="17"/>
      <c r="X4943" s="18">
        <f t="shared" si="267"/>
        <v>0</v>
      </c>
      <c r="Y4943" t="str">
        <f>SUBSTITUTE(Tabla1[[#This Row],[Descripción]],CHAR(10),"    I    ")</f>
        <v/>
      </c>
      <c r="Z4943" s="112" t="e">
        <f>VLOOKUP(Tabla1[[#This Row],[Perfil]],Catalogos!$B$75:$D$100,3,FALSE)*Tabla1[[#This Row],[Tiempo
(Hrs 00/100)]]*1.16</f>
        <v>#N/A</v>
      </c>
    </row>
    <row r="4944" spans="1:26" ht="30" customHeight="1" x14ac:dyDescent="0.3">
      <c r="A4944" s="106"/>
      <c r="B4944" s="106"/>
      <c r="C4944" s="106"/>
      <c r="D4944" s="106"/>
      <c r="E4944" s="106"/>
      <c r="F4944" s="106"/>
      <c r="G4944" s="106"/>
      <c r="H4944" s="107"/>
      <c r="I4944" s="95"/>
      <c r="J4944" s="706"/>
      <c r="K4944" s="769"/>
      <c r="L4944" s="706"/>
      <c r="M4944" s="781"/>
      <c r="N4944" s="182"/>
      <c r="O4944" s="188"/>
      <c r="P4944" s="221"/>
      <c r="Q4944" s="106"/>
      <c r="R4944" s="108"/>
      <c r="S4944" s="108"/>
      <c r="T4944" s="108"/>
      <c r="U4944" s="108" t="str">
        <f>IFERROR(VLOOKUP(CONCATENATE(Tabla1[[#This Row],[Severidad]]," ",Tabla1[[#This Row],[Complejidad]]),Catalogos!E$120:G$128,3,FALSE),"")</f>
        <v/>
      </c>
      <c r="V4944" s="108" t="str">
        <f>IF(Tabla1[[#This Row],[Tiempo solución max (hrs)]]&lt;&gt;"",IF(Tabla1[[#This Row],[Tiempo solución max (hrs)]]&gt;=Tabla1[[#This Row],[Tiempo
(Hrs 00/100)]],"cumple","no cumple"),"")</f>
        <v/>
      </c>
      <c r="W4944" s="17"/>
      <c r="X4944" s="18">
        <f t="shared" si="267"/>
        <v>0</v>
      </c>
      <c r="Y4944" t="str">
        <f>SUBSTITUTE(Tabla1[[#This Row],[Descripción]],CHAR(10),"    I    ")</f>
        <v/>
      </c>
      <c r="Z4944" s="112" t="e">
        <f>VLOOKUP(Tabla1[[#This Row],[Perfil]],Catalogos!$B$75:$D$100,3,FALSE)*Tabla1[[#This Row],[Tiempo
(Hrs 00/100)]]*1.16</f>
        <v>#N/A</v>
      </c>
    </row>
    <row r="4945" spans="1:26" ht="30" customHeight="1" x14ac:dyDescent="0.3">
      <c r="A4945" s="106"/>
      <c r="B4945" s="106"/>
      <c r="C4945" s="106"/>
      <c r="D4945" s="106"/>
      <c r="E4945" s="106"/>
      <c r="F4945" s="106"/>
      <c r="G4945" s="106"/>
      <c r="H4945" s="107"/>
      <c r="I4945" s="95"/>
      <c r="J4945" s="706"/>
      <c r="K4945" s="769"/>
      <c r="L4945" s="706"/>
      <c r="M4945" s="781"/>
      <c r="N4945" s="182"/>
      <c r="O4945" s="188"/>
      <c r="P4945" s="221"/>
      <c r="Q4945" s="106"/>
      <c r="R4945" s="108"/>
      <c r="S4945" s="108"/>
      <c r="T4945" s="108"/>
      <c r="U4945" s="108" t="str">
        <f>IFERROR(VLOOKUP(CONCATENATE(Tabla1[[#This Row],[Severidad]]," ",Tabla1[[#This Row],[Complejidad]]),Catalogos!E$120:G$128,3,FALSE),"")</f>
        <v/>
      </c>
      <c r="V4945" s="108" t="str">
        <f>IF(Tabla1[[#This Row],[Tiempo solución max (hrs)]]&lt;&gt;"",IF(Tabla1[[#This Row],[Tiempo solución max (hrs)]]&gt;=Tabla1[[#This Row],[Tiempo
(Hrs 00/100)]],"cumple","no cumple"),"")</f>
        <v/>
      </c>
      <c r="W4945" s="17"/>
      <c r="X4945" s="18">
        <f t="shared" si="267"/>
        <v>0</v>
      </c>
      <c r="Y4945" t="str">
        <f>SUBSTITUTE(Tabla1[[#This Row],[Descripción]],CHAR(10),"    I    ")</f>
        <v/>
      </c>
      <c r="Z4945" s="112" t="e">
        <f>VLOOKUP(Tabla1[[#This Row],[Perfil]],Catalogos!$B$75:$D$100,3,FALSE)*Tabla1[[#This Row],[Tiempo
(Hrs 00/100)]]*1.16</f>
        <v>#N/A</v>
      </c>
    </row>
    <row r="4946" spans="1:26" ht="30" customHeight="1" x14ac:dyDescent="0.3">
      <c r="A4946" s="106"/>
      <c r="B4946" s="106"/>
      <c r="C4946" s="106"/>
      <c r="D4946" s="106"/>
      <c r="E4946" s="106"/>
      <c r="F4946" s="106"/>
      <c r="G4946" s="106"/>
      <c r="H4946" s="107"/>
      <c r="I4946" s="95"/>
      <c r="J4946" s="706"/>
      <c r="K4946" s="769"/>
      <c r="L4946" s="706"/>
      <c r="M4946" s="781"/>
      <c r="N4946" s="182"/>
      <c r="O4946" s="188"/>
      <c r="P4946" s="221"/>
      <c r="Q4946" s="106"/>
      <c r="R4946" s="108"/>
      <c r="S4946" s="108"/>
      <c r="T4946" s="108"/>
      <c r="U4946" s="108" t="str">
        <f>IFERROR(VLOOKUP(CONCATENATE(Tabla1[[#This Row],[Severidad]]," ",Tabla1[[#This Row],[Complejidad]]),Catalogos!E$120:G$128,3,FALSE),"")</f>
        <v/>
      </c>
      <c r="V4946" s="108" t="str">
        <f>IF(Tabla1[[#This Row],[Tiempo solución max (hrs)]]&lt;&gt;"",IF(Tabla1[[#This Row],[Tiempo solución max (hrs)]]&gt;=Tabla1[[#This Row],[Tiempo
(Hrs 00/100)]],"cumple","no cumple"),"")</f>
        <v/>
      </c>
      <c r="W4946" s="17"/>
      <c r="X4946" s="18">
        <f t="shared" si="267"/>
        <v>0</v>
      </c>
      <c r="Y4946" t="str">
        <f>SUBSTITUTE(Tabla1[[#This Row],[Descripción]],CHAR(10),"    I    ")</f>
        <v/>
      </c>
      <c r="Z4946" s="112" t="e">
        <f>VLOOKUP(Tabla1[[#This Row],[Perfil]],Catalogos!$B$75:$D$100,3,FALSE)*Tabla1[[#This Row],[Tiempo
(Hrs 00/100)]]*1.16</f>
        <v>#N/A</v>
      </c>
    </row>
    <row r="4947" spans="1:26" ht="30" customHeight="1" x14ac:dyDescent="0.3">
      <c r="A4947" s="106"/>
      <c r="B4947" s="106"/>
      <c r="C4947" s="106"/>
      <c r="D4947" s="106"/>
      <c r="E4947" s="106"/>
      <c r="F4947" s="106"/>
      <c r="G4947" s="106"/>
      <c r="H4947" s="107"/>
      <c r="I4947" s="95"/>
      <c r="J4947" s="706"/>
      <c r="K4947" s="769"/>
      <c r="L4947" s="706"/>
      <c r="M4947" s="781"/>
      <c r="N4947" s="182"/>
      <c r="O4947" s="188"/>
      <c r="P4947" s="221"/>
      <c r="Q4947" s="106"/>
      <c r="R4947" s="108"/>
      <c r="S4947" s="108"/>
      <c r="T4947" s="108"/>
      <c r="U4947" s="108" t="str">
        <f>IFERROR(VLOOKUP(CONCATENATE(Tabla1[[#This Row],[Severidad]]," ",Tabla1[[#This Row],[Complejidad]]),Catalogos!E$120:G$128,3,FALSE),"")</f>
        <v/>
      </c>
      <c r="V4947" s="108" t="str">
        <f>IF(Tabla1[[#This Row],[Tiempo solución max (hrs)]]&lt;&gt;"",IF(Tabla1[[#This Row],[Tiempo solución max (hrs)]]&gt;=Tabla1[[#This Row],[Tiempo
(Hrs 00/100)]],"cumple","no cumple"),"")</f>
        <v/>
      </c>
      <c r="W4947" s="17"/>
      <c r="X4947" s="18">
        <f t="shared" si="267"/>
        <v>0</v>
      </c>
      <c r="Y4947" t="str">
        <f>SUBSTITUTE(Tabla1[[#This Row],[Descripción]],CHAR(10),"    I    ")</f>
        <v/>
      </c>
      <c r="Z4947" s="112" t="e">
        <f>VLOOKUP(Tabla1[[#This Row],[Perfil]],Catalogos!$B$75:$D$100,3,FALSE)*Tabla1[[#This Row],[Tiempo
(Hrs 00/100)]]*1.16</f>
        <v>#N/A</v>
      </c>
    </row>
    <row r="4948" spans="1:26" ht="30" customHeight="1" x14ac:dyDescent="0.3">
      <c r="A4948" s="106"/>
      <c r="B4948" s="106"/>
      <c r="C4948" s="106"/>
      <c r="D4948" s="106"/>
      <c r="E4948" s="106"/>
      <c r="F4948" s="106"/>
      <c r="G4948" s="106"/>
      <c r="H4948" s="107"/>
      <c r="I4948" s="95"/>
      <c r="J4948" s="706"/>
      <c r="K4948" s="769"/>
      <c r="L4948" s="706"/>
      <c r="M4948" s="781"/>
      <c r="N4948" s="182"/>
      <c r="O4948" s="188"/>
      <c r="P4948" s="221"/>
      <c r="Q4948" s="106"/>
      <c r="R4948" s="108"/>
      <c r="S4948" s="108"/>
      <c r="T4948" s="108"/>
      <c r="U4948" s="108" t="str">
        <f>IFERROR(VLOOKUP(CONCATENATE(Tabla1[[#This Row],[Severidad]]," ",Tabla1[[#This Row],[Complejidad]]),Catalogos!E$120:G$128,3,FALSE),"")</f>
        <v/>
      </c>
      <c r="V4948" s="108" t="str">
        <f>IF(Tabla1[[#This Row],[Tiempo solución max (hrs)]]&lt;&gt;"",IF(Tabla1[[#This Row],[Tiempo solución max (hrs)]]&gt;=Tabla1[[#This Row],[Tiempo
(Hrs 00/100)]],"cumple","no cumple"),"")</f>
        <v/>
      </c>
      <c r="W4948" s="17"/>
      <c r="X4948" s="18">
        <f t="shared" si="267"/>
        <v>0</v>
      </c>
      <c r="Y4948" t="str">
        <f>SUBSTITUTE(Tabla1[[#This Row],[Descripción]],CHAR(10),"    I    ")</f>
        <v/>
      </c>
      <c r="Z4948" s="112" t="e">
        <f>VLOOKUP(Tabla1[[#This Row],[Perfil]],Catalogos!$B$75:$D$100,3,FALSE)*Tabla1[[#This Row],[Tiempo
(Hrs 00/100)]]*1.16</f>
        <v>#N/A</v>
      </c>
    </row>
    <row r="4949" spans="1:26" ht="30" customHeight="1" x14ac:dyDescent="0.3">
      <c r="A4949" s="106"/>
      <c r="B4949" s="106"/>
      <c r="C4949" s="106"/>
      <c r="D4949" s="106"/>
      <c r="E4949" s="106"/>
      <c r="F4949" s="106"/>
      <c r="G4949" s="106"/>
      <c r="H4949" s="107"/>
      <c r="I4949" s="95"/>
      <c r="J4949" s="706"/>
      <c r="K4949" s="769"/>
      <c r="L4949" s="706"/>
      <c r="M4949" s="781"/>
      <c r="N4949" s="182"/>
      <c r="O4949" s="188"/>
      <c r="P4949" s="221"/>
      <c r="Q4949" s="106"/>
      <c r="R4949" s="108"/>
      <c r="S4949" s="108"/>
      <c r="T4949" s="108"/>
      <c r="U4949" s="108" t="str">
        <f>IFERROR(VLOOKUP(CONCATENATE(Tabla1[[#This Row],[Severidad]]," ",Tabla1[[#This Row],[Complejidad]]),Catalogos!E$120:G$128,3,FALSE),"")</f>
        <v/>
      </c>
      <c r="V4949" s="108" t="str">
        <f>IF(Tabla1[[#This Row],[Tiempo solución max (hrs)]]&lt;&gt;"",IF(Tabla1[[#This Row],[Tiempo solución max (hrs)]]&gt;=Tabla1[[#This Row],[Tiempo
(Hrs 00/100)]],"cumple","no cumple"),"")</f>
        <v/>
      </c>
      <c r="W4949" s="17"/>
      <c r="X4949" s="18">
        <f t="shared" si="267"/>
        <v>0</v>
      </c>
      <c r="Y4949" t="str">
        <f>SUBSTITUTE(Tabla1[[#This Row],[Descripción]],CHAR(10),"    I    ")</f>
        <v/>
      </c>
      <c r="Z4949" s="112" t="e">
        <f>VLOOKUP(Tabla1[[#This Row],[Perfil]],Catalogos!$B$75:$D$100,3,FALSE)*Tabla1[[#This Row],[Tiempo
(Hrs 00/100)]]*1.16</f>
        <v>#N/A</v>
      </c>
    </row>
    <row r="4950" spans="1:26" ht="30" customHeight="1" x14ac:dyDescent="0.3">
      <c r="A4950" s="106"/>
      <c r="B4950" s="106"/>
      <c r="C4950" s="106"/>
      <c r="D4950" s="106"/>
      <c r="E4950" s="106"/>
      <c r="F4950" s="106"/>
      <c r="G4950" s="106"/>
      <c r="H4950" s="107"/>
      <c r="I4950" s="95"/>
      <c r="J4950" s="706"/>
      <c r="K4950" s="769"/>
      <c r="L4950" s="706"/>
      <c r="M4950" s="781"/>
      <c r="N4950" s="182"/>
      <c r="O4950" s="188"/>
      <c r="P4950" s="221"/>
      <c r="Q4950" s="106"/>
      <c r="R4950" s="108"/>
      <c r="S4950" s="108"/>
      <c r="T4950" s="108"/>
      <c r="U4950" s="108" t="str">
        <f>IFERROR(VLOOKUP(CONCATENATE(Tabla1[[#This Row],[Severidad]]," ",Tabla1[[#This Row],[Complejidad]]),Catalogos!E$120:G$128,3,FALSE),"")</f>
        <v/>
      </c>
      <c r="V4950" s="108" t="str">
        <f>IF(Tabla1[[#This Row],[Tiempo solución max (hrs)]]&lt;&gt;"",IF(Tabla1[[#This Row],[Tiempo solución max (hrs)]]&gt;=Tabla1[[#This Row],[Tiempo
(Hrs 00/100)]],"cumple","no cumple"),"")</f>
        <v/>
      </c>
      <c r="W4950" s="17"/>
      <c r="X4950" s="18">
        <f t="shared" si="267"/>
        <v>0</v>
      </c>
      <c r="Y4950" t="str">
        <f>SUBSTITUTE(Tabla1[[#This Row],[Descripción]],CHAR(10),"    I    ")</f>
        <v/>
      </c>
      <c r="Z4950" s="112" t="e">
        <f>VLOOKUP(Tabla1[[#This Row],[Perfil]],Catalogos!$B$75:$D$100,3,FALSE)*Tabla1[[#This Row],[Tiempo
(Hrs 00/100)]]*1.16</f>
        <v>#N/A</v>
      </c>
    </row>
    <row r="4951" spans="1:26" ht="30" customHeight="1" x14ac:dyDescent="0.3">
      <c r="A4951" s="106"/>
      <c r="B4951" s="106"/>
      <c r="C4951" s="106"/>
      <c r="D4951" s="106"/>
      <c r="E4951" s="106"/>
      <c r="F4951" s="106"/>
      <c r="G4951" s="106"/>
      <c r="H4951" s="107"/>
      <c r="I4951" s="95"/>
      <c r="J4951" s="706"/>
      <c r="K4951" s="769"/>
      <c r="L4951" s="706"/>
      <c r="M4951" s="781"/>
      <c r="N4951" s="182"/>
      <c r="O4951" s="188"/>
      <c r="P4951" s="221"/>
      <c r="Q4951" s="106"/>
      <c r="R4951" s="108"/>
      <c r="S4951" s="108"/>
      <c r="T4951" s="108"/>
      <c r="U4951" s="108" t="str">
        <f>IFERROR(VLOOKUP(CONCATENATE(Tabla1[[#This Row],[Severidad]]," ",Tabla1[[#This Row],[Complejidad]]),Catalogos!E$120:G$128,3,FALSE),"")</f>
        <v/>
      </c>
      <c r="V4951" s="108" t="str">
        <f>IF(Tabla1[[#This Row],[Tiempo solución max (hrs)]]&lt;&gt;"",IF(Tabla1[[#This Row],[Tiempo solución max (hrs)]]&gt;=Tabla1[[#This Row],[Tiempo
(Hrs 00/100)]],"cumple","no cumple"),"")</f>
        <v/>
      </c>
      <c r="W4951" s="17"/>
      <c r="X4951" s="18">
        <f t="shared" si="267"/>
        <v>0</v>
      </c>
      <c r="Y4951" t="str">
        <f>SUBSTITUTE(Tabla1[[#This Row],[Descripción]],CHAR(10),"    I    ")</f>
        <v/>
      </c>
      <c r="Z4951" s="112" t="e">
        <f>VLOOKUP(Tabla1[[#This Row],[Perfil]],Catalogos!$B$75:$D$100,3,FALSE)*Tabla1[[#This Row],[Tiempo
(Hrs 00/100)]]*1.16</f>
        <v>#N/A</v>
      </c>
    </row>
    <row r="4952" spans="1:26" ht="30" customHeight="1" x14ac:dyDescent="0.3">
      <c r="A4952" s="106"/>
      <c r="B4952" s="106"/>
      <c r="C4952" s="106"/>
      <c r="D4952" s="106"/>
      <c r="E4952" s="106"/>
      <c r="F4952" s="106"/>
      <c r="G4952" s="106"/>
      <c r="H4952" s="107"/>
      <c r="I4952" s="95"/>
      <c r="J4952" s="706"/>
      <c r="K4952" s="769"/>
      <c r="L4952" s="706"/>
      <c r="M4952" s="781"/>
      <c r="N4952" s="182"/>
      <c r="O4952" s="188"/>
      <c r="P4952" s="221"/>
      <c r="Q4952" s="106"/>
      <c r="R4952" s="108"/>
      <c r="S4952" s="108"/>
      <c r="T4952" s="108"/>
      <c r="U4952" s="108" t="str">
        <f>IFERROR(VLOOKUP(CONCATENATE(Tabla1[[#This Row],[Severidad]]," ",Tabla1[[#This Row],[Complejidad]]),Catalogos!E$120:G$128,3,FALSE),"")</f>
        <v/>
      </c>
      <c r="V4952" s="108" t="str">
        <f>IF(Tabla1[[#This Row],[Tiempo solución max (hrs)]]&lt;&gt;"",IF(Tabla1[[#This Row],[Tiempo solución max (hrs)]]&gt;=Tabla1[[#This Row],[Tiempo
(Hrs 00/100)]],"cumple","no cumple"),"")</f>
        <v/>
      </c>
      <c r="W4952" s="17"/>
      <c r="X4952" s="18">
        <f t="shared" si="267"/>
        <v>0</v>
      </c>
      <c r="Y4952" t="str">
        <f>SUBSTITUTE(Tabla1[[#This Row],[Descripción]],CHAR(10),"    I    ")</f>
        <v/>
      </c>
      <c r="Z4952" s="112" t="e">
        <f>VLOOKUP(Tabla1[[#This Row],[Perfil]],Catalogos!$B$75:$D$100,3,FALSE)*Tabla1[[#This Row],[Tiempo
(Hrs 00/100)]]*1.16</f>
        <v>#N/A</v>
      </c>
    </row>
    <row r="4953" spans="1:26" ht="30" customHeight="1" x14ac:dyDescent="0.3">
      <c r="A4953" s="106"/>
      <c r="B4953" s="106"/>
      <c r="C4953" s="106"/>
      <c r="D4953" s="106"/>
      <c r="E4953" s="106"/>
      <c r="F4953" s="106"/>
      <c r="G4953" s="106"/>
      <c r="H4953" s="107"/>
      <c r="I4953" s="95"/>
      <c r="J4953" s="706"/>
      <c r="K4953" s="769"/>
      <c r="L4953" s="706"/>
      <c r="M4953" s="781"/>
      <c r="N4953" s="182"/>
      <c r="O4953" s="188"/>
      <c r="P4953" s="221"/>
      <c r="Q4953" s="106"/>
      <c r="R4953" s="108"/>
      <c r="S4953" s="108"/>
      <c r="T4953" s="108"/>
      <c r="U4953" s="108" t="str">
        <f>IFERROR(VLOOKUP(CONCATENATE(Tabla1[[#This Row],[Severidad]]," ",Tabla1[[#This Row],[Complejidad]]),Catalogos!E$120:G$128,3,FALSE),"")</f>
        <v/>
      </c>
      <c r="V4953" s="108" t="str">
        <f>IF(Tabla1[[#This Row],[Tiempo solución max (hrs)]]&lt;&gt;"",IF(Tabla1[[#This Row],[Tiempo solución max (hrs)]]&gt;=Tabla1[[#This Row],[Tiempo
(Hrs 00/100)]],"cumple","no cumple"),"")</f>
        <v/>
      </c>
      <c r="W4953" s="17"/>
      <c r="X4953" s="18">
        <f t="shared" si="267"/>
        <v>0</v>
      </c>
      <c r="Y4953" t="str">
        <f>SUBSTITUTE(Tabla1[[#This Row],[Descripción]],CHAR(10),"    I    ")</f>
        <v/>
      </c>
      <c r="Z4953" s="112" t="e">
        <f>VLOOKUP(Tabla1[[#This Row],[Perfil]],Catalogos!$B$75:$D$100,3,FALSE)*Tabla1[[#This Row],[Tiempo
(Hrs 00/100)]]*1.16</f>
        <v>#N/A</v>
      </c>
    </row>
    <row r="4954" spans="1:26" ht="30" customHeight="1" x14ac:dyDescent="0.3">
      <c r="A4954" s="106"/>
      <c r="B4954" s="106"/>
      <c r="C4954" s="106"/>
      <c r="D4954" s="106"/>
      <c r="E4954" s="106"/>
      <c r="F4954" s="106"/>
      <c r="G4954" s="106"/>
      <c r="H4954" s="107"/>
      <c r="I4954" s="95"/>
      <c r="J4954" s="706"/>
      <c r="K4954" s="769"/>
      <c r="L4954" s="706"/>
      <c r="M4954" s="781"/>
      <c r="N4954" s="182"/>
      <c r="O4954" s="188"/>
      <c r="P4954" s="221"/>
      <c r="Q4954" s="106"/>
      <c r="R4954" s="108"/>
      <c r="S4954" s="108"/>
      <c r="T4954" s="108"/>
      <c r="U4954" s="108" t="str">
        <f>IFERROR(VLOOKUP(CONCATENATE(Tabla1[[#This Row],[Severidad]]," ",Tabla1[[#This Row],[Complejidad]]),Catalogos!E$120:G$128,3,FALSE),"")</f>
        <v/>
      </c>
      <c r="V4954" s="108" t="str">
        <f>IF(Tabla1[[#This Row],[Tiempo solución max (hrs)]]&lt;&gt;"",IF(Tabla1[[#This Row],[Tiempo solución max (hrs)]]&gt;=Tabla1[[#This Row],[Tiempo
(Hrs 00/100)]],"cumple","no cumple"),"")</f>
        <v/>
      </c>
      <c r="W4954" s="17"/>
      <c r="X4954" s="18">
        <f t="shared" si="267"/>
        <v>0</v>
      </c>
      <c r="Y4954" t="str">
        <f>SUBSTITUTE(Tabla1[[#This Row],[Descripción]],CHAR(10),"    I    ")</f>
        <v/>
      </c>
      <c r="Z4954" s="112" t="e">
        <f>VLOOKUP(Tabla1[[#This Row],[Perfil]],Catalogos!$B$75:$D$100,3,FALSE)*Tabla1[[#This Row],[Tiempo
(Hrs 00/100)]]*1.16</f>
        <v>#N/A</v>
      </c>
    </row>
    <row r="4955" spans="1:26" ht="30" customHeight="1" x14ac:dyDescent="0.3">
      <c r="A4955" s="106"/>
      <c r="B4955" s="106"/>
      <c r="C4955" s="106"/>
      <c r="D4955" s="106"/>
      <c r="E4955" s="106"/>
      <c r="F4955" s="106"/>
      <c r="G4955" s="106"/>
      <c r="H4955" s="107"/>
      <c r="I4955" s="95"/>
      <c r="J4955" s="706"/>
      <c r="K4955" s="769"/>
      <c r="L4955" s="706"/>
      <c r="M4955" s="781"/>
      <c r="N4955" s="182"/>
      <c r="O4955" s="188"/>
      <c r="P4955" s="221"/>
      <c r="Q4955" s="106"/>
      <c r="R4955" s="108"/>
      <c r="S4955" s="108"/>
      <c r="T4955" s="108"/>
      <c r="U4955" s="108" t="str">
        <f>IFERROR(VLOOKUP(CONCATENATE(Tabla1[[#This Row],[Severidad]]," ",Tabla1[[#This Row],[Complejidad]]),Catalogos!E$120:G$128,3,FALSE),"")</f>
        <v/>
      </c>
      <c r="V4955" s="108" t="str">
        <f>IF(Tabla1[[#This Row],[Tiempo solución max (hrs)]]&lt;&gt;"",IF(Tabla1[[#This Row],[Tiempo solución max (hrs)]]&gt;=Tabla1[[#This Row],[Tiempo
(Hrs 00/100)]],"cumple","no cumple"),"")</f>
        <v/>
      </c>
      <c r="W4955" s="17"/>
      <c r="X4955" s="18">
        <f t="shared" si="267"/>
        <v>0</v>
      </c>
      <c r="Y4955" t="str">
        <f>SUBSTITUTE(Tabla1[[#This Row],[Descripción]],CHAR(10),"    I    ")</f>
        <v/>
      </c>
      <c r="Z4955" s="112" t="e">
        <f>VLOOKUP(Tabla1[[#This Row],[Perfil]],Catalogos!$B$75:$D$100,3,FALSE)*Tabla1[[#This Row],[Tiempo
(Hrs 00/100)]]*1.16</f>
        <v>#N/A</v>
      </c>
    </row>
    <row r="4956" spans="1:26" ht="30" customHeight="1" x14ac:dyDescent="0.3">
      <c r="A4956" s="106"/>
      <c r="B4956" s="106"/>
      <c r="C4956" s="106"/>
      <c r="D4956" s="106"/>
      <c r="E4956" s="106"/>
      <c r="F4956" s="106"/>
      <c r="G4956" s="106"/>
      <c r="H4956" s="107"/>
      <c r="I4956" s="95"/>
      <c r="J4956" s="706"/>
      <c r="K4956" s="769"/>
      <c r="L4956" s="706"/>
      <c r="M4956" s="781"/>
      <c r="N4956" s="182"/>
      <c r="O4956" s="188"/>
      <c r="P4956" s="221"/>
      <c r="Q4956" s="106"/>
      <c r="R4956" s="108"/>
      <c r="S4956" s="108"/>
      <c r="T4956" s="108"/>
      <c r="U4956" s="108" t="str">
        <f>IFERROR(VLOOKUP(CONCATENATE(Tabla1[[#This Row],[Severidad]]," ",Tabla1[[#This Row],[Complejidad]]),Catalogos!E$120:G$128,3,FALSE),"")</f>
        <v/>
      </c>
      <c r="V4956" s="108" t="str">
        <f>IF(Tabla1[[#This Row],[Tiempo solución max (hrs)]]&lt;&gt;"",IF(Tabla1[[#This Row],[Tiempo solución max (hrs)]]&gt;=Tabla1[[#This Row],[Tiempo
(Hrs 00/100)]],"cumple","no cumple"),"")</f>
        <v/>
      </c>
      <c r="W4956" s="17"/>
      <c r="X4956" s="18">
        <f t="shared" si="267"/>
        <v>0</v>
      </c>
      <c r="Y4956" t="str">
        <f>SUBSTITUTE(Tabla1[[#This Row],[Descripción]],CHAR(10),"    I    ")</f>
        <v/>
      </c>
      <c r="Z4956" s="112" t="e">
        <f>VLOOKUP(Tabla1[[#This Row],[Perfil]],Catalogos!$B$75:$D$100,3,FALSE)*Tabla1[[#This Row],[Tiempo
(Hrs 00/100)]]*1.16</f>
        <v>#N/A</v>
      </c>
    </row>
    <row r="4957" spans="1:26" ht="30" customHeight="1" x14ac:dyDescent="0.3">
      <c r="A4957" s="106"/>
      <c r="B4957" s="106"/>
      <c r="C4957" s="106"/>
      <c r="D4957" s="106"/>
      <c r="E4957" s="106"/>
      <c r="F4957" s="106"/>
      <c r="G4957" s="106"/>
      <c r="H4957" s="107"/>
      <c r="I4957" s="95"/>
      <c r="J4957" s="706"/>
      <c r="K4957" s="769"/>
      <c r="L4957" s="706"/>
      <c r="M4957" s="781"/>
      <c r="N4957" s="182"/>
      <c r="O4957" s="188"/>
      <c r="P4957" s="221"/>
      <c r="Q4957" s="106"/>
      <c r="R4957" s="108"/>
      <c r="S4957" s="108"/>
      <c r="T4957" s="108"/>
      <c r="U4957" s="108" t="str">
        <f>IFERROR(VLOOKUP(CONCATENATE(Tabla1[[#This Row],[Severidad]]," ",Tabla1[[#This Row],[Complejidad]]),Catalogos!E$120:G$128,3,FALSE),"")</f>
        <v/>
      </c>
      <c r="V4957" s="108" t="str">
        <f>IF(Tabla1[[#This Row],[Tiempo solución max (hrs)]]&lt;&gt;"",IF(Tabla1[[#This Row],[Tiempo solución max (hrs)]]&gt;=Tabla1[[#This Row],[Tiempo
(Hrs 00/100)]],"cumple","no cumple"),"")</f>
        <v/>
      </c>
      <c r="W4957" s="17"/>
      <c r="X4957" s="18">
        <f t="shared" si="267"/>
        <v>0</v>
      </c>
      <c r="Y4957" t="str">
        <f>SUBSTITUTE(Tabla1[[#This Row],[Descripción]],CHAR(10),"    I    ")</f>
        <v/>
      </c>
      <c r="Z4957" s="112" t="e">
        <f>VLOOKUP(Tabla1[[#This Row],[Perfil]],Catalogos!$B$75:$D$100,3,FALSE)*Tabla1[[#This Row],[Tiempo
(Hrs 00/100)]]*1.16</f>
        <v>#N/A</v>
      </c>
    </row>
    <row r="4958" spans="1:26" ht="30" customHeight="1" x14ac:dyDescent="0.3">
      <c r="A4958" s="106"/>
      <c r="B4958" s="106"/>
      <c r="C4958" s="106"/>
      <c r="D4958" s="106"/>
      <c r="E4958" s="106"/>
      <c r="F4958" s="106"/>
      <c r="G4958" s="106"/>
      <c r="H4958" s="107"/>
      <c r="I4958" s="95"/>
      <c r="J4958" s="706"/>
      <c r="K4958" s="769"/>
      <c r="L4958" s="706"/>
      <c r="M4958" s="781"/>
      <c r="N4958" s="182"/>
      <c r="O4958" s="188"/>
      <c r="P4958" s="221"/>
      <c r="Q4958" s="106"/>
      <c r="R4958" s="108"/>
      <c r="S4958" s="108"/>
      <c r="T4958" s="108"/>
      <c r="U4958" s="108" t="str">
        <f>IFERROR(VLOOKUP(CONCATENATE(Tabla1[[#This Row],[Severidad]]," ",Tabla1[[#This Row],[Complejidad]]),Catalogos!E$120:G$128,3,FALSE),"")</f>
        <v/>
      </c>
      <c r="V4958" s="108" t="str">
        <f>IF(Tabla1[[#This Row],[Tiempo solución max (hrs)]]&lt;&gt;"",IF(Tabla1[[#This Row],[Tiempo solución max (hrs)]]&gt;=Tabla1[[#This Row],[Tiempo
(Hrs 00/100)]],"cumple","no cumple"),"")</f>
        <v/>
      </c>
      <c r="W4958" s="17"/>
      <c r="X4958" s="18">
        <f t="shared" si="267"/>
        <v>0</v>
      </c>
      <c r="Y4958" t="str">
        <f>SUBSTITUTE(Tabla1[[#This Row],[Descripción]],CHAR(10),"    I    ")</f>
        <v/>
      </c>
      <c r="Z4958" s="112" t="e">
        <f>VLOOKUP(Tabla1[[#This Row],[Perfil]],Catalogos!$B$75:$D$100,3,FALSE)*Tabla1[[#This Row],[Tiempo
(Hrs 00/100)]]*1.16</f>
        <v>#N/A</v>
      </c>
    </row>
    <row r="4959" spans="1:26" ht="30" customHeight="1" x14ac:dyDescent="0.3">
      <c r="A4959" s="106"/>
      <c r="B4959" s="106"/>
      <c r="C4959" s="106"/>
      <c r="D4959" s="106"/>
      <c r="E4959" s="106"/>
      <c r="F4959" s="106"/>
      <c r="G4959" s="106"/>
      <c r="H4959" s="107"/>
      <c r="I4959" s="95"/>
      <c r="J4959" s="706"/>
      <c r="K4959" s="769"/>
      <c r="L4959" s="706"/>
      <c r="M4959" s="781"/>
      <c r="N4959" s="182"/>
      <c r="O4959" s="188"/>
      <c r="P4959" s="221"/>
      <c r="Q4959" s="106"/>
      <c r="R4959" s="108"/>
      <c r="S4959" s="108"/>
      <c r="T4959" s="108"/>
      <c r="U4959" s="108" t="str">
        <f>IFERROR(VLOOKUP(CONCATENATE(Tabla1[[#This Row],[Severidad]]," ",Tabla1[[#This Row],[Complejidad]]),Catalogos!E$120:G$128,3,FALSE),"")</f>
        <v/>
      </c>
      <c r="V4959" s="108" t="str">
        <f>IF(Tabla1[[#This Row],[Tiempo solución max (hrs)]]&lt;&gt;"",IF(Tabla1[[#This Row],[Tiempo solución max (hrs)]]&gt;=Tabla1[[#This Row],[Tiempo
(Hrs 00/100)]],"cumple","no cumple"),"")</f>
        <v/>
      </c>
      <c r="W4959" s="17"/>
      <c r="X4959" s="18">
        <f t="shared" si="267"/>
        <v>0</v>
      </c>
      <c r="Y4959" t="str">
        <f>SUBSTITUTE(Tabla1[[#This Row],[Descripción]],CHAR(10),"    I    ")</f>
        <v/>
      </c>
      <c r="Z4959" s="112" t="e">
        <f>VLOOKUP(Tabla1[[#This Row],[Perfil]],Catalogos!$B$75:$D$100,3,FALSE)*Tabla1[[#This Row],[Tiempo
(Hrs 00/100)]]*1.16</f>
        <v>#N/A</v>
      </c>
    </row>
    <row r="4960" spans="1:26" ht="30" customHeight="1" x14ac:dyDescent="0.3">
      <c r="A4960" s="106"/>
      <c r="B4960" s="106"/>
      <c r="C4960" s="106"/>
      <c r="D4960" s="106"/>
      <c r="E4960" s="106"/>
      <c r="F4960" s="106"/>
      <c r="G4960" s="106"/>
      <c r="H4960" s="107"/>
      <c r="I4960" s="95"/>
      <c r="J4960" s="706"/>
      <c r="K4960" s="769"/>
      <c r="L4960" s="706"/>
      <c r="M4960" s="781"/>
      <c r="N4960" s="182"/>
      <c r="O4960" s="188"/>
      <c r="P4960" s="221"/>
      <c r="Q4960" s="106"/>
      <c r="R4960" s="108"/>
      <c r="S4960" s="108"/>
      <c r="T4960" s="108"/>
      <c r="U4960" s="108" t="str">
        <f>IFERROR(VLOOKUP(CONCATENATE(Tabla1[[#This Row],[Severidad]]," ",Tabla1[[#This Row],[Complejidad]]),Catalogos!E$120:G$128,3,FALSE),"")</f>
        <v/>
      </c>
      <c r="V4960" s="108" t="str">
        <f>IF(Tabla1[[#This Row],[Tiempo solución max (hrs)]]&lt;&gt;"",IF(Tabla1[[#This Row],[Tiempo solución max (hrs)]]&gt;=Tabla1[[#This Row],[Tiempo
(Hrs 00/100)]],"cumple","no cumple"),"")</f>
        <v/>
      </c>
      <c r="W4960" s="17"/>
      <c r="X4960" s="18">
        <f t="shared" si="267"/>
        <v>0</v>
      </c>
      <c r="Y4960" t="str">
        <f>SUBSTITUTE(Tabla1[[#This Row],[Descripción]],CHAR(10),"    I    ")</f>
        <v/>
      </c>
      <c r="Z4960" s="112" t="e">
        <f>VLOOKUP(Tabla1[[#This Row],[Perfil]],Catalogos!$B$75:$D$100,3,FALSE)*Tabla1[[#This Row],[Tiempo
(Hrs 00/100)]]*1.16</f>
        <v>#N/A</v>
      </c>
    </row>
    <row r="4961" spans="1:26" ht="30" customHeight="1" x14ac:dyDescent="0.3">
      <c r="A4961" s="106"/>
      <c r="B4961" s="106"/>
      <c r="C4961" s="106"/>
      <c r="D4961" s="106"/>
      <c r="E4961" s="106"/>
      <c r="F4961" s="106"/>
      <c r="G4961" s="106"/>
      <c r="H4961" s="107"/>
      <c r="I4961" s="95"/>
      <c r="J4961" s="706"/>
      <c r="K4961" s="769"/>
      <c r="L4961" s="706"/>
      <c r="M4961" s="781"/>
      <c r="N4961" s="182"/>
      <c r="O4961" s="188"/>
      <c r="P4961" s="221"/>
      <c r="Q4961" s="106"/>
      <c r="R4961" s="108"/>
      <c r="S4961" s="108"/>
      <c r="T4961" s="108"/>
      <c r="U4961" s="108" t="str">
        <f>IFERROR(VLOOKUP(CONCATENATE(Tabla1[[#This Row],[Severidad]]," ",Tabla1[[#This Row],[Complejidad]]),Catalogos!E$120:G$128,3,FALSE),"")</f>
        <v/>
      </c>
      <c r="V4961" s="108" t="str">
        <f>IF(Tabla1[[#This Row],[Tiempo solución max (hrs)]]&lt;&gt;"",IF(Tabla1[[#This Row],[Tiempo solución max (hrs)]]&gt;=Tabla1[[#This Row],[Tiempo
(Hrs 00/100)]],"cumple","no cumple"),"")</f>
        <v/>
      </c>
      <c r="W4961" s="17"/>
      <c r="X4961" s="18">
        <f t="shared" si="267"/>
        <v>0</v>
      </c>
      <c r="Y4961" t="str">
        <f>SUBSTITUTE(Tabla1[[#This Row],[Descripción]],CHAR(10),"    I    ")</f>
        <v/>
      </c>
      <c r="Z4961" s="112" t="e">
        <f>VLOOKUP(Tabla1[[#This Row],[Perfil]],Catalogos!$B$75:$D$100,3,FALSE)*Tabla1[[#This Row],[Tiempo
(Hrs 00/100)]]*1.16</f>
        <v>#N/A</v>
      </c>
    </row>
    <row r="4962" spans="1:26" ht="30" customHeight="1" x14ac:dyDescent="0.3">
      <c r="A4962" s="106"/>
      <c r="B4962" s="106"/>
      <c r="C4962" s="106"/>
      <c r="D4962" s="106"/>
      <c r="E4962" s="106"/>
      <c r="F4962" s="106"/>
      <c r="G4962" s="106"/>
      <c r="H4962" s="107"/>
      <c r="I4962" s="95"/>
      <c r="J4962" s="706"/>
      <c r="K4962" s="769"/>
      <c r="L4962" s="706"/>
      <c r="M4962" s="781"/>
      <c r="N4962" s="182"/>
      <c r="O4962" s="188"/>
      <c r="P4962" s="221"/>
      <c r="Q4962" s="106"/>
      <c r="R4962" s="108"/>
      <c r="S4962" s="108"/>
      <c r="T4962" s="108"/>
      <c r="U4962" s="108" t="str">
        <f>IFERROR(VLOOKUP(CONCATENATE(Tabla1[[#This Row],[Severidad]]," ",Tabla1[[#This Row],[Complejidad]]),Catalogos!E$120:G$128,3,FALSE),"")</f>
        <v/>
      </c>
      <c r="V4962" s="108" t="str">
        <f>IF(Tabla1[[#This Row],[Tiempo solución max (hrs)]]&lt;&gt;"",IF(Tabla1[[#This Row],[Tiempo solución max (hrs)]]&gt;=Tabla1[[#This Row],[Tiempo
(Hrs 00/100)]],"cumple","no cumple"),"")</f>
        <v/>
      </c>
      <c r="W4962" s="17"/>
      <c r="X4962" s="18">
        <f t="shared" si="267"/>
        <v>0</v>
      </c>
      <c r="Y4962" t="str">
        <f>SUBSTITUTE(Tabla1[[#This Row],[Descripción]],CHAR(10),"    I    ")</f>
        <v/>
      </c>
      <c r="Z4962" s="112" t="e">
        <f>VLOOKUP(Tabla1[[#This Row],[Perfil]],Catalogos!$B$75:$D$100,3,FALSE)*Tabla1[[#This Row],[Tiempo
(Hrs 00/100)]]*1.16</f>
        <v>#N/A</v>
      </c>
    </row>
    <row r="4963" spans="1:26" ht="30" customHeight="1" x14ac:dyDescent="0.3">
      <c r="A4963" s="106"/>
      <c r="B4963" s="106"/>
      <c r="C4963" s="106"/>
      <c r="D4963" s="106"/>
      <c r="E4963" s="106"/>
      <c r="F4963" s="106"/>
      <c r="G4963" s="106"/>
      <c r="H4963" s="107"/>
      <c r="I4963" s="95"/>
      <c r="J4963" s="706"/>
      <c r="K4963" s="769"/>
      <c r="L4963" s="706"/>
      <c r="M4963" s="781"/>
      <c r="N4963" s="182"/>
      <c r="O4963" s="188"/>
      <c r="P4963" s="221"/>
      <c r="Q4963" s="106"/>
      <c r="R4963" s="108"/>
      <c r="S4963" s="108"/>
      <c r="T4963" s="108"/>
      <c r="U4963" s="108" t="str">
        <f>IFERROR(VLOOKUP(CONCATENATE(Tabla1[[#This Row],[Severidad]]," ",Tabla1[[#This Row],[Complejidad]]),Catalogos!E$120:G$128,3,FALSE),"")</f>
        <v/>
      </c>
      <c r="V4963" s="108" t="str">
        <f>IF(Tabla1[[#This Row],[Tiempo solución max (hrs)]]&lt;&gt;"",IF(Tabla1[[#This Row],[Tiempo solución max (hrs)]]&gt;=Tabla1[[#This Row],[Tiempo
(Hrs 00/100)]],"cumple","no cumple"),"")</f>
        <v/>
      </c>
      <c r="W4963" s="17"/>
      <c r="X4963" s="18">
        <f t="shared" si="267"/>
        <v>0</v>
      </c>
      <c r="Y4963" t="str">
        <f>SUBSTITUTE(Tabla1[[#This Row],[Descripción]],CHAR(10),"    I    ")</f>
        <v/>
      </c>
      <c r="Z4963" s="112" t="e">
        <f>VLOOKUP(Tabla1[[#This Row],[Perfil]],Catalogos!$B$75:$D$100,3,FALSE)*Tabla1[[#This Row],[Tiempo
(Hrs 00/100)]]*1.16</f>
        <v>#N/A</v>
      </c>
    </row>
    <row r="4964" spans="1:26" ht="30" customHeight="1" x14ac:dyDescent="0.3">
      <c r="A4964" s="106"/>
      <c r="B4964" s="106"/>
      <c r="C4964" s="106"/>
      <c r="D4964" s="106"/>
      <c r="E4964" s="106"/>
      <c r="F4964" s="106"/>
      <c r="G4964" s="106"/>
      <c r="H4964" s="107"/>
      <c r="I4964" s="95"/>
      <c r="J4964" s="706"/>
      <c r="K4964" s="769"/>
      <c r="L4964" s="706"/>
      <c r="M4964" s="781"/>
      <c r="N4964" s="182"/>
      <c r="O4964" s="188"/>
      <c r="P4964" s="221"/>
      <c r="Q4964" s="106"/>
      <c r="R4964" s="108"/>
      <c r="S4964" s="108"/>
      <c r="T4964" s="108"/>
      <c r="U4964" s="108" t="str">
        <f>IFERROR(VLOOKUP(CONCATENATE(Tabla1[[#This Row],[Severidad]]," ",Tabla1[[#This Row],[Complejidad]]),Catalogos!E$120:G$128,3,FALSE),"")</f>
        <v/>
      </c>
      <c r="V4964" s="108" t="str">
        <f>IF(Tabla1[[#This Row],[Tiempo solución max (hrs)]]&lt;&gt;"",IF(Tabla1[[#This Row],[Tiempo solución max (hrs)]]&gt;=Tabla1[[#This Row],[Tiempo
(Hrs 00/100)]],"cumple","no cumple"),"")</f>
        <v/>
      </c>
      <c r="W4964" s="17"/>
      <c r="X4964" s="18">
        <f t="shared" si="267"/>
        <v>0</v>
      </c>
      <c r="Y4964" t="str">
        <f>SUBSTITUTE(Tabla1[[#This Row],[Descripción]],CHAR(10),"    I    ")</f>
        <v/>
      </c>
      <c r="Z4964" s="112" t="e">
        <f>VLOOKUP(Tabla1[[#This Row],[Perfil]],Catalogos!$B$75:$D$100,3,FALSE)*Tabla1[[#This Row],[Tiempo
(Hrs 00/100)]]*1.16</f>
        <v>#N/A</v>
      </c>
    </row>
    <row r="4965" spans="1:26" ht="30" customHeight="1" x14ac:dyDescent="0.3">
      <c r="A4965" s="106"/>
      <c r="B4965" s="106"/>
      <c r="C4965" s="106"/>
      <c r="D4965" s="106"/>
      <c r="E4965" s="106"/>
      <c r="F4965" s="106"/>
      <c r="G4965" s="106"/>
      <c r="H4965" s="107"/>
      <c r="I4965" s="95"/>
      <c r="J4965" s="706"/>
      <c r="K4965" s="769"/>
      <c r="L4965" s="706"/>
      <c r="M4965" s="781"/>
      <c r="N4965" s="182"/>
      <c r="O4965" s="188"/>
      <c r="P4965" s="221"/>
      <c r="Q4965" s="106"/>
      <c r="R4965" s="108"/>
      <c r="S4965" s="108"/>
      <c r="T4965" s="108"/>
      <c r="U4965" s="108" t="str">
        <f>IFERROR(VLOOKUP(CONCATENATE(Tabla1[[#This Row],[Severidad]]," ",Tabla1[[#This Row],[Complejidad]]),Catalogos!E$120:G$128,3,FALSE),"")</f>
        <v/>
      </c>
      <c r="V4965" s="108" t="str">
        <f>IF(Tabla1[[#This Row],[Tiempo solución max (hrs)]]&lt;&gt;"",IF(Tabla1[[#This Row],[Tiempo solución max (hrs)]]&gt;=Tabla1[[#This Row],[Tiempo
(Hrs 00/100)]],"cumple","no cumple"),"")</f>
        <v/>
      </c>
      <c r="W4965" s="17"/>
      <c r="X4965" s="18">
        <f t="shared" si="267"/>
        <v>0</v>
      </c>
      <c r="Y4965" t="str">
        <f>SUBSTITUTE(Tabla1[[#This Row],[Descripción]],CHAR(10),"    I    ")</f>
        <v/>
      </c>
      <c r="Z4965" s="112" t="e">
        <f>VLOOKUP(Tabla1[[#This Row],[Perfil]],Catalogos!$B$75:$D$100,3,FALSE)*Tabla1[[#This Row],[Tiempo
(Hrs 00/100)]]*1.16</f>
        <v>#N/A</v>
      </c>
    </row>
    <row r="4966" spans="1:26" ht="30" customHeight="1" x14ac:dyDescent="0.3">
      <c r="A4966" s="106"/>
      <c r="B4966" s="106"/>
      <c r="C4966" s="106"/>
      <c r="D4966" s="106"/>
      <c r="E4966" s="106"/>
      <c r="F4966" s="106"/>
      <c r="G4966" s="106"/>
      <c r="H4966" s="107"/>
      <c r="I4966" s="95"/>
      <c r="J4966" s="706"/>
      <c r="K4966" s="769"/>
      <c r="L4966" s="706"/>
      <c r="M4966" s="781"/>
      <c r="N4966" s="182"/>
      <c r="O4966" s="188"/>
      <c r="P4966" s="221"/>
      <c r="Q4966" s="106"/>
      <c r="R4966" s="108"/>
      <c r="S4966" s="108"/>
      <c r="T4966" s="108"/>
      <c r="U4966" s="108" t="str">
        <f>IFERROR(VLOOKUP(CONCATENATE(Tabla1[[#This Row],[Severidad]]," ",Tabla1[[#This Row],[Complejidad]]),Catalogos!E$120:G$128,3,FALSE),"")</f>
        <v/>
      </c>
      <c r="V4966" s="108" t="str">
        <f>IF(Tabla1[[#This Row],[Tiempo solución max (hrs)]]&lt;&gt;"",IF(Tabla1[[#This Row],[Tiempo solución max (hrs)]]&gt;=Tabla1[[#This Row],[Tiempo
(Hrs 00/100)]],"cumple","no cumple"),"")</f>
        <v/>
      </c>
      <c r="W4966" s="17"/>
      <c r="X4966" s="18">
        <f t="shared" si="267"/>
        <v>0</v>
      </c>
      <c r="Y4966" t="str">
        <f>SUBSTITUTE(Tabla1[[#This Row],[Descripción]],CHAR(10),"    I    ")</f>
        <v/>
      </c>
      <c r="Z4966" s="112" t="e">
        <f>VLOOKUP(Tabla1[[#This Row],[Perfil]],Catalogos!$B$75:$D$100,3,FALSE)*Tabla1[[#This Row],[Tiempo
(Hrs 00/100)]]*1.16</f>
        <v>#N/A</v>
      </c>
    </row>
    <row r="4967" spans="1:26" ht="30" customHeight="1" x14ac:dyDescent="0.3">
      <c r="A4967" s="106"/>
      <c r="B4967" s="106"/>
      <c r="C4967" s="106"/>
      <c r="D4967" s="106"/>
      <c r="E4967" s="106"/>
      <c r="F4967" s="106"/>
      <c r="G4967" s="106"/>
      <c r="H4967" s="107"/>
      <c r="I4967" s="95"/>
      <c r="J4967" s="706"/>
      <c r="K4967" s="769"/>
      <c r="L4967" s="706"/>
      <c r="M4967" s="781"/>
      <c r="N4967" s="182"/>
      <c r="O4967" s="188"/>
      <c r="P4967" s="221"/>
      <c r="Q4967" s="106"/>
      <c r="R4967" s="108"/>
      <c r="S4967" s="108"/>
      <c r="T4967" s="108"/>
      <c r="U4967" s="108" t="str">
        <f>IFERROR(VLOOKUP(CONCATENATE(Tabla1[[#This Row],[Severidad]]," ",Tabla1[[#This Row],[Complejidad]]),Catalogos!E$120:G$128,3,FALSE),"")</f>
        <v/>
      </c>
      <c r="V4967" s="108" t="str">
        <f>IF(Tabla1[[#This Row],[Tiempo solución max (hrs)]]&lt;&gt;"",IF(Tabla1[[#This Row],[Tiempo solución max (hrs)]]&gt;=Tabla1[[#This Row],[Tiempo
(Hrs 00/100)]],"cumple","no cumple"),"")</f>
        <v/>
      </c>
      <c r="W4967" s="17"/>
      <c r="X4967" s="18">
        <f t="shared" si="267"/>
        <v>0</v>
      </c>
      <c r="Y4967" t="str">
        <f>SUBSTITUTE(Tabla1[[#This Row],[Descripción]],CHAR(10),"    I    ")</f>
        <v/>
      </c>
      <c r="Z4967" s="112" t="e">
        <f>VLOOKUP(Tabla1[[#This Row],[Perfil]],Catalogos!$B$75:$D$100,3,FALSE)*Tabla1[[#This Row],[Tiempo
(Hrs 00/100)]]*1.16</f>
        <v>#N/A</v>
      </c>
    </row>
    <row r="4968" spans="1:26" ht="30" customHeight="1" x14ac:dyDescent="0.3">
      <c r="A4968" s="106"/>
      <c r="B4968" s="106"/>
      <c r="C4968" s="106"/>
      <c r="D4968" s="106"/>
      <c r="E4968" s="106"/>
      <c r="F4968" s="106"/>
      <c r="G4968" s="106"/>
      <c r="H4968" s="107"/>
      <c r="I4968" s="95"/>
      <c r="J4968" s="706"/>
      <c r="K4968" s="769"/>
      <c r="L4968" s="706"/>
      <c r="M4968" s="781"/>
      <c r="N4968" s="182"/>
      <c r="O4968" s="188"/>
      <c r="P4968" s="221"/>
      <c r="Q4968" s="106"/>
      <c r="R4968" s="108"/>
      <c r="S4968" s="108"/>
      <c r="T4968" s="108"/>
      <c r="U4968" s="108" t="str">
        <f>IFERROR(VLOOKUP(CONCATENATE(Tabla1[[#This Row],[Severidad]]," ",Tabla1[[#This Row],[Complejidad]]),Catalogos!E$120:G$128,3,FALSE),"")</f>
        <v/>
      </c>
      <c r="V4968" s="108" t="str">
        <f>IF(Tabla1[[#This Row],[Tiempo solución max (hrs)]]&lt;&gt;"",IF(Tabla1[[#This Row],[Tiempo solución max (hrs)]]&gt;=Tabla1[[#This Row],[Tiempo
(Hrs 00/100)]],"cumple","no cumple"),"")</f>
        <v/>
      </c>
      <c r="W4968" s="17"/>
      <c r="X4968" s="18">
        <f t="shared" si="267"/>
        <v>0</v>
      </c>
      <c r="Y4968" t="str">
        <f>SUBSTITUTE(Tabla1[[#This Row],[Descripción]],CHAR(10),"    I    ")</f>
        <v/>
      </c>
      <c r="Z4968" s="112" t="e">
        <f>VLOOKUP(Tabla1[[#This Row],[Perfil]],Catalogos!$B$75:$D$100,3,FALSE)*Tabla1[[#This Row],[Tiempo
(Hrs 00/100)]]*1.16</f>
        <v>#N/A</v>
      </c>
    </row>
    <row r="4969" spans="1:26" ht="30" customHeight="1" x14ac:dyDescent="0.3">
      <c r="A4969" s="106"/>
      <c r="B4969" s="106"/>
      <c r="C4969" s="106"/>
      <c r="D4969" s="106"/>
      <c r="E4969" s="106"/>
      <c r="F4969" s="106"/>
      <c r="G4969" s="106"/>
      <c r="H4969" s="107"/>
      <c r="I4969" s="95"/>
      <c r="J4969" s="706"/>
      <c r="K4969" s="769"/>
      <c r="L4969" s="706"/>
      <c r="M4969" s="781"/>
      <c r="N4969" s="182"/>
      <c r="O4969" s="188"/>
      <c r="P4969" s="221"/>
      <c r="Q4969" s="106"/>
      <c r="R4969" s="108"/>
      <c r="S4969" s="108"/>
      <c r="T4969" s="108"/>
      <c r="U4969" s="108" t="str">
        <f>IFERROR(VLOOKUP(CONCATENATE(Tabla1[[#This Row],[Severidad]]," ",Tabla1[[#This Row],[Complejidad]]),Catalogos!E$120:G$128,3,FALSE),"")</f>
        <v/>
      </c>
      <c r="V4969" s="108" t="str">
        <f>IF(Tabla1[[#This Row],[Tiempo solución max (hrs)]]&lt;&gt;"",IF(Tabla1[[#This Row],[Tiempo solución max (hrs)]]&gt;=Tabla1[[#This Row],[Tiempo
(Hrs 00/100)]],"cumple","no cumple"),"")</f>
        <v/>
      </c>
      <c r="W4969" s="17"/>
      <c r="X4969" s="18">
        <f t="shared" si="267"/>
        <v>0</v>
      </c>
      <c r="Y4969" t="str">
        <f>SUBSTITUTE(Tabla1[[#This Row],[Descripción]],CHAR(10),"    I    ")</f>
        <v/>
      </c>
      <c r="Z4969" s="112" t="e">
        <f>VLOOKUP(Tabla1[[#This Row],[Perfil]],Catalogos!$B$75:$D$100,3,FALSE)*Tabla1[[#This Row],[Tiempo
(Hrs 00/100)]]*1.16</f>
        <v>#N/A</v>
      </c>
    </row>
    <row r="4970" spans="1:26" ht="30" customHeight="1" x14ac:dyDescent="0.3">
      <c r="A4970" s="106"/>
      <c r="B4970" s="106"/>
      <c r="C4970" s="106"/>
      <c r="D4970" s="106"/>
      <c r="E4970" s="106"/>
      <c r="F4970" s="106"/>
      <c r="G4970" s="106"/>
      <c r="H4970" s="107"/>
      <c r="I4970" s="95"/>
      <c r="J4970" s="706"/>
      <c r="K4970" s="769"/>
      <c r="L4970" s="706"/>
      <c r="M4970" s="781"/>
      <c r="N4970" s="182"/>
      <c r="O4970" s="188"/>
      <c r="P4970" s="221"/>
      <c r="Q4970" s="106"/>
      <c r="R4970" s="108"/>
      <c r="S4970" s="108"/>
      <c r="T4970" s="108"/>
      <c r="U4970" s="108" t="str">
        <f>IFERROR(VLOOKUP(CONCATENATE(Tabla1[[#This Row],[Severidad]]," ",Tabla1[[#This Row],[Complejidad]]),Catalogos!E$120:G$128,3,FALSE),"")</f>
        <v/>
      </c>
      <c r="V4970" s="108" t="str">
        <f>IF(Tabla1[[#This Row],[Tiempo solución max (hrs)]]&lt;&gt;"",IF(Tabla1[[#This Row],[Tiempo solución max (hrs)]]&gt;=Tabla1[[#This Row],[Tiempo
(Hrs 00/100)]],"cumple","no cumple"),"")</f>
        <v/>
      </c>
      <c r="W4970" s="17"/>
      <c r="X4970" s="18">
        <f t="shared" si="267"/>
        <v>0</v>
      </c>
      <c r="Y4970" t="str">
        <f>SUBSTITUTE(Tabla1[[#This Row],[Descripción]],CHAR(10),"    I    ")</f>
        <v/>
      </c>
      <c r="Z4970" s="112" t="e">
        <f>VLOOKUP(Tabla1[[#This Row],[Perfil]],Catalogos!$B$75:$D$100,3,FALSE)*Tabla1[[#This Row],[Tiempo
(Hrs 00/100)]]*1.16</f>
        <v>#N/A</v>
      </c>
    </row>
    <row r="4971" spans="1:26" ht="30" customHeight="1" x14ac:dyDescent="0.3">
      <c r="A4971" s="106"/>
      <c r="B4971" s="106"/>
      <c r="C4971" s="106"/>
      <c r="D4971" s="106"/>
      <c r="E4971" s="106"/>
      <c r="F4971" s="106"/>
      <c r="G4971" s="106"/>
      <c r="H4971" s="107"/>
      <c r="I4971" s="95"/>
      <c r="J4971" s="706"/>
      <c r="K4971" s="769"/>
      <c r="L4971" s="706"/>
      <c r="M4971" s="781"/>
      <c r="N4971" s="182"/>
      <c r="O4971" s="188"/>
      <c r="P4971" s="221"/>
      <c r="Q4971" s="106"/>
      <c r="R4971" s="108"/>
      <c r="S4971" s="108"/>
      <c r="T4971" s="108"/>
      <c r="U4971" s="108" t="str">
        <f>IFERROR(VLOOKUP(CONCATENATE(Tabla1[[#This Row],[Severidad]]," ",Tabla1[[#This Row],[Complejidad]]),Catalogos!E$120:G$128,3,FALSE),"")</f>
        <v/>
      </c>
      <c r="V4971" s="108" t="str">
        <f>IF(Tabla1[[#This Row],[Tiempo solución max (hrs)]]&lt;&gt;"",IF(Tabla1[[#This Row],[Tiempo solución max (hrs)]]&gt;=Tabla1[[#This Row],[Tiempo
(Hrs 00/100)]],"cumple","no cumple"),"")</f>
        <v/>
      </c>
      <c r="W4971" s="17"/>
      <c r="X4971" s="18">
        <f t="shared" si="267"/>
        <v>0</v>
      </c>
      <c r="Y4971" t="str">
        <f>SUBSTITUTE(Tabla1[[#This Row],[Descripción]],CHAR(10),"    I    ")</f>
        <v/>
      </c>
      <c r="Z4971" s="112" t="e">
        <f>VLOOKUP(Tabla1[[#This Row],[Perfil]],Catalogos!$B$75:$D$100,3,FALSE)*Tabla1[[#This Row],[Tiempo
(Hrs 00/100)]]*1.16</f>
        <v>#N/A</v>
      </c>
    </row>
    <row r="4972" spans="1:26" ht="30" customHeight="1" x14ac:dyDescent="0.3">
      <c r="A4972" s="106"/>
      <c r="B4972" s="106"/>
      <c r="C4972" s="106"/>
      <c r="D4972" s="106"/>
      <c r="E4972" s="106"/>
      <c r="F4972" s="106"/>
      <c r="G4972" s="106"/>
      <c r="H4972" s="107"/>
      <c r="I4972" s="95"/>
      <c r="J4972" s="706"/>
      <c r="K4972" s="769"/>
      <c r="L4972" s="706"/>
      <c r="M4972" s="781"/>
      <c r="N4972" s="182"/>
      <c r="O4972" s="188"/>
      <c r="P4972" s="221"/>
      <c r="Q4972" s="106"/>
      <c r="R4972" s="108"/>
      <c r="S4972" s="108"/>
      <c r="T4972" s="108"/>
      <c r="U4972" s="108" t="str">
        <f>IFERROR(VLOOKUP(CONCATENATE(Tabla1[[#This Row],[Severidad]]," ",Tabla1[[#This Row],[Complejidad]]),Catalogos!E$120:G$128,3,FALSE),"")</f>
        <v/>
      </c>
      <c r="V4972" s="108" t="str">
        <f>IF(Tabla1[[#This Row],[Tiempo solución max (hrs)]]&lt;&gt;"",IF(Tabla1[[#This Row],[Tiempo solución max (hrs)]]&gt;=Tabla1[[#This Row],[Tiempo
(Hrs 00/100)]],"cumple","no cumple"),"")</f>
        <v/>
      </c>
      <c r="W4972" s="17"/>
      <c r="X4972" s="18">
        <f t="shared" si="267"/>
        <v>0</v>
      </c>
      <c r="Y4972" t="str">
        <f>SUBSTITUTE(Tabla1[[#This Row],[Descripción]],CHAR(10),"    I    ")</f>
        <v/>
      </c>
      <c r="Z4972" s="112" t="e">
        <f>VLOOKUP(Tabla1[[#This Row],[Perfil]],Catalogos!$B$75:$D$100,3,FALSE)*Tabla1[[#This Row],[Tiempo
(Hrs 00/100)]]*1.16</f>
        <v>#N/A</v>
      </c>
    </row>
    <row r="4973" spans="1:26" ht="30" customHeight="1" x14ac:dyDescent="0.3">
      <c r="A4973" s="106"/>
      <c r="B4973" s="106"/>
      <c r="C4973" s="106"/>
      <c r="D4973" s="106"/>
      <c r="E4973" s="106"/>
      <c r="F4973" s="106"/>
      <c r="G4973" s="106"/>
      <c r="H4973" s="107"/>
      <c r="I4973" s="95"/>
      <c r="J4973" s="706"/>
      <c r="K4973" s="769"/>
      <c r="L4973" s="706"/>
      <c r="M4973" s="781"/>
      <c r="N4973" s="182"/>
      <c r="O4973" s="188"/>
      <c r="P4973" s="221"/>
      <c r="Q4973" s="106"/>
      <c r="R4973" s="108"/>
      <c r="S4973" s="108"/>
      <c r="T4973" s="108"/>
      <c r="U4973" s="108" t="str">
        <f>IFERROR(VLOOKUP(CONCATENATE(Tabla1[[#This Row],[Severidad]]," ",Tabla1[[#This Row],[Complejidad]]),Catalogos!E$120:G$128,3,FALSE),"")</f>
        <v/>
      </c>
      <c r="V4973" s="108" t="str">
        <f>IF(Tabla1[[#This Row],[Tiempo solución max (hrs)]]&lt;&gt;"",IF(Tabla1[[#This Row],[Tiempo solución max (hrs)]]&gt;=Tabla1[[#This Row],[Tiempo
(Hrs 00/100)]],"cumple","no cumple"),"")</f>
        <v/>
      </c>
      <c r="W4973" s="17"/>
      <c r="X4973" s="18">
        <f t="shared" si="267"/>
        <v>0</v>
      </c>
      <c r="Y4973" t="str">
        <f>SUBSTITUTE(Tabla1[[#This Row],[Descripción]],CHAR(10),"    I    ")</f>
        <v/>
      </c>
      <c r="Z4973" s="112" t="e">
        <f>VLOOKUP(Tabla1[[#This Row],[Perfil]],Catalogos!$B$75:$D$100,3,FALSE)*Tabla1[[#This Row],[Tiempo
(Hrs 00/100)]]*1.16</f>
        <v>#N/A</v>
      </c>
    </row>
    <row r="4974" spans="1:26" ht="30" customHeight="1" x14ac:dyDescent="0.3">
      <c r="A4974" s="106"/>
      <c r="B4974" s="106"/>
      <c r="C4974" s="106"/>
      <c r="D4974" s="106"/>
      <c r="E4974" s="106"/>
      <c r="F4974" s="106"/>
      <c r="G4974" s="106"/>
      <c r="H4974" s="107"/>
      <c r="I4974" s="95"/>
      <c r="J4974" s="706"/>
      <c r="K4974" s="769"/>
      <c r="L4974" s="706"/>
      <c r="M4974" s="781"/>
      <c r="N4974" s="182"/>
      <c r="O4974" s="188"/>
      <c r="P4974" s="221"/>
      <c r="Q4974" s="106"/>
      <c r="R4974" s="108"/>
      <c r="S4974" s="108"/>
      <c r="T4974" s="108"/>
      <c r="U4974" s="108" t="str">
        <f>IFERROR(VLOOKUP(CONCATENATE(Tabla1[[#This Row],[Severidad]]," ",Tabla1[[#This Row],[Complejidad]]),Catalogos!E$120:G$128,3,FALSE),"")</f>
        <v/>
      </c>
      <c r="V4974" s="108" t="str">
        <f>IF(Tabla1[[#This Row],[Tiempo solución max (hrs)]]&lt;&gt;"",IF(Tabla1[[#This Row],[Tiempo solución max (hrs)]]&gt;=Tabla1[[#This Row],[Tiempo
(Hrs 00/100)]],"cumple","no cumple"),"")</f>
        <v/>
      </c>
      <c r="W4974" s="17"/>
      <c r="X4974" s="18">
        <f t="shared" si="267"/>
        <v>0</v>
      </c>
      <c r="Y4974" t="str">
        <f>SUBSTITUTE(Tabla1[[#This Row],[Descripción]],CHAR(10),"    I    ")</f>
        <v/>
      </c>
      <c r="Z4974" s="112" t="e">
        <f>VLOOKUP(Tabla1[[#This Row],[Perfil]],Catalogos!$B$75:$D$100,3,FALSE)*Tabla1[[#This Row],[Tiempo
(Hrs 00/100)]]*1.16</f>
        <v>#N/A</v>
      </c>
    </row>
    <row r="4975" spans="1:26" ht="30" customHeight="1" x14ac:dyDescent="0.3">
      <c r="A4975" s="106"/>
      <c r="B4975" s="106"/>
      <c r="C4975" s="106"/>
      <c r="D4975" s="106"/>
      <c r="E4975" s="106"/>
      <c r="F4975" s="106"/>
      <c r="G4975" s="106"/>
      <c r="H4975" s="107"/>
      <c r="I4975" s="95"/>
      <c r="J4975" s="706"/>
      <c r="K4975" s="769"/>
      <c r="L4975" s="706"/>
      <c r="M4975" s="781"/>
      <c r="N4975" s="182"/>
      <c r="O4975" s="188"/>
      <c r="P4975" s="221"/>
      <c r="Q4975" s="106"/>
      <c r="R4975" s="108"/>
      <c r="S4975" s="108"/>
      <c r="T4975" s="108"/>
      <c r="U4975" s="108" t="str">
        <f>IFERROR(VLOOKUP(CONCATENATE(Tabla1[[#This Row],[Severidad]]," ",Tabla1[[#This Row],[Complejidad]]),Catalogos!E$120:G$128,3,FALSE),"")</f>
        <v/>
      </c>
      <c r="V4975" s="108" t="str">
        <f>IF(Tabla1[[#This Row],[Tiempo solución max (hrs)]]&lt;&gt;"",IF(Tabla1[[#This Row],[Tiempo solución max (hrs)]]&gt;=Tabla1[[#This Row],[Tiempo
(Hrs 00/100)]],"cumple","no cumple"),"")</f>
        <v/>
      </c>
      <c r="W4975" s="17"/>
      <c r="X4975" s="18">
        <f t="shared" si="267"/>
        <v>0</v>
      </c>
      <c r="Y4975" t="str">
        <f>SUBSTITUTE(Tabla1[[#This Row],[Descripción]],CHAR(10),"    I    ")</f>
        <v/>
      </c>
      <c r="Z4975" s="112" t="e">
        <f>VLOOKUP(Tabla1[[#This Row],[Perfil]],Catalogos!$B$75:$D$100,3,FALSE)*Tabla1[[#This Row],[Tiempo
(Hrs 00/100)]]*1.16</f>
        <v>#N/A</v>
      </c>
    </row>
    <row r="4976" spans="1:26" ht="30" customHeight="1" x14ac:dyDescent="0.3">
      <c r="A4976" s="106"/>
      <c r="B4976" s="106"/>
      <c r="C4976" s="106"/>
      <c r="D4976" s="106"/>
      <c r="E4976" s="106"/>
      <c r="F4976" s="106"/>
      <c r="G4976" s="106"/>
      <c r="H4976" s="107"/>
      <c r="I4976" s="95"/>
      <c r="J4976" s="706"/>
      <c r="K4976" s="769"/>
      <c r="L4976" s="706"/>
      <c r="M4976" s="781"/>
      <c r="N4976" s="182"/>
      <c r="O4976" s="188"/>
      <c r="P4976" s="221"/>
      <c r="Q4976" s="106"/>
      <c r="R4976" s="108"/>
      <c r="S4976" s="108"/>
      <c r="T4976" s="108"/>
      <c r="U4976" s="108" t="str">
        <f>IFERROR(VLOOKUP(CONCATENATE(Tabla1[[#This Row],[Severidad]]," ",Tabla1[[#This Row],[Complejidad]]),Catalogos!E$120:G$128,3,FALSE),"")</f>
        <v/>
      </c>
      <c r="V4976" s="108" t="str">
        <f>IF(Tabla1[[#This Row],[Tiempo solución max (hrs)]]&lt;&gt;"",IF(Tabla1[[#This Row],[Tiempo solución max (hrs)]]&gt;=Tabla1[[#This Row],[Tiempo
(Hrs 00/100)]],"cumple","no cumple"),"")</f>
        <v/>
      </c>
      <c r="W4976" s="17"/>
      <c r="X4976" s="18">
        <f t="shared" si="267"/>
        <v>0</v>
      </c>
      <c r="Y4976" t="str">
        <f>SUBSTITUTE(Tabla1[[#This Row],[Descripción]],CHAR(10),"    I    ")</f>
        <v/>
      </c>
      <c r="Z4976" s="112" t="e">
        <f>VLOOKUP(Tabla1[[#This Row],[Perfil]],Catalogos!$B$75:$D$100,3,FALSE)*Tabla1[[#This Row],[Tiempo
(Hrs 00/100)]]*1.16</f>
        <v>#N/A</v>
      </c>
    </row>
    <row r="4977" spans="1:26" ht="30" customHeight="1" x14ac:dyDescent="0.3">
      <c r="A4977" s="106"/>
      <c r="B4977" s="106"/>
      <c r="C4977" s="106"/>
      <c r="D4977" s="106"/>
      <c r="E4977" s="106"/>
      <c r="F4977" s="106"/>
      <c r="G4977" s="106"/>
      <c r="H4977" s="107"/>
      <c r="I4977" s="95"/>
      <c r="J4977" s="706"/>
      <c r="K4977" s="769"/>
      <c r="L4977" s="706"/>
      <c r="M4977" s="781"/>
      <c r="N4977" s="182"/>
      <c r="O4977" s="188"/>
      <c r="P4977" s="221"/>
      <c r="Q4977" s="106"/>
      <c r="R4977" s="108"/>
      <c r="S4977" s="108"/>
      <c r="T4977" s="108"/>
      <c r="U4977" s="108" t="str">
        <f>IFERROR(VLOOKUP(CONCATENATE(Tabla1[[#This Row],[Severidad]]," ",Tabla1[[#This Row],[Complejidad]]),Catalogos!E$120:G$128,3,FALSE),"")</f>
        <v/>
      </c>
      <c r="V4977" s="108" t="str">
        <f>IF(Tabla1[[#This Row],[Tiempo solución max (hrs)]]&lt;&gt;"",IF(Tabla1[[#This Row],[Tiempo solución max (hrs)]]&gt;=Tabla1[[#This Row],[Tiempo
(Hrs 00/100)]],"cumple","no cumple"),"")</f>
        <v/>
      </c>
      <c r="W4977" s="17"/>
      <c r="X4977" s="18">
        <f t="shared" si="267"/>
        <v>0</v>
      </c>
      <c r="Y4977" t="str">
        <f>SUBSTITUTE(Tabla1[[#This Row],[Descripción]],CHAR(10),"    I    ")</f>
        <v/>
      </c>
      <c r="Z4977" s="112" t="e">
        <f>VLOOKUP(Tabla1[[#This Row],[Perfil]],Catalogos!$B$75:$D$100,3,FALSE)*Tabla1[[#This Row],[Tiempo
(Hrs 00/100)]]*1.16</f>
        <v>#N/A</v>
      </c>
    </row>
    <row r="4978" spans="1:26" ht="30" customHeight="1" x14ac:dyDescent="0.3">
      <c r="A4978" s="106"/>
      <c r="B4978" s="106"/>
      <c r="C4978" s="106"/>
      <c r="D4978" s="106"/>
      <c r="E4978" s="106"/>
      <c r="F4978" s="106"/>
      <c r="G4978" s="106"/>
      <c r="H4978" s="107"/>
      <c r="I4978" s="95"/>
      <c r="J4978" s="706"/>
      <c r="K4978" s="769"/>
      <c r="L4978" s="706"/>
      <c r="M4978" s="781"/>
      <c r="N4978" s="182"/>
      <c r="O4978" s="188"/>
      <c r="P4978" s="221"/>
      <c r="Q4978" s="106"/>
      <c r="R4978" s="108"/>
      <c r="S4978" s="108"/>
      <c r="T4978" s="108"/>
      <c r="U4978" s="108" t="str">
        <f>IFERROR(VLOOKUP(CONCATENATE(Tabla1[[#This Row],[Severidad]]," ",Tabla1[[#This Row],[Complejidad]]),Catalogos!E$120:G$128,3,FALSE),"")</f>
        <v/>
      </c>
      <c r="V4978" s="108" t="str">
        <f>IF(Tabla1[[#This Row],[Tiempo solución max (hrs)]]&lt;&gt;"",IF(Tabla1[[#This Row],[Tiempo solución max (hrs)]]&gt;=Tabla1[[#This Row],[Tiempo
(Hrs 00/100)]],"cumple","no cumple"),"")</f>
        <v/>
      </c>
      <c r="W4978" s="17"/>
      <c r="X4978" s="18">
        <f t="shared" si="267"/>
        <v>0</v>
      </c>
      <c r="Y4978" t="str">
        <f>SUBSTITUTE(Tabla1[[#This Row],[Descripción]],CHAR(10),"    I    ")</f>
        <v/>
      </c>
      <c r="Z4978" s="112" t="e">
        <f>VLOOKUP(Tabla1[[#This Row],[Perfil]],Catalogos!$B$75:$D$100,3,FALSE)*Tabla1[[#This Row],[Tiempo
(Hrs 00/100)]]*1.16</f>
        <v>#N/A</v>
      </c>
    </row>
    <row r="4979" spans="1:26" ht="30" customHeight="1" x14ac:dyDescent="0.3">
      <c r="A4979" s="106"/>
      <c r="B4979" s="106"/>
      <c r="C4979" s="106"/>
      <c r="D4979" s="106"/>
      <c r="E4979" s="106"/>
      <c r="F4979" s="106"/>
      <c r="G4979" s="106"/>
      <c r="H4979" s="107"/>
      <c r="I4979" s="95"/>
      <c r="J4979" s="706"/>
      <c r="K4979" s="769"/>
      <c r="L4979" s="706"/>
      <c r="M4979" s="781"/>
      <c r="N4979" s="182"/>
      <c r="O4979" s="188"/>
      <c r="P4979" s="221"/>
      <c r="Q4979" s="106"/>
      <c r="R4979" s="108"/>
      <c r="S4979" s="108"/>
      <c r="T4979" s="108"/>
      <c r="U4979" s="108" t="str">
        <f>IFERROR(VLOOKUP(CONCATENATE(Tabla1[[#This Row],[Severidad]]," ",Tabla1[[#This Row],[Complejidad]]),Catalogos!E$120:G$128,3,FALSE),"")</f>
        <v/>
      </c>
      <c r="V4979" s="108" t="str">
        <f>IF(Tabla1[[#This Row],[Tiempo solución max (hrs)]]&lt;&gt;"",IF(Tabla1[[#This Row],[Tiempo solución max (hrs)]]&gt;=Tabla1[[#This Row],[Tiempo
(Hrs 00/100)]],"cumple","no cumple"),"")</f>
        <v/>
      </c>
      <c r="W4979" s="17"/>
      <c r="X4979" s="18">
        <f t="shared" si="267"/>
        <v>0</v>
      </c>
      <c r="Y4979" t="str">
        <f>SUBSTITUTE(Tabla1[[#This Row],[Descripción]],CHAR(10),"    I    ")</f>
        <v/>
      </c>
      <c r="Z4979" s="112" t="e">
        <f>VLOOKUP(Tabla1[[#This Row],[Perfil]],Catalogos!$B$75:$D$100,3,FALSE)*Tabla1[[#This Row],[Tiempo
(Hrs 00/100)]]*1.16</f>
        <v>#N/A</v>
      </c>
    </row>
    <row r="4980" spans="1:26" ht="30" customHeight="1" x14ac:dyDescent="0.3">
      <c r="A4980" s="106"/>
      <c r="B4980" s="106"/>
      <c r="C4980" s="106"/>
      <c r="D4980" s="106"/>
      <c r="E4980" s="106"/>
      <c r="F4980" s="106"/>
      <c r="G4980" s="106"/>
      <c r="H4980" s="107"/>
      <c r="I4980" s="95"/>
      <c r="J4980" s="706"/>
      <c r="K4980" s="769"/>
      <c r="L4980" s="706"/>
      <c r="M4980" s="781"/>
      <c r="N4980" s="182"/>
      <c r="O4980" s="188"/>
      <c r="P4980" s="221"/>
      <c r="Q4980" s="106"/>
      <c r="R4980" s="108"/>
      <c r="S4980" s="108"/>
      <c r="T4980" s="108"/>
      <c r="U4980" s="108" t="str">
        <f>IFERROR(VLOOKUP(CONCATENATE(Tabla1[[#This Row],[Severidad]]," ",Tabla1[[#This Row],[Complejidad]]),Catalogos!E$120:G$128,3,FALSE),"")</f>
        <v/>
      </c>
      <c r="V4980" s="108" t="str">
        <f>IF(Tabla1[[#This Row],[Tiempo solución max (hrs)]]&lt;&gt;"",IF(Tabla1[[#This Row],[Tiempo solución max (hrs)]]&gt;=Tabla1[[#This Row],[Tiempo
(Hrs 00/100)]],"cumple","no cumple"),"")</f>
        <v/>
      </c>
      <c r="W4980" s="17"/>
      <c r="X4980" s="18">
        <f t="shared" si="267"/>
        <v>0</v>
      </c>
      <c r="Y4980" t="str">
        <f>SUBSTITUTE(Tabla1[[#This Row],[Descripción]],CHAR(10),"    I    ")</f>
        <v/>
      </c>
      <c r="Z4980" s="112" t="e">
        <f>VLOOKUP(Tabla1[[#This Row],[Perfil]],Catalogos!$B$75:$D$100,3,FALSE)*Tabla1[[#This Row],[Tiempo
(Hrs 00/100)]]*1.16</f>
        <v>#N/A</v>
      </c>
    </row>
    <row r="4981" spans="1:26" ht="30" customHeight="1" x14ac:dyDescent="0.3">
      <c r="A4981" s="106"/>
      <c r="B4981" s="106"/>
      <c r="C4981" s="106"/>
      <c r="D4981" s="106"/>
      <c r="E4981" s="106"/>
      <c r="F4981" s="106"/>
      <c r="G4981" s="106"/>
      <c r="H4981" s="107"/>
      <c r="I4981" s="95"/>
      <c r="J4981" s="706"/>
      <c r="K4981" s="769"/>
      <c r="L4981" s="706"/>
      <c r="M4981" s="781"/>
      <c r="N4981" s="182"/>
      <c r="O4981" s="188"/>
      <c r="P4981" s="221"/>
      <c r="Q4981" s="106"/>
      <c r="R4981" s="108"/>
      <c r="S4981" s="108"/>
      <c r="T4981" s="108"/>
      <c r="U4981" s="108" t="str">
        <f>IFERROR(VLOOKUP(CONCATENATE(Tabla1[[#This Row],[Severidad]]," ",Tabla1[[#This Row],[Complejidad]]),Catalogos!E$120:G$128,3,FALSE),"")</f>
        <v/>
      </c>
      <c r="V4981" s="108" t="str">
        <f>IF(Tabla1[[#This Row],[Tiempo solución max (hrs)]]&lt;&gt;"",IF(Tabla1[[#This Row],[Tiempo solución max (hrs)]]&gt;=Tabla1[[#This Row],[Tiempo
(Hrs 00/100)]],"cumple","no cumple"),"")</f>
        <v/>
      </c>
      <c r="W4981" s="17"/>
      <c r="X4981" s="18">
        <f t="shared" si="267"/>
        <v>0</v>
      </c>
      <c r="Y4981" t="str">
        <f>SUBSTITUTE(Tabla1[[#This Row],[Descripción]],CHAR(10),"    I    ")</f>
        <v/>
      </c>
      <c r="Z4981" s="112" t="e">
        <f>VLOOKUP(Tabla1[[#This Row],[Perfil]],Catalogos!$B$75:$D$100,3,FALSE)*Tabla1[[#This Row],[Tiempo
(Hrs 00/100)]]*1.16</f>
        <v>#N/A</v>
      </c>
    </row>
    <row r="4982" spans="1:26" ht="30" customHeight="1" x14ac:dyDescent="0.3">
      <c r="A4982" s="106"/>
      <c r="B4982" s="106"/>
      <c r="C4982" s="106"/>
      <c r="D4982" s="106"/>
      <c r="E4982" s="106"/>
      <c r="F4982" s="106"/>
      <c r="G4982" s="106"/>
      <c r="H4982" s="107"/>
      <c r="I4982" s="95"/>
      <c r="J4982" s="706"/>
      <c r="K4982" s="769"/>
      <c r="L4982" s="706"/>
      <c r="M4982" s="781"/>
      <c r="N4982" s="182"/>
      <c r="O4982" s="188"/>
      <c r="P4982" s="221"/>
      <c r="Q4982" s="106"/>
      <c r="R4982" s="108"/>
      <c r="S4982" s="108"/>
      <c r="T4982" s="108"/>
      <c r="U4982" s="108" t="str">
        <f>IFERROR(VLOOKUP(CONCATENATE(Tabla1[[#This Row],[Severidad]]," ",Tabla1[[#This Row],[Complejidad]]),Catalogos!E$120:G$128,3,FALSE),"")</f>
        <v/>
      </c>
      <c r="V4982" s="108" t="str">
        <f>IF(Tabla1[[#This Row],[Tiempo solución max (hrs)]]&lt;&gt;"",IF(Tabla1[[#This Row],[Tiempo solución max (hrs)]]&gt;=Tabla1[[#This Row],[Tiempo
(Hrs 00/100)]],"cumple","no cumple"),"")</f>
        <v/>
      </c>
      <c r="W4982" s="17"/>
      <c r="X4982" s="18">
        <f t="shared" si="267"/>
        <v>0</v>
      </c>
      <c r="Y4982" t="str">
        <f>SUBSTITUTE(Tabla1[[#This Row],[Descripción]],CHAR(10),"    I    ")</f>
        <v/>
      </c>
      <c r="Z4982" s="112" t="e">
        <f>VLOOKUP(Tabla1[[#This Row],[Perfil]],Catalogos!$B$75:$D$100,3,FALSE)*Tabla1[[#This Row],[Tiempo
(Hrs 00/100)]]*1.16</f>
        <v>#N/A</v>
      </c>
    </row>
    <row r="4983" spans="1:26" ht="30" customHeight="1" x14ac:dyDescent="0.3">
      <c r="A4983" s="106"/>
      <c r="B4983" s="106"/>
      <c r="C4983" s="106"/>
      <c r="D4983" s="106"/>
      <c r="E4983" s="106"/>
      <c r="F4983" s="106"/>
      <c r="G4983" s="106"/>
      <c r="H4983" s="107"/>
      <c r="I4983" s="95"/>
      <c r="J4983" s="706"/>
      <c r="K4983" s="769"/>
      <c r="L4983" s="706"/>
      <c r="M4983" s="781"/>
      <c r="N4983" s="182"/>
      <c r="O4983" s="188"/>
      <c r="P4983" s="221"/>
      <c r="Q4983" s="106"/>
      <c r="R4983" s="108"/>
      <c r="S4983" s="108"/>
      <c r="T4983" s="108"/>
      <c r="U4983" s="108" t="str">
        <f>IFERROR(VLOOKUP(CONCATENATE(Tabla1[[#This Row],[Severidad]]," ",Tabla1[[#This Row],[Complejidad]]),Catalogos!E$120:G$128,3,FALSE),"")</f>
        <v/>
      </c>
      <c r="V4983" s="108" t="str">
        <f>IF(Tabla1[[#This Row],[Tiempo solución max (hrs)]]&lt;&gt;"",IF(Tabla1[[#This Row],[Tiempo solución max (hrs)]]&gt;=Tabla1[[#This Row],[Tiempo
(Hrs 00/100)]],"cumple","no cumple"),"")</f>
        <v/>
      </c>
      <c r="W4983" s="17"/>
      <c r="X4983" s="18">
        <f t="shared" si="267"/>
        <v>0</v>
      </c>
      <c r="Y4983" t="str">
        <f>SUBSTITUTE(Tabla1[[#This Row],[Descripción]],CHAR(10),"    I    ")</f>
        <v/>
      </c>
      <c r="Z4983" s="112" t="e">
        <f>VLOOKUP(Tabla1[[#This Row],[Perfil]],Catalogos!$B$75:$D$100,3,FALSE)*Tabla1[[#This Row],[Tiempo
(Hrs 00/100)]]*1.16</f>
        <v>#N/A</v>
      </c>
    </row>
    <row r="4984" spans="1:26" ht="30" customHeight="1" x14ac:dyDescent="0.3">
      <c r="A4984" s="106"/>
      <c r="B4984" s="106"/>
      <c r="C4984" s="106"/>
      <c r="D4984" s="106"/>
      <c r="E4984" s="106"/>
      <c r="F4984" s="106"/>
      <c r="G4984" s="106"/>
      <c r="H4984" s="107"/>
      <c r="I4984" s="95"/>
      <c r="J4984" s="706"/>
      <c r="K4984" s="769"/>
      <c r="L4984" s="706"/>
      <c r="M4984" s="781"/>
      <c r="N4984" s="182"/>
      <c r="O4984" s="188"/>
      <c r="P4984" s="221"/>
      <c r="Q4984" s="106"/>
      <c r="R4984" s="108"/>
      <c r="S4984" s="108"/>
      <c r="T4984" s="108"/>
      <c r="U4984" s="108" t="str">
        <f>IFERROR(VLOOKUP(CONCATENATE(Tabla1[[#This Row],[Severidad]]," ",Tabla1[[#This Row],[Complejidad]]),Catalogos!E$120:G$128,3,FALSE),"")</f>
        <v/>
      </c>
      <c r="V4984" s="108" t="str">
        <f>IF(Tabla1[[#This Row],[Tiempo solución max (hrs)]]&lt;&gt;"",IF(Tabla1[[#This Row],[Tiempo solución max (hrs)]]&gt;=Tabla1[[#This Row],[Tiempo
(Hrs 00/100)]],"cumple","no cumple"),"")</f>
        <v/>
      </c>
      <c r="W4984" s="17"/>
      <c r="X4984" s="18">
        <f t="shared" si="267"/>
        <v>0</v>
      </c>
      <c r="Y4984" t="str">
        <f>SUBSTITUTE(Tabla1[[#This Row],[Descripción]],CHAR(10),"    I    ")</f>
        <v/>
      </c>
      <c r="Z4984" s="112" t="e">
        <f>VLOOKUP(Tabla1[[#This Row],[Perfil]],Catalogos!$B$75:$D$100,3,FALSE)*Tabla1[[#This Row],[Tiempo
(Hrs 00/100)]]*1.16</f>
        <v>#N/A</v>
      </c>
    </row>
    <row r="4985" spans="1:26" ht="30" customHeight="1" x14ac:dyDescent="0.3">
      <c r="A4985" s="106"/>
      <c r="B4985" s="106"/>
      <c r="C4985" s="106"/>
      <c r="D4985" s="106"/>
      <c r="E4985" s="106"/>
      <c r="F4985" s="106"/>
      <c r="G4985" s="106"/>
      <c r="H4985" s="107"/>
      <c r="I4985" s="95"/>
      <c r="J4985" s="706"/>
      <c r="K4985" s="769"/>
      <c r="L4985" s="706"/>
      <c r="M4985" s="781"/>
      <c r="N4985" s="182"/>
      <c r="O4985" s="188"/>
      <c r="P4985" s="221"/>
      <c r="Q4985" s="106"/>
      <c r="R4985" s="108"/>
      <c r="S4985" s="108"/>
      <c r="T4985" s="108"/>
      <c r="U4985" s="108" t="str">
        <f>IFERROR(VLOOKUP(CONCATENATE(Tabla1[[#This Row],[Severidad]]," ",Tabla1[[#This Row],[Complejidad]]),Catalogos!E$120:G$128,3,FALSE),"")</f>
        <v/>
      </c>
      <c r="V4985" s="108" t="str">
        <f>IF(Tabla1[[#This Row],[Tiempo solución max (hrs)]]&lt;&gt;"",IF(Tabla1[[#This Row],[Tiempo solución max (hrs)]]&gt;=Tabla1[[#This Row],[Tiempo
(Hrs 00/100)]],"cumple","no cumple"),"")</f>
        <v/>
      </c>
      <c r="W4985" s="17"/>
      <c r="X4985" s="18">
        <f t="shared" si="267"/>
        <v>0</v>
      </c>
      <c r="Y4985" t="str">
        <f>SUBSTITUTE(Tabla1[[#This Row],[Descripción]],CHAR(10),"    I    ")</f>
        <v/>
      </c>
      <c r="Z4985" s="112" t="e">
        <f>VLOOKUP(Tabla1[[#This Row],[Perfil]],Catalogos!$B$75:$D$100,3,FALSE)*Tabla1[[#This Row],[Tiempo
(Hrs 00/100)]]*1.16</f>
        <v>#N/A</v>
      </c>
    </row>
    <row r="4986" spans="1:26" ht="30" customHeight="1" x14ac:dyDescent="0.3">
      <c r="A4986" s="106"/>
      <c r="B4986" s="106"/>
      <c r="C4986" s="106"/>
      <c r="D4986" s="106"/>
      <c r="E4986" s="106"/>
      <c r="F4986" s="106"/>
      <c r="G4986" s="106"/>
      <c r="H4986" s="107"/>
      <c r="I4986" s="95"/>
      <c r="J4986" s="706"/>
      <c r="K4986" s="769"/>
      <c r="L4986" s="706"/>
      <c r="M4986" s="781"/>
      <c r="N4986" s="182"/>
      <c r="O4986" s="188"/>
      <c r="P4986" s="221"/>
      <c r="Q4986" s="106"/>
      <c r="R4986" s="108"/>
      <c r="S4986" s="108"/>
      <c r="T4986" s="108"/>
      <c r="U4986" s="108" t="str">
        <f>IFERROR(VLOOKUP(CONCATENATE(Tabla1[[#This Row],[Severidad]]," ",Tabla1[[#This Row],[Complejidad]]),Catalogos!E$120:G$128,3,FALSE),"")</f>
        <v/>
      </c>
      <c r="V4986" s="108" t="str">
        <f>IF(Tabla1[[#This Row],[Tiempo solución max (hrs)]]&lt;&gt;"",IF(Tabla1[[#This Row],[Tiempo solución max (hrs)]]&gt;=Tabla1[[#This Row],[Tiempo
(Hrs 00/100)]],"cumple","no cumple"),"")</f>
        <v/>
      </c>
      <c r="W4986" s="17"/>
      <c r="X4986" s="18">
        <f t="shared" si="267"/>
        <v>0</v>
      </c>
      <c r="Y4986" t="str">
        <f>SUBSTITUTE(Tabla1[[#This Row],[Descripción]],CHAR(10),"    I    ")</f>
        <v/>
      </c>
      <c r="Z4986" s="112" t="e">
        <f>VLOOKUP(Tabla1[[#This Row],[Perfil]],Catalogos!$B$75:$D$100,3,FALSE)*Tabla1[[#This Row],[Tiempo
(Hrs 00/100)]]*1.16</f>
        <v>#N/A</v>
      </c>
    </row>
    <row r="4987" spans="1:26" ht="30" customHeight="1" x14ac:dyDescent="0.3">
      <c r="A4987" s="106"/>
      <c r="B4987" s="106"/>
      <c r="C4987" s="106"/>
      <c r="D4987" s="106"/>
      <c r="E4987" s="106"/>
      <c r="F4987" s="106"/>
      <c r="G4987" s="106"/>
      <c r="H4987" s="107"/>
      <c r="I4987" s="95"/>
      <c r="J4987" s="706"/>
      <c r="K4987" s="769"/>
      <c r="L4987" s="706"/>
      <c r="M4987" s="781"/>
      <c r="N4987" s="182"/>
      <c r="O4987" s="188"/>
      <c r="P4987" s="221"/>
      <c r="Q4987" s="106"/>
      <c r="R4987" s="108"/>
      <c r="S4987" s="108"/>
      <c r="T4987" s="108"/>
      <c r="U4987" s="108" t="str">
        <f>IFERROR(VLOOKUP(CONCATENATE(Tabla1[[#This Row],[Severidad]]," ",Tabla1[[#This Row],[Complejidad]]),Catalogos!E$120:G$128,3,FALSE),"")</f>
        <v/>
      </c>
      <c r="V4987" s="108" t="str">
        <f>IF(Tabla1[[#This Row],[Tiempo solución max (hrs)]]&lt;&gt;"",IF(Tabla1[[#This Row],[Tiempo solución max (hrs)]]&gt;=Tabla1[[#This Row],[Tiempo
(Hrs 00/100)]],"cumple","no cumple"),"")</f>
        <v/>
      </c>
      <c r="W4987" s="17"/>
      <c r="X4987" s="18">
        <f t="shared" si="267"/>
        <v>0</v>
      </c>
      <c r="Y4987" t="str">
        <f>SUBSTITUTE(Tabla1[[#This Row],[Descripción]],CHAR(10),"    I    ")</f>
        <v/>
      </c>
      <c r="Z4987" s="112" t="e">
        <f>VLOOKUP(Tabla1[[#This Row],[Perfil]],Catalogos!$B$75:$D$100,3,FALSE)*Tabla1[[#This Row],[Tiempo
(Hrs 00/100)]]*1.16</f>
        <v>#N/A</v>
      </c>
    </row>
    <row r="4988" spans="1:26" ht="30" customHeight="1" x14ac:dyDescent="0.3">
      <c r="A4988" s="106"/>
      <c r="B4988" s="106"/>
      <c r="C4988" s="106"/>
      <c r="D4988" s="106"/>
      <c r="E4988" s="106"/>
      <c r="F4988" s="106"/>
      <c r="G4988" s="106"/>
      <c r="H4988" s="107"/>
      <c r="I4988" s="95"/>
      <c r="J4988" s="706"/>
      <c r="K4988" s="769"/>
      <c r="L4988" s="706"/>
      <c r="M4988" s="781"/>
      <c r="N4988" s="182"/>
      <c r="O4988" s="188"/>
      <c r="P4988" s="221"/>
      <c r="Q4988" s="106"/>
      <c r="R4988" s="108"/>
      <c r="S4988" s="108"/>
      <c r="T4988" s="108"/>
      <c r="U4988" s="108" t="str">
        <f>IFERROR(VLOOKUP(CONCATENATE(Tabla1[[#This Row],[Severidad]]," ",Tabla1[[#This Row],[Complejidad]]),Catalogos!E$120:G$128,3,FALSE),"")</f>
        <v/>
      </c>
      <c r="V4988" s="108" t="str">
        <f>IF(Tabla1[[#This Row],[Tiempo solución max (hrs)]]&lt;&gt;"",IF(Tabla1[[#This Row],[Tiempo solución max (hrs)]]&gt;=Tabla1[[#This Row],[Tiempo
(Hrs 00/100)]],"cumple","no cumple"),"")</f>
        <v/>
      </c>
      <c r="W4988" s="17"/>
      <c r="X4988" s="18">
        <f t="shared" si="267"/>
        <v>0</v>
      </c>
      <c r="Y4988" t="str">
        <f>SUBSTITUTE(Tabla1[[#This Row],[Descripción]],CHAR(10),"    I    ")</f>
        <v/>
      </c>
      <c r="Z4988" s="112" t="e">
        <f>VLOOKUP(Tabla1[[#This Row],[Perfil]],Catalogos!$B$75:$D$100,3,FALSE)*Tabla1[[#This Row],[Tiempo
(Hrs 00/100)]]*1.16</f>
        <v>#N/A</v>
      </c>
    </row>
    <row r="4989" spans="1:26" ht="30" customHeight="1" x14ac:dyDescent="0.3">
      <c r="A4989" s="106"/>
      <c r="B4989" s="106"/>
      <c r="C4989" s="106"/>
      <c r="D4989" s="106"/>
      <c r="E4989" s="106"/>
      <c r="F4989" s="106"/>
      <c r="G4989" s="106"/>
      <c r="H4989" s="107"/>
      <c r="I4989" s="95"/>
      <c r="J4989" s="706"/>
      <c r="K4989" s="769"/>
      <c r="L4989" s="706"/>
      <c r="M4989" s="781"/>
      <c r="N4989" s="182"/>
      <c r="O4989" s="188"/>
      <c r="P4989" s="221"/>
      <c r="Q4989" s="106"/>
      <c r="R4989" s="108"/>
      <c r="S4989" s="108"/>
      <c r="T4989" s="108"/>
      <c r="U4989" s="108" t="str">
        <f>IFERROR(VLOOKUP(CONCATENATE(Tabla1[[#This Row],[Severidad]]," ",Tabla1[[#This Row],[Complejidad]]),Catalogos!E$120:G$128,3,FALSE),"")</f>
        <v/>
      </c>
      <c r="V4989" s="108" t="str">
        <f>IF(Tabla1[[#This Row],[Tiempo solución max (hrs)]]&lt;&gt;"",IF(Tabla1[[#This Row],[Tiempo solución max (hrs)]]&gt;=Tabla1[[#This Row],[Tiempo
(Hrs 00/100)]],"cumple","no cumple"),"")</f>
        <v/>
      </c>
      <c r="W4989" s="17"/>
      <c r="X4989" s="18">
        <f t="shared" si="267"/>
        <v>0</v>
      </c>
      <c r="Y4989" t="str">
        <f>SUBSTITUTE(Tabla1[[#This Row],[Descripción]],CHAR(10),"    I    ")</f>
        <v/>
      </c>
      <c r="Z4989" s="112" t="e">
        <f>VLOOKUP(Tabla1[[#This Row],[Perfil]],Catalogos!$B$75:$D$100,3,FALSE)*Tabla1[[#This Row],[Tiempo
(Hrs 00/100)]]*1.16</f>
        <v>#N/A</v>
      </c>
    </row>
    <row r="4990" spans="1:26" ht="30" customHeight="1" x14ac:dyDescent="0.3">
      <c r="A4990" s="106"/>
      <c r="B4990" s="106"/>
      <c r="C4990" s="106"/>
      <c r="D4990" s="106"/>
      <c r="E4990" s="106"/>
      <c r="F4990" s="106"/>
      <c r="G4990" s="106"/>
      <c r="H4990" s="107"/>
      <c r="I4990" s="95"/>
      <c r="J4990" s="706"/>
      <c r="K4990" s="769"/>
      <c r="L4990" s="706"/>
      <c r="M4990" s="781"/>
      <c r="N4990" s="182"/>
      <c r="O4990" s="188"/>
      <c r="P4990" s="221"/>
      <c r="Q4990" s="106"/>
      <c r="R4990" s="108"/>
      <c r="S4990" s="108"/>
      <c r="T4990" s="108"/>
      <c r="U4990" s="108" t="str">
        <f>IFERROR(VLOOKUP(CONCATENATE(Tabla1[[#This Row],[Severidad]]," ",Tabla1[[#This Row],[Complejidad]]),Catalogos!E$120:G$128,3,FALSE),"")</f>
        <v/>
      </c>
      <c r="V4990" s="108" t="str">
        <f>IF(Tabla1[[#This Row],[Tiempo solución max (hrs)]]&lt;&gt;"",IF(Tabla1[[#This Row],[Tiempo solución max (hrs)]]&gt;=Tabla1[[#This Row],[Tiempo
(Hrs 00/100)]],"cumple","no cumple"),"")</f>
        <v/>
      </c>
      <c r="W4990" s="17"/>
      <c r="X4990" s="18">
        <f t="shared" si="267"/>
        <v>0</v>
      </c>
      <c r="Y4990" t="str">
        <f>SUBSTITUTE(Tabla1[[#This Row],[Descripción]],CHAR(10),"    I    ")</f>
        <v/>
      </c>
      <c r="Z4990" s="112" t="e">
        <f>VLOOKUP(Tabla1[[#This Row],[Perfil]],Catalogos!$B$75:$D$100,3,FALSE)*Tabla1[[#This Row],[Tiempo
(Hrs 00/100)]]*1.16</f>
        <v>#N/A</v>
      </c>
    </row>
    <row r="4991" spans="1:26" ht="30" customHeight="1" x14ac:dyDescent="0.3">
      <c r="A4991" s="106"/>
      <c r="B4991" s="106"/>
      <c r="C4991" s="106"/>
      <c r="D4991" s="106"/>
      <c r="E4991" s="106"/>
      <c r="F4991" s="106"/>
      <c r="G4991" s="106"/>
      <c r="H4991" s="107"/>
      <c r="I4991" s="95"/>
      <c r="J4991" s="706"/>
      <c r="K4991" s="769"/>
      <c r="L4991" s="706"/>
      <c r="M4991" s="781"/>
      <c r="N4991" s="182"/>
      <c r="O4991" s="188"/>
      <c r="P4991" s="221"/>
      <c r="Q4991" s="106"/>
      <c r="R4991" s="108"/>
      <c r="S4991" s="108"/>
      <c r="T4991" s="108"/>
      <c r="U4991" s="108" t="str">
        <f>IFERROR(VLOOKUP(CONCATENATE(Tabla1[[#This Row],[Severidad]]," ",Tabla1[[#This Row],[Complejidad]]),Catalogos!E$120:G$128,3,FALSE),"")</f>
        <v/>
      </c>
      <c r="V4991" s="108" t="str">
        <f>IF(Tabla1[[#This Row],[Tiempo solución max (hrs)]]&lt;&gt;"",IF(Tabla1[[#This Row],[Tiempo solución max (hrs)]]&gt;=Tabla1[[#This Row],[Tiempo
(Hrs 00/100)]],"cumple","no cumple"),"")</f>
        <v/>
      </c>
      <c r="W4991" s="17"/>
      <c r="X4991" s="18">
        <f t="shared" si="267"/>
        <v>0</v>
      </c>
      <c r="Y4991" t="str">
        <f>SUBSTITUTE(Tabla1[[#This Row],[Descripción]],CHAR(10),"    I    ")</f>
        <v/>
      </c>
      <c r="Z4991" s="112" t="e">
        <f>VLOOKUP(Tabla1[[#This Row],[Perfil]],Catalogos!$B$75:$D$100,3,FALSE)*Tabla1[[#This Row],[Tiempo
(Hrs 00/100)]]*1.16</f>
        <v>#N/A</v>
      </c>
    </row>
    <row r="4992" spans="1:26" ht="30" customHeight="1" x14ac:dyDescent="0.3">
      <c r="A4992" s="106"/>
      <c r="B4992" s="106"/>
      <c r="C4992" s="106"/>
      <c r="D4992" s="106"/>
      <c r="E4992" s="106"/>
      <c r="F4992" s="106"/>
      <c r="G4992" s="106"/>
      <c r="H4992" s="107"/>
      <c r="I4992" s="95"/>
      <c r="J4992" s="706"/>
      <c r="K4992" s="769"/>
      <c r="L4992" s="706"/>
      <c r="M4992" s="781"/>
      <c r="N4992" s="182"/>
      <c r="O4992" s="188"/>
      <c r="P4992" s="221"/>
      <c r="Q4992" s="106"/>
      <c r="R4992" s="108"/>
      <c r="S4992" s="108"/>
      <c r="T4992" s="108"/>
      <c r="U4992" s="108" t="str">
        <f>IFERROR(VLOOKUP(CONCATENATE(Tabla1[[#This Row],[Severidad]]," ",Tabla1[[#This Row],[Complejidad]]),Catalogos!E$120:G$128,3,FALSE),"")</f>
        <v/>
      </c>
      <c r="V4992" s="108" t="str">
        <f>IF(Tabla1[[#This Row],[Tiempo solución max (hrs)]]&lt;&gt;"",IF(Tabla1[[#This Row],[Tiempo solución max (hrs)]]&gt;=Tabla1[[#This Row],[Tiempo
(Hrs 00/100)]],"cumple","no cumple"),"")</f>
        <v/>
      </c>
      <c r="W4992" s="17"/>
      <c r="X4992" s="18">
        <f t="shared" si="267"/>
        <v>0</v>
      </c>
      <c r="Y4992" t="str">
        <f>SUBSTITUTE(Tabla1[[#This Row],[Descripción]],CHAR(10),"    I    ")</f>
        <v/>
      </c>
      <c r="Z4992" s="112" t="e">
        <f>VLOOKUP(Tabla1[[#This Row],[Perfil]],Catalogos!$B$75:$D$100,3,FALSE)*Tabla1[[#This Row],[Tiempo
(Hrs 00/100)]]*1.16</f>
        <v>#N/A</v>
      </c>
    </row>
    <row r="4993" spans="1:26" ht="30" customHeight="1" x14ac:dyDescent="0.3">
      <c r="A4993" s="106"/>
      <c r="B4993" s="106"/>
      <c r="C4993" s="106"/>
      <c r="D4993" s="106"/>
      <c r="E4993" s="106"/>
      <c r="F4993" s="106"/>
      <c r="G4993" s="106"/>
      <c r="H4993" s="107"/>
      <c r="I4993" s="95"/>
      <c r="J4993" s="706"/>
      <c r="K4993" s="769"/>
      <c r="L4993" s="706"/>
      <c r="M4993" s="781"/>
      <c r="N4993" s="182"/>
      <c r="O4993" s="188"/>
      <c r="P4993" s="221"/>
      <c r="Q4993" s="106"/>
      <c r="R4993" s="108"/>
      <c r="S4993" s="108"/>
      <c r="T4993" s="108"/>
      <c r="U4993" s="108" t="str">
        <f>IFERROR(VLOOKUP(CONCATENATE(Tabla1[[#This Row],[Severidad]]," ",Tabla1[[#This Row],[Complejidad]]),Catalogos!E$120:G$128,3,FALSE),"")</f>
        <v/>
      </c>
      <c r="V4993" s="108" t="str">
        <f>IF(Tabla1[[#This Row],[Tiempo solución max (hrs)]]&lt;&gt;"",IF(Tabla1[[#This Row],[Tiempo solución max (hrs)]]&gt;=Tabla1[[#This Row],[Tiempo
(Hrs 00/100)]],"cumple","no cumple"),"")</f>
        <v/>
      </c>
      <c r="W4993" s="17"/>
      <c r="X4993" s="18">
        <f t="shared" si="267"/>
        <v>0</v>
      </c>
      <c r="Y4993" t="str">
        <f>SUBSTITUTE(Tabla1[[#This Row],[Descripción]],CHAR(10),"    I    ")</f>
        <v/>
      </c>
      <c r="Z4993" s="112" t="e">
        <f>VLOOKUP(Tabla1[[#This Row],[Perfil]],Catalogos!$B$75:$D$100,3,FALSE)*Tabla1[[#This Row],[Tiempo
(Hrs 00/100)]]*1.16</f>
        <v>#N/A</v>
      </c>
    </row>
    <row r="4994" spans="1:26" ht="30" customHeight="1" x14ac:dyDescent="0.3">
      <c r="A4994" s="106"/>
      <c r="B4994" s="106"/>
      <c r="C4994" s="106"/>
      <c r="D4994" s="106"/>
      <c r="E4994" s="106"/>
      <c r="F4994" s="106"/>
      <c r="G4994" s="106"/>
      <c r="H4994" s="107"/>
      <c r="I4994" s="95"/>
      <c r="J4994" s="706"/>
      <c r="K4994" s="769"/>
      <c r="L4994" s="706"/>
      <c r="M4994" s="781"/>
      <c r="N4994" s="182"/>
      <c r="O4994" s="188"/>
      <c r="P4994" s="221"/>
      <c r="Q4994" s="106"/>
      <c r="R4994" s="108"/>
      <c r="S4994" s="108"/>
      <c r="T4994" s="108"/>
      <c r="U4994" s="108" t="str">
        <f>IFERROR(VLOOKUP(CONCATENATE(Tabla1[[#This Row],[Severidad]]," ",Tabla1[[#This Row],[Complejidad]]),Catalogos!E$120:G$128,3,FALSE),"")</f>
        <v/>
      </c>
      <c r="V4994" s="108" t="str">
        <f>IF(Tabla1[[#This Row],[Tiempo solución max (hrs)]]&lt;&gt;"",IF(Tabla1[[#This Row],[Tiempo solución max (hrs)]]&gt;=Tabla1[[#This Row],[Tiempo
(Hrs 00/100)]],"cumple","no cumple"),"")</f>
        <v/>
      </c>
      <c r="W4994" s="17"/>
      <c r="X4994" s="18">
        <f t="shared" si="267"/>
        <v>0</v>
      </c>
      <c r="Y4994" t="str">
        <f>SUBSTITUTE(Tabla1[[#This Row],[Descripción]],CHAR(10),"    I    ")</f>
        <v/>
      </c>
      <c r="Z4994" s="112" t="e">
        <f>VLOOKUP(Tabla1[[#This Row],[Perfil]],Catalogos!$B$75:$D$100,3,FALSE)*Tabla1[[#This Row],[Tiempo
(Hrs 00/100)]]*1.16</f>
        <v>#N/A</v>
      </c>
    </row>
    <row r="4995" spans="1:26" ht="30" customHeight="1" x14ac:dyDescent="0.3">
      <c r="A4995" s="106"/>
      <c r="B4995" s="106"/>
      <c r="C4995" s="106"/>
      <c r="D4995" s="106"/>
      <c r="E4995" s="106"/>
      <c r="F4995" s="106"/>
      <c r="G4995" s="106"/>
      <c r="H4995" s="107"/>
      <c r="I4995" s="95"/>
      <c r="J4995" s="706"/>
      <c r="K4995" s="769"/>
      <c r="L4995" s="706"/>
      <c r="M4995" s="781"/>
      <c r="N4995" s="182"/>
      <c r="O4995" s="188"/>
      <c r="P4995" s="221"/>
      <c r="Q4995" s="106"/>
      <c r="R4995" s="108"/>
      <c r="S4995" s="108"/>
      <c r="T4995" s="108"/>
      <c r="U4995" s="108" t="str">
        <f>IFERROR(VLOOKUP(CONCATENATE(Tabla1[[#This Row],[Severidad]]," ",Tabla1[[#This Row],[Complejidad]]),Catalogos!E$120:G$128,3,FALSE),"")</f>
        <v/>
      </c>
      <c r="V4995" s="108" t="str">
        <f>IF(Tabla1[[#This Row],[Tiempo solución max (hrs)]]&lt;&gt;"",IF(Tabla1[[#This Row],[Tiempo solución max (hrs)]]&gt;=Tabla1[[#This Row],[Tiempo
(Hrs 00/100)]],"cumple","no cumple"),"")</f>
        <v/>
      </c>
      <c r="W4995" s="17"/>
      <c r="X4995" s="18">
        <f t="shared" ref="X4995:X5058" si="268">IF(C4995&lt;&gt;"",C4995,D4995)</f>
        <v>0</v>
      </c>
      <c r="Y4995" t="str">
        <f>SUBSTITUTE(Tabla1[[#This Row],[Descripción]],CHAR(10),"    I    ")</f>
        <v/>
      </c>
      <c r="Z4995" s="112" t="e">
        <f>VLOOKUP(Tabla1[[#This Row],[Perfil]],Catalogos!$B$75:$D$100,3,FALSE)*Tabla1[[#This Row],[Tiempo
(Hrs 00/100)]]*1.16</f>
        <v>#N/A</v>
      </c>
    </row>
    <row r="4996" spans="1:26" ht="30" customHeight="1" x14ac:dyDescent="0.3">
      <c r="A4996" s="106"/>
      <c r="B4996" s="106"/>
      <c r="C4996" s="106"/>
      <c r="D4996" s="106"/>
      <c r="E4996" s="106"/>
      <c r="F4996" s="106"/>
      <c r="G4996" s="106"/>
      <c r="H4996" s="107"/>
      <c r="I4996" s="95"/>
      <c r="J4996" s="706"/>
      <c r="K4996" s="769"/>
      <c r="L4996" s="706"/>
      <c r="M4996" s="781"/>
      <c r="N4996" s="182"/>
      <c r="O4996" s="188"/>
      <c r="P4996" s="221"/>
      <c r="Q4996" s="106"/>
      <c r="R4996" s="108"/>
      <c r="S4996" s="108"/>
      <c r="T4996" s="108"/>
      <c r="U4996" s="108" t="str">
        <f>IFERROR(VLOOKUP(CONCATENATE(Tabla1[[#This Row],[Severidad]]," ",Tabla1[[#This Row],[Complejidad]]),Catalogos!E$120:G$128,3,FALSE),"")</f>
        <v/>
      </c>
      <c r="V4996" s="108" t="str">
        <f>IF(Tabla1[[#This Row],[Tiempo solución max (hrs)]]&lt;&gt;"",IF(Tabla1[[#This Row],[Tiempo solución max (hrs)]]&gt;=Tabla1[[#This Row],[Tiempo
(Hrs 00/100)]],"cumple","no cumple"),"")</f>
        <v/>
      </c>
      <c r="W4996" s="17"/>
      <c r="X4996" s="18">
        <f t="shared" si="268"/>
        <v>0</v>
      </c>
      <c r="Y4996" t="str">
        <f>SUBSTITUTE(Tabla1[[#This Row],[Descripción]],CHAR(10),"    I    ")</f>
        <v/>
      </c>
      <c r="Z4996" s="112" t="e">
        <f>VLOOKUP(Tabla1[[#This Row],[Perfil]],Catalogos!$B$75:$D$100,3,FALSE)*Tabla1[[#This Row],[Tiempo
(Hrs 00/100)]]*1.16</f>
        <v>#N/A</v>
      </c>
    </row>
    <row r="4997" spans="1:26" ht="30" customHeight="1" x14ac:dyDescent="0.3">
      <c r="A4997" s="106"/>
      <c r="B4997" s="106"/>
      <c r="C4997" s="106"/>
      <c r="D4997" s="106"/>
      <c r="E4997" s="106"/>
      <c r="F4997" s="106"/>
      <c r="G4997" s="106"/>
      <c r="H4997" s="107"/>
      <c r="I4997" s="95"/>
      <c r="J4997" s="706"/>
      <c r="K4997" s="769"/>
      <c r="L4997" s="706"/>
      <c r="M4997" s="781"/>
      <c r="N4997" s="182"/>
      <c r="O4997" s="188"/>
      <c r="P4997" s="221"/>
      <c r="Q4997" s="106"/>
      <c r="R4997" s="108"/>
      <c r="S4997" s="108"/>
      <c r="T4997" s="108"/>
      <c r="U4997" s="108" t="str">
        <f>IFERROR(VLOOKUP(CONCATENATE(Tabla1[[#This Row],[Severidad]]," ",Tabla1[[#This Row],[Complejidad]]),Catalogos!E$120:G$128,3,FALSE),"")</f>
        <v/>
      </c>
      <c r="V4997" s="108" t="str">
        <f>IF(Tabla1[[#This Row],[Tiempo solución max (hrs)]]&lt;&gt;"",IF(Tabla1[[#This Row],[Tiempo solución max (hrs)]]&gt;=Tabla1[[#This Row],[Tiempo
(Hrs 00/100)]],"cumple","no cumple"),"")</f>
        <v/>
      </c>
      <c r="W4997" s="17"/>
      <c r="X4997" s="18">
        <f t="shared" si="268"/>
        <v>0</v>
      </c>
      <c r="Y4997" t="str">
        <f>SUBSTITUTE(Tabla1[[#This Row],[Descripción]],CHAR(10),"    I    ")</f>
        <v/>
      </c>
      <c r="Z4997" s="112" t="e">
        <f>VLOOKUP(Tabla1[[#This Row],[Perfil]],Catalogos!$B$75:$D$100,3,FALSE)*Tabla1[[#This Row],[Tiempo
(Hrs 00/100)]]*1.16</f>
        <v>#N/A</v>
      </c>
    </row>
    <row r="4998" spans="1:26" ht="30" customHeight="1" x14ac:dyDescent="0.3">
      <c r="A4998" s="106"/>
      <c r="B4998" s="106"/>
      <c r="C4998" s="106"/>
      <c r="D4998" s="106"/>
      <c r="E4998" s="106"/>
      <c r="F4998" s="106"/>
      <c r="G4998" s="106"/>
      <c r="H4998" s="107"/>
      <c r="I4998" s="95"/>
      <c r="J4998" s="706"/>
      <c r="K4998" s="769"/>
      <c r="L4998" s="706"/>
      <c r="M4998" s="781"/>
      <c r="N4998" s="182"/>
      <c r="O4998" s="188"/>
      <c r="P4998" s="221"/>
      <c r="Q4998" s="106"/>
      <c r="R4998" s="108"/>
      <c r="S4998" s="108"/>
      <c r="T4998" s="108"/>
      <c r="U4998" s="108" t="str">
        <f>IFERROR(VLOOKUP(CONCATENATE(Tabla1[[#This Row],[Severidad]]," ",Tabla1[[#This Row],[Complejidad]]),Catalogos!E$120:G$128,3,FALSE),"")</f>
        <v/>
      </c>
      <c r="V4998" s="108" t="str">
        <f>IF(Tabla1[[#This Row],[Tiempo solución max (hrs)]]&lt;&gt;"",IF(Tabla1[[#This Row],[Tiempo solución max (hrs)]]&gt;=Tabla1[[#This Row],[Tiempo
(Hrs 00/100)]],"cumple","no cumple"),"")</f>
        <v/>
      </c>
      <c r="W4998" s="17"/>
      <c r="X4998" s="18">
        <f t="shared" si="268"/>
        <v>0</v>
      </c>
      <c r="Y4998" t="str">
        <f>SUBSTITUTE(Tabla1[[#This Row],[Descripción]],CHAR(10),"    I    ")</f>
        <v/>
      </c>
      <c r="Z4998" s="112" t="e">
        <f>VLOOKUP(Tabla1[[#This Row],[Perfil]],Catalogos!$B$75:$D$100,3,FALSE)*Tabla1[[#This Row],[Tiempo
(Hrs 00/100)]]*1.16</f>
        <v>#N/A</v>
      </c>
    </row>
    <row r="4999" spans="1:26" ht="30" customHeight="1" x14ac:dyDescent="0.3">
      <c r="A4999" s="106"/>
      <c r="B4999" s="106"/>
      <c r="C4999" s="106"/>
      <c r="D4999" s="106"/>
      <c r="E4999" s="106"/>
      <c r="F4999" s="106"/>
      <c r="G4999" s="106"/>
      <c r="H4999" s="107"/>
      <c r="I4999" s="95"/>
      <c r="J4999" s="706"/>
      <c r="K4999" s="769"/>
      <c r="L4999" s="706"/>
      <c r="M4999" s="781"/>
      <c r="N4999" s="182"/>
      <c r="O4999" s="188"/>
      <c r="P4999" s="221"/>
      <c r="Q4999" s="106"/>
      <c r="R4999" s="108"/>
      <c r="S4999" s="108"/>
      <c r="T4999" s="108"/>
      <c r="U4999" s="108" t="str">
        <f>IFERROR(VLOOKUP(CONCATENATE(Tabla1[[#This Row],[Severidad]]," ",Tabla1[[#This Row],[Complejidad]]),Catalogos!E$120:G$128,3,FALSE),"")</f>
        <v/>
      </c>
      <c r="V4999" s="108" t="str">
        <f>IF(Tabla1[[#This Row],[Tiempo solución max (hrs)]]&lt;&gt;"",IF(Tabla1[[#This Row],[Tiempo solución max (hrs)]]&gt;=Tabla1[[#This Row],[Tiempo
(Hrs 00/100)]],"cumple","no cumple"),"")</f>
        <v/>
      </c>
      <c r="W4999" s="17"/>
      <c r="X4999" s="18">
        <f t="shared" si="268"/>
        <v>0</v>
      </c>
      <c r="Y4999" t="str">
        <f>SUBSTITUTE(Tabla1[[#This Row],[Descripción]],CHAR(10),"    I    ")</f>
        <v/>
      </c>
      <c r="Z4999" s="112" t="e">
        <f>VLOOKUP(Tabla1[[#This Row],[Perfil]],Catalogos!$B$75:$D$100,3,FALSE)*Tabla1[[#This Row],[Tiempo
(Hrs 00/100)]]*1.16</f>
        <v>#N/A</v>
      </c>
    </row>
    <row r="5000" spans="1:26" ht="30" customHeight="1" x14ac:dyDescent="0.3">
      <c r="A5000" s="106"/>
      <c r="B5000" s="106"/>
      <c r="C5000" s="106"/>
      <c r="D5000" s="106"/>
      <c r="E5000" s="106"/>
      <c r="F5000" s="106"/>
      <c r="G5000" s="106"/>
      <c r="H5000" s="107"/>
      <c r="I5000" s="95"/>
      <c r="J5000" s="706"/>
      <c r="K5000" s="769"/>
      <c r="L5000" s="706"/>
      <c r="M5000" s="781"/>
      <c r="N5000" s="182"/>
      <c r="O5000" s="188"/>
      <c r="P5000" s="221"/>
      <c r="Q5000" s="106"/>
      <c r="R5000" s="108"/>
      <c r="S5000" s="108"/>
      <c r="T5000" s="108"/>
      <c r="U5000" s="108" t="str">
        <f>IFERROR(VLOOKUP(CONCATENATE(Tabla1[[#This Row],[Severidad]]," ",Tabla1[[#This Row],[Complejidad]]),Catalogos!E$120:G$128,3,FALSE),"")</f>
        <v/>
      </c>
      <c r="V5000" s="108" t="str">
        <f>IF(Tabla1[[#This Row],[Tiempo solución max (hrs)]]&lt;&gt;"",IF(Tabla1[[#This Row],[Tiempo solución max (hrs)]]&gt;=Tabla1[[#This Row],[Tiempo
(Hrs 00/100)]],"cumple","no cumple"),"")</f>
        <v/>
      </c>
      <c r="W5000" s="17"/>
      <c r="X5000" s="18">
        <f t="shared" si="268"/>
        <v>0</v>
      </c>
      <c r="Y5000" t="str">
        <f>SUBSTITUTE(Tabla1[[#This Row],[Descripción]],CHAR(10),"    I    ")</f>
        <v/>
      </c>
      <c r="Z5000" s="112" t="e">
        <f>VLOOKUP(Tabla1[[#This Row],[Perfil]],Catalogos!$B$75:$D$100,3,FALSE)*Tabla1[[#This Row],[Tiempo
(Hrs 00/100)]]*1.16</f>
        <v>#N/A</v>
      </c>
    </row>
    <row r="5001" spans="1:26" ht="30" customHeight="1" x14ac:dyDescent="0.3">
      <c r="A5001" s="106"/>
      <c r="B5001" s="106"/>
      <c r="C5001" s="106"/>
      <c r="D5001" s="106"/>
      <c r="E5001" s="106"/>
      <c r="F5001" s="106"/>
      <c r="G5001" s="106"/>
      <c r="H5001" s="107"/>
      <c r="I5001" s="95"/>
      <c r="J5001" s="706"/>
      <c r="K5001" s="769"/>
      <c r="L5001" s="706"/>
      <c r="M5001" s="781"/>
      <c r="N5001" s="182"/>
      <c r="O5001" s="188"/>
      <c r="P5001" s="221"/>
      <c r="Q5001" s="106"/>
      <c r="R5001" s="108"/>
      <c r="S5001" s="108"/>
      <c r="T5001" s="108"/>
      <c r="U5001" s="108" t="str">
        <f>IFERROR(VLOOKUP(CONCATENATE(Tabla1[[#This Row],[Severidad]]," ",Tabla1[[#This Row],[Complejidad]]),Catalogos!E$120:G$128,3,FALSE),"")</f>
        <v/>
      </c>
      <c r="V5001" s="108" t="str">
        <f>IF(Tabla1[[#This Row],[Tiempo solución max (hrs)]]&lt;&gt;"",IF(Tabla1[[#This Row],[Tiempo solución max (hrs)]]&gt;=Tabla1[[#This Row],[Tiempo
(Hrs 00/100)]],"cumple","no cumple"),"")</f>
        <v/>
      </c>
      <c r="W5001" s="17"/>
      <c r="X5001" s="18">
        <f t="shared" si="268"/>
        <v>0</v>
      </c>
      <c r="Y5001" t="str">
        <f>SUBSTITUTE(Tabla1[[#This Row],[Descripción]],CHAR(10),"    I    ")</f>
        <v/>
      </c>
      <c r="Z5001" s="112" t="e">
        <f>VLOOKUP(Tabla1[[#This Row],[Perfil]],Catalogos!$B$75:$D$100,3,FALSE)*Tabla1[[#This Row],[Tiempo
(Hrs 00/100)]]*1.16</f>
        <v>#N/A</v>
      </c>
    </row>
    <row r="5002" spans="1:26" ht="30" customHeight="1" x14ac:dyDescent="0.3">
      <c r="A5002" s="106"/>
      <c r="B5002" s="106"/>
      <c r="C5002" s="106"/>
      <c r="D5002" s="106"/>
      <c r="E5002" s="106"/>
      <c r="F5002" s="106"/>
      <c r="G5002" s="106"/>
      <c r="H5002" s="107"/>
      <c r="I5002" s="95"/>
      <c r="J5002" s="706"/>
      <c r="K5002" s="769"/>
      <c r="L5002" s="706"/>
      <c r="M5002" s="781"/>
      <c r="N5002" s="182"/>
      <c r="O5002" s="188"/>
      <c r="P5002" s="221"/>
      <c r="Q5002" s="106"/>
      <c r="R5002" s="108"/>
      <c r="S5002" s="108"/>
      <c r="T5002" s="108"/>
      <c r="U5002" s="108" t="str">
        <f>IFERROR(VLOOKUP(CONCATENATE(Tabla1[[#This Row],[Severidad]]," ",Tabla1[[#This Row],[Complejidad]]),Catalogos!E$120:G$128,3,FALSE),"")</f>
        <v/>
      </c>
      <c r="V5002" s="108" t="str">
        <f>IF(Tabla1[[#This Row],[Tiempo solución max (hrs)]]&lt;&gt;"",IF(Tabla1[[#This Row],[Tiempo solución max (hrs)]]&gt;=Tabla1[[#This Row],[Tiempo
(Hrs 00/100)]],"cumple","no cumple"),"")</f>
        <v/>
      </c>
      <c r="W5002" s="17"/>
      <c r="X5002" s="18">
        <f t="shared" si="268"/>
        <v>0</v>
      </c>
      <c r="Y5002" t="str">
        <f>SUBSTITUTE(Tabla1[[#This Row],[Descripción]],CHAR(10),"    I    ")</f>
        <v/>
      </c>
      <c r="Z5002" s="112" t="e">
        <f>VLOOKUP(Tabla1[[#This Row],[Perfil]],Catalogos!$B$75:$D$100,3,FALSE)*Tabla1[[#This Row],[Tiempo
(Hrs 00/100)]]*1.16</f>
        <v>#N/A</v>
      </c>
    </row>
    <row r="5003" spans="1:26" ht="30" customHeight="1" x14ac:dyDescent="0.3">
      <c r="A5003" s="106"/>
      <c r="B5003" s="106"/>
      <c r="C5003" s="106"/>
      <c r="D5003" s="106"/>
      <c r="E5003" s="106"/>
      <c r="F5003" s="106"/>
      <c r="G5003" s="106"/>
      <c r="H5003" s="107"/>
      <c r="I5003" s="95"/>
      <c r="J5003" s="706"/>
      <c r="K5003" s="769"/>
      <c r="L5003" s="706"/>
      <c r="M5003" s="781"/>
      <c r="N5003" s="182"/>
      <c r="O5003" s="188"/>
      <c r="P5003" s="221"/>
      <c r="Q5003" s="106"/>
      <c r="R5003" s="108"/>
      <c r="S5003" s="108"/>
      <c r="T5003" s="108"/>
      <c r="U5003" s="108" t="str">
        <f>IFERROR(VLOOKUP(CONCATENATE(Tabla1[[#This Row],[Severidad]]," ",Tabla1[[#This Row],[Complejidad]]),Catalogos!E$120:G$128,3,FALSE),"")</f>
        <v/>
      </c>
      <c r="V5003" s="108" t="str">
        <f>IF(Tabla1[[#This Row],[Tiempo solución max (hrs)]]&lt;&gt;"",IF(Tabla1[[#This Row],[Tiempo solución max (hrs)]]&gt;=Tabla1[[#This Row],[Tiempo
(Hrs 00/100)]],"cumple","no cumple"),"")</f>
        <v/>
      </c>
      <c r="W5003" s="17"/>
      <c r="X5003" s="18">
        <f t="shared" si="268"/>
        <v>0</v>
      </c>
      <c r="Y5003" t="str">
        <f>SUBSTITUTE(Tabla1[[#This Row],[Descripción]],CHAR(10),"    I    ")</f>
        <v/>
      </c>
      <c r="Z5003" s="112" t="e">
        <f>VLOOKUP(Tabla1[[#This Row],[Perfil]],Catalogos!$B$75:$D$100,3,FALSE)*Tabla1[[#This Row],[Tiempo
(Hrs 00/100)]]*1.16</f>
        <v>#N/A</v>
      </c>
    </row>
    <row r="5004" spans="1:26" ht="30" customHeight="1" x14ac:dyDescent="0.3">
      <c r="A5004" s="106"/>
      <c r="B5004" s="106"/>
      <c r="C5004" s="106"/>
      <c r="D5004" s="106"/>
      <c r="E5004" s="106"/>
      <c r="F5004" s="106"/>
      <c r="G5004" s="106"/>
      <c r="H5004" s="107"/>
      <c r="I5004" s="95"/>
      <c r="J5004" s="706"/>
      <c r="K5004" s="769"/>
      <c r="L5004" s="706"/>
      <c r="M5004" s="781"/>
      <c r="N5004" s="182"/>
      <c r="O5004" s="188"/>
      <c r="P5004" s="221"/>
      <c r="Q5004" s="106"/>
      <c r="R5004" s="108"/>
      <c r="S5004" s="108"/>
      <c r="T5004" s="108"/>
      <c r="U5004" s="108" t="str">
        <f>IFERROR(VLOOKUP(CONCATENATE(Tabla1[[#This Row],[Severidad]]," ",Tabla1[[#This Row],[Complejidad]]),Catalogos!E$120:G$128,3,FALSE),"")</f>
        <v/>
      </c>
      <c r="V5004" s="108" t="str">
        <f>IF(Tabla1[[#This Row],[Tiempo solución max (hrs)]]&lt;&gt;"",IF(Tabla1[[#This Row],[Tiempo solución max (hrs)]]&gt;=Tabla1[[#This Row],[Tiempo
(Hrs 00/100)]],"cumple","no cumple"),"")</f>
        <v/>
      </c>
      <c r="W5004" s="17"/>
      <c r="X5004" s="18">
        <f t="shared" si="268"/>
        <v>0</v>
      </c>
      <c r="Y5004" t="str">
        <f>SUBSTITUTE(Tabla1[[#This Row],[Descripción]],CHAR(10),"    I    ")</f>
        <v/>
      </c>
      <c r="Z5004" s="112" t="e">
        <f>VLOOKUP(Tabla1[[#This Row],[Perfil]],Catalogos!$B$75:$D$100,3,FALSE)*Tabla1[[#This Row],[Tiempo
(Hrs 00/100)]]*1.16</f>
        <v>#N/A</v>
      </c>
    </row>
    <row r="5005" spans="1:26" ht="30" customHeight="1" x14ac:dyDescent="0.3">
      <c r="A5005" s="106"/>
      <c r="B5005" s="106"/>
      <c r="C5005" s="106"/>
      <c r="D5005" s="106"/>
      <c r="E5005" s="106"/>
      <c r="F5005" s="106"/>
      <c r="G5005" s="106"/>
      <c r="H5005" s="107"/>
      <c r="I5005" s="95"/>
      <c r="J5005" s="706"/>
      <c r="K5005" s="769"/>
      <c r="L5005" s="706"/>
      <c r="M5005" s="781"/>
      <c r="N5005" s="182"/>
      <c r="O5005" s="188"/>
      <c r="P5005" s="221"/>
      <c r="Q5005" s="106"/>
      <c r="R5005" s="108"/>
      <c r="S5005" s="108"/>
      <c r="T5005" s="108"/>
      <c r="U5005" s="108" t="str">
        <f>IFERROR(VLOOKUP(CONCATENATE(Tabla1[[#This Row],[Severidad]]," ",Tabla1[[#This Row],[Complejidad]]),Catalogos!E$120:G$128,3,FALSE),"")</f>
        <v/>
      </c>
      <c r="V5005" s="108" t="str">
        <f>IF(Tabla1[[#This Row],[Tiempo solución max (hrs)]]&lt;&gt;"",IF(Tabla1[[#This Row],[Tiempo solución max (hrs)]]&gt;=Tabla1[[#This Row],[Tiempo
(Hrs 00/100)]],"cumple","no cumple"),"")</f>
        <v/>
      </c>
      <c r="W5005" s="17"/>
      <c r="X5005" s="18">
        <f t="shared" si="268"/>
        <v>0</v>
      </c>
      <c r="Y5005" t="str">
        <f>SUBSTITUTE(Tabla1[[#This Row],[Descripción]],CHAR(10),"    I    ")</f>
        <v/>
      </c>
      <c r="Z5005" s="112" t="e">
        <f>VLOOKUP(Tabla1[[#This Row],[Perfil]],Catalogos!$B$75:$D$100,3,FALSE)*Tabla1[[#This Row],[Tiempo
(Hrs 00/100)]]*1.16</f>
        <v>#N/A</v>
      </c>
    </row>
    <row r="5006" spans="1:26" ht="30" customHeight="1" x14ac:dyDescent="0.3">
      <c r="A5006" s="106"/>
      <c r="B5006" s="106"/>
      <c r="C5006" s="106"/>
      <c r="D5006" s="106"/>
      <c r="E5006" s="106"/>
      <c r="F5006" s="106"/>
      <c r="G5006" s="106"/>
      <c r="H5006" s="107"/>
      <c r="I5006" s="95"/>
      <c r="J5006" s="706"/>
      <c r="K5006" s="769"/>
      <c r="L5006" s="706"/>
      <c r="M5006" s="781"/>
      <c r="N5006" s="182"/>
      <c r="O5006" s="188"/>
      <c r="P5006" s="221"/>
      <c r="Q5006" s="106"/>
      <c r="R5006" s="108"/>
      <c r="S5006" s="108"/>
      <c r="T5006" s="108"/>
      <c r="U5006" s="108" t="str">
        <f>IFERROR(VLOOKUP(CONCATENATE(Tabla1[[#This Row],[Severidad]]," ",Tabla1[[#This Row],[Complejidad]]),Catalogos!E$120:G$128,3,FALSE),"")</f>
        <v/>
      </c>
      <c r="V5006" s="108" t="str">
        <f>IF(Tabla1[[#This Row],[Tiempo solución max (hrs)]]&lt;&gt;"",IF(Tabla1[[#This Row],[Tiempo solución max (hrs)]]&gt;=Tabla1[[#This Row],[Tiempo
(Hrs 00/100)]],"cumple","no cumple"),"")</f>
        <v/>
      </c>
      <c r="W5006" s="17"/>
      <c r="X5006" s="18">
        <f t="shared" si="268"/>
        <v>0</v>
      </c>
      <c r="Y5006" t="str">
        <f>SUBSTITUTE(Tabla1[[#This Row],[Descripción]],CHAR(10),"    I    ")</f>
        <v/>
      </c>
      <c r="Z5006" s="112" t="e">
        <f>VLOOKUP(Tabla1[[#This Row],[Perfil]],Catalogos!$B$75:$D$100,3,FALSE)*Tabla1[[#This Row],[Tiempo
(Hrs 00/100)]]*1.16</f>
        <v>#N/A</v>
      </c>
    </row>
    <row r="5007" spans="1:26" ht="30" customHeight="1" x14ac:dyDescent="0.3">
      <c r="A5007" s="106"/>
      <c r="B5007" s="106"/>
      <c r="C5007" s="106"/>
      <c r="D5007" s="106"/>
      <c r="E5007" s="106"/>
      <c r="F5007" s="106"/>
      <c r="G5007" s="106"/>
      <c r="H5007" s="107"/>
      <c r="I5007" s="95"/>
      <c r="J5007" s="706"/>
      <c r="K5007" s="769"/>
      <c r="L5007" s="706"/>
      <c r="M5007" s="781"/>
      <c r="N5007" s="182"/>
      <c r="O5007" s="188"/>
      <c r="P5007" s="221"/>
      <c r="Q5007" s="106"/>
      <c r="R5007" s="108"/>
      <c r="S5007" s="108"/>
      <c r="T5007" s="108"/>
      <c r="U5007" s="108" t="str">
        <f>IFERROR(VLOOKUP(CONCATENATE(Tabla1[[#This Row],[Severidad]]," ",Tabla1[[#This Row],[Complejidad]]),Catalogos!E$120:G$128,3,FALSE),"")</f>
        <v/>
      </c>
      <c r="V5007" s="108" t="str">
        <f>IF(Tabla1[[#This Row],[Tiempo solución max (hrs)]]&lt;&gt;"",IF(Tabla1[[#This Row],[Tiempo solución max (hrs)]]&gt;=Tabla1[[#This Row],[Tiempo
(Hrs 00/100)]],"cumple","no cumple"),"")</f>
        <v/>
      </c>
      <c r="W5007" s="17"/>
      <c r="X5007" s="18">
        <f t="shared" si="268"/>
        <v>0</v>
      </c>
      <c r="Y5007" t="str">
        <f>SUBSTITUTE(Tabla1[[#This Row],[Descripción]],CHAR(10),"    I    ")</f>
        <v/>
      </c>
      <c r="Z5007" s="112" t="e">
        <f>VLOOKUP(Tabla1[[#This Row],[Perfil]],Catalogos!$B$75:$D$100,3,FALSE)*Tabla1[[#This Row],[Tiempo
(Hrs 00/100)]]*1.16</f>
        <v>#N/A</v>
      </c>
    </row>
    <row r="5008" spans="1:26" ht="30" customHeight="1" x14ac:dyDescent="0.3">
      <c r="A5008" s="106"/>
      <c r="B5008" s="106"/>
      <c r="C5008" s="106"/>
      <c r="D5008" s="106"/>
      <c r="E5008" s="106"/>
      <c r="F5008" s="106"/>
      <c r="G5008" s="106"/>
      <c r="H5008" s="107"/>
      <c r="I5008" s="95"/>
      <c r="J5008" s="706"/>
      <c r="K5008" s="769"/>
      <c r="L5008" s="706"/>
      <c r="M5008" s="781"/>
      <c r="N5008" s="182"/>
      <c r="O5008" s="188"/>
      <c r="P5008" s="221"/>
      <c r="Q5008" s="106"/>
      <c r="R5008" s="108"/>
      <c r="S5008" s="108"/>
      <c r="T5008" s="108"/>
      <c r="U5008" s="108" t="str">
        <f>IFERROR(VLOOKUP(CONCATENATE(Tabla1[[#This Row],[Severidad]]," ",Tabla1[[#This Row],[Complejidad]]),Catalogos!E$120:G$128,3,FALSE),"")</f>
        <v/>
      </c>
      <c r="V5008" s="108" t="str">
        <f>IF(Tabla1[[#This Row],[Tiempo solución max (hrs)]]&lt;&gt;"",IF(Tabla1[[#This Row],[Tiempo solución max (hrs)]]&gt;=Tabla1[[#This Row],[Tiempo
(Hrs 00/100)]],"cumple","no cumple"),"")</f>
        <v/>
      </c>
      <c r="W5008" s="17"/>
      <c r="X5008" s="18">
        <f t="shared" si="268"/>
        <v>0</v>
      </c>
      <c r="Y5008" t="str">
        <f>SUBSTITUTE(Tabla1[[#This Row],[Descripción]],CHAR(10),"    I    ")</f>
        <v/>
      </c>
      <c r="Z5008" s="112" t="e">
        <f>VLOOKUP(Tabla1[[#This Row],[Perfil]],Catalogos!$B$75:$D$100,3,FALSE)*Tabla1[[#This Row],[Tiempo
(Hrs 00/100)]]*1.16</f>
        <v>#N/A</v>
      </c>
    </row>
    <row r="5009" spans="1:26" ht="30" customHeight="1" x14ac:dyDescent="0.3">
      <c r="A5009" s="106"/>
      <c r="B5009" s="106"/>
      <c r="C5009" s="106"/>
      <c r="D5009" s="106"/>
      <c r="E5009" s="106"/>
      <c r="F5009" s="106"/>
      <c r="G5009" s="106"/>
      <c r="H5009" s="107"/>
      <c r="I5009" s="95"/>
      <c r="J5009" s="706"/>
      <c r="K5009" s="769"/>
      <c r="L5009" s="706"/>
      <c r="M5009" s="781"/>
      <c r="N5009" s="182"/>
      <c r="O5009" s="188"/>
      <c r="P5009" s="221"/>
      <c r="Q5009" s="106"/>
      <c r="R5009" s="108"/>
      <c r="S5009" s="108"/>
      <c r="T5009" s="108"/>
      <c r="U5009" s="108" t="str">
        <f>IFERROR(VLOOKUP(CONCATENATE(Tabla1[[#This Row],[Severidad]]," ",Tabla1[[#This Row],[Complejidad]]),Catalogos!E$120:G$128,3,FALSE),"")</f>
        <v/>
      </c>
      <c r="V5009" s="108" t="str">
        <f>IF(Tabla1[[#This Row],[Tiempo solución max (hrs)]]&lt;&gt;"",IF(Tabla1[[#This Row],[Tiempo solución max (hrs)]]&gt;=Tabla1[[#This Row],[Tiempo
(Hrs 00/100)]],"cumple","no cumple"),"")</f>
        <v/>
      </c>
      <c r="W5009" s="17"/>
      <c r="X5009" s="18">
        <f t="shared" si="268"/>
        <v>0</v>
      </c>
      <c r="Y5009" t="str">
        <f>SUBSTITUTE(Tabla1[[#This Row],[Descripción]],CHAR(10),"    I    ")</f>
        <v/>
      </c>
      <c r="Z5009" s="112" t="e">
        <f>VLOOKUP(Tabla1[[#This Row],[Perfil]],Catalogos!$B$75:$D$100,3,FALSE)*Tabla1[[#This Row],[Tiempo
(Hrs 00/100)]]*1.16</f>
        <v>#N/A</v>
      </c>
    </row>
    <row r="5010" spans="1:26" ht="30" customHeight="1" x14ac:dyDescent="0.3">
      <c r="A5010" s="106"/>
      <c r="B5010" s="106"/>
      <c r="C5010" s="106"/>
      <c r="D5010" s="106"/>
      <c r="E5010" s="106"/>
      <c r="F5010" s="106"/>
      <c r="G5010" s="106"/>
      <c r="H5010" s="107"/>
      <c r="I5010" s="95"/>
      <c r="J5010" s="706"/>
      <c r="K5010" s="769"/>
      <c r="L5010" s="706"/>
      <c r="M5010" s="781"/>
      <c r="N5010" s="182"/>
      <c r="O5010" s="188"/>
      <c r="P5010" s="221"/>
      <c r="Q5010" s="106"/>
      <c r="R5010" s="108"/>
      <c r="S5010" s="108"/>
      <c r="T5010" s="108"/>
      <c r="U5010" s="108" t="str">
        <f>IFERROR(VLOOKUP(CONCATENATE(Tabla1[[#This Row],[Severidad]]," ",Tabla1[[#This Row],[Complejidad]]),Catalogos!E$120:G$128,3,FALSE),"")</f>
        <v/>
      </c>
      <c r="V5010" s="108" t="str">
        <f>IF(Tabla1[[#This Row],[Tiempo solución max (hrs)]]&lt;&gt;"",IF(Tabla1[[#This Row],[Tiempo solución max (hrs)]]&gt;=Tabla1[[#This Row],[Tiempo
(Hrs 00/100)]],"cumple","no cumple"),"")</f>
        <v/>
      </c>
      <c r="W5010" s="17"/>
      <c r="X5010" s="18">
        <f t="shared" si="268"/>
        <v>0</v>
      </c>
      <c r="Y5010" t="str">
        <f>SUBSTITUTE(Tabla1[[#This Row],[Descripción]],CHAR(10),"    I    ")</f>
        <v/>
      </c>
      <c r="Z5010" s="112" t="e">
        <f>VLOOKUP(Tabla1[[#This Row],[Perfil]],Catalogos!$B$75:$D$100,3,FALSE)*Tabla1[[#This Row],[Tiempo
(Hrs 00/100)]]*1.16</f>
        <v>#N/A</v>
      </c>
    </row>
    <row r="5011" spans="1:26" ht="30" customHeight="1" x14ac:dyDescent="0.3">
      <c r="A5011" s="106"/>
      <c r="B5011" s="106"/>
      <c r="C5011" s="106"/>
      <c r="D5011" s="106"/>
      <c r="E5011" s="106"/>
      <c r="F5011" s="106"/>
      <c r="G5011" s="106"/>
      <c r="H5011" s="107"/>
      <c r="I5011" s="95"/>
      <c r="J5011" s="706"/>
      <c r="K5011" s="769"/>
      <c r="L5011" s="706"/>
      <c r="M5011" s="781"/>
      <c r="N5011" s="182"/>
      <c r="O5011" s="188"/>
      <c r="P5011" s="221"/>
      <c r="Q5011" s="106"/>
      <c r="R5011" s="108"/>
      <c r="S5011" s="108"/>
      <c r="T5011" s="108"/>
      <c r="U5011" s="108" t="str">
        <f>IFERROR(VLOOKUP(CONCATENATE(Tabla1[[#This Row],[Severidad]]," ",Tabla1[[#This Row],[Complejidad]]),Catalogos!E$120:G$128,3,FALSE),"")</f>
        <v/>
      </c>
      <c r="V5011" s="108" t="str">
        <f>IF(Tabla1[[#This Row],[Tiempo solución max (hrs)]]&lt;&gt;"",IF(Tabla1[[#This Row],[Tiempo solución max (hrs)]]&gt;=Tabla1[[#This Row],[Tiempo
(Hrs 00/100)]],"cumple","no cumple"),"")</f>
        <v/>
      </c>
      <c r="W5011" s="17"/>
      <c r="X5011" s="18">
        <f t="shared" si="268"/>
        <v>0</v>
      </c>
      <c r="Y5011" t="str">
        <f>SUBSTITUTE(Tabla1[[#This Row],[Descripción]],CHAR(10),"    I    ")</f>
        <v/>
      </c>
      <c r="Z5011" s="112" t="e">
        <f>VLOOKUP(Tabla1[[#This Row],[Perfil]],Catalogos!$B$75:$D$100,3,FALSE)*Tabla1[[#This Row],[Tiempo
(Hrs 00/100)]]*1.16</f>
        <v>#N/A</v>
      </c>
    </row>
    <row r="5012" spans="1:26" ht="30" customHeight="1" x14ac:dyDescent="0.3">
      <c r="A5012" s="106"/>
      <c r="B5012" s="106"/>
      <c r="C5012" s="106"/>
      <c r="D5012" s="106"/>
      <c r="E5012" s="106"/>
      <c r="F5012" s="106"/>
      <c r="G5012" s="106"/>
      <c r="H5012" s="107"/>
      <c r="I5012" s="95"/>
      <c r="J5012" s="706"/>
      <c r="K5012" s="769"/>
      <c r="L5012" s="706"/>
      <c r="M5012" s="781"/>
      <c r="N5012" s="182"/>
      <c r="O5012" s="188"/>
      <c r="P5012" s="221"/>
      <c r="Q5012" s="106"/>
      <c r="R5012" s="108"/>
      <c r="S5012" s="108"/>
      <c r="T5012" s="108"/>
      <c r="U5012" s="108" t="str">
        <f>IFERROR(VLOOKUP(CONCATENATE(Tabla1[[#This Row],[Severidad]]," ",Tabla1[[#This Row],[Complejidad]]),Catalogos!E$120:G$128,3,FALSE),"")</f>
        <v/>
      </c>
      <c r="V5012" s="108" t="str">
        <f>IF(Tabla1[[#This Row],[Tiempo solución max (hrs)]]&lt;&gt;"",IF(Tabla1[[#This Row],[Tiempo solución max (hrs)]]&gt;=Tabla1[[#This Row],[Tiempo
(Hrs 00/100)]],"cumple","no cumple"),"")</f>
        <v/>
      </c>
      <c r="W5012" s="17"/>
      <c r="X5012" s="18">
        <f t="shared" si="268"/>
        <v>0</v>
      </c>
      <c r="Y5012" t="str">
        <f>SUBSTITUTE(Tabla1[[#This Row],[Descripción]],CHAR(10),"    I    ")</f>
        <v/>
      </c>
      <c r="Z5012" s="112" t="e">
        <f>VLOOKUP(Tabla1[[#This Row],[Perfil]],Catalogos!$B$75:$D$100,3,FALSE)*Tabla1[[#This Row],[Tiempo
(Hrs 00/100)]]*1.16</f>
        <v>#N/A</v>
      </c>
    </row>
    <row r="5013" spans="1:26" ht="30" customHeight="1" x14ac:dyDescent="0.3">
      <c r="A5013" s="106"/>
      <c r="B5013" s="106"/>
      <c r="C5013" s="106"/>
      <c r="D5013" s="106"/>
      <c r="E5013" s="106"/>
      <c r="F5013" s="106"/>
      <c r="G5013" s="106"/>
      <c r="H5013" s="107"/>
      <c r="I5013" s="95"/>
      <c r="J5013" s="706"/>
      <c r="K5013" s="769"/>
      <c r="L5013" s="706"/>
      <c r="M5013" s="781"/>
      <c r="N5013" s="182"/>
      <c r="O5013" s="188"/>
      <c r="P5013" s="221"/>
      <c r="Q5013" s="106"/>
      <c r="R5013" s="108"/>
      <c r="S5013" s="108"/>
      <c r="T5013" s="108"/>
      <c r="U5013" s="108" t="str">
        <f>IFERROR(VLOOKUP(CONCATENATE(Tabla1[[#This Row],[Severidad]]," ",Tabla1[[#This Row],[Complejidad]]),Catalogos!E$120:G$128,3,FALSE),"")</f>
        <v/>
      </c>
      <c r="V5013" s="108" t="str">
        <f>IF(Tabla1[[#This Row],[Tiempo solución max (hrs)]]&lt;&gt;"",IF(Tabla1[[#This Row],[Tiempo solución max (hrs)]]&gt;=Tabla1[[#This Row],[Tiempo
(Hrs 00/100)]],"cumple","no cumple"),"")</f>
        <v/>
      </c>
      <c r="W5013" s="17"/>
      <c r="X5013" s="18">
        <f t="shared" si="268"/>
        <v>0</v>
      </c>
      <c r="Y5013" t="str">
        <f>SUBSTITUTE(Tabla1[[#This Row],[Descripción]],CHAR(10),"    I    ")</f>
        <v/>
      </c>
      <c r="Z5013" s="112" t="e">
        <f>VLOOKUP(Tabla1[[#This Row],[Perfil]],Catalogos!$B$75:$D$100,3,FALSE)*Tabla1[[#This Row],[Tiempo
(Hrs 00/100)]]*1.16</f>
        <v>#N/A</v>
      </c>
    </row>
    <row r="5014" spans="1:26" ht="30" customHeight="1" x14ac:dyDescent="0.3">
      <c r="A5014" s="106"/>
      <c r="B5014" s="106"/>
      <c r="C5014" s="106"/>
      <c r="D5014" s="106"/>
      <c r="E5014" s="106"/>
      <c r="F5014" s="106"/>
      <c r="G5014" s="106"/>
      <c r="H5014" s="107"/>
      <c r="I5014" s="95"/>
      <c r="J5014" s="706"/>
      <c r="K5014" s="769"/>
      <c r="L5014" s="706"/>
      <c r="M5014" s="781"/>
      <c r="N5014" s="182"/>
      <c r="O5014" s="188"/>
      <c r="P5014" s="221"/>
      <c r="Q5014" s="106"/>
      <c r="R5014" s="108"/>
      <c r="S5014" s="108"/>
      <c r="T5014" s="108"/>
      <c r="U5014" s="108" t="str">
        <f>IFERROR(VLOOKUP(CONCATENATE(Tabla1[[#This Row],[Severidad]]," ",Tabla1[[#This Row],[Complejidad]]),Catalogos!E$120:G$128,3,FALSE),"")</f>
        <v/>
      </c>
      <c r="V5014" s="108" t="str">
        <f>IF(Tabla1[[#This Row],[Tiempo solución max (hrs)]]&lt;&gt;"",IF(Tabla1[[#This Row],[Tiempo solución max (hrs)]]&gt;=Tabla1[[#This Row],[Tiempo
(Hrs 00/100)]],"cumple","no cumple"),"")</f>
        <v/>
      </c>
      <c r="W5014" s="17"/>
      <c r="X5014" s="18">
        <f t="shared" si="268"/>
        <v>0</v>
      </c>
      <c r="Y5014" t="str">
        <f>SUBSTITUTE(Tabla1[[#This Row],[Descripción]],CHAR(10),"    I    ")</f>
        <v/>
      </c>
      <c r="Z5014" s="112" t="e">
        <f>VLOOKUP(Tabla1[[#This Row],[Perfil]],Catalogos!$B$75:$D$100,3,FALSE)*Tabla1[[#This Row],[Tiempo
(Hrs 00/100)]]*1.16</f>
        <v>#N/A</v>
      </c>
    </row>
    <row r="5015" spans="1:26" ht="30" customHeight="1" x14ac:dyDescent="0.3">
      <c r="A5015" s="106"/>
      <c r="B5015" s="106"/>
      <c r="C5015" s="106"/>
      <c r="D5015" s="106"/>
      <c r="E5015" s="106"/>
      <c r="F5015" s="106"/>
      <c r="G5015" s="106"/>
      <c r="H5015" s="107"/>
      <c r="I5015" s="95"/>
      <c r="J5015" s="706"/>
      <c r="K5015" s="769"/>
      <c r="L5015" s="706"/>
      <c r="M5015" s="781"/>
      <c r="N5015" s="182"/>
      <c r="O5015" s="188"/>
      <c r="P5015" s="221"/>
      <c r="Q5015" s="106"/>
      <c r="R5015" s="108"/>
      <c r="S5015" s="108"/>
      <c r="T5015" s="108"/>
      <c r="U5015" s="108" t="str">
        <f>IFERROR(VLOOKUP(CONCATENATE(Tabla1[[#This Row],[Severidad]]," ",Tabla1[[#This Row],[Complejidad]]),Catalogos!E$120:G$128,3,FALSE),"")</f>
        <v/>
      </c>
      <c r="V5015" s="108" t="str">
        <f>IF(Tabla1[[#This Row],[Tiempo solución max (hrs)]]&lt;&gt;"",IF(Tabla1[[#This Row],[Tiempo solución max (hrs)]]&gt;=Tabla1[[#This Row],[Tiempo
(Hrs 00/100)]],"cumple","no cumple"),"")</f>
        <v/>
      </c>
      <c r="W5015" s="17"/>
      <c r="X5015" s="18">
        <f t="shared" si="268"/>
        <v>0</v>
      </c>
      <c r="Y5015" t="str">
        <f>SUBSTITUTE(Tabla1[[#This Row],[Descripción]],CHAR(10),"    I    ")</f>
        <v/>
      </c>
      <c r="Z5015" s="112" t="e">
        <f>VLOOKUP(Tabla1[[#This Row],[Perfil]],Catalogos!$B$75:$D$100,3,FALSE)*Tabla1[[#This Row],[Tiempo
(Hrs 00/100)]]*1.16</f>
        <v>#N/A</v>
      </c>
    </row>
    <row r="5016" spans="1:26" ht="30" customHeight="1" x14ac:dyDescent="0.3">
      <c r="A5016" s="106"/>
      <c r="B5016" s="106"/>
      <c r="C5016" s="106"/>
      <c r="D5016" s="106"/>
      <c r="E5016" s="106"/>
      <c r="F5016" s="106"/>
      <c r="G5016" s="106"/>
      <c r="H5016" s="107"/>
      <c r="I5016" s="95"/>
      <c r="J5016" s="706"/>
      <c r="K5016" s="769"/>
      <c r="L5016" s="706"/>
      <c r="M5016" s="781"/>
      <c r="N5016" s="182"/>
      <c r="O5016" s="188"/>
      <c r="P5016" s="221"/>
      <c r="Q5016" s="106"/>
      <c r="R5016" s="108"/>
      <c r="S5016" s="108"/>
      <c r="T5016" s="108"/>
      <c r="U5016" s="108" t="str">
        <f>IFERROR(VLOOKUP(CONCATENATE(Tabla1[[#This Row],[Severidad]]," ",Tabla1[[#This Row],[Complejidad]]),Catalogos!E$120:G$128,3,FALSE),"")</f>
        <v/>
      </c>
      <c r="V5016" s="108" t="str">
        <f>IF(Tabla1[[#This Row],[Tiempo solución max (hrs)]]&lt;&gt;"",IF(Tabla1[[#This Row],[Tiempo solución max (hrs)]]&gt;=Tabla1[[#This Row],[Tiempo
(Hrs 00/100)]],"cumple","no cumple"),"")</f>
        <v/>
      </c>
      <c r="W5016" s="17"/>
      <c r="X5016" s="18">
        <f t="shared" si="268"/>
        <v>0</v>
      </c>
      <c r="Y5016" t="str">
        <f>SUBSTITUTE(Tabla1[[#This Row],[Descripción]],CHAR(10),"    I    ")</f>
        <v/>
      </c>
      <c r="Z5016" s="112" t="e">
        <f>VLOOKUP(Tabla1[[#This Row],[Perfil]],Catalogos!$B$75:$D$100,3,FALSE)*Tabla1[[#This Row],[Tiempo
(Hrs 00/100)]]*1.16</f>
        <v>#N/A</v>
      </c>
    </row>
    <row r="5017" spans="1:26" ht="30" customHeight="1" x14ac:dyDescent="0.3">
      <c r="A5017" s="106"/>
      <c r="B5017" s="106"/>
      <c r="C5017" s="106"/>
      <c r="D5017" s="106"/>
      <c r="E5017" s="106"/>
      <c r="F5017" s="106"/>
      <c r="G5017" s="106"/>
      <c r="H5017" s="107"/>
      <c r="I5017" s="95"/>
      <c r="J5017" s="706"/>
      <c r="K5017" s="769"/>
      <c r="L5017" s="706"/>
      <c r="M5017" s="781"/>
      <c r="N5017" s="182"/>
      <c r="O5017" s="188"/>
      <c r="P5017" s="221"/>
      <c r="Q5017" s="106"/>
      <c r="R5017" s="108"/>
      <c r="S5017" s="108"/>
      <c r="T5017" s="108"/>
      <c r="U5017" s="108" t="str">
        <f>IFERROR(VLOOKUP(CONCATENATE(Tabla1[[#This Row],[Severidad]]," ",Tabla1[[#This Row],[Complejidad]]),Catalogos!E$120:G$128,3,FALSE),"")</f>
        <v/>
      </c>
      <c r="V5017" s="108" t="str">
        <f>IF(Tabla1[[#This Row],[Tiempo solución max (hrs)]]&lt;&gt;"",IF(Tabla1[[#This Row],[Tiempo solución max (hrs)]]&gt;=Tabla1[[#This Row],[Tiempo
(Hrs 00/100)]],"cumple","no cumple"),"")</f>
        <v/>
      </c>
      <c r="W5017" s="17"/>
      <c r="X5017" s="18">
        <f t="shared" si="268"/>
        <v>0</v>
      </c>
      <c r="Y5017" t="str">
        <f>SUBSTITUTE(Tabla1[[#This Row],[Descripción]],CHAR(10),"    I    ")</f>
        <v/>
      </c>
      <c r="Z5017" s="112" t="e">
        <f>VLOOKUP(Tabla1[[#This Row],[Perfil]],Catalogos!$B$75:$D$100,3,FALSE)*Tabla1[[#This Row],[Tiempo
(Hrs 00/100)]]*1.16</f>
        <v>#N/A</v>
      </c>
    </row>
    <row r="5018" spans="1:26" ht="30" customHeight="1" x14ac:dyDescent="0.3">
      <c r="A5018" s="106"/>
      <c r="B5018" s="106"/>
      <c r="C5018" s="106"/>
      <c r="D5018" s="106"/>
      <c r="E5018" s="106"/>
      <c r="F5018" s="106"/>
      <c r="G5018" s="106"/>
      <c r="H5018" s="107"/>
      <c r="I5018" s="95"/>
      <c r="J5018" s="706"/>
      <c r="K5018" s="769"/>
      <c r="L5018" s="706"/>
      <c r="M5018" s="781"/>
      <c r="N5018" s="182"/>
      <c r="O5018" s="188"/>
      <c r="P5018" s="221"/>
      <c r="Q5018" s="106"/>
      <c r="R5018" s="108"/>
      <c r="S5018" s="108"/>
      <c r="T5018" s="108"/>
      <c r="U5018" s="108" t="str">
        <f>IFERROR(VLOOKUP(CONCATENATE(Tabla1[[#This Row],[Severidad]]," ",Tabla1[[#This Row],[Complejidad]]),Catalogos!E$120:G$128,3,FALSE),"")</f>
        <v/>
      </c>
      <c r="V5018" s="108" t="str">
        <f>IF(Tabla1[[#This Row],[Tiempo solución max (hrs)]]&lt;&gt;"",IF(Tabla1[[#This Row],[Tiempo solución max (hrs)]]&gt;=Tabla1[[#This Row],[Tiempo
(Hrs 00/100)]],"cumple","no cumple"),"")</f>
        <v/>
      </c>
      <c r="W5018" s="17"/>
      <c r="X5018" s="18">
        <f t="shared" si="268"/>
        <v>0</v>
      </c>
      <c r="Y5018" t="str">
        <f>SUBSTITUTE(Tabla1[[#This Row],[Descripción]],CHAR(10),"    I    ")</f>
        <v/>
      </c>
      <c r="Z5018" s="112" t="e">
        <f>VLOOKUP(Tabla1[[#This Row],[Perfil]],Catalogos!$B$75:$D$100,3,FALSE)*Tabla1[[#This Row],[Tiempo
(Hrs 00/100)]]*1.16</f>
        <v>#N/A</v>
      </c>
    </row>
    <row r="5019" spans="1:26" ht="30" customHeight="1" x14ac:dyDescent="0.3">
      <c r="A5019" s="106"/>
      <c r="B5019" s="106"/>
      <c r="C5019" s="106"/>
      <c r="D5019" s="106"/>
      <c r="E5019" s="106"/>
      <c r="F5019" s="106"/>
      <c r="G5019" s="106"/>
      <c r="H5019" s="107"/>
      <c r="I5019" s="95"/>
      <c r="J5019" s="706"/>
      <c r="K5019" s="769"/>
      <c r="L5019" s="706"/>
      <c r="M5019" s="781"/>
      <c r="N5019" s="182"/>
      <c r="O5019" s="188"/>
      <c r="P5019" s="221"/>
      <c r="Q5019" s="106"/>
      <c r="R5019" s="108"/>
      <c r="S5019" s="108"/>
      <c r="T5019" s="108"/>
      <c r="U5019" s="108" t="str">
        <f>IFERROR(VLOOKUP(CONCATENATE(Tabla1[[#This Row],[Severidad]]," ",Tabla1[[#This Row],[Complejidad]]),Catalogos!E$120:G$128,3,FALSE),"")</f>
        <v/>
      </c>
      <c r="V5019" s="108" t="str">
        <f>IF(Tabla1[[#This Row],[Tiempo solución max (hrs)]]&lt;&gt;"",IF(Tabla1[[#This Row],[Tiempo solución max (hrs)]]&gt;=Tabla1[[#This Row],[Tiempo
(Hrs 00/100)]],"cumple","no cumple"),"")</f>
        <v/>
      </c>
      <c r="W5019" s="17"/>
      <c r="X5019" s="18">
        <f t="shared" si="268"/>
        <v>0</v>
      </c>
      <c r="Y5019" t="str">
        <f>SUBSTITUTE(Tabla1[[#This Row],[Descripción]],CHAR(10),"    I    ")</f>
        <v/>
      </c>
      <c r="Z5019" s="112" t="e">
        <f>VLOOKUP(Tabla1[[#This Row],[Perfil]],Catalogos!$B$75:$D$100,3,FALSE)*Tabla1[[#This Row],[Tiempo
(Hrs 00/100)]]*1.16</f>
        <v>#N/A</v>
      </c>
    </row>
    <row r="5020" spans="1:26" ht="30" customHeight="1" x14ac:dyDescent="0.3">
      <c r="A5020" s="106"/>
      <c r="B5020" s="106"/>
      <c r="C5020" s="106"/>
      <c r="D5020" s="106"/>
      <c r="E5020" s="106"/>
      <c r="F5020" s="106"/>
      <c r="G5020" s="106"/>
      <c r="H5020" s="107"/>
      <c r="I5020" s="95"/>
      <c r="J5020" s="706"/>
      <c r="K5020" s="769"/>
      <c r="L5020" s="706"/>
      <c r="M5020" s="781"/>
      <c r="N5020" s="182"/>
      <c r="O5020" s="188"/>
      <c r="P5020" s="221"/>
      <c r="Q5020" s="106"/>
      <c r="R5020" s="108"/>
      <c r="S5020" s="108"/>
      <c r="T5020" s="108"/>
      <c r="U5020" s="108" t="str">
        <f>IFERROR(VLOOKUP(CONCATENATE(Tabla1[[#This Row],[Severidad]]," ",Tabla1[[#This Row],[Complejidad]]),Catalogos!E$120:G$128,3,FALSE),"")</f>
        <v/>
      </c>
      <c r="V5020" s="108" t="str">
        <f>IF(Tabla1[[#This Row],[Tiempo solución max (hrs)]]&lt;&gt;"",IF(Tabla1[[#This Row],[Tiempo solución max (hrs)]]&gt;=Tabla1[[#This Row],[Tiempo
(Hrs 00/100)]],"cumple","no cumple"),"")</f>
        <v/>
      </c>
      <c r="W5020" s="17"/>
      <c r="X5020" s="18">
        <f t="shared" si="268"/>
        <v>0</v>
      </c>
      <c r="Y5020" t="str">
        <f>SUBSTITUTE(Tabla1[[#This Row],[Descripción]],CHAR(10),"    I    ")</f>
        <v/>
      </c>
      <c r="Z5020" s="112" t="e">
        <f>VLOOKUP(Tabla1[[#This Row],[Perfil]],Catalogos!$B$75:$D$100,3,FALSE)*Tabla1[[#This Row],[Tiempo
(Hrs 00/100)]]*1.16</f>
        <v>#N/A</v>
      </c>
    </row>
    <row r="5021" spans="1:26" ht="30" customHeight="1" x14ac:dyDescent="0.3">
      <c r="A5021" s="106"/>
      <c r="B5021" s="106"/>
      <c r="C5021" s="106"/>
      <c r="D5021" s="106"/>
      <c r="E5021" s="106"/>
      <c r="F5021" s="106"/>
      <c r="G5021" s="106"/>
      <c r="H5021" s="107"/>
      <c r="I5021" s="95"/>
      <c r="J5021" s="706"/>
      <c r="K5021" s="769"/>
      <c r="L5021" s="706"/>
      <c r="M5021" s="781"/>
      <c r="N5021" s="182"/>
      <c r="O5021" s="188"/>
      <c r="P5021" s="221"/>
      <c r="Q5021" s="106"/>
      <c r="R5021" s="108"/>
      <c r="S5021" s="108"/>
      <c r="T5021" s="108"/>
      <c r="U5021" s="108" t="str">
        <f>IFERROR(VLOOKUP(CONCATENATE(Tabla1[[#This Row],[Severidad]]," ",Tabla1[[#This Row],[Complejidad]]),Catalogos!E$120:G$128,3,FALSE),"")</f>
        <v/>
      </c>
      <c r="V5021" s="108" t="str">
        <f>IF(Tabla1[[#This Row],[Tiempo solución max (hrs)]]&lt;&gt;"",IF(Tabla1[[#This Row],[Tiempo solución max (hrs)]]&gt;=Tabla1[[#This Row],[Tiempo
(Hrs 00/100)]],"cumple","no cumple"),"")</f>
        <v/>
      </c>
      <c r="W5021" s="17"/>
      <c r="X5021" s="18">
        <f t="shared" si="268"/>
        <v>0</v>
      </c>
      <c r="Y5021" t="str">
        <f>SUBSTITUTE(Tabla1[[#This Row],[Descripción]],CHAR(10),"    I    ")</f>
        <v/>
      </c>
      <c r="Z5021" s="112" t="e">
        <f>VLOOKUP(Tabla1[[#This Row],[Perfil]],Catalogos!$B$75:$D$100,3,FALSE)*Tabla1[[#This Row],[Tiempo
(Hrs 00/100)]]*1.16</f>
        <v>#N/A</v>
      </c>
    </row>
    <row r="5022" spans="1:26" ht="30" customHeight="1" x14ac:dyDescent="0.3">
      <c r="A5022" s="106"/>
      <c r="B5022" s="106"/>
      <c r="C5022" s="106"/>
      <c r="D5022" s="106"/>
      <c r="E5022" s="106"/>
      <c r="F5022" s="106"/>
      <c r="G5022" s="106"/>
      <c r="H5022" s="107"/>
      <c r="I5022" s="95"/>
      <c r="J5022" s="706"/>
      <c r="K5022" s="769"/>
      <c r="L5022" s="706"/>
      <c r="M5022" s="781"/>
      <c r="N5022" s="182"/>
      <c r="O5022" s="188"/>
      <c r="P5022" s="221"/>
      <c r="Q5022" s="106"/>
      <c r="R5022" s="108"/>
      <c r="S5022" s="108"/>
      <c r="T5022" s="108"/>
      <c r="U5022" s="108" t="str">
        <f>IFERROR(VLOOKUP(CONCATENATE(Tabla1[[#This Row],[Severidad]]," ",Tabla1[[#This Row],[Complejidad]]),Catalogos!E$120:G$128,3,FALSE),"")</f>
        <v/>
      </c>
      <c r="V5022" s="108" t="str">
        <f>IF(Tabla1[[#This Row],[Tiempo solución max (hrs)]]&lt;&gt;"",IF(Tabla1[[#This Row],[Tiempo solución max (hrs)]]&gt;=Tabla1[[#This Row],[Tiempo
(Hrs 00/100)]],"cumple","no cumple"),"")</f>
        <v/>
      </c>
      <c r="W5022" s="17"/>
      <c r="X5022" s="18">
        <f t="shared" si="268"/>
        <v>0</v>
      </c>
      <c r="Y5022" t="str">
        <f>SUBSTITUTE(Tabla1[[#This Row],[Descripción]],CHAR(10),"    I    ")</f>
        <v/>
      </c>
      <c r="Z5022" s="112" t="e">
        <f>VLOOKUP(Tabla1[[#This Row],[Perfil]],Catalogos!$B$75:$D$100,3,FALSE)*Tabla1[[#This Row],[Tiempo
(Hrs 00/100)]]*1.16</f>
        <v>#N/A</v>
      </c>
    </row>
    <row r="5023" spans="1:26" ht="30" customHeight="1" x14ac:dyDescent="0.3">
      <c r="A5023" s="106"/>
      <c r="B5023" s="106"/>
      <c r="C5023" s="106"/>
      <c r="D5023" s="106"/>
      <c r="E5023" s="106"/>
      <c r="F5023" s="106"/>
      <c r="G5023" s="106"/>
      <c r="H5023" s="107"/>
      <c r="I5023" s="95"/>
      <c r="J5023" s="706"/>
      <c r="K5023" s="769"/>
      <c r="L5023" s="706"/>
      <c r="M5023" s="781"/>
      <c r="N5023" s="182"/>
      <c r="O5023" s="188"/>
      <c r="P5023" s="221"/>
      <c r="Q5023" s="106"/>
      <c r="R5023" s="108"/>
      <c r="S5023" s="108"/>
      <c r="T5023" s="108"/>
      <c r="U5023" s="108" t="str">
        <f>IFERROR(VLOOKUP(CONCATENATE(Tabla1[[#This Row],[Severidad]]," ",Tabla1[[#This Row],[Complejidad]]),Catalogos!E$120:G$128,3,FALSE),"")</f>
        <v/>
      </c>
      <c r="V5023" s="108" t="str">
        <f>IF(Tabla1[[#This Row],[Tiempo solución max (hrs)]]&lt;&gt;"",IF(Tabla1[[#This Row],[Tiempo solución max (hrs)]]&gt;=Tabla1[[#This Row],[Tiempo
(Hrs 00/100)]],"cumple","no cumple"),"")</f>
        <v/>
      </c>
      <c r="W5023" s="17"/>
      <c r="X5023" s="18">
        <f t="shared" si="268"/>
        <v>0</v>
      </c>
      <c r="Y5023" t="str">
        <f>SUBSTITUTE(Tabla1[[#This Row],[Descripción]],CHAR(10),"    I    ")</f>
        <v/>
      </c>
      <c r="Z5023" s="112" t="e">
        <f>VLOOKUP(Tabla1[[#This Row],[Perfil]],Catalogos!$B$75:$D$100,3,FALSE)*Tabla1[[#This Row],[Tiempo
(Hrs 00/100)]]*1.16</f>
        <v>#N/A</v>
      </c>
    </row>
    <row r="5024" spans="1:26" ht="30" customHeight="1" x14ac:dyDescent="0.3">
      <c r="A5024" s="106"/>
      <c r="B5024" s="106"/>
      <c r="C5024" s="106"/>
      <c r="D5024" s="106"/>
      <c r="E5024" s="106"/>
      <c r="F5024" s="106"/>
      <c r="G5024" s="106"/>
      <c r="H5024" s="107"/>
      <c r="I5024" s="95"/>
      <c r="J5024" s="706"/>
      <c r="K5024" s="769"/>
      <c r="L5024" s="706"/>
      <c r="M5024" s="781"/>
      <c r="N5024" s="182"/>
      <c r="O5024" s="188"/>
      <c r="P5024" s="221"/>
      <c r="Q5024" s="106"/>
      <c r="R5024" s="108"/>
      <c r="S5024" s="108"/>
      <c r="T5024" s="108"/>
      <c r="U5024" s="108" t="str">
        <f>IFERROR(VLOOKUP(CONCATENATE(Tabla1[[#This Row],[Severidad]]," ",Tabla1[[#This Row],[Complejidad]]),Catalogos!E$120:G$128,3,FALSE),"")</f>
        <v/>
      </c>
      <c r="V5024" s="108" t="str">
        <f>IF(Tabla1[[#This Row],[Tiempo solución max (hrs)]]&lt;&gt;"",IF(Tabla1[[#This Row],[Tiempo solución max (hrs)]]&gt;=Tabla1[[#This Row],[Tiempo
(Hrs 00/100)]],"cumple","no cumple"),"")</f>
        <v/>
      </c>
      <c r="W5024" s="17"/>
      <c r="X5024" s="18">
        <f t="shared" si="268"/>
        <v>0</v>
      </c>
      <c r="Y5024" t="str">
        <f>SUBSTITUTE(Tabla1[[#This Row],[Descripción]],CHAR(10),"    I    ")</f>
        <v/>
      </c>
      <c r="Z5024" s="112" t="e">
        <f>VLOOKUP(Tabla1[[#This Row],[Perfil]],Catalogos!$B$75:$D$100,3,FALSE)*Tabla1[[#This Row],[Tiempo
(Hrs 00/100)]]*1.16</f>
        <v>#N/A</v>
      </c>
    </row>
    <row r="5025" spans="1:26" ht="30" customHeight="1" x14ac:dyDescent="0.3">
      <c r="A5025" s="106"/>
      <c r="B5025" s="106"/>
      <c r="C5025" s="106"/>
      <c r="D5025" s="106"/>
      <c r="E5025" s="106"/>
      <c r="F5025" s="106"/>
      <c r="G5025" s="106"/>
      <c r="H5025" s="107"/>
      <c r="I5025" s="95"/>
      <c r="J5025" s="706"/>
      <c r="K5025" s="769"/>
      <c r="L5025" s="706"/>
      <c r="M5025" s="781"/>
      <c r="N5025" s="182"/>
      <c r="O5025" s="188"/>
      <c r="P5025" s="221"/>
      <c r="Q5025" s="106"/>
      <c r="R5025" s="108"/>
      <c r="S5025" s="108"/>
      <c r="T5025" s="108"/>
      <c r="U5025" s="108" t="str">
        <f>IFERROR(VLOOKUP(CONCATENATE(Tabla1[[#This Row],[Severidad]]," ",Tabla1[[#This Row],[Complejidad]]),Catalogos!E$120:G$128,3,FALSE),"")</f>
        <v/>
      </c>
      <c r="V5025" s="108" t="str">
        <f>IF(Tabla1[[#This Row],[Tiempo solución max (hrs)]]&lt;&gt;"",IF(Tabla1[[#This Row],[Tiempo solución max (hrs)]]&gt;=Tabla1[[#This Row],[Tiempo
(Hrs 00/100)]],"cumple","no cumple"),"")</f>
        <v/>
      </c>
      <c r="W5025" s="17"/>
      <c r="X5025" s="18">
        <f t="shared" si="268"/>
        <v>0</v>
      </c>
      <c r="Y5025" t="str">
        <f>SUBSTITUTE(Tabla1[[#This Row],[Descripción]],CHAR(10),"    I    ")</f>
        <v/>
      </c>
      <c r="Z5025" s="112" t="e">
        <f>VLOOKUP(Tabla1[[#This Row],[Perfil]],Catalogos!$B$75:$D$100,3,FALSE)*Tabla1[[#This Row],[Tiempo
(Hrs 00/100)]]*1.16</f>
        <v>#N/A</v>
      </c>
    </row>
    <row r="5026" spans="1:26" ht="30" customHeight="1" x14ac:dyDescent="0.3">
      <c r="A5026" s="106"/>
      <c r="B5026" s="106"/>
      <c r="C5026" s="106"/>
      <c r="D5026" s="106"/>
      <c r="E5026" s="106"/>
      <c r="F5026" s="106"/>
      <c r="G5026" s="106"/>
      <c r="H5026" s="107"/>
      <c r="I5026" s="95"/>
      <c r="J5026" s="706"/>
      <c r="K5026" s="769"/>
      <c r="L5026" s="706"/>
      <c r="M5026" s="781"/>
      <c r="N5026" s="182"/>
      <c r="O5026" s="188"/>
      <c r="P5026" s="221"/>
      <c r="Q5026" s="106"/>
      <c r="R5026" s="108"/>
      <c r="S5026" s="108"/>
      <c r="T5026" s="108"/>
      <c r="U5026" s="108" t="str">
        <f>IFERROR(VLOOKUP(CONCATENATE(Tabla1[[#This Row],[Severidad]]," ",Tabla1[[#This Row],[Complejidad]]),Catalogos!E$120:G$128,3,FALSE),"")</f>
        <v/>
      </c>
      <c r="V5026" s="108" t="str">
        <f>IF(Tabla1[[#This Row],[Tiempo solución max (hrs)]]&lt;&gt;"",IF(Tabla1[[#This Row],[Tiempo solución max (hrs)]]&gt;=Tabla1[[#This Row],[Tiempo
(Hrs 00/100)]],"cumple","no cumple"),"")</f>
        <v/>
      </c>
      <c r="W5026" s="17"/>
      <c r="X5026" s="18">
        <f t="shared" si="268"/>
        <v>0</v>
      </c>
      <c r="Y5026" t="str">
        <f>SUBSTITUTE(Tabla1[[#This Row],[Descripción]],CHAR(10),"    I    ")</f>
        <v/>
      </c>
      <c r="Z5026" s="112" t="e">
        <f>VLOOKUP(Tabla1[[#This Row],[Perfil]],Catalogos!$B$75:$D$100,3,FALSE)*Tabla1[[#This Row],[Tiempo
(Hrs 00/100)]]*1.16</f>
        <v>#N/A</v>
      </c>
    </row>
    <row r="5027" spans="1:26" ht="30" customHeight="1" x14ac:dyDescent="0.3">
      <c r="A5027" s="106"/>
      <c r="B5027" s="106"/>
      <c r="C5027" s="106"/>
      <c r="D5027" s="106"/>
      <c r="E5027" s="106"/>
      <c r="F5027" s="106"/>
      <c r="G5027" s="106"/>
      <c r="H5027" s="107"/>
      <c r="I5027" s="95"/>
      <c r="J5027" s="706"/>
      <c r="K5027" s="769"/>
      <c r="L5027" s="706"/>
      <c r="M5027" s="781"/>
      <c r="N5027" s="182"/>
      <c r="O5027" s="188"/>
      <c r="P5027" s="221"/>
      <c r="Q5027" s="106"/>
      <c r="R5027" s="108"/>
      <c r="S5027" s="108"/>
      <c r="T5027" s="108"/>
      <c r="U5027" s="108" t="str">
        <f>IFERROR(VLOOKUP(CONCATENATE(Tabla1[[#This Row],[Severidad]]," ",Tabla1[[#This Row],[Complejidad]]),Catalogos!E$120:G$128,3,FALSE),"")</f>
        <v/>
      </c>
      <c r="V5027" s="108" t="str">
        <f>IF(Tabla1[[#This Row],[Tiempo solución max (hrs)]]&lt;&gt;"",IF(Tabla1[[#This Row],[Tiempo solución max (hrs)]]&gt;=Tabla1[[#This Row],[Tiempo
(Hrs 00/100)]],"cumple","no cumple"),"")</f>
        <v/>
      </c>
      <c r="W5027" s="17"/>
      <c r="X5027" s="18">
        <f t="shared" si="268"/>
        <v>0</v>
      </c>
      <c r="Y5027" t="str">
        <f>SUBSTITUTE(Tabla1[[#This Row],[Descripción]],CHAR(10),"    I    ")</f>
        <v/>
      </c>
      <c r="Z5027" s="112" t="e">
        <f>VLOOKUP(Tabla1[[#This Row],[Perfil]],Catalogos!$B$75:$D$100,3,FALSE)*Tabla1[[#This Row],[Tiempo
(Hrs 00/100)]]*1.16</f>
        <v>#N/A</v>
      </c>
    </row>
    <row r="5028" spans="1:26" ht="30" customHeight="1" x14ac:dyDescent="0.3">
      <c r="A5028" s="106"/>
      <c r="B5028" s="106"/>
      <c r="C5028" s="106"/>
      <c r="D5028" s="106"/>
      <c r="E5028" s="106"/>
      <c r="F5028" s="106"/>
      <c r="G5028" s="106"/>
      <c r="H5028" s="107"/>
      <c r="I5028" s="95"/>
      <c r="J5028" s="706"/>
      <c r="K5028" s="769"/>
      <c r="L5028" s="706"/>
      <c r="M5028" s="781"/>
      <c r="N5028" s="182"/>
      <c r="O5028" s="188"/>
      <c r="P5028" s="221"/>
      <c r="Q5028" s="106"/>
      <c r="R5028" s="108"/>
      <c r="S5028" s="108"/>
      <c r="T5028" s="108"/>
      <c r="U5028" s="108" t="str">
        <f>IFERROR(VLOOKUP(CONCATENATE(Tabla1[[#This Row],[Severidad]]," ",Tabla1[[#This Row],[Complejidad]]),Catalogos!E$120:G$128,3,FALSE),"")</f>
        <v/>
      </c>
      <c r="V5028" s="108" t="str">
        <f>IF(Tabla1[[#This Row],[Tiempo solución max (hrs)]]&lt;&gt;"",IF(Tabla1[[#This Row],[Tiempo solución max (hrs)]]&gt;=Tabla1[[#This Row],[Tiempo
(Hrs 00/100)]],"cumple","no cumple"),"")</f>
        <v/>
      </c>
      <c r="W5028" s="17"/>
      <c r="X5028" s="18">
        <f t="shared" si="268"/>
        <v>0</v>
      </c>
      <c r="Y5028" t="str">
        <f>SUBSTITUTE(Tabla1[[#This Row],[Descripción]],CHAR(10),"    I    ")</f>
        <v/>
      </c>
      <c r="Z5028" s="112" t="e">
        <f>VLOOKUP(Tabla1[[#This Row],[Perfil]],Catalogos!$B$75:$D$100,3,FALSE)*Tabla1[[#This Row],[Tiempo
(Hrs 00/100)]]*1.16</f>
        <v>#N/A</v>
      </c>
    </row>
    <row r="5029" spans="1:26" ht="30" customHeight="1" x14ac:dyDescent="0.3">
      <c r="A5029" s="106"/>
      <c r="B5029" s="106"/>
      <c r="C5029" s="106"/>
      <c r="D5029" s="106"/>
      <c r="E5029" s="106"/>
      <c r="F5029" s="106"/>
      <c r="G5029" s="106"/>
      <c r="H5029" s="107"/>
      <c r="I5029" s="95"/>
      <c r="J5029" s="706"/>
      <c r="K5029" s="769"/>
      <c r="L5029" s="706"/>
      <c r="M5029" s="781"/>
      <c r="N5029" s="182"/>
      <c r="O5029" s="188"/>
      <c r="P5029" s="221"/>
      <c r="Q5029" s="106"/>
      <c r="R5029" s="108"/>
      <c r="S5029" s="108"/>
      <c r="T5029" s="108"/>
      <c r="U5029" s="108" t="str">
        <f>IFERROR(VLOOKUP(CONCATENATE(Tabla1[[#This Row],[Severidad]]," ",Tabla1[[#This Row],[Complejidad]]),Catalogos!E$120:G$128,3,FALSE),"")</f>
        <v/>
      </c>
      <c r="V5029" s="108" t="str">
        <f>IF(Tabla1[[#This Row],[Tiempo solución max (hrs)]]&lt;&gt;"",IF(Tabla1[[#This Row],[Tiempo solución max (hrs)]]&gt;=Tabla1[[#This Row],[Tiempo
(Hrs 00/100)]],"cumple","no cumple"),"")</f>
        <v/>
      </c>
      <c r="W5029" s="17"/>
      <c r="X5029" s="18">
        <f t="shared" si="268"/>
        <v>0</v>
      </c>
      <c r="Y5029" t="str">
        <f>SUBSTITUTE(Tabla1[[#This Row],[Descripción]],CHAR(10),"    I    ")</f>
        <v/>
      </c>
      <c r="Z5029" s="112" t="e">
        <f>VLOOKUP(Tabla1[[#This Row],[Perfil]],Catalogos!$B$75:$D$100,3,FALSE)*Tabla1[[#This Row],[Tiempo
(Hrs 00/100)]]*1.16</f>
        <v>#N/A</v>
      </c>
    </row>
    <row r="5030" spans="1:26" ht="30" customHeight="1" x14ac:dyDescent="0.3">
      <c r="A5030" s="106"/>
      <c r="B5030" s="106"/>
      <c r="C5030" s="106"/>
      <c r="D5030" s="106"/>
      <c r="E5030" s="106"/>
      <c r="F5030" s="106"/>
      <c r="G5030" s="106"/>
      <c r="H5030" s="107"/>
      <c r="I5030" s="95"/>
      <c r="J5030" s="706"/>
      <c r="K5030" s="769"/>
      <c r="L5030" s="706"/>
      <c r="M5030" s="781"/>
      <c r="N5030" s="182"/>
      <c r="O5030" s="188"/>
      <c r="P5030" s="221"/>
      <c r="Q5030" s="106"/>
      <c r="R5030" s="108"/>
      <c r="S5030" s="108"/>
      <c r="T5030" s="108"/>
      <c r="U5030" s="108" t="str">
        <f>IFERROR(VLOOKUP(CONCATENATE(Tabla1[[#This Row],[Severidad]]," ",Tabla1[[#This Row],[Complejidad]]),Catalogos!E$120:G$128,3,FALSE),"")</f>
        <v/>
      </c>
      <c r="V5030" s="108" t="str">
        <f>IF(Tabla1[[#This Row],[Tiempo solución max (hrs)]]&lt;&gt;"",IF(Tabla1[[#This Row],[Tiempo solución max (hrs)]]&gt;=Tabla1[[#This Row],[Tiempo
(Hrs 00/100)]],"cumple","no cumple"),"")</f>
        <v/>
      </c>
      <c r="W5030" s="17"/>
      <c r="X5030" s="18">
        <f t="shared" si="268"/>
        <v>0</v>
      </c>
      <c r="Y5030" t="str">
        <f>SUBSTITUTE(Tabla1[[#This Row],[Descripción]],CHAR(10),"    I    ")</f>
        <v/>
      </c>
      <c r="Z5030" s="112" t="e">
        <f>VLOOKUP(Tabla1[[#This Row],[Perfil]],Catalogos!$B$75:$D$100,3,FALSE)*Tabla1[[#This Row],[Tiempo
(Hrs 00/100)]]*1.16</f>
        <v>#N/A</v>
      </c>
    </row>
    <row r="5031" spans="1:26" ht="30" customHeight="1" x14ac:dyDescent="0.3">
      <c r="A5031" s="106"/>
      <c r="B5031" s="106"/>
      <c r="C5031" s="106"/>
      <c r="D5031" s="106"/>
      <c r="E5031" s="106"/>
      <c r="F5031" s="106"/>
      <c r="G5031" s="106"/>
      <c r="H5031" s="107"/>
      <c r="I5031" s="95"/>
      <c r="J5031" s="706"/>
      <c r="K5031" s="769"/>
      <c r="L5031" s="706"/>
      <c r="M5031" s="781"/>
      <c r="N5031" s="182"/>
      <c r="O5031" s="188"/>
      <c r="P5031" s="221"/>
      <c r="Q5031" s="106"/>
      <c r="R5031" s="108"/>
      <c r="S5031" s="108"/>
      <c r="T5031" s="108"/>
      <c r="U5031" s="108" t="str">
        <f>IFERROR(VLOOKUP(CONCATENATE(Tabla1[[#This Row],[Severidad]]," ",Tabla1[[#This Row],[Complejidad]]),Catalogos!E$120:G$128,3,FALSE),"")</f>
        <v/>
      </c>
      <c r="V5031" s="108" t="str">
        <f>IF(Tabla1[[#This Row],[Tiempo solución max (hrs)]]&lt;&gt;"",IF(Tabla1[[#This Row],[Tiempo solución max (hrs)]]&gt;=Tabla1[[#This Row],[Tiempo
(Hrs 00/100)]],"cumple","no cumple"),"")</f>
        <v/>
      </c>
      <c r="W5031" s="17"/>
      <c r="X5031" s="18">
        <f t="shared" si="268"/>
        <v>0</v>
      </c>
      <c r="Y5031" t="str">
        <f>SUBSTITUTE(Tabla1[[#This Row],[Descripción]],CHAR(10),"    I    ")</f>
        <v/>
      </c>
      <c r="Z5031" s="112" t="e">
        <f>VLOOKUP(Tabla1[[#This Row],[Perfil]],Catalogos!$B$75:$D$100,3,FALSE)*Tabla1[[#This Row],[Tiempo
(Hrs 00/100)]]*1.16</f>
        <v>#N/A</v>
      </c>
    </row>
    <row r="5032" spans="1:26" ht="30" customHeight="1" x14ac:dyDescent="0.3">
      <c r="A5032" s="106"/>
      <c r="B5032" s="106"/>
      <c r="C5032" s="106"/>
      <c r="D5032" s="106"/>
      <c r="E5032" s="106"/>
      <c r="F5032" s="106"/>
      <c r="G5032" s="106"/>
      <c r="H5032" s="107"/>
      <c r="I5032" s="95"/>
      <c r="J5032" s="706"/>
      <c r="K5032" s="769"/>
      <c r="L5032" s="706"/>
      <c r="M5032" s="781"/>
      <c r="N5032" s="182"/>
      <c r="O5032" s="188"/>
      <c r="P5032" s="221"/>
      <c r="Q5032" s="106"/>
      <c r="R5032" s="108"/>
      <c r="S5032" s="108"/>
      <c r="T5032" s="108"/>
      <c r="U5032" s="108" t="str">
        <f>IFERROR(VLOOKUP(CONCATENATE(Tabla1[[#This Row],[Severidad]]," ",Tabla1[[#This Row],[Complejidad]]),Catalogos!E$120:G$128,3,FALSE),"")</f>
        <v/>
      </c>
      <c r="V5032" s="108" t="str">
        <f>IF(Tabla1[[#This Row],[Tiempo solución max (hrs)]]&lt;&gt;"",IF(Tabla1[[#This Row],[Tiempo solución max (hrs)]]&gt;=Tabla1[[#This Row],[Tiempo
(Hrs 00/100)]],"cumple","no cumple"),"")</f>
        <v/>
      </c>
      <c r="W5032" s="17"/>
      <c r="X5032" s="18">
        <f t="shared" si="268"/>
        <v>0</v>
      </c>
      <c r="Y5032" t="str">
        <f>SUBSTITUTE(Tabla1[[#This Row],[Descripción]],CHAR(10),"    I    ")</f>
        <v/>
      </c>
      <c r="Z5032" s="112" t="e">
        <f>VLOOKUP(Tabla1[[#This Row],[Perfil]],Catalogos!$B$75:$D$100,3,FALSE)*Tabla1[[#This Row],[Tiempo
(Hrs 00/100)]]*1.16</f>
        <v>#N/A</v>
      </c>
    </row>
    <row r="5033" spans="1:26" ht="30" customHeight="1" x14ac:dyDescent="0.3">
      <c r="A5033" s="106"/>
      <c r="B5033" s="106"/>
      <c r="C5033" s="106"/>
      <c r="D5033" s="106"/>
      <c r="E5033" s="106"/>
      <c r="F5033" s="106"/>
      <c r="G5033" s="106"/>
      <c r="H5033" s="107"/>
      <c r="I5033" s="95"/>
      <c r="J5033" s="706"/>
      <c r="K5033" s="769"/>
      <c r="L5033" s="706"/>
      <c r="M5033" s="781"/>
      <c r="N5033" s="182"/>
      <c r="O5033" s="188"/>
      <c r="P5033" s="221"/>
      <c r="Q5033" s="106"/>
      <c r="R5033" s="108"/>
      <c r="S5033" s="108"/>
      <c r="T5033" s="108"/>
      <c r="U5033" s="108" t="str">
        <f>IFERROR(VLOOKUP(CONCATENATE(Tabla1[[#This Row],[Severidad]]," ",Tabla1[[#This Row],[Complejidad]]),Catalogos!E$120:G$128,3,FALSE),"")</f>
        <v/>
      </c>
      <c r="V5033" s="108" t="str">
        <f>IF(Tabla1[[#This Row],[Tiempo solución max (hrs)]]&lt;&gt;"",IF(Tabla1[[#This Row],[Tiempo solución max (hrs)]]&gt;=Tabla1[[#This Row],[Tiempo
(Hrs 00/100)]],"cumple","no cumple"),"")</f>
        <v/>
      </c>
      <c r="W5033" s="17"/>
      <c r="X5033" s="18">
        <f t="shared" si="268"/>
        <v>0</v>
      </c>
      <c r="Y5033" t="str">
        <f>SUBSTITUTE(Tabla1[[#This Row],[Descripción]],CHAR(10),"    I    ")</f>
        <v/>
      </c>
      <c r="Z5033" s="112" t="e">
        <f>VLOOKUP(Tabla1[[#This Row],[Perfil]],Catalogos!$B$75:$D$100,3,FALSE)*Tabla1[[#This Row],[Tiempo
(Hrs 00/100)]]*1.16</f>
        <v>#N/A</v>
      </c>
    </row>
    <row r="5034" spans="1:26" ht="30" customHeight="1" x14ac:dyDescent="0.3">
      <c r="A5034" s="106"/>
      <c r="B5034" s="106"/>
      <c r="C5034" s="106"/>
      <c r="D5034" s="106"/>
      <c r="E5034" s="106"/>
      <c r="F5034" s="106"/>
      <c r="G5034" s="106"/>
      <c r="H5034" s="107"/>
      <c r="I5034" s="95"/>
      <c r="J5034" s="706"/>
      <c r="K5034" s="769"/>
      <c r="L5034" s="706"/>
      <c r="M5034" s="781"/>
      <c r="N5034" s="182"/>
      <c r="O5034" s="188"/>
      <c r="P5034" s="221"/>
      <c r="Q5034" s="106"/>
      <c r="R5034" s="108"/>
      <c r="S5034" s="108"/>
      <c r="T5034" s="108"/>
      <c r="U5034" s="108" t="str">
        <f>IFERROR(VLOOKUP(CONCATENATE(Tabla1[[#This Row],[Severidad]]," ",Tabla1[[#This Row],[Complejidad]]),Catalogos!E$120:G$128,3,FALSE),"")</f>
        <v/>
      </c>
      <c r="V5034" s="108" t="str">
        <f>IF(Tabla1[[#This Row],[Tiempo solución max (hrs)]]&lt;&gt;"",IF(Tabla1[[#This Row],[Tiempo solución max (hrs)]]&gt;=Tabla1[[#This Row],[Tiempo
(Hrs 00/100)]],"cumple","no cumple"),"")</f>
        <v/>
      </c>
      <c r="W5034" s="17"/>
      <c r="X5034" s="18">
        <f t="shared" si="268"/>
        <v>0</v>
      </c>
      <c r="Y5034" t="str">
        <f>SUBSTITUTE(Tabla1[[#This Row],[Descripción]],CHAR(10),"    I    ")</f>
        <v/>
      </c>
      <c r="Z5034" s="112" t="e">
        <f>VLOOKUP(Tabla1[[#This Row],[Perfil]],Catalogos!$B$75:$D$100,3,FALSE)*Tabla1[[#This Row],[Tiempo
(Hrs 00/100)]]*1.16</f>
        <v>#N/A</v>
      </c>
    </row>
    <row r="5035" spans="1:26" ht="30" customHeight="1" x14ac:dyDescent="0.3">
      <c r="A5035" s="106"/>
      <c r="B5035" s="106"/>
      <c r="C5035" s="106"/>
      <c r="D5035" s="106"/>
      <c r="E5035" s="106"/>
      <c r="F5035" s="106"/>
      <c r="G5035" s="106"/>
      <c r="H5035" s="107"/>
      <c r="I5035" s="95"/>
      <c r="J5035" s="706"/>
      <c r="K5035" s="769"/>
      <c r="L5035" s="706"/>
      <c r="M5035" s="781"/>
      <c r="N5035" s="182"/>
      <c r="O5035" s="188"/>
      <c r="P5035" s="221"/>
      <c r="Q5035" s="106"/>
      <c r="R5035" s="108"/>
      <c r="S5035" s="108"/>
      <c r="T5035" s="108"/>
      <c r="U5035" s="108" t="str">
        <f>IFERROR(VLOOKUP(CONCATENATE(Tabla1[[#This Row],[Severidad]]," ",Tabla1[[#This Row],[Complejidad]]),Catalogos!E$120:G$128,3,FALSE),"")</f>
        <v/>
      </c>
      <c r="V5035" s="108" t="str">
        <f>IF(Tabla1[[#This Row],[Tiempo solución max (hrs)]]&lt;&gt;"",IF(Tabla1[[#This Row],[Tiempo solución max (hrs)]]&gt;=Tabla1[[#This Row],[Tiempo
(Hrs 00/100)]],"cumple","no cumple"),"")</f>
        <v/>
      </c>
      <c r="W5035" s="17"/>
      <c r="X5035" s="18">
        <f t="shared" si="268"/>
        <v>0</v>
      </c>
      <c r="Y5035" t="str">
        <f>SUBSTITUTE(Tabla1[[#This Row],[Descripción]],CHAR(10),"    I    ")</f>
        <v/>
      </c>
      <c r="Z5035" s="112" t="e">
        <f>VLOOKUP(Tabla1[[#This Row],[Perfil]],Catalogos!$B$75:$D$100,3,FALSE)*Tabla1[[#This Row],[Tiempo
(Hrs 00/100)]]*1.16</f>
        <v>#N/A</v>
      </c>
    </row>
    <row r="5036" spans="1:26" ht="30" customHeight="1" x14ac:dyDescent="0.3">
      <c r="A5036" s="106"/>
      <c r="B5036" s="106"/>
      <c r="C5036" s="106"/>
      <c r="D5036" s="106"/>
      <c r="E5036" s="106"/>
      <c r="F5036" s="106"/>
      <c r="G5036" s="106"/>
      <c r="H5036" s="107"/>
      <c r="I5036" s="95"/>
      <c r="J5036" s="706"/>
      <c r="K5036" s="769"/>
      <c r="L5036" s="706"/>
      <c r="M5036" s="781"/>
      <c r="N5036" s="182"/>
      <c r="O5036" s="188"/>
      <c r="P5036" s="221"/>
      <c r="Q5036" s="106"/>
      <c r="R5036" s="108"/>
      <c r="S5036" s="108"/>
      <c r="T5036" s="108"/>
      <c r="U5036" s="108" t="str">
        <f>IFERROR(VLOOKUP(CONCATENATE(Tabla1[[#This Row],[Severidad]]," ",Tabla1[[#This Row],[Complejidad]]),Catalogos!E$120:G$128,3,FALSE),"")</f>
        <v/>
      </c>
      <c r="V5036" s="108" t="str">
        <f>IF(Tabla1[[#This Row],[Tiempo solución max (hrs)]]&lt;&gt;"",IF(Tabla1[[#This Row],[Tiempo solución max (hrs)]]&gt;=Tabla1[[#This Row],[Tiempo
(Hrs 00/100)]],"cumple","no cumple"),"")</f>
        <v/>
      </c>
      <c r="W5036" s="17"/>
      <c r="X5036" s="18">
        <f t="shared" si="268"/>
        <v>0</v>
      </c>
      <c r="Y5036" t="str">
        <f>SUBSTITUTE(Tabla1[[#This Row],[Descripción]],CHAR(10),"    I    ")</f>
        <v/>
      </c>
      <c r="Z5036" s="112" t="e">
        <f>VLOOKUP(Tabla1[[#This Row],[Perfil]],Catalogos!$B$75:$D$100,3,FALSE)*Tabla1[[#This Row],[Tiempo
(Hrs 00/100)]]*1.16</f>
        <v>#N/A</v>
      </c>
    </row>
    <row r="5037" spans="1:26" ht="30" customHeight="1" x14ac:dyDescent="0.3">
      <c r="A5037" s="106"/>
      <c r="B5037" s="106"/>
      <c r="C5037" s="106"/>
      <c r="D5037" s="106"/>
      <c r="E5037" s="106"/>
      <c r="F5037" s="106"/>
      <c r="G5037" s="106"/>
      <c r="H5037" s="107"/>
      <c r="I5037" s="95"/>
      <c r="J5037" s="706"/>
      <c r="K5037" s="769"/>
      <c r="L5037" s="706"/>
      <c r="M5037" s="781"/>
      <c r="N5037" s="182"/>
      <c r="O5037" s="188"/>
      <c r="P5037" s="221"/>
      <c r="Q5037" s="106"/>
      <c r="R5037" s="108"/>
      <c r="S5037" s="108"/>
      <c r="T5037" s="108"/>
      <c r="U5037" s="108" t="str">
        <f>IFERROR(VLOOKUP(CONCATENATE(Tabla1[[#This Row],[Severidad]]," ",Tabla1[[#This Row],[Complejidad]]),Catalogos!E$120:G$128,3,FALSE),"")</f>
        <v/>
      </c>
      <c r="V5037" s="108" t="str">
        <f>IF(Tabla1[[#This Row],[Tiempo solución max (hrs)]]&lt;&gt;"",IF(Tabla1[[#This Row],[Tiempo solución max (hrs)]]&gt;=Tabla1[[#This Row],[Tiempo
(Hrs 00/100)]],"cumple","no cumple"),"")</f>
        <v/>
      </c>
      <c r="W5037" s="17"/>
      <c r="X5037" s="18">
        <f t="shared" si="268"/>
        <v>0</v>
      </c>
      <c r="Y5037" t="str">
        <f>SUBSTITUTE(Tabla1[[#This Row],[Descripción]],CHAR(10),"    I    ")</f>
        <v/>
      </c>
      <c r="Z5037" s="112" t="e">
        <f>VLOOKUP(Tabla1[[#This Row],[Perfil]],Catalogos!$B$75:$D$100,3,FALSE)*Tabla1[[#This Row],[Tiempo
(Hrs 00/100)]]*1.16</f>
        <v>#N/A</v>
      </c>
    </row>
    <row r="5038" spans="1:26" ht="30" customHeight="1" x14ac:dyDescent="0.3">
      <c r="A5038" s="106"/>
      <c r="B5038" s="106"/>
      <c r="C5038" s="106"/>
      <c r="D5038" s="106"/>
      <c r="E5038" s="106"/>
      <c r="F5038" s="106"/>
      <c r="G5038" s="106"/>
      <c r="H5038" s="107"/>
      <c r="I5038" s="95"/>
      <c r="J5038" s="706"/>
      <c r="K5038" s="769"/>
      <c r="L5038" s="706"/>
      <c r="M5038" s="781"/>
      <c r="N5038" s="182"/>
      <c r="O5038" s="188"/>
      <c r="P5038" s="221"/>
      <c r="Q5038" s="106"/>
      <c r="R5038" s="108"/>
      <c r="S5038" s="108"/>
      <c r="T5038" s="108"/>
      <c r="U5038" s="108" t="str">
        <f>IFERROR(VLOOKUP(CONCATENATE(Tabla1[[#This Row],[Severidad]]," ",Tabla1[[#This Row],[Complejidad]]),Catalogos!E$120:G$128,3,FALSE),"")</f>
        <v/>
      </c>
      <c r="V5038" s="108" t="str">
        <f>IF(Tabla1[[#This Row],[Tiempo solución max (hrs)]]&lt;&gt;"",IF(Tabla1[[#This Row],[Tiempo solución max (hrs)]]&gt;=Tabla1[[#This Row],[Tiempo
(Hrs 00/100)]],"cumple","no cumple"),"")</f>
        <v/>
      </c>
      <c r="W5038" s="17"/>
      <c r="X5038" s="18">
        <f t="shared" si="268"/>
        <v>0</v>
      </c>
      <c r="Y5038" t="str">
        <f>SUBSTITUTE(Tabla1[[#This Row],[Descripción]],CHAR(10),"    I    ")</f>
        <v/>
      </c>
      <c r="Z5038" s="112" t="e">
        <f>VLOOKUP(Tabla1[[#This Row],[Perfil]],Catalogos!$B$75:$D$100,3,FALSE)*Tabla1[[#This Row],[Tiempo
(Hrs 00/100)]]*1.16</f>
        <v>#N/A</v>
      </c>
    </row>
    <row r="5039" spans="1:26" ht="30" customHeight="1" x14ac:dyDescent="0.3">
      <c r="A5039" s="106"/>
      <c r="B5039" s="106"/>
      <c r="C5039" s="106"/>
      <c r="D5039" s="106"/>
      <c r="E5039" s="106"/>
      <c r="F5039" s="106"/>
      <c r="G5039" s="106"/>
      <c r="H5039" s="107"/>
      <c r="I5039" s="95"/>
      <c r="J5039" s="706"/>
      <c r="K5039" s="769"/>
      <c r="L5039" s="706"/>
      <c r="M5039" s="781"/>
      <c r="N5039" s="182"/>
      <c r="O5039" s="188"/>
      <c r="P5039" s="221"/>
      <c r="Q5039" s="106"/>
      <c r="R5039" s="108"/>
      <c r="S5039" s="108"/>
      <c r="T5039" s="108"/>
      <c r="U5039" s="108" t="str">
        <f>IFERROR(VLOOKUP(CONCATENATE(Tabla1[[#This Row],[Severidad]]," ",Tabla1[[#This Row],[Complejidad]]),Catalogos!E$120:G$128,3,FALSE),"")</f>
        <v/>
      </c>
      <c r="V5039" s="108" t="str">
        <f>IF(Tabla1[[#This Row],[Tiempo solución max (hrs)]]&lt;&gt;"",IF(Tabla1[[#This Row],[Tiempo solución max (hrs)]]&gt;=Tabla1[[#This Row],[Tiempo
(Hrs 00/100)]],"cumple","no cumple"),"")</f>
        <v/>
      </c>
      <c r="W5039" s="17"/>
      <c r="X5039" s="18">
        <f t="shared" si="268"/>
        <v>0</v>
      </c>
      <c r="Y5039" t="str">
        <f>SUBSTITUTE(Tabla1[[#This Row],[Descripción]],CHAR(10),"    I    ")</f>
        <v/>
      </c>
      <c r="Z5039" s="112" t="e">
        <f>VLOOKUP(Tabla1[[#This Row],[Perfil]],Catalogos!$B$75:$D$100,3,FALSE)*Tabla1[[#This Row],[Tiempo
(Hrs 00/100)]]*1.16</f>
        <v>#N/A</v>
      </c>
    </row>
    <row r="5040" spans="1:26" ht="30" customHeight="1" x14ac:dyDescent="0.3">
      <c r="A5040" s="106"/>
      <c r="B5040" s="106"/>
      <c r="C5040" s="106"/>
      <c r="D5040" s="106"/>
      <c r="E5040" s="106"/>
      <c r="F5040" s="106"/>
      <c r="G5040" s="106"/>
      <c r="H5040" s="107"/>
      <c r="I5040" s="95"/>
      <c r="J5040" s="706"/>
      <c r="K5040" s="769"/>
      <c r="L5040" s="706"/>
      <c r="M5040" s="781"/>
      <c r="N5040" s="182"/>
      <c r="O5040" s="188"/>
      <c r="P5040" s="221"/>
      <c r="Q5040" s="106"/>
      <c r="R5040" s="108"/>
      <c r="S5040" s="108"/>
      <c r="T5040" s="108"/>
      <c r="U5040" s="108" t="str">
        <f>IFERROR(VLOOKUP(CONCATENATE(Tabla1[[#This Row],[Severidad]]," ",Tabla1[[#This Row],[Complejidad]]),Catalogos!E$120:G$128,3,FALSE),"")</f>
        <v/>
      </c>
      <c r="V5040" s="108" t="str">
        <f>IF(Tabla1[[#This Row],[Tiempo solución max (hrs)]]&lt;&gt;"",IF(Tabla1[[#This Row],[Tiempo solución max (hrs)]]&gt;=Tabla1[[#This Row],[Tiempo
(Hrs 00/100)]],"cumple","no cumple"),"")</f>
        <v/>
      </c>
      <c r="W5040" s="17"/>
      <c r="X5040" s="18">
        <f t="shared" si="268"/>
        <v>0</v>
      </c>
      <c r="Y5040" t="str">
        <f>SUBSTITUTE(Tabla1[[#This Row],[Descripción]],CHAR(10),"    I    ")</f>
        <v/>
      </c>
      <c r="Z5040" s="112" t="e">
        <f>VLOOKUP(Tabla1[[#This Row],[Perfil]],Catalogos!$B$75:$D$100,3,FALSE)*Tabla1[[#This Row],[Tiempo
(Hrs 00/100)]]*1.16</f>
        <v>#N/A</v>
      </c>
    </row>
    <row r="5041" spans="1:26" ht="30" customHeight="1" x14ac:dyDescent="0.3">
      <c r="A5041" s="106"/>
      <c r="B5041" s="106"/>
      <c r="C5041" s="106"/>
      <c r="D5041" s="106"/>
      <c r="E5041" s="106"/>
      <c r="F5041" s="106"/>
      <c r="G5041" s="106"/>
      <c r="H5041" s="107"/>
      <c r="I5041" s="95"/>
      <c r="J5041" s="706"/>
      <c r="K5041" s="769"/>
      <c r="L5041" s="706"/>
      <c r="M5041" s="781"/>
      <c r="N5041" s="182"/>
      <c r="O5041" s="188"/>
      <c r="P5041" s="221"/>
      <c r="Q5041" s="106"/>
      <c r="R5041" s="108"/>
      <c r="S5041" s="108"/>
      <c r="T5041" s="108"/>
      <c r="U5041" s="108" t="str">
        <f>IFERROR(VLOOKUP(CONCATENATE(Tabla1[[#This Row],[Severidad]]," ",Tabla1[[#This Row],[Complejidad]]),Catalogos!E$120:G$128,3,FALSE),"")</f>
        <v/>
      </c>
      <c r="V5041" s="108" t="str">
        <f>IF(Tabla1[[#This Row],[Tiempo solución max (hrs)]]&lt;&gt;"",IF(Tabla1[[#This Row],[Tiempo solución max (hrs)]]&gt;=Tabla1[[#This Row],[Tiempo
(Hrs 00/100)]],"cumple","no cumple"),"")</f>
        <v/>
      </c>
      <c r="W5041" s="17"/>
      <c r="X5041" s="18">
        <f t="shared" si="268"/>
        <v>0</v>
      </c>
      <c r="Y5041" t="str">
        <f>SUBSTITUTE(Tabla1[[#This Row],[Descripción]],CHAR(10),"    I    ")</f>
        <v/>
      </c>
      <c r="Z5041" s="112" t="e">
        <f>VLOOKUP(Tabla1[[#This Row],[Perfil]],Catalogos!$B$75:$D$100,3,FALSE)*Tabla1[[#This Row],[Tiempo
(Hrs 00/100)]]*1.16</f>
        <v>#N/A</v>
      </c>
    </row>
    <row r="5042" spans="1:26" ht="30" customHeight="1" x14ac:dyDescent="0.3">
      <c r="A5042" s="106"/>
      <c r="B5042" s="106"/>
      <c r="C5042" s="106"/>
      <c r="D5042" s="106"/>
      <c r="E5042" s="106"/>
      <c r="F5042" s="106"/>
      <c r="G5042" s="106"/>
      <c r="H5042" s="107"/>
      <c r="I5042" s="95"/>
      <c r="J5042" s="706"/>
      <c r="K5042" s="769"/>
      <c r="L5042" s="706"/>
      <c r="M5042" s="781"/>
      <c r="N5042" s="182"/>
      <c r="O5042" s="188"/>
      <c r="P5042" s="221"/>
      <c r="Q5042" s="106"/>
      <c r="R5042" s="108"/>
      <c r="S5042" s="108"/>
      <c r="T5042" s="108"/>
      <c r="U5042" s="108" t="str">
        <f>IFERROR(VLOOKUP(CONCATENATE(Tabla1[[#This Row],[Severidad]]," ",Tabla1[[#This Row],[Complejidad]]),Catalogos!E$120:G$128,3,FALSE),"")</f>
        <v/>
      </c>
      <c r="V5042" s="108" t="str">
        <f>IF(Tabla1[[#This Row],[Tiempo solución max (hrs)]]&lt;&gt;"",IF(Tabla1[[#This Row],[Tiempo solución max (hrs)]]&gt;=Tabla1[[#This Row],[Tiempo
(Hrs 00/100)]],"cumple","no cumple"),"")</f>
        <v/>
      </c>
      <c r="W5042" s="17"/>
      <c r="X5042" s="18">
        <f t="shared" si="268"/>
        <v>0</v>
      </c>
      <c r="Y5042" t="str">
        <f>SUBSTITUTE(Tabla1[[#This Row],[Descripción]],CHAR(10),"    I    ")</f>
        <v/>
      </c>
      <c r="Z5042" s="112" t="e">
        <f>VLOOKUP(Tabla1[[#This Row],[Perfil]],Catalogos!$B$75:$D$100,3,FALSE)*Tabla1[[#This Row],[Tiempo
(Hrs 00/100)]]*1.16</f>
        <v>#N/A</v>
      </c>
    </row>
    <row r="5043" spans="1:26" ht="30" customHeight="1" x14ac:dyDescent="0.3">
      <c r="A5043" s="106"/>
      <c r="B5043" s="106"/>
      <c r="C5043" s="106"/>
      <c r="D5043" s="106"/>
      <c r="E5043" s="106"/>
      <c r="F5043" s="106"/>
      <c r="G5043" s="106"/>
      <c r="H5043" s="107"/>
      <c r="I5043" s="95"/>
      <c r="J5043" s="706"/>
      <c r="K5043" s="769"/>
      <c r="L5043" s="706"/>
      <c r="M5043" s="781"/>
      <c r="N5043" s="182"/>
      <c r="O5043" s="188"/>
      <c r="P5043" s="221"/>
      <c r="Q5043" s="106"/>
      <c r="R5043" s="108"/>
      <c r="S5043" s="108"/>
      <c r="T5043" s="108"/>
      <c r="U5043" s="108" t="str">
        <f>IFERROR(VLOOKUP(CONCATENATE(Tabla1[[#This Row],[Severidad]]," ",Tabla1[[#This Row],[Complejidad]]),Catalogos!E$120:G$128,3,FALSE),"")</f>
        <v/>
      </c>
      <c r="V5043" s="108" t="str">
        <f>IF(Tabla1[[#This Row],[Tiempo solución max (hrs)]]&lt;&gt;"",IF(Tabla1[[#This Row],[Tiempo solución max (hrs)]]&gt;=Tabla1[[#This Row],[Tiempo
(Hrs 00/100)]],"cumple","no cumple"),"")</f>
        <v/>
      </c>
      <c r="W5043" s="17"/>
      <c r="X5043" s="18">
        <f t="shared" si="268"/>
        <v>0</v>
      </c>
      <c r="Y5043" t="str">
        <f>SUBSTITUTE(Tabla1[[#This Row],[Descripción]],CHAR(10),"    I    ")</f>
        <v/>
      </c>
      <c r="Z5043" s="112" t="e">
        <f>VLOOKUP(Tabla1[[#This Row],[Perfil]],Catalogos!$B$75:$D$100,3,FALSE)*Tabla1[[#This Row],[Tiempo
(Hrs 00/100)]]*1.16</f>
        <v>#N/A</v>
      </c>
    </row>
    <row r="5044" spans="1:26" ht="30" customHeight="1" x14ac:dyDescent="0.3">
      <c r="A5044" s="106"/>
      <c r="B5044" s="106"/>
      <c r="C5044" s="106"/>
      <c r="D5044" s="106"/>
      <c r="E5044" s="106"/>
      <c r="F5044" s="106"/>
      <c r="G5044" s="106"/>
      <c r="H5044" s="107"/>
      <c r="I5044" s="95"/>
      <c r="J5044" s="706"/>
      <c r="K5044" s="769"/>
      <c r="L5044" s="706"/>
      <c r="M5044" s="781"/>
      <c r="N5044" s="182"/>
      <c r="O5044" s="188"/>
      <c r="P5044" s="221"/>
      <c r="Q5044" s="106"/>
      <c r="R5044" s="108"/>
      <c r="S5044" s="108"/>
      <c r="T5044" s="108"/>
      <c r="U5044" s="108" t="str">
        <f>IFERROR(VLOOKUP(CONCATENATE(Tabla1[[#This Row],[Severidad]]," ",Tabla1[[#This Row],[Complejidad]]),Catalogos!E$120:G$128,3,FALSE),"")</f>
        <v/>
      </c>
      <c r="V5044" s="108" t="str">
        <f>IF(Tabla1[[#This Row],[Tiempo solución max (hrs)]]&lt;&gt;"",IF(Tabla1[[#This Row],[Tiempo solución max (hrs)]]&gt;=Tabla1[[#This Row],[Tiempo
(Hrs 00/100)]],"cumple","no cumple"),"")</f>
        <v/>
      </c>
      <c r="W5044" s="17"/>
      <c r="X5044" s="18">
        <f t="shared" si="268"/>
        <v>0</v>
      </c>
      <c r="Y5044" t="str">
        <f>SUBSTITUTE(Tabla1[[#This Row],[Descripción]],CHAR(10),"    I    ")</f>
        <v/>
      </c>
      <c r="Z5044" s="112" t="e">
        <f>VLOOKUP(Tabla1[[#This Row],[Perfil]],Catalogos!$B$75:$D$100,3,FALSE)*Tabla1[[#This Row],[Tiempo
(Hrs 00/100)]]*1.16</f>
        <v>#N/A</v>
      </c>
    </row>
    <row r="5045" spans="1:26" ht="30" customHeight="1" x14ac:dyDescent="0.3">
      <c r="A5045" s="106"/>
      <c r="B5045" s="106"/>
      <c r="C5045" s="106"/>
      <c r="D5045" s="106"/>
      <c r="E5045" s="106"/>
      <c r="F5045" s="106"/>
      <c r="G5045" s="106"/>
      <c r="H5045" s="107"/>
      <c r="I5045" s="95"/>
      <c r="J5045" s="706"/>
      <c r="K5045" s="769"/>
      <c r="L5045" s="706"/>
      <c r="M5045" s="781"/>
      <c r="N5045" s="182"/>
      <c r="O5045" s="188"/>
      <c r="P5045" s="221"/>
      <c r="Q5045" s="106"/>
      <c r="R5045" s="108"/>
      <c r="S5045" s="108"/>
      <c r="T5045" s="108"/>
      <c r="U5045" s="108" t="str">
        <f>IFERROR(VLOOKUP(CONCATENATE(Tabla1[[#This Row],[Severidad]]," ",Tabla1[[#This Row],[Complejidad]]),Catalogos!E$120:G$128,3,FALSE),"")</f>
        <v/>
      </c>
      <c r="V5045" s="108" t="str">
        <f>IF(Tabla1[[#This Row],[Tiempo solución max (hrs)]]&lt;&gt;"",IF(Tabla1[[#This Row],[Tiempo solución max (hrs)]]&gt;=Tabla1[[#This Row],[Tiempo
(Hrs 00/100)]],"cumple","no cumple"),"")</f>
        <v/>
      </c>
      <c r="W5045" s="17"/>
      <c r="X5045" s="18">
        <f t="shared" si="268"/>
        <v>0</v>
      </c>
      <c r="Y5045" t="str">
        <f>SUBSTITUTE(Tabla1[[#This Row],[Descripción]],CHAR(10),"    I    ")</f>
        <v/>
      </c>
      <c r="Z5045" s="112" t="e">
        <f>VLOOKUP(Tabla1[[#This Row],[Perfil]],Catalogos!$B$75:$D$100,3,FALSE)*Tabla1[[#This Row],[Tiempo
(Hrs 00/100)]]*1.16</f>
        <v>#N/A</v>
      </c>
    </row>
    <row r="5046" spans="1:26" ht="30" customHeight="1" x14ac:dyDescent="0.3">
      <c r="A5046" s="106"/>
      <c r="B5046" s="106"/>
      <c r="C5046" s="106"/>
      <c r="D5046" s="106"/>
      <c r="E5046" s="106"/>
      <c r="F5046" s="106"/>
      <c r="G5046" s="106"/>
      <c r="H5046" s="107"/>
      <c r="I5046" s="95"/>
      <c r="J5046" s="706"/>
      <c r="K5046" s="769"/>
      <c r="L5046" s="706"/>
      <c r="M5046" s="781"/>
      <c r="N5046" s="182"/>
      <c r="O5046" s="188"/>
      <c r="P5046" s="221"/>
      <c r="Q5046" s="106"/>
      <c r="R5046" s="108"/>
      <c r="S5046" s="108"/>
      <c r="T5046" s="108"/>
      <c r="U5046" s="108" t="str">
        <f>IFERROR(VLOOKUP(CONCATENATE(Tabla1[[#This Row],[Severidad]]," ",Tabla1[[#This Row],[Complejidad]]),Catalogos!E$120:G$128,3,FALSE),"")</f>
        <v/>
      </c>
      <c r="V5046" s="108" t="str">
        <f>IF(Tabla1[[#This Row],[Tiempo solución max (hrs)]]&lt;&gt;"",IF(Tabla1[[#This Row],[Tiempo solución max (hrs)]]&gt;=Tabla1[[#This Row],[Tiempo
(Hrs 00/100)]],"cumple","no cumple"),"")</f>
        <v/>
      </c>
      <c r="W5046" s="17"/>
      <c r="X5046" s="18">
        <f t="shared" si="268"/>
        <v>0</v>
      </c>
      <c r="Y5046" t="str">
        <f>SUBSTITUTE(Tabla1[[#This Row],[Descripción]],CHAR(10),"    I    ")</f>
        <v/>
      </c>
      <c r="Z5046" s="112" t="e">
        <f>VLOOKUP(Tabla1[[#This Row],[Perfil]],Catalogos!$B$75:$D$100,3,FALSE)*Tabla1[[#This Row],[Tiempo
(Hrs 00/100)]]*1.16</f>
        <v>#N/A</v>
      </c>
    </row>
    <row r="5047" spans="1:26" ht="30" customHeight="1" x14ac:dyDescent="0.3">
      <c r="A5047" s="106"/>
      <c r="B5047" s="106"/>
      <c r="C5047" s="106"/>
      <c r="D5047" s="106"/>
      <c r="E5047" s="106"/>
      <c r="F5047" s="106"/>
      <c r="G5047" s="106"/>
      <c r="H5047" s="107"/>
      <c r="I5047" s="95"/>
      <c r="J5047" s="706"/>
      <c r="K5047" s="769"/>
      <c r="L5047" s="706"/>
      <c r="M5047" s="781"/>
      <c r="N5047" s="182"/>
      <c r="O5047" s="188"/>
      <c r="P5047" s="221"/>
      <c r="Q5047" s="106"/>
      <c r="R5047" s="108"/>
      <c r="S5047" s="108"/>
      <c r="T5047" s="108"/>
      <c r="U5047" s="108" t="str">
        <f>IFERROR(VLOOKUP(CONCATENATE(Tabla1[[#This Row],[Severidad]]," ",Tabla1[[#This Row],[Complejidad]]),Catalogos!E$120:G$128,3,FALSE),"")</f>
        <v/>
      </c>
      <c r="V5047" s="108" t="str">
        <f>IF(Tabla1[[#This Row],[Tiempo solución max (hrs)]]&lt;&gt;"",IF(Tabla1[[#This Row],[Tiempo solución max (hrs)]]&gt;=Tabla1[[#This Row],[Tiempo
(Hrs 00/100)]],"cumple","no cumple"),"")</f>
        <v/>
      </c>
      <c r="W5047" s="17"/>
      <c r="X5047" s="18">
        <f t="shared" si="268"/>
        <v>0</v>
      </c>
      <c r="Y5047" t="str">
        <f>SUBSTITUTE(Tabla1[[#This Row],[Descripción]],CHAR(10),"    I    ")</f>
        <v/>
      </c>
      <c r="Z5047" s="112" t="e">
        <f>VLOOKUP(Tabla1[[#This Row],[Perfil]],Catalogos!$B$75:$D$100,3,FALSE)*Tabla1[[#This Row],[Tiempo
(Hrs 00/100)]]*1.16</f>
        <v>#N/A</v>
      </c>
    </row>
    <row r="5048" spans="1:26" ht="30" customHeight="1" x14ac:dyDescent="0.3">
      <c r="A5048" s="106"/>
      <c r="B5048" s="106"/>
      <c r="C5048" s="106"/>
      <c r="D5048" s="106"/>
      <c r="E5048" s="106"/>
      <c r="F5048" s="106"/>
      <c r="G5048" s="106"/>
      <c r="H5048" s="107"/>
      <c r="I5048" s="95"/>
      <c r="J5048" s="706"/>
      <c r="K5048" s="769"/>
      <c r="L5048" s="706"/>
      <c r="M5048" s="781"/>
      <c r="N5048" s="182"/>
      <c r="O5048" s="188"/>
      <c r="P5048" s="221"/>
      <c r="Q5048" s="106"/>
      <c r="R5048" s="108"/>
      <c r="S5048" s="108"/>
      <c r="T5048" s="108"/>
      <c r="U5048" s="108" t="str">
        <f>IFERROR(VLOOKUP(CONCATENATE(Tabla1[[#This Row],[Severidad]]," ",Tabla1[[#This Row],[Complejidad]]),Catalogos!E$120:G$128,3,FALSE),"")</f>
        <v/>
      </c>
      <c r="V5048" s="108" t="str">
        <f>IF(Tabla1[[#This Row],[Tiempo solución max (hrs)]]&lt;&gt;"",IF(Tabla1[[#This Row],[Tiempo solución max (hrs)]]&gt;=Tabla1[[#This Row],[Tiempo
(Hrs 00/100)]],"cumple","no cumple"),"")</f>
        <v/>
      </c>
      <c r="W5048" s="17"/>
      <c r="X5048" s="18">
        <f t="shared" si="268"/>
        <v>0</v>
      </c>
      <c r="Y5048" t="str">
        <f>SUBSTITUTE(Tabla1[[#This Row],[Descripción]],CHAR(10),"    I    ")</f>
        <v/>
      </c>
      <c r="Z5048" s="112" t="e">
        <f>VLOOKUP(Tabla1[[#This Row],[Perfil]],Catalogos!$B$75:$D$100,3,FALSE)*Tabla1[[#This Row],[Tiempo
(Hrs 00/100)]]*1.16</f>
        <v>#N/A</v>
      </c>
    </row>
    <row r="5049" spans="1:26" ht="30" customHeight="1" x14ac:dyDescent="0.3">
      <c r="A5049" s="106"/>
      <c r="B5049" s="106"/>
      <c r="C5049" s="106"/>
      <c r="D5049" s="106"/>
      <c r="E5049" s="106"/>
      <c r="F5049" s="106"/>
      <c r="G5049" s="106"/>
      <c r="H5049" s="107"/>
      <c r="I5049" s="95"/>
      <c r="J5049" s="706"/>
      <c r="K5049" s="769"/>
      <c r="L5049" s="706"/>
      <c r="M5049" s="781"/>
      <c r="N5049" s="182"/>
      <c r="O5049" s="188"/>
      <c r="P5049" s="221"/>
      <c r="Q5049" s="106"/>
      <c r="R5049" s="108"/>
      <c r="S5049" s="108"/>
      <c r="T5049" s="108"/>
      <c r="U5049" s="108" t="str">
        <f>IFERROR(VLOOKUP(CONCATENATE(Tabla1[[#This Row],[Severidad]]," ",Tabla1[[#This Row],[Complejidad]]),Catalogos!E$120:G$128,3,FALSE),"")</f>
        <v/>
      </c>
      <c r="V5049" s="108" t="str">
        <f>IF(Tabla1[[#This Row],[Tiempo solución max (hrs)]]&lt;&gt;"",IF(Tabla1[[#This Row],[Tiempo solución max (hrs)]]&gt;=Tabla1[[#This Row],[Tiempo
(Hrs 00/100)]],"cumple","no cumple"),"")</f>
        <v/>
      </c>
      <c r="W5049" s="17"/>
      <c r="X5049" s="18">
        <f t="shared" si="268"/>
        <v>0</v>
      </c>
      <c r="Y5049" t="str">
        <f>SUBSTITUTE(Tabla1[[#This Row],[Descripción]],CHAR(10),"    I    ")</f>
        <v/>
      </c>
      <c r="Z5049" s="112" t="e">
        <f>VLOOKUP(Tabla1[[#This Row],[Perfil]],Catalogos!$B$75:$D$100,3,FALSE)*Tabla1[[#This Row],[Tiempo
(Hrs 00/100)]]*1.16</f>
        <v>#N/A</v>
      </c>
    </row>
    <row r="5050" spans="1:26" ht="30" customHeight="1" x14ac:dyDescent="0.3">
      <c r="A5050" s="106"/>
      <c r="B5050" s="106"/>
      <c r="C5050" s="106"/>
      <c r="D5050" s="106"/>
      <c r="E5050" s="106"/>
      <c r="F5050" s="106"/>
      <c r="G5050" s="106"/>
      <c r="H5050" s="107"/>
      <c r="I5050" s="95"/>
      <c r="J5050" s="706"/>
      <c r="K5050" s="769"/>
      <c r="L5050" s="706"/>
      <c r="M5050" s="781"/>
      <c r="N5050" s="182"/>
      <c r="O5050" s="188"/>
      <c r="P5050" s="221"/>
      <c r="Q5050" s="106"/>
      <c r="R5050" s="108"/>
      <c r="S5050" s="108"/>
      <c r="T5050" s="108"/>
      <c r="U5050" s="108" t="str">
        <f>IFERROR(VLOOKUP(CONCATENATE(Tabla1[[#This Row],[Severidad]]," ",Tabla1[[#This Row],[Complejidad]]),Catalogos!E$120:G$128,3,FALSE),"")</f>
        <v/>
      </c>
      <c r="V5050" s="108" t="str">
        <f>IF(Tabla1[[#This Row],[Tiempo solución max (hrs)]]&lt;&gt;"",IF(Tabla1[[#This Row],[Tiempo solución max (hrs)]]&gt;=Tabla1[[#This Row],[Tiempo
(Hrs 00/100)]],"cumple","no cumple"),"")</f>
        <v/>
      </c>
      <c r="W5050" s="17"/>
      <c r="X5050" s="18">
        <f t="shared" si="268"/>
        <v>0</v>
      </c>
      <c r="Y5050" t="str">
        <f>SUBSTITUTE(Tabla1[[#This Row],[Descripción]],CHAR(10),"    I    ")</f>
        <v/>
      </c>
      <c r="Z5050" s="112" t="e">
        <f>VLOOKUP(Tabla1[[#This Row],[Perfil]],Catalogos!$B$75:$D$100,3,FALSE)*Tabla1[[#This Row],[Tiempo
(Hrs 00/100)]]*1.16</f>
        <v>#N/A</v>
      </c>
    </row>
    <row r="5051" spans="1:26" ht="30" customHeight="1" x14ac:dyDescent="0.3">
      <c r="A5051" s="106"/>
      <c r="B5051" s="106"/>
      <c r="C5051" s="106"/>
      <c r="D5051" s="106"/>
      <c r="E5051" s="106"/>
      <c r="F5051" s="106"/>
      <c r="G5051" s="106"/>
      <c r="H5051" s="107"/>
      <c r="I5051" s="95"/>
      <c r="J5051" s="706"/>
      <c r="K5051" s="769"/>
      <c r="L5051" s="706"/>
      <c r="M5051" s="781"/>
      <c r="N5051" s="182"/>
      <c r="O5051" s="188"/>
      <c r="P5051" s="221"/>
      <c r="Q5051" s="106"/>
      <c r="R5051" s="108"/>
      <c r="S5051" s="108"/>
      <c r="T5051" s="108"/>
      <c r="U5051" s="108" t="str">
        <f>IFERROR(VLOOKUP(CONCATENATE(Tabla1[[#This Row],[Severidad]]," ",Tabla1[[#This Row],[Complejidad]]),Catalogos!E$120:G$128,3,FALSE),"")</f>
        <v/>
      </c>
      <c r="V5051" s="108" t="str">
        <f>IF(Tabla1[[#This Row],[Tiempo solución max (hrs)]]&lt;&gt;"",IF(Tabla1[[#This Row],[Tiempo solución max (hrs)]]&gt;=Tabla1[[#This Row],[Tiempo
(Hrs 00/100)]],"cumple","no cumple"),"")</f>
        <v/>
      </c>
      <c r="W5051" s="17"/>
      <c r="X5051" s="18">
        <f t="shared" si="268"/>
        <v>0</v>
      </c>
      <c r="Y5051" t="str">
        <f>SUBSTITUTE(Tabla1[[#This Row],[Descripción]],CHAR(10),"    I    ")</f>
        <v/>
      </c>
      <c r="Z5051" s="112" t="e">
        <f>VLOOKUP(Tabla1[[#This Row],[Perfil]],Catalogos!$B$75:$D$100,3,FALSE)*Tabla1[[#This Row],[Tiempo
(Hrs 00/100)]]*1.16</f>
        <v>#N/A</v>
      </c>
    </row>
    <row r="5052" spans="1:26" ht="30" customHeight="1" x14ac:dyDescent="0.3">
      <c r="A5052" s="106"/>
      <c r="B5052" s="106"/>
      <c r="C5052" s="106"/>
      <c r="D5052" s="106"/>
      <c r="E5052" s="106"/>
      <c r="F5052" s="106"/>
      <c r="G5052" s="106"/>
      <c r="H5052" s="107"/>
      <c r="I5052" s="95"/>
      <c r="J5052" s="706"/>
      <c r="K5052" s="769"/>
      <c r="L5052" s="706"/>
      <c r="M5052" s="781"/>
      <c r="N5052" s="182"/>
      <c r="O5052" s="188"/>
      <c r="P5052" s="221"/>
      <c r="Q5052" s="106"/>
      <c r="R5052" s="108"/>
      <c r="S5052" s="108"/>
      <c r="T5052" s="108"/>
      <c r="U5052" s="108" t="str">
        <f>IFERROR(VLOOKUP(CONCATENATE(Tabla1[[#This Row],[Severidad]]," ",Tabla1[[#This Row],[Complejidad]]),Catalogos!E$120:G$128,3,FALSE),"")</f>
        <v/>
      </c>
      <c r="V5052" s="108" t="str">
        <f>IF(Tabla1[[#This Row],[Tiempo solución max (hrs)]]&lt;&gt;"",IF(Tabla1[[#This Row],[Tiempo solución max (hrs)]]&gt;=Tabla1[[#This Row],[Tiempo
(Hrs 00/100)]],"cumple","no cumple"),"")</f>
        <v/>
      </c>
      <c r="W5052" s="17"/>
      <c r="X5052" s="18">
        <f t="shared" si="268"/>
        <v>0</v>
      </c>
      <c r="Y5052" t="str">
        <f>SUBSTITUTE(Tabla1[[#This Row],[Descripción]],CHAR(10),"    I    ")</f>
        <v/>
      </c>
      <c r="Z5052" s="112" t="e">
        <f>VLOOKUP(Tabla1[[#This Row],[Perfil]],Catalogos!$B$75:$D$100,3,FALSE)*Tabla1[[#This Row],[Tiempo
(Hrs 00/100)]]*1.16</f>
        <v>#N/A</v>
      </c>
    </row>
    <row r="5053" spans="1:26" ht="30" customHeight="1" x14ac:dyDescent="0.3">
      <c r="A5053" s="106"/>
      <c r="B5053" s="106"/>
      <c r="C5053" s="106"/>
      <c r="D5053" s="106"/>
      <c r="E5053" s="106"/>
      <c r="F5053" s="106"/>
      <c r="G5053" s="106"/>
      <c r="H5053" s="107"/>
      <c r="I5053" s="95"/>
      <c r="J5053" s="706"/>
      <c r="K5053" s="769"/>
      <c r="L5053" s="706"/>
      <c r="M5053" s="781"/>
      <c r="N5053" s="182"/>
      <c r="O5053" s="188"/>
      <c r="P5053" s="221"/>
      <c r="Q5053" s="106"/>
      <c r="R5053" s="108"/>
      <c r="S5053" s="108"/>
      <c r="T5053" s="108"/>
      <c r="U5053" s="108" t="str">
        <f>IFERROR(VLOOKUP(CONCATENATE(Tabla1[[#This Row],[Severidad]]," ",Tabla1[[#This Row],[Complejidad]]),Catalogos!E$120:G$128,3,FALSE),"")</f>
        <v/>
      </c>
      <c r="V5053" s="108" t="str">
        <f>IF(Tabla1[[#This Row],[Tiempo solución max (hrs)]]&lt;&gt;"",IF(Tabla1[[#This Row],[Tiempo solución max (hrs)]]&gt;=Tabla1[[#This Row],[Tiempo
(Hrs 00/100)]],"cumple","no cumple"),"")</f>
        <v/>
      </c>
      <c r="W5053" s="17"/>
      <c r="X5053" s="18">
        <f t="shared" si="268"/>
        <v>0</v>
      </c>
      <c r="Y5053" t="str">
        <f>SUBSTITUTE(Tabla1[[#This Row],[Descripción]],CHAR(10),"    I    ")</f>
        <v/>
      </c>
      <c r="Z5053" s="112" t="e">
        <f>VLOOKUP(Tabla1[[#This Row],[Perfil]],Catalogos!$B$75:$D$100,3,FALSE)*Tabla1[[#This Row],[Tiempo
(Hrs 00/100)]]*1.16</f>
        <v>#N/A</v>
      </c>
    </row>
    <row r="5054" spans="1:26" ht="30" customHeight="1" x14ac:dyDescent="0.3">
      <c r="A5054" s="106"/>
      <c r="B5054" s="106"/>
      <c r="C5054" s="106"/>
      <c r="D5054" s="106"/>
      <c r="E5054" s="106"/>
      <c r="F5054" s="106"/>
      <c r="G5054" s="106"/>
      <c r="H5054" s="107"/>
      <c r="I5054" s="95"/>
      <c r="J5054" s="706"/>
      <c r="K5054" s="769"/>
      <c r="L5054" s="706"/>
      <c r="M5054" s="781"/>
      <c r="N5054" s="182"/>
      <c r="O5054" s="188"/>
      <c r="P5054" s="221"/>
      <c r="Q5054" s="106"/>
      <c r="R5054" s="108"/>
      <c r="S5054" s="108"/>
      <c r="T5054" s="108"/>
      <c r="U5054" s="108" t="str">
        <f>IFERROR(VLOOKUP(CONCATENATE(Tabla1[[#This Row],[Severidad]]," ",Tabla1[[#This Row],[Complejidad]]),Catalogos!E$120:G$128,3,FALSE),"")</f>
        <v/>
      </c>
      <c r="V5054" s="108" t="str">
        <f>IF(Tabla1[[#This Row],[Tiempo solución max (hrs)]]&lt;&gt;"",IF(Tabla1[[#This Row],[Tiempo solución max (hrs)]]&gt;=Tabla1[[#This Row],[Tiempo
(Hrs 00/100)]],"cumple","no cumple"),"")</f>
        <v/>
      </c>
      <c r="W5054" s="17"/>
      <c r="X5054" s="18">
        <f t="shared" si="268"/>
        <v>0</v>
      </c>
      <c r="Y5054" t="str">
        <f>SUBSTITUTE(Tabla1[[#This Row],[Descripción]],CHAR(10),"    I    ")</f>
        <v/>
      </c>
      <c r="Z5054" s="112" t="e">
        <f>VLOOKUP(Tabla1[[#This Row],[Perfil]],Catalogos!$B$75:$D$100,3,FALSE)*Tabla1[[#This Row],[Tiempo
(Hrs 00/100)]]*1.16</f>
        <v>#N/A</v>
      </c>
    </row>
    <row r="5055" spans="1:26" ht="30" customHeight="1" x14ac:dyDescent="0.3">
      <c r="A5055" s="106"/>
      <c r="B5055" s="106"/>
      <c r="C5055" s="106"/>
      <c r="D5055" s="106"/>
      <c r="E5055" s="106"/>
      <c r="F5055" s="106"/>
      <c r="G5055" s="106"/>
      <c r="H5055" s="107"/>
      <c r="I5055" s="95"/>
      <c r="J5055" s="706"/>
      <c r="K5055" s="769"/>
      <c r="L5055" s="706"/>
      <c r="M5055" s="781"/>
      <c r="N5055" s="182"/>
      <c r="O5055" s="188"/>
      <c r="P5055" s="221"/>
      <c r="Q5055" s="106"/>
      <c r="R5055" s="108"/>
      <c r="S5055" s="108"/>
      <c r="T5055" s="108"/>
      <c r="U5055" s="108" t="str">
        <f>IFERROR(VLOOKUP(CONCATENATE(Tabla1[[#This Row],[Severidad]]," ",Tabla1[[#This Row],[Complejidad]]),Catalogos!E$120:G$128,3,FALSE),"")</f>
        <v/>
      </c>
      <c r="V5055" s="108" t="str">
        <f>IF(Tabla1[[#This Row],[Tiempo solución max (hrs)]]&lt;&gt;"",IF(Tabla1[[#This Row],[Tiempo solución max (hrs)]]&gt;=Tabla1[[#This Row],[Tiempo
(Hrs 00/100)]],"cumple","no cumple"),"")</f>
        <v/>
      </c>
      <c r="W5055" s="17"/>
      <c r="X5055" s="18">
        <f t="shared" si="268"/>
        <v>0</v>
      </c>
      <c r="Y5055" t="str">
        <f>SUBSTITUTE(Tabla1[[#This Row],[Descripción]],CHAR(10),"    I    ")</f>
        <v/>
      </c>
      <c r="Z5055" s="112" t="e">
        <f>VLOOKUP(Tabla1[[#This Row],[Perfil]],Catalogos!$B$75:$D$100,3,FALSE)*Tabla1[[#This Row],[Tiempo
(Hrs 00/100)]]*1.16</f>
        <v>#N/A</v>
      </c>
    </row>
    <row r="5056" spans="1:26" ht="30" customHeight="1" x14ac:dyDescent="0.3">
      <c r="A5056" s="106"/>
      <c r="B5056" s="106"/>
      <c r="C5056" s="106"/>
      <c r="D5056" s="106"/>
      <c r="E5056" s="106"/>
      <c r="F5056" s="106"/>
      <c r="G5056" s="106"/>
      <c r="H5056" s="107"/>
      <c r="I5056" s="95"/>
      <c r="J5056" s="706"/>
      <c r="K5056" s="769"/>
      <c r="L5056" s="706"/>
      <c r="M5056" s="781"/>
      <c r="N5056" s="182"/>
      <c r="O5056" s="188"/>
      <c r="P5056" s="221"/>
      <c r="Q5056" s="106"/>
      <c r="R5056" s="108"/>
      <c r="S5056" s="108"/>
      <c r="T5056" s="108"/>
      <c r="U5056" s="108" t="str">
        <f>IFERROR(VLOOKUP(CONCATENATE(Tabla1[[#This Row],[Severidad]]," ",Tabla1[[#This Row],[Complejidad]]),Catalogos!E$120:G$128,3,FALSE),"")</f>
        <v/>
      </c>
      <c r="V5056" s="108" t="str">
        <f>IF(Tabla1[[#This Row],[Tiempo solución max (hrs)]]&lt;&gt;"",IF(Tabla1[[#This Row],[Tiempo solución max (hrs)]]&gt;=Tabla1[[#This Row],[Tiempo
(Hrs 00/100)]],"cumple","no cumple"),"")</f>
        <v/>
      </c>
      <c r="W5056" s="17"/>
      <c r="X5056" s="18">
        <f t="shared" si="268"/>
        <v>0</v>
      </c>
      <c r="Y5056" t="str">
        <f>SUBSTITUTE(Tabla1[[#This Row],[Descripción]],CHAR(10),"    I    ")</f>
        <v/>
      </c>
      <c r="Z5056" s="112" t="e">
        <f>VLOOKUP(Tabla1[[#This Row],[Perfil]],Catalogos!$B$75:$D$100,3,FALSE)*Tabla1[[#This Row],[Tiempo
(Hrs 00/100)]]*1.16</f>
        <v>#N/A</v>
      </c>
    </row>
    <row r="5057" spans="1:27" ht="30" customHeight="1" x14ac:dyDescent="0.3">
      <c r="A5057" s="106"/>
      <c r="B5057" s="106"/>
      <c r="C5057" s="106"/>
      <c r="D5057" s="106"/>
      <c r="E5057" s="106"/>
      <c r="F5057" s="106"/>
      <c r="G5057" s="106"/>
      <c r="H5057" s="107"/>
      <c r="I5057" s="95"/>
      <c r="J5057" s="706"/>
      <c r="K5057" s="769"/>
      <c r="L5057" s="706"/>
      <c r="M5057" s="781"/>
      <c r="N5057" s="182"/>
      <c r="O5057" s="188"/>
      <c r="P5057" s="221"/>
      <c r="Q5057" s="106"/>
      <c r="R5057" s="108"/>
      <c r="S5057" s="108"/>
      <c r="T5057" s="108"/>
      <c r="U5057" s="108" t="str">
        <f>IFERROR(VLOOKUP(CONCATENATE(Tabla1[[#This Row],[Severidad]]," ",Tabla1[[#This Row],[Complejidad]]),Catalogos!E$120:G$128,3,FALSE),"")</f>
        <v/>
      </c>
      <c r="V5057" s="108" t="str">
        <f>IF(Tabla1[[#This Row],[Tiempo solución max (hrs)]]&lt;&gt;"",IF(Tabla1[[#This Row],[Tiempo solución max (hrs)]]&gt;=Tabla1[[#This Row],[Tiempo
(Hrs 00/100)]],"cumple","no cumple"),"")</f>
        <v/>
      </c>
      <c r="W5057" s="17"/>
      <c r="X5057" s="18">
        <f t="shared" si="268"/>
        <v>0</v>
      </c>
      <c r="Y5057" t="str">
        <f>SUBSTITUTE(Tabla1[[#This Row],[Descripción]],CHAR(10),"    I    ")</f>
        <v/>
      </c>
      <c r="Z5057" s="112" t="e">
        <f>VLOOKUP(Tabla1[[#This Row],[Perfil]],Catalogos!$B$75:$D$100,3,FALSE)*Tabla1[[#This Row],[Tiempo
(Hrs 00/100)]]*1.16</f>
        <v>#N/A</v>
      </c>
    </row>
    <row r="5058" spans="1:27" ht="30" customHeight="1" x14ac:dyDescent="0.3">
      <c r="A5058" s="106"/>
      <c r="B5058" s="106"/>
      <c r="C5058" s="106"/>
      <c r="D5058" s="106"/>
      <c r="E5058" s="106"/>
      <c r="F5058" s="106"/>
      <c r="G5058" s="106"/>
      <c r="H5058" s="107"/>
      <c r="I5058" s="95"/>
      <c r="J5058" s="706"/>
      <c r="K5058" s="769"/>
      <c r="L5058" s="706"/>
      <c r="M5058" s="781"/>
      <c r="N5058" s="182"/>
      <c r="O5058" s="188"/>
      <c r="P5058" s="221"/>
      <c r="Q5058" s="106"/>
      <c r="R5058" s="108"/>
      <c r="S5058" s="108"/>
      <c r="T5058" s="108"/>
      <c r="U5058" s="108" t="str">
        <f>IFERROR(VLOOKUP(CONCATENATE(Tabla1[[#This Row],[Severidad]]," ",Tabla1[[#This Row],[Complejidad]]),Catalogos!E$120:G$128,3,FALSE),"")</f>
        <v/>
      </c>
      <c r="V5058" s="108" t="str">
        <f>IF(Tabla1[[#This Row],[Tiempo solución max (hrs)]]&lt;&gt;"",IF(Tabla1[[#This Row],[Tiempo solución max (hrs)]]&gt;=Tabla1[[#This Row],[Tiempo
(Hrs 00/100)]],"cumple","no cumple"),"")</f>
        <v/>
      </c>
      <c r="W5058" s="17"/>
      <c r="X5058" s="18">
        <f t="shared" si="268"/>
        <v>0</v>
      </c>
      <c r="Y5058" t="str">
        <f>SUBSTITUTE(Tabla1[[#This Row],[Descripción]],CHAR(10),"    I    ")</f>
        <v/>
      </c>
      <c r="Z5058" s="112" t="e">
        <f>VLOOKUP(Tabla1[[#This Row],[Perfil]],Catalogos!$B$75:$D$100,3,FALSE)*Tabla1[[#This Row],[Tiempo
(Hrs 00/100)]]*1.16</f>
        <v>#N/A</v>
      </c>
    </row>
    <row r="5059" spans="1:27" ht="30" customHeight="1" x14ac:dyDescent="0.3">
      <c r="A5059" s="106"/>
      <c r="B5059" s="106"/>
      <c r="C5059" s="106"/>
      <c r="D5059" s="106"/>
      <c r="E5059" s="106"/>
      <c r="F5059" s="106"/>
      <c r="G5059" s="106"/>
      <c r="H5059" s="107"/>
      <c r="I5059" s="95"/>
      <c r="J5059" s="706"/>
      <c r="K5059" s="769"/>
      <c r="L5059" s="706"/>
      <c r="M5059" s="781"/>
      <c r="N5059" s="182"/>
      <c r="O5059" s="188"/>
      <c r="P5059" s="221"/>
      <c r="Q5059" s="106"/>
      <c r="R5059" s="108"/>
      <c r="S5059" s="108"/>
      <c r="T5059" s="108"/>
      <c r="U5059" s="108" t="str">
        <f>IFERROR(VLOOKUP(CONCATENATE(Tabla1[[#This Row],[Severidad]]," ",Tabla1[[#This Row],[Complejidad]]),Catalogos!E$120:G$128,3,FALSE),"")</f>
        <v/>
      </c>
      <c r="V5059" s="108" t="str">
        <f>IF(Tabla1[[#This Row],[Tiempo solución max (hrs)]]&lt;&gt;"",IF(Tabla1[[#This Row],[Tiempo solución max (hrs)]]&gt;=Tabla1[[#This Row],[Tiempo
(Hrs 00/100)]],"cumple","no cumple"),"")</f>
        <v/>
      </c>
      <c r="W5059" s="17"/>
      <c r="X5059" s="18">
        <f t="shared" ref="X5059:X5071" si="269">IF(C5059&lt;&gt;"",C5059,D5059)</f>
        <v>0</v>
      </c>
      <c r="Y5059" t="str">
        <f>SUBSTITUTE(Tabla1[[#This Row],[Descripción]],CHAR(10),"    I    ")</f>
        <v/>
      </c>
      <c r="Z5059" s="112" t="e">
        <f>VLOOKUP(Tabla1[[#This Row],[Perfil]],Catalogos!$B$75:$D$100,3,FALSE)*Tabla1[[#This Row],[Tiempo
(Hrs 00/100)]]*1.16</f>
        <v>#N/A</v>
      </c>
    </row>
    <row r="5060" spans="1:27" ht="30" customHeight="1" x14ac:dyDescent="0.3">
      <c r="A5060" s="106"/>
      <c r="B5060" s="106"/>
      <c r="C5060" s="106"/>
      <c r="D5060" s="106"/>
      <c r="E5060" s="106"/>
      <c r="F5060" s="106"/>
      <c r="G5060" s="106"/>
      <c r="H5060" s="107"/>
      <c r="I5060" s="95"/>
      <c r="J5060" s="706"/>
      <c r="K5060" s="769"/>
      <c r="L5060" s="706"/>
      <c r="M5060" s="781"/>
      <c r="N5060" s="182"/>
      <c r="O5060" s="188"/>
      <c r="P5060" s="221"/>
      <c r="Q5060" s="106"/>
      <c r="R5060" s="108"/>
      <c r="S5060" s="108"/>
      <c r="T5060" s="108"/>
      <c r="U5060" s="108" t="str">
        <f>IFERROR(VLOOKUP(CONCATENATE(Tabla1[[#This Row],[Severidad]]," ",Tabla1[[#This Row],[Complejidad]]),Catalogos!E$120:G$128,3,FALSE),"")</f>
        <v/>
      </c>
      <c r="V5060" s="108" t="str">
        <f>IF(Tabla1[[#This Row],[Tiempo solución max (hrs)]]&lt;&gt;"",IF(Tabla1[[#This Row],[Tiempo solución max (hrs)]]&gt;=Tabla1[[#This Row],[Tiempo
(Hrs 00/100)]],"cumple","no cumple"),"")</f>
        <v/>
      </c>
      <c r="W5060" s="17"/>
      <c r="X5060" s="18">
        <f t="shared" si="269"/>
        <v>0</v>
      </c>
      <c r="Y5060" t="str">
        <f>SUBSTITUTE(Tabla1[[#This Row],[Descripción]],CHAR(10),"    I    ")</f>
        <v/>
      </c>
      <c r="Z5060" s="112" t="e">
        <f>VLOOKUP(Tabla1[[#This Row],[Perfil]],Catalogos!$B$75:$D$100,3,FALSE)*Tabla1[[#This Row],[Tiempo
(Hrs 00/100)]]*1.16</f>
        <v>#N/A</v>
      </c>
    </row>
    <row r="5061" spans="1:27" ht="30" customHeight="1" x14ac:dyDescent="0.3">
      <c r="A5061" s="106"/>
      <c r="B5061" s="106"/>
      <c r="C5061" s="106"/>
      <c r="D5061" s="106"/>
      <c r="E5061" s="106"/>
      <c r="F5061" s="106"/>
      <c r="G5061" s="106"/>
      <c r="H5061" s="107"/>
      <c r="I5061" s="95"/>
      <c r="J5061" s="706"/>
      <c r="K5061" s="769"/>
      <c r="L5061" s="706"/>
      <c r="M5061" s="781"/>
      <c r="N5061" s="182"/>
      <c r="O5061" s="188"/>
      <c r="P5061" s="221"/>
      <c r="Q5061" s="106"/>
      <c r="R5061" s="108"/>
      <c r="S5061" s="108"/>
      <c r="T5061" s="108"/>
      <c r="U5061" s="108" t="str">
        <f>IFERROR(VLOOKUP(CONCATENATE(Tabla1[[#This Row],[Severidad]]," ",Tabla1[[#This Row],[Complejidad]]),Catalogos!E$120:G$128,3,FALSE),"")</f>
        <v/>
      </c>
      <c r="V5061" s="108" t="str">
        <f>IF(Tabla1[[#This Row],[Tiempo solución max (hrs)]]&lt;&gt;"",IF(Tabla1[[#This Row],[Tiempo solución max (hrs)]]&gt;=Tabla1[[#This Row],[Tiempo
(Hrs 00/100)]],"cumple","no cumple"),"")</f>
        <v/>
      </c>
      <c r="W5061" s="17"/>
      <c r="X5061" s="18">
        <f t="shared" si="269"/>
        <v>0</v>
      </c>
      <c r="Y5061" t="str">
        <f>SUBSTITUTE(Tabla1[[#This Row],[Descripción]],CHAR(10),"    I    ")</f>
        <v/>
      </c>
      <c r="Z5061" s="112" t="e">
        <f>VLOOKUP(Tabla1[[#This Row],[Perfil]],Catalogos!$B$75:$D$100,3,FALSE)*Tabla1[[#This Row],[Tiempo
(Hrs 00/100)]]*1.16</f>
        <v>#N/A</v>
      </c>
    </row>
    <row r="5062" spans="1:27" ht="30" customHeight="1" x14ac:dyDescent="0.3">
      <c r="A5062" s="106"/>
      <c r="B5062" s="106"/>
      <c r="C5062" s="106"/>
      <c r="D5062" s="106"/>
      <c r="E5062" s="106"/>
      <c r="F5062" s="106"/>
      <c r="G5062" s="106"/>
      <c r="H5062" s="107"/>
      <c r="I5062" s="95"/>
      <c r="J5062" s="706"/>
      <c r="K5062" s="769"/>
      <c r="L5062" s="706"/>
      <c r="M5062" s="781"/>
      <c r="N5062" s="182"/>
      <c r="O5062" s="188"/>
      <c r="P5062" s="221"/>
      <c r="Q5062" s="106"/>
      <c r="R5062" s="108"/>
      <c r="S5062" s="108"/>
      <c r="T5062" s="108"/>
      <c r="U5062" s="108" t="str">
        <f>IFERROR(VLOOKUP(CONCATENATE(Tabla1[[#This Row],[Severidad]]," ",Tabla1[[#This Row],[Complejidad]]),Catalogos!E$120:G$128,3,FALSE),"")</f>
        <v/>
      </c>
      <c r="V5062" s="108" t="str">
        <f>IF(Tabla1[[#This Row],[Tiempo solución max (hrs)]]&lt;&gt;"",IF(Tabla1[[#This Row],[Tiempo solución max (hrs)]]&gt;=Tabla1[[#This Row],[Tiempo
(Hrs 00/100)]],"cumple","no cumple"),"")</f>
        <v/>
      </c>
      <c r="W5062" s="17"/>
      <c r="X5062" s="18">
        <f t="shared" si="269"/>
        <v>0</v>
      </c>
      <c r="Y5062" t="str">
        <f>SUBSTITUTE(Tabla1[[#This Row],[Descripción]],CHAR(10),"    I    ")</f>
        <v/>
      </c>
      <c r="Z5062" s="112" t="e">
        <f>VLOOKUP(Tabla1[[#This Row],[Perfil]],Catalogos!$B$75:$D$100,3,FALSE)*Tabla1[[#This Row],[Tiempo
(Hrs 00/100)]]*1.16</f>
        <v>#N/A</v>
      </c>
    </row>
    <row r="5063" spans="1:27" ht="30" customHeight="1" x14ac:dyDescent="0.3">
      <c r="A5063" s="106"/>
      <c r="B5063" s="106"/>
      <c r="C5063" s="106"/>
      <c r="D5063" s="106"/>
      <c r="E5063" s="106"/>
      <c r="F5063" s="106"/>
      <c r="G5063" s="106"/>
      <c r="H5063" s="107"/>
      <c r="I5063" s="95"/>
      <c r="J5063" s="706"/>
      <c r="K5063" s="769"/>
      <c r="L5063" s="706"/>
      <c r="M5063" s="781"/>
      <c r="N5063" s="182"/>
      <c r="O5063" s="188"/>
      <c r="P5063" s="221"/>
      <c r="Q5063" s="106"/>
      <c r="R5063" s="108"/>
      <c r="S5063" s="108"/>
      <c r="T5063" s="108"/>
      <c r="U5063" s="108" t="str">
        <f>IFERROR(VLOOKUP(CONCATENATE(Tabla1[[#This Row],[Severidad]]," ",Tabla1[[#This Row],[Complejidad]]),Catalogos!E$120:G$128,3,FALSE),"")</f>
        <v/>
      </c>
      <c r="V5063" s="108" t="str">
        <f>IF(Tabla1[[#This Row],[Tiempo solución max (hrs)]]&lt;&gt;"",IF(Tabla1[[#This Row],[Tiempo solución max (hrs)]]&gt;=Tabla1[[#This Row],[Tiempo
(Hrs 00/100)]],"cumple","no cumple"),"")</f>
        <v/>
      </c>
      <c r="W5063" s="17"/>
      <c r="X5063" s="18">
        <f t="shared" si="269"/>
        <v>0</v>
      </c>
      <c r="Y5063" t="str">
        <f>SUBSTITUTE(Tabla1[[#This Row],[Descripción]],CHAR(10),"    I    ")</f>
        <v/>
      </c>
      <c r="Z5063" s="112" t="e">
        <f>VLOOKUP(Tabla1[[#This Row],[Perfil]],Catalogos!$B$75:$D$100,3,FALSE)*Tabla1[[#This Row],[Tiempo
(Hrs 00/100)]]*1.16</f>
        <v>#N/A</v>
      </c>
    </row>
    <row r="5064" spans="1:27" ht="30" customHeight="1" x14ac:dyDescent="0.3">
      <c r="A5064" s="106"/>
      <c r="B5064" s="106"/>
      <c r="C5064" s="106"/>
      <c r="D5064" s="106"/>
      <c r="E5064" s="106"/>
      <c r="F5064" s="106"/>
      <c r="G5064" s="106"/>
      <c r="H5064" s="107"/>
      <c r="I5064" s="95"/>
      <c r="J5064" s="706"/>
      <c r="K5064" s="769"/>
      <c r="L5064" s="706"/>
      <c r="M5064" s="781"/>
      <c r="N5064" s="182"/>
      <c r="O5064" s="188"/>
      <c r="P5064" s="221"/>
      <c r="Q5064" s="106"/>
      <c r="R5064" s="108"/>
      <c r="S5064" s="108"/>
      <c r="T5064" s="108"/>
      <c r="U5064" s="108" t="str">
        <f>IFERROR(VLOOKUP(CONCATENATE(Tabla1[[#This Row],[Severidad]]," ",Tabla1[[#This Row],[Complejidad]]),Catalogos!E$120:G$128,3,FALSE),"")</f>
        <v/>
      </c>
      <c r="V5064" s="108" t="str">
        <f>IF(Tabla1[[#This Row],[Tiempo solución max (hrs)]]&lt;&gt;"",IF(Tabla1[[#This Row],[Tiempo solución max (hrs)]]&gt;=Tabla1[[#This Row],[Tiempo
(Hrs 00/100)]],"cumple","no cumple"),"")</f>
        <v/>
      </c>
      <c r="W5064" s="17"/>
      <c r="X5064" s="18">
        <f t="shared" si="269"/>
        <v>0</v>
      </c>
      <c r="Y5064" t="str">
        <f>SUBSTITUTE(Tabla1[[#This Row],[Descripción]],CHAR(10),"    I    ")</f>
        <v/>
      </c>
      <c r="Z5064" s="112" t="e">
        <f>VLOOKUP(Tabla1[[#This Row],[Perfil]],Catalogos!$B$75:$D$100,3,FALSE)*Tabla1[[#This Row],[Tiempo
(Hrs 00/100)]]*1.16</f>
        <v>#N/A</v>
      </c>
    </row>
    <row r="5065" spans="1:27" ht="30" customHeight="1" x14ac:dyDescent="0.3">
      <c r="A5065" s="106"/>
      <c r="B5065" s="106"/>
      <c r="C5065" s="106"/>
      <c r="D5065" s="106"/>
      <c r="E5065" s="106"/>
      <c r="F5065" s="106"/>
      <c r="G5065" s="106"/>
      <c r="H5065" s="107"/>
      <c r="I5065" s="95"/>
      <c r="J5065" s="706"/>
      <c r="K5065" s="769"/>
      <c r="L5065" s="706"/>
      <c r="M5065" s="781"/>
      <c r="N5065" s="182"/>
      <c r="O5065" s="188"/>
      <c r="P5065" s="221"/>
      <c r="Q5065" s="106"/>
      <c r="R5065" s="108"/>
      <c r="S5065" s="108"/>
      <c r="T5065" s="108"/>
      <c r="U5065" s="108" t="str">
        <f>IFERROR(VLOOKUP(CONCATENATE(Tabla1[[#This Row],[Severidad]]," ",Tabla1[[#This Row],[Complejidad]]),Catalogos!E$120:G$128,3,FALSE),"")</f>
        <v/>
      </c>
      <c r="V5065" s="108" t="str">
        <f>IF(Tabla1[[#This Row],[Tiempo solución max (hrs)]]&lt;&gt;"",IF(Tabla1[[#This Row],[Tiempo solución max (hrs)]]&gt;=Tabla1[[#This Row],[Tiempo
(Hrs 00/100)]],"cumple","no cumple"),"")</f>
        <v/>
      </c>
      <c r="W5065" s="17"/>
      <c r="X5065" s="18">
        <f t="shared" si="269"/>
        <v>0</v>
      </c>
      <c r="Y5065" t="str">
        <f>SUBSTITUTE(Tabla1[[#This Row],[Descripción]],CHAR(10),"    I    ")</f>
        <v/>
      </c>
      <c r="Z5065" s="112" t="e">
        <f>VLOOKUP(Tabla1[[#This Row],[Perfil]],Catalogos!$B$75:$D$100,3,FALSE)*Tabla1[[#This Row],[Tiempo
(Hrs 00/100)]]*1.16</f>
        <v>#N/A</v>
      </c>
    </row>
    <row r="5066" spans="1:27" ht="30" customHeight="1" x14ac:dyDescent="0.3">
      <c r="A5066" s="106"/>
      <c r="B5066" s="106"/>
      <c r="C5066" s="106"/>
      <c r="D5066" s="106"/>
      <c r="E5066" s="106"/>
      <c r="F5066" s="106"/>
      <c r="G5066" s="106"/>
      <c r="H5066" s="107"/>
      <c r="I5066" s="95"/>
      <c r="J5066" s="706"/>
      <c r="K5066" s="769"/>
      <c r="L5066" s="706"/>
      <c r="M5066" s="781"/>
      <c r="N5066" s="182"/>
      <c r="O5066" s="188"/>
      <c r="P5066" s="221"/>
      <c r="Q5066" s="106"/>
      <c r="R5066" s="108"/>
      <c r="S5066" s="108"/>
      <c r="T5066" s="108"/>
      <c r="U5066" s="108" t="str">
        <f>IFERROR(VLOOKUP(CONCATENATE(Tabla1[[#This Row],[Severidad]]," ",Tabla1[[#This Row],[Complejidad]]),Catalogos!E$120:G$128,3,FALSE),"")</f>
        <v/>
      </c>
      <c r="V5066" s="108" t="str">
        <f>IF(Tabla1[[#This Row],[Tiempo solución max (hrs)]]&lt;&gt;"",IF(Tabla1[[#This Row],[Tiempo solución max (hrs)]]&gt;=Tabla1[[#This Row],[Tiempo
(Hrs 00/100)]],"cumple","no cumple"),"")</f>
        <v/>
      </c>
      <c r="W5066" s="17"/>
      <c r="X5066" s="18">
        <f t="shared" si="269"/>
        <v>0</v>
      </c>
      <c r="Y5066" t="str">
        <f>SUBSTITUTE(Tabla1[[#This Row],[Descripción]],CHAR(10),"    I    ")</f>
        <v/>
      </c>
      <c r="Z5066" s="112" t="e">
        <f>VLOOKUP(Tabla1[[#This Row],[Perfil]],Catalogos!$B$75:$D$100,3,FALSE)*Tabla1[[#This Row],[Tiempo
(Hrs 00/100)]]*1.16</f>
        <v>#N/A</v>
      </c>
    </row>
    <row r="5067" spans="1:27" ht="30" customHeight="1" x14ac:dyDescent="0.3">
      <c r="A5067" s="106"/>
      <c r="B5067" s="106"/>
      <c r="C5067" s="106"/>
      <c r="D5067" s="106"/>
      <c r="E5067" s="106"/>
      <c r="F5067" s="106"/>
      <c r="G5067" s="106"/>
      <c r="H5067" s="107"/>
      <c r="I5067" s="95"/>
      <c r="J5067" s="706"/>
      <c r="K5067" s="769"/>
      <c r="L5067" s="706"/>
      <c r="M5067" s="781"/>
      <c r="N5067" s="182"/>
      <c r="O5067" s="188"/>
      <c r="P5067" s="221"/>
      <c r="Q5067" s="106"/>
      <c r="R5067" s="108"/>
      <c r="S5067" s="108"/>
      <c r="T5067" s="108"/>
      <c r="U5067" s="108" t="str">
        <f>IFERROR(VLOOKUP(CONCATENATE(Tabla1[[#This Row],[Severidad]]," ",Tabla1[[#This Row],[Complejidad]]),Catalogos!E$120:G$128,3,FALSE),"")</f>
        <v/>
      </c>
      <c r="V5067" s="108" t="str">
        <f>IF(Tabla1[[#This Row],[Tiempo solución max (hrs)]]&lt;&gt;"",IF(Tabla1[[#This Row],[Tiempo solución max (hrs)]]&gt;=Tabla1[[#This Row],[Tiempo
(Hrs 00/100)]],"cumple","no cumple"),"")</f>
        <v/>
      </c>
      <c r="W5067" s="17"/>
      <c r="X5067" s="18">
        <f t="shared" si="269"/>
        <v>0</v>
      </c>
      <c r="Y5067" t="str">
        <f>SUBSTITUTE(Tabla1[[#This Row],[Descripción]],CHAR(10),"    I    ")</f>
        <v/>
      </c>
      <c r="Z5067" s="112" t="e">
        <f>VLOOKUP(Tabla1[[#This Row],[Perfil]],Catalogos!$B$75:$D$100,3,FALSE)*Tabla1[[#This Row],[Tiempo
(Hrs 00/100)]]*1.16</f>
        <v>#N/A</v>
      </c>
    </row>
    <row r="5068" spans="1:27" ht="30" customHeight="1" x14ac:dyDescent="0.3">
      <c r="A5068" s="106"/>
      <c r="B5068" s="106"/>
      <c r="C5068" s="106"/>
      <c r="D5068" s="106"/>
      <c r="E5068" s="106"/>
      <c r="F5068" s="106"/>
      <c r="G5068" s="106"/>
      <c r="H5068" s="107"/>
      <c r="I5068" s="95"/>
      <c r="J5068" s="706"/>
      <c r="K5068" s="769"/>
      <c r="L5068" s="706"/>
      <c r="M5068" s="781"/>
      <c r="N5068" s="182"/>
      <c r="O5068" s="188"/>
      <c r="P5068" s="221"/>
      <c r="Q5068" s="106"/>
      <c r="R5068" s="108"/>
      <c r="S5068" s="108"/>
      <c r="T5068" s="108"/>
      <c r="U5068" s="108" t="str">
        <f>IFERROR(VLOOKUP(CONCATENATE(Tabla1[[#This Row],[Severidad]]," ",Tabla1[[#This Row],[Complejidad]]),Catalogos!E$120:G$128,3,FALSE),"")</f>
        <v/>
      </c>
      <c r="V5068" s="108" t="str">
        <f>IF(Tabla1[[#This Row],[Tiempo solución max (hrs)]]&lt;&gt;"",IF(Tabla1[[#This Row],[Tiempo solución max (hrs)]]&gt;=Tabla1[[#This Row],[Tiempo
(Hrs 00/100)]],"cumple","no cumple"),"")</f>
        <v/>
      </c>
      <c r="W5068" s="17"/>
      <c r="X5068" s="18">
        <f t="shared" si="269"/>
        <v>0</v>
      </c>
      <c r="Y5068" t="str">
        <f>SUBSTITUTE(Tabla1[[#This Row],[Descripción]],CHAR(10),"    I    ")</f>
        <v/>
      </c>
      <c r="Z5068" s="112" t="e">
        <f>VLOOKUP(Tabla1[[#This Row],[Perfil]],Catalogos!$B$75:$D$100,3,FALSE)*Tabla1[[#This Row],[Tiempo
(Hrs 00/100)]]*1.16</f>
        <v>#N/A</v>
      </c>
    </row>
    <row r="5069" spans="1:27" ht="30" customHeight="1" x14ac:dyDescent="0.3">
      <c r="A5069" s="106"/>
      <c r="B5069" s="106"/>
      <c r="C5069" s="106"/>
      <c r="D5069" s="106"/>
      <c r="E5069" s="106"/>
      <c r="F5069" s="106"/>
      <c r="G5069" s="106"/>
      <c r="H5069" s="107"/>
      <c r="I5069" s="95"/>
      <c r="J5069" s="706"/>
      <c r="K5069" s="769"/>
      <c r="L5069" s="706"/>
      <c r="M5069" s="781"/>
      <c r="N5069" s="182"/>
      <c r="O5069" s="188"/>
      <c r="P5069" s="221"/>
      <c r="Q5069" s="106"/>
      <c r="R5069" s="108"/>
      <c r="S5069" s="108"/>
      <c r="T5069" s="108"/>
      <c r="U5069" s="108" t="str">
        <f>IFERROR(VLOOKUP(CONCATENATE(Tabla1[[#This Row],[Severidad]]," ",Tabla1[[#This Row],[Complejidad]]),Catalogos!E$120:G$128,3,FALSE),"")</f>
        <v/>
      </c>
      <c r="V5069" s="108" t="str">
        <f>IF(Tabla1[[#This Row],[Tiempo solución max (hrs)]]&lt;&gt;"",IF(Tabla1[[#This Row],[Tiempo solución max (hrs)]]&gt;=Tabla1[[#This Row],[Tiempo
(Hrs 00/100)]],"cumple","no cumple"),"")</f>
        <v/>
      </c>
      <c r="W5069" s="17"/>
      <c r="X5069" s="18">
        <f t="shared" si="269"/>
        <v>0</v>
      </c>
      <c r="Y5069" t="str">
        <f>SUBSTITUTE(Tabla1[[#This Row],[Descripción]],CHAR(10),"    I    ")</f>
        <v/>
      </c>
      <c r="Z5069" s="112" t="e">
        <f>VLOOKUP(Tabla1[[#This Row],[Perfil]],Catalogos!$B$75:$D$100,3,FALSE)*Tabla1[[#This Row],[Tiempo
(Hrs 00/100)]]*1.16</f>
        <v>#N/A</v>
      </c>
    </row>
    <row r="5070" spans="1:27" ht="30" customHeight="1" x14ac:dyDescent="0.3">
      <c r="A5070" s="106"/>
      <c r="B5070" s="106"/>
      <c r="C5070" s="106"/>
      <c r="D5070" s="106"/>
      <c r="E5070" s="106"/>
      <c r="F5070" s="106"/>
      <c r="G5070" s="106"/>
      <c r="H5070" s="107"/>
      <c r="I5070" s="95"/>
      <c r="J5070" s="706"/>
      <c r="K5070" s="769"/>
      <c r="L5070" s="706"/>
      <c r="M5070" s="781"/>
      <c r="N5070" s="182"/>
      <c r="O5070" s="188"/>
      <c r="P5070" s="221"/>
      <c r="Q5070" s="106"/>
      <c r="R5070" s="108"/>
      <c r="S5070" s="108"/>
      <c r="T5070" s="108"/>
      <c r="U5070" s="108" t="str">
        <f>IFERROR(VLOOKUP(CONCATENATE(Tabla1[[#This Row],[Severidad]]," ",Tabla1[[#This Row],[Complejidad]]),Catalogos!E$120:G$128,3,FALSE),"")</f>
        <v/>
      </c>
      <c r="V5070" s="108" t="str">
        <f>IF(Tabla1[[#This Row],[Tiempo solución max (hrs)]]&lt;&gt;"",IF(Tabla1[[#This Row],[Tiempo solución max (hrs)]]&gt;=Tabla1[[#This Row],[Tiempo
(Hrs 00/100)]],"cumple","no cumple"),"")</f>
        <v/>
      </c>
      <c r="W5070" s="17"/>
      <c r="X5070" s="18">
        <f t="shared" si="269"/>
        <v>0</v>
      </c>
      <c r="Y5070" t="str">
        <f>SUBSTITUTE(Tabla1[[#This Row],[Descripción]],CHAR(10),"    I    ")</f>
        <v/>
      </c>
      <c r="Z5070" s="112" t="e">
        <f>VLOOKUP(Tabla1[[#This Row],[Perfil]],Catalogos!$B$75:$D$100,3,FALSE)*Tabla1[[#This Row],[Tiempo
(Hrs 00/100)]]*1.16</f>
        <v>#N/A</v>
      </c>
    </row>
    <row r="5071" spans="1:27" ht="30" customHeight="1" x14ac:dyDescent="0.3">
      <c r="A5071" s="109"/>
      <c r="B5071" s="109"/>
      <c r="C5071" s="109"/>
      <c r="D5071" s="109"/>
      <c r="E5071" s="109"/>
      <c r="F5071" s="109"/>
      <c r="G5071" s="109"/>
      <c r="H5071" s="110"/>
      <c r="I5071"/>
      <c r="J5071" s="733"/>
      <c r="K5071" s="777"/>
      <c r="L5071" s="733"/>
      <c r="M5071" s="777"/>
      <c r="N5071" s="109"/>
      <c r="O5071" s="109"/>
      <c r="P5071" s="185"/>
      <c r="Q5071" s="109"/>
      <c r="R5071" s="111"/>
      <c r="S5071" s="111"/>
      <c r="T5071" s="111"/>
      <c r="U5071" s="111" t="str">
        <f>IFERROR(VLOOKUP(CONCATENATE(Tabla1[[#This Row],[Severidad]]," ",Tabla1[[#This Row],[Complejidad]]),Catalogos!E$120:G$128,3,FALSE),"")</f>
        <v/>
      </c>
      <c r="V5071" s="111" t="str">
        <f>IF(Tabla1[[#This Row],[Tiempo solución max (hrs)]]&lt;&gt;"",IF(Tabla1[[#This Row],[Tiempo solución max (hrs)]]&gt;=Tabla1[[#This Row],[Tiempo
(Hrs 00/100)]],"cumple","no cumple"),"")</f>
        <v/>
      </c>
      <c r="W5071" s="222"/>
      <c r="X5071" s="18">
        <f t="shared" si="269"/>
        <v>0</v>
      </c>
      <c r="Y5071" t="str">
        <f>SUBSTITUTE(Tabla1[[#This Row],[Descripción]],CHAR(10),"    I    ")</f>
        <v/>
      </c>
      <c r="Z5071" s="112" t="e">
        <f>VLOOKUP(Tabla1[[#This Row],[Perfil]],Catalogos!$B$75:$D$100,3,FALSE)*Tabla1[[#This Row],[Tiempo
(Hrs 00/100)]]*1.16</f>
        <v>#N/A</v>
      </c>
    </row>
    <row r="5072" spans="1:27" ht="15" customHeight="1" x14ac:dyDescent="0.3">
      <c r="A5072" s="290"/>
      <c r="B5072" s="290"/>
      <c r="C5072" s="290"/>
      <c r="D5072" s="290"/>
      <c r="E5072" s="290"/>
      <c r="F5072" s="290"/>
      <c r="G5072" s="290"/>
      <c r="H5072" s="291"/>
      <c r="I5072" s="291"/>
      <c r="J5072" s="720"/>
      <c r="K5072" s="776"/>
      <c r="L5072" s="720"/>
      <c r="M5072" s="776"/>
      <c r="N5072" s="290"/>
      <c r="O5072" s="290"/>
      <c r="P5072" s="292"/>
      <c r="Q5072" s="290"/>
      <c r="R5072" s="293"/>
      <c r="S5072" s="293"/>
      <c r="T5072" s="293"/>
      <c r="U5072" s="293" t="str">
        <f>IFERROR(VLOOKUP(CONCATENATE(Tabla1[[#This Row],[Severidad]]," ",Tabla1[[#This Row],[Complejidad]]),Catalogos!E$120:G$128,3,FALSE),"")</f>
        <v/>
      </c>
      <c r="V5072" s="293" t="str">
        <f>IF(Tabla1[[#This Row],[Tiempo solución max (hrs)]]&lt;&gt;"",IF(Tabla1[[#This Row],[Tiempo solución max (hrs)]]&gt;=Tabla1[[#This Row],[Tiempo
(Hrs 00/100)]],"cumple","no cumple"),"")</f>
        <v/>
      </c>
      <c r="W5072" s="294"/>
      <c r="X5072" s="300">
        <f t="shared" ref="X5072:X5095" si="270">IF(C5072&lt;&gt;"",C5072,D5072)</f>
        <v>0</v>
      </c>
      <c r="Y5072" s="301" t="str">
        <f>SUBSTITUTE(Tabla1[[#This Row],[Descripción]],CHAR(10),"    I    ")</f>
        <v/>
      </c>
      <c r="Z5072" s="302" t="e">
        <f>VLOOKUP(Tabla1[[#This Row],[Perfil]],Catalogos!$B$75:$D$100,3,FALSE)*Tabla1[[#This Row],[Tiempo
(Hrs 00/100)]]*1.16</f>
        <v>#N/A</v>
      </c>
      <c r="AA5072" s="301"/>
    </row>
    <row r="5073" spans="1:27" ht="15" customHeight="1" x14ac:dyDescent="0.3">
      <c r="A5073" s="290"/>
      <c r="B5073" s="290"/>
      <c r="C5073" s="290"/>
      <c r="D5073" s="290"/>
      <c r="E5073" s="290"/>
      <c r="F5073" s="290"/>
      <c r="G5073" s="290"/>
      <c r="H5073" s="291"/>
      <c r="I5073" s="291"/>
      <c r="J5073" s="720"/>
      <c r="K5073" s="776"/>
      <c r="L5073" s="720"/>
      <c r="M5073" s="776"/>
      <c r="N5073" s="290"/>
      <c r="O5073" s="290"/>
      <c r="P5073" s="292"/>
      <c r="Q5073" s="290"/>
      <c r="R5073" s="293"/>
      <c r="S5073" s="293"/>
      <c r="T5073" s="293"/>
      <c r="U5073" s="293" t="str">
        <f>IFERROR(VLOOKUP(CONCATENATE(Tabla1[[#This Row],[Severidad]]," ",Tabla1[[#This Row],[Complejidad]]),Catalogos!E$120:G$128,3,FALSE),"")</f>
        <v/>
      </c>
      <c r="V5073" s="293" t="str">
        <f>IF(Tabla1[[#This Row],[Tiempo solución max (hrs)]]&lt;&gt;"",IF(Tabla1[[#This Row],[Tiempo solución max (hrs)]]&gt;=Tabla1[[#This Row],[Tiempo
(Hrs 00/100)]],"cumple","no cumple"),"")</f>
        <v/>
      </c>
      <c r="W5073" s="294"/>
      <c r="X5073" s="300">
        <f t="shared" si="270"/>
        <v>0</v>
      </c>
      <c r="Y5073" s="301" t="str">
        <f>SUBSTITUTE(Tabla1[[#This Row],[Descripción]],CHAR(10),"    I    ")</f>
        <v/>
      </c>
      <c r="Z5073" s="302" t="e">
        <f>VLOOKUP(Tabla1[[#This Row],[Perfil]],Catalogos!$B$75:$D$100,3,FALSE)*Tabla1[[#This Row],[Tiempo
(Hrs 00/100)]]*1.16</f>
        <v>#N/A</v>
      </c>
      <c r="AA5073" s="301"/>
    </row>
    <row r="5074" spans="1:27" ht="15" customHeight="1" x14ac:dyDescent="0.3">
      <c r="A5074" s="290"/>
      <c r="B5074" s="290"/>
      <c r="C5074" s="290"/>
      <c r="D5074" s="290"/>
      <c r="E5074" s="290"/>
      <c r="F5074" s="290"/>
      <c r="G5074" s="290"/>
      <c r="H5074" s="291"/>
      <c r="I5074" s="291"/>
      <c r="J5074" s="720"/>
      <c r="K5074" s="776"/>
      <c r="L5074" s="720"/>
      <c r="M5074" s="776"/>
      <c r="N5074" s="290"/>
      <c r="O5074" s="290"/>
      <c r="P5074" s="292"/>
      <c r="Q5074" s="290"/>
      <c r="R5074" s="293"/>
      <c r="S5074" s="293"/>
      <c r="T5074" s="293"/>
      <c r="U5074" s="293" t="str">
        <f>IFERROR(VLOOKUP(CONCATENATE(Tabla1[[#This Row],[Severidad]]," ",Tabla1[[#This Row],[Complejidad]]),Catalogos!E$120:G$128,3,FALSE),"")</f>
        <v/>
      </c>
      <c r="V5074" s="293" t="str">
        <f>IF(Tabla1[[#This Row],[Tiempo solución max (hrs)]]&lt;&gt;"",IF(Tabla1[[#This Row],[Tiempo solución max (hrs)]]&gt;=Tabla1[[#This Row],[Tiempo
(Hrs 00/100)]],"cumple","no cumple"),"")</f>
        <v/>
      </c>
      <c r="W5074" s="294"/>
      <c r="X5074" s="300">
        <f t="shared" si="270"/>
        <v>0</v>
      </c>
      <c r="Y5074" s="301" t="str">
        <f>SUBSTITUTE(Tabla1[[#This Row],[Descripción]],CHAR(10),"    I    ")</f>
        <v/>
      </c>
      <c r="Z5074" s="302" t="e">
        <f>VLOOKUP(Tabla1[[#This Row],[Perfil]],Catalogos!$B$75:$D$100,3,FALSE)*Tabla1[[#This Row],[Tiempo
(Hrs 00/100)]]*1.16</f>
        <v>#N/A</v>
      </c>
      <c r="AA5074" s="301"/>
    </row>
    <row r="5075" spans="1:27" ht="15" customHeight="1" x14ac:dyDescent="0.3">
      <c r="A5075" s="290"/>
      <c r="B5075" s="290"/>
      <c r="C5075" s="290"/>
      <c r="D5075" s="290"/>
      <c r="E5075" s="290"/>
      <c r="F5075" s="290"/>
      <c r="G5075" s="290"/>
      <c r="H5075" s="291"/>
      <c r="I5075" s="291"/>
      <c r="J5075" s="720"/>
      <c r="K5075" s="776"/>
      <c r="L5075" s="720"/>
      <c r="M5075" s="776"/>
      <c r="N5075" s="290"/>
      <c r="O5075" s="290"/>
      <c r="P5075" s="292"/>
      <c r="Q5075" s="290"/>
      <c r="R5075" s="293"/>
      <c r="S5075" s="293"/>
      <c r="T5075" s="293"/>
      <c r="U5075" s="293" t="str">
        <f>IFERROR(VLOOKUP(CONCATENATE(Tabla1[[#This Row],[Severidad]]," ",Tabla1[[#This Row],[Complejidad]]),Catalogos!E$120:G$128,3,FALSE),"")</f>
        <v/>
      </c>
      <c r="V5075" s="293" t="str">
        <f>IF(Tabla1[[#This Row],[Tiempo solución max (hrs)]]&lt;&gt;"",IF(Tabla1[[#This Row],[Tiempo solución max (hrs)]]&gt;=Tabla1[[#This Row],[Tiempo
(Hrs 00/100)]],"cumple","no cumple"),"")</f>
        <v/>
      </c>
      <c r="W5075" s="294"/>
      <c r="X5075" s="300">
        <f t="shared" si="270"/>
        <v>0</v>
      </c>
      <c r="Y5075" s="301" t="str">
        <f>SUBSTITUTE(Tabla1[[#This Row],[Descripción]],CHAR(10),"    I    ")</f>
        <v/>
      </c>
      <c r="Z5075" s="302" t="e">
        <f>VLOOKUP(Tabla1[[#This Row],[Perfil]],Catalogos!$B$75:$D$100,3,FALSE)*Tabla1[[#This Row],[Tiempo
(Hrs 00/100)]]*1.16</f>
        <v>#N/A</v>
      </c>
      <c r="AA5075" s="301"/>
    </row>
    <row r="5076" spans="1:27" ht="15" customHeight="1" x14ac:dyDescent="0.3">
      <c r="A5076" s="290"/>
      <c r="B5076" s="290"/>
      <c r="C5076" s="290"/>
      <c r="D5076" s="290"/>
      <c r="E5076" s="290"/>
      <c r="F5076" s="290"/>
      <c r="G5076" s="290"/>
      <c r="H5076" s="291"/>
      <c r="I5076" s="291"/>
      <c r="J5076" s="720"/>
      <c r="K5076" s="776"/>
      <c r="L5076" s="720"/>
      <c r="M5076" s="776"/>
      <c r="N5076" s="290"/>
      <c r="O5076" s="290"/>
      <c r="P5076" s="292"/>
      <c r="Q5076" s="290"/>
      <c r="R5076" s="293"/>
      <c r="S5076" s="293"/>
      <c r="T5076" s="293"/>
      <c r="U5076" s="293" t="str">
        <f>IFERROR(VLOOKUP(CONCATENATE(Tabla1[[#This Row],[Severidad]]," ",Tabla1[[#This Row],[Complejidad]]),Catalogos!E$120:G$128,3,FALSE),"")</f>
        <v/>
      </c>
      <c r="V5076" s="293" t="str">
        <f>IF(Tabla1[[#This Row],[Tiempo solución max (hrs)]]&lt;&gt;"",IF(Tabla1[[#This Row],[Tiempo solución max (hrs)]]&gt;=Tabla1[[#This Row],[Tiempo
(Hrs 00/100)]],"cumple","no cumple"),"")</f>
        <v/>
      </c>
      <c r="W5076" s="294"/>
      <c r="X5076" s="300">
        <f t="shared" si="270"/>
        <v>0</v>
      </c>
      <c r="Y5076" s="301" t="str">
        <f>SUBSTITUTE(Tabla1[[#This Row],[Descripción]],CHAR(10),"    I    ")</f>
        <v/>
      </c>
      <c r="Z5076" s="302" t="e">
        <f>VLOOKUP(Tabla1[[#This Row],[Perfil]],Catalogos!$B$75:$D$100,3,FALSE)*Tabla1[[#This Row],[Tiempo
(Hrs 00/100)]]*1.16</f>
        <v>#N/A</v>
      </c>
      <c r="AA5076" s="301"/>
    </row>
    <row r="5077" spans="1:27" ht="15" customHeight="1" x14ac:dyDescent="0.3">
      <c r="A5077" s="290"/>
      <c r="B5077" s="290"/>
      <c r="C5077" s="290"/>
      <c r="D5077" s="290"/>
      <c r="E5077" s="290"/>
      <c r="F5077" s="290"/>
      <c r="G5077" s="290"/>
      <c r="H5077" s="291"/>
      <c r="I5077" s="291"/>
      <c r="J5077" s="720"/>
      <c r="K5077" s="776"/>
      <c r="L5077" s="720"/>
      <c r="M5077" s="776"/>
      <c r="N5077" s="290"/>
      <c r="O5077" s="290"/>
      <c r="P5077" s="292"/>
      <c r="Q5077" s="290"/>
      <c r="R5077" s="293"/>
      <c r="S5077" s="293"/>
      <c r="T5077" s="293"/>
      <c r="U5077" s="293" t="str">
        <f>IFERROR(VLOOKUP(CONCATENATE(Tabla1[[#This Row],[Severidad]]," ",Tabla1[[#This Row],[Complejidad]]),Catalogos!E$120:G$128,3,FALSE),"")</f>
        <v/>
      </c>
      <c r="V5077" s="293" t="str">
        <f>IF(Tabla1[[#This Row],[Tiempo solución max (hrs)]]&lt;&gt;"",IF(Tabla1[[#This Row],[Tiempo solución max (hrs)]]&gt;=Tabla1[[#This Row],[Tiempo
(Hrs 00/100)]],"cumple","no cumple"),"")</f>
        <v/>
      </c>
      <c r="W5077" s="294"/>
      <c r="X5077" s="300">
        <f t="shared" si="270"/>
        <v>0</v>
      </c>
      <c r="Y5077" s="301" t="str">
        <f>SUBSTITUTE(Tabla1[[#This Row],[Descripción]],CHAR(10),"    I    ")</f>
        <v/>
      </c>
      <c r="Z5077" s="302" t="e">
        <f>VLOOKUP(Tabla1[[#This Row],[Perfil]],Catalogos!$B$75:$D$100,3,FALSE)*Tabla1[[#This Row],[Tiempo
(Hrs 00/100)]]*1.16</f>
        <v>#N/A</v>
      </c>
      <c r="AA5077" s="301"/>
    </row>
    <row r="5078" spans="1:27" ht="15" customHeight="1" x14ac:dyDescent="0.3">
      <c r="A5078" s="290"/>
      <c r="B5078" s="290"/>
      <c r="C5078" s="290"/>
      <c r="D5078" s="290"/>
      <c r="E5078" s="290"/>
      <c r="F5078" s="290"/>
      <c r="G5078" s="290"/>
      <c r="H5078" s="291"/>
      <c r="I5078" s="291"/>
      <c r="J5078" s="720"/>
      <c r="K5078" s="776"/>
      <c r="L5078" s="720"/>
      <c r="M5078" s="776"/>
      <c r="N5078" s="290"/>
      <c r="O5078" s="290"/>
      <c r="P5078" s="292"/>
      <c r="Q5078" s="290"/>
      <c r="R5078" s="293"/>
      <c r="S5078" s="293"/>
      <c r="T5078" s="293"/>
      <c r="U5078" s="293" t="str">
        <f>IFERROR(VLOOKUP(CONCATENATE(Tabla1[[#This Row],[Severidad]]," ",Tabla1[[#This Row],[Complejidad]]),Catalogos!E$120:G$128,3,FALSE),"")</f>
        <v/>
      </c>
      <c r="V5078" s="293" t="str">
        <f>IF(Tabla1[[#This Row],[Tiempo solución max (hrs)]]&lt;&gt;"",IF(Tabla1[[#This Row],[Tiempo solución max (hrs)]]&gt;=Tabla1[[#This Row],[Tiempo
(Hrs 00/100)]],"cumple","no cumple"),"")</f>
        <v/>
      </c>
      <c r="W5078" s="294"/>
      <c r="X5078" s="300">
        <f t="shared" si="270"/>
        <v>0</v>
      </c>
      <c r="Y5078" s="301" t="str">
        <f>SUBSTITUTE(Tabla1[[#This Row],[Descripción]],CHAR(10),"    I    ")</f>
        <v/>
      </c>
      <c r="Z5078" s="302" t="e">
        <f>VLOOKUP(Tabla1[[#This Row],[Perfil]],Catalogos!$B$75:$D$100,3,FALSE)*Tabla1[[#This Row],[Tiempo
(Hrs 00/100)]]*1.16</f>
        <v>#N/A</v>
      </c>
      <c r="AA5078" s="301"/>
    </row>
    <row r="5079" spans="1:27" ht="15" customHeight="1" x14ac:dyDescent="0.3">
      <c r="A5079" s="290"/>
      <c r="B5079" s="290"/>
      <c r="C5079" s="290"/>
      <c r="D5079" s="290"/>
      <c r="E5079" s="290"/>
      <c r="F5079" s="290"/>
      <c r="G5079" s="290"/>
      <c r="H5079" s="291"/>
      <c r="I5079" s="291"/>
      <c r="J5079" s="720"/>
      <c r="K5079" s="776"/>
      <c r="L5079" s="720"/>
      <c r="M5079" s="776"/>
      <c r="N5079" s="290"/>
      <c r="O5079" s="290"/>
      <c r="P5079" s="292"/>
      <c r="Q5079" s="290"/>
      <c r="R5079" s="293"/>
      <c r="S5079" s="293"/>
      <c r="T5079" s="293"/>
      <c r="U5079" s="293" t="str">
        <f>IFERROR(VLOOKUP(CONCATENATE(Tabla1[[#This Row],[Severidad]]," ",Tabla1[[#This Row],[Complejidad]]),Catalogos!E$120:G$128,3,FALSE),"")</f>
        <v/>
      </c>
      <c r="V5079" s="293" t="str">
        <f>IF(Tabla1[[#This Row],[Tiempo solución max (hrs)]]&lt;&gt;"",IF(Tabla1[[#This Row],[Tiempo solución max (hrs)]]&gt;=Tabla1[[#This Row],[Tiempo
(Hrs 00/100)]],"cumple","no cumple"),"")</f>
        <v/>
      </c>
      <c r="W5079" s="294"/>
      <c r="X5079" s="300">
        <f t="shared" si="270"/>
        <v>0</v>
      </c>
      <c r="Y5079" s="301" t="str">
        <f>SUBSTITUTE(Tabla1[[#This Row],[Descripción]],CHAR(10),"    I    ")</f>
        <v/>
      </c>
      <c r="Z5079" s="302" t="e">
        <f>VLOOKUP(Tabla1[[#This Row],[Perfil]],Catalogos!$B$75:$D$100,3,FALSE)*Tabla1[[#This Row],[Tiempo
(Hrs 00/100)]]*1.16</f>
        <v>#N/A</v>
      </c>
      <c r="AA5079" s="301"/>
    </row>
    <row r="5080" spans="1:27" ht="15" customHeight="1" x14ac:dyDescent="0.3">
      <c r="A5080" s="290"/>
      <c r="B5080" s="290"/>
      <c r="C5080" s="290"/>
      <c r="D5080" s="290"/>
      <c r="E5080" s="290"/>
      <c r="F5080" s="290"/>
      <c r="G5080" s="290"/>
      <c r="H5080" s="291"/>
      <c r="I5080" s="291"/>
      <c r="J5080" s="720"/>
      <c r="K5080" s="776"/>
      <c r="L5080" s="720"/>
      <c r="M5080" s="776"/>
      <c r="N5080" s="290"/>
      <c r="O5080" s="290"/>
      <c r="P5080" s="292"/>
      <c r="Q5080" s="290"/>
      <c r="R5080" s="293"/>
      <c r="S5080" s="293"/>
      <c r="T5080" s="293"/>
      <c r="U5080" s="293" t="str">
        <f>IFERROR(VLOOKUP(CONCATENATE(Tabla1[[#This Row],[Severidad]]," ",Tabla1[[#This Row],[Complejidad]]),Catalogos!E$120:G$128,3,FALSE),"")</f>
        <v/>
      </c>
      <c r="V5080" s="293" t="str">
        <f>IF(Tabla1[[#This Row],[Tiempo solución max (hrs)]]&lt;&gt;"",IF(Tabla1[[#This Row],[Tiempo solución max (hrs)]]&gt;=Tabla1[[#This Row],[Tiempo
(Hrs 00/100)]],"cumple","no cumple"),"")</f>
        <v/>
      </c>
      <c r="W5080" s="294"/>
      <c r="X5080" s="300">
        <f t="shared" si="270"/>
        <v>0</v>
      </c>
      <c r="Y5080" s="301" t="str">
        <f>SUBSTITUTE(Tabla1[[#This Row],[Descripción]],CHAR(10),"    I    ")</f>
        <v/>
      </c>
      <c r="Z5080" s="302" t="e">
        <f>VLOOKUP(Tabla1[[#This Row],[Perfil]],Catalogos!$B$75:$D$100,3,FALSE)*Tabla1[[#This Row],[Tiempo
(Hrs 00/100)]]*1.16</f>
        <v>#N/A</v>
      </c>
      <c r="AA5080" s="301"/>
    </row>
    <row r="5081" spans="1:27" ht="15" customHeight="1" x14ac:dyDescent="0.3">
      <c r="A5081" s="290"/>
      <c r="B5081" s="290"/>
      <c r="C5081" s="290"/>
      <c r="D5081" s="290"/>
      <c r="E5081" s="290"/>
      <c r="F5081" s="290"/>
      <c r="G5081" s="290"/>
      <c r="H5081" s="291"/>
      <c r="I5081" s="291"/>
      <c r="J5081" s="720"/>
      <c r="K5081" s="776"/>
      <c r="L5081" s="720"/>
      <c r="M5081" s="776"/>
      <c r="N5081" s="290"/>
      <c r="O5081" s="290"/>
      <c r="P5081" s="292"/>
      <c r="Q5081" s="290"/>
      <c r="R5081" s="293"/>
      <c r="S5081" s="293"/>
      <c r="T5081" s="293"/>
      <c r="U5081" s="293" t="str">
        <f>IFERROR(VLOOKUP(CONCATENATE(Tabla1[[#This Row],[Severidad]]," ",Tabla1[[#This Row],[Complejidad]]),Catalogos!E$120:G$128,3,FALSE),"")</f>
        <v/>
      </c>
      <c r="V5081" s="293" t="str">
        <f>IF(Tabla1[[#This Row],[Tiempo solución max (hrs)]]&lt;&gt;"",IF(Tabla1[[#This Row],[Tiempo solución max (hrs)]]&gt;=Tabla1[[#This Row],[Tiempo
(Hrs 00/100)]],"cumple","no cumple"),"")</f>
        <v/>
      </c>
      <c r="W5081" s="294"/>
      <c r="X5081" s="300">
        <f t="shared" si="270"/>
        <v>0</v>
      </c>
      <c r="Y5081" s="301" t="str">
        <f>SUBSTITUTE(Tabla1[[#This Row],[Descripción]],CHAR(10),"    I    ")</f>
        <v/>
      </c>
      <c r="Z5081" s="302" t="e">
        <f>VLOOKUP(Tabla1[[#This Row],[Perfil]],Catalogos!$B$75:$D$100,3,FALSE)*Tabla1[[#This Row],[Tiempo
(Hrs 00/100)]]*1.16</f>
        <v>#N/A</v>
      </c>
      <c r="AA5081" s="301"/>
    </row>
    <row r="5082" spans="1:27" ht="15" customHeight="1" x14ac:dyDescent="0.3">
      <c r="A5082" s="290"/>
      <c r="B5082" s="290"/>
      <c r="C5082" s="290"/>
      <c r="D5082" s="290"/>
      <c r="E5082" s="290"/>
      <c r="F5082" s="290"/>
      <c r="G5082" s="290"/>
      <c r="H5082" s="291"/>
      <c r="I5082" s="291"/>
      <c r="J5082" s="720"/>
      <c r="K5082" s="776"/>
      <c r="L5082" s="720"/>
      <c r="M5082" s="776"/>
      <c r="N5082" s="290"/>
      <c r="O5082" s="290"/>
      <c r="P5082" s="292"/>
      <c r="Q5082" s="290"/>
      <c r="R5082" s="293"/>
      <c r="S5082" s="293"/>
      <c r="T5082" s="293"/>
      <c r="U5082" s="293" t="str">
        <f>IFERROR(VLOOKUP(CONCATENATE(Tabla1[[#This Row],[Severidad]]," ",Tabla1[[#This Row],[Complejidad]]),Catalogos!E$120:G$128,3,FALSE),"")</f>
        <v/>
      </c>
      <c r="V5082" s="293" t="str">
        <f>IF(Tabla1[[#This Row],[Tiempo solución max (hrs)]]&lt;&gt;"",IF(Tabla1[[#This Row],[Tiempo solución max (hrs)]]&gt;=Tabla1[[#This Row],[Tiempo
(Hrs 00/100)]],"cumple","no cumple"),"")</f>
        <v/>
      </c>
      <c r="W5082" s="294"/>
      <c r="X5082" s="300">
        <f t="shared" si="270"/>
        <v>0</v>
      </c>
      <c r="Y5082" s="301" t="str">
        <f>SUBSTITUTE(Tabla1[[#This Row],[Descripción]],CHAR(10),"    I    ")</f>
        <v/>
      </c>
      <c r="Z5082" s="302" t="e">
        <f>VLOOKUP(Tabla1[[#This Row],[Perfil]],Catalogos!$B$75:$D$100,3,FALSE)*Tabla1[[#This Row],[Tiempo
(Hrs 00/100)]]*1.16</f>
        <v>#N/A</v>
      </c>
      <c r="AA5082" s="301"/>
    </row>
    <row r="5083" spans="1:27" ht="15" customHeight="1" x14ac:dyDescent="0.3">
      <c r="A5083" s="290"/>
      <c r="B5083" s="290"/>
      <c r="C5083" s="290"/>
      <c r="D5083" s="290"/>
      <c r="E5083" s="290"/>
      <c r="F5083" s="290"/>
      <c r="G5083" s="290"/>
      <c r="H5083" s="291"/>
      <c r="I5083" s="291"/>
      <c r="J5083" s="720"/>
      <c r="K5083" s="776"/>
      <c r="L5083" s="720"/>
      <c r="M5083" s="776"/>
      <c r="N5083" s="290"/>
      <c r="O5083" s="290"/>
      <c r="P5083" s="292"/>
      <c r="Q5083" s="290"/>
      <c r="R5083" s="293"/>
      <c r="S5083" s="293"/>
      <c r="T5083" s="293"/>
      <c r="U5083" s="293" t="str">
        <f>IFERROR(VLOOKUP(CONCATENATE(Tabla1[[#This Row],[Severidad]]," ",Tabla1[[#This Row],[Complejidad]]),Catalogos!E$120:G$128,3,FALSE),"")</f>
        <v/>
      </c>
      <c r="V5083" s="293" t="str">
        <f>IF(Tabla1[[#This Row],[Tiempo solución max (hrs)]]&lt;&gt;"",IF(Tabla1[[#This Row],[Tiempo solución max (hrs)]]&gt;=Tabla1[[#This Row],[Tiempo
(Hrs 00/100)]],"cumple","no cumple"),"")</f>
        <v/>
      </c>
      <c r="W5083" s="294"/>
      <c r="X5083" s="300">
        <f t="shared" si="270"/>
        <v>0</v>
      </c>
      <c r="Y5083" s="301" t="str">
        <f>SUBSTITUTE(Tabla1[[#This Row],[Descripción]],CHAR(10),"    I    ")</f>
        <v/>
      </c>
      <c r="Z5083" s="302" t="e">
        <f>VLOOKUP(Tabla1[[#This Row],[Perfil]],Catalogos!$B$75:$D$100,3,FALSE)*Tabla1[[#This Row],[Tiempo
(Hrs 00/100)]]*1.16</f>
        <v>#N/A</v>
      </c>
      <c r="AA5083" s="301"/>
    </row>
    <row r="5084" spans="1:27" ht="15" customHeight="1" x14ac:dyDescent="0.3">
      <c r="A5084" s="290"/>
      <c r="B5084" s="290"/>
      <c r="C5084" s="290"/>
      <c r="D5084" s="290"/>
      <c r="E5084" s="290"/>
      <c r="F5084" s="290"/>
      <c r="G5084" s="290"/>
      <c r="H5084" s="291"/>
      <c r="I5084" s="291"/>
      <c r="J5084" s="720"/>
      <c r="K5084" s="776"/>
      <c r="L5084" s="720"/>
      <c r="M5084" s="776"/>
      <c r="N5084" s="290"/>
      <c r="O5084" s="290"/>
      <c r="P5084" s="292"/>
      <c r="Q5084" s="290"/>
      <c r="R5084" s="293"/>
      <c r="S5084" s="293"/>
      <c r="T5084" s="293"/>
      <c r="U5084" s="293" t="str">
        <f>IFERROR(VLOOKUP(CONCATENATE(Tabla1[[#This Row],[Severidad]]," ",Tabla1[[#This Row],[Complejidad]]),Catalogos!E$120:G$128,3,FALSE),"")</f>
        <v/>
      </c>
      <c r="V5084" s="293" t="str">
        <f>IF(Tabla1[[#This Row],[Tiempo solución max (hrs)]]&lt;&gt;"",IF(Tabla1[[#This Row],[Tiempo solución max (hrs)]]&gt;=Tabla1[[#This Row],[Tiempo
(Hrs 00/100)]],"cumple","no cumple"),"")</f>
        <v/>
      </c>
      <c r="W5084" s="294"/>
      <c r="X5084" s="300">
        <f t="shared" si="270"/>
        <v>0</v>
      </c>
      <c r="Y5084" s="301" t="str">
        <f>SUBSTITUTE(Tabla1[[#This Row],[Descripción]],CHAR(10),"    I    ")</f>
        <v/>
      </c>
      <c r="Z5084" s="302" t="e">
        <f>VLOOKUP(Tabla1[[#This Row],[Perfil]],Catalogos!$B$75:$D$100,3,FALSE)*Tabla1[[#This Row],[Tiempo
(Hrs 00/100)]]*1.16</f>
        <v>#N/A</v>
      </c>
      <c r="AA5084" s="301"/>
    </row>
    <row r="5085" spans="1:27" ht="15" customHeight="1" x14ac:dyDescent="0.3">
      <c r="A5085" s="290"/>
      <c r="B5085" s="290"/>
      <c r="C5085" s="290"/>
      <c r="D5085" s="290"/>
      <c r="E5085" s="290"/>
      <c r="F5085" s="290"/>
      <c r="G5085" s="290"/>
      <c r="H5085" s="291"/>
      <c r="I5085" s="291"/>
      <c r="J5085" s="720"/>
      <c r="K5085" s="776"/>
      <c r="L5085" s="720"/>
      <c r="M5085" s="776"/>
      <c r="N5085" s="290"/>
      <c r="O5085" s="290"/>
      <c r="P5085" s="292"/>
      <c r="Q5085" s="290"/>
      <c r="R5085" s="293"/>
      <c r="S5085" s="293"/>
      <c r="T5085" s="293"/>
      <c r="U5085" s="293" t="str">
        <f>IFERROR(VLOOKUP(CONCATENATE(Tabla1[[#This Row],[Severidad]]," ",Tabla1[[#This Row],[Complejidad]]),Catalogos!E$120:G$128,3,FALSE),"")</f>
        <v/>
      </c>
      <c r="V5085" s="293" t="str">
        <f>IF(Tabla1[[#This Row],[Tiempo solución max (hrs)]]&lt;&gt;"",IF(Tabla1[[#This Row],[Tiempo solución max (hrs)]]&gt;=Tabla1[[#This Row],[Tiempo
(Hrs 00/100)]],"cumple","no cumple"),"")</f>
        <v/>
      </c>
      <c r="W5085" s="294"/>
      <c r="X5085" s="300">
        <f t="shared" si="270"/>
        <v>0</v>
      </c>
      <c r="Y5085" s="301" t="str">
        <f>SUBSTITUTE(Tabla1[[#This Row],[Descripción]],CHAR(10),"    I    ")</f>
        <v/>
      </c>
      <c r="Z5085" s="302" t="e">
        <f>VLOOKUP(Tabla1[[#This Row],[Perfil]],Catalogos!$B$75:$D$100,3,FALSE)*Tabla1[[#This Row],[Tiempo
(Hrs 00/100)]]*1.16</f>
        <v>#N/A</v>
      </c>
      <c r="AA5085" s="301"/>
    </row>
    <row r="5086" spans="1:27" ht="15" customHeight="1" x14ac:dyDescent="0.3">
      <c r="A5086" s="290"/>
      <c r="B5086" s="290"/>
      <c r="C5086" s="290"/>
      <c r="D5086" s="290"/>
      <c r="E5086" s="290"/>
      <c r="F5086" s="290"/>
      <c r="G5086" s="290"/>
      <c r="H5086" s="291"/>
      <c r="I5086" s="291"/>
      <c r="J5086" s="720"/>
      <c r="K5086" s="776"/>
      <c r="L5086" s="720"/>
      <c r="M5086" s="776"/>
      <c r="N5086" s="290"/>
      <c r="O5086" s="290"/>
      <c r="P5086" s="292"/>
      <c r="Q5086" s="290"/>
      <c r="R5086" s="293"/>
      <c r="S5086" s="293"/>
      <c r="T5086" s="293"/>
      <c r="U5086" s="293" t="str">
        <f>IFERROR(VLOOKUP(CONCATENATE(Tabla1[[#This Row],[Severidad]]," ",Tabla1[[#This Row],[Complejidad]]),Catalogos!E$120:G$128,3,FALSE),"")</f>
        <v/>
      </c>
      <c r="V5086" s="293" t="str">
        <f>IF(Tabla1[[#This Row],[Tiempo solución max (hrs)]]&lt;&gt;"",IF(Tabla1[[#This Row],[Tiempo solución max (hrs)]]&gt;=Tabla1[[#This Row],[Tiempo
(Hrs 00/100)]],"cumple","no cumple"),"")</f>
        <v/>
      </c>
      <c r="W5086" s="294"/>
      <c r="X5086" s="300">
        <f t="shared" si="270"/>
        <v>0</v>
      </c>
      <c r="Y5086" s="301" t="str">
        <f>SUBSTITUTE(Tabla1[[#This Row],[Descripción]],CHAR(10),"    I    ")</f>
        <v/>
      </c>
      <c r="Z5086" s="302" t="e">
        <f>VLOOKUP(Tabla1[[#This Row],[Perfil]],Catalogos!$B$75:$D$100,3,FALSE)*Tabla1[[#This Row],[Tiempo
(Hrs 00/100)]]*1.16</f>
        <v>#N/A</v>
      </c>
      <c r="AA5086" s="301"/>
    </row>
    <row r="5087" spans="1:27" ht="15" customHeight="1" x14ac:dyDescent="0.3">
      <c r="A5087" s="290"/>
      <c r="B5087" s="290"/>
      <c r="C5087" s="290"/>
      <c r="D5087" s="290"/>
      <c r="E5087" s="290"/>
      <c r="F5087" s="290"/>
      <c r="G5087" s="290"/>
      <c r="H5087" s="291"/>
      <c r="I5087" s="291"/>
      <c r="J5087" s="720"/>
      <c r="K5087" s="776"/>
      <c r="L5087" s="720"/>
      <c r="M5087" s="776"/>
      <c r="N5087" s="290"/>
      <c r="O5087" s="290"/>
      <c r="P5087" s="292"/>
      <c r="Q5087" s="290"/>
      <c r="R5087" s="293"/>
      <c r="S5087" s="293"/>
      <c r="T5087" s="293"/>
      <c r="U5087" s="293" t="str">
        <f>IFERROR(VLOOKUP(CONCATENATE(Tabla1[[#This Row],[Severidad]]," ",Tabla1[[#This Row],[Complejidad]]),Catalogos!E$120:G$128,3,FALSE),"")</f>
        <v/>
      </c>
      <c r="V5087" s="293" t="str">
        <f>IF(Tabla1[[#This Row],[Tiempo solución max (hrs)]]&lt;&gt;"",IF(Tabla1[[#This Row],[Tiempo solución max (hrs)]]&gt;=Tabla1[[#This Row],[Tiempo
(Hrs 00/100)]],"cumple","no cumple"),"")</f>
        <v/>
      </c>
      <c r="W5087" s="294"/>
      <c r="X5087" s="300">
        <f t="shared" si="270"/>
        <v>0</v>
      </c>
      <c r="Y5087" s="301" t="str">
        <f>SUBSTITUTE(Tabla1[[#This Row],[Descripción]],CHAR(10),"    I    ")</f>
        <v/>
      </c>
      <c r="Z5087" s="302" t="e">
        <f>VLOOKUP(Tabla1[[#This Row],[Perfil]],Catalogos!$B$75:$D$100,3,FALSE)*Tabla1[[#This Row],[Tiempo
(Hrs 00/100)]]*1.16</f>
        <v>#N/A</v>
      </c>
      <c r="AA5087" s="301"/>
    </row>
    <row r="5088" spans="1:27" ht="15" customHeight="1" x14ac:dyDescent="0.3">
      <c r="A5088" s="290"/>
      <c r="B5088" s="290"/>
      <c r="C5088" s="290"/>
      <c r="D5088" s="290"/>
      <c r="E5088" s="290"/>
      <c r="F5088" s="290"/>
      <c r="G5088" s="290"/>
      <c r="H5088" s="291"/>
      <c r="I5088" s="291"/>
      <c r="J5088" s="720"/>
      <c r="K5088" s="776"/>
      <c r="L5088" s="720"/>
      <c r="M5088" s="776"/>
      <c r="N5088" s="290"/>
      <c r="O5088" s="290"/>
      <c r="P5088" s="292"/>
      <c r="Q5088" s="290"/>
      <c r="R5088" s="293"/>
      <c r="S5088" s="293"/>
      <c r="T5088" s="293"/>
      <c r="U5088" s="293" t="str">
        <f>IFERROR(VLOOKUP(CONCATENATE(Tabla1[[#This Row],[Severidad]]," ",Tabla1[[#This Row],[Complejidad]]),Catalogos!E$120:G$128,3,FALSE),"")</f>
        <v/>
      </c>
      <c r="V5088" s="293" t="str">
        <f>IF(Tabla1[[#This Row],[Tiempo solución max (hrs)]]&lt;&gt;"",IF(Tabla1[[#This Row],[Tiempo solución max (hrs)]]&gt;=Tabla1[[#This Row],[Tiempo
(Hrs 00/100)]],"cumple","no cumple"),"")</f>
        <v/>
      </c>
      <c r="W5088" s="294"/>
      <c r="X5088" s="300">
        <f t="shared" si="270"/>
        <v>0</v>
      </c>
      <c r="Y5088" s="301" t="str">
        <f>SUBSTITUTE(Tabla1[[#This Row],[Descripción]],CHAR(10),"    I    ")</f>
        <v/>
      </c>
      <c r="Z5088" s="302" t="e">
        <f>VLOOKUP(Tabla1[[#This Row],[Perfil]],Catalogos!$B$75:$D$100,3,FALSE)*Tabla1[[#This Row],[Tiempo
(Hrs 00/100)]]*1.16</f>
        <v>#N/A</v>
      </c>
      <c r="AA5088" s="301"/>
    </row>
    <row r="5089" spans="1:27" ht="15" customHeight="1" x14ac:dyDescent="0.3">
      <c r="A5089" s="290"/>
      <c r="B5089" s="290"/>
      <c r="C5089" s="290"/>
      <c r="D5089" s="290"/>
      <c r="E5089" s="290"/>
      <c r="F5089" s="290"/>
      <c r="G5089" s="290"/>
      <c r="H5089" s="291"/>
      <c r="I5089" s="291"/>
      <c r="J5089" s="720"/>
      <c r="K5089" s="776"/>
      <c r="L5089" s="720"/>
      <c r="M5089" s="776"/>
      <c r="N5089" s="290"/>
      <c r="O5089" s="290"/>
      <c r="P5089" s="292"/>
      <c r="Q5089" s="290"/>
      <c r="R5089" s="293"/>
      <c r="S5089" s="293"/>
      <c r="T5089" s="293"/>
      <c r="U5089" s="293" t="str">
        <f>IFERROR(VLOOKUP(CONCATENATE(Tabla1[[#This Row],[Severidad]]," ",Tabla1[[#This Row],[Complejidad]]),Catalogos!E$120:G$128,3,FALSE),"")</f>
        <v/>
      </c>
      <c r="V5089" s="293" t="str">
        <f>IF(Tabla1[[#This Row],[Tiempo solución max (hrs)]]&lt;&gt;"",IF(Tabla1[[#This Row],[Tiempo solución max (hrs)]]&gt;=Tabla1[[#This Row],[Tiempo
(Hrs 00/100)]],"cumple","no cumple"),"")</f>
        <v/>
      </c>
      <c r="W5089" s="294"/>
      <c r="X5089" s="300">
        <f t="shared" si="270"/>
        <v>0</v>
      </c>
      <c r="Y5089" s="301" t="str">
        <f>SUBSTITUTE(Tabla1[[#This Row],[Descripción]],CHAR(10),"    I    ")</f>
        <v/>
      </c>
      <c r="Z5089" s="302" t="e">
        <f>VLOOKUP(Tabla1[[#This Row],[Perfil]],Catalogos!$B$75:$D$100,3,FALSE)*Tabla1[[#This Row],[Tiempo
(Hrs 00/100)]]*1.16</f>
        <v>#N/A</v>
      </c>
      <c r="AA5089" s="301"/>
    </row>
    <row r="5090" spans="1:27" ht="15" customHeight="1" x14ac:dyDescent="0.3">
      <c r="A5090" s="290"/>
      <c r="B5090" s="290"/>
      <c r="C5090" s="290"/>
      <c r="D5090" s="290"/>
      <c r="E5090" s="290"/>
      <c r="F5090" s="290"/>
      <c r="G5090" s="290"/>
      <c r="H5090" s="291"/>
      <c r="I5090" s="291"/>
      <c r="J5090" s="720"/>
      <c r="K5090" s="776"/>
      <c r="L5090" s="720"/>
      <c r="M5090" s="776"/>
      <c r="N5090" s="290"/>
      <c r="O5090" s="290"/>
      <c r="P5090" s="292"/>
      <c r="Q5090" s="290"/>
      <c r="R5090" s="293"/>
      <c r="S5090" s="293"/>
      <c r="T5090" s="293"/>
      <c r="U5090" s="293" t="str">
        <f>IFERROR(VLOOKUP(CONCATENATE(Tabla1[[#This Row],[Severidad]]," ",Tabla1[[#This Row],[Complejidad]]),Catalogos!E$120:G$128,3,FALSE),"")</f>
        <v/>
      </c>
      <c r="V5090" s="293" t="str">
        <f>IF(Tabla1[[#This Row],[Tiempo solución max (hrs)]]&lt;&gt;"",IF(Tabla1[[#This Row],[Tiempo solución max (hrs)]]&gt;=Tabla1[[#This Row],[Tiempo
(Hrs 00/100)]],"cumple","no cumple"),"")</f>
        <v/>
      </c>
      <c r="W5090" s="294"/>
      <c r="X5090" s="300">
        <f t="shared" si="270"/>
        <v>0</v>
      </c>
      <c r="Y5090" s="301" t="str">
        <f>SUBSTITUTE(Tabla1[[#This Row],[Descripción]],CHAR(10),"    I    ")</f>
        <v/>
      </c>
      <c r="Z5090" s="302" t="e">
        <f>VLOOKUP(Tabla1[[#This Row],[Perfil]],Catalogos!$B$75:$D$100,3,FALSE)*Tabla1[[#This Row],[Tiempo
(Hrs 00/100)]]*1.16</f>
        <v>#N/A</v>
      </c>
      <c r="AA5090" s="301"/>
    </row>
    <row r="5091" spans="1:27" ht="15" customHeight="1" x14ac:dyDescent="0.3">
      <c r="A5091" s="290"/>
      <c r="B5091" s="290"/>
      <c r="C5091" s="290"/>
      <c r="D5091" s="290"/>
      <c r="E5091" s="290"/>
      <c r="F5091" s="290"/>
      <c r="G5091" s="290"/>
      <c r="H5091" s="291"/>
      <c r="I5091" s="291"/>
      <c r="J5091" s="720"/>
      <c r="K5091" s="776"/>
      <c r="L5091" s="720"/>
      <c r="M5091" s="776"/>
      <c r="N5091" s="290"/>
      <c r="O5091" s="290"/>
      <c r="P5091" s="292"/>
      <c r="Q5091" s="290"/>
      <c r="R5091" s="293"/>
      <c r="S5091" s="293"/>
      <c r="T5091" s="293"/>
      <c r="U5091" s="293" t="str">
        <f>IFERROR(VLOOKUP(CONCATENATE(Tabla1[[#This Row],[Severidad]]," ",Tabla1[[#This Row],[Complejidad]]),Catalogos!E$120:G$128,3,FALSE),"")</f>
        <v/>
      </c>
      <c r="V5091" s="293" t="str">
        <f>IF(Tabla1[[#This Row],[Tiempo solución max (hrs)]]&lt;&gt;"",IF(Tabla1[[#This Row],[Tiempo solución max (hrs)]]&gt;=Tabla1[[#This Row],[Tiempo
(Hrs 00/100)]],"cumple","no cumple"),"")</f>
        <v/>
      </c>
      <c r="W5091" s="294"/>
      <c r="X5091" s="300">
        <f t="shared" si="270"/>
        <v>0</v>
      </c>
      <c r="Y5091" s="301" t="str">
        <f>SUBSTITUTE(Tabla1[[#This Row],[Descripción]],CHAR(10),"    I    ")</f>
        <v/>
      </c>
      <c r="Z5091" s="302" t="e">
        <f>VLOOKUP(Tabla1[[#This Row],[Perfil]],Catalogos!$B$75:$D$100,3,FALSE)*Tabla1[[#This Row],[Tiempo
(Hrs 00/100)]]*1.16</f>
        <v>#N/A</v>
      </c>
      <c r="AA5091" s="301"/>
    </row>
    <row r="5092" spans="1:27" ht="15" customHeight="1" x14ac:dyDescent="0.3">
      <c r="A5092" s="290"/>
      <c r="B5092" s="290"/>
      <c r="C5092" s="290"/>
      <c r="D5092" s="290"/>
      <c r="E5092" s="290"/>
      <c r="F5092" s="290"/>
      <c r="G5092" s="290"/>
      <c r="H5092" s="291"/>
      <c r="I5092" s="291"/>
      <c r="J5092" s="720"/>
      <c r="K5092" s="776"/>
      <c r="L5092" s="720"/>
      <c r="M5092" s="776"/>
      <c r="N5092" s="290"/>
      <c r="O5092" s="290"/>
      <c r="P5092" s="292"/>
      <c r="Q5092" s="290"/>
      <c r="R5092" s="293"/>
      <c r="S5092" s="293"/>
      <c r="T5092" s="293"/>
      <c r="U5092" s="293" t="str">
        <f>IFERROR(VLOOKUP(CONCATENATE(Tabla1[[#This Row],[Severidad]]," ",Tabla1[[#This Row],[Complejidad]]),Catalogos!E$120:G$128,3,FALSE),"")</f>
        <v/>
      </c>
      <c r="V5092" s="293" t="str">
        <f>IF(Tabla1[[#This Row],[Tiempo solución max (hrs)]]&lt;&gt;"",IF(Tabla1[[#This Row],[Tiempo solución max (hrs)]]&gt;=Tabla1[[#This Row],[Tiempo
(Hrs 00/100)]],"cumple","no cumple"),"")</f>
        <v/>
      </c>
      <c r="W5092" s="294"/>
      <c r="X5092" s="300">
        <f t="shared" si="270"/>
        <v>0</v>
      </c>
      <c r="Y5092" s="301" t="str">
        <f>SUBSTITUTE(Tabla1[[#This Row],[Descripción]],CHAR(10),"    I    ")</f>
        <v/>
      </c>
      <c r="Z5092" s="302" t="e">
        <f>VLOOKUP(Tabla1[[#This Row],[Perfil]],Catalogos!$B$75:$D$100,3,FALSE)*Tabla1[[#This Row],[Tiempo
(Hrs 00/100)]]*1.16</f>
        <v>#N/A</v>
      </c>
      <c r="AA5092" s="301"/>
    </row>
    <row r="5093" spans="1:27" ht="15" customHeight="1" x14ac:dyDescent="0.3">
      <c r="A5093" s="290"/>
      <c r="B5093" s="290"/>
      <c r="C5093" s="290"/>
      <c r="D5093" s="290"/>
      <c r="E5093" s="290"/>
      <c r="F5093" s="290"/>
      <c r="G5093" s="290"/>
      <c r="H5093" s="291"/>
      <c r="I5093" s="291"/>
      <c r="J5093" s="720"/>
      <c r="K5093" s="776"/>
      <c r="L5093" s="720"/>
      <c r="M5093" s="776"/>
      <c r="N5093" s="290"/>
      <c r="O5093" s="290"/>
      <c r="P5093" s="292"/>
      <c r="Q5093" s="290"/>
      <c r="R5093" s="293"/>
      <c r="S5093" s="293"/>
      <c r="T5093" s="293"/>
      <c r="U5093" s="293" t="str">
        <f>IFERROR(VLOOKUP(CONCATENATE(Tabla1[[#This Row],[Severidad]]," ",Tabla1[[#This Row],[Complejidad]]),Catalogos!E$120:G$128,3,FALSE),"")</f>
        <v/>
      </c>
      <c r="V5093" s="293" t="str">
        <f>IF(Tabla1[[#This Row],[Tiempo solución max (hrs)]]&lt;&gt;"",IF(Tabla1[[#This Row],[Tiempo solución max (hrs)]]&gt;=Tabla1[[#This Row],[Tiempo
(Hrs 00/100)]],"cumple","no cumple"),"")</f>
        <v/>
      </c>
      <c r="W5093" s="294"/>
      <c r="X5093" s="300">
        <f t="shared" si="270"/>
        <v>0</v>
      </c>
      <c r="Y5093" s="301" t="str">
        <f>SUBSTITUTE(Tabla1[[#This Row],[Descripción]],CHAR(10),"    I    ")</f>
        <v/>
      </c>
      <c r="Z5093" s="302" t="e">
        <f>VLOOKUP(Tabla1[[#This Row],[Perfil]],Catalogos!$B$75:$D$100,3,FALSE)*Tabla1[[#This Row],[Tiempo
(Hrs 00/100)]]*1.16</f>
        <v>#N/A</v>
      </c>
      <c r="AA5093" s="301"/>
    </row>
    <row r="5094" spans="1:27" ht="15" customHeight="1" x14ac:dyDescent="0.3">
      <c r="A5094" s="290"/>
      <c r="B5094" s="290"/>
      <c r="C5094" s="290"/>
      <c r="D5094" s="290"/>
      <c r="E5094" s="290"/>
      <c r="F5094" s="290"/>
      <c r="G5094" s="290"/>
      <c r="H5094" s="291"/>
      <c r="I5094" s="291"/>
      <c r="J5094" s="720"/>
      <c r="K5094" s="776"/>
      <c r="L5094" s="720"/>
      <c r="M5094" s="776"/>
      <c r="N5094" s="290"/>
      <c r="O5094" s="290"/>
      <c r="P5094" s="292"/>
      <c r="Q5094" s="290"/>
      <c r="R5094" s="293"/>
      <c r="S5094" s="293"/>
      <c r="T5094" s="293"/>
      <c r="U5094" s="293" t="str">
        <f>IFERROR(VLOOKUP(CONCATENATE(Tabla1[[#This Row],[Severidad]]," ",Tabla1[[#This Row],[Complejidad]]),Catalogos!E$120:G$128,3,FALSE),"")</f>
        <v/>
      </c>
      <c r="V5094" s="293" t="str">
        <f>IF(Tabla1[[#This Row],[Tiempo solución max (hrs)]]&lt;&gt;"",IF(Tabla1[[#This Row],[Tiempo solución max (hrs)]]&gt;=Tabla1[[#This Row],[Tiempo
(Hrs 00/100)]],"cumple","no cumple"),"")</f>
        <v/>
      </c>
      <c r="W5094" s="294"/>
      <c r="X5094" s="300">
        <f t="shared" si="270"/>
        <v>0</v>
      </c>
      <c r="Y5094" s="301" t="str">
        <f>SUBSTITUTE(Tabla1[[#This Row],[Descripción]],CHAR(10),"    I    ")</f>
        <v/>
      </c>
      <c r="Z5094" s="302" t="e">
        <f>VLOOKUP(Tabla1[[#This Row],[Perfil]],Catalogos!$B$75:$D$100,3,FALSE)*Tabla1[[#This Row],[Tiempo
(Hrs 00/100)]]*1.16</f>
        <v>#N/A</v>
      </c>
      <c r="AA5094" s="301"/>
    </row>
    <row r="5095" spans="1:27" ht="15" customHeight="1" x14ac:dyDescent="0.3">
      <c r="A5095" s="295"/>
      <c r="B5095" s="295"/>
      <c r="C5095" s="295"/>
      <c r="D5095" s="295"/>
      <c r="E5095" s="295"/>
      <c r="F5095" s="295"/>
      <c r="G5095" s="295"/>
      <c r="H5095" s="296"/>
      <c r="I5095" s="296"/>
      <c r="J5095" s="733"/>
      <c r="K5095" s="777"/>
      <c r="L5095" s="733"/>
      <c r="M5095" s="777"/>
      <c r="N5095" s="295"/>
      <c r="O5095" s="295"/>
      <c r="P5095" s="297"/>
      <c r="Q5095" s="295"/>
      <c r="R5095" s="298"/>
      <c r="S5095" s="298"/>
      <c r="T5095" s="298"/>
      <c r="U5095" s="298" t="str">
        <f>IFERROR(VLOOKUP(CONCATENATE(Tabla1[[#This Row],[Severidad]]," ",Tabla1[[#This Row],[Complejidad]]),Catalogos!E$120:G$128,3,FALSE),"")</f>
        <v/>
      </c>
      <c r="V5095" s="298" t="str">
        <f>IF(Tabla1[[#This Row],[Tiempo solución max (hrs)]]&lt;&gt;"",IF(Tabla1[[#This Row],[Tiempo solución max (hrs)]]&gt;=Tabla1[[#This Row],[Tiempo
(Hrs 00/100)]],"cumple","no cumple"),"")</f>
        <v/>
      </c>
      <c r="W5095" s="299"/>
      <c r="X5095" s="300">
        <f t="shared" si="270"/>
        <v>0</v>
      </c>
      <c r="Y5095" s="301" t="str">
        <f>SUBSTITUTE(Tabla1[[#This Row],[Descripción]],CHAR(10),"    I    ")</f>
        <v/>
      </c>
      <c r="Z5095" s="302" t="e">
        <f>VLOOKUP(Tabla1[[#This Row],[Perfil]],Catalogos!$B$75:$D$100,3,FALSE)*Tabla1[[#This Row],[Tiempo
(Hrs 00/100)]]*1.16</f>
        <v>#N/A</v>
      </c>
      <c r="AA5095" s="301"/>
    </row>
  </sheetData>
  <mergeCells count="1">
    <mergeCell ref="E1:I1"/>
  </mergeCells>
  <phoneticPr fontId="80" type="noConversion"/>
  <hyperlinks>
    <hyperlink ref="P233" r:id="rId1" xr:uid="{00000000-0004-0000-0000-000000000000}"/>
    <hyperlink ref="P234" r:id="rId2" xr:uid="{00000000-0004-0000-0000-000001000000}"/>
    <hyperlink ref="P354" r:id="rId3" xr:uid="{BC6E4D86-2D5E-4B99-AB30-CF75D4214CC4}"/>
    <hyperlink ref="P355" r:id="rId4" xr:uid="{66426044-38B5-4E1E-96AD-FDF6AFBC27A9}"/>
    <hyperlink ref="P356" r:id="rId5" xr:uid="{6C7EACE6-48FA-4C33-8D9F-FFAD7D2ADC44}"/>
    <hyperlink ref="P357" r:id="rId6" xr:uid="{40BC71DE-D594-4688-93B4-8CBBE513D3D2}"/>
    <hyperlink ref="P358" r:id="rId7" xr:uid="{A009CF42-BFCF-4861-B701-C7E2DF356E7A}"/>
    <hyperlink ref="P359" r:id="rId8" xr:uid="{89721F72-6D5D-43A4-BBDA-AF266B14DB65}"/>
    <hyperlink ref="P360" r:id="rId9" xr:uid="{EFA84350-009C-4B83-B503-97C50EE0AB71}"/>
    <hyperlink ref="P361" r:id="rId10" xr:uid="{0DF2CD1D-BB62-4E18-BF44-3E3A53C1C86A}"/>
    <hyperlink ref="P362" r:id="rId11" xr:uid="{C67C391E-4175-4787-AEDE-0735FA515099}"/>
    <hyperlink ref="P363" r:id="rId12" xr:uid="{AC5BC301-59BE-4936-AD08-5E43D35CE6ED}"/>
    <hyperlink ref="P364" r:id="rId13" xr:uid="{0650CE24-950F-4B18-BF2E-3E3D801E212A}"/>
    <hyperlink ref="P365" r:id="rId14" xr:uid="{08378975-7265-49EE-B667-57D90DB13511}"/>
    <hyperlink ref="P366" r:id="rId15" xr:uid="{3D93A3E9-6578-4BC4-9115-6C5522E72514}"/>
    <hyperlink ref="P441" r:id="rId16" xr:uid="{24D0B4A8-C462-48CE-9367-2400E7CAAC19}"/>
    <hyperlink ref="P481" r:id="rId17" xr:uid="{E079B527-5FB6-4989-83C9-8A196CF78518}"/>
    <hyperlink ref="P492" r:id="rId18" xr:uid="{1AF6F85C-F222-4144-A1E3-67941883868B}"/>
    <hyperlink ref="P460" r:id="rId19" xr:uid="{C4A3DBD1-5FCF-4114-9FAD-A40BAB6F8199}"/>
    <hyperlink ref="P495" r:id="rId20" xr:uid="{4804B38A-0112-40FB-88F4-0425A384C5E4}"/>
    <hyperlink ref="P504" r:id="rId21" xr:uid="{6740BE79-FB0A-44B4-AA4C-21735CB36A2B}"/>
    <hyperlink ref="P485" r:id="rId22" display="https://www.google.com/url?q=https://teams.microsoft.com/l/meetup-join/19%253ameeting_NDc1M2ZjNTEtNWExOS00NjgxLWJkNDEtYzc5YmNkMDMxOWQ3%2540thread.v2/0?context%3D%257b%2522Tid%2522%253a%25224e6a317c-9761-4ff0-8de8-4d166927ec3b%2522%252c%2522Oid%2522%253a%2522abee1892-ec1b-4a00-9846-e199aa4672c5%2522%257d&amp;sa=D&amp;source=calendar&amp;ust=1680114066948899&amp;usg=AOvVaw2IRZsjb6XhxLRT-jh0euQk" xr:uid="{39829D88-5CF5-40BB-87C0-2A33A86EBA26}"/>
    <hyperlink ref="P444" r:id="rId23" xr:uid="{58B82995-AB06-47D1-BD27-6CE2272EB00B}"/>
    <hyperlink ref="P448" r:id="rId24" xr:uid="{441D919C-6255-49F0-9E0F-AAD046DABF2F}"/>
    <hyperlink ref="P494" r:id="rId25" xr:uid="{7768B3A3-D935-431C-8359-A70E10A6500D}"/>
    <hyperlink ref="P589" r:id="rId26" xr:uid="{DA2FCE5D-5271-43CA-98A2-112121AD720E}"/>
    <hyperlink ref="P590" r:id="rId27" xr:uid="{C81D9DD0-F392-4101-8BD3-C59C8094213A}"/>
    <hyperlink ref="P591" r:id="rId28" xr:uid="{0A6AA408-B65E-4C3F-8782-6CF48AEE4697}"/>
    <hyperlink ref="P592" r:id="rId29" xr:uid="{162B194E-1920-4077-BB2A-2E275AF6D5FE}"/>
    <hyperlink ref="P593" r:id="rId30" xr:uid="{ACE12880-94B1-4689-AE7A-7B48F024C3A8}"/>
    <hyperlink ref="P594" r:id="rId31" xr:uid="{097579CE-4EB5-4FB3-8AFA-F4E6BA041F7D}"/>
    <hyperlink ref="P595" r:id="rId32" xr:uid="{E154521E-BD1F-45BF-84EF-86768D2F4C08}"/>
    <hyperlink ref="P596" r:id="rId33" xr:uid="{7ECC3080-C263-475D-A4AB-B961D057A3B3}"/>
    <hyperlink ref="P597" r:id="rId34" xr:uid="{5BCB8C64-A9BB-4D64-8017-6BD306ED7290}"/>
    <hyperlink ref="P598" r:id="rId35" xr:uid="{D34F9E90-8785-48D5-BF01-E5D2F6328D99}"/>
    <hyperlink ref="P599" r:id="rId36" xr:uid="{4C36A361-3B9D-4FB4-967F-49F9D0CFA109}"/>
    <hyperlink ref="P600" r:id="rId37" xr:uid="{2393CBAD-B0EA-4E98-BA62-3F30F830F3AA}"/>
    <hyperlink ref="P601" r:id="rId38" xr:uid="{1F6E4EEB-77B8-4602-A4AE-193B5AEFC3E5}"/>
    <hyperlink ref="P602" r:id="rId39" xr:uid="{790BD81D-82F8-49DD-8CC4-1D04E52D073F}"/>
    <hyperlink ref="P603" r:id="rId40" xr:uid="{8A4EF4D7-D4C5-43E2-9953-71B29B560F7C}"/>
    <hyperlink ref="P604" r:id="rId41" xr:uid="{7E886085-ECD3-4BF5-A8E1-83E357EC8D7B}"/>
    <hyperlink ref="P605" r:id="rId42" xr:uid="{9C4B645A-F582-4643-8E7A-45A7B173458E}"/>
    <hyperlink ref="P606" r:id="rId43" xr:uid="{213E188D-F1B4-48A4-9BEE-FDB6002E7C1E}"/>
    <hyperlink ref="P607" r:id="rId44" xr:uid="{5548836A-00F8-4D5B-8F05-BDEECDED1D65}"/>
    <hyperlink ref="P608" r:id="rId45" xr:uid="{C3E1FA85-5B0E-4947-88F1-7A8630AC4DBD}"/>
    <hyperlink ref="P609" r:id="rId46" xr:uid="{540DDA54-8590-4082-9283-9A64232A4DD9}"/>
    <hyperlink ref="P610" r:id="rId47" xr:uid="{AAE5C560-9657-4172-9F54-73A38F281E97}"/>
    <hyperlink ref="P611" r:id="rId48" xr:uid="{E2257A43-8166-45FC-85BA-A623ABA133DE}"/>
    <hyperlink ref="P612" r:id="rId49" xr:uid="{9C7CED68-8F4D-4072-8714-623F2C6E3B06}"/>
    <hyperlink ref="P613" r:id="rId50" xr:uid="{39D0D86C-D06A-438E-8BF7-D2A507CFADCA}"/>
    <hyperlink ref="P614" r:id="rId51" xr:uid="{DA4E1B31-28CC-428E-BEAD-37D460E25DB9}"/>
    <hyperlink ref="P615" r:id="rId52" xr:uid="{85786C71-B6D4-4DB2-8264-F9D4BEA9B6FC}"/>
    <hyperlink ref="P616" r:id="rId53" xr:uid="{CE2951A6-6434-4D6F-85E5-3FD6FD669E78}"/>
    <hyperlink ref="P617" r:id="rId54" xr:uid="{1F67DDDA-BB63-4E8F-BBB6-3D48D5547DAD}"/>
    <hyperlink ref="P618" r:id="rId55" xr:uid="{E9C65A60-256A-45F3-884B-EF05A4801816}"/>
    <hyperlink ref="P619" r:id="rId56" xr:uid="{0517684D-445F-4062-8EF7-616F090A8AC8}"/>
    <hyperlink ref="P620" r:id="rId57" xr:uid="{03C3B2EC-3BDB-4E96-88BC-56962A278AE0}"/>
    <hyperlink ref="P621" r:id="rId58" xr:uid="{D48981A2-4F03-41AA-B7AB-78F0967DD858}"/>
    <hyperlink ref="P622" r:id="rId59" xr:uid="{4F19F045-7981-4297-A6B6-CEF4FDB851EA}"/>
    <hyperlink ref="P623" r:id="rId60" xr:uid="{11A5ECB6-7DCF-4499-8708-789306496262}"/>
    <hyperlink ref="P624" r:id="rId61" xr:uid="{6BE5114F-B734-4B16-821E-60306F0139D4}"/>
    <hyperlink ref="P858" r:id="rId62" xr:uid="{19EE6A75-DBD2-47EF-AB41-0C99995696EE}"/>
    <hyperlink ref="P859" r:id="rId63" xr:uid="{71C27E5D-642C-4EE3-ACEB-72191C72DDBC}"/>
    <hyperlink ref="P860" r:id="rId64" xr:uid="{3FAE2BCA-BB78-4367-AD84-31AD51243294}"/>
    <hyperlink ref="P861" r:id="rId65" xr:uid="{FD7E3984-0953-407F-91AD-6F7D17BAE24E}"/>
    <hyperlink ref="P862" r:id="rId66" xr:uid="{7748026E-B340-4A12-A3C7-A53185FAE9D7}"/>
    <hyperlink ref="P863" r:id="rId67" xr:uid="{0F03B854-8263-4C03-A8D4-3154D4F8F2F9}"/>
    <hyperlink ref="P864" r:id="rId68" xr:uid="{1A7F1145-C1A6-4562-B475-8C384995179D}"/>
    <hyperlink ref="P865" r:id="rId69" xr:uid="{34094EDF-1D7C-4D7F-A27A-399552448E0B}"/>
    <hyperlink ref="P866" r:id="rId70" xr:uid="{097B77A3-E026-4C5A-AA01-35BCB2DE68E3}"/>
    <hyperlink ref="P867" r:id="rId71" xr:uid="{5F0BAE1C-9753-4FF5-AA3D-DED6B863D5E8}"/>
    <hyperlink ref="P868" r:id="rId72" xr:uid="{CAF48934-E3DF-4C0E-A17F-3CAE06A79110}"/>
    <hyperlink ref="P869" r:id="rId73" xr:uid="{24A2262D-55CC-4012-B590-FBDA335856EC}"/>
    <hyperlink ref="P870" r:id="rId74" xr:uid="{3182CD32-6F96-4AAF-BB20-783017AD96A8}"/>
    <hyperlink ref="P871" r:id="rId75" xr:uid="{72D06784-5183-4A64-B6D1-30333EC7A731}"/>
    <hyperlink ref="P872" r:id="rId76" xr:uid="{C49B3683-BA89-4411-B751-6B47835451E5}"/>
    <hyperlink ref="P873" r:id="rId77" xr:uid="{2240C623-0169-4D6A-AEC8-CE727E7BFE93}"/>
    <hyperlink ref="P874" r:id="rId78" xr:uid="{851B9D9C-925D-4E95-BA5B-E36EA24E595A}"/>
    <hyperlink ref="P875" r:id="rId79" xr:uid="{808665BF-2245-4E2E-8A6C-18BC755EFD20}"/>
    <hyperlink ref="P876" r:id="rId80" xr:uid="{B7276EC4-6234-49D0-B613-02DB2DC4FCC3}"/>
    <hyperlink ref="P877" r:id="rId81" xr:uid="{34FB69C0-A1E7-4EB5-8451-DEBAE5A74A90}"/>
    <hyperlink ref="P878" r:id="rId82" xr:uid="{81DE6665-6213-4A7E-877D-4E95E12998BF}"/>
    <hyperlink ref="P879" r:id="rId83" xr:uid="{64FD1EC7-71B2-4871-8E59-447D07954925}"/>
    <hyperlink ref="P880" r:id="rId84" xr:uid="{1B00D7C5-BAB0-485B-8D2F-3487E581FE64}"/>
    <hyperlink ref="P881" r:id="rId85" xr:uid="{E27BAE92-7EA4-4021-B73C-DC78A5E13BFB}"/>
    <hyperlink ref="P882" r:id="rId86" xr:uid="{C713F00D-6EF7-4DB2-A937-6EB3A79D7CB9}"/>
    <hyperlink ref="P883" r:id="rId87" xr:uid="{809BC35C-9ADF-411A-A309-331BC2C0BD7A}"/>
    <hyperlink ref="P884" r:id="rId88" xr:uid="{840AAA67-A9D0-4FB5-A705-2ED4D3617A67}"/>
    <hyperlink ref="P885" r:id="rId89" xr:uid="{B4045724-293D-47A2-B932-16BB6C8FCBA7}"/>
    <hyperlink ref="P886" r:id="rId90" xr:uid="{912A2B25-3CC5-4D33-8430-ECC6442D4B6A}"/>
    <hyperlink ref="P887" r:id="rId91" xr:uid="{21E46AAD-B761-4CFE-ACCD-679BAEC2E53A}"/>
    <hyperlink ref="P888" r:id="rId92" xr:uid="{39E2F788-F162-4B02-B124-EFB898D23B3E}"/>
    <hyperlink ref="P889" r:id="rId93" xr:uid="{E14449EA-5161-4643-8766-F9976C982D66}"/>
    <hyperlink ref="P890" r:id="rId94" xr:uid="{4550847A-8EEE-4E92-8B7F-AF6BABE8F6F8}"/>
    <hyperlink ref="P891" r:id="rId95" xr:uid="{17307FFD-9252-40CC-91C3-4D3B47176DFB}"/>
    <hyperlink ref="P892" r:id="rId96" xr:uid="{D91E9002-EE08-420C-A780-5EC6B703A03E}"/>
    <hyperlink ref="P893" r:id="rId97" xr:uid="{1EE0AC7D-5F1C-4B25-A7E7-422A8A65EAEA}"/>
    <hyperlink ref="P894" r:id="rId98" xr:uid="{D57DACF1-FE44-47E6-8D74-E79FD31A6E3E}"/>
    <hyperlink ref="P895" r:id="rId99" xr:uid="{D04B180A-8218-450B-8E5F-59ACDF1BC9C1}"/>
    <hyperlink ref="P896" r:id="rId100" xr:uid="{C7CC3C5D-74FF-45BF-81C4-20300A32AA16}"/>
    <hyperlink ref="P897" r:id="rId101" xr:uid="{4AECFF57-C66C-4261-847E-C3E1B4869F06}"/>
    <hyperlink ref="P898" r:id="rId102" xr:uid="{9A74B0EC-6A54-41C5-9DBB-97A91959B923}"/>
    <hyperlink ref="P906" r:id="rId103" xr:uid="{371519F3-572F-471D-98E8-D5DA564855C1}"/>
    <hyperlink ref="P917" r:id="rId104" xr:uid="{0AA39E7D-69EB-4049-B7B8-C7F4A7F853EE}"/>
    <hyperlink ref="P922" r:id="rId105" xr:uid="{08746917-771E-4F7E-9121-5B381FBC1B4F}"/>
    <hyperlink ref="P918" r:id="rId106" xr:uid="{5BBA08AB-8A08-42EC-8966-B48D83572C91}"/>
    <hyperlink ref="P947" r:id="rId107" xr:uid="{7A7F2362-4051-4B8F-8C5D-EAE52D62C156}"/>
    <hyperlink ref="P1074" r:id="rId108" xr:uid="{ADDA60CB-17EE-4055-8C9C-06F612A53784}"/>
    <hyperlink ref="P1077" r:id="rId109" xr:uid="{7E4FCD5C-3B7D-4E68-9BED-26A8CDB4044E}"/>
    <hyperlink ref="P1679" r:id="rId110" xr:uid="{F26A4E99-B024-48DE-A99F-808CDBC7B245}"/>
    <hyperlink ref="P1682" r:id="rId111" xr:uid="{8F715F6A-99F2-400C-941B-0F13E608528F}"/>
    <hyperlink ref="P1690" r:id="rId112" display="http://172.20.32.120:5000" xr:uid="{3B7DBF81-FD1B-4CB0-99E4-E1394F680F14}"/>
    <hyperlink ref="P1692" r:id="rId113" display="http://172.20.32.120:5000" xr:uid="{6276C5EE-0524-4E92-8722-B6815C84B4C4}"/>
    <hyperlink ref="P1684" r:id="rId114" xr:uid="{C69FC83A-2EC4-4F39-8BDE-7C330CD6045D}"/>
    <hyperlink ref="P1685" r:id="rId115" xr:uid="{36F58DFC-7F86-4D7B-8CEA-244BE6F1E82A}"/>
    <hyperlink ref="P1688" r:id="rId116" xr:uid="{FAAFB097-CD93-4F70-916D-AACF1C9CD8DD}"/>
    <hyperlink ref="P1691" r:id="rId117" display="http://172.20.32.120:5000" xr:uid="{A1664874-3561-4109-AB65-130CD890E5A5}"/>
    <hyperlink ref="P1707" r:id="rId118" xr:uid="{0C6AA1EA-415A-4E3A-AB71-52B66FA34315}"/>
    <hyperlink ref="P1706" r:id="rId119" xr:uid="{1838FA9C-B41C-4969-9BD0-A8B81CC7A7E4}"/>
    <hyperlink ref="P1705" r:id="rId120" xr:uid="{02F012D4-8BFA-4B43-9C27-520CBE565976}"/>
    <hyperlink ref="P1708" r:id="rId121" xr:uid="{237440F5-E894-4F54-AAE1-33A7BF4497A4}"/>
    <hyperlink ref="P1749" r:id="rId122" xr:uid="{670A6C33-3D7B-404F-9C0E-6839015EA707}"/>
    <hyperlink ref="P1750" r:id="rId123" xr:uid="{6FB86FF4-4DF0-4E0C-A89A-5A4DE42E24F4}"/>
    <hyperlink ref="P1751" r:id="rId124" xr:uid="{0DC2216F-C18A-4E9B-846A-DC014DE747DD}"/>
    <hyperlink ref="P1752" r:id="rId125" xr:uid="{930CF589-695F-4558-91B4-F19B2BB44BC9}"/>
    <hyperlink ref="P1753" r:id="rId126" xr:uid="{6AF1FCE3-3056-41D9-8782-CA69B7B09543}"/>
    <hyperlink ref="P1754" r:id="rId127" xr:uid="{5D423E12-0AE4-40AA-9479-AFCDC82C7B0E}"/>
    <hyperlink ref="P1755" r:id="rId128" xr:uid="{315688D3-674B-46DF-8382-31792C3F7857}"/>
    <hyperlink ref="P1762" r:id="rId129" xr:uid="{4EC91CD4-E3E9-408E-ABF3-1FE53E996BAE}"/>
    <hyperlink ref="P1763" r:id="rId130" xr:uid="{2F57C881-B1BF-48A6-B8C4-257AC9935402}"/>
    <hyperlink ref="P1764" r:id="rId131" xr:uid="{81A5403E-5F9B-40B9-948A-465C763E9660}"/>
    <hyperlink ref="P1765" r:id="rId132" xr:uid="{160B8F7A-90F1-49B7-BB72-67BECEC9965D}"/>
    <hyperlink ref="P1766" r:id="rId133" xr:uid="{07288DC4-2922-4B5D-881A-496AF5794CD0}"/>
    <hyperlink ref="P1767" r:id="rId134" xr:uid="{D6D21650-AF91-4F8D-8626-ED2A5207CF6B}"/>
    <hyperlink ref="P1768" r:id="rId135" xr:uid="{C82B131A-372A-4695-9329-A20D6A94B8AB}"/>
    <hyperlink ref="P1769" r:id="rId136" xr:uid="{D504929A-5E65-4703-856D-059A27DA6431}"/>
    <hyperlink ref="P1770" r:id="rId137" xr:uid="{12C94D0D-1DB4-43D5-9386-21FED0F2172B}"/>
    <hyperlink ref="P1772" r:id="rId138" xr:uid="{A0962F33-5851-49A4-B9F0-8880A5713234}"/>
    <hyperlink ref="P1774" r:id="rId139" xr:uid="{CAEF5BFF-841B-4953-B2D8-B8653F4FBD9D}"/>
    <hyperlink ref="P1775" r:id="rId140" xr:uid="{FDC84DF1-12B6-4891-8B7D-B344CD7BAF11}"/>
    <hyperlink ref="P1724" r:id="rId141" xr:uid="{F3124651-0641-4134-9154-62D691F0E079}"/>
    <hyperlink ref="P1776:P1783" r:id="rId142" display="\\vcifs\tercerizado2023\Evidencias Tercerización 2023\Ingeniero de Prueba\Septiembre\Semana 1" xr:uid="{590F9318-374A-4E2A-B338-721FF9134598}"/>
    <hyperlink ref="P1784:P1794" r:id="rId143" display="\\vcifs\tercerizado2023\Evidencias Tercerización 2023\Ingeniero de Prueba\Septiembre\Semana 2" xr:uid="{81ACEE85-21F6-4754-A41A-D0041CB98059}"/>
    <hyperlink ref="P1795:P1806" r:id="rId144" display="\\vcifs\tercerizado2023\Evidencias Tercerización 2023\Ingeniero de Prueba\Septiembre\Semana 3" xr:uid="{704E9271-8E32-47F1-9750-967AF54F0F81}"/>
    <hyperlink ref="P1807:P1814" r:id="rId145" display="\\vcifs\tercerizado2023\Evidencias Tercerización 2023\Ingeniero de Prueba\Septiembre\Semana 4" xr:uid="{F0E7B0FC-FA1E-41B7-9CBF-936187D6AF68}"/>
    <hyperlink ref="P1693" r:id="rId146" display="http://172.20.32.120:5000" xr:uid="{D4F9F2C8-4D17-4234-AA9D-5E0D4485A8FA}"/>
    <hyperlink ref="P1689" r:id="rId147" xr:uid="{AB14A543-CAF8-4FDD-BEED-3399084EF7CB}"/>
    <hyperlink ref="P1686" r:id="rId148" xr:uid="{9980531F-B969-4C15-BC5B-A57496D1A6F1}"/>
    <hyperlink ref="P1687" r:id="rId149" xr:uid="{E537FE86-14F0-4D25-A4E6-069FBB2F6AB1}"/>
    <hyperlink ref="P1683" r:id="rId150" xr:uid="{94F6B2E5-8599-4D09-83FA-772D0CBFD474}"/>
    <hyperlink ref="P1680" r:id="rId151" xr:uid="{01E0FA9F-2C14-438C-B36F-FC367EA0B3AB}"/>
    <hyperlink ref="P1681" r:id="rId152" xr:uid="{EE14634E-341A-4DDB-B0B4-D1D68ED57AF3}"/>
    <hyperlink ref="P1673" r:id="rId153" display="http://172.20.32.120:5000" xr:uid="{0CAB5093-FEEE-457C-85F3-856DC05CF021}"/>
    <hyperlink ref="P1674" r:id="rId154" display="http://172.20.32.120:5000" xr:uid="{8043152A-6E3B-49A0-839B-963D9A0FEB02}"/>
    <hyperlink ref="P1675" r:id="rId155" display="http://172.20.32.120:5000" xr:uid="{C12CCE6E-982B-4804-A659-52408642E18C}"/>
    <hyperlink ref="P1676" r:id="rId156" display="http://172.20.32.120:5000" xr:uid="{5B190930-6C16-463F-8D0A-829EB11E622E}"/>
    <hyperlink ref="P1677" r:id="rId157" display="http://172.20.32.120:5000" xr:uid="{0ED064FE-8CA4-40B4-846B-89A3888FE9B3}"/>
    <hyperlink ref="P1678" r:id="rId158" display="http://172.20.32.120:5000" xr:uid="{C0875FEC-055D-43AF-8878-66576808A86D}"/>
    <hyperlink ref="P2050" r:id="rId159" xr:uid="{17D0E686-E71F-46B8-8E32-65F69F6DD4F7}"/>
    <hyperlink ref="P2051" r:id="rId160" xr:uid="{901D3C60-1176-4226-B7AE-090A2E24DD67}"/>
    <hyperlink ref="P2052" r:id="rId161" xr:uid="{45768A67-3EAF-4524-9925-3134B9BF0126}"/>
    <hyperlink ref="P2053" r:id="rId162" xr:uid="{35E32C00-D556-4ED8-8C86-A4026BB78175}"/>
    <hyperlink ref="P2054" r:id="rId163" xr:uid="{575450AA-99FC-401C-B6FA-14B0A3A24E6D}"/>
    <hyperlink ref="P2055" r:id="rId164" xr:uid="{FDC25B88-4EB7-49A7-9A58-71DE567A407B}"/>
    <hyperlink ref="P2056" r:id="rId165" xr:uid="{2175BEF2-C912-4FE9-8808-2958A106C5DC}"/>
    <hyperlink ref="P2057" r:id="rId166" xr:uid="{CB7D41AF-FA5D-4584-BB9E-2F2E07E88BBD}"/>
    <hyperlink ref="P2058" r:id="rId167" xr:uid="{0401246F-5F5D-4E0C-8895-4D07216B549F}"/>
    <hyperlink ref="P2059" r:id="rId168" xr:uid="{FF91B7F9-32EA-45B9-A7B2-39AD5966C247}"/>
    <hyperlink ref="P2060" r:id="rId169" xr:uid="{08B44FE0-3319-4DB0-9790-CE76D7791EC9}"/>
    <hyperlink ref="P2061" r:id="rId170" xr:uid="{CF04D5D7-2A79-490B-AC30-E7302F970BC5}"/>
    <hyperlink ref="P2062" r:id="rId171" xr:uid="{137554CF-CA71-4C8C-A7E5-875EEDE829CC}"/>
    <hyperlink ref="P2063" r:id="rId172" xr:uid="{F3F71EF6-16E4-48FF-B553-CF5AA36FA9E5}"/>
    <hyperlink ref="P2064:P2070" r:id="rId173" display="https://172.20.32.20/svn/PNT_V3/trunk/Back-end/Sigemi-pnt3-api-rest" xr:uid="{24B76BFA-A8FA-4F76-9C80-BD59E4215CDB}"/>
    <hyperlink ref="P2071" r:id="rId174" xr:uid="{9528D184-40C8-4DC1-A5D7-C23C8A8484AE}"/>
    <hyperlink ref="P2072" r:id="rId175" xr:uid="{D4EE2DDC-E4A1-C245-888C-A159A3A10688}"/>
    <hyperlink ref="P2073:P2076" r:id="rId176" display="https://172.20.32.20/svn/FIRMA_ELECTRONICA_2/trunk/Firma-electronica-app-front-end" xr:uid="{21B36FD5-9123-0846-A054-9F35889D65E6}"/>
    <hyperlink ref="P2077" r:id="rId177" xr:uid="{729EDC13-AA2A-3948-B6AC-CC8AD226FEF6}"/>
    <hyperlink ref="P2078" r:id="rId178" xr:uid="{3CED5BBA-6AF2-144A-9CFB-9C0CB600E070}"/>
    <hyperlink ref="P2079" r:id="rId179" xr:uid="{68F8B51D-9DB1-2B40-911A-5E311A71167F}"/>
    <hyperlink ref="P2080" r:id="rId180" xr:uid="{B3F061D7-BDD3-9541-823A-62649781056C}"/>
    <hyperlink ref="P2081" r:id="rId181" xr:uid="{99033F53-BAD0-EA46-82E3-52A537BC5701}"/>
    <hyperlink ref="P2082" r:id="rId182" xr:uid="{8280E490-516C-0443-BA92-B2C973B240B3}"/>
    <hyperlink ref="P2083" r:id="rId183" xr:uid="{4D5D9F1E-50ED-6844-AB48-E75650BF342D}"/>
    <hyperlink ref="P2084" r:id="rId184" xr:uid="{4ACC1D65-A485-7D4B-9903-07103AA6F9CD}"/>
    <hyperlink ref="P2085" r:id="rId185" xr:uid="{330D8466-9EA9-4B85-9679-79F7DA6BD484}"/>
    <hyperlink ref="P2086" r:id="rId186" xr:uid="{F92DEDEB-DF00-4462-A896-DC2D7530A78D}"/>
    <hyperlink ref="P2087:P2101" r:id="rId187" display="https://ifai-my.sharepoint.com/:w:/r/personal/samuel_partida_inai_org_mx/_layouts/15/Doc.aspx?sourcedoc=%7BE3893BBE-E71E-4A16-B776-AACBCF429F22%7D&amp;file=Querys_Estadisiticas_Totales_NReyes.docx&amp;action=default&amp;mobileredirect=true" xr:uid="{A3CB8315-BB42-4C38-B370-8A1FACF57538}"/>
    <hyperlink ref="P2102" r:id="rId188" xr:uid="{E4A2DEE4-410E-4FA5-8594-B212C2818B2E}"/>
    <hyperlink ref="P2103" r:id="rId189" xr:uid="{80634709-4037-4569-A144-EFFF49F14FB9}"/>
    <hyperlink ref="P2104:P2105" r:id="rId190" display="https://ifai-my.sharepoint.com/:w:/r/personal/samuel_partida_inai_org_mx/_layouts/15/Doc.aspx?sourcedoc=%7BE3893BBE-E71E-4A16-B776-AACBCF429F22%7D&amp;file=Querys_Estadisiticas_Totales_NReyes.docx&amp;action=default&amp;mobileredirect=true" xr:uid="{075AC926-EF11-44B2-B354-C5D3F05972B2}"/>
    <hyperlink ref="P2106:P2219" r:id="rId191" display="https://ifai-my.sharepoint.com/:w:/r/personal/samuel_partida_inai_org_mx/_layouts/15/Doc.aspx?sourcedoc=%7BE3893BBE-E71E-4A16-B776-AACBCF429F22%7D&amp;file=Querys_Estadisiticas_Totales_NReyes.docx&amp;action=default&amp;mobileredirect=true" xr:uid="{903F33AA-B012-44CC-A12C-41C121E4D774}"/>
    <hyperlink ref="P2293" r:id="rId192" display="http://172.20.32.120:9000" xr:uid="{B511FCEB-913F-4012-8028-FD706E2336D2}"/>
    <hyperlink ref="P2311" r:id="rId193" xr:uid="{C6D46DA9-01EC-41D5-A833-60A265BD6280}"/>
    <hyperlink ref="P2305" r:id="rId194" xr:uid="{E0568C9A-8BE8-4B1F-88EB-A1DE2D260754}"/>
    <hyperlink ref="P2307" r:id="rId195" display="http://172.20.32.118:8080" xr:uid="{BBE42162-DC54-462D-87EA-D05B12767A2C}"/>
    <hyperlink ref="P2312" r:id="rId196" display="http://172.20.32.120:5000" xr:uid="{978DC19C-9ACC-457F-BA43-81F27D13FAB1}"/>
    <hyperlink ref="P2310" r:id="rId197" display="http://172.20.32.118:8080" xr:uid="{9C911A68-5C4A-489D-BF01-1468E77A021C}"/>
    <hyperlink ref="P2314" r:id="rId198" display="http://172.20.32.120:9000" xr:uid="{2A8B6273-39A3-466B-932B-BB8A06BD1DF0}"/>
    <hyperlink ref="P2294" r:id="rId199" display="http://172.20.32.120:9000" xr:uid="{1DB399BD-42B8-485F-B2D1-1AC561171C65}"/>
    <hyperlink ref="P2295" r:id="rId200" display="http://172.20.32.120:9000" xr:uid="{84EA806C-8E78-4D01-A289-A2F847FA7AB2}"/>
    <hyperlink ref="P2296" r:id="rId201" display="http://172.20.32.120:9000" xr:uid="{1530E962-410E-4882-9B87-671D585FC276}"/>
    <hyperlink ref="P2297" r:id="rId202" display="http://172.20.32.120:9000" xr:uid="{7697FC98-0238-42B3-8882-D9A64A6E9AB8}"/>
    <hyperlink ref="P2298" r:id="rId203" display="http://172.20.32.120:9000" xr:uid="{0064D832-2974-49DD-A5F7-CD96F5B0D0E3}"/>
    <hyperlink ref="P2299" r:id="rId204" display="http://172.20.32.120:9000" xr:uid="{D2D3A809-1619-4942-BEFD-86D540A4D02C}"/>
    <hyperlink ref="P2300" r:id="rId205" display="http://172.20.32.120:9000" xr:uid="{BF0EFCE6-5DBE-405B-84B1-9E9A38BD44B3}"/>
    <hyperlink ref="P2301" r:id="rId206" display="http://172.20.32.120:9000" xr:uid="{058148E2-5E11-44D4-A2BF-F09AC7DB86C3}"/>
    <hyperlink ref="P2302" r:id="rId207" display="http://172.20.32.120:9000" xr:uid="{8B82D27B-A4EF-4093-A26D-A973E44758AA}"/>
    <hyperlink ref="P2303" r:id="rId208" display="http://172.20.32.120:9000" xr:uid="{B0F0A43A-423C-414E-821E-734C1FF5B088}"/>
    <hyperlink ref="P2304" r:id="rId209" display="http://172.20.32.120:9000" xr:uid="{0958CA41-D415-426D-A831-F645C4617C08}"/>
    <hyperlink ref="P2306" r:id="rId210" xr:uid="{7EF3DCA7-6BED-4BE8-8AB2-54CE62B8EF0A}"/>
    <hyperlink ref="P2308" r:id="rId211" display="http://172.20.32.118:8080" xr:uid="{CC8E3EB2-7B60-43EA-A092-6DD0C790DE81}"/>
    <hyperlink ref="P2309" r:id="rId212" display="http://172.20.32.118:8080" xr:uid="{0F43EA69-67D2-4603-B7C0-9D21E3F45352}"/>
    <hyperlink ref="P2313" r:id="rId213" display="http://172.20.32.120:5000" xr:uid="{D01F0DA7-8286-4325-A3BA-D4BF677573B0}"/>
    <hyperlink ref="P2315" r:id="rId214" display="\\vcifs\tercerizado2023\Evidencias Tercerización 2023\Ingeniero de Prueba\Septiembre\Semana 1" xr:uid="{ED53F726-E8A2-458B-A85E-ABE6C6551D8A}"/>
    <hyperlink ref="P2323" r:id="rId215" display="\\vcifs\tercerizado2023\Evidencias Tercerización 2023\Ingeniero de Prueba\Septiembre\Semana 2" xr:uid="{C398026C-BAEC-4F39-974C-8EB8F5B56A68}"/>
    <hyperlink ref="P2324" r:id="rId216" display="\\vcifs\tercerizado2023\Evidencias Tercerización 2023\Ingeniero de Prueba\Septiembre\Semana 2" xr:uid="{B1FD87A7-F0B4-42C9-8B71-B05B1EA2404D}"/>
    <hyperlink ref="P2325" r:id="rId217" display="\\vcifs\tercerizado2023\Evidencias Tercerización 2023\Ingeniero de Prueba\Septiembre\Semana 2" xr:uid="{2016E7B7-1094-4092-AB21-E14AF73EF454}"/>
    <hyperlink ref="P2326" r:id="rId218" display="\\vcifs\tercerizado2023\Evidencias Tercerización 2023\Ingeniero de Prueba\Septiembre\Semana 2" xr:uid="{0B783DB3-8D10-464D-99A6-7D81E845B193}"/>
    <hyperlink ref="P2327" r:id="rId219" display="\\vcifs\tercerizado2023\Evidencias Tercerización 2023\Ingeniero de Prueba\Septiembre\Semana 2" xr:uid="{8908C7A0-0890-436D-A2CB-BBFE72E79C6C}"/>
    <hyperlink ref="P2328" r:id="rId220" display="\\vcifs\tercerizado2023\Evidencias Tercerización 2023\Ingeniero de Prueba\Septiembre\Semana 2" xr:uid="{C502E5B1-69EE-4340-B470-83C605AD57C5}"/>
    <hyperlink ref="P2329" r:id="rId221" display="\\vcifs\tercerizado2023\Evidencias Tercerización 2023\Ingeniero de Prueba\Septiembre\Semana 2" xr:uid="{61CC9694-0C26-438B-A2E0-2368E528DAFD}"/>
    <hyperlink ref="P2330" r:id="rId222" display="\\vcifs\tercerizado2023\Evidencias Tercerización 2023\Ingeniero de Prueba\Septiembre\Semana 2" xr:uid="{95E31DCF-E1EA-430D-8C99-020E60461DFA}"/>
    <hyperlink ref="P2331" r:id="rId223" display="\\vcifs\tercerizado2023\Evidencias Tercerización 2023\Ingeniero de Prueba\Septiembre\Semana 3" xr:uid="{C0A0FF60-1A41-4584-8343-ECE66AC7392C}"/>
    <hyperlink ref="P2332" r:id="rId224" display="\\vcifs\tercerizado2023\Evidencias Tercerización 2023\Ingeniero de Prueba\Septiembre\Semana 3" xr:uid="{AB971C56-9A5D-42F3-8D33-363F7F8E1B31}"/>
    <hyperlink ref="P2333" r:id="rId225" display="\\vcifs\tercerizado2023\Evidencias Tercerización 2023\Ingeniero de Prueba\Septiembre\Semana 3" xr:uid="{9DC391FF-355E-468B-B663-E1502F4ACD84}"/>
    <hyperlink ref="P2334" r:id="rId226" display="\\vcifs\tercerizado2023\Evidencias Tercerización 2023\Ingeniero de Prueba\Septiembre\Semana 3" xr:uid="{67A52726-8713-49EC-BCC1-C717268F1134}"/>
    <hyperlink ref="P2335" r:id="rId227" display="\\vcifs\tercerizado2023\Evidencias Tercerización 2023\Ingeniero de Prueba\Septiembre\Semana 3" xr:uid="{D060B491-CE46-477A-BC9C-C29B67190D21}"/>
    <hyperlink ref="P2336" r:id="rId228" display="\\vcifs\tercerizado2023\Evidencias Tercerización 2023\Ingeniero de Prueba\Septiembre\Semana 3" xr:uid="{7D8D69DE-4427-4A6A-B3C4-D64A295BE1D4}"/>
    <hyperlink ref="P2337" r:id="rId229" display="\\vcifs\tercerizado2023\Evidencias Tercerización 2023\Ingeniero de Prueba\Septiembre\Semana 4" xr:uid="{9F2C4583-FCE8-4F92-99C9-FD2DBF9085F7}"/>
    <hyperlink ref="P2338" r:id="rId230" display="\\vcifs\tercerizado2023\Evidencias Tercerización 2023\Ingeniero de Prueba\Septiembre\Semana 4" xr:uid="{A84C91B4-9E94-4852-B7FE-1D7A4D836DE6}"/>
    <hyperlink ref="P2339" r:id="rId231" display="\\vcifs\tercerizado2023\Evidencias Tercerización 2023\Ingeniero de Prueba\Septiembre\Semana 4" xr:uid="{2D355349-CDFF-4616-BB6F-A235D381823A}"/>
    <hyperlink ref="P2340" r:id="rId232" display="\\vcifs\tercerizado2023\Evidencias Tercerización 2023\Ingeniero de Prueba\Septiembre\Semana 4" xr:uid="{43118261-A81F-4F1F-9CA1-3873424E73D5}"/>
    <hyperlink ref="P2341" r:id="rId233" display="\\vcifs\tercerizado2023\Evidencias Tercerización 2023\Ingeniero de Prueba\Septiembre\Semana 4" xr:uid="{E32627F2-763E-4B49-A3B6-E949A24A7C99}"/>
    <hyperlink ref="P2342" r:id="rId234" display="\\vcifs\tercerizado2023\Evidencias Tercerización 2023\Ingeniero de Prueba\Septiembre\Semana 4" xr:uid="{41549EB9-F0DC-4627-BF9D-E2A9276C50C5}"/>
    <hyperlink ref="P2343" r:id="rId235" display="\\vcifs\tercerizado2023\Evidencias Tercerización 2023\Ingeniero de Prueba\Septiembre\Semana 4" xr:uid="{7B45FD67-4D63-425A-872B-57CDB1B75D55}"/>
    <hyperlink ref="P2344" r:id="rId236" display="\\vcifs\tercerizado2023\Evidencias Tercerización 2023\Ingeniero de Prueba\Septiembre\Semana 4" xr:uid="{D93E29B4-44EC-4E00-864B-892752FCBE7D}"/>
    <hyperlink ref="P2345" r:id="rId237" display="\\vcifs\tercerizado2023\Evidencias Tercerización 2023\Ingeniero de Prueba\Septiembre\Semana 5" xr:uid="{7435C831-3B09-4C9C-A4AB-2611783D238D}"/>
    <hyperlink ref="P2346" r:id="rId238" display="\\vcifs\tercerizado2023\Evidencias Tercerización 2023\Ingeniero de Prueba\Septiembre\Semana 5" xr:uid="{82F1D9CF-DC3E-47A5-AC01-D28DDB207F05}"/>
    <hyperlink ref="P2315:P2322" r:id="rId239" display="\\vcifs\tercerizado2023\Evidencias Tercerización 2023\Ingeniero de Prueba\Octubre\Semana 1" xr:uid="{9CE3ED41-6DB4-4B07-82B9-7B940CE1115E}"/>
    <hyperlink ref="P2323:P2330" r:id="rId240" display="\\vcifs\tercerizado2023\Evidencias Tercerización 2023\Ingeniero de Prueba\Octubre\Semana 2" xr:uid="{9025BD05-7691-4DE7-98B0-C6CF1A58314A}"/>
    <hyperlink ref="P2331:P2336" r:id="rId241" display="\\vcifs\tercerizado2023\Evidencias Tercerización 2023\Ingeniero de Prueba\Octubre\Semana 3" xr:uid="{D60BC1D8-0971-452A-BB0F-DECDCF83F135}"/>
    <hyperlink ref="P2337:P2344" r:id="rId242" display="\\vcifs\tercerizado2023\Evidencias Tercerización 2023\Ingeniero de Prueba\Octubre\Semana 4" xr:uid="{23571FC1-8270-4284-9BA9-E7905E50C71F}"/>
    <hyperlink ref="P2345:P2346" r:id="rId243" display="\\vcifs\tercerizado2023\Evidencias Tercerización 2023\Ingeniero de Prueba\Octubre\Semana 5" xr:uid="{BD5FAAD0-F0FA-4EDF-8151-8976AE48217E}"/>
    <hyperlink ref="P2347" r:id="rId244" xr:uid="{68775FBF-1EA4-4765-9969-AECFF7BB325A}"/>
    <hyperlink ref="P2348" r:id="rId245" xr:uid="{F845C3BF-3D24-4E68-AE4C-7841D280B55C}"/>
    <hyperlink ref="P2350" r:id="rId246" xr:uid="{E5E64D05-D123-45C1-810A-6ACE182EF1E9}"/>
    <hyperlink ref="P2352" r:id="rId247" xr:uid="{0C1CCCD5-C870-4857-B75D-F7E4B6BC6D4F}"/>
    <hyperlink ref="P2353" r:id="rId248" xr:uid="{7CB121AD-049C-4152-AD81-91D57FECDC1F}"/>
    <hyperlink ref="P2355" r:id="rId249" xr:uid="{7C149445-316F-44FA-BB89-4B6AB9A7EA08}"/>
    <hyperlink ref="P2356" r:id="rId250" xr:uid="{38B3834C-B039-4376-A72A-10AB46B7F974}"/>
    <hyperlink ref="P2358" r:id="rId251" xr:uid="{659FD96C-8ACE-45E4-8CA7-D0C3DFFEB77B}"/>
    <hyperlink ref="P2360" r:id="rId252" xr:uid="{1A725DEF-ACE4-4F19-9428-0EF0D2489850}"/>
    <hyperlink ref="P2362" r:id="rId253" xr:uid="{7F0280F3-8D80-415B-9D29-B89E06CC24E6}"/>
    <hyperlink ref="P2364" r:id="rId254" xr:uid="{7EC9D070-8CD6-4D9F-A99E-A1994EBDD2D9}"/>
    <hyperlink ref="P2366" r:id="rId255" xr:uid="{B3CB4A3A-2B1D-41D8-A259-BDB3863097A0}"/>
    <hyperlink ref="P2349" r:id="rId256" xr:uid="{B6BB4467-9A5A-40E8-A159-E8335327942E}"/>
    <hyperlink ref="P2351" r:id="rId257" xr:uid="{6C86356C-EF1B-4F28-818A-915677B2887A}"/>
    <hyperlink ref="P2354" r:id="rId258" xr:uid="{8B31F8D2-BC8B-4C19-AABB-5094DAF6FDE3}"/>
    <hyperlink ref="P2357" r:id="rId259" xr:uid="{0A928C6D-009D-4A9D-AD4F-726E17B3B61D}"/>
    <hyperlink ref="P2359" r:id="rId260" xr:uid="{82594AD4-112F-4F61-A105-B3F2A026D90A}"/>
    <hyperlink ref="P2361" r:id="rId261" xr:uid="{17726DA3-D415-48ED-B540-D7A099A6567F}"/>
    <hyperlink ref="P2363" r:id="rId262" xr:uid="{6EC76C89-294E-4B8E-B040-797C7557EF7A}"/>
    <hyperlink ref="P2365" r:id="rId263" xr:uid="{36EE9346-A585-4E34-A92E-48F82E7B8323}"/>
    <hyperlink ref="P2489" r:id="rId264" xr:uid="{52D473AD-EC18-40C8-90B8-F8EE23B5AD52}"/>
    <hyperlink ref="P2490:P2492" r:id="rId265" display="https://172.20.32.20/svn/FIRMA_ELECTRONICA_2/trunk/Firma-electronica-app-front-end" xr:uid="{3A75B1D7-FCF0-49D2-886E-A54E4795358D}"/>
    <hyperlink ref="P2493" r:id="rId266" xr:uid="{4672B02F-C52E-4006-8155-541E18FC1A12}"/>
    <hyperlink ref="P2509" r:id="rId267" xr:uid="{55C64760-873C-470B-B6D8-09169B7AB881}"/>
    <hyperlink ref="P2510" r:id="rId268" xr:uid="{AE454366-6D49-492A-906D-4583058030FE}"/>
    <hyperlink ref="P2511" r:id="rId269" xr:uid="{E478CBEF-7DF2-4989-9475-3827AEFF3B18}"/>
    <hyperlink ref="P2512" r:id="rId270" xr:uid="{AAD512FC-9598-46FB-9BD2-32BE550ABC9E}"/>
    <hyperlink ref="P2513" r:id="rId271" xr:uid="{019F7AB2-A671-4832-8EB0-535910F4CB0B}"/>
    <hyperlink ref="P2514" r:id="rId272" xr:uid="{31177C8A-2532-4E9E-BDB3-045631549068}"/>
    <hyperlink ref="P2515" r:id="rId273" xr:uid="{349B7557-0DB3-49B7-856B-DB39876A3381}"/>
    <hyperlink ref="P2516" r:id="rId274" xr:uid="{436E90C0-ACF7-4A90-922C-CE6F87A7D628}"/>
    <hyperlink ref="P2517" r:id="rId275" xr:uid="{96F2118E-2EAB-4733-8815-89C1954F4428}"/>
    <hyperlink ref="P2518" r:id="rId276" xr:uid="{AF2A2998-F970-45D3-8C85-3A6C709640CC}"/>
    <hyperlink ref="P2519" r:id="rId277" xr:uid="{D5620F09-F217-4111-A829-21A8A0629E41}"/>
    <hyperlink ref="P2520:P2528" r:id="rId278" display="https://172.20.32.20/svn/PNT_V3/trunk/Back-end/Sigemi-pnt3-api-rest" xr:uid="{725A76F7-777F-4BAD-ACD2-34244FA8C0F0}"/>
    <hyperlink ref="P2575" r:id="rId279" xr:uid="{419D6903-BB3F-4216-B2FE-06C9E51E235C}"/>
    <hyperlink ref="P2562" r:id="rId280" xr:uid="{3E4B206A-D66B-42A2-BD3E-905A88EB1E3C}"/>
    <hyperlink ref="P2537" r:id="rId281" xr:uid="{15597D15-C44F-40AD-BAD5-F4A51ACD5803}"/>
    <hyperlink ref="P2576" r:id="rId282" xr:uid="{00000000-0004-0000-0000-000024000000}"/>
    <hyperlink ref="P2595" r:id="rId283" xr:uid="{36D0F8CE-7F83-4B6B-92AB-4EF1B52D0642}"/>
    <hyperlink ref="P2594" r:id="rId284" xr:uid="{8FDE781E-0406-4424-B77B-CF6410299E5D}"/>
    <hyperlink ref="P2614" r:id="rId285" xr:uid="{AB1B0C2D-3FBE-4D1C-8C8D-65159BD6689C}"/>
    <hyperlink ref="P2616" r:id="rId286" xr:uid="{87AE6136-A3D9-45B6-9BEB-514E236B3E2A}"/>
    <hyperlink ref="P2615" r:id="rId287" xr:uid="{9E65E94B-5B6B-41B2-9A9A-2C41CB28BAB6}"/>
    <hyperlink ref="P2617" r:id="rId288" xr:uid="{07FD37CF-5BC4-46E7-AA35-8C5FF311C2C9}"/>
    <hyperlink ref="P2619" r:id="rId289" xr:uid="{77044D11-0227-453C-BF1E-826B49425F8C}"/>
    <hyperlink ref="P2620" r:id="rId290" xr:uid="{75B84700-8E51-45E9-9388-0522BD6B0D40}"/>
    <hyperlink ref="P2621" r:id="rId291" xr:uid="{C93CE00F-4616-4ED3-82B5-98DF25E65C18}"/>
    <hyperlink ref="P2622" r:id="rId292" xr:uid="{DFBF08AD-28AB-48BA-896D-87A1BEDDBAF7}"/>
    <hyperlink ref="P2623" r:id="rId293" xr:uid="{155E3259-6C52-4173-BD73-4F3D0E6BC789}"/>
    <hyperlink ref="P2624" r:id="rId294" xr:uid="{026A0CE8-44C2-4AF6-BBEC-427CFBA72977}"/>
    <hyperlink ref="P2625" r:id="rId295" xr:uid="{8152CD97-E9C4-4DE4-8690-03C2B2667A39}"/>
    <hyperlink ref="P2626" r:id="rId296" xr:uid="{2CE59E89-65A9-4C23-AEF2-95A55075845B}"/>
    <hyperlink ref="P2627" r:id="rId297" xr:uid="{BCEC6D40-55FE-4EAA-8AC9-1F2C67357B3D}"/>
    <hyperlink ref="P2628" r:id="rId298" xr:uid="{429CEE91-5CDC-4058-9A4D-8DEEEF5ADFA4}"/>
    <hyperlink ref="P2629" r:id="rId299" xr:uid="{79EA570C-006B-430D-9C7D-2E4233D42D72}"/>
    <hyperlink ref="P2630" r:id="rId300" xr:uid="{90AE4265-D42B-4FB4-B1EA-260D03CCB0DB}"/>
    <hyperlink ref="P2631" r:id="rId301" xr:uid="{E4B52026-703E-4F81-8479-F8E1109067D2}"/>
    <hyperlink ref="P2632" r:id="rId302" xr:uid="{41452A2D-C126-4BB5-A26F-73C5D6912542}"/>
    <hyperlink ref="P2633" r:id="rId303" xr:uid="{59D8F65D-33F8-4945-B024-A59982835C42}"/>
    <hyperlink ref="P2634" r:id="rId304" xr:uid="{6D3DF63D-77B9-4419-9C7D-6EBFC6F72303}"/>
    <hyperlink ref="P2635" r:id="rId305" xr:uid="{AEE75E02-FA15-48A4-9A24-BB0395096681}"/>
    <hyperlink ref="P2636" r:id="rId306" xr:uid="{D95F6ECE-D47B-4DBC-9693-564EA8F47934}"/>
    <hyperlink ref="P2637" r:id="rId307" xr:uid="{65CCE1ED-BD68-4D0F-8291-8D839E10AFA0}"/>
    <hyperlink ref="P2639" r:id="rId308" xr:uid="{72F2EFC2-6AEF-4078-86BB-AC50218A5FF5}"/>
    <hyperlink ref="P2618" r:id="rId309" xr:uid="{0969816B-3107-4792-890C-B5094D6727B2}"/>
    <hyperlink ref="P2638" r:id="rId310" xr:uid="{345835ED-0A50-4B84-8158-5F4EF932D42A}"/>
    <hyperlink ref="P2693" r:id="rId311"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D91311C1-04F9-48B9-9959-3AA0B19A9FC1}"/>
    <hyperlink ref="P2695" r:id="rId312"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DAB0E8F7-2E9B-4FBA-B944-71EB7CECB3DC}"/>
    <hyperlink ref="P2696" r:id="rId313"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AE6C14CC-6DF6-479C-B9C3-586326FF7925}"/>
    <hyperlink ref="P2697" r:id="rId314"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2ECA2AA7-B9FC-4912-B2C5-5733935C3C75}"/>
    <hyperlink ref="P2698" r:id="rId315"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CE732259-91C1-43B7-96D0-529A9716BAC8}"/>
    <hyperlink ref="P2699" r:id="rId316"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71F85B2F-1895-43E5-9DA8-CB651EB86F57}"/>
    <hyperlink ref="P2700" r:id="rId317"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5A108CC7-061A-4C1E-9989-F462842E11BE}"/>
    <hyperlink ref="P2804" r:id="rId318"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52C25E15-11FF-4F8B-AE53-63C1E3C1244E}"/>
    <hyperlink ref="P2805" r:id="rId319"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4B0B7B09-1FE5-4052-A29E-C7B8216D7495}"/>
    <hyperlink ref="P2806" r:id="rId320"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5DC23D13-D7D2-4EC8-964B-3FF0EF63DFD6}"/>
    <hyperlink ref="P2807" r:id="rId321"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CB86667A-3B96-429A-AD35-84D1F84DD53C}"/>
    <hyperlink ref="P2808" r:id="rId322"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32BE35A1-297D-4809-9871-9BC25E4DB7EF}"/>
    <hyperlink ref="P2809" r:id="rId323"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B7E3B0B7-31EE-43DF-80AA-C4A172C41CA5}"/>
    <hyperlink ref="P2810" r:id="rId324"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7F84A641-A906-4441-B97E-B32C814E542D}"/>
    <hyperlink ref="P2811" r:id="rId325"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DF0A4C36-6AD3-456B-A43B-CAA57082F0DF}"/>
    <hyperlink ref="P2812" r:id="rId326"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0291D53B-5282-4890-B9AC-CE13CE7D3ECC}"/>
    <hyperlink ref="P2819" r:id="rId327"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344E4F01-5E7C-4F20-80E2-8CAFB57BA9EE}"/>
    <hyperlink ref="P2820:P2828" r:id="rId328"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5D141767-2E0A-4503-ACE1-1CAC8BA1E697}"/>
    <hyperlink ref="P2694" r:id="rId329" display="https://ifai-my.sharepoint.com/personal/samuel_partida_inai_org_mx/_layouts/15/onedrive.aspx?ga=1&amp;id=%2Fpersonal%2Fsamuel%5Fpartida%5Finai%5Forg%5Fmx%2FDocuments%2FOPTIMIZAR%5FQUERYS%5FSISAI%5FSIGEMI%2FPACK%5FQUEJAS%5FESTADISTICAS%2Ezip&amp;parent=%2Fpersonal%2Fsamuel%5Fpartida%5Finai%5Forg%5Fmx%2FDocuments%2FOPTIMIZAR%5FQUERYS%5FSISAI%5FSIGEMI" xr:uid="{D9E9746B-A249-4F9D-8BAC-FDF6B6D0EC06}"/>
    <hyperlink ref="P2823" r:id="rId330"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063450C2-F934-4253-88B5-762E1E34E27A}"/>
    <hyperlink ref="P2824" r:id="rId331" display="https://ifai-my.sharepoint.com/personal/samuel_partida_inai_org_mx/_layouts/15/onedrive.aspx?ga=1&amp;id=%2Fpersonal%2Fsamuel%5Fpartida%5Finai%5Forg%5Fmx%2FDocuments%2FOPTIMIZAR%5FQUERYS%5FSISAI%5FSIGEMI%2FPK%5FSOLICITUDES%5FESTADISTICAS%2Ezip&amp;parent=%2Fpersonal%2Fsamuel%5Fpartida%5Finai%5Forg%5Fmx%2FDocuments%2FOPTIMIZAR%5FQUERYS%5FSISAI%5FSIGEMI" xr:uid="{A5FA8B99-B00A-44BC-9AE6-ACE041E95EA9}"/>
    <hyperlink ref="P2904" r:id="rId332" display="http://172.20.32.120:9000" xr:uid="{5DD7C505-5C0F-4F7F-809D-4DEE483AA429}"/>
    <hyperlink ref="P2906" r:id="rId333" xr:uid="{78092F60-A81A-4844-BCBA-039E6A566C7D}"/>
    <hyperlink ref="P2894" r:id="rId334" display="http://172.20.32.120:9000" xr:uid="{AAA0EDE4-40FD-4FBC-A816-16F8B82296BE}"/>
    <hyperlink ref="P2895" r:id="rId335" display="http://172.20.32.120:9000" xr:uid="{0B10F605-7708-4E19-AC0D-400CCA1DFCC0}"/>
    <hyperlink ref="P2896:P2900" r:id="rId336" display="http://172.20.32.120:9000" xr:uid="{BBECF7AD-7519-469E-8299-4B7C8D4AA90A}"/>
    <hyperlink ref="P2901:P2903" r:id="rId337" display="http://172.20.32.120:9000" xr:uid="{97F7ECAD-1B47-4A33-99B0-421ADE7DD228}"/>
    <hyperlink ref="P2907:P2913" r:id="rId338" display="http://172.20.32.120:9000" xr:uid="{DE41BC2E-ACB9-4C9F-B4B4-3FC70EC60C78}"/>
    <hyperlink ref="P2905" r:id="rId339" display="http://172.20.32.120:9000" xr:uid="{C489CB63-B2B2-481B-8353-3BA945BF99C8}"/>
    <hyperlink ref="P2914" r:id="rId340" xr:uid="{18AC303C-B420-4B81-9DA5-C2026A70D381}"/>
    <hyperlink ref="P2916" r:id="rId341" xr:uid="{ED7ABFBA-BD26-4EDB-B47F-256DDB5B9F86}"/>
    <hyperlink ref="P2917" r:id="rId342" xr:uid="{BAEEA154-5CC5-495B-A3B4-A062BECC1075}"/>
    <hyperlink ref="P2919" r:id="rId343" xr:uid="{CC511C2A-9BA6-4DB9-8CB9-92FA53930211}"/>
    <hyperlink ref="P2920:P2921" r:id="rId344" display="https://172.20.32.20/svn/Pizarras4/tags/frontend/pizarras_v4_frontend" xr:uid="{6DBD86CD-938C-4E11-BCDF-9992D4ACB3EE}"/>
    <hyperlink ref="P2915" r:id="rId345" xr:uid="{7F08E308-7D99-4AAA-B9EF-86F3209332E7}"/>
    <hyperlink ref="P2923" r:id="rId346" xr:uid="{C110F2FF-5012-41DC-A881-4C1105FEA965}"/>
    <hyperlink ref="P2925" r:id="rId347" xr:uid="{E7097462-1629-4A42-9ACD-404F133057CD}"/>
    <hyperlink ref="P2926" r:id="rId348" xr:uid="{32ABBC2C-8ADF-4C2A-AAF6-EF6A8BBE7936}"/>
    <hyperlink ref="P2927:P2965" r:id="rId349" display="https://172.20.32.20/svn/Pizarras4/tags/frontend/pizarras_v4_frontend" xr:uid="{353D25DE-455B-463A-A255-C2E040388200}"/>
    <hyperlink ref="P2967" r:id="rId350" xr:uid="{8A38C89D-6FA3-415C-8687-0B3B14D94969}"/>
    <hyperlink ref="P2969" r:id="rId351" xr:uid="{4FC7C8F3-E916-4082-BC19-61D01A3AC4A0}"/>
    <hyperlink ref="P2975" r:id="rId352" xr:uid="{D1F0CC53-2176-4784-894B-42E6A93BF6D3}"/>
    <hyperlink ref="P34" r:id="rId353" xr:uid="{FAA107D7-FADD-406F-A05B-0DC08E94B40B}"/>
    <hyperlink ref="P3156" r:id="rId354" xr:uid="{C3A15C00-2A37-4FF8-A609-60358FAE2EDA}"/>
    <hyperlink ref="P3157" r:id="rId355" xr:uid="{49050D61-4F91-4BBC-BA73-8CB9401F181D}"/>
    <hyperlink ref="P3158:P3166" r:id="rId356" display="https://172.20.32.20/svn/PNT_V3/trunk/Back-end/Sigemi-pnt3-api-rest" xr:uid="{E9196D75-4EA7-4E9F-9F7D-BABFDD1B84AF}"/>
    <hyperlink ref="P3148" r:id="rId357" xr:uid="{50E5B7B1-5262-4B0F-8F41-9A06347A0898}"/>
    <hyperlink ref="P3149" r:id="rId358" xr:uid="{AB18FF0C-2CCD-4265-8CA0-98E35E360269}"/>
    <hyperlink ref="P3150" r:id="rId359" xr:uid="{649382D0-E982-4551-98A0-9E9430304D0B}"/>
    <hyperlink ref="P3151" r:id="rId360" xr:uid="{95F473AB-7C72-4559-8B17-E9205CAED6D9}"/>
    <hyperlink ref="P3152" r:id="rId361" xr:uid="{C5D5074C-682C-4774-BD29-7F1EB0B818DE}"/>
    <hyperlink ref="P3153" r:id="rId362" xr:uid="{9EC832F8-EA1E-4C7E-9FFD-8826AEAA74C3}"/>
    <hyperlink ref="P3155" r:id="rId363" xr:uid="{2D5BD4BC-6D6E-4DE8-AF0C-C631182E9DDB}"/>
    <hyperlink ref="P3147" r:id="rId364" display="https://ifai-my.sharepoint.com/personal/carlos_miranda_inai_org_mx/_layouts/15/onedrive.aspx?ga=1&amp;id=%2Fpersonal%2Fcarlos%5Fmiranda%5Finai%5Forg%5Fmx%2FDocuments%2FProyecto%20Nueva%20Arq%20de%20la%20PNT%20%28Eliminaci%C3%B3n%20de%20Liferay%29%2F9%2E%20Pruebas%2F3%2E%20Seguridad%2FPruebas%2020231110" xr:uid="{C0173E56-AB13-4B59-896C-A5253B5C63DE}"/>
    <hyperlink ref="P3167" r:id="rId365" xr:uid="{1336E43F-6106-495F-84C2-65F63A4FD5BA}"/>
    <hyperlink ref="P3168:P3172" r:id="rId366" display="\\vcifs\tercerizado2023\Evidencias Tercerización 2023\Ingeniero de Prueba\Diciembre\Semana 1" xr:uid="{DC1B458D-405D-49E5-AD44-F9C4BA08048C}"/>
    <hyperlink ref="P3168" r:id="rId367" xr:uid="{3DA2FC98-055F-4502-AFEF-B916EEE35625}"/>
    <hyperlink ref="P3169" r:id="rId368" xr:uid="{A3E1E4B0-B57C-4B94-9D81-F85346B999AE}"/>
    <hyperlink ref="P3170" r:id="rId369" xr:uid="{DED13484-D2FE-4652-8091-1CFDA5AAA487}"/>
    <hyperlink ref="P3171" r:id="rId370" xr:uid="{AC8AD075-A53C-4BC0-B099-C915AA9FA99D}"/>
    <hyperlink ref="P3172" r:id="rId371" xr:uid="{AE8147E0-5285-4BB8-B642-9C5990D86841}"/>
    <hyperlink ref="P3173" r:id="rId372" display="\\vcifs\tercerizado2023\Evidencias Tercerización 2023\Ingeniero de Prueba\Diciembre\Semana 1" xr:uid="{5D177BED-CFD0-46EE-A10A-CD2F8A2E9075}"/>
    <hyperlink ref="P3176" r:id="rId373" xr:uid="{4F092C5C-2315-4060-AF83-5D41A757FB61}"/>
    <hyperlink ref="P3177" r:id="rId374" xr:uid="{5DA042EB-76B5-4BE5-8672-065B1D21F6B6}"/>
    <hyperlink ref="P3178" r:id="rId375" xr:uid="{F1269520-620C-4CB0-9CDB-B15091664D56}"/>
    <hyperlink ref="P3179" r:id="rId376" xr:uid="{2AD25719-72BB-400B-A424-BB4C2B7369AD}"/>
    <hyperlink ref="P3180" r:id="rId377" xr:uid="{33BEA0BA-057E-46DB-8661-6267963BCB32}"/>
    <hyperlink ref="P3181" r:id="rId378" xr:uid="{CE4AF248-73C4-46D7-B16E-255B08F9A53C}"/>
    <hyperlink ref="P3175" r:id="rId379" xr:uid="{A8B371DE-9149-4F8D-B88D-169229B37AF8}"/>
    <hyperlink ref="P3223" r:id="rId380" xr:uid="{239F6742-FC0D-4A62-9D47-14296007C98F}"/>
    <hyperlink ref="P3224:P3325" r:id="rId381" display="https://ifai-my.sharepoint.com/:w:/r/personal/samuel_partida_inai_org_mx/_layouts/15/Doc.aspx?sourcedoc=%7BA1D90F5F-3565-4282-BD9E-D565696C0BAB%7D&amp;file=Querys_Estadisiticas_Totales_NUEVO_1223NRG.docx&amp;action=default&amp;mobileredirect=true" xr:uid="{7E472B66-A880-491A-A988-1245FC255A8A}"/>
    <hyperlink ref="P3192" r:id="rId382" display="https://ifai-my.sharepoint.com/personal/samuel_partida_inai_org_mx/_layouts/15/onedrive.aspx?ga=1&amp;id=%2Fpersonal%2Fsamuel%5Fpartida%5Finai%5Forg%5Fmx%2FDocuments%2FOPTIMIZAR%5FQUERYS%5FSISAI%5FSIGEMI%2FPACK%5FQUEJAS%5FESTADISTICAS%2Ezip&amp;parent=%2Fpersonal%2Fsamuel%5Fpartida%5Finai%5Forg%5Fmx%2FDocuments%2FOPTIMIZAR%5FQUERYS%5FSISAI%5FSIGEMI" xr:uid="{5626F540-2526-49D4-8B9E-1B8A7E60DED0}"/>
    <hyperlink ref="P3193:P3222" r:id="rId383" display="https://ifai-my.sharepoint.com/personal/samuel_partida_inai_org_mx/_layouts/15/onedrive.aspx?ga=1&amp;id=%2Fpersonal%2Fsamuel%5Fpartida%5Finai%5Forg%5Fmx%2FDocuments%2FOPTIMIZAR%5FQUERYS%5FSISAI%5FSIGEMI%2FPACK%5FQUEJAS%5FESTADISTICAS%2Ezip&amp;parent=%2Fpersonal%2Fsamuel%5Fpartida%5Finai%5Forg%5Fmx%2FDocuments%2FOPTIMIZAR%5FQUERYS%5FSISAI%5FSIGEMI" xr:uid="{53045CA1-61A9-4E3D-964B-CF9F80595080}"/>
    <hyperlink ref="P3362" r:id="rId384" xr:uid="{3DE19522-A1A5-4FA8-B6A4-7922C4539FA9}"/>
    <hyperlink ref="P3363" r:id="rId385" xr:uid="{FC0B84B9-2800-4813-B63A-F7903A9568C9}"/>
    <hyperlink ref="P3365" r:id="rId386" xr:uid="{8AAB0EF4-8D36-4C47-BC51-DC25611834C4}"/>
    <hyperlink ref="P3366:P3367" r:id="rId387" display="https://172.20.32.20/svn/Pizarras4/tags/frontend/pizarras_v4_frontend" xr:uid="{81743485-CF57-4CD8-9C92-C1BB4259C81A}"/>
    <hyperlink ref="P3361" r:id="rId388" xr:uid="{EA2405BE-E67E-4DE6-B445-1AC55268BCA9}"/>
    <hyperlink ref="P3369" r:id="rId389" xr:uid="{327330D4-5111-4255-A2F6-1DEECB6FCD01}"/>
    <hyperlink ref="P3371" r:id="rId390" xr:uid="{335CBFAB-7802-42BB-BB71-4F476E8CFF3A}"/>
    <hyperlink ref="P3372" r:id="rId391" xr:uid="{2242D646-EFC7-40D2-A5F7-A7A923307A4D}"/>
    <hyperlink ref="P3373:P3411" r:id="rId392" display="https://172.20.32.20/svn/Pizarras4/tags/frontend/pizarras_v4_frontend" xr:uid="{DC80BEA3-1318-4972-817D-102B10D1BC68}"/>
    <hyperlink ref="P3360" r:id="rId393" xr:uid="{33AA81DE-DF12-4B6B-AF28-90433D9AE756}"/>
    <hyperlink ref="P3412:P3427" r:id="rId394" display="https://172.20.32.20/svn/Pizarras4/tags/frontend/pizarras_v4_frontend" xr:uid="{8FDD3ED0-A1BD-474A-948B-9A6AC0F00C65}"/>
    <hyperlink ref="P3460" r:id="rId395" display="http://172.20.32.120:9000" xr:uid="{4E9CB35E-6260-42EA-96CF-60B87C025D22}"/>
    <hyperlink ref="P3461:P3481" r:id="rId396" display="http://172.20.32.120:9000" xr:uid="{0302DD03-6D4B-4291-ACEF-DC7360E38F8A}"/>
  </hyperlinks>
  <pageMargins left="0.7" right="0.7" top="0.75" bottom="0.75" header="0" footer="0"/>
  <pageSetup paperSize="9" scale="16" fitToHeight="0" orientation="landscape" r:id="rId397"/>
  <drawing r:id="rId398"/>
  <tableParts count="1">
    <tablePart r:id="rId39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1"/>
  <sheetViews>
    <sheetView zoomScale="80" zoomScaleNormal="80" workbookViewId="0">
      <selection activeCell="A4" sqref="A4"/>
    </sheetView>
  </sheetViews>
  <sheetFormatPr baseColWidth="10" defaultRowHeight="14.4" x14ac:dyDescent="0.3"/>
  <cols>
    <col min="1" max="1" width="12.21875" bestFit="1" customWidth="1"/>
    <col min="2" max="2" width="17.21875" bestFit="1" customWidth="1"/>
    <col min="3" max="3" width="14.33203125" bestFit="1" customWidth="1"/>
  </cols>
  <sheetData>
    <row r="1" spans="1:3" x14ac:dyDescent="0.3">
      <c r="A1" s="22" t="s">
        <v>53</v>
      </c>
      <c r="B1" t="s">
        <v>204</v>
      </c>
    </row>
    <row r="2" spans="1:3" x14ac:dyDescent="0.3">
      <c r="A2" s="22" t="s">
        <v>52</v>
      </c>
      <c r="B2" t="s">
        <v>105</v>
      </c>
    </row>
    <row r="3" spans="1:3" x14ac:dyDescent="0.3">
      <c r="A3" s="22" t="s">
        <v>5373</v>
      </c>
      <c r="B3" t="s">
        <v>204</v>
      </c>
    </row>
    <row r="5" spans="1:3" x14ac:dyDescent="0.3">
      <c r="A5" s="22" t="s">
        <v>14</v>
      </c>
      <c r="B5" t="s">
        <v>174</v>
      </c>
      <c r="C5" t="s">
        <v>175</v>
      </c>
    </row>
    <row r="6" spans="1:3" x14ac:dyDescent="0.3">
      <c r="A6" s="15" t="s">
        <v>105</v>
      </c>
      <c r="B6" s="966"/>
      <c r="C6" s="966"/>
    </row>
    <row r="7" spans="1:3" x14ac:dyDescent="0.3">
      <c r="A7" s="15" t="s">
        <v>33</v>
      </c>
      <c r="B7" s="966"/>
      <c r="C7" s="966"/>
    </row>
    <row r="15" spans="1:3" x14ac:dyDescent="0.3">
      <c r="A15" s="22" t="s">
        <v>53</v>
      </c>
      <c r="B15" t="s">
        <v>204</v>
      </c>
    </row>
    <row r="16" spans="1:3" x14ac:dyDescent="0.3">
      <c r="A16" s="22" t="s">
        <v>52</v>
      </c>
      <c r="B16" t="s">
        <v>105</v>
      </c>
    </row>
    <row r="18" spans="1:1" x14ac:dyDescent="0.3">
      <c r="A18" s="22" t="s">
        <v>34</v>
      </c>
    </row>
    <row r="19" spans="1:1" x14ac:dyDescent="0.3">
      <c r="A19" s="15" t="s">
        <v>105</v>
      </c>
    </row>
    <row r="20" spans="1:1" x14ac:dyDescent="0.3">
      <c r="A20" s="50" t="s">
        <v>105</v>
      </c>
    </row>
    <row r="21" spans="1:1" x14ac:dyDescent="0.3">
      <c r="A21" s="15" t="s">
        <v>33</v>
      </c>
    </row>
  </sheetData>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91"/>
  <sheetViews>
    <sheetView zoomScale="70" zoomScaleNormal="70" workbookViewId="0">
      <selection activeCell="A4" sqref="A4"/>
    </sheetView>
  </sheetViews>
  <sheetFormatPr baseColWidth="10" defaultColWidth="11.44140625" defaultRowHeight="14.4" x14ac:dyDescent="0.3"/>
  <cols>
    <col min="1" max="1" width="19.109375" style="1" bestFit="1" customWidth="1"/>
    <col min="2" max="2" width="10.77734375" style="3" bestFit="1" customWidth="1"/>
    <col min="3" max="3" width="16.77734375" style="4" bestFit="1" customWidth="1"/>
    <col min="4" max="4" width="12.5546875" style="1" bestFit="1" customWidth="1"/>
    <col min="5" max="16384" width="11.44140625" style="1"/>
  </cols>
  <sheetData>
    <row r="1" spans="1:3" x14ac:dyDescent="0.3">
      <c r="A1" s="22" t="s">
        <v>53</v>
      </c>
      <c r="B1" t="s">
        <v>204</v>
      </c>
      <c r="C1" s="1"/>
    </row>
    <row r="2" spans="1:3" x14ac:dyDescent="0.3">
      <c r="A2" s="22" t="s">
        <v>52</v>
      </c>
      <c r="B2" t="s">
        <v>962</v>
      </c>
      <c r="C2" s="1"/>
    </row>
    <row r="3" spans="1:3" x14ac:dyDescent="0.3">
      <c r="A3" s="22" t="s">
        <v>5373</v>
      </c>
      <c r="B3" t="s">
        <v>204</v>
      </c>
      <c r="C3" s="1"/>
    </row>
    <row r="4" spans="1:3" x14ac:dyDescent="0.3">
      <c r="B4" s="2"/>
      <c r="C4" s="1"/>
    </row>
    <row r="5" spans="1:3" x14ac:dyDescent="0.3">
      <c r="A5" s="22" t="s">
        <v>5</v>
      </c>
      <c r="B5" t="s">
        <v>31</v>
      </c>
      <c r="C5" t="s">
        <v>32</v>
      </c>
    </row>
    <row r="6" spans="1:3" x14ac:dyDescent="0.3">
      <c r="A6" s="15" t="s">
        <v>375</v>
      </c>
      <c r="B6" s="966">
        <v>15</v>
      </c>
      <c r="C6" s="966">
        <v>120</v>
      </c>
    </row>
    <row r="7" spans="1:3" x14ac:dyDescent="0.3">
      <c r="A7" s="15" t="s">
        <v>404</v>
      </c>
      <c r="B7" s="966">
        <v>20</v>
      </c>
      <c r="C7" s="966">
        <v>119</v>
      </c>
    </row>
    <row r="8" spans="1:3" x14ac:dyDescent="0.3">
      <c r="A8" s="15" t="s">
        <v>554</v>
      </c>
      <c r="B8" s="966">
        <v>36</v>
      </c>
      <c r="C8" s="966">
        <v>120</v>
      </c>
    </row>
    <row r="9" spans="1:3" x14ac:dyDescent="0.3">
      <c r="A9" s="15" t="s">
        <v>503</v>
      </c>
      <c r="B9" s="966">
        <v>53</v>
      </c>
      <c r="C9" s="966">
        <v>160</v>
      </c>
    </row>
    <row r="10" spans="1:3" x14ac:dyDescent="0.3">
      <c r="A10" s="15" t="s">
        <v>538</v>
      </c>
      <c r="B10" s="966">
        <v>20</v>
      </c>
      <c r="C10" s="966">
        <v>160</v>
      </c>
    </row>
    <row r="11" spans="1:3" x14ac:dyDescent="0.3">
      <c r="A11" s="15" t="s">
        <v>689</v>
      </c>
      <c r="B11" s="966">
        <v>25</v>
      </c>
      <c r="C11" s="966">
        <v>136</v>
      </c>
    </row>
    <row r="12" spans="1:3" x14ac:dyDescent="0.3">
      <c r="A12" s="15" t="s">
        <v>924</v>
      </c>
      <c r="B12" s="966">
        <v>32</v>
      </c>
      <c r="C12" s="966">
        <v>245</v>
      </c>
    </row>
    <row r="13" spans="1:3" x14ac:dyDescent="0.3">
      <c r="A13" s="15" t="s">
        <v>33</v>
      </c>
      <c r="B13" s="966">
        <v>201</v>
      </c>
      <c r="C13" s="966">
        <v>1060</v>
      </c>
    </row>
    <row r="14" spans="1:3" x14ac:dyDescent="0.3">
      <c r="A14"/>
      <c r="B14"/>
      <c r="C14"/>
    </row>
    <row r="15" spans="1:3" x14ac:dyDescent="0.3">
      <c r="A15"/>
      <c r="B15"/>
      <c r="C15"/>
    </row>
    <row r="16" spans="1:3" x14ac:dyDescent="0.3">
      <c r="A16"/>
      <c r="B16"/>
      <c r="C16"/>
    </row>
    <row r="17" spans="1:3" x14ac:dyDescent="0.3">
      <c r="A17"/>
      <c r="B17"/>
      <c r="C17"/>
    </row>
    <row r="18" spans="1:3" x14ac:dyDescent="0.3">
      <c r="A18"/>
      <c r="B18"/>
      <c r="C18"/>
    </row>
    <row r="19" spans="1:3" x14ac:dyDescent="0.3">
      <c r="A19"/>
      <c r="B19"/>
      <c r="C19"/>
    </row>
    <row r="20" spans="1:3" x14ac:dyDescent="0.3">
      <c r="A20"/>
      <c r="B20"/>
      <c r="C20"/>
    </row>
    <row r="21" spans="1:3" x14ac:dyDescent="0.3">
      <c r="A21"/>
      <c r="B21"/>
      <c r="C21"/>
    </row>
    <row r="22" spans="1:3" x14ac:dyDescent="0.3">
      <c r="A22"/>
      <c r="B22"/>
      <c r="C22"/>
    </row>
    <row r="23" spans="1:3" x14ac:dyDescent="0.3">
      <c r="A23"/>
      <c r="B23"/>
      <c r="C23"/>
    </row>
    <row r="24" spans="1:3" x14ac:dyDescent="0.3">
      <c r="A24"/>
      <c r="B24"/>
      <c r="C24"/>
    </row>
    <row r="25" spans="1:3" x14ac:dyDescent="0.3">
      <c r="A25"/>
      <c r="B25"/>
      <c r="C25"/>
    </row>
    <row r="44" spans="1:3" x14ac:dyDescent="0.3">
      <c r="A44"/>
      <c r="B44"/>
      <c r="C44" s="1"/>
    </row>
    <row r="45" spans="1:3" x14ac:dyDescent="0.3">
      <c r="A45"/>
      <c r="B45"/>
      <c r="C45" s="1"/>
    </row>
    <row r="46" spans="1:3" x14ac:dyDescent="0.3">
      <c r="A46"/>
      <c r="B46"/>
      <c r="C46" s="1"/>
    </row>
    <row r="47" spans="1:3" x14ac:dyDescent="0.3">
      <c r="A47"/>
      <c r="B47"/>
      <c r="C47" s="1"/>
    </row>
    <row r="48" spans="1:3" x14ac:dyDescent="0.3">
      <c r="A48"/>
      <c r="B48"/>
      <c r="C48" s="1"/>
    </row>
    <row r="49" spans="1:3" x14ac:dyDescent="0.3">
      <c r="A49"/>
      <c r="B49"/>
      <c r="C49" s="1"/>
    </row>
    <row r="50" spans="1:3" x14ac:dyDescent="0.3">
      <c r="A50"/>
      <c r="B50"/>
      <c r="C50" s="1"/>
    </row>
    <row r="51" spans="1:3" x14ac:dyDescent="0.3">
      <c r="A51"/>
      <c r="B51"/>
      <c r="C51" s="1"/>
    </row>
    <row r="52" spans="1:3" x14ac:dyDescent="0.3">
      <c r="A52"/>
      <c r="B52"/>
      <c r="C52" s="1"/>
    </row>
    <row r="53" spans="1:3" x14ac:dyDescent="0.3">
      <c r="A53"/>
      <c r="B53"/>
      <c r="C53" s="1"/>
    </row>
    <row r="54" spans="1:3" x14ac:dyDescent="0.3">
      <c r="A54"/>
      <c r="B54"/>
      <c r="C54" s="1"/>
    </row>
    <row r="55" spans="1:3" x14ac:dyDescent="0.3">
      <c r="A55"/>
      <c r="B55"/>
      <c r="C55" s="1"/>
    </row>
    <row r="56" spans="1:3" x14ac:dyDescent="0.3">
      <c r="A56"/>
      <c r="B56"/>
      <c r="C56" s="1"/>
    </row>
    <row r="57" spans="1:3" x14ac:dyDescent="0.3">
      <c r="A57"/>
      <c r="B57"/>
      <c r="C57" s="1"/>
    </row>
    <row r="58" spans="1:3" x14ac:dyDescent="0.3">
      <c r="A58"/>
      <c r="B58"/>
      <c r="C58" s="1"/>
    </row>
    <row r="59" spans="1:3" x14ac:dyDescent="0.3">
      <c r="A59"/>
      <c r="B59"/>
      <c r="C59" s="1"/>
    </row>
    <row r="60" spans="1:3" x14ac:dyDescent="0.3">
      <c r="A60"/>
      <c r="B60"/>
      <c r="C60" s="1"/>
    </row>
    <row r="61" spans="1:3" x14ac:dyDescent="0.3">
      <c r="A61"/>
      <c r="B61"/>
      <c r="C61" s="1"/>
    </row>
    <row r="62" spans="1:3" x14ac:dyDescent="0.3">
      <c r="A62"/>
      <c r="B62"/>
      <c r="C62" s="1"/>
    </row>
    <row r="63" spans="1:3" x14ac:dyDescent="0.3">
      <c r="B63" s="2"/>
      <c r="C63" s="1"/>
    </row>
    <row r="64" spans="1:3" x14ac:dyDescent="0.3">
      <c r="B64" s="2"/>
      <c r="C64" s="1"/>
    </row>
    <row r="65" spans="2:3" x14ac:dyDescent="0.3">
      <c r="B65" s="2"/>
      <c r="C65" s="1"/>
    </row>
    <row r="66" spans="2:3" x14ac:dyDescent="0.3">
      <c r="B66" s="2"/>
      <c r="C66" s="1"/>
    </row>
    <row r="67" spans="2:3" x14ac:dyDescent="0.3">
      <c r="B67" s="2"/>
      <c r="C67" s="1"/>
    </row>
    <row r="68" spans="2:3" x14ac:dyDescent="0.3">
      <c r="B68" s="2"/>
      <c r="C68" s="1"/>
    </row>
    <row r="69" spans="2:3" x14ac:dyDescent="0.3">
      <c r="B69" s="2"/>
      <c r="C69" s="1"/>
    </row>
    <row r="70" spans="2:3" x14ac:dyDescent="0.3">
      <c r="B70" s="2"/>
      <c r="C70" s="1"/>
    </row>
    <row r="71" spans="2:3" x14ac:dyDescent="0.3">
      <c r="B71" s="2"/>
      <c r="C71" s="1"/>
    </row>
    <row r="72" spans="2:3" x14ac:dyDescent="0.3">
      <c r="B72" s="2"/>
      <c r="C72" s="1"/>
    </row>
    <row r="73" spans="2:3" x14ac:dyDescent="0.3">
      <c r="B73" s="2"/>
      <c r="C73" s="1"/>
    </row>
    <row r="74" spans="2:3" x14ac:dyDescent="0.3">
      <c r="B74" s="2"/>
      <c r="C74" s="1"/>
    </row>
    <row r="75" spans="2:3" x14ac:dyDescent="0.3">
      <c r="B75" s="2"/>
      <c r="C75" s="1"/>
    </row>
    <row r="76" spans="2:3" x14ac:dyDescent="0.3">
      <c r="B76" s="2"/>
      <c r="C76" s="1"/>
    </row>
    <row r="77" spans="2:3" x14ac:dyDescent="0.3">
      <c r="B77" s="2"/>
      <c r="C77" s="1"/>
    </row>
    <row r="78" spans="2:3" x14ac:dyDescent="0.3">
      <c r="B78" s="2"/>
      <c r="C78" s="1"/>
    </row>
    <row r="79" spans="2:3" x14ac:dyDescent="0.3">
      <c r="B79" s="2"/>
      <c r="C79" s="1"/>
    </row>
    <row r="80" spans="2:3" x14ac:dyDescent="0.3">
      <c r="B80" s="2"/>
      <c r="C80" s="1"/>
    </row>
    <row r="81" spans="2:3" x14ac:dyDescent="0.3">
      <c r="B81" s="2"/>
      <c r="C81" s="1"/>
    </row>
    <row r="82" spans="2:3" x14ac:dyDescent="0.3">
      <c r="B82" s="2"/>
      <c r="C82" s="1"/>
    </row>
    <row r="83" spans="2:3" x14ac:dyDescent="0.3">
      <c r="B83" s="2"/>
      <c r="C83" s="1"/>
    </row>
    <row r="84" spans="2:3" x14ac:dyDescent="0.3">
      <c r="B84" s="2"/>
      <c r="C84" s="1"/>
    </row>
    <row r="85" spans="2:3" x14ac:dyDescent="0.3">
      <c r="B85" s="2"/>
      <c r="C85" s="1"/>
    </row>
    <row r="86" spans="2:3" x14ac:dyDescent="0.3">
      <c r="B86" s="2"/>
      <c r="C86" s="1"/>
    </row>
    <row r="87" spans="2:3" x14ac:dyDescent="0.3">
      <c r="B87" s="2"/>
      <c r="C87" s="1"/>
    </row>
    <row r="88" spans="2:3" x14ac:dyDescent="0.3">
      <c r="B88" s="2"/>
      <c r="C88" s="1"/>
    </row>
    <row r="89" spans="2:3" x14ac:dyDescent="0.3">
      <c r="B89" s="2"/>
      <c r="C89" s="1"/>
    </row>
    <row r="90" spans="2:3" x14ac:dyDescent="0.3">
      <c r="B90" s="2"/>
      <c r="C90" s="1"/>
    </row>
    <row r="91" spans="2:3" x14ac:dyDescent="0.3">
      <c r="B91" s="2"/>
      <c r="C91" s="1"/>
    </row>
  </sheetData>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4"/>
  <sheetViews>
    <sheetView workbookViewId="0">
      <selection activeCell="A3" sqref="A3"/>
    </sheetView>
  </sheetViews>
  <sheetFormatPr baseColWidth="10" defaultRowHeight="14.4" x14ac:dyDescent="0.3"/>
  <cols>
    <col min="1" max="1" width="28.5546875" bestFit="1" customWidth="1"/>
    <col min="2" max="2" width="9.21875" bestFit="1" customWidth="1"/>
    <col min="3" max="3" width="5" bestFit="1" customWidth="1"/>
    <col min="4" max="4" width="4" bestFit="1" customWidth="1"/>
    <col min="5" max="5" width="4.33203125" bestFit="1" customWidth="1"/>
    <col min="6" max="6" width="11.88671875" bestFit="1" customWidth="1"/>
    <col min="7" max="7" width="11.77734375" bestFit="1" customWidth="1"/>
    <col min="8" max="8" width="12.5546875" customWidth="1"/>
    <col min="9" max="48" width="14.21875" bestFit="1" customWidth="1"/>
    <col min="49" max="49" width="12.5546875" bestFit="1" customWidth="1"/>
  </cols>
  <sheetData>
    <row r="1" spans="1:6" x14ac:dyDescent="0.3">
      <c r="A1" s="22" t="s">
        <v>52</v>
      </c>
      <c r="B1" t="s">
        <v>962</v>
      </c>
    </row>
    <row r="2" spans="1:6" x14ac:dyDescent="0.3">
      <c r="A2" s="22" t="s">
        <v>5373</v>
      </c>
      <c r="B2" t="s">
        <v>204</v>
      </c>
    </row>
    <row r="4" spans="1:6" x14ac:dyDescent="0.3">
      <c r="A4" s="22" t="s">
        <v>32</v>
      </c>
      <c r="B4" s="22" t="s">
        <v>123</v>
      </c>
    </row>
    <row r="5" spans="1:6" x14ac:dyDescent="0.3">
      <c r="A5" s="22" t="s">
        <v>122</v>
      </c>
      <c r="B5" t="s">
        <v>49</v>
      </c>
      <c r="C5" t="s">
        <v>16</v>
      </c>
      <c r="D5" t="s">
        <v>155</v>
      </c>
      <c r="E5" t="s">
        <v>45</v>
      </c>
      <c r="F5" t="s">
        <v>33</v>
      </c>
    </row>
    <row r="6" spans="1:6" x14ac:dyDescent="0.3">
      <c r="A6" s="15" t="s">
        <v>258</v>
      </c>
      <c r="B6" s="966"/>
      <c r="C6" s="966">
        <v>160</v>
      </c>
      <c r="D6" s="966"/>
      <c r="E6" s="966"/>
      <c r="F6" s="966">
        <v>160</v>
      </c>
    </row>
    <row r="7" spans="1:6" x14ac:dyDescent="0.3">
      <c r="A7" s="15" t="s">
        <v>208</v>
      </c>
      <c r="B7" s="966"/>
      <c r="C7" s="966"/>
      <c r="D7" s="966">
        <v>131</v>
      </c>
      <c r="E7" s="966"/>
      <c r="F7" s="966">
        <v>131</v>
      </c>
    </row>
    <row r="8" spans="1:6" x14ac:dyDescent="0.3">
      <c r="A8" s="15" t="s">
        <v>558</v>
      </c>
      <c r="B8" s="966"/>
      <c r="C8" s="966"/>
      <c r="D8" s="966"/>
      <c r="E8" s="966">
        <v>120</v>
      </c>
      <c r="F8" s="966">
        <v>120</v>
      </c>
    </row>
    <row r="9" spans="1:6" x14ac:dyDescent="0.3">
      <c r="A9" s="15" t="s">
        <v>294</v>
      </c>
      <c r="B9" s="966">
        <v>40</v>
      </c>
      <c r="C9" s="966"/>
      <c r="D9" s="966"/>
      <c r="E9" s="966">
        <v>120</v>
      </c>
      <c r="F9" s="966">
        <v>160</v>
      </c>
    </row>
    <row r="10" spans="1:6" x14ac:dyDescent="0.3">
      <c r="A10" s="15" t="s">
        <v>295</v>
      </c>
      <c r="B10" s="966"/>
      <c r="C10" s="966"/>
      <c r="D10" s="966"/>
      <c r="E10" s="966">
        <v>136</v>
      </c>
      <c r="F10" s="966">
        <v>136</v>
      </c>
    </row>
    <row r="11" spans="1:6" x14ac:dyDescent="0.3">
      <c r="A11" s="15" t="s">
        <v>541</v>
      </c>
      <c r="B11" s="966">
        <v>160</v>
      </c>
      <c r="C11" s="966"/>
      <c r="D11" s="966"/>
      <c r="E11" s="966"/>
      <c r="F11" s="966">
        <v>160</v>
      </c>
    </row>
    <row r="12" spans="1:6" x14ac:dyDescent="0.3">
      <c r="A12" s="15" t="s">
        <v>629</v>
      </c>
      <c r="B12" s="966">
        <v>79</v>
      </c>
      <c r="C12" s="966"/>
      <c r="D12" s="966"/>
      <c r="E12" s="966"/>
      <c r="F12" s="966">
        <v>79</v>
      </c>
    </row>
    <row r="13" spans="1:6" x14ac:dyDescent="0.3">
      <c r="A13" s="15" t="s">
        <v>1120</v>
      </c>
      <c r="B13" s="966"/>
      <c r="C13" s="966"/>
      <c r="D13" s="966">
        <v>114</v>
      </c>
      <c r="E13" s="966"/>
      <c r="F13" s="966">
        <v>114</v>
      </c>
    </row>
    <row r="14" spans="1:6" x14ac:dyDescent="0.3">
      <c r="A14" s="15" t="s">
        <v>33</v>
      </c>
      <c r="B14" s="966">
        <v>279</v>
      </c>
      <c r="C14" s="966">
        <v>160</v>
      </c>
      <c r="D14" s="966">
        <v>245</v>
      </c>
      <c r="E14" s="966">
        <v>376</v>
      </c>
      <c r="F14" s="966">
        <v>1060</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29"/>
  <sheetViews>
    <sheetView zoomScale="80" zoomScaleNormal="80" workbookViewId="0">
      <selection activeCell="I18" sqref="I18"/>
    </sheetView>
  </sheetViews>
  <sheetFormatPr baseColWidth="10" defaultRowHeight="14.4" x14ac:dyDescent="0.3"/>
  <cols>
    <col min="1" max="1" width="6.21875" customWidth="1"/>
    <col min="2" max="2" width="34.44140625" bestFit="1" customWidth="1"/>
    <col min="3" max="3" width="13" bestFit="1" customWidth="1"/>
    <col min="4" max="4" width="14" style="266" bestFit="1" customWidth="1"/>
    <col min="5" max="5" width="12.21875" bestFit="1" customWidth="1"/>
    <col min="6" max="6" width="18.44140625" style="266" bestFit="1" customWidth="1"/>
    <col min="7" max="7" width="12.21875" bestFit="1" customWidth="1"/>
    <col min="8" max="8" width="18.77734375" style="266" bestFit="1" customWidth="1"/>
    <col min="9" max="9" width="12.21875" bestFit="1" customWidth="1"/>
    <col min="10" max="10" width="18.77734375" style="266" bestFit="1" customWidth="1"/>
    <col min="11" max="11" width="7.44140625" bestFit="1" customWidth="1"/>
    <col min="12" max="12" width="13.77734375" bestFit="1" customWidth="1"/>
    <col min="13" max="13" width="7.44140625" bestFit="1" customWidth="1"/>
    <col min="14" max="14" width="13.77734375" bestFit="1" customWidth="1"/>
    <col min="15" max="15" width="7.44140625" bestFit="1" customWidth="1"/>
    <col min="16" max="16" width="13.77734375" bestFit="1" customWidth="1"/>
    <col min="17" max="17" width="7.44140625" bestFit="1" customWidth="1"/>
    <col min="18" max="18" width="13.77734375" bestFit="1" customWidth="1"/>
    <col min="19" max="19" width="10.6640625" bestFit="1" customWidth="1"/>
    <col min="20" max="20" width="13.77734375" bestFit="1" customWidth="1"/>
    <col min="21" max="21" width="7.77734375" bestFit="1" customWidth="1"/>
    <col min="22" max="22" width="13.77734375" bestFit="1" customWidth="1"/>
    <col min="23" max="23" width="10.33203125" bestFit="1" customWidth="1"/>
    <col min="24" max="24" width="13.77734375" bestFit="1" customWidth="1"/>
    <col min="25" max="25" width="12.21875" bestFit="1" customWidth="1"/>
    <col min="26" max="26" width="18.77734375" bestFit="1" customWidth="1"/>
  </cols>
  <sheetData>
    <row r="1" spans="2:10" x14ac:dyDescent="0.3">
      <c r="B1" s="22" t="s">
        <v>53</v>
      </c>
      <c r="C1" t="s">
        <v>204</v>
      </c>
    </row>
    <row r="2" spans="2:10" x14ac:dyDescent="0.3">
      <c r="B2" s="22" t="s">
        <v>5346</v>
      </c>
      <c r="C2" t="s">
        <v>204</v>
      </c>
    </row>
    <row r="4" spans="2:10" ht="28.8" x14ac:dyDescent="0.3">
      <c r="C4" s="145" t="s">
        <v>110</v>
      </c>
      <c r="D4"/>
      <c r="F4"/>
      <c r="H4"/>
      <c r="J4"/>
    </row>
    <row r="5" spans="2:10" x14ac:dyDescent="0.3">
      <c r="B5" s="5"/>
      <c r="C5" s="5" t="s">
        <v>5372</v>
      </c>
      <c r="D5" s="5"/>
      <c r="E5" s="58" t="s">
        <v>5369</v>
      </c>
      <c r="F5" t="s">
        <v>5370</v>
      </c>
      <c r="H5"/>
      <c r="J5"/>
    </row>
    <row r="6" spans="2:10" x14ac:dyDescent="0.3">
      <c r="B6" s="59" t="s">
        <v>14</v>
      </c>
      <c r="C6" s="368" t="s">
        <v>121</v>
      </c>
      <c r="D6" t="s">
        <v>5371</v>
      </c>
      <c r="E6" s="58"/>
      <c r="F6"/>
      <c r="H6"/>
      <c r="J6"/>
    </row>
    <row r="7" spans="2:10" x14ac:dyDescent="0.3">
      <c r="B7" s="321" t="s">
        <v>40</v>
      </c>
      <c r="C7" s="970"/>
      <c r="D7" s="970"/>
      <c r="E7" s="970"/>
      <c r="F7" s="970"/>
      <c r="H7"/>
      <c r="J7"/>
    </row>
    <row r="8" spans="2:10" x14ac:dyDescent="0.3">
      <c r="B8" s="50" t="s">
        <v>1120</v>
      </c>
      <c r="C8" s="970">
        <v>163</v>
      </c>
      <c r="D8" s="57">
        <v>132356</v>
      </c>
      <c r="E8" s="970">
        <v>163</v>
      </c>
      <c r="F8" s="57">
        <v>132356</v>
      </c>
      <c r="H8"/>
      <c r="J8"/>
    </row>
    <row r="9" spans="2:10" x14ac:dyDescent="0.3">
      <c r="B9" s="50" t="s">
        <v>2415</v>
      </c>
      <c r="C9" s="970">
        <v>166</v>
      </c>
      <c r="D9" s="57">
        <v>134792</v>
      </c>
      <c r="E9" s="970">
        <v>166</v>
      </c>
      <c r="F9" s="57">
        <v>134792</v>
      </c>
      <c r="H9"/>
      <c r="J9"/>
    </row>
    <row r="10" spans="2:10" x14ac:dyDescent="0.3">
      <c r="B10" s="50" t="s">
        <v>3434</v>
      </c>
      <c r="C10" s="970">
        <v>80</v>
      </c>
      <c r="D10" s="970">
        <v>64959.999999999993</v>
      </c>
      <c r="E10" s="970">
        <v>80</v>
      </c>
      <c r="F10" s="970">
        <v>64959.999999999993</v>
      </c>
      <c r="H10"/>
      <c r="J10"/>
    </row>
    <row r="11" spans="2:10" x14ac:dyDescent="0.3">
      <c r="B11" s="50" t="s">
        <v>4257</v>
      </c>
      <c r="C11" s="970">
        <v>166</v>
      </c>
      <c r="D11" s="57">
        <v>134792</v>
      </c>
      <c r="E11" s="970">
        <v>166</v>
      </c>
      <c r="F11" s="57">
        <v>134792</v>
      </c>
      <c r="H11"/>
      <c r="J11"/>
    </row>
    <row r="12" spans="2:10" x14ac:dyDescent="0.3">
      <c r="B12" s="50" t="s">
        <v>4258</v>
      </c>
      <c r="C12" s="970">
        <v>169</v>
      </c>
      <c r="D12" s="57">
        <v>137228</v>
      </c>
      <c r="E12" s="970">
        <v>169</v>
      </c>
      <c r="F12" s="57">
        <v>137228</v>
      </c>
      <c r="H12"/>
      <c r="J12"/>
    </row>
    <row r="13" spans="2:10" x14ac:dyDescent="0.3">
      <c r="B13" s="50" t="s">
        <v>5376</v>
      </c>
      <c r="C13" s="970">
        <v>78</v>
      </c>
      <c r="D13" s="970">
        <v>63336</v>
      </c>
      <c r="E13" s="970">
        <v>78</v>
      </c>
      <c r="F13" s="970">
        <v>63336</v>
      </c>
      <c r="H13"/>
      <c r="J13"/>
    </row>
    <row r="14" spans="2:10" x14ac:dyDescent="0.3">
      <c r="B14" s="50" t="s">
        <v>5375</v>
      </c>
      <c r="C14" s="970">
        <v>78</v>
      </c>
      <c r="D14" s="970">
        <v>63336</v>
      </c>
      <c r="E14" s="970">
        <v>78</v>
      </c>
      <c r="F14" s="970">
        <v>63336</v>
      </c>
      <c r="H14"/>
      <c r="J14"/>
    </row>
    <row r="15" spans="2:10" x14ac:dyDescent="0.3">
      <c r="B15" s="321" t="s">
        <v>37</v>
      </c>
      <c r="C15" s="970"/>
      <c r="D15" s="970"/>
      <c r="E15" s="970"/>
      <c r="F15" s="970"/>
      <c r="H15"/>
      <c r="J15"/>
    </row>
    <row r="16" spans="2:10" x14ac:dyDescent="0.3">
      <c r="B16" s="50" t="s">
        <v>5374</v>
      </c>
      <c r="C16" s="970">
        <v>40</v>
      </c>
      <c r="D16" s="970">
        <v>20880</v>
      </c>
      <c r="E16" s="970">
        <v>40</v>
      </c>
      <c r="F16" s="970">
        <v>20880</v>
      </c>
      <c r="H16"/>
      <c r="J16"/>
    </row>
    <row r="17" spans="2:10" x14ac:dyDescent="0.3">
      <c r="B17" s="321" t="s">
        <v>81</v>
      </c>
      <c r="C17" s="970"/>
      <c r="D17" s="57"/>
      <c r="E17" s="970"/>
      <c r="F17" s="57"/>
      <c r="H17"/>
      <c r="J17"/>
    </row>
    <row r="18" spans="2:10" x14ac:dyDescent="0.3">
      <c r="B18" s="50" t="s">
        <v>258</v>
      </c>
      <c r="C18" s="970">
        <v>166</v>
      </c>
      <c r="D18" s="57">
        <v>96280</v>
      </c>
      <c r="E18" s="970">
        <v>166</v>
      </c>
      <c r="F18" s="57">
        <v>96280</v>
      </c>
      <c r="H18"/>
      <c r="J18"/>
    </row>
    <row r="19" spans="2:10" x14ac:dyDescent="0.3">
      <c r="B19" s="50" t="s">
        <v>2649</v>
      </c>
      <c r="C19" s="970">
        <v>112</v>
      </c>
      <c r="D19" s="57">
        <v>64960</v>
      </c>
      <c r="E19" s="970">
        <v>112</v>
      </c>
      <c r="F19" s="57">
        <v>64960</v>
      </c>
      <c r="H19"/>
      <c r="J19"/>
    </row>
    <row r="20" spans="2:10" x14ac:dyDescent="0.3">
      <c r="B20" s="50" t="s">
        <v>4175</v>
      </c>
      <c r="C20" s="970">
        <v>12</v>
      </c>
      <c r="D20" s="970">
        <v>6960</v>
      </c>
      <c r="E20" s="970">
        <v>12</v>
      </c>
      <c r="F20" s="970">
        <v>6960</v>
      </c>
      <c r="H20"/>
      <c r="J20"/>
    </row>
    <row r="21" spans="2:10" x14ac:dyDescent="0.3">
      <c r="B21" s="321" t="s">
        <v>263</v>
      </c>
      <c r="C21" s="970"/>
      <c r="D21" s="970"/>
      <c r="E21" s="970"/>
      <c r="F21" s="970"/>
      <c r="H21"/>
      <c r="J21"/>
    </row>
    <row r="22" spans="2:10" x14ac:dyDescent="0.3">
      <c r="B22" s="50" t="s">
        <v>558</v>
      </c>
      <c r="C22" s="970">
        <v>102</v>
      </c>
      <c r="D22" s="970">
        <v>59160</v>
      </c>
      <c r="E22" s="970">
        <v>102</v>
      </c>
      <c r="F22" s="970">
        <v>59160</v>
      </c>
      <c r="H22"/>
      <c r="J22"/>
    </row>
    <row r="23" spans="2:10" x14ac:dyDescent="0.3">
      <c r="B23" s="321" t="s">
        <v>78</v>
      </c>
      <c r="C23" s="970"/>
      <c r="D23" s="970"/>
      <c r="E23" s="970"/>
      <c r="F23" s="970"/>
      <c r="H23"/>
      <c r="J23"/>
    </row>
    <row r="24" spans="2:10" x14ac:dyDescent="0.3">
      <c r="B24" s="50" t="s">
        <v>28</v>
      </c>
      <c r="C24" s="970">
        <v>24</v>
      </c>
      <c r="D24" s="970">
        <v>16704</v>
      </c>
      <c r="E24" s="970">
        <v>24</v>
      </c>
      <c r="F24" s="970">
        <v>16704</v>
      </c>
    </row>
    <row r="25" spans="2:10" x14ac:dyDescent="0.3">
      <c r="B25" s="321" t="s">
        <v>95</v>
      </c>
      <c r="C25" s="970"/>
      <c r="D25" s="57"/>
      <c r="E25" s="970"/>
      <c r="F25" s="57"/>
    </row>
    <row r="26" spans="2:10" x14ac:dyDescent="0.3">
      <c r="B26" s="50" t="s">
        <v>1441</v>
      </c>
      <c r="C26" s="970">
        <v>190.5</v>
      </c>
      <c r="D26" s="57">
        <v>132588</v>
      </c>
      <c r="E26" s="970">
        <v>190.5</v>
      </c>
      <c r="F26" s="57">
        <v>132588</v>
      </c>
    </row>
    <row r="27" spans="2:10" x14ac:dyDescent="0.3">
      <c r="B27" s="321" t="s">
        <v>79</v>
      </c>
      <c r="C27" s="970"/>
      <c r="D27" s="57"/>
      <c r="E27" s="970"/>
      <c r="F27" s="57"/>
    </row>
    <row r="28" spans="2:10" x14ac:dyDescent="0.3">
      <c r="B28" s="50" t="s">
        <v>1442</v>
      </c>
      <c r="C28" s="970">
        <v>190.5</v>
      </c>
      <c r="D28" s="57">
        <v>132588</v>
      </c>
      <c r="E28" s="970">
        <v>190.5</v>
      </c>
      <c r="F28" s="57">
        <v>132588</v>
      </c>
    </row>
    <row r="29" spans="2:10" x14ac:dyDescent="0.3">
      <c r="B29" s="321" t="s">
        <v>33</v>
      </c>
      <c r="C29" s="970">
        <v>1737</v>
      </c>
      <c r="D29" s="57">
        <v>1260920</v>
      </c>
      <c r="E29" s="971">
        <v>1737</v>
      </c>
      <c r="F29" s="57">
        <v>1260920</v>
      </c>
    </row>
  </sheetData>
  <pageMargins left="0.7" right="0.7" top="0.75" bottom="0.75" header="0.3" footer="0.3"/>
  <pageSetup paperSize="9" orientation="portrait" horizontalDpi="4294967295" verticalDpi="4294967295"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T27"/>
  <sheetViews>
    <sheetView workbookViewId="0">
      <selection activeCell="B1" sqref="B1:B2"/>
    </sheetView>
  </sheetViews>
  <sheetFormatPr baseColWidth="10" defaultRowHeight="14.4" x14ac:dyDescent="0.3"/>
  <cols>
    <col min="1" max="1" width="3.21875" customWidth="1"/>
    <col min="2" max="2" width="43.5546875" customWidth="1"/>
    <col min="3" max="14" width="5.77734375" customWidth="1"/>
    <col min="15" max="17" width="8.21875" customWidth="1"/>
    <col min="18" max="18" width="12.5546875" bestFit="1" customWidth="1"/>
  </cols>
  <sheetData>
    <row r="1" spans="2:20" x14ac:dyDescent="0.3">
      <c r="B1" s="888" t="s">
        <v>14</v>
      </c>
      <c r="C1" s="890" t="s">
        <v>247</v>
      </c>
      <c r="D1" s="892"/>
      <c r="E1" s="892"/>
      <c r="F1" s="892"/>
      <c r="G1" s="892"/>
      <c r="H1" s="892"/>
      <c r="I1" s="892"/>
      <c r="J1" s="892"/>
      <c r="K1" s="892"/>
      <c r="L1" s="891"/>
      <c r="M1" s="890" t="s">
        <v>228</v>
      </c>
      <c r="N1" s="891"/>
      <c r="O1" s="890" t="s">
        <v>229</v>
      </c>
      <c r="P1" s="892"/>
      <c r="Q1" s="891"/>
      <c r="R1" s="893" t="s">
        <v>33</v>
      </c>
      <c r="S1" s="887" t="s">
        <v>246</v>
      </c>
      <c r="T1" s="887" t="s">
        <v>248</v>
      </c>
    </row>
    <row r="2" spans="2:20" s="10" customFormat="1" x14ac:dyDescent="0.3">
      <c r="B2" s="889"/>
      <c r="C2" s="157" t="s">
        <v>231</v>
      </c>
      <c r="D2" s="152" t="s">
        <v>232</v>
      </c>
      <c r="E2" s="152" t="s">
        <v>233</v>
      </c>
      <c r="F2" s="152" t="s">
        <v>234</v>
      </c>
      <c r="G2" s="152" t="s">
        <v>235</v>
      </c>
      <c r="H2" s="152" t="s">
        <v>236</v>
      </c>
      <c r="I2" s="152" t="s">
        <v>237</v>
      </c>
      <c r="J2" s="152" t="s">
        <v>238</v>
      </c>
      <c r="K2" s="152" t="s">
        <v>239</v>
      </c>
      <c r="L2" s="158" t="s">
        <v>240</v>
      </c>
      <c r="M2" s="157" t="s">
        <v>241</v>
      </c>
      <c r="N2" s="158" t="s">
        <v>242</v>
      </c>
      <c r="O2" s="157" t="s">
        <v>230</v>
      </c>
      <c r="P2" s="152" t="s">
        <v>203</v>
      </c>
      <c r="Q2" s="158" t="s">
        <v>245</v>
      </c>
      <c r="R2" s="894"/>
      <c r="S2" s="887"/>
      <c r="T2" s="887"/>
    </row>
    <row r="3" spans="2:20" x14ac:dyDescent="0.3">
      <c r="B3" s="155" t="s">
        <v>243</v>
      </c>
      <c r="C3" s="159">
        <f>C4</f>
        <v>0</v>
      </c>
      <c r="D3" s="153">
        <f t="shared" ref="D3:N3" si="0">D4</f>
        <v>0</v>
      </c>
      <c r="E3" s="153">
        <f t="shared" si="0"/>
        <v>0</v>
      </c>
      <c r="F3" s="153">
        <f t="shared" si="0"/>
        <v>0</v>
      </c>
      <c r="G3" s="153">
        <f t="shared" si="0"/>
        <v>0</v>
      </c>
      <c r="H3" s="153">
        <f t="shared" si="0"/>
        <v>24</v>
      </c>
      <c r="I3" s="153">
        <f t="shared" si="0"/>
        <v>0</v>
      </c>
      <c r="J3" s="153">
        <f t="shared" si="0"/>
        <v>0</v>
      </c>
      <c r="K3" s="153">
        <f t="shared" si="0"/>
        <v>40</v>
      </c>
      <c r="L3" s="160">
        <f t="shared" si="0"/>
        <v>0</v>
      </c>
      <c r="M3" s="159">
        <f t="shared" si="0"/>
        <v>0</v>
      </c>
      <c r="N3" s="160">
        <f t="shared" si="0"/>
        <v>0</v>
      </c>
      <c r="O3" s="159"/>
      <c r="P3" s="153"/>
      <c r="Q3" s="160"/>
      <c r="R3" s="168">
        <f>SUM(C3:Q3)</f>
        <v>64</v>
      </c>
      <c r="S3" s="168">
        <f>R3*1.2</f>
        <v>76.8</v>
      </c>
      <c r="T3" s="168">
        <f>S3+S5</f>
        <v>1282.8</v>
      </c>
    </row>
    <row r="4" spans="2:20" x14ac:dyDescent="0.3">
      <c r="B4" s="50" t="s">
        <v>222</v>
      </c>
      <c r="C4" s="161"/>
      <c r="D4" s="154"/>
      <c r="E4" s="154"/>
      <c r="F4" s="154"/>
      <c r="G4" s="154"/>
      <c r="H4" s="154">
        <v>24</v>
      </c>
      <c r="I4" s="154"/>
      <c r="J4" s="154"/>
      <c r="K4" s="154">
        <v>40</v>
      </c>
      <c r="L4" s="162"/>
      <c r="M4" s="161"/>
      <c r="N4" s="162"/>
      <c r="O4" s="161"/>
      <c r="P4" s="154"/>
      <c r="Q4" s="162"/>
      <c r="R4" s="169"/>
      <c r="S4" s="169"/>
      <c r="T4" s="169"/>
    </row>
    <row r="5" spans="2:20" x14ac:dyDescent="0.3">
      <c r="B5" s="155" t="s">
        <v>29</v>
      </c>
      <c r="C5" s="159">
        <f>C6</f>
        <v>176</v>
      </c>
      <c r="D5" s="153">
        <f t="shared" ref="D5:N5" si="1">D6</f>
        <v>0</v>
      </c>
      <c r="E5" s="153">
        <f t="shared" si="1"/>
        <v>0</v>
      </c>
      <c r="F5" s="153">
        <f t="shared" si="1"/>
        <v>0</v>
      </c>
      <c r="G5" s="153">
        <f t="shared" si="1"/>
        <v>0</v>
      </c>
      <c r="H5" s="153">
        <f t="shared" si="1"/>
        <v>0</v>
      </c>
      <c r="I5" s="153">
        <f t="shared" si="1"/>
        <v>0</v>
      </c>
      <c r="J5" s="153">
        <f t="shared" si="1"/>
        <v>0</v>
      </c>
      <c r="K5" s="153">
        <f t="shared" si="1"/>
        <v>0</v>
      </c>
      <c r="L5" s="160">
        <f t="shared" si="1"/>
        <v>0</v>
      </c>
      <c r="M5" s="159">
        <f t="shared" si="1"/>
        <v>0</v>
      </c>
      <c r="N5" s="160">
        <f t="shared" si="1"/>
        <v>0</v>
      </c>
      <c r="O5" s="159">
        <v>477</v>
      </c>
      <c r="P5" s="153">
        <v>168</v>
      </c>
      <c r="Q5" s="160">
        <v>184</v>
      </c>
      <c r="R5" s="168">
        <f>SUM(C5:Q5)</f>
        <v>1005</v>
      </c>
      <c r="S5" s="168">
        <f>R5*1.2</f>
        <v>1206</v>
      </c>
      <c r="T5" s="168"/>
    </row>
    <row r="6" spans="2:20" x14ac:dyDescent="0.3">
      <c r="B6" s="50" t="s">
        <v>28</v>
      </c>
      <c r="C6" s="161">
        <v>176</v>
      </c>
      <c r="D6" s="154"/>
      <c r="E6" s="154"/>
      <c r="F6" s="154"/>
      <c r="G6" s="154"/>
      <c r="H6" s="154"/>
      <c r="I6" s="154"/>
      <c r="J6" s="154"/>
      <c r="K6" s="154"/>
      <c r="L6" s="162"/>
      <c r="M6" s="161"/>
      <c r="N6" s="162"/>
      <c r="O6" s="161"/>
      <c r="P6" s="154"/>
      <c r="Q6" s="162"/>
      <c r="R6" s="169"/>
      <c r="S6" s="169"/>
      <c r="T6" s="169"/>
    </row>
    <row r="7" spans="2:20" x14ac:dyDescent="0.3">
      <c r="B7" s="155" t="s">
        <v>40</v>
      </c>
      <c r="C7" s="159">
        <f>SUM(C9:C11)</f>
        <v>370</v>
      </c>
      <c r="D7" s="153">
        <f t="shared" ref="D7:N7" si="2">SUM(D9:D11)</f>
        <v>347.5</v>
      </c>
      <c r="E7" s="153">
        <f t="shared" si="2"/>
        <v>362.5</v>
      </c>
      <c r="F7" s="153">
        <f t="shared" si="2"/>
        <v>194</v>
      </c>
      <c r="G7" s="153">
        <f t="shared" si="2"/>
        <v>258.35000000000002</v>
      </c>
      <c r="H7" s="153">
        <f t="shared" si="2"/>
        <v>339</v>
      </c>
      <c r="I7" s="153">
        <f t="shared" si="2"/>
        <v>242.5</v>
      </c>
      <c r="J7" s="153">
        <f t="shared" si="2"/>
        <v>194</v>
      </c>
      <c r="K7" s="153">
        <f t="shared" si="2"/>
        <v>194</v>
      </c>
      <c r="L7" s="160">
        <f t="shared" si="2"/>
        <v>194</v>
      </c>
      <c r="M7" s="159">
        <f t="shared" si="2"/>
        <v>194</v>
      </c>
      <c r="N7" s="160">
        <f t="shared" si="2"/>
        <v>194</v>
      </c>
      <c r="O7" s="159">
        <v>636</v>
      </c>
      <c r="P7" s="153"/>
      <c r="Q7" s="160">
        <v>504</v>
      </c>
      <c r="R7" s="168">
        <f>SUM(C7:Q7)</f>
        <v>4223.8500000000004</v>
      </c>
      <c r="S7" s="168">
        <f>R7*1.2</f>
        <v>5068.62</v>
      </c>
      <c r="T7" s="168">
        <f>S7/2</f>
        <v>2534.31</v>
      </c>
    </row>
    <row r="8" spans="2:20" x14ac:dyDescent="0.3">
      <c r="B8" s="155" t="s">
        <v>249</v>
      </c>
      <c r="C8" s="159"/>
      <c r="D8" s="153"/>
      <c r="E8" s="153"/>
      <c r="F8" s="153"/>
      <c r="G8" s="153"/>
      <c r="H8" s="153"/>
      <c r="I8" s="153"/>
      <c r="J8" s="153"/>
      <c r="K8" s="153"/>
      <c r="L8" s="160"/>
      <c r="M8" s="159"/>
      <c r="N8" s="160"/>
      <c r="O8" s="159"/>
      <c r="P8" s="153"/>
      <c r="Q8" s="160"/>
      <c r="R8" s="168"/>
      <c r="S8" s="168"/>
      <c r="T8" s="168">
        <f>T7</f>
        <v>2534.31</v>
      </c>
    </row>
    <row r="9" spans="2:20" x14ac:dyDescent="0.3">
      <c r="B9" s="50" t="s">
        <v>47</v>
      </c>
      <c r="C9" s="161">
        <v>176</v>
      </c>
      <c r="D9" s="154">
        <v>153.5</v>
      </c>
      <c r="E9" s="154">
        <v>168.5</v>
      </c>
      <c r="F9" s="154"/>
      <c r="G9" s="154"/>
      <c r="H9" s="154"/>
      <c r="I9" s="154"/>
      <c r="J9" s="154"/>
      <c r="K9" s="154"/>
      <c r="L9" s="162"/>
      <c r="M9" s="161"/>
      <c r="N9" s="162"/>
      <c r="O9" s="161"/>
      <c r="P9" s="154"/>
      <c r="Q9" s="162"/>
      <c r="R9" s="169"/>
      <c r="S9" s="169"/>
      <c r="T9" s="169"/>
    </row>
    <row r="10" spans="2:20" x14ac:dyDescent="0.3">
      <c r="B10" s="50" t="s">
        <v>156</v>
      </c>
      <c r="C10" s="161">
        <v>194</v>
      </c>
      <c r="D10" s="154">
        <v>194</v>
      </c>
      <c r="E10" s="154">
        <v>194</v>
      </c>
      <c r="F10" s="154">
        <v>194</v>
      </c>
      <c r="G10" s="154">
        <v>194</v>
      </c>
      <c r="H10" s="154">
        <v>194</v>
      </c>
      <c r="I10" s="154">
        <v>194</v>
      </c>
      <c r="J10" s="154">
        <v>194</v>
      </c>
      <c r="K10" s="154">
        <v>194</v>
      </c>
      <c r="L10" s="162">
        <v>194</v>
      </c>
      <c r="M10" s="166">
        <v>194</v>
      </c>
      <c r="N10" s="167">
        <v>194</v>
      </c>
      <c r="O10" s="161"/>
      <c r="P10" s="154"/>
      <c r="Q10" s="162"/>
      <c r="R10" s="169"/>
      <c r="S10" s="169"/>
      <c r="T10" s="169"/>
    </row>
    <row r="11" spans="2:20" x14ac:dyDescent="0.3">
      <c r="B11" s="50" t="s">
        <v>220</v>
      </c>
      <c r="C11" s="161"/>
      <c r="D11" s="154"/>
      <c r="E11" s="154"/>
      <c r="F11" s="154"/>
      <c r="G11" s="154">
        <v>64.349999999999994</v>
      </c>
      <c r="H11" s="154">
        <v>145</v>
      </c>
      <c r="I11" s="154">
        <v>48.5</v>
      </c>
      <c r="J11" s="154"/>
      <c r="K11" s="154"/>
      <c r="L11" s="162"/>
      <c r="M11" s="161"/>
      <c r="N11" s="162"/>
      <c r="O11" s="161"/>
      <c r="P11" s="154"/>
      <c r="Q11" s="162"/>
      <c r="R11" s="169"/>
      <c r="S11" s="169"/>
      <c r="T11" s="169"/>
    </row>
    <row r="12" spans="2:20" x14ac:dyDescent="0.3">
      <c r="B12" s="155" t="s">
        <v>20</v>
      </c>
      <c r="C12" s="159">
        <f>C13</f>
        <v>176</v>
      </c>
      <c r="D12" s="153">
        <f t="shared" ref="D12:N12" si="3">D13</f>
        <v>143</v>
      </c>
      <c r="E12" s="153">
        <f t="shared" si="3"/>
        <v>171.5</v>
      </c>
      <c r="F12" s="153">
        <f t="shared" si="3"/>
        <v>162.5</v>
      </c>
      <c r="G12" s="153">
        <f t="shared" si="3"/>
        <v>160</v>
      </c>
      <c r="H12" s="153">
        <f t="shared" si="3"/>
        <v>177</v>
      </c>
      <c r="I12" s="153">
        <f t="shared" si="3"/>
        <v>183</v>
      </c>
      <c r="J12" s="153">
        <f t="shared" si="3"/>
        <v>168.5</v>
      </c>
      <c r="K12" s="153">
        <f t="shared" si="3"/>
        <v>168.5</v>
      </c>
      <c r="L12" s="160">
        <f t="shared" si="3"/>
        <v>174.5</v>
      </c>
      <c r="M12" s="159">
        <f t="shared" si="3"/>
        <v>174.5</v>
      </c>
      <c r="N12" s="160">
        <f t="shared" si="3"/>
        <v>174.5</v>
      </c>
      <c r="O12" s="159"/>
      <c r="P12" s="153"/>
      <c r="Q12" s="160"/>
      <c r="R12" s="168">
        <f>SUM(C12:Q12)</f>
        <v>2033.5</v>
      </c>
      <c r="S12" s="168">
        <f>R12*1.2</f>
        <v>2440.1999999999998</v>
      </c>
      <c r="T12" s="168">
        <f>S12</f>
        <v>2440.1999999999998</v>
      </c>
    </row>
    <row r="13" spans="2:20" x14ac:dyDescent="0.3">
      <c r="B13" s="50" t="s">
        <v>19</v>
      </c>
      <c r="C13" s="161">
        <v>176</v>
      </c>
      <c r="D13" s="154">
        <v>143</v>
      </c>
      <c r="E13" s="154">
        <v>171.5</v>
      </c>
      <c r="F13" s="154">
        <v>162.5</v>
      </c>
      <c r="G13" s="154">
        <v>160</v>
      </c>
      <c r="H13" s="154">
        <v>177</v>
      </c>
      <c r="I13" s="154">
        <v>183</v>
      </c>
      <c r="J13" s="154">
        <v>168.5</v>
      </c>
      <c r="K13" s="154">
        <v>168.5</v>
      </c>
      <c r="L13" s="162">
        <v>174.5</v>
      </c>
      <c r="M13" s="166">
        <f>L13</f>
        <v>174.5</v>
      </c>
      <c r="N13" s="167">
        <f>M13</f>
        <v>174.5</v>
      </c>
      <c r="O13" s="161"/>
      <c r="P13" s="154"/>
      <c r="Q13" s="162"/>
      <c r="R13" s="169"/>
      <c r="S13" s="169"/>
      <c r="T13" s="169"/>
    </row>
    <row r="14" spans="2:20" x14ac:dyDescent="0.3">
      <c r="B14" s="155" t="s">
        <v>18</v>
      </c>
      <c r="C14" s="159">
        <f>SUM(C15:C16)</f>
        <v>176.00000000000043</v>
      </c>
      <c r="D14" s="153">
        <f t="shared" ref="D14:N14" si="4">SUM(D15:D16)</f>
        <v>155.4</v>
      </c>
      <c r="E14" s="153">
        <f t="shared" si="4"/>
        <v>157.99999999999989</v>
      </c>
      <c r="F14" s="153">
        <f t="shared" si="4"/>
        <v>161.50000000000006</v>
      </c>
      <c r="G14" s="153">
        <f t="shared" si="4"/>
        <v>160.00000000000014</v>
      </c>
      <c r="H14" s="153">
        <f t="shared" si="4"/>
        <v>176</v>
      </c>
      <c r="I14" s="153">
        <f t="shared" si="4"/>
        <v>183.00000000000014</v>
      </c>
      <c r="J14" s="153">
        <f t="shared" si="4"/>
        <v>168.50000000000003</v>
      </c>
      <c r="K14" s="153">
        <f t="shared" si="4"/>
        <v>168.50000000000014</v>
      </c>
      <c r="L14" s="160">
        <f t="shared" si="4"/>
        <v>174.50000000000009</v>
      </c>
      <c r="M14" s="159">
        <f t="shared" si="4"/>
        <v>174.50000000000009</v>
      </c>
      <c r="N14" s="160">
        <f t="shared" si="4"/>
        <v>174.50000000000009</v>
      </c>
      <c r="O14" s="159"/>
      <c r="P14" s="153"/>
      <c r="Q14" s="160"/>
      <c r="R14" s="168">
        <f>SUM(C14:Q14)</f>
        <v>2030.4000000000008</v>
      </c>
      <c r="S14" s="168">
        <f>R14*1.2</f>
        <v>2436.4800000000009</v>
      </c>
      <c r="T14" s="168">
        <f>S14</f>
        <v>2436.4800000000009</v>
      </c>
    </row>
    <row r="15" spans="2:20" x14ac:dyDescent="0.3">
      <c r="B15" s="50" t="s">
        <v>46</v>
      </c>
      <c r="C15" s="161">
        <v>176.00000000000043</v>
      </c>
      <c r="D15" s="154">
        <v>155.4</v>
      </c>
      <c r="E15" s="154">
        <v>157.99999999999989</v>
      </c>
      <c r="F15" s="154">
        <v>161.50000000000006</v>
      </c>
      <c r="G15" s="154">
        <v>160.00000000000014</v>
      </c>
      <c r="H15" s="154">
        <v>176</v>
      </c>
      <c r="I15" s="154">
        <v>183.00000000000014</v>
      </c>
      <c r="J15" s="154">
        <v>168.50000000000003</v>
      </c>
      <c r="K15" s="154">
        <v>168.50000000000014</v>
      </c>
      <c r="L15" s="162">
        <v>174.50000000000009</v>
      </c>
      <c r="M15" s="166">
        <f>L15</f>
        <v>174.50000000000009</v>
      </c>
      <c r="N15" s="167">
        <f>M15</f>
        <v>174.50000000000009</v>
      </c>
      <c r="O15" s="161"/>
      <c r="P15" s="154"/>
      <c r="Q15" s="162"/>
      <c r="R15" s="169"/>
      <c r="S15" s="169"/>
      <c r="T15" s="169"/>
    </row>
    <row r="16" spans="2:20" x14ac:dyDescent="0.3">
      <c r="B16" s="50" t="s">
        <v>48</v>
      </c>
      <c r="C16" s="161"/>
      <c r="D16" s="154"/>
      <c r="E16" s="154"/>
      <c r="F16" s="154"/>
      <c r="G16" s="154"/>
      <c r="H16" s="154"/>
      <c r="I16" s="154"/>
      <c r="J16" s="154"/>
      <c r="K16" s="154"/>
      <c r="L16" s="162"/>
      <c r="M16" s="161"/>
      <c r="N16" s="162"/>
      <c r="O16" s="161"/>
      <c r="P16" s="154"/>
      <c r="Q16" s="162"/>
      <c r="R16" s="169"/>
      <c r="S16" s="169"/>
      <c r="T16" s="169"/>
    </row>
    <row r="17" spans="2:20" x14ac:dyDescent="0.3">
      <c r="B17" s="155" t="s">
        <v>39</v>
      </c>
      <c r="C17" s="159">
        <f>C18</f>
        <v>152.99999999999994</v>
      </c>
      <c r="D17" s="153">
        <f t="shared" ref="D17:N17" si="5">D18</f>
        <v>154</v>
      </c>
      <c r="E17" s="153">
        <f t="shared" si="5"/>
        <v>167.5</v>
      </c>
      <c r="F17" s="153">
        <f t="shared" si="5"/>
        <v>162.5</v>
      </c>
      <c r="G17" s="153">
        <f t="shared" si="5"/>
        <v>160</v>
      </c>
      <c r="H17" s="153">
        <f t="shared" si="5"/>
        <v>0</v>
      </c>
      <c r="I17" s="153">
        <f t="shared" si="5"/>
        <v>0</v>
      </c>
      <c r="J17" s="153">
        <f t="shared" si="5"/>
        <v>0</v>
      </c>
      <c r="K17" s="153">
        <f t="shared" si="5"/>
        <v>0</v>
      </c>
      <c r="L17" s="160">
        <f t="shared" si="5"/>
        <v>0</v>
      </c>
      <c r="M17" s="159">
        <f t="shared" si="5"/>
        <v>0</v>
      </c>
      <c r="N17" s="160">
        <f t="shared" si="5"/>
        <v>0</v>
      </c>
      <c r="O17" s="159"/>
      <c r="P17" s="153"/>
      <c r="Q17" s="160"/>
      <c r="R17" s="168">
        <f>SUM(C17:Q17)</f>
        <v>797</v>
      </c>
      <c r="S17" s="168">
        <f>R17*1.2</f>
        <v>956.4</v>
      </c>
      <c r="T17" s="168">
        <f>S17</f>
        <v>956.4</v>
      </c>
    </row>
    <row r="18" spans="2:20" x14ac:dyDescent="0.3">
      <c r="B18" s="50" t="s">
        <v>44</v>
      </c>
      <c r="C18" s="161">
        <v>152.99999999999994</v>
      </c>
      <c r="D18" s="154">
        <v>154</v>
      </c>
      <c r="E18" s="154">
        <v>167.5</v>
      </c>
      <c r="F18" s="154">
        <v>162.5</v>
      </c>
      <c r="G18" s="154">
        <v>160</v>
      </c>
      <c r="H18" s="154"/>
      <c r="I18" s="154"/>
      <c r="J18" s="154"/>
      <c r="K18" s="154"/>
      <c r="L18" s="162"/>
      <c r="M18" s="161"/>
      <c r="N18" s="162"/>
      <c r="O18" s="161"/>
      <c r="P18" s="154"/>
      <c r="Q18" s="162"/>
      <c r="R18" s="169"/>
      <c r="S18" s="169"/>
      <c r="T18" s="169"/>
    </row>
    <row r="19" spans="2:20" x14ac:dyDescent="0.3">
      <c r="B19" s="155" t="s">
        <v>37</v>
      </c>
      <c r="C19" s="159">
        <f>SUM(C20:C22)</f>
        <v>0</v>
      </c>
      <c r="D19" s="153">
        <f t="shared" ref="D19:N19" si="6">SUM(D20:D22)</f>
        <v>132</v>
      </c>
      <c r="E19" s="153">
        <f t="shared" si="6"/>
        <v>0</v>
      </c>
      <c r="F19" s="153">
        <f t="shared" si="6"/>
        <v>16</v>
      </c>
      <c r="G19" s="153">
        <f t="shared" si="6"/>
        <v>0</v>
      </c>
      <c r="H19" s="153">
        <f t="shared" si="6"/>
        <v>0</v>
      </c>
      <c r="I19" s="153">
        <f t="shared" si="6"/>
        <v>0</v>
      </c>
      <c r="J19" s="153">
        <f t="shared" si="6"/>
        <v>7</v>
      </c>
      <c r="K19" s="153">
        <f t="shared" si="6"/>
        <v>0</v>
      </c>
      <c r="L19" s="160">
        <f t="shared" si="6"/>
        <v>0</v>
      </c>
      <c r="M19" s="159">
        <f t="shared" si="6"/>
        <v>0</v>
      </c>
      <c r="N19" s="160">
        <f t="shared" si="6"/>
        <v>0</v>
      </c>
      <c r="O19" s="159"/>
      <c r="P19" s="153">
        <v>336</v>
      </c>
      <c r="Q19" s="160"/>
      <c r="R19" s="168">
        <f>SUM(C19:Q19)</f>
        <v>491</v>
      </c>
      <c r="S19" s="168">
        <f>R19*1.2</f>
        <v>589.19999999999993</v>
      </c>
      <c r="T19" s="168">
        <f>S19</f>
        <v>589.19999999999993</v>
      </c>
    </row>
    <row r="20" spans="2:20" x14ac:dyDescent="0.3">
      <c r="B20" s="50" t="s">
        <v>215</v>
      </c>
      <c r="C20" s="161"/>
      <c r="D20" s="154">
        <v>100</v>
      </c>
      <c r="E20" s="154"/>
      <c r="F20" s="154"/>
      <c r="G20" s="154"/>
      <c r="H20" s="154"/>
      <c r="I20" s="154"/>
      <c r="J20" s="154"/>
      <c r="K20" s="154"/>
      <c r="L20" s="162"/>
      <c r="M20" s="161"/>
      <c r="N20" s="162"/>
      <c r="O20" s="161"/>
      <c r="P20" s="154"/>
      <c r="Q20" s="162"/>
      <c r="R20" s="169"/>
      <c r="S20" s="169"/>
      <c r="T20" s="169"/>
    </row>
    <row r="21" spans="2:20" x14ac:dyDescent="0.3">
      <c r="B21" s="50" t="s">
        <v>216</v>
      </c>
      <c r="C21" s="161"/>
      <c r="D21" s="154">
        <v>32</v>
      </c>
      <c r="E21" s="154"/>
      <c r="F21" s="154"/>
      <c r="G21" s="154"/>
      <c r="H21" s="154"/>
      <c r="I21" s="154"/>
      <c r="J21" s="154"/>
      <c r="K21" s="154"/>
      <c r="L21" s="162"/>
      <c r="M21" s="161"/>
      <c r="N21" s="162"/>
      <c r="O21" s="161"/>
      <c r="P21" s="154"/>
      <c r="Q21" s="162"/>
      <c r="R21" s="169"/>
      <c r="S21" s="169"/>
      <c r="T21" s="169"/>
    </row>
    <row r="22" spans="2:20" x14ac:dyDescent="0.3">
      <c r="B22" s="50" t="s">
        <v>219</v>
      </c>
      <c r="C22" s="161"/>
      <c r="D22" s="154"/>
      <c r="E22" s="154"/>
      <c r="F22" s="154">
        <v>16</v>
      </c>
      <c r="G22" s="154"/>
      <c r="H22" s="154"/>
      <c r="I22" s="154"/>
      <c r="J22" s="154">
        <v>7</v>
      </c>
      <c r="K22" s="154"/>
      <c r="L22" s="162"/>
      <c r="M22" s="161"/>
      <c r="N22" s="162"/>
      <c r="O22" s="161"/>
      <c r="P22" s="154"/>
      <c r="Q22" s="162"/>
      <c r="R22" s="169"/>
      <c r="S22" s="169"/>
      <c r="T22" s="169"/>
    </row>
    <row r="23" spans="2:20" x14ac:dyDescent="0.3">
      <c r="B23" s="155" t="s">
        <v>83</v>
      </c>
      <c r="C23" s="159">
        <f>C24</f>
        <v>0</v>
      </c>
      <c r="D23" s="153">
        <f t="shared" ref="D23:N23" si="7">D24</f>
        <v>0</v>
      </c>
      <c r="E23" s="153">
        <f t="shared" si="7"/>
        <v>0</v>
      </c>
      <c r="F23" s="153">
        <f t="shared" si="7"/>
        <v>5</v>
      </c>
      <c r="G23" s="153">
        <f t="shared" si="7"/>
        <v>0</v>
      </c>
      <c r="H23" s="153">
        <f t="shared" si="7"/>
        <v>0</v>
      </c>
      <c r="I23" s="153">
        <f t="shared" si="7"/>
        <v>0</v>
      </c>
      <c r="J23" s="153">
        <f t="shared" si="7"/>
        <v>0</v>
      </c>
      <c r="K23" s="153">
        <f t="shared" si="7"/>
        <v>0</v>
      </c>
      <c r="L23" s="160">
        <f t="shared" si="7"/>
        <v>0</v>
      </c>
      <c r="M23" s="159">
        <f t="shared" si="7"/>
        <v>0</v>
      </c>
      <c r="N23" s="160">
        <f t="shared" si="7"/>
        <v>0</v>
      </c>
      <c r="O23" s="159"/>
      <c r="P23" s="153"/>
      <c r="Q23" s="160"/>
      <c r="R23" s="168">
        <f>SUM(C23:Q23)</f>
        <v>5</v>
      </c>
      <c r="S23" s="168">
        <f>R23*1.2</f>
        <v>6</v>
      </c>
      <c r="T23" s="168">
        <f>S23</f>
        <v>6</v>
      </c>
    </row>
    <row r="24" spans="2:20" x14ac:dyDescent="0.3">
      <c r="B24" s="50" t="s">
        <v>101</v>
      </c>
      <c r="C24" s="161"/>
      <c r="D24" s="154"/>
      <c r="E24" s="154"/>
      <c r="F24" s="154">
        <v>5</v>
      </c>
      <c r="G24" s="154"/>
      <c r="H24" s="154"/>
      <c r="I24" s="154"/>
      <c r="J24" s="154"/>
      <c r="K24" s="154"/>
      <c r="L24" s="162"/>
      <c r="M24" s="161"/>
      <c r="N24" s="162"/>
      <c r="O24" s="161"/>
      <c r="P24" s="154"/>
      <c r="Q24" s="162"/>
      <c r="R24" s="169"/>
      <c r="S24" s="169"/>
      <c r="T24" s="169"/>
    </row>
    <row r="25" spans="2:20" x14ac:dyDescent="0.3">
      <c r="B25" s="155" t="s">
        <v>81</v>
      </c>
      <c r="C25" s="159"/>
      <c r="D25" s="153"/>
      <c r="E25" s="153"/>
      <c r="F25" s="153"/>
      <c r="G25" s="153"/>
      <c r="H25" s="153"/>
      <c r="I25" s="153"/>
      <c r="J25" s="153"/>
      <c r="K25" s="153"/>
      <c r="L25" s="160"/>
      <c r="M25" s="159"/>
      <c r="N25" s="160"/>
      <c r="O25" s="159">
        <v>318</v>
      </c>
      <c r="P25" s="153">
        <v>200</v>
      </c>
      <c r="Q25" s="160">
        <v>240</v>
      </c>
      <c r="R25" s="168">
        <f>SUM(C25:Q25)</f>
        <v>758</v>
      </c>
      <c r="S25" s="168">
        <f>R25*1.2</f>
        <v>909.6</v>
      </c>
      <c r="T25" s="168">
        <f>S25</f>
        <v>909.6</v>
      </c>
    </row>
    <row r="26" spans="2:20" x14ac:dyDescent="0.3">
      <c r="B26" s="155" t="s">
        <v>244</v>
      </c>
      <c r="C26" s="159"/>
      <c r="D26" s="153"/>
      <c r="E26" s="153"/>
      <c r="F26" s="153"/>
      <c r="G26" s="153"/>
      <c r="H26" s="153"/>
      <c r="I26" s="153"/>
      <c r="J26" s="153"/>
      <c r="K26" s="153"/>
      <c r="L26" s="160"/>
      <c r="M26" s="159"/>
      <c r="N26" s="160"/>
      <c r="O26" s="159">
        <v>80</v>
      </c>
      <c r="P26" s="153">
        <v>64</v>
      </c>
      <c r="Q26" s="160">
        <v>168</v>
      </c>
      <c r="R26" s="168">
        <f>SUM(C26:Q26)</f>
        <v>312</v>
      </c>
      <c r="S26" s="168">
        <f>R26*1.2</f>
        <v>374.4</v>
      </c>
      <c r="T26" s="168">
        <f>S26</f>
        <v>374.4</v>
      </c>
    </row>
    <row r="27" spans="2:20" ht="15" thickBot="1" x14ac:dyDescent="0.35">
      <c r="B27" s="156" t="s">
        <v>33</v>
      </c>
      <c r="C27" s="163">
        <f>C3+C5+C7+C12+C14+C17+C19+C23+C25+C26</f>
        <v>1051.0000000000005</v>
      </c>
      <c r="D27" s="164">
        <f t="shared" ref="D27:Q27" si="8">D3+D5+D7+D12+D14+D17+D19+D23+D25+D26</f>
        <v>931.9</v>
      </c>
      <c r="E27" s="164">
        <f t="shared" si="8"/>
        <v>859.49999999999989</v>
      </c>
      <c r="F27" s="164">
        <f t="shared" si="8"/>
        <v>701.5</v>
      </c>
      <c r="G27" s="164">
        <f t="shared" si="8"/>
        <v>738.35000000000014</v>
      </c>
      <c r="H27" s="164">
        <f t="shared" si="8"/>
        <v>716</v>
      </c>
      <c r="I27" s="164">
        <f t="shared" si="8"/>
        <v>608.50000000000011</v>
      </c>
      <c r="J27" s="164">
        <f t="shared" si="8"/>
        <v>538</v>
      </c>
      <c r="K27" s="164">
        <f t="shared" si="8"/>
        <v>571.00000000000011</v>
      </c>
      <c r="L27" s="165">
        <f t="shared" si="8"/>
        <v>543.00000000000011</v>
      </c>
      <c r="M27" s="163">
        <f t="shared" si="8"/>
        <v>543.00000000000011</v>
      </c>
      <c r="N27" s="165">
        <f t="shared" si="8"/>
        <v>543.00000000000011</v>
      </c>
      <c r="O27" s="163">
        <f t="shared" si="8"/>
        <v>1511</v>
      </c>
      <c r="P27" s="164">
        <f t="shared" si="8"/>
        <v>768</v>
      </c>
      <c r="Q27" s="165">
        <f t="shared" si="8"/>
        <v>1096</v>
      </c>
      <c r="R27" s="170">
        <f>SUM(R3:R26)</f>
        <v>11719.750000000002</v>
      </c>
      <c r="S27" s="170">
        <f>SUM(S3:S26)</f>
        <v>14063.7</v>
      </c>
      <c r="T27" s="170">
        <f>SUM(T3:T26)</f>
        <v>14063.7</v>
      </c>
    </row>
  </sheetData>
  <mergeCells count="7">
    <mergeCell ref="T1:T2"/>
    <mergeCell ref="B1:B2"/>
    <mergeCell ref="M1:N1"/>
    <mergeCell ref="O1:Q1"/>
    <mergeCell ref="S1:S2"/>
    <mergeCell ref="R1:R2"/>
    <mergeCell ref="C1:L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53"/>
  <sheetViews>
    <sheetView topLeftCell="A16" zoomScale="60" zoomScaleNormal="60" workbookViewId="0">
      <selection activeCell="R32" sqref="R32"/>
    </sheetView>
  </sheetViews>
  <sheetFormatPr baseColWidth="10" defaultRowHeight="14.4" x14ac:dyDescent="0.3"/>
  <cols>
    <col min="1" max="1" width="33.77734375" customWidth="1"/>
    <col min="2" max="2" width="41" hidden="1" customWidth="1"/>
    <col min="3" max="3" width="11.77734375" hidden="1" customWidth="1"/>
    <col min="4" max="4" width="12.21875" hidden="1" customWidth="1"/>
    <col min="5" max="5" width="11.44140625" hidden="1" customWidth="1"/>
    <col min="6" max="6" width="18.44140625" customWidth="1"/>
    <col min="7" max="7" width="15" customWidth="1"/>
    <col min="8" max="8" width="15.5546875" customWidth="1"/>
    <col min="9" max="12" width="14.77734375" customWidth="1"/>
    <col min="13" max="13" width="14.5546875" customWidth="1"/>
    <col min="14" max="14" width="15.21875" customWidth="1"/>
    <col min="15" max="15" width="14.77734375" customWidth="1"/>
    <col min="16" max="17" width="15" bestFit="1" customWidth="1"/>
    <col min="18" max="18" width="17" customWidth="1"/>
    <col min="19" max="19" width="16.5546875" customWidth="1"/>
  </cols>
  <sheetData>
    <row r="1" spans="1:19" hidden="1" x14ac:dyDescent="0.3"/>
    <row r="2" spans="1:19" hidden="1" x14ac:dyDescent="0.3"/>
    <row r="3" spans="1:19" x14ac:dyDescent="0.3">
      <c r="F3" s="68" t="s">
        <v>130</v>
      </c>
      <c r="G3" s="68" t="s">
        <v>131</v>
      </c>
      <c r="H3" s="68" t="s">
        <v>132</v>
      </c>
      <c r="I3" s="68" t="s">
        <v>133</v>
      </c>
      <c r="J3" s="68" t="s">
        <v>134</v>
      </c>
      <c r="K3" s="68" t="s">
        <v>135</v>
      </c>
      <c r="L3" s="68" t="s">
        <v>136</v>
      </c>
      <c r="M3" s="68" t="s">
        <v>137</v>
      </c>
      <c r="N3" s="68" t="s">
        <v>138</v>
      </c>
      <c r="O3" s="68" t="s">
        <v>139</v>
      </c>
      <c r="P3" s="68" t="s">
        <v>140</v>
      </c>
      <c r="Q3" s="68" t="s">
        <v>141</v>
      </c>
      <c r="R3" s="895" t="s">
        <v>113</v>
      </c>
    </row>
    <row r="4" spans="1:19" ht="34.950000000000003" customHeight="1" x14ac:dyDescent="0.3">
      <c r="A4" s="61" t="s">
        <v>126</v>
      </c>
      <c r="B4" s="61" t="s">
        <v>14</v>
      </c>
      <c r="C4" s="61" t="s">
        <v>127</v>
      </c>
      <c r="D4" s="64" t="s">
        <v>128</v>
      </c>
      <c r="E4" s="64" t="s">
        <v>129</v>
      </c>
      <c r="F4" s="67">
        <f>Presupuesto!F4</f>
        <v>22</v>
      </c>
      <c r="G4" s="67">
        <f>Presupuesto!G4</f>
        <v>19</v>
      </c>
      <c r="H4" s="67">
        <f>Presupuesto!H4</f>
        <v>22</v>
      </c>
      <c r="I4" s="67">
        <f>Presupuesto!I4</f>
        <v>18</v>
      </c>
      <c r="J4" s="67">
        <f>Presupuesto!J4</f>
        <v>22</v>
      </c>
      <c r="K4" s="67">
        <f>Presupuesto!K4</f>
        <v>22</v>
      </c>
      <c r="L4" s="67">
        <f>Presupuesto!L4</f>
        <v>21</v>
      </c>
      <c r="M4" s="67">
        <f>Presupuesto!M4</f>
        <v>23</v>
      </c>
      <c r="N4" s="67">
        <f>Presupuesto!N4</f>
        <v>21</v>
      </c>
      <c r="O4" s="67">
        <f>Presupuesto!O4</f>
        <v>22</v>
      </c>
      <c r="P4" s="67">
        <f>Presupuesto!P4</f>
        <v>20</v>
      </c>
      <c r="Q4" s="67">
        <f>Presupuesto!Q4</f>
        <v>20.75</v>
      </c>
      <c r="R4" s="895"/>
    </row>
    <row r="5" spans="1:19" x14ac:dyDescent="0.3">
      <c r="A5" s="73" t="s">
        <v>262</v>
      </c>
      <c r="B5" s="195" t="s">
        <v>263</v>
      </c>
      <c r="C5" s="63">
        <f>VLOOKUP(B5,Catalogos!$B$75:$D$100,3,FALSE)</f>
        <v>500</v>
      </c>
      <c r="D5" s="57">
        <f t="shared" ref="D5:D12" si="0">C5*1.16</f>
        <v>580</v>
      </c>
      <c r="E5" s="57">
        <f t="shared" ref="E5:E12" si="1">D5*8</f>
        <v>4640</v>
      </c>
      <c r="F5" s="63">
        <f>SUMIFS(Tabla1[Costo],Tabla1[Ingeniero],Facturación!$A5,Tabla1[Facturación],F$3)</f>
        <v>0</v>
      </c>
      <c r="G5" s="63">
        <f>SUMIFS(Tabla1[Costo],Tabla1[Ingeniero],Facturación!$A5,Tabla1[Facturación],G$3)</f>
        <v>97440</v>
      </c>
      <c r="H5" s="63">
        <f>SUMIFS(Tabla1[Costo],Tabla1[Ingeniero],Facturación!$A5,Tabla1[Facturación],H$3)</f>
        <v>102080</v>
      </c>
      <c r="I5" s="63">
        <f>SUMIFS(Tabla1[Costo],Tabla1[Ingeniero],Facturación!$A5,Tabla1[Facturación],I$3)</f>
        <v>69600</v>
      </c>
      <c r="J5" s="63">
        <f>SUMIFS(Tabla1[Costo],Tabla1[Ingeniero],Facturación!$A5,Tabla1[Facturación],J$3)</f>
        <v>69600</v>
      </c>
      <c r="K5" s="63">
        <f>SUMIFS(Tabla1[Costo],Tabla1[Ingeniero],Facturación!$A5,Tabla1[Facturación],K$3)</f>
        <v>0</v>
      </c>
      <c r="L5" s="63">
        <f>SUMIFS(Tabla1[Costo],Tabla1[Ingeniero],Facturación!$A5,Tabla1[Facturación],L$3)</f>
        <v>0</v>
      </c>
      <c r="M5" s="63">
        <f>SUMIFS(Tabla1[Costo],Tabla1[Ingeniero],Facturación!$A5,Tabla1[Facturación],M$3)</f>
        <v>0</v>
      </c>
      <c r="N5" s="63">
        <f>SUMIFS(Tabla1[Costo],Tabla1[Ingeniero],Facturación!$A5,Tabla1[Facturación],N$3)</f>
        <v>0</v>
      </c>
      <c r="O5" s="63">
        <f>SUMIFS(Tabla1[Costo],Tabla1[Ingeniero],Facturación!$A5,Tabla1[Facturación],O$3)</f>
        <v>0</v>
      </c>
      <c r="P5" s="63"/>
      <c r="Q5" s="63"/>
      <c r="R5" s="72">
        <f t="shared" ref="R5:R8" si="2">SUM(F5:Q5)</f>
        <v>338720</v>
      </c>
    </row>
    <row r="6" spans="1:19" ht="15.6" x14ac:dyDescent="0.3">
      <c r="A6" s="73" t="s">
        <v>264</v>
      </c>
      <c r="B6" s="65" t="s">
        <v>40</v>
      </c>
      <c r="C6" s="63">
        <f>VLOOKUP(B6,Catalogos!$B$75:$D$100,3,FALSE)</f>
        <v>700</v>
      </c>
      <c r="D6" s="57">
        <f t="shared" si="0"/>
        <v>812</v>
      </c>
      <c r="E6" s="57">
        <f t="shared" si="1"/>
        <v>6496</v>
      </c>
      <c r="F6" s="63">
        <f>SUMIFS(Tabla1[Costo],Tabla1[Ingeniero],Facturación!$A6,Tabla1[Facturación],F$3)</f>
        <v>90944</v>
      </c>
      <c r="G6" s="63">
        <f>SUMIFS(Tabla1[Costo],Tabla1[Ingeniero],Facturación!$A6,Tabla1[Facturación],G$3)</f>
        <v>104748</v>
      </c>
      <c r="H6" s="63">
        <f>SUMIFS(Tabla1[Costo],Tabla1[Ingeniero],Facturación!$A6,Tabla1[Facturación],H$3)</f>
        <v>142912</v>
      </c>
      <c r="I6" s="63">
        <f>SUMIFS(Tabla1[Costo],Tabla1[Ingeniero],Facturación!$A6,Tabla1[Facturación],I$3)</f>
        <v>0</v>
      </c>
      <c r="J6" s="63">
        <f>SUMIFS(Tabla1[Costo],Tabla1[Ingeniero],Facturación!$A6,Tabla1[Facturación],J$3)</f>
        <v>0</v>
      </c>
      <c r="K6" s="63">
        <f>SUMIFS(Tabla1[Costo],Tabla1[Ingeniero],Facturación!$A6,Tabla1[Facturación],K$3)</f>
        <v>0</v>
      </c>
      <c r="L6" s="63">
        <f>SUMIFS(Tabla1[Costo],Tabla1[Ingeniero],Facturación!$A6,Tabla1[Facturación],L$3)</f>
        <v>0</v>
      </c>
      <c r="M6" s="63">
        <f>SUMIFS(Tabla1[Costo],Tabla1[Ingeniero],Facturación!$A6,Tabla1[Facturación],M$3)</f>
        <v>0</v>
      </c>
      <c r="N6" s="63">
        <f>SUMIFS(Tabla1[Costo],Tabla1[Ingeniero],Facturación!$A6,Tabla1[Facturación],N$3)</f>
        <v>0</v>
      </c>
      <c r="O6" s="63">
        <f>SUMIFS(Tabla1[Costo],Tabla1[Ingeniero],Facturación!$A6,Tabla1[Facturación],O$3)</f>
        <v>0</v>
      </c>
      <c r="P6" s="63">
        <f>SUMIFS(Tabla1[Costo],Tabla1[Ingeniero],Facturación!$A6,Tabla1[Facturación],P$3)</f>
        <v>0</v>
      </c>
      <c r="Q6" s="63">
        <f>SUMIFS(Tabla1[Costo],Tabla1[Ingeniero],Facturación!$A6,Tabla1[Facturación],Q$3)</f>
        <v>0</v>
      </c>
      <c r="R6" s="72">
        <f t="shared" si="2"/>
        <v>338604</v>
      </c>
      <c r="S6" s="213"/>
    </row>
    <row r="7" spans="1:19" x14ac:dyDescent="0.3">
      <c r="A7" s="73" t="s">
        <v>101</v>
      </c>
      <c r="B7" s="137" t="s">
        <v>83</v>
      </c>
      <c r="C7" s="63">
        <f>VLOOKUP(B7,Catalogos!$B$75:$D$100,3,FALSE)</f>
        <v>600</v>
      </c>
      <c r="D7" s="57">
        <f t="shared" si="0"/>
        <v>696</v>
      </c>
      <c r="E7" s="57">
        <f t="shared" si="1"/>
        <v>5568</v>
      </c>
      <c r="F7" s="63">
        <f>SUMIFS(Tabla1[Costo],Tabla1[Ingeniero],Facturación!$A7,Tabla1[Facturación],F$3)</f>
        <v>696</v>
      </c>
      <c r="G7" s="63">
        <f>SUMIFS(Tabla1[Costo],Tabla1[Ingeniero],Facturación!$A7,Tabla1[Facturación],G$3)</f>
        <v>4872</v>
      </c>
      <c r="H7" s="63">
        <f>SUMIFS(Tabla1[Costo],Tabla1[Ingeniero],Facturación!$A7,Tabla1[Facturación],H$3)</f>
        <v>0</v>
      </c>
      <c r="I7" s="63">
        <f>SUMIFS(Tabla1[Costo],Tabla1[Ingeniero],Facturación!$A7,Tabla1[Facturación],I$3)</f>
        <v>0</v>
      </c>
      <c r="J7" s="63">
        <f>SUMIFS(Tabla1[Costo],Tabla1[Ingeniero],Facturación!$A7,Tabla1[Facturación],J$3)</f>
        <v>0</v>
      </c>
      <c r="K7" s="63">
        <f>SUMIFS(Tabla1[Costo],Tabla1[Ingeniero],Facturación!$A7,Tabla1[Facturación],K$3)</f>
        <v>0</v>
      </c>
      <c r="L7" s="63">
        <f>SUMIFS(Tabla1[Costo],Tabla1[Ingeniero],Facturación!$A7,Tabla1[Facturación],L$3)</f>
        <v>0</v>
      </c>
      <c r="M7" s="63">
        <f>SUMIFS(Tabla1[Costo],Tabla1[Ingeniero],Facturación!$A7,Tabla1[Facturación],M$3)</f>
        <v>4872</v>
      </c>
      <c r="N7" s="63">
        <f>SUMIFS(Tabla1[Costo],Tabla1[Ingeniero],Facturación!$A7,Tabla1[Facturación],N$3)</f>
        <v>0</v>
      </c>
      <c r="O7" s="63">
        <f>SUMIFS(Tabla1[Costo],Tabla1[Ingeniero],Facturación!$A7,Tabla1[Facturación],O$3)</f>
        <v>0</v>
      </c>
      <c r="P7" s="63">
        <f>SUMIFS(Tabla1[Costo],Tabla1[Ingeniero],Facturación!$A7,Tabla1[Facturación],P$3)</f>
        <v>0</v>
      </c>
      <c r="Q7" s="63">
        <f>SUMIFS(Tabla1[Costo],Tabla1[Ingeniero],Facturación!$A7,Tabla1[Facturación],Q$3)</f>
        <v>0</v>
      </c>
      <c r="R7" s="72">
        <f t="shared" si="2"/>
        <v>10440</v>
      </c>
      <c r="S7" s="213"/>
    </row>
    <row r="8" spans="1:19" ht="15.6" x14ac:dyDescent="0.3">
      <c r="A8" s="73" t="s">
        <v>208</v>
      </c>
      <c r="B8" s="65" t="s">
        <v>40</v>
      </c>
      <c r="C8" s="63">
        <f>VLOOKUP(B8,Catalogos!$B$75:$D$100,3,FALSE)</f>
        <v>700</v>
      </c>
      <c r="D8" s="57">
        <f t="shared" si="0"/>
        <v>812</v>
      </c>
      <c r="E8" s="57">
        <f t="shared" si="1"/>
        <v>6496</v>
      </c>
      <c r="F8" s="63">
        <f>SUMIFS(Tabla1[Costo],Tabla1[Ingeniero],Facturación!$A8,Tabla1[Facturación],F$3)</f>
        <v>107996</v>
      </c>
      <c r="G8" s="63">
        <f>SUMIFS(Tabla1[Costo],Tabla1[Ingeniero],Facturación!$A8,Tabla1[Facturación],G$3)</f>
        <v>94192</v>
      </c>
      <c r="H8" s="63">
        <f>SUMIFS(Tabla1[Costo],Tabla1[Ingeniero],Facturación!$A8,Tabla1[Facturación],H$3)</f>
        <v>56028</v>
      </c>
      <c r="I8" s="63">
        <f>SUMIFS(Tabla1[Costo],Tabla1[Ingeniero],Facturación!$A8,Tabla1[Facturación],I$3)</f>
        <v>106372</v>
      </c>
      <c r="J8" s="63">
        <f>SUMIFS(Tabla1[Costo],Tabla1[Ingeniero],Facturación!$A8,Tabla1[Facturación],J$3)</f>
        <v>62524</v>
      </c>
      <c r="K8" s="63">
        <f>SUMIFS(Tabla1[Costo],Tabla1[Ingeniero],Facturación!$A8,Tabla1[Facturación],K$3)</f>
        <v>87696</v>
      </c>
      <c r="L8" s="63">
        <f>SUMIFS(Tabla1[Costo],Tabla1[Ingeniero],Facturación!$A8,Tabla1[Facturación],L$3)</f>
        <v>98252</v>
      </c>
      <c r="M8" s="265">
        <f>SUMIFS(Tabla1[Costo],Tabla1[Ingeniero],Facturación!$A8,Tabla1[Facturación],M$3)</f>
        <v>61712</v>
      </c>
      <c r="N8" s="63">
        <f>SUMIFS(Tabla1[Costo],Tabla1[Ingeniero],Facturación!$A8,Tabla1[Facturación],N$3)</f>
        <v>69020</v>
      </c>
      <c r="O8" s="63">
        <f>SUMIFS(Tabla1[Costo],Tabla1[Ingeniero],Facturación!$A8,Tabla1[Facturación],O$3)</f>
        <v>55216</v>
      </c>
      <c r="P8" s="63">
        <f>SUMIFS(Tabla1[Costo],Tabla1[Ingeniero],Facturación!$A8,Tabla1[Facturación],P$3)</f>
        <v>133168</v>
      </c>
      <c r="Q8" s="63">
        <f>SUMIFS(Tabla1[Costo],Tabla1[Ingeniero],Facturación!$A8,Tabla1[Facturación],Q$3)</f>
        <v>0</v>
      </c>
      <c r="R8" s="72">
        <f t="shared" si="2"/>
        <v>932176</v>
      </c>
      <c r="S8" s="213"/>
    </row>
    <row r="9" spans="1:19" ht="15.6" x14ac:dyDescent="0.3">
      <c r="A9" s="73" t="s">
        <v>297</v>
      </c>
      <c r="B9" s="65" t="s">
        <v>40</v>
      </c>
      <c r="C9" s="63">
        <f>VLOOKUP(B9,Catalogos!$B$75:$D$100,3,FALSE)</f>
        <v>700</v>
      </c>
      <c r="D9" s="57">
        <f t="shared" ref="D9" si="3">C9*1.16</f>
        <v>812</v>
      </c>
      <c r="E9" s="57">
        <f t="shared" ref="E9" si="4">D9*8</f>
        <v>6496</v>
      </c>
      <c r="F9" s="63">
        <f>SUMIFS(Tabla1[Costo],Tabla1[Ingeniero],Facturación!$A9,Tabla1[Facturación],F$3)</f>
        <v>142912</v>
      </c>
      <c r="G9" s="63">
        <f>SUMIFS(Tabla1[Costo],Tabla1[Ingeniero],Facturación!$A9,Tabla1[Facturación],G$3)</f>
        <v>0</v>
      </c>
      <c r="H9" s="63">
        <f>SUMIFS(Tabla1[Costo],Tabla1[Ingeniero],Facturación!$A9,Tabla1[Facturación],H$3)</f>
        <v>0</v>
      </c>
      <c r="I9" s="63">
        <f>SUMIFS(Tabla1[Costo],Tabla1[Ingeniero],Facturación!$A9,Tabla1[Facturación],I$3)</f>
        <v>0</v>
      </c>
      <c r="J9" s="63">
        <f>SUMIFS(Tabla1[Costo],Tabla1[Ingeniero],Facturación!$A9,Tabla1[Facturación],J$3)</f>
        <v>0</v>
      </c>
      <c r="K9" s="63">
        <f>SUMIFS(Tabla1[Costo],Tabla1[Ingeniero],Facturación!$A9,Tabla1[Facturación],K$3)</f>
        <v>0</v>
      </c>
      <c r="L9" s="63">
        <f>SUMIFS(Tabla1[Costo],Tabla1[Ingeniero],Facturación!$A9,Tabla1[Facturación],L$3)</f>
        <v>0</v>
      </c>
      <c r="M9" s="63">
        <f>SUMIFS(Tabla1[Costo],Tabla1[Ingeniero],Facturación!$A9,Tabla1[Facturación],M$3)</f>
        <v>0</v>
      </c>
      <c r="N9" s="63">
        <f>SUMIFS(Tabla1[Costo],Tabla1[Ingeniero],Facturación!$A9,Tabla1[Facturación],N$3)</f>
        <v>0</v>
      </c>
      <c r="O9" s="63">
        <f>SUMIFS(Tabla1[Costo],Tabla1[Ingeniero],Facturación!$A9,Tabla1[Facturación],O$3)</f>
        <v>0</v>
      </c>
      <c r="P9" s="63">
        <f>SUMIFS(Tabla1[Costo],Tabla1[Ingeniero],Facturación!$A9,Tabla1[Facturación],P$3)</f>
        <v>0</v>
      </c>
      <c r="Q9" s="63">
        <f>SUMIFS(Tabla1[Costo],Tabla1[Ingeniero],Facturación!$A9,Tabla1[Facturación],Q$3)</f>
        <v>0</v>
      </c>
      <c r="R9" s="72">
        <f t="shared" ref="R9:R11" si="5">SUM(F9:Q9)</f>
        <v>142912</v>
      </c>
      <c r="S9" s="213"/>
    </row>
    <row r="10" spans="1:19" ht="15.6" x14ac:dyDescent="0.3">
      <c r="A10" s="73" t="s">
        <v>294</v>
      </c>
      <c r="B10" s="65" t="s">
        <v>40</v>
      </c>
      <c r="C10" s="63">
        <f>VLOOKUP(B10,Catalogos!$B$75:$D$100,3,FALSE)</f>
        <v>700</v>
      </c>
      <c r="D10" s="57">
        <f t="shared" si="0"/>
        <v>812</v>
      </c>
      <c r="E10" s="57">
        <f t="shared" si="1"/>
        <v>6496</v>
      </c>
      <c r="F10" s="63">
        <f>SUMIFS(Tabla1[Costo],Tabla1[Ingeniero],Facturación!$A10,Tabla1[Facturación],F$3)</f>
        <v>142912</v>
      </c>
      <c r="G10" s="63">
        <f>SUMIFS(Tabla1[Costo],Tabla1[Ingeniero],Facturación!$A10,Tabla1[Facturación],G$3)</f>
        <v>152656</v>
      </c>
      <c r="H10" s="63">
        <f>SUMIFS(Tabla1[Costo],Tabla1[Ingeniero],Facturación!$A10,Tabla1[Facturación],H$3)</f>
        <v>142912</v>
      </c>
      <c r="I10" s="63">
        <f>SUMIFS(Tabla1[Costo],Tabla1[Ingeniero],Facturación!$A10,Tabla1[Facturación],I$3)</f>
        <v>129920</v>
      </c>
      <c r="J10" s="63">
        <f>SUMIFS(Tabla1[Costo],Tabla1[Ingeniero],Facturación!$A10,Tabla1[Facturación],J$3)</f>
        <v>84448</v>
      </c>
      <c r="K10" s="63">
        <f>SUMIFS(Tabla1[Costo],Tabla1[Ingeniero],Facturación!$A10,Tabla1[Facturación],K$3)</f>
        <v>142912</v>
      </c>
      <c r="L10" s="63">
        <f>SUMIFS(Tabla1[Costo],Tabla1[Ingeniero],Facturación!$A10,Tabla1[Facturación],L$3)</f>
        <v>0</v>
      </c>
      <c r="M10" s="63">
        <f>SUMIFS(Tabla1[Costo],Tabla1[Ingeniero],Facturación!$A10,Tabla1[Facturación],M$3)</f>
        <v>0</v>
      </c>
      <c r="N10" s="63">
        <f>SUMIFS(Tabla1[Costo],Tabla1[Ingeniero],Facturación!$A10,Tabla1[Facturación],N$3)</f>
        <v>0</v>
      </c>
      <c r="O10" s="63">
        <f>SUMIFS(Tabla1[Costo],Tabla1[Ingeniero],Facturación!$A10,Tabla1[Facturación],O$3)</f>
        <v>0</v>
      </c>
      <c r="P10" s="63">
        <f>SUMIFS(Tabla1[Costo],Tabla1[Ingeniero],Facturación!$A10,Tabla1[Facturación],P$3)</f>
        <v>0</v>
      </c>
      <c r="Q10" s="63">
        <f>SUMIFS(Tabla1[Costo],Tabla1[Ingeniero],Facturación!$A10,Tabla1[Facturación],Q$3)</f>
        <v>0</v>
      </c>
      <c r="R10" s="72">
        <f t="shared" si="5"/>
        <v>795760</v>
      </c>
      <c r="S10" s="213"/>
    </row>
    <row r="11" spans="1:19" ht="15.6" x14ac:dyDescent="0.3">
      <c r="A11" s="73" t="s">
        <v>295</v>
      </c>
      <c r="B11" s="65" t="s">
        <v>40</v>
      </c>
      <c r="C11" s="63">
        <f>VLOOKUP(B11,Catalogos!$B$75:$D$100,3,FALSE)</f>
        <v>700</v>
      </c>
      <c r="D11" s="57">
        <f t="shared" si="0"/>
        <v>812</v>
      </c>
      <c r="E11" s="57">
        <f t="shared" si="1"/>
        <v>6496</v>
      </c>
      <c r="F11" s="63">
        <f>SUMIFS(Tabla1[Costo],Tabla1[Ingeniero],Facturación!$A11,Tabla1[Facturación],F$3)</f>
        <v>142912</v>
      </c>
      <c r="G11" s="63">
        <f>SUMIFS(Tabla1[Costo],Tabla1[Ingeniero],Facturación!$A11,Tabla1[Facturación],G$3)</f>
        <v>152656</v>
      </c>
      <c r="H11" s="63">
        <f>SUMIFS(Tabla1[Costo],Tabla1[Ingeniero],Facturación!$A11,Tabla1[Facturación],H$3)</f>
        <v>142912</v>
      </c>
      <c r="I11" s="63">
        <f>SUMIFS(Tabla1[Costo],Tabla1[Ingeniero],Facturación!$A11,Tabla1[Facturación],I$3)</f>
        <v>110432</v>
      </c>
      <c r="J11" s="63">
        <f>SUMIFS(Tabla1[Costo],Tabla1[Ingeniero],Facturación!$A11,Tabla1[Facturación],J$3)</f>
        <v>77952</v>
      </c>
      <c r="K11" s="63">
        <f>SUMIFS(Tabla1[Costo],Tabla1[Ingeniero],Facturación!$A11,Tabla1[Facturación],K$3)</f>
        <v>0</v>
      </c>
      <c r="L11" s="63">
        <f>SUMIFS(Tabla1[Costo],Tabla1[Ingeniero],Facturación!$A11,Tabla1[Facturación],L$3)</f>
        <v>0</v>
      </c>
      <c r="M11" s="63">
        <f>SUMIFS(Tabla1[Costo],Tabla1[Ingeniero],Facturación!$A11,Tabla1[Facturación],M$3)</f>
        <v>0</v>
      </c>
      <c r="N11" s="63">
        <f>SUMIFS(Tabla1[Costo],Tabla1[Ingeniero],Facturación!$A11,Tabla1[Facturación],N$3)</f>
        <v>0</v>
      </c>
      <c r="O11" s="63">
        <f>SUMIFS(Tabla1[Costo],Tabla1[Ingeniero],Facturación!$A11,Tabla1[Facturación],O$3)</f>
        <v>0</v>
      </c>
      <c r="P11" s="63">
        <f>SUMIFS(Tabla1[Costo],Tabla1[Ingeniero],Facturación!$A11,Tabla1[Facturación],P$3)</f>
        <v>0</v>
      </c>
      <c r="Q11" s="63">
        <f>SUMIFS(Tabla1[Costo],Tabla1[Ingeniero],Facturación!$A11,Tabla1[Facturación],Q$3)</f>
        <v>0</v>
      </c>
      <c r="R11" s="72">
        <f t="shared" si="5"/>
        <v>626864</v>
      </c>
      <c r="S11" s="213"/>
    </row>
    <row r="12" spans="1:19" ht="18" customHeight="1" x14ac:dyDescent="0.3">
      <c r="A12" s="74" t="s">
        <v>258</v>
      </c>
      <c r="B12" s="62" t="s">
        <v>265</v>
      </c>
      <c r="C12" s="63">
        <f>VLOOKUP(B12,Catalogos!$B$75:$D$100,3,FALSE)</f>
        <v>500</v>
      </c>
      <c r="D12" s="57">
        <f t="shared" si="0"/>
        <v>580</v>
      </c>
      <c r="E12" s="57">
        <f t="shared" si="1"/>
        <v>4640</v>
      </c>
      <c r="F12" s="63">
        <f>SUMIFS(Tabla1[Costo],Tabla1[Ingeniero],Facturación!$A12,Tabla1[Facturación],F$3)</f>
        <v>81200</v>
      </c>
      <c r="G12" s="63">
        <f>SUMIFS(Tabla1[Costo],Tabla1[Ingeniero],Facturación!$A12,Tabla1[Facturación],G$3)</f>
        <v>88160</v>
      </c>
      <c r="H12" s="63">
        <f>SUMIFS(Tabla1[Costo],Tabla1[Ingeniero],Facturación!$A12,Tabla1[Facturación],H$3)</f>
        <v>102080</v>
      </c>
      <c r="I12" s="63">
        <f>SUMIFS(Tabla1[Costo],Tabla1[Ingeniero],Facturación!$A12,Tabla1[Facturación],I$3)</f>
        <v>92800</v>
      </c>
      <c r="J12" s="63">
        <f>SUMIFS(Tabla1[Costo],Tabla1[Ingeniero],Facturación!$A12,Tabla1[Facturación],J$3)</f>
        <v>97440</v>
      </c>
      <c r="K12" s="63">
        <f>SUMIFS(Tabla1[Costo],Tabla1[Ingeniero],Facturación!$A12,Tabla1[Facturación],K$3)</f>
        <v>101210</v>
      </c>
      <c r="L12" s="63">
        <f>SUMIFS(Tabla1[Costo],Tabla1[Ingeniero],Facturación!$A12,Tabla1[Facturación],L$3)</f>
        <v>97440</v>
      </c>
      <c r="M12" s="63">
        <f>SUMIFS(Tabla1[Costo],Tabla1[Ingeniero],Facturación!$A12,Tabla1[Facturación],M$3)</f>
        <v>107590</v>
      </c>
      <c r="N12" s="63">
        <f>SUMIFS(Tabla1[Costo],Tabla1[Ingeniero],Facturación!$A12,Tabla1[Facturación],N$3)</f>
        <v>96280</v>
      </c>
      <c r="O12" s="63">
        <f>SUMIFS(Tabla1[Costo],Tabla1[Ingeniero],Facturación!$A12,Tabla1[Facturación],O$3)</f>
        <v>102660</v>
      </c>
      <c r="P12" s="63">
        <f>SUMIFS(Tabla1[Costo],Tabla1[Ingeniero],Facturación!$A12,Tabla1[Facturación],P$3)</f>
        <v>92800</v>
      </c>
      <c r="Q12" s="63">
        <f>SUMIFS(Tabla1[Costo],Tabla1[Ingeniero],Facturación!$A12,Tabla1[Facturación],Q$3)</f>
        <v>96280</v>
      </c>
      <c r="R12" s="72">
        <f>SUM(F12:Q12)</f>
        <v>1155940</v>
      </c>
      <c r="S12" s="213"/>
    </row>
    <row r="13" spans="1:19" ht="18" customHeight="1" x14ac:dyDescent="0.3">
      <c r="A13" s="74" t="s">
        <v>548</v>
      </c>
      <c r="B13" s="53" t="s">
        <v>38</v>
      </c>
      <c r="C13" s="63">
        <f>VLOOKUP(B13,Catalogos!$B$75:$D$100,3,FALSE)</f>
        <v>400</v>
      </c>
      <c r="D13" s="57">
        <f t="shared" ref="D13" si="6">C13*1.16</f>
        <v>463.99999999999994</v>
      </c>
      <c r="E13" s="57">
        <f t="shared" ref="E13" si="7">D13*8</f>
        <v>3711.9999999999995</v>
      </c>
      <c r="F13" s="63">
        <f>SUMIFS(Tabla1[Costo],Tabla1[Ingeniero],Facturación!$A13,Tabla1[Facturación],F$3)</f>
        <v>0</v>
      </c>
      <c r="G13" s="63">
        <f>SUMIFS(Tabla1[Costo],Tabla1[Ingeniero],Facturación!$A13,Tabla1[Facturación],G$3)</f>
        <v>77952</v>
      </c>
      <c r="H13" s="63">
        <f>SUMIFS(Tabla1[Costo],Tabla1[Ingeniero],Facturación!$A13,Tabla1[Facturación],H$3)</f>
        <v>22271.999999999996</v>
      </c>
      <c r="I13" s="63">
        <f>SUMIFS(Tabla1[Costo],Tabla1[Ingeniero],Facturación!$A13,Tabla1[Facturación],I$3)</f>
        <v>0</v>
      </c>
      <c r="J13" s="63">
        <f>SUMIFS(Tabla1[Costo],Tabla1[Ingeniero],Facturación!$A13,Tabla1[Facturación],J$3)</f>
        <v>0</v>
      </c>
      <c r="K13" s="63">
        <f>SUMIFS(Tabla1[Costo],Tabla1[Ingeniero],Facturación!$A13,Tabla1[Facturación],K$3)</f>
        <v>0</v>
      </c>
      <c r="L13" s="63">
        <f>SUMIFS(Tabla1[Costo],Tabla1[Ingeniero],Facturación!$A13,Tabla1[Facturación],L$3)</f>
        <v>0</v>
      </c>
      <c r="M13" s="63">
        <f>SUMIFS(Tabla1[Costo],Tabla1[Ingeniero],Facturación!$A13,Tabla1[Facturación],M$3)</f>
        <v>0</v>
      </c>
      <c r="N13" s="63">
        <f>SUMIFS(Tabla1[Costo],Tabla1[Ingeniero],Facturación!$A13,Tabla1[Facturación],N$3)</f>
        <v>0</v>
      </c>
      <c r="O13" s="63">
        <f>SUMIFS(Tabla1[Costo],Tabla1[Ingeniero],Facturación!$A13,Tabla1[Facturación],O$3)</f>
        <v>0</v>
      </c>
      <c r="P13" s="63">
        <f>SUMIFS(Tabla1[Costo],Tabla1[Ingeniero],Facturación!$A13,Tabla1[Facturación],P$3)</f>
        <v>0</v>
      </c>
      <c r="Q13" s="63">
        <f>SUMIFS(Tabla1[Costo],Tabla1[Ingeniero],Facturación!$A13,Tabla1[Facturación],Q$3)</f>
        <v>0</v>
      </c>
      <c r="R13" s="72">
        <f t="shared" ref="R13:R31" si="8">SUM(F13:Q13)</f>
        <v>100224</v>
      </c>
      <c r="S13" s="213"/>
    </row>
    <row r="14" spans="1:19" ht="18" customHeight="1" x14ac:dyDescent="0.3">
      <c r="A14" s="74" t="s">
        <v>541</v>
      </c>
      <c r="B14" s="65" t="s">
        <v>40</v>
      </c>
      <c r="C14" s="63">
        <f>VLOOKUP(B14,Catalogos!$B$75:$D$100,3,FALSE)</f>
        <v>700</v>
      </c>
      <c r="D14" s="57">
        <f t="shared" ref="D14:D16" si="9">C14*1.16</f>
        <v>812</v>
      </c>
      <c r="E14" s="57">
        <f t="shared" ref="E14:E16" si="10">D14*8</f>
        <v>6496</v>
      </c>
      <c r="F14" s="63">
        <f>SUMIFS(Tabla1[Costo],Tabla1[Ingeniero],Facturación!$A14,Tabla1[Facturación],F$3)</f>
        <v>0</v>
      </c>
      <c r="G14" s="63">
        <f>SUMIFS(Tabla1[Costo],Tabla1[Ingeniero],Facturación!$A14,Tabla1[Facturación],G$3)</f>
        <v>6496</v>
      </c>
      <c r="H14" s="63">
        <f>SUMIFS(Tabla1[Costo],Tabla1[Ingeniero],Facturación!$A14,Tabla1[Facturación],H$3)</f>
        <v>142912</v>
      </c>
      <c r="I14" s="63">
        <f>SUMIFS(Tabla1[Costo],Tabla1[Ingeniero],Facturación!$A14,Tabla1[Facturación],I$3)</f>
        <v>129920</v>
      </c>
      <c r="J14" s="63">
        <f>SUMIFS(Tabla1[Costo],Tabla1[Ingeniero],Facturación!$A14,Tabla1[Facturación],J$3)</f>
        <v>0</v>
      </c>
      <c r="K14" s="63">
        <f>SUMIFS(Tabla1[Costo],Tabla1[Ingeniero],Facturación!$A14,Tabla1[Facturación],K$3)</f>
        <v>0</v>
      </c>
      <c r="L14" s="63">
        <f>SUMIFS(Tabla1[Costo],Tabla1[Ingeniero],Facturación!$A14,Tabla1[Facturación],L$3)</f>
        <v>0</v>
      </c>
      <c r="M14" s="63">
        <f>SUMIFS(Tabla1[Costo],Tabla1[Ingeniero],Facturación!$A14,Tabla1[Facturación],M$3)</f>
        <v>0</v>
      </c>
      <c r="N14" s="63">
        <f>SUMIFS(Tabla1[Costo],Tabla1[Ingeniero],Facturación!$A14,Tabla1[Facturación],N$3)</f>
        <v>0</v>
      </c>
      <c r="O14" s="63">
        <f>SUMIFS(Tabla1[Costo],Tabla1[Ingeniero],Facturación!$A14,Tabla1[Facturación],O$3)</f>
        <v>0</v>
      </c>
      <c r="P14" s="63">
        <f>SUMIFS(Tabla1[Costo],Tabla1[Ingeniero],Facturación!$A14,Tabla1[Facturación],P$3)</f>
        <v>0</v>
      </c>
      <c r="Q14" s="63">
        <f>SUMIFS(Tabla1[Costo],Tabla1[Ingeniero],Facturación!$A14,Tabla1[Facturación],Q$3)</f>
        <v>0</v>
      </c>
      <c r="R14" s="72">
        <f t="shared" si="8"/>
        <v>279328</v>
      </c>
      <c r="S14" s="213"/>
    </row>
    <row r="15" spans="1:19" ht="18" customHeight="1" x14ac:dyDescent="0.3">
      <c r="A15" s="271" t="s">
        <v>629</v>
      </c>
      <c r="B15" s="53" t="s">
        <v>302</v>
      </c>
      <c r="C15" s="63">
        <f>VLOOKUP(B15,Catalogos!$B$75:$D$100,3,FALSE)</f>
        <v>800</v>
      </c>
      <c r="D15" s="57">
        <f t="shared" si="9"/>
        <v>927.99999999999989</v>
      </c>
      <c r="E15" s="57">
        <f t="shared" si="10"/>
        <v>7423.9999999999991</v>
      </c>
      <c r="F15" s="63">
        <f>SUMIFS(Tabla1[Costo],Tabla1[Ingeniero],Facturación!$A15,Tabla1[Facturación],F$3)</f>
        <v>0</v>
      </c>
      <c r="G15" s="63">
        <f>SUMIFS(Tabla1[Costo],Tabla1[Ingeniero],Facturación!$A15,Tabla1[Facturación],G$3)</f>
        <v>37119.999999999993</v>
      </c>
      <c r="H15" s="63">
        <f>SUMIFS(Tabla1[Costo],Tabla1[Ingeniero],Facturación!$A15,Tabla1[Facturación],H$3)</f>
        <v>0</v>
      </c>
      <c r="I15" s="63">
        <f>SUMIFS(Tabla1[Costo],Tabla1[Ingeniero],Facturación!$A15,Tabla1[Facturación],I$3)</f>
        <v>73311.999999999985</v>
      </c>
      <c r="J15" s="63">
        <f>SUMIFS(Tabla1[Costo],Tabla1[Ingeniero],Facturación!$A15,Tabla1[Facturación],J$3)</f>
        <v>41760</v>
      </c>
      <c r="K15" s="63">
        <f>SUMIFS(Tabla1[Costo],Tabla1[Ingeniero],Facturación!$A15,Tabla1[Facturación],K$3)</f>
        <v>0</v>
      </c>
      <c r="L15" s="63">
        <f>SUMIFS(Tabla1[Costo],Tabla1[Ingeniero],Facturación!$A15,Tabla1[Facturación],L$3)</f>
        <v>0</v>
      </c>
      <c r="M15" s="63">
        <f>SUMIFS(Tabla1[Costo],Tabla1[Ingeniero],Facturación!$A15,Tabla1[Facturación],M$3)</f>
        <v>0</v>
      </c>
      <c r="N15" s="63">
        <f>SUMIFS(Tabla1[Costo],Tabla1[Ingeniero],Facturación!$A15,Tabla1[Facturación],N$3)</f>
        <v>0</v>
      </c>
      <c r="O15" s="63">
        <f>SUMIFS(Tabla1[Costo],Tabla1[Ingeniero],Facturación!$A15,Tabla1[Facturación],O$3)</f>
        <v>0</v>
      </c>
      <c r="P15" s="63"/>
      <c r="Q15" s="63">
        <f>SUMIFS(Tabla1[Costo],Tabla1[Ingeniero],Facturación!$A15,Tabla1[Facturación],Q$3)</f>
        <v>0</v>
      </c>
      <c r="R15" s="72">
        <f t="shared" si="8"/>
        <v>152191.99999999997</v>
      </c>
      <c r="S15" s="213"/>
    </row>
    <row r="16" spans="1:19" ht="18" customHeight="1" x14ac:dyDescent="0.3">
      <c r="A16" s="271" t="s">
        <v>1120</v>
      </c>
      <c r="B16" s="65" t="s">
        <v>40</v>
      </c>
      <c r="C16" s="63">
        <f>VLOOKUP(B16,Catalogos!$B$75:$D$100,3,FALSE)</f>
        <v>700</v>
      </c>
      <c r="D16" s="57">
        <f t="shared" si="9"/>
        <v>812</v>
      </c>
      <c r="E16" s="57">
        <f t="shared" si="10"/>
        <v>6496</v>
      </c>
      <c r="F16" s="63">
        <f>SUMIFS(Tabla1[Costo],Tabla1[Ingeniero],Facturación!$A16,Tabla1[Facturación],F$3)</f>
        <v>0</v>
      </c>
      <c r="G16" s="63">
        <f>SUMIFS(Tabla1[Costo],Tabla1[Ingeniero],Facturación!$A16,Tabla1[Facturación],G$3)</f>
        <v>0</v>
      </c>
      <c r="H16" s="63">
        <f>SUMIFS(Tabla1[Costo],Tabla1[Ingeniero],Facturación!$A16,Tabla1[Facturación],H$3)</f>
        <v>0</v>
      </c>
      <c r="I16" s="63">
        <f>SUMIFS(Tabla1[Costo],Tabla1[Ingeniero],Facturación!$A16,Tabla1[Facturación],I$3)</f>
        <v>92568</v>
      </c>
      <c r="J16" s="63">
        <f>SUMIFS(Tabla1[Costo],Tabla1[Ingeniero],Facturación!$A16,Tabla1[Facturación],J$3)</f>
        <v>136416</v>
      </c>
      <c r="K16" s="63">
        <f>SUMIFS(Tabla1[Costo],Tabla1[Ingeniero],Facturación!$A16,Tabla1[Facturación],K$3)</f>
        <v>111244</v>
      </c>
      <c r="L16" s="63">
        <f>SUMIFS(Tabla1[Costo],Tabla1[Ingeniero],Facturación!$A16,Tabla1[Facturación],L$3)</f>
        <v>100688</v>
      </c>
      <c r="M16" s="63">
        <f>SUMIFS(Tabla1[Costo],Tabla1[Ingeniero],Facturación!$A16,Tabla1[Facturación],M$3)</f>
        <v>137228</v>
      </c>
      <c r="N16" s="63">
        <f>SUMIFS(Tabla1[Costo],Tabla1[Ingeniero],Facturación!$A16,Tabla1[Facturación],N$3)</f>
        <v>129920</v>
      </c>
      <c r="O16" s="63">
        <f>SUMIFS(Tabla1[Costo],Tabla1[Ingeniero],Facturación!$A16,Tabla1[Facturación],O$3)</f>
        <v>143723.99999999997</v>
      </c>
      <c r="P16" s="63">
        <f>SUMIFS(Tabla1[Costo],Tabla1[Ingeniero],Facturación!$A16,Tabla1[Facturación],P$3)</f>
        <v>132356</v>
      </c>
      <c r="Q16" s="63">
        <f>SUMIFS(Tabla1[Costo],Tabla1[Ingeniero],Facturación!$A16,Tabla1[Facturación],Q$3)</f>
        <v>132356</v>
      </c>
      <c r="R16" s="72">
        <f t="shared" si="8"/>
        <v>1116500</v>
      </c>
      <c r="S16" s="213"/>
    </row>
    <row r="17" spans="1:19" ht="18" customHeight="1" x14ac:dyDescent="0.3">
      <c r="A17" s="271" t="s">
        <v>1441</v>
      </c>
      <c r="B17" s="245" t="s">
        <v>95</v>
      </c>
      <c r="C17" s="63">
        <f>VLOOKUP(B17,Catalogos!$B$75:$D$100,3,FALSE)</f>
        <v>600</v>
      </c>
      <c r="D17" s="57">
        <f t="shared" ref="D17:D18" si="11">C17*1.16</f>
        <v>696</v>
      </c>
      <c r="E17" s="57">
        <f t="shared" ref="E17:E18" si="12">D17*8</f>
        <v>5568</v>
      </c>
      <c r="F17" s="63">
        <f>SUMIFS(Tabla1[Costo],Tabla1[Ingeniero],Facturación!$A17,Tabla1[Facturación],F$3)</f>
        <v>0</v>
      </c>
      <c r="G17" s="63">
        <f>SUMIFS(Tabla1[Costo],Tabla1[Ingeniero],Facturación!$A17,Tabla1[Facturación],G$3)</f>
        <v>0</v>
      </c>
      <c r="H17" s="63">
        <f>SUMIFS(Tabla1[Costo],Tabla1[Ingeniero],Facturación!$A17,Tabla1[Facturación],H$3)</f>
        <v>0</v>
      </c>
      <c r="I17" s="63">
        <f>SUMIFS(Tabla1[Costo],Tabla1[Ingeniero],Facturación!$A17,Tabla1[Facturación],I$3)</f>
        <v>0</v>
      </c>
      <c r="J17" s="63">
        <f>SUMIFS(Tabla1[Costo],Tabla1[Ingeniero],Facturación!$A17,Tabla1[Facturación],J$3)</f>
        <v>0</v>
      </c>
      <c r="K17" s="63">
        <f>SUMIFS(Tabla1[Costo],Tabla1[Ingeniero],Facturación!$A17,Tabla1[Facturación],K$3)</f>
        <v>33408</v>
      </c>
      <c r="L17" s="63">
        <f>SUMIFS(Tabla1[Costo],Tabla1[Ingeniero],Facturación!$A17,Tabla1[Facturación],L$3)</f>
        <v>132588</v>
      </c>
      <c r="M17" s="63">
        <f>SUMIFS(Tabla1[Costo],Tabla1[Ingeniero],Facturación!$A17,Tabla1[Facturación],M$3)</f>
        <v>132588</v>
      </c>
      <c r="N17" s="63">
        <f>SUMIFS(Tabla1[Costo],Tabla1[Ingeniero],Facturación!$A17,Tabla1[Facturación],N$3)</f>
        <v>132588</v>
      </c>
      <c r="O17" s="63">
        <f>SUMIFS(Tabla1[Costo],Tabla1[Ingeniero],Facturación!$A17,Tabla1[Facturación],O$3)</f>
        <v>132588</v>
      </c>
      <c r="P17" s="63">
        <f>SUMIFS(Tabla1[Costo],Tabla1[Ingeniero],Facturación!$A17,Tabla1[Facturación],P$3)</f>
        <v>132588</v>
      </c>
      <c r="Q17" s="63">
        <f>SUMIFS(Tabla1[Costo],Tabla1[Ingeniero],Facturación!$A17,Tabla1[Facturación],Q$3)</f>
        <v>132588</v>
      </c>
      <c r="R17" s="72">
        <f t="shared" si="8"/>
        <v>828936</v>
      </c>
      <c r="S17" s="213"/>
    </row>
    <row r="18" spans="1:19" ht="18" customHeight="1" x14ac:dyDescent="0.3">
      <c r="A18" s="271" t="s">
        <v>1442</v>
      </c>
      <c r="B18" s="53" t="s">
        <v>79</v>
      </c>
      <c r="C18" s="63">
        <f>VLOOKUP(B18,Catalogos!$B$75:$D$100,3,FALSE)</f>
        <v>600</v>
      </c>
      <c r="D18" s="57">
        <f t="shared" si="11"/>
        <v>696</v>
      </c>
      <c r="E18" s="57">
        <f t="shared" si="12"/>
        <v>5568</v>
      </c>
      <c r="F18" s="63">
        <f>SUMIFS(Tabla1[Costo],Tabla1[Ingeniero],Facturación!$A18,Tabla1[Facturación],F$3)</f>
        <v>0</v>
      </c>
      <c r="G18" s="63">
        <f>SUMIFS(Tabla1[Costo],Tabla1[Ingeniero],Facturación!$A18,Tabla1[Facturación],G$3)</f>
        <v>0</v>
      </c>
      <c r="H18" s="63">
        <f>SUMIFS(Tabla1[Costo],Tabla1[Ingeniero],Facturación!$A18,Tabla1[Facturación],H$3)</f>
        <v>0</v>
      </c>
      <c r="I18" s="63">
        <f>SUMIFS(Tabla1[Costo],Tabla1[Ingeniero],Facturación!$A18,Tabla1[Facturación],I$3)</f>
        <v>0</v>
      </c>
      <c r="J18" s="63">
        <f>SUMIFS(Tabla1[Costo],Tabla1[Ingeniero],Facturación!$A18,Tabla1[Facturación],J$3)</f>
        <v>0</v>
      </c>
      <c r="K18" s="63">
        <f>SUMIFS(Tabla1[Costo],Tabla1[Ingeniero],Facturación!$A18,Tabla1[Facturación],K$3)</f>
        <v>66294</v>
      </c>
      <c r="L18" s="63">
        <f>SUMIFS(Tabla1[Costo],Tabla1[Ingeniero],Facturación!$A18,Tabla1[Facturación],L$3)</f>
        <v>132588</v>
      </c>
      <c r="M18" s="63">
        <f>SUMIFS(Tabla1[Costo],Tabla1[Ingeniero],Facturación!$A18,Tabla1[Facturación],M$3)</f>
        <v>132588</v>
      </c>
      <c r="N18" s="63">
        <f>SUMIFS(Tabla1[Costo],Tabla1[Ingeniero],Facturación!$A18,Tabla1[Facturación],N$3)</f>
        <v>132588</v>
      </c>
      <c r="O18" s="63">
        <f>SUMIFS(Tabla1[Costo],Tabla1[Ingeniero],Facturación!$A18,Tabla1[Facturación],O$3)</f>
        <v>132588</v>
      </c>
      <c r="P18" s="63">
        <f>SUMIFS(Tabla1[Costo],Tabla1[Ingeniero],Facturación!$A18,Tabla1[Facturación],P$3)</f>
        <v>132587.99999999997</v>
      </c>
      <c r="Q18" s="63">
        <f>SUMIFS(Tabla1[Costo],Tabla1[Ingeniero],Facturación!$A18,Tabla1[Facturación],Q$3)</f>
        <v>132588</v>
      </c>
      <c r="R18" s="72">
        <f t="shared" si="8"/>
        <v>861822</v>
      </c>
      <c r="S18" s="213"/>
    </row>
    <row r="19" spans="1:19" ht="18" customHeight="1" x14ac:dyDescent="0.3">
      <c r="A19" s="271" t="s">
        <v>2415</v>
      </c>
      <c r="B19" s="245" t="s">
        <v>40</v>
      </c>
      <c r="C19" s="63">
        <f>VLOOKUP(B19,Catalogos!$B$75:$D$100,3,FALSE)</f>
        <v>700</v>
      </c>
      <c r="D19" s="57">
        <f t="shared" ref="D19" si="13">C19*1.16</f>
        <v>812</v>
      </c>
      <c r="E19" s="57">
        <f t="shared" ref="E19" si="14">D19*8</f>
        <v>6496</v>
      </c>
      <c r="F19" s="63"/>
      <c r="G19" s="63"/>
      <c r="H19" s="63"/>
      <c r="I19" s="63"/>
      <c r="J19" s="63"/>
      <c r="K19" s="63"/>
      <c r="L19" s="63"/>
      <c r="M19" s="63">
        <f>SUMIFS(Tabla1[Costo],Tabla1[Ingeniero],Facturación!$A19,Tabla1[Facturación],M$3)</f>
        <v>77952</v>
      </c>
      <c r="N19" s="63">
        <f>SUMIFS(Tabla1[Costo],Tabla1[Ingeniero],Facturación!$A19,Tabla1[Facturación],N$3)</f>
        <v>136416</v>
      </c>
      <c r="O19" s="63">
        <f>SUMIFS(Tabla1[Costo],Tabla1[Ingeniero],Facturación!$A19,Tabla1[Facturación],O$3)</f>
        <v>142912</v>
      </c>
      <c r="P19" s="63">
        <f>SUMIFS(Tabla1[Costo],Tabla1[Ingeniero],Facturación!$A19,Tabla1[Facturación],P$3)</f>
        <v>129920</v>
      </c>
      <c r="Q19" s="63">
        <f>SUMIFS(Tabla1[Costo],Tabla1[Ingeniero],Facturación!$A19,Tabla1[Facturación],Q$3)</f>
        <v>134792</v>
      </c>
      <c r="R19" s="72">
        <f t="shared" si="8"/>
        <v>621992</v>
      </c>
      <c r="S19" s="213"/>
    </row>
    <row r="20" spans="1:19" ht="18" customHeight="1" x14ac:dyDescent="0.3">
      <c r="A20" s="271" t="s">
        <v>2649</v>
      </c>
      <c r="B20" s="62" t="s">
        <v>265</v>
      </c>
      <c r="C20" s="63">
        <f>VLOOKUP(B20,Catalogos!$B$75:$D$100,3,FALSE)</f>
        <v>500</v>
      </c>
      <c r="D20" s="57">
        <f t="shared" ref="D20:D31" si="15">C20*1.16</f>
        <v>580</v>
      </c>
      <c r="E20" s="57">
        <f t="shared" ref="E20:E31" si="16">D20*8</f>
        <v>4640</v>
      </c>
      <c r="F20" s="63"/>
      <c r="G20" s="63"/>
      <c r="H20" s="63"/>
      <c r="I20" s="63"/>
      <c r="J20" s="63"/>
      <c r="K20" s="63"/>
      <c r="L20" s="63"/>
      <c r="M20" s="63"/>
      <c r="N20" s="63">
        <f>SUMIFS(Tabla1[Costo],Tabla1[Ingeniero],Facturación!$A20,Tabla1[Facturación],N$3)</f>
        <v>92800</v>
      </c>
      <c r="O20" s="63">
        <f>SUMIFS(Tabla1[Costo],Tabla1[Ingeniero],Facturación!$A20,Tabla1[Facturación],O$3)</f>
        <v>92800</v>
      </c>
      <c r="P20" s="63">
        <f>SUMIFS(Tabla1[Costo],Tabla1[Ingeniero],Facturación!$A20,Tabla1[Facturación],P$3)</f>
        <v>92800</v>
      </c>
      <c r="Q20" s="63">
        <f>SUMIFS(Tabla1[Costo],Tabla1[Ingeniero],Facturación!$A20,Tabla1[Facturación],Q$3)</f>
        <v>64960</v>
      </c>
      <c r="R20" s="72">
        <f t="shared" si="8"/>
        <v>343360</v>
      </c>
      <c r="S20" s="213"/>
    </row>
    <row r="21" spans="1:19" ht="18" customHeight="1" x14ac:dyDescent="0.3">
      <c r="A21" s="74" t="s">
        <v>4257</v>
      </c>
      <c r="B21" s="245" t="s">
        <v>40</v>
      </c>
      <c r="C21" s="63">
        <f>VLOOKUP(B21,Catalogos!$B$75:$D$100,3,FALSE)</f>
        <v>700</v>
      </c>
      <c r="D21" s="57">
        <f t="shared" si="15"/>
        <v>812</v>
      </c>
      <c r="E21" s="57">
        <f t="shared" si="16"/>
        <v>6496</v>
      </c>
      <c r="F21" s="63"/>
      <c r="G21" s="63"/>
      <c r="H21" s="63"/>
      <c r="I21" s="63"/>
      <c r="J21" s="63"/>
      <c r="K21" s="63"/>
      <c r="L21" s="63"/>
      <c r="M21" s="63"/>
      <c r="N21" s="63"/>
      <c r="O21" s="63"/>
      <c r="P21" s="63">
        <f>SUMIFS(Tabla1[Costo],Tabla1[Ingeniero],Facturación!$A21,Tabla1[Facturación],P$3)</f>
        <v>136415.99999999997</v>
      </c>
      <c r="Q21" s="63">
        <f>SUMIFS(Tabla1[Costo],Tabla1[Ingeniero],Facturación!$A21,Tabla1[Facturación],Q$3)</f>
        <v>134792</v>
      </c>
      <c r="R21" s="72">
        <f t="shared" si="8"/>
        <v>271208</v>
      </c>
      <c r="S21" s="213"/>
    </row>
    <row r="22" spans="1:19" ht="18" customHeight="1" x14ac:dyDescent="0.3">
      <c r="A22" s="74" t="s">
        <v>4258</v>
      </c>
      <c r="B22" s="245" t="s">
        <v>40</v>
      </c>
      <c r="C22" s="63">
        <f>VLOOKUP(B22,Catalogos!$B$75:$D$100,3,FALSE)</f>
        <v>700</v>
      </c>
      <c r="D22" s="57">
        <f t="shared" si="15"/>
        <v>812</v>
      </c>
      <c r="E22" s="57">
        <f t="shared" si="16"/>
        <v>6496</v>
      </c>
      <c r="F22" s="63"/>
      <c r="G22" s="63"/>
      <c r="H22" s="63"/>
      <c r="I22" s="63"/>
      <c r="J22" s="63"/>
      <c r="K22" s="63"/>
      <c r="L22" s="63"/>
      <c r="M22" s="63"/>
      <c r="N22" s="63"/>
      <c r="O22" s="63"/>
      <c r="P22" s="63">
        <f>SUMIFS(Tabla1[Costo],Tabla1[Ingeniero],Facturación!$A22,Tabla1[Facturación],P$3)</f>
        <v>135603.99999999997</v>
      </c>
      <c r="Q22" s="63">
        <f>SUMIFS(Tabla1[Costo],Tabla1[Ingeniero],Facturación!$A22,Tabla1[Facturación],Q$3)</f>
        <v>137227.99999999997</v>
      </c>
      <c r="R22" s="72">
        <f t="shared" si="8"/>
        <v>272831.99999999994</v>
      </c>
      <c r="S22" s="213"/>
    </row>
    <row r="23" spans="1:19" ht="18" customHeight="1" x14ac:dyDescent="0.3">
      <c r="A23" s="359" t="s">
        <v>28</v>
      </c>
      <c r="B23" s="354" t="s">
        <v>36</v>
      </c>
      <c r="C23" s="63">
        <f>VLOOKUP(B23,Catalogos!$B$75:$D$100,3,FALSE)</f>
        <v>600</v>
      </c>
      <c r="D23" s="57">
        <f t="shared" si="15"/>
        <v>696</v>
      </c>
      <c r="E23" s="57">
        <f t="shared" si="16"/>
        <v>5568</v>
      </c>
      <c r="F23" s="63"/>
      <c r="G23" s="63"/>
      <c r="H23" s="63"/>
      <c r="I23" s="63"/>
      <c r="J23" s="63"/>
      <c r="K23" s="63"/>
      <c r="L23" s="63"/>
      <c r="M23" s="63"/>
      <c r="N23" s="63"/>
      <c r="O23" s="63">
        <f>SUMIFS(Tabla1[Costo],Tabla1[Ingeniero],Facturación!$A23,Tabla1[Facturación],O$3)</f>
        <v>18096</v>
      </c>
      <c r="P23" s="63">
        <f>SUMIFS(Tabla1[Costo],Tabla1[Ingeniero],Facturación!$A23,Tabla1[Facturación],P$3)</f>
        <v>22272</v>
      </c>
      <c r="Q23" s="63">
        <f>SUMIFS(Tabla1[Costo],Tabla1[Ingeniero],Facturación!$A23,Tabla1[Facturación],Q$3)</f>
        <v>16704</v>
      </c>
      <c r="R23" s="72">
        <f t="shared" si="8"/>
        <v>57072</v>
      </c>
      <c r="S23" s="213"/>
    </row>
    <row r="24" spans="1:19" ht="18" customHeight="1" x14ac:dyDescent="0.3">
      <c r="A24" s="360" t="s">
        <v>4138</v>
      </c>
      <c r="B24" s="354" t="s">
        <v>244</v>
      </c>
      <c r="C24" s="63">
        <f>VLOOKUP(B24,Catalogos!$B$75:$D$100,3,FALSE)</f>
        <v>450</v>
      </c>
      <c r="D24" s="57">
        <f t="shared" si="15"/>
        <v>522</v>
      </c>
      <c r="E24" s="57">
        <f t="shared" si="16"/>
        <v>4176</v>
      </c>
      <c r="F24" s="63"/>
      <c r="G24" s="63"/>
      <c r="H24" s="63"/>
      <c r="I24" s="63"/>
      <c r="J24" s="63"/>
      <c r="K24" s="63"/>
      <c r="L24" s="63"/>
      <c r="M24" s="63"/>
      <c r="N24" s="63"/>
      <c r="O24" s="63">
        <f>SUMIFS(Tabla1[Costo],Tabla1[Ingeniero],Facturación!$A24,Tabla1[Facturación],O$3)</f>
        <v>70992</v>
      </c>
      <c r="P24" s="63">
        <f>SUMIFS(Tabla1[Costo],Tabla1[Ingeniero],Facturación!$A24,Tabla1[Facturación],P$3)</f>
        <v>0</v>
      </c>
      <c r="Q24" s="63">
        <f>SUMIFS(Tabla1[Costo],Tabla1[Ingeniero],Facturación!$A24,Tabla1[Facturación],Q$3)</f>
        <v>0</v>
      </c>
      <c r="R24" s="72">
        <f t="shared" si="8"/>
        <v>70992</v>
      </c>
      <c r="S24" s="213"/>
    </row>
    <row r="25" spans="1:19" ht="18" customHeight="1" x14ac:dyDescent="0.3">
      <c r="A25" s="364" t="s">
        <v>5375</v>
      </c>
      <c r="B25" s="354" t="s">
        <v>40</v>
      </c>
      <c r="C25" s="63">
        <f>VLOOKUP(B25,Catalogos!$B$75:$D$100,3,FALSE)</f>
        <v>700</v>
      </c>
      <c r="D25" s="57">
        <f t="shared" si="15"/>
        <v>812</v>
      </c>
      <c r="E25" s="57">
        <f t="shared" si="16"/>
        <v>6496</v>
      </c>
      <c r="F25" s="63"/>
      <c r="G25" s="63"/>
      <c r="H25" s="63"/>
      <c r="I25" s="63"/>
      <c r="J25" s="63"/>
      <c r="K25" s="63"/>
      <c r="L25" s="63"/>
      <c r="M25" s="63"/>
      <c r="N25" s="63"/>
      <c r="O25" s="63">
        <f>SUMIFS(Tabla1[Costo],Tabla1[Ingeniero],Facturación!$A25,Tabla1[Facturación],O$3)</f>
        <v>0</v>
      </c>
      <c r="P25" s="63">
        <f>SUMIFS(Tabla1[Costo],Tabla1[Ingeniero],Facturación!$A25,Tabla1[Facturación],P$3)</f>
        <v>129920</v>
      </c>
      <c r="Q25" s="63">
        <f>SUMIFS(Tabla1[Costo],Tabla1[Ingeniero],Facturación!$A25,Tabla1[Facturación],Q$3)</f>
        <v>63336</v>
      </c>
      <c r="R25" s="72">
        <f t="shared" si="8"/>
        <v>193256</v>
      </c>
      <c r="S25" s="213"/>
    </row>
    <row r="26" spans="1:19" ht="18" customHeight="1" x14ac:dyDescent="0.3">
      <c r="A26" s="364" t="s">
        <v>5376</v>
      </c>
      <c r="B26" s="354" t="s">
        <v>40</v>
      </c>
      <c r="C26" s="63">
        <f>VLOOKUP(B26,Catalogos!$B$75:$D$100,3,FALSE)</f>
        <v>700</v>
      </c>
      <c r="D26" s="57">
        <f t="shared" ref="D26" si="17">C26*1.16</f>
        <v>812</v>
      </c>
      <c r="E26" s="57">
        <f t="shared" ref="E26" si="18">D26*8</f>
        <v>6496</v>
      </c>
      <c r="F26" s="63"/>
      <c r="G26" s="63"/>
      <c r="H26" s="63"/>
      <c r="I26" s="63"/>
      <c r="J26" s="63"/>
      <c r="K26" s="63"/>
      <c r="L26" s="63"/>
      <c r="M26" s="63"/>
      <c r="N26" s="63"/>
      <c r="O26" s="63"/>
      <c r="P26" s="63">
        <f>SUMIFS(Tabla1[Costo],Tabla1[Ingeniero],Facturación!$A26,Tabla1[Facturación],P$3)</f>
        <v>129920</v>
      </c>
      <c r="Q26" s="63">
        <f>SUMIFS(Tabla1[Costo],Tabla1[Ingeniero],Facturación!$A26,Tabla1[Facturación],Q$3)</f>
        <v>63336</v>
      </c>
      <c r="R26" s="72">
        <f t="shared" si="8"/>
        <v>193256</v>
      </c>
      <c r="S26" s="213"/>
    </row>
    <row r="27" spans="1:19" ht="18" customHeight="1" x14ac:dyDescent="0.3">
      <c r="A27" s="364" t="s">
        <v>629</v>
      </c>
      <c r="B27" s="354" t="s">
        <v>302</v>
      </c>
      <c r="C27" s="63">
        <f>VLOOKUP(B27,Catalogos!$B$75:$D$100,3,FALSE)</f>
        <v>800</v>
      </c>
      <c r="D27" s="57">
        <f t="shared" si="15"/>
        <v>927.99999999999989</v>
      </c>
      <c r="E27" s="57">
        <f t="shared" si="16"/>
        <v>7423.9999999999991</v>
      </c>
      <c r="F27" s="63"/>
      <c r="G27" s="63"/>
      <c r="H27" s="63"/>
      <c r="I27" s="63"/>
      <c r="J27" s="63"/>
      <c r="K27" s="63"/>
      <c r="L27" s="63"/>
      <c r="M27" s="63"/>
      <c r="N27" s="63"/>
      <c r="O27" s="63">
        <f>SUMIFS(Tabla1[Costo],Tabla1[Ingeniero],Facturación!$A27,Tabla1[Facturación],O$3)</f>
        <v>0</v>
      </c>
      <c r="P27" s="63">
        <f>SUMIFS(Tabla1[Costo],Tabla1[Ingeniero],Facturación!$A27,Tabla1[Facturación],P$3)</f>
        <v>148480</v>
      </c>
      <c r="Q27" s="63">
        <f>SUMIFS(Tabla1[Costo],Tabla1[Ingeniero],Facturación!$A27,Tabla1[Facturación],Q$3)</f>
        <v>0</v>
      </c>
      <c r="R27" s="72">
        <f t="shared" si="8"/>
        <v>148480</v>
      </c>
      <c r="S27" s="213"/>
    </row>
    <row r="28" spans="1:19" ht="18" customHeight="1" x14ac:dyDescent="0.3">
      <c r="A28" s="360" t="s">
        <v>4175</v>
      </c>
      <c r="B28" s="354" t="s">
        <v>265</v>
      </c>
      <c r="C28" s="63">
        <f>VLOOKUP(B28,Catalogos!$B$75:$D$100,3,FALSE)</f>
        <v>500</v>
      </c>
      <c r="D28" s="57">
        <f t="shared" si="15"/>
        <v>580</v>
      </c>
      <c r="E28" s="57">
        <f t="shared" si="16"/>
        <v>4640</v>
      </c>
      <c r="F28" s="63"/>
      <c r="G28" s="63"/>
      <c r="H28" s="63"/>
      <c r="I28" s="63"/>
      <c r="J28" s="63"/>
      <c r="K28" s="63"/>
      <c r="L28" s="63"/>
      <c r="M28" s="63"/>
      <c r="N28" s="63"/>
      <c r="O28" s="63">
        <f>SUMIFS(Tabla1[Costo],Tabla1[Ingeniero],Facturación!$A28,Tabla1[Facturación],O$3)</f>
        <v>18560</v>
      </c>
      <c r="P28" s="63">
        <f>SUMIFS(Tabla1[Costo],Tabla1[Ingeniero],Facturación!$A28,Tabla1[Facturación],P$3)</f>
        <v>92800</v>
      </c>
      <c r="Q28" s="63">
        <f>SUMIFS(Tabla1[Costo],Tabla1[Ingeniero],Facturación!$A28,Tabla1[Facturación],Q$3)</f>
        <v>6960</v>
      </c>
      <c r="R28" s="72">
        <f t="shared" si="8"/>
        <v>118320</v>
      </c>
      <c r="S28" s="213"/>
    </row>
    <row r="29" spans="1:19" ht="18" customHeight="1" x14ac:dyDescent="0.3">
      <c r="A29" s="360" t="s">
        <v>5374</v>
      </c>
      <c r="B29" s="354" t="s">
        <v>37</v>
      </c>
      <c r="C29" s="63">
        <f>VLOOKUP(B29,Catalogos!$B$75:$D$100,3,FALSE)</f>
        <v>450</v>
      </c>
      <c r="D29" s="57">
        <f t="shared" si="15"/>
        <v>522</v>
      </c>
      <c r="E29" s="57">
        <f t="shared" si="16"/>
        <v>4176</v>
      </c>
      <c r="F29" s="63"/>
      <c r="G29" s="63"/>
      <c r="H29" s="63"/>
      <c r="I29" s="63"/>
      <c r="J29" s="63"/>
      <c r="K29" s="63"/>
      <c r="L29" s="63"/>
      <c r="M29" s="63"/>
      <c r="N29" s="63"/>
      <c r="O29" s="63">
        <f>SUMIFS(Tabla1[Costo],Tabla1[Ingeniero],Facturación!$A29,Tabla1[Facturación],O$3)</f>
        <v>70992</v>
      </c>
      <c r="P29" s="63">
        <f>SUMIFS(Tabla1[Costo],Tabla1[Ingeniero],Facturación!$A29,Tabla1[Facturación],P$3)</f>
        <v>83520</v>
      </c>
      <c r="Q29" s="63">
        <f>SUMIFS(Tabla1[Costo],Tabla1[Ingeniero],Facturación!$A29,Tabla1[Facturación],Q$3)</f>
        <v>20880</v>
      </c>
      <c r="R29" s="72">
        <f t="shared" si="8"/>
        <v>175392</v>
      </c>
      <c r="S29" s="213"/>
    </row>
    <row r="30" spans="1:19" ht="18" customHeight="1" x14ac:dyDescent="0.3">
      <c r="A30" s="365" t="s">
        <v>262</v>
      </c>
      <c r="B30" s="195" t="s">
        <v>263</v>
      </c>
      <c r="C30" s="63">
        <f>VLOOKUP(B30,Catalogos!$B$75:$D$100,3,FALSE)</f>
        <v>500</v>
      </c>
      <c r="D30" s="57">
        <f t="shared" si="15"/>
        <v>580</v>
      </c>
      <c r="E30" s="57">
        <f t="shared" si="16"/>
        <v>4640</v>
      </c>
      <c r="F30" s="63"/>
      <c r="G30" s="63"/>
      <c r="H30" s="63"/>
      <c r="I30" s="63"/>
      <c r="J30" s="63"/>
      <c r="K30" s="63"/>
      <c r="L30" s="63"/>
      <c r="M30" s="63"/>
      <c r="N30" s="63"/>
      <c r="O30" s="63">
        <f>SUMIFS(Tabla1[Costo],Tabla1[Ingeniero],Facturación!$A30,Tabla1[Facturación],O$3)</f>
        <v>0</v>
      </c>
      <c r="P30" s="63">
        <f>SUMIFS(Tabla1[Costo],Tabla1[Ingeniero],Facturación!$A30,Tabla1[Facturación],P$3)</f>
        <v>37120</v>
      </c>
      <c r="Q30" s="63">
        <f>SUMIFS(Tabla1[Costo],Tabla1[Ingeniero],Facturación!$A30,Tabla1[Facturación],Q$3)</f>
        <v>59160</v>
      </c>
      <c r="R30" s="72">
        <f t="shared" si="8"/>
        <v>96280</v>
      </c>
      <c r="S30" s="213"/>
    </row>
    <row r="31" spans="1:19" ht="18" customHeight="1" x14ac:dyDescent="0.3">
      <c r="A31" s="364" t="s">
        <v>3434</v>
      </c>
      <c r="B31" s="245" t="s">
        <v>40</v>
      </c>
      <c r="C31" s="63">
        <f>VLOOKUP(B31,Catalogos!$B$75:$D$100,3,FALSE)</f>
        <v>700</v>
      </c>
      <c r="D31" s="57">
        <f t="shared" si="15"/>
        <v>812</v>
      </c>
      <c r="E31" s="57">
        <f t="shared" si="16"/>
        <v>6496</v>
      </c>
      <c r="F31" s="63"/>
      <c r="G31" s="63"/>
      <c r="H31" s="63"/>
      <c r="I31" s="63"/>
      <c r="J31" s="63"/>
      <c r="K31" s="63"/>
      <c r="L31" s="63"/>
      <c r="M31" s="63"/>
      <c r="N31" s="63"/>
      <c r="O31" s="63">
        <f>SUMIFS(Tabla1[Costo],Tabla1[Ingeniero],Facturación!$A31,Tabla1[Facturación],O$3)</f>
        <v>78763.999999999985</v>
      </c>
      <c r="P31" s="63">
        <f>SUMIFS(Tabla1[Costo],Tabla1[Ingeniero],Facturación!$A31,Tabla1[Facturación],P$3)</f>
        <v>129920</v>
      </c>
      <c r="Q31" s="63">
        <f>SUMIFS(Tabla1[Costo],Tabla1[Ingeniero],Facturación!$A31,Tabla1[Facturación],Q$3)</f>
        <v>64960</v>
      </c>
      <c r="R31" s="72">
        <f t="shared" si="8"/>
        <v>273644</v>
      </c>
      <c r="S31" s="213"/>
    </row>
    <row r="32" spans="1:19" x14ac:dyDescent="0.3">
      <c r="A32" s="69" t="s">
        <v>113</v>
      </c>
      <c r="F32" s="71">
        <f t="shared" ref="F32:O32" si="19">SUM(F5:F20)</f>
        <v>709572</v>
      </c>
      <c r="G32" s="71">
        <f t="shared" si="19"/>
        <v>816292</v>
      </c>
      <c r="H32" s="71">
        <f t="shared" si="19"/>
        <v>854108</v>
      </c>
      <c r="I32" s="71">
        <f t="shared" si="19"/>
        <v>804924</v>
      </c>
      <c r="J32" s="71">
        <f t="shared" si="19"/>
        <v>570140</v>
      </c>
      <c r="K32" s="71">
        <f t="shared" si="19"/>
        <v>542764</v>
      </c>
      <c r="L32" s="71">
        <f t="shared" si="19"/>
        <v>561556</v>
      </c>
      <c r="M32" s="71">
        <f t="shared" si="19"/>
        <v>654530</v>
      </c>
      <c r="N32" s="71">
        <f t="shared" si="19"/>
        <v>789612</v>
      </c>
      <c r="O32" s="71">
        <f t="shared" si="19"/>
        <v>802488</v>
      </c>
      <c r="P32" s="71">
        <f>SUM(P5:P22)</f>
        <v>1118240</v>
      </c>
      <c r="Q32" s="71">
        <f>SUM(Q5:Q22)</f>
        <v>965584</v>
      </c>
      <c r="R32" s="71">
        <f>SUM(R5:R22)</f>
        <v>9189810</v>
      </c>
    </row>
    <row r="33" spans="1:18" x14ac:dyDescent="0.3">
      <c r="A33" s="69" t="s">
        <v>296</v>
      </c>
      <c r="B33" s="269"/>
      <c r="C33" s="269"/>
      <c r="D33" s="269"/>
      <c r="E33" s="269"/>
      <c r="F33" s="270">
        <f>F32</f>
        <v>709572</v>
      </c>
      <c r="G33" s="270">
        <f>G32+F33</f>
        <v>1525864</v>
      </c>
      <c r="H33" s="270">
        <f t="shared" ref="H33:Q33" si="20">H32+G33</f>
        <v>2379972</v>
      </c>
      <c r="I33" s="270">
        <f t="shared" si="20"/>
        <v>3184896</v>
      </c>
      <c r="J33" s="270">
        <f t="shared" si="20"/>
        <v>3755036</v>
      </c>
      <c r="K33" s="270">
        <f t="shared" si="20"/>
        <v>4297800</v>
      </c>
      <c r="L33" s="270">
        <f t="shared" si="20"/>
        <v>4859356</v>
      </c>
      <c r="M33" s="270">
        <f t="shared" si="20"/>
        <v>5513886</v>
      </c>
      <c r="N33" s="270">
        <f t="shared" si="20"/>
        <v>6303498</v>
      </c>
      <c r="O33" s="270">
        <f t="shared" si="20"/>
        <v>7105986</v>
      </c>
      <c r="P33" s="270">
        <f t="shared" si="20"/>
        <v>8224226</v>
      </c>
      <c r="Q33" s="270">
        <f t="shared" si="20"/>
        <v>9189810</v>
      </c>
      <c r="R33" s="270"/>
    </row>
    <row r="34" spans="1:18" ht="18.75" customHeight="1" x14ac:dyDescent="0.3">
      <c r="A34" s="138" t="s">
        <v>217</v>
      </c>
      <c r="F34" s="139">
        <f>Presupuesto!F32-Facturación!F32</f>
        <v>0</v>
      </c>
      <c r="G34" s="139">
        <f>Presupuesto!G32-Facturación!G32</f>
        <v>0</v>
      </c>
      <c r="H34" s="139">
        <f>Presupuesto!H32-Facturación!H32</f>
        <v>0</v>
      </c>
      <c r="I34" s="139">
        <f>Presupuesto!I32-Facturación!I32</f>
        <v>0</v>
      </c>
      <c r="J34" s="139">
        <f>Presupuesto!J32-Facturación!J32</f>
        <v>0</v>
      </c>
      <c r="K34" s="139">
        <f>Presupuesto!K32-Facturación!K32</f>
        <v>0</v>
      </c>
      <c r="L34" s="139">
        <f>Presupuesto!L32-Facturación!L32</f>
        <v>0</v>
      </c>
      <c r="M34" s="139">
        <f>Presupuesto!M32-Facturación!M32</f>
        <v>0</v>
      </c>
      <c r="N34" s="139">
        <f>Presupuesto!N32-Facturación!N32</f>
        <v>0</v>
      </c>
      <c r="O34" s="139">
        <f>Presupuesto!O32-Facturación!O32</f>
        <v>0</v>
      </c>
      <c r="P34" s="139">
        <f>Presupuesto!P32-Facturación!P32</f>
        <v>0</v>
      </c>
      <c r="Q34" s="139">
        <f>Presupuesto!Q32-Facturación!Q32</f>
        <v>0</v>
      </c>
      <c r="R34" s="139"/>
    </row>
    <row r="35" spans="1:18" ht="18.75" customHeight="1" x14ac:dyDescent="0.3">
      <c r="A35" s="138"/>
      <c r="F35" s="139"/>
      <c r="G35" s="139"/>
      <c r="H35" s="139"/>
      <c r="I35" s="139"/>
      <c r="J35" s="139"/>
      <c r="K35" s="139"/>
      <c r="L35" s="139"/>
      <c r="M35" s="139"/>
      <c r="N35" s="139"/>
      <c r="O35" s="139"/>
      <c r="P35" s="139"/>
      <c r="Q35" s="139"/>
      <c r="R35" s="139"/>
    </row>
    <row r="36" spans="1:18" x14ac:dyDescent="0.3">
      <c r="A36" s="37" t="s">
        <v>251</v>
      </c>
      <c r="F36" s="139"/>
      <c r="G36" s="139"/>
      <c r="H36" s="139"/>
      <c r="I36" s="139"/>
      <c r="J36" s="212"/>
      <c r="K36" s="139"/>
      <c r="L36" s="139"/>
      <c r="M36" s="139"/>
      <c r="N36" s="139"/>
      <c r="O36" s="139"/>
      <c r="P36" s="139"/>
      <c r="Q36" s="139"/>
      <c r="R36" s="139">
        <f>SUM(F36:Q36)</f>
        <v>0</v>
      </c>
    </row>
    <row r="37" spans="1:18" x14ac:dyDescent="0.3">
      <c r="A37" s="37" t="s">
        <v>252</v>
      </c>
      <c r="F37" s="139"/>
      <c r="G37" s="139"/>
      <c r="H37" s="139"/>
      <c r="I37" s="139"/>
      <c r="J37" s="139"/>
      <c r="K37" s="139"/>
      <c r="L37" s="139"/>
      <c r="M37" s="139"/>
      <c r="N37" s="139"/>
      <c r="O37" s="139"/>
      <c r="P37" s="139"/>
      <c r="Q37" s="139"/>
      <c r="R37" s="139">
        <f>SUM(F37:Q37)</f>
        <v>0</v>
      </c>
    </row>
    <row r="38" spans="1:18" x14ac:dyDescent="0.3">
      <c r="A38" s="37" t="s">
        <v>253</v>
      </c>
      <c r="F38" s="139"/>
      <c r="G38" s="139"/>
      <c r="H38" s="139"/>
      <c r="I38" s="139"/>
      <c r="J38" s="139"/>
      <c r="K38" s="139"/>
      <c r="L38" s="139"/>
      <c r="M38" s="139"/>
      <c r="N38" s="139"/>
      <c r="O38" s="139"/>
      <c r="P38" s="139"/>
      <c r="Q38" s="139"/>
      <c r="R38" s="139">
        <f>SUM(L38:Q38)</f>
        <v>0</v>
      </c>
    </row>
    <row r="39" spans="1:18" x14ac:dyDescent="0.3">
      <c r="A39" s="37" t="s">
        <v>254</v>
      </c>
      <c r="F39" s="139"/>
      <c r="G39" s="139"/>
      <c r="H39" s="139"/>
      <c r="I39" s="139"/>
      <c r="J39" s="139"/>
      <c r="K39" s="139"/>
      <c r="L39" s="139"/>
      <c r="M39" s="139"/>
      <c r="N39" s="139"/>
      <c r="O39" s="139"/>
      <c r="P39" s="139"/>
      <c r="Q39" s="139"/>
      <c r="R39" s="173">
        <f>SUM(L39:Q39)</f>
        <v>0</v>
      </c>
    </row>
    <row r="40" spans="1:18" x14ac:dyDescent="0.3">
      <c r="A40" s="37" t="s">
        <v>255</v>
      </c>
      <c r="F40" s="139"/>
      <c r="G40" s="139"/>
      <c r="H40" s="139"/>
      <c r="I40" s="139"/>
      <c r="J40" s="139"/>
      <c r="K40" s="139"/>
      <c r="L40" s="139"/>
      <c r="M40" s="139"/>
      <c r="N40" s="139"/>
      <c r="O40" s="139"/>
      <c r="P40" s="139"/>
      <c r="Q40" s="139"/>
      <c r="R40" s="139">
        <f>SUM(L40:Q40)</f>
        <v>0</v>
      </c>
    </row>
    <row r="41" spans="1:18" x14ac:dyDescent="0.3">
      <c r="A41" s="174" t="s">
        <v>256</v>
      </c>
      <c r="B41" s="175"/>
      <c r="C41" s="175"/>
      <c r="D41" s="175"/>
      <c r="E41" s="175"/>
      <c r="F41" s="176"/>
      <c r="G41" s="176"/>
      <c r="H41" s="176"/>
      <c r="I41" s="176"/>
      <c r="J41" s="176"/>
      <c r="K41" s="176"/>
      <c r="L41" s="176"/>
      <c r="M41" s="176"/>
      <c r="N41" s="176"/>
      <c r="O41" s="176"/>
      <c r="P41" s="176"/>
      <c r="Q41" s="176"/>
      <c r="R41" s="177">
        <f>SUM(L41:Q41)</f>
        <v>0</v>
      </c>
    </row>
    <row r="42" spans="1:18" x14ac:dyDescent="0.3">
      <c r="A42" s="37" t="s">
        <v>250</v>
      </c>
      <c r="F42" s="139">
        <f>F40+F38+F32/1.16</f>
        <v>611700</v>
      </c>
      <c r="G42" s="139">
        <f>G40+G38+G32/1.16</f>
        <v>703700</v>
      </c>
      <c r="H42" s="139">
        <f>H40+H38+H32/1.16</f>
        <v>736300</v>
      </c>
      <c r="I42" s="139">
        <f>I40+I38+I32/1.16</f>
        <v>693900</v>
      </c>
      <c r="J42" s="139">
        <f>J40+J38+J36+J32/1.16</f>
        <v>491500.00000000006</v>
      </c>
      <c r="K42" s="139">
        <f>K40+K38+K36+K32/1.16</f>
        <v>467900.00000000006</v>
      </c>
      <c r="L42" s="139">
        <f>L40+L36+L32/1.16</f>
        <v>484100.00000000006</v>
      </c>
      <c r="M42" s="139">
        <f>M40+M36+M32/1.16</f>
        <v>564250</v>
      </c>
      <c r="N42" s="139">
        <f>N40+N36+N32/1.16</f>
        <v>680700</v>
      </c>
      <c r="O42" s="139">
        <f>O38+O36+O32/1.16</f>
        <v>691800</v>
      </c>
      <c r="P42" s="139">
        <f>P40+P38+P32/1.16</f>
        <v>964000.00000000012</v>
      </c>
      <c r="Q42" s="139">
        <f>Q40+Q38+Q32/1.16</f>
        <v>832400</v>
      </c>
      <c r="R42" s="139"/>
    </row>
    <row r="43" spans="1:18" ht="15" customHeight="1" x14ac:dyDescent="0.3">
      <c r="A43" s="138" t="s">
        <v>52</v>
      </c>
      <c r="F43" s="71">
        <f>(F32/1.16)*1.1</f>
        <v>672870</v>
      </c>
      <c r="G43" s="71">
        <f>(G32/1.16)*1.1</f>
        <v>774070.00000000012</v>
      </c>
      <c r="H43" s="71">
        <f>(H32/1.16)*1.1</f>
        <v>809930.00000000012</v>
      </c>
      <c r="I43" s="71">
        <f>(I32/1.16)*1.1</f>
        <v>763290.00000000012</v>
      </c>
      <c r="J43" s="71">
        <f>((J32+J37)/1.16)*1.1</f>
        <v>540650.00000000012</v>
      </c>
      <c r="K43" s="71">
        <f>((K32+K37)/1.16)*1.1</f>
        <v>514690.00000000012</v>
      </c>
      <c r="L43" s="71">
        <f>((L32/1.16)*1.1)+L36*1.1</f>
        <v>532510.00000000012</v>
      </c>
      <c r="M43" s="71">
        <f>((M32/1.16)*1.16)+M36*1.16</f>
        <v>654530</v>
      </c>
      <c r="N43" s="71">
        <f>((N32/1.16)*1.16)+N36*1.16</f>
        <v>789612</v>
      </c>
      <c r="O43" s="71">
        <f>((O32/1.16)*1.16)+O36*1.16</f>
        <v>802488</v>
      </c>
      <c r="P43" s="71">
        <f>((P32/1.16)*1.16)+P36*1.16</f>
        <v>1118240</v>
      </c>
      <c r="Q43" s="71">
        <f>Q34</f>
        <v>0</v>
      </c>
      <c r="R43" s="139"/>
    </row>
    <row r="44" spans="1:18" ht="15" customHeight="1" x14ac:dyDescent="0.3">
      <c r="A44" s="151" t="s">
        <v>227</v>
      </c>
      <c r="F44" s="139">
        <f t="shared" ref="F44:L44" si="21">F42*0.06</f>
        <v>36702</v>
      </c>
      <c r="G44" s="139">
        <f t="shared" si="21"/>
        <v>42222</v>
      </c>
      <c r="H44" s="139">
        <f t="shared" si="21"/>
        <v>44178</v>
      </c>
      <c r="I44" s="139">
        <f t="shared" si="21"/>
        <v>41634</v>
      </c>
      <c r="J44" s="139">
        <f t="shared" si="21"/>
        <v>29490.000000000004</v>
      </c>
      <c r="K44" s="139">
        <f t="shared" si="21"/>
        <v>28074.000000000004</v>
      </c>
      <c r="L44" s="139">
        <f t="shared" si="21"/>
        <v>29046.000000000004</v>
      </c>
      <c r="M44" s="139"/>
      <c r="N44" s="139"/>
      <c r="O44" s="139"/>
      <c r="P44" s="139"/>
      <c r="Q44" s="139"/>
      <c r="R44" s="139"/>
    </row>
    <row r="45" spans="1:18" ht="15" customHeight="1" x14ac:dyDescent="0.3"/>
    <row r="46" spans="1:18" ht="18" customHeight="1" x14ac:dyDescent="0.3">
      <c r="A46" s="896" t="s">
        <v>142</v>
      </c>
      <c r="H46" s="896" t="s">
        <v>218</v>
      </c>
      <c r="I46" s="75" t="s">
        <v>144</v>
      </c>
      <c r="J46" s="75" t="s">
        <v>112</v>
      </c>
      <c r="L46" s="898" t="s">
        <v>143</v>
      </c>
      <c r="M46" s="898"/>
      <c r="N46" s="898"/>
    </row>
    <row r="47" spans="1:18" x14ac:dyDescent="0.3">
      <c r="A47" s="896"/>
      <c r="H47" s="896"/>
      <c r="I47" s="899">
        <f>-100+(A48/R32*100)</f>
        <v>8.128568490533894E-3</v>
      </c>
      <c r="J47" s="901">
        <f>A48-R32</f>
        <v>747</v>
      </c>
      <c r="L47" s="82" t="s">
        <v>144</v>
      </c>
      <c r="M47" s="66" t="s">
        <v>145</v>
      </c>
      <c r="N47" s="66" t="s">
        <v>124</v>
      </c>
    </row>
    <row r="48" spans="1:18" x14ac:dyDescent="0.3">
      <c r="A48" s="897">
        <f>Presupuesto!A37</f>
        <v>9190557</v>
      </c>
      <c r="H48" s="896"/>
      <c r="I48" s="900"/>
      <c r="J48" s="901"/>
      <c r="L48" s="77" t="s">
        <v>147</v>
      </c>
      <c r="M48" s="77" t="s">
        <v>147</v>
      </c>
      <c r="N48" s="79" t="s">
        <v>148</v>
      </c>
    </row>
    <row r="49" spans="1:14" x14ac:dyDescent="0.3">
      <c r="A49" s="897"/>
      <c r="L49" s="78" t="s">
        <v>153</v>
      </c>
      <c r="M49" s="78" t="s">
        <v>151</v>
      </c>
      <c r="N49" s="80" t="s">
        <v>149</v>
      </c>
    </row>
    <row r="50" spans="1:14" x14ac:dyDescent="0.3">
      <c r="I50" s="83"/>
      <c r="L50" s="78" t="s">
        <v>154</v>
      </c>
      <c r="M50" s="78" t="s">
        <v>152</v>
      </c>
      <c r="N50" s="81" t="s">
        <v>150</v>
      </c>
    </row>
    <row r="53" spans="1:14" x14ac:dyDescent="0.3">
      <c r="G53" s="76"/>
    </row>
  </sheetData>
  <mergeCells count="7">
    <mergeCell ref="R3:R4"/>
    <mergeCell ref="A46:A47"/>
    <mergeCell ref="A48:A49"/>
    <mergeCell ref="L46:N46"/>
    <mergeCell ref="I47:I48"/>
    <mergeCell ref="J47:J48"/>
    <mergeCell ref="H46:H48"/>
  </mergeCells>
  <conditionalFormatting sqref="F34:Q35 F36:I36 K36:Q36 F37:Q42">
    <cfRule type="cellIs" dxfId="1226" priority="1" operator="lessThan">
      <formula>0</formula>
    </cfRule>
  </conditionalFormatting>
  <conditionalFormatting sqref="I47">
    <cfRule type="cellIs" dxfId="1225" priority="5" operator="lessThanOrEqual">
      <formula>1</formula>
    </cfRule>
    <cfRule type="cellIs" dxfId="1224" priority="8" operator="greaterThan">
      <formula>1</formula>
    </cfRule>
  </conditionalFormatting>
  <conditionalFormatting sqref="I47:J47">
    <cfRule type="cellIs" dxfId="1223" priority="2" stopIfTrue="1" operator="lessThan">
      <formula>0</formula>
    </cfRule>
  </conditionalFormatting>
  <conditionalFormatting sqref="J47">
    <cfRule type="cellIs" dxfId="1222" priority="3" operator="lessThanOrEqual">
      <formula>38500</formula>
    </cfRule>
    <cfRule type="cellIs" dxfId="1221" priority="7" operator="greaterThan">
      <formula>38500</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ErrorMessage="1" xr:uid="{00000000-0002-0000-0600-000000000000}">
          <x14:formula1>
            <xm:f>'C:\Users\paloma.delcampo\Documents\INAI 2020\Facturación INAI 2020\02 FEBRERO\[ND-DDS_ReporteMensual_Febrero2020.xlsx]Valores'!#REF!</xm:f>
          </x14:formula1>
          <xm:sqref>B7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46"/>
  <sheetViews>
    <sheetView zoomScale="70" zoomScaleNormal="70" workbookViewId="0">
      <pane xSplit="5" ySplit="4" topLeftCell="J23" activePane="bottomRight" state="frozen"/>
      <selection activeCell="A3" sqref="A3"/>
      <selection pane="topRight" activeCell="F3" sqref="F3"/>
      <selection pane="bottomLeft" activeCell="A5" sqref="A5"/>
      <selection pane="bottomRight" activeCell="R44" sqref="R44"/>
    </sheetView>
  </sheetViews>
  <sheetFormatPr baseColWidth="10" defaultRowHeight="14.4" x14ac:dyDescent="0.3"/>
  <cols>
    <col min="1" max="1" width="32.77734375" customWidth="1"/>
    <col min="2" max="2" width="41.77734375" hidden="1" customWidth="1"/>
    <col min="3" max="3" width="11.77734375" hidden="1" customWidth="1"/>
    <col min="4" max="4" width="12.33203125" hidden="1" customWidth="1"/>
    <col min="5" max="5" width="11.44140625" hidden="1" customWidth="1"/>
    <col min="6" max="6" width="15.21875" customWidth="1"/>
    <col min="7" max="7" width="17.21875" customWidth="1"/>
    <col min="8" max="8" width="15" customWidth="1"/>
    <col min="9" max="9" width="14.77734375" customWidth="1"/>
    <col min="10" max="10" width="15.77734375" customWidth="1"/>
    <col min="11" max="14" width="14.77734375" customWidth="1"/>
    <col min="15" max="15" width="16.21875" customWidth="1"/>
    <col min="16" max="16" width="14.77734375" customWidth="1"/>
    <col min="17" max="17" width="15" customWidth="1"/>
    <col min="18" max="18" width="17.21875" customWidth="1"/>
    <col min="19" max="19" width="21.44140625" bestFit="1" customWidth="1"/>
    <col min="20" max="20" width="13.44140625" bestFit="1" customWidth="1"/>
    <col min="23" max="23" width="12.33203125" bestFit="1" customWidth="1"/>
  </cols>
  <sheetData>
    <row r="1" spans="1:19" ht="15" customHeight="1" x14ac:dyDescent="0.3"/>
    <row r="2" spans="1:19" ht="15" customHeight="1" x14ac:dyDescent="0.3"/>
    <row r="3" spans="1:19" ht="15" customHeight="1" x14ac:dyDescent="0.3">
      <c r="F3" s="68" t="s">
        <v>130</v>
      </c>
      <c r="G3" s="68" t="s">
        <v>131</v>
      </c>
      <c r="H3" s="68" t="s">
        <v>132</v>
      </c>
      <c r="I3" s="68" t="s">
        <v>133</v>
      </c>
      <c r="J3" s="68" t="s">
        <v>134</v>
      </c>
      <c r="K3" s="68" t="s">
        <v>135</v>
      </c>
      <c r="L3" s="68" t="s">
        <v>136</v>
      </c>
      <c r="M3" s="68" t="s">
        <v>137</v>
      </c>
      <c r="N3" s="68" t="s">
        <v>138</v>
      </c>
      <c r="O3" s="68" t="s">
        <v>139</v>
      </c>
      <c r="P3" s="68" t="s">
        <v>140</v>
      </c>
      <c r="Q3" s="68" t="s">
        <v>141</v>
      </c>
      <c r="R3" s="902" t="s">
        <v>113</v>
      </c>
    </row>
    <row r="4" spans="1:19" ht="16.5" customHeight="1" x14ac:dyDescent="0.3">
      <c r="A4" s="61" t="s">
        <v>126</v>
      </c>
      <c r="B4" s="61" t="s">
        <v>14</v>
      </c>
      <c r="C4" s="61" t="s">
        <v>127</v>
      </c>
      <c r="D4" s="64" t="s">
        <v>128</v>
      </c>
      <c r="E4" s="64" t="s">
        <v>129</v>
      </c>
      <c r="F4" s="67">
        <v>22</v>
      </c>
      <c r="G4" s="67">
        <f>20-1</f>
        <v>19</v>
      </c>
      <c r="H4" s="67">
        <f>23-1</f>
        <v>22</v>
      </c>
      <c r="I4" s="67">
        <v>18</v>
      </c>
      <c r="J4" s="67">
        <v>22</v>
      </c>
      <c r="K4" s="67">
        <v>22</v>
      </c>
      <c r="L4" s="67">
        <v>21</v>
      </c>
      <c r="M4" s="67">
        <v>23</v>
      </c>
      <c r="N4" s="67">
        <v>21</v>
      </c>
      <c r="O4" s="67">
        <v>22</v>
      </c>
      <c r="P4" s="67">
        <f>22-2</f>
        <v>20</v>
      </c>
      <c r="Q4" s="67">
        <f>166*21/168</f>
        <v>20.75</v>
      </c>
      <c r="R4" s="903"/>
    </row>
    <row r="5" spans="1:19" ht="24" customHeight="1" x14ac:dyDescent="0.3">
      <c r="A5" s="73" t="s">
        <v>262</v>
      </c>
      <c r="B5" s="195" t="s">
        <v>263</v>
      </c>
      <c r="C5" s="63">
        <f>VLOOKUP(B5,Catalogos!$B$75:$D$100,3,FALSE)</f>
        <v>500</v>
      </c>
      <c r="D5" s="57">
        <f t="shared" ref="D5:D14" si="0">C5*1.16</f>
        <v>580</v>
      </c>
      <c r="E5" s="57">
        <f t="shared" ref="E5:E14" si="1">D5*8</f>
        <v>4640</v>
      </c>
      <c r="F5" s="63">
        <f>SUMIFS(Tabla1[Costo],Tabla1[Ingeniero],Facturación!$A5,Tabla1[Facturación],F$3)</f>
        <v>0</v>
      </c>
      <c r="G5" s="63">
        <f>SUMIFS(Tabla1[Costo],Tabla1[Ingeniero],Facturación!$A5,Tabla1[Facturación],G$3)</f>
        <v>97440</v>
      </c>
      <c r="H5" s="63">
        <f>SUMIFS(Tabla1[Costo],Tabla1[Ingeniero],Facturación!$A5,Tabla1[Facturación],H$3)</f>
        <v>102080</v>
      </c>
      <c r="I5" s="63">
        <f>SUMIFS(Tabla1[Costo],Tabla1[Ingeniero],Facturación!$A5,Tabla1[Facturación],I$3)</f>
        <v>69600</v>
      </c>
      <c r="J5" s="63">
        <f>SUMIFS(Tabla1[Costo],Tabla1[Ingeniero],Facturación!$A5,Tabla1[Facturación],J$3)</f>
        <v>69600</v>
      </c>
      <c r="K5" s="63">
        <f>SUMIFS(Tabla1[Costo],Tabla1[Ingeniero],Facturación!$A5,Tabla1[Facturación],K$3)</f>
        <v>0</v>
      </c>
      <c r="L5" s="63">
        <f>SUMIFS(Tabla1[Costo],Tabla1[Ingeniero],Facturación!$A5,Tabla1[Facturación],L$3)</f>
        <v>0</v>
      </c>
      <c r="M5" s="63">
        <f>SUMIFS(Tabla1[Costo],Tabla1[Ingeniero],Facturación!$A5,Tabla1[Facturación],M$3)</f>
        <v>0</v>
      </c>
      <c r="N5" s="63">
        <f>SUMIFS(Tabla1[Costo],Tabla1[Ingeniero],Facturación!$A5,Tabla1[Facturación],N$3)</f>
        <v>0</v>
      </c>
      <c r="O5" s="63">
        <f>SUMIFS(Tabla1[Costo],Tabla1[Ingeniero],Facturación!$A5,Tabla1[Facturación],O$3)</f>
        <v>0</v>
      </c>
      <c r="P5" s="63"/>
      <c r="Q5" s="63"/>
      <c r="R5" s="72">
        <f t="shared" ref="R5:R15" si="2">SUM(F5:Q5)</f>
        <v>338720</v>
      </c>
    </row>
    <row r="6" spans="1:19" ht="15.6" x14ac:dyDescent="0.3">
      <c r="A6" s="73" t="s">
        <v>264</v>
      </c>
      <c r="B6" s="65" t="s">
        <v>40</v>
      </c>
      <c r="C6" s="63">
        <f>VLOOKUP(B6,Catalogos!$B$75:$D$100,3,FALSE)</f>
        <v>700</v>
      </c>
      <c r="D6" s="57">
        <f t="shared" si="0"/>
        <v>812</v>
      </c>
      <c r="E6" s="57">
        <f t="shared" si="1"/>
        <v>6496</v>
      </c>
      <c r="F6" s="63">
        <f>SUMIFS(Tabla1[Costo],Tabla1[Ingeniero],Facturación!$A6,Tabla1[Facturación],F$3)</f>
        <v>90944</v>
      </c>
      <c r="G6" s="63">
        <f>SUMIFS(Tabla1[Costo],Tabla1[Ingeniero],Facturación!$A6,Tabla1[Facturación],G$3)</f>
        <v>104748</v>
      </c>
      <c r="H6" s="63">
        <f>SUMIFS(Tabla1[Costo],Tabla1[Ingeniero],Facturación!$A6,Tabla1[Facturación],H$3)</f>
        <v>142912</v>
      </c>
      <c r="I6" s="63">
        <f>SUMIFS(Tabla1[Costo],Tabla1[Ingeniero],Facturación!$A6,Tabla1[Facturación],I$3)</f>
        <v>0</v>
      </c>
      <c r="J6" s="63">
        <f>SUMIFS(Tabla1[Costo],Tabla1[Ingeniero],Facturación!$A6,Tabla1[Facturación],J$3)</f>
        <v>0</v>
      </c>
      <c r="K6" s="63">
        <f>SUMIFS(Tabla1[Costo],Tabla1[Ingeniero],Facturación!$A6,Tabla1[Facturación],K$3)</f>
        <v>0</v>
      </c>
      <c r="L6" s="63">
        <f>SUMIFS(Tabla1[Costo],Tabla1[Ingeniero],Facturación!$A6,Tabla1[Facturación],L$3)</f>
        <v>0</v>
      </c>
      <c r="M6" s="63">
        <f>SUMIFS(Tabla1[Costo],Tabla1[Ingeniero],Facturación!$A6,Tabla1[Facturación],M$3)</f>
        <v>0</v>
      </c>
      <c r="N6" s="63">
        <f>SUMIFS(Tabla1[Costo],Tabla1[Ingeniero],Facturación!$A6,Tabla1[Facturación],N$3)</f>
        <v>0</v>
      </c>
      <c r="O6" s="63">
        <f>SUMIFS(Tabla1[Costo],Tabla1[Ingeniero],Facturación!$A6,Tabla1[Facturación],O$3)</f>
        <v>0</v>
      </c>
      <c r="P6" s="5"/>
      <c r="Q6" s="5"/>
      <c r="R6" s="72">
        <f>SUM(F6:Q6)</f>
        <v>338604</v>
      </c>
    </row>
    <row r="7" spans="1:19" x14ac:dyDescent="0.3">
      <c r="A7" s="73" t="s">
        <v>101</v>
      </c>
      <c r="B7" s="137" t="s">
        <v>83</v>
      </c>
      <c r="C7" s="63">
        <f>VLOOKUP(B7,Catalogos!$B$75:$D$100,3,FALSE)</f>
        <v>600</v>
      </c>
      <c r="D7" s="57">
        <f t="shared" si="0"/>
        <v>696</v>
      </c>
      <c r="E7" s="57">
        <f t="shared" si="1"/>
        <v>5568</v>
      </c>
      <c r="F7" s="63">
        <f>SUMIFS(Tabla1[Costo],Tabla1[Ingeniero],Facturación!$A7,Tabla1[Facturación],F$3)</f>
        <v>696</v>
      </c>
      <c r="G7" s="63">
        <f>SUMIFS(Tabla1[Costo],Tabla1[Ingeniero],Facturación!$A7,Tabla1[Facturación],G$3)</f>
        <v>4872</v>
      </c>
      <c r="H7" s="63">
        <f>SUMIFS(Tabla1[Costo],Tabla1[Ingeniero],Facturación!$A7,Tabla1[Facturación],H$3)</f>
        <v>0</v>
      </c>
      <c r="I7" s="63">
        <f>SUMIFS(Tabla1[Costo],Tabla1[Ingeniero],Facturación!$A7,Tabla1[Facturación],I$3)</f>
        <v>0</v>
      </c>
      <c r="J7" s="63">
        <f>SUMIFS(Tabla1[Costo],Tabla1[Ingeniero],Facturación!$A7,Tabla1[Facturación],J$3)</f>
        <v>0</v>
      </c>
      <c r="K7" s="63">
        <f>SUMIFS(Tabla1[Costo],Tabla1[Ingeniero],Facturación!$A7,Tabla1[Facturación],K$3)</f>
        <v>0</v>
      </c>
      <c r="L7" s="63">
        <f>SUMIFS(Tabla1[Costo],Tabla1[Ingeniero],Facturación!$A7,Tabla1[Facturación],L$3)</f>
        <v>0</v>
      </c>
      <c r="M7" s="63">
        <f>SUMIFS(Tabla1[Costo],Tabla1[Ingeniero],Facturación!$A7,Tabla1[Facturación],M$3)</f>
        <v>4872</v>
      </c>
      <c r="N7" s="63">
        <f>SUMIFS(Tabla1[Costo],Tabla1[Ingeniero],Facturación!$A7,Tabla1[Facturación],N$3)</f>
        <v>0</v>
      </c>
      <c r="O7" s="63">
        <f>SUMIFS(Tabla1[Costo],Tabla1[Ingeniero],Facturación!$A7,Tabla1[Facturación],O$3)</f>
        <v>0</v>
      </c>
      <c r="P7" s="5"/>
      <c r="Q7" s="5"/>
      <c r="R7" s="72">
        <f t="shared" si="2"/>
        <v>10440</v>
      </c>
    </row>
    <row r="8" spans="1:19" ht="15.6" x14ac:dyDescent="0.3">
      <c r="A8" s="73" t="s">
        <v>208</v>
      </c>
      <c r="B8" s="65" t="s">
        <v>40</v>
      </c>
      <c r="C8" s="63">
        <f>VLOOKUP(B8,Catalogos!$B$75:$D$100,3,FALSE)</f>
        <v>700</v>
      </c>
      <c r="D8" s="57">
        <f t="shared" si="0"/>
        <v>812</v>
      </c>
      <c r="E8" s="57">
        <f t="shared" si="1"/>
        <v>6496</v>
      </c>
      <c r="F8" s="63">
        <f>SUMIFS(Tabla1[Costo],Tabla1[Ingeniero],Facturación!$A8,Tabla1[Facturación],F$3)</f>
        <v>107996</v>
      </c>
      <c r="G8" s="63">
        <f>SUMIFS(Tabla1[Costo],Tabla1[Ingeniero],Facturación!$A8,Tabla1[Facturación],G$3)</f>
        <v>94192</v>
      </c>
      <c r="H8" s="63">
        <f>SUMIFS(Tabla1[Costo],Tabla1[Ingeniero],Facturación!$A8,Tabla1[Facturación],H$3)</f>
        <v>56028</v>
      </c>
      <c r="I8" s="63">
        <f>SUMIFS(Tabla1[Costo],Tabla1[Ingeniero],Facturación!$A8,Tabla1[Facturación],I$3)</f>
        <v>106372</v>
      </c>
      <c r="J8" s="63">
        <f>SUMIFS(Tabla1[Costo],Tabla1[Ingeniero],Facturación!$A8,Tabla1[Facturación],J$3)</f>
        <v>62524</v>
      </c>
      <c r="K8" s="63">
        <f>SUMIFS(Tabla1[Costo],Tabla1[Ingeniero],Facturación!$A8,Tabla1[Facturación],K$3)</f>
        <v>87696</v>
      </c>
      <c r="L8" s="63">
        <f>SUMIFS(Tabla1[Costo],Tabla1[Ingeniero],Facturación!$A8,Tabla1[Facturación],L$3)</f>
        <v>98252</v>
      </c>
      <c r="M8" s="63">
        <f>SUMIFS(Tabla1[Costo],Tabla1[Ingeniero],Facturación!$A8,Tabla1[Facturación],M$3)</f>
        <v>61712</v>
      </c>
      <c r="N8" s="63">
        <f>SUMIFS(Tabla1[Costo],Tabla1[Ingeniero],Facturación!$A8,Tabla1[Facturación],N$3)</f>
        <v>69020</v>
      </c>
      <c r="O8" s="63">
        <f>SUMIFS(Tabla1[Costo],Tabla1[Ingeniero],Facturación!$A8,Tabla1[Facturación],O$3)</f>
        <v>55216</v>
      </c>
      <c r="P8" s="63">
        <f>SUMIFS(Tabla1[Costo],Tabla1[Ingeniero],Facturación!$A8,Tabla1[Facturación],P$3)</f>
        <v>133168</v>
      </c>
      <c r="Q8" s="5"/>
      <c r="R8" s="72">
        <f t="shared" si="2"/>
        <v>932176</v>
      </c>
    </row>
    <row r="9" spans="1:19" ht="15.6" x14ac:dyDescent="0.3">
      <c r="A9" s="73" t="s">
        <v>297</v>
      </c>
      <c r="B9" s="65" t="s">
        <v>40</v>
      </c>
      <c r="C9" s="63">
        <f>VLOOKUP(B9,Catalogos!$B$75:$D$100,3,FALSE)</f>
        <v>700</v>
      </c>
      <c r="D9" s="57">
        <f t="shared" si="0"/>
        <v>812</v>
      </c>
      <c r="E9" s="57">
        <f t="shared" si="1"/>
        <v>6496</v>
      </c>
      <c r="F9" s="63">
        <f>SUMIFS(Tabla1[Costo],Tabla1[Ingeniero],Facturación!$A9,Tabla1[Facturación],F$3)</f>
        <v>142912</v>
      </c>
      <c r="G9" s="63">
        <f>SUMIFS(Tabla1[Costo],Tabla1[Ingeniero],Facturación!$A9,Tabla1[Facturación],G$3)</f>
        <v>0</v>
      </c>
      <c r="H9" s="63">
        <f>SUMIFS(Tabla1[Costo],Tabla1[Ingeniero],Facturación!$A9,Tabla1[Facturación],H$3)</f>
        <v>0</v>
      </c>
      <c r="I9" s="63">
        <f>SUMIFS(Tabla1[Costo],Tabla1[Ingeniero],Facturación!$A9,Tabla1[Facturación],I$3)</f>
        <v>0</v>
      </c>
      <c r="J9" s="63">
        <f>SUMIFS(Tabla1[Costo],Tabla1[Ingeniero],Facturación!$A9,Tabla1[Facturación],J$3)</f>
        <v>0</v>
      </c>
      <c r="K9" s="63">
        <f>SUMIFS(Tabla1[Costo],Tabla1[Ingeniero],Facturación!$A9,Tabla1[Facturación],K$3)</f>
        <v>0</v>
      </c>
      <c r="L9" s="63">
        <f>SUMIFS(Tabla1[Costo],Tabla1[Ingeniero],Facturación!$A9,Tabla1[Facturación],L$3)</f>
        <v>0</v>
      </c>
      <c r="M9" s="63">
        <f>SUMIFS(Tabla1[Costo],Tabla1[Ingeniero],Facturación!$A9,Tabla1[Facturación],M$3)</f>
        <v>0</v>
      </c>
      <c r="N9" s="63">
        <f>SUMIFS(Tabla1[Costo],Tabla1[Ingeniero],Facturación!$A9,Tabla1[Facturación],N$3)</f>
        <v>0</v>
      </c>
      <c r="O9" s="63">
        <f>SUMIFS(Tabla1[Costo],Tabla1[Ingeniero],Facturación!$A9,Tabla1[Facturación],O$3)</f>
        <v>0</v>
      </c>
      <c r="P9" s="234"/>
      <c r="Q9" s="234"/>
      <c r="R9" s="72">
        <f>SUM(F9:Q9)</f>
        <v>142912</v>
      </c>
    </row>
    <row r="10" spans="1:19" ht="15.6" x14ac:dyDescent="0.3">
      <c r="A10" s="73" t="s">
        <v>294</v>
      </c>
      <c r="B10" s="65" t="s">
        <v>40</v>
      </c>
      <c r="C10" s="63">
        <f>VLOOKUP(B10,Catalogos!$B$75:$D$100,3,FALSE)</f>
        <v>700</v>
      </c>
      <c r="D10" s="57">
        <f t="shared" si="0"/>
        <v>812</v>
      </c>
      <c r="E10" s="57">
        <f t="shared" si="1"/>
        <v>6496</v>
      </c>
      <c r="F10" s="63">
        <f>SUMIFS(Tabla1[Costo],Tabla1[Ingeniero],Facturación!$A10,Tabla1[Facturación],F$3)</f>
        <v>142912</v>
      </c>
      <c r="G10" s="63">
        <f>SUMIFS(Tabla1[Costo],Tabla1[Ingeniero],Facturación!$A10,Tabla1[Facturación],G$3)</f>
        <v>152656</v>
      </c>
      <c r="H10" s="63">
        <f>SUMIFS(Tabla1[Costo],Tabla1[Ingeniero],Facturación!$A10,Tabla1[Facturación],H$3)</f>
        <v>142912</v>
      </c>
      <c r="I10" s="63">
        <f>SUMIFS(Tabla1[Costo],Tabla1[Ingeniero],Facturación!$A10,Tabla1[Facturación],I$3)</f>
        <v>129920</v>
      </c>
      <c r="J10" s="63">
        <f>SUMIFS(Tabla1[Costo],Tabla1[Ingeniero],Facturación!$A10,Tabla1[Facturación],J$3)</f>
        <v>84448</v>
      </c>
      <c r="K10" s="63">
        <f>SUMIFS(Tabla1[Costo],Tabla1[Ingeniero],Facturación!$A10,Tabla1[Facturación],K$3)</f>
        <v>142912</v>
      </c>
      <c r="L10" s="63">
        <f>SUMIFS(Tabla1[Costo],Tabla1[Ingeniero],Facturación!$A10,Tabla1[Facturación],L$3)</f>
        <v>0</v>
      </c>
      <c r="M10" s="63">
        <f>SUMIFS(Tabla1[Costo],Tabla1[Ingeniero],Facturación!$A10,Tabla1[Facturación],M$3)</f>
        <v>0</v>
      </c>
      <c r="N10" s="63">
        <f>SUMIFS(Tabla1[Costo],Tabla1[Ingeniero],Facturación!$A10,Tabla1[Facturación],N$3)</f>
        <v>0</v>
      </c>
      <c r="O10" s="63">
        <f>SUMIFS(Tabla1[Costo],Tabla1[Ingeniero],Facturación!$A10,Tabla1[Facturación],O$3)</f>
        <v>0</v>
      </c>
      <c r="P10" s="234"/>
      <c r="Q10" s="234"/>
      <c r="R10" s="72">
        <f>SUM(F10:Q10)</f>
        <v>795760</v>
      </c>
    </row>
    <row r="11" spans="1:19" ht="15.6" x14ac:dyDescent="0.3">
      <c r="A11" s="73" t="s">
        <v>295</v>
      </c>
      <c r="B11" s="65" t="s">
        <v>40</v>
      </c>
      <c r="C11" s="63">
        <f>VLOOKUP(B11,Catalogos!$B$75:$D$100,3,FALSE)</f>
        <v>700</v>
      </c>
      <c r="D11" s="57">
        <f t="shared" si="0"/>
        <v>812</v>
      </c>
      <c r="E11" s="57">
        <f t="shared" si="1"/>
        <v>6496</v>
      </c>
      <c r="F11" s="63">
        <f>SUMIFS(Tabla1[Costo],Tabla1[Ingeniero],Facturación!$A11,Tabla1[Facturación],F$3)</f>
        <v>142912</v>
      </c>
      <c r="G11" s="63">
        <f>SUMIFS(Tabla1[Costo],Tabla1[Ingeniero],Facturación!$A11,Tabla1[Facturación],G$3)</f>
        <v>152656</v>
      </c>
      <c r="H11" s="63">
        <f>SUMIFS(Tabla1[Costo],Tabla1[Ingeniero],Facturación!$A11,Tabla1[Facturación],H$3)</f>
        <v>142912</v>
      </c>
      <c r="I11" s="63">
        <f>SUMIFS(Tabla1[Costo],Tabla1[Ingeniero],Facturación!$A11,Tabla1[Facturación],I$3)</f>
        <v>110432</v>
      </c>
      <c r="J11" s="63">
        <f>SUMIFS(Tabla1[Costo],Tabla1[Ingeniero],Facturación!$A11,Tabla1[Facturación],J$3)</f>
        <v>77952</v>
      </c>
      <c r="K11" s="63">
        <f>SUMIFS(Tabla1[Costo],Tabla1[Ingeniero],Facturación!$A11,Tabla1[Facturación],K$3)</f>
        <v>0</v>
      </c>
      <c r="L11" s="63">
        <f>SUMIFS(Tabla1[Costo],Tabla1[Ingeniero],Facturación!$A11,Tabla1[Facturación],L$3)</f>
        <v>0</v>
      </c>
      <c r="M11" s="63">
        <f>SUMIFS(Tabla1[Costo],Tabla1[Ingeniero],Facturación!$A11,Tabla1[Facturación],M$3)</f>
        <v>0</v>
      </c>
      <c r="N11" s="63">
        <f>SUMIFS(Tabla1[Costo],Tabla1[Ingeniero],Facturación!$A11,Tabla1[Facturación],N$3)</f>
        <v>0</v>
      </c>
      <c r="O11" s="63">
        <f>SUMIFS(Tabla1[Costo],Tabla1[Ingeniero],Facturación!$A11,Tabla1[Facturación],O$3)</f>
        <v>0</v>
      </c>
      <c r="P11" s="265"/>
      <c r="Q11" s="265"/>
      <c r="R11" s="72">
        <f t="shared" si="2"/>
        <v>626864</v>
      </c>
    </row>
    <row r="12" spans="1:19" x14ac:dyDescent="0.3">
      <c r="A12" s="74" t="s">
        <v>258</v>
      </c>
      <c r="B12" s="62" t="s">
        <v>265</v>
      </c>
      <c r="C12" s="63">
        <f>VLOOKUP(B12,Catalogos!$B$75:$D$100,3,FALSE)</f>
        <v>500</v>
      </c>
      <c r="D12" s="57">
        <f t="shared" si="0"/>
        <v>580</v>
      </c>
      <c r="E12" s="57">
        <f t="shared" si="1"/>
        <v>4640</v>
      </c>
      <c r="F12" s="63">
        <f>SUMIFS(Tabla1[Costo],Tabla1[Ingeniero],Facturación!$A12,Tabla1[Facturación],F$3)</f>
        <v>81200</v>
      </c>
      <c r="G12" s="63">
        <f>SUMIFS(Tabla1[Costo],Tabla1[Ingeniero],Facturación!$A12,Tabla1[Facturación],G$3)</f>
        <v>88160</v>
      </c>
      <c r="H12" s="63">
        <f>SUMIFS(Tabla1[Costo],Tabla1[Ingeniero],Facturación!$A12,Tabla1[Facturación],H$3)</f>
        <v>102080</v>
      </c>
      <c r="I12" s="63">
        <f>SUMIFS(Tabla1[Costo],Tabla1[Ingeniero],Facturación!$A12,Tabla1[Facturación],I$3)</f>
        <v>92800</v>
      </c>
      <c r="J12" s="63">
        <f>SUMIFS(Tabla1[Costo],Tabla1[Ingeniero],Facturación!$A12,Tabla1[Facturación],J$3)</f>
        <v>97440</v>
      </c>
      <c r="K12" s="63">
        <f>SUMIFS(Tabla1[Costo],Tabla1[Ingeniero],Facturación!$A12,Tabla1[Facturación],K$3)</f>
        <v>101210</v>
      </c>
      <c r="L12" s="63">
        <f>SUMIFS(Tabla1[Costo],Tabla1[Ingeniero],Facturación!$A12,Tabla1[Facturación],L$3)</f>
        <v>97440</v>
      </c>
      <c r="M12" s="63">
        <f>SUMIFS(Tabla1[Costo],Tabla1[Ingeniero],Facturación!$A12,Tabla1[Facturación],M$3)</f>
        <v>107590</v>
      </c>
      <c r="N12" s="63">
        <f>SUMIFS(Tabla1[Costo],Tabla1[Ingeniero],Facturación!$A12,Tabla1[Facturación],N$3)</f>
        <v>96280</v>
      </c>
      <c r="O12" s="63">
        <f>SUMIFS(Tabla1[Costo],Tabla1[Ingeniero],Facturación!$A12,Tabla1[Facturación],O$3)</f>
        <v>102660</v>
      </c>
      <c r="P12" s="63">
        <f>SUMIFS(Tabla1[Costo],Tabla1[Ingeniero],Facturación!$A12,Tabla1[Facturación],P$3)</f>
        <v>92800</v>
      </c>
      <c r="Q12" s="63">
        <f>SUMIFS(Tabla1[Costo],Tabla1[Ingeniero],Facturación!$A12,Tabla1[Facturación],Q$3)</f>
        <v>96280</v>
      </c>
      <c r="R12" s="72">
        <f t="shared" si="2"/>
        <v>1155940</v>
      </c>
      <c r="S12" t="s">
        <v>75</v>
      </c>
    </row>
    <row r="13" spans="1:19" ht="21" customHeight="1" x14ac:dyDescent="0.3">
      <c r="A13" s="74" t="s">
        <v>548</v>
      </c>
      <c r="B13" s="53" t="s">
        <v>38</v>
      </c>
      <c r="C13" s="63">
        <f>VLOOKUP(B13,Catalogos!$B$75:$D$100,3,FALSE)</f>
        <v>400</v>
      </c>
      <c r="D13" s="57">
        <f t="shared" si="0"/>
        <v>463.99999999999994</v>
      </c>
      <c r="E13" s="57">
        <f t="shared" si="1"/>
        <v>3711.9999999999995</v>
      </c>
      <c r="F13" s="63">
        <f>SUMIFS(Tabla1[Costo],Tabla1[Ingeniero],Facturación!$A13,Tabla1[Facturación],F$3)</f>
        <v>0</v>
      </c>
      <c r="G13" s="63">
        <f>SUMIFS(Tabla1[Costo],Tabla1[Ingeniero],Facturación!$A13,Tabla1[Facturación],G$3)</f>
        <v>77952</v>
      </c>
      <c r="H13" s="63">
        <f>SUMIFS(Tabla1[Costo],Tabla1[Ingeniero],Facturación!$A13,Tabla1[Facturación],H$3)</f>
        <v>22271.999999999996</v>
      </c>
      <c r="I13" s="63">
        <f>SUMIFS(Tabla1[Costo],Tabla1[Ingeniero],Facturación!$A13,Tabla1[Facturación],I$3)</f>
        <v>0</v>
      </c>
      <c r="J13" s="63">
        <f>SUMIFS(Tabla1[Costo],Tabla1[Ingeniero],Facturación!$A13,Tabla1[Facturación],J$3)</f>
        <v>0</v>
      </c>
      <c r="K13" s="63">
        <f>SUMIFS(Tabla1[Costo],Tabla1[Ingeniero],Facturación!$A13,Tabla1[Facturación],K$3)</f>
        <v>0</v>
      </c>
      <c r="L13" s="63">
        <f>SUMIFS(Tabla1[Costo],Tabla1[Ingeniero],Facturación!$A13,Tabla1[Facturación],L$3)</f>
        <v>0</v>
      </c>
      <c r="M13" s="63">
        <f>SUMIFS(Tabla1[Costo],Tabla1[Ingeniero],Facturación!$A13,Tabla1[Facturación],M$3)</f>
        <v>0</v>
      </c>
      <c r="N13" s="63">
        <f>SUMIFS(Tabla1[Costo],Tabla1[Ingeniero],Facturación!$A13,Tabla1[Facturación],N$3)</f>
        <v>0</v>
      </c>
      <c r="O13" s="63">
        <f>SUMIFS(Tabla1[Costo],Tabla1[Ingeniero],Facturación!$A13,Tabla1[Facturación],O$3)</f>
        <v>0</v>
      </c>
      <c r="P13" s="265"/>
      <c r="Q13" s="265"/>
      <c r="R13" s="72">
        <f t="shared" si="2"/>
        <v>100224</v>
      </c>
    </row>
    <row r="14" spans="1:19" ht="18" customHeight="1" x14ac:dyDescent="0.3">
      <c r="A14" s="74" t="s">
        <v>541</v>
      </c>
      <c r="B14" s="65" t="s">
        <v>40</v>
      </c>
      <c r="C14" s="63">
        <f>VLOOKUP(B14,Catalogos!$B$75:$D$100,3,FALSE)</f>
        <v>700</v>
      </c>
      <c r="D14" s="57">
        <f t="shared" si="0"/>
        <v>812</v>
      </c>
      <c r="E14" s="57">
        <f t="shared" si="1"/>
        <v>6496</v>
      </c>
      <c r="F14" s="63">
        <f>SUMIFS(Tabla1[Costo],Tabla1[Ingeniero],Facturación!$A14,Tabla1[Facturación],F$3)</f>
        <v>0</v>
      </c>
      <c r="G14" s="63">
        <f>SUMIFS(Tabla1[Costo],Tabla1[Ingeniero],Facturación!$A14,Tabla1[Facturación],G$3)</f>
        <v>6496</v>
      </c>
      <c r="H14" s="63">
        <f>SUMIFS(Tabla1[Costo],Tabla1[Ingeniero],Facturación!$A14,Tabla1[Facturación],H$3)</f>
        <v>142912</v>
      </c>
      <c r="I14" s="63">
        <f>SUMIFS(Tabla1[Costo],Tabla1[Ingeniero],Facturación!$A14,Tabla1[Facturación],I$3)</f>
        <v>129920</v>
      </c>
      <c r="J14" s="63">
        <f>SUMIFS(Tabla1[Costo],Tabla1[Ingeniero],Facturación!$A14,Tabla1[Facturación],J$3)</f>
        <v>0</v>
      </c>
      <c r="K14" s="63">
        <f>SUMIFS(Tabla1[Costo],Tabla1[Ingeniero],Facturación!$A14,Tabla1[Facturación],K$3)</f>
        <v>0</v>
      </c>
      <c r="L14" s="63">
        <f>SUMIFS(Tabla1[Costo],Tabla1[Ingeniero],Facturación!$A14,Tabla1[Facturación],L$3)</f>
        <v>0</v>
      </c>
      <c r="M14" s="63">
        <f>SUMIFS(Tabla1[Costo],Tabla1[Ingeniero],Facturación!$A14,Tabla1[Facturación],M$3)</f>
        <v>0</v>
      </c>
      <c r="N14" s="63">
        <f>SUMIFS(Tabla1[Costo],Tabla1[Ingeniero],Facturación!$A14,Tabla1[Facturación],N$3)</f>
        <v>0</v>
      </c>
      <c r="O14" s="63">
        <f>SUMIFS(Tabla1[Costo],Tabla1[Ingeniero],Facturación!$A14,Tabla1[Facturación],O$3)</f>
        <v>0</v>
      </c>
      <c r="P14" s="265"/>
      <c r="Q14" s="265"/>
      <c r="R14" s="72">
        <f t="shared" si="2"/>
        <v>279328</v>
      </c>
      <c r="S14" s="213"/>
    </row>
    <row r="15" spans="1:19" ht="18" customHeight="1" x14ac:dyDescent="0.3">
      <c r="A15" s="271" t="s">
        <v>629</v>
      </c>
      <c r="B15" s="53" t="s">
        <v>302</v>
      </c>
      <c r="C15" s="63">
        <f>VLOOKUP(B15,Catalogos!$B$75:$D$100,3,FALSE)</f>
        <v>800</v>
      </c>
      <c r="D15" s="57">
        <f t="shared" ref="D15:D17" si="3">C15*1.16</f>
        <v>927.99999999999989</v>
      </c>
      <c r="E15" s="57">
        <f t="shared" ref="E15:E17" si="4">D15*8</f>
        <v>7423.9999999999991</v>
      </c>
      <c r="F15" s="63">
        <f>SUMIFS(Tabla1[Costo],Tabla1[Ingeniero],Facturación!$A15,Tabla1[Facturación],F$3)</f>
        <v>0</v>
      </c>
      <c r="G15" s="63">
        <f>SUMIFS(Tabla1[Costo],Tabla1[Ingeniero],Facturación!$A15,Tabla1[Facturación],G$3)</f>
        <v>37119.999999999993</v>
      </c>
      <c r="H15" s="63">
        <f>SUMIFS(Tabla1[Costo],Tabla1[Ingeniero],Facturación!$A15,Tabla1[Facturación],H$3)</f>
        <v>0</v>
      </c>
      <c r="I15" s="63">
        <f>SUMIFS(Tabla1[Costo],Tabla1[Ingeniero],Facturación!$A15,Tabla1[Facturación],I$3)</f>
        <v>73311.999999999985</v>
      </c>
      <c r="J15" s="63">
        <f>SUMIFS(Tabla1[Costo],Tabla1[Ingeniero],Facturación!$A15,Tabla1[Facturación],J$3)</f>
        <v>41760</v>
      </c>
      <c r="K15" s="63">
        <f>SUMIFS(Tabla1[Costo],Tabla1[Ingeniero],Facturación!$A15,Tabla1[Facturación],K$3)</f>
        <v>0</v>
      </c>
      <c r="L15" s="63">
        <f>SUMIFS(Tabla1[Costo],Tabla1[Ingeniero],Facturación!$A15,Tabla1[Facturación],L$3)</f>
        <v>0</v>
      </c>
      <c r="M15" s="63">
        <f>SUMIFS(Tabla1[Costo],Tabla1[Ingeniero],Facturación!$A15,Tabla1[Facturación],M$3)</f>
        <v>0</v>
      </c>
      <c r="N15" s="63">
        <f>SUMIFS(Tabla1[Costo],Tabla1[Ingeniero],Facturación!$A15,Tabla1[Facturación],N$3)</f>
        <v>0</v>
      </c>
      <c r="O15" s="63">
        <f>SUMIFS(Tabla1[Costo],Tabla1[Ingeniero],Facturación!$A15,Tabla1[Facturación],O$3)</f>
        <v>0</v>
      </c>
      <c r="P15" s="214"/>
      <c r="Q15" s="286"/>
      <c r="R15" s="72">
        <f t="shared" si="2"/>
        <v>152191.99999999997</v>
      </c>
      <c r="S15" s="213"/>
    </row>
    <row r="16" spans="1:19" ht="18" customHeight="1" x14ac:dyDescent="0.3">
      <c r="A16" s="271" t="s">
        <v>1120</v>
      </c>
      <c r="B16" s="65" t="s">
        <v>40</v>
      </c>
      <c r="C16" s="63">
        <f>VLOOKUP(B16,Catalogos!$B$75:$D$100,3,FALSE)</f>
        <v>700</v>
      </c>
      <c r="D16" s="57">
        <f t="shared" si="3"/>
        <v>812</v>
      </c>
      <c r="E16" s="57">
        <f t="shared" si="4"/>
        <v>6496</v>
      </c>
      <c r="F16" s="63">
        <f>SUMIFS(Tabla1[Costo],Tabla1[Ingeniero],Facturación!$A16,Tabla1[Facturación],F$3)</f>
        <v>0</v>
      </c>
      <c r="G16" s="63">
        <f>SUMIFS(Tabla1[Costo],Tabla1[Ingeniero],Facturación!$A16,Tabla1[Facturación],G$3)</f>
        <v>0</v>
      </c>
      <c r="H16" s="63">
        <f>SUMIFS(Tabla1[Costo],Tabla1[Ingeniero],Facturación!$A16,Tabla1[Facturación],H$3)</f>
        <v>0</v>
      </c>
      <c r="I16" s="63">
        <f>SUMIFS(Tabla1[Costo],Tabla1[Ingeniero],Facturación!$A16,Tabla1[Facturación],I$3)</f>
        <v>92568</v>
      </c>
      <c r="J16" s="63">
        <f>SUMIFS(Tabla1[Costo],Tabla1[Ingeniero],Facturación!$A16,Tabla1[Facturación],J$3)</f>
        <v>136416</v>
      </c>
      <c r="K16" s="63">
        <f>SUMIFS(Tabla1[Costo],Tabla1[Ingeniero],Facturación!$A16,Tabla1[Facturación],K$3)</f>
        <v>111244</v>
      </c>
      <c r="L16" s="63">
        <f>SUMIFS(Tabla1[Costo],Tabla1[Ingeniero],Facturación!$A16,Tabla1[Facturación],L$3)</f>
        <v>100688</v>
      </c>
      <c r="M16" s="63">
        <f>SUMIFS(Tabla1[Costo],Tabla1[Ingeniero],Facturación!$A16,Tabla1[Facturación],M$3)</f>
        <v>137228</v>
      </c>
      <c r="N16" s="63">
        <f>SUMIFS(Tabla1[Costo],Tabla1[Ingeniero],Facturación!$A16,Tabla1[Facturación],N$3)</f>
        <v>129920</v>
      </c>
      <c r="O16" s="63">
        <f>SUMIFS(Tabla1[Costo],Tabla1[Ingeniero],Facturación!$A16,Tabla1[Facturación],O$3)</f>
        <v>143723.99999999997</v>
      </c>
      <c r="P16" s="63">
        <f>SUMIFS(Tabla1[Costo],Tabla1[Ingeniero],Facturación!$A16,Tabla1[Facturación],P$3)</f>
        <v>132356</v>
      </c>
      <c r="Q16" s="63">
        <f>SUMIFS(Tabla1[Costo],Tabla1[Ingeniero],Facturación!$A16,Tabla1[Facturación],Q$3)</f>
        <v>132356</v>
      </c>
      <c r="R16" s="72">
        <f t="shared" ref="R16:R22" si="5">SUM(F16:Q16)</f>
        <v>1116500</v>
      </c>
      <c r="S16" s="213" t="s">
        <v>5394</v>
      </c>
    </row>
    <row r="17" spans="1:22" ht="18" customHeight="1" x14ac:dyDescent="0.3">
      <c r="A17" s="271" t="s">
        <v>1441</v>
      </c>
      <c r="B17" s="65" t="s">
        <v>95</v>
      </c>
      <c r="C17" s="63">
        <f>VLOOKUP(B17,Catalogos!$B$75:$D$100,3,FALSE)</f>
        <v>600</v>
      </c>
      <c r="D17" s="57">
        <f t="shared" si="3"/>
        <v>696</v>
      </c>
      <c r="E17" s="57">
        <f t="shared" si="4"/>
        <v>5568</v>
      </c>
      <c r="F17" s="304"/>
      <c r="G17" s="304"/>
      <c r="H17" s="304"/>
      <c r="I17" s="304"/>
      <c r="J17" s="304"/>
      <c r="K17" s="63">
        <f>SUMIFS(Tabla1[Costo],Tabla1[Ingeniero],Facturación!$A17,Tabla1[Facturación],K$3)</f>
        <v>33408</v>
      </c>
      <c r="L17" s="63">
        <f>SUMIFS(Tabla1[Costo],Tabla1[Ingeniero],Facturación!$A17,Tabla1[Facturación],L$3)</f>
        <v>132588</v>
      </c>
      <c r="M17" s="63">
        <f>SUMIFS(Tabla1[Costo],Tabla1[Ingeniero],Facturación!$A17,Tabla1[Facturación],M$3)</f>
        <v>132588</v>
      </c>
      <c r="N17" s="63">
        <f>SUMIFS(Tabla1[Costo],Tabla1[Ingeniero],Facturación!$A17,Tabla1[Facturación],N$3)</f>
        <v>132588</v>
      </c>
      <c r="O17" s="63">
        <f>SUMIFS(Tabla1[Costo],Tabla1[Ingeniero],Facturación!$A17,Tabla1[Facturación],O$3)</f>
        <v>132588</v>
      </c>
      <c r="P17" s="63">
        <f>SUMIFS(Tabla1[Costo],Tabla1[Ingeniero],Facturación!$A17,Tabla1[Facturación],P$3)</f>
        <v>132588</v>
      </c>
      <c r="Q17" s="63">
        <f>SUMIFS(Tabla1[Costo],Tabla1[Ingeniero],Facturación!$A17,Tabla1[Facturación],Q$3)</f>
        <v>132588</v>
      </c>
      <c r="R17" s="72">
        <f t="shared" si="5"/>
        <v>828936</v>
      </c>
      <c r="S17" s="213" t="s">
        <v>5392</v>
      </c>
    </row>
    <row r="18" spans="1:22" ht="18" customHeight="1" x14ac:dyDescent="0.3">
      <c r="A18" s="271" t="s">
        <v>1442</v>
      </c>
      <c r="B18" s="53" t="s">
        <v>79</v>
      </c>
      <c r="C18" s="63">
        <f>VLOOKUP(B18,Catalogos!$B$75:$D$100,3,FALSE)</f>
        <v>600</v>
      </c>
      <c r="D18" s="57">
        <f t="shared" ref="D18:D19" si="6">C18*1.16</f>
        <v>696</v>
      </c>
      <c r="E18" s="57">
        <f t="shared" ref="E18:E19" si="7">D18*8</f>
        <v>5568</v>
      </c>
      <c r="F18" s="304"/>
      <c r="G18" s="304"/>
      <c r="H18" s="304"/>
      <c r="I18" s="304"/>
      <c r="J18" s="304"/>
      <c r="K18" s="63">
        <f>SUMIFS(Tabla1[Costo],Tabla1[Ingeniero],Facturación!$A18,Tabla1[Facturación],K$3)</f>
        <v>66294</v>
      </c>
      <c r="L18" s="63">
        <f>SUMIFS(Tabla1[Costo],Tabla1[Ingeniero],Facturación!$A18,Tabla1[Facturación],L$3)</f>
        <v>132588</v>
      </c>
      <c r="M18" s="63">
        <f>SUMIFS(Tabla1[Costo],Tabla1[Ingeniero],Facturación!$A18,Tabla1[Facturación],M$3)</f>
        <v>132588</v>
      </c>
      <c r="N18" s="63">
        <f>SUMIFS(Tabla1[Costo],Tabla1[Ingeniero],Facturación!$A18,Tabla1[Facturación],N$3)</f>
        <v>132588</v>
      </c>
      <c r="O18" s="265">
        <f>SUMIFS(Tabla1[Costo],Tabla1[Ingeniero],Facturación!$A18,Tabla1[Facturación],O$3)</f>
        <v>132588</v>
      </c>
      <c r="P18" s="63">
        <f>SUMIFS(Tabla1[Costo],Tabla1[Ingeniero],Facturación!$A18,Tabla1[Facturación],P$3)</f>
        <v>132587.99999999997</v>
      </c>
      <c r="Q18" s="63">
        <f>SUMIFS(Tabla1[Costo],Tabla1[Ingeniero],Facturación!$A18,Tabla1[Facturación],Q$3)</f>
        <v>132588</v>
      </c>
      <c r="R18" s="72">
        <f t="shared" si="5"/>
        <v>861822</v>
      </c>
      <c r="S18" s="213" t="s">
        <v>3358</v>
      </c>
    </row>
    <row r="19" spans="1:22" ht="18" customHeight="1" x14ac:dyDescent="0.3">
      <c r="A19" s="271" t="s">
        <v>2415</v>
      </c>
      <c r="B19" s="245" t="s">
        <v>40</v>
      </c>
      <c r="C19" s="63">
        <f>VLOOKUP(B19,Catalogos!$B$75:$D$100,3,FALSE)</f>
        <v>700</v>
      </c>
      <c r="D19" s="57">
        <f t="shared" si="6"/>
        <v>812</v>
      </c>
      <c r="E19" s="57">
        <f t="shared" si="7"/>
        <v>6496</v>
      </c>
      <c r="F19" s="304"/>
      <c r="G19" s="304"/>
      <c r="H19" s="304"/>
      <c r="I19" s="304"/>
      <c r="J19" s="304"/>
      <c r="K19" s="63">
        <f>SUMIFS(Tabla1[Costo],Tabla1[Ingeniero],Facturación!$A32,Tabla1[Facturación],K$3)</f>
        <v>0</v>
      </c>
      <c r="L19" s="63">
        <f>SUMIFS(Tabla1[Costo],Tabla1[Ingeniero],Facturación!$A32,Tabla1[Facturación],L$3)</f>
        <v>0</v>
      </c>
      <c r="M19" s="63">
        <f>SUMIFS(Tabla1[Costo],Tabla1[Ingeniero],Facturación!$A19,Tabla1[Facturación],M$3)</f>
        <v>77952</v>
      </c>
      <c r="N19" s="63">
        <f>SUMIFS(Tabla1[Costo],Tabla1[Ingeniero],Facturación!$A19,Tabla1[Facturación],N$3)</f>
        <v>136416</v>
      </c>
      <c r="O19" s="63">
        <f>SUMIFS(Tabla1[Costo],Tabla1[Ingeniero],Facturación!$A19,Tabla1[Facturación],O$3)</f>
        <v>142912</v>
      </c>
      <c r="P19" s="63">
        <f>SUMIFS(Tabla1[Costo],Tabla1[Ingeniero],Facturación!$A19,Tabla1[Facturación],P$3)</f>
        <v>129920</v>
      </c>
      <c r="Q19" s="63">
        <f>SUMIFS(Tabla1[Costo],Tabla1[Ingeniero],Facturación!$A19,Tabla1[Facturación],Q$3)</f>
        <v>134792</v>
      </c>
      <c r="R19" s="72">
        <f t="shared" si="5"/>
        <v>621992</v>
      </c>
      <c r="S19" s="213" t="s">
        <v>5390</v>
      </c>
    </row>
    <row r="20" spans="1:22" ht="18" customHeight="1" x14ac:dyDescent="0.3">
      <c r="A20" s="271" t="s">
        <v>2649</v>
      </c>
      <c r="B20" s="62" t="s">
        <v>265</v>
      </c>
      <c r="C20" s="63">
        <f>VLOOKUP(B20,Catalogos!$B$75:$D$100,3,FALSE)</f>
        <v>500</v>
      </c>
      <c r="D20" s="57">
        <f t="shared" ref="D20:D31" si="8">C20*1.16</f>
        <v>580</v>
      </c>
      <c r="E20" s="57">
        <f t="shared" ref="E20:E31" si="9">D20*8</f>
        <v>4640</v>
      </c>
      <c r="F20" s="304"/>
      <c r="G20" s="304"/>
      <c r="H20" s="304"/>
      <c r="I20" s="304"/>
      <c r="J20" s="304"/>
      <c r="K20" s="322"/>
      <c r="L20" s="322"/>
      <c r="M20" s="322"/>
      <c r="N20" s="63">
        <f>SUMIFS(Tabla1[Costo],Tabla1[Ingeniero],Facturación!$A20,Tabla1[Facturación],N$3)</f>
        <v>92800</v>
      </c>
      <c r="O20" s="234">
        <f>SUMIFS(Tabla1[Costo],Tabla1[Ingeniero],Facturación!$A20,Tabla1[Facturación],O$3)</f>
        <v>92800</v>
      </c>
      <c r="P20" s="63">
        <f>SUMIFS(Tabla1[Costo],Tabla1[Ingeniero],Facturación!$A20,Tabla1[Facturación],P$3)</f>
        <v>92800</v>
      </c>
      <c r="Q20" s="63">
        <f>SUMIFS(Tabla1[Costo],Tabla1[Ingeniero],Facturación!$A20,Tabla1[Facturación],Q$3)</f>
        <v>64960</v>
      </c>
      <c r="R20" s="72">
        <f t="shared" si="5"/>
        <v>343360</v>
      </c>
      <c r="S20" s="213" t="s">
        <v>5393</v>
      </c>
    </row>
    <row r="21" spans="1:22" ht="18" customHeight="1" x14ac:dyDescent="0.3">
      <c r="A21" s="74" t="s">
        <v>4257</v>
      </c>
      <c r="B21" s="245" t="s">
        <v>40</v>
      </c>
      <c r="C21" s="63">
        <f>VLOOKUP(B21,Catalogos!$B$75:$D$100,3,FALSE)</f>
        <v>700</v>
      </c>
      <c r="D21" s="57">
        <f t="shared" ref="D21" si="10">C21*1.16</f>
        <v>812</v>
      </c>
      <c r="E21" s="57">
        <f t="shared" ref="E21" si="11">D21*8</f>
        <v>6496</v>
      </c>
      <c r="F21" s="304"/>
      <c r="G21" s="304"/>
      <c r="H21" s="304"/>
      <c r="I21" s="304"/>
      <c r="J21" s="304"/>
      <c r="K21" s="322"/>
      <c r="L21" s="322"/>
      <c r="M21" s="322"/>
      <c r="N21" s="322"/>
      <c r="O21" s="234"/>
      <c r="P21" s="265">
        <f>SUMIFS(Tabla1[Costo],Tabla1[Ingeniero],Facturación!$A21,Tabla1[Facturación],P$3)</f>
        <v>136415.99999999997</v>
      </c>
      <c r="Q21" s="63">
        <f>SUMIFS(Tabla1[Costo],Tabla1[Ingeniero],Facturación!$A21,Tabla1[Facturación],Q$3)</f>
        <v>134792</v>
      </c>
      <c r="R21" s="72">
        <f t="shared" si="5"/>
        <v>271208</v>
      </c>
      <c r="S21" s="213" t="s">
        <v>5391</v>
      </c>
    </row>
    <row r="22" spans="1:22" ht="18" customHeight="1" x14ac:dyDescent="0.3">
      <c r="A22" s="74" t="s">
        <v>4258</v>
      </c>
      <c r="B22" s="245" t="s">
        <v>40</v>
      </c>
      <c r="C22" s="63">
        <f>VLOOKUP(B22,Catalogos!$B$75:$D$100,3,FALSE)</f>
        <v>700</v>
      </c>
      <c r="D22" s="57">
        <f t="shared" ref="D22" si="12">C22*1.16</f>
        <v>812</v>
      </c>
      <c r="E22" s="57">
        <f t="shared" ref="E22" si="13">D22*8</f>
        <v>6496</v>
      </c>
      <c r="F22" s="304"/>
      <c r="G22" s="304"/>
      <c r="H22" s="304"/>
      <c r="I22" s="304"/>
      <c r="J22" s="304"/>
      <c r="K22" s="322"/>
      <c r="L22" s="322"/>
      <c r="M22" s="322"/>
      <c r="N22" s="322"/>
      <c r="O22" s="234"/>
      <c r="P22" s="265">
        <f>SUMIFS(Tabla1[Costo],Tabla1[Ingeniero],Facturación!$A22,Tabla1[Facturación],P$3)</f>
        <v>135603.99999999997</v>
      </c>
      <c r="Q22" s="265">
        <f>SUMIFS(Tabla1[Costo],Tabla1[Ingeniero],Facturación!$A22,Tabla1[Facturación],Q$3)</f>
        <v>137227.99999999997</v>
      </c>
      <c r="R22" s="72">
        <f t="shared" si="5"/>
        <v>272831.99999999994</v>
      </c>
      <c r="S22" s="213" t="s">
        <v>5395</v>
      </c>
      <c r="V22" t="s">
        <v>5396</v>
      </c>
    </row>
    <row r="23" spans="1:22" ht="18" customHeight="1" x14ac:dyDescent="0.3">
      <c r="A23" s="361" t="s">
        <v>28</v>
      </c>
      <c r="B23" s="354" t="s">
        <v>36</v>
      </c>
      <c r="C23" s="63">
        <f>VLOOKUP(B23,Catalogos!$B$75:$D$100,3,FALSE)</f>
        <v>600</v>
      </c>
      <c r="D23" s="57">
        <f t="shared" ref="D23:D29" si="14">C23*1.16</f>
        <v>696</v>
      </c>
      <c r="E23" s="57">
        <f t="shared" ref="E23:E29" si="15">D23*8</f>
        <v>5568</v>
      </c>
      <c r="F23" s="304"/>
      <c r="G23" s="304"/>
      <c r="H23" s="304"/>
      <c r="I23" s="304"/>
      <c r="J23" s="304"/>
      <c r="K23" s="322"/>
      <c r="L23" s="322"/>
      <c r="M23" s="322"/>
      <c r="N23" s="322"/>
      <c r="O23" s="303">
        <f>SUMIFS(Tabla1[Costo],Tabla1[Ingeniero],Facturación!$A23,Tabla1[Facturación],O$3)</f>
        <v>18096</v>
      </c>
      <c r="P23" s="303">
        <f>SUMIFS(Tabla1[Costo],Tabla1[Ingeniero],Facturación!$A23,Tabla1[Facturación],P$3)</f>
        <v>22272</v>
      </c>
      <c r="Q23" s="303">
        <f>SUMIFS(Tabla1[Costo],Tabla1[Ingeniero],Facturación!$A23,Tabla1[Facturación],Q$3)</f>
        <v>16704</v>
      </c>
      <c r="R23" s="357">
        <f t="shared" ref="R23:R31" si="16">SUM(F23:Q23)</f>
        <v>57072</v>
      </c>
      <c r="S23" s="213" t="s">
        <v>3356</v>
      </c>
      <c r="T23" t="s">
        <v>230</v>
      </c>
      <c r="U23" t="s">
        <v>4259</v>
      </c>
      <c r="V23">
        <f>(Q23/E23)*8</f>
        <v>24</v>
      </c>
    </row>
    <row r="24" spans="1:22" ht="18" customHeight="1" x14ac:dyDescent="0.3">
      <c r="A24" s="360" t="s">
        <v>4138</v>
      </c>
      <c r="B24" s="354" t="s">
        <v>244</v>
      </c>
      <c r="C24" s="63">
        <f>VLOOKUP(B24,Catalogos!$B$75:$D$100,3,FALSE)</f>
        <v>450</v>
      </c>
      <c r="D24" s="57">
        <f t="shared" si="14"/>
        <v>522</v>
      </c>
      <c r="E24" s="57">
        <f t="shared" si="15"/>
        <v>4176</v>
      </c>
      <c r="F24" s="304"/>
      <c r="G24" s="304"/>
      <c r="H24" s="304"/>
      <c r="I24" s="304"/>
      <c r="J24" s="304"/>
      <c r="K24" s="322"/>
      <c r="L24" s="322"/>
      <c r="M24" s="322"/>
      <c r="N24" s="322"/>
      <c r="O24" s="303">
        <f>SUMIFS(Tabla1[Costo],Tabla1[Ingeniero],Facturación!$A24,Tabla1[Facturación],O$3)</f>
        <v>70992</v>
      </c>
      <c r="P24" s="214"/>
      <c r="Q24" s="214"/>
      <c r="R24" s="357">
        <f t="shared" si="16"/>
        <v>70992</v>
      </c>
      <c r="S24" s="213" t="s">
        <v>3356</v>
      </c>
      <c r="T24" t="s">
        <v>230</v>
      </c>
      <c r="U24" t="s">
        <v>4260</v>
      </c>
    </row>
    <row r="25" spans="1:22" ht="18" customHeight="1" x14ac:dyDescent="0.3">
      <c r="A25" s="366" t="s">
        <v>5375</v>
      </c>
      <c r="B25" s="354" t="s">
        <v>40</v>
      </c>
      <c r="C25" s="63">
        <f>VLOOKUP(B25,Catalogos!$B$75:$D$100,3,FALSE)</f>
        <v>700</v>
      </c>
      <c r="D25" s="57">
        <f t="shared" si="14"/>
        <v>812</v>
      </c>
      <c r="E25" s="57">
        <f t="shared" si="15"/>
        <v>6496</v>
      </c>
      <c r="F25" s="304"/>
      <c r="G25" s="304"/>
      <c r="H25" s="304"/>
      <c r="I25" s="304"/>
      <c r="J25" s="304"/>
      <c r="K25" s="322"/>
      <c r="L25" s="322"/>
      <c r="M25" s="322"/>
      <c r="N25" s="322"/>
      <c r="O25" s="234">
        <f>SUMIFS(Tabla1[Costo],Tabla1[Ingeniero],Facturación!$A25,Tabla1[Facturación],O$3)</f>
        <v>0</v>
      </c>
      <c r="P25" s="303">
        <f>SUMIFS(Tabla1[Costo],Tabla1[Ingeniero],Facturación!$A25,Tabla1[Facturación],P$3)</f>
        <v>129920</v>
      </c>
      <c r="Q25" s="303">
        <f>SUMIFS(Tabla1[Costo],Tabla1[Ingeniero],Facturación!$A25,Tabla1[Facturación],Q$3)</f>
        <v>63336</v>
      </c>
      <c r="R25" s="357">
        <f t="shared" si="16"/>
        <v>193256</v>
      </c>
      <c r="S25" s="213" t="s">
        <v>3356</v>
      </c>
      <c r="T25" t="s">
        <v>230</v>
      </c>
      <c r="U25" t="s">
        <v>4261</v>
      </c>
      <c r="V25">
        <f>(Q25/E25)*8</f>
        <v>78</v>
      </c>
    </row>
    <row r="26" spans="1:22" ht="18" customHeight="1" x14ac:dyDescent="0.3">
      <c r="A26" s="366" t="s">
        <v>5376</v>
      </c>
      <c r="B26" s="354" t="s">
        <v>40</v>
      </c>
      <c r="C26" s="63">
        <f>VLOOKUP(B26,Catalogos!$B$75:$D$100,3,FALSE)</f>
        <v>700</v>
      </c>
      <c r="D26" s="57">
        <f t="shared" ref="D26" si="17">C26*1.16</f>
        <v>812</v>
      </c>
      <c r="E26" s="57">
        <f t="shared" ref="E26" si="18">D26*8</f>
        <v>6496</v>
      </c>
      <c r="F26" s="304"/>
      <c r="G26" s="304"/>
      <c r="H26" s="304"/>
      <c r="I26" s="304"/>
      <c r="J26" s="304"/>
      <c r="K26" s="322"/>
      <c r="L26" s="322"/>
      <c r="M26" s="322"/>
      <c r="N26" s="322"/>
      <c r="O26" s="234"/>
      <c r="P26" s="303">
        <f>SUMIFS(Tabla1[Costo],Tabla1[Ingeniero],Facturación!$A26,Tabla1[Facturación],P$3)</f>
        <v>129920</v>
      </c>
      <c r="Q26" s="303">
        <f>SUMIFS(Tabla1[Costo],Tabla1[Ingeniero],Facturación!$A26,Tabla1[Facturación],Q$3)</f>
        <v>63336</v>
      </c>
      <c r="R26" s="357">
        <f t="shared" si="16"/>
        <v>193256</v>
      </c>
      <c r="S26" s="213" t="s">
        <v>3356</v>
      </c>
      <c r="T26" t="s">
        <v>230</v>
      </c>
      <c r="U26" t="s">
        <v>4261</v>
      </c>
      <c r="V26">
        <f>(Q26/E26)*8</f>
        <v>78</v>
      </c>
    </row>
    <row r="27" spans="1:22" ht="18" customHeight="1" x14ac:dyDescent="0.3">
      <c r="A27" s="364" t="s">
        <v>629</v>
      </c>
      <c r="B27" s="354" t="s">
        <v>302</v>
      </c>
      <c r="C27" s="63">
        <f>VLOOKUP(B27,Catalogos!$B$75:$D$100,3,FALSE)</f>
        <v>800</v>
      </c>
      <c r="D27" s="57">
        <f t="shared" si="14"/>
        <v>927.99999999999989</v>
      </c>
      <c r="E27" s="57">
        <f t="shared" si="15"/>
        <v>7423.9999999999991</v>
      </c>
      <c r="F27" s="304"/>
      <c r="G27" s="304"/>
      <c r="H27" s="304"/>
      <c r="I27" s="304"/>
      <c r="J27" s="304"/>
      <c r="K27" s="322"/>
      <c r="L27" s="322"/>
      <c r="M27" s="322"/>
      <c r="N27" s="322"/>
      <c r="O27" s="234">
        <f>SUMIFS(Tabla1[Costo],Tabla1[Ingeniero],Facturación!$A27,Tabla1[Facturación],O$3)</f>
        <v>0</v>
      </c>
      <c r="P27" s="303">
        <f>SUMIFS(Tabla1[Costo],Tabla1[Ingeniero],Facturación!$A27,Tabla1[Facturación],P$3)</f>
        <v>148480</v>
      </c>
      <c r="Q27" s="214"/>
      <c r="R27" s="357">
        <f t="shared" si="16"/>
        <v>148480</v>
      </c>
      <c r="S27" s="213" t="s">
        <v>3356</v>
      </c>
      <c r="T27" t="s">
        <v>230</v>
      </c>
      <c r="U27" t="s">
        <v>4262</v>
      </c>
    </row>
    <row r="28" spans="1:22" ht="18" customHeight="1" x14ac:dyDescent="0.3">
      <c r="A28" s="360" t="s">
        <v>4175</v>
      </c>
      <c r="B28" s="354" t="s">
        <v>265</v>
      </c>
      <c r="C28" s="63">
        <f>VLOOKUP(B28,Catalogos!$B$75:$D$100,3,FALSE)</f>
        <v>500</v>
      </c>
      <c r="D28" s="57">
        <f t="shared" si="14"/>
        <v>580</v>
      </c>
      <c r="E28" s="57">
        <f t="shared" si="15"/>
        <v>4640</v>
      </c>
      <c r="F28" s="304"/>
      <c r="G28" s="304"/>
      <c r="H28" s="304"/>
      <c r="I28" s="304"/>
      <c r="J28" s="304"/>
      <c r="K28" s="322"/>
      <c r="L28" s="322"/>
      <c r="M28" s="322"/>
      <c r="N28" s="322"/>
      <c r="O28" s="303">
        <f>SUMIFS(Tabla1[Costo],Tabla1[Ingeniero],Facturación!$A28,Tabla1[Facturación],O$3)</f>
        <v>18560</v>
      </c>
      <c r="P28" s="303">
        <f>SUMIFS(Tabla1[Costo],Tabla1[Ingeniero],Facturación!$A28,Tabla1[Facturación],P$3)</f>
        <v>92800</v>
      </c>
      <c r="Q28" s="303">
        <f>SUMIFS(Tabla1[Costo],Tabla1[Ingeniero],Facturación!$A28,Tabla1[Facturación],Q$3)</f>
        <v>6960</v>
      </c>
      <c r="R28" s="357">
        <f t="shared" si="16"/>
        <v>118320</v>
      </c>
      <c r="S28" s="213" t="s">
        <v>3356</v>
      </c>
      <c r="T28" t="s">
        <v>230</v>
      </c>
      <c r="U28" t="s">
        <v>75</v>
      </c>
      <c r="V28">
        <f>(Q28/E28)*8</f>
        <v>12</v>
      </c>
    </row>
    <row r="29" spans="1:22" ht="18" customHeight="1" x14ac:dyDescent="0.3">
      <c r="A29" s="360" t="s">
        <v>5374</v>
      </c>
      <c r="B29" s="354" t="s">
        <v>37</v>
      </c>
      <c r="C29" s="63">
        <f>VLOOKUP(B29,Catalogos!$B$75:$D$100,3,FALSE)</f>
        <v>450</v>
      </c>
      <c r="D29" s="57">
        <f t="shared" si="14"/>
        <v>522</v>
      </c>
      <c r="E29" s="57">
        <f t="shared" si="15"/>
        <v>4176</v>
      </c>
      <c r="F29" s="304"/>
      <c r="G29" s="304"/>
      <c r="H29" s="304"/>
      <c r="I29" s="304"/>
      <c r="J29" s="304"/>
      <c r="K29" s="322"/>
      <c r="L29" s="322"/>
      <c r="M29" s="322"/>
      <c r="N29" s="322"/>
      <c r="O29" s="303">
        <f>SUMIFS(Tabla1[Costo],Tabla1[Ingeniero],Facturación!$A29,Tabla1[Facturación],O$3)</f>
        <v>70992</v>
      </c>
      <c r="P29" s="303">
        <f>SUMIFS(Tabla1[Costo],Tabla1[Ingeniero],Facturación!$A29,Tabla1[Facturación],P$3)</f>
        <v>83520</v>
      </c>
      <c r="Q29" s="303">
        <f>SUMIFS(Tabla1[Costo],Tabla1[Ingeniero],Facturación!$A29,Tabla1[Facturación],Q$3)</f>
        <v>20880</v>
      </c>
      <c r="R29" s="357">
        <f t="shared" si="16"/>
        <v>175392</v>
      </c>
      <c r="S29" s="213" t="s">
        <v>3356</v>
      </c>
      <c r="T29" t="s">
        <v>3361</v>
      </c>
      <c r="V29">
        <f>(Q29/E29)*8</f>
        <v>40</v>
      </c>
    </row>
    <row r="30" spans="1:22" ht="18" customHeight="1" x14ac:dyDescent="0.3">
      <c r="A30" s="365" t="s">
        <v>262</v>
      </c>
      <c r="B30" s="195" t="s">
        <v>263</v>
      </c>
      <c r="C30" s="63">
        <f>VLOOKUP(B30,Catalogos!$B$75:$D$100,3,FALSE)</f>
        <v>500</v>
      </c>
      <c r="D30" s="57">
        <f t="shared" si="8"/>
        <v>580</v>
      </c>
      <c r="E30" s="57">
        <f t="shared" si="9"/>
        <v>4640</v>
      </c>
      <c r="F30" s="304"/>
      <c r="G30" s="304"/>
      <c r="H30" s="304"/>
      <c r="I30" s="304"/>
      <c r="J30" s="304"/>
      <c r="K30" s="322"/>
      <c r="L30" s="322"/>
      <c r="M30" s="322"/>
      <c r="N30" s="322"/>
      <c r="O30" s="63">
        <f>SUMIFS(Tabla1[Costo],Tabla1[Ingeniero],Facturación!$A30,Tabla1[Facturación],O$3)</f>
        <v>0</v>
      </c>
      <c r="P30" s="303">
        <f>SUMIFS(Tabla1[Costo],Tabla1[Ingeniero],Facturación!$A30,Tabla1[Facturación],P$3)</f>
        <v>37120</v>
      </c>
      <c r="Q30" s="303">
        <f>SUMIFS(Tabla1[Costo],Tabla1[Ingeniero],Facturación!$A30,Tabla1[Facturación],Q$3)</f>
        <v>59160</v>
      </c>
      <c r="R30" s="357">
        <f t="shared" si="16"/>
        <v>96280</v>
      </c>
      <c r="S30" s="213" t="s">
        <v>3356</v>
      </c>
      <c r="T30" t="s">
        <v>3359</v>
      </c>
      <c r="V30">
        <f>(Q30/E30)*8</f>
        <v>102</v>
      </c>
    </row>
    <row r="31" spans="1:22" ht="18" customHeight="1" x14ac:dyDescent="0.3">
      <c r="A31" s="364" t="s">
        <v>3434</v>
      </c>
      <c r="B31" s="245" t="s">
        <v>40</v>
      </c>
      <c r="C31" s="63">
        <f>VLOOKUP(B31,Catalogos!$B$75:$D$100,3,FALSE)</f>
        <v>700</v>
      </c>
      <c r="D31" s="57">
        <f t="shared" si="8"/>
        <v>812</v>
      </c>
      <c r="E31" s="57">
        <f t="shared" si="9"/>
        <v>6496</v>
      </c>
      <c r="F31" s="304"/>
      <c r="G31" s="304"/>
      <c r="H31" s="304"/>
      <c r="I31" s="304"/>
      <c r="J31" s="304"/>
      <c r="K31" s="322"/>
      <c r="L31" s="322"/>
      <c r="M31" s="322"/>
      <c r="N31" s="322"/>
      <c r="O31" s="303">
        <f>SUMIFS(Tabla1[Costo],Tabla1[Ingeniero],Facturación!$A31,Tabla1[Facturación],O$3)</f>
        <v>78763.999999999985</v>
      </c>
      <c r="P31" s="303">
        <f>SUMIFS(Tabla1[Costo],Tabla1[Ingeniero],Facturación!$A31,Tabla1[Facturación],P$3)</f>
        <v>129920</v>
      </c>
      <c r="Q31" s="303">
        <f>SUMIFS(Tabla1[Costo],Tabla1[Ingeniero],Facturación!$A31,Tabla1[Facturación],Q$3)</f>
        <v>64960</v>
      </c>
      <c r="R31" s="357">
        <f t="shared" si="16"/>
        <v>273644</v>
      </c>
      <c r="S31" s="213" t="s">
        <v>3356</v>
      </c>
      <c r="T31" t="s">
        <v>3360</v>
      </c>
      <c r="V31">
        <f>(Q31/E31)*8</f>
        <v>80</v>
      </c>
    </row>
    <row r="32" spans="1:22" x14ac:dyDescent="0.3">
      <c r="A32" s="267" t="s">
        <v>113</v>
      </c>
      <c r="B32" s="70"/>
      <c r="C32" s="70"/>
      <c r="D32" s="70"/>
      <c r="E32" s="70"/>
      <c r="F32" s="268">
        <f>SUM(F5:F22)</f>
        <v>709572</v>
      </c>
      <c r="G32" s="268">
        <f t="shared" ref="G32:R32" si="19">SUM(G5:G22)</f>
        <v>816292</v>
      </c>
      <c r="H32" s="268">
        <f t="shared" si="19"/>
        <v>854108</v>
      </c>
      <c r="I32" s="268">
        <f t="shared" si="19"/>
        <v>804924</v>
      </c>
      <c r="J32" s="268">
        <f t="shared" si="19"/>
        <v>570140</v>
      </c>
      <c r="K32" s="268">
        <f t="shared" si="19"/>
        <v>542764</v>
      </c>
      <c r="L32" s="268">
        <f t="shared" si="19"/>
        <v>561556</v>
      </c>
      <c r="M32" s="268">
        <f t="shared" si="19"/>
        <v>654530</v>
      </c>
      <c r="N32" s="268">
        <f t="shared" si="19"/>
        <v>789612</v>
      </c>
      <c r="O32" s="268">
        <f t="shared" si="19"/>
        <v>802488</v>
      </c>
      <c r="P32" s="268">
        <f t="shared" si="19"/>
        <v>1118240</v>
      </c>
      <c r="Q32" s="268">
        <f t="shared" si="19"/>
        <v>965584</v>
      </c>
      <c r="R32" s="268">
        <f t="shared" si="19"/>
        <v>9189810</v>
      </c>
    </row>
    <row r="33" spans="1:20" x14ac:dyDescent="0.3">
      <c r="A33" s="69" t="s">
        <v>296</v>
      </c>
      <c r="B33" s="269"/>
      <c r="C33" s="269"/>
      <c r="D33" s="269"/>
      <c r="E33" s="269"/>
      <c r="F33" s="270">
        <f>F32</f>
        <v>709572</v>
      </c>
      <c r="G33" s="270">
        <f>G32+F33</f>
        <v>1525864</v>
      </c>
      <c r="H33" s="270">
        <f t="shared" ref="H33:Q33" si="20">H32+G33</f>
        <v>2379972</v>
      </c>
      <c r="I33" s="270">
        <f t="shared" si="20"/>
        <v>3184896</v>
      </c>
      <c r="J33" s="270">
        <f t="shared" si="20"/>
        <v>3755036</v>
      </c>
      <c r="K33" s="270">
        <f t="shared" si="20"/>
        <v>4297800</v>
      </c>
      <c r="L33" s="270">
        <f t="shared" si="20"/>
        <v>4859356</v>
      </c>
      <c r="M33" s="270">
        <f t="shared" si="20"/>
        <v>5513886</v>
      </c>
      <c r="N33" s="270">
        <f t="shared" si="20"/>
        <v>6303498</v>
      </c>
      <c r="O33" s="270">
        <f t="shared" si="20"/>
        <v>7105986</v>
      </c>
      <c r="P33" s="270">
        <f t="shared" si="20"/>
        <v>8224226</v>
      </c>
      <c r="Q33" s="270">
        <f t="shared" si="20"/>
        <v>9189810</v>
      </c>
      <c r="R33" s="270"/>
    </row>
    <row r="34" spans="1:20" ht="20.25" customHeight="1" x14ac:dyDescent="0.3">
      <c r="O34" s="213"/>
      <c r="Q34" s="139"/>
      <c r="S34" s="114"/>
      <c r="T34" s="114"/>
    </row>
    <row r="35" spans="1:20" ht="18" customHeight="1" x14ac:dyDescent="0.3">
      <c r="A35" s="896" t="s">
        <v>142</v>
      </c>
      <c r="H35" s="896" t="s">
        <v>146</v>
      </c>
      <c r="I35" s="75" t="s">
        <v>144</v>
      </c>
      <c r="J35" s="75" t="s">
        <v>112</v>
      </c>
      <c r="L35" s="898" t="s">
        <v>143</v>
      </c>
      <c r="M35" s="898"/>
      <c r="N35" s="898"/>
      <c r="O35" s="229"/>
      <c r="P35" s="356"/>
      <c r="Q35" s="139" t="s">
        <v>3355</v>
      </c>
      <c r="R35" s="272"/>
      <c r="S35" s="266"/>
      <c r="T35" s="266"/>
    </row>
    <row r="36" spans="1:20" x14ac:dyDescent="0.3">
      <c r="A36" s="896"/>
      <c r="H36" s="896"/>
      <c r="I36" s="904">
        <f>-100+(A37/R32*100)</f>
        <v>8.128568490533894E-3</v>
      </c>
      <c r="J36" s="901">
        <f>A37-R32</f>
        <v>747</v>
      </c>
      <c r="L36" s="82" t="s">
        <v>144</v>
      </c>
      <c r="M36" s="66" t="s">
        <v>145</v>
      </c>
      <c r="N36" s="66" t="s">
        <v>124</v>
      </c>
      <c r="P36" s="355"/>
      <c r="Q36" s="37" t="s">
        <v>3356</v>
      </c>
      <c r="R36" s="139"/>
      <c r="S36" s="139"/>
      <c r="T36" s="266"/>
    </row>
    <row r="37" spans="1:20" x14ac:dyDescent="0.3">
      <c r="A37" s="897">
        <f>(14673058/2)+G45</f>
        <v>9190557</v>
      </c>
      <c r="D37" s="213"/>
      <c r="H37" s="896"/>
      <c r="I37" s="904"/>
      <c r="J37" s="901"/>
      <c r="L37" s="77" t="s">
        <v>147</v>
      </c>
      <c r="M37" s="77" t="s">
        <v>147</v>
      </c>
      <c r="N37" s="79" t="s">
        <v>148</v>
      </c>
      <c r="O37" s="37"/>
      <c r="P37" s="37"/>
      <c r="Q37" s="37"/>
      <c r="R37" s="139"/>
    </row>
    <row r="38" spans="1:20" x14ac:dyDescent="0.3">
      <c r="A38" s="897"/>
      <c r="J38" s="83">
        <f>J36/1.16</f>
        <v>643.9655172413793</v>
      </c>
      <c r="K38" t="s">
        <v>226</v>
      </c>
      <c r="L38" s="78" t="s">
        <v>153</v>
      </c>
      <c r="M38" s="78" t="s">
        <v>151</v>
      </c>
      <c r="N38" s="80" t="s">
        <v>149</v>
      </c>
      <c r="R38" s="228"/>
    </row>
    <row r="39" spans="1:20" x14ac:dyDescent="0.3">
      <c r="L39" s="78" t="s">
        <v>154</v>
      </c>
      <c r="M39" s="78" t="s">
        <v>152</v>
      </c>
      <c r="N39" s="81" t="s">
        <v>150</v>
      </c>
      <c r="P39" s="37" t="s">
        <v>3356</v>
      </c>
      <c r="Q39" s="213">
        <f>SUM(R23:R31)</f>
        <v>1326692</v>
      </c>
      <c r="R39" s="228"/>
      <c r="S39" s="266">
        <f>SUM(O32:Q32)</f>
        <v>2886312</v>
      </c>
      <c r="T39" t="s">
        <v>4228</v>
      </c>
    </row>
    <row r="40" spans="1:20" ht="34.5" customHeight="1" x14ac:dyDescent="0.3">
      <c r="A40" s="149" t="s">
        <v>225</v>
      </c>
      <c r="B40" s="150"/>
      <c r="C40" s="150"/>
      <c r="D40" s="150"/>
      <c r="E40" s="150"/>
      <c r="F40" s="149" t="s">
        <v>223</v>
      </c>
      <c r="G40" s="216" t="s">
        <v>224</v>
      </c>
      <c r="H40" s="149" t="s">
        <v>146</v>
      </c>
      <c r="O40" s="37"/>
      <c r="P40" s="7" t="s">
        <v>3362</v>
      </c>
      <c r="Q40" s="358">
        <f>Ampliación!G12</f>
        <v>1327040</v>
      </c>
      <c r="R40" s="229"/>
      <c r="S40" s="363">
        <f>G43</f>
        <v>89900</v>
      </c>
      <c r="T40" t="s">
        <v>5397</v>
      </c>
    </row>
    <row r="41" spans="1:20" x14ac:dyDescent="0.3">
      <c r="A41" s="148" t="s">
        <v>3357</v>
      </c>
      <c r="F41" s="146">
        <f>128006</f>
        <v>128006</v>
      </c>
      <c r="G41" s="284">
        <f>F41</f>
        <v>128006</v>
      </c>
      <c r="H41" s="146">
        <f>F41-G41</f>
        <v>0</v>
      </c>
      <c r="J41" s="213"/>
      <c r="K41" s="213"/>
      <c r="O41" s="37"/>
      <c r="R41" s="217"/>
      <c r="S41" s="266">
        <f>S39-S40</f>
        <v>2796412</v>
      </c>
    </row>
    <row r="42" spans="1:20" x14ac:dyDescent="0.3">
      <c r="A42" s="148" t="s">
        <v>4217</v>
      </c>
      <c r="F42" s="146">
        <f>1636122</f>
        <v>1636122</v>
      </c>
      <c r="G42" s="284">
        <f>F42</f>
        <v>1636122</v>
      </c>
      <c r="H42" s="146">
        <f>F42-G42</f>
        <v>0</v>
      </c>
      <c r="J42">
        <v>14673058</v>
      </c>
      <c r="O42" s="37"/>
      <c r="R42" s="217"/>
    </row>
    <row r="43" spans="1:20" x14ac:dyDescent="0.3">
      <c r="A43" s="148" t="s">
        <v>4218</v>
      </c>
      <c r="F43" s="146">
        <v>89900</v>
      </c>
      <c r="G43" s="146">
        <f>F43</f>
        <v>89900</v>
      </c>
      <c r="H43" s="146">
        <f>F43-G43</f>
        <v>0</v>
      </c>
      <c r="J43" s="266">
        <f>J42/2</f>
        <v>7336529</v>
      </c>
      <c r="O43" s="319"/>
      <c r="R43" s="213"/>
    </row>
    <row r="44" spans="1:20" x14ac:dyDescent="0.3">
      <c r="A44" s="148"/>
      <c r="B44" s="215"/>
      <c r="C44" s="215"/>
      <c r="D44" s="215"/>
      <c r="E44" s="215"/>
      <c r="F44" s="146">
        <v>0</v>
      </c>
      <c r="G44" s="146">
        <f>F44</f>
        <v>0</v>
      </c>
      <c r="H44" s="146">
        <f>F44-G44</f>
        <v>0</v>
      </c>
      <c r="N44" s="362"/>
      <c r="O44" s="362"/>
      <c r="P44" s="362"/>
    </row>
    <row r="45" spans="1:20" x14ac:dyDescent="0.3">
      <c r="F45" s="147">
        <f>SUM(F41:F44)</f>
        <v>1854028</v>
      </c>
      <c r="G45" s="147">
        <f>SUM(G41:G43)</f>
        <v>1854028</v>
      </c>
      <c r="H45" s="147">
        <f>F45-G45</f>
        <v>0</v>
      </c>
      <c r="L45" s="283"/>
      <c r="N45" s="362"/>
      <c r="O45" s="362"/>
      <c r="P45" s="362"/>
    </row>
    <row r="46" spans="1:20" x14ac:dyDescent="0.3">
      <c r="N46" s="362"/>
      <c r="O46" s="362"/>
      <c r="P46" s="362"/>
    </row>
  </sheetData>
  <mergeCells count="7">
    <mergeCell ref="R3:R4"/>
    <mergeCell ref="A35:A36"/>
    <mergeCell ref="H35:H37"/>
    <mergeCell ref="L35:N35"/>
    <mergeCell ref="I36:I37"/>
    <mergeCell ref="J36:J37"/>
    <mergeCell ref="A37:A38"/>
  </mergeCells>
  <conditionalFormatting sqref="I36">
    <cfRule type="cellIs" dxfId="1220" priority="4" operator="lessThanOrEqual">
      <formula>1</formula>
    </cfRule>
    <cfRule type="cellIs" dxfId="1219" priority="6" operator="greaterThan">
      <formula>1</formula>
    </cfRule>
  </conditionalFormatting>
  <conditionalFormatting sqref="I36:J36">
    <cfRule type="cellIs" dxfId="1218" priority="1" stopIfTrue="1" operator="lessThan">
      <formula>0</formula>
    </cfRule>
  </conditionalFormatting>
  <conditionalFormatting sqref="J36">
    <cfRule type="cellIs" dxfId="1217" priority="2" operator="lessThanOrEqual">
      <formula>38500</formula>
    </cfRule>
    <cfRule type="cellIs" dxfId="1216" priority="5" operator="greaterThan">
      <formula>38500</formula>
    </cfRule>
  </conditionalFormatting>
  <pageMargins left="0.7" right="0.7" top="0.75" bottom="0.75" header="0.3" footer="0.3"/>
  <pageSetup paperSize="9" scale="47" orientation="landscape" r:id="rId1"/>
  <extLst>
    <ext xmlns:x14="http://schemas.microsoft.com/office/spreadsheetml/2009/9/main" uri="{CCE6A557-97BC-4b89-ADB6-D9C93CAAB3DF}">
      <x14:dataValidations xmlns:xm="http://schemas.microsoft.com/office/excel/2006/main" count="1">
        <x14:dataValidation type="list" allowBlank="1" showErrorMessage="1" xr:uid="{95706CF9-ECD2-4219-9B20-9070D15376D6}">
          <x14:formula1>
            <xm:f>'C:\Users\paloma.delcampo\Documents\INAI 2020\Facturación INAI 2020\02 FEBRERO\[ND-DDS_ReporteMensual_Febrero2020.xlsx]Valores'!#REF!</xm:f>
          </x14:formula1>
          <xm:sqref>B7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11</vt:i4>
      </vt:variant>
    </vt:vector>
  </HeadingPairs>
  <TitlesOfParts>
    <vt:vector size="28" baseType="lpstr">
      <vt:lpstr>Imprimir</vt:lpstr>
      <vt:lpstr>Detalle</vt:lpstr>
      <vt:lpstr>HorasXPerfil</vt:lpstr>
      <vt:lpstr>Servicios</vt:lpstr>
      <vt:lpstr>HorasXárea</vt:lpstr>
      <vt:lpstr>Acumulado</vt:lpstr>
      <vt:lpstr>HRS 2021</vt:lpstr>
      <vt:lpstr>Facturación</vt:lpstr>
      <vt:lpstr>Presupuesto</vt:lpstr>
      <vt:lpstr>Costo por aplicativo</vt:lpstr>
      <vt:lpstr>REP_EJE_INAI_Portada</vt:lpstr>
      <vt:lpstr>REP_EJE_INAI</vt:lpstr>
      <vt:lpstr>Catalogos</vt:lpstr>
      <vt:lpstr>Datos Recursos</vt:lpstr>
      <vt:lpstr>Ampliación</vt:lpstr>
      <vt:lpstr>Bitacora</vt:lpstr>
      <vt:lpstr>Reg Asistencia</vt:lpstr>
      <vt:lpstr>REP_EJE_INAI!_Toc421209522</vt:lpstr>
      <vt:lpstr>REP_EJE_INAI!_Toc516155782</vt:lpstr>
      <vt:lpstr>REP_EJE_INAI!_Toc5974739</vt:lpstr>
      <vt:lpstr>REP_EJE_INAI!_Toc5974740</vt:lpstr>
      <vt:lpstr>REP_EJE_INAI!_Toc7431053</vt:lpstr>
      <vt:lpstr>Ampliación!Área_de_impresión</vt:lpstr>
      <vt:lpstr>Presupuesto!Área_de_impresión</vt:lpstr>
      <vt:lpstr>REP_EJE_INAI!Área_de_impresión</vt:lpstr>
      <vt:lpstr>REP_EJE_INAI_Portada!Área_de_impresión</vt:lpstr>
      <vt:lpstr>Imprimir!Títulos_a_imprimir</vt:lpstr>
      <vt:lpstr>REP_EJE_INAI!Títulos_a_imprimir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Paloma Martin del Campo Jiménez</dc:creator>
  <cp:lastModifiedBy>Carlos Alberto Miranda Juárez</cp:lastModifiedBy>
  <cp:lastPrinted>2023-12-12T16:28:10Z</cp:lastPrinted>
  <dcterms:created xsi:type="dcterms:W3CDTF">2019-04-05T23:33:04Z</dcterms:created>
  <dcterms:modified xsi:type="dcterms:W3CDTF">2024-01-11T16:13:51Z</dcterms:modified>
</cp:coreProperties>
</file>